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11/relationships/webextensiontaskpanes" Target="xl/webextensions/taskpanes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6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fb462d7908b848dd/Power BI/Power Bi - Querys y archivos Excel para tablas/Archvios Excel/Finanzas/"/>
    </mc:Choice>
  </mc:AlternateContent>
  <xr:revisionPtr revIDLastSave="46997" documentId="14_{AF78EE42-4FAF-46D8-BCEA-FEC2A69982C6}" xr6:coauthVersionLast="47" xr6:coauthVersionMax="47" xr10:uidLastSave="{19257238-581D-4527-8B91-3BECB8FB1D88}"/>
  <bookViews>
    <workbookView xWindow="-120" yWindow="-120" windowWidth="20730" windowHeight="11160" tabRatio="828" firstSheet="4" activeTab="4" xr2:uid="{DEE27FDB-56C4-4C3D-953E-8DB2613C9A43}"/>
  </bookViews>
  <sheets>
    <sheet name="PRESUPUESTO" sheetId="6" r:id="rId1"/>
    <sheet name="REPORTE" sheetId="36" r:id="rId2"/>
    <sheet name="AUXILIAR GO" sheetId="3" r:id="rId3"/>
    <sheet name="BOV NOMINA" sheetId="13" r:id="rId4"/>
    <sheet name="BOV RENTAS" sheetId="15" r:id="rId5"/>
    <sheet name="BOV IMSS " sheetId="14" r:id="rId6"/>
    <sheet name="TC" sheetId="32" r:id="rId7"/>
    <sheet name="COMBUSTIBLE" sheetId="31" r:id="rId8"/>
    <sheet name="DESGLOCE NOMINA" sheetId="34" r:id="rId9"/>
    <sheet name="PRESUPUESTOvsBITACORA" sheetId="11" r:id="rId10"/>
    <sheet name="NO PRES" sheetId="21" r:id="rId11"/>
    <sheet name="VACACIONES" sheetId="18" r:id="rId12"/>
    <sheet name="BOV EMERGENCIA " sheetId="35" r:id="rId13"/>
    <sheet name="CATALOGOS" sheetId="4" r:id="rId14"/>
    <sheet name="FINIQUITOS PARA PAGO " sheetId="17" r:id="rId15"/>
    <sheet name="FINIQUITOS" sheetId="20" r:id="rId16"/>
  </sheets>
  <definedNames>
    <definedName name="_xlnm._FilterDatabase" localSheetId="12" hidden="1">'BOV EMERGENCIA '!$A$2:$I$2</definedName>
    <definedName name="_xlnm._FilterDatabase" localSheetId="13" hidden="1">CATALOGOS!$A$1:$E$81</definedName>
    <definedName name="_xlnm._FilterDatabase" localSheetId="15" hidden="1">FINIQUITOS!$A$143:$E$146</definedName>
    <definedName name="_xlnm._FilterDatabase" localSheetId="8" hidden="1">'DESGLOCE NOMINA'!$B$2:$N$2530</definedName>
    <definedName name="_xlnm._FilterDatabase" localSheetId="7" hidden="1">COMBUSTIBLE!$B$2:$N$976</definedName>
    <definedName name="_xlnm._FilterDatabase" localSheetId="5" hidden="1">'BOV IMSS '!$B$2:$K$584</definedName>
    <definedName name="_xlnm._FilterDatabase" localSheetId="3" hidden="1">'BOV NOMINA'!$B$2:$N$1739</definedName>
    <definedName name="_xlnm._FilterDatabase" localSheetId="0" hidden="1">PRESUPUESTO!$C$7:$Q$342</definedName>
    <definedName name="_xlnm._FilterDatabase" localSheetId="4" hidden="1">'BOV RENTAS'!$B$2:$K$1399</definedName>
    <definedName name="_xlnm._FilterDatabase" localSheetId="6" hidden="1">TC!$B$2:$N$964</definedName>
    <definedName name="_xlnm._FilterDatabase" localSheetId="2" hidden="1">'AUXILIAR GO'!$B$2:$M$7979</definedName>
    <definedName name="_xlnm._FilterDatabase" localSheetId="9" hidden="1">PRESUPUESTOvsBITACORA!$B$6:$CZ$353</definedName>
    <definedName name="APARTADO">CATALOGOS!$G:$G</definedName>
    <definedName name="_xlnm.Print_Area" localSheetId="0">PRESUPUESTO!$C$5:$Q$235</definedName>
    <definedName name="_xlnm.Print_Area" localSheetId="9">PRESUPUESTOvsBITACORA!$C$5:$CK$243</definedName>
    <definedName name="CLAVE_BIT">'AUXILIAR GO'!$A:$A</definedName>
    <definedName name="CLAVE_BOV1">'BOV NOMINA'!$A:$A</definedName>
    <definedName name="CLAVE_BOV2">'BOV IMSS '!$A:$A</definedName>
    <definedName name="CLAVE_BOV3">'BOV RENTAS'!$A:$A</definedName>
    <definedName name="CLAVE_COMB">COMBUSTIBLE!$A:$A</definedName>
    <definedName name="CLAVE_DESGLOSE">'DESGLOCE NOMINA'!$A:$A</definedName>
    <definedName name="CLAVE_TC">TC!$A:$A</definedName>
    <definedName name="CONCEPTO">CATALOGOS!$E:$E</definedName>
    <definedName name="E_MES_RETAIL">CATALOGOS!$S$1:$V$1</definedName>
    <definedName name="E_PRESUPUESTO">PRESUPUESTO!$A$6:$AF$6</definedName>
    <definedName name="E_Retail">CATALOGOS!$J$1:$N$1</definedName>
    <definedName name="ENTRADAS_BIT">'AUXILIAR GO'!$K:$K</definedName>
    <definedName name="ENTRADAS_BOV1">'BOV NOMINA'!$I:$I</definedName>
    <definedName name="ENTRADAS_BOV2">'BOV IMSS '!$I:$I</definedName>
    <definedName name="ENTRADAS_BOV3">'BOV RENTAS'!$I:$I</definedName>
    <definedName name="ENTRADAS_COMB">COMBUSTIBLE!$I:$I</definedName>
    <definedName name="ENTRADAS_TC">TC!$I:$I</definedName>
    <definedName name="FECHA_BIT">'AUXILIAR GO'!$C:$C</definedName>
    <definedName name="FECHA_BOV1">'BOV NOMINA'!$C:$C</definedName>
    <definedName name="FECHA_BOV2">'BOV IMSS '!$C:$C</definedName>
    <definedName name="FECHA_BOV3">'BOV RENTAS'!$C:$C</definedName>
    <definedName name="FECHA_COMB">COMBUSTIBLE!$C:$C</definedName>
    <definedName name="FECHA_DESGLOSE">'DESGLOCE NOMINA'!$C:$C</definedName>
    <definedName name="FECHA_DESGLOSEN">'DESGLOCE NOMINA'!$C:$C</definedName>
    <definedName name="FECHA_TC">TC!$C:$C</definedName>
    <definedName name="MARCA">CATALOGOS!$A:$A</definedName>
    <definedName name="PRESUPUESTO">CATALOGOS!$C:$C</definedName>
    <definedName name="SALIDAS_BIT">'AUXILIAR GO'!$L:$L</definedName>
    <definedName name="SALIDAS_BOV1">'BOV NOMINA'!$J:$J</definedName>
    <definedName name="SALIDAS_BOV2">'BOV IMSS '!$J:$J</definedName>
    <definedName name="SALIDAS_BOV3">'BOV RENTAS'!$J:$J</definedName>
    <definedName name="SALIDAS_COMB">COMBUSTIBLE!$J:$J</definedName>
    <definedName name="SALIDAS_DES">'DESGLOCE NOMINA'!$J:$J</definedName>
    <definedName name="SALIDAS_TC">TC!$J:$J</definedName>
    <definedName name="T_MES_RETAIL">CATALOGOS!$S:$V</definedName>
    <definedName name="T_PRESUPUESTO">PRESUPUESTO!$A:$AF</definedName>
    <definedName name="T_Retail">CATALOGOS!$J:$N</definedName>
  </definedNames>
  <calcPr calcId="191028"/>
  <pivotCaches>
    <pivotCache cacheId="595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212" i="3" l="1"/>
  <c r="A6211" i="3"/>
  <c r="A6210" i="3"/>
  <c r="A6209" i="3"/>
  <c r="A6208" i="3"/>
  <c r="A6207" i="3"/>
  <c r="A6206" i="3"/>
  <c r="A6205" i="3"/>
  <c r="A6204" i="3"/>
  <c r="A6203" i="3"/>
  <c r="A6202" i="3"/>
  <c r="A6201" i="3"/>
  <c r="A6200" i="3"/>
  <c r="A6197" i="3"/>
  <c r="A6196" i="3"/>
  <c r="A6195" i="3"/>
  <c r="A6190" i="3"/>
  <c r="A6188" i="3"/>
  <c r="A6187" i="3"/>
  <c r="A6185" i="3"/>
  <c r="A6182" i="3"/>
  <c r="A6181" i="3"/>
  <c r="A6161" i="3"/>
  <c r="A6160" i="3"/>
  <c r="A6157" i="3"/>
  <c r="A6156" i="3"/>
  <c r="A6139" i="3"/>
  <c r="A6136" i="3"/>
  <c r="A6135" i="3"/>
  <c r="A6134" i="3"/>
  <c r="A6133" i="3"/>
  <c r="A6132" i="3"/>
  <c r="A6118" i="3"/>
  <c r="A6117" i="3"/>
  <c r="A6116" i="3"/>
  <c r="A6115" i="3"/>
  <c r="A6114" i="3"/>
  <c r="A6110" i="3"/>
  <c r="A6109" i="3"/>
  <c r="A6108" i="3"/>
  <c r="A6077" i="3"/>
  <c r="A6076" i="3"/>
  <c r="A6074" i="3"/>
  <c r="A6071" i="3"/>
  <c r="A6070" i="3"/>
  <c r="A6051" i="3"/>
  <c r="A6048" i="3"/>
  <c r="A6047" i="3"/>
  <c r="A6045" i="3"/>
  <c r="A6030" i="3"/>
  <c r="A6028" i="3"/>
  <c r="A6027" i="3"/>
  <c r="A6026" i="3"/>
  <c r="A6010" i="3"/>
  <c r="A6009" i="3"/>
  <c r="A6008" i="3"/>
  <c r="A5983" i="3"/>
  <c r="A5978" i="3"/>
  <c r="A5976" i="3"/>
  <c r="A5975" i="3"/>
  <c r="A5973" i="3"/>
  <c r="A5935" i="3"/>
  <c r="A5933" i="3"/>
  <c r="A5931" i="3"/>
  <c r="A5922" i="3"/>
  <c r="A5920" i="3"/>
  <c r="A5917" i="3"/>
  <c r="A5897" i="3"/>
  <c r="A5896" i="3"/>
  <c r="A5862" i="3"/>
  <c r="A5861" i="3"/>
  <c r="A5859" i="3"/>
  <c r="A5830" i="3"/>
  <c r="A5829" i="3"/>
  <c r="A5828" i="3"/>
  <c r="A5809" i="3"/>
  <c r="A5793" i="3"/>
  <c r="A5788" i="3"/>
  <c r="A5785" i="3"/>
  <c r="A5783" i="3"/>
  <c r="A5754" i="3"/>
  <c r="A5745" i="3"/>
  <c r="K13" i="36"/>
  <c r="K12" i="36"/>
  <c r="CU326" i="11"/>
  <c r="CW326" i="11"/>
  <c r="CX326" i="11"/>
  <c r="A326" i="11"/>
  <c r="A6092" i="3"/>
  <c r="A6063" i="3"/>
  <c r="A5910" i="3"/>
  <c r="J6" i="36"/>
  <c r="R5" i="6"/>
  <c r="L6190" i="3"/>
  <c r="K1074" i="13"/>
  <c r="K1075" i="13"/>
  <c r="K1076" i="13"/>
  <c r="K1077" i="13"/>
  <c r="K1078" i="13"/>
  <c r="K1079" i="13"/>
  <c r="K1080" i="13"/>
  <c r="K1081" i="13"/>
  <c r="K1082" i="13"/>
  <c r="K1083" i="13"/>
  <c r="K1084" i="13"/>
  <c r="K1085" i="13"/>
  <c r="K1086" i="13"/>
  <c r="K573" i="15"/>
  <c r="K574" i="15"/>
  <c r="K575" i="15"/>
  <c r="J549" i="15"/>
  <c r="L6163" i="3"/>
  <c r="K1056" i="13"/>
  <c r="K1057" i="13"/>
  <c r="K1058" i="13"/>
  <c r="K1059" i="13"/>
  <c r="K1060" i="13"/>
  <c r="K1061" i="13"/>
  <c r="K1062" i="13"/>
  <c r="K1063" i="13"/>
  <c r="K1064" i="13"/>
  <c r="K1065" i="13"/>
  <c r="K1066" i="13"/>
  <c r="K1067" i="13"/>
  <c r="K1068" i="13"/>
  <c r="K1069" i="13"/>
  <c r="K1070" i="13"/>
  <c r="K1071" i="13"/>
  <c r="K1072" i="13"/>
  <c r="K1073" i="13"/>
  <c r="K1055" i="13"/>
  <c r="L6146" i="3"/>
  <c r="L6123" i="3"/>
  <c r="L6154" i="3"/>
  <c r="L6148" i="3"/>
  <c r="A5800" i="3"/>
  <c r="A690" i="32"/>
  <c r="A691" i="32"/>
  <c r="A692" i="32"/>
  <c r="A651" i="32"/>
  <c r="A652" i="32"/>
  <c r="A653" i="32"/>
  <c r="A654" i="32"/>
  <c r="A655" i="32"/>
  <c r="A656" i="32"/>
  <c r="A657" i="32"/>
  <c r="A658" i="32"/>
  <c r="A659" i="32"/>
  <c r="A660" i="32"/>
  <c r="A661" i="32"/>
  <c r="A662" i="32"/>
  <c r="A663" i="32"/>
  <c r="A664" i="32"/>
  <c r="A665" i="32"/>
  <c r="A666" i="32"/>
  <c r="A667" i="32"/>
  <c r="A668" i="32"/>
  <c r="A669" i="32"/>
  <c r="A670" i="32"/>
  <c r="A671" i="32"/>
  <c r="A672" i="32"/>
  <c r="A673" i="32"/>
  <c r="A674" i="32"/>
  <c r="A675" i="32"/>
  <c r="A676" i="32"/>
  <c r="A677" i="32"/>
  <c r="A678" i="32"/>
  <c r="A679" i="32"/>
  <c r="A680" i="32"/>
  <c r="A681" i="32"/>
  <c r="A682" i="32"/>
  <c r="A683" i="32"/>
  <c r="A684" i="32"/>
  <c r="A685" i="32"/>
  <c r="A686" i="32"/>
  <c r="A687" i="32"/>
  <c r="A688" i="32"/>
  <c r="A6123" i="3"/>
  <c r="A6086" i="3"/>
  <c r="A6087" i="3"/>
  <c r="A6088" i="3"/>
  <c r="A6089" i="3"/>
  <c r="A6090" i="3"/>
  <c r="A6091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11" i="3"/>
  <c r="A6112" i="3"/>
  <c r="A6113" i="3"/>
  <c r="A6119" i="3"/>
  <c r="A6120" i="3"/>
  <c r="A6121" i="3"/>
  <c r="A6082" i="3"/>
  <c r="A6079" i="3"/>
  <c r="A6075" i="3"/>
  <c r="A6069" i="3"/>
  <c r="A6072" i="3"/>
  <c r="A6061" i="3"/>
  <c r="A6062" i="3"/>
  <c r="A6064" i="3"/>
  <c r="A6065" i="3"/>
  <c r="A6066" i="3"/>
  <c r="A6067" i="3"/>
  <c r="A6057" i="3"/>
  <c r="A6050" i="3"/>
  <c r="A6044" i="3"/>
  <c r="A6046" i="3"/>
  <c r="A6036" i="3"/>
  <c r="A6037" i="3"/>
  <c r="A6038" i="3"/>
  <c r="A6039" i="3"/>
  <c r="A6040" i="3"/>
  <c r="A6041" i="3"/>
  <c r="A6033" i="3"/>
  <c r="A6019" i="3"/>
  <c r="A6020" i="3"/>
  <c r="A6021" i="3"/>
  <c r="A6022" i="3"/>
  <c r="A6023" i="3"/>
  <c r="A6024" i="3"/>
  <c r="A6025" i="3"/>
  <c r="A6029" i="3"/>
  <c r="A6017" i="3"/>
  <c r="A6012" i="3"/>
  <c r="A6000" i="3"/>
  <c r="A6001" i="3"/>
  <c r="A6002" i="3"/>
  <c r="A6003" i="3"/>
  <c r="A6004" i="3"/>
  <c r="A6005" i="3"/>
  <c r="A6006" i="3"/>
  <c r="A6007" i="3"/>
  <c r="A5995" i="3"/>
  <c r="A5996" i="3"/>
  <c r="A5997" i="3"/>
  <c r="A5993" i="3"/>
  <c r="A5986" i="3"/>
  <c r="A5982" i="3"/>
  <c r="A5984" i="3"/>
  <c r="A5972" i="3"/>
  <c r="A5974" i="3"/>
  <c r="A5977" i="3"/>
  <c r="A5979" i="3"/>
  <c r="A5980" i="3"/>
  <c r="A5966" i="3"/>
  <c r="A5967" i="3"/>
  <c r="A5968" i="3"/>
  <c r="A5969" i="3"/>
  <c r="A5962" i="3"/>
  <c r="A5963" i="3"/>
  <c r="A5952" i="3"/>
  <c r="A5953" i="3"/>
  <c r="A5954" i="3"/>
  <c r="A5955" i="3"/>
  <c r="A5956" i="3"/>
  <c r="A5957" i="3"/>
  <c r="A5958" i="3"/>
  <c r="A5959" i="3"/>
  <c r="A5960" i="3"/>
  <c r="A5948" i="3"/>
  <c r="A5949" i="3"/>
  <c r="A5950" i="3"/>
  <c r="A5945" i="3"/>
  <c r="A5930" i="3"/>
  <c r="A5932" i="3"/>
  <c r="A5934" i="3"/>
  <c r="A5936" i="3"/>
  <c r="A5937" i="3"/>
  <c r="A5928" i="3"/>
  <c r="A5924" i="3"/>
  <c r="A5912" i="3"/>
  <c r="A5913" i="3"/>
  <c r="A5914" i="3"/>
  <c r="A5915" i="3"/>
  <c r="A5916" i="3"/>
  <c r="A5918" i="3"/>
  <c r="A5908" i="3"/>
  <c r="A5909" i="3"/>
  <c r="A5902" i="3"/>
  <c r="A5894" i="3"/>
  <c r="A5895" i="3"/>
  <c r="A5898" i="3"/>
  <c r="A5899" i="3"/>
  <c r="A5900" i="3"/>
  <c r="A5890" i="3"/>
  <c r="A5891" i="3"/>
  <c r="A5892" i="3"/>
  <c r="A5885" i="3"/>
  <c r="A5879" i="3"/>
  <c r="A5880" i="3"/>
  <c r="A5881" i="3"/>
  <c r="A5875" i="3"/>
  <c r="A5876" i="3"/>
  <c r="A5877" i="3"/>
  <c r="A5869" i="3"/>
  <c r="A5870" i="3"/>
  <c r="A5871" i="3"/>
  <c r="A5872" i="3"/>
  <c r="A5873" i="3"/>
  <c r="A5865" i="3"/>
  <c r="A5856" i="3"/>
  <c r="A5857" i="3"/>
  <c r="A5858" i="3"/>
  <c r="A5860" i="3"/>
  <c r="A5863" i="3"/>
  <c r="A5854" i="3"/>
  <c r="A5850" i="3"/>
  <c r="A5844" i="3"/>
  <c r="A5839" i="3"/>
  <c r="A5835" i="3"/>
  <c r="A5832" i="3"/>
  <c r="A5826" i="3"/>
  <c r="A5827" i="3"/>
  <c r="A5824" i="3"/>
  <c r="A5820" i="3"/>
  <c r="A5821" i="3"/>
  <c r="A5822" i="3"/>
  <c r="A5817" i="3"/>
  <c r="A5804" i="3"/>
  <c r="A5805" i="3"/>
  <c r="A5806" i="3"/>
  <c r="A5807" i="3"/>
  <c r="A5808" i="3"/>
  <c r="A5810" i="3"/>
  <c r="A5811" i="3"/>
  <c r="A5812" i="3"/>
  <c r="A5799" i="3"/>
  <c r="A5794" i="3"/>
  <c r="A5795" i="3"/>
  <c r="A5796" i="3"/>
  <c r="A5797" i="3"/>
  <c r="A5774" i="3"/>
  <c r="A5775" i="3"/>
  <c r="A5776" i="3"/>
  <c r="A5777" i="3"/>
  <c r="A5778" i="3"/>
  <c r="A5779" i="3"/>
  <c r="A5780" i="3"/>
  <c r="A5781" i="3"/>
  <c r="A5782" i="3"/>
  <c r="A5784" i="3"/>
  <c r="A5786" i="3"/>
  <c r="A5787" i="3"/>
  <c r="A5789" i="3"/>
  <c r="A5790" i="3"/>
  <c r="A5791" i="3"/>
  <c r="A5769" i="3"/>
  <c r="A5770" i="3"/>
  <c r="A5764" i="3"/>
  <c r="A5753" i="3"/>
  <c r="A5755" i="3"/>
  <c r="A5756" i="3"/>
  <c r="A5757" i="3"/>
  <c r="A5758" i="3"/>
  <c r="A5749" i="3"/>
  <c r="A5750" i="3"/>
  <c r="A5751" i="3"/>
  <c r="A5737" i="3"/>
  <c r="A5738" i="3"/>
  <c r="A5739" i="3"/>
  <c r="A5740" i="3"/>
  <c r="A5741" i="3"/>
  <c r="A5742" i="3"/>
  <c r="A5743" i="3"/>
  <c r="A5744" i="3"/>
  <c r="A5746" i="3"/>
  <c r="A5747" i="3"/>
  <c r="A5733" i="3"/>
  <c r="A5734" i="3"/>
  <c r="A5735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L6079" i="3"/>
  <c r="A2751" i="34"/>
  <c r="A2752" i="34"/>
  <c r="A2691" i="34"/>
  <c r="A2692" i="34"/>
  <c r="A2693" i="34"/>
  <c r="A2694" i="34"/>
  <c r="L6057" i="3"/>
  <c r="A6043" i="3"/>
  <c r="A6049" i="3"/>
  <c r="A6015" i="3"/>
  <c r="A6016" i="3"/>
  <c r="A5998" i="3"/>
  <c r="A5999" i="3"/>
  <c r="A5990" i="3"/>
  <c r="A5991" i="3"/>
  <c r="A5992" i="3"/>
  <c r="A5971" i="3"/>
  <c r="A5965" i="3"/>
  <c r="A5951" i="3"/>
  <c r="A5927" i="3"/>
  <c r="A5929" i="3"/>
  <c r="A5938" i="3"/>
  <c r="A5939" i="3"/>
  <c r="A5911" i="3"/>
  <c r="A5919" i="3"/>
  <c r="A5889" i="3"/>
  <c r="A5893" i="3"/>
  <c r="A5868" i="3"/>
  <c r="A5874" i="3"/>
  <c r="A5878" i="3"/>
  <c r="A5853" i="3"/>
  <c r="A5855" i="3"/>
  <c r="A5841" i="3"/>
  <c r="A5842" i="3"/>
  <c r="A5843" i="3"/>
  <c r="A5823" i="3"/>
  <c r="A5825" i="3"/>
  <c r="A5803" i="3"/>
  <c r="A5767" i="3"/>
  <c r="A5768" i="3"/>
  <c r="A5771" i="3"/>
  <c r="A5772" i="3"/>
  <c r="A5773" i="3"/>
  <c r="A5792" i="3"/>
  <c r="A5732" i="3"/>
  <c r="A5736" i="3"/>
  <c r="A6068" i="3"/>
  <c r="A2936" i="34"/>
  <c r="A2935" i="34"/>
  <c r="A2934" i="34"/>
  <c r="A2933" i="34"/>
  <c r="A2932" i="34"/>
  <c r="A2931" i="34"/>
  <c r="A2930" i="34"/>
  <c r="A2929" i="34"/>
  <c r="A2928" i="34"/>
  <c r="A2927" i="34"/>
  <c r="A2926" i="34"/>
  <c r="A2925" i="34"/>
  <c r="A2924" i="34"/>
  <c r="A2923" i="34"/>
  <c r="A2922" i="34"/>
  <c r="A2921" i="34"/>
  <c r="A2920" i="34"/>
  <c r="A2919" i="34"/>
  <c r="A2918" i="34"/>
  <c r="A2917" i="34"/>
  <c r="A2916" i="34"/>
  <c r="A2915" i="34"/>
  <c r="A2914" i="34"/>
  <c r="A2913" i="34"/>
  <c r="A2912" i="34"/>
  <c r="A2911" i="34"/>
  <c r="A2910" i="34"/>
  <c r="A2909" i="34"/>
  <c r="A2908" i="34"/>
  <c r="A2907" i="34"/>
  <c r="A2906" i="34"/>
  <c r="A2905" i="34"/>
  <c r="A2904" i="34"/>
  <c r="A2903" i="34"/>
  <c r="A2902" i="34"/>
  <c r="A2901" i="34"/>
  <c r="A2900" i="34"/>
  <c r="A2899" i="34"/>
  <c r="A2898" i="34"/>
  <c r="A2897" i="34"/>
  <c r="A2896" i="34"/>
  <c r="A2895" i="34"/>
  <c r="A2894" i="34"/>
  <c r="A2893" i="34"/>
  <c r="A2892" i="34"/>
  <c r="A2891" i="34"/>
  <c r="A2890" i="34"/>
  <c r="A2889" i="34"/>
  <c r="A2888" i="34"/>
  <c r="A2887" i="34"/>
  <c r="A2886" i="34"/>
  <c r="A2885" i="34"/>
  <c r="A2884" i="34"/>
  <c r="A2883" i="34"/>
  <c r="A2882" i="34"/>
  <c r="A2881" i="34"/>
  <c r="A2880" i="34"/>
  <c r="A2879" i="34"/>
  <c r="A2878" i="34"/>
  <c r="A2877" i="34"/>
  <c r="A2876" i="34"/>
  <c r="A2875" i="34"/>
  <c r="A2874" i="34"/>
  <c r="A2873" i="34"/>
  <c r="A2872" i="34"/>
  <c r="A2871" i="34"/>
  <c r="A2870" i="34"/>
  <c r="A2869" i="34"/>
  <c r="A2868" i="34"/>
  <c r="A2867" i="34"/>
  <c r="A2866" i="34"/>
  <c r="A2865" i="34"/>
  <c r="A2864" i="34"/>
  <c r="A2863" i="34"/>
  <c r="A2862" i="34"/>
  <c r="A2861" i="34"/>
  <c r="A2860" i="34"/>
  <c r="A2859" i="34"/>
  <c r="A2858" i="34"/>
  <c r="A2857" i="34"/>
  <c r="A2856" i="34"/>
  <c r="A2855" i="34"/>
  <c r="A2854" i="34"/>
  <c r="A2853" i="34"/>
  <c r="A2852" i="34"/>
  <c r="A2851" i="34"/>
  <c r="A2850" i="34"/>
  <c r="A2849" i="34"/>
  <c r="A2848" i="34"/>
  <c r="A2847" i="34"/>
  <c r="A2846" i="34"/>
  <c r="A2845" i="34"/>
  <c r="A2844" i="34"/>
  <c r="A2843" i="34"/>
  <c r="A2842" i="34"/>
  <c r="A2841" i="34"/>
  <c r="A2840" i="34"/>
  <c r="A2839" i="34"/>
  <c r="A2838" i="34"/>
  <c r="A2837" i="34"/>
  <c r="A2836" i="34"/>
  <c r="A2835" i="34"/>
  <c r="A2834" i="34"/>
  <c r="A2833" i="34"/>
  <c r="A2832" i="34"/>
  <c r="A2831" i="34"/>
  <c r="A2830" i="34"/>
  <c r="A2829" i="34"/>
  <c r="A2828" i="34"/>
  <c r="A2827" i="34"/>
  <c r="A2826" i="34"/>
  <c r="A2825" i="34"/>
  <c r="A2824" i="34"/>
  <c r="A2823" i="34"/>
  <c r="A2822" i="34"/>
  <c r="A2821" i="34"/>
  <c r="A2820" i="34"/>
  <c r="A2819" i="34"/>
  <c r="A2818" i="34"/>
  <c r="A2817" i="34"/>
  <c r="A2816" i="34"/>
  <c r="A2815" i="34"/>
  <c r="A2814" i="3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0" i="14"/>
  <c r="A239" i="14"/>
  <c r="A238" i="14"/>
  <c r="A237" i="14"/>
  <c r="A236" i="14"/>
  <c r="A235" i="14"/>
  <c r="A234" i="14"/>
  <c r="A233" i="14"/>
  <c r="A232" i="14"/>
  <c r="A231" i="14"/>
  <c r="A541" i="15"/>
  <c r="A540" i="15"/>
  <c r="A539" i="15"/>
  <c r="A535" i="15"/>
  <c r="A534" i="15"/>
  <c r="A533" i="15"/>
  <c r="A531" i="15"/>
  <c r="A1044" i="13"/>
  <c r="A1043" i="13"/>
  <c r="A1042" i="13"/>
  <c r="A1041" i="13"/>
  <c r="A1040" i="13"/>
  <c r="A1039" i="13"/>
  <c r="A1038" i="13"/>
  <c r="A1037" i="13"/>
  <c r="A1035" i="13"/>
  <c r="A1034" i="13"/>
  <c r="A1033" i="13"/>
  <c r="A1032" i="13"/>
  <c r="A1031" i="13"/>
  <c r="A1030" i="13"/>
  <c r="A1029" i="13"/>
  <c r="A1028" i="13"/>
  <c r="A1027" i="13"/>
  <c r="A1005" i="13"/>
  <c r="A1004" i="13"/>
  <c r="A1003" i="13"/>
  <c r="A1002" i="13"/>
  <c r="A1001" i="13"/>
  <c r="A1000" i="13"/>
  <c r="A997" i="13"/>
  <c r="A996" i="13"/>
  <c r="A542" i="15"/>
  <c r="L6033" i="3"/>
  <c r="L6012" i="3"/>
  <c r="A5715" i="3"/>
  <c r="L5986" i="3"/>
  <c r="L5945" i="3"/>
  <c r="J13" i="36"/>
  <c r="J12" i="36"/>
  <c r="J11" i="36"/>
  <c r="J10" i="36"/>
  <c r="J9" i="36"/>
  <c r="J8" i="36"/>
  <c r="J7" i="36"/>
  <c r="K6" i="36"/>
  <c r="J2" i="36"/>
  <c r="K2" i="36" s="1"/>
  <c r="L5948" i="3"/>
  <c r="L5924" i="3"/>
  <c r="A2781" i="34"/>
  <c r="L5902" i="3"/>
  <c r="A5711" i="3"/>
  <c r="A5712" i="3"/>
  <c r="A5708" i="3"/>
  <c r="A5704" i="3"/>
  <c r="A5705" i="3"/>
  <c r="A5700" i="3"/>
  <c r="A5701" i="3"/>
  <c r="A5694" i="3"/>
  <c r="A5695" i="3"/>
  <c r="A5696" i="3"/>
  <c r="A5697" i="3"/>
  <c r="A5698" i="3"/>
  <c r="A5686" i="3"/>
  <c r="A5687" i="3"/>
  <c r="A5688" i="3"/>
  <c r="A5689" i="3"/>
  <c r="A5690" i="3"/>
  <c r="A5691" i="3"/>
  <c r="A5692" i="3"/>
  <c r="A5678" i="3"/>
  <c r="A5679" i="3"/>
  <c r="A5680" i="3"/>
  <c r="A5681" i="3"/>
  <c r="A5682" i="3"/>
  <c r="A5683" i="3"/>
  <c r="A5684" i="3"/>
  <c r="A5674" i="3"/>
  <c r="A5660" i="3"/>
  <c r="A5661" i="3"/>
  <c r="A5662" i="3"/>
  <c r="A5663" i="3"/>
  <c r="A5664" i="3"/>
  <c r="A5665" i="3"/>
  <c r="A5666" i="3"/>
  <c r="A5667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33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595" i="3"/>
  <c r="A5596" i="3"/>
  <c r="A5597" i="3"/>
  <c r="A5592" i="3"/>
  <c r="A5586" i="3"/>
  <c r="A5587" i="3"/>
  <c r="A5588" i="3"/>
  <c r="A5589" i="3"/>
  <c r="A5590" i="3"/>
  <c r="A5581" i="3"/>
  <c r="A5582" i="3"/>
  <c r="A5583" i="3"/>
  <c r="A5584" i="3"/>
  <c r="A5573" i="3"/>
  <c r="A5574" i="3"/>
  <c r="A5575" i="3"/>
  <c r="A5576" i="3"/>
  <c r="A5577" i="3"/>
  <c r="A5578" i="3"/>
  <c r="A5579" i="3"/>
  <c r="A5569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3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478" i="3"/>
  <c r="A5479" i="3"/>
  <c r="A5475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392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55" i="3"/>
  <c r="A535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29" i="3"/>
  <c r="A5330" i="3"/>
  <c r="A5331" i="3"/>
  <c r="A5325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287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45" i="3"/>
  <c r="A5246" i="3"/>
  <c r="A5247" i="3"/>
  <c r="A5248" i="3"/>
  <c r="A5242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68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50" i="3"/>
  <c r="A5146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L5885" i="3"/>
  <c r="A355" i="32"/>
  <c r="L5888" i="3"/>
  <c r="L5865" i="3"/>
  <c r="A2696" i="34"/>
  <c r="A2697" i="34"/>
  <c r="A2698" i="34"/>
  <c r="A2699" i="34"/>
  <c r="A2700" i="34"/>
  <c r="A2701" i="34"/>
  <c r="A2702" i="34"/>
  <c r="A2703" i="34"/>
  <c r="A2704" i="34"/>
  <c r="A2705" i="34"/>
  <c r="A2706" i="34"/>
  <c r="A2707" i="34"/>
  <c r="A2708" i="34"/>
  <c r="A2709" i="34"/>
  <c r="A2710" i="34"/>
  <c r="A2711" i="34"/>
  <c r="A2712" i="34"/>
  <c r="A2713" i="34"/>
  <c r="A2714" i="34"/>
  <c r="A2715" i="34"/>
  <c r="A2716" i="34"/>
  <c r="A2717" i="34"/>
  <c r="A2718" i="34"/>
  <c r="A2719" i="34"/>
  <c r="A2720" i="34"/>
  <c r="A2721" i="34"/>
  <c r="A2722" i="34"/>
  <c r="A2723" i="34"/>
  <c r="A2724" i="34"/>
  <c r="A2725" i="34"/>
  <c r="A2726" i="34"/>
  <c r="A2727" i="34"/>
  <c r="A2728" i="34"/>
  <c r="A2729" i="34"/>
  <c r="A2730" i="34"/>
  <c r="A2731" i="34"/>
  <c r="A2732" i="34"/>
  <c r="A2733" i="34"/>
  <c r="A2734" i="34"/>
  <c r="A2735" i="34"/>
  <c r="A2736" i="34"/>
  <c r="A2737" i="34"/>
  <c r="A2738" i="34"/>
  <c r="A2739" i="34"/>
  <c r="A2740" i="34"/>
  <c r="A2741" i="34"/>
  <c r="A2742" i="34"/>
  <c r="A2743" i="34"/>
  <c r="A2744" i="34"/>
  <c r="A2745" i="34"/>
  <c r="A2746" i="34"/>
  <c r="A2747" i="34"/>
  <c r="A2748" i="34"/>
  <c r="A2749" i="34"/>
  <c r="A2750" i="34"/>
  <c r="A2695" i="34"/>
  <c r="A704" i="31"/>
  <c r="A705" i="31"/>
  <c r="A706" i="31"/>
  <c r="A707" i="31"/>
  <c r="A708" i="31"/>
  <c r="A709" i="31"/>
  <c r="A710" i="31"/>
  <c r="A711" i="31"/>
  <c r="A712" i="31"/>
  <c r="A713" i="31"/>
  <c r="A714" i="31"/>
  <c r="A703" i="31"/>
  <c r="L5850" i="3"/>
  <c r="A7979" i="3"/>
  <c r="A7978" i="3"/>
  <c r="A7977" i="3"/>
  <c r="A7976" i="3"/>
  <c r="A7975" i="3"/>
  <c r="A7974" i="3"/>
  <c r="A7973" i="3"/>
  <c r="A7972" i="3"/>
  <c r="A7971" i="3"/>
  <c r="A7970" i="3"/>
  <c r="A7969" i="3"/>
  <c r="A7968" i="3"/>
  <c r="M7968" i="3"/>
  <c r="M7969" i="3" s="1"/>
  <c r="M7970" i="3" s="1"/>
  <c r="M7971" i="3" s="1"/>
  <c r="M7972" i="3" s="1"/>
  <c r="L5832" i="3"/>
  <c r="J1014" i="13"/>
  <c r="J1010" i="13"/>
  <c r="L5837" i="3"/>
  <c r="L5817" i="3"/>
  <c r="L5825" i="3"/>
  <c r="L5800" i="3"/>
  <c r="L5764" i="3"/>
  <c r="L5731" i="3"/>
  <c r="L5729" i="3"/>
  <c r="L5726" i="3"/>
  <c r="L5721" i="3"/>
  <c r="L5745" i="3"/>
  <c r="L5739" i="3"/>
  <c r="L5715" i="3"/>
  <c r="K11" i="36"/>
  <c r="K7" i="36"/>
  <c r="K8" i="36"/>
  <c r="K9" i="36"/>
  <c r="K10" i="36"/>
  <c r="A5693" i="3"/>
  <c r="A5699" i="3"/>
  <c r="A5702" i="3"/>
  <c r="A5703" i="3"/>
  <c r="A5706" i="3"/>
  <c r="A5707" i="3"/>
  <c r="A5709" i="3"/>
  <c r="A5710" i="3"/>
  <c r="A5713" i="3"/>
  <c r="A5714" i="3"/>
  <c r="A5716" i="3"/>
  <c r="A5717" i="3"/>
  <c r="A5752" i="3"/>
  <c r="A5759" i="3"/>
  <c r="A5765" i="3"/>
  <c r="A5766" i="3"/>
  <c r="A525" i="15"/>
  <c r="A576" i="32"/>
  <c r="A591" i="32"/>
  <c r="A592" i="32"/>
  <c r="A594" i="32"/>
  <c r="A2690" i="34"/>
  <c r="A2689" i="34"/>
  <c r="A2688" i="34"/>
  <c r="A2687" i="34"/>
  <c r="A2686" i="34"/>
  <c r="A2685" i="34"/>
  <c r="A2684" i="34"/>
  <c r="A2683" i="34"/>
  <c r="A2682" i="34"/>
  <c r="A2681" i="34"/>
  <c r="A2680" i="34"/>
  <c r="A2679" i="34"/>
  <c r="A2678" i="34"/>
  <c r="A2677" i="34"/>
  <c r="A2676" i="34"/>
  <c r="A2675" i="34"/>
  <c r="A2674" i="34"/>
  <c r="A2673" i="34"/>
  <c r="A2672" i="34"/>
  <c r="A2671" i="34"/>
  <c r="A2670" i="34"/>
  <c r="A2669" i="34"/>
  <c r="A2668" i="34"/>
  <c r="A2667" i="34"/>
  <c r="A2666" i="34"/>
  <c r="A2665" i="34"/>
  <c r="A2664" i="34"/>
  <c r="A2663" i="34"/>
  <c r="A2662" i="34"/>
  <c r="A2661" i="34"/>
  <c r="A2660" i="34"/>
  <c r="A2659" i="34"/>
  <c r="A2658" i="34"/>
  <c r="A2657" i="34"/>
  <c r="A2656" i="34"/>
  <c r="A2655" i="34"/>
  <c r="A2654" i="34"/>
  <c r="A2653" i="34"/>
  <c r="A2652" i="34"/>
  <c r="A2651" i="34"/>
  <c r="A2650" i="34"/>
  <c r="A2649" i="34"/>
  <c r="A2648" i="34"/>
  <c r="A2647" i="34"/>
  <c r="A2646" i="34"/>
  <c r="A2645" i="34"/>
  <c r="A2644" i="34"/>
  <c r="A2643" i="34"/>
  <c r="A2642" i="34"/>
  <c r="A2641" i="34"/>
  <c r="A2640" i="34"/>
  <c r="A2639" i="34"/>
  <c r="A2638" i="34"/>
  <c r="A2637" i="34"/>
  <c r="A2636" i="34"/>
  <c r="A2635" i="34"/>
  <c r="A2634" i="34"/>
  <c r="A2633" i="34"/>
  <c r="A2632" i="34"/>
  <c r="A2631" i="34"/>
  <c r="A2630" i="34"/>
  <c r="A2629" i="34"/>
  <c r="A2628" i="34"/>
  <c r="A2627" i="34"/>
  <c r="A2626" i="34"/>
  <c r="A2625" i="34"/>
  <c r="A2624" i="34"/>
  <c r="A2623" i="34"/>
  <c r="A2622" i="34"/>
  <c r="A2621" i="34"/>
  <c r="A2620" i="34"/>
  <c r="A2619" i="34"/>
  <c r="A2618" i="34"/>
  <c r="A2617" i="34"/>
  <c r="A2616" i="34"/>
  <c r="A2615" i="34"/>
  <c r="A2614" i="34"/>
  <c r="A2613" i="34"/>
  <c r="A2612" i="34"/>
  <c r="A2611" i="34"/>
  <c r="A2610" i="34"/>
  <c r="A2609" i="34"/>
  <c r="A2608" i="34"/>
  <c r="A2607" i="34"/>
  <c r="A2606" i="34"/>
  <c r="A2605" i="34"/>
  <c r="A2604" i="34"/>
  <c r="A2603" i="34"/>
  <c r="A2602" i="34"/>
  <c r="A2601" i="34"/>
  <c r="A2600" i="34"/>
  <c r="A2599" i="34"/>
  <c r="A2598" i="34"/>
  <c r="A2597" i="34"/>
  <c r="A2596" i="34"/>
  <c r="A2595" i="34"/>
  <c r="A2594" i="34"/>
  <c r="A2593" i="34"/>
  <c r="A2592" i="34"/>
  <c r="A2591" i="34"/>
  <c r="A2590" i="34"/>
  <c r="A2589" i="34"/>
  <c r="A2588" i="34"/>
  <c r="A2587" i="34"/>
  <c r="A2586" i="34"/>
  <c r="A2585" i="34"/>
  <c r="A2584" i="34"/>
  <c r="A2583" i="34"/>
  <c r="A2582" i="34"/>
  <c r="A2581" i="34"/>
  <c r="A2580" i="34"/>
  <c r="A2579" i="34"/>
  <c r="L5705" i="3"/>
  <c r="L5704" i="3"/>
  <c r="L5674" i="3"/>
  <c r="L5633" i="3"/>
  <c r="L5592" i="3"/>
  <c r="L5569" i="3"/>
  <c r="A554" i="32"/>
  <c r="A555" i="32"/>
  <c r="A556" i="32"/>
  <c r="A557" i="32"/>
  <c r="A558" i="32"/>
  <c r="A559" i="32"/>
  <c r="A560" i="32"/>
  <c r="A561" i="32"/>
  <c r="A562" i="32"/>
  <c r="A563" i="32"/>
  <c r="A564" i="32"/>
  <c r="A565" i="32"/>
  <c r="A566" i="32"/>
  <c r="A567" i="32"/>
  <c r="A568" i="32"/>
  <c r="A569" i="32"/>
  <c r="A570" i="32"/>
  <c r="A571" i="32"/>
  <c r="A572" i="32"/>
  <c r="A573" i="32"/>
  <c r="A574" i="32"/>
  <c r="A575" i="32"/>
  <c r="A523" i="15"/>
  <c r="A521" i="15"/>
  <c r="A517" i="15"/>
  <c r="A516" i="15"/>
  <c r="A515" i="15"/>
  <c r="A514" i="15"/>
  <c r="A513" i="15"/>
  <c r="A511" i="15"/>
  <c r="A510" i="15"/>
  <c r="A509" i="15"/>
  <c r="A508" i="15"/>
  <c r="A507" i="15"/>
  <c r="A506" i="15"/>
  <c r="A505" i="15"/>
  <c r="A504" i="15"/>
  <c r="A503" i="15"/>
  <c r="A502" i="15"/>
  <c r="A501" i="15"/>
  <c r="A500" i="15"/>
  <c r="A499" i="15"/>
  <c r="A498" i="15"/>
  <c r="A497" i="15"/>
  <c r="A496" i="15"/>
  <c r="A495" i="15"/>
  <c r="A494" i="15"/>
  <c r="A493" i="15"/>
  <c r="A492" i="15"/>
  <c r="A491" i="15"/>
  <c r="A490" i="15"/>
  <c r="A489" i="15"/>
  <c r="A488" i="15"/>
  <c r="A485" i="15"/>
  <c r="A484" i="15"/>
  <c r="A1739" i="13"/>
  <c r="A1738" i="13"/>
  <c r="A1737" i="13"/>
  <c r="A1736" i="13"/>
  <c r="A1735" i="13"/>
  <c r="A1734" i="13"/>
  <c r="A975" i="13"/>
  <c r="A974" i="13"/>
  <c r="A973" i="13"/>
  <c r="A972" i="13"/>
  <c r="A971" i="13"/>
  <c r="A970" i="13"/>
  <c r="A969" i="13"/>
  <c r="A968" i="13"/>
  <c r="A965" i="13"/>
  <c r="A964" i="13"/>
  <c r="A952" i="13"/>
  <c r="A951" i="13"/>
  <c r="A948" i="13"/>
  <c r="A947" i="13"/>
  <c r="A946" i="13"/>
  <c r="A934" i="13"/>
  <c r="A933" i="13"/>
  <c r="A932" i="13"/>
  <c r="A931" i="13"/>
  <c r="A930" i="13"/>
  <c r="A929" i="13"/>
  <c r="A928" i="13"/>
  <c r="A927" i="13"/>
  <c r="A925" i="13"/>
  <c r="A922" i="13"/>
  <c r="A921" i="13"/>
  <c r="A920" i="13"/>
  <c r="A918" i="13"/>
  <c r="A910" i="13"/>
  <c r="A909" i="13"/>
  <c r="A908" i="13"/>
  <c r="A901" i="1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45" i="3"/>
  <c r="A5147" i="3"/>
  <c r="A5148" i="3"/>
  <c r="A5149" i="3"/>
  <c r="A5151" i="3"/>
  <c r="A5167" i="3"/>
  <c r="A5169" i="3"/>
  <c r="A5170" i="3"/>
  <c r="A5188" i="3"/>
  <c r="A5241" i="3"/>
  <c r="A5243" i="3"/>
  <c r="A5244" i="3"/>
  <c r="A5249" i="3"/>
  <c r="A5286" i="3"/>
  <c r="A5288" i="3"/>
  <c r="A5289" i="3"/>
  <c r="A5324" i="3"/>
  <c r="A5326" i="3"/>
  <c r="A5327" i="3"/>
  <c r="A5328" i="3"/>
  <c r="A5332" i="3"/>
  <c r="A5351" i="3"/>
  <c r="A5353" i="3"/>
  <c r="A5354" i="3"/>
  <c r="A5356" i="3"/>
  <c r="A5391" i="3"/>
  <c r="A5393" i="3"/>
  <c r="A5394" i="3"/>
  <c r="A5395" i="3"/>
  <c r="A5396" i="3"/>
  <c r="A5444" i="3"/>
  <c r="A5474" i="3"/>
  <c r="A5476" i="3"/>
  <c r="A5477" i="3"/>
  <c r="A5480" i="3"/>
  <c r="A5529" i="3"/>
  <c r="A5531" i="3"/>
  <c r="A5532" i="3"/>
  <c r="L5475" i="3"/>
  <c r="L5530" i="3"/>
  <c r="L5457" i="3"/>
  <c r="L5438" i="3"/>
  <c r="L5392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33" i="3"/>
  <c r="A4334" i="3"/>
  <c r="A4323" i="3"/>
  <c r="A4324" i="3"/>
  <c r="A4325" i="3"/>
  <c r="A4326" i="3"/>
  <c r="A4327" i="3"/>
  <c r="A4328" i="3"/>
  <c r="A4329" i="3"/>
  <c r="A4321" i="3"/>
  <c r="A4316" i="3"/>
  <c r="A4317" i="3"/>
  <c r="A4318" i="3"/>
  <c r="A4319" i="3"/>
  <c r="A4312" i="3"/>
  <c r="A4313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294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75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51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19" i="3"/>
  <c r="A4220" i="3"/>
  <c r="A4221" i="3"/>
  <c r="A4222" i="3"/>
  <c r="A4223" i="3"/>
  <c r="A4224" i="3"/>
  <c r="A4225" i="3"/>
  <c r="A4226" i="3"/>
  <c r="A4227" i="3"/>
  <c r="A4228" i="3"/>
  <c r="A4217" i="3"/>
  <c r="A4214" i="3"/>
  <c r="A4205" i="3"/>
  <c r="A4206" i="3"/>
  <c r="A4207" i="3"/>
  <c r="A4208" i="3"/>
  <c r="A4209" i="3"/>
  <c r="A4210" i="3"/>
  <c r="A4211" i="3"/>
  <c r="A4212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182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65" i="3"/>
  <c r="A4163" i="3"/>
  <c r="A4152" i="3"/>
  <c r="A4153" i="3"/>
  <c r="A4154" i="3"/>
  <c r="A4155" i="3"/>
  <c r="A4156" i="3"/>
  <c r="A4157" i="3"/>
  <c r="A4158" i="3"/>
  <c r="A4159" i="3"/>
  <c r="A4160" i="3"/>
  <c r="A4161" i="3"/>
  <c r="A4149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29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093" i="3"/>
  <c r="A4083" i="3"/>
  <c r="A4084" i="3"/>
  <c r="A4085" i="3"/>
  <c r="A4086" i="3"/>
  <c r="A4087" i="3"/>
  <c r="A4088" i="3"/>
  <c r="A4089" i="3"/>
  <c r="A4090" i="3"/>
  <c r="A4091" i="3"/>
  <c r="A4074" i="3"/>
  <c r="A4075" i="3"/>
  <c r="A4076" i="3"/>
  <c r="A4077" i="3"/>
  <c r="A4078" i="3"/>
  <c r="A4079" i="3"/>
  <c r="A4080" i="3"/>
  <c r="A4081" i="3"/>
  <c r="A4071" i="3"/>
  <c r="A4062" i="3"/>
  <c r="A4063" i="3"/>
  <c r="A4064" i="3"/>
  <c r="A4065" i="3"/>
  <c r="A4066" i="3"/>
  <c r="A4067" i="3"/>
  <c r="A4068" i="3"/>
  <c r="A4069" i="3"/>
  <c r="A4059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36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10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3972" i="3"/>
  <c r="A3961" i="3"/>
  <c r="A3962" i="3"/>
  <c r="A3963" i="3"/>
  <c r="A3964" i="3"/>
  <c r="A3965" i="3"/>
  <c r="A3966" i="3"/>
  <c r="A3967" i="3"/>
  <c r="A3968" i="3"/>
  <c r="A3969" i="3"/>
  <c r="A3970" i="3"/>
  <c r="A3958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38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21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894" i="3"/>
  <c r="A3895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69" i="3"/>
  <c r="A3870" i="3"/>
  <c r="A3871" i="3"/>
  <c r="A3872" i="3"/>
  <c r="A3873" i="3"/>
  <c r="A3874" i="3"/>
  <c r="A3875" i="3"/>
  <c r="A3876" i="3"/>
  <c r="A3877" i="3"/>
  <c r="A3866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44" i="3"/>
  <c r="A3835" i="3"/>
  <c r="A3836" i="3"/>
  <c r="A3837" i="3"/>
  <c r="A3838" i="3"/>
  <c r="A3839" i="3"/>
  <c r="A3832" i="3"/>
  <c r="A3824" i="3"/>
  <c r="A3825" i="3"/>
  <c r="A3826" i="3"/>
  <c r="A3827" i="3"/>
  <c r="A3828" i="3"/>
  <c r="A3829" i="3"/>
  <c r="A3830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795" i="3"/>
  <c r="A3796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71" i="3"/>
  <c r="A3763" i="3"/>
  <c r="A3764" i="3"/>
  <c r="A3765" i="3"/>
  <c r="A3766" i="3"/>
  <c r="A3767" i="3"/>
  <c r="A3768" i="3"/>
  <c r="A3769" i="3"/>
  <c r="A3756" i="3"/>
  <c r="A3757" i="3"/>
  <c r="A3758" i="3"/>
  <c r="A3759" i="3"/>
  <c r="A3760" i="3"/>
  <c r="A3761" i="3"/>
  <c r="A3752" i="3"/>
  <c r="A3753" i="3"/>
  <c r="A3754" i="3"/>
  <c r="A3750" i="3"/>
  <c r="A3748" i="3"/>
  <c r="A3736" i="3"/>
  <c r="A3737" i="3"/>
  <c r="A3738" i="3"/>
  <c r="A3739" i="3"/>
  <c r="A3740" i="3"/>
  <c r="A3741" i="3"/>
  <c r="A3742" i="3"/>
  <c r="A3743" i="3"/>
  <c r="A3744" i="3"/>
  <c r="A3745" i="3"/>
  <c r="A3734" i="3"/>
  <c r="A3723" i="3"/>
  <c r="A3724" i="3"/>
  <c r="A3725" i="3"/>
  <c r="A3726" i="3"/>
  <c r="A3727" i="3"/>
  <c r="A3728" i="3"/>
  <c r="A3729" i="3"/>
  <c r="A3730" i="3"/>
  <c r="A3731" i="3"/>
  <c r="A3732" i="3"/>
  <c r="A3720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693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67" i="3"/>
  <c r="A3655" i="3"/>
  <c r="A3656" i="3"/>
  <c r="A3657" i="3"/>
  <c r="A3658" i="3"/>
  <c r="A3659" i="3"/>
  <c r="A3660" i="3"/>
  <c r="A3661" i="3"/>
  <c r="A3662" i="3"/>
  <c r="A3663" i="3"/>
  <c r="A3664" i="3"/>
  <c r="A3665" i="3"/>
  <c r="A3653" i="3"/>
  <c r="A3650" i="3"/>
  <c r="A3637" i="3"/>
  <c r="A3638" i="3"/>
  <c r="A3639" i="3"/>
  <c r="A3640" i="3"/>
  <c r="A3641" i="3"/>
  <c r="A3642" i="3"/>
  <c r="A3643" i="3"/>
  <c r="A3644" i="3"/>
  <c r="A3645" i="3"/>
  <c r="A3646" i="3"/>
  <c r="A3647" i="3"/>
  <c r="A3633" i="3"/>
  <c r="A3634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599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67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49" i="3"/>
  <c r="A3542" i="3"/>
  <c r="A3543" i="3"/>
  <c r="A3544" i="3"/>
  <c r="A3545" i="3"/>
  <c r="A3546" i="3"/>
  <c r="A3547" i="3"/>
  <c r="A3540" i="3"/>
  <c r="A3536" i="3"/>
  <c r="A3537" i="3"/>
  <c r="A3538" i="3"/>
  <c r="A3532" i="3"/>
  <c r="A3527" i="3"/>
  <c r="A3528" i="3"/>
  <c r="A3529" i="3"/>
  <c r="A3530" i="3"/>
  <c r="A3520" i="3"/>
  <c r="A3521" i="3"/>
  <c r="A3522" i="3"/>
  <c r="A3523" i="3"/>
  <c r="A3524" i="3"/>
  <c r="A3525" i="3"/>
  <c r="A3516" i="3"/>
  <c r="A3512" i="3"/>
  <c r="A3513" i="3"/>
  <c r="A3514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48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53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3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08" i="3"/>
  <c r="A3409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383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60" i="3"/>
  <c r="A3361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25" i="3"/>
  <c r="A3326" i="3"/>
  <c r="A3315" i="3"/>
  <c r="A3316" i="3"/>
  <c r="A3317" i="3"/>
  <c r="A3318" i="3"/>
  <c r="A3319" i="3"/>
  <c r="A3320" i="3"/>
  <c r="A3321" i="3"/>
  <c r="A3322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298" i="3"/>
  <c r="A3299" i="3"/>
  <c r="A3292" i="3"/>
  <c r="A3293" i="3"/>
  <c r="A3294" i="3"/>
  <c r="A3295" i="3"/>
  <c r="A3296" i="3"/>
  <c r="A3289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72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54" i="3"/>
  <c r="A3251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20" i="3"/>
  <c r="A3217" i="3"/>
  <c r="A3218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195" i="3"/>
  <c r="A3196" i="3"/>
  <c r="A3192" i="3"/>
  <c r="A3181" i="3"/>
  <c r="A3182" i="3"/>
  <c r="A3183" i="3"/>
  <c r="A3184" i="3"/>
  <c r="A3185" i="3"/>
  <c r="A3186" i="3"/>
  <c r="A3187" i="3"/>
  <c r="A3188" i="3"/>
  <c r="A3189" i="3"/>
  <c r="A3190" i="3"/>
  <c r="A3178" i="3"/>
  <c r="A3167" i="3"/>
  <c r="A3168" i="3"/>
  <c r="A3169" i="3"/>
  <c r="A3170" i="3"/>
  <c r="A3171" i="3"/>
  <c r="A3172" i="3"/>
  <c r="A3173" i="3"/>
  <c r="A3174" i="3"/>
  <c r="A3175" i="3"/>
  <c r="A3176" i="3"/>
  <c r="A316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42" i="3"/>
  <c r="A3140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14" i="3"/>
  <c r="A3115" i="3"/>
  <c r="A3116" i="3"/>
  <c r="A3117" i="3"/>
  <c r="A3118" i="3"/>
  <c r="A3119" i="3"/>
  <c r="A3120" i="3"/>
  <c r="A3110" i="3"/>
  <c r="A3099" i="3"/>
  <c r="A3100" i="3"/>
  <c r="A3101" i="3"/>
  <c r="A3102" i="3"/>
  <c r="A3103" i="3"/>
  <c r="A3104" i="3"/>
  <c r="A3105" i="3"/>
  <c r="A3106" i="3"/>
  <c r="A3107" i="3"/>
  <c r="A3091" i="3"/>
  <c r="A3092" i="3"/>
  <c r="A3093" i="3"/>
  <c r="A3094" i="3"/>
  <c r="A3095" i="3"/>
  <c r="A3096" i="3"/>
  <c r="A3097" i="3"/>
  <c r="A3087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63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40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20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2984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68" i="3"/>
  <c r="A2965" i="3"/>
  <c r="A2957" i="3"/>
  <c r="A2958" i="3"/>
  <c r="A2959" i="3"/>
  <c r="A2960" i="3"/>
  <c r="A2961" i="3"/>
  <c r="A2962" i="3"/>
  <c r="A2963" i="3"/>
  <c r="A2948" i="3"/>
  <c r="A2949" i="3"/>
  <c r="A2950" i="3"/>
  <c r="A2951" i="3"/>
  <c r="A2952" i="3"/>
  <c r="A2953" i="3"/>
  <c r="A2954" i="3"/>
  <c r="A2955" i="3"/>
  <c r="A2944" i="3"/>
  <c r="A294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23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03" i="3"/>
  <c r="A2904" i="3"/>
  <c r="A2905" i="3"/>
  <c r="A2906" i="3"/>
  <c r="A2901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876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45" i="3"/>
  <c r="A2846" i="3"/>
  <c r="A2847" i="3"/>
  <c r="A2848" i="3"/>
  <c r="A2849" i="3"/>
  <c r="A2850" i="3"/>
  <c r="A2851" i="3"/>
  <c r="A2852" i="3"/>
  <c r="A2842" i="3"/>
  <c r="A2843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26" i="3"/>
  <c r="A2827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05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786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65" i="3"/>
  <c r="A2761" i="3"/>
  <c r="A2762" i="3"/>
  <c r="A2763" i="3"/>
  <c r="A2754" i="3"/>
  <c r="A2755" i="3"/>
  <c r="A2756" i="3"/>
  <c r="A2757" i="3"/>
  <c r="A2758" i="3"/>
  <c r="A2759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35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19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01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683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50" i="3"/>
  <c r="A2638" i="3"/>
  <c r="A2639" i="3"/>
  <c r="A2640" i="3"/>
  <c r="A2641" i="3"/>
  <c r="A2642" i="3"/>
  <c r="A2643" i="3"/>
  <c r="A2644" i="3"/>
  <c r="A2645" i="3"/>
  <c r="A2646" i="3"/>
  <c r="A2647" i="3"/>
  <c r="A2648" i="3"/>
  <c r="A2635" i="3"/>
  <c r="A2636" i="3"/>
  <c r="A2632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14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58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67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43" i="3"/>
  <c r="A2533" i="3"/>
  <c r="A2534" i="3"/>
  <c r="A2535" i="3"/>
  <c r="A2536" i="3"/>
  <c r="A2537" i="3"/>
  <c r="A2538" i="3"/>
  <c r="A2539" i="3"/>
  <c r="A2540" i="3"/>
  <c r="A2541" i="3"/>
  <c r="A2527" i="3"/>
  <c r="A2528" i="3"/>
  <c r="A2529" i="3"/>
  <c r="A2530" i="3"/>
  <c r="A2531" i="3"/>
  <c r="A2525" i="3"/>
  <c r="A2522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497" i="3"/>
  <c r="A2498" i="3"/>
  <c r="A2486" i="3"/>
  <c r="A2487" i="3"/>
  <c r="A2488" i="3"/>
  <c r="A2489" i="3"/>
  <c r="A2490" i="3"/>
  <c r="A2491" i="3"/>
  <c r="A2492" i="3"/>
  <c r="A2493" i="3"/>
  <c r="A2494" i="3"/>
  <c r="A2495" i="3"/>
  <c r="A2482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63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36" i="3"/>
  <c r="A2437" i="3"/>
  <c r="A2438" i="3"/>
  <c r="A2439" i="3"/>
  <c r="A2424" i="3"/>
  <c r="A2425" i="3"/>
  <c r="A2426" i="3"/>
  <c r="A2427" i="3"/>
  <c r="A2428" i="3"/>
  <c r="A2429" i="3"/>
  <c r="A2430" i="3"/>
  <c r="A2431" i="3"/>
  <c r="A2432" i="3"/>
  <c r="A2433" i="3"/>
  <c r="A2434" i="3"/>
  <c r="A2421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392" i="3"/>
  <c r="A2380" i="3"/>
  <c r="A2381" i="3"/>
  <c r="A2382" i="3"/>
  <c r="A2383" i="3"/>
  <c r="A2384" i="3"/>
  <c r="A2385" i="3"/>
  <c r="A2386" i="3"/>
  <c r="A2387" i="3"/>
  <c r="A2388" i="3"/>
  <c r="A2389" i="3"/>
  <c r="A2378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59" i="3"/>
  <c r="A2360" i="3"/>
  <c r="A2348" i="3"/>
  <c r="A2349" i="3"/>
  <c r="A2350" i="3"/>
  <c r="A2351" i="3"/>
  <c r="A2352" i="3"/>
  <c r="A2353" i="3"/>
  <c r="A2354" i="3"/>
  <c r="A2355" i="3"/>
  <c r="A2356" i="3"/>
  <c r="A2357" i="3"/>
  <c r="A2346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11" i="3"/>
  <c r="A2312" i="3"/>
  <c r="A2300" i="3"/>
  <c r="A2301" i="3"/>
  <c r="A2302" i="3"/>
  <c r="A2303" i="3"/>
  <c r="A2304" i="3"/>
  <c r="A2305" i="3"/>
  <c r="A2306" i="3"/>
  <c r="A2307" i="3"/>
  <c r="A2308" i="3"/>
  <c r="A2309" i="3"/>
  <c r="A2294" i="3"/>
  <c r="A2295" i="3"/>
  <c r="A2296" i="3"/>
  <c r="A2297" i="3"/>
  <c r="A2298" i="3"/>
  <c r="A2291" i="3"/>
  <c r="A2279" i="3"/>
  <c r="A2280" i="3"/>
  <c r="A2281" i="3"/>
  <c r="A2282" i="3"/>
  <c r="A2283" i="3"/>
  <c r="A2284" i="3"/>
  <c r="A2285" i="3"/>
  <c r="A2286" i="3"/>
  <c r="A2287" i="3"/>
  <c r="A2288" i="3"/>
  <c r="A2289" i="3"/>
  <c r="A2276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51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31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04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170" i="3"/>
  <c r="A2168" i="3"/>
  <c r="A2165" i="3"/>
  <c r="A2153" i="3"/>
  <c r="A2154" i="3"/>
  <c r="A2155" i="3"/>
  <c r="A2156" i="3"/>
  <c r="A2157" i="3"/>
  <c r="A2158" i="3"/>
  <c r="A2159" i="3"/>
  <c r="A2160" i="3"/>
  <c r="A2161" i="3"/>
  <c r="A2162" i="3"/>
  <c r="A2163" i="3"/>
  <c r="A2150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23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01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070" i="3"/>
  <c r="A2071" i="3"/>
  <c r="A2067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40" i="3"/>
  <c r="A2041" i="3"/>
  <c r="A2037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20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1991" i="3"/>
  <c r="A1982" i="3"/>
  <c r="A1983" i="3"/>
  <c r="A1984" i="3"/>
  <c r="A1985" i="3"/>
  <c r="A1986" i="3"/>
  <c r="A1987" i="3"/>
  <c r="A1988" i="3"/>
  <c r="A1989" i="3"/>
  <c r="A1977" i="3"/>
  <c r="A1978" i="3"/>
  <c r="A1979" i="3"/>
  <c r="A1980" i="3"/>
  <c r="A1974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43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24" i="3"/>
  <c r="A1925" i="3"/>
  <c r="A1921" i="3"/>
  <c r="A1922" i="3"/>
  <c r="A1916" i="3"/>
  <c r="A1917" i="3"/>
  <c r="A1912" i="3"/>
  <c r="A1900" i="3"/>
  <c r="A1901" i="3"/>
  <c r="A1902" i="3"/>
  <c r="A1903" i="3"/>
  <c r="A1904" i="3"/>
  <c r="A1905" i="3"/>
  <c r="A1906" i="3"/>
  <c r="A1907" i="3"/>
  <c r="A1908" i="3"/>
  <c r="A1909" i="3"/>
  <c r="A1910" i="3"/>
  <c r="A1898" i="3"/>
  <c r="A1894" i="3"/>
  <c r="A1895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77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60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40" i="3"/>
  <c r="A1841" i="3"/>
  <c r="A1842" i="3"/>
  <c r="A1837" i="3"/>
  <c r="A1838" i="3"/>
  <c r="A1833" i="3"/>
  <c r="A1834" i="3"/>
  <c r="A1821" i="3"/>
  <c r="A1822" i="3"/>
  <c r="A1823" i="3"/>
  <c r="A1824" i="3"/>
  <c r="A1825" i="3"/>
  <c r="A1826" i="3"/>
  <c r="A1827" i="3"/>
  <c r="A1828" i="3"/>
  <c r="A1829" i="3"/>
  <c r="A1815" i="3"/>
  <c r="A1816" i="3"/>
  <c r="A1817" i="3"/>
  <c r="A1818" i="3"/>
  <c r="A1819" i="3"/>
  <c r="A1809" i="3"/>
  <c r="A1810" i="3"/>
  <c r="A1811" i="3"/>
  <c r="A1812" i="3"/>
  <c r="A1813" i="3"/>
  <c r="A1806" i="3"/>
  <c r="A1799" i="3"/>
  <c r="A1800" i="3"/>
  <c r="A1801" i="3"/>
  <c r="A1802" i="3"/>
  <c r="A1803" i="3"/>
  <c r="A1804" i="3"/>
  <c r="A1794" i="3"/>
  <c r="A1795" i="3"/>
  <c r="A1796" i="3"/>
  <c r="A1791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70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46" i="3"/>
  <c r="A1747" i="3"/>
  <c r="A1748" i="3"/>
  <c r="A1749" i="3"/>
  <c r="A1750" i="3"/>
  <c r="A1751" i="3"/>
  <c r="A1752" i="3"/>
  <c r="A1753" i="3"/>
  <c r="A1754" i="3"/>
  <c r="A1743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08" i="3"/>
  <c r="A1709" i="3"/>
  <c r="A1710" i="3"/>
  <c r="A1711" i="3"/>
  <c r="A1712" i="3"/>
  <c r="A1713" i="3"/>
  <c r="A1714" i="3"/>
  <c r="A1715" i="3"/>
  <c r="A1716" i="3"/>
  <c r="A1705" i="3"/>
  <c r="A1695" i="3"/>
  <c r="A1696" i="3"/>
  <c r="A1697" i="3"/>
  <c r="A1698" i="3"/>
  <c r="A1699" i="3"/>
  <c r="A1700" i="3"/>
  <c r="A1701" i="3"/>
  <c r="A1702" i="3"/>
  <c r="A1692" i="3"/>
  <c r="A1693" i="3"/>
  <c r="A1690" i="3"/>
  <c r="A1687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72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46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26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590" i="3"/>
  <c r="A1584" i="3"/>
  <c r="A1585" i="3"/>
  <c r="A1586" i="3"/>
  <c r="A1587" i="3"/>
  <c r="A1588" i="3"/>
  <c r="A1581" i="3"/>
  <c r="A1582" i="3"/>
  <c r="A1579" i="3"/>
  <c r="A1576" i="3"/>
  <c r="A1577" i="3"/>
  <c r="A1574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56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3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15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485" i="3"/>
  <c r="A1473" i="3"/>
  <c r="A1474" i="3"/>
  <c r="A1475" i="3"/>
  <c r="A1476" i="3"/>
  <c r="A1477" i="3"/>
  <c r="A1478" i="3"/>
  <c r="A1479" i="3"/>
  <c r="A1480" i="3"/>
  <c r="A1481" i="3"/>
  <c r="A1482" i="3"/>
  <c r="A1467" i="3"/>
  <c r="A1468" i="3"/>
  <c r="A1469" i="3"/>
  <c r="A1470" i="3"/>
  <c r="A1471" i="3"/>
  <c r="A1464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43" i="3"/>
  <c r="A1435" i="3"/>
  <c r="A1436" i="3"/>
  <c r="A1437" i="3"/>
  <c r="A1438" i="3"/>
  <c r="A1439" i="3"/>
  <c r="A1440" i="3"/>
  <c r="A1423" i="3"/>
  <c r="A1424" i="3"/>
  <c r="A1425" i="3"/>
  <c r="A1426" i="3"/>
  <c r="A1427" i="3"/>
  <c r="A1428" i="3"/>
  <c r="A1429" i="3"/>
  <c r="A1430" i="3"/>
  <c r="A1431" i="3"/>
  <c r="A1432" i="3"/>
  <c r="A1433" i="3"/>
  <c r="A142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39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66" i="3"/>
  <c r="A1367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37" i="3"/>
  <c r="A1338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10" i="3"/>
  <c r="A1311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291" i="3"/>
  <c r="A1280" i="3"/>
  <c r="A1281" i="3"/>
  <c r="A1282" i="3"/>
  <c r="A1283" i="3"/>
  <c r="A1284" i="3"/>
  <c r="A1285" i="3"/>
  <c r="A1286" i="3"/>
  <c r="A1287" i="3"/>
  <c r="A1288" i="3"/>
  <c r="A1271" i="3"/>
  <c r="A1272" i="3"/>
  <c r="A1273" i="3"/>
  <c r="A1274" i="3"/>
  <c r="A1275" i="3"/>
  <c r="A1276" i="3"/>
  <c r="A1277" i="3"/>
  <c r="A1268" i="3"/>
  <c r="A1254" i="3"/>
  <c r="A1255" i="3"/>
  <c r="A1256" i="3"/>
  <c r="A1257" i="3"/>
  <c r="A1258" i="3"/>
  <c r="A1259" i="3"/>
  <c r="A1260" i="3"/>
  <c r="A1261" i="3"/>
  <c r="A1262" i="3"/>
  <c r="A1263" i="3"/>
  <c r="A1264" i="3"/>
  <c r="A1250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33" i="3"/>
  <c r="A123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198" i="3"/>
  <c r="A1199" i="3"/>
  <c r="A1200" i="3"/>
  <c r="A1201" i="3"/>
  <c r="A1202" i="3"/>
  <c r="A1203" i="3"/>
  <c r="A1204" i="3"/>
  <c r="A1205" i="3"/>
  <c r="A1206" i="3"/>
  <c r="A1195" i="3"/>
  <c r="A1184" i="3"/>
  <c r="A1185" i="3"/>
  <c r="A1186" i="3"/>
  <c r="A1187" i="3"/>
  <c r="A1188" i="3"/>
  <c r="A1189" i="3"/>
  <c r="A1190" i="3"/>
  <c r="A1191" i="3"/>
  <c r="A1192" i="3"/>
  <c r="A1193" i="3"/>
  <c r="A1181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40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21" i="3"/>
  <c r="A1116" i="3"/>
  <c r="A1117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087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50" i="3"/>
  <c r="A1040" i="3"/>
  <c r="A1041" i="3"/>
  <c r="A1042" i="3"/>
  <c r="A1043" i="3"/>
  <c r="A1044" i="3"/>
  <c r="A1045" i="3"/>
  <c r="A1046" i="3"/>
  <c r="A1047" i="3"/>
  <c r="A1048" i="3"/>
  <c r="A1030" i="3"/>
  <c r="A1031" i="3"/>
  <c r="A1032" i="3"/>
  <c r="A1033" i="3"/>
  <c r="A1034" i="3"/>
  <c r="A1035" i="3"/>
  <c r="A1036" i="3"/>
  <c r="A1037" i="3"/>
  <c r="A1038" i="3"/>
  <c r="A1028" i="3"/>
  <c r="A1020" i="3"/>
  <c r="A1021" i="3"/>
  <c r="A1022" i="3"/>
  <c r="A1023" i="3"/>
  <c r="A1024" i="3"/>
  <c r="A1025" i="3"/>
  <c r="A1026" i="3"/>
  <c r="A1018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998" i="3"/>
  <c r="A989" i="3"/>
  <c r="A990" i="3"/>
  <c r="A991" i="3"/>
  <c r="A992" i="3"/>
  <c r="A993" i="3"/>
  <c r="A994" i="3"/>
  <c r="A995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68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47" i="3"/>
  <c r="A948" i="3"/>
  <c r="A945" i="3"/>
  <c r="A934" i="3"/>
  <c r="A935" i="3"/>
  <c r="A936" i="3"/>
  <c r="A937" i="3"/>
  <c r="A938" i="3"/>
  <c r="A939" i="3"/>
  <c r="A940" i="3"/>
  <c r="A941" i="3"/>
  <c r="A932" i="3"/>
  <c r="A927" i="3"/>
  <c r="A928" i="3"/>
  <c r="A929" i="3"/>
  <c r="A930" i="3"/>
  <c r="A923" i="3"/>
  <c r="A924" i="3"/>
  <c r="A911" i="3"/>
  <c r="A912" i="3"/>
  <c r="A913" i="3"/>
  <c r="A914" i="3"/>
  <c r="A915" i="3"/>
  <c r="A916" i="3"/>
  <c r="A917" i="3"/>
  <c r="A918" i="3"/>
  <c r="A919" i="3"/>
  <c r="A920" i="3"/>
  <c r="A921" i="3"/>
  <c r="A907" i="3"/>
  <c r="A908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889" i="3"/>
  <c r="A890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70" i="3"/>
  <c r="A871" i="3"/>
  <c r="A866" i="3"/>
  <c r="A867" i="3"/>
  <c r="A854" i="3"/>
  <c r="A855" i="3"/>
  <c r="A856" i="3"/>
  <c r="A857" i="3"/>
  <c r="A858" i="3"/>
  <c r="A859" i="3"/>
  <c r="A860" i="3"/>
  <c r="A861" i="3"/>
  <c r="A862" i="3"/>
  <c r="A863" i="3"/>
  <c r="A864" i="3"/>
  <c r="A845" i="3"/>
  <c r="A846" i="3"/>
  <c r="A847" i="3"/>
  <c r="A848" i="3"/>
  <c r="A849" i="3"/>
  <c r="A850" i="3"/>
  <c r="A851" i="3"/>
  <c r="A852" i="3"/>
  <c r="A841" i="3"/>
  <c r="A842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12" i="3"/>
  <c r="A813" i="3"/>
  <c r="A814" i="3"/>
  <c r="A815" i="3"/>
  <c r="A816" i="3"/>
  <c r="A817" i="3"/>
  <c r="A818" i="3"/>
  <c r="A819" i="3"/>
  <c r="A820" i="3"/>
  <c r="A809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787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69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53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30" i="3"/>
  <c r="A731" i="3"/>
  <c r="A732" i="3"/>
  <c r="A733" i="3"/>
  <c r="A734" i="3"/>
  <c r="A735" i="3"/>
  <c r="A736" i="3"/>
  <c r="A737" i="3"/>
  <c r="A738" i="3"/>
  <c r="A727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03" i="3"/>
  <c r="A704" i="3"/>
  <c r="A705" i="3"/>
  <c r="A706" i="3"/>
  <c r="A707" i="3"/>
  <c r="A708" i="3"/>
  <c r="A709" i="3"/>
  <c r="A710" i="3"/>
  <c r="A711" i="3"/>
  <c r="A700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84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6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28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10" i="3"/>
  <c r="A607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589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61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41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18" i="3"/>
  <c r="A507" i="3"/>
  <c r="A508" i="3"/>
  <c r="A509" i="3"/>
  <c r="A510" i="3"/>
  <c r="A511" i="3"/>
  <c r="A512" i="3"/>
  <c r="A513" i="3"/>
  <c r="A514" i="3"/>
  <c r="A515" i="3"/>
  <c r="A516" i="3"/>
  <c r="A498" i="3"/>
  <c r="A499" i="3"/>
  <c r="A500" i="3"/>
  <c r="A501" i="3"/>
  <c r="A502" i="3"/>
  <c r="A503" i="3"/>
  <c r="A504" i="3"/>
  <c r="A505" i="3"/>
  <c r="A496" i="3"/>
  <c r="A494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67" i="3"/>
  <c r="A468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51" i="3"/>
  <c r="A452" i="3"/>
  <c r="A442" i="3"/>
  <c r="A443" i="3"/>
  <c r="A444" i="3"/>
  <c r="A445" i="3"/>
  <c r="A446" i="3"/>
  <c r="A447" i="3"/>
  <c r="A448" i="3"/>
  <c r="A449" i="3"/>
  <c r="A439" i="3"/>
  <c r="A440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20" i="3"/>
  <c r="A421" i="3"/>
  <c r="A410" i="3"/>
  <c r="A411" i="3"/>
  <c r="A412" i="3"/>
  <c r="A413" i="3"/>
  <c r="A414" i="3"/>
  <c r="A415" i="3"/>
  <c r="A416" i="3"/>
  <c r="A417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393" i="3"/>
  <c r="A394" i="3"/>
  <c r="A383" i="3"/>
  <c r="A384" i="3"/>
  <c r="A385" i="3"/>
  <c r="A386" i="3"/>
  <c r="A387" i="3"/>
  <c r="A388" i="3"/>
  <c r="A389" i="3"/>
  <c r="A390" i="3"/>
  <c r="A391" i="3"/>
  <c r="A38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60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40" i="3"/>
  <c r="A337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10" i="3"/>
  <c r="A311" i="3"/>
  <c r="A312" i="3"/>
  <c r="A313" i="3"/>
  <c r="A314" i="3"/>
  <c r="A315" i="3"/>
  <c r="A316" i="3"/>
  <c r="A317" i="3"/>
  <c r="A318" i="3"/>
  <c r="A319" i="3"/>
  <c r="A320" i="3"/>
  <c r="A303" i="3"/>
  <c r="A304" i="3"/>
  <c r="A305" i="3"/>
  <c r="A306" i="3"/>
  <c r="A307" i="3"/>
  <c r="A308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46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20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01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72" i="3"/>
  <c r="A173" i="3"/>
  <c r="A163" i="3"/>
  <c r="A164" i="3"/>
  <c r="A165" i="3"/>
  <c r="A166" i="3"/>
  <c r="A167" i="3"/>
  <c r="A168" i="3"/>
  <c r="A169" i="3"/>
  <c r="A161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32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10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93" i="3"/>
  <c r="A94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76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10" i="3"/>
  <c r="A11" i="3"/>
  <c r="A12" i="3"/>
  <c r="A13" i="3"/>
  <c r="A14" i="3"/>
  <c r="A7" i="3"/>
  <c r="A2753" i="34"/>
  <c r="A2754" i="34"/>
  <c r="A2755" i="34"/>
  <c r="A2756" i="34"/>
  <c r="A2757" i="34"/>
  <c r="A2758" i="34"/>
  <c r="A2759" i="34"/>
  <c r="A2760" i="34"/>
  <c r="A2761" i="34"/>
  <c r="A2762" i="34"/>
  <c r="A2763" i="34"/>
  <c r="A2764" i="34"/>
  <c r="A2765" i="34"/>
  <c r="A2766" i="34"/>
  <c r="A2767" i="34"/>
  <c r="A2768" i="34"/>
  <c r="A2769" i="34"/>
  <c r="A2770" i="34"/>
  <c r="A2771" i="34"/>
  <c r="A2772" i="34"/>
  <c r="A2773" i="34"/>
  <c r="A2774" i="34"/>
  <c r="A2775" i="34"/>
  <c r="A2776" i="34"/>
  <c r="A2777" i="34"/>
  <c r="A2778" i="34"/>
  <c r="A2779" i="34"/>
  <c r="A2780" i="34"/>
  <c r="A2782" i="34"/>
  <c r="A2783" i="34"/>
  <c r="A2784" i="34"/>
  <c r="A2785" i="34"/>
  <c r="A2786" i="34"/>
  <c r="A2787" i="34"/>
  <c r="A2788" i="34"/>
  <c r="A2789" i="34"/>
  <c r="A2790" i="34"/>
  <c r="A2791" i="34"/>
  <c r="A2792" i="34"/>
  <c r="A2793" i="34"/>
  <c r="A2794" i="34"/>
  <c r="A2795" i="34"/>
  <c r="A2796" i="34"/>
  <c r="A2797" i="34"/>
  <c r="A2798" i="34"/>
  <c r="A2799" i="34"/>
  <c r="A2800" i="34"/>
  <c r="A2801" i="34"/>
  <c r="A2802" i="34"/>
  <c r="A2803" i="34"/>
  <c r="A2804" i="34"/>
  <c r="A2805" i="34"/>
  <c r="A2806" i="34"/>
  <c r="A2807" i="34"/>
  <c r="A2808" i="34"/>
  <c r="A2809" i="34"/>
  <c r="A2406" i="34"/>
  <c r="A2407" i="34"/>
  <c r="A2408" i="34"/>
  <c r="A2409" i="34"/>
  <c r="A2410" i="34"/>
  <c r="A2411" i="34"/>
  <c r="A2412" i="34"/>
  <c r="A2413" i="34"/>
  <c r="A2414" i="34"/>
  <c r="A2415" i="34"/>
  <c r="A2416" i="34"/>
  <c r="A2417" i="34"/>
  <c r="A2418" i="34"/>
  <c r="A2419" i="34"/>
  <c r="A2420" i="34"/>
  <c r="A2421" i="34"/>
  <c r="A2422" i="34"/>
  <c r="A2423" i="34"/>
  <c r="A2424" i="34"/>
  <c r="A2425" i="34"/>
  <c r="A2426" i="34"/>
  <c r="A2427" i="34"/>
  <c r="A2428" i="34"/>
  <c r="A2429" i="34"/>
  <c r="A2430" i="34"/>
  <c r="A2431" i="34"/>
  <c r="A2432" i="34"/>
  <c r="A2433" i="34"/>
  <c r="A2434" i="34"/>
  <c r="A2435" i="34"/>
  <c r="A2436" i="34"/>
  <c r="A2437" i="34"/>
  <c r="A2438" i="34"/>
  <c r="A2439" i="34"/>
  <c r="A2440" i="34"/>
  <c r="A2441" i="34"/>
  <c r="A2442" i="34"/>
  <c r="A2443" i="34"/>
  <c r="A2444" i="34"/>
  <c r="A2445" i="34"/>
  <c r="A2446" i="34"/>
  <c r="A2447" i="34"/>
  <c r="A2448" i="34"/>
  <c r="A2449" i="34"/>
  <c r="A2450" i="34"/>
  <c r="A2451" i="34"/>
  <c r="A2452" i="34"/>
  <c r="A2453" i="34"/>
  <c r="A2454" i="34"/>
  <c r="A2455" i="34"/>
  <c r="A2456" i="34"/>
  <c r="A2457" i="34"/>
  <c r="A2458" i="34"/>
  <c r="A2459" i="34"/>
  <c r="A2460" i="34"/>
  <c r="A2461" i="34"/>
  <c r="A2462" i="34"/>
  <c r="A2463" i="34"/>
  <c r="A2464" i="34"/>
  <c r="A2465" i="34"/>
  <c r="A2466" i="34"/>
  <c r="A2467" i="34"/>
  <c r="A2468" i="34"/>
  <c r="A2469" i="34"/>
  <c r="A2470" i="34"/>
  <c r="A2471" i="34"/>
  <c r="A2472" i="34"/>
  <c r="A2473" i="34"/>
  <c r="A2474" i="34"/>
  <c r="A2475" i="34"/>
  <c r="A2476" i="34"/>
  <c r="A2477" i="34"/>
  <c r="A2478" i="34"/>
  <c r="A2479" i="34"/>
  <c r="A2480" i="34"/>
  <c r="A2481" i="34"/>
  <c r="A2482" i="34"/>
  <c r="A2483" i="34"/>
  <c r="A2484" i="34"/>
  <c r="A2485" i="34"/>
  <c r="A2486" i="34"/>
  <c r="A2487" i="34"/>
  <c r="A2488" i="34"/>
  <c r="A2489" i="34"/>
  <c r="A2490" i="34"/>
  <c r="A2491" i="34"/>
  <c r="A2492" i="34"/>
  <c r="A2493" i="34"/>
  <c r="A2494" i="34"/>
  <c r="A2495" i="34"/>
  <c r="A2496" i="34"/>
  <c r="A2497" i="34"/>
  <c r="A2498" i="34"/>
  <c r="A2499" i="34"/>
  <c r="A2500" i="34"/>
  <c r="A2501" i="34"/>
  <c r="A2502" i="34"/>
  <c r="A2503" i="34"/>
  <c r="A2504" i="34"/>
  <c r="A2505" i="34"/>
  <c r="A2506" i="34"/>
  <c r="A2507" i="34"/>
  <c r="A2508" i="34"/>
  <c r="A2509" i="34"/>
  <c r="A2510" i="34"/>
  <c r="A2511" i="34"/>
  <c r="A2512" i="34"/>
  <c r="A2513" i="34"/>
  <c r="A2514" i="34"/>
  <c r="A2515" i="34"/>
  <c r="A2516" i="34"/>
  <c r="A2517" i="34"/>
  <c r="A2518" i="34"/>
  <c r="A2519" i="34"/>
  <c r="A2520" i="34"/>
  <c r="A2521" i="34"/>
  <c r="A2522" i="34"/>
  <c r="A2523" i="34"/>
  <c r="A2524" i="34"/>
  <c r="A2525" i="34"/>
  <c r="A2526" i="34"/>
  <c r="A2527" i="34"/>
  <c r="A2528" i="34"/>
  <c r="A2529" i="34"/>
  <c r="A2530" i="34"/>
  <c r="A2531" i="34"/>
  <c r="A2532" i="34"/>
  <c r="A2533" i="34"/>
  <c r="A2534" i="34"/>
  <c r="A2535" i="34"/>
  <c r="A2536" i="34"/>
  <c r="A2537" i="34"/>
  <c r="A2538" i="34"/>
  <c r="A2539" i="34"/>
  <c r="A2540" i="34"/>
  <c r="A2541" i="34"/>
  <c r="A2542" i="34"/>
  <c r="A2543" i="34"/>
  <c r="A2544" i="34"/>
  <c r="A2545" i="34"/>
  <c r="A2546" i="34"/>
  <c r="A2547" i="34"/>
  <c r="A2548" i="34"/>
  <c r="A2549" i="34"/>
  <c r="A2550" i="34"/>
  <c r="A2551" i="34"/>
  <c r="A2552" i="34"/>
  <c r="A2553" i="34"/>
  <c r="A2554" i="34"/>
  <c r="A2555" i="34"/>
  <c r="A2556" i="34"/>
  <c r="A2557" i="34"/>
  <c r="A2558" i="34"/>
  <c r="A2559" i="34"/>
  <c r="A2560" i="34"/>
  <c r="A2561" i="34"/>
  <c r="A2562" i="34"/>
  <c r="A2563" i="34"/>
  <c r="A2564" i="34"/>
  <c r="A2565" i="34"/>
  <c r="A2566" i="34"/>
  <c r="A2567" i="34"/>
  <c r="A2568" i="34"/>
  <c r="A2569" i="34"/>
  <c r="A2570" i="34"/>
  <c r="A2571" i="34"/>
  <c r="A2572" i="34"/>
  <c r="A2573" i="34"/>
  <c r="A2574" i="34"/>
  <c r="A2575" i="34"/>
  <c r="A2576" i="34"/>
  <c r="A2577" i="34"/>
  <c r="A2578" i="34"/>
  <c r="A2405" i="34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I524" i="15"/>
  <c r="L5394" i="3"/>
  <c r="L5352" i="3"/>
  <c r="L5325" i="3"/>
  <c r="A322" i="31"/>
  <c r="A627" i="31"/>
  <c r="A336" i="31"/>
  <c r="L5357" i="3"/>
  <c r="L5287" i="3"/>
  <c r="L5294" i="3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6" i="15"/>
  <c r="A487" i="15"/>
  <c r="A512" i="15"/>
  <c r="A518" i="15"/>
  <c r="A519" i="15"/>
  <c r="A520" i="15"/>
  <c r="A522" i="15"/>
  <c r="A524" i="15"/>
  <c r="A526" i="15"/>
  <c r="A527" i="15"/>
  <c r="A528" i="15"/>
  <c r="A529" i="15"/>
  <c r="A530" i="15"/>
  <c r="A532" i="15"/>
  <c r="A536" i="15"/>
  <c r="A537" i="15"/>
  <c r="A538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2" i="13"/>
  <c r="A903" i="13"/>
  <c r="A904" i="13"/>
  <c r="A905" i="13"/>
  <c r="A906" i="13"/>
  <c r="A907" i="13"/>
  <c r="A911" i="13"/>
  <c r="A912" i="13"/>
  <c r="A913" i="13"/>
  <c r="A914" i="13"/>
  <c r="A915" i="13"/>
  <c r="A916" i="13"/>
  <c r="A917" i="13"/>
  <c r="A919" i="13"/>
  <c r="A923" i="13"/>
  <c r="A924" i="13"/>
  <c r="A926" i="13"/>
  <c r="A935" i="13"/>
  <c r="A936" i="13"/>
  <c r="A937" i="13"/>
  <c r="A938" i="13"/>
  <c r="A939" i="13"/>
  <c r="A940" i="13"/>
  <c r="A941" i="13"/>
  <c r="A942" i="13"/>
  <c r="A943" i="13"/>
  <c r="A944" i="13"/>
  <c r="A945" i="13"/>
  <c r="A949" i="13"/>
  <c r="A950" i="13"/>
  <c r="A953" i="13"/>
  <c r="A954" i="13"/>
  <c r="A956" i="13"/>
  <c r="A957" i="13"/>
  <c r="A958" i="13"/>
  <c r="A959" i="13"/>
  <c r="A960" i="13"/>
  <c r="A961" i="13"/>
  <c r="A962" i="13"/>
  <c r="A963" i="13"/>
  <c r="A966" i="13"/>
  <c r="A967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8" i="13"/>
  <c r="A999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36" i="13"/>
  <c r="A1045" i="13"/>
  <c r="A1046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7792" i="3"/>
  <c r="A7791" i="3"/>
  <c r="A7790" i="3"/>
  <c r="A7789" i="3"/>
  <c r="A7788" i="3"/>
  <c r="A7787" i="3"/>
  <c r="A7786" i="3"/>
  <c r="A7785" i="3"/>
  <c r="A7784" i="3"/>
  <c r="A7783" i="3"/>
  <c r="A7782" i="3"/>
  <c r="A7781" i="3"/>
  <c r="A7780" i="3"/>
  <c r="A7779" i="3"/>
  <c r="A7778" i="3"/>
  <c r="A7777" i="3"/>
  <c r="A7776" i="3"/>
  <c r="A7775" i="3"/>
  <c r="A7774" i="3"/>
  <c r="A7773" i="3"/>
  <c r="A7772" i="3"/>
  <c r="A7771" i="3"/>
  <c r="A7770" i="3"/>
  <c r="A7769" i="3"/>
  <c r="A7768" i="3"/>
  <c r="A7767" i="3"/>
  <c r="A7766" i="3"/>
  <c r="A7765" i="3"/>
  <c r="A7764" i="3"/>
  <c r="A7763" i="3"/>
  <c r="A7762" i="3"/>
  <c r="A7761" i="3"/>
  <c r="A7760" i="3"/>
  <c r="A7759" i="3"/>
  <c r="A7758" i="3"/>
  <c r="A7757" i="3"/>
  <c r="A7756" i="3"/>
  <c r="A7755" i="3"/>
  <c r="A7754" i="3"/>
  <c r="A7753" i="3"/>
  <c r="A7752" i="3"/>
  <c r="A7751" i="3"/>
  <c r="A7750" i="3"/>
  <c r="A7749" i="3"/>
  <c r="A7748" i="3"/>
  <c r="A7747" i="3"/>
  <c r="A7746" i="3"/>
  <c r="A7745" i="3"/>
  <c r="A7744" i="3"/>
  <c r="A7743" i="3"/>
  <c r="A7742" i="3"/>
  <c r="A7741" i="3"/>
  <c r="A7740" i="3"/>
  <c r="A7739" i="3"/>
  <c r="A7738" i="3"/>
  <c r="A7737" i="3"/>
  <c r="A7736" i="3"/>
  <c r="A7735" i="3"/>
  <c r="A7734" i="3"/>
  <c r="A7733" i="3"/>
  <c r="A7732" i="3"/>
  <c r="A7731" i="3"/>
  <c r="A7730" i="3"/>
  <c r="A7729" i="3"/>
  <c r="A7728" i="3"/>
  <c r="A7727" i="3"/>
  <c r="A7726" i="3"/>
  <c r="A7725" i="3"/>
  <c r="A7724" i="3"/>
  <c r="A7723" i="3"/>
  <c r="A7722" i="3"/>
  <c r="A7721" i="3"/>
  <c r="A7720" i="3"/>
  <c r="A7719" i="3"/>
  <c r="A7718" i="3"/>
  <c r="A7717" i="3"/>
  <c r="A7716" i="3"/>
  <c r="A7715" i="3"/>
  <c r="A7714" i="3"/>
  <c r="A7713" i="3"/>
  <c r="A7712" i="3"/>
  <c r="A7711" i="3"/>
  <c r="A7710" i="3"/>
  <c r="A7709" i="3"/>
  <c r="A7708" i="3"/>
  <c r="A7707" i="3"/>
  <c r="A7706" i="3"/>
  <c r="A7705" i="3"/>
  <c r="A7704" i="3"/>
  <c r="A7703" i="3"/>
  <c r="A7702" i="3"/>
  <c r="A7701" i="3"/>
  <c r="A7700" i="3"/>
  <c r="A7699" i="3"/>
  <c r="A7698" i="3"/>
  <c r="A7697" i="3"/>
  <c r="A7696" i="3"/>
  <c r="A7695" i="3"/>
  <c r="A7694" i="3"/>
  <c r="A7693" i="3"/>
  <c r="A7692" i="3"/>
  <c r="A7691" i="3"/>
  <c r="A7690" i="3"/>
  <c r="A7689" i="3"/>
  <c r="A7688" i="3"/>
  <c r="A7687" i="3"/>
  <c r="A7686" i="3"/>
  <c r="A7685" i="3"/>
  <c r="A7684" i="3"/>
  <c r="A7683" i="3"/>
  <c r="A7682" i="3"/>
  <c r="A7681" i="3"/>
  <c r="A7680" i="3"/>
  <c r="A7679" i="3"/>
  <c r="A7678" i="3"/>
  <c r="A7677" i="3"/>
  <c r="A7676" i="3"/>
  <c r="A7675" i="3"/>
  <c r="A7674" i="3"/>
  <c r="A7673" i="3"/>
  <c r="A7672" i="3"/>
  <c r="A7671" i="3"/>
  <c r="A7670" i="3"/>
  <c r="A7669" i="3"/>
  <c r="A7668" i="3"/>
  <c r="A7667" i="3"/>
  <c r="A7666" i="3"/>
  <c r="A7665" i="3"/>
  <c r="A7664" i="3"/>
  <c r="A7663" i="3"/>
  <c r="A7662" i="3"/>
  <c r="A7661" i="3"/>
  <c r="A7660" i="3"/>
  <c r="A7659" i="3"/>
  <c r="A7658" i="3"/>
  <c r="A7657" i="3"/>
  <c r="A7656" i="3"/>
  <c r="A7655" i="3"/>
  <c r="A7654" i="3"/>
  <c r="A7653" i="3"/>
  <c r="A7652" i="3"/>
  <c r="A7651" i="3"/>
  <c r="A7650" i="3"/>
  <c r="A7649" i="3"/>
  <c r="A7648" i="3"/>
  <c r="A7647" i="3"/>
  <c r="A7646" i="3"/>
  <c r="A7645" i="3"/>
  <c r="A7644" i="3"/>
  <c r="A7643" i="3"/>
  <c r="A7642" i="3"/>
  <c r="A7641" i="3"/>
  <c r="A7640" i="3"/>
  <c r="A7639" i="3"/>
  <c r="A7638" i="3"/>
  <c r="A7637" i="3"/>
  <c r="A7636" i="3"/>
  <c r="A7635" i="3"/>
  <c r="A7634" i="3"/>
  <c r="A7633" i="3"/>
  <c r="A7632" i="3"/>
  <c r="A7631" i="3"/>
  <c r="A7630" i="3"/>
  <c r="A7629" i="3"/>
  <c r="A7628" i="3"/>
  <c r="A7627" i="3"/>
  <c r="A7626" i="3"/>
  <c r="A7625" i="3"/>
  <c r="A7624" i="3"/>
  <c r="A7623" i="3"/>
  <c r="A7622" i="3"/>
  <c r="A7621" i="3"/>
  <c r="A7620" i="3"/>
  <c r="A7619" i="3"/>
  <c r="A7618" i="3"/>
  <c r="A7617" i="3"/>
  <c r="A7616" i="3"/>
  <c r="A7615" i="3"/>
  <c r="A7614" i="3"/>
  <c r="A7613" i="3"/>
  <c r="A7612" i="3"/>
  <c r="A7611" i="3"/>
  <c r="A7610" i="3"/>
  <c r="A7609" i="3"/>
  <c r="A7608" i="3"/>
  <c r="A7607" i="3"/>
  <c r="A7606" i="3"/>
  <c r="A7605" i="3"/>
  <c r="A7604" i="3"/>
  <c r="A7603" i="3"/>
  <c r="A7602" i="3"/>
  <c r="A7601" i="3"/>
  <c r="A7600" i="3"/>
  <c r="A7599" i="3"/>
  <c r="A7598" i="3"/>
  <c r="A7597" i="3"/>
  <c r="A7596" i="3"/>
  <c r="A7595" i="3"/>
  <c r="A7594" i="3"/>
  <c r="A7593" i="3"/>
  <c r="A7592" i="3"/>
  <c r="A7591" i="3"/>
  <c r="A7590" i="3"/>
  <c r="A7589" i="3"/>
  <c r="A7588" i="3"/>
  <c r="A7587" i="3"/>
  <c r="A7586" i="3"/>
  <c r="A7585" i="3"/>
  <c r="A7584" i="3"/>
  <c r="A7583" i="3"/>
  <c r="A7582" i="3"/>
  <c r="A7581" i="3"/>
  <c r="A7580" i="3"/>
  <c r="A7579" i="3"/>
  <c r="A7578" i="3"/>
  <c r="A7577" i="3"/>
  <c r="A7576" i="3"/>
  <c r="A7575" i="3"/>
  <c r="A7574" i="3"/>
  <c r="A7573" i="3"/>
  <c r="A7572" i="3"/>
  <c r="A7571" i="3"/>
  <c r="A7570" i="3"/>
  <c r="A7569" i="3"/>
  <c r="A7568" i="3"/>
  <c r="A7567" i="3"/>
  <c r="A7566" i="3"/>
  <c r="A7565" i="3"/>
  <c r="A7564" i="3"/>
  <c r="A7563" i="3"/>
  <c r="A7562" i="3"/>
  <c r="A7561" i="3"/>
  <c r="A7560" i="3"/>
  <c r="A7559" i="3"/>
  <c r="A7558" i="3"/>
  <c r="A7557" i="3"/>
  <c r="A7556" i="3"/>
  <c r="A7555" i="3"/>
  <c r="A7554" i="3"/>
  <c r="A7553" i="3"/>
  <c r="A7552" i="3"/>
  <c r="A7551" i="3"/>
  <c r="A7550" i="3"/>
  <c r="A7549" i="3"/>
  <c r="A7548" i="3"/>
  <c r="A7547" i="3"/>
  <c r="A7546" i="3"/>
  <c r="A7545" i="3"/>
  <c r="A7544" i="3"/>
  <c r="A7543" i="3"/>
  <c r="A7542" i="3"/>
  <c r="A7541" i="3"/>
  <c r="A7540" i="3"/>
  <c r="A7539" i="3"/>
  <c r="A7538" i="3"/>
  <c r="A7537" i="3"/>
  <c r="A7536" i="3"/>
  <c r="A7535" i="3"/>
  <c r="A7534" i="3"/>
  <c r="A7533" i="3"/>
  <c r="A7532" i="3"/>
  <c r="A7531" i="3"/>
  <c r="A7530" i="3"/>
  <c r="A7529" i="3"/>
  <c r="A7528" i="3"/>
  <c r="A7527" i="3"/>
  <c r="A7526" i="3"/>
  <c r="A7525" i="3"/>
  <c r="A7524" i="3"/>
  <c r="A7523" i="3"/>
  <c r="A7522" i="3"/>
  <c r="A7521" i="3"/>
  <c r="A7520" i="3"/>
  <c r="A7519" i="3"/>
  <c r="A7518" i="3"/>
  <c r="A7517" i="3"/>
  <c r="A7516" i="3"/>
  <c r="A7515" i="3"/>
  <c r="A7514" i="3"/>
  <c r="A7513" i="3"/>
  <c r="A7512" i="3"/>
  <c r="A7511" i="3"/>
  <c r="A7510" i="3"/>
  <c r="A7509" i="3"/>
  <c r="A7508" i="3"/>
  <c r="A7507" i="3"/>
  <c r="A7506" i="3"/>
  <c r="A7505" i="3"/>
  <c r="A7504" i="3"/>
  <c r="A7503" i="3"/>
  <c r="A7502" i="3"/>
  <c r="A7501" i="3"/>
  <c r="A7500" i="3"/>
  <c r="A7499" i="3"/>
  <c r="A7498" i="3"/>
  <c r="A7497" i="3"/>
  <c r="A7496" i="3"/>
  <c r="A7495" i="3"/>
  <c r="A7494" i="3"/>
  <c r="A7493" i="3"/>
  <c r="A7492" i="3"/>
  <c r="A7491" i="3"/>
  <c r="A7490" i="3"/>
  <c r="A7489" i="3"/>
  <c r="A7488" i="3"/>
  <c r="A7487" i="3"/>
  <c r="A7486" i="3"/>
  <c r="A7485" i="3"/>
  <c r="A7484" i="3"/>
  <c r="A7483" i="3"/>
  <c r="A7482" i="3"/>
  <c r="A7481" i="3"/>
  <c r="A7480" i="3"/>
  <c r="A7479" i="3"/>
  <c r="A7478" i="3"/>
  <c r="A7477" i="3"/>
  <c r="A7476" i="3"/>
  <c r="A7475" i="3"/>
  <c r="A7474" i="3"/>
  <c r="A7473" i="3"/>
  <c r="A7472" i="3"/>
  <c r="A7471" i="3"/>
  <c r="A7470" i="3"/>
  <c r="A7469" i="3"/>
  <c r="A7468" i="3"/>
  <c r="A7467" i="3"/>
  <c r="A7466" i="3"/>
  <c r="A7465" i="3"/>
  <c r="A7464" i="3"/>
  <c r="A7463" i="3"/>
  <c r="A7462" i="3"/>
  <c r="A7461" i="3"/>
  <c r="A7460" i="3"/>
  <c r="A7459" i="3"/>
  <c r="A7458" i="3"/>
  <c r="A7457" i="3"/>
  <c r="A7456" i="3"/>
  <c r="A7455" i="3"/>
  <c r="A7454" i="3"/>
  <c r="A7453" i="3"/>
  <c r="A7452" i="3"/>
  <c r="A7451" i="3"/>
  <c r="A7450" i="3"/>
  <c r="A7449" i="3"/>
  <c r="A7448" i="3"/>
  <c r="A7447" i="3"/>
  <c r="A7446" i="3"/>
  <c r="A7445" i="3"/>
  <c r="A7444" i="3"/>
  <c r="A7443" i="3"/>
  <c r="A7442" i="3"/>
  <c r="A7441" i="3"/>
  <c r="A7440" i="3"/>
  <c r="A7439" i="3"/>
  <c r="A7438" i="3"/>
  <c r="A7437" i="3"/>
  <c r="A7436" i="3"/>
  <c r="A7435" i="3"/>
  <c r="A7434" i="3"/>
  <c r="A7433" i="3"/>
  <c r="A7432" i="3"/>
  <c r="A7431" i="3"/>
  <c r="A7430" i="3"/>
  <c r="A7429" i="3"/>
  <c r="A7428" i="3"/>
  <c r="A7427" i="3"/>
  <c r="A7426" i="3"/>
  <c r="A7425" i="3"/>
  <c r="A7424" i="3"/>
  <c r="A7423" i="3"/>
  <c r="A7422" i="3"/>
  <c r="A7421" i="3"/>
  <c r="A7420" i="3"/>
  <c r="A7419" i="3"/>
  <c r="A7418" i="3"/>
  <c r="A7417" i="3"/>
  <c r="A7416" i="3"/>
  <c r="A7415" i="3"/>
  <c r="A7414" i="3"/>
  <c r="A7413" i="3"/>
  <c r="A7412" i="3"/>
  <c r="A7411" i="3"/>
  <c r="A7410" i="3"/>
  <c r="A7409" i="3"/>
  <c r="A7408" i="3"/>
  <c r="A7407" i="3"/>
  <c r="A7406" i="3"/>
  <c r="A7405" i="3"/>
  <c r="A7404" i="3"/>
  <c r="A7403" i="3"/>
  <c r="A7402" i="3"/>
  <c r="A7401" i="3"/>
  <c r="A7400" i="3"/>
  <c r="A7399" i="3"/>
  <c r="A7398" i="3"/>
  <c r="A7397" i="3"/>
  <c r="A7396" i="3"/>
  <c r="A7395" i="3"/>
  <c r="A7394" i="3"/>
  <c r="A7393" i="3"/>
  <c r="A7392" i="3"/>
  <c r="A7391" i="3"/>
  <c r="A7390" i="3"/>
  <c r="A7389" i="3"/>
  <c r="A7388" i="3"/>
  <c r="A7387" i="3"/>
  <c r="A7386" i="3"/>
  <c r="A7385" i="3"/>
  <c r="A7384" i="3"/>
  <c r="A7383" i="3"/>
  <c r="A7382" i="3"/>
  <c r="A7381" i="3"/>
  <c r="A7380" i="3"/>
  <c r="A7379" i="3"/>
  <c r="A7378" i="3"/>
  <c r="A7377" i="3"/>
  <c r="A7376" i="3"/>
  <c r="A7375" i="3"/>
  <c r="A7374" i="3"/>
  <c r="A7373" i="3"/>
  <c r="A7372" i="3"/>
  <c r="A7371" i="3"/>
  <c r="A7370" i="3"/>
  <c r="A7369" i="3"/>
  <c r="A7368" i="3"/>
  <c r="A7367" i="3"/>
  <c r="A7366" i="3"/>
  <c r="A7365" i="3"/>
  <c r="A7364" i="3"/>
  <c r="A7363" i="3"/>
  <c r="A7362" i="3"/>
  <c r="A7361" i="3"/>
  <c r="A7360" i="3"/>
  <c r="A7359" i="3"/>
  <c r="A7358" i="3"/>
  <c r="A7357" i="3"/>
  <c r="A7356" i="3"/>
  <c r="A7355" i="3"/>
  <c r="A7354" i="3"/>
  <c r="A7353" i="3"/>
  <c r="A7352" i="3"/>
  <c r="A7351" i="3"/>
  <c r="A7350" i="3"/>
  <c r="A7349" i="3"/>
  <c r="A7348" i="3"/>
  <c r="A7347" i="3"/>
  <c r="A7346" i="3"/>
  <c r="A7345" i="3"/>
  <c r="A7344" i="3"/>
  <c r="A7343" i="3"/>
  <c r="A7342" i="3"/>
  <c r="A7341" i="3"/>
  <c r="A7340" i="3"/>
  <c r="A7339" i="3"/>
  <c r="A7338" i="3"/>
  <c r="A7337" i="3"/>
  <c r="A7336" i="3"/>
  <c r="A7335" i="3"/>
  <c r="A7334" i="3"/>
  <c r="A7333" i="3"/>
  <c r="A7332" i="3"/>
  <c r="A7331" i="3"/>
  <c r="A7330" i="3"/>
  <c r="A7329" i="3"/>
  <c r="A7328" i="3"/>
  <c r="A7327" i="3"/>
  <c r="A7326" i="3"/>
  <c r="A7325" i="3"/>
  <c r="A7324" i="3"/>
  <c r="A7323" i="3"/>
  <c r="A7322" i="3"/>
  <c r="A7321" i="3"/>
  <c r="A7320" i="3"/>
  <c r="A7319" i="3"/>
  <c r="A7318" i="3"/>
  <c r="L5242" i="3"/>
  <c r="L5168" i="3"/>
  <c r="L5249" i="3"/>
  <c r="L5146" i="3"/>
  <c r="L5238" i="3"/>
  <c r="J519" i="15"/>
  <c r="L5005" i="3"/>
  <c r="L4959" i="3"/>
  <c r="L4938" i="3"/>
  <c r="L4839" i="3"/>
  <c r="L4815" i="3"/>
  <c r="L4802" i="3"/>
  <c r="L4786" i="3"/>
  <c r="L4765" i="3"/>
  <c r="L4720" i="3"/>
  <c r="L4690" i="3"/>
  <c r="L4650" i="3"/>
  <c r="L4604" i="3"/>
  <c r="L4575" i="3"/>
  <c r="L4560" i="3"/>
  <c r="L4536" i="3"/>
  <c r="L4513" i="3"/>
  <c r="L4514" i="3"/>
  <c r="L4445" i="3"/>
  <c r="L4421" i="3"/>
  <c r="L4400" i="3"/>
  <c r="L4377" i="3"/>
  <c r="L4333" i="3"/>
  <c r="L5112" i="3"/>
  <c r="L4093" i="3"/>
  <c r="L4071" i="3"/>
  <c r="L4059" i="3"/>
  <c r="L4036" i="3"/>
  <c r="L3972" i="3"/>
  <c r="L3958" i="3"/>
  <c r="L3938" i="3"/>
  <c r="L3894" i="3"/>
  <c r="L3844" i="3"/>
  <c r="L3832" i="3"/>
  <c r="L3820" i="3"/>
  <c r="L3821" i="3"/>
  <c r="L3981" i="3"/>
  <c r="C2465" i="34"/>
  <c r="C2466" i="34" s="1"/>
  <c r="C2467" i="34" s="1"/>
  <c r="C2468" i="34" s="1"/>
  <c r="C2469" i="34" s="1"/>
  <c r="C2470" i="34" s="1"/>
  <c r="C2471" i="34" s="1"/>
  <c r="C2472" i="34" s="1"/>
  <c r="C2473" i="34" s="1"/>
  <c r="C2474" i="34" s="1"/>
  <c r="C2475" i="34" s="1"/>
  <c r="C2476" i="34" s="1"/>
  <c r="C2477" i="34" s="1"/>
  <c r="C2478" i="34" s="1"/>
  <c r="C2479" i="34" s="1"/>
  <c r="C2480" i="34" s="1"/>
  <c r="C2481" i="34" s="1"/>
  <c r="C2482" i="34" s="1"/>
  <c r="C2483" i="34" s="1"/>
  <c r="C2484" i="34" s="1"/>
  <c r="C2485" i="34" s="1"/>
  <c r="C2486" i="34" s="1"/>
  <c r="C2487" i="34" s="1"/>
  <c r="C2488" i="34" s="1"/>
  <c r="C2489" i="34" s="1"/>
  <c r="C2490" i="34" s="1"/>
  <c r="C2491" i="34" s="1"/>
  <c r="C2492" i="34" s="1"/>
  <c r="C2493" i="34" s="1"/>
  <c r="C2494" i="34" s="1"/>
  <c r="C2495" i="34" s="1"/>
  <c r="C2496" i="34" s="1"/>
  <c r="C2497" i="34" s="1"/>
  <c r="C2498" i="34" s="1"/>
  <c r="C2499" i="34" s="1"/>
  <c r="C2500" i="34" s="1"/>
  <c r="C2501" i="34" s="1"/>
  <c r="C2502" i="34" s="1"/>
  <c r="C2503" i="34" s="1"/>
  <c r="C2504" i="34" s="1"/>
  <c r="C2505" i="34" s="1"/>
  <c r="C2506" i="34" s="1"/>
  <c r="C2507" i="34" s="1"/>
  <c r="C2508" i="34" s="1"/>
  <c r="C2509" i="34" s="1"/>
  <c r="C2510" i="34" s="1"/>
  <c r="C2511" i="34" s="1"/>
  <c r="C2512" i="34" s="1"/>
  <c r="C2513" i="34" s="1"/>
  <c r="C2514" i="34" s="1"/>
  <c r="C2515" i="34" s="1"/>
  <c r="C2516" i="34" s="1"/>
  <c r="C2517" i="34" s="1"/>
  <c r="C2518" i="34" s="1"/>
  <c r="L5097" i="3"/>
  <c r="L5055" i="3"/>
  <c r="M7318" i="3"/>
  <c r="M7319" i="3"/>
  <c r="M7320" i="3"/>
  <c r="M7321" i="3"/>
  <c r="M7322" i="3"/>
  <c r="M3" i="3"/>
  <c r="L5088" i="3"/>
  <c r="L5100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C554" i="32"/>
  <c r="C555" i="32" s="1"/>
  <c r="C556" i="32" s="1"/>
  <c r="C557" i="32" s="1"/>
  <c r="C558" i="32" s="1"/>
  <c r="C559" i="32" s="1"/>
  <c r="C560" i="32" s="1"/>
  <c r="C561" i="32" s="1"/>
  <c r="C562" i="32" s="1"/>
  <c r="C563" i="32" s="1"/>
  <c r="C564" i="32" s="1"/>
  <c r="C565" i="32" s="1"/>
  <c r="C566" i="32" s="1"/>
  <c r="C567" i="32" s="1"/>
  <c r="C568" i="32" s="1"/>
  <c r="C569" i="32" s="1"/>
  <c r="C570" i="32" s="1"/>
  <c r="C571" i="32" s="1"/>
  <c r="C572" i="32" s="1"/>
  <c r="C573" i="32" s="1"/>
  <c r="C574" i="32" s="1"/>
  <c r="C575" i="32" s="1"/>
  <c r="J493" i="15"/>
  <c r="DB340" i="11"/>
  <c r="DC340" i="11"/>
  <c r="Q288" i="6"/>
  <c r="M7037" i="3"/>
  <c r="M7038" i="3" s="1"/>
  <c r="M7039" i="3" s="1"/>
  <c r="M7040" i="3" s="1"/>
  <c r="L4960" i="3"/>
  <c r="C4959" i="3"/>
  <c r="C4960" i="3"/>
  <c r="C4961" i="3"/>
  <c r="L4933" i="3"/>
  <c r="A639" i="13"/>
  <c r="A640" i="13"/>
  <c r="A641" i="13"/>
  <c r="A642" i="13"/>
  <c r="A635" i="13"/>
  <c r="A636" i="13"/>
  <c r="A637" i="13"/>
  <c r="A627" i="13"/>
  <c r="A617" i="13"/>
  <c r="A618" i="13"/>
  <c r="A619" i="13"/>
  <c r="A620" i="13"/>
  <c r="A621" i="13"/>
  <c r="A622" i="13"/>
  <c r="A623" i="13"/>
  <c r="A624" i="13"/>
  <c r="A608" i="13"/>
  <c r="A609" i="13"/>
  <c r="A610" i="13"/>
  <c r="A611" i="13"/>
  <c r="A612" i="13"/>
  <c r="A613" i="13"/>
  <c r="A614" i="13"/>
  <c r="A615" i="13"/>
  <c r="A606" i="13"/>
  <c r="A598" i="13"/>
  <c r="A592" i="13"/>
  <c r="A593" i="13"/>
  <c r="A594" i="13"/>
  <c r="A595" i="13"/>
  <c r="A588" i="13"/>
  <c r="A589" i="13"/>
  <c r="A573" i="13"/>
  <c r="A574" i="13"/>
  <c r="A575" i="13"/>
  <c r="A576" i="13"/>
  <c r="A577" i="13"/>
  <c r="A578" i="13"/>
  <c r="A579" i="13"/>
  <c r="A564" i="13"/>
  <c r="A565" i="13"/>
  <c r="A566" i="13"/>
  <c r="A567" i="13"/>
  <c r="A568" i="13"/>
  <c r="A569" i="13"/>
  <c r="A570" i="13"/>
  <c r="A559" i="13"/>
  <c r="A560" i="13"/>
  <c r="A561" i="13"/>
  <c r="A562" i="13"/>
  <c r="A556" i="13"/>
  <c r="A557" i="13"/>
  <c r="A543" i="13"/>
  <c r="A544" i="13"/>
  <c r="A545" i="13"/>
  <c r="A546" i="13"/>
  <c r="A547" i="13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1411" i="34"/>
  <c r="A1412" i="34"/>
  <c r="A1413" i="34"/>
  <c r="A1414" i="34"/>
  <c r="A1415" i="34"/>
  <c r="A1416" i="34"/>
  <c r="A1417" i="34"/>
  <c r="A1418" i="34"/>
  <c r="A1419" i="34"/>
  <c r="A1420" i="34"/>
  <c r="A1421" i="34"/>
  <c r="A1422" i="34"/>
  <c r="A1423" i="34"/>
  <c r="A1424" i="34"/>
  <c r="A1425" i="34"/>
  <c r="A1426" i="34"/>
  <c r="A1427" i="34"/>
  <c r="A1428" i="34"/>
  <c r="A1429" i="34"/>
  <c r="A1430" i="34"/>
  <c r="A1431" i="34"/>
  <c r="A1432" i="34"/>
  <c r="A1433" i="34"/>
  <c r="A1434" i="34"/>
  <c r="A1435" i="34"/>
  <c r="A1436" i="34"/>
  <c r="A1437" i="34"/>
  <c r="A1438" i="34"/>
  <c r="A1439" i="34"/>
  <c r="A1440" i="34"/>
  <c r="A1441" i="34"/>
  <c r="A1442" i="34"/>
  <c r="A1443" i="34"/>
  <c r="A1444" i="34"/>
  <c r="A1445" i="34"/>
  <c r="A1446" i="34"/>
  <c r="A1447" i="34"/>
  <c r="A1448" i="34"/>
  <c r="A1449" i="34"/>
  <c r="A1450" i="34"/>
  <c r="A1451" i="34"/>
  <c r="A1452" i="34"/>
  <c r="A1453" i="34"/>
  <c r="A1454" i="34"/>
  <c r="A1455" i="34"/>
  <c r="A1456" i="34"/>
  <c r="A1457" i="34"/>
  <c r="A1458" i="34"/>
  <c r="A1459" i="34"/>
  <c r="A1460" i="34"/>
  <c r="A1461" i="34"/>
  <c r="A1462" i="34"/>
  <c r="A1463" i="34"/>
  <c r="A1464" i="34"/>
  <c r="A1465" i="34"/>
  <c r="A1466" i="34"/>
  <c r="A1467" i="34"/>
  <c r="A1468" i="34"/>
  <c r="A1469" i="34"/>
  <c r="A1470" i="34"/>
  <c r="A1471" i="34"/>
  <c r="A1472" i="34"/>
  <c r="A1473" i="34"/>
  <c r="A1474" i="34"/>
  <c r="A1475" i="34"/>
  <c r="A1476" i="34"/>
  <c r="A1477" i="34"/>
  <c r="A1478" i="34"/>
  <c r="A1479" i="34"/>
  <c r="A1480" i="34"/>
  <c r="A1481" i="34"/>
  <c r="A1482" i="34"/>
  <c r="A1483" i="34"/>
  <c r="A1484" i="34"/>
  <c r="A1485" i="34"/>
  <c r="A1486" i="34"/>
  <c r="A1487" i="34"/>
  <c r="A1488" i="34"/>
  <c r="A1489" i="34"/>
  <c r="A1490" i="34"/>
  <c r="A1491" i="34"/>
  <c r="A1492" i="34"/>
  <c r="A1493" i="34"/>
  <c r="A1494" i="34"/>
  <c r="A1495" i="34"/>
  <c r="A1496" i="34"/>
  <c r="A1497" i="34"/>
  <c r="A1498" i="34"/>
  <c r="A1499" i="34"/>
  <c r="A1500" i="34"/>
  <c r="A1501" i="34"/>
  <c r="A1502" i="34"/>
  <c r="A1503" i="34"/>
  <c r="A1504" i="34"/>
  <c r="A1505" i="34"/>
  <c r="A1506" i="34"/>
  <c r="A1507" i="34"/>
  <c r="A1508" i="34"/>
  <c r="A1509" i="34"/>
  <c r="A1510" i="34"/>
  <c r="A1511" i="34"/>
  <c r="A1512" i="34"/>
  <c r="A1513" i="34"/>
  <c r="A1514" i="34"/>
  <c r="A1515" i="34"/>
  <c r="A1516" i="34"/>
  <c r="A1517" i="34"/>
  <c r="A1518" i="34"/>
  <c r="A1519" i="34"/>
  <c r="A1520" i="34"/>
  <c r="A1521" i="34"/>
  <c r="A1522" i="34"/>
  <c r="A1523" i="34"/>
  <c r="A1524" i="34"/>
  <c r="A1525" i="34"/>
  <c r="A1526" i="34"/>
  <c r="A1527" i="34"/>
  <c r="A1528" i="34"/>
  <c r="A1529" i="34"/>
  <c r="A1530" i="34"/>
  <c r="A1531" i="34"/>
  <c r="A1532" i="34"/>
  <c r="A1533" i="34"/>
  <c r="A1534" i="34"/>
  <c r="A1535" i="34"/>
  <c r="A1536" i="34"/>
  <c r="A1537" i="34"/>
  <c r="A1538" i="34"/>
  <c r="A1539" i="34"/>
  <c r="A1540" i="34"/>
  <c r="A1541" i="34"/>
  <c r="A1542" i="34"/>
  <c r="A1543" i="34"/>
  <c r="A1544" i="34"/>
  <c r="A1545" i="34"/>
  <c r="A1546" i="34"/>
  <c r="A1547" i="34"/>
  <c r="A1548" i="34"/>
  <c r="A1549" i="34"/>
  <c r="A1550" i="34"/>
  <c r="A1551" i="34"/>
  <c r="A1552" i="34"/>
  <c r="A1553" i="34"/>
  <c r="A1554" i="34"/>
  <c r="A1555" i="34"/>
  <c r="A1556" i="34"/>
  <c r="A1557" i="34"/>
  <c r="A1558" i="34"/>
  <c r="A1559" i="34"/>
  <c r="A1560" i="34"/>
  <c r="A1561" i="34"/>
  <c r="A1562" i="34"/>
  <c r="A1563" i="34"/>
  <c r="A1564" i="34"/>
  <c r="A1565" i="34"/>
  <c r="A1566" i="34"/>
  <c r="A1567" i="34"/>
  <c r="A1568" i="34"/>
  <c r="A1569" i="34"/>
  <c r="A1570" i="34"/>
  <c r="A1571" i="34"/>
  <c r="A1572" i="34"/>
  <c r="A1573" i="34"/>
  <c r="A1574" i="34"/>
  <c r="A1575" i="34"/>
  <c r="A1576" i="34"/>
  <c r="A1577" i="34"/>
  <c r="A1578" i="34"/>
  <c r="A1579" i="34"/>
  <c r="A1580" i="34"/>
  <c r="A1581" i="34"/>
  <c r="A1582" i="34"/>
  <c r="A1583" i="34"/>
  <c r="A1584" i="34"/>
  <c r="A1585" i="34"/>
  <c r="A1586" i="34"/>
  <c r="A1587" i="34"/>
  <c r="A1588" i="34"/>
  <c r="A1589" i="34"/>
  <c r="A1590" i="34"/>
  <c r="A1591" i="34"/>
  <c r="A1592" i="34"/>
  <c r="A1593" i="34"/>
  <c r="A1594" i="34"/>
  <c r="A1595" i="34"/>
  <c r="A1596" i="34"/>
  <c r="A1597" i="34"/>
  <c r="A1598" i="34"/>
  <c r="A1599" i="34"/>
  <c r="A1600" i="34"/>
  <c r="A1601" i="34"/>
  <c r="A1602" i="34"/>
  <c r="A1603" i="34"/>
  <c r="A1604" i="34"/>
  <c r="A1605" i="34"/>
  <c r="A1606" i="34"/>
  <c r="A1607" i="34"/>
  <c r="A1608" i="34"/>
  <c r="A1609" i="34"/>
  <c r="A1610" i="34"/>
  <c r="A1611" i="34"/>
  <c r="A1612" i="34"/>
  <c r="A1613" i="34"/>
  <c r="A1614" i="34"/>
  <c r="A1615" i="34"/>
  <c r="A1616" i="34"/>
  <c r="A1617" i="34"/>
  <c r="A1618" i="34"/>
  <c r="A1619" i="34"/>
  <c r="A1620" i="34"/>
  <c r="A1621" i="34"/>
  <c r="A1622" i="34"/>
  <c r="A1623" i="34"/>
  <c r="A1624" i="34"/>
  <c r="A1625" i="34"/>
  <c r="A1626" i="34"/>
  <c r="A1627" i="34"/>
  <c r="A1628" i="34"/>
  <c r="A1629" i="34"/>
  <c r="A1630" i="34"/>
  <c r="A1631" i="34"/>
  <c r="A1632" i="34"/>
  <c r="A1633" i="34"/>
  <c r="A1634" i="34"/>
  <c r="A1635" i="34"/>
  <c r="A1636" i="34"/>
  <c r="A1637" i="34"/>
  <c r="A1638" i="34"/>
  <c r="A1639" i="34"/>
  <c r="A1640" i="34"/>
  <c r="L4914" i="3"/>
  <c r="L4915" i="3"/>
  <c r="L4930" i="3"/>
  <c r="L4932" i="3"/>
  <c r="L4927" i="3"/>
  <c r="L4918" i="3"/>
  <c r="A308" i="11"/>
  <c r="A309" i="11"/>
  <c r="A7032" i="3"/>
  <c r="A7033" i="3"/>
  <c r="A7034" i="3"/>
  <c r="A7035" i="3"/>
  <c r="A7036" i="3"/>
  <c r="A1724" i="13"/>
  <c r="A1725" i="13"/>
  <c r="A1726" i="13"/>
  <c r="A1727" i="13"/>
  <c r="A1728" i="13"/>
  <c r="A1729" i="13"/>
  <c r="A1730" i="13"/>
  <c r="A1731" i="13"/>
  <c r="A1732" i="13"/>
  <c r="A1733" i="13"/>
  <c r="A581" i="14"/>
  <c r="A582" i="14"/>
  <c r="A583" i="14"/>
  <c r="A584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9" i="14"/>
  <c r="A210" i="14"/>
  <c r="A1384" i="15"/>
  <c r="A1385" i="15"/>
  <c r="A1386" i="15"/>
  <c r="A1387" i="15"/>
  <c r="A953" i="32"/>
  <c r="A954" i="32"/>
  <c r="A955" i="32"/>
  <c r="A956" i="32"/>
  <c r="A957" i="32"/>
  <c r="A958" i="32"/>
  <c r="A959" i="32"/>
  <c r="A960" i="32"/>
  <c r="A961" i="32"/>
  <c r="A962" i="32"/>
  <c r="A963" i="32"/>
  <c r="A964" i="32"/>
  <c r="A504" i="32"/>
  <c r="A505" i="32"/>
  <c r="A506" i="32"/>
  <c r="A507" i="32"/>
  <c r="A508" i="32"/>
  <c r="A509" i="32"/>
  <c r="A510" i="32"/>
  <c r="A511" i="32"/>
  <c r="A512" i="32"/>
  <c r="A513" i="32"/>
  <c r="A514" i="32"/>
  <c r="A515" i="32"/>
  <c r="A516" i="32"/>
  <c r="A517" i="32"/>
  <c r="A518" i="32"/>
  <c r="A519" i="32"/>
  <c r="A520" i="32"/>
  <c r="A521" i="32"/>
  <c r="A522" i="32"/>
  <c r="A523" i="32"/>
  <c r="A524" i="32"/>
  <c r="A525" i="32"/>
  <c r="A526" i="32"/>
  <c r="A527" i="32"/>
  <c r="A528" i="32"/>
  <c r="A529" i="32"/>
  <c r="A530" i="32"/>
  <c r="A531" i="32"/>
  <c r="A532" i="32"/>
  <c r="A533" i="32"/>
  <c r="A534" i="32"/>
  <c r="A535" i="32"/>
  <c r="A536" i="32"/>
  <c r="A537" i="32"/>
  <c r="A538" i="32"/>
  <c r="A539" i="32"/>
  <c r="A540" i="32"/>
  <c r="A541" i="32"/>
  <c r="A542" i="32"/>
  <c r="A543" i="32"/>
  <c r="A544" i="32"/>
  <c r="A545" i="32"/>
  <c r="A546" i="32"/>
  <c r="A547" i="32"/>
  <c r="A548" i="32"/>
  <c r="A549" i="32"/>
  <c r="A550" i="32"/>
  <c r="A551" i="32"/>
  <c r="A552" i="32"/>
  <c r="A483" i="32"/>
  <c r="A484" i="32"/>
  <c r="A485" i="32"/>
  <c r="A486" i="32"/>
  <c r="A487" i="32"/>
  <c r="A488" i="32"/>
  <c r="A489" i="32"/>
  <c r="A490" i="32"/>
  <c r="A491" i="32"/>
  <c r="A492" i="32"/>
  <c r="A493" i="32"/>
  <c r="A494" i="32"/>
  <c r="A495" i="32"/>
  <c r="A496" i="32"/>
  <c r="A497" i="32"/>
  <c r="A498" i="32"/>
  <c r="A499" i="32"/>
  <c r="A500" i="32"/>
  <c r="A501" i="32"/>
  <c r="A502" i="32"/>
  <c r="A979" i="31"/>
  <c r="A980" i="31"/>
  <c r="A981" i="31"/>
  <c r="A982" i="31"/>
  <c r="A983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8" i="31"/>
  <c r="A629" i="31"/>
  <c r="A630" i="31"/>
  <c r="A631" i="31"/>
  <c r="A632" i="31"/>
  <c r="A633" i="31"/>
  <c r="A634" i="31"/>
  <c r="A2179" i="34"/>
  <c r="A2180" i="34"/>
  <c r="A2181" i="34"/>
  <c r="A2182" i="34"/>
  <c r="A2183" i="34"/>
  <c r="A2184" i="34"/>
  <c r="A2185" i="34"/>
  <c r="A2186" i="34"/>
  <c r="A2187" i="34"/>
  <c r="A2188" i="34"/>
  <c r="A2189" i="34"/>
  <c r="A2190" i="34"/>
  <c r="A2191" i="34"/>
  <c r="A2192" i="34"/>
  <c r="A2193" i="34"/>
  <c r="A2194" i="34"/>
  <c r="A2195" i="34"/>
  <c r="A2196" i="34"/>
  <c r="A2197" i="34"/>
  <c r="A2198" i="34"/>
  <c r="A2199" i="34"/>
  <c r="A2200" i="34"/>
  <c r="A2201" i="34"/>
  <c r="A2202" i="34"/>
  <c r="A2203" i="34"/>
  <c r="A2204" i="34"/>
  <c r="A2205" i="34"/>
  <c r="A2206" i="34"/>
  <c r="A2207" i="34"/>
  <c r="A2208" i="34"/>
  <c r="A2209" i="34"/>
  <c r="A2210" i="34"/>
  <c r="A2211" i="34"/>
  <c r="A2212" i="34"/>
  <c r="A2213" i="34"/>
  <c r="A2214" i="34"/>
  <c r="A2215" i="34"/>
  <c r="A2216" i="34"/>
  <c r="A2217" i="34"/>
  <c r="A2218" i="34"/>
  <c r="A2219" i="34"/>
  <c r="A2220" i="34"/>
  <c r="A2221" i="34"/>
  <c r="A2222" i="34"/>
  <c r="A2223" i="34"/>
  <c r="A2224" i="34"/>
  <c r="A2225" i="34"/>
  <c r="A2226" i="34"/>
  <c r="A2227" i="34"/>
  <c r="A2228" i="34"/>
  <c r="A2229" i="34"/>
  <c r="A2230" i="34"/>
  <c r="A2231" i="34"/>
  <c r="A2232" i="34"/>
  <c r="A2233" i="34"/>
  <c r="A2234" i="34"/>
  <c r="A2235" i="34"/>
  <c r="A2236" i="34"/>
  <c r="A2237" i="34"/>
  <c r="A2238" i="34"/>
  <c r="A2239" i="34"/>
  <c r="A2240" i="34"/>
  <c r="A2241" i="34"/>
  <c r="A2242" i="34"/>
  <c r="A2243" i="34"/>
  <c r="A2244" i="34"/>
  <c r="A2245" i="34"/>
  <c r="A2246" i="34"/>
  <c r="A2247" i="34"/>
  <c r="A2248" i="34"/>
  <c r="A2249" i="34"/>
  <c r="A2250" i="34"/>
  <c r="A2251" i="34"/>
  <c r="A2252" i="34"/>
  <c r="A2253" i="34"/>
  <c r="A2254" i="34"/>
  <c r="A2255" i="34"/>
  <c r="A2256" i="34"/>
  <c r="A2257" i="34"/>
  <c r="A2258" i="34"/>
  <c r="A2259" i="34"/>
  <c r="A2260" i="34"/>
  <c r="A2261" i="34"/>
  <c r="A2262" i="34"/>
  <c r="A2263" i="34"/>
  <c r="A2264" i="34"/>
  <c r="A2265" i="34"/>
  <c r="A2266" i="34"/>
  <c r="A2267" i="34"/>
  <c r="A2268" i="34"/>
  <c r="A2269" i="34"/>
  <c r="A2270" i="34"/>
  <c r="A2271" i="34"/>
  <c r="A2272" i="34"/>
  <c r="A2273" i="34"/>
  <c r="A2274" i="34"/>
  <c r="A2275" i="34"/>
  <c r="A2276" i="34"/>
  <c r="A2277" i="34"/>
  <c r="A2278" i="34"/>
  <c r="A2279" i="34"/>
  <c r="A2280" i="34"/>
  <c r="A2281" i="34"/>
  <c r="A2282" i="34"/>
  <c r="A2283" i="34"/>
  <c r="A2284" i="34"/>
  <c r="A2285" i="34"/>
  <c r="A2286" i="34"/>
  <c r="A2287" i="34"/>
  <c r="A2288" i="34"/>
  <c r="A2289" i="34"/>
  <c r="A2290" i="34"/>
  <c r="A2291" i="34"/>
  <c r="A2292" i="34"/>
  <c r="A2293" i="34"/>
  <c r="A2294" i="34"/>
  <c r="A2295" i="34"/>
  <c r="A2296" i="34"/>
  <c r="A2297" i="34"/>
  <c r="A2298" i="34"/>
  <c r="A2299" i="34"/>
  <c r="A2300" i="34"/>
  <c r="A2301" i="34"/>
  <c r="A2302" i="34"/>
  <c r="A2303" i="34"/>
  <c r="A2304" i="34"/>
  <c r="A2305" i="34"/>
  <c r="A2306" i="34"/>
  <c r="A2307" i="34"/>
  <c r="A2308" i="34"/>
  <c r="A2309" i="34"/>
  <c r="A2310" i="34"/>
  <c r="A2311" i="34"/>
  <c r="A2312" i="34"/>
  <c r="A2313" i="34"/>
  <c r="A2314" i="34"/>
  <c r="A2315" i="34"/>
  <c r="A2316" i="34"/>
  <c r="A2317" i="34"/>
  <c r="A2318" i="34"/>
  <c r="A2319" i="34"/>
  <c r="A2320" i="34"/>
  <c r="A2321" i="34"/>
  <c r="A2322" i="34"/>
  <c r="A2323" i="34"/>
  <c r="A2324" i="34"/>
  <c r="A2325" i="34"/>
  <c r="A2326" i="34"/>
  <c r="A2327" i="34"/>
  <c r="A2328" i="34"/>
  <c r="A2329" i="34"/>
  <c r="A2330" i="34"/>
  <c r="A2331" i="34"/>
  <c r="A2332" i="34"/>
  <c r="A2333" i="34"/>
  <c r="A2334" i="34"/>
  <c r="A2335" i="34"/>
  <c r="A2336" i="34"/>
  <c r="A2337" i="34"/>
  <c r="A2338" i="34"/>
  <c r="A2339" i="34"/>
  <c r="A2340" i="34"/>
  <c r="A2341" i="34"/>
  <c r="A2342" i="34"/>
  <c r="A2343" i="34"/>
  <c r="A2344" i="34"/>
  <c r="A2345" i="34"/>
  <c r="A2346" i="34"/>
  <c r="A2347" i="34"/>
  <c r="A2348" i="34"/>
  <c r="A2349" i="34"/>
  <c r="A2350" i="34"/>
  <c r="A2351" i="34"/>
  <c r="A2352" i="34"/>
  <c r="A2353" i="34"/>
  <c r="A2354" i="34"/>
  <c r="A2355" i="34"/>
  <c r="A2356" i="34"/>
  <c r="A2357" i="34"/>
  <c r="A2358" i="34"/>
  <c r="A2359" i="34"/>
  <c r="A2360" i="34"/>
  <c r="A2361" i="34"/>
  <c r="A2362" i="34"/>
  <c r="A2363" i="34"/>
  <c r="A2364" i="34"/>
  <c r="A2365" i="34"/>
  <c r="A2366" i="34"/>
  <c r="A2367" i="34"/>
  <c r="A2368" i="34"/>
  <c r="A2369" i="34"/>
  <c r="A2370" i="34"/>
  <c r="A2371" i="34"/>
  <c r="A2372" i="34"/>
  <c r="A2373" i="34"/>
  <c r="A2374" i="34"/>
  <c r="A2375" i="34"/>
  <c r="A2376" i="34"/>
  <c r="A2377" i="34"/>
  <c r="A2378" i="34"/>
  <c r="A2379" i="34"/>
  <c r="A2380" i="34"/>
  <c r="A2381" i="34"/>
  <c r="A2382" i="34"/>
  <c r="A2383" i="34"/>
  <c r="A2384" i="34"/>
  <c r="A2385" i="34"/>
  <c r="A2386" i="34"/>
  <c r="A2387" i="34"/>
  <c r="A2388" i="34"/>
  <c r="A2389" i="34"/>
  <c r="A2390" i="34"/>
  <c r="A2391" i="34"/>
  <c r="A2392" i="34"/>
  <c r="A2393" i="34"/>
  <c r="A2394" i="34"/>
  <c r="A2395" i="34"/>
  <c r="A2396" i="34"/>
  <c r="A2397" i="34"/>
  <c r="A2398" i="34"/>
  <c r="A2399" i="34"/>
  <c r="A2400" i="34"/>
  <c r="A2401" i="34"/>
  <c r="A2402" i="34"/>
  <c r="A2403" i="34"/>
  <c r="A2404" i="34"/>
  <c r="L4885" i="3"/>
  <c r="L4840" i="3"/>
  <c r="L4877" i="3"/>
  <c r="L4857" i="3"/>
  <c r="A172" i="13"/>
  <c r="A173" i="13"/>
  <c r="A149" i="13"/>
  <c r="A150" i="13"/>
  <c r="A130" i="13"/>
  <c r="A125" i="13"/>
  <c r="A126" i="13"/>
  <c r="A109" i="13"/>
  <c r="A104" i="13"/>
  <c r="A99" i="13"/>
  <c r="A100" i="13"/>
  <c r="A101" i="13"/>
  <c r="A102" i="13"/>
  <c r="A83" i="13"/>
  <c r="A78" i="13"/>
  <c r="A79" i="13"/>
  <c r="A80" i="13"/>
  <c r="A81" i="13"/>
  <c r="A75" i="13"/>
  <c r="A479" i="34"/>
  <c r="A477" i="34"/>
  <c r="A370" i="34"/>
  <c r="L4816" i="3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210" i="34"/>
  <c r="A211" i="34"/>
  <c r="A212" i="34"/>
  <c r="A213" i="34"/>
  <c r="A214" i="34"/>
  <c r="A215" i="34"/>
  <c r="A216" i="34"/>
  <c r="A217" i="34"/>
  <c r="A218" i="34"/>
  <c r="A219" i="34"/>
  <c r="A220" i="34"/>
  <c r="A221" i="34"/>
  <c r="A222" i="34"/>
  <c r="A223" i="34"/>
  <c r="A224" i="34"/>
  <c r="A225" i="34"/>
  <c r="A226" i="34"/>
  <c r="A227" i="34"/>
  <c r="A228" i="34"/>
  <c r="A229" i="34"/>
  <c r="A230" i="34"/>
  <c r="A231" i="34"/>
  <c r="A232" i="34"/>
  <c r="A233" i="34"/>
  <c r="A234" i="34"/>
  <c r="A235" i="34"/>
  <c r="A236" i="34"/>
  <c r="A237" i="34"/>
  <c r="A238" i="34"/>
  <c r="A239" i="34"/>
  <c r="A240" i="34"/>
  <c r="A241" i="34"/>
  <c r="A242" i="34"/>
  <c r="A243" i="34"/>
  <c r="A244" i="34"/>
  <c r="A245" i="34"/>
  <c r="A246" i="34"/>
  <c r="A247" i="34"/>
  <c r="A248" i="34"/>
  <c r="A249" i="34"/>
  <c r="A250" i="34"/>
  <c r="A251" i="34"/>
  <c r="A252" i="34"/>
  <c r="A253" i="34"/>
  <c r="A254" i="34"/>
  <c r="A255" i="34"/>
  <c r="A256" i="34"/>
  <c r="A257" i="34"/>
  <c r="A258" i="34"/>
  <c r="A259" i="34"/>
  <c r="A260" i="34"/>
  <c r="A261" i="34"/>
  <c r="A262" i="34"/>
  <c r="A263" i="34"/>
  <c r="A264" i="34"/>
  <c r="A265" i="34"/>
  <c r="A266" i="34"/>
  <c r="A267" i="34"/>
  <c r="A268" i="34"/>
  <c r="A269" i="34"/>
  <c r="A270" i="34"/>
  <c r="A271" i="34"/>
  <c r="A272" i="34"/>
  <c r="A273" i="34"/>
  <c r="A274" i="34"/>
  <c r="A275" i="34"/>
  <c r="A276" i="34"/>
  <c r="A277" i="34"/>
  <c r="A278" i="34"/>
  <c r="A279" i="34"/>
  <c r="A280" i="34"/>
  <c r="A281" i="34"/>
  <c r="A282" i="34"/>
  <c r="A283" i="34"/>
  <c r="A284" i="34"/>
  <c r="A285" i="34"/>
  <c r="A286" i="34"/>
  <c r="A287" i="34"/>
  <c r="A288" i="34"/>
  <c r="A289" i="34"/>
  <c r="A290" i="34"/>
  <c r="A291" i="34"/>
  <c r="A292" i="34"/>
  <c r="A293" i="34"/>
  <c r="A294" i="34"/>
  <c r="A295" i="34"/>
  <c r="A296" i="34"/>
  <c r="A297" i="34"/>
  <c r="A298" i="34"/>
  <c r="A299" i="34"/>
  <c r="A300" i="34"/>
  <c r="A301" i="34"/>
  <c r="A302" i="34"/>
  <c r="A303" i="34"/>
  <c r="A304" i="34"/>
  <c r="A305" i="34"/>
  <c r="A306" i="34"/>
  <c r="A307" i="34"/>
  <c r="A308" i="34"/>
  <c r="A309" i="34"/>
  <c r="A310" i="34"/>
  <c r="A311" i="34"/>
  <c r="A312" i="34"/>
  <c r="A313" i="34"/>
  <c r="A314" i="34"/>
  <c r="A315" i="34"/>
  <c r="A316" i="34"/>
  <c r="A317" i="34"/>
  <c r="A318" i="34"/>
  <c r="A319" i="34"/>
  <c r="A320" i="34"/>
  <c r="A321" i="34"/>
  <c r="A322" i="34"/>
  <c r="A323" i="34"/>
  <c r="A324" i="34"/>
  <c r="A325" i="34"/>
  <c r="A326" i="34"/>
  <c r="A327" i="34"/>
  <c r="A328" i="34"/>
  <c r="A329" i="34"/>
  <c r="A330" i="34"/>
  <c r="A331" i="34"/>
  <c r="A332" i="34"/>
  <c r="A333" i="34"/>
  <c r="A334" i="34"/>
  <c r="A335" i="34"/>
  <c r="A336" i="34"/>
  <c r="A337" i="34"/>
  <c r="A338" i="34"/>
  <c r="A339" i="34"/>
  <c r="A340" i="34"/>
  <c r="A341" i="34"/>
  <c r="A342" i="34"/>
  <c r="A343" i="34"/>
  <c r="A344" i="34"/>
  <c r="A345" i="34"/>
  <c r="A346" i="34"/>
  <c r="A347" i="34"/>
  <c r="A348" i="34"/>
  <c r="A349" i="34"/>
  <c r="A350" i="34"/>
  <c r="A351" i="34"/>
  <c r="A352" i="34"/>
  <c r="A353" i="34"/>
  <c r="A354" i="34"/>
  <c r="A355" i="34"/>
  <c r="A356" i="34"/>
  <c r="A357" i="34"/>
  <c r="A358" i="34"/>
  <c r="A359" i="34"/>
  <c r="A360" i="34"/>
  <c r="A361" i="34"/>
  <c r="A362" i="34"/>
  <c r="A363" i="34"/>
  <c r="A364" i="34"/>
  <c r="A365" i="34"/>
  <c r="A366" i="34"/>
  <c r="A367" i="34"/>
  <c r="A368" i="34"/>
  <c r="A369" i="34"/>
  <c r="A371" i="34"/>
  <c r="A372" i="34"/>
  <c r="A373" i="34"/>
  <c r="A374" i="34"/>
  <c r="A375" i="34"/>
  <c r="A376" i="34"/>
  <c r="A377" i="34"/>
  <c r="A378" i="34"/>
  <c r="A379" i="34"/>
  <c r="A380" i="34"/>
  <c r="A381" i="34"/>
  <c r="A382" i="34"/>
  <c r="A383" i="34"/>
  <c r="A384" i="34"/>
  <c r="A385" i="34"/>
  <c r="A386" i="34"/>
  <c r="A387" i="34"/>
  <c r="A388" i="34"/>
  <c r="A389" i="34"/>
  <c r="A390" i="34"/>
  <c r="A391" i="34"/>
  <c r="A392" i="34"/>
  <c r="A393" i="34"/>
  <c r="A394" i="34"/>
  <c r="A395" i="34"/>
  <c r="A396" i="34"/>
  <c r="A397" i="34"/>
  <c r="A398" i="34"/>
  <c r="A399" i="34"/>
  <c r="A400" i="34"/>
  <c r="A401" i="34"/>
  <c r="A402" i="34"/>
  <c r="A403" i="34"/>
  <c r="A404" i="34"/>
  <c r="A405" i="34"/>
  <c r="A406" i="34"/>
  <c r="A407" i="34"/>
  <c r="A408" i="34"/>
  <c r="A409" i="34"/>
  <c r="A410" i="34"/>
  <c r="A411" i="34"/>
  <c r="A412" i="34"/>
  <c r="A413" i="34"/>
  <c r="A414" i="34"/>
  <c r="A415" i="34"/>
  <c r="A416" i="34"/>
  <c r="A417" i="34"/>
  <c r="A418" i="34"/>
  <c r="A419" i="34"/>
  <c r="A420" i="34"/>
  <c r="A421" i="34"/>
  <c r="A422" i="34"/>
  <c r="A423" i="34"/>
  <c r="A424" i="34"/>
  <c r="A425" i="34"/>
  <c r="A426" i="34"/>
  <c r="A427" i="34"/>
  <c r="A428" i="34"/>
  <c r="A429" i="34"/>
  <c r="A430" i="34"/>
  <c r="A431" i="34"/>
  <c r="A432" i="34"/>
  <c r="A433" i="34"/>
  <c r="A434" i="34"/>
  <c r="A435" i="34"/>
  <c r="A436" i="34"/>
  <c r="A437" i="34"/>
  <c r="A438" i="34"/>
  <c r="A439" i="34"/>
  <c r="A440" i="34"/>
  <c r="A441" i="34"/>
  <c r="A442" i="34"/>
  <c r="A443" i="34"/>
  <c r="A444" i="34"/>
  <c r="A445" i="34"/>
  <c r="A446" i="34"/>
  <c r="A447" i="34"/>
  <c r="A448" i="34"/>
  <c r="A449" i="34"/>
  <c r="A450" i="34"/>
  <c r="A451" i="34"/>
  <c r="A452" i="34"/>
  <c r="A453" i="34"/>
  <c r="A454" i="34"/>
  <c r="A455" i="34"/>
  <c r="A456" i="34"/>
  <c r="A457" i="34"/>
  <c r="A458" i="34"/>
  <c r="A459" i="34"/>
  <c r="A460" i="34"/>
  <c r="A461" i="34"/>
  <c r="A462" i="34"/>
  <c r="A463" i="34"/>
  <c r="A464" i="34"/>
  <c r="A465" i="34"/>
  <c r="A466" i="34"/>
  <c r="A467" i="34"/>
  <c r="A468" i="34"/>
  <c r="A469" i="34"/>
  <c r="A470" i="34"/>
  <c r="A471" i="34"/>
  <c r="A472" i="34"/>
  <c r="A473" i="34"/>
  <c r="A474" i="34"/>
  <c r="A475" i="34"/>
  <c r="A476" i="34"/>
  <c r="A478" i="34"/>
  <c r="A480" i="34"/>
  <c r="A481" i="34"/>
  <c r="A482" i="34"/>
  <c r="A483" i="34"/>
  <c r="A484" i="34"/>
  <c r="A485" i="34"/>
  <c r="A486" i="34"/>
  <c r="A487" i="34"/>
  <c r="A488" i="34"/>
  <c r="A489" i="34"/>
  <c r="A490" i="34"/>
  <c r="A491" i="34"/>
  <c r="A492" i="34"/>
  <c r="A493" i="34"/>
  <c r="A494" i="34"/>
  <c r="A495" i="34"/>
  <c r="A496" i="34"/>
  <c r="A497" i="34"/>
  <c r="A498" i="34"/>
  <c r="A499" i="34"/>
  <c r="A500" i="34"/>
  <c r="A501" i="34"/>
  <c r="A502" i="34"/>
  <c r="A503" i="34"/>
  <c r="A504" i="34"/>
  <c r="A505" i="34"/>
  <c r="A506" i="34"/>
  <c r="A507" i="34"/>
  <c r="A508" i="34"/>
  <c r="A509" i="34"/>
  <c r="A510" i="34"/>
  <c r="A511" i="34"/>
  <c r="A512" i="34"/>
  <c r="A513" i="34"/>
  <c r="A514" i="34"/>
  <c r="A515" i="34"/>
  <c r="A516" i="34"/>
  <c r="A517" i="34"/>
  <c r="A518" i="34"/>
  <c r="A519" i="34"/>
  <c r="A520" i="34"/>
  <c r="A521" i="34"/>
  <c r="A522" i="34"/>
  <c r="A523" i="34"/>
  <c r="A524" i="34"/>
  <c r="A525" i="34"/>
  <c r="A526" i="34"/>
  <c r="A527" i="34"/>
  <c r="A528" i="34"/>
  <c r="A529" i="34"/>
  <c r="A530" i="34"/>
  <c r="A531" i="34"/>
  <c r="A532" i="34"/>
  <c r="A533" i="34"/>
  <c r="A534" i="34"/>
  <c r="A535" i="34"/>
  <c r="A536" i="34"/>
  <c r="A537" i="34"/>
  <c r="A538" i="34"/>
  <c r="A539" i="34"/>
  <c r="A540" i="34"/>
  <c r="A541" i="34"/>
  <c r="A542" i="34"/>
  <c r="A543" i="34"/>
  <c r="A544" i="34"/>
  <c r="A545" i="34"/>
  <c r="A546" i="34"/>
  <c r="A547" i="34"/>
  <c r="A548" i="34"/>
  <c r="A549" i="34"/>
  <c r="A550" i="34"/>
  <c r="A551" i="34"/>
  <c r="A552" i="34"/>
  <c r="A553" i="34"/>
  <c r="A554" i="34"/>
  <c r="A555" i="34"/>
  <c r="A556" i="34"/>
  <c r="A557" i="34"/>
  <c r="A558" i="34"/>
  <c r="A559" i="34"/>
  <c r="A560" i="34"/>
  <c r="A561" i="34"/>
  <c r="A562" i="34"/>
  <c r="A563" i="34"/>
  <c r="A564" i="34"/>
  <c r="A565" i="34"/>
  <c r="A566" i="34"/>
  <c r="A567" i="34"/>
  <c r="A568" i="34"/>
  <c r="A569" i="34"/>
  <c r="A570" i="34"/>
  <c r="A571" i="34"/>
  <c r="A572" i="34"/>
  <c r="A573" i="34"/>
  <c r="A574" i="34"/>
  <c r="A575" i="34"/>
  <c r="A576" i="34"/>
  <c r="A577" i="34"/>
  <c r="A578" i="34"/>
  <c r="A579" i="34"/>
  <c r="A580" i="34"/>
  <c r="A581" i="34"/>
  <c r="A582" i="34"/>
  <c r="A583" i="34"/>
  <c r="A584" i="34"/>
  <c r="A585" i="34"/>
  <c r="A586" i="34"/>
  <c r="A587" i="34"/>
  <c r="A588" i="34"/>
  <c r="A589" i="34"/>
  <c r="A590" i="34"/>
  <c r="A591" i="34"/>
  <c r="A592" i="34"/>
  <c r="A593" i="34"/>
  <c r="A594" i="34"/>
  <c r="A595" i="34"/>
  <c r="A596" i="34"/>
  <c r="A597" i="34"/>
  <c r="A598" i="34"/>
  <c r="A599" i="34"/>
  <c r="A600" i="34"/>
  <c r="A601" i="34"/>
  <c r="A602" i="34"/>
  <c r="A603" i="34"/>
  <c r="A604" i="34"/>
  <c r="A605" i="34"/>
  <c r="A606" i="34"/>
  <c r="A607" i="34"/>
  <c r="A608" i="34"/>
  <c r="A609" i="34"/>
  <c r="A610" i="34"/>
  <c r="A611" i="34"/>
  <c r="A612" i="34"/>
  <c r="A613" i="34"/>
  <c r="A614" i="34"/>
  <c r="A615" i="34"/>
  <c r="A616" i="34"/>
  <c r="A617" i="34"/>
  <c r="A618" i="34"/>
  <c r="A619" i="34"/>
  <c r="A620" i="34"/>
  <c r="A621" i="34"/>
  <c r="A622" i="34"/>
  <c r="A623" i="34"/>
  <c r="A624" i="34"/>
  <c r="A625" i="34"/>
  <c r="A626" i="34"/>
  <c r="A627" i="34"/>
  <c r="A628" i="34"/>
  <c r="A629" i="34"/>
  <c r="A630" i="34"/>
  <c r="A631" i="34"/>
  <c r="A632" i="34"/>
  <c r="A633" i="34"/>
  <c r="A634" i="34"/>
  <c r="A635" i="34"/>
  <c r="A636" i="34"/>
  <c r="A637" i="34"/>
  <c r="A638" i="34"/>
  <c r="A639" i="34"/>
  <c r="A640" i="34"/>
  <c r="A641" i="34"/>
  <c r="A642" i="34"/>
  <c r="A643" i="34"/>
  <c r="A644" i="34"/>
  <c r="A645" i="34"/>
  <c r="A646" i="34"/>
  <c r="A647" i="34"/>
  <c r="A648" i="34"/>
  <c r="A649" i="34"/>
  <c r="A650" i="34"/>
  <c r="A651" i="34"/>
  <c r="A652" i="34"/>
  <c r="A653" i="34"/>
  <c r="A654" i="34"/>
  <c r="A655" i="34"/>
  <c r="A656" i="34"/>
  <c r="A657" i="34"/>
  <c r="A658" i="34"/>
  <c r="A659" i="34"/>
  <c r="A660" i="34"/>
  <c r="A661" i="34"/>
  <c r="A662" i="34"/>
  <c r="A663" i="34"/>
  <c r="A664" i="34"/>
  <c r="A665" i="34"/>
  <c r="A666" i="34"/>
  <c r="A667" i="34"/>
  <c r="A668" i="34"/>
  <c r="A669" i="34"/>
  <c r="A670" i="34"/>
  <c r="A671" i="34"/>
  <c r="A672" i="34"/>
  <c r="A673" i="34"/>
  <c r="A674" i="34"/>
  <c r="A675" i="34"/>
  <c r="A676" i="34"/>
  <c r="A677" i="34"/>
  <c r="A678" i="34"/>
  <c r="A679" i="34"/>
  <c r="A680" i="34"/>
  <c r="A681" i="34"/>
  <c r="A682" i="34"/>
  <c r="A683" i="34"/>
  <c r="A684" i="34"/>
  <c r="A685" i="34"/>
  <c r="A686" i="34"/>
  <c r="A687" i="34"/>
  <c r="A688" i="34"/>
  <c r="A689" i="34"/>
  <c r="A690" i="34"/>
  <c r="A691" i="34"/>
  <c r="A692" i="34"/>
  <c r="A693" i="34"/>
  <c r="A694" i="34"/>
  <c r="A695" i="34"/>
  <c r="A696" i="34"/>
  <c r="A697" i="34"/>
  <c r="A698" i="34"/>
  <c r="A699" i="34"/>
  <c r="A700" i="34"/>
  <c r="A701" i="34"/>
  <c r="A702" i="34"/>
  <c r="A703" i="34"/>
  <c r="A704" i="34"/>
  <c r="A705" i="34"/>
  <c r="A706" i="34"/>
  <c r="A707" i="34"/>
  <c r="A708" i="34"/>
  <c r="A709" i="34"/>
  <c r="A710" i="34"/>
  <c r="A711" i="34"/>
  <c r="A712" i="34"/>
  <c r="A713" i="34"/>
  <c r="A714" i="34"/>
  <c r="A715" i="34"/>
  <c r="A716" i="34"/>
  <c r="A717" i="34"/>
  <c r="A718" i="34"/>
  <c r="A719" i="34"/>
  <c r="A720" i="34"/>
  <c r="A721" i="34"/>
  <c r="A722" i="34"/>
  <c r="A723" i="34"/>
  <c r="A724" i="34"/>
  <c r="A725" i="34"/>
  <c r="A726" i="34"/>
  <c r="A727" i="34"/>
  <c r="A728" i="34"/>
  <c r="A729" i="34"/>
  <c r="A730" i="34"/>
  <c r="A731" i="34"/>
  <c r="A732" i="34"/>
  <c r="A733" i="34"/>
  <c r="A734" i="34"/>
  <c r="A735" i="34"/>
  <c r="A736" i="34"/>
  <c r="A737" i="34"/>
  <c r="A738" i="34"/>
  <c r="A739" i="34"/>
  <c r="A740" i="34"/>
  <c r="A741" i="34"/>
  <c r="A742" i="34"/>
  <c r="A743" i="34"/>
  <c r="A744" i="34"/>
  <c r="A745" i="34"/>
  <c r="A746" i="34"/>
  <c r="A747" i="34"/>
  <c r="A748" i="34"/>
  <c r="A749" i="34"/>
  <c r="A750" i="34"/>
  <c r="A751" i="34"/>
  <c r="A752" i="34"/>
  <c r="A753" i="34"/>
  <c r="A754" i="34"/>
  <c r="A755" i="34"/>
  <c r="A756" i="34"/>
  <c r="A757" i="34"/>
  <c r="A758" i="34"/>
  <c r="A759" i="34"/>
  <c r="A760" i="34"/>
  <c r="A761" i="34"/>
  <c r="A762" i="34"/>
  <c r="A763" i="34"/>
  <c r="A764" i="34"/>
  <c r="A765" i="34"/>
  <c r="A766" i="34"/>
  <c r="A767" i="34"/>
  <c r="A768" i="34"/>
  <c r="A769" i="34"/>
  <c r="A770" i="34"/>
  <c r="A771" i="34"/>
  <c r="A772" i="34"/>
  <c r="A773" i="34"/>
  <c r="A774" i="34"/>
  <c r="A775" i="34"/>
  <c r="A776" i="34"/>
  <c r="A777" i="34"/>
  <c r="A778" i="34"/>
  <c r="A779" i="34"/>
  <c r="A780" i="34"/>
  <c r="A781" i="34"/>
  <c r="A782" i="34"/>
  <c r="A783" i="34"/>
  <c r="A784" i="34"/>
  <c r="A785" i="34"/>
  <c r="A786" i="34"/>
  <c r="A787" i="34"/>
  <c r="A788" i="34"/>
  <c r="A789" i="34"/>
  <c r="A790" i="34"/>
  <c r="A791" i="34"/>
  <c r="A792" i="34"/>
  <c r="A793" i="34"/>
  <c r="A794" i="34"/>
  <c r="A795" i="34"/>
  <c r="A796" i="34"/>
  <c r="A797" i="34"/>
  <c r="A798" i="34"/>
  <c r="A799" i="34"/>
  <c r="A800" i="34"/>
  <c r="A801" i="34"/>
  <c r="A802" i="34"/>
  <c r="A803" i="34"/>
  <c r="A804" i="34"/>
  <c r="A805" i="34"/>
  <c r="A806" i="34"/>
  <c r="A807" i="34"/>
  <c r="A808" i="34"/>
  <c r="A809" i="34"/>
  <c r="A810" i="34"/>
  <c r="A811" i="34"/>
  <c r="A812" i="34"/>
  <c r="A813" i="34"/>
  <c r="A814" i="34"/>
  <c r="A815" i="34"/>
  <c r="A816" i="34"/>
  <c r="A817" i="34"/>
  <c r="A818" i="34"/>
  <c r="A819" i="34"/>
  <c r="A820" i="34"/>
  <c r="A821" i="34"/>
  <c r="A822" i="34"/>
  <c r="A823" i="34"/>
  <c r="A824" i="34"/>
  <c r="A825" i="34"/>
  <c r="A826" i="34"/>
  <c r="A827" i="34"/>
  <c r="A828" i="34"/>
  <c r="A829" i="34"/>
  <c r="A830" i="34"/>
  <c r="A831" i="34"/>
  <c r="A832" i="34"/>
  <c r="A833" i="34"/>
  <c r="A834" i="34"/>
  <c r="A835" i="34"/>
  <c r="A836" i="34"/>
  <c r="A837" i="34"/>
  <c r="A838" i="34"/>
  <c r="A839" i="34"/>
  <c r="A840" i="34"/>
  <c r="A841" i="34"/>
  <c r="A842" i="34"/>
  <c r="A843" i="34"/>
  <c r="A844" i="34"/>
  <c r="A845" i="34"/>
  <c r="A846" i="34"/>
  <c r="A847" i="34"/>
  <c r="A848" i="34"/>
  <c r="A849" i="34"/>
  <c r="A850" i="34"/>
  <c r="A851" i="34"/>
  <c r="A852" i="34"/>
  <c r="A853" i="34"/>
  <c r="A854" i="34"/>
  <c r="A855" i="34"/>
  <c r="A856" i="34"/>
  <c r="A857" i="34"/>
  <c r="A858" i="34"/>
  <c r="A859" i="34"/>
  <c r="A860" i="34"/>
  <c r="A861" i="34"/>
  <c r="A862" i="34"/>
  <c r="A863" i="34"/>
  <c r="A864" i="34"/>
  <c r="A865" i="34"/>
  <c r="A866" i="34"/>
  <c r="A867" i="34"/>
  <c r="A868" i="34"/>
  <c r="A869" i="34"/>
  <c r="A870" i="34"/>
  <c r="A871" i="34"/>
  <c r="A872" i="34"/>
  <c r="A873" i="34"/>
  <c r="A874" i="34"/>
  <c r="A875" i="34"/>
  <c r="A876" i="34"/>
  <c r="A877" i="34"/>
  <c r="A878" i="34"/>
  <c r="A879" i="34"/>
  <c r="A880" i="34"/>
  <c r="A881" i="34"/>
  <c r="A882" i="34"/>
  <c r="A883" i="34"/>
  <c r="A884" i="34"/>
  <c r="A885" i="34"/>
  <c r="A886" i="34"/>
  <c r="A887" i="34"/>
  <c r="A888" i="34"/>
  <c r="A889" i="34"/>
  <c r="A890" i="34"/>
  <c r="A891" i="34"/>
  <c r="A892" i="34"/>
  <c r="A893" i="34"/>
  <c r="A894" i="34"/>
  <c r="A895" i="34"/>
  <c r="A896" i="34"/>
  <c r="A897" i="34"/>
  <c r="A898" i="34"/>
  <c r="A899" i="34"/>
  <c r="A900" i="34"/>
  <c r="A901" i="34"/>
  <c r="A902" i="34"/>
  <c r="A903" i="34"/>
  <c r="A904" i="34"/>
  <c r="A905" i="34"/>
  <c r="A906" i="34"/>
  <c r="A907" i="34"/>
  <c r="A908" i="34"/>
  <c r="A909" i="34"/>
  <c r="A910" i="34"/>
  <c r="A911" i="34"/>
  <c r="A912" i="34"/>
  <c r="A913" i="34"/>
  <c r="A914" i="34"/>
  <c r="A915" i="34"/>
  <c r="A916" i="34"/>
  <c r="A917" i="34"/>
  <c r="A918" i="34"/>
  <c r="A919" i="34"/>
  <c r="A920" i="34"/>
  <c r="A921" i="34"/>
  <c r="A922" i="34"/>
  <c r="A923" i="34"/>
  <c r="A924" i="34"/>
  <c r="A925" i="34"/>
  <c r="A926" i="34"/>
  <c r="A927" i="34"/>
  <c r="A928" i="34"/>
  <c r="A929" i="34"/>
  <c r="A930" i="34"/>
  <c r="A931" i="34"/>
  <c r="A932" i="34"/>
  <c r="A933" i="34"/>
  <c r="A934" i="34"/>
  <c r="A935" i="34"/>
  <c r="A936" i="34"/>
  <c r="A937" i="34"/>
  <c r="A938" i="34"/>
  <c r="A939" i="34"/>
  <c r="A940" i="34"/>
  <c r="A941" i="34"/>
  <c r="A942" i="34"/>
  <c r="A943" i="34"/>
  <c r="A944" i="34"/>
  <c r="A945" i="34"/>
  <c r="A946" i="34"/>
  <c r="A947" i="34"/>
  <c r="A948" i="34"/>
  <c r="A949" i="34"/>
  <c r="A950" i="34"/>
  <c r="A951" i="34"/>
  <c r="A952" i="34"/>
  <c r="A953" i="34"/>
  <c r="A954" i="34"/>
  <c r="A955" i="34"/>
  <c r="A956" i="34"/>
  <c r="A957" i="34"/>
  <c r="A958" i="34"/>
  <c r="A959" i="34"/>
  <c r="A960" i="34"/>
  <c r="A961" i="34"/>
  <c r="A962" i="34"/>
  <c r="A963" i="34"/>
  <c r="A964" i="34"/>
  <c r="A965" i="34"/>
  <c r="A966" i="34"/>
  <c r="A967" i="34"/>
  <c r="A968" i="34"/>
  <c r="A969" i="34"/>
  <c r="A970" i="34"/>
  <c r="A971" i="34"/>
  <c r="A972" i="34"/>
  <c r="A973" i="34"/>
  <c r="A974" i="34"/>
  <c r="A975" i="34"/>
  <c r="A976" i="34"/>
  <c r="A977" i="34"/>
  <c r="A978" i="34"/>
  <c r="A979" i="34"/>
  <c r="A980" i="34"/>
  <c r="A981" i="34"/>
  <c r="A982" i="34"/>
  <c r="A983" i="34"/>
  <c r="A984" i="34"/>
  <c r="A985" i="34"/>
  <c r="A986" i="34"/>
  <c r="A987" i="34"/>
  <c r="A988" i="34"/>
  <c r="A989" i="34"/>
  <c r="A990" i="34"/>
  <c r="A991" i="34"/>
  <c r="A992" i="34"/>
  <c r="A993" i="34"/>
  <c r="A994" i="34"/>
  <c r="A995" i="34"/>
  <c r="A996" i="34"/>
  <c r="A997" i="34"/>
  <c r="A998" i="34"/>
  <c r="A999" i="34"/>
  <c r="A1000" i="34"/>
  <c r="A1001" i="34"/>
  <c r="A1002" i="34"/>
  <c r="A1003" i="34"/>
  <c r="A1004" i="34"/>
  <c r="A1005" i="34"/>
  <c r="A1006" i="34"/>
  <c r="A1007" i="34"/>
  <c r="A1008" i="34"/>
  <c r="A1009" i="34"/>
  <c r="A1010" i="34"/>
  <c r="A1011" i="34"/>
  <c r="A1012" i="34"/>
  <c r="A1013" i="34"/>
  <c r="A1014" i="34"/>
  <c r="A1015" i="34"/>
  <c r="A1016" i="34"/>
  <c r="A1017" i="34"/>
  <c r="A1018" i="34"/>
  <c r="A1019" i="34"/>
  <c r="A1020" i="34"/>
  <c r="A1021" i="34"/>
  <c r="A1022" i="34"/>
  <c r="A1023" i="34"/>
  <c r="A1024" i="34"/>
  <c r="A1025" i="34"/>
  <c r="A1026" i="34"/>
  <c r="A1027" i="34"/>
  <c r="A1028" i="34"/>
  <c r="A1029" i="34"/>
  <c r="A1030" i="34"/>
  <c r="A1031" i="34"/>
  <c r="A1032" i="34"/>
  <c r="A1033" i="34"/>
  <c r="A1034" i="34"/>
  <c r="A1035" i="34"/>
  <c r="A1036" i="34"/>
  <c r="A1037" i="34"/>
  <c r="A1038" i="34"/>
  <c r="A1039" i="34"/>
  <c r="A1040" i="34"/>
  <c r="A1041" i="34"/>
  <c r="A1042" i="34"/>
  <c r="A1043" i="34"/>
  <c r="A1044" i="34"/>
  <c r="A1045" i="34"/>
  <c r="A1046" i="34"/>
  <c r="A1047" i="34"/>
  <c r="A1048" i="34"/>
  <c r="A1049" i="34"/>
  <c r="A1050" i="34"/>
  <c r="A1051" i="34"/>
  <c r="A1052" i="34"/>
  <c r="A1053" i="34"/>
  <c r="A1054" i="34"/>
  <c r="A1055" i="34"/>
  <c r="A1056" i="34"/>
  <c r="A1057" i="34"/>
  <c r="A1058" i="34"/>
  <c r="A1059" i="34"/>
  <c r="A1060" i="34"/>
  <c r="A1061" i="34"/>
  <c r="A1062" i="34"/>
  <c r="A1063" i="34"/>
  <c r="A1064" i="34"/>
  <c r="A1065" i="34"/>
  <c r="A1066" i="34"/>
  <c r="A1067" i="34"/>
  <c r="A1068" i="34"/>
  <c r="A1069" i="34"/>
  <c r="A1070" i="34"/>
  <c r="A1071" i="34"/>
  <c r="A1072" i="34"/>
  <c r="A1073" i="34"/>
  <c r="A1074" i="34"/>
  <c r="A1075" i="34"/>
  <c r="A1076" i="34"/>
  <c r="A1077" i="34"/>
  <c r="A1078" i="34"/>
  <c r="A1079" i="34"/>
  <c r="A1080" i="34"/>
  <c r="A1081" i="34"/>
  <c r="A1082" i="34"/>
  <c r="A1083" i="34"/>
  <c r="A1084" i="34"/>
  <c r="A1085" i="34"/>
  <c r="A1086" i="34"/>
  <c r="A1087" i="34"/>
  <c r="A1088" i="34"/>
  <c r="A1089" i="34"/>
  <c r="A1090" i="34"/>
  <c r="A1091" i="34"/>
  <c r="A1092" i="34"/>
  <c r="A1093" i="34"/>
  <c r="A1094" i="34"/>
  <c r="A1095" i="34"/>
  <c r="A1096" i="34"/>
  <c r="A1097" i="34"/>
  <c r="A1098" i="34"/>
  <c r="A1099" i="34"/>
  <c r="A1100" i="34"/>
  <c r="A1101" i="34"/>
  <c r="A1102" i="34"/>
  <c r="A1103" i="34"/>
  <c r="A1104" i="34"/>
  <c r="A1105" i="34"/>
  <c r="A1106" i="34"/>
  <c r="A1107" i="34"/>
  <c r="A1108" i="34"/>
  <c r="A1109" i="34"/>
  <c r="A1110" i="34"/>
  <c r="A1111" i="34"/>
  <c r="A1112" i="34"/>
  <c r="A1113" i="34"/>
  <c r="A1114" i="34"/>
  <c r="A1115" i="34"/>
  <c r="A1116" i="34"/>
  <c r="A1117" i="34"/>
  <c r="A1118" i="34"/>
  <c r="A1119" i="34"/>
  <c r="A1120" i="34"/>
  <c r="A1121" i="34"/>
  <c r="A1122" i="34"/>
  <c r="A1123" i="34"/>
  <c r="A1124" i="34"/>
  <c r="A1125" i="34"/>
  <c r="A1126" i="34"/>
  <c r="A1127" i="34"/>
  <c r="A1128" i="34"/>
  <c r="A1129" i="34"/>
  <c r="A1130" i="34"/>
  <c r="A1131" i="34"/>
  <c r="A1132" i="34"/>
  <c r="A1133" i="34"/>
  <c r="A1134" i="34"/>
  <c r="A1135" i="34"/>
  <c r="A1136" i="34"/>
  <c r="A1137" i="34"/>
  <c r="A1138" i="34"/>
  <c r="A1139" i="34"/>
  <c r="A1140" i="34"/>
  <c r="A1141" i="34"/>
  <c r="A1142" i="34"/>
  <c r="A1143" i="34"/>
  <c r="A1144" i="34"/>
  <c r="A1145" i="34"/>
  <c r="A1146" i="34"/>
  <c r="A1147" i="34"/>
  <c r="A1148" i="34"/>
  <c r="A1149" i="34"/>
  <c r="A1150" i="34"/>
  <c r="A1151" i="34"/>
  <c r="A1152" i="34"/>
  <c r="A1153" i="34"/>
  <c r="A1154" i="34"/>
  <c r="A1155" i="34"/>
  <c r="A1156" i="34"/>
  <c r="A1157" i="34"/>
  <c r="A1158" i="34"/>
  <c r="A1159" i="34"/>
  <c r="A1160" i="34"/>
  <c r="A1161" i="34"/>
  <c r="A1162" i="34"/>
  <c r="A1163" i="34"/>
  <c r="A1164" i="34"/>
  <c r="A1165" i="34"/>
  <c r="A1166" i="34"/>
  <c r="A1167" i="34"/>
  <c r="A1168" i="34"/>
  <c r="A1169" i="34"/>
  <c r="A1170" i="34"/>
  <c r="A1171" i="34"/>
  <c r="A1172" i="34"/>
  <c r="A1173" i="34"/>
  <c r="A1174" i="34"/>
  <c r="A1175" i="34"/>
  <c r="A1176" i="34"/>
  <c r="A1177" i="34"/>
  <c r="A1178" i="34"/>
  <c r="A1179" i="34"/>
  <c r="A1180" i="34"/>
  <c r="A1181" i="34"/>
  <c r="A1182" i="34"/>
  <c r="A1183" i="34"/>
  <c r="A1184" i="34"/>
  <c r="A1185" i="34"/>
  <c r="A1186" i="34"/>
  <c r="A1187" i="34"/>
  <c r="A1188" i="34"/>
  <c r="A1189" i="34"/>
  <c r="A1190" i="34"/>
  <c r="A1191" i="34"/>
  <c r="A1192" i="34"/>
  <c r="A1193" i="34"/>
  <c r="A1194" i="34"/>
  <c r="A1195" i="34"/>
  <c r="A1196" i="34"/>
  <c r="A1197" i="34"/>
  <c r="A1198" i="34"/>
  <c r="A1199" i="34"/>
  <c r="A1200" i="34"/>
  <c r="A1201" i="34"/>
  <c r="A1202" i="34"/>
  <c r="A1203" i="34"/>
  <c r="A1204" i="34"/>
  <c r="A1205" i="34"/>
  <c r="A1206" i="34"/>
  <c r="A1207" i="34"/>
  <c r="A1208" i="34"/>
  <c r="A1209" i="34"/>
  <c r="A1210" i="34"/>
  <c r="A1211" i="34"/>
  <c r="A1212" i="34"/>
  <c r="A1213" i="34"/>
  <c r="A1214" i="34"/>
  <c r="A1215" i="34"/>
  <c r="A1216" i="34"/>
  <c r="A1217" i="34"/>
  <c r="A1218" i="34"/>
  <c r="A1219" i="34"/>
  <c r="A1220" i="34"/>
  <c r="A1221" i="34"/>
  <c r="A1222" i="34"/>
  <c r="A1223" i="34"/>
  <c r="A1224" i="34"/>
  <c r="A1225" i="34"/>
  <c r="A1226" i="34"/>
  <c r="A1227" i="34"/>
  <c r="A1228" i="34"/>
  <c r="A1229" i="34"/>
  <c r="A1230" i="34"/>
  <c r="A1231" i="34"/>
  <c r="A1232" i="34"/>
  <c r="A1233" i="34"/>
  <c r="A1234" i="34"/>
  <c r="A1235" i="34"/>
  <c r="A1236" i="34"/>
  <c r="A1237" i="34"/>
  <c r="A1238" i="34"/>
  <c r="A1239" i="34"/>
  <c r="A1240" i="34"/>
  <c r="A1241" i="34"/>
  <c r="A1242" i="34"/>
  <c r="A1243" i="34"/>
  <c r="A1244" i="34"/>
  <c r="A1245" i="34"/>
  <c r="A1246" i="34"/>
  <c r="A1247" i="34"/>
  <c r="A1248" i="34"/>
  <c r="A1249" i="34"/>
  <c r="A1250" i="34"/>
  <c r="A1251" i="34"/>
  <c r="A1252" i="34"/>
  <c r="A1253" i="34"/>
  <c r="A1254" i="34"/>
  <c r="A1255" i="34"/>
  <c r="A1256" i="34"/>
  <c r="A1257" i="34"/>
  <c r="A1258" i="34"/>
  <c r="A1259" i="34"/>
  <c r="A1260" i="34"/>
  <c r="A1261" i="34"/>
  <c r="A1262" i="34"/>
  <c r="A1263" i="34"/>
  <c r="A1264" i="34"/>
  <c r="A1265" i="34"/>
  <c r="A1266" i="34"/>
  <c r="A1267" i="34"/>
  <c r="A1268" i="34"/>
  <c r="A1269" i="34"/>
  <c r="A1270" i="34"/>
  <c r="A1271" i="34"/>
  <c r="A1272" i="34"/>
  <c r="A1273" i="34"/>
  <c r="A1274" i="34"/>
  <c r="A1275" i="34"/>
  <c r="A1276" i="34"/>
  <c r="A1277" i="34"/>
  <c r="A1278" i="34"/>
  <c r="A1279" i="34"/>
  <c r="A1280" i="34"/>
  <c r="A1281" i="34"/>
  <c r="A1282" i="34"/>
  <c r="A1283" i="34"/>
  <c r="A1284" i="34"/>
  <c r="A1285" i="34"/>
  <c r="A1286" i="34"/>
  <c r="A1287" i="34"/>
  <c r="A1288" i="34"/>
  <c r="A1289" i="34"/>
  <c r="A1290" i="34"/>
  <c r="A1291" i="34"/>
  <c r="A1292" i="34"/>
  <c r="A1293" i="34"/>
  <c r="A1294" i="34"/>
  <c r="A1295" i="34"/>
  <c r="A1296" i="34"/>
  <c r="A1297" i="34"/>
  <c r="A1298" i="34"/>
  <c r="A1299" i="34"/>
  <c r="A1300" i="34"/>
  <c r="A1301" i="34"/>
  <c r="A1302" i="34"/>
  <c r="A1303" i="34"/>
  <c r="A1304" i="34"/>
  <c r="A1305" i="34"/>
  <c r="A1306" i="34"/>
  <c r="A1307" i="34"/>
  <c r="A1308" i="34"/>
  <c r="A1309" i="34"/>
  <c r="A1310" i="34"/>
  <c r="A1311" i="34"/>
  <c r="A1312" i="34"/>
  <c r="A1313" i="34"/>
  <c r="A1314" i="34"/>
  <c r="A1315" i="34"/>
  <c r="A1316" i="34"/>
  <c r="A1317" i="34"/>
  <c r="A1318" i="34"/>
  <c r="A1319" i="34"/>
  <c r="A1320" i="34"/>
  <c r="A1321" i="34"/>
  <c r="A1322" i="34"/>
  <c r="A1323" i="34"/>
  <c r="A1324" i="34"/>
  <c r="A1325" i="34"/>
  <c r="A1326" i="34"/>
  <c r="A1327" i="34"/>
  <c r="A1328" i="34"/>
  <c r="A1329" i="34"/>
  <c r="A1330" i="34"/>
  <c r="A1331" i="34"/>
  <c r="A1332" i="34"/>
  <c r="A1333" i="34"/>
  <c r="A1334" i="34"/>
  <c r="A1335" i="34"/>
  <c r="A1336" i="34"/>
  <c r="A1337" i="34"/>
  <c r="A1338" i="34"/>
  <c r="A1339" i="34"/>
  <c r="A1340" i="34"/>
  <c r="A1341" i="34"/>
  <c r="A1342" i="34"/>
  <c r="A1343" i="34"/>
  <c r="A1344" i="34"/>
  <c r="A1345" i="34"/>
  <c r="A1346" i="34"/>
  <c r="A1347" i="34"/>
  <c r="A1348" i="34"/>
  <c r="A1349" i="34"/>
  <c r="A1350" i="34"/>
  <c r="A1351" i="34"/>
  <c r="A1352" i="34"/>
  <c r="A1353" i="34"/>
  <c r="A1354" i="34"/>
  <c r="A1355" i="34"/>
  <c r="A1356" i="34"/>
  <c r="A1357" i="34"/>
  <c r="A1358" i="34"/>
  <c r="A1359" i="34"/>
  <c r="A1360" i="34"/>
  <c r="A1361" i="34"/>
  <c r="A1362" i="34"/>
  <c r="A1363" i="34"/>
  <c r="A1364" i="34"/>
  <c r="A1365" i="34"/>
  <c r="A1366" i="34"/>
  <c r="A1367" i="34"/>
  <c r="A1368" i="34"/>
  <c r="A1369" i="34"/>
  <c r="A1370" i="34"/>
  <c r="A1371" i="34"/>
  <c r="A1372" i="34"/>
  <c r="A1373" i="34"/>
  <c r="A1374" i="34"/>
  <c r="A1375" i="34"/>
  <c r="A1376" i="34"/>
  <c r="A1377" i="34"/>
  <c r="A1378" i="34"/>
  <c r="A1379" i="34"/>
  <c r="A1380" i="34"/>
  <c r="A1381" i="34"/>
  <c r="A1382" i="34"/>
  <c r="A1383" i="34"/>
  <c r="A1384" i="34"/>
  <c r="A1385" i="34"/>
  <c r="A1386" i="34"/>
  <c r="A1387" i="34"/>
  <c r="A1388" i="34"/>
  <c r="A1389" i="34"/>
  <c r="A1390" i="34"/>
  <c r="A1391" i="34"/>
  <c r="A1392" i="34"/>
  <c r="A1393" i="34"/>
  <c r="A1394" i="34"/>
  <c r="A1395" i="34"/>
  <c r="A1396" i="34"/>
  <c r="A1397" i="34"/>
  <c r="A1398" i="34"/>
  <c r="A1399" i="34"/>
  <c r="A1400" i="34"/>
  <c r="A1401" i="34"/>
  <c r="A1402" i="34"/>
  <c r="A1403" i="34"/>
  <c r="A1404" i="34"/>
  <c r="A1405" i="34"/>
  <c r="A1406" i="34"/>
  <c r="A1407" i="34"/>
  <c r="A1408" i="34"/>
  <c r="A1409" i="34"/>
  <c r="A1410" i="34"/>
  <c r="A1641" i="34"/>
  <c r="A1642" i="34"/>
  <c r="A1643" i="34"/>
  <c r="A1644" i="34"/>
  <c r="A1645" i="34"/>
  <c r="A1646" i="34"/>
  <c r="A1647" i="34"/>
  <c r="A1648" i="34"/>
  <c r="A1649" i="34"/>
  <c r="A1650" i="34"/>
  <c r="A1651" i="34"/>
  <c r="A1652" i="34"/>
  <c r="A1653" i="34"/>
  <c r="A1654" i="34"/>
  <c r="A1655" i="34"/>
  <c r="A1656" i="34"/>
  <c r="A1657" i="34"/>
  <c r="A1658" i="34"/>
  <c r="A1659" i="34"/>
  <c r="A1660" i="34"/>
  <c r="A1661" i="34"/>
  <c r="A1662" i="34"/>
  <c r="A1663" i="34"/>
  <c r="A1664" i="34"/>
  <c r="A1665" i="34"/>
  <c r="A1666" i="34"/>
  <c r="A1667" i="34"/>
  <c r="A1668" i="34"/>
  <c r="A1669" i="34"/>
  <c r="A1670" i="34"/>
  <c r="A1671" i="34"/>
  <c r="A1672" i="34"/>
  <c r="A1673" i="34"/>
  <c r="A1674" i="34"/>
  <c r="A1675" i="34"/>
  <c r="A1676" i="34"/>
  <c r="A1677" i="34"/>
  <c r="A1678" i="34"/>
  <c r="A1679" i="34"/>
  <c r="A1680" i="34"/>
  <c r="A1681" i="34"/>
  <c r="A1682" i="34"/>
  <c r="A1683" i="34"/>
  <c r="A1684" i="34"/>
  <c r="A1685" i="34"/>
  <c r="A1686" i="34"/>
  <c r="A1687" i="34"/>
  <c r="A1688" i="34"/>
  <c r="A1689" i="34"/>
  <c r="A1690" i="34"/>
  <c r="A1691" i="34"/>
  <c r="A1692" i="34"/>
  <c r="A1693" i="34"/>
  <c r="A1694" i="34"/>
  <c r="A1695" i="34"/>
  <c r="A1696" i="34"/>
  <c r="A1697" i="34"/>
  <c r="A1698" i="34"/>
  <c r="A1699" i="34"/>
  <c r="A1700" i="34"/>
  <c r="A1701" i="34"/>
  <c r="A1702" i="34"/>
  <c r="A1703" i="34"/>
  <c r="A1704" i="34"/>
  <c r="A1705" i="34"/>
  <c r="A1706" i="34"/>
  <c r="A1707" i="34"/>
  <c r="A1708" i="34"/>
  <c r="A1709" i="34"/>
  <c r="A1710" i="34"/>
  <c r="A1711" i="34"/>
  <c r="A1712" i="34"/>
  <c r="A1713" i="34"/>
  <c r="A1714" i="34"/>
  <c r="A1715" i="34"/>
  <c r="A1716" i="34"/>
  <c r="A1717" i="34"/>
  <c r="A1718" i="34"/>
  <c r="A1719" i="34"/>
  <c r="A1720" i="34"/>
  <c r="A1721" i="34"/>
  <c r="A1722" i="34"/>
  <c r="A1723" i="34"/>
  <c r="A1724" i="34"/>
  <c r="A1725" i="34"/>
  <c r="A1726" i="34"/>
  <c r="A1727" i="34"/>
  <c r="A1728" i="34"/>
  <c r="A1729" i="34"/>
  <c r="A1730" i="34"/>
  <c r="A1731" i="34"/>
  <c r="A1732" i="34"/>
  <c r="A1733" i="34"/>
  <c r="A1734" i="34"/>
  <c r="A1735" i="34"/>
  <c r="A1736" i="34"/>
  <c r="A1737" i="34"/>
  <c r="A1738" i="34"/>
  <c r="A1739" i="34"/>
  <c r="A1740" i="34"/>
  <c r="A1741" i="34"/>
  <c r="A1742" i="34"/>
  <c r="A1743" i="34"/>
  <c r="A1744" i="34"/>
  <c r="A1745" i="34"/>
  <c r="A1746" i="34"/>
  <c r="A1747" i="34"/>
  <c r="A1748" i="34"/>
  <c r="A1749" i="34"/>
  <c r="A1750" i="34"/>
  <c r="A1751" i="34"/>
  <c r="A1752" i="34"/>
  <c r="A1753" i="34"/>
  <c r="A1754" i="34"/>
  <c r="A1755" i="34"/>
  <c r="A1756" i="34"/>
  <c r="A1757" i="34"/>
  <c r="A1758" i="34"/>
  <c r="A1759" i="34"/>
  <c r="A1760" i="34"/>
  <c r="A1761" i="34"/>
  <c r="A1762" i="34"/>
  <c r="A1763" i="34"/>
  <c r="A1764" i="34"/>
  <c r="A1765" i="34"/>
  <c r="A1766" i="34"/>
  <c r="A1767" i="34"/>
  <c r="A1768" i="34"/>
  <c r="A1769" i="34"/>
  <c r="A1770" i="34"/>
  <c r="A1771" i="34"/>
  <c r="A1772" i="34"/>
  <c r="A1773" i="34"/>
  <c r="A1774" i="34"/>
  <c r="A1775" i="34"/>
  <c r="A1776" i="34"/>
  <c r="A1777" i="34"/>
  <c r="A1778" i="34"/>
  <c r="A1779" i="34"/>
  <c r="A1780" i="34"/>
  <c r="A1781" i="34"/>
  <c r="A1782" i="34"/>
  <c r="A1783" i="34"/>
  <c r="A1784" i="34"/>
  <c r="A1785" i="34"/>
  <c r="A1786" i="34"/>
  <c r="A1787" i="34"/>
  <c r="A1788" i="34"/>
  <c r="A1789" i="34"/>
  <c r="A1790" i="34"/>
  <c r="A1791" i="34"/>
  <c r="A1792" i="34"/>
  <c r="A1793" i="34"/>
  <c r="A1794" i="34"/>
  <c r="A1795" i="34"/>
  <c r="A1796" i="34"/>
  <c r="A1797" i="34"/>
  <c r="A1798" i="34"/>
  <c r="A1799" i="34"/>
  <c r="A1800" i="34"/>
  <c r="A1801" i="34"/>
  <c r="A1802" i="34"/>
  <c r="A1803" i="34"/>
  <c r="A1804" i="34"/>
  <c r="A1805" i="34"/>
  <c r="A1806" i="34"/>
  <c r="A1807" i="34"/>
  <c r="A1808" i="34"/>
  <c r="A1809" i="34"/>
  <c r="A1810" i="34"/>
  <c r="A1811" i="34"/>
  <c r="A1812" i="34"/>
  <c r="A1813" i="34"/>
  <c r="A1814" i="34"/>
  <c r="A1815" i="34"/>
  <c r="A1816" i="34"/>
  <c r="A1817" i="34"/>
  <c r="A1818" i="34"/>
  <c r="A1819" i="34"/>
  <c r="A1820" i="34"/>
  <c r="A1821" i="34"/>
  <c r="A1822" i="34"/>
  <c r="A1823" i="34"/>
  <c r="A1824" i="34"/>
  <c r="A1825" i="34"/>
  <c r="A1826" i="34"/>
  <c r="A1827" i="34"/>
  <c r="A1828" i="34"/>
  <c r="A1829" i="34"/>
  <c r="A1830" i="34"/>
  <c r="A1831" i="34"/>
  <c r="A1832" i="34"/>
  <c r="A1833" i="34"/>
  <c r="A1834" i="34"/>
  <c r="A1835" i="34"/>
  <c r="A1836" i="34"/>
  <c r="A1837" i="34"/>
  <c r="A1838" i="34"/>
  <c r="A1839" i="34"/>
  <c r="A1840" i="34"/>
  <c r="A1841" i="34"/>
  <c r="A1842" i="34"/>
  <c r="A1843" i="34"/>
  <c r="A1844" i="34"/>
  <c r="A1845" i="34"/>
  <c r="A1846" i="34"/>
  <c r="A1847" i="34"/>
  <c r="A1848" i="34"/>
  <c r="A1849" i="34"/>
  <c r="A1850" i="34"/>
  <c r="A1851" i="34"/>
  <c r="A1852" i="34"/>
  <c r="A1853" i="34"/>
  <c r="A1854" i="34"/>
  <c r="A1855" i="34"/>
  <c r="A1856" i="34"/>
  <c r="A1857" i="34"/>
  <c r="A1858" i="34"/>
  <c r="A1859" i="34"/>
  <c r="A1860" i="34"/>
  <c r="A1861" i="34"/>
  <c r="A1862" i="34"/>
  <c r="A1863" i="34"/>
  <c r="A1864" i="34"/>
  <c r="A1865" i="34"/>
  <c r="A1866" i="34"/>
  <c r="A1867" i="34"/>
  <c r="A1868" i="34"/>
  <c r="A1869" i="34"/>
  <c r="A1870" i="34"/>
  <c r="A1871" i="34"/>
  <c r="A1872" i="34"/>
  <c r="A1873" i="34"/>
  <c r="A1874" i="34"/>
  <c r="A1875" i="34"/>
  <c r="A1876" i="34"/>
  <c r="A1877" i="34"/>
  <c r="A1878" i="34"/>
  <c r="A1879" i="34"/>
  <c r="A1880" i="34"/>
  <c r="A1881" i="34"/>
  <c r="A1882" i="34"/>
  <c r="A1883" i="34"/>
  <c r="A1884" i="34"/>
  <c r="A1885" i="34"/>
  <c r="A1886" i="34"/>
  <c r="A1887" i="34"/>
  <c r="A1888" i="34"/>
  <c r="A1889" i="34"/>
  <c r="A1890" i="34"/>
  <c r="A1891" i="34"/>
  <c r="A1892" i="34"/>
  <c r="A1893" i="34"/>
  <c r="A1894" i="34"/>
  <c r="A1895" i="34"/>
  <c r="A1896" i="34"/>
  <c r="A1897" i="34"/>
  <c r="A1898" i="34"/>
  <c r="A1899" i="34"/>
  <c r="A1900" i="34"/>
  <c r="A1901" i="34"/>
  <c r="A1902" i="34"/>
  <c r="A1903" i="34"/>
  <c r="A1904" i="34"/>
  <c r="A1905" i="34"/>
  <c r="A1906" i="34"/>
  <c r="A1907" i="34"/>
  <c r="A1908" i="34"/>
  <c r="A1909" i="34"/>
  <c r="A1910" i="34"/>
  <c r="A1911" i="34"/>
  <c r="A1912" i="34"/>
  <c r="A1913" i="34"/>
  <c r="A1914" i="34"/>
  <c r="A1915" i="34"/>
  <c r="A1916" i="34"/>
  <c r="A1917" i="34"/>
  <c r="A1918" i="34"/>
  <c r="A1919" i="34"/>
  <c r="A1920" i="34"/>
  <c r="A1921" i="34"/>
  <c r="A1922" i="34"/>
  <c r="A1923" i="34"/>
  <c r="A1924" i="34"/>
  <c r="A1925" i="34"/>
  <c r="A1926" i="34"/>
  <c r="A1927" i="34"/>
  <c r="A1928" i="34"/>
  <c r="A1929" i="34"/>
  <c r="A1930" i="34"/>
  <c r="A1931" i="34"/>
  <c r="A1932" i="34"/>
  <c r="A1933" i="34"/>
  <c r="A1934" i="34"/>
  <c r="A1935" i="34"/>
  <c r="A1936" i="34"/>
  <c r="A1937" i="34"/>
  <c r="A1938" i="34"/>
  <c r="A1939" i="34"/>
  <c r="A1940" i="34"/>
  <c r="A1941" i="34"/>
  <c r="A1942" i="34"/>
  <c r="A1943" i="34"/>
  <c r="A1944" i="34"/>
  <c r="A1945" i="34"/>
  <c r="A1946" i="34"/>
  <c r="A1947" i="34"/>
  <c r="A1948" i="34"/>
  <c r="A1949" i="34"/>
  <c r="A1950" i="34"/>
  <c r="A1951" i="34"/>
  <c r="A1952" i="34"/>
  <c r="A1953" i="34"/>
  <c r="A1954" i="34"/>
  <c r="A1955" i="34"/>
  <c r="A1956" i="34"/>
  <c r="A1957" i="34"/>
  <c r="A1958" i="34"/>
  <c r="A1959" i="34"/>
  <c r="A1960" i="34"/>
  <c r="A1961" i="34"/>
  <c r="A1962" i="34"/>
  <c r="A1963" i="34"/>
  <c r="A1964" i="34"/>
  <c r="A1965" i="34"/>
  <c r="A1966" i="34"/>
  <c r="A1967" i="34"/>
  <c r="A1968" i="34"/>
  <c r="A1969" i="34"/>
  <c r="A1970" i="34"/>
  <c r="A1971" i="34"/>
  <c r="A1972" i="34"/>
  <c r="A1973" i="34"/>
  <c r="A1974" i="34"/>
  <c r="A1975" i="34"/>
  <c r="A1976" i="34"/>
  <c r="A1977" i="34"/>
  <c r="A1978" i="34"/>
  <c r="A1979" i="34"/>
  <c r="A1980" i="34"/>
  <c r="A1981" i="34"/>
  <c r="A1982" i="34"/>
  <c r="A1983" i="34"/>
  <c r="A1984" i="34"/>
  <c r="A1985" i="34"/>
  <c r="A1986" i="34"/>
  <c r="A1987" i="34"/>
  <c r="A1988" i="34"/>
  <c r="A1989" i="34"/>
  <c r="A1990" i="34"/>
  <c r="A1991" i="34"/>
  <c r="A1992" i="34"/>
  <c r="A1993" i="34"/>
  <c r="A1994" i="34"/>
  <c r="A1995" i="34"/>
  <c r="A1996" i="34"/>
  <c r="A1997" i="34"/>
  <c r="A1998" i="34"/>
  <c r="A1999" i="34"/>
  <c r="A2000" i="34"/>
  <c r="A2001" i="34"/>
  <c r="A2002" i="34"/>
  <c r="A2003" i="34"/>
  <c r="A2004" i="34"/>
  <c r="A2005" i="34"/>
  <c r="A2006" i="34"/>
  <c r="A2007" i="34"/>
  <c r="A2008" i="34"/>
  <c r="A2009" i="34"/>
  <c r="A2010" i="34"/>
  <c r="A2011" i="34"/>
  <c r="A2012" i="34"/>
  <c r="A2013" i="34"/>
  <c r="A2014" i="34"/>
  <c r="A2015" i="34"/>
  <c r="A2016" i="34"/>
  <c r="A2017" i="34"/>
  <c r="A2018" i="34"/>
  <c r="A2019" i="34"/>
  <c r="A2020" i="34"/>
  <c r="A2021" i="34"/>
  <c r="A2022" i="34"/>
  <c r="A2023" i="34"/>
  <c r="A2024" i="34"/>
  <c r="A2025" i="34"/>
  <c r="A2026" i="34"/>
  <c r="A2027" i="34"/>
  <c r="A2028" i="34"/>
  <c r="A2029" i="34"/>
  <c r="A2030" i="34"/>
  <c r="A2031" i="34"/>
  <c r="A2032" i="34"/>
  <c r="A2033" i="34"/>
  <c r="A2034" i="34"/>
  <c r="A2035" i="34"/>
  <c r="A2036" i="34"/>
  <c r="A2037" i="34"/>
  <c r="A2038" i="34"/>
  <c r="A2039" i="34"/>
  <c r="A2040" i="34"/>
  <c r="A2041" i="34"/>
  <c r="A2042" i="34"/>
  <c r="A2043" i="34"/>
  <c r="A2044" i="34"/>
  <c r="A2045" i="34"/>
  <c r="A2046" i="34"/>
  <c r="A2047" i="34"/>
  <c r="A2048" i="34"/>
  <c r="A2049" i="34"/>
  <c r="A2050" i="34"/>
  <c r="A2051" i="34"/>
  <c r="A2052" i="34"/>
  <c r="A2053" i="34"/>
  <c r="A2054" i="34"/>
  <c r="A2055" i="34"/>
  <c r="A2056" i="34"/>
  <c r="A2057" i="34"/>
  <c r="A2058" i="34"/>
  <c r="A2059" i="34"/>
  <c r="A2060" i="34"/>
  <c r="A2061" i="34"/>
  <c r="A2062" i="34"/>
  <c r="A2063" i="34"/>
  <c r="A2064" i="34"/>
  <c r="A2065" i="34"/>
  <c r="A2066" i="34"/>
  <c r="A2067" i="34"/>
  <c r="A2068" i="34"/>
  <c r="A2069" i="34"/>
  <c r="A2070" i="34"/>
  <c r="A2071" i="34"/>
  <c r="A2072" i="34"/>
  <c r="A2073" i="34"/>
  <c r="A2074" i="34"/>
  <c r="A2075" i="34"/>
  <c r="A2076" i="34"/>
  <c r="A2077" i="34"/>
  <c r="A2078" i="34"/>
  <c r="A2079" i="34"/>
  <c r="A2080" i="34"/>
  <c r="A2081" i="34"/>
  <c r="A2082" i="34"/>
  <c r="A2083" i="34"/>
  <c r="A2084" i="34"/>
  <c r="A2085" i="34"/>
  <c r="A2086" i="34"/>
  <c r="A2087" i="34"/>
  <c r="A2088" i="34"/>
  <c r="A2089" i="34"/>
  <c r="A2090" i="34"/>
  <c r="A2091" i="34"/>
  <c r="A2092" i="34"/>
  <c r="A2093" i="34"/>
  <c r="A2094" i="34"/>
  <c r="A2095" i="34"/>
  <c r="A2096" i="34"/>
  <c r="A2097" i="34"/>
  <c r="A2098" i="34"/>
  <c r="A2099" i="34"/>
  <c r="A2100" i="34"/>
  <c r="A2101" i="34"/>
  <c r="A2102" i="34"/>
  <c r="A2103" i="34"/>
  <c r="A2104" i="34"/>
  <c r="A2105" i="34"/>
  <c r="A2106" i="34"/>
  <c r="A2107" i="34"/>
  <c r="A2108" i="34"/>
  <c r="A2109" i="34"/>
  <c r="A2110" i="34"/>
  <c r="A2111" i="34"/>
  <c r="A2112" i="34"/>
  <c r="A2113" i="34"/>
  <c r="A2114" i="34"/>
  <c r="A2115" i="34"/>
  <c r="A2116" i="34"/>
  <c r="A2117" i="34"/>
  <c r="A2118" i="34"/>
  <c r="A2119" i="34"/>
  <c r="A2120" i="34"/>
  <c r="A2121" i="34"/>
  <c r="A2122" i="34"/>
  <c r="A2123" i="34"/>
  <c r="A2124" i="34"/>
  <c r="A2125" i="34"/>
  <c r="A2126" i="34"/>
  <c r="A2127" i="34"/>
  <c r="A2128" i="34"/>
  <c r="A2129" i="34"/>
  <c r="A2130" i="34"/>
  <c r="A2131" i="34"/>
  <c r="A2132" i="34"/>
  <c r="A2133" i="34"/>
  <c r="A2134" i="34"/>
  <c r="A2135" i="34"/>
  <c r="A2136" i="34"/>
  <c r="A2137" i="34"/>
  <c r="A2138" i="34"/>
  <c r="A2139" i="34"/>
  <c r="A2140" i="34"/>
  <c r="A2141" i="34"/>
  <c r="A2142" i="34"/>
  <c r="A2143" i="34"/>
  <c r="A2144" i="34"/>
  <c r="A2145" i="34"/>
  <c r="A2146" i="34"/>
  <c r="A2147" i="34"/>
  <c r="A2148" i="34"/>
  <c r="A2149" i="34"/>
  <c r="A2150" i="34"/>
  <c r="A2151" i="34"/>
  <c r="A2152" i="34"/>
  <c r="A2153" i="34"/>
  <c r="A2154" i="34"/>
  <c r="A2155" i="34"/>
  <c r="A2156" i="34"/>
  <c r="A2157" i="34"/>
  <c r="A2158" i="34"/>
  <c r="A2159" i="34"/>
  <c r="A2160" i="34"/>
  <c r="A2161" i="34"/>
  <c r="A2162" i="34"/>
  <c r="A2163" i="34"/>
  <c r="A2164" i="34"/>
  <c r="A2165" i="34"/>
  <c r="A2166" i="34"/>
  <c r="A2167" i="34"/>
  <c r="A2168" i="34"/>
  <c r="A2169" i="34"/>
  <c r="A2170" i="34"/>
  <c r="A2171" i="34"/>
  <c r="A2172" i="34"/>
  <c r="A2173" i="34"/>
  <c r="A2174" i="34"/>
  <c r="A2175" i="34"/>
  <c r="A2176" i="34"/>
  <c r="A2177" i="34"/>
  <c r="A2178" i="34"/>
  <c r="A4" i="34"/>
  <c r="A5" i="34"/>
  <c r="A6" i="34"/>
  <c r="A7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3" i="34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635" i="31"/>
  <c r="A4" i="31"/>
  <c r="A5" i="32"/>
  <c r="A6" i="32"/>
  <c r="A7" i="32"/>
  <c r="A8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351" i="32"/>
  <c r="A352" i="32"/>
  <c r="A353" i="32"/>
  <c r="A354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402" i="32"/>
  <c r="A403" i="32"/>
  <c r="A404" i="32"/>
  <c r="A405" i="32"/>
  <c r="A406" i="32"/>
  <c r="A407" i="32"/>
  <c r="A408" i="32"/>
  <c r="A409" i="32"/>
  <c r="A410" i="32"/>
  <c r="A411" i="32"/>
  <c r="A412" i="32"/>
  <c r="A413" i="32"/>
  <c r="A414" i="32"/>
  <c r="A415" i="32"/>
  <c r="A416" i="32"/>
  <c r="A417" i="32"/>
  <c r="A418" i="32"/>
  <c r="A419" i="32"/>
  <c r="A420" i="32"/>
  <c r="A421" i="32"/>
  <c r="A422" i="32"/>
  <c r="A423" i="32"/>
  <c r="A424" i="32"/>
  <c r="A425" i="32"/>
  <c r="A426" i="32"/>
  <c r="A427" i="32"/>
  <c r="A428" i="32"/>
  <c r="A429" i="32"/>
  <c r="A430" i="32"/>
  <c r="A431" i="32"/>
  <c r="A432" i="32"/>
  <c r="A433" i="32"/>
  <c r="A434" i="32"/>
  <c r="A435" i="32"/>
  <c r="A436" i="32"/>
  <c r="A437" i="32"/>
  <c r="A438" i="32"/>
  <c r="A439" i="32"/>
  <c r="A440" i="32"/>
  <c r="A441" i="32"/>
  <c r="A442" i="32"/>
  <c r="A443" i="32"/>
  <c r="A444" i="32"/>
  <c r="A445" i="32"/>
  <c r="A446" i="32"/>
  <c r="A447" i="32"/>
  <c r="A448" i="32"/>
  <c r="A449" i="32"/>
  <c r="A450" i="32"/>
  <c r="A451" i="32"/>
  <c r="A452" i="32"/>
  <c r="A453" i="32"/>
  <c r="A454" i="32"/>
  <c r="A455" i="32"/>
  <c r="A456" i="32"/>
  <c r="A457" i="32"/>
  <c r="A458" i="32"/>
  <c r="A459" i="32"/>
  <c r="A460" i="32"/>
  <c r="A461" i="32"/>
  <c r="A462" i="32"/>
  <c r="A463" i="32"/>
  <c r="A464" i="32"/>
  <c r="A465" i="32"/>
  <c r="A466" i="32"/>
  <c r="A467" i="32"/>
  <c r="A468" i="32"/>
  <c r="A469" i="32"/>
  <c r="A470" i="32"/>
  <c r="A471" i="32"/>
  <c r="A472" i="32"/>
  <c r="A473" i="32"/>
  <c r="A474" i="32"/>
  <c r="A475" i="32"/>
  <c r="A476" i="32"/>
  <c r="A477" i="32"/>
  <c r="A478" i="32"/>
  <c r="A479" i="32"/>
  <c r="A480" i="32"/>
  <c r="A481" i="32"/>
  <c r="A482" i="32"/>
  <c r="A503" i="32"/>
  <c r="A553" i="32"/>
  <c r="A577" i="32"/>
  <c r="A578" i="32"/>
  <c r="A579" i="32"/>
  <c r="A580" i="32"/>
  <c r="A581" i="32"/>
  <c r="A582" i="32"/>
  <c r="A583" i="32"/>
  <c r="A4" i="32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41" i="14"/>
  <c r="A5" i="14"/>
  <c r="A5" i="15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6" i="13"/>
  <c r="A77" i="13"/>
  <c r="A82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103" i="13"/>
  <c r="A105" i="13"/>
  <c r="A106" i="13"/>
  <c r="A107" i="13"/>
  <c r="A108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7" i="13"/>
  <c r="A128" i="13"/>
  <c r="A129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8" i="13"/>
  <c r="A549" i="13"/>
  <c r="A550" i="13"/>
  <c r="A551" i="13"/>
  <c r="A552" i="13"/>
  <c r="A553" i="13"/>
  <c r="A554" i="13"/>
  <c r="A555" i="13"/>
  <c r="A558" i="13"/>
  <c r="A563" i="13"/>
  <c r="A571" i="13"/>
  <c r="A572" i="13"/>
  <c r="A580" i="13"/>
  <c r="A581" i="13"/>
  <c r="A582" i="13"/>
  <c r="A583" i="13"/>
  <c r="A584" i="13"/>
  <c r="A585" i="13"/>
  <c r="A586" i="13"/>
  <c r="A587" i="13"/>
  <c r="A590" i="13"/>
  <c r="A591" i="13"/>
  <c r="A596" i="13"/>
  <c r="A597" i="13"/>
  <c r="A599" i="13"/>
  <c r="A600" i="13"/>
  <c r="A601" i="13"/>
  <c r="A602" i="13"/>
  <c r="A603" i="13"/>
  <c r="A604" i="13"/>
  <c r="A605" i="13"/>
  <c r="A607" i="13"/>
  <c r="A616" i="13"/>
  <c r="A625" i="13"/>
  <c r="A626" i="13"/>
  <c r="A628" i="13"/>
  <c r="A629" i="13"/>
  <c r="A630" i="13"/>
  <c r="A631" i="13"/>
  <c r="A632" i="13"/>
  <c r="A633" i="13"/>
  <c r="A634" i="13"/>
  <c r="A638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" i="3"/>
  <c r="A9" i="3"/>
  <c r="A15" i="3"/>
  <c r="A50" i="3"/>
  <c r="A51" i="3"/>
  <c r="A52" i="3"/>
  <c r="A53" i="3"/>
  <c r="A74" i="3"/>
  <c r="A75" i="3"/>
  <c r="A77" i="3"/>
  <c r="A92" i="3"/>
  <c r="A95" i="3"/>
  <c r="A96" i="3"/>
  <c r="A109" i="3"/>
  <c r="A111" i="3"/>
  <c r="A130" i="3"/>
  <c r="A131" i="3"/>
  <c r="A133" i="3"/>
  <c r="A134" i="3"/>
  <c r="A160" i="3"/>
  <c r="A162" i="3"/>
  <c r="A170" i="3"/>
  <c r="A171" i="3"/>
  <c r="A174" i="3"/>
  <c r="A198" i="3"/>
  <c r="A199" i="3"/>
  <c r="A200" i="3"/>
  <c r="A202" i="3"/>
  <c r="A203" i="3"/>
  <c r="A204" i="3"/>
  <c r="A205" i="3"/>
  <c r="A219" i="3"/>
  <c r="A221" i="3"/>
  <c r="A244" i="3"/>
  <c r="A245" i="3"/>
  <c r="A247" i="3"/>
  <c r="A265" i="3"/>
  <c r="A283" i="3"/>
  <c r="A302" i="3"/>
  <c r="A309" i="3"/>
  <c r="A321" i="3"/>
  <c r="A336" i="3"/>
  <c r="A338" i="3"/>
  <c r="A339" i="3"/>
  <c r="A341" i="3"/>
  <c r="A359" i="3"/>
  <c r="A361" i="3"/>
  <c r="A380" i="3"/>
  <c r="A382" i="3"/>
  <c r="A392" i="3"/>
  <c r="A395" i="3"/>
  <c r="A396" i="3"/>
  <c r="A409" i="3"/>
  <c r="A418" i="3"/>
  <c r="A419" i="3"/>
  <c r="A422" i="3"/>
  <c r="A438" i="3"/>
  <c r="A441" i="3"/>
  <c r="A450" i="3"/>
  <c r="A453" i="3"/>
  <c r="A466" i="3"/>
  <c r="A469" i="3"/>
  <c r="A492" i="3"/>
  <c r="A493" i="3"/>
  <c r="A495" i="3"/>
  <c r="A497" i="3"/>
  <c r="A506" i="3"/>
  <c r="A517" i="3"/>
  <c r="A519" i="3"/>
  <c r="A520" i="3"/>
  <c r="A540" i="3"/>
  <c r="A542" i="3"/>
  <c r="A559" i="3"/>
  <c r="A560" i="3"/>
  <c r="A562" i="3"/>
  <c r="A563" i="3"/>
  <c r="A588" i="3"/>
  <c r="A590" i="3"/>
  <c r="A606" i="3"/>
  <c r="A608" i="3"/>
  <c r="A609" i="3"/>
  <c r="A611" i="3"/>
  <c r="A627" i="3"/>
  <c r="A629" i="3"/>
  <c r="A630" i="3"/>
  <c r="A658" i="3"/>
  <c r="A659" i="3"/>
  <c r="A661" i="3"/>
  <c r="A662" i="3"/>
  <c r="A682" i="3"/>
  <c r="A683" i="3"/>
  <c r="A685" i="3"/>
  <c r="A698" i="3"/>
  <c r="A699" i="3"/>
  <c r="A701" i="3"/>
  <c r="A702" i="3"/>
  <c r="A712" i="3"/>
  <c r="A713" i="3"/>
  <c r="A726" i="3"/>
  <c r="A728" i="3"/>
  <c r="A729" i="3"/>
  <c r="A739" i="3"/>
  <c r="A752" i="3"/>
  <c r="A754" i="3"/>
  <c r="A768" i="3"/>
  <c r="A770" i="3"/>
  <c r="A771" i="3"/>
  <c r="A786" i="3"/>
  <c r="A788" i="3"/>
  <c r="A807" i="3"/>
  <c r="A808" i="3"/>
  <c r="A810" i="3"/>
  <c r="A811" i="3"/>
  <c r="A821" i="3"/>
  <c r="A839" i="3"/>
  <c r="A840" i="3"/>
  <c r="A843" i="3"/>
  <c r="A844" i="3"/>
  <c r="A853" i="3"/>
  <c r="A865" i="3"/>
  <c r="A868" i="3"/>
  <c r="A869" i="3"/>
  <c r="A872" i="3"/>
  <c r="A888" i="3"/>
  <c r="A891" i="3"/>
  <c r="A892" i="3"/>
  <c r="A906" i="3"/>
  <c r="A909" i="3"/>
  <c r="A910" i="3"/>
  <c r="A922" i="3"/>
  <c r="A925" i="3"/>
  <c r="A926" i="3"/>
  <c r="A931" i="3"/>
  <c r="A942" i="3"/>
  <c r="A943" i="3"/>
  <c r="A944" i="3"/>
  <c r="A946" i="3"/>
  <c r="A949" i="3"/>
  <c r="A967" i="3"/>
  <c r="A969" i="3"/>
  <c r="A988" i="3"/>
  <c r="A996" i="3"/>
  <c r="A997" i="3"/>
  <c r="A999" i="3"/>
  <c r="A1017" i="3"/>
  <c r="A1019" i="3"/>
  <c r="A1027" i="3"/>
  <c r="A1029" i="3"/>
  <c r="A1039" i="3"/>
  <c r="A1049" i="3"/>
  <c r="A1051" i="3"/>
  <c r="A1052" i="3"/>
  <c r="A1085" i="3"/>
  <c r="A1086" i="3"/>
  <c r="A1088" i="3"/>
  <c r="A1115" i="3"/>
  <c r="A1118" i="3"/>
  <c r="A1119" i="3"/>
  <c r="A1120" i="3"/>
  <c r="A1122" i="3"/>
  <c r="A1123" i="3"/>
  <c r="A1124" i="3"/>
  <c r="A1139" i="3"/>
  <c r="A1141" i="3"/>
  <c r="A1142" i="3"/>
  <c r="A1143" i="3"/>
  <c r="A1178" i="3"/>
  <c r="A1179" i="3"/>
  <c r="A1180" i="3"/>
  <c r="A1182" i="3"/>
  <c r="A1183" i="3"/>
  <c r="A1194" i="3"/>
  <c r="A1196" i="3"/>
  <c r="A1197" i="3"/>
  <c r="A1207" i="3"/>
  <c r="A1208" i="3"/>
  <c r="A1209" i="3"/>
  <c r="A1210" i="3"/>
  <c r="A1229" i="3"/>
  <c r="A1231" i="3"/>
  <c r="A1232" i="3"/>
  <c r="A1234" i="3"/>
  <c r="A1235" i="3"/>
  <c r="A1249" i="3"/>
  <c r="A1251" i="3"/>
  <c r="A1252" i="3"/>
  <c r="A1253" i="3"/>
  <c r="A1265" i="3"/>
  <c r="A1266" i="3"/>
  <c r="A1267" i="3"/>
  <c r="A1269" i="3"/>
  <c r="A1270" i="3"/>
  <c r="A1278" i="3"/>
  <c r="A1279" i="3"/>
  <c r="A1289" i="3"/>
  <c r="A1290" i="3"/>
  <c r="A1292" i="3"/>
  <c r="A1293" i="3"/>
  <c r="A1309" i="3"/>
  <c r="A1312" i="3"/>
  <c r="A1313" i="3"/>
  <c r="A1336" i="3"/>
  <c r="A1339" i="3"/>
  <c r="A1340" i="3"/>
  <c r="A1362" i="3"/>
  <c r="A1363" i="3"/>
  <c r="A1364" i="3"/>
  <c r="A1365" i="3"/>
  <c r="A1368" i="3"/>
  <c r="A1369" i="3"/>
  <c r="A1396" i="3"/>
  <c r="A1397" i="3"/>
  <c r="A1398" i="3"/>
  <c r="A1400" i="3"/>
  <c r="A1401" i="3"/>
  <c r="A1419" i="3"/>
  <c r="A1420" i="3"/>
  <c r="A1422" i="3"/>
  <c r="A1434" i="3"/>
  <c r="A1441" i="3"/>
  <c r="A1442" i="3"/>
  <c r="A1444" i="3"/>
  <c r="A1445" i="3"/>
  <c r="A1463" i="3"/>
  <c r="A1465" i="3"/>
  <c r="A1466" i="3"/>
  <c r="A1472" i="3"/>
  <c r="A1483" i="3"/>
  <c r="A1484" i="3"/>
  <c r="A1486" i="3"/>
  <c r="A1487" i="3"/>
  <c r="A1488" i="3"/>
  <c r="A1514" i="3"/>
  <c r="A1516" i="3"/>
  <c r="A1517" i="3"/>
  <c r="A1536" i="3"/>
  <c r="A1538" i="3"/>
  <c r="A1539" i="3"/>
  <c r="A1555" i="3"/>
  <c r="A1557" i="3"/>
  <c r="A1573" i="3"/>
  <c r="A1575" i="3"/>
  <c r="A1578" i="3"/>
  <c r="A1580" i="3"/>
  <c r="A1583" i="3"/>
  <c r="A1589" i="3"/>
  <c r="A1591" i="3"/>
  <c r="A1592" i="3"/>
  <c r="A1624" i="3"/>
  <c r="A1625" i="3"/>
  <c r="A1627" i="3"/>
  <c r="A1644" i="3"/>
  <c r="A1645" i="3"/>
  <c r="A1647" i="3"/>
  <c r="A1671" i="3"/>
  <c r="A1673" i="3"/>
  <c r="A1686" i="3"/>
  <c r="A1688" i="3"/>
  <c r="A1689" i="3"/>
  <c r="A1691" i="3"/>
  <c r="A1694" i="3"/>
  <c r="A1703" i="3"/>
  <c r="A1704" i="3"/>
  <c r="A1706" i="3"/>
  <c r="A1707" i="3"/>
  <c r="A1717" i="3"/>
  <c r="A1741" i="3"/>
  <c r="A1742" i="3"/>
  <c r="A1744" i="3"/>
  <c r="A1745" i="3"/>
  <c r="A1755" i="3"/>
  <c r="A1769" i="3"/>
  <c r="A1771" i="3"/>
  <c r="A1772" i="3"/>
  <c r="A1773" i="3"/>
  <c r="A1790" i="3"/>
  <c r="A1792" i="3"/>
  <c r="A1793" i="3"/>
  <c r="A1797" i="3"/>
  <c r="A1798" i="3"/>
  <c r="A1805" i="3"/>
  <c r="A1807" i="3"/>
  <c r="A1808" i="3"/>
  <c r="A1814" i="3"/>
  <c r="A1820" i="3"/>
  <c r="A1830" i="3"/>
  <c r="A1831" i="3"/>
  <c r="A1832" i="3"/>
  <c r="A1835" i="3"/>
  <c r="A1836" i="3"/>
  <c r="A1839" i="3"/>
  <c r="A1843" i="3"/>
  <c r="A1857" i="3"/>
  <c r="A1858" i="3"/>
  <c r="A1859" i="3"/>
  <c r="A1861" i="3"/>
  <c r="A1862" i="3"/>
  <c r="A1876" i="3"/>
  <c r="A1878" i="3"/>
  <c r="A1879" i="3"/>
  <c r="A1893" i="3"/>
  <c r="A1896" i="3"/>
  <c r="A1897" i="3"/>
  <c r="A1899" i="3"/>
  <c r="A1911" i="3"/>
  <c r="A1913" i="3"/>
  <c r="A1914" i="3"/>
  <c r="A1915" i="3"/>
  <c r="A1918" i="3"/>
  <c r="A1919" i="3"/>
  <c r="A1920" i="3"/>
  <c r="A1923" i="3"/>
  <c r="A1926" i="3"/>
  <c r="A1942" i="3"/>
  <c r="A1944" i="3"/>
  <c r="A1945" i="3"/>
  <c r="A1973" i="3"/>
  <c r="A1975" i="3"/>
  <c r="A1976" i="3"/>
  <c r="A1981" i="3"/>
  <c r="A1990" i="3"/>
  <c r="A1992" i="3"/>
  <c r="A1993" i="3"/>
  <c r="A2019" i="3"/>
  <c r="A2021" i="3"/>
  <c r="A2022" i="3"/>
  <c r="A2036" i="3"/>
  <c r="A2038" i="3"/>
  <c r="A2039" i="3"/>
  <c r="A2042" i="3"/>
  <c r="A2065" i="3"/>
  <c r="A2066" i="3"/>
  <c r="A2068" i="3"/>
  <c r="A2069" i="3"/>
  <c r="A2072" i="3"/>
  <c r="A2100" i="3"/>
  <c r="A2102" i="3"/>
  <c r="A2103" i="3"/>
  <c r="A2104" i="3"/>
  <c r="A2122" i="3"/>
  <c r="A2124" i="3"/>
  <c r="A2125" i="3"/>
  <c r="A2148" i="3"/>
  <c r="A2149" i="3"/>
  <c r="A2151" i="3"/>
  <c r="A2152" i="3"/>
  <c r="A2164" i="3"/>
  <c r="A2166" i="3"/>
  <c r="A2167" i="3"/>
  <c r="A2169" i="3"/>
  <c r="A2171" i="3"/>
  <c r="A2203" i="3"/>
  <c r="A2205" i="3"/>
  <c r="A2206" i="3"/>
  <c r="A2230" i="3"/>
  <c r="A2232" i="3"/>
  <c r="A2250" i="3"/>
  <c r="A2252" i="3"/>
  <c r="A2253" i="3"/>
  <c r="A2275" i="3"/>
  <c r="A2277" i="3"/>
  <c r="A2278" i="3"/>
  <c r="A2290" i="3"/>
  <c r="A2292" i="3"/>
  <c r="A2293" i="3"/>
  <c r="A2299" i="3"/>
  <c r="A2310" i="3"/>
  <c r="A2313" i="3"/>
  <c r="A2314" i="3"/>
  <c r="A2315" i="3"/>
  <c r="A2345" i="3"/>
  <c r="A2347" i="3"/>
  <c r="A2358" i="3"/>
  <c r="A2361" i="3"/>
  <c r="A2377" i="3"/>
  <c r="A2379" i="3"/>
  <c r="A2390" i="3"/>
  <c r="A2391" i="3"/>
  <c r="A2393" i="3"/>
  <c r="A2394" i="3"/>
  <c r="A2419" i="3"/>
  <c r="A2420" i="3"/>
  <c r="A2422" i="3"/>
  <c r="A2423" i="3"/>
  <c r="A2435" i="3"/>
  <c r="A2440" i="3"/>
  <c r="A2462" i="3"/>
  <c r="A2464" i="3"/>
  <c r="A2465" i="3"/>
  <c r="A2481" i="3"/>
  <c r="A2483" i="3"/>
  <c r="A2484" i="3"/>
  <c r="A2485" i="3"/>
  <c r="A2496" i="3"/>
  <c r="A2499" i="3"/>
  <c r="A2500" i="3"/>
  <c r="A2521" i="3"/>
  <c r="A2523" i="3"/>
  <c r="A2524" i="3"/>
  <c r="A2526" i="3"/>
  <c r="A2532" i="3"/>
  <c r="A2542" i="3"/>
  <c r="A2544" i="3"/>
  <c r="A2545" i="3"/>
  <c r="A2566" i="3"/>
  <c r="A2568" i="3"/>
  <c r="A2569" i="3"/>
  <c r="A2587" i="3"/>
  <c r="A2588" i="3"/>
  <c r="A2590" i="3"/>
  <c r="A2591" i="3"/>
  <c r="A2592" i="3"/>
  <c r="A2612" i="3"/>
  <c r="A2613" i="3"/>
  <c r="A2615" i="3"/>
  <c r="A2616" i="3"/>
  <c r="A2631" i="3"/>
  <c r="A2633" i="3"/>
  <c r="A2634" i="3"/>
  <c r="A2637" i="3"/>
  <c r="A2649" i="3"/>
  <c r="A2651" i="3"/>
  <c r="A2652" i="3"/>
  <c r="A2682" i="3"/>
  <c r="A2684" i="3"/>
  <c r="A2685" i="3"/>
  <c r="A2686" i="3"/>
  <c r="A2700" i="3"/>
  <c r="A2702" i="3"/>
  <c r="A2703" i="3"/>
  <c r="A2718" i="3"/>
  <c r="A2720" i="3"/>
  <c r="A2734" i="3"/>
  <c r="A2736" i="3"/>
  <c r="A2737" i="3"/>
  <c r="A2753" i="3"/>
  <c r="A2760" i="3"/>
  <c r="A2764" i="3"/>
  <c r="A2766" i="3"/>
  <c r="A2767" i="3"/>
  <c r="A2768" i="3"/>
  <c r="A2785" i="3"/>
  <c r="A2787" i="3"/>
  <c r="A2803" i="3"/>
  <c r="A2804" i="3"/>
  <c r="A2806" i="3"/>
  <c r="A2824" i="3"/>
  <c r="A2825" i="3"/>
  <c r="A2828" i="3"/>
  <c r="A2841" i="3"/>
  <c r="A2844" i="3"/>
  <c r="A2853" i="3"/>
  <c r="A2874" i="3"/>
  <c r="A2875" i="3"/>
  <c r="A2877" i="3"/>
  <c r="A2878" i="3"/>
  <c r="A2900" i="3"/>
  <c r="A2902" i="3"/>
  <c r="A2907" i="3"/>
  <c r="A2921" i="3"/>
  <c r="A2922" i="3"/>
  <c r="A2924" i="3"/>
  <c r="A2925" i="3"/>
  <c r="A2943" i="3"/>
  <c r="A2946" i="3"/>
  <c r="A2947" i="3"/>
  <c r="A2956" i="3"/>
  <c r="A2964" i="3"/>
  <c r="A2966" i="3"/>
  <c r="A2967" i="3"/>
  <c r="A2969" i="3"/>
  <c r="A2983" i="3"/>
  <c r="A2985" i="3"/>
  <c r="A2986" i="3"/>
  <c r="A3019" i="3"/>
  <c r="A3021" i="3"/>
  <c r="A3022" i="3"/>
  <c r="A3023" i="3"/>
  <c r="A3039" i="3"/>
  <c r="A3041" i="3"/>
  <c r="A3042" i="3"/>
  <c r="A3062" i="3"/>
  <c r="A3064" i="3"/>
  <c r="A3065" i="3"/>
  <c r="A3084" i="3"/>
  <c r="A3085" i="3"/>
  <c r="A3086" i="3"/>
  <c r="A3088" i="3"/>
  <c r="A3089" i="3"/>
  <c r="A3090" i="3"/>
  <c r="A3098" i="3"/>
  <c r="A3108" i="3"/>
  <c r="A3109" i="3"/>
  <c r="A3111" i="3"/>
  <c r="A3112" i="3"/>
  <c r="A3113" i="3"/>
  <c r="A3121" i="3"/>
  <c r="A3139" i="3"/>
  <c r="A3141" i="3"/>
  <c r="A3143" i="3"/>
  <c r="A3144" i="3"/>
  <c r="A3163" i="3"/>
  <c r="A3165" i="3"/>
  <c r="A3166" i="3"/>
  <c r="A3177" i="3"/>
  <c r="A3179" i="3"/>
  <c r="A3180" i="3"/>
  <c r="A3191" i="3"/>
  <c r="A3193" i="3"/>
  <c r="A3194" i="3"/>
  <c r="A3197" i="3"/>
  <c r="A3216" i="3"/>
  <c r="A3219" i="3"/>
  <c r="A3221" i="3"/>
  <c r="A3222" i="3"/>
  <c r="A3250" i="3"/>
  <c r="A3252" i="3"/>
  <c r="A3253" i="3"/>
  <c r="A3255" i="3"/>
  <c r="A3271" i="3"/>
  <c r="A3273" i="3"/>
  <c r="A3274" i="3"/>
  <c r="A3288" i="3"/>
  <c r="A3290" i="3"/>
  <c r="A3291" i="3"/>
  <c r="A3297" i="3"/>
  <c r="A3300" i="3"/>
  <c r="A3301" i="3"/>
  <c r="A3314" i="3"/>
  <c r="A3323" i="3"/>
  <c r="A3324" i="3"/>
  <c r="A3327" i="3"/>
  <c r="A3328" i="3"/>
  <c r="A3329" i="3"/>
  <c r="A3359" i="3"/>
  <c r="A3362" i="3"/>
  <c r="A3363" i="3"/>
  <c r="A3364" i="3"/>
  <c r="A3382" i="3"/>
  <c r="A3384" i="3"/>
  <c r="A3385" i="3"/>
  <c r="A3386" i="3"/>
  <c r="A3407" i="3"/>
  <c r="A3410" i="3"/>
  <c r="A3411" i="3"/>
  <c r="A3412" i="3"/>
  <c r="A3431" i="3"/>
  <c r="A3433" i="3"/>
  <c r="A3434" i="3"/>
  <c r="A3435" i="3"/>
  <c r="A3436" i="3"/>
  <c r="A3452" i="3"/>
  <c r="A3454" i="3"/>
  <c r="A3455" i="3"/>
  <c r="A3456" i="3"/>
  <c r="A3457" i="3"/>
  <c r="A3486" i="3"/>
  <c r="A3488" i="3"/>
  <c r="A3489" i="3"/>
  <c r="A3490" i="3"/>
  <c r="A3511" i="3"/>
  <c r="A3515" i="3"/>
  <c r="A3517" i="3"/>
  <c r="A3518" i="3"/>
  <c r="A3519" i="3"/>
  <c r="A3526" i="3"/>
  <c r="A3531" i="3"/>
  <c r="A3533" i="3"/>
  <c r="A3534" i="3"/>
  <c r="A3535" i="3"/>
  <c r="A3539" i="3"/>
  <c r="A3541" i="3"/>
  <c r="A3548" i="3"/>
  <c r="A3550" i="3"/>
  <c r="A3551" i="3"/>
  <c r="A3552" i="3"/>
  <c r="A3566" i="3"/>
  <c r="A3568" i="3"/>
  <c r="A3569" i="3"/>
  <c r="A3570" i="3"/>
  <c r="A3597" i="3"/>
  <c r="A3598" i="3"/>
  <c r="A3600" i="3"/>
  <c r="A3601" i="3"/>
  <c r="A3632" i="3"/>
  <c r="A3635" i="3"/>
  <c r="A3636" i="3"/>
  <c r="A3648" i="3"/>
  <c r="A3649" i="3"/>
  <c r="A3651" i="3"/>
  <c r="A3652" i="3"/>
  <c r="A3654" i="3"/>
  <c r="A3666" i="3"/>
  <c r="A3668" i="3"/>
  <c r="A3669" i="3"/>
  <c r="A3670" i="3"/>
  <c r="A3692" i="3"/>
  <c r="A3694" i="3"/>
  <c r="A3695" i="3"/>
  <c r="A3719" i="3"/>
  <c r="A3721" i="3"/>
  <c r="A3722" i="3"/>
  <c r="A3733" i="3"/>
  <c r="A3735" i="3"/>
  <c r="A3746" i="3"/>
  <c r="A3747" i="3"/>
  <c r="A3749" i="3"/>
  <c r="A3751" i="3"/>
  <c r="A3755" i="3"/>
  <c r="A3762" i="3"/>
  <c r="A3770" i="3"/>
  <c r="A3772" i="3"/>
  <c r="A3773" i="3"/>
  <c r="A3794" i="3"/>
  <c r="A3797" i="3"/>
  <c r="A3798" i="3"/>
  <c r="A3818" i="3"/>
  <c r="A3819" i="3"/>
  <c r="A3820" i="3"/>
  <c r="A3821" i="3"/>
  <c r="A3822" i="3"/>
  <c r="A3823" i="3"/>
  <c r="A3831" i="3"/>
  <c r="A3833" i="3"/>
  <c r="A3834" i="3"/>
  <c r="A3840" i="3"/>
  <c r="A3841" i="3"/>
  <c r="A3842" i="3"/>
  <c r="A3843" i="3"/>
  <c r="A3845" i="3"/>
  <c r="A3846" i="3"/>
  <c r="A3847" i="3"/>
  <c r="A3864" i="3"/>
  <c r="A3865" i="3"/>
  <c r="A3867" i="3"/>
  <c r="A3868" i="3"/>
  <c r="A3878" i="3"/>
  <c r="A3893" i="3"/>
  <c r="A3896" i="3"/>
  <c r="A3897" i="3"/>
  <c r="A3898" i="3"/>
  <c r="A3920" i="3"/>
  <c r="A3922" i="3"/>
  <c r="A3937" i="3"/>
  <c r="A3939" i="3"/>
  <c r="A3957" i="3"/>
  <c r="A3959" i="3"/>
  <c r="A3960" i="3"/>
  <c r="A3971" i="3"/>
  <c r="A3973" i="3"/>
  <c r="A3974" i="3"/>
  <c r="A3975" i="3"/>
  <c r="A4009" i="3"/>
  <c r="A4011" i="3"/>
  <c r="A4012" i="3"/>
  <c r="A4034" i="3"/>
  <c r="A4035" i="3"/>
  <c r="A4037" i="3"/>
  <c r="A4038" i="3"/>
  <c r="A4058" i="3"/>
  <c r="A4060" i="3"/>
  <c r="A4061" i="3"/>
  <c r="A4070" i="3"/>
  <c r="A4072" i="3"/>
  <c r="A4073" i="3"/>
  <c r="A4082" i="3"/>
  <c r="A4092" i="3"/>
  <c r="A4094" i="3"/>
  <c r="A4095" i="3"/>
  <c r="A4096" i="3"/>
  <c r="A4128" i="3"/>
  <c r="A4130" i="3"/>
  <c r="A4131" i="3"/>
  <c r="A4148" i="3"/>
  <c r="A4150" i="3"/>
  <c r="A4151" i="3"/>
  <c r="A4162" i="3"/>
  <c r="A4164" i="3"/>
  <c r="A4166" i="3"/>
  <c r="A4167" i="3"/>
  <c r="A4181" i="3"/>
  <c r="A4183" i="3"/>
  <c r="A4184" i="3"/>
  <c r="A4204" i="3"/>
  <c r="A4213" i="3"/>
  <c r="A4215" i="3"/>
  <c r="A4216" i="3"/>
  <c r="A4218" i="3"/>
  <c r="A4229" i="3"/>
  <c r="A4250" i="3"/>
  <c r="A4252" i="3"/>
  <c r="A4253" i="3"/>
  <c r="A4274" i="3"/>
  <c r="A4276" i="3"/>
  <c r="A4277" i="3"/>
  <c r="A4291" i="3"/>
  <c r="A4292" i="3"/>
  <c r="A4293" i="3"/>
  <c r="A4295" i="3"/>
  <c r="A4311" i="3"/>
  <c r="A4314" i="3"/>
  <c r="A4315" i="3"/>
  <c r="A4320" i="3"/>
  <c r="A4330" i="3"/>
  <c r="A4331" i="3"/>
  <c r="A4332" i="3"/>
  <c r="A4335" i="3"/>
  <c r="A4336" i="3"/>
  <c r="A4337" i="3"/>
  <c r="A6" i="3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L4797" i="3"/>
  <c r="A7031" i="3"/>
  <c r="A7030" i="3"/>
  <c r="A7029" i="3"/>
  <c r="A7028" i="3"/>
  <c r="A7027" i="3"/>
  <c r="A7026" i="3"/>
  <c r="A7025" i="3"/>
  <c r="A7024" i="3"/>
  <c r="A7023" i="3"/>
  <c r="A7022" i="3"/>
  <c r="A7021" i="3"/>
  <c r="A7020" i="3"/>
  <c r="A7019" i="3"/>
  <c r="A7018" i="3"/>
  <c r="A7017" i="3"/>
  <c r="A7016" i="3"/>
  <c r="A7015" i="3"/>
  <c r="A7014" i="3"/>
  <c r="A7013" i="3"/>
  <c r="A7012" i="3"/>
  <c r="A7011" i="3"/>
  <c r="A7010" i="3"/>
  <c r="A7009" i="3"/>
  <c r="A7008" i="3"/>
  <c r="A7007" i="3"/>
  <c r="A7006" i="3"/>
  <c r="A7005" i="3"/>
  <c r="A7004" i="3"/>
  <c r="A7003" i="3"/>
  <c r="A7002" i="3"/>
  <c r="A7001" i="3"/>
  <c r="A7000" i="3"/>
  <c r="A6999" i="3"/>
  <c r="A6998" i="3"/>
  <c r="A6997" i="3"/>
  <c r="A6996" i="3"/>
  <c r="A6995" i="3"/>
  <c r="A6994" i="3"/>
  <c r="A6993" i="3"/>
  <c r="A6992" i="3"/>
  <c r="A6991" i="3"/>
  <c r="A6990" i="3"/>
  <c r="A6989" i="3"/>
  <c r="A6988" i="3"/>
  <c r="A6987" i="3"/>
  <c r="A6986" i="3"/>
  <c r="A6985" i="3"/>
  <c r="A6984" i="3"/>
  <c r="A6983" i="3"/>
  <c r="A6982" i="3"/>
  <c r="A6981" i="3"/>
  <c r="A6980" i="3"/>
  <c r="A6979" i="3"/>
  <c r="A6978" i="3"/>
  <c r="A6977" i="3"/>
  <c r="A6976" i="3"/>
  <c r="A6975" i="3"/>
  <c r="A6974" i="3"/>
  <c r="A6973" i="3"/>
  <c r="A6972" i="3"/>
  <c r="A6971" i="3"/>
  <c r="A6970" i="3"/>
  <c r="A6969" i="3"/>
  <c r="A6968" i="3"/>
  <c r="A6967" i="3"/>
  <c r="A6966" i="3"/>
  <c r="A6965" i="3"/>
  <c r="A6964" i="3"/>
  <c r="A6963" i="3"/>
  <c r="A6962" i="3"/>
  <c r="A6961" i="3"/>
  <c r="A6960" i="3"/>
  <c r="A6959" i="3"/>
  <c r="A6958" i="3"/>
  <c r="A6957" i="3"/>
  <c r="A6956" i="3"/>
  <c r="A6955" i="3"/>
  <c r="A6954" i="3"/>
  <c r="A6953" i="3"/>
  <c r="A6952" i="3"/>
  <c r="A6951" i="3"/>
  <c r="A6950" i="3"/>
  <c r="A6949" i="3"/>
  <c r="A6948" i="3"/>
  <c r="A6947" i="3"/>
  <c r="A6946" i="3"/>
  <c r="A6945" i="3"/>
  <c r="A6944" i="3"/>
  <c r="A6943" i="3"/>
  <c r="A6942" i="3"/>
  <c r="A6941" i="3"/>
  <c r="A6940" i="3"/>
  <c r="A6939" i="3"/>
  <c r="A6938" i="3"/>
  <c r="A6937" i="3"/>
  <c r="A6936" i="3"/>
  <c r="A6935" i="3"/>
  <c r="A6934" i="3"/>
  <c r="A6933" i="3"/>
  <c r="A6932" i="3"/>
  <c r="A6931" i="3"/>
  <c r="A6930" i="3"/>
  <c r="A6929" i="3"/>
  <c r="A6928" i="3"/>
  <c r="A6927" i="3"/>
  <c r="A6926" i="3"/>
  <c r="A6925" i="3"/>
  <c r="A6924" i="3"/>
  <c r="A6923" i="3"/>
  <c r="A6922" i="3"/>
  <c r="A6921" i="3"/>
  <c r="A6920" i="3"/>
  <c r="A6919" i="3"/>
  <c r="A6918" i="3"/>
  <c r="A6917" i="3"/>
  <c r="A6916" i="3"/>
  <c r="A6915" i="3"/>
  <c r="A6914" i="3"/>
  <c r="A6913" i="3"/>
  <c r="A6912" i="3"/>
  <c r="A6911" i="3"/>
  <c r="A6910" i="3"/>
  <c r="A6909" i="3"/>
  <c r="A6908" i="3"/>
  <c r="A6907" i="3"/>
  <c r="A6906" i="3"/>
  <c r="A6905" i="3"/>
  <c r="A6904" i="3"/>
  <c r="A6903" i="3"/>
  <c r="A6902" i="3"/>
  <c r="A6901" i="3"/>
  <c r="A6900" i="3"/>
  <c r="A6899" i="3"/>
  <c r="A6898" i="3"/>
  <c r="A6897" i="3"/>
  <c r="A6896" i="3"/>
  <c r="A6895" i="3"/>
  <c r="A6894" i="3"/>
  <c r="A6893" i="3"/>
  <c r="A6892" i="3"/>
  <c r="A6891" i="3"/>
  <c r="A6890" i="3"/>
  <c r="A6889" i="3"/>
  <c r="A6888" i="3"/>
  <c r="A6887" i="3"/>
  <c r="A6886" i="3"/>
  <c r="A6885" i="3"/>
  <c r="A6884" i="3"/>
  <c r="A6883" i="3"/>
  <c r="A6882" i="3"/>
  <c r="A6881" i="3"/>
  <c r="A6880" i="3"/>
  <c r="A6879" i="3"/>
  <c r="A6878" i="3"/>
  <c r="A6877" i="3"/>
  <c r="A6876" i="3"/>
  <c r="A6875" i="3"/>
  <c r="A6874" i="3"/>
  <c r="A6873" i="3"/>
  <c r="A6872" i="3"/>
  <c r="A6871" i="3"/>
  <c r="A6870" i="3"/>
  <c r="A6869" i="3"/>
  <c r="A6868" i="3"/>
  <c r="A6867" i="3"/>
  <c r="A6866" i="3"/>
  <c r="A6865" i="3"/>
  <c r="A6864" i="3"/>
  <c r="A6863" i="3"/>
  <c r="A6862" i="3"/>
  <c r="A6861" i="3"/>
  <c r="A6860" i="3"/>
  <c r="A6859" i="3"/>
  <c r="A6858" i="3"/>
  <c r="A6857" i="3"/>
  <c r="A6856" i="3"/>
  <c r="A6855" i="3"/>
  <c r="A6854" i="3"/>
  <c r="A6853" i="3"/>
  <c r="A6852" i="3"/>
  <c r="A6851" i="3"/>
  <c r="A6850" i="3"/>
  <c r="A6849" i="3"/>
  <c r="A6848" i="3"/>
  <c r="A6847" i="3"/>
  <c r="A6846" i="3"/>
  <c r="A6845" i="3"/>
  <c r="A6844" i="3"/>
  <c r="A6843" i="3"/>
  <c r="A6842" i="3"/>
  <c r="A6841" i="3"/>
  <c r="A6840" i="3"/>
  <c r="A1383" i="15"/>
  <c r="A1382" i="15"/>
  <c r="A1381" i="15"/>
  <c r="A1380" i="15"/>
  <c r="A1379" i="15"/>
  <c r="A1378" i="15"/>
  <c r="A1377" i="15"/>
  <c r="A1376" i="15"/>
  <c r="A1375" i="15"/>
  <c r="A1374" i="15"/>
  <c r="A1373" i="15"/>
  <c r="A1372" i="15"/>
  <c r="A1371" i="15"/>
  <c r="A1370" i="15"/>
  <c r="A1369" i="15"/>
  <c r="A1368" i="15"/>
  <c r="A1367" i="15"/>
  <c r="A1366" i="15"/>
  <c r="A1365" i="15"/>
  <c r="A1364" i="15"/>
  <c r="A1363" i="15"/>
  <c r="A1362" i="15"/>
  <c r="A1361" i="15"/>
  <c r="A1360" i="15"/>
  <c r="A1359" i="15"/>
  <c r="A1358" i="15"/>
  <c r="A1357" i="15"/>
  <c r="A1356" i="15"/>
  <c r="A1355" i="15"/>
  <c r="A1354" i="15"/>
  <c r="A1353" i="15"/>
  <c r="A1352" i="15"/>
  <c r="A1351" i="15"/>
  <c r="A1350" i="15"/>
  <c r="A1349" i="15"/>
  <c r="A1348" i="15"/>
  <c r="A1347" i="15"/>
  <c r="A1346" i="15"/>
  <c r="A1345" i="15"/>
  <c r="A1344" i="15"/>
  <c r="A1343" i="15"/>
  <c r="A1342" i="15"/>
  <c r="A1341" i="15"/>
  <c r="A1340" i="15"/>
  <c r="A1339" i="15"/>
  <c r="A1338" i="15"/>
  <c r="A1337" i="15"/>
  <c r="A1336" i="15"/>
  <c r="A1335" i="15"/>
  <c r="A1334" i="15"/>
  <c r="A1333" i="15"/>
  <c r="A1332" i="15"/>
  <c r="A1331" i="15"/>
  <c r="A1330" i="15"/>
  <c r="A1329" i="15"/>
  <c r="A1328" i="15"/>
  <c r="A1327" i="15"/>
  <c r="A1326" i="15"/>
  <c r="A1325" i="15"/>
  <c r="A1324" i="15"/>
  <c r="A1323" i="15"/>
  <c r="A1322" i="15"/>
  <c r="A1321" i="15"/>
  <c r="A1320" i="15"/>
  <c r="A1319" i="15"/>
  <c r="A1318" i="15"/>
  <c r="A1317" i="15"/>
  <c r="A1316" i="15"/>
  <c r="A1315" i="15"/>
  <c r="A1314" i="15"/>
  <c r="A1313" i="15"/>
  <c r="A1312" i="15"/>
  <c r="A1311" i="15"/>
  <c r="A1310" i="15"/>
  <c r="A1309" i="15"/>
  <c r="A1308" i="15"/>
  <c r="A1307" i="15"/>
  <c r="A1306" i="15"/>
  <c r="A1305" i="15"/>
  <c r="A1304" i="15"/>
  <c r="A1303" i="15"/>
  <c r="A1302" i="15"/>
  <c r="A1301" i="15"/>
  <c r="A1300" i="15"/>
  <c r="A1299" i="15"/>
  <c r="A1298" i="15"/>
  <c r="A1297" i="15"/>
  <c r="A1296" i="15"/>
  <c r="A1295" i="15"/>
  <c r="A1294" i="15"/>
  <c r="A1293" i="15"/>
  <c r="A1292" i="15"/>
  <c r="A1291" i="15"/>
  <c r="A1290" i="15"/>
  <c r="A1289" i="15"/>
  <c r="A1288" i="15"/>
  <c r="A1287" i="15"/>
  <c r="A1286" i="15"/>
  <c r="A1285" i="15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C4445" i="3"/>
  <c r="L4760" i="3"/>
  <c r="L4676" i="3"/>
  <c r="L4651" i="3"/>
  <c r="B4648" i="3"/>
  <c r="L4618" i="3"/>
  <c r="L4609" i="3"/>
  <c r="L4537" i="3"/>
  <c r="L4470" i="3"/>
  <c r="L4501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L4334" i="3"/>
  <c r="L4403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C4375" i="3"/>
  <c r="L4354" i="3"/>
  <c r="L4352" i="3"/>
  <c r="L4349" i="3"/>
  <c r="L4340" i="3"/>
  <c r="L4312" i="3"/>
  <c r="L4294" i="3"/>
  <c r="K4330" i="3"/>
  <c r="A952" i="32"/>
  <c r="A951" i="32"/>
  <c r="A950" i="32"/>
  <c r="A949" i="32"/>
  <c r="A948" i="32"/>
  <c r="A947" i="32"/>
  <c r="A946" i="32"/>
  <c r="A945" i="32"/>
  <c r="A944" i="32"/>
  <c r="A943" i="32"/>
  <c r="A942" i="32"/>
  <c r="A941" i="32"/>
  <c r="A940" i="32"/>
  <c r="A939" i="32"/>
  <c r="A938" i="32"/>
  <c r="A937" i="32"/>
  <c r="A936" i="32"/>
  <c r="A935" i="32"/>
  <c r="A934" i="32"/>
  <c r="A933" i="32"/>
  <c r="A932" i="32"/>
  <c r="A931" i="32"/>
  <c r="A930" i="32"/>
  <c r="A929" i="32"/>
  <c r="A928" i="32"/>
  <c r="A927" i="32"/>
  <c r="A926" i="32"/>
  <c r="A925" i="32"/>
  <c r="A924" i="32"/>
  <c r="A923" i="32"/>
  <c r="A922" i="32"/>
  <c r="A921" i="32"/>
  <c r="A920" i="32"/>
  <c r="A919" i="32"/>
  <c r="A918" i="32"/>
  <c r="A917" i="32"/>
  <c r="A916" i="32"/>
  <c r="A915" i="32"/>
  <c r="A914" i="32"/>
  <c r="A913" i="32"/>
  <c r="A912" i="32"/>
  <c r="A911" i="32"/>
  <c r="A910" i="32"/>
  <c r="A909" i="32"/>
  <c r="A908" i="32"/>
  <c r="A907" i="32"/>
  <c r="A906" i="32"/>
  <c r="A905" i="32"/>
  <c r="A904" i="32"/>
  <c r="A903" i="32"/>
  <c r="A902" i="32"/>
  <c r="A901" i="32"/>
  <c r="A900" i="32"/>
  <c r="A899" i="32"/>
  <c r="A898" i="32"/>
  <c r="A897" i="32"/>
  <c r="A896" i="32"/>
  <c r="A895" i="32"/>
  <c r="A894" i="32"/>
  <c r="A893" i="32"/>
  <c r="A892" i="32"/>
  <c r="A891" i="32"/>
  <c r="A890" i="32"/>
  <c r="A889" i="32"/>
  <c r="A888" i="32"/>
  <c r="A887" i="32"/>
  <c r="A886" i="32"/>
  <c r="A885" i="32"/>
  <c r="A884" i="32"/>
  <c r="A883" i="32"/>
  <c r="A882" i="32"/>
  <c r="A881" i="32"/>
  <c r="A880" i="32"/>
  <c r="A879" i="32"/>
  <c r="A878" i="32"/>
  <c r="A877" i="32"/>
  <c r="A876" i="32"/>
  <c r="A875" i="32"/>
  <c r="A874" i="32"/>
  <c r="A873" i="32"/>
  <c r="A872" i="32"/>
  <c r="A871" i="32"/>
  <c r="A870" i="32"/>
  <c r="A869" i="32"/>
  <c r="A868" i="32"/>
  <c r="A867" i="32"/>
  <c r="A866" i="32"/>
  <c r="A865" i="32"/>
  <c r="A864" i="32"/>
  <c r="A863" i="32"/>
  <c r="A862" i="32"/>
  <c r="A861" i="32"/>
  <c r="A860" i="32"/>
  <c r="A859" i="32"/>
  <c r="A858" i="32"/>
  <c r="A857" i="32"/>
  <c r="A856" i="32"/>
  <c r="A855" i="32"/>
  <c r="A854" i="32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C2121" i="34"/>
  <c r="C2122" i="34" s="1"/>
  <c r="C2123" i="34" s="1"/>
  <c r="C2124" i="34" s="1"/>
  <c r="C2125" i="34" s="1"/>
  <c r="C2126" i="34" s="1"/>
  <c r="C2127" i="34" s="1"/>
  <c r="C2128" i="34" s="1"/>
  <c r="C2129" i="34" s="1"/>
  <c r="C2130" i="34" s="1"/>
  <c r="C2131" i="34" s="1"/>
  <c r="C2132" i="34" s="1"/>
  <c r="C2133" i="34" s="1"/>
  <c r="C2134" i="34" s="1"/>
  <c r="C2135" i="34" s="1"/>
  <c r="C2136" i="34" s="1"/>
  <c r="C2137" i="34" s="1"/>
  <c r="C2138" i="34" s="1"/>
  <c r="C2139" i="34" s="1"/>
  <c r="C2140" i="34" s="1"/>
  <c r="C2141" i="34" s="1"/>
  <c r="C2142" i="34" s="1"/>
  <c r="C2143" i="34" s="1"/>
  <c r="C2144" i="34" s="1"/>
  <c r="C2145" i="34" s="1"/>
  <c r="C2146" i="34" s="1"/>
  <c r="C2147" i="34" s="1"/>
  <c r="C2148" i="34" s="1"/>
  <c r="C2149" i="34" s="1"/>
  <c r="C2150" i="34" s="1"/>
  <c r="C2151" i="34" s="1"/>
  <c r="C2152" i="34" s="1"/>
  <c r="C2153" i="34" s="1"/>
  <c r="C2154" i="34" s="1"/>
  <c r="C2155" i="34" s="1"/>
  <c r="C2156" i="34" s="1"/>
  <c r="C2157" i="34" s="1"/>
  <c r="C2158" i="34" s="1"/>
  <c r="C2159" i="34" s="1"/>
  <c r="C2160" i="34" s="1"/>
  <c r="C2161" i="34" s="1"/>
  <c r="C2162" i="34" s="1"/>
  <c r="C2163" i="34" s="1"/>
  <c r="C2164" i="34" s="1"/>
  <c r="C2165" i="34" s="1"/>
  <c r="C2166" i="34" s="1"/>
  <c r="C2167" i="34" s="1"/>
  <c r="C2168" i="34" s="1"/>
  <c r="C2169" i="34" s="1"/>
  <c r="C2170" i="34" s="1"/>
  <c r="C2171" i="34" s="1"/>
  <c r="C2172" i="34" s="1"/>
  <c r="C2173" i="34" s="1"/>
  <c r="C2174" i="34" s="1"/>
  <c r="C2175" i="34" s="1"/>
  <c r="C2176" i="34" s="1"/>
  <c r="C2177" i="34" s="1"/>
  <c r="C2179" i="34" s="1"/>
  <c r="C2180" i="34" s="1"/>
  <c r="C2181" i="34" s="1"/>
  <c r="C2182" i="34" s="1"/>
  <c r="C2183" i="34" s="1"/>
  <c r="C2184" i="34" s="1"/>
  <c r="C2185" i="34" s="1"/>
  <c r="C2186" i="34" s="1"/>
  <c r="C2187" i="34" s="1"/>
  <c r="C2188" i="34" s="1"/>
  <c r="C2189" i="34" s="1"/>
  <c r="C2190" i="34" s="1"/>
  <c r="C2191" i="34" s="1"/>
  <c r="C2192" i="34" s="1"/>
  <c r="C2193" i="34" s="1"/>
  <c r="C2194" i="34" s="1"/>
  <c r="C2195" i="34" s="1"/>
  <c r="C2196" i="34" s="1"/>
  <c r="C2197" i="34" s="1"/>
  <c r="C2198" i="34" s="1"/>
  <c r="C2199" i="34" s="1"/>
  <c r="C2200" i="34" s="1"/>
  <c r="C2201" i="34" s="1"/>
  <c r="C2202" i="34" s="1"/>
  <c r="C2203" i="34" s="1"/>
  <c r="C2204" i="34" s="1"/>
  <c r="C2205" i="34" s="1"/>
  <c r="C2206" i="34" s="1"/>
  <c r="C2207" i="34" s="1"/>
  <c r="C2208" i="34" s="1"/>
  <c r="C2209" i="34" s="1"/>
  <c r="C2210" i="34" s="1"/>
  <c r="C2211" i="34" s="1"/>
  <c r="C2212" i="34" s="1"/>
  <c r="C2213" i="34" s="1"/>
  <c r="C2214" i="34" s="1"/>
  <c r="C2215" i="34" s="1"/>
  <c r="C2216" i="34" s="1"/>
  <c r="C2217" i="34" s="1"/>
  <c r="C2218" i="34" s="1"/>
  <c r="C2219" i="34" s="1"/>
  <c r="C2220" i="34" s="1"/>
  <c r="C2221" i="34" s="1"/>
  <c r="C2222" i="34" s="1"/>
  <c r="C2223" i="34" s="1"/>
  <c r="C2224" i="34" s="1"/>
  <c r="C2225" i="34" s="1"/>
  <c r="C2226" i="34" s="1"/>
  <c r="C2227" i="34" s="1"/>
  <c r="C2228" i="34" s="1"/>
  <c r="C2229" i="34" s="1"/>
  <c r="C2230" i="34" s="1"/>
  <c r="C2231" i="34" s="1"/>
  <c r="C2232" i="34" s="1"/>
  <c r="C2233" i="34" s="1"/>
  <c r="C2234" i="34" s="1"/>
  <c r="L4275" i="3"/>
  <c r="L4251" i="3"/>
  <c r="M6516" i="3"/>
  <c r="M6517" i="3" s="1"/>
  <c r="A6018" i="3"/>
  <c r="A6031" i="3"/>
  <c r="A6032" i="3"/>
  <c r="A6034" i="3"/>
  <c r="A6035" i="3"/>
  <c r="A6042" i="3"/>
  <c r="A6052" i="3"/>
  <c r="A6058" i="3"/>
  <c r="A6059" i="3"/>
  <c r="A6060" i="3"/>
  <c r="A6073" i="3"/>
  <c r="A6078" i="3"/>
  <c r="A6080" i="3"/>
  <c r="A6081" i="3"/>
  <c r="A6083" i="3"/>
  <c r="A6084" i="3"/>
  <c r="A6085" i="3"/>
  <c r="A6122" i="3"/>
  <c r="A6124" i="3"/>
  <c r="A6125" i="3"/>
  <c r="A6126" i="3"/>
  <c r="A6127" i="3"/>
  <c r="A6128" i="3"/>
  <c r="A6129" i="3"/>
  <c r="A6130" i="3"/>
  <c r="A6131" i="3"/>
  <c r="A6137" i="3"/>
  <c r="A6138" i="3"/>
  <c r="A6140" i="3"/>
  <c r="A6141" i="3"/>
  <c r="A6142" i="3"/>
  <c r="A6143" i="3"/>
  <c r="A6146" i="3"/>
  <c r="A6147" i="3"/>
  <c r="A6148" i="3"/>
  <c r="A6149" i="3"/>
  <c r="A6150" i="3"/>
  <c r="A6151" i="3"/>
  <c r="A6152" i="3"/>
  <c r="A6153" i="3"/>
  <c r="A6154" i="3"/>
  <c r="A6155" i="3"/>
  <c r="A6158" i="3"/>
  <c r="A6159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3" i="3"/>
  <c r="A6184" i="3"/>
  <c r="A6186" i="3"/>
  <c r="A6189" i="3"/>
  <c r="A6191" i="3"/>
  <c r="A6192" i="3"/>
  <c r="A6193" i="3"/>
  <c r="A6194" i="3"/>
  <c r="A6198" i="3"/>
  <c r="A6199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L4214" i="3"/>
  <c r="L4182" i="3"/>
  <c r="J816" i="13"/>
  <c r="L4186" i="3"/>
  <c r="L4200" i="3"/>
  <c r="L4165" i="3"/>
  <c r="L4149" i="3"/>
  <c r="A6011" i="3"/>
  <c r="A6013" i="3"/>
  <c r="A6014" i="3"/>
  <c r="L4129" i="3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584" i="32"/>
  <c r="A585" i="32"/>
  <c r="A586" i="32"/>
  <c r="A587" i="32"/>
  <c r="A588" i="32"/>
  <c r="A589" i="32"/>
  <c r="A590" i="32"/>
  <c r="A593" i="32"/>
  <c r="A595" i="32"/>
  <c r="A596" i="32"/>
  <c r="A597" i="32"/>
  <c r="A598" i="32"/>
  <c r="A599" i="32"/>
  <c r="A600" i="32"/>
  <c r="A601" i="32"/>
  <c r="A602" i="32"/>
  <c r="A603" i="32"/>
  <c r="A604" i="32"/>
  <c r="A605" i="32"/>
  <c r="A606" i="32"/>
  <c r="A607" i="32"/>
  <c r="A608" i="32"/>
  <c r="A609" i="32"/>
  <c r="A610" i="32"/>
  <c r="A611" i="32"/>
  <c r="A612" i="32"/>
  <c r="A613" i="32"/>
  <c r="A614" i="32"/>
  <c r="A615" i="32"/>
  <c r="A616" i="32"/>
  <c r="A617" i="32"/>
  <c r="A618" i="32"/>
  <c r="A619" i="32"/>
  <c r="A620" i="32"/>
  <c r="A621" i="32"/>
  <c r="A622" i="32"/>
  <c r="A623" i="32"/>
  <c r="A624" i="32"/>
  <c r="A625" i="32"/>
  <c r="A626" i="32"/>
  <c r="A627" i="32"/>
  <c r="A628" i="32"/>
  <c r="A629" i="32"/>
  <c r="A630" i="32"/>
  <c r="A631" i="32"/>
  <c r="A632" i="32"/>
  <c r="A633" i="32"/>
  <c r="A634" i="32"/>
  <c r="A635" i="32"/>
  <c r="A636" i="32"/>
  <c r="A637" i="32"/>
  <c r="A638" i="32"/>
  <c r="A639" i="32"/>
  <c r="A640" i="32"/>
  <c r="A641" i="32"/>
  <c r="A642" i="32"/>
  <c r="A643" i="32"/>
  <c r="A644" i="32"/>
  <c r="A645" i="32"/>
  <c r="A646" i="32"/>
  <c r="A647" i="32"/>
  <c r="A648" i="32"/>
  <c r="A649" i="32"/>
  <c r="A650" i="32"/>
  <c r="A689" i="32"/>
  <c r="A693" i="32"/>
  <c r="A694" i="32"/>
  <c r="A695" i="32"/>
  <c r="A696" i="32"/>
  <c r="A697" i="32"/>
  <c r="A698" i="32"/>
  <c r="A699" i="32"/>
  <c r="A700" i="32"/>
  <c r="A701" i="32"/>
  <c r="A702" i="32"/>
  <c r="A703" i="32"/>
  <c r="A704" i="32"/>
  <c r="A705" i="32"/>
  <c r="A706" i="32"/>
  <c r="A707" i="32"/>
  <c r="A708" i="32"/>
  <c r="A709" i="32"/>
  <c r="A710" i="32"/>
  <c r="A711" i="32"/>
  <c r="A712" i="32"/>
  <c r="A713" i="32"/>
  <c r="A714" i="32"/>
  <c r="A715" i="32"/>
  <c r="A716" i="32"/>
  <c r="A717" i="32"/>
  <c r="A718" i="32"/>
  <c r="A719" i="32"/>
  <c r="A720" i="32"/>
  <c r="A721" i="32"/>
  <c r="A722" i="32"/>
  <c r="A723" i="32"/>
  <c r="A724" i="32"/>
  <c r="A725" i="32"/>
  <c r="A726" i="32"/>
  <c r="A727" i="32"/>
  <c r="A728" i="32"/>
  <c r="A729" i="32"/>
  <c r="A730" i="32"/>
  <c r="A731" i="32"/>
  <c r="A732" i="32"/>
  <c r="A733" i="32"/>
  <c r="A734" i="32"/>
  <c r="A735" i="32"/>
  <c r="A736" i="32"/>
  <c r="A737" i="32"/>
  <c r="A738" i="32"/>
  <c r="A739" i="32"/>
  <c r="A740" i="32"/>
  <c r="A741" i="32"/>
  <c r="L4134" i="3"/>
  <c r="L4133" i="3"/>
  <c r="L4010" i="3"/>
  <c r="L4039" i="3"/>
  <c r="L3921" i="3"/>
  <c r="L3326" i="3"/>
  <c r="L3895" i="3"/>
  <c r="C1945" i="34"/>
  <c r="C1946" i="34"/>
  <c r="C1947" i="34"/>
  <c r="C1948" i="34"/>
  <c r="C1949" i="34"/>
  <c r="C1950" i="34"/>
  <c r="C1951" i="34"/>
  <c r="C1952" i="34"/>
  <c r="C1953" i="34"/>
  <c r="C1954" i="34"/>
  <c r="C1955" i="34"/>
  <c r="C1956" i="34"/>
  <c r="C1957" i="34"/>
  <c r="C1958" i="34"/>
  <c r="C1959" i="34"/>
  <c r="C1960" i="34"/>
  <c r="C1961" i="34"/>
  <c r="C1962" i="34"/>
  <c r="C1963" i="34"/>
  <c r="C1964" i="34"/>
  <c r="C1965" i="34"/>
  <c r="C1966" i="34"/>
  <c r="C1967" i="34"/>
  <c r="C1968" i="34"/>
  <c r="C1969" i="34"/>
  <c r="C1970" i="34"/>
  <c r="C1971" i="34"/>
  <c r="C1972" i="34"/>
  <c r="C1973" i="34"/>
  <c r="C1974" i="34"/>
  <c r="C1975" i="34"/>
  <c r="C1976" i="34"/>
  <c r="C1977" i="34"/>
  <c r="C1978" i="34"/>
  <c r="C1979" i="34"/>
  <c r="C1980" i="34"/>
  <c r="C1981" i="34"/>
  <c r="C1982" i="34"/>
  <c r="C1983" i="34"/>
  <c r="C1984" i="34"/>
  <c r="C1985" i="34"/>
  <c r="C1986" i="34"/>
  <c r="C1987" i="34"/>
  <c r="C1988" i="34"/>
  <c r="C1989" i="34"/>
  <c r="C1990" i="34"/>
  <c r="C1991" i="34"/>
  <c r="C1992" i="34"/>
  <c r="C1993" i="34"/>
  <c r="C1994" i="34"/>
  <c r="C1995" i="34"/>
  <c r="C1996" i="34"/>
  <c r="C1997" i="34"/>
  <c r="C1998" i="34"/>
  <c r="C2000" i="34"/>
  <c r="C2001" i="34"/>
  <c r="C2002" i="34"/>
  <c r="C2003" i="34"/>
  <c r="C2004" i="34"/>
  <c r="C2005" i="34"/>
  <c r="C2006" i="34"/>
  <c r="C2007" i="34"/>
  <c r="C2008" i="34"/>
  <c r="C2009" i="34"/>
  <c r="C2010" i="34" s="1"/>
  <c r="C2011" i="34" s="1"/>
  <c r="C2012" i="34" s="1"/>
  <c r="C2013" i="34" s="1"/>
  <c r="C2014" i="34" s="1"/>
  <c r="C2015" i="34" s="1"/>
  <c r="C2016" i="34" s="1"/>
  <c r="C2017" i="34" s="1"/>
  <c r="C2018" i="34" s="1"/>
  <c r="C2019" i="34" s="1"/>
  <c r="C2020" i="34" s="1"/>
  <c r="C2021" i="34" s="1"/>
  <c r="C2022" i="34" s="1"/>
  <c r="C2023" i="34" s="1"/>
  <c r="C2024" i="34" s="1"/>
  <c r="C2025" i="34" s="1"/>
  <c r="C2026" i="34" s="1"/>
  <c r="C2027" i="34" s="1"/>
  <c r="C2028" i="34" s="1"/>
  <c r="C2029" i="34" s="1"/>
  <c r="C2030" i="34" s="1"/>
  <c r="C2031" i="34" s="1"/>
  <c r="C2032" i="34" s="1"/>
  <c r="C2033" i="34" s="1"/>
  <c r="C2034" i="34" s="1"/>
  <c r="C2035" i="34" s="1"/>
  <c r="C2036" i="34" s="1"/>
  <c r="C2037" i="34" s="1"/>
  <c r="C2038" i="34" s="1"/>
  <c r="C2039" i="34" s="1"/>
  <c r="C2040" i="34" s="1"/>
  <c r="C2041" i="34" s="1"/>
  <c r="C2042" i="34" s="1"/>
  <c r="C2043" i="34" s="1"/>
  <c r="C2044" i="34" s="1"/>
  <c r="C2045" i="34" s="1"/>
  <c r="C2046" i="34" s="1"/>
  <c r="C2047" i="34" s="1"/>
  <c r="C2048" i="34" s="1"/>
  <c r="C2049" i="34" s="1"/>
  <c r="C2050" i="34" s="1"/>
  <c r="C2051" i="34" s="1"/>
  <c r="C2052" i="34" s="1"/>
  <c r="C2053" i="34" s="1"/>
  <c r="C2054" i="34" s="1"/>
  <c r="C2055" i="34" s="1"/>
  <c r="L3902" i="3"/>
  <c r="L3866" i="3"/>
  <c r="Q239" i="6"/>
  <c r="P239" i="6"/>
  <c r="Q238" i="6"/>
  <c r="P238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L3868" i="3"/>
  <c r="A853" i="32"/>
  <c r="O15" i="6"/>
  <c r="A5568" i="3"/>
  <c r="A5570" i="3"/>
  <c r="A5571" i="3"/>
  <c r="A5572" i="3"/>
  <c r="A5580" i="3"/>
  <c r="A5585" i="3"/>
  <c r="A5591" i="3"/>
  <c r="A5593" i="3"/>
  <c r="A5594" i="3"/>
  <c r="A5598" i="3"/>
  <c r="A5631" i="3"/>
  <c r="A5634" i="3"/>
  <c r="A5635" i="3"/>
  <c r="A5659" i="3"/>
  <c r="A5668" i="3"/>
  <c r="A5675" i="3"/>
  <c r="A5676" i="3"/>
  <c r="A5677" i="3"/>
  <c r="A5798" i="3"/>
  <c r="A5801" i="3"/>
  <c r="A5802" i="3"/>
  <c r="A5813" i="3"/>
  <c r="A5814" i="3"/>
  <c r="A5815" i="3"/>
  <c r="A5816" i="3"/>
  <c r="A5818" i="3"/>
  <c r="A5819" i="3"/>
  <c r="A5831" i="3"/>
  <c r="A5833" i="3"/>
  <c r="A5834" i="3"/>
  <c r="A5836" i="3"/>
  <c r="A5837" i="3"/>
  <c r="A5838" i="3"/>
  <c r="A5840" i="3"/>
  <c r="A5845" i="3"/>
  <c r="A5851" i="3"/>
  <c r="A5852" i="3"/>
  <c r="A5864" i="3"/>
  <c r="A5866" i="3"/>
  <c r="A5867" i="3"/>
  <c r="A5882" i="3"/>
  <c r="A5883" i="3"/>
  <c r="A5884" i="3"/>
  <c r="A5886" i="3"/>
  <c r="A5887" i="3"/>
  <c r="A5888" i="3"/>
  <c r="A5901" i="3"/>
  <c r="A5903" i="3"/>
  <c r="A5904" i="3"/>
  <c r="A5905" i="3"/>
  <c r="A5906" i="3"/>
  <c r="A5907" i="3"/>
  <c r="A5921" i="3"/>
  <c r="A5923" i="3"/>
  <c r="A5925" i="3"/>
  <c r="A5926" i="3"/>
  <c r="A5940" i="3"/>
  <c r="A5946" i="3"/>
  <c r="A5947" i="3"/>
  <c r="A5961" i="3"/>
  <c r="A5964" i="3"/>
  <c r="A5970" i="3"/>
  <c r="A5985" i="3"/>
  <c r="A5987" i="3"/>
  <c r="A5988" i="3"/>
  <c r="A5989" i="3"/>
  <c r="A5994" i="3"/>
  <c r="L3795" i="3"/>
  <c r="L3771" i="3"/>
  <c r="L3805" i="3"/>
  <c r="L3804" i="3"/>
  <c r="L3801" i="3"/>
  <c r="L3778" i="3"/>
  <c r="L3608" i="3"/>
  <c r="L3748" i="3"/>
  <c r="L3734" i="3"/>
  <c r="L3720" i="3"/>
  <c r="L3693" i="3"/>
  <c r="J379" i="32"/>
  <c r="A330" i="6"/>
  <c r="L3667" i="3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783" i="15"/>
  <c r="A784" i="15"/>
  <c r="A785" i="15"/>
  <c r="A786" i="15"/>
  <c r="A787" i="15"/>
  <c r="A788" i="15"/>
  <c r="A789" i="15"/>
  <c r="A790" i="15"/>
  <c r="A791" i="15"/>
  <c r="A792" i="15"/>
  <c r="A793" i="15"/>
  <c r="A794" i="15"/>
  <c r="A795" i="15"/>
  <c r="A796" i="15"/>
  <c r="A797" i="15"/>
  <c r="A798" i="15"/>
  <c r="A799" i="15"/>
  <c r="A800" i="15"/>
  <c r="A801" i="15"/>
  <c r="A802" i="15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L3650" i="3"/>
  <c r="L3634" i="3"/>
  <c r="L3633" i="3"/>
  <c r="L3599" i="3"/>
  <c r="L3567" i="3"/>
  <c r="C3614" i="3"/>
  <c r="C3615" i="3" s="1"/>
  <c r="C3616" i="3" s="1"/>
  <c r="C3617" i="3" s="1"/>
  <c r="C3618" i="3" s="1"/>
  <c r="C3619" i="3" s="1"/>
  <c r="C3620" i="3" s="1"/>
  <c r="C3621" i="3" s="1"/>
  <c r="L3549" i="3"/>
  <c r="L3532" i="3"/>
  <c r="A329" i="6"/>
  <c r="L3516" i="3"/>
  <c r="A328" i="6"/>
  <c r="L3487" i="3"/>
  <c r="L3453" i="3"/>
  <c r="L3432" i="3"/>
  <c r="L3409" i="3"/>
  <c r="L3383" i="3"/>
  <c r="L3408" i="3"/>
  <c r="L2827" i="3"/>
  <c r="L3437" i="3"/>
  <c r="L3361" i="3"/>
  <c r="L3299" i="3"/>
  <c r="L3298" i="3"/>
  <c r="A324" i="11"/>
  <c r="A325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27" i="6"/>
  <c r="A742" i="32"/>
  <c r="A743" i="32"/>
  <c r="A744" i="32"/>
  <c r="A745" i="32"/>
  <c r="A746" i="32"/>
  <c r="A747" i="32"/>
  <c r="A748" i="32"/>
  <c r="A749" i="32"/>
  <c r="A750" i="32"/>
  <c r="A751" i="32"/>
  <c r="A752" i="32"/>
  <c r="A753" i="32"/>
  <c r="A754" i="32"/>
  <c r="A755" i="32"/>
  <c r="A756" i="32"/>
  <c r="A757" i="32"/>
  <c r="A758" i="32"/>
  <c r="A759" i="32"/>
  <c r="A760" i="32"/>
  <c r="A761" i="32"/>
  <c r="A762" i="32"/>
  <c r="A763" i="32"/>
  <c r="A764" i="32"/>
  <c r="A765" i="32"/>
  <c r="A766" i="32"/>
  <c r="A767" i="32"/>
  <c r="A768" i="32"/>
  <c r="A769" i="32"/>
  <c r="A770" i="32"/>
  <c r="A771" i="32"/>
  <c r="A772" i="32"/>
  <c r="A773" i="32"/>
  <c r="A774" i="32"/>
  <c r="A775" i="32"/>
  <c r="A776" i="32"/>
  <c r="A777" i="32"/>
  <c r="A778" i="32"/>
  <c r="A779" i="32"/>
  <c r="A780" i="32"/>
  <c r="A781" i="32"/>
  <c r="A782" i="32"/>
  <c r="A783" i="32"/>
  <c r="A784" i="32"/>
  <c r="A785" i="32"/>
  <c r="A786" i="32"/>
  <c r="A787" i="32"/>
  <c r="A788" i="32"/>
  <c r="A789" i="32"/>
  <c r="A790" i="32"/>
  <c r="A791" i="32"/>
  <c r="A792" i="32"/>
  <c r="A793" i="32"/>
  <c r="A794" i="32"/>
  <c r="A795" i="32"/>
  <c r="A796" i="32"/>
  <c r="A797" i="32"/>
  <c r="A798" i="32"/>
  <c r="A799" i="32"/>
  <c r="A800" i="32"/>
  <c r="A801" i="32"/>
  <c r="A802" i="32"/>
  <c r="A803" i="32"/>
  <c r="A804" i="32"/>
  <c r="A805" i="32"/>
  <c r="A806" i="32"/>
  <c r="A807" i="32"/>
  <c r="A808" i="32"/>
  <c r="A809" i="32"/>
  <c r="A810" i="32"/>
  <c r="A811" i="32"/>
  <c r="A812" i="32"/>
  <c r="A813" i="32"/>
  <c r="A814" i="32"/>
  <c r="A815" i="32"/>
  <c r="A816" i="32"/>
  <c r="A817" i="32"/>
  <c r="A818" i="32"/>
  <c r="A819" i="32"/>
  <c r="A820" i="32"/>
  <c r="A821" i="32"/>
  <c r="A822" i="32"/>
  <c r="A823" i="32"/>
  <c r="A824" i="32"/>
  <c r="A825" i="32"/>
  <c r="A826" i="32"/>
  <c r="A827" i="32"/>
  <c r="A828" i="32"/>
  <c r="A829" i="32"/>
  <c r="A830" i="32"/>
  <c r="A831" i="32"/>
  <c r="A832" i="32"/>
  <c r="A833" i="32"/>
  <c r="A834" i="32"/>
  <c r="A835" i="32"/>
  <c r="A836" i="32"/>
  <c r="A837" i="32"/>
  <c r="A838" i="32"/>
  <c r="A839" i="32"/>
  <c r="A840" i="32"/>
  <c r="A841" i="32"/>
  <c r="A842" i="32"/>
  <c r="A843" i="32"/>
  <c r="A844" i="32"/>
  <c r="A845" i="32"/>
  <c r="A846" i="32"/>
  <c r="A847" i="32"/>
  <c r="A848" i="32"/>
  <c r="A849" i="32"/>
  <c r="A850" i="32"/>
  <c r="A851" i="32"/>
  <c r="A852" i="32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997" i="15"/>
  <c r="A998" i="15"/>
  <c r="A999" i="15"/>
  <c r="A1000" i="15"/>
  <c r="A1001" i="15"/>
  <c r="A1002" i="15"/>
  <c r="A1003" i="15"/>
  <c r="A1004" i="15"/>
  <c r="A1005" i="15"/>
  <c r="A1006" i="15"/>
  <c r="A1007" i="15"/>
  <c r="A1008" i="15"/>
  <c r="A1009" i="15"/>
  <c r="A1010" i="15"/>
  <c r="A1011" i="15"/>
  <c r="A1012" i="15"/>
  <c r="A1013" i="15"/>
  <c r="A1014" i="15"/>
  <c r="A1015" i="15"/>
  <c r="A1016" i="15"/>
  <c r="A1017" i="15"/>
  <c r="A1018" i="15"/>
  <c r="A1019" i="15"/>
  <c r="A1020" i="15"/>
  <c r="A1021" i="15"/>
  <c r="A1022" i="15"/>
  <c r="A1023" i="15"/>
  <c r="A1024" i="15"/>
  <c r="A1025" i="15"/>
  <c r="A1026" i="15"/>
  <c r="A1027" i="15"/>
  <c r="A1028" i="15"/>
  <c r="A1029" i="15"/>
  <c r="A1030" i="15"/>
  <c r="A1031" i="15"/>
  <c r="A1032" i="15"/>
  <c r="A1033" i="15"/>
  <c r="A1034" i="15"/>
  <c r="A1035" i="15"/>
  <c r="A1036" i="15"/>
  <c r="A1037" i="15"/>
  <c r="A1038" i="15"/>
  <c r="A1039" i="15"/>
  <c r="A1040" i="15"/>
  <c r="A1041" i="15"/>
  <c r="A1042" i="15"/>
  <c r="A1043" i="15"/>
  <c r="A1044" i="15"/>
  <c r="A1045" i="15"/>
  <c r="A1046" i="15"/>
  <c r="A1047" i="15"/>
  <c r="A1048" i="15"/>
  <c r="A1049" i="15"/>
  <c r="A1050" i="15"/>
  <c r="A1051" i="15"/>
  <c r="A1052" i="15"/>
  <c r="A1053" i="15"/>
  <c r="A1054" i="15"/>
  <c r="A1055" i="15"/>
  <c r="A1056" i="15"/>
  <c r="A1057" i="15"/>
  <c r="A1058" i="15"/>
  <c r="A1059" i="15"/>
  <c r="A1060" i="15"/>
  <c r="A1061" i="15"/>
  <c r="A1062" i="15"/>
  <c r="A1063" i="15"/>
  <c r="A1064" i="15"/>
  <c r="A1065" i="15"/>
  <c r="A1066" i="15"/>
  <c r="A1067" i="15"/>
  <c r="A1068" i="15"/>
  <c r="A1069" i="15"/>
  <c r="A1070" i="15"/>
  <c r="A1071" i="15"/>
  <c r="A1072" i="15"/>
  <c r="A1073" i="15"/>
  <c r="A1074" i="15"/>
  <c r="A1075" i="15"/>
  <c r="A1076" i="15"/>
  <c r="A1077" i="15"/>
  <c r="A1078" i="15"/>
  <c r="A1079" i="15"/>
  <c r="A1080" i="15"/>
  <c r="A1081" i="15"/>
  <c r="A1082" i="15"/>
  <c r="A1083" i="15"/>
  <c r="A1084" i="15"/>
  <c r="A1085" i="15"/>
  <c r="A1086" i="15"/>
  <c r="A1087" i="15"/>
  <c r="A1088" i="15"/>
  <c r="A1089" i="15"/>
  <c r="A1090" i="15"/>
  <c r="A1091" i="15"/>
  <c r="A1092" i="15"/>
  <c r="A1093" i="15"/>
  <c r="A1094" i="15"/>
  <c r="A1095" i="15"/>
  <c r="A1096" i="15"/>
  <c r="A1097" i="15"/>
  <c r="A1098" i="15"/>
  <c r="A1099" i="15"/>
  <c r="A1100" i="15"/>
  <c r="A1101" i="15"/>
  <c r="A1102" i="15"/>
  <c r="A1103" i="15"/>
  <c r="A1104" i="15"/>
  <c r="A1105" i="15"/>
  <c r="A1106" i="15"/>
  <c r="A1107" i="15"/>
  <c r="A1108" i="15"/>
  <c r="A1109" i="15"/>
  <c r="A1110" i="15"/>
  <c r="A1111" i="15"/>
  <c r="A1112" i="15"/>
  <c r="A1113" i="15"/>
  <c r="A1114" i="15"/>
  <c r="A1115" i="15"/>
  <c r="A1116" i="15"/>
  <c r="A1117" i="15"/>
  <c r="A1118" i="15"/>
  <c r="A1119" i="15"/>
  <c r="A1120" i="15"/>
  <c r="A1121" i="15"/>
  <c r="A1122" i="15"/>
  <c r="A1123" i="15"/>
  <c r="A1124" i="15"/>
  <c r="A1125" i="15"/>
  <c r="A1126" i="15"/>
  <c r="A1127" i="15"/>
  <c r="A1128" i="15"/>
  <c r="A1129" i="15"/>
  <c r="A1130" i="15"/>
  <c r="A1131" i="15"/>
  <c r="A1132" i="15"/>
  <c r="A1133" i="15"/>
  <c r="A1134" i="15"/>
  <c r="A1135" i="15"/>
  <c r="A1136" i="15"/>
  <c r="A1137" i="15"/>
  <c r="A1138" i="15"/>
  <c r="A1139" i="15"/>
  <c r="A1140" i="15"/>
  <c r="A1141" i="15"/>
  <c r="A1142" i="15"/>
  <c r="A1143" i="15"/>
  <c r="A1144" i="15"/>
  <c r="A1145" i="15"/>
  <c r="A1146" i="15"/>
  <c r="A1147" i="15"/>
  <c r="A1148" i="15"/>
  <c r="A1149" i="15"/>
  <c r="A1150" i="15"/>
  <c r="A1151" i="15"/>
  <c r="A1152" i="15"/>
  <c r="A1153" i="15"/>
  <c r="A1154" i="15"/>
  <c r="A1155" i="15"/>
  <c r="A1156" i="15"/>
  <c r="A1157" i="15"/>
  <c r="A1158" i="15"/>
  <c r="A1159" i="15"/>
  <c r="A1160" i="15"/>
  <c r="A1161" i="15"/>
  <c r="A1162" i="15"/>
  <c r="A1163" i="15"/>
  <c r="A1164" i="15"/>
  <c r="A1165" i="15"/>
  <c r="A1166" i="15"/>
  <c r="A1167" i="15"/>
  <c r="A1168" i="15"/>
  <c r="A1169" i="15"/>
  <c r="A1170" i="15"/>
  <c r="A1171" i="15"/>
  <c r="A1172" i="15"/>
  <c r="A1173" i="15"/>
  <c r="A1174" i="15"/>
  <c r="A1175" i="15"/>
  <c r="A1176" i="15"/>
  <c r="A1177" i="15"/>
  <c r="A1178" i="15"/>
  <c r="A1179" i="15"/>
  <c r="A1180" i="15"/>
  <c r="A1181" i="15"/>
  <c r="A1182" i="15"/>
  <c r="A1183" i="15"/>
  <c r="A1184" i="15"/>
  <c r="A1185" i="15"/>
  <c r="A1186" i="15"/>
  <c r="A1187" i="15"/>
  <c r="A1188" i="15"/>
  <c r="A1189" i="15"/>
  <c r="A1190" i="15"/>
  <c r="A1191" i="15"/>
  <c r="A1192" i="15"/>
  <c r="A1193" i="15"/>
  <c r="A1194" i="15"/>
  <c r="A1195" i="15"/>
  <c r="A1196" i="15"/>
  <c r="A1197" i="15"/>
  <c r="A1198" i="15"/>
  <c r="A1199" i="15"/>
  <c r="A1200" i="15"/>
  <c r="A1201" i="15"/>
  <c r="A1202" i="15"/>
  <c r="A1203" i="15"/>
  <c r="A1204" i="15"/>
  <c r="A1205" i="15"/>
  <c r="A1206" i="15"/>
  <c r="A1207" i="15"/>
  <c r="A1208" i="15"/>
  <c r="A1209" i="15"/>
  <c r="A1210" i="15"/>
  <c r="A1211" i="15"/>
  <c r="A1212" i="15"/>
  <c r="A1213" i="15"/>
  <c r="A1214" i="15"/>
  <c r="A1215" i="15"/>
  <c r="A1216" i="15"/>
  <c r="A1217" i="15"/>
  <c r="A1218" i="15"/>
  <c r="A1219" i="15"/>
  <c r="A1220" i="15"/>
  <c r="A1221" i="15"/>
  <c r="A1222" i="15"/>
  <c r="A1223" i="15"/>
  <c r="A1224" i="15"/>
  <c r="A1225" i="15"/>
  <c r="A1226" i="15"/>
  <c r="A1227" i="15"/>
  <c r="A1228" i="15"/>
  <c r="A1229" i="15"/>
  <c r="A1230" i="15"/>
  <c r="A1231" i="15"/>
  <c r="A1232" i="15"/>
  <c r="A1233" i="15"/>
  <c r="A1234" i="15"/>
  <c r="A1235" i="15"/>
  <c r="A1236" i="15"/>
  <c r="A1237" i="15"/>
  <c r="A1238" i="15"/>
  <c r="A1239" i="15"/>
  <c r="A1240" i="15"/>
  <c r="A1241" i="15"/>
  <c r="A1242" i="15"/>
  <c r="A1243" i="15"/>
  <c r="A1244" i="15"/>
  <c r="A1245" i="15"/>
  <c r="A1246" i="15"/>
  <c r="A1247" i="15"/>
  <c r="A1248" i="15"/>
  <c r="A1249" i="15"/>
  <c r="A1250" i="15"/>
  <c r="A1251" i="15"/>
  <c r="A1252" i="15"/>
  <c r="A1253" i="15"/>
  <c r="A1254" i="15"/>
  <c r="A1255" i="15"/>
  <c r="A1256" i="15"/>
  <c r="A1257" i="15"/>
  <c r="A1258" i="15"/>
  <c r="A1259" i="15"/>
  <c r="A1260" i="15"/>
  <c r="A1261" i="15"/>
  <c r="A1262" i="15"/>
  <c r="A1263" i="15"/>
  <c r="A1264" i="15"/>
  <c r="A1265" i="15"/>
  <c r="A1266" i="15"/>
  <c r="A1267" i="15"/>
  <c r="A1268" i="15"/>
  <c r="A1269" i="15"/>
  <c r="A1270" i="15"/>
  <c r="A1271" i="15"/>
  <c r="A1272" i="15"/>
  <c r="A1273" i="15"/>
  <c r="A1274" i="15"/>
  <c r="A1275" i="15"/>
  <c r="A1276" i="15"/>
  <c r="A1277" i="15"/>
  <c r="A1278" i="15"/>
  <c r="A1279" i="15"/>
  <c r="A1280" i="15"/>
  <c r="A1281" i="15"/>
  <c r="A1282" i="15"/>
  <c r="A1283" i="15"/>
  <c r="A1284" i="15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L3325" i="3"/>
  <c r="L3333" i="3"/>
  <c r="L3289" i="3"/>
  <c r="C3336" i="3"/>
  <c r="L3328" i="3"/>
  <c r="L3251" i="3"/>
  <c r="L3272" i="3"/>
  <c r="I631" i="13"/>
  <c r="A326" i="6"/>
  <c r="L3220" i="3"/>
  <c r="A325" i="6"/>
  <c r="L3223" i="3"/>
  <c r="K995" i="15"/>
  <c r="K996" i="15" s="1"/>
  <c r="C424" i="31"/>
  <c r="C425" i="31"/>
  <c r="C426" i="31"/>
  <c r="L3192" i="3"/>
  <c r="L3178" i="3"/>
  <c r="L3164" i="3"/>
  <c r="L3142" i="3"/>
  <c r="L3110" i="3"/>
  <c r="L3040" i="3"/>
  <c r="L3063" i="3"/>
  <c r="L3087" i="3"/>
  <c r="Q190" i="6"/>
  <c r="P190" i="6"/>
  <c r="O190" i="6"/>
  <c r="N190" i="6"/>
  <c r="M190" i="6"/>
  <c r="L190" i="6"/>
  <c r="K190" i="6"/>
  <c r="A324" i="6"/>
  <c r="A323" i="11"/>
  <c r="I206" i="6"/>
  <c r="J206" i="6"/>
  <c r="K206" i="6"/>
  <c r="L206" i="6"/>
  <c r="M206" i="6"/>
  <c r="N206" i="6"/>
  <c r="O206" i="6"/>
  <c r="P206" i="6"/>
  <c r="Q206" i="6"/>
  <c r="H206" i="6"/>
  <c r="G206" i="6"/>
  <c r="F206" i="6"/>
  <c r="L3020" i="3"/>
  <c r="L2984" i="3"/>
  <c r="A322" i="11"/>
  <c r="A323" i="6"/>
  <c r="A976" i="31"/>
  <c r="A975" i="31"/>
  <c r="A974" i="31"/>
  <c r="A973" i="31"/>
  <c r="A972" i="31"/>
  <c r="A971" i="31"/>
  <c r="A970" i="31"/>
  <c r="A969" i="31"/>
  <c r="A968" i="31"/>
  <c r="A967" i="31"/>
  <c r="A966" i="31"/>
  <c r="A965" i="31"/>
  <c r="A964" i="31"/>
  <c r="A963" i="31"/>
  <c r="A962" i="31"/>
  <c r="A961" i="31"/>
  <c r="A960" i="31"/>
  <c r="A959" i="31"/>
  <c r="A958" i="31"/>
  <c r="A957" i="31"/>
  <c r="A956" i="31"/>
  <c r="A955" i="31"/>
  <c r="A954" i="31"/>
  <c r="A953" i="31"/>
  <c r="A952" i="31"/>
  <c r="A951" i="31"/>
  <c r="A950" i="31"/>
  <c r="A949" i="31"/>
  <c r="A948" i="31"/>
  <c r="A947" i="31"/>
  <c r="A946" i="31"/>
  <c r="A945" i="31"/>
  <c r="A944" i="31"/>
  <c r="A943" i="31"/>
  <c r="A942" i="31"/>
  <c r="A941" i="31"/>
  <c r="A940" i="31"/>
  <c r="A939" i="31"/>
  <c r="A938" i="31"/>
  <c r="A937" i="31"/>
  <c r="A936" i="31"/>
  <c r="A935" i="31"/>
  <c r="A934" i="31"/>
  <c r="A933" i="31"/>
  <c r="A932" i="31"/>
  <c r="A931" i="31"/>
  <c r="A930" i="31"/>
  <c r="A929" i="31"/>
  <c r="A928" i="31"/>
  <c r="A927" i="31"/>
  <c r="A926" i="31"/>
  <c r="A925" i="31"/>
  <c r="A924" i="31"/>
  <c r="A923" i="31"/>
  <c r="A922" i="31"/>
  <c r="A921" i="31"/>
  <c r="A920" i="31"/>
  <c r="A919" i="31"/>
  <c r="A918" i="31"/>
  <c r="A917" i="31"/>
  <c r="A916" i="31"/>
  <c r="A915" i="31"/>
  <c r="A914" i="31"/>
  <c r="A913" i="31"/>
  <c r="A912" i="31"/>
  <c r="A911" i="31"/>
  <c r="A910" i="31"/>
  <c r="A1327" i="13"/>
  <c r="A1326" i="13"/>
  <c r="A1325" i="13"/>
  <c r="A1324" i="13"/>
  <c r="A1323" i="13"/>
  <c r="A1322" i="13"/>
  <c r="A1321" i="13"/>
  <c r="A1320" i="13"/>
  <c r="A1319" i="13"/>
  <c r="A1318" i="13"/>
  <c r="J284" i="32"/>
  <c r="L2965" i="3"/>
  <c r="L2944" i="3"/>
  <c r="L2945" i="3"/>
  <c r="L2923" i="3"/>
  <c r="L2959" i="3"/>
  <c r="A321" i="11"/>
  <c r="A322" i="6"/>
  <c r="L2901" i="3"/>
  <c r="A994" i="15"/>
  <c r="L2843" i="3"/>
  <c r="L2842" i="3"/>
  <c r="L172" i="6"/>
  <c r="K172" i="6"/>
  <c r="M172" i="6"/>
  <c r="M245" i="6"/>
  <c r="L2876" i="3"/>
  <c r="A321" i="6"/>
  <c r="A319" i="11"/>
  <c r="A320" i="11"/>
  <c r="A320" i="6"/>
  <c r="L2826" i="3"/>
  <c r="L2805" i="3"/>
  <c r="L2786" i="3"/>
  <c r="L2765" i="3"/>
  <c r="A317" i="11"/>
  <c r="A318" i="11"/>
  <c r="A318" i="6"/>
  <c r="A319" i="6"/>
  <c r="A316" i="11"/>
  <c r="A317" i="6"/>
  <c r="L2735" i="3"/>
  <c r="I505" i="13"/>
  <c r="L2719" i="3"/>
  <c r="L2701" i="3"/>
  <c r="A316" i="6"/>
  <c r="A315" i="11"/>
  <c r="A314" i="11"/>
  <c r="A314" i="6"/>
  <c r="A315" i="6"/>
  <c r="L2683" i="3"/>
  <c r="L2650" i="3"/>
  <c r="L2632" i="3"/>
  <c r="L2614" i="3"/>
  <c r="L2606" i="3"/>
  <c r="L2589" i="3"/>
  <c r="L2595" i="3"/>
  <c r="L2567" i="3"/>
  <c r="L2543" i="3"/>
  <c r="J466" i="13"/>
  <c r="A46" i="11"/>
  <c r="L2489" i="3"/>
  <c r="L2522" i="3"/>
  <c r="L2498" i="3"/>
  <c r="L2482" i="3"/>
  <c r="A974" i="15"/>
  <c r="A975" i="15"/>
  <c r="A976" i="15"/>
  <c r="A977" i="15"/>
  <c r="A978" i="15"/>
  <c r="A979" i="15"/>
  <c r="A980" i="15"/>
  <c r="A981" i="15"/>
  <c r="A982" i="15"/>
  <c r="A983" i="15"/>
  <c r="A984" i="15"/>
  <c r="A985" i="15"/>
  <c r="A986" i="15"/>
  <c r="A987" i="15"/>
  <c r="A988" i="15"/>
  <c r="A989" i="15"/>
  <c r="A990" i="15"/>
  <c r="A991" i="15"/>
  <c r="A992" i="15"/>
  <c r="A993" i="15"/>
  <c r="L2421" i="3"/>
  <c r="L2392" i="3"/>
  <c r="L2378" i="3"/>
  <c r="P17" i="6"/>
  <c r="O17" i="6"/>
  <c r="N17" i="6"/>
  <c r="L2359" i="3"/>
  <c r="L2360" i="3"/>
  <c r="L2346" i="3"/>
  <c r="L2312" i="3"/>
  <c r="L2311" i="3"/>
  <c r="A313" i="11"/>
  <c r="L2343" i="3"/>
  <c r="L2340" i="3"/>
  <c r="A18" i="11"/>
  <c r="L2291" i="3"/>
  <c r="L2231" i="3"/>
  <c r="L2255" i="3"/>
  <c r="L2204" i="3"/>
  <c r="L2165" i="3"/>
  <c r="K1231" i="3"/>
  <c r="K1832" i="3"/>
  <c r="K1831" i="3"/>
  <c r="K1859" i="3"/>
  <c r="K1830" i="3"/>
  <c r="K1703" i="3"/>
  <c r="K1671" i="3"/>
  <c r="K1645" i="3"/>
  <c r="K1573" i="3"/>
  <c r="K1536" i="3"/>
  <c r="K1514" i="3"/>
  <c r="K1463" i="3"/>
  <c r="K1441" i="3"/>
  <c r="K1398" i="3"/>
  <c r="L2150" i="3"/>
  <c r="K2149" i="3"/>
  <c r="L2123" i="3"/>
  <c r="L2101" i="3"/>
  <c r="K2066" i="3"/>
  <c r="L2067" i="3"/>
  <c r="L2037" i="3"/>
  <c r="L2020" i="3"/>
  <c r="L1974" i="3"/>
  <c r="L1943" i="3"/>
  <c r="A312" i="6"/>
  <c r="A313" i="6"/>
  <c r="A311" i="11"/>
  <c r="A312" i="11"/>
  <c r="L1912" i="3"/>
  <c r="L1877" i="3"/>
  <c r="K1911" i="3"/>
  <c r="K1893" i="3"/>
  <c r="K1876" i="3"/>
  <c r="K1857" i="3"/>
  <c r="L1894" i="3"/>
  <c r="L1895" i="3"/>
  <c r="L1860" i="3"/>
  <c r="K1644" i="3"/>
  <c r="K1805" i="3"/>
  <c r="K1790" i="3"/>
  <c r="L1806" i="3"/>
  <c r="L1808" i="3"/>
  <c r="L1791" i="3"/>
  <c r="L1796" i="3"/>
  <c r="L1770" i="3"/>
  <c r="K1741" i="3"/>
  <c r="K1769" i="3"/>
  <c r="L1743" i="3"/>
  <c r="K1742" i="3"/>
  <c r="K1483" i="3"/>
  <c r="K1290" i="3"/>
  <c r="K1419" i="3"/>
  <c r="K1397" i="3"/>
  <c r="K1442" i="3"/>
  <c r="K1484" i="3"/>
  <c r="K1363" i="3"/>
  <c r="K1589" i="3"/>
  <c r="K1686" i="3"/>
  <c r="K1336" i="3"/>
  <c r="K1704" i="3"/>
  <c r="L1705" i="3"/>
  <c r="L1687" i="3"/>
  <c r="A970" i="15"/>
  <c r="A971" i="15"/>
  <c r="A972" i="15"/>
  <c r="A973" i="15"/>
  <c r="L1672" i="3"/>
  <c r="L1646" i="3"/>
  <c r="L1626" i="3"/>
  <c r="L1590" i="3"/>
  <c r="I204" i="6"/>
  <c r="J204" i="6"/>
  <c r="K204" i="6"/>
  <c r="L204" i="6"/>
  <c r="M204" i="6"/>
  <c r="N204" i="6"/>
  <c r="O204" i="6"/>
  <c r="P204" i="6"/>
  <c r="Q204" i="6"/>
  <c r="H204" i="6"/>
  <c r="G204" i="6"/>
  <c r="F204" i="6"/>
  <c r="L1574" i="3"/>
  <c r="L1556" i="3"/>
  <c r="K1555" i="3"/>
  <c r="L1541" i="3"/>
  <c r="L1539" i="3"/>
  <c r="L1537" i="3"/>
  <c r="L1518" i="3"/>
  <c r="L1515" i="3"/>
  <c r="L1485" i="3"/>
  <c r="L1464" i="3"/>
  <c r="L1443" i="3"/>
  <c r="L1421" i="3"/>
  <c r="L1399" i="3"/>
  <c r="L1366" i="3"/>
  <c r="K1364" i="3"/>
  <c r="L1337" i="3"/>
  <c r="L1311" i="3"/>
  <c r="L1310" i="3"/>
  <c r="K1309" i="3"/>
  <c r="L1291" i="3"/>
  <c r="L1268" i="3"/>
  <c r="K1266" i="3"/>
  <c r="K1265" i="3"/>
  <c r="L1250" i="3"/>
  <c r="K1249" i="3"/>
  <c r="L1233" i="3"/>
  <c r="L1195" i="3"/>
  <c r="K1194" i="3"/>
  <c r="L1181" i="3"/>
  <c r="K1178" i="3"/>
  <c r="L1143" i="3"/>
  <c r="L1140" i="3"/>
  <c r="K1139" i="3"/>
  <c r="L1127" i="3"/>
  <c r="L1124" i="3"/>
  <c r="L1121" i="3"/>
  <c r="K1119" i="3"/>
  <c r="K1118" i="3"/>
  <c r="L1087" i="3"/>
  <c r="L1050" i="3"/>
  <c r="K1049" i="3"/>
  <c r="L1028" i="3"/>
  <c r="L1018" i="3"/>
  <c r="L998" i="3"/>
  <c r="L968" i="3"/>
  <c r="K967" i="3"/>
  <c r="L945" i="3"/>
  <c r="I69" i="14"/>
  <c r="K3" i="14"/>
  <c r="K4" i="14" s="1"/>
  <c r="K5" i="14" s="1"/>
  <c r="K6" i="14" s="1"/>
  <c r="K7" i="14" s="1"/>
  <c r="K8" i="14" s="1"/>
  <c r="K9" i="14" s="1"/>
  <c r="K10" i="14" s="1"/>
  <c r="K11" i="14" s="1"/>
  <c r="K12" i="14" s="1"/>
  <c r="K13" i="14" s="1"/>
  <c r="K14" i="14" s="1"/>
  <c r="K15" i="14" s="1"/>
  <c r="K16" i="14" s="1"/>
  <c r="K17" i="14" s="1"/>
  <c r="K18" i="14" s="1"/>
  <c r="K19" i="14" s="1"/>
  <c r="K20" i="14" s="1"/>
  <c r="K21" i="14" s="1"/>
  <c r="K22" i="14" s="1"/>
  <c r="K23" i="14" s="1"/>
  <c r="K24" i="14" s="1"/>
  <c r="K25" i="14" s="1"/>
  <c r="K26" i="14" s="1"/>
  <c r="K27" i="14" s="1"/>
  <c r="K28" i="14" s="1"/>
  <c r="K29" i="14" s="1"/>
  <c r="K30" i="14" s="1"/>
  <c r="K31" i="14" s="1"/>
  <c r="K32" i="14" s="1"/>
  <c r="K33" i="14" s="1"/>
  <c r="K34" i="14" s="1"/>
  <c r="K35" i="14" s="1"/>
  <c r="K36" i="14" s="1"/>
  <c r="K37" i="14" s="1"/>
  <c r="K38" i="14" s="1"/>
  <c r="K39" i="14" s="1"/>
  <c r="K40" i="14" s="1"/>
  <c r="K41" i="14" s="1"/>
  <c r="K42" i="14" s="1"/>
  <c r="K43" i="14" s="1"/>
  <c r="K44" i="14" s="1"/>
  <c r="K45" i="14" s="1"/>
  <c r="K46" i="14" s="1"/>
  <c r="K47" i="14" s="1"/>
  <c r="K48" i="14" s="1"/>
  <c r="K49" i="14" s="1"/>
  <c r="K50" i="14" s="1"/>
  <c r="K51" i="14" s="1"/>
  <c r="K52" i="14" s="1"/>
  <c r="K53" i="14" s="1"/>
  <c r="K54" i="14" s="1"/>
  <c r="K55" i="14" s="1"/>
  <c r="K56" i="14" s="1"/>
  <c r="K57" i="14" s="1"/>
  <c r="K58" i="14" s="1"/>
  <c r="K59" i="14" s="1"/>
  <c r="K60" i="14" s="1"/>
  <c r="K61" i="14" s="1"/>
  <c r="K62" i="14" s="1"/>
  <c r="K63" i="14" s="1"/>
  <c r="K64" i="14" s="1"/>
  <c r="K65" i="14" s="1"/>
  <c r="K66" i="14" s="1"/>
  <c r="K67" i="14" s="1"/>
  <c r="K68" i="14" s="1"/>
  <c r="J192" i="13"/>
  <c r="J118" i="13"/>
  <c r="K3" i="13"/>
  <c r="K4" i="13" s="1"/>
  <c r="K5" i="13" s="1"/>
  <c r="K6" i="13" s="1"/>
  <c r="K7" i="13" s="1"/>
  <c r="K8" i="13" s="1"/>
  <c r="K9" i="13" s="1"/>
  <c r="K10" i="13" s="1"/>
  <c r="K11" i="13" s="1"/>
  <c r="K12" i="13" s="1"/>
  <c r="K13" i="13" s="1"/>
  <c r="K14" i="13" s="1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K38" i="13" s="1"/>
  <c r="K39" i="13" s="1"/>
  <c r="K40" i="13" s="1"/>
  <c r="K41" i="13" s="1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08" i="13" s="1"/>
  <c r="K109" i="13" s="1"/>
  <c r="K110" i="13" s="1"/>
  <c r="K111" i="13" s="1"/>
  <c r="K112" i="13" s="1"/>
  <c r="K113" i="13" s="1"/>
  <c r="K114" i="13" s="1"/>
  <c r="K115" i="13" s="1"/>
  <c r="K116" i="13" s="1"/>
  <c r="K117" i="13" s="1"/>
  <c r="K3" i="15"/>
  <c r="K4" i="15" s="1"/>
  <c r="K5" i="15" s="1"/>
  <c r="K6" i="15" s="1"/>
  <c r="K7" i="15" s="1"/>
  <c r="K8" i="15" s="1"/>
  <c r="K9" i="15" s="1"/>
  <c r="K10" i="15" s="1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K86" i="15" s="1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107" i="15" s="1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K123" i="15" s="1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K165" i="15" s="1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K202" i="15" s="1"/>
  <c r="K203" i="15" s="1"/>
  <c r="K204" i="15" s="1"/>
  <c r="K205" i="15" s="1"/>
  <c r="K206" i="15" s="1"/>
  <c r="K207" i="15" s="1"/>
  <c r="K208" i="15" s="1"/>
  <c r="K209" i="15" s="1"/>
  <c r="K210" i="15" s="1"/>
  <c r="K211" i="15" s="1"/>
  <c r="K212" i="15" s="1"/>
  <c r="K213" i="15" s="1"/>
  <c r="K214" i="15" s="1"/>
  <c r="K215" i="15" s="1"/>
  <c r="K216" i="15" s="1"/>
  <c r="K217" i="15" s="1"/>
  <c r="K218" i="15" s="1"/>
  <c r="K219" i="15" s="1"/>
  <c r="K220" i="15" s="1"/>
  <c r="K221" i="15" s="1"/>
  <c r="K222" i="15" s="1"/>
  <c r="K223" i="15" s="1"/>
  <c r="K224" i="15" s="1"/>
  <c r="K225" i="15" s="1"/>
  <c r="K226" i="15" s="1"/>
  <c r="K227" i="15" s="1"/>
  <c r="K228" i="15" s="1"/>
  <c r="K229" i="15" s="1"/>
  <c r="K230" i="15" s="1"/>
  <c r="K231" i="15" s="1"/>
  <c r="K232" i="15" s="1"/>
  <c r="K233" i="15" s="1"/>
  <c r="K234" i="15" s="1"/>
  <c r="K235" i="15" s="1"/>
  <c r="K236" i="15" s="1"/>
  <c r="K237" i="15" s="1"/>
  <c r="K238" i="15" s="1"/>
  <c r="K239" i="15" s="1"/>
  <c r="K240" i="15" s="1"/>
  <c r="K241" i="15" s="1"/>
  <c r="K242" i="15" s="1"/>
  <c r="K243" i="15" s="1"/>
  <c r="K244" i="15" s="1"/>
  <c r="K245" i="15" s="1"/>
  <c r="K246" i="15" s="1"/>
  <c r="K247" i="15" s="1"/>
  <c r="K248" i="15" s="1"/>
  <c r="K249" i="15" s="1"/>
  <c r="K250" i="15" s="1"/>
  <c r="K251" i="15" s="1"/>
  <c r="K252" i="15" s="1"/>
  <c r="K253" i="15" s="1"/>
  <c r="K254" i="15" s="1"/>
  <c r="K255" i="15" s="1"/>
  <c r="K256" i="15" s="1"/>
  <c r="K257" i="15" s="1"/>
  <c r="K258" i="15" s="1"/>
  <c r="K259" i="15" s="1"/>
  <c r="K260" i="15" s="1"/>
  <c r="K261" i="15" s="1"/>
  <c r="K262" i="15" s="1"/>
  <c r="K263" i="15" s="1"/>
  <c r="K264" i="15" s="1"/>
  <c r="K265" i="15" s="1"/>
  <c r="K266" i="15" s="1"/>
  <c r="K267" i="15" s="1"/>
  <c r="K268" i="15" s="1"/>
  <c r="K269" i="15" s="1"/>
  <c r="K270" i="15" s="1"/>
  <c r="K271" i="15" s="1"/>
  <c r="K272" i="15" s="1"/>
  <c r="K273" i="15" s="1"/>
  <c r="K274" i="15" s="1"/>
  <c r="K275" i="15" s="1"/>
  <c r="K276" i="15" s="1"/>
  <c r="K277" i="15" s="1"/>
  <c r="K278" i="15" s="1"/>
  <c r="K279" i="15" s="1"/>
  <c r="K280" i="15" s="1"/>
  <c r="K281" i="15" s="1"/>
  <c r="K282" i="15" s="1"/>
  <c r="K283" i="15" s="1"/>
  <c r="K284" i="15" s="1"/>
  <c r="K285" i="15" s="1"/>
  <c r="K286" i="15" s="1"/>
  <c r="K287" i="15" s="1"/>
  <c r="K288" i="15" s="1"/>
  <c r="K289" i="15" s="1"/>
  <c r="K290" i="15" s="1"/>
  <c r="K291" i="15" s="1"/>
  <c r="K292" i="15" s="1"/>
  <c r="K293" i="15" s="1"/>
  <c r="K294" i="15" s="1"/>
  <c r="K295" i="15" s="1"/>
  <c r="K296" i="15" s="1"/>
  <c r="K297" i="15" s="1"/>
  <c r="K298" i="15" s="1"/>
  <c r="K299" i="15" s="1"/>
  <c r="K300" i="15" s="1"/>
  <c r="K301" i="15" s="1"/>
  <c r="K302" i="15" s="1"/>
  <c r="K303" i="15" s="1"/>
  <c r="K304" i="15" s="1"/>
  <c r="K305" i="15" s="1"/>
  <c r="K306" i="15" s="1"/>
  <c r="K307" i="15" s="1"/>
  <c r="K308" i="15" s="1"/>
  <c r="K309" i="15" s="1"/>
  <c r="K310" i="15" s="1"/>
  <c r="K311" i="15" s="1"/>
  <c r="K312" i="15" s="1"/>
  <c r="K313" i="15" s="1"/>
  <c r="K314" i="15" s="1"/>
  <c r="K315" i="15" s="1"/>
  <c r="K316" i="15" s="1"/>
  <c r="K317" i="15" s="1"/>
  <c r="K3" i="34"/>
  <c r="K4" i="34" s="1"/>
  <c r="K5" i="34" s="1"/>
  <c r="K6" i="34" s="1"/>
  <c r="K7" i="34" s="1"/>
  <c r="K8" i="34" s="1"/>
  <c r="K9" i="34" s="1"/>
  <c r="K10" i="34" s="1"/>
  <c r="K11" i="34" s="1"/>
  <c r="K12" i="34" s="1"/>
  <c r="K13" i="34" s="1"/>
  <c r="K14" i="34" s="1"/>
  <c r="K15" i="34" s="1"/>
  <c r="K16" i="34" s="1"/>
  <c r="K17" i="34" s="1"/>
  <c r="K18" i="34" s="1"/>
  <c r="K19" i="34" s="1"/>
  <c r="K20" i="34" s="1"/>
  <c r="K21" i="34" s="1"/>
  <c r="K22" i="34" s="1"/>
  <c r="K23" i="34" s="1"/>
  <c r="K24" i="34" s="1"/>
  <c r="K25" i="34" s="1"/>
  <c r="K26" i="34" s="1"/>
  <c r="K27" i="34" s="1"/>
  <c r="K28" i="34" s="1"/>
  <c r="K29" i="34" s="1"/>
  <c r="K30" i="34" s="1"/>
  <c r="K31" i="34" s="1"/>
  <c r="K32" i="34" s="1"/>
  <c r="K33" i="34" s="1"/>
  <c r="K34" i="34" s="1"/>
  <c r="K35" i="34" s="1"/>
  <c r="K36" i="34" s="1"/>
  <c r="K37" i="34" s="1"/>
  <c r="K38" i="34" s="1"/>
  <c r="K39" i="34" s="1"/>
  <c r="K40" i="34" s="1"/>
  <c r="K41" i="34" s="1"/>
  <c r="K42" i="34" s="1"/>
  <c r="K43" i="34" s="1"/>
  <c r="K44" i="34" s="1"/>
  <c r="K45" i="34" s="1"/>
  <c r="K46" i="34" s="1"/>
  <c r="K47" i="34" s="1"/>
  <c r="K48" i="34" s="1"/>
  <c r="K49" i="34" s="1"/>
  <c r="K50" i="34" s="1"/>
  <c r="K51" i="34" s="1"/>
  <c r="K52" i="34" s="1"/>
  <c r="K53" i="34" s="1"/>
  <c r="K54" i="34" s="1"/>
  <c r="K55" i="34" s="1"/>
  <c r="K56" i="34" s="1"/>
  <c r="K57" i="34" s="1"/>
  <c r="K58" i="34" s="1"/>
  <c r="K59" i="34" s="1"/>
  <c r="K60" i="34" s="1"/>
  <c r="K61" i="34" s="1"/>
  <c r="K62" i="34" s="1"/>
  <c r="K63" i="34" s="1"/>
  <c r="K64" i="34" s="1"/>
  <c r="K65" i="34" s="1"/>
  <c r="K66" i="34" s="1"/>
  <c r="K67" i="34" s="1"/>
  <c r="K68" i="34" s="1"/>
  <c r="K69" i="34" s="1"/>
  <c r="K70" i="34" s="1"/>
  <c r="K71" i="34" s="1"/>
  <c r="K72" i="34" s="1"/>
  <c r="K73" i="34" s="1"/>
  <c r="K74" i="34" s="1"/>
  <c r="K75" i="34" s="1"/>
  <c r="K76" i="34" s="1"/>
  <c r="K77" i="34" s="1"/>
  <c r="K78" i="34" s="1"/>
  <c r="K79" i="34" s="1"/>
  <c r="K80" i="34" s="1"/>
  <c r="K81" i="34" s="1"/>
  <c r="K82" i="34" s="1"/>
  <c r="K83" i="34" s="1"/>
  <c r="K84" i="34" s="1"/>
  <c r="K85" i="34" s="1"/>
  <c r="K86" i="34" s="1"/>
  <c r="K87" i="34" s="1"/>
  <c r="K88" i="34" s="1"/>
  <c r="K89" i="34" s="1"/>
  <c r="K90" i="34" s="1"/>
  <c r="K91" i="34" s="1"/>
  <c r="K92" i="34" s="1"/>
  <c r="K93" i="34" s="1"/>
  <c r="K94" i="34" s="1"/>
  <c r="K95" i="34" s="1"/>
  <c r="K96" i="34" s="1"/>
  <c r="K97" i="34" s="1"/>
  <c r="K98" i="34" s="1"/>
  <c r="K99" i="34" s="1"/>
  <c r="K100" i="34" s="1"/>
  <c r="K101" i="34" s="1"/>
  <c r="K102" i="34" s="1"/>
  <c r="K103" i="34" s="1"/>
  <c r="K104" i="34" s="1"/>
  <c r="K105" i="34" s="1"/>
  <c r="K106" i="34" s="1"/>
  <c r="K107" i="34" s="1"/>
  <c r="K108" i="34" s="1"/>
  <c r="K109" i="34" s="1"/>
  <c r="K110" i="34" s="1"/>
  <c r="K111" i="34" s="1"/>
  <c r="K112" i="34" s="1"/>
  <c r="K113" i="34" s="1"/>
  <c r="K114" i="34" s="1"/>
  <c r="K115" i="34" s="1"/>
  <c r="K116" i="34" s="1"/>
  <c r="K117" i="34" s="1"/>
  <c r="K118" i="34" s="1"/>
  <c r="K119" i="34" s="1"/>
  <c r="K120" i="34" s="1"/>
  <c r="K121" i="34" s="1"/>
  <c r="K122" i="34" s="1"/>
  <c r="K123" i="34" s="1"/>
  <c r="K124" i="34" s="1"/>
  <c r="K125" i="34" s="1"/>
  <c r="K126" i="34" s="1"/>
  <c r="K127" i="34" s="1"/>
  <c r="K128" i="34" s="1"/>
  <c r="K129" i="34" s="1"/>
  <c r="K130" i="34" s="1"/>
  <c r="K131" i="34" s="1"/>
  <c r="K132" i="34" s="1"/>
  <c r="K133" i="34" s="1"/>
  <c r="K134" i="34" s="1"/>
  <c r="K135" i="34" s="1"/>
  <c r="K136" i="34" s="1"/>
  <c r="K137" i="34" s="1"/>
  <c r="K138" i="34" s="1"/>
  <c r="K139" i="34" s="1"/>
  <c r="K140" i="34" s="1"/>
  <c r="K141" i="34" s="1"/>
  <c r="K142" i="34" s="1"/>
  <c r="K143" i="34" s="1"/>
  <c r="K144" i="34" s="1"/>
  <c r="K145" i="34" s="1"/>
  <c r="K146" i="34" s="1"/>
  <c r="K147" i="34" s="1"/>
  <c r="K148" i="34" s="1"/>
  <c r="K149" i="34" s="1"/>
  <c r="K150" i="34" s="1"/>
  <c r="K151" i="34" s="1"/>
  <c r="K152" i="34" s="1"/>
  <c r="K153" i="34" s="1"/>
  <c r="K154" i="34" s="1"/>
  <c r="K155" i="34" s="1"/>
  <c r="K156" i="34" s="1"/>
  <c r="K157" i="34" s="1"/>
  <c r="K158" i="34" s="1"/>
  <c r="K159" i="34" s="1"/>
  <c r="K160" i="34" s="1"/>
  <c r="K161" i="34" s="1"/>
  <c r="K162" i="34" s="1"/>
  <c r="K163" i="34" s="1"/>
  <c r="K164" i="34" s="1"/>
  <c r="K165" i="34" s="1"/>
  <c r="K166" i="34" s="1"/>
  <c r="K167" i="34" s="1"/>
  <c r="K168" i="34" s="1"/>
  <c r="K169" i="34" s="1"/>
  <c r="K170" i="34" s="1"/>
  <c r="K171" i="34" s="1"/>
  <c r="K172" i="34" s="1"/>
  <c r="K173" i="34" s="1"/>
  <c r="K174" i="34" s="1"/>
  <c r="K175" i="34" s="1"/>
  <c r="K176" i="34" s="1"/>
  <c r="K177" i="34" s="1"/>
  <c r="K178" i="34" s="1"/>
  <c r="K179" i="34" s="1"/>
  <c r="K180" i="34" s="1"/>
  <c r="K181" i="34" s="1"/>
  <c r="K182" i="34" s="1"/>
  <c r="K183" i="34" s="1"/>
  <c r="K184" i="34" s="1"/>
  <c r="K185" i="34" s="1"/>
  <c r="K186" i="34" s="1"/>
  <c r="K187" i="34" s="1"/>
  <c r="K188" i="34" s="1"/>
  <c r="K189" i="34" s="1"/>
  <c r="K190" i="34" s="1"/>
  <c r="K191" i="34" s="1"/>
  <c r="K192" i="34" s="1"/>
  <c r="K193" i="34" s="1"/>
  <c r="K194" i="34" s="1"/>
  <c r="K195" i="34" s="1"/>
  <c r="K196" i="34" s="1"/>
  <c r="K197" i="34" s="1"/>
  <c r="K198" i="34" s="1"/>
  <c r="K199" i="34" s="1"/>
  <c r="K200" i="34" s="1"/>
  <c r="K201" i="34" s="1"/>
  <c r="K202" i="34" s="1"/>
  <c r="K203" i="34" s="1"/>
  <c r="K204" i="34" s="1"/>
  <c r="K205" i="34" s="1"/>
  <c r="K206" i="34" s="1"/>
  <c r="K207" i="34" s="1"/>
  <c r="K208" i="34" s="1"/>
  <c r="K209" i="34" s="1"/>
  <c r="K210" i="34" s="1"/>
  <c r="K211" i="34" s="1"/>
  <c r="K212" i="34" s="1"/>
  <c r="K213" i="34" s="1"/>
  <c r="K214" i="34" s="1"/>
  <c r="K215" i="34" s="1"/>
  <c r="K216" i="34" s="1"/>
  <c r="K217" i="34" s="1"/>
  <c r="K218" i="34" s="1"/>
  <c r="K219" i="34" s="1"/>
  <c r="K220" i="34" s="1"/>
  <c r="K221" i="34" s="1"/>
  <c r="K222" i="34" s="1"/>
  <c r="K223" i="34" s="1"/>
  <c r="K224" i="34" s="1"/>
  <c r="K225" i="34" s="1"/>
  <c r="K226" i="34" s="1"/>
  <c r="K227" i="34" s="1"/>
  <c r="K228" i="34" s="1"/>
  <c r="K229" i="34" s="1"/>
  <c r="K230" i="34" s="1"/>
  <c r="K231" i="34" s="1"/>
  <c r="K232" i="34" s="1"/>
  <c r="K233" i="34" s="1"/>
  <c r="K234" i="34" s="1"/>
  <c r="K235" i="34" s="1"/>
  <c r="K236" i="34" s="1"/>
  <c r="K237" i="34" s="1"/>
  <c r="K238" i="34" s="1"/>
  <c r="K239" i="34" s="1"/>
  <c r="K240" i="34" s="1"/>
  <c r="K241" i="34" s="1"/>
  <c r="K242" i="34" s="1"/>
  <c r="K243" i="34" s="1"/>
  <c r="K244" i="34" s="1"/>
  <c r="K245" i="34" s="1"/>
  <c r="K246" i="34" s="1"/>
  <c r="K247" i="34" s="1"/>
  <c r="K248" i="34" s="1"/>
  <c r="K249" i="34" s="1"/>
  <c r="K250" i="34" s="1"/>
  <c r="K251" i="34" s="1"/>
  <c r="K252" i="34" s="1"/>
  <c r="K253" i="34" s="1"/>
  <c r="K254" i="34" s="1"/>
  <c r="K255" i="34" s="1"/>
  <c r="K256" i="34" s="1"/>
  <c r="K257" i="34" s="1"/>
  <c r="K258" i="34" s="1"/>
  <c r="K259" i="34" s="1"/>
  <c r="K260" i="34" s="1"/>
  <c r="K261" i="34" s="1"/>
  <c r="K262" i="34" s="1"/>
  <c r="K263" i="34" s="1"/>
  <c r="K264" i="34" s="1"/>
  <c r="K265" i="34" s="1"/>
  <c r="K266" i="34" s="1"/>
  <c r="K267" i="34" s="1"/>
  <c r="K268" i="34" s="1"/>
  <c r="K269" i="34" s="1"/>
  <c r="K270" i="34" s="1"/>
  <c r="K271" i="34" s="1"/>
  <c r="K272" i="34" s="1"/>
  <c r="K273" i="34" s="1"/>
  <c r="K274" i="34" s="1"/>
  <c r="K275" i="34" s="1"/>
  <c r="K276" i="34" s="1"/>
  <c r="K277" i="34" s="1"/>
  <c r="K278" i="34" s="1"/>
  <c r="K279" i="34" s="1"/>
  <c r="K280" i="34" s="1"/>
  <c r="K281" i="34" s="1"/>
  <c r="K282" i="34" s="1"/>
  <c r="K283" i="34" s="1"/>
  <c r="K284" i="34" s="1"/>
  <c r="K285" i="34" s="1"/>
  <c r="K286" i="34" s="1"/>
  <c r="K287" i="34" s="1"/>
  <c r="K288" i="34" s="1"/>
  <c r="K289" i="34" s="1"/>
  <c r="K290" i="34" s="1"/>
  <c r="K291" i="34" s="1"/>
  <c r="K292" i="34" s="1"/>
  <c r="K293" i="34" s="1"/>
  <c r="K294" i="34" s="1"/>
  <c r="K295" i="34" s="1"/>
  <c r="K296" i="34" s="1"/>
  <c r="K297" i="34" s="1"/>
  <c r="K298" i="34" s="1"/>
  <c r="K299" i="34" s="1"/>
  <c r="K300" i="34" s="1"/>
  <c r="K301" i="34" s="1"/>
  <c r="K302" i="34" s="1"/>
  <c r="K303" i="34" s="1"/>
  <c r="K304" i="34" s="1"/>
  <c r="K305" i="34" s="1"/>
  <c r="K306" i="34" s="1"/>
  <c r="K307" i="34" s="1"/>
  <c r="K308" i="34" s="1"/>
  <c r="K309" i="34" s="1"/>
  <c r="K310" i="34" s="1"/>
  <c r="K311" i="34" s="1"/>
  <c r="K312" i="34" s="1"/>
  <c r="K313" i="34" s="1"/>
  <c r="K314" i="34" s="1"/>
  <c r="K315" i="34" s="1"/>
  <c r="K316" i="34" s="1"/>
  <c r="K317" i="34" s="1"/>
  <c r="K318" i="34" s="1"/>
  <c r="K319" i="34" s="1"/>
  <c r="K320" i="34" s="1"/>
  <c r="K321" i="34" s="1"/>
  <c r="K322" i="34" s="1"/>
  <c r="K323" i="34" s="1"/>
  <c r="K324" i="34" s="1"/>
  <c r="K325" i="34" s="1"/>
  <c r="K326" i="34" s="1"/>
  <c r="K327" i="34" s="1"/>
  <c r="K328" i="34" s="1"/>
  <c r="K329" i="34" s="1"/>
  <c r="K330" i="34" s="1"/>
  <c r="K331" i="34" s="1"/>
  <c r="K332" i="34" s="1"/>
  <c r="K333" i="34" s="1"/>
  <c r="K334" i="34" s="1"/>
  <c r="K335" i="34" s="1"/>
  <c r="K336" i="34" s="1"/>
  <c r="K337" i="34" s="1"/>
  <c r="K338" i="34" s="1"/>
  <c r="K339" i="34" s="1"/>
  <c r="K340" i="34" s="1"/>
  <c r="K341" i="34" s="1"/>
  <c r="K342" i="34" s="1"/>
  <c r="K343" i="34" s="1"/>
  <c r="K344" i="34" s="1"/>
  <c r="K345" i="34" s="1"/>
  <c r="K346" i="34" s="1"/>
  <c r="K347" i="34" s="1"/>
  <c r="K348" i="34" s="1"/>
  <c r="K349" i="34" s="1"/>
  <c r="K350" i="34" s="1"/>
  <c r="K351" i="34" s="1"/>
  <c r="K352" i="34" s="1"/>
  <c r="K353" i="34" s="1"/>
  <c r="K354" i="34" s="1"/>
  <c r="K355" i="34" s="1"/>
  <c r="K356" i="34" s="1"/>
  <c r="K357" i="34" s="1"/>
  <c r="K358" i="34" s="1"/>
  <c r="K359" i="34" s="1"/>
  <c r="K360" i="34" s="1"/>
  <c r="K361" i="34" s="1"/>
  <c r="K362" i="34" s="1"/>
  <c r="K363" i="34" s="1"/>
  <c r="K364" i="34" s="1"/>
  <c r="K365" i="34" s="1"/>
  <c r="K366" i="34" s="1"/>
  <c r="K367" i="34" s="1"/>
  <c r="K368" i="34" s="1"/>
  <c r="K369" i="34" s="1"/>
  <c r="K370" i="34" s="1"/>
  <c r="K371" i="34" s="1"/>
  <c r="K372" i="34" s="1"/>
  <c r="K373" i="34" s="1"/>
  <c r="K374" i="34" s="1"/>
  <c r="K375" i="34" s="1"/>
  <c r="K376" i="34" s="1"/>
  <c r="K377" i="34" s="1"/>
  <c r="K378" i="34" s="1"/>
  <c r="K379" i="34" s="1"/>
  <c r="K380" i="34" s="1"/>
  <c r="K381" i="34" s="1"/>
  <c r="K382" i="34" s="1"/>
  <c r="K383" i="34" s="1"/>
  <c r="K384" i="34" s="1"/>
  <c r="K385" i="34" s="1"/>
  <c r="K386" i="34" s="1"/>
  <c r="K387" i="34" s="1"/>
  <c r="K388" i="34" s="1"/>
  <c r="K389" i="34" s="1"/>
  <c r="K390" i="34" s="1"/>
  <c r="K391" i="34" s="1"/>
  <c r="K392" i="34" s="1"/>
  <c r="K393" i="34" s="1"/>
  <c r="K394" i="34" s="1"/>
  <c r="K395" i="34" s="1"/>
  <c r="K396" i="34" s="1"/>
  <c r="K397" i="34" s="1"/>
  <c r="K398" i="34" s="1"/>
  <c r="K399" i="34" s="1"/>
  <c r="K400" i="34" s="1"/>
  <c r="K401" i="34" s="1"/>
  <c r="K402" i="34" s="1"/>
  <c r="K403" i="34" s="1"/>
  <c r="K404" i="34" s="1"/>
  <c r="K405" i="34" s="1"/>
  <c r="K406" i="34" s="1"/>
  <c r="K407" i="34" s="1"/>
  <c r="K408" i="34" s="1"/>
  <c r="K409" i="34" s="1"/>
  <c r="K410" i="34" s="1"/>
  <c r="K411" i="34" s="1"/>
  <c r="K412" i="34" s="1"/>
  <c r="K413" i="34" s="1"/>
  <c r="K414" i="34" s="1"/>
  <c r="K415" i="34" s="1"/>
  <c r="K416" i="34" s="1"/>
  <c r="K417" i="34" s="1"/>
  <c r="K418" i="34" s="1"/>
  <c r="K419" i="34" s="1"/>
  <c r="K420" i="34" s="1"/>
  <c r="K421" i="34" s="1"/>
  <c r="K422" i="34" s="1"/>
  <c r="K423" i="34" s="1"/>
  <c r="K424" i="34" s="1"/>
  <c r="K425" i="34" s="1"/>
  <c r="K426" i="34" s="1"/>
  <c r="K427" i="34" s="1"/>
  <c r="K428" i="34" s="1"/>
  <c r="K429" i="34" s="1"/>
  <c r="K430" i="34" s="1"/>
  <c r="K431" i="34" s="1"/>
  <c r="K432" i="34" s="1"/>
  <c r="K433" i="34" s="1"/>
  <c r="K434" i="34" s="1"/>
  <c r="K435" i="34" s="1"/>
  <c r="K436" i="34" s="1"/>
  <c r="K437" i="34" s="1"/>
  <c r="K438" i="34" s="1"/>
  <c r="K439" i="34" s="1"/>
  <c r="K440" i="34" s="1"/>
  <c r="K441" i="34" s="1"/>
  <c r="K442" i="34" s="1"/>
  <c r="K443" i="34" s="1"/>
  <c r="K444" i="34" s="1"/>
  <c r="K445" i="34" s="1"/>
  <c r="K446" i="34" s="1"/>
  <c r="K447" i="34" s="1"/>
  <c r="K448" i="34" s="1"/>
  <c r="K449" i="34" s="1"/>
  <c r="K450" i="34" s="1"/>
  <c r="K451" i="34" s="1"/>
  <c r="K452" i="34" s="1"/>
  <c r="K453" i="34" s="1"/>
  <c r="K454" i="34" s="1"/>
  <c r="K455" i="34" s="1"/>
  <c r="K456" i="34" s="1"/>
  <c r="K457" i="34" s="1"/>
  <c r="K458" i="34" s="1"/>
  <c r="K459" i="34" s="1"/>
  <c r="K460" i="34" s="1"/>
  <c r="K461" i="34" s="1"/>
  <c r="K462" i="34" s="1"/>
  <c r="K463" i="34" s="1"/>
  <c r="K464" i="34" s="1"/>
  <c r="K465" i="34" s="1"/>
  <c r="K466" i="34" s="1"/>
  <c r="K467" i="34" s="1"/>
  <c r="K468" i="34" s="1"/>
  <c r="K469" i="34" s="1"/>
  <c r="K470" i="34" s="1"/>
  <c r="K471" i="34" s="1"/>
  <c r="K472" i="34" s="1"/>
  <c r="K473" i="34" s="1"/>
  <c r="K474" i="34" s="1"/>
  <c r="K475" i="34" s="1"/>
  <c r="K476" i="34" s="1"/>
  <c r="K477" i="34" s="1"/>
  <c r="K478" i="34" s="1"/>
  <c r="K479" i="34" s="1"/>
  <c r="K480" i="34" s="1"/>
  <c r="K481" i="34" s="1"/>
  <c r="K482" i="34" s="1"/>
  <c r="K483" i="34" s="1"/>
  <c r="K484" i="34" s="1"/>
  <c r="K485" i="34" s="1"/>
  <c r="K486" i="34" s="1"/>
  <c r="K487" i="34" s="1"/>
  <c r="K488" i="34" s="1"/>
  <c r="K489" i="34" s="1"/>
  <c r="K490" i="34" s="1"/>
  <c r="K491" i="34" s="1"/>
  <c r="K492" i="34" s="1"/>
  <c r="K493" i="34" s="1"/>
  <c r="K494" i="34" s="1"/>
  <c r="K495" i="34" s="1"/>
  <c r="K496" i="34" s="1"/>
  <c r="K497" i="34" s="1"/>
  <c r="K498" i="34" s="1"/>
  <c r="K499" i="34" s="1"/>
  <c r="K500" i="34" s="1"/>
  <c r="K501" i="34" s="1"/>
  <c r="K502" i="34" s="1"/>
  <c r="K503" i="34" s="1"/>
  <c r="K504" i="34" s="1"/>
  <c r="K505" i="34" s="1"/>
  <c r="K506" i="34" s="1"/>
  <c r="K507" i="34" s="1"/>
  <c r="K508" i="34" s="1"/>
  <c r="K509" i="34" s="1"/>
  <c r="K510" i="34" s="1"/>
  <c r="K511" i="34" s="1"/>
  <c r="K512" i="34" s="1"/>
  <c r="K513" i="34" s="1"/>
  <c r="K514" i="34" s="1"/>
  <c r="K515" i="34" s="1"/>
  <c r="K516" i="34" s="1"/>
  <c r="K517" i="34" s="1"/>
  <c r="K518" i="34" s="1"/>
  <c r="K519" i="34" s="1"/>
  <c r="K520" i="34" s="1"/>
  <c r="K521" i="34" s="1"/>
  <c r="K522" i="34" s="1"/>
  <c r="K523" i="34" s="1"/>
  <c r="K524" i="34" s="1"/>
  <c r="K525" i="34" s="1"/>
  <c r="K526" i="34" s="1"/>
  <c r="K527" i="34" s="1"/>
  <c r="K528" i="34" s="1"/>
  <c r="K529" i="34" s="1"/>
  <c r="K530" i="34" s="1"/>
  <c r="K531" i="34" s="1"/>
  <c r="K532" i="34" s="1"/>
  <c r="K533" i="34" s="1"/>
  <c r="K534" i="34" s="1"/>
  <c r="K535" i="34" s="1"/>
  <c r="K536" i="34" s="1"/>
  <c r="K537" i="34" s="1"/>
  <c r="K538" i="34" s="1"/>
  <c r="K539" i="34" s="1"/>
  <c r="K540" i="34" s="1"/>
  <c r="K541" i="34" s="1"/>
  <c r="K542" i="34" s="1"/>
  <c r="K543" i="34" s="1"/>
  <c r="K544" i="34" s="1"/>
  <c r="K545" i="34" s="1"/>
  <c r="K546" i="34" s="1"/>
  <c r="K547" i="34" s="1"/>
  <c r="K548" i="34" s="1"/>
  <c r="K549" i="34" s="1"/>
  <c r="K550" i="34" s="1"/>
  <c r="K551" i="34" s="1"/>
  <c r="K552" i="34" s="1"/>
  <c r="K553" i="34" s="1"/>
  <c r="K554" i="34" s="1"/>
  <c r="K555" i="34" s="1"/>
  <c r="K556" i="34" s="1"/>
  <c r="K557" i="34" s="1"/>
  <c r="K558" i="34" s="1"/>
  <c r="K559" i="34" s="1"/>
  <c r="K560" i="34" s="1"/>
  <c r="K561" i="34" s="1"/>
  <c r="K562" i="34" s="1"/>
  <c r="K563" i="34" s="1"/>
  <c r="K564" i="34" s="1"/>
  <c r="K565" i="34" s="1"/>
  <c r="K566" i="34" s="1"/>
  <c r="K567" i="34" s="1"/>
  <c r="K568" i="34" s="1"/>
  <c r="K569" i="34" s="1"/>
  <c r="K570" i="34" s="1"/>
  <c r="K571" i="34" s="1"/>
  <c r="K572" i="34" s="1"/>
  <c r="K573" i="34" s="1"/>
  <c r="K574" i="34" s="1"/>
  <c r="K575" i="34" s="1"/>
  <c r="K576" i="34" s="1"/>
  <c r="K577" i="34" s="1"/>
  <c r="K578" i="34" s="1"/>
  <c r="K579" i="34" s="1"/>
  <c r="K580" i="34" s="1"/>
  <c r="K581" i="34" s="1"/>
  <c r="K582" i="34" s="1"/>
  <c r="K583" i="34" s="1"/>
  <c r="K584" i="34" s="1"/>
  <c r="K585" i="34" s="1"/>
  <c r="K586" i="34" s="1"/>
  <c r="K587" i="34" s="1"/>
  <c r="K588" i="34" s="1"/>
  <c r="K589" i="34" s="1"/>
  <c r="K590" i="34" s="1"/>
  <c r="K591" i="34" s="1"/>
  <c r="K592" i="34" s="1"/>
  <c r="K593" i="34" s="1"/>
  <c r="K594" i="34" s="1"/>
  <c r="K595" i="34" s="1"/>
  <c r="K596" i="34" s="1"/>
  <c r="K597" i="34" s="1"/>
  <c r="K598" i="34" s="1"/>
  <c r="K599" i="34" s="1"/>
  <c r="K600" i="34" s="1"/>
  <c r="K601" i="34" s="1"/>
  <c r="K602" i="34" s="1"/>
  <c r="K603" i="34" s="1"/>
  <c r="K604" i="34" s="1"/>
  <c r="K605" i="34" s="1"/>
  <c r="K606" i="34" s="1"/>
  <c r="K607" i="34" s="1"/>
  <c r="K608" i="34" s="1"/>
  <c r="K609" i="34" s="1"/>
  <c r="K610" i="34" s="1"/>
  <c r="K611" i="34" s="1"/>
  <c r="K612" i="34" s="1"/>
  <c r="K613" i="34" s="1"/>
  <c r="K614" i="34" s="1"/>
  <c r="K615" i="34" s="1"/>
  <c r="K616" i="34" s="1"/>
  <c r="K617" i="34" s="1"/>
  <c r="K618" i="34" s="1"/>
  <c r="K619" i="34" s="1"/>
  <c r="K620" i="34" s="1"/>
  <c r="K621" i="34" s="1"/>
  <c r="K622" i="34" s="1"/>
  <c r="K623" i="34" s="1"/>
  <c r="K624" i="34" s="1"/>
  <c r="K625" i="34" s="1"/>
  <c r="K626" i="34" s="1"/>
  <c r="K627" i="34" s="1"/>
  <c r="K628" i="34" s="1"/>
  <c r="K629" i="34" s="1"/>
  <c r="K630" i="34" s="1"/>
  <c r="K631" i="34" s="1"/>
  <c r="K632" i="34" s="1"/>
  <c r="K633" i="34" s="1"/>
  <c r="K634" i="34" s="1"/>
  <c r="K635" i="34" s="1"/>
  <c r="K636" i="34" s="1"/>
  <c r="K637" i="34" s="1"/>
  <c r="K638" i="34" s="1"/>
  <c r="K639" i="34" s="1"/>
  <c r="K640" i="34" s="1"/>
  <c r="K641" i="34" s="1"/>
  <c r="K642" i="34" s="1"/>
  <c r="K643" i="34" s="1"/>
  <c r="K644" i="34" s="1"/>
  <c r="K645" i="34" s="1"/>
  <c r="K646" i="34" s="1"/>
  <c r="K647" i="34" s="1"/>
  <c r="K648" i="34" s="1"/>
  <c r="K649" i="34" s="1"/>
  <c r="K650" i="34" s="1"/>
  <c r="K651" i="34" s="1"/>
  <c r="K652" i="34" s="1"/>
  <c r="K653" i="34" s="1"/>
  <c r="K654" i="34" s="1"/>
  <c r="K655" i="34" s="1"/>
  <c r="K656" i="34" s="1"/>
  <c r="K657" i="34" s="1"/>
  <c r="K658" i="34" s="1"/>
  <c r="K659" i="34" s="1"/>
  <c r="K660" i="34" s="1"/>
  <c r="K661" i="34" s="1"/>
  <c r="K662" i="34" s="1"/>
  <c r="K3" i="31"/>
  <c r="K4" i="31" s="1"/>
  <c r="K5" i="31" s="1"/>
  <c r="K6" i="31" s="1"/>
  <c r="K7" i="31" s="1"/>
  <c r="K8" i="31" s="1"/>
  <c r="K9" i="31" s="1"/>
  <c r="K10" i="31" s="1"/>
  <c r="K11" i="31" s="1"/>
  <c r="K12" i="31" s="1"/>
  <c r="K13" i="31" s="1"/>
  <c r="K14" i="31" s="1"/>
  <c r="K15" i="31" s="1"/>
  <c r="K16" i="31" s="1"/>
  <c r="K17" i="31" s="1"/>
  <c r="K18" i="31" s="1"/>
  <c r="K19" i="31" s="1"/>
  <c r="K20" i="31" s="1"/>
  <c r="K21" i="31" s="1"/>
  <c r="K22" i="31" s="1"/>
  <c r="K23" i="31" s="1"/>
  <c r="K24" i="31" s="1"/>
  <c r="K25" i="31" s="1"/>
  <c r="K26" i="31" s="1"/>
  <c r="K27" i="31" s="1"/>
  <c r="K28" i="31" s="1"/>
  <c r="K29" i="31" s="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K40" i="31" s="1"/>
  <c r="K41" i="31" s="1"/>
  <c r="K42" i="31" s="1"/>
  <c r="K43" i="31" s="1"/>
  <c r="K44" i="31" s="1"/>
  <c r="K45" i="31" s="1"/>
  <c r="K46" i="31" s="1"/>
  <c r="K47" i="31" s="1"/>
  <c r="K48" i="31" s="1"/>
  <c r="K49" i="31" s="1"/>
  <c r="K50" i="31" s="1"/>
  <c r="K51" i="31" s="1"/>
  <c r="K52" i="31" s="1"/>
  <c r="K53" i="31" s="1"/>
  <c r="K54" i="31" s="1"/>
  <c r="K55" i="31" s="1"/>
  <c r="K56" i="31" s="1"/>
  <c r="K57" i="31" s="1"/>
  <c r="K58" i="31" s="1"/>
  <c r="K59" i="31" s="1"/>
  <c r="K60" i="31" s="1"/>
  <c r="K61" i="31" s="1"/>
  <c r="K62" i="31" s="1"/>
  <c r="K63" i="31" s="1"/>
  <c r="K64" i="31" s="1"/>
  <c r="K65" i="31" s="1"/>
  <c r="K66" i="31" s="1"/>
  <c r="K67" i="31" s="1"/>
  <c r="K68" i="31" s="1"/>
  <c r="K69" i="31" s="1"/>
  <c r="K70" i="31" s="1"/>
  <c r="K71" i="31" s="1"/>
  <c r="K72" i="31" s="1"/>
  <c r="K73" i="31" s="1"/>
  <c r="K74" i="31" s="1"/>
  <c r="K75" i="31" s="1"/>
  <c r="K76" i="31" s="1"/>
  <c r="K77" i="31" s="1"/>
  <c r="K78" i="31" s="1"/>
  <c r="K79" i="31" s="1"/>
  <c r="K80" i="31" s="1"/>
  <c r="K81" i="31" s="1"/>
  <c r="K82" i="31" s="1"/>
  <c r="K83" i="31" s="1"/>
  <c r="K84" i="31" s="1"/>
  <c r="K85" i="31" s="1"/>
  <c r="K86" i="31" s="1"/>
  <c r="K87" i="31" s="1"/>
  <c r="K88" i="31" s="1"/>
  <c r="K89" i="31" s="1"/>
  <c r="K90" i="31" s="1"/>
  <c r="K91" i="31" s="1"/>
  <c r="K92" i="31" s="1"/>
  <c r="K93" i="31" s="1"/>
  <c r="K94" i="31" s="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F207" i="6"/>
  <c r="K324" i="6"/>
  <c r="K320" i="6"/>
  <c r="K319" i="6"/>
  <c r="K318" i="6"/>
  <c r="J320" i="6"/>
  <c r="J319" i="6"/>
  <c r="J318" i="6"/>
  <c r="J317" i="6"/>
  <c r="K317" i="6"/>
  <c r="A310" i="11"/>
  <c r="A311" i="6"/>
  <c r="A64" i="6"/>
  <c r="I172" i="6"/>
  <c r="L924" i="3"/>
  <c r="L923" i="3"/>
  <c r="L890" i="3"/>
  <c r="L867" i="3"/>
  <c r="L866" i="3"/>
  <c r="A310" i="6"/>
  <c r="L842" i="3"/>
  <c r="L841" i="3"/>
  <c r="I16" i="35"/>
  <c r="I17" i="35"/>
  <c r="I18" i="35"/>
  <c r="I19" i="35"/>
  <c r="I20" i="35"/>
  <c r="I21" i="35"/>
  <c r="I22" i="35"/>
  <c r="I23" i="35"/>
  <c r="I24" i="35"/>
  <c r="L809" i="3"/>
  <c r="L787" i="3"/>
  <c r="A309" i="6"/>
  <c r="A3" i="14"/>
  <c r="A4" i="14"/>
  <c r="L769" i="3"/>
  <c r="A3" i="3"/>
  <c r="A4" i="3"/>
  <c r="A5" i="3"/>
  <c r="L753" i="3"/>
  <c r="L727" i="3"/>
  <c r="G187" i="6"/>
  <c r="H187" i="6"/>
  <c r="L700" i="3"/>
  <c r="L684" i="3"/>
  <c r="L703" i="3"/>
  <c r="L681" i="3"/>
  <c r="L660" i="3"/>
  <c r="L670" i="3"/>
  <c r="K627" i="3"/>
  <c r="L628" i="3"/>
  <c r="L624" i="3"/>
  <c r="L607" i="3"/>
  <c r="L589" i="3"/>
  <c r="L561" i="3"/>
  <c r="L541" i="3"/>
  <c r="L518" i="3"/>
  <c r="I14" i="35"/>
  <c r="I15" i="35"/>
  <c r="L494" i="3"/>
  <c r="L468" i="3"/>
  <c r="L467" i="3"/>
  <c r="Q282" i="6"/>
  <c r="P282" i="6"/>
  <c r="N282" i="6"/>
  <c r="M282" i="6"/>
  <c r="L282" i="6"/>
  <c r="K282" i="6"/>
  <c r="L452" i="3"/>
  <c r="L481" i="3"/>
  <c r="L439" i="3"/>
  <c r="L420" i="3"/>
  <c r="G191" i="6"/>
  <c r="F191" i="6"/>
  <c r="O192" i="6"/>
  <c r="P192" i="6"/>
  <c r="G192" i="6"/>
  <c r="F192" i="6"/>
  <c r="L421" i="3"/>
  <c r="G190" i="6"/>
  <c r="F190" i="6"/>
  <c r="G196" i="6"/>
  <c r="F196" i="6"/>
  <c r="G197" i="6"/>
  <c r="F197" i="6"/>
  <c r="G189" i="6"/>
  <c r="F189" i="6"/>
  <c r="G235" i="6"/>
  <c r="G194" i="6"/>
  <c r="F194" i="6"/>
  <c r="G199" i="6"/>
  <c r="F199" i="6"/>
  <c r="F233" i="6"/>
  <c r="F232" i="6"/>
  <c r="F231" i="6"/>
  <c r="F230" i="6"/>
  <c r="F229" i="6"/>
  <c r="F228" i="6"/>
  <c r="F227" i="6"/>
  <c r="F226" i="6"/>
  <c r="G225" i="6"/>
  <c r="F225" i="6"/>
  <c r="G224" i="6"/>
  <c r="F224" i="6"/>
  <c r="G223" i="6"/>
  <c r="F223" i="6"/>
  <c r="G222" i="6"/>
  <c r="F222" i="6"/>
  <c r="G221" i="6"/>
  <c r="F221" i="6"/>
  <c r="G220" i="6"/>
  <c r="F220" i="6"/>
  <c r="G219" i="6"/>
  <c r="F219" i="6"/>
  <c r="G218" i="6"/>
  <c r="F218" i="6"/>
  <c r="G217" i="6"/>
  <c r="F217" i="6"/>
  <c r="G216" i="6"/>
  <c r="F216" i="6"/>
  <c r="G215" i="6"/>
  <c r="F215" i="6"/>
  <c r="G214" i="6"/>
  <c r="F214" i="6"/>
  <c r="G213" i="6"/>
  <c r="F213" i="6"/>
  <c r="G212" i="6"/>
  <c r="F212" i="6"/>
  <c r="G211" i="6"/>
  <c r="F211" i="6"/>
  <c r="G210" i="6"/>
  <c r="F210" i="6"/>
  <c r="G209" i="6"/>
  <c r="F209" i="6"/>
  <c r="G208" i="6"/>
  <c r="F208" i="6"/>
  <c r="G207" i="6"/>
  <c r="L393" i="3"/>
  <c r="L394" i="3"/>
  <c r="Q187" i="6"/>
  <c r="P187" i="6"/>
  <c r="O187" i="6"/>
  <c r="N187" i="6"/>
  <c r="M187" i="6"/>
  <c r="L187" i="6"/>
  <c r="K187" i="6"/>
  <c r="J187" i="6"/>
  <c r="J5" i="6" s="1"/>
  <c r="I187" i="6"/>
  <c r="I5" i="6" s="1"/>
  <c r="F187" i="6"/>
  <c r="L381" i="3"/>
  <c r="L360" i="3"/>
  <c r="A303" i="11"/>
  <c r="A304" i="11"/>
  <c r="A305" i="11"/>
  <c r="A306" i="11"/>
  <c r="A307" i="11"/>
  <c r="A303" i="6"/>
  <c r="A304" i="6"/>
  <c r="A305" i="6"/>
  <c r="A306" i="6"/>
  <c r="A307" i="6"/>
  <c r="L337" i="3"/>
  <c r="K336" i="3"/>
  <c r="L357" i="3"/>
  <c r="L322" i="3"/>
  <c r="A300" i="11"/>
  <c r="A301" i="11"/>
  <c r="A302" i="11"/>
  <c r="A299" i="6"/>
  <c r="A300" i="6"/>
  <c r="A301" i="6"/>
  <c r="A302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82" i="11"/>
  <c r="A183" i="11"/>
  <c r="A184" i="11"/>
  <c r="A298" i="11"/>
  <c r="A299" i="11"/>
  <c r="L303" i="3"/>
  <c r="L284" i="3"/>
  <c r="L266" i="3"/>
  <c r="A297" i="6"/>
  <c r="A298" i="6"/>
  <c r="A297" i="11"/>
  <c r="A296" i="11"/>
  <c r="A295" i="11"/>
  <c r="A294" i="11"/>
  <c r="I3" i="35"/>
  <c r="I4" i="35" s="1"/>
  <c r="I5" i="35" s="1"/>
  <c r="I6" i="35" s="1"/>
  <c r="I7" i="35" s="1"/>
  <c r="I8" i="35" s="1"/>
  <c r="I9" i="35" s="1"/>
  <c r="I10" i="35" s="1"/>
  <c r="I11" i="35" s="1"/>
  <c r="I12" i="35" s="1"/>
  <c r="I13" i="35" s="1"/>
  <c r="K3" i="32"/>
  <c r="K4" i="32" s="1"/>
  <c r="K5" i="32" s="1"/>
  <c r="K6" i="32" s="1"/>
  <c r="K7" i="32" s="1"/>
  <c r="K8" i="32" s="1"/>
  <c r="K9" i="32" s="1"/>
  <c r="K10" i="32" s="1"/>
  <c r="K11" i="32" s="1"/>
  <c r="K12" i="32" s="1"/>
  <c r="K13" i="32" s="1"/>
  <c r="K14" i="32" s="1"/>
  <c r="K15" i="32" s="1"/>
  <c r="K16" i="32" s="1"/>
  <c r="K17" i="32" s="1"/>
  <c r="K18" i="32" s="1"/>
  <c r="K19" i="32" s="1"/>
  <c r="K20" i="32" s="1"/>
  <c r="K21" i="32" s="1"/>
  <c r="K22" i="32" s="1"/>
  <c r="K23" i="32" s="1"/>
  <c r="K24" i="32" s="1"/>
  <c r="K25" i="32" s="1"/>
  <c r="K26" i="32" s="1"/>
  <c r="K27" i="32" s="1"/>
  <c r="K28" i="32" s="1"/>
  <c r="K29" i="32" s="1"/>
  <c r="K30" i="32" s="1"/>
  <c r="K31" i="32" s="1"/>
  <c r="K32" i="32" s="1"/>
  <c r="K33" i="32" s="1"/>
  <c r="K34" i="32" s="1"/>
  <c r="K35" i="32" s="1"/>
  <c r="K36" i="32" s="1"/>
  <c r="K37" i="32" s="1"/>
  <c r="K38" i="32" s="1"/>
  <c r="K39" i="32" s="1"/>
  <c r="K40" i="32" s="1"/>
  <c r="K41" i="32" s="1"/>
  <c r="K42" i="32" s="1"/>
  <c r="K43" i="32" s="1"/>
  <c r="K44" i="32" s="1"/>
  <c r="K45" i="32" s="1"/>
  <c r="K46" i="32" s="1"/>
  <c r="K47" i="32" s="1"/>
  <c r="K48" i="32" s="1"/>
  <c r="K49" i="32" s="1"/>
  <c r="K50" i="32" s="1"/>
  <c r="K51" i="32" s="1"/>
  <c r="K52" i="32" s="1"/>
  <c r="K53" i="32" s="1"/>
  <c r="K54" i="32" s="1"/>
  <c r="K55" i="32" s="1"/>
  <c r="K56" i="32" s="1"/>
  <c r="K57" i="32" s="1"/>
  <c r="K58" i="32" s="1"/>
  <c r="K59" i="32" s="1"/>
  <c r="K60" i="32" s="1"/>
  <c r="K61" i="32" s="1"/>
  <c r="K62" i="32" s="1"/>
  <c r="K63" i="32" s="1"/>
  <c r="K64" i="32" s="1"/>
  <c r="K65" i="32" s="1"/>
  <c r="K66" i="32" s="1"/>
  <c r="K67" i="32" s="1"/>
  <c r="K68" i="32" s="1"/>
  <c r="K69" i="32" s="1"/>
  <c r="K70" i="32" s="1"/>
  <c r="K71" i="32" s="1"/>
  <c r="K72" i="32" s="1"/>
  <c r="K73" i="32" s="1"/>
  <c r="K74" i="32" s="1"/>
  <c r="K75" i="32" s="1"/>
  <c r="K76" i="32" s="1"/>
  <c r="K77" i="32" s="1"/>
  <c r="K78" i="32" s="1"/>
  <c r="K79" i="32" s="1"/>
  <c r="K80" i="32" s="1"/>
  <c r="K81" i="32" s="1"/>
  <c r="K82" i="32" s="1"/>
  <c r="K83" i="32" s="1"/>
  <c r="K84" i="32" s="1"/>
  <c r="K85" i="32" s="1"/>
  <c r="K86" i="32" s="1"/>
  <c r="K87" i="32" s="1"/>
  <c r="K88" i="32" s="1"/>
  <c r="K89" i="32" s="1"/>
  <c r="K90" i="32" s="1"/>
  <c r="K91" i="32" s="1"/>
  <c r="K92" i="32" s="1"/>
  <c r="K93" i="32" s="1"/>
  <c r="K94" i="32" s="1"/>
  <c r="K95" i="32" s="1"/>
  <c r="K96" i="32" s="1"/>
  <c r="K97" i="32" s="1"/>
  <c r="K98" i="32" s="1"/>
  <c r="K99" i="32" s="1"/>
  <c r="K100" i="32" s="1"/>
  <c r="K101" i="32" s="1"/>
  <c r="K102" i="32" s="1"/>
  <c r="K103" i="32" s="1"/>
  <c r="L246" i="3"/>
  <c r="L220" i="3"/>
  <c r="L203" i="3"/>
  <c r="L201" i="3"/>
  <c r="L173" i="3"/>
  <c r="L172" i="3"/>
  <c r="L161" i="3"/>
  <c r="L132" i="3"/>
  <c r="L111" i="3"/>
  <c r="L110" i="3"/>
  <c r="L94" i="3"/>
  <c r="L93" i="3"/>
  <c r="L76" i="3"/>
  <c r="L54" i="3"/>
  <c r="L24" i="3"/>
  <c r="L19" i="3"/>
  <c r="L7" i="3"/>
  <c r="L6" i="3"/>
  <c r="K4" i="3"/>
  <c r="A5" i="13"/>
  <c r="A3" i="13"/>
  <c r="A8" i="11"/>
  <c r="A9" i="11"/>
  <c r="A10" i="11"/>
  <c r="A11" i="11"/>
  <c r="A12" i="11"/>
  <c r="A13" i="11"/>
  <c r="A14" i="11"/>
  <c r="A15" i="11"/>
  <c r="A16" i="11"/>
  <c r="A17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308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R3" i="11"/>
  <c r="AQ3" i="11"/>
  <c r="AP3" i="11"/>
  <c r="AO3" i="11"/>
  <c r="AN3" i="11"/>
  <c r="AR2" i="11"/>
  <c r="AQ2" i="11"/>
  <c r="AP2" i="11"/>
  <c r="AO2" i="11"/>
  <c r="AN2" i="11"/>
  <c r="AI3" i="11"/>
  <c r="AH3" i="11"/>
  <c r="AG3" i="11"/>
  <c r="AF3" i="11"/>
  <c r="AI2" i="11"/>
  <c r="AH2" i="11"/>
  <c r="AG2" i="11"/>
  <c r="AF2" i="11"/>
  <c r="AA3" i="11"/>
  <c r="Z3" i="11"/>
  <c r="Y3" i="11"/>
  <c r="X3" i="11"/>
  <c r="AA2" i="11"/>
  <c r="Z2" i="11"/>
  <c r="Y2" i="11"/>
  <c r="X2" i="11"/>
  <c r="S3" i="11"/>
  <c r="R3" i="11"/>
  <c r="Q3" i="11"/>
  <c r="P3" i="11"/>
  <c r="O3" i="11"/>
  <c r="S2" i="11"/>
  <c r="R2" i="11"/>
  <c r="Q2" i="11"/>
  <c r="P2" i="11"/>
  <c r="O2" i="11"/>
  <c r="J3" i="11"/>
  <c r="I3" i="11"/>
  <c r="H3" i="11"/>
  <c r="G3" i="11"/>
  <c r="J2" i="11"/>
  <c r="I2" i="11"/>
  <c r="H2" i="11"/>
  <c r="G2" i="11"/>
  <c r="F5" i="6"/>
  <c r="G5" i="6"/>
  <c r="H5" i="6"/>
  <c r="K5" i="6"/>
  <c r="L5" i="6"/>
  <c r="CV326" i="11" l="1"/>
  <c r="CY326" i="11"/>
  <c r="M4" i="3"/>
  <c r="M5" i="3" s="1"/>
  <c r="M6" i="3" s="1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M209" i="3" s="1"/>
  <c r="M210" i="3" s="1"/>
  <c r="M211" i="3" s="1"/>
  <c r="M212" i="3" s="1"/>
  <c r="M213" i="3" s="1"/>
  <c r="M214" i="3" s="1"/>
  <c r="M215" i="3" s="1"/>
  <c r="M216" i="3" s="1"/>
  <c r="M217" i="3" s="1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M278" i="3" s="1"/>
  <c r="M279" i="3" s="1"/>
  <c r="M280" i="3" s="1"/>
  <c r="M281" i="3" s="1"/>
  <c r="M282" i="3" s="1"/>
  <c r="M283" i="3" s="1"/>
  <c r="M284" i="3" s="1"/>
  <c r="M285" i="3" s="1"/>
  <c r="M286" i="3" s="1"/>
  <c r="M287" i="3" s="1"/>
  <c r="M288" i="3" s="1"/>
  <c r="M289" i="3" s="1"/>
  <c r="M290" i="3" s="1"/>
  <c r="M291" i="3" s="1"/>
  <c r="M292" i="3" s="1"/>
  <c r="M293" i="3" s="1"/>
  <c r="M294" i="3" s="1"/>
  <c r="M295" i="3" s="1"/>
  <c r="M296" i="3" s="1"/>
  <c r="M297" i="3" s="1"/>
  <c r="M298" i="3" s="1"/>
  <c r="M299" i="3" s="1"/>
  <c r="M300" i="3" s="1"/>
  <c r="M301" i="3" s="1"/>
  <c r="M302" i="3" s="1"/>
  <c r="M303" i="3" s="1"/>
  <c r="M304" i="3" s="1"/>
  <c r="M305" i="3" s="1"/>
  <c r="M306" i="3" s="1"/>
  <c r="M307" i="3" s="1"/>
  <c r="M308" i="3" s="1"/>
  <c r="M309" i="3" s="1"/>
  <c r="M310" i="3" s="1"/>
  <c r="M311" i="3" s="1"/>
  <c r="M312" i="3" s="1"/>
  <c r="M313" i="3" s="1"/>
  <c r="M314" i="3" s="1"/>
  <c r="M315" i="3" s="1"/>
  <c r="M316" i="3" s="1"/>
  <c r="M317" i="3" s="1"/>
  <c r="M318" i="3" s="1"/>
  <c r="M319" i="3" s="1"/>
  <c r="M320" i="3" s="1"/>
  <c r="M321" i="3" s="1"/>
  <c r="M322" i="3" s="1"/>
  <c r="M323" i="3" s="1"/>
  <c r="M324" i="3" s="1"/>
  <c r="M325" i="3" s="1"/>
  <c r="M326" i="3" s="1"/>
  <c r="M327" i="3" s="1"/>
  <c r="M328" i="3" s="1"/>
  <c r="M329" i="3" s="1"/>
  <c r="M330" i="3" s="1"/>
  <c r="M331" i="3" s="1"/>
  <c r="M332" i="3" s="1"/>
  <c r="M333" i="3" s="1"/>
  <c r="M334" i="3" s="1"/>
  <c r="M335" i="3" s="1"/>
  <c r="M336" i="3" s="1"/>
  <c r="M337" i="3" s="1"/>
  <c r="M338" i="3" s="1"/>
  <c r="M339" i="3" s="1"/>
  <c r="M340" i="3" s="1"/>
  <c r="M341" i="3" s="1"/>
  <c r="M342" i="3" s="1"/>
  <c r="M343" i="3" s="1"/>
  <c r="M344" i="3" s="1"/>
  <c r="M345" i="3" s="1"/>
  <c r="M346" i="3" s="1"/>
  <c r="M347" i="3" s="1"/>
  <c r="M348" i="3" s="1"/>
  <c r="M349" i="3" s="1"/>
  <c r="M350" i="3" s="1"/>
  <c r="M351" i="3" s="1"/>
  <c r="M352" i="3" s="1"/>
  <c r="M353" i="3" s="1"/>
  <c r="M354" i="3" s="1"/>
  <c r="M355" i="3" s="1"/>
  <c r="M356" i="3" s="1"/>
  <c r="M357" i="3" s="1"/>
  <c r="M358" i="3" s="1"/>
  <c r="M359" i="3" s="1"/>
  <c r="M360" i="3" s="1"/>
  <c r="M361" i="3" s="1"/>
  <c r="M362" i="3" s="1"/>
  <c r="M363" i="3" s="1"/>
  <c r="M364" i="3" s="1"/>
  <c r="M365" i="3" s="1"/>
  <c r="M366" i="3" s="1"/>
  <c r="M367" i="3" s="1"/>
  <c r="M368" i="3" s="1"/>
  <c r="M369" i="3" s="1"/>
  <c r="M370" i="3" s="1"/>
  <c r="M371" i="3" s="1"/>
  <c r="M372" i="3" s="1"/>
  <c r="M373" i="3" s="1"/>
  <c r="M374" i="3" s="1"/>
  <c r="M375" i="3" s="1"/>
  <c r="M376" i="3" s="1"/>
  <c r="M377" i="3" s="1"/>
  <c r="M378" i="3" s="1"/>
  <c r="M379" i="3" s="1"/>
  <c r="M380" i="3" s="1"/>
  <c r="M381" i="3" s="1"/>
  <c r="M382" i="3" s="1"/>
  <c r="M383" i="3" s="1"/>
  <c r="M384" i="3" s="1"/>
  <c r="M385" i="3" s="1"/>
  <c r="M386" i="3" s="1"/>
  <c r="M387" i="3" s="1"/>
  <c r="M388" i="3" s="1"/>
  <c r="M389" i="3" s="1"/>
  <c r="M390" i="3" s="1"/>
  <c r="M391" i="3" s="1"/>
  <c r="M392" i="3" s="1"/>
  <c r="M393" i="3" s="1"/>
  <c r="M394" i="3" s="1"/>
  <c r="M395" i="3" s="1"/>
  <c r="M396" i="3" s="1"/>
  <c r="M397" i="3" s="1"/>
  <c r="M398" i="3" s="1"/>
  <c r="M399" i="3" s="1"/>
  <c r="M400" i="3" s="1"/>
  <c r="M401" i="3" s="1"/>
  <c r="M402" i="3" s="1"/>
  <c r="M403" i="3" s="1"/>
  <c r="M404" i="3" s="1"/>
  <c r="M405" i="3" s="1"/>
  <c r="M406" i="3" s="1"/>
  <c r="M407" i="3" s="1"/>
  <c r="M408" i="3" s="1"/>
  <c r="M409" i="3" s="1"/>
  <c r="M410" i="3" s="1"/>
  <c r="M411" i="3" s="1"/>
  <c r="M412" i="3" s="1"/>
  <c r="M413" i="3" s="1"/>
  <c r="M414" i="3" s="1"/>
  <c r="M415" i="3" s="1"/>
  <c r="M416" i="3" s="1"/>
  <c r="M417" i="3" s="1"/>
  <c r="M418" i="3" s="1"/>
  <c r="M419" i="3" s="1"/>
  <c r="M420" i="3" s="1"/>
  <c r="M421" i="3" s="1"/>
  <c r="M422" i="3" s="1"/>
  <c r="M423" i="3" s="1"/>
  <c r="M424" i="3" s="1"/>
  <c r="M425" i="3" s="1"/>
  <c r="M426" i="3" s="1"/>
  <c r="M427" i="3" s="1"/>
  <c r="M428" i="3" s="1"/>
  <c r="M429" i="3" s="1"/>
  <c r="M430" i="3" s="1"/>
  <c r="M431" i="3" s="1"/>
  <c r="M432" i="3" s="1"/>
  <c r="M433" i="3" s="1"/>
  <c r="M434" i="3" s="1"/>
  <c r="M435" i="3" s="1"/>
  <c r="M436" i="3" s="1"/>
  <c r="M437" i="3" s="1"/>
  <c r="M438" i="3" s="1"/>
  <c r="M439" i="3" s="1"/>
  <c r="M440" i="3" s="1"/>
  <c r="M441" i="3" s="1"/>
  <c r="M442" i="3" s="1"/>
  <c r="M443" i="3" s="1"/>
  <c r="M444" i="3" s="1"/>
  <c r="M445" i="3" s="1"/>
  <c r="M446" i="3" s="1"/>
  <c r="M447" i="3" s="1"/>
  <c r="M448" i="3" s="1"/>
  <c r="M449" i="3" s="1"/>
  <c r="M450" i="3" s="1"/>
  <c r="M451" i="3" s="1"/>
  <c r="M452" i="3" s="1"/>
  <c r="M453" i="3" s="1"/>
  <c r="M454" i="3" s="1"/>
  <c r="M455" i="3" s="1"/>
  <c r="M456" i="3" s="1"/>
  <c r="M457" i="3" s="1"/>
  <c r="M458" i="3" s="1"/>
  <c r="M459" i="3" s="1"/>
  <c r="M460" i="3" s="1"/>
  <c r="M461" i="3" s="1"/>
  <c r="M462" i="3" s="1"/>
  <c r="M463" i="3" s="1"/>
  <c r="M464" i="3" s="1"/>
  <c r="M465" i="3" s="1"/>
  <c r="M466" i="3" s="1"/>
  <c r="M467" i="3" s="1"/>
  <c r="M468" i="3" s="1"/>
  <c r="M469" i="3" s="1"/>
  <c r="M470" i="3" s="1"/>
  <c r="M471" i="3" s="1"/>
  <c r="M472" i="3" s="1"/>
  <c r="M473" i="3" s="1"/>
  <c r="M474" i="3" s="1"/>
  <c r="M475" i="3" s="1"/>
  <c r="M476" i="3" s="1"/>
  <c r="M477" i="3" s="1"/>
  <c r="M478" i="3" s="1"/>
  <c r="M479" i="3" s="1"/>
  <c r="M480" i="3" s="1"/>
  <c r="M481" i="3" s="1"/>
  <c r="M482" i="3" s="1"/>
  <c r="M483" i="3" s="1"/>
  <c r="M484" i="3" s="1"/>
  <c r="M485" i="3" s="1"/>
  <c r="M486" i="3" s="1"/>
  <c r="M487" i="3" s="1"/>
  <c r="M488" i="3" s="1"/>
  <c r="M489" i="3" s="1"/>
  <c r="M490" i="3" s="1"/>
  <c r="M491" i="3" s="1"/>
  <c r="M492" i="3" s="1"/>
  <c r="M493" i="3" s="1"/>
  <c r="M494" i="3" s="1"/>
  <c r="M495" i="3" s="1"/>
  <c r="M496" i="3" s="1"/>
  <c r="M497" i="3" s="1"/>
  <c r="M498" i="3" s="1"/>
  <c r="M499" i="3" s="1"/>
  <c r="M500" i="3" s="1"/>
  <c r="M501" i="3" s="1"/>
  <c r="M502" i="3" s="1"/>
  <c r="M503" i="3" s="1"/>
  <c r="M504" i="3" s="1"/>
  <c r="M505" i="3" s="1"/>
  <c r="M506" i="3" s="1"/>
  <c r="M507" i="3" s="1"/>
  <c r="M508" i="3" s="1"/>
  <c r="M509" i="3" s="1"/>
  <c r="M510" i="3" s="1"/>
  <c r="M511" i="3" s="1"/>
  <c r="M512" i="3" s="1"/>
  <c r="M513" i="3" s="1"/>
  <c r="M514" i="3" s="1"/>
  <c r="M515" i="3" s="1"/>
  <c r="M516" i="3" s="1"/>
  <c r="M517" i="3" s="1"/>
  <c r="M518" i="3" s="1"/>
  <c r="M519" i="3" s="1"/>
  <c r="M520" i="3" s="1"/>
  <c r="M521" i="3" s="1"/>
  <c r="M522" i="3" s="1"/>
  <c r="M523" i="3" s="1"/>
  <c r="M524" i="3" s="1"/>
  <c r="M525" i="3" s="1"/>
  <c r="M526" i="3" s="1"/>
  <c r="M527" i="3" s="1"/>
  <c r="M528" i="3" s="1"/>
  <c r="M529" i="3" s="1"/>
  <c r="M530" i="3" s="1"/>
  <c r="M531" i="3" s="1"/>
  <c r="M532" i="3" s="1"/>
  <c r="M533" i="3" s="1"/>
  <c r="M534" i="3" s="1"/>
  <c r="M535" i="3" s="1"/>
  <c r="M536" i="3" s="1"/>
  <c r="M537" i="3" s="1"/>
  <c r="M538" i="3" s="1"/>
  <c r="M539" i="3" s="1"/>
  <c r="M540" i="3" s="1"/>
  <c r="M541" i="3" s="1"/>
  <c r="M542" i="3" s="1"/>
  <c r="M543" i="3" s="1"/>
  <c r="M544" i="3" s="1"/>
  <c r="M545" i="3" s="1"/>
  <c r="M546" i="3" s="1"/>
  <c r="M547" i="3" s="1"/>
  <c r="M548" i="3" s="1"/>
  <c r="M549" i="3" s="1"/>
  <c r="M550" i="3" s="1"/>
  <c r="M551" i="3" s="1"/>
  <c r="M552" i="3" s="1"/>
  <c r="M553" i="3" s="1"/>
  <c r="M554" i="3" s="1"/>
  <c r="M555" i="3" s="1"/>
  <c r="M556" i="3" s="1"/>
  <c r="M557" i="3" s="1"/>
  <c r="M558" i="3" s="1"/>
  <c r="M559" i="3" s="1"/>
  <c r="M560" i="3" s="1"/>
  <c r="M561" i="3" s="1"/>
  <c r="M562" i="3" s="1"/>
  <c r="M563" i="3" s="1"/>
  <c r="M564" i="3" s="1"/>
  <c r="M565" i="3" s="1"/>
  <c r="M566" i="3" s="1"/>
  <c r="M567" i="3" s="1"/>
  <c r="M568" i="3" s="1"/>
  <c r="M569" i="3" s="1"/>
  <c r="M570" i="3" s="1"/>
  <c r="M571" i="3" s="1"/>
  <c r="M572" i="3" s="1"/>
  <c r="M573" i="3" s="1"/>
  <c r="M574" i="3" s="1"/>
  <c r="M575" i="3" s="1"/>
  <c r="M576" i="3" s="1"/>
  <c r="M577" i="3" s="1"/>
  <c r="M578" i="3" s="1"/>
  <c r="M579" i="3" s="1"/>
  <c r="M580" i="3" s="1"/>
  <c r="M581" i="3" s="1"/>
  <c r="M582" i="3" s="1"/>
  <c r="M583" i="3" s="1"/>
  <c r="M584" i="3" s="1"/>
  <c r="M585" i="3" s="1"/>
  <c r="M586" i="3" s="1"/>
  <c r="M587" i="3" s="1"/>
  <c r="M588" i="3" s="1"/>
  <c r="M589" i="3" s="1"/>
  <c r="M590" i="3" s="1"/>
  <c r="M591" i="3" s="1"/>
  <c r="M592" i="3" s="1"/>
  <c r="M593" i="3" s="1"/>
  <c r="M594" i="3" s="1"/>
  <c r="M595" i="3" s="1"/>
  <c r="M596" i="3" s="1"/>
  <c r="M597" i="3" s="1"/>
  <c r="M598" i="3" s="1"/>
  <c r="M599" i="3" s="1"/>
  <c r="M600" i="3" s="1"/>
  <c r="M601" i="3" s="1"/>
  <c r="M602" i="3" s="1"/>
  <c r="M603" i="3" s="1"/>
  <c r="M604" i="3" s="1"/>
  <c r="M605" i="3" s="1"/>
  <c r="M606" i="3" s="1"/>
  <c r="M607" i="3" s="1"/>
  <c r="M608" i="3" s="1"/>
  <c r="M609" i="3" s="1"/>
  <c r="M610" i="3" s="1"/>
  <c r="M611" i="3" s="1"/>
  <c r="M612" i="3" s="1"/>
  <c r="M613" i="3" s="1"/>
  <c r="M614" i="3" s="1"/>
  <c r="M615" i="3" s="1"/>
  <c r="M616" i="3" s="1"/>
  <c r="M617" i="3" s="1"/>
  <c r="M618" i="3" s="1"/>
  <c r="M619" i="3" s="1"/>
  <c r="M620" i="3" s="1"/>
  <c r="M621" i="3" s="1"/>
  <c r="M622" i="3" s="1"/>
  <c r="M623" i="3" s="1"/>
  <c r="M624" i="3" s="1"/>
  <c r="M625" i="3" s="1"/>
  <c r="M626" i="3" s="1"/>
  <c r="M627" i="3" s="1"/>
  <c r="M628" i="3" s="1"/>
  <c r="M629" i="3" s="1"/>
  <c r="M630" i="3" s="1"/>
  <c r="M631" i="3" s="1"/>
  <c r="M632" i="3" s="1"/>
  <c r="M633" i="3" s="1"/>
  <c r="M634" i="3" s="1"/>
  <c r="M635" i="3" s="1"/>
  <c r="M636" i="3" s="1"/>
  <c r="M637" i="3" s="1"/>
  <c r="M638" i="3" s="1"/>
  <c r="M639" i="3" s="1"/>
  <c r="M640" i="3" s="1"/>
  <c r="M641" i="3" s="1"/>
  <c r="M642" i="3" s="1"/>
  <c r="M643" i="3" s="1"/>
  <c r="M644" i="3" s="1"/>
  <c r="M645" i="3" s="1"/>
  <c r="M646" i="3" s="1"/>
  <c r="M647" i="3" s="1"/>
  <c r="M648" i="3" s="1"/>
  <c r="M649" i="3" s="1"/>
  <c r="M650" i="3" s="1"/>
  <c r="M651" i="3" s="1"/>
  <c r="M652" i="3" s="1"/>
  <c r="M653" i="3" s="1"/>
  <c r="M654" i="3" s="1"/>
  <c r="M655" i="3" s="1"/>
  <c r="M656" i="3" s="1"/>
  <c r="M657" i="3" s="1"/>
  <c r="M658" i="3" s="1"/>
  <c r="M659" i="3" s="1"/>
  <c r="M660" i="3" s="1"/>
  <c r="M661" i="3" s="1"/>
  <c r="M662" i="3" s="1"/>
  <c r="M663" i="3" s="1"/>
  <c r="M664" i="3" s="1"/>
  <c r="M665" i="3" s="1"/>
  <c r="M666" i="3" s="1"/>
  <c r="M667" i="3" s="1"/>
  <c r="M668" i="3" s="1"/>
  <c r="M669" i="3" s="1"/>
  <c r="M670" i="3" s="1"/>
  <c r="M671" i="3" s="1"/>
  <c r="M672" i="3" s="1"/>
  <c r="M673" i="3" s="1"/>
  <c r="M674" i="3" s="1"/>
  <c r="M675" i="3" s="1"/>
  <c r="M676" i="3" s="1"/>
  <c r="M677" i="3" s="1"/>
  <c r="M678" i="3" s="1"/>
  <c r="M679" i="3" s="1"/>
  <c r="M680" i="3" s="1"/>
  <c r="M681" i="3" s="1"/>
  <c r="M682" i="3" s="1"/>
  <c r="M683" i="3" s="1"/>
  <c r="M684" i="3" s="1"/>
  <c r="M685" i="3" s="1"/>
  <c r="M686" i="3" s="1"/>
  <c r="M687" i="3" s="1"/>
  <c r="M688" i="3" s="1"/>
  <c r="M689" i="3" s="1"/>
  <c r="M690" i="3" s="1"/>
  <c r="M691" i="3" s="1"/>
  <c r="M692" i="3" s="1"/>
  <c r="M693" i="3" s="1"/>
  <c r="M694" i="3" s="1"/>
  <c r="M695" i="3" s="1"/>
  <c r="M696" i="3" s="1"/>
  <c r="M697" i="3" s="1"/>
  <c r="M698" i="3" s="1"/>
  <c r="M699" i="3" s="1"/>
  <c r="M700" i="3" s="1"/>
  <c r="M701" i="3" s="1"/>
  <c r="M702" i="3" s="1"/>
  <c r="M703" i="3" s="1"/>
  <c r="M704" i="3" s="1"/>
  <c r="M705" i="3" s="1"/>
  <c r="M706" i="3" s="1"/>
  <c r="M707" i="3" s="1"/>
  <c r="M708" i="3" s="1"/>
  <c r="M709" i="3" s="1"/>
  <c r="M710" i="3" s="1"/>
  <c r="M711" i="3" s="1"/>
  <c r="M712" i="3" s="1"/>
  <c r="M713" i="3" s="1"/>
  <c r="M714" i="3" s="1"/>
  <c r="M715" i="3" s="1"/>
  <c r="M716" i="3" s="1"/>
  <c r="M717" i="3" s="1"/>
  <c r="M718" i="3" s="1"/>
  <c r="M719" i="3" s="1"/>
  <c r="M720" i="3" s="1"/>
  <c r="M721" i="3" s="1"/>
  <c r="M722" i="3" s="1"/>
  <c r="M723" i="3" s="1"/>
  <c r="M724" i="3" s="1"/>
  <c r="M725" i="3" s="1"/>
  <c r="M726" i="3" s="1"/>
  <c r="M727" i="3" s="1"/>
  <c r="M728" i="3" s="1"/>
  <c r="M729" i="3" s="1"/>
  <c r="M730" i="3" s="1"/>
  <c r="M731" i="3" s="1"/>
  <c r="M732" i="3" s="1"/>
  <c r="M733" i="3" s="1"/>
  <c r="M734" i="3" s="1"/>
  <c r="M735" i="3" s="1"/>
  <c r="M736" i="3" s="1"/>
  <c r="M737" i="3" s="1"/>
  <c r="M738" i="3" s="1"/>
  <c r="M739" i="3" s="1"/>
  <c r="M740" i="3" s="1"/>
  <c r="M741" i="3" s="1"/>
  <c r="M742" i="3" s="1"/>
  <c r="M743" i="3" s="1"/>
  <c r="M744" i="3" s="1"/>
  <c r="M745" i="3" s="1"/>
  <c r="M746" i="3" s="1"/>
  <c r="M747" i="3" s="1"/>
  <c r="M748" i="3" s="1"/>
  <c r="M749" i="3" s="1"/>
  <c r="M750" i="3" s="1"/>
  <c r="M751" i="3" s="1"/>
  <c r="M752" i="3" s="1"/>
  <c r="M753" i="3" s="1"/>
  <c r="M754" i="3" s="1"/>
  <c r="M755" i="3" s="1"/>
  <c r="M756" i="3" s="1"/>
  <c r="M757" i="3" s="1"/>
  <c r="M758" i="3" s="1"/>
  <c r="M759" i="3" s="1"/>
  <c r="M760" i="3" s="1"/>
  <c r="M761" i="3" s="1"/>
  <c r="M762" i="3" s="1"/>
  <c r="M763" i="3" s="1"/>
  <c r="M764" i="3" s="1"/>
  <c r="M765" i="3" s="1"/>
  <c r="M766" i="3" s="1"/>
  <c r="M767" i="3" s="1"/>
  <c r="M768" i="3" s="1"/>
  <c r="M769" i="3" s="1"/>
  <c r="M770" i="3" s="1"/>
  <c r="M771" i="3" s="1"/>
  <c r="M772" i="3" s="1"/>
  <c r="M773" i="3" s="1"/>
  <c r="M774" i="3" s="1"/>
  <c r="M775" i="3" s="1"/>
  <c r="M776" i="3" s="1"/>
  <c r="M777" i="3" s="1"/>
  <c r="M778" i="3" s="1"/>
  <c r="M779" i="3" s="1"/>
  <c r="M780" i="3" s="1"/>
  <c r="M781" i="3" s="1"/>
  <c r="M782" i="3" s="1"/>
  <c r="M783" i="3" s="1"/>
  <c r="M784" i="3" s="1"/>
  <c r="M785" i="3" s="1"/>
  <c r="M786" i="3" s="1"/>
  <c r="M787" i="3" s="1"/>
  <c r="M788" i="3" s="1"/>
  <c r="M789" i="3" s="1"/>
  <c r="M790" i="3" s="1"/>
  <c r="M791" i="3" s="1"/>
  <c r="M792" i="3" s="1"/>
  <c r="M793" i="3" s="1"/>
  <c r="M794" i="3" s="1"/>
  <c r="M795" i="3" s="1"/>
  <c r="M796" i="3" s="1"/>
  <c r="M797" i="3" s="1"/>
  <c r="M798" i="3" s="1"/>
  <c r="M799" i="3" s="1"/>
  <c r="M800" i="3" s="1"/>
  <c r="M801" i="3" s="1"/>
  <c r="M802" i="3" s="1"/>
  <c r="M803" i="3" s="1"/>
  <c r="M804" i="3" s="1"/>
  <c r="M805" i="3" s="1"/>
  <c r="M806" i="3" s="1"/>
  <c r="M807" i="3" s="1"/>
  <c r="M808" i="3" s="1"/>
  <c r="M809" i="3" s="1"/>
  <c r="M810" i="3" s="1"/>
  <c r="M811" i="3" s="1"/>
  <c r="M812" i="3" s="1"/>
  <c r="M813" i="3" s="1"/>
  <c r="M814" i="3" s="1"/>
  <c r="M815" i="3" s="1"/>
  <c r="M816" i="3" s="1"/>
  <c r="M817" i="3" s="1"/>
  <c r="M818" i="3" s="1"/>
  <c r="M819" i="3" s="1"/>
  <c r="M820" i="3" s="1"/>
  <c r="M821" i="3" s="1"/>
  <c r="M822" i="3" s="1"/>
  <c r="M823" i="3" s="1"/>
  <c r="M824" i="3" s="1"/>
  <c r="M825" i="3" s="1"/>
  <c r="M826" i="3" s="1"/>
  <c r="M827" i="3" s="1"/>
  <c r="M828" i="3" s="1"/>
  <c r="M829" i="3" s="1"/>
  <c r="M830" i="3" s="1"/>
  <c r="M831" i="3" s="1"/>
  <c r="M832" i="3" s="1"/>
  <c r="M833" i="3" s="1"/>
  <c r="M834" i="3" s="1"/>
  <c r="M835" i="3" s="1"/>
  <c r="M836" i="3" s="1"/>
  <c r="M837" i="3" s="1"/>
  <c r="M838" i="3" s="1"/>
  <c r="M839" i="3" s="1"/>
  <c r="M840" i="3" s="1"/>
  <c r="M841" i="3" s="1"/>
  <c r="M842" i="3" s="1"/>
  <c r="M843" i="3" s="1"/>
  <c r="M844" i="3" s="1"/>
  <c r="M845" i="3" s="1"/>
  <c r="M846" i="3" s="1"/>
  <c r="M847" i="3" s="1"/>
  <c r="M848" i="3" s="1"/>
  <c r="M849" i="3" s="1"/>
  <c r="M850" i="3" s="1"/>
  <c r="M851" i="3" s="1"/>
  <c r="M852" i="3" s="1"/>
  <c r="M853" i="3" s="1"/>
  <c r="M854" i="3" s="1"/>
  <c r="M855" i="3" s="1"/>
  <c r="M856" i="3" s="1"/>
  <c r="M857" i="3" s="1"/>
  <c r="M858" i="3" s="1"/>
  <c r="M859" i="3" s="1"/>
  <c r="M860" i="3" s="1"/>
  <c r="M861" i="3" s="1"/>
  <c r="M862" i="3" s="1"/>
  <c r="M863" i="3" s="1"/>
  <c r="M864" i="3" s="1"/>
  <c r="M865" i="3" s="1"/>
  <c r="M866" i="3" s="1"/>
  <c r="M867" i="3" s="1"/>
  <c r="M868" i="3" s="1"/>
  <c r="M869" i="3" s="1"/>
  <c r="M870" i="3" s="1"/>
  <c r="M871" i="3" s="1"/>
  <c r="M872" i="3" s="1"/>
  <c r="M873" i="3" s="1"/>
  <c r="M874" i="3" s="1"/>
  <c r="M875" i="3" s="1"/>
  <c r="M876" i="3" s="1"/>
  <c r="M877" i="3" s="1"/>
  <c r="M878" i="3" s="1"/>
  <c r="M879" i="3" s="1"/>
  <c r="M880" i="3" s="1"/>
  <c r="M881" i="3" s="1"/>
  <c r="M882" i="3" s="1"/>
  <c r="M883" i="3" s="1"/>
  <c r="M884" i="3" s="1"/>
  <c r="M885" i="3" s="1"/>
  <c r="M886" i="3" s="1"/>
  <c r="M887" i="3" s="1"/>
  <c r="M888" i="3" s="1"/>
  <c r="M889" i="3" s="1"/>
  <c r="M890" i="3" s="1"/>
  <c r="M891" i="3" s="1"/>
  <c r="M892" i="3" s="1"/>
  <c r="M893" i="3" s="1"/>
  <c r="M894" i="3" s="1"/>
  <c r="M895" i="3" s="1"/>
  <c r="M896" i="3" s="1"/>
  <c r="M897" i="3" s="1"/>
  <c r="M898" i="3" s="1"/>
  <c r="M899" i="3" s="1"/>
  <c r="M900" i="3" s="1"/>
  <c r="M901" i="3" s="1"/>
  <c r="M902" i="3" s="1"/>
  <c r="M903" i="3" s="1"/>
  <c r="M904" i="3" s="1"/>
  <c r="M905" i="3" s="1"/>
  <c r="M906" i="3" s="1"/>
  <c r="M907" i="3" s="1"/>
  <c r="M908" i="3" s="1"/>
  <c r="M909" i="3" s="1"/>
  <c r="M910" i="3" s="1"/>
  <c r="M911" i="3" s="1"/>
  <c r="M912" i="3" s="1"/>
  <c r="M913" i="3" s="1"/>
  <c r="M914" i="3" s="1"/>
  <c r="M915" i="3" s="1"/>
  <c r="M916" i="3" s="1"/>
  <c r="M917" i="3" s="1"/>
  <c r="M918" i="3" s="1"/>
  <c r="M919" i="3" s="1"/>
  <c r="M920" i="3" s="1"/>
  <c r="M921" i="3" s="1"/>
  <c r="M922" i="3" s="1"/>
  <c r="M923" i="3" s="1"/>
  <c r="M924" i="3" s="1"/>
  <c r="M925" i="3" s="1"/>
  <c r="M926" i="3" s="1"/>
  <c r="M927" i="3" s="1"/>
  <c r="M928" i="3" s="1"/>
  <c r="C4376" i="3"/>
  <c r="C3667" i="3"/>
  <c r="C3622" i="3"/>
  <c r="C3337" i="3"/>
  <c r="K318" i="15"/>
  <c r="K319" i="15" s="1"/>
  <c r="K320" i="15" s="1"/>
  <c r="K321" i="15" s="1"/>
  <c r="K69" i="14"/>
  <c r="K70" i="14" s="1"/>
  <c r="K71" i="14" s="1"/>
  <c r="K72" i="14" s="1"/>
  <c r="K73" i="14" s="1"/>
  <c r="K74" i="14" s="1"/>
  <c r="K75" i="14" s="1"/>
  <c r="K76" i="14" s="1"/>
  <c r="K77" i="14" s="1"/>
  <c r="K78" i="14" s="1"/>
  <c r="K79" i="14" s="1"/>
  <c r="K80" i="14" s="1"/>
  <c r="K81" i="14" s="1"/>
  <c r="K82" i="14" s="1"/>
  <c r="K83" i="14" s="1"/>
  <c r="K84" i="14" s="1"/>
  <c r="K85" i="14" s="1"/>
  <c r="K86" i="14" s="1"/>
  <c r="K87" i="14" s="1"/>
  <c r="K88" i="14" s="1"/>
  <c r="K89" i="14" s="1"/>
  <c r="K90" i="14" s="1"/>
  <c r="K91" i="14" s="1"/>
  <c r="K92" i="14" s="1"/>
  <c r="K93" i="14" s="1"/>
  <c r="K94" i="14" s="1"/>
  <c r="K95" i="14" s="1"/>
  <c r="K96" i="14" s="1"/>
  <c r="K97" i="14" s="1"/>
  <c r="K98" i="14" s="1"/>
  <c r="K99" i="14" s="1"/>
  <c r="K100" i="14" s="1"/>
  <c r="K101" i="14" s="1"/>
  <c r="K102" i="14" s="1"/>
  <c r="K103" i="14" s="1"/>
  <c r="K104" i="14" s="1"/>
  <c r="K105" i="14" s="1"/>
  <c r="K106" i="14" s="1"/>
  <c r="K107" i="14" s="1"/>
  <c r="K108" i="14" s="1"/>
  <c r="K109" i="14" s="1"/>
  <c r="K110" i="14" s="1"/>
  <c r="K111" i="14" s="1"/>
  <c r="K112" i="14" s="1"/>
  <c r="K113" i="14" s="1"/>
  <c r="K114" i="14" s="1"/>
  <c r="K115" i="14" s="1"/>
  <c r="K116" i="14" s="1"/>
  <c r="K117" i="14" s="1"/>
  <c r="K118" i="14" s="1"/>
  <c r="K119" i="14" s="1"/>
  <c r="K120" i="14" s="1"/>
  <c r="K121" i="14" s="1"/>
  <c r="K122" i="14" s="1"/>
  <c r="K123" i="14" s="1"/>
  <c r="K124" i="14" s="1"/>
  <c r="K125" i="14" s="1"/>
  <c r="K126" i="14" s="1"/>
  <c r="K127" i="14" s="1"/>
  <c r="K128" i="14" s="1"/>
  <c r="K129" i="14" s="1"/>
  <c r="K130" i="14" s="1"/>
  <c r="K131" i="14" s="1"/>
  <c r="K132" i="14" s="1"/>
  <c r="K133" i="14" s="1"/>
  <c r="K134" i="14" s="1"/>
  <c r="K135" i="14" s="1"/>
  <c r="K136" i="14" s="1"/>
  <c r="K137" i="14" s="1"/>
  <c r="K138" i="14" s="1"/>
  <c r="K139" i="14" s="1"/>
  <c r="K140" i="14" s="1"/>
  <c r="K141" i="14" s="1"/>
  <c r="K142" i="14" s="1"/>
  <c r="K143" i="14" s="1"/>
  <c r="K144" i="14" s="1"/>
  <c r="K145" i="14" s="1"/>
  <c r="K146" i="14" s="1"/>
  <c r="K147" i="14" s="1"/>
  <c r="K148" i="14" s="1"/>
  <c r="K149" i="14" s="1"/>
  <c r="K150" i="14" s="1"/>
  <c r="K151" i="14" s="1"/>
  <c r="K152" i="14" s="1"/>
  <c r="K153" i="14" s="1"/>
  <c r="K154" i="14" s="1"/>
  <c r="K155" i="14" s="1"/>
  <c r="K156" i="14" s="1"/>
  <c r="K157" i="14" s="1"/>
  <c r="K158" i="14" s="1"/>
  <c r="K159" i="14" s="1"/>
  <c r="K160" i="14" s="1"/>
  <c r="K161" i="14" s="1"/>
  <c r="K162" i="14" s="1"/>
  <c r="K163" i="14" s="1"/>
  <c r="K164" i="14" s="1"/>
  <c r="K165" i="14" s="1"/>
  <c r="K166" i="14" s="1"/>
  <c r="K167" i="14" s="1"/>
  <c r="K168" i="14" s="1"/>
  <c r="K169" i="14" s="1"/>
  <c r="K170" i="14" s="1"/>
  <c r="K171" i="14" s="1"/>
  <c r="K172" i="14" s="1"/>
  <c r="K173" i="14" s="1"/>
  <c r="K174" i="14" s="1"/>
  <c r="K175" i="14" s="1"/>
  <c r="K176" i="14" s="1"/>
  <c r="K177" i="14" s="1"/>
  <c r="K178" i="14" s="1"/>
  <c r="K179" i="14" s="1"/>
  <c r="K180" i="14" s="1"/>
  <c r="K181" i="14" s="1"/>
  <c r="K182" i="14" s="1"/>
  <c r="K183" i="14" s="1"/>
  <c r="K184" i="14" s="1"/>
  <c r="K185" i="14" s="1"/>
  <c r="K186" i="14" s="1"/>
  <c r="K187" i="14" s="1"/>
  <c r="K188" i="14" s="1"/>
  <c r="K189" i="14" s="1"/>
  <c r="K190" i="14" s="1"/>
  <c r="K118" i="13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K137" i="13" s="1"/>
  <c r="K138" i="13" s="1"/>
  <c r="K139" i="13" s="1"/>
  <c r="K140" i="13" s="1"/>
  <c r="K141" i="13" s="1"/>
  <c r="K142" i="13" s="1"/>
  <c r="K143" i="13" s="1"/>
  <c r="K144" i="13" s="1"/>
  <c r="K145" i="13" s="1"/>
  <c r="K146" i="13" s="1"/>
  <c r="K147" i="13" s="1"/>
  <c r="K148" i="13" s="1"/>
  <c r="K149" i="13" s="1"/>
  <c r="K150" i="13" s="1"/>
  <c r="K151" i="13" s="1"/>
  <c r="K152" i="13" s="1"/>
  <c r="K153" i="13" s="1"/>
  <c r="K154" i="13" s="1"/>
  <c r="K155" i="13" s="1"/>
  <c r="K156" i="13" s="1"/>
  <c r="K157" i="13" s="1"/>
  <c r="K158" i="13" s="1"/>
  <c r="K159" i="13" s="1"/>
  <c r="K160" i="13" s="1"/>
  <c r="K161" i="13" s="1"/>
  <c r="K162" i="13" s="1"/>
  <c r="K163" i="13" s="1"/>
  <c r="K164" i="13" s="1"/>
  <c r="K165" i="13" s="1"/>
  <c r="K166" i="13" s="1"/>
  <c r="K167" i="13" s="1"/>
  <c r="K168" i="13" s="1"/>
  <c r="K169" i="13" s="1"/>
  <c r="K170" i="13" s="1"/>
  <c r="K171" i="13" s="1"/>
  <c r="K172" i="13" s="1"/>
  <c r="K173" i="13" s="1"/>
  <c r="K174" i="13" s="1"/>
  <c r="K175" i="13" s="1"/>
  <c r="K176" i="13" s="1"/>
  <c r="K177" i="13" s="1"/>
  <c r="K178" i="13" s="1"/>
  <c r="K179" i="13" s="1"/>
  <c r="K180" i="13" s="1"/>
  <c r="K181" i="13" s="1"/>
  <c r="K182" i="13" s="1"/>
  <c r="K183" i="13" s="1"/>
  <c r="K184" i="13" s="1"/>
  <c r="K185" i="13" s="1"/>
  <c r="K186" i="13" s="1"/>
  <c r="K187" i="13" s="1"/>
  <c r="K188" i="13" s="1"/>
  <c r="K189" i="13" s="1"/>
  <c r="K190" i="13" s="1"/>
  <c r="K191" i="13" s="1"/>
  <c r="K192" i="13" s="1"/>
  <c r="K193" i="13" s="1"/>
  <c r="K194" i="13" s="1"/>
  <c r="K195" i="13" s="1"/>
  <c r="K196" i="13" s="1"/>
  <c r="K197" i="13" s="1"/>
  <c r="K198" i="13" s="1"/>
  <c r="K199" i="13" s="1"/>
  <c r="K200" i="13" s="1"/>
  <c r="K201" i="13" s="1"/>
  <c r="K202" i="13" s="1"/>
  <c r="K203" i="13" s="1"/>
  <c r="K204" i="13" s="1"/>
  <c r="K205" i="13" s="1"/>
  <c r="K206" i="13" s="1"/>
  <c r="K207" i="13" s="1"/>
  <c r="K208" i="13" s="1"/>
  <c r="K209" i="13" s="1"/>
  <c r="K210" i="13" s="1"/>
  <c r="K211" i="13" s="1"/>
  <c r="K212" i="13" s="1"/>
  <c r="K213" i="13" s="1"/>
  <c r="K214" i="13" s="1"/>
  <c r="K215" i="13" s="1"/>
  <c r="K216" i="13" s="1"/>
  <c r="K217" i="13" s="1"/>
  <c r="K218" i="13" s="1"/>
  <c r="K219" i="13" s="1"/>
  <c r="K220" i="13" s="1"/>
  <c r="K221" i="13" s="1"/>
  <c r="K222" i="13" s="1"/>
  <c r="K223" i="13" s="1"/>
  <c r="K224" i="13" s="1"/>
  <c r="K225" i="13" s="1"/>
  <c r="K226" i="13" s="1"/>
  <c r="K227" i="13" s="1"/>
  <c r="K228" i="13" s="1"/>
  <c r="K229" i="13" s="1"/>
  <c r="K230" i="13" s="1"/>
  <c r="K231" i="13" s="1"/>
  <c r="K232" i="13" s="1"/>
  <c r="K233" i="13" s="1"/>
  <c r="K234" i="13" s="1"/>
  <c r="K235" i="13" s="1"/>
  <c r="K236" i="13" s="1"/>
  <c r="K237" i="13" s="1"/>
  <c r="K238" i="13" s="1"/>
  <c r="K239" i="13" s="1"/>
  <c r="K240" i="13" s="1"/>
  <c r="K241" i="13" s="1"/>
  <c r="K242" i="13" s="1"/>
  <c r="K243" i="13" s="1"/>
  <c r="K244" i="13" s="1"/>
  <c r="K245" i="13" s="1"/>
  <c r="K246" i="13" s="1"/>
  <c r="K247" i="13" s="1"/>
  <c r="K248" i="13" s="1"/>
  <c r="K249" i="13" s="1"/>
  <c r="K250" i="13" s="1"/>
  <c r="K251" i="13" s="1"/>
  <c r="K252" i="13" s="1"/>
  <c r="K253" i="13" s="1"/>
  <c r="K254" i="13" s="1"/>
  <c r="K255" i="13" s="1"/>
  <c r="K256" i="13" s="1"/>
  <c r="K257" i="13" s="1"/>
  <c r="K258" i="13" s="1"/>
  <c r="K259" i="13" s="1"/>
  <c r="K260" i="13" s="1"/>
  <c r="K261" i="13" s="1"/>
  <c r="K262" i="13" s="1"/>
  <c r="K263" i="13" s="1"/>
  <c r="K264" i="13" s="1"/>
  <c r="K265" i="13" s="1"/>
  <c r="K266" i="13" s="1"/>
  <c r="K267" i="13" s="1"/>
  <c r="K268" i="13" s="1"/>
  <c r="K269" i="13" s="1"/>
  <c r="K270" i="13" s="1"/>
  <c r="K271" i="13" s="1"/>
  <c r="K272" i="13" s="1"/>
  <c r="K273" i="13" s="1"/>
  <c r="K274" i="13" s="1"/>
  <c r="K275" i="13" s="1"/>
  <c r="K276" i="13" s="1"/>
  <c r="K277" i="13" s="1"/>
  <c r="K278" i="13" s="1"/>
  <c r="K279" i="13" s="1"/>
  <c r="K280" i="13" s="1"/>
  <c r="K281" i="13" s="1"/>
  <c r="K282" i="13" s="1"/>
  <c r="K283" i="13" s="1"/>
  <c r="K284" i="13" s="1"/>
  <c r="K285" i="13" s="1"/>
  <c r="K286" i="13" s="1"/>
  <c r="K287" i="13" s="1"/>
  <c r="K288" i="13" s="1"/>
  <c r="K289" i="13" s="1"/>
  <c r="K290" i="13" s="1"/>
  <c r="K291" i="13" s="1"/>
  <c r="K292" i="13" s="1"/>
  <c r="K293" i="13" s="1"/>
  <c r="K294" i="13" s="1"/>
  <c r="K295" i="13" s="1"/>
  <c r="K296" i="13" s="1"/>
  <c r="K297" i="13" s="1"/>
  <c r="K298" i="13" s="1"/>
  <c r="K299" i="13" s="1"/>
  <c r="K300" i="13" s="1"/>
  <c r="K301" i="13" s="1"/>
  <c r="K302" i="13" s="1"/>
  <c r="K303" i="13" s="1"/>
  <c r="K304" i="13" s="1"/>
  <c r="K305" i="13" s="1"/>
  <c r="K306" i="13" s="1"/>
  <c r="K307" i="13" s="1"/>
  <c r="K308" i="13" s="1"/>
  <c r="K309" i="13" s="1"/>
  <c r="K310" i="13" s="1"/>
  <c r="K311" i="13" s="1"/>
  <c r="K312" i="13" s="1"/>
  <c r="K313" i="13" s="1"/>
  <c r="K314" i="13" s="1"/>
  <c r="K315" i="13" s="1"/>
  <c r="K316" i="13" s="1"/>
  <c r="K317" i="13" s="1"/>
  <c r="K318" i="13" s="1"/>
  <c r="K319" i="13" s="1"/>
  <c r="K320" i="13" s="1"/>
  <c r="K321" i="13" s="1"/>
  <c r="K322" i="13" s="1"/>
  <c r="K323" i="13" s="1"/>
  <c r="K324" i="13" s="1"/>
  <c r="K325" i="13" s="1"/>
  <c r="K326" i="13" s="1"/>
  <c r="K327" i="13" s="1"/>
  <c r="K328" i="13" s="1"/>
  <c r="K329" i="13" s="1"/>
  <c r="K330" i="13" s="1"/>
  <c r="K331" i="13" s="1"/>
  <c r="K332" i="13" s="1"/>
  <c r="K333" i="13" s="1"/>
  <c r="K334" i="13" s="1"/>
  <c r="K335" i="13" s="1"/>
  <c r="K336" i="13" s="1"/>
  <c r="K337" i="13" s="1"/>
  <c r="K338" i="13" s="1"/>
  <c r="K339" i="13" s="1"/>
  <c r="K340" i="13" s="1"/>
  <c r="K341" i="13" s="1"/>
  <c r="K342" i="13" s="1"/>
  <c r="K343" i="13" s="1"/>
  <c r="K344" i="13" s="1"/>
  <c r="K345" i="13" s="1"/>
  <c r="K346" i="13" s="1"/>
  <c r="K347" i="13" s="1"/>
  <c r="K348" i="13" s="1"/>
  <c r="K349" i="13" s="1"/>
  <c r="K350" i="13" s="1"/>
  <c r="K351" i="13" s="1"/>
  <c r="K352" i="13" s="1"/>
  <c r="K353" i="13" s="1"/>
  <c r="K354" i="13" s="1"/>
  <c r="K355" i="13" s="1"/>
  <c r="K356" i="13" s="1"/>
  <c r="K357" i="13" s="1"/>
  <c r="K358" i="13" s="1"/>
  <c r="K359" i="13" s="1"/>
  <c r="K360" i="13" s="1"/>
  <c r="K361" i="13" s="1"/>
  <c r="K362" i="13" s="1"/>
  <c r="K363" i="13" s="1"/>
  <c r="K364" i="13" s="1"/>
  <c r="K365" i="13" s="1"/>
  <c r="K366" i="13" s="1"/>
  <c r="K367" i="13" s="1"/>
  <c r="K368" i="13" s="1"/>
  <c r="K369" i="13" s="1"/>
  <c r="K370" i="13" s="1"/>
  <c r="K371" i="13" s="1"/>
  <c r="K372" i="13" s="1"/>
  <c r="K373" i="13" s="1"/>
  <c r="K374" i="13" s="1"/>
  <c r="K375" i="13" s="1"/>
  <c r="K376" i="13" s="1"/>
  <c r="K377" i="13" s="1"/>
  <c r="K378" i="13" s="1"/>
  <c r="K379" i="13" s="1"/>
  <c r="K380" i="13" s="1"/>
  <c r="K381" i="13" s="1"/>
  <c r="K382" i="13" s="1"/>
  <c r="K383" i="13" s="1"/>
  <c r="K384" i="13" s="1"/>
  <c r="K385" i="13" s="1"/>
  <c r="K386" i="13" s="1"/>
  <c r="K387" i="13" s="1"/>
  <c r="K388" i="13" s="1"/>
  <c r="K389" i="13" s="1"/>
  <c r="K390" i="13" s="1"/>
  <c r="K391" i="13" s="1"/>
  <c r="K392" i="13" s="1"/>
  <c r="K393" i="13" s="1"/>
  <c r="K394" i="13" s="1"/>
  <c r="K395" i="13" s="1"/>
  <c r="K396" i="13" s="1"/>
  <c r="K397" i="13" s="1"/>
  <c r="K398" i="13" s="1"/>
  <c r="K399" i="13" s="1"/>
  <c r="K400" i="13" s="1"/>
  <c r="K401" i="13" s="1"/>
  <c r="K402" i="13" s="1"/>
  <c r="K403" i="13" s="1"/>
  <c r="K404" i="13" s="1"/>
  <c r="K405" i="13" s="1"/>
  <c r="K406" i="13" s="1"/>
  <c r="K407" i="13" s="1"/>
  <c r="K408" i="13" s="1"/>
  <c r="K409" i="13" s="1"/>
  <c r="K410" i="13" s="1"/>
  <c r="K411" i="13" s="1"/>
  <c r="K412" i="13" s="1"/>
  <c r="K413" i="13" s="1"/>
  <c r="K414" i="13" s="1"/>
  <c r="K415" i="13" s="1"/>
  <c r="K416" i="13" s="1"/>
  <c r="K417" i="13" s="1"/>
  <c r="K418" i="13" s="1"/>
  <c r="K419" i="13" s="1"/>
  <c r="K420" i="13" s="1"/>
  <c r="K421" i="13" s="1"/>
  <c r="K422" i="13" s="1"/>
  <c r="K423" i="13" s="1"/>
  <c r="K424" i="13" s="1"/>
  <c r="K425" i="13" s="1"/>
  <c r="K426" i="13" s="1"/>
  <c r="K427" i="13" s="1"/>
  <c r="K428" i="13" s="1"/>
  <c r="K429" i="13" s="1"/>
  <c r="K430" i="13" s="1"/>
  <c r="K431" i="13" s="1"/>
  <c r="K432" i="13" s="1"/>
  <c r="K433" i="13" s="1"/>
  <c r="K434" i="13" s="1"/>
  <c r="K435" i="13" s="1"/>
  <c r="K436" i="13" s="1"/>
  <c r="K437" i="13" s="1"/>
  <c r="K438" i="13" s="1"/>
  <c r="K439" i="13" s="1"/>
  <c r="K440" i="13" s="1"/>
  <c r="K441" i="13" s="1"/>
  <c r="K442" i="13" s="1"/>
  <c r="K443" i="13" s="1"/>
  <c r="K444" i="13" s="1"/>
  <c r="K445" i="13" s="1"/>
  <c r="K446" i="13" s="1"/>
  <c r="K447" i="13" s="1"/>
  <c r="K448" i="13" s="1"/>
  <c r="K449" i="13" s="1"/>
  <c r="K450" i="13" s="1"/>
  <c r="K451" i="13" s="1"/>
  <c r="K452" i="13" s="1"/>
  <c r="K453" i="13" s="1"/>
  <c r="K454" i="13" s="1"/>
  <c r="K455" i="13" s="1"/>
  <c r="K456" i="13" s="1"/>
  <c r="K457" i="13" s="1"/>
  <c r="K458" i="13" s="1"/>
  <c r="K459" i="13" s="1"/>
  <c r="K460" i="13" s="1"/>
  <c r="K461" i="13" s="1"/>
  <c r="K462" i="13" s="1"/>
  <c r="K463" i="13" s="1"/>
  <c r="K464" i="13" s="1"/>
  <c r="K465" i="13" s="1"/>
  <c r="K466" i="13" s="1"/>
  <c r="K467" i="13" s="1"/>
  <c r="K468" i="13" s="1"/>
  <c r="K469" i="13" s="1"/>
  <c r="K470" i="13" s="1"/>
  <c r="K471" i="13" s="1"/>
  <c r="K472" i="13" s="1"/>
  <c r="K473" i="13" s="1"/>
  <c r="K474" i="13" s="1"/>
  <c r="K475" i="13" s="1"/>
  <c r="K476" i="13" s="1"/>
  <c r="K477" i="13" s="1"/>
  <c r="K478" i="13" s="1"/>
  <c r="K479" i="13" s="1"/>
  <c r="K480" i="13" s="1"/>
  <c r="K481" i="13" s="1"/>
  <c r="K482" i="13" s="1"/>
  <c r="K483" i="13" s="1"/>
  <c r="K484" i="13" s="1"/>
  <c r="K485" i="13" s="1"/>
  <c r="K486" i="13" s="1"/>
  <c r="K487" i="13" s="1"/>
  <c r="K488" i="13" s="1"/>
  <c r="K489" i="13" s="1"/>
  <c r="K490" i="13" s="1"/>
  <c r="K491" i="13" s="1"/>
  <c r="K492" i="13" s="1"/>
  <c r="K493" i="13" s="1"/>
  <c r="K494" i="13" s="1"/>
  <c r="K495" i="13" s="1"/>
  <c r="K496" i="13" s="1"/>
  <c r="K497" i="13" s="1"/>
  <c r="K498" i="13" s="1"/>
  <c r="K499" i="13" s="1"/>
  <c r="K500" i="13" s="1"/>
  <c r="K501" i="13" s="1"/>
  <c r="K502" i="13" s="1"/>
  <c r="K503" i="13" s="1"/>
  <c r="K504" i="13" s="1"/>
  <c r="K505" i="13" s="1"/>
  <c r="K506" i="13" s="1"/>
  <c r="K507" i="13" s="1"/>
  <c r="K508" i="13" s="1"/>
  <c r="K509" i="13" s="1"/>
  <c r="K510" i="13" s="1"/>
  <c r="K511" i="13" s="1"/>
  <c r="K512" i="13" s="1"/>
  <c r="K513" i="13" s="1"/>
  <c r="K514" i="13" s="1"/>
  <c r="K515" i="13" s="1"/>
  <c r="K516" i="13" s="1"/>
  <c r="K517" i="13" s="1"/>
  <c r="K518" i="13" s="1"/>
  <c r="K519" i="13" s="1"/>
  <c r="K520" i="13" s="1"/>
  <c r="K521" i="13" s="1"/>
  <c r="K522" i="13" s="1"/>
  <c r="K523" i="13" s="1"/>
  <c r="K524" i="13" s="1"/>
  <c r="K525" i="13" s="1"/>
  <c r="K526" i="13" s="1"/>
  <c r="K527" i="13" s="1"/>
  <c r="K528" i="13" s="1"/>
  <c r="K529" i="13" s="1"/>
  <c r="K530" i="13" s="1"/>
  <c r="K531" i="13" s="1"/>
  <c r="K532" i="13" s="1"/>
  <c r="K533" i="13" s="1"/>
  <c r="K534" i="13" s="1"/>
  <c r="K535" i="13" s="1"/>
  <c r="K536" i="13" s="1"/>
  <c r="K537" i="13" s="1"/>
  <c r="K538" i="13" s="1"/>
  <c r="K539" i="13" s="1"/>
  <c r="K540" i="13" s="1"/>
  <c r="K541" i="13" s="1"/>
  <c r="K542" i="13" s="1"/>
  <c r="K543" i="13" s="1"/>
  <c r="K544" i="13" s="1"/>
  <c r="K545" i="13" s="1"/>
  <c r="K546" i="13" s="1"/>
  <c r="K547" i="13" s="1"/>
  <c r="K548" i="13" s="1"/>
  <c r="K549" i="13" s="1"/>
  <c r="K550" i="13" s="1"/>
  <c r="K551" i="13" s="1"/>
  <c r="K552" i="13" s="1"/>
  <c r="K553" i="13" s="1"/>
  <c r="K554" i="13" s="1"/>
  <c r="K555" i="13" s="1"/>
  <c r="K556" i="13" s="1"/>
  <c r="K557" i="13" s="1"/>
  <c r="K558" i="13" s="1"/>
  <c r="K559" i="13" s="1"/>
  <c r="K560" i="13" s="1"/>
  <c r="K561" i="13" s="1"/>
  <c r="K562" i="13" s="1"/>
  <c r="K563" i="13" s="1"/>
  <c r="K564" i="13" s="1"/>
  <c r="K565" i="13" s="1"/>
  <c r="K566" i="13" s="1"/>
  <c r="K567" i="13" s="1"/>
  <c r="K568" i="13" s="1"/>
  <c r="K569" i="13" s="1"/>
  <c r="K570" i="13" s="1"/>
  <c r="K571" i="13" s="1"/>
  <c r="K572" i="13" s="1"/>
  <c r="K573" i="13" s="1"/>
  <c r="K574" i="13" s="1"/>
  <c r="K575" i="13" s="1"/>
  <c r="K576" i="13" s="1"/>
  <c r="K577" i="13" s="1"/>
  <c r="K578" i="13" s="1"/>
  <c r="K579" i="13" s="1"/>
  <c r="K580" i="13" s="1"/>
  <c r="K581" i="13" s="1"/>
  <c r="K582" i="13" s="1"/>
  <c r="K583" i="13" s="1"/>
  <c r="K584" i="13" s="1"/>
  <c r="K585" i="13" s="1"/>
  <c r="K586" i="13" s="1"/>
  <c r="K587" i="13" s="1"/>
  <c r="K588" i="13" s="1"/>
  <c r="K589" i="13" s="1"/>
  <c r="K590" i="13" s="1"/>
  <c r="K591" i="13" s="1"/>
  <c r="K592" i="13" s="1"/>
  <c r="K593" i="13" s="1"/>
  <c r="K594" i="13" s="1"/>
  <c r="K595" i="13" s="1"/>
  <c r="K596" i="13" s="1"/>
  <c r="K597" i="13" s="1"/>
  <c r="K598" i="13" s="1"/>
  <c r="K599" i="13" s="1"/>
  <c r="K600" i="13" s="1"/>
  <c r="K601" i="13" s="1"/>
  <c r="K602" i="13" s="1"/>
  <c r="K603" i="13" s="1"/>
  <c r="K604" i="13" s="1"/>
  <c r="K605" i="13" s="1"/>
  <c r="K606" i="13" s="1"/>
  <c r="K607" i="13" s="1"/>
  <c r="K608" i="13" s="1"/>
  <c r="K609" i="13" s="1"/>
  <c r="K610" i="13" s="1"/>
  <c r="K611" i="13" s="1"/>
  <c r="K612" i="13" s="1"/>
  <c r="K613" i="13" s="1"/>
  <c r="K614" i="13" s="1"/>
  <c r="K615" i="13" s="1"/>
  <c r="K616" i="13" s="1"/>
  <c r="K617" i="13" s="1"/>
  <c r="K618" i="13" s="1"/>
  <c r="K619" i="13" s="1"/>
  <c r="K620" i="13" s="1"/>
  <c r="K621" i="13" s="1"/>
  <c r="K622" i="13" s="1"/>
  <c r="K623" i="13" s="1"/>
  <c r="K624" i="13" s="1"/>
  <c r="K625" i="13" s="1"/>
  <c r="K626" i="13" s="1"/>
  <c r="K627" i="13" s="1"/>
  <c r="K628" i="13" s="1"/>
  <c r="K629" i="13" s="1"/>
  <c r="K630" i="13" s="1"/>
  <c r="K631" i="13" s="1"/>
  <c r="K632" i="13" s="1"/>
  <c r="K633" i="13" s="1"/>
  <c r="K634" i="13" s="1"/>
  <c r="K635" i="13" s="1"/>
  <c r="K636" i="13" s="1"/>
  <c r="K637" i="13" s="1"/>
  <c r="K638" i="13" s="1"/>
  <c r="K639" i="13" s="1"/>
  <c r="CX3" i="11"/>
  <c r="CW3" i="11"/>
  <c r="CV3" i="11"/>
  <c r="CU3" i="11"/>
  <c r="CX2" i="11"/>
  <c r="CW2" i="11"/>
  <c r="CV2" i="11"/>
  <c r="CU2" i="11"/>
  <c r="A3" i="32"/>
  <c r="A3" i="31"/>
  <c r="C302" i="31"/>
  <c r="C317" i="31"/>
  <c r="C318" i="31" s="1"/>
  <c r="C319" i="31" s="1"/>
  <c r="C320" i="31" s="1"/>
  <c r="C321" i="31" s="1"/>
  <c r="C322" i="31" s="1"/>
  <c r="C323" i="31" s="1"/>
  <c r="C324" i="31" s="1"/>
  <c r="C331" i="31"/>
  <c r="C332" i="31" s="1"/>
  <c r="C333" i="31" s="1"/>
  <c r="C334" i="31" s="1"/>
  <c r="C335" i="31" s="1"/>
  <c r="C342" i="31"/>
  <c r="C343" i="31" s="1"/>
  <c r="C344" i="31" s="1"/>
  <c r="C345" i="31" s="1"/>
  <c r="C346" i="31" s="1"/>
  <c r="C347" i="31" s="1"/>
  <c r="C348" i="31" s="1"/>
  <c r="C349" i="31" s="1"/>
  <c r="C350" i="31" s="1"/>
  <c r="C351" i="31" s="1"/>
  <c r="C352" i="31" s="1"/>
  <c r="C353" i="31" s="1"/>
  <c r="C354" i="31" s="1"/>
  <c r="C355" i="31" s="1"/>
  <c r="C357" i="31" s="1"/>
  <c r="K885" i="31"/>
  <c r="K886" i="31" s="1"/>
  <c r="K887" i="31" s="1"/>
  <c r="K888" i="31" s="1"/>
  <c r="K889" i="31" s="1"/>
  <c r="K890" i="31" s="1"/>
  <c r="K891" i="31" s="1"/>
  <c r="K892" i="31" s="1"/>
  <c r="K893" i="31" s="1"/>
  <c r="K894" i="31" s="1"/>
  <c r="F142" i="20"/>
  <c r="F103" i="20"/>
  <c r="F2" i="20"/>
  <c r="F101" i="20"/>
  <c r="A969" i="15"/>
  <c r="A968" i="15"/>
  <c r="A967" i="15"/>
  <c r="A966" i="15"/>
  <c r="A965" i="15"/>
  <c r="A964" i="15"/>
  <c r="A963" i="15"/>
  <c r="A962" i="15"/>
  <c r="A961" i="15"/>
  <c r="A960" i="15"/>
  <c r="A959" i="15"/>
  <c r="A958" i="15"/>
  <c r="A957" i="15"/>
  <c r="A956" i="15"/>
  <c r="A955" i="15"/>
  <c r="A954" i="15"/>
  <c r="A953" i="15"/>
  <c r="A952" i="15"/>
  <c r="A951" i="15"/>
  <c r="A950" i="15"/>
  <c r="A949" i="15"/>
  <c r="A948" i="15"/>
  <c r="A947" i="15"/>
  <c r="A946" i="15"/>
  <c r="A945" i="15"/>
  <c r="A944" i="15"/>
  <c r="A943" i="15"/>
  <c r="A942" i="15"/>
  <c r="A941" i="15"/>
  <c r="A940" i="15"/>
  <c r="A939" i="15"/>
  <c r="A938" i="15"/>
  <c r="A937" i="15"/>
  <c r="A936" i="15"/>
  <c r="A935" i="15"/>
  <c r="A934" i="15"/>
  <c r="A933" i="15"/>
  <c r="A932" i="15"/>
  <c r="A931" i="15"/>
  <c r="A930" i="15"/>
  <c r="A929" i="15"/>
  <c r="A928" i="15"/>
  <c r="A927" i="15"/>
  <c r="A926" i="15"/>
  <c r="A925" i="15"/>
  <c r="A924" i="15"/>
  <c r="A923" i="15"/>
  <c r="A922" i="15"/>
  <c r="A921" i="15"/>
  <c r="A920" i="15"/>
  <c r="A919" i="15"/>
  <c r="A918" i="15"/>
  <c r="A917" i="15"/>
  <c r="A916" i="15"/>
  <c r="A915" i="15"/>
  <c r="A914" i="15"/>
  <c r="A913" i="15"/>
  <c r="A912" i="15"/>
  <c r="A911" i="15"/>
  <c r="A910" i="15"/>
  <c r="A909" i="15"/>
  <c r="A908" i="15"/>
  <c r="A907" i="15"/>
  <c r="A906" i="15"/>
  <c r="A905" i="15"/>
  <c r="A904" i="15"/>
  <c r="A903" i="15"/>
  <c r="A902" i="15"/>
  <c r="A901" i="15"/>
  <c r="A900" i="15"/>
  <c r="A899" i="15"/>
  <c r="A898" i="15"/>
  <c r="A897" i="15"/>
  <c r="A896" i="15"/>
  <c r="A895" i="15"/>
  <c r="A894" i="15"/>
  <c r="A893" i="15"/>
  <c r="A892" i="15"/>
  <c r="A891" i="15"/>
  <c r="A890" i="15"/>
  <c r="A889" i="15"/>
  <c r="A888" i="15"/>
  <c r="A887" i="15"/>
  <c r="A886" i="15"/>
  <c r="A885" i="15"/>
  <c r="A884" i="15"/>
  <c r="A883" i="15"/>
  <c r="A882" i="15"/>
  <c r="A881" i="15"/>
  <c r="A880" i="15"/>
  <c r="A879" i="15"/>
  <c r="A878" i="15"/>
  <c r="A877" i="15"/>
  <c r="A876" i="15"/>
  <c r="A875" i="15"/>
  <c r="A874" i="15"/>
  <c r="A873" i="15"/>
  <c r="A872" i="15"/>
  <c r="A871" i="15"/>
  <c r="A870" i="15"/>
  <c r="A869" i="15"/>
  <c r="A868" i="15"/>
  <c r="A867" i="15"/>
  <c r="A866" i="15"/>
  <c r="A865" i="15"/>
  <c r="A864" i="15"/>
  <c r="A863" i="15"/>
  <c r="A862" i="15"/>
  <c r="A861" i="15"/>
  <c r="A860" i="15"/>
  <c r="A859" i="15"/>
  <c r="A858" i="15"/>
  <c r="A857" i="15"/>
  <c r="A856" i="15"/>
  <c r="A855" i="15"/>
  <c r="A854" i="15"/>
  <c r="A853" i="15"/>
  <c r="A852" i="15"/>
  <c r="A851" i="15"/>
  <c r="A850" i="15"/>
  <c r="A849" i="15"/>
  <c r="A848" i="15"/>
  <c r="A847" i="15"/>
  <c r="A846" i="15"/>
  <c r="A845" i="15"/>
  <c r="A844" i="15"/>
  <c r="A843" i="15"/>
  <c r="A842" i="15"/>
  <c r="A841" i="15"/>
  <c r="A840" i="15"/>
  <c r="A839" i="15"/>
  <c r="A838" i="15"/>
  <c r="A837" i="15"/>
  <c r="A836" i="15"/>
  <c r="A835" i="15"/>
  <c r="A834" i="15"/>
  <c r="A833" i="15"/>
  <c r="A832" i="15"/>
  <c r="A831" i="15"/>
  <c r="A830" i="15"/>
  <c r="A829" i="15"/>
  <c r="A828" i="15"/>
  <c r="A827" i="15"/>
  <c r="A826" i="15"/>
  <c r="A825" i="15"/>
  <c r="A824" i="15"/>
  <c r="A823" i="15"/>
  <c r="A822" i="15"/>
  <c r="A821" i="15"/>
  <c r="A820" i="15"/>
  <c r="A819" i="15"/>
  <c r="A818" i="15"/>
  <c r="A817" i="15"/>
  <c r="A816" i="15"/>
  <c r="A815" i="15"/>
  <c r="A814" i="15"/>
  <c r="A813" i="15"/>
  <c r="A812" i="15"/>
  <c r="A811" i="15"/>
  <c r="A810" i="15"/>
  <c r="A809" i="15"/>
  <c r="A808" i="15"/>
  <c r="A807" i="15"/>
  <c r="A806" i="15"/>
  <c r="A805" i="15"/>
  <c r="A804" i="15"/>
  <c r="A803" i="15"/>
  <c r="A4" i="15"/>
  <c r="A3" i="15"/>
  <c r="J1" i="15"/>
  <c r="I1" i="15"/>
  <c r="J1" i="14"/>
  <c r="I1" i="14"/>
  <c r="J1" i="13"/>
  <c r="I1" i="13"/>
  <c r="CP3" i="11"/>
  <c r="CP2" i="11"/>
  <c r="CR4" i="11"/>
  <c r="CR3" i="11"/>
  <c r="CO3" i="11"/>
  <c r="CN3" i="11"/>
  <c r="CM3" i="11"/>
  <c r="CL3" i="11"/>
  <c r="CR2" i="11"/>
  <c r="CO2" i="11"/>
  <c r="CN2" i="11"/>
  <c r="CM2" i="11"/>
  <c r="CL2" i="11"/>
  <c r="BF2" i="11"/>
  <c r="BG2" i="11"/>
  <c r="BH2" i="11"/>
  <c r="BJ2" i="11"/>
  <c r="BF3" i="11"/>
  <c r="BG3" i="11"/>
  <c r="BH3" i="11"/>
  <c r="BJ3" i="11"/>
  <c r="BJ4" i="11"/>
  <c r="BB2" i="11"/>
  <c r="BD2" i="11"/>
  <c r="BE2" i="11"/>
  <c r="BB3" i="11"/>
  <c r="BD3" i="11"/>
  <c r="BE3" i="11"/>
  <c r="BB4" i="11"/>
  <c r="BD4" i="11"/>
  <c r="L55" i="4"/>
  <c r="T2" i="11" s="1"/>
  <c r="M55" i="4"/>
  <c r="T3" i="11" s="1"/>
  <c r="L56" i="4"/>
  <c r="AB2" i="11" s="1"/>
  <c r="M56" i="4"/>
  <c r="AB3" i="11" s="1"/>
  <c r="L57" i="4"/>
  <c r="AJ2" i="11" s="1"/>
  <c r="M57" i="4"/>
  <c r="AJ3" i="11" s="1"/>
  <c r="L58" i="4"/>
  <c r="M58" i="4"/>
  <c r="AS3" i="11" s="1"/>
  <c r="L59" i="4"/>
  <c r="BA2" i="11" s="1"/>
  <c r="M59" i="4"/>
  <c r="BA3" i="11" s="1"/>
  <c r="L60" i="4"/>
  <c r="M60" i="4"/>
  <c r="BI3" i="11" s="1"/>
  <c r="L61" i="4"/>
  <c r="M61" i="4"/>
  <c r="L62" i="4"/>
  <c r="BZ2" i="11" s="1"/>
  <c r="M62" i="4"/>
  <c r="L63" i="4"/>
  <c r="M63" i="4"/>
  <c r="L64" i="4"/>
  <c r="M64" i="4"/>
  <c r="CQ3" i="11" s="1"/>
  <c r="L65" i="4"/>
  <c r="CY2" i="11" s="1"/>
  <c r="M65" i="4"/>
  <c r="CY3" i="11" s="1"/>
  <c r="M54" i="4"/>
  <c r="K3" i="11" s="1"/>
  <c r="L54" i="4"/>
  <c r="K2" i="11" s="1"/>
  <c r="AX2" i="11"/>
  <c r="AY2" i="11"/>
  <c r="AZ2" i="11"/>
  <c r="BL2" i="11"/>
  <c r="BM2" i="11"/>
  <c r="BN2" i="11"/>
  <c r="BO2" i="11"/>
  <c r="BP2" i="11"/>
  <c r="BQ2" i="11"/>
  <c r="BS2" i="11"/>
  <c r="BU2" i="11"/>
  <c r="BV2" i="11"/>
  <c r="BW2" i="11"/>
  <c r="BX2" i="11"/>
  <c r="BY2" i="11"/>
  <c r="CA2" i="11"/>
  <c r="CC2" i="11"/>
  <c r="CD2" i="11"/>
  <c r="CE2" i="11"/>
  <c r="CF2" i="11"/>
  <c r="CG2" i="11"/>
  <c r="CI2" i="11"/>
  <c r="CK2" i="11"/>
  <c r="AX3" i="11"/>
  <c r="AY3" i="11"/>
  <c r="AZ3" i="11"/>
  <c r="BL3" i="11"/>
  <c r="BM3" i="11"/>
  <c r="BN3" i="11"/>
  <c r="BO3" i="11"/>
  <c r="BP3" i="11"/>
  <c r="BQ3" i="11"/>
  <c r="BS3" i="11"/>
  <c r="BU3" i="11"/>
  <c r="BV3" i="11"/>
  <c r="BW3" i="11"/>
  <c r="BX3" i="11"/>
  <c r="BY3" i="11"/>
  <c r="CA3" i="11"/>
  <c r="CC3" i="11"/>
  <c r="CD3" i="11"/>
  <c r="CE3" i="11"/>
  <c r="CF3" i="11"/>
  <c r="CG3" i="11"/>
  <c r="CI3" i="11"/>
  <c r="CK3" i="11"/>
  <c r="AW3" i="11"/>
  <c r="AW2" i="11"/>
  <c r="CI4" i="11"/>
  <c r="CA4" i="11"/>
  <c r="BS4" i="11"/>
  <c r="N10" i="4"/>
  <c r="S4" i="11" s="1"/>
  <c r="N11" i="4"/>
  <c r="X4" i="11" s="1"/>
  <c r="N12" i="4"/>
  <c r="Y4" i="11" s="1"/>
  <c r="N13" i="4"/>
  <c r="Z4" i="11" s="1"/>
  <c r="N14" i="4"/>
  <c r="AA4" i="11" s="1"/>
  <c r="N15" i="4"/>
  <c r="AF4" i="11" s="1"/>
  <c r="N16" i="4"/>
  <c r="AG4" i="11" s="1"/>
  <c r="N17" i="4"/>
  <c r="AH4" i="11" s="1"/>
  <c r="N18" i="4"/>
  <c r="AI4" i="11" s="1"/>
  <c r="N19" i="4"/>
  <c r="AN4" i="11" s="1"/>
  <c r="N20" i="4"/>
  <c r="AO4" i="11" s="1"/>
  <c r="N21" i="4"/>
  <c r="AP4" i="11" s="1"/>
  <c r="N22" i="4"/>
  <c r="AQ4" i="11" s="1"/>
  <c r="N23" i="4"/>
  <c r="AR4" i="11" s="1"/>
  <c r="N24" i="4"/>
  <c r="AW4" i="11" s="1"/>
  <c r="N25" i="4"/>
  <c r="N26" i="4"/>
  <c r="N27" i="4"/>
  <c r="N28" i="4"/>
  <c r="BE4" i="11" s="1"/>
  <c r="N29" i="4"/>
  <c r="BF4" i="11" s="1"/>
  <c r="N30" i="4"/>
  <c r="BG4" i="11" s="1"/>
  <c r="N31" i="4"/>
  <c r="BH4" i="11" s="1"/>
  <c r="N32" i="4"/>
  <c r="BM4" i="11" s="1"/>
  <c r="N33" i="4"/>
  <c r="BN4" i="11" s="1"/>
  <c r="N34" i="4"/>
  <c r="BO4" i="11" s="1"/>
  <c r="N35" i="4"/>
  <c r="BP4" i="11" s="1"/>
  <c r="N36" i="4"/>
  <c r="BQ4" i="11" s="1"/>
  <c r="N37" i="4"/>
  <c r="BV4" i="11" s="1"/>
  <c r="N38" i="4"/>
  <c r="BW4" i="11" s="1"/>
  <c r="N39" i="4"/>
  <c r="BX4" i="11" s="1"/>
  <c r="N40" i="4"/>
  <c r="BY4" i="11" s="1"/>
  <c r="N41" i="4"/>
  <c r="CD4" i="11" s="1"/>
  <c r="N42" i="4"/>
  <c r="CE4" i="11" s="1"/>
  <c r="N43" i="4"/>
  <c r="CF4" i="11" s="1"/>
  <c r="N44" i="4"/>
  <c r="CG4" i="11" s="1"/>
  <c r="N45" i="4"/>
  <c r="CL4" i="11" s="1"/>
  <c r="N46" i="4"/>
  <c r="CM4" i="11" s="1"/>
  <c r="N47" i="4"/>
  <c r="CN4" i="11" s="1"/>
  <c r="N48" i="4"/>
  <c r="CO4" i="11" s="1"/>
  <c r="N49" i="4"/>
  <c r="CP4" i="11" s="1"/>
  <c r="N50" i="4"/>
  <c r="CU4" i="11" s="1"/>
  <c r="N51" i="4"/>
  <c r="CV4" i="11" s="1"/>
  <c r="N52" i="4"/>
  <c r="CW4" i="11" s="1"/>
  <c r="N53" i="4"/>
  <c r="CX4" i="11" s="1"/>
  <c r="BL4" i="11"/>
  <c r="BU4" i="11"/>
  <c r="CC4" i="11"/>
  <c r="CK4" i="11"/>
  <c r="N2" i="4"/>
  <c r="G4" i="11" s="1"/>
  <c r="M5" i="6"/>
  <c r="N5" i="6"/>
  <c r="O5" i="6"/>
  <c r="P5" i="6"/>
  <c r="Q5" i="6"/>
  <c r="A7" i="11"/>
  <c r="A8" i="6"/>
  <c r="CT326" i="11" s="1"/>
  <c r="CT8" i="11" l="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2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T99" i="11"/>
  <c r="CT100" i="11"/>
  <c r="CT101" i="11"/>
  <c r="CT102" i="11"/>
  <c r="CT103" i="11"/>
  <c r="CT104" i="11"/>
  <c r="CT105" i="11"/>
  <c r="CT106" i="11"/>
  <c r="CT107" i="11"/>
  <c r="CT108" i="11"/>
  <c r="CT109" i="11"/>
  <c r="CT110" i="11"/>
  <c r="CT111" i="11"/>
  <c r="CT112" i="11"/>
  <c r="CT113" i="11"/>
  <c r="CT114" i="11"/>
  <c r="CT115" i="11"/>
  <c r="CT116" i="11"/>
  <c r="CT117" i="11"/>
  <c r="CT118" i="11"/>
  <c r="CT119" i="11"/>
  <c r="CT120" i="11"/>
  <c r="CT121" i="11"/>
  <c r="CT122" i="11"/>
  <c r="CT123" i="11"/>
  <c r="CT124" i="11"/>
  <c r="CT125" i="11"/>
  <c r="CT126" i="11"/>
  <c r="CT127" i="11"/>
  <c r="CT128" i="11"/>
  <c r="CT129" i="11"/>
  <c r="CT130" i="11"/>
  <c r="CT131" i="11"/>
  <c r="CT132" i="11"/>
  <c r="CT133" i="11"/>
  <c r="CT134" i="11"/>
  <c r="CT135" i="11"/>
  <c r="CT136" i="11"/>
  <c r="CT137" i="11"/>
  <c r="CT138" i="11"/>
  <c r="CT139" i="11"/>
  <c r="CT140" i="11"/>
  <c r="CT141" i="11"/>
  <c r="CT142" i="11"/>
  <c r="CT143" i="11"/>
  <c r="CT144" i="11"/>
  <c r="CT145" i="11"/>
  <c r="CT146" i="11"/>
  <c r="CT147" i="11"/>
  <c r="CT148" i="11"/>
  <c r="CT149" i="11"/>
  <c r="CT150" i="11"/>
  <c r="CT151" i="11"/>
  <c r="CT152" i="11"/>
  <c r="CT153" i="11"/>
  <c r="CT154" i="11"/>
  <c r="CT155" i="11"/>
  <c r="CT156" i="11"/>
  <c r="CT157" i="11"/>
  <c r="CT158" i="11"/>
  <c r="CT159" i="11"/>
  <c r="CT160" i="11"/>
  <c r="CT161" i="11"/>
  <c r="CT162" i="11"/>
  <c r="CT163" i="11"/>
  <c r="CT164" i="11"/>
  <c r="CT165" i="11"/>
  <c r="CT166" i="11"/>
  <c r="CT167" i="11"/>
  <c r="CT168" i="11"/>
  <c r="CT169" i="11"/>
  <c r="CT170" i="11"/>
  <c r="CT171" i="11"/>
  <c r="CT172" i="11"/>
  <c r="CT173" i="11"/>
  <c r="CT174" i="11"/>
  <c r="CT175" i="11"/>
  <c r="CT176" i="11"/>
  <c r="CT177" i="11"/>
  <c r="CT178" i="11"/>
  <c r="CT179" i="11"/>
  <c r="CT180" i="11"/>
  <c r="CT181" i="11"/>
  <c r="CT182" i="11"/>
  <c r="CT183" i="11"/>
  <c r="CT184" i="11"/>
  <c r="CT185" i="11"/>
  <c r="CT186" i="11"/>
  <c r="CT187" i="11"/>
  <c r="CT188" i="11"/>
  <c r="CT189" i="11"/>
  <c r="CT190" i="11"/>
  <c r="CT191" i="11"/>
  <c r="CT192" i="11"/>
  <c r="CT193" i="11"/>
  <c r="CT194" i="11"/>
  <c r="CT195" i="11"/>
  <c r="CT196" i="11"/>
  <c r="CT197" i="11"/>
  <c r="CT198" i="11"/>
  <c r="CT199" i="11"/>
  <c r="CT200" i="11"/>
  <c r="CT201" i="11"/>
  <c r="CT202" i="11"/>
  <c r="CT203" i="11"/>
  <c r="CT204" i="11"/>
  <c r="CT205" i="11"/>
  <c r="CT206" i="11"/>
  <c r="CT207" i="11"/>
  <c r="CT208" i="11"/>
  <c r="CT209" i="11"/>
  <c r="CT210" i="11"/>
  <c r="CT211" i="11"/>
  <c r="CT212" i="11"/>
  <c r="CT213" i="11"/>
  <c r="CT214" i="11"/>
  <c r="CT215" i="11"/>
  <c r="CT216" i="11"/>
  <c r="CT217" i="11"/>
  <c r="CT218" i="11"/>
  <c r="CT219" i="11"/>
  <c r="CT220" i="11"/>
  <c r="CT221" i="11"/>
  <c r="CT222" i="11"/>
  <c r="CT223" i="11"/>
  <c r="CT224" i="11"/>
  <c r="CT225" i="11"/>
  <c r="CT226" i="11"/>
  <c r="CT227" i="11"/>
  <c r="CT228" i="11"/>
  <c r="CT229" i="11"/>
  <c r="CT230" i="11"/>
  <c r="CT231" i="11"/>
  <c r="CT232" i="11"/>
  <c r="CT233" i="11"/>
  <c r="CT234" i="11"/>
  <c r="CT235" i="11"/>
  <c r="CT236" i="11"/>
  <c r="CT237" i="11"/>
  <c r="CT238" i="11"/>
  <c r="CT239" i="11"/>
  <c r="CT240" i="11"/>
  <c r="CT241" i="11"/>
  <c r="CT242" i="11"/>
  <c r="CT243" i="11"/>
  <c r="CT244" i="11"/>
  <c r="CT245" i="11"/>
  <c r="CT246" i="11"/>
  <c r="CT247" i="11"/>
  <c r="CT248" i="11"/>
  <c r="CT249" i="11"/>
  <c r="CT250" i="11"/>
  <c r="CT251" i="11"/>
  <c r="CT252" i="11"/>
  <c r="CT253" i="11"/>
  <c r="CT254" i="11"/>
  <c r="CT255" i="11"/>
  <c r="CT256" i="11"/>
  <c r="CT257" i="11"/>
  <c r="CT258" i="11"/>
  <c r="CT259" i="11"/>
  <c r="CT260" i="11"/>
  <c r="CT261" i="11"/>
  <c r="CT262" i="11"/>
  <c r="CT263" i="11"/>
  <c r="CT264" i="11"/>
  <c r="CT265" i="11"/>
  <c r="CT266" i="11"/>
  <c r="CT267" i="11"/>
  <c r="CT268" i="11"/>
  <c r="CT269" i="11"/>
  <c r="CT270" i="11"/>
  <c r="CT271" i="11"/>
  <c r="CT272" i="11"/>
  <c r="CT273" i="11"/>
  <c r="CT274" i="11"/>
  <c r="CT275" i="11"/>
  <c r="CT276" i="11"/>
  <c r="CT277" i="11"/>
  <c r="CT278" i="11"/>
  <c r="CT279" i="11"/>
  <c r="CT280" i="11"/>
  <c r="CT281" i="11"/>
  <c r="CT282" i="11"/>
  <c r="CT283" i="11"/>
  <c r="CT284" i="11"/>
  <c r="CT285" i="11"/>
  <c r="CT286" i="11"/>
  <c r="CT287" i="11"/>
  <c r="CT288" i="11"/>
  <c r="CT289" i="11"/>
  <c r="CT290" i="11"/>
  <c r="CT291" i="11"/>
  <c r="CT292" i="11"/>
  <c r="CT293" i="11"/>
  <c r="CT294" i="11"/>
  <c r="CT295" i="11"/>
  <c r="CT296" i="11"/>
  <c r="CT297" i="11"/>
  <c r="CT298" i="11"/>
  <c r="CT299" i="11"/>
  <c r="CT300" i="11"/>
  <c r="CT301" i="11"/>
  <c r="CT302" i="11"/>
  <c r="CT303" i="11"/>
  <c r="CT304" i="11"/>
  <c r="CT305" i="11"/>
  <c r="CT306" i="11"/>
  <c r="CT307" i="11"/>
  <c r="CT308" i="11"/>
  <c r="CT309" i="11"/>
  <c r="CT310" i="11"/>
  <c r="CT311" i="11"/>
  <c r="CT312" i="11"/>
  <c r="CT313" i="11"/>
  <c r="CT314" i="11"/>
  <c r="CT315" i="11"/>
  <c r="CT316" i="11"/>
  <c r="CT317" i="11"/>
  <c r="CT318" i="11"/>
  <c r="CT319" i="11"/>
  <c r="CT320" i="11"/>
  <c r="CT321" i="11"/>
  <c r="CT322" i="11"/>
  <c r="CT323" i="11"/>
  <c r="CT324" i="11"/>
  <c r="CT325" i="11"/>
  <c r="CT327" i="11"/>
  <c r="CT328" i="11"/>
  <c r="CT329" i="11"/>
  <c r="CT330" i="11"/>
  <c r="CT331" i="11"/>
  <c r="CT332" i="11"/>
  <c r="CT333" i="11"/>
  <c r="CT334" i="11"/>
  <c r="CT335" i="11"/>
  <c r="CT336" i="11"/>
  <c r="CT337" i="11"/>
  <c r="CT338" i="11"/>
  <c r="CT339" i="11"/>
  <c r="CT7" i="11"/>
  <c r="CY331" i="11"/>
  <c r="CY332" i="11"/>
  <c r="CY317" i="11"/>
  <c r="CY318" i="11"/>
  <c r="CY319" i="11"/>
  <c r="CY321" i="11"/>
  <c r="CY322" i="11"/>
  <c r="CW38" i="11"/>
  <c r="CW35" i="11"/>
  <c r="CW307" i="11"/>
  <c r="CY14" i="11"/>
  <c r="CY48" i="11"/>
  <c r="CY45" i="11"/>
  <c r="CY42" i="11"/>
  <c r="CY39" i="11"/>
  <c r="CY36" i="11"/>
  <c r="CY57" i="11"/>
  <c r="CY65" i="11"/>
  <c r="CY66" i="11"/>
  <c r="CY67" i="11"/>
  <c r="CY68" i="11"/>
  <c r="CY69" i="11"/>
  <c r="CY70" i="11"/>
  <c r="CY71" i="11"/>
  <c r="CY72" i="11"/>
  <c r="CY60" i="11"/>
  <c r="CY79" i="11"/>
  <c r="CY80" i="11"/>
  <c r="CY81" i="11"/>
  <c r="CY82" i="11"/>
  <c r="CY93" i="11"/>
  <c r="CY94" i="11"/>
  <c r="CY96" i="11"/>
  <c r="CY97" i="11"/>
  <c r="CY101" i="11"/>
  <c r="CY83" i="11"/>
  <c r="CY84" i="11"/>
  <c r="CY85" i="11"/>
  <c r="CY86" i="11"/>
  <c r="CY87" i="11"/>
  <c r="CY166" i="11"/>
  <c r="CY170" i="11"/>
  <c r="CY172" i="11"/>
  <c r="CY158" i="11"/>
  <c r="CY160" i="11"/>
  <c r="CY163" i="11"/>
  <c r="CY180" i="11"/>
  <c r="CY38" i="11"/>
  <c r="CY35" i="11"/>
  <c r="CV14" i="11"/>
  <c r="CW10" i="11"/>
  <c r="CY49" i="11"/>
  <c r="CW40" i="11"/>
  <c r="CW37" i="11"/>
  <c r="CW309" i="11"/>
  <c r="CW306" i="11"/>
  <c r="CY10" i="11"/>
  <c r="CY47" i="11"/>
  <c r="CY44" i="11"/>
  <c r="CY41" i="11"/>
  <c r="CX35" i="11"/>
  <c r="CU36" i="11"/>
  <c r="CX36" i="11"/>
  <c r="CU37" i="11"/>
  <c r="CX37" i="11"/>
  <c r="CU38" i="11"/>
  <c r="CX38" i="11"/>
  <c r="CU39" i="11"/>
  <c r="CX39" i="11"/>
  <c r="CU40" i="11"/>
  <c r="CX40" i="11"/>
  <c r="CU14" i="11"/>
  <c r="CX14" i="11"/>
  <c r="CU306" i="11"/>
  <c r="CX306" i="11"/>
  <c r="CU307" i="11"/>
  <c r="CX307" i="11"/>
  <c r="CU308" i="11"/>
  <c r="CX308" i="11"/>
  <c r="CU309" i="11"/>
  <c r="CX309" i="11"/>
  <c r="CU311" i="11"/>
  <c r="CX311" i="11"/>
  <c r="CU148" i="11"/>
  <c r="CX148" i="11"/>
  <c r="CU35" i="11"/>
  <c r="CV48" i="11"/>
  <c r="CV74" i="11"/>
  <c r="CV72" i="11"/>
  <c r="CV70" i="11"/>
  <c r="CV68" i="11"/>
  <c r="CV66" i="11"/>
  <c r="CV64" i="11"/>
  <c r="CV62" i="11"/>
  <c r="CV60" i="11"/>
  <c r="CX180" i="11"/>
  <c r="CW187" i="11"/>
  <c r="CX187" i="11"/>
  <c r="CW199" i="11"/>
  <c r="CX199" i="11"/>
  <c r="CV87" i="11"/>
  <c r="CU44" i="11"/>
  <c r="CV58" i="11"/>
  <c r="CV56" i="11"/>
  <c r="CV50" i="11"/>
  <c r="CW335" i="11"/>
  <c r="CX335" i="11"/>
  <c r="CW163" i="11"/>
  <c r="CX163" i="11"/>
  <c r="CW166" i="11"/>
  <c r="CX166" i="11"/>
  <c r="CW172" i="11"/>
  <c r="CX172" i="11"/>
  <c r="CW178" i="11"/>
  <c r="CX178" i="11"/>
  <c r="CW179" i="11"/>
  <c r="CX179" i="11"/>
  <c r="CW180" i="11"/>
  <c r="CX322" i="11"/>
  <c r="CW323" i="11"/>
  <c r="CX323" i="11"/>
  <c r="CW327" i="11"/>
  <c r="CX327" i="11"/>
  <c r="CW329" i="11"/>
  <c r="CX329" i="11"/>
  <c r="CW330" i="11"/>
  <c r="CX330" i="11"/>
  <c r="CW331" i="11"/>
  <c r="CX331" i="11"/>
  <c r="CW332" i="11"/>
  <c r="CX332" i="11"/>
  <c r="CW312" i="11"/>
  <c r="CX312" i="11"/>
  <c r="CW317" i="11"/>
  <c r="CX317" i="11"/>
  <c r="CW318" i="11"/>
  <c r="CX318" i="11"/>
  <c r="CW319" i="11"/>
  <c r="CX319" i="11"/>
  <c r="CW321" i="11"/>
  <c r="CX321" i="11"/>
  <c r="CW322" i="11"/>
  <c r="CX301" i="11"/>
  <c r="CW302" i="11"/>
  <c r="CX302" i="11"/>
  <c r="CW303" i="11"/>
  <c r="CX303" i="11"/>
  <c r="CW290" i="11"/>
  <c r="CX290" i="11"/>
  <c r="CW291" i="11"/>
  <c r="CX291" i="11"/>
  <c r="CW292" i="11"/>
  <c r="CX292" i="11"/>
  <c r="CW295" i="11"/>
  <c r="CX295" i="11"/>
  <c r="CW297" i="11"/>
  <c r="CX297" i="11"/>
  <c r="CW298" i="11"/>
  <c r="CX298" i="11"/>
  <c r="CW301" i="11"/>
  <c r="CX269" i="11"/>
  <c r="CW271" i="11"/>
  <c r="CX271" i="11"/>
  <c r="CW274" i="11"/>
  <c r="CX274" i="11"/>
  <c r="CW275" i="11"/>
  <c r="CX275" i="11"/>
  <c r="CW279" i="11"/>
  <c r="CX279" i="11"/>
  <c r="CW280" i="11"/>
  <c r="CX280" i="11"/>
  <c r="CW282" i="11"/>
  <c r="CX282" i="11"/>
  <c r="CW259" i="11"/>
  <c r="CX259" i="11"/>
  <c r="CW260" i="11"/>
  <c r="CX260" i="11"/>
  <c r="CW261" i="11"/>
  <c r="CX261" i="11"/>
  <c r="CW264" i="11"/>
  <c r="CX264" i="11"/>
  <c r="CW265" i="11"/>
  <c r="CX265" i="11"/>
  <c r="CW267" i="11"/>
  <c r="CX267" i="11"/>
  <c r="CW269" i="11"/>
  <c r="CX251" i="11"/>
  <c r="CW252" i="11"/>
  <c r="CX252" i="11"/>
  <c r="CW253" i="11"/>
  <c r="CX253" i="11"/>
  <c r="CW254" i="11"/>
  <c r="CX254" i="11"/>
  <c r="CW255" i="11"/>
  <c r="CX255" i="11"/>
  <c r="CW257" i="11"/>
  <c r="CX257" i="11"/>
  <c r="CW258" i="11"/>
  <c r="CX258" i="11"/>
  <c r="CW44" i="11"/>
  <c r="CX44" i="11"/>
  <c r="CW225" i="11"/>
  <c r="CX225" i="11"/>
  <c r="CW226" i="11"/>
  <c r="CX226" i="11"/>
  <c r="CW240" i="11"/>
  <c r="CX240" i="11"/>
  <c r="CW241" i="11"/>
  <c r="CX241" i="11"/>
  <c r="CW247" i="11"/>
  <c r="CX247" i="11"/>
  <c r="CW251" i="11"/>
  <c r="CW41" i="11"/>
  <c r="CX41" i="11"/>
  <c r="CW42" i="11"/>
  <c r="CX42" i="11"/>
  <c r="CW43" i="11"/>
  <c r="CX43" i="11"/>
  <c r="CW58" i="11"/>
  <c r="CX58" i="11"/>
  <c r="CW59" i="11"/>
  <c r="CX59" i="11"/>
  <c r="CX48" i="11"/>
  <c r="CW49" i="11"/>
  <c r="CX49" i="11"/>
  <c r="CW50" i="11"/>
  <c r="CX50" i="11"/>
  <c r="CW51" i="11"/>
  <c r="CX51" i="11"/>
  <c r="CW53" i="11"/>
  <c r="CX53" i="11"/>
  <c r="CW56" i="11"/>
  <c r="CX56" i="11"/>
  <c r="CW57" i="11"/>
  <c r="CX57" i="11"/>
  <c r="CW71" i="11"/>
  <c r="CX71" i="11"/>
  <c r="CW72" i="11"/>
  <c r="CX72" i="11"/>
  <c r="CW73" i="11"/>
  <c r="CX73" i="11"/>
  <c r="CW74" i="11"/>
  <c r="CX74" i="11"/>
  <c r="CW45" i="11"/>
  <c r="CX45" i="11"/>
  <c r="CW47" i="11"/>
  <c r="CX47" i="11"/>
  <c r="CW48" i="11"/>
  <c r="CX64" i="11"/>
  <c r="CW65" i="11"/>
  <c r="CX65" i="11"/>
  <c r="CW66" i="11"/>
  <c r="CX66" i="11"/>
  <c r="CW67" i="11"/>
  <c r="CX67" i="11"/>
  <c r="CW68" i="11"/>
  <c r="CX68" i="11"/>
  <c r="CW69" i="11"/>
  <c r="CX69" i="11"/>
  <c r="CW70" i="11"/>
  <c r="CX70" i="11"/>
  <c r="CX79" i="11"/>
  <c r="CW80" i="11"/>
  <c r="CX80" i="11"/>
  <c r="CW60" i="11"/>
  <c r="CX60" i="11"/>
  <c r="CW61" i="11"/>
  <c r="CX61" i="11"/>
  <c r="CW62" i="11"/>
  <c r="CX62" i="11"/>
  <c r="CW63" i="11"/>
  <c r="CX63" i="11"/>
  <c r="CW64" i="11"/>
  <c r="CX97" i="11"/>
  <c r="CW75" i="11"/>
  <c r="CX75" i="11"/>
  <c r="CW76" i="11"/>
  <c r="CX76" i="11"/>
  <c r="CW77" i="11"/>
  <c r="CX77" i="11"/>
  <c r="CW78" i="11"/>
  <c r="CX78" i="11"/>
  <c r="CW79" i="11"/>
  <c r="CW89" i="11"/>
  <c r="CX89" i="11"/>
  <c r="CW91" i="11"/>
  <c r="CX91" i="11"/>
  <c r="CW92" i="11"/>
  <c r="CX92" i="11"/>
  <c r="CW93" i="11"/>
  <c r="CX93" i="11"/>
  <c r="CW94" i="11"/>
  <c r="CX94" i="11"/>
  <c r="CW96" i="11"/>
  <c r="CX96" i="11"/>
  <c r="CW97" i="11"/>
  <c r="CX82" i="11"/>
  <c r="CW83" i="11"/>
  <c r="CX83" i="11"/>
  <c r="CW84" i="11"/>
  <c r="CX84" i="11"/>
  <c r="CW85" i="11"/>
  <c r="CX85" i="11"/>
  <c r="CW86" i="11"/>
  <c r="CX86" i="11"/>
  <c r="CW87" i="11"/>
  <c r="CX87" i="11"/>
  <c r="CW88" i="11"/>
  <c r="CX88" i="11"/>
  <c r="CW158" i="11"/>
  <c r="CX158" i="11"/>
  <c r="CW160" i="11"/>
  <c r="CX160" i="11"/>
  <c r="CW101" i="11"/>
  <c r="CX101" i="11"/>
  <c r="CW107" i="11"/>
  <c r="CX107" i="11"/>
  <c r="CW81" i="11"/>
  <c r="CX81" i="11"/>
  <c r="CW82" i="11"/>
  <c r="CX218" i="11"/>
  <c r="CW219" i="11"/>
  <c r="CX219" i="11"/>
  <c r="CW220" i="11"/>
  <c r="CX220" i="11"/>
  <c r="CW128" i="11"/>
  <c r="CX128" i="11"/>
  <c r="CW136" i="11"/>
  <c r="CX136" i="11"/>
  <c r="CW137" i="11"/>
  <c r="CX137" i="11"/>
  <c r="CW140" i="11"/>
  <c r="CX140" i="11"/>
  <c r="CW217" i="11"/>
  <c r="CX217" i="11"/>
  <c r="CW218" i="11"/>
  <c r="C3623" i="3"/>
  <c r="M929" i="3"/>
  <c r="M930" i="3" s="1"/>
  <c r="M931" i="3" s="1"/>
  <c r="M932" i="3" s="1"/>
  <c r="M933" i="3" s="1"/>
  <c r="M934" i="3" s="1"/>
  <c r="M935" i="3" s="1"/>
  <c r="M936" i="3" s="1"/>
  <c r="M937" i="3" s="1"/>
  <c r="M938" i="3" s="1"/>
  <c r="M939" i="3" s="1"/>
  <c r="M940" i="3" s="1"/>
  <c r="M941" i="3" s="1"/>
  <c r="M942" i="3" s="1"/>
  <c r="M943" i="3" s="1"/>
  <c r="M944" i="3" s="1"/>
  <c r="M945" i="3" s="1"/>
  <c r="M946" i="3" s="1"/>
  <c r="M947" i="3" s="1"/>
  <c r="M948" i="3" s="1"/>
  <c r="M949" i="3" s="1"/>
  <c r="M950" i="3" s="1"/>
  <c r="M951" i="3" s="1"/>
  <c r="M952" i="3" s="1"/>
  <c r="M953" i="3" s="1"/>
  <c r="M954" i="3" s="1"/>
  <c r="M955" i="3" s="1"/>
  <c r="M956" i="3" s="1"/>
  <c r="M957" i="3" s="1"/>
  <c r="M958" i="3" s="1"/>
  <c r="M959" i="3" s="1"/>
  <c r="M960" i="3" s="1"/>
  <c r="M961" i="3" s="1"/>
  <c r="M962" i="3" s="1"/>
  <c r="M963" i="3" s="1"/>
  <c r="M964" i="3" s="1"/>
  <c r="M965" i="3" s="1"/>
  <c r="M966" i="3" s="1"/>
  <c r="M967" i="3" s="1"/>
  <c r="M968" i="3" s="1"/>
  <c r="M969" i="3" s="1"/>
  <c r="M970" i="3" s="1"/>
  <c r="M971" i="3" s="1"/>
  <c r="M972" i="3" s="1"/>
  <c r="M973" i="3" s="1"/>
  <c r="M974" i="3" s="1"/>
  <c r="M975" i="3" s="1"/>
  <c r="M976" i="3" s="1"/>
  <c r="M977" i="3" s="1"/>
  <c r="M978" i="3" s="1"/>
  <c r="M979" i="3" s="1"/>
  <c r="M980" i="3" s="1"/>
  <c r="M981" i="3" s="1"/>
  <c r="M982" i="3" s="1"/>
  <c r="M983" i="3" s="1"/>
  <c r="M984" i="3" s="1"/>
  <c r="M985" i="3" s="1"/>
  <c r="M986" i="3" s="1"/>
  <c r="M987" i="3" s="1"/>
  <c r="M988" i="3" s="1"/>
  <c r="M989" i="3" s="1"/>
  <c r="M990" i="3" s="1"/>
  <c r="M991" i="3" s="1"/>
  <c r="M992" i="3" s="1"/>
  <c r="M993" i="3" s="1"/>
  <c r="M994" i="3" s="1"/>
  <c r="M995" i="3" s="1"/>
  <c r="M996" i="3" s="1"/>
  <c r="M997" i="3" s="1"/>
  <c r="M998" i="3" s="1"/>
  <c r="M999" i="3" s="1"/>
  <c r="M1000" i="3" s="1"/>
  <c r="M1001" i="3" s="1"/>
  <c r="M1002" i="3" s="1"/>
  <c r="M1003" i="3" s="1"/>
  <c r="M1004" i="3" s="1"/>
  <c r="M1005" i="3" s="1"/>
  <c r="M1006" i="3" s="1"/>
  <c r="M1007" i="3" s="1"/>
  <c r="M1008" i="3" s="1"/>
  <c r="M1009" i="3" s="1"/>
  <c r="M1010" i="3" s="1"/>
  <c r="M1011" i="3" s="1"/>
  <c r="M1012" i="3" s="1"/>
  <c r="M1013" i="3" s="1"/>
  <c r="M1014" i="3" s="1"/>
  <c r="M1015" i="3" s="1"/>
  <c r="M1016" i="3" s="1"/>
  <c r="M1017" i="3" s="1"/>
  <c r="M1018" i="3" s="1"/>
  <c r="M1019" i="3" s="1"/>
  <c r="M1020" i="3" s="1"/>
  <c r="M1021" i="3" s="1"/>
  <c r="M1022" i="3" s="1"/>
  <c r="M1023" i="3" s="1"/>
  <c r="M1024" i="3" s="1"/>
  <c r="M1025" i="3" s="1"/>
  <c r="M1026" i="3" s="1"/>
  <c r="M1027" i="3" s="1"/>
  <c r="M1028" i="3" s="1"/>
  <c r="M1029" i="3" s="1"/>
  <c r="M1030" i="3" s="1"/>
  <c r="M1031" i="3" s="1"/>
  <c r="M1032" i="3" s="1"/>
  <c r="M1033" i="3" s="1"/>
  <c r="M1034" i="3" s="1"/>
  <c r="M1035" i="3" s="1"/>
  <c r="M1036" i="3" s="1"/>
  <c r="M1037" i="3" s="1"/>
  <c r="M1038" i="3" s="1"/>
  <c r="M1039" i="3" s="1"/>
  <c r="M1040" i="3" s="1"/>
  <c r="M1041" i="3" s="1"/>
  <c r="M1042" i="3" s="1"/>
  <c r="M1043" i="3" s="1"/>
  <c r="M1044" i="3" s="1"/>
  <c r="M1045" i="3" s="1"/>
  <c r="M1046" i="3" s="1"/>
  <c r="M1047" i="3" s="1"/>
  <c r="M1048" i="3" s="1"/>
  <c r="M1049" i="3" s="1"/>
  <c r="M1050" i="3" s="1"/>
  <c r="M1051" i="3" s="1"/>
  <c r="M1052" i="3" s="1"/>
  <c r="M1053" i="3" s="1"/>
  <c r="M1054" i="3" s="1"/>
  <c r="M1055" i="3" s="1"/>
  <c r="M1056" i="3" s="1"/>
  <c r="M1057" i="3" s="1"/>
  <c r="M1058" i="3" s="1"/>
  <c r="M1059" i="3" s="1"/>
  <c r="M1060" i="3" s="1"/>
  <c r="M1061" i="3" s="1"/>
  <c r="M1062" i="3" s="1"/>
  <c r="M1063" i="3" s="1"/>
  <c r="M1064" i="3" s="1"/>
  <c r="M1065" i="3" s="1"/>
  <c r="M1066" i="3" s="1"/>
  <c r="M1067" i="3" s="1"/>
  <c r="M1068" i="3" s="1"/>
  <c r="M1069" i="3" s="1"/>
  <c r="M1070" i="3" s="1"/>
  <c r="M1071" i="3" s="1"/>
  <c r="M1072" i="3" s="1"/>
  <c r="M1073" i="3" s="1"/>
  <c r="M1074" i="3" s="1"/>
  <c r="M1075" i="3" s="1"/>
  <c r="M1076" i="3" s="1"/>
  <c r="M1077" i="3" s="1"/>
  <c r="M1078" i="3" s="1"/>
  <c r="M1079" i="3" s="1"/>
  <c r="M1080" i="3" s="1"/>
  <c r="M1081" i="3" s="1"/>
  <c r="M1082" i="3" s="1"/>
  <c r="M1083" i="3" s="1"/>
  <c r="M1084" i="3" s="1"/>
  <c r="M1085" i="3" s="1"/>
  <c r="M1086" i="3" s="1"/>
  <c r="M1087" i="3" s="1"/>
  <c r="M1088" i="3" s="1"/>
  <c r="M1089" i="3" s="1"/>
  <c r="M1090" i="3" s="1"/>
  <c r="M1091" i="3" s="1"/>
  <c r="M1092" i="3" s="1"/>
  <c r="M1093" i="3" s="1"/>
  <c r="M1094" i="3" s="1"/>
  <c r="M1095" i="3" s="1"/>
  <c r="M1096" i="3" s="1"/>
  <c r="M1097" i="3" s="1"/>
  <c r="M1098" i="3" s="1"/>
  <c r="M1099" i="3" s="1"/>
  <c r="M1100" i="3" s="1"/>
  <c r="M1101" i="3" s="1"/>
  <c r="M1102" i="3" s="1"/>
  <c r="M1103" i="3" s="1"/>
  <c r="M1104" i="3" s="1"/>
  <c r="M1105" i="3" s="1"/>
  <c r="M1106" i="3" s="1"/>
  <c r="M1107" i="3" s="1"/>
  <c r="M1108" i="3" s="1"/>
  <c r="M1109" i="3" s="1"/>
  <c r="M1110" i="3" s="1"/>
  <c r="M1111" i="3" s="1"/>
  <c r="M1112" i="3" s="1"/>
  <c r="M1113" i="3" s="1"/>
  <c r="M1114" i="3" s="1"/>
  <c r="M1115" i="3" s="1"/>
  <c r="M1116" i="3" s="1"/>
  <c r="M1117" i="3" s="1"/>
  <c r="M1118" i="3" s="1"/>
  <c r="M1119" i="3" s="1"/>
  <c r="M1120" i="3" s="1"/>
  <c r="M1121" i="3" s="1"/>
  <c r="M1122" i="3" s="1"/>
  <c r="M1123" i="3" s="1"/>
  <c r="M1124" i="3" s="1"/>
  <c r="M1125" i="3" s="1"/>
  <c r="M1126" i="3" s="1"/>
  <c r="M1127" i="3" s="1"/>
  <c r="M1128" i="3" s="1"/>
  <c r="M1129" i="3" s="1"/>
  <c r="M1130" i="3" s="1"/>
  <c r="M1131" i="3" s="1"/>
  <c r="M1132" i="3" s="1"/>
  <c r="M1133" i="3" s="1"/>
  <c r="M1134" i="3" s="1"/>
  <c r="M1135" i="3" s="1"/>
  <c r="M1136" i="3" s="1"/>
  <c r="M1137" i="3" s="1"/>
  <c r="M1138" i="3" s="1"/>
  <c r="M1139" i="3" s="1"/>
  <c r="M1140" i="3" s="1"/>
  <c r="M1141" i="3" s="1"/>
  <c r="M1142" i="3" s="1"/>
  <c r="M1143" i="3" s="1"/>
  <c r="M1144" i="3" s="1"/>
  <c r="M1145" i="3" s="1"/>
  <c r="M1146" i="3" s="1"/>
  <c r="M1147" i="3" s="1"/>
  <c r="M1148" i="3" s="1"/>
  <c r="M1149" i="3" s="1"/>
  <c r="M1150" i="3" s="1"/>
  <c r="M1151" i="3" s="1"/>
  <c r="M1152" i="3" s="1"/>
  <c r="M1153" i="3" s="1"/>
  <c r="M1154" i="3" s="1"/>
  <c r="M1155" i="3" s="1"/>
  <c r="M1156" i="3" s="1"/>
  <c r="M1157" i="3" s="1"/>
  <c r="M1158" i="3" s="1"/>
  <c r="M1159" i="3" s="1"/>
  <c r="M1160" i="3" s="1"/>
  <c r="M1161" i="3" s="1"/>
  <c r="M1162" i="3" s="1"/>
  <c r="M1163" i="3" s="1"/>
  <c r="M1164" i="3" s="1"/>
  <c r="M1165" i="3" s="1"/>
  <c r="M1166" i="3" s="1"/>
  <c r="M1167" i="3" s="1"/>
  <c r="M1168" i="3" s="1"/>
  <c r="M1169" i="3" s="1"/>
  <c r="M1170" i="3" s="1"/>
  <c r="M1171" i="3" s="1"/>
  <c r="M1172" i="3" s="1"/>
  <c r="M1173" i="3" s="1"/>
  <c r="M1174" i="3" s="1"/>
  <c r="M1175" i="3" s="1"/>
  <c r="M1176" i="3" s="1"/>
  <c r="M1177" i="3" s="1"/>
  <c r="M1178" i="3" s="1"/>
  <c r="M1179" i="3" s="1"/>
  <c r="M1180" i="3" s="1"/>
  <c r="M1181" i="3" s="1"/>
  <c r="M1182" i="3" s="1"/>
  <c r="M1183" i="3" s="1"/>
  <c r="M1184" i="3" s="1"/>
  <c r="M1185" i="3" s="1"/>
  <c r="M1186" i="3" s="1"/>
  <c r="M1187" i="3" s="1"/>
  <c r="M1188" i="3" s="1"/>
  <c r="M1189" i="3" s="1"/>
  <c r="M1190" i="3" s="1"/>
  <c r="M1191" i="3" s="1"/>
  <c r="M1192" i="3" s="1"/>
  <c r="M1193" i="3" s="1"/>
  <c r="M1194" i="3" s="1"/>
  <c r="M1195" i="3" s="1"/>
  <c r="M1196" i="3" s="1"/>
  <c r="M1197" i="3" s="1"/>
  <c r="M1198" i="3" s="1"/>
  <c r="M1199" i="3" s="1"/>
  <c r="M1200" i="3" s="1"/>
  <c r="M1201" i="3" s="1"/>
  <c r="M1202" i="3" s="1"/>
  <c r="M1203" i="3" s="1"/>
  <c r="M1204" i="3" s="1"/>
  <c r="M1205" i="3" s="1"/>
  <c r="M1206" i="3" s="1"/>
  <c r="M1207" i="3" s="1"/>
  <c r="M1208" i="3" s="1"/>
  <c r="M1209" i="3" s="1"/>
  <c r="M1210" i="3" s="1"/>
  <c r="M1211" i="3" s="1"/>
  <c r="M1212" i="3" s="1"/>
  <c r="M1213" i="3" s="1"/>
  <c r="M1214" i="3" s="1"/>
  <c r="M1215" i="3" s="1"/>
  <c r="M1216" i="3" s="1"/>
  <c r="M1217" i="3" s="1"/>
  <c r="M1218" i="3" s="1"/>
  <c r="M1219" i="3" s="1"/>
  <c r="M1220" i="3" s="1"/>
  <c r="M1221" i="3" s="1"/>
  <c r="M1222" i="3" s="1"/>
  <c r="M1223" i="3" s="1"/>
  <c r="M1224" i="3" s="1"/>
  <c r="M1225" i="3" s="1"/>
  <c r="M1226" i="3" s="1"/>
  <c r="M1227" i="3" s="1"/>
  <c r="M1228" i="3" s="1"/>
  <c r="M1229" i="3" s="1"/>
  <c r="M1230" i="3" s="1"/>
  <c r="M1231" i="3" s="1"/>
  <c r="M1232" i="3" s="1"/>
  <c r="M1233" i="3" s="1"/>
  <c r="M1234" i="3" s="1"/>
  <c r="M1235" i="3" s="1"/>
  <c r="M1236" i="3" s="1"/>
  <c r="M1237" i="3" s="1"/>
  <c r="M1238" i="3" s="1"/>
  <c r="M1239" i="3" s="1"/>
  <c r="M1240" i="3" s="1"/>
  <c r="M1241" i="3" s="1"/>
  <c r="M1242" i="3" s="1"/>
  <c r="M1243" i="3" s="1"/>
  <c r="M1244" i="3" s="1"/>
  <c r="M1245" i="3" s="1"/>
  <c r="M1246" i="3" s="1"/>
  <c r="M1247" i="3" s="1"/>
  <c r="M1248" i="3" s="1"/>
  <c r="M1249" i="3" s="1"/>
  <c r="M1250" i="3" s="1"/>
  <c r="M1251" i="3" s="1"/>
  <c r="M1252" i="3" s="1"/>
  <c r="M1253" i="3" s="1"/>
  <c r="M1254" i="3" s="1"/>
  <c r="M1255" i="3" s="1"/>
  <c r="M1256" i="3" s="1"/>
  <c r="M1257" i="3" s="1"/>
  <c r="M1258" i="3" s="1"/>
  <c r="M1259" i="3" s="1"/>
  <c r="M1260" i="3" s="1"/>
  <c r="M1261" i="3" s="1"/>
  <c r="M1262" i="3" s="1"/>
  <c r="M1263" i="3" s="1"/>
  <c r="M1264" i="3" s="1"/>
  <c r="M1265" i="3" s="1"/>
  <c r="M1266" i="3" s="1"/>
  <c r="M1267" i="3" s="1"/>
  <c r="M1268" i="3" s="1"/>
  <c r="M1269" i="3" s="1"/>
  <c r="M1270" i="3" s="1"/>
  <c r="M1271" i="3" s="1"/>
  <c r="M1272" i="3" s="1"/>
  <c r="M1273" i="3" s="1"/>
  <c r="M1274" i="3" s="1"/>
  <c r="M1275" i="3" s="1"/>
  <c r="M1276" i="3" s="1"/>
  <c r="M1277" i="3" s="1"/>
  <c r="M1278" i="3" s="1"/>
  <c r="M1279" i="3" s="1"/>
  <c r="M1280" i="3" s="1"/>
  <c r="M1281" i="3" s="1"/>
  <c r="M1282" i="3" s="1"/>
  <c r="M1283" i="3" s="1"/>
  <c r="M1284" i="3" s="1"/>
  <c r="M1285" i="3" s="1"/>
  <c r="M1286" i="3" s="1"/>
  <c r="M1287" i="3" s="1"/>
  <c r="M1288" i="3" s="1"/>
  <c r="M1289" i="3" s="1"/>
  <c r="M1290" i="3" s="1"/>
  <c r="M1291" i="3" s="1"/>
  <c r="M1292" i="3" s="1"/>
  <c r="M1293" i="3" s="1"/>
  <c r="M1294" i="3" s="1"/>
  <c r="M1295" i="3" s="1"/>
  <c r="M1296" i="3" s="1"/>
  <c r="M1297" i="3" s="1"/>
  <c r="M1298" i="3" s="1"/>
  <c r="M1299" i="3" s="1"/>
  <c r="M1300" i="3" s="1"/>
  <c r="M1301" i="3" s="1"/>
  <c r="M1302" i="3" s="1"/>
  <c r="M1303" i="3" s="1"/>
  <c r="M1304" i="3" s="1"/>
  <c r="M1305" i="3" s="1"/>
  <c r="M1306" i="3" s="1"/>
  <c r="M1307" i="3" s="1"/>
  <c r="M1308" i="3" s="1"/>
  <c r="M1309" i="3" s="1"/>
  <c r="M1310" i="3" s="1"/>
  <c r="M1311" i="3" s="1"/>
  <c r="M1312" i="3" s="1"/>
  <c r="M1313" i="3" s="1"/>
  <c r="M1314" i="3" s="1"/>
  <c r="M1315" i="3" s="1"/>
  <c r="M1316" i="3" s="1"/>
  <c r="M1317" i="3" s="1"/>
  <c r="M1318" i="3" s="1"/>
  <c r="M1319" i="3" s="1"/>
  <c r="M1320" i="3" s="1"/>
  <c r="M1321" i="3" s="1"/>
  <c r="M1322" i="3" s="1"/>
  <c r="M1323" i="3" s="1"/>
  <c r="M1324" i="3" s="1"/>
  <c r="M1325" i="3" s="1"/>
  <c r="M1326" i="3" s="1"/>
  <c r="M1327" i="3" s="1"/>
  <c r="M1328" i="3" s="1"/>
  <c r="M1329" i="3" s="1"/>
  <c r="M1330" i="3" s="1"/>
  <c r="M1331" i="3" s="1"/>
  <c r="M1332" i="3" s="1"/>
  <c r="M1333" i="3" s="1"/>
  <c r="M1334" i="3" s="1"/>
  <c r="M1335" i="3" s="1"/>
  <c r="M1336" i="3" s="1"/>
  <c r="M1337" i="3" s="1"/>
  <c r="M1338" i="3" s="1"/>
  <c r="M1339" i="3" s="1"/>
  <c r="M1340" i="3" s="1"/>
  <c r="M1341" i="3" s="1"/>
  <c r="M1342" i="3" s="1"/>
  <c r="M1343" i="3" s="1"/>
  <c r="M1344" i="3" s="1"/>
  <c r="M1345" i="3" s="1"/>
  <c r="M1346" i="3" s="1"/>
  <c r="M1347" i="3" s="1"/>
  <c r="M1348" i="3" s="1"/>
  <c r="M1349" i="3" s="1"/>
  <c r="M1350" i="3" s="1"/>
  <c r="M1351" i="3" s="1"/>
  <c r="M1352" i="3" s="1"/>
  <c r="M1353" i="3" s="1"/>
  <c r="M1354" i="3" s="1"/>
  <c r="M1355" i="3" s="1"/>
  <c r="M1356" i="3" s="1"/>
  <c r="M1357" i="3" s="1"/>
  <c r="M1358" i="3" s="1"/>
  <c r="M1359" i="3" s="1"/>
  <c r="M1360" i="3" s="1"/>
  <c r="M1361" i="3" s="1"/>
  <c r="M1362" i="3" s="1"/>
  <c r="M1363" i="3" s="1"/>
  <c r="F339" i="11"/>
  <c r="N339" i="11"/>
  <c r="W339" i="11"/>
  <c r="AE339" i="11"/>
  <c r="AM339" i="11"/>
  <c r="AV339" i="11"/>
  <c r="BD339" i="11"/>
  <c r="BL339" i="11"/>
  <c r="BU339" i="11"/>
  <c r="CC339" i="11"/>
  <c r="CK339" i="11"/>
  <c r="F338" i="11"/>
  <c r="N338" i="11"/>
  <c r="W338" i="11"/>
  <c r="AE338" i="11"/>
  <c r="AM338" i="11"/>
  <c r="AV338" i="11"/>
  <c r="BD338" i="11"/>
  <c r="BL338" i="11"/>
  <c r="BU338" i="11"/>
  <c r="CC338" i="11"/>
  <c r="CK338" i="11"/>
  <c r="F336" i="11"/>
  <c r="N336" i="11"/>
  <c r="W336" i="11"/>
  <c r="AE336" i="11"/>
  <c r="AM336" i="11"/>
  <c r="AV336" i="11"/>
  <c r="BD336" i="11"/>
  <c r="BL336" i="11"/>
  <c r="BU336" i="11"/>
  <c r="CC336" i="11"/>
  <c r="CK336" i="11"/>
  <c r="F337" i="11"/>
  <c r="N337" i="11"/>
  <c r="W337" i="11"/>
  <c r="AE337" i="11"/>
  <c r="AM337" i="11"/>
  <c r="AV337" i="11"/>
  <c r="BD337" i="11"/>
  <c r="BL337" i="11"/>
  <c r="BU337" i="11"/>
  <c r="CC337" i="11"/>
  <c r="CK337" i="11"/>
  <c r="K191" i="14"/>
  <c r="K192" i="14" s="1"/>
  <c r="K193" i="14" s="1"/>
  <c r="K194" i="14" s="1"/>
  <c r="K195" i="14" s="1"/>
  <c r="K196" i="14" s="1"/>
  <c r="K197" i="14" s="1"/>
  <c r="K198" i="14" s="1"/>
  <c r="K199" i="14" s="1"/>
  <c r="BU328" i="11"/>
  <c r="BU329" i="11"/>
  <c r="CK335" i="11"/>
  <c r="CC335" i="11"/>
  <c r="BL335" i="11"/>
  <c r="BU335" i="11"/>
  <c r="BD335" i="11"/>
  <c r="AV335" i="11"/>
  <c r="AM335" i="11"/>
  <c r="AE335" i="11"/>
  <c r="W335" i="11"/>
  <c r="N335" i="11"/>
  <c r="F335" i="11"/>
  <c r="CK334" i="11"/>
  <c r="CC334" i="11"/>
  <c r="BL334" i="11"/>
  <c r="BU334" i="11"/>
  <c r="BD334" i="11"/>
  <c r="AV334" i="11"/>
  <c r="AM334" i="11"/>
  <c r="AE334" i="11"/>
  <c r="W334" i="11"/>
  <c r="N334" i="11"/>
  <c r="F334" i="11"/>
  <c r="F330" i="11"/>
  <c r="N330" i="11"/>
  <c r="W330" i="11"/>
  <c r="AE330" i="11"/>
  <c r="AM330" i="11"/>
  <c r="AV330" i="11"/>
  <c r="BD330" i="11"/>
  <c r="BL330" i="11"/>
  <c r="BU330" i="11"/>
  <c r="CC330" i="11"/>
  <c r="CK330" i="11"/>
  <c r="F331" i="11"/>
  <c r="N331" i="11"/>
  <c r="W331" i="11"/>
  <c r="AE331" i="11"/>
  <c r="AM331" i="11"/>
  <c r="AV331" i="11"/>
  <c r="BD331" i="11"/>
  <c r="BL331" i="11"/>
  <c r="BU331" i="11"/>
  <c r="CC331" i="11"/>
  <c r="CK331" i="11"/>
  <c r="F332" i="11"/>
  <c r="N332" i="11"/>
  <c r="W332" i="11"/>
  <c r="AE332" i="11"/>
  <c r="AM332" i="11"/>
  <c r="AV332" i="11"/>
  <c r="BD332" i="11"/>
  <c r="BL332" i="11"/>
  <c r="BU332" i="11"/>
  <c r="CC332" i="11"/>
  <c r="CK332" i="11"/>
  <c r="F333" i="11"/>
  <c r="N333" i="11"/>
  <c r="W333" i="11"/>
  <c r="AE333" i="11"/>
  <c r="AM333" i="11"/>
  <c r="AV333" i="11"/>
  <c r="BD333" i="11"/>
  <c r="BL333" i="11"/>
  <c r="BU333" i="11"/>
  <c r="CC333" i="11"/>
  <c r="CK333" i="11"/>
  <c r="K640" i="13"/>
  <c r="K641" i="13" s="1"/>
  <c r="K642" i="13" s="1"/>
  <c r="K643" i="13" s="1"/>
  <c r="K644" i="13" s="1"/>
  <c r="K645" i="13" s="1"/>
  <c r="K646" i="13" s="1"/>
  <c r="K647" i="13" s="1"/>
  <c r="K648" i="13" s="1"/>
  <c r="K649" i="13" s="1"/>
  <c r="K650" i="13" s="1"/>
  <c r="K651" i="13" s="1"/>
  <c r="K652" i="13" s="1"/>
  <c r="K653" i="13" s="1"/>
  <c r="K654" i="13" s="1"/>
  <c r="K655" i="13" s="1"/>
  <c r="K656" i="13" s="1"/>
  <c r="K657" i="13" s="1"/>
  <c r="K658" i="13" s="1"/>
  <c r="K659" i="13" s="1"/>
  <c r="K660" i="13" s="1"/>
  <c r="K661" i="13" s="1"/>
  <c r="K662" i="13" s="1"/>
  <c r="K663" i="13" s="1"/>
  <c r="K664" i="13" s="1"/>
  <c r="K665" i="13" s="1"/>
  <c r="K666" i="13" s="1"/>
  <c r="K667" i="13" s="1"/>
  <c r="K668" i="13" s="1"/>
  <c r="K669" i="13" s="1"/>
  <c r="K670" i="13" s="1"/>
  <c r="K671" i="13" s="1"/>
  <c r="K672" i="13" s="1"/>
  <c r="K673" i="13" s="1"/>
  <c r="K674" i="13" s="1"/>
  <c r="K675" i="13" s="1"/>
  <c r="K676" i="13" s="1"/>
  <c r="K677" i="13" s="1"/>
  <c r="K678" i="13" s="1"/>
  <c r="K679" i="13" s="1"/>
  <c r="K680" i="13" s="1"/>
  <c r="K681" i="13" s="1"/>
  <c r="K682" i="13" s="1"/>
  <c r="K683" i="13" s="1"/>
  <c r="K684" i="13" s="1"/>
  <c r="K685" i="13" s="1"/>
  <c r="K686" i="13" s="1"/>
  <c r="K687" i="13" s="1"/>
  <c r="K688" i="13" s="1"/>
  <c r="K689" i="13" s="1"/>
  <c r="K690" i="13" s="1"/>
  <c r="K691" i="13" s="1"/>
  <c r="K692" i="13" s="1"/>
  <c r="K693" i="13" s="1"/>
  <c r="K694" i="13" s="1"/>
  <c r="K695" i="13" s="1"/>
  <c r="K696" i="13" s="1"/>
  <c r="K697" i="13" s="1"/>
  <c r="K698" i="13" s="1"/>
  <c r="K699" i="13" s="1"/>
  <c r="K700" i="13" s="1"/>
  <c r="K701" i="13" s="1"/>
  <c r="K702" i="13" s="1"/>
  <c r="K703" i="13" s="1"/>
  <c r="K704" i="13" s="1"/>
  <c r="K705" i="13" s="1"/>
  <c r="K706" i="13" s="1"/>
  <c r="K707" i="13" s="1"/>
  <c r="K708" i="13" s="1"/>
  <c r="K709" i="13" s="1"/>
  <c r="K710" i="13" s="1"/>
  <c r="K711" i="13" s="1"/>
  <c r="K712" i="13" s="1"/>
  <c r="K713" i="13" s="1"/>
  <c r="K714" i="13" s="1"/>
  <c r="K715" i="13" s="1"/>
  <c r="K716" i="13" s="1"/>
  <c r="K717" i="13" s="1"/>
  <c r="K718" i="13" s="1"/>
  <c r="K719" i="13" s="1"/>
  <c r="K720" i="13" s="1"/>
  <c r="K721" i="13" s="1"/>
  <c r="K722" i="13" s="1"/>
  <c r="K723" i="13" s="1"/>
  <c r="K724" i="13" s="1"/>
  <c r="K725" i="13" s="1"/>
  <c r="K726" i="13" s="1"/>
  <c r="K727" i="13" s="1"/>
  <c r="K728" i="13" s="1"/>
  <c r="K729" i="13" s="1"/>
  <c r="K730" i="13" s="1"/>
  <c r="K731" i="13" s="1"/>
  <c r="K732" i="13" s="1"/>
  <c r="K733" i="13" s="1"/>
  <c r="K734" i="13" s="1"/>
  <c r="K735" i="13" s="1"/>
  <c r="K736" i="13" s="1"/>
  <c r="K737" i="13" s="1"/>
  <c r="K738" i="13" s="1"/>
  <c r="K739" i="13" s="1"/>
  <c r="K740" i="13" s="1"/>
  <c r="K741" i="13" s="1"/>
  <c r="K742" i="13" s="1"/>
  <c r="K743" i="13" s="1"/>
  <c r="K744" i="13" s="1"/>
  <c r="K745" i="13" s="1"/>
  <c r="K746" i="13" s="1"/>
  <c r="K747" i="13" s="1"/>
  <c r="K748" i="13" s="1"/>
  <c r="K749" i="13" s="1"/>
  <c r="K750" i="13" s="1"/>
  <c r="K751" i="13" s="1"/>
  <c r="K752" i="13" s="1"/>
  <c r="K753" i="13" s="1"/>
  <c r="K754" i="13" s="1"/>
  <c r="K755" i="13" s="1"/>
  <c r="K756" i="13" s="1"/>
  <c r="K757" i="13" s="1"/>
  <c r="K758" i="13" s="1"/>
  <c r="K759" i="13" s="1"/>
  <c r="K760" i="13" s="1"/>
  <c r="K761" i="13" s="1"/>
  <c r="K762" i="13" s="1"/>
  <c r="K763" i="13" s="1"/>
  <c r="K764" i="13" s="1"/>
  <c r="K765" i="13" s="1"/>
  <c r="K766" i="13" s="1"/>
  <c r="K767" i="13" s="1"/>
  <c r="K768" i="13" s="1"/>
  <c r="K769" i="13" s="1"/>
  <c r="K770" i="13" s="1"/>
  <c r="K771" i="13" s="1"/>
  <c r="K772" i="13" s="1"/>
  <c r="K773" i="13" s="1"/>
  <c r="K774" i="13" s="1"/>
  <c r="K775" i="13" s="1"/>
  <c r="K776" i="13" s="1"/>
  <c r="K777" i="13" s="1"/>
  <c r="K778" i="13" s="1"/>
  <c r="K779" i="13" s="1"/>
  <c r="K780" i="13" s="1"/>
  <c r="K781" i="13" s="1"/>
  <c r="K782" i="13" s="1"/>
  <c r="K783" i="13" s="1"/>
  <c r="K784" i="13" s="1"/>
  <c r="K785" i="13" s="1"/>
  <c r="K786" i="13" s="1"/>
  <c r="K787" i="13" s="1"/>
  <c r="K788" i="13" s="1"/>
  <c r="K789" i="13" s="1"/>
  <c r="K790" i="13" s="1"/>
  <c r="K791" i="13" s="1"/>
  <c r="K792" i="13" s="1"/>
  <c r="K793" i="13" s="1"/>
  <c r="K794" i="13" s="1"/>
  <c r="K795" i="13" s="1"/>
  <c r="K796" i="13" s="1"/>
  <c r="K797" i="13" s="1"/>
  <c r="K798" i="13" s="1"/>
  <c r="K799" i="13" s="1"/>
  <c r="K800" i="13" s="1"/>
  <c r="K801" i="13" s="1"/>
  <c r="K802" i="13" s="1"/>
  <c r="K803" i="13" s="1"/>
  <c r="K804" i="13" s="1"/>
  <c r="K805" i="13" s="1"/>
  <c r="K806" i="13" s="1"/>
  <c r="K807" i="13" s="1"/>
  <c r="K808" i="13" s="1"/>
  <c r="K809" i="13" s="1"/>
  <c r="K810" i="13" s="1"/>
  <c r="K811" i="13" s="1"/>
  <c r="K812" i="13" s="1"/>
  <c r="K813" i="13" s="1"/>
  <c r="K814" i="13" s="1"/>
  <c r="K815" i="13" s="1"/>
  <c r="K816" i="13" s="1"/>
  <c r="K817" i="13" s="1"/>
  <c r="K818" i="13" s="1"/>
  <c r="K819" i="13" s="1"/>
  <c r="K820" i="13" s="1"/>
  <c r="K821" i="13" s="1"/>
  <c r="K822" i="13" s="1"/>
  <c r="K823" i="13" s="1"/>
  <c r="K824" i="13" s="1"/>
  <c r="K825" i="13" s="1"/>
  <c r="K826" i="13" s="1"/>
  <c r="K827" i="13" s="1"/>
  <c r="F329" i="11"/>
  <c r="N329" i="11"/>
  <c r="W329" i="11"/>
  <c r="AE329" i="11"/>
  <c r="AM329" i="11"/>
  <c r="AV329" i="11"/>
  <c r="BD329" i="11"/>
  <c r="BL329" i="11"/>
  <c r="CC329" i="11"/>
  <c r="CK329" i="11"/>
  <c r="C3668" i="3"/>
  <c r="C3669" i="3" s="1"/>
  <c r="C3670" i="3" s="1"/>
  <c r="C3671" i="3" s="1"/>
  <c r="K322" i="15"/>
  <c r="K323" i="15" s="1"/>
  <c r="K324" i="15" s="1"/>
  <c r="K325" i="15" s="1"/>
  <c r="K326" i="15" s="1"/>
  <c r="K327" i="15" s="1"/>
  <c r="K328" i="15" s="1"/>
  <c r="K329" i="15" s="1"/>
  <c r="K330" i="15" s="1"/>
  <c r="K331" i="15" s="1"/>
  <c r="K332" i="15" s="1"/>
  <c r="K333" i="15" s="1"/>
  <c r="K334" i="15" s="1"/>
  <c r="K335" i="15" s="1"/>
  <c r="K336" i="15" s="1"/>
  <c r="K337" i="15" s="1"/>
  <c r="K338" i="15" s="1"/>
  <c r="K339" i="15" s="1"/>
  <c r="K340" i="15" s="1"/>
  <c r="K341" i="15" s="1"/>
  <c r="K342" i="15" s="1"/>
  <c r="K343" i="15" s="1"/>
  <c r="K344" i="15" s="1"/>
  <c r="K345" i="15" s="1"/>
  <c r="K346" i="15" s="1"/>
  <c r="K347" i="15" s="1"/>
  <c r="K348" i="15" s="1"/>
  <c r="K349" i="15" s="1"/>
  <c r="K350" i="15" s="1"/>
  <c r="K351" i="15" s="1"/>
  <c r="K352" i="15" s="1"/>
  <c r="K353" i="15" s="1"/>
  <c r="K354" i="15" s="1"/>
  <c r="K355" i="15" s="1"/>
  <c r="K356" i="15" s="1"/>
  <c r="K357" i="15" s="1"/>
  <c r="K358" i="15" s="1"/>
  <c r="K359" i="15" s="1"/>
  <c r="K360" i="15" s="1"/>
  <c r="K361" i="15" s="1"/>
  <c r="K362" i="15" s="1"/>
  <c r="K363" i="15" s="1"/>
  <c r="K364" i="15" s="1"/>
  <c r="K365" i="15" s="1"/>
  <c r="K366" i="15" s="1"/>
  <c r="K367" i="15" s="1"/>
  <c r="K368" i="15" s="1"/>
  <c r="K369" i="15" s="1"/>
  <c r="K370" i="15" s="1"/>
  <c r="K371" i="15" s="1"/>
  <c r="K372" i="15" s="1"/>
  <c r="K373" i="15" s="1"/>
  <c r="K374" i="15" s="1"/>
  <c r="K375" i="15" s="1"/>
  <c r="K376" i="15" s="1"/>
  <c r="K377" i="15" s="1"/>
  <c r="K378" i="15" s="1"/>
  <c r="K379" i="15" s="1"/>
  <c r="K380" i="15" s="1"/>
  <c r="K381" i="15" s="1"/>
  <c r="K382" i="15" s="1"/>
  <c r="K383" i="15" s="1"/>
  <c r="K384" i="15" s="1"/>
  <c r="K385" i="15" s="1"/>
  <c r="K386" i="15" s="1"/>
  <c r="K387" i="15" s="1"/>
  <c r="K388" i="15" s="1"/>
  <c r="K389" i="15" s="1"/>
  <c r="K390" i="15" s="1"/>
  <c r="K391" i="15" s="1"/>
  <c r="K392" i="15" s="1"/>
  <c r="K393" i="15" s="1"/>
  <c r="K394" i="15" s="1"/>
  <c r="K395" i="15" s="1"/>
  <c r="K396" i="15" s="1"/>
  <c r="K397" i="15" s="1"/>
  <c r="K398" i="15" s="1"/>
  <c r="K399" i="15" s="1"/>
  <c r="K400" i="15" s="1"/>
  <c r="K401" i="15" s="1"/>
  <c r="K402" i="15" s="1"/>
  <c r="K403" i="15" s="1"/>
  <c r="K404" i="15" s="1"/>
  <c r="K405" i="15" s="1"/>
  <c r="K406" i="15" s="1"/>
  <c r="K407" i="15" s="1"/>
  <c r="K408" i="15" s="1"/>
  <c r="K409" i="15" s="1"/>
  <c r="K410" i="15" s="1"/>
  <c r="K411" i="15" s="1"/>
  <c r="K412" i="15" s="1"/>
  <c r="K413" i="15" s="1"/>
  <c r="K414" i="15" s="1"/>
  <c r="K415" i="15" s="1"/>
  <c r="K416" i="15" s="1"/>
  <c r="K417" i="15" s="1"/>
  <c r="K418" i="15" s="1"/>
  <c r="K419" i="15" s="1"/>
  <c r="K420" i="15" s="1"/>
  <c r="K421" i="15" s="1"/>
  <c r="K422" i="15" s="1"/>
  <c r="K423" i="15" s="1"/>
  <c r="K424" i="15" s="1"/>
  <c r="K425" i="15" s="1"/>
  <c r="K426" i="15" s="1"/>
  <c r="K427" i="15" s="1"/>
  <c r="K428" i="15" s="1"/>
  <c r="K429" i="15" s="1"/>
  <c r="K430" i="15" s="1"/>
  <c r="K431" i="15" s="1"/>
  <c r="K432" i="15" s="1"/>
  <c r="K433" i="15" s="1"/>
  <c r="K434" i="15" s="1"/>
  <c r="K435" i="15" s="1"/>
  <c r="K436" i="15" s="1"/>
  <c r="K437" i="15" s="1"/>
  <c r="K438" i="15" s="1"/>
  <c r="K439" i="15" s="1"/>
  <c r="K440" i="15" s="1"/>
  <c r="K441" i="15" s="1"/>
  <c r="K442" i="15" s="1"/>
  <c r="K443" i="15" s="1"/>
  <c r="K444" i="15" s="1"/>
  <c r="K445" i="15" s="1"/>
  <c r="K446" i="15" s="1"/>
  <c r="K447" i="15" s="1"/>
  <c r="K448" i="15" s="1"/>
  <c r="K449" i="15" s="1"/>
  <c r="K450" i="15" s="1"/>
  <c r="K451" i="15" s="1"/>
  <c r="K452" i="15" s="1"/>
  <c r="K453" i="15" s="1"/>
  <c r="K454" i="15" s="1"/>
  <c r="K455" i="15" s="1"/>
  <c r="K456" i="15" s="1"/>
  <c r="K457" i="15" s="1"/>
  <c r="K458" i="15" s="1"/>
  <c r="K459" i="15" s="1"/>
  <c r="K460" i="15" s="1"/>
  <c r="K461" i="15" s="1"/>
  <c r="K462" i="15" s="1"/>
  <c r="K463" i="15" s="1"/>
  <c r="K464" i="15" s="1"/>
  <c r="K465" i="15" s="1"/>
  <c r="K466" i="15" s="1"/>
  <c r="K467" i="15" s="1"/>
  <c r="K468" i="15" s="1"/>
  <c r="K469" i="15" s="1"/>
  <c r="K470" i="15" s="1"/>
  <c r="K471" i="15" s="1"/>
  <c r="K472" i="15" s="1"/>
  <c r="K473" i="15" s="1"/>
  <c r="K474" i="15" s="1"/>
  <c r="K475" i="15" s="1"/>
  <c r="K476" i="15" s="1"/>
  <c r="K477" i="15" s="1"/>
  <c r="K478" i="15" s="1"/>
  <c r="K479" i="15" s="1"/>
  <c r="K480" i="15" s="1"/>
  <c r="K481" i="15" s="1"/>
  <c r="K482" i="15" s="1"/>
  <c r="K483" i="15" s="1"/>
  <c r="K484" i="15" s="1"/>
  <c r="K485" i="15" s="1"/>
  <c r="K486" i="15" s="1"/>
  <c r="K487" i="15" s="1"/>
  <c r="K488" i="15" s="1"/>
  <c r="K489" i="15" s="1"/>
  <c r="K490" i="15" s="1"/>
  <c r="K491" i="15" s="1"/>
  <c r="K492" i="15" s="1"/>
  <c r="K493" i="15" s="1"/>
  <c r="K494" i="15" s="1"/>
  <c r="K495" i="15" s="1"/>
  <c r="K496" i="15" s="1"/>
  <c r="K497" i="15" s="1"/>
  <c r="K498" i="15" s="1"/>
  <c r="K499" i="15" s="1"/>
  <c r="K500" i="15" s="1"/>
  <c r="K501" i="15" s="1"/>
  <c r="K502" i="15" s="1"/>
  <c r="K503" i="15" s="1"/>
  <c r="K504" i="15" s="1"/>
  <c r="K505" i="15" s="1"/>
  <c r="K506" i="15" s="1"/>
  <c r="K507" i="15" s="1"/>
  <c r="K508" i="15" s="1"/>
  <c r="K509" i="15" s="1"/>
  <c r="K510" i="15" s="1"/>
  <c r="K511" i="15" s="1"/>
  <c r="K512" i="15" s="1"/>
  <c r="K513" i="15" s="1"/>
  <c r="K514" i="15" s="1"/>
  <c r="K515" i="15" s="1"/>
  <c r="K516" i="15" s="1"/>
  <c r="K517" i="15" s="1"/>
  <c r="K518" i="15" s="1"/>
  <c r="K519" i="15" s="1"/>
  <c r="K520" i="15" s="1"/>
  <c r="K521" i="15" s="1"/>
  <c r="K522" i="15" s="1"/>
  <c r="K523" i="15" s="1"/>
  <c r="K524" i="15" s="1"/>
  <c r="K525" i="15" s="1"/>
  <c r="K526" i="15" s="1"/>
  <c r="K527" i="15" s="1"/>
  <c r="K528" i="15" s="1"/>
  <c r="K529" i="15" s="1"/>
  <c r="K530" i="15" s="1"/>
  <c r="K531" i="15" s="1"/>
  <c r="K532" i="15" s="1"/>
  <c r="K533" i="15" s="1"/>
  <c r="K534" i="15" s="1"/>
  <c r="K535" i="15" s="1"/>
  <c r="K536" i="15" s="1"/>
  <c r="K537" i="15" s="1"/>
  <c r="K538" i="15" s="1"/>
  <c r="K539" i="15" s="1"/>
  <c r="K540" i="15" s="1"/>
  <c r="K541" i="15" s="1"/>
  <c r="K542" i="15" s="1"/>
  <c r="K543" i="15" s="1"/>
  <c r="K544" i="15" s="1"/>
  <c r="K545" i="15" s="1"/>
  <c r="K546" i="15" s="1"/>
  <c r="K547" i="15" s="1"/>
  <c r="K548" i="15" s="1"/>
  <c r="K549" i="15" s="1"/>
  <c r="K550" i="15" s="1"/>
  <c r="K551" i="15" s="1"/>
  <c r="K552" i="15" s="1"/>
  <c r="K553" i="15" s="1"/>
  <c r="K554" i="15" s="1"/>
  <c r="K555" i="15" s="1"/>
  <c r="K556" i="15" s="1"/>
  <c r="K557" i="15" s="1"/>
  <c r="K558" i="15" s="1"/>
  <c r="K559" i="15" s="1"/>
  <c r="K560" i="15" s="1"/>
  <c r="K561" i="15" s="1"/>
  <c r="K562" i="15" s="1"/>
  <c r="K563" i="15" s="1"/>
  <c r="K564" i="15" s="1"/>
  <c r="K565" i="15" s="1"/>
  <c r="K566" i="15" s="1"/>
  <c r="C3338" i="3"/>
  <c r="CK328" i="11"/>
  <c r="CK327" i="11"/>
  <c r="CC328" i="11"/>
  <c r="CC327" i="11"/>
  <c r="BL328" i="11"/>
  <c r="BU327" i="11"/>
  <c r="BL327" i="11"/>
  <c r="BD328" i="11"/>
  <c r="BD327" i="11"/>
  <c r="AV328" i="11"/>
  <c r="AV327" i="11"/>
  <c r="AM328" i="11"/>
  <c r="AM327" i="11"/>
  <c r="AE328" i="11"/>
  <c r="AE327" i="11"/>
  <c r="W328" i="11"/>
  <c r="W327" i="11"/>
  <c r="N328" i="11"/>
  <c r="N327" i="11"/>
  <c r="F328" i="11"/>
  <c r="F327" i="11"/>
  <c r="F326" i="11"/>
  <c r="N326" i="11"/>
  <c r="W326" i="11"/>
  <c r="AE326" i="11"/>
  <c r="AM326" i="11"/>
  <c r="AV326" i="11"/>
  <c r="BD326" i="11"/>
  <c r="BL326" i="11"/>
  <c r="BU326" i="11"/>
  <c r="CC326" i="11"/>
  <c r="CK326" i="11"/>
  <c r="F324" i="11"/>
  <c r="N324" i="11"/>
  <c r="W324" i="11"/>
  <c r="AE324" i="11"/>
  <c r="AM324" i="11"/>
  <c r="AV324" i="11"/>
  <c r="BD324" i="11"/>
  <c r="BL324" i="11"/>
  <c r="BU324" i="11"/>
  <c r="CC324" i="11"/>
  <c r="CK324" i="11"/>
  <c r="F325" i="11"/>
  <c r="N325" i="11"/>
  <c r="W325" i="11"/>
  <c r="AE325" i="11"/>
  <c r="AM325" i="11"/>
  <c r="AV325" i="11"/>
  <c r="BD325" i="11"/>
  <c r="BL325" i="11"/>
  <c r="BU325" i="11"/>
  <c r="CC325" i="11"/>
  <c r="CK325" i="11"/>
  <c r="F323" i="11"/>
  <c r="N323" i="11"/>
  <c r="W323" i="11"/>
  <c r="AE323" i="11"/>
  <c r="AM323" i="11"/>
  <c r="AV323" i="11"/>
  <c r="BD323" i="11"/>
  <c r="BL323" i="11"/>
  <c r="BU323" i="11"/>
  <c r="CC323" i="11"/>
  <c r="CK323" i="11"/>
  <c r="F321" i="11"/>
  <c r="N321" i="11"/>
  <c r="W321" i="11"/>
  <c r="AE321" i="11"/>
  <c r="AM321" i="11"/>
  <c r="AV321" i="11"/>
  <c r="BD321" i="11"/>
  <c r="BL321" i="11"/>
  <c r="BU321" i="11"/>
  <c r="CC321" i="11"/>
  <c r="CK321" i="11"/>
  <c r="F322" i="11"/>
  <c r="N322" i="11"/>
  <c r="W322" i="11"/>
  <c r="AE322" i="11"/>
  <c r="AM322" i="11"/>
  <c r="AV322" i="11"/>
  <c r="BD322" i="11"/>
  <c r="BL322" i="11"/>
  <c r="BU322" i="11"/>
  <c r="CC322" i="11"/>
  <c r="CK322" i="11"/>
  <c r="F320" i="11"/>
  <c r="N320" i="11"/>
  <c r="W320" i="11"/>
  <c r="AE320" i="11"/>
  <c r="AM320" i="11"/>
  <c r="AV320" i="11"/>
  <c r="BD320" i="11"/>
  <c r="BL320" i="11"/>
  <c r="BU320" i="11"/>
  <c r="CC320" i="11"/>
  <c r="CK320" i="11"/>
  <c r="F319" i="11"/>
  <c r="N319" i="11"/>
  <c r="W319" i="11"/>
  <c r="AE319" i="11"/>
  <c r="AM319" i="11"/>
  <c r="AV319" i="11"/>
  <c r="BD319" i="11"/>
  <c r="BL319" i="11"/>
  <c r="BU319" i="11"/>
  <c r="CC319" i="11"/>
  <c r="CK319" i="11"/>
  <c r="F317" i="11"/>
  <c r="N317" i="11"/>
  <c r="W317" i="11"/>
  <c r="AE317" i="11"/>
  <c r="AM317" i="11"/>
  <c r="AV317" i="11"/>
  <c r="BD317" i="11"/>
  <c r="BL317" i="11"/>
  <c r="BU317" i="11"/>
  <c r="CC317" i="11"/>
  <c r="CK317" i="11"/>
  <c r="F318" i="11"/>
  <c r="N318" i="11"/>
  <c r="W318" i="11"/>
  <c r="AE318" i="11"/>
  <c r="AM318" i="11"/>
  <c r="AV318" i="11"/>
  <c r="BD318" i="11"/>
  <c r="BL318" i="11"/>
  <c r="BU318" i="11"/>
  <c r="CC318" i="11"/>
  <c r="CK318" i="11"/>
  <c r="F316" i="11"/>
  <c r="N316" i="11"/>
  <c r="W316" i="11"/>
  <c r="AE316" i="11"/>
  <c r="AM316" i="11"/>
  <c r="AV316" i="11"/>
  <c r="BD316" i="11"/>
  <c r="BL316" i="11"/>
  <c r="BU316" i="11"/>
  <c r="CC316" i="11"/>
  <c r="CK316" i="11"/>
  <c r="F315" i="11"/>
  <c r="N315" i="11"/>
  <c r="W315" i="11"/>
  <c r="AE315" i="11"/>
  <c r="AM315" i="11"/>
  <c r="AV315" i="11"/>
  <c r="BD315" i="11"/>
  <c r="BL315" i="11"/>
  <c r="BU315" i="11"/>
  <c r="CC315" i="11"/>
  <c r="CK315" i="11"/>
  <c r="F314" i="11"/>
  <c r="N314" i="11"/>
  <c r="W314" i="11"/>
  <c r="AE314" i="11"/>
  <c r="AM314" i="11"/>
  <c r="AV314" i="11"/>
  <c r="BD314" i="11"/>
  <c r="BL314" i="11"/>
  <c r="BU314" i="11"/>
  <c r="CC314" i="11"/>
  <c r="CK314" i="11"/>
  <c r="C358" i="31"/>
  <c r="C359" i="31" s="1"/>
  <c r="C360" i="31" s="1"/>
  <c r="C361" i="31" s="1"/>
  <c r="C362" i="31" s="1"/>
  <c r="C363" i="31" s="1"/>
  <c r="C364" i="31" s="1"/>
  <c r="C365" i="31" s="1"/>
  <c r="C366" i="31" s="1"/>
  <c r="C367" i="31" s="1"/>
  <c r="C368" i="31" s="1"/>
  <c r="C369" i="31" s="1"/>
  <c r="C371" i="31" s="1"/>
  <c r="O4" i="3"/>
  <c r="F313" i="11"/>
  <c r="N313" i="11"/>
  <c r="W313" i="11"/>
  <c r="AE313" i="11"/>
  <c r="AM313" i="11"/>
  <c r="AV313" i="11"/>
  <c r="BD313" i="11"/>
  <c r="BL313" i="11"/>
  <c r="BU313" i="11"/>
  <c r="CC313" i="11"/>
  <c r="CK313" i="11"/>
  <c r="C325" i="31"/>
  <c r="C326" i="31" s="1"/>
  <c r="C327" i="31" s="1"/>
  <c r="C328" i="31" s="1"/>
  <c r="C336" i="31"/>
  <c r="C337" i="31" s="1"/>
  <c r="C338" i="31" s="1"/>
  <c r="C339" i="31" s="1"/>
  <c r="C340" i="31" s="1"/>
  <c r="C303" i="31"/>
  <c r="F311" i="11"/>
  <c r="N311" i="11"/>
  <c r="W311" i="11"/>
  <c r="AE311" i="11"/>
  <c r="AM311" i="11"/>
  <c r="AV311" i="11"/>
  <c r="BD311" i="11"/>
  <c r="BL311" i="11"/>
  <c r="BU311" i="11"/>
  <c r="CC311" i="11"/>
  <c r="CK311" i="11"/>
  <c r="F312" i="11"/>
  <c r="N312" i="11"/>
  <c r="W312" i="11"/>
  <c r="AE312" i="11"/>
  <c r="AM312" i="11"/>
  <c r="AV312" i="11"/>
  <c r="BD312" i="11"/>
  <c r="BL312" i="11"/>
  <c r="BU312" i="11"/>
  <c r="CC312" i="11"/>
  <c r="CK312" i="11"/>
  <c r="N308" i="11"/>
  <c r="F7" i="11"/>
  <c r="BU307" i="11"/>
  <c r="BU306" i="11"/>
  <c r="AM306" i="11"/>
  <c r="F306" i="11"/>
  <c r="BU309" i="11"/>
  <c r="AM309" i="11"/>
  <c r="F309" i="11"/>
  <c r="BL307" i="11"/>
  <c r="AE307" i="11"/>
  <c r="CK308" i="11"/>
  <c r="BD308" i="11"/>
  <c r="W308" i="11"/>
  <c r="CC306" i="11"/>
  <c r="CC309" i="11"/>
  <c r="N309" i="11"/>
  <c r="F307" i="11"/>
  <c r="AE308" i="11"/>
  <c r="BL306" i="11"/>
  <c r="AE306" i="11"/>
  <c r="BL309" i="11"/>
  <c r="AE309" i="11"/>
  <c r="CK307" i="11"/>
  <c r="BD307" i="11"/>
  <c r="W307" i="11"/>
  <c r="CC308" i="11"/>
  <c r="AV308" i="11"/>
  <c r="AE310" i="11"/>
  <c r="BL310" i="11"/>
  <c r="W310" i="11"/>
  <c r="AM310" i="11"/>
  <c r="BU310" i="11"/>
  <c r="N310" i="11"/>
  <c r="AV310" i="11"/>
  <c r="CC310" i="11"/>
  <c r="F310" i="11"/>
  <c r="CK310" i="11"/>
  <c r="BD310" i="11"/>
  <c r="AV306" i="11"/>
  <c r="N306" i="11"/>
  <c r="AV309" i="11"/>
  <c r="AM307" i="11"/>
  <c r="BL308" i="11"/>
  <c r="CK306" i="11"/>
  <c r="BD306" i="11"/>
  <c r="W306" i="11"/>
  <c r="CK309" i="11"/>
  <c r="BD309" i="11"/>
  <c r="W309" i="11"/>
  <c r="CC307" i="11"/>
  <c r="AV307" i="11"/>
  <c r="N307" i="11"/>
  <c r="BU308" i="11"/>
  <c r="AM308" i="11"/>
  <c r="F308" i="11"/>
  <c r="AS2" i="11"/>
  <c r="N58" i="4"/>
  <c r="K157" i="3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K233" i="31" s="1"/>
  <c r="K234" i="31" s="1"/>
  <c r="K235" i="31" s="1"/>
  <c r="K236" i="31" s="1"/>
  <c r="K237" i="31" s="1"/>
  <c r="K238" i="31" s="1"/>
  <c r="K239" i="31" s="1"/>
  <c r="K240" i="31" s="1"/>
  <c r="K241" i="31" s="1"/>
  <c r="K242" i="31" s="1"/>
  <c r="K243" i="31" s="1"/>
  <c r="K244" i="31" s="1"/>
  <c r="K245" i="31" s="1"/>
  <c r="K246" i="31" s="1"/>
  <c r="K247" i="31" s="1"/>
  <c r="K248" i="31" s="1"/>
  <c r="K249" i="31" s="1"/>
  <c r="K250" i="31" s="1"/>
  <c r="K251" i="31" s="1"/>
  <c r="K252" i="31" s="1"/>
  <c r="K253" i="31" s="1"/>
  <c r="K254" i="31" s="1"/>
  <c r="K255" i="31" s="1"/>
  <c r="K256" i="31" s="1"/>
  <c r="K257" i="31" s="1"/>
  <c r="K258" i="31" s="1"/>
  <c r="K259" i="31" s="1"/>
  <c r="K260" i="31" s="1"/>
  <c r="K261" i="31" s="1"/>
  <c r="K262" i="31" s="1"/>
  <c r="K263" i="31" s="1"/>
  <c r="K264" i="31" s="1"/>
  <c r="K265" i="31" s="1"/>
  <c r="K266" i="31" s="1"/>
  <c r="K267" i="31" s="1"/>
  <c r="K268" i="31" s="1"/>
  <c r="K269" i="31" s="1"/>
  <c r="K270" i="31" s="1"/>
  <c r="K271" i="31" s="1"/>
  <c r="K272" i="31" s="1"/>
  <c r="K273" i="31" s="1"/>
  <c r="K274" i="31" s="1"/>
  <c r="K275" i="31" s="1"/>
  <c r="K276" i="31" s="1"/>
  <c r="K277" i="31" s="1"/>
  <c r="K278" i="31" s="1"/>
  <c r="K279" i="31" s="1"/>
  <c r="K280" i="31" s="1"/>
  <c r="K281" i="31" s="1"/>
  <c r="K282" i="31" s="1"/>
  <c r="K283" i="31" s="1"/>
  <c r="K284" i="31" s="1"/>
  <c r="K285" i="31" s="1"/>
  <c r="K286" i="31" s="1"/>
  <c r="K287" i="31" s="1"/>
  <c r="K288" i="31" s="1"/>
  <c r="K289" i="31" s="1"/>
  <c r="K290" i="31" s="1"/>
  <c r="K291" i="31" s="1"/>
  <c r="K292" i="31" s="1"/>
  <c r="K293" i="31" s="1"/>
  <c r="K294" i="31" s="1"/>
  <c r="K295" i="31" s="1"/>
  <c r="K296" i="31" s="1"/>
  <c r="K297" i="31" s="1"/>
  <c r="K298" i="31" s="1"/>
  <c r="K299" i="31" s="1"/>
  <c r="K300" i="31" s="1"/>
  <c r="K301" i="31" s="1"/>
  <c r="K302" i="31" s="1"/>
  <c r="K303" i="31" s="1"/>
  <c r="K304" i="31" s="1"/>
  <c r="K305" i="31" s="1"/>
  <c r="K306" i="31" s="1"/>
  <c r="K307" i="31" s="1"/>
  <c r="K308" i="31" s="1"/>
  <c r="K309" i="31" s="1"/>
  <c r="K310" i="31" s="1"/>
  <c r="K311" i="31" s="1"/>
  <c r="K312" i="31" s="1"/>
  <c r="K313" i="31" s="1"/>
  <c r="K314" i="31" s="1"/>
  <c r="K315" i="31" s="1"/>
  <c r="K316" i="31" s="1"/>
  <c r="K317" i="31" s="1"/>
  <c r="K318" i="31" s="1"/>
  <c r="K319" i="31" s="1"/>
  <c r="K320" i="31" s="1"/>
  <c r="K321" i="31" s="1"/>
  <c r="K322" i="31" s="1"/>
  <c r="K323" i="31" s="1"/>
  <c r="K324" i="31" s="1"/>
  <c r="K325" i="31" s="1"/>
  <c r="K326" i="31" s="1"/>
  <c r="K327" i="31" s="1"/>
  <c r="K328" i="31" s="1"/>
  <c r="K329" i="31" s="1"/>
  <c r="K330" i="31" s="1"/>
  <c r="K331" i="31" s="1"/>
  <c r="K332" i="31" s="1"/>
  <c r="K333" i="31" s="1"/>
  <c r="K334" i="31" s="1"/>
  <c r="K335" i="31" s="1"/>
  <c r="K336" i="31" s="1"/>
  <c r="K337" i="31" s="1"/>
  <c r="K338" i="31" s="1"/>
  <c r="K339" i="31" s="1"/>
  <c r="K340" i="31" s="1"/>
  <c r="K341" i="31" s="1"/>
  <c r="K342" i="31" s="1"/>
  <c r="K343" i="31" s="1"/>
  <c r="K344" i="31" s="1"/>
  <c r="K345" i="31" s="1"/>
  <c r="K346" i="31" s="1"/>
  <c r="K347" i="31" s="1"/>
  <c r="K348" i="31" s="1"/>
  <c r="K349" i="31" s="1"/>
  <c r="K350" i="31" s="1"/>
  <c r="K351" i="31" s="1"/>
  <c r="K352" i="31" s="1"/>
  <c r="K353" i="31" s="1"/>
  <c r="K354" i="31" s="1"/>
  <c r="K355" i="31" s="1"/>
  <c r="K356" i="31" s="1"/>
  <c r="K357" i="31" s="1"/>
  <c r="K358" i="31" s="1"/>
  <c r="K359" i="31" s="1"/>
  <c r="K360" i="31" s="1"/>
  <c r="K361" i="31" s="1"/>
  <c r="K362" i="31" s="1"/>
  <c r="K363" i="31" s="1"/>
  <c r="K364" i="31" s="1"/>
  <c r="K365" i="31" s="1"/>
  <c r="K366" i="31" s="1"/>
  <c r="K367" i="31" s="1"/>
  <c r="K368" i="31" s="1"/>
  <c r="K369" i="31" s="1"/>
  <c r="K370" i="31" s="1"/>
  <c r="K371" i="31" s="1"/>
  <c r="K372" i="31" s="1"/>
  <c r="K373" i="31" s="1"/>
  <c r="K374" i="31" s="1"/>
  <c r="K375" i="31" s="1"/>
  <c r="K376" i="31" s="1"/>
  <c r="K377" i="31" s="1"/>
  <c r="K378" i="31" s="1"/>
  <c r="K379" i="31" s="1"/>
  <c r="K380" i="31" s="1"/>
  <c r="K381" i="31" s="1"/>
  <c r="K382" i="31" s="1"/>
  <c r="K383" i="31" s="1"/>
  <c r="K384" i="31" s="1"/>
  <c r="K385" i="31" s="1"/>
  <c r="K386" i="31" s="1"/>
  <c r="K387" i="31" s="1"/>
  <c r="K388" i="31" s="1"/>
  <c r="K389" i="31" s="1"/>
  <c r="K390" i="31" s="1"/>
  <c r="K391" i="31" s="1"/>
  <c r="K392" i="31" s="1"/>
  <c r="K393" i="31" s="1"/>
  <c r="K394" i="31" s="1"/>
  <c r="K395" i="31" s="1"/>
  <c r="K396" i="31" s="1"/>
  <c r="K397" i="31" s="1"/>
  <c r="K398" i="31" s="1"/>
  <c r="K399" i="31" s="1"/>
  <c r="K400" i="31" s="1"/>
  <c r="K401" i="31" s="1"/>
  <c r="K402" i="31" s="1"/>
  <c r="K403" i="31" s="1"/>
  <c r="K404" i="31" s="1"/>
  <c r="K405" i="31" s="1"/>
  <c r="K406" i="31" s="1"/>
  <c r="K407" i="31" s="1"/>
  <c r="K408" i="31" s="1"/>
  <c r="K409" i="31" s="1"/>
  <c r="K410" i="31" s="1"/>
  <c r="K411" i="31" s="1"/>
  <c r="K412" i="31" s="1"/>
  <c r="K413" i="31" s="1"/>
  <c r="K414" i="31" s="1"/>
  <c r="K415" i="31" s="1"/>
  <c r="K416" i="31" s="1"/>
  <c r="K417" i="31" s="1"/>
  <c r="K418" i="31" s="1"/>
  <c r="K419" i="31" s="1"/>
  <c r="K420" i="31" s="1"/>
  <c r="K421" i="31" s="1"/>
  <c r="K422" i="31" s="1"/>
  <c r="K423" i="31" s="1"/>
  <c r="K424" i="31" s="1"/>
  <c r="K425" i="31" s="1"/>
  <c r="K426" i="31" s="1"/>
  <c r="K427" i="31" s="1"/>
  <c r="K428" i="31" s="1"/>
  <c r="K429" i="31" s="1"/>
  <c r="K430" i="31" s="1"/>
  <c r="K431" i="31" s="1"/>
  <c r="K432" i="31" s="1"/>
  <c r="K433" i="31" s="1"/>
  <c r="K434" i="31" s="1"/>
  <c r="K435" i="31" s="1"/>
  <c r="K436" i="31" s="1"/>
  <c r="K437" i="31" s="1"/>
  <c r="K438" i="31" s="1"/>
  <c r="K439" i="31" s="1"/>
  <c r="K440" i="31" s="1"/>
  <c r="K441" i="31" s="1"/>
  <c r="K442" i="31" s="1"/>
  <c r="K443" i="31" s="1"/>
  <c r="K444" i="31" s="1"/>
  <c r="K445" i="31" s="1"/>
  <c r="K446" i="31" s="1"/>
  <c r="K447" i="31" s="1"/>
  <c r="K448" i="31" s="1"/>
  <c r="K449" i="31" s="1"/>
  <c r="K450" i="31" s="1"/>
  <c r="K451" i="31" s="1"/>
  <c r="K452" i="31" s="1"/>
  <c r="K453" i="31" s="1"/>
  <c r="K454" i="31" s="1"/>
  <c r="K455" i="31" s="1"/>
  <c r="K456" i="31" s="1"/>
  <c r="K457" i="31" s="1"/>
  <c r="K458" i="31" s="1"/>
  <c r="K459" i="31" s="1"/>
  <c r="K460" i="31" s="1"/>
  <c r="K461" i="31" s="1"/>
  <c r="K462" i="31" s="1"/>
  <c r="K463" i="31" s="1"/>
  <c r="K464" i="31" s="1"/>
  <c r="K465" i="31" s="1"/>
  <c r="K466" i="31" s="1"/>
  <c r="K467" i="31" s="1"/>
  <c r="K468" i="31" s="1"/>
  <c r="K469" i="31" s="1"/>
  <c r="K470" i="31" s="1"/>
  <c r="K471" i="31" s="1"/>
  <c r="K472" i="31" s="1"/>
  <c r="K473" i="31" s="1"/>
  <c r="K474" i="31" s="1"/>
  <c r="K475" i="31" s="1"/>
  <c r="K476" i="31" s="1"/>
  <c r="K477" i="31" s="1"/>
  <c r="K478" i="31" s="1"/>
  <c r="K479" i="31" s="1"/>
  <c r="K480" i="31" s="1"/>
  <c r="K481" i="31" s="1"/>
  <c r="K482" i="31" s="1"/>
  <c r="K483" i="31" s="1"/>
  <c r="K484" i="31" s="1"/>
  <c r="K485" i="31" s="1"/>
  <c r="K486" i="31" s="1"/>
  <c r="K487" i="31" s="1"/>
  <c r="K488" i="31" s="1"/>
  <c r="K489" i="31" s="1"/>
  <c r="K490" i="31" s="1"/>
  <c r="K491" i="31" s="1"/>
  <c r="K492" i="31" s="1"/>
  <c r="K493" i="31" s="1"/>
  <c r="K494" i="31" s="1"/>
  <c r="K495" i="31" s="1"/>
  <c r="K496" i="31" s="1"/>
  <c r="K497" i="31" s="1"/>
  <c r="K498" i="31" s="1"/>
  <c r="K499" i="31" s="1"/>
  <c r="K500" i="31" s="1"/>
  <c r="K501" i="31" s="1"/>
  <c r="K502" i="31" s="1"/>
  <c r="K503" i="31" s="1"/>
  <c r="K504" i="31" s="1"/>
  <c r="K505" i="31" s="1"/>
  <c r="K506" i="31" s="1"/>
  <c r="K507" i="31" s="1"/>
  <c r="K508" i="31" s="1"/>
  <c r="K509" i="31" s="1"/>
  <c r="K510" i="31" s="1"/>
  <c r="K511" i="31" s="1"/>
  <c r="K512" i="31" s="1"/>
  <c r="K513" i="31" s="1"/>
  <c r="K514" i="31" s="1"/>
  <c r="K515" i="31" s="1"/>
  <c r="K516" i="31" s="1"/>
  <c r="K517" i="31" s="1"/>
  <c r="K518" i="31" s="1"/>
  <c r="K519" i="31" s="1"/>
  <c r="K520" i="31" s="1"/>
  <c r="K521" i="31" s="1"/>
  <c r="K522" i="31" s="1"/>
  <c r="K523" i="31" s="1"/>
  <c r="K524" i="31" s="1"/>
  <c r="K525" i="31" s="1"/>
  <c r="K526" i="31" s="1"/>
  <c r="K527" i="31" s="1"/>
  <c r="K528" i="31" s="1"/>
  <c r="K529" i="31" s="1"/>
  <c r="K530" i="31" s="1"/>
  <c r="K531" i="31" s="1"/>
  <c r="K532" i="31" s="1"/>
  <c r="K533" i="31" s="1"/>
  <c r="K534" i="31" s="1"/>
  <c r="K535" i="31" s="1"/>
  <c r="K536" i="31" s="1"/>
  <c r="K537" i="31" s="1"/>
  <c r="K538" i="31" s="1"/>
  <c r="K539" i="31" s="1"/>
  <c r="K540" i="31" s="1"/>
  <c r="K541" i="31" s="1"/>
  <c r="K542" i="31" s="1"/>
  <c r="K543" i="31" s="1"/>
  <c r="K544" i="31" s="1"/>
  <c r="K545" i="31" s="1"/>
  <c r="K546" i="31" s="1"/>
  <c r="K547" i="31" s="1"/>
  <c r="K548" i="31" s="1"/>
  <c r="K549" i="31" s="1"/>
  <c r="K550" i="31" s="1"/>
  <c r="K551" i="31" s="1"/>
  <c r="K552" i="31" s="1"/>
  <c r="K553" i="31" s="1"/>
  <c r="K554" i="31" s="1"/>
  <c r="K555" i="31" s="1"/>
  <c r="K556" i="31" s="1"/>
  <c r="K557" i="31" s="1"/>
  <c r="K558" i="31" s="1"/>
  <c r="K559" i="31" s="1"/>
  <c r="K560" i="31" s="1"/>
  <c r="K561" i="31" s="1"/>
  <c r="K562" i="31" s="1"/>
  <c r="K563" i="31" s="1"/>
  <c r="K564" i="31" s="1"/>
  <c r="K565" i="31" s="1"/>
  <c r="K566" i="31" s="1"/>
  <c r="K567" i="31" s="1"/>
  <c r="K568" i="31" s="1"/>
  <c r="K569" i="31" s="1"/>
  <c r="K570" i="31" s="1"/>
  <c r="K571" i="31" s="1"/>
  <c r="K572" i="31" s="1"/>
  <c r="K573" i="31" s="1"/>
  <c r="K574" i="31" s="1"/>
  <c r="K575" i="31" s="1"/>
  <c r="K576" i="31" s="1"/>
  <c r="K577" i="31" s="1"/>
  <c r="K578" i="31" s="1"/>
  <c r="K579" i="31" s="1"/>
  <c r="K580" i="31" s="1"/>
  <c r="K581" i="31" s="1"/>
  <c r="K582" i="31" s="1"/>
  <c r="K583" i="31" s="1"/>
  <c r="K584" i="31" s="1"/>
  <c r="K585" i="31" s="1"/>
  <c r="K586" i="31" s="1"/>
  <c r="K587" i="31" s="1"/>
  <c r="K588" i="31" s="1"/>
  <c r="K589" i="31" s="1"/>
  <c r="K590" i="31" s="1"/>
  <c r="K591" i="31" s="1"/>
  <c r="K592" i="31" s="1"/>
  <c r="K593" i="31" s="1"/>
  <c r="K594" i="31" s="1"/>
  <c r="K595" i="31" s="1"/>
  <c r="K596" i="31" s="1"/>
  <c r="K597" i="31" s="1"/>
  <c r="K598" i="31" s="1"/>
  <c r="K599" i="31" s="1"/>
  <c r="K600" i="31" s="1"/>
  <c r="K601" i="31" s="1"/>
  <c r="K602" i="31" s="1"/>
  <c r="K603" i="31" s="1"/>
  <c r="K604" i="31" s="1"/>
  <c r="K605" i="31" s="1"/>
  <c r="K606" i="31" s="1"/>
  <c r="K607" i="31" s="1"/>
  <c r="K608" i="31" s="1"/>
  <c r="K609" i="31" s="1"/>
  <c r="K610" i="31" s="1"/>
  <c r="K611" i="31" s="1"/>
  <c r="K612" i="31" s="1"/>
  <c r="K613" i="31" s="1"/>
  <c r="K614" i="31" s="1"/>
  <c r="K615" i="31" s="1"/>
  <c r="K616" i="31" s="1"/>
  <c r="K617" i="31" s="1"/>
  <c r="K618" i="31" s="1"/>
  <c r="K619" i="31" s="1"/>
  <c r="K620" i="31" s="1"/>
  <c r="K621" i="31" s="1"/>
  <c r="K622" i="31" s="1"/>
  <c r="K623" i="31" s="1"/>
  <c r="K624" i="31" s="1"/>
  <c r="K625" i="31" s="1"/>
  <c r="K626" i="31" s="1"/>
  <c r="K627" i="31" s="1"/>
  <c r="K628" i="31" s="1"/>
  <c r="K629" i="31" s="1"/>
  <c r="K630" i="31" s="1"/>
  <c r="K631" i="31" s="1"/>
  <c r="K632" i="31" s="1"/>
  <c r="K633" i="31" s="1"/>
  <c r="K634" i="31" s="1"/>
  <c r="K635" i="31" s="1"/>
  <c r="K636" i="31" s="1"/>
  <c r="K637" i="31" s="1"/>
  <c r="K638" i="31" s="1"/>
  <c r="K639" i="31" s="1"/>
  <c r="K640" i="31" s="1"/>
  <c r="K641" i="31" s="1"/>
  <c r="K642" i="31" s="1"/>
  <c r="K643" i="31" s="1"/>
  <c r="K644" i="31" s="1"/>
  <c r="K645" i="31" s="1"/>
  <c r="K646" i="31" s="1"/>
  <c r="K647" i="31" s="1"/>
  <c r="K648" i="31" s="1"/>
  <c r="K649" i="31" s="1"/>
  <c r="K650" i="31" s="1"/>
  <c r="K651" i="31" s="1"/>
  <c r="K652" i="31" s="1"/>
  <c r="K653" i="31" s="1"/>
  <c r="K654" i="31" s="1"/>
  <c r="K655" i="31" s="1"/>
  <c r="K656" i="31" s="1"/>
  <c r="K657" i="31" s="1"/>
  <c r="K658" i="31" s="1"/>
  <c r="K659" i="31" s="1"/>
  <c r="K660" i="31" s="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K671" i="31" s="1"/>
  <c r="K672" i="31" s="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K683" i="31" s="1"/>
  <c r="K684" i="31" s="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K695" i="31" s="1"/>
  <c r="K696" i="31" s="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K707" i="31" s="1"/>
  <c r="K708" i="31" s="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K719" i="31" s="1"/>
  <c r="K720" i="31" s="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K731" i="31" s="1"/>
  <c r="K732" i="31" s="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K743" i="31" s="1"/>
  <c r="K744" i="31" s="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K755" i="31" s="1"/>
  <c r="K756" i="31" s="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K767" i="31" s="1"/>
  <c r="K768" i="31" s="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K779" i="31" s="1"/>
  <c r="K780" i="31" s="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K791" i="31" s="1"/>
  <c r="K792" i="31" s="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K803" i="31" s="1"/>
  <c r="K804" i="31" s="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K815" i="31" s="1"/>
  <c r="K816" i="31" s="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K827" i="31" s="1"/>
  <c r="K828" i="31" s="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K839" i="31" s="1"/>
  <c r="K840" i="31" s="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K851" i="31" s="1"/>
  <c r="K852" i="31" s="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K863" i="31" s="1"/>
  <c r="K864" i="31" s="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K875" i="31" s="1"/>
  <c r="K876" i="31" s="1"/>
  <c r="K877" i="31" s="1"/>
  <c r="K878" i="31" s="1"/>
  <c r="K879" i="31" s="1"/>
  <c r="K880" i="31" s="1"/>
  <c r="K881" i="31" s="1"/>
  <c r="K882" i="31" s="1"/>
  <c r="F305" i="11"/>
  <c r="N305" i="11"/>
  <c r="W305" i="11"/>
  <c r="AE305" i="11"/>
  <c r="AM305" i="11"/>
  <c r="AV305" i="11"/>
  <c r="BD305" i="11"/>
  <c r="BL305" i="11"/>
  <c r="BU305" i="11"/>
  <c r="CC305" i="11"/>
  <c r="CK305" i="11"/>
  <c r="F304" i="11"/>
  <c r="N304" i="11"/>
  <c r="W304" i="11"/>
  <c r="AE304" i="11"/>
  <c r="AM304" i="11"/>
  <c r="AV304" i="11"/>
  <c r="BD304" i="11"/>
  <c r="BL304" i="11"/>
  <c r="BU304" i="11"/>
  <c r="CC304" i="11"/>
  <c r="CK304" i="11"/>
  <c r="F303" i="11"/>
  <c r="N303" i="11"/>
  <c r="W303" i="11"/>
  <c r="AE303" i="11"/>
  <c r="AM303" i="11"/>
  <c r="AV303" i="11"/>
  <c r="BD303" i="11"/>
  <c r="BL303" i="11"/>
  <c r="BU303" i="11"/>
  <c r="CC303" i="11"/>
  <c r="CK303" i="11"/>
  <c r="F302" i="11"/>
  <c r="N302" i="11"/>
  <c r="W302" i="11"/>
  <c r="AE302" i="11"/>
  <c r="AM302" i="11"/>
  <c r="AV302" i="11"/>
  <c r="BD302" i="11"/>
  <c r="BL302" i="11"/>
  <c r="BU302" i="11"/>
  <c r="CC302" i="11"/>
  <c r="CK302" i="11"/>
  <c r="F301" i="11"/>
  <c r="N301" i="11"/>
  <c r="W301" i="11"/>
  <c r="AE301" i="11"/>
  <c r="AM301" i="11"/>
  <c r="AV301" i="11"/>
  <c r="BD301" i="11"/>
  <c r="BL301" i="11"/>
  <c r="BU301" i="11"/>
  <c r="CC301" i="11"/>
  <c r="CK301" i="11"/>
  <c r="F300" i="11"/>
  <c r="N300" i="11"/>
  <c r="W300" i="11"/>
  <c r="AE300" i="11"/>
  <c r="AM300" i="11"/>
  <c r="AV300" i="11"/>
  <c r="BD300" i="11"/>
  <c r="BL300" i="11"/>
  <c r="BU300" i="11"/>
  <c r="CC300" i="11"/>
  <c r="CK300" i="11"/>
  <c r="F299" i="11"/>
  <c r="N299" i="11"/>
  <c r="W299" i="11"/>
  <c r="AE299" i="11"/>
  <c r="AM299" i="11"/>
  <c r="AV299" i="11"/>
  <c r="BD299" i="11"/>
  <c r="BL299" i="11"/>
  <c r="BU299" i="11"/>
  <c r="CC299" i="11"/>
  <c r="CK299" i="11"/>
  <c r="F182" i="11"/>
  <c r="F298" i="11"/>
  <c r="N298" i="11"/>
  <c r="W298" i="11"/>
  <c r="AE298" i="11"/>
  <c r="AM298" i="11"/>
  <c r="AV298" i="11"/>
  <c r="BD298" i="11"/>
  <c r="BL298" i="11"/>
  <c r="BU298" i="11"/>
  <c r="CC298" i="11"/>
  <c r="CK298" i="11"/>
  <c r="F297" i="11"/>
  <c r="N297" i="11"/>
  <c r="W297" i="11"/>
  <c r="AE297" i="11"/>
  <c r="AM297" i="11"/>
  <c r="AV297" i="11"/>
  <c r="BD297" i="11"/>
  <c r="BL297" i="11"/>
  <c r="BU297" i="11"/>
  <c r="CC297" i="11"/>
  <c r="CK297" i="11"/>
  <c r="F296" i="11"/>
  <c r="N296" i="11"/>
  <c r="W296" i="11"/>
  <c r="AE296" i="11"/>
  <c r="AM296" i="11"/>
  <c r="AV296" i="11"/>
  <c r="BD296" i="11"/>
  <c r="BL296" i="11"/>
  <c r="BU296" i="11"/>
  <c r="CC296" i="11"/>
  <c r="CK296" i="11"/>
  <c r="F295" i="11"/>
  <c r="N295" i="11"/>
  <c r="W295" i="11"/>
  <c r="AE295" i="11"/>
  <c r="AM295" i="11"/>
  <c r="AV295" i="11"/>
  <c r="BD295" i="11"/>
  <c r="BL295" i="11"/>
  <c r="BU295" i="11"/>
  <c r="CC295" i="11"/>
  <c r="CK295" i="11"/>
  <c r="F294" i="11"/>
  <c r="N294" i="11"/>
  <c r="W294" i="11"/>
  <c r="AE294" i="11"/>
  <c r="AM294" i="11"/>
  <c r="AV294" i="11"/>
  <c r="BD294" i="11"/>
  <c r="BL294" i="11"/>
  <c r="BU294" i="11"/>
  <c r="CC294" i="11"/>
  <c r="CK294" i="11"/>
  <c r="N11" i="11"/>
  <c r="N19" i="11"/>
  <c r="N27" i="11"/>
  <c r="N35" i="11"/>
  <c r="N43" i="11"/>
  <c r="N51" i="11"/>
  <c r="N59" i="11"/>
  <c r="N67" i="11"/>
  <c r="N75" i="11"/>
  <c r="N83" i="11"/>
  <c r="N91" i="11"/>
  <c r="N99" i="11"/>
  <c r="N107" i="11"/>
  <c r="N115" i="11"/>
  <c r="N123" i="11"/>
  <c r="N131" i="11"/>
  <c r="N139" i="11"/>
  <c r="N147" i="11"/>
  <c r="N155" i="11"/>
  <c r="N163" i="11"/>
  <c r="N171" i="11"/>
  <c r="N179" i="11"/>
  <c r="N187" i="11"/>
  <c r="N195" i="11"/>
  <c r="N203" i="11"/>
  <c r="N211" i="11"/>
  <c r="N219" i="11"/>
  <c r="N227" i="11"/>
  <c r="N235" i="11"/>
  <c r="N243" i="11"/>
  <c r="N251" i="11"/>
  <c r="N259" i="11"/>
  <c r="N267" i="11"/>
  <c r="N275" i="11"/>
  <c r="N283" i="11"/>
  <c r="N291" i="11"/>
  <c r="W10" i="11"/>
  <c r="W18" i="11"/>
  <c r="N12" i="11"/>
  <c r="N20" i="11"/>
  <c r="N28" i="11"/>
  <c r="N36" i="11"/>
  <c r="N44" i="11"/>
  <c r="N52" i="11"/>
  <c r="N60" i="11"/>
  <c r="N68" i="11"/>
  <c r="N76" i="11"/>
  <c r="N84" i="11"/>
  <c r="N92" i="11"/>
  <c r="N100" i="11"/>
  <c r="N108" i="11"/>
  <c r="N116" i="11"/>
  <c r="N124" i="11"/>
  <c r="N132" i="11"/>
  <c r="N140" i="11"/>
  <c r="N148" i="11"/>
  <c r="N156" i="11"/>
  <c r="N164" i="11"/>
  <c r="N172" i="11"/>
  <c r="N180" i="11"/>
  <c r="N188" i="11"/>
  <c r="N196" i="11"/>
  <c r="N204" i="11"/>
  <c r="N212" i="11"/>
  <c r="N220" i="11"/>
  <c r="N228" i="11"/>
  <c r="N236" i="11"/>
  <c r="N244" i="11"/>
  <c r="N252" i="11"/>
  <c r="N260" i="11"/>
  <c r="N268" i="11"/>
  <c r="N276" i="11"/>
  <c r="N284" i="11"/>
  <c r="N292" i="11"/>
  <c r="W11" i="11"/>
  <c r="N13" i="11"/>
  <c r="N21" i="11"/>
  <c r="N29" i="11"/>
  <c r="N37" i="11"/>
  <c r="N45" i="11"/>
  <c r="N53" i="11"/>
  <c r="N61" i="11"/>
  <c r="N69" i="11"/>
  <c r="N77" i="11"/>
  <c r="N85" i="11"/>
  <c r="N93" i="11"/>
  <c r="N101" i="11"/>
  <c r="N109" i="11"/>
  <c r="N117" i="11"/>
  <c r="N125" i="11"/>
  <c r="N133" i="11"/>
  <c r="N141" i="11"/>
  <c r="N149" i="11"/>
  <c r="N157" i="11"/>
  <c r="N165" i="11"/>
  <c r="N173" i="11"/>
  <c r="N181" i="11"/>
  <c r="N189" i="11"/>
  <c r="N197" i="11"/>
  <c r="N205" i="11"/>
  <c r="N213" i="11"/>
  <c r="N221" i="11"/>
  <c r="N229" i="11"/>
  <c r="N237" i="11"/>
  <c r="N245" i="11"/>
  <c r="N253" i="11"/>
  <c r="N261" i="11"/>
  <c r="N269" i="11"/>
  <c r="N277" i="11"/>
  <c r="N285" i="11"/>
  <c r="N293" i="11"/>
  <c r="W12" i="11"/>
  <c r="W20" i="11"/>
  <c r="N14" i="11"/>
  <c r="N22" i="11"/>
  <c r="N30" i="11"/>
  <c r="N38" i="11"/>
  <c r="N46" i="11"/>
  <c r="N54" i="11"/>
  <c r="N62" i="11"/>
  <c r="N70" i="11"/>
  <c r="N78" i="11"/>
  <c r="N86" i="11"/>
  <c r="N94" i="11"/>
  <c r="N102" i="11"/>
  <c r="N110" i="11"/>
  <c r="N118" i="11"/>
  <c r="N126" i="11"/>
  <c r="N134" i="11"/>
  <c r="N142" i="11"/>
  <c r="N150" i="11"/>
  <c r="N158" i="11"/>
  <c r="N166" i="11"/>
  <c r="N174" i="11"/>
  <c r="N182" i="11"/>
  <c r="N190" i="11"/>
  <c r="N198" i="11"/>
  <c r="N206" i="11"/>
  <c r="N214" i="11"/>
  <c r="N222" i="11"/>
  <c r="N230" i="11"/>
  <c r="N238" i="11"/>
  <c r="N246" i="11"/>
  <c r="N254" i="11"/>
  <c r="N262" i="11"/>
  <c r="N270" i="11"/>
  <c r="N278" i="11"/>
  <c r="N286" i="11"/>
  <c r="W13" i="11"/>
  <c r="N15" i="11"/>
  <c r="N23" i="11"/>
  <c r="N31" i="11"/>
  <c r="N39" i="11"/>
  <c r="N47" i="11"/>
  <c r="N55" i="11"/>
  <c r="N63" i="11"/>
  <c r="N71" i="11"/>
  <c r="N79" i="11"/>
  <c r="N87" i="11"/>
  <c r="N95" i="11"/>
  <c r="N103" i="11"/>
  <c r="N111" i="11"/>
  <c r="N119" i="11"/>
  <c r="N127" i="11"/>
  <c r="N135" i="11"/>
  <c r="N143" i="11"/>
  <c r="N151" i="11"/>
  <c r="N159" i="11"/>
  <c r="N167" i="11"/>
  <c r="N175" i="11"/>
  <c r="N183" i="11"/>
  <c r="N191" i="11"/>
  <c r="N199" i="11"/>
  <c r="N207" i="11"/>
  <c r="N215" i="11"/>
  <c r="N223" i="11"/>
  <c r="N231" i="11"/>
  <c r="N239" i="11"/>
  <c r="N247" i="11"/>
  <c r="N255" i="11"/>
  <c r="N263" i="11"/>
  <c r="N271" i="11"/>
  <c r="N279" i="11"/>
  <c r="N287" i="11"/>
  <c r="W14" i="11"/>
  <c r="N8" i="11"/>
  <c r="N16" i="11"/>
  <c r="N24" i="11"/>
  <c r="N32" i="11"/>
  <c r="N40" i="11"/>
  <c r="N48" i="11"/>
  <c r="N56" i="11"/>
  <c r="N64" i="11"/>
  <c r="N72" i="11"/>
  <c r="N80" i="11"/>
  <c r="N88" i="11"/>
  <c r="N96" i="11"/>
  <c r="N104" i="11"/>
  <c r="N112" i="11"/>
  <c r="N120" i="11"/>
  <c r="N128" i="11"/>
  <c r="N136" i="11"/>
  <c r="N144" i="11"/>
  <c r="N152" i="11"/>
  <c r="N160" i="11"/>
  <c r="N168" i="11"/>
  <c r="N176" i="11"/>
  <c r="N184" i="11"/>
  <c r="N192" i="11"/>
  <c r="N200" i="11"/>
  <c r="N208" i="11"/>
  <c r="N216" i="11"/>
  <c r="N224" i="11"/>
  <c r="N232" i="11"/>
  <c r="N240" i="11"/>
  <c r="N248" i="11"/>
  <c r="N256" i="11"/>
  <c r="N264" i="11"/>
  <c r="N272" i="11"/>
  <c r="N280" i="11"/>
  <c r="N288" i="11"/>
  <c r="W15" i="11"/>
  <c r="N9" i="11"/>
  <c r="N17" i="11"/>
  <c r="N25" i="11"/>
  <c r="N33" i="11"/>
  <c r="N41" i="11"/>
  <c r="N49" i="11"/>
  <c r="N57" i="11"/>
  <c r="N65" i="11"/>
  <c r="N73" i="11"/>
  <c r="N81" i="11"/>
  <c r="N89" i="11"/>
  <c r="N97" i="11"/>
  <c r="N105" i="11"/>
  <c r="N113" i="11"/>
  <c r="N121" i="11"/>
  <c r="N129" i="11"/>
  <c r="N137" i="11"/>
  <c r="N145" i="11"/>
  <c r="N153" i="11"/>
  <c r="N161" i="11"/>
  <c r="N169" i="11"/>
  <c r="N177" i="11"/>
  <c r="N185" i="11"/>
  <c r="N193" i="11"/>
  <c r="N201" i="11"/>
  <c r="N209" i="11"/>
  <c r="N217" i="11"/>
  <c r="N225" i="11"/>
  <c r="N233" i="11"/>
  <c r="N241" i="11"/>
  <c r="N249" i="11"/>
  <c r="N257" i="11"/>
  <c r="N265" i="11"/>
  <c r="N273" i="11"/>
  <c r="N281" i="11"/>
  <c r="N289" i="11"/>
  <c r="W8" i="11"/>
  <c r="W16" i="11"/>
  <c r="N50" i="11"/>
  <c r="N114" i="11"/>
  <c r="N178" i="11"/>
  <c r="N242" i="11"/>
  <c r="W9" i="11"/>
  <c r="W26" i="11"/>
  <c r="W34" i="11"/>
  <c r="W42" i="11"/>
  <c r="W50" i="11"/>
  <c r="W58" i="11"/>
  <c r="W66" i="11"/>
  <c r="W74" i="11"/>
  <c r="W82" i="11"/>
  <c r="W90" i="11"/>
  <c r="W98" i="11"/>
  <c r="W106" i="11"/>
  <c r="W114" i="11"/>
  <c r="W122" i="11"/>
  <c r="W130" i="11"/>
  <c r="W138" i="11"/>
  <c r="W146" i="11"/>
  <c r="W154" i="11"/>
  <c r="W162" i="11"/>
  <c r="W170" i="11"/>
  <c r="W178" i="11"/>
  <c r="W186" i="11"/>
  <c r="W194" i="11"/>
  <c r="W202" i="11"/>
  <c r="W210" i="11"/>
  <c r="W218" i="11"/>
  <c r="W226" i="11"/>
  <c r="W234" i="11"/>
  <c r="W242" i="11"/>
  <c r="W250" i="11"/>
  <c r="W258" i="11"/>
  <c r="W266" i="11"/>
  <c r="W274" i="11"/>
  <c r="W282" i="11"/>
  <c r="W290" i="11"/>
  <c r="AE9" i="11"/>
  <c r="AE17" i="11"/>
  <c r="AE25" i="11"/>
  <c r="AE33" i="11"/>
  <c r="AE41" i="11"/>
  <c r="AE49" i="11"/>
  <c r="AE57" i="11"/>
  <c r="AE65" i="11"/>
  <c r="AE73" i="11"/>
  <c r="AE81" i="11"/>
  <c r="AE89" i="11"/>
  <c r="AE97" i="11"/>
  <c r="AE105" i="11"/>
  <c r="AE113" i="11"/>
  <c r="AE121" i="11"/>
  <c r="AE129" i="11"/>
  <c r="AE137" i="11"/>
  <c r="AE145" i="11"/>
  <c r="AE153" i="11"/>
  <c r="AE161" i="11"/>
  <c r="AE169" i="11"/>
  <c r="AE177" i="11"/>
  <c r="AE185" i="11"/>
  <c r="AE193" i="11"/>
  <c r="AE201" i="11"/>
  <c r="AE209" i="11"/>
  <c r="AE217" i="11"/>
  <c r="AE225" i="11"/>
  <c r="AE233" i="11"/>
  <c r="AE241" i="11"/>
  <c r="AE249" i="11"/>
  <c r="AE257" i="11"/>
  <c r="AE265" i="11"/>
  <c r="N58" i="11"/>
  <c r="N122" i="11"/>
  <c r="N186" i="11"/>
  <c r="N250" i="11"/>
  <c r="W17" i="11"/>
  <c r="W27" i="11"/>
  <c r="W35" i="11"/>
  <c r="W43" i="11"/>
  <c r="W51" i="11"/>
  <c r="W59" i="11"/>
  <c r="W67" i="11"/>
  <c r="W75" i="11"/>
  <c r="W83" i="11"/>
  <c r="W91" i="11"/>
  <c r="W99" i="11"/>
  <c r="W107" i="11"/>
  <c r="W115" i="11"/>
  <c r="W123" i="11"/>
  <c r="W131" i="11"/>
  <c r="W139" i="11"/>
  <c r="W147" i="11"/>
  <c r="W155" i="11"/>
  <c r="W163" i="11"/>
  <c r="W171" i="11"/>
  <c r="W179" i="11"/>
  <c r="W187" i="11"/>
  <c r="W195" i="11"/>
  <c r="W203" i="11"/>
  <c r="W211" i="11"/>
  <c r="W219" i="11"/>
  <c r="W227" i="11"/>
  <c r="W235" i="11"/>
  <c r="W243" i="11"/>
  <c r="W251" i="11"/>
  <c r="W259" i="11"/>
  <c r="W267" i="11"/>
  <c r="W275" i="11"/>
  <c r="W283" i="11"/>
  <c r="W291" i="11"/>
  <c r="AE10" i="11"/>
  <c r="AE18" i="11"/>
  <c r="AE26" i="11"/>
  <c r="AE34" i="11"/>
  <c r="AE42" i="11"/>
  <c r="AE50" i="11"/>
  <c r="AE58" i="11"/>
  <c r="AE66" i="11"/>
  <c r="AE74" i="11"/>
  <c r="AE82" i="11"/>
  <c r="AE90" i="11"/>
  <c r="AE98" i="11"/>
  <c r="AE106" i="11"/>
  <c r="AE114" i="11"/>
  <c r="AE122" i="11"/>
  <c r="AE130" i="11"/>
  <c r="AE138" i="11"/>
  <c r="AE146" i="11"/>
  <c r="AE154" i="11"/>
  <c r="AE162" i="11"/>
  <c r="AE170" i="11"/>
  <c r="AE178" i="11"/>
  <c r="AE186" i="11"/>
  <c r="AE194" i="11"/>
  <c r="AE202" i="11"/>
  <c r="AE210" i="11"/>
  <c r="AE218" i="11"/>
  <c r="AE226" i="11"/>
  <c r="AE234" i="11"/>
  <c r="AE242" i="11"/>
  <c r="AE250" i="11"/>
  <c r="AE258" i="11"/>
  <c r="AE266" i="11"/>
  <c r="AE274" i="11"/>
  <c r="AE282" i="11"/>
  <c r="AE290" i="11"/>
  <c r="AM9" i="11"/>
  <c r="AM17" i="11"/>
  <c r="N66" i="11"/>
  <c r="N130" i="11"/>
  <c r="N194" i="11"/>
  <c r="N258" i="11"/>
  <c r="W19" i="11"/>
  <c r="W28" i="11"/>
  <c r="W36" i="11"/>
  <c r="W44" i="11"/>
  <c r="W52" i="11"/>
  <c r="W60" i="11"/>
  <c r="W68" i="11"/>
  <c r="W76" i="11"/>
  <c r="W84" i="11"/>
  <c r="W92" i="11"/>
  <c r="W100" i="11"/>
  <c r="W108" i="11"/>
  <c r="W116" i="11"/>
  <c r="W124" i="11"/>
  <c r="W132" i="11"/>
  <c r="W140" i="11"/>
  <c r="W148" i="11"/>
  <c r="W156" i="11"/>
  <c r="W164" i="11"/>
  <c r="W172" i="11"/>
  <c r="W180" i="11"/>
  <c r="W188" i="11"/>
  <c r="W196" i="11"/>
  <c r="W204" i="11"/>
  <c r="W212" i="11"/>
  <c r="W220" i="11"/>
  <c r="W228" i="11"/>
  <c r="W236" i="11"/>
  <c r="W244" i="11"/>
  <c r="W252" i="11"/>
  <c r="W260" i="11"/>
  <c r="W268" i="11"/>
  <c r="W276" i="11"/>
  <c r="W284" i="11"/>
  <c r="W292" i="11"/>
  <c r="AE11" i="11"/>
  <c r="AE19" i="11"/>
  <c r="AE27" i="11"/>
  <c r="AE35" i="11"/>
  <c r="AE43" i="11"/>
  <c r="AE51" i="11"/>
  <c r="AE59" i="11"/>
  <c r="AE67" i="11"/>
  <c r="AE75" i="11"/>
  <c r="AE83" i="11"/>
  <c r="AE91" i="11"/>
  <c r="AE99" i="11"/>
  <c r="AE107" i="11"/>
  <c r="AE115" i="11"/>
  <c r="AE123" i="11"/>
  <c r="AE131" i="11"/>
  <c r="AE139" i="11"/>
  <c r="AE147" i="11"/>
  <c r="AE155" i="11"/>
  <c r="AE163" i="11"/>
  <c r="AE171" i="11"/>
  <c r="AE179" i="11"/>
  <c r="AE187" i="11"/>
  <c r="AE195" i="11"/>
  <c r="AE203" i="11"/>
  <c r="AE211" i="11"/>
  <c r="AE219" i="11"/>
  <c r="AE227" i="11"/>
  <c r="AE235" i="11"/>
  <c r="AE243" i="11"/>
  <c r="AE251" i="11"/>
  <c r="AE259" i="11"/>
  <c r="AE267" i="11"/>
  <c r="N10" i="11"/>
  <c r="N74" i="11"/>
  <c r="N138" i="11"/>
  <c r="N202" i="11"/>
  <c r="N266" i="11"/>
  <c r="W21" i="11"/>
  <c r="W29" i="11"/>
  <c r="W37" i="11"/>
  <c r="W45" i="11"/>
  <c r="W53" i="11"/>
  <c r="W61" i="11"/>
  <c r="W69" i="11"/>
  <c r="W77" i="11"/>
  <c r="W85" i="11"/>
  <c r="W93" i="11"/>
  <c r="W101" i="11"/>
  <c r="W109" i="11"/>
  <c r="W117" i="11"/>
  <c r="W125" i="11"/>
  <c r="W133" i="11"/>
  <c r="W141" i="11"/>
  <c r="W149" i="11"/>
  <c r="W157" i="11"/>
  <c r="W165" i="11"/>
  <c r="W173" i="11"/>
  <c r="W181" i="11"/>
  <c r="W189" i="11"/>
  <c r="W197" i="11"/>
  <c r="W205" i="11"/>
  <c r="W213" i="11"/>
  <c r="W221" i="11"/>
  <c r="W229" i="11"/>
  <c r="W237" i="11"/>
  <c r="W245" i="11"/>
  <c r="W253" i="11"/>
  <c r="W261" i="11"/>
  <c r="W269" i="11"/>
  <c r="W277" i="11"/>
  <c r="W285" i="11"/>
  <c r="W293" i="11"/>
  <c r="AE12" i="11"/>
  <c r="AE20" i="11"/>
  <c r="AE28" i="11"/>
  <c r="AE36" i="11"/>
  <c r="AE44" i="11"/>
  <c r="AE52" i="11"/>
  <c r="AE60" i="11"/>
  <c r="AE68" i="11"/>
  <c r="AE76" i="11"/>
  <c r="AE84" i="11"/>
  <c r="AE92" i="11"/>
  <c r="AE100" i="11"/>
  <c r="AE108" i="11"/>
  <c r="AE116" i="11"/>
  <c r="AE124" i="11"/>
  <c r="AE132" i="11"/>
  <c r="AE140" i="11"/>
  <c r="AE148" i="11"/>
  <c r="AE156" i="11"/>
  <c r="AE164" i="11"/>
  <c r="AE172" i="11"/>
  <c r="AE180" i="11"/>
  <c r="AE188" i="11"/>
  <c r="AE196" i="11"/>
  <c r="AE204" i="11"/>
  <c r="AE212" i="11"/>
  <c r="AE220" i="11"/>
  <c r="AE228" i="11"/>
  <c r="AE236" i="11"/>
  <c r="AE244" i="11"/>
  <c r="AE252" i="11"/>
  <c r="AE260" i="11"/>
  <c r="N18" i="11"/>
  <c r="N82" i="11"/>
  <c r="N146" i="11"/>
  <c r="N210" i="11"/>
  <c r="N274" i="11"/>
  <c r="W22" i="11"/>
  <c r="W30" i="11"/>
  <c r="W38" i="11"/>
  <c r="W46" i="11"/>
  <c r="W54" i="11"/>
  <c r="W62" i="11"/>
  <c r="W70" i="11"/>
  <c r="W78" i="11"/>
  <c r="W86" i="11"/>
  <c r="W94" i="11"/>
  <c r="W102" i="11"/>
  <c r="W110" i="11"/>
  <c r="W118" i="11"/>
  <c r="W126" i="11"/>
  <c r="W134" i="11"/>
  <c r="W142" i="11"/>
  <c r="W150" i="11"/>
  <c r="W158" i="11"/>
  <c r="W166" i="11"/>
  <c r="W174" i="11"/>
  <c r="W182" i="11"/>
  <c r="W190" i="11"/>
  <c r="W198" i="11"/>
  <c r="W206" i="11"/>
  <c r="W214" i="11"/>
  <c r="W222" i="11"/>
  <c r="W230" i="11"/>
  <c r="W238" i="11"/>
  <c r="W246" i="11"/>
  <c r="W254" i="11"/>
  <c r="W262" i="11"/>
  <c r="W270" i="11"/>
  <c r="W278" i="11"/>
  <c r="W286" i="11"/>
  <c r="AE13" i="11"/>
  <c r="AE21" i="11"/>
  <c r="AE29" i="11"/>
  <c r="AE37" i="11"/>
  <c r="AE45" i="11"/>
  <c r="AE53" i="11"/>
  <c r="AE61" i="11"/>
  <c r="AE69" i="11"/>
  <c r="AE77" i="11"/>
  <c r="AE85" i="11"/>
  <c r="AE93" i="11"/>
  <c r="AE101" i="11"/>
  <c r="AE109" i="11"/>
  <c r="AE117" i="11"/>
  <c r="AE125" i="11"/>
  <c r="AE133" i="11"/>
  <c r="AE141" i="11"/>
  <c r="AE149" i="11"/>
  <c r="AE157" i="11"/>
  <c r="AE165" i="11"/>
  <c r="AE173" i="11"/>
  <c r="AE181" i="11"/>
  <c r="AE189" i="11"/>
  <c r="AE197" i="11"/>
  <c r="AE205" i="11"/>
  <c r="AE213" i="11"/>
  <c r="AE221" i="11"/>
  <c r="AE229" i="11"/>
  <c r="AE237" i="11"/>
  <c r="AE245" i="11"/>
  <c r="AE253" i="11"/>
  <c r="N26" i="11"/>
  <c r="N90" i="11"/>
  <c r="N154" i="11"/>
  <c r="N218" i="11"/>
  <c r="N282" i="11"/>
  <c r="W23" i="11"/>
  <c r="W31" i="11"/>
  <c r="W39" i="11"/>
  <c r="W47" i="11"/>
  <c r="W55" i="11"/>
  <c r="W63" i="11"/>
  <c r="W71" i="11"/>
  <c r="W79" i="11"/>
  <c r="W87" i="11"/>
  <c r="W95" i="11"/>
  <c r="W103" i="11"/>
  <c r="W111" i="11"/>
  <c r="W119" i="11"/>
  <c r="W127" i="11"/>
  <c r="W135" i="11"/>
  <c r="W143" i="11"/>
  <c r="W151" i="11"/>
  <c r="W159" i="11"/>
  <c r="W167" i="11"/>
  <c r="W175" i="11"/>
  <c r="W183" i="11"/>
  <c r="W191" i="11"/>
  <c r="W199" i="11"/>
  <c r="W207" i="11"/>
  <c r="W215" i="11"/>
  <c r="W223" i="11"/>
  <c r="W231" i="11"/>
  <c r="W239" i="11"/>
  <c r="W247" i="11"/>
  <c r="W255" i="11"/>
  <c r="W263" i="11"/>
  <c r="W271" i="11"/>
  <c r="W279" i="11"/>
  <c r="W287" i="11"/>
  <c r="AE14" i="11"/>
  <c r="AE22" i="11"/>
  <c r="AE30" i="11"/>
  <c r="AE38" i="11"/>
  <c r="AE46" i="11"/>
  <c r="AE54" i="11"/>
  <c r="AE62" i="11"/>
  <c r="AE70" i="11"/>
  <c r="AE78" i="11"/>
  <c r="AE86" i="11"/>
  <c r="AE94" i="11"/>
  <c r="AE102" i="11"/>
  <c r="AE110" i="11"/>
  <c r="AE118" i="11"/>
  <c r="AE126" i="11"/>
  <c r="AE134" i="11"/>
  <c r="AE142" i="11"/>
  <c r="AE150" i="11"/>
  <c r="AE158" i="11"/>
  <c r="AE166" i="11"/>
  <c r="AE174" i="11"/>
  <c r="AE182" i="11"/>
  <c r="AE190" i="11"/>
  <c r="AE198" i="11"/>
  <c r="AE206" i="11"/>
  <c r="AE214" i="11"/>
  <c r="AE222" i="11"/>
  <c r="AE230" i="11"/>
  <c r="AE238" i="11"/>
  <c r="AE246" i="11"/>
  <c r="AE254" i="11"/>
  <c r="N34" i="11"/>
  <c r="N98" i="11"/>
  <c r="N162" i="11"/>
  <c r="N226" i="11"/>
  <c r="N290" i="11"/>
  <c r="W24" i="11"/>
  <c r="W32" i="11"/>
  <c r="W40" i="11"/>
  <c r="W48" i="11"/>
  <c r="W56" i="11"/>
  <c r="W64" i="11"/>
  <c r="W72" i="11"/>
  <c r="W80" i="11"/>
  <c r="W88" i="11"/>
  <c r="W96" i="11"/>
  <c r="W104" i="11"/>
  <c r="W112" i="11"/>
  <c r="W120" i="11"/>
  <c r="W128" i="11"/>
  <c r="W136" i="11"/>
  <c r="W144" i="11"/>
  <c r="W152" i="11"/>
  <c r="W160" i="11"/>
  <c r="W168" i="11"/>
  <c r="W176" i="11"/>
  <c r="W184" i="11"/>
  <c r="W192" i="11"/>
  <c r="W200" i="11"/>
  <c r="W208" i="11"/>
  <c r="W216" i="11"/>
  <c r="W224" i="11"/>
  <c r="W232" i="11"/>
  <c r="W240" i="11"/>
  <c r="W248" i="11"/>
  <c r="W256" i="11"/>
  <c r="W264" i="11"/>
  <c r="W272" i="11"/>
  <c r="W280" i="11"/>
  <c r="W288" i="11"/>
  <c r="AE15" i="11"/>
  <c r="AE23" i="11"/>
  <c r="AE31" i="11"/>
  <c r="AE39" i="11"/>
  <c r="AE47" i="11"/>
  <c r="AE55" i="11"/>
  <c r="AE63" i="11"/>
  <c r="AE71" i="11"/>
  <c r="AE79" i="11"/>
  <c r="AE87" i="11"/>
  <c r="AE95" i="11"/>
  <c r="AE103" i="11"/>
  <c r="AE111" i="11"/>
  <c r="AE119" i="11"/>
  <c r="AE127" i="11"/>
  <c r="AE135" i="11"/>
  <c r="AE143" i="11"/>
  <c r="AE151" i="11"/>
  <c r="AE159" i="11"/>
  <c r="AE167" i="11"/>
  <c r="AE175" i="11"/>
  <c r="AE183" i="11"/>
  <c r="AE191" i="11"/>
  <c r="AE199" i="11"/>
  <c r="AE207" i="11"/>
  <c r="AE215" i="11"/>
  <c r="AE223" i="11"/>
  <c r="AE231" i="11"/>
  <c r="AE239" i="11"/>
  <c r="AE247" i="11"/>
  <c r="AE255" i="11"/>
  <c r="AE263" i="11"/>
  <c r="W33" i="11"/>
  <c r="W97" i="11"/>
  <c r="W161" i="11"/>
  <c r="W225" i="11"/>
  <c r="W289" i="11"/>
  <c r="AE56" i="11"/>
  <c r="AE120" i="11"/>
  <c r="AE184" i="11"/>
  <c r="AE248" i="11"/>
  <c r="AE271" i="11"/>
  <c r="AE280" i="11"/>
  <c r="AE289" i="11"/>
  <c r="AM11" i="11"/>
  <c r="AM20" i="11"/>
  <c r="AM28" i="11"/>
  <c r="AM36" i="11"/>
  <c r="AM44" i="11"/>
  <c r="AM52" i="11"/>
  <c r="AM60" i="11"/>
  <c r="AM68" i="11"/>
  <c r="AM76" i="11"/>
  <c r="AM84" i="11"/>
  <c r="AM92" i="11"/>
  <c r="AM100" i="11"/>
  <c r="AM108" i="11"/>
  <c r="AM116" i="11"/>
  <c r="AM124" i="11"/>
  <c r="AM132" i="11"/>
  <c r="AM140" i="11"/>
  <c r="AM148" i="11"/>
  <c r="AM156" i="11"/>
  <c r="AM164" i="11"/>
  <c r="AM172" i="11"/>
  <c r="AM180" i="11"/>
  <c r="AM188" i="11"/>
  <c r="AM196" i="11"/>
  <c r="AM204" i="11"/>
  <c r="AM212" i="11"/>
  <c r="AM220" i="11"/>
  <c r="AM228" i="11"/>
  <c r="AM236" i="11"/>
  <c r="AM244" i="11"/>
  <c r="AM252" i="11"/>
  <c r="AM260" i="11"/>
  <c r="AM268" i="11"/>
  <c r="AM276" i="11"/>
  <c r="AM284" i="11"/>
  <c r="AM292" i="11"/>
  <c r="N7" i="11"/>
  <c r="F15" i="11"/>
  <c r="F23" i="11"/>
  <c r="F31" i="11"/>
  <c r="F39" i="11"/>
  <c r="F47" i="11"/>
  <c r="F55" i="11"/>
  <c r="F63" i="11"/>
  <c r="F71" i="11"/>
  <c r="F79" i="11"/>
  <c r="F87" i="11"/>
  <c r="F95" i="11"/>
  <c r="F103" i="11"/>
  <c r="F111" i="11"/>
  <c r="F119" i="11"/>
  <c r="F127" i="11"/>
  <c r="F135" i="11"/>
  <c r="F143" i="11"/>
  <c r="F151" i="11"/>
  <c r="F159" i="11"/>
  <c r="F167" i="11"/>
  <c r="F175" i="11"/>
  <c r="F183" i="11"/>
  <c r="F191" i="11"/>
  <c r="F199" i="11"/>
  <c r="F207" i="11"/>
  <c r="F215" i="11"/>
  <c r="F223" i="11"/>
  <c r="F231" i="11"/>
  <c r="F239" i="11"/>
  <c r="F247" i="11"/>
  <c r="F255" i="11"/>
  <c r="F263" i="11"/>
  <c r="F271" i="11"/>
  <c r="W41" i="11"/>
  <c r="W105" i="11"/>
  <c r="W169" i="11"/>
  <c r="W233" i="11"/>
  <c r="AE64" i="11"/>
  <c r="AE128" i="11"/>
  <c r="AE192" i="11"/>
  <c r="AE256" i="11"/>
  <c r="AE272" i="11"/>
  <c r="AE281" i="11"/>
  <c r="AE291" i="11"/>
  <c r="AM12" i="11"/>
  <c r="AM21" i="11"/>
  <c r="AM29" i="11"/>
  <c r="AM37" i="11"/>
  <c r="AM45" i="11"/>
  <c r="AM53" i="11"/>
  <c r="AM61" i="11"/>
  <c r="AM69" i="11"/>
  <c r="AM77" i="11"/>
  <c r="AM85" i="11"/>
  <c r="AM93" i="11"/>
  <c r="AM101" i="11"/>
  <c r="AM109" i="11"/>
  <c r="AM117" i="11"/>
  <c r="AM125" i="11"/>
  <c r="AM133" i="11"/>
  <c r="AM141" i="11"/>
  <c r="AM149" i="11"/>
  <c r="AM157" i="11"/>
  <c r="AM165" i="11"/>
  <c r="AM173" i="11"/>
  <c r="AM181" i="11"/>
  <c r="AM189" i="11"/>
  <c r="AM197" i="11"/>
  <c r="AM205" i="11"/>
  <c r="AM213" i="11"/>
  <c r="AM221" i="11"/>
  <c r="AM229" i="11"/>
  <c r="AM237" i="11"/>
  <c r="AM245" i="11"/>
  <c r="AM253" i="11"/>
  <c r="AM261" i="11"/>
  <c r="AM269" i="11"/>
  <c r="AM277" i="11"/>
  <c r="AM285" i="11"/>
  <c r="AM293" i="11"/>
  <c r="F8" i="11"/>
  <c r="F16" i="11"/>
  <c r="F24" i="11"/>
  <c r="F32" i="11"/>
  <c r="F40" i="11"/>
  <c r="F48" i="11"/>
  <c r="F56" i="11"/>
  <c r="F64" i="11"/>
  <c r="F72" i="11"/>
  <c r="F80" i="11"/>
  <c r="F88" i="11"/>
  <c r="F96" i="11"/>
  <c r="F104" i="11"/>
  <c r="F112" i="11"/>
  <c r="F120" i="11"/>
  <c r="F128" i="11"/>
  <c r="F136" i="11"/>
  <c r="F144" i="11"/>
  <c r="F152" i="11"/>
  <c r="F160" i="11"/>
  <c r="F168" i="11"/>
  <c r="F176" i="11"/>
  <c r="F184" i="11"/>
  <c r="F192" i="11"/>
  <c r="F200" i="11"/>
  <c r="F208" i="11"/>
  <c r="F216" i="11"/>
  <c r="F224" i="11"/>
  <c r="F232" i="11"/>
  <c r="F240" i="11"/>
  <c r="F248" i="11"/>
  <c r="F256" i="11"/>
  <c r="F264" i="11"/>
  <c r="F272" i="11"/>
  <c r="F280" i="11"/>
  <c r="F288" i="11"/>
  <c r="F41" i="11"/>
  <c r="F49" i="11"/>
  <c r="F57" i="11"/>
  <c r="F65" i="11"/>
  <c r="F73" i="11"/>
  <c r="F81" i="11"/>
  <c r="F89" i="11"/>
  <c r="N42" i="11"/>
  <c r="W49" i="11"/>
  <c r="W113" i="11"/>
  <c r="W177" i="11"/>
  <c r="W241" i="11"/>
  <c r="AE8" i="11"/>
  <c r="AE72" i="11"/>
  <c r="AE136" i="11"/>
  <c r="AE200" i="11"/>
  <c r="AE261" i="11"/>
  <c r="AE273" i="11"/>
  <c r="AE283" i="11"/>
  <c r="AE292" i="11"/>
  <c r="AM13" i="11"/>
  <c r="AM22" i="11"/>
  <c r="AM30" i="11"/>
  <c r="AM38" i="11"/>
  <c r="AM46" i="11"/>
  <c r="AM54" i="11"/>
  <c r="AM62" i="11"/>
  <c r="AM70" i="11"/>
  <c r="AM78" i="11"/>
  <c r="AM86" i="11"/>
  <c r="AM94" i="11"/>
  <c r="AM102" i="11"/>
  <c r="AM110" i="11"/>
  <c r="AM118" i="11"/>
  <c r="AM126" i="11"/>
  <c r="AM134" i="11"/>
  <c r="AM142" i="11"/>
  <c r="AM150" i="11"/>
  <c r="AM158" i="11"/>
  <c r="AM166" i="11"/>
  <c r="AM174" i="11"/>
  <c r="AM182" i="11"/>
  <c r="AM190" i="11"/>
  <c r="AM198" i="11"/>
  <c r="AM206" i="11"/>
  <c r="AM214" i="11"/>
  <c r="AM222" i="11"/>
  <c r="AM230" i="11"/>
  <c r="AM238" i="11"/>
  <c r="AM246" i="11"/>
  <c r="AM254" i="11"/>
  <c r="AM262" i="11"/>
  <c r="AM270" i="11"/>
  <c r="AM278" i="11"/>
  <c r="AM286" i="11"/>
  <c r="F9" i="11"/>
  <c r="F17" i="11"/>
  <c r="F25" i="11"/>
  <c r="F33" i="11"/>
  <c r="N106" i="11"/>
  <c r="W57" i="11"/>
  <c r="W121" i="11"/>
  <c r="W185" i="11"/>
  <c r="W249" i="11"/>
  <c r="AE16" i="11"/>
  <c r="AE80" i="11"/>
  <c r="AE144" i="11"/>
  <c r="AE208" i="11"/>
  <c r="AE262" i="11"/>
  <c r="AE275" i="11"/>
  <c r="AE284" i="11"/>
  <c r="AE293" i="11"/>
  <c r="AM14" i="11"/>
  <c r="AM23" i="11"/>
  <c r="AM31" i="11"/>
  <c r="AM39" i="11"/>
  <c r="AM47" i="11"/>
  <c r="AM55" i="11"/>
  <c r="AM63" i="11"/>
  <c r="AM71" i="11"/>
  <c r="AM79" i="11"/>
  <c r="AM87" i="11"/>
  <c r="AM95" i="11"/>
  <c r="AM103" i="11"/>
  <c r="AM111" i="11"/>
  <c r="AM119" i="11"/>
  <c r="AM127" i="11"/>
  <c r="AM135" i="11"/>
  <c r="AM143" i="11"/>
  <c r="AM151" i="11"/>
  <c r="AM159" i="11"/>
  <c r="AM167" i="11"/>
  <c r="AM175" i="11"/>
  <c r="AM183" i="11"/>
  <c r="AM191" i="11"/>
  <c r="AM199" i="11"/>
  <c r="AM207" i="11"/>
  <c r="AM215" i="11"/>
  <c r="AM223" i="11"/>
  <c r="AM231" i="11"/>
  <c r="AM239" i="11"/>
  <c r="AM247" i="11"/>
  <c r="AM255" i="11"/>
  <c r="AM263" i="11"/>
  <c r="AM271" i="11"/>
  <c r="AM279" i="11"/>
  <c r="AM287" i="11"/>
  <c r="F10" i="11"/>
  <c r="F18" i="11"/>
  <c r="F26" i="11"/>
  <c r="F34" i="11"/>
  <c r="F42" i="11"/>
  <c r="F50" i="11"/>
  <c r="F58" i="11"/>
  <c r="F66" i="11"/>
  <c r="F74" i="11"/>
  <c r="F82" i="11"/>
  <c r="F90" i="11"/>
  <c r="F98" i="11"/>
  <c r="F106" i="11"/>
  <c r="F114" i="11"/>
  <c r="F122" i="11"/>
  <c r="F130" i="11"/>
  <c r="F138" i="11"/>
  <c r="F146" i="11"/>
  <c r="F154" i="11"/>
  <c r="F162" i="11"/>
  <c r="F170" i="11"/>
  <c r="F178" i="11"/>
  <c r="F186" i="11"/>
  <c r="F194" i="11"/>
  <c r="F202" i="11"/>
  <c r="F210" i="11"/>
  <c r="F218" i="11"/>
  <c r="F226" i="11"/>
  <c r="F234" i="11"/>
  <c r="F242" i="11"/>
  <c r="F250" i="11"/>
  <c r="F258" i="11"/>
  <c r="F266" i="11"/>
  <c r="N170" i="11"/>
  <c r="W65" i="11"/>
  <c r="W129" i="11"/>
  <c r="W193" i="11"/>
  <c r="W257" i="11"/>
  <c r="AE24" i="11"/>
  <c r="AE88" i="11"/>
  <c r="AE152" i="11"/>
  <c r="AE216" i="11"/>
  <c r="AE264" i="11"/>
  <c r="AE276" i="11"/>
  <c r="AE285" i="11"/>
  <c r="AM15" i="11"/>
  <c r="AM24" i="11"/>
  <c r="AM32" i="11"/>
  <c r="AM40" i="11"/>
  <c r="AM48" i="11"/>
  <c r="AM56" i="11"/>
  <c r="AM64" i="11"/>
  <c r="AM72" i="11"/>
  <c r="AM80" i="11"/>
  <c r="AM88" i="11"/>
  <c r="AM96" i="11"/>
  <c r="AM104" i="11"/>
  <c r="AM112" i="11"/>
  <c r="AM120" i="11"/>
  <c r="AM128" i="11"/>
  <c r="AM136" i="11"/>
  <c r="AM144" i="11"/>
  <c r="AM152" i="11"/>
  <c r="AM160" i="11"/>
  <c r="AM168" i="11"/>
  <c r="AM176" i="11"/>
  <c r="AM184" i="11"/>
  <c r="AM192" i="11"/>
  <c r="AM200" i="11"/>
  <c r="AM208" i="11"/>
  <c r="AM216" i="11"/>
  <c r="AM224" i="11"/>
  <c r="AM232" i="11"/>
  <c r="AM240" i="11"/>
  <c r="AM248" i="11"/>
  <c r="AM256" i="11"/>
  <c r="AM264" i="11"/>
  <c r="AM272" i="11"/>
  <c r="AM280" i="11"/>
  <c r="AM288" i="11"/>
  <c r="F11" i="11"/>
  <c r="F19" i="11"/>
  <c r="F27" i="11"/>
  <c r="F35" i="11"/>
  <c r="F43" i="11"/>
  <c r="F51" i="11"/>
  <c r="F59" i="11"/>
  <c r="F67" i="11"/>
  <c r="F75" i="11"/>
  <c r="F83" i="11"/>
  <c r="F91" i="11"/>
  <c r="F99" i="11"/>
  <c r="F107" i="11"/>
  <c r="F115" i="11"/>
  <c r="F123" i="11"/>
  <c r="F131" i="11"/>
  <c r="F139" i="11"/>
  <c r="F147" i="11"/>
  <c r="F155" i="11"/>
  <c r="F163" i="11"/>
  <c r="F171" i="11"/>
  <c r="F179" i="11"/>
  <c r="F187" i="11"/>
  <c r="F195" i="11"/>
  <c r="F203" i="11"/>
  <c r="F211" i="11"/>
  <c r="F219" i="11"/>
  <c r="F227" i="11"/>
  <c r="F235" i="11"/>
  <c r="F243" i="11"/>
  <c r="F251" i="11"/>
  <c r="F259" i="11"/>
  <c r="F267" i="11"/>
  <c r="F275" i="11"/>
  <c r="F283" i="11"/>
  <c r="N234" i="11"/>
  <c r="W73" i="11"/>
  <c r="W137" i="11"/>
  <c r="W201" i="11"/>
  <c r="W265" i="11"/>
  <c r="AE32" i="11"/>
  <c r="AE96" i="11"/>
  <c r="AE160" i="11"/>
  <c r="AE224" i="11"/>
  <c r="AE268" i="11"/>
  <c r="AE277" i="11"/>
  <c r="AE286" i="11"/>
  <c r="AM16" i="11"/>
  <c r="AM25" i="11"/>
  <c r="AM33" i="11"/>
  <c r="AM41" i="11"/>
  <c r="AM49" i="11"/>
  <c r="AM57" i="11"/>
  <c r="AM65" i="11"/>
  <c r="AM73" i="11"/>
  <c r="AM81" i="11"/>
  <c r="AM89" i="11"/>
  <c r="AM97" i="11"/>
  <c r="AM105" i="11"/>
  <c r="AM113" i="11"/>
  <c r="AM121" i="11"/>
  <c r="AM129" i="11"/>
  <c r="AM137" i="11"/>
  <c r="AM145" i="11"/>
  <c r="AM153" i="11"/>
  <c r="AM161" i="11"/>
  <c r="AM169" i="11"/>
  <c r="AM177" i="11"/>
  <c r="AM185" i="11"/>
  <c r="AM193" i="11"/>
  <c r="AM201" i="11"/>
  <c r="AM209" i="11"/>
  <c r="AM217" i="11"/>
  <c r="AM225" i="11"/>
  <c r="AM233" i="11"/>
  <c r="AM241" i="11"/>
  <c r="AM249" i="11"/>
  <c r="AM257" i="11"/>
  <c r="AM265" i="11"/>
  <c r="AM273" i="11"/>
  <c r="AM281" i="11"/>
  <c r="AM289" i="11"/>
  <c r="AM7" i="11"/>
  <c r="F12" i="11"/>
  <c r="F20" i="11"/>
  <c r="F28" i="11"/>
  <c r="F36" i="11"/>
  <c r="F44" i="11"/>
  <c r="F52" i="11"/>
  <c r="F60" i="11"/>
  <c r="F68" i="11"/>
  <c r="F76" i="11"/>
  <c r="F84" i="11"/>
  <c r="F92" i="11"/>
  <c r="F100" i="11"/>
  <c r="F108" i="11"/>
  <c r="F116" i="11"/>
  <c r="F124" i="11"/>
  <c r="F132" i="11"/>
  <c r="F140" i="11"/>
  <c r="F148" i="11"/>
  <c r="F156" i="11"/>
  <c r="F164" i="11"/>
  <c r="W89" i="11"/>
  <c r="AE48" i="11"/>
  <c r="AE270" i="11"/>
  <c r="AM10" i="11"/>
  <c r="AM43" i="11"/>
  <c r="AM75" i="11"/>
  <c r="AM107" i="11"/>
  <c r="AM139" i="11"/>
  <c r="AM171" i="11"/>
  <c r="AM203" i="11"/>
  <c r="AM235" i="11"/>
  <c r="AM267" i="11"/>
  <c r="F30" i="11"/>
  <c r="F62" i="11"/>
  <c r="F94" i="11"/>
  <c r="F117" i="11"/>
  <c r="F137" i="11"/>
  <c r="F158" i="11"/>
  <c r="F177" i="11"/>
  <c r="F193" i="11"/>
  <c r="F209" i="11"/>
  <c r="F225" i="11"/>
  <c r="F241" i="11"/>
  <c r="F257" i="11"/>
  <c r="F273" i="11"/>
  <c r="F284" i="11"/>
  <c r="F293" i="11"/>
  <c r="AE168" i="11"/>
  <c r="AM58" i="11"/>
  <c r="AM122" i="11"/>
  <c r="AM186" i="11"/>
  <c r="AM250" i="11"/>
  <c r="F13" i="11"/>
  <c r="F45" i="11"/>
  <c r="F102" i="11"/>
  <c r="F166" i="11"/>
  <c r="F214" i="11"/>
  <c r="F262" i="11"/>
  <c r="AE288" i="11"/>
  <c r="W145" i="11"/>
  <c r="AE104" i="11"/>
  <c r="AE278" i="11"/>
  <c r="AM18" i="11"/>
  <c r="AM50" i="11"/>
  <c r="AM82" i="11"/>
  <c r="AM114" i="11"/>
  <c r="AM146" i="11"/>
  <c r="AM178" i="11"/>
  <c r="AM210" i="11"/>
  <c r="AM242" i="11"/>
  <c r="AM274" i="11"/>
  <c r="AE7" i="11"/>
  <c r="F37" i="11"/>
  <c r="F69" i="11"/>
  <c r="F97" i="11"/>
  <c r="F118" i="11"/>
  <c r="F141" i="11"/>
  <c r="F161" i="11"/>
  <c r="F180" i="11"/>
  <c r="F196" i="11"/>
  <c r="F212" i="11"/>
  <c r="F228" i="11"/>
  <c r="F244" i="11"/>
  <c r="F260" i="11"/>
  <c r="F274" i="11"/>
  <c r="F285" i="11"/>
  <c r="AE279" i="11"/>
  <c r="AM19" i="11"/>
  <c r="AM51" i="11"/>
  <c r="AM83" i="11"/>
  <c r="AM115" i="11"/>
  <c r="AM147" i="11"/>
  <c r="AM179" i="11"/>
  <c r="AM211" i="11"/>
  <c r="AM243" i="11"/>
  <c r="W7" i="11"/>
  <c r="F38" i="11"/>
  <c r="F70" i="11"/>
  <c r="F101" i="11"/>
  <c r="F121" i="11"/>
  <c r="F142" i="11"/>
  <c r="F165" i="11"/>
  <c r="F181" i="11"/>
  <c r="F197" i="11"/>
  <c r="F213" i="11"/>
  <c r="F229" i="11"/>
  <c r="F245" i="11"/>
  <c r="F261" i="11"/>
  <c r="F276" i="11"/>
  <c r="F286" i="11"/>
  <c r="W209" i="11"/>
  <c r="AE287" i="11"/>
  <c r="AM26" i="11"/>
  <c r="AM90" i="11"/>
  <c r="AM154" i="11"/>
  <c r="AM218" i="11"/>
  <c r="AM282" i="11"/>
  <c r="F77" i="11"/>
  <c r="F125" i="11"/>
  <c r="F145" i="11"/>
  <c r="F230" i="11"/>
  <c r="F277" i="11"/>
  <c r="AE176" i="11"/>
  <c r="AM27" i="11"/>
  <c r="AM123" i="11"/>
  <c r="AM187" i="11"/>
  <c r="AM251" i="11"/>
  <c r="F14" i="11"/>
  <c r="F78" i="11"/>
  <c r="F126" i="11"/>
  <c r="F169" i="11"/>
  <c r="F201" i="11"/>
  <c r="F233" i="11"/>
  <c r="F265" i="11"/>
  <c r="F289" i="11"/>
  <c r="W273" i="11"/>
  <c r="AM66" i="11"/>
  <c r="AM130" i="11"/>
  <c r="AM194" i="11"/>
  <c r="AM226" i="11"/>
  <c r="AM290" i="11"/>
  <c r="F109" i="11"/>
  <c r="F188" i="11"/>
  <c r="F236" i="11"/>
  <c r="F290" i="11"/>
  <c r="W153" i="11"/>
  <c r="AE112" i="11"/>
  <c r="AM275" i="11"/>
  <c r="F198" i="11"/>
  <c r="F246" i="11"/>
  <c r="F287" i="11"/>
  <c r="AM91" i="11"/>
  <c r="F279" i="11"/>
  <c r="W217" i="11"/>
  <c r="AM59" i="11"/>
  <c r="AM155" i="11"/>
  <c r="AM219" i="11"/>
  <c r="AM283" i="11"/>
  <c r="F46" i="11"/>
  <c r="F105" i="11"/>
  <c r="F149" i="11"/>
  <c r="F185" i="11"/>
  <c r="F217" i="11"/>
  <c r="F249" i="11"/>
  <c r="F278" i="11"/>
  <c r="AE232" i="11"/>
  <c r="AM34" i="11"/>
  <c r="AM98" i="11"/>
  <c r="AM162" i="11"/>
  <c r="AM258" i="11"/>
  <c r="F21" i="11"/>
  <c r="F85" i="11"/>
  <c r="F150" i="11"/>
  <c r="F220" i="11"/>
  <c r="F268" i="11"/>
  <c r="W25" i="11"/>
  <c r="W281" i="11"/>
  <c r="AE240" i="11"/>
  <c r="AM35" i="11"/>
  <c r="AM67" i="11"/>
  <c r="AM99" i="11"/>
  <c r="AM131" i="11"/>
  <c r="AM163" i="11"/>
  <c r="AM195" i="11"/>
  <c r="AM227" i="11"/>
  <c r="AM259" i="11"/>
  <c r="AM291" i="11"/>
  <c r="F22" i="11"/>
  <c r="F54" i="11"/>
  <c r="F86" i="11"/>
  <c r="F110" i="11"/>
  <c r="F133" i="11"/>
  <c r="F153" i="11"/>
  <c r="F173" i="11"/>
  <c r="F189" i="11"/>
  <c r="F205" i="11"/>
  <c r="F221" i="11"/>
  <c r="F237" i="11"/>
  <c r="F253" i="11"/>
  <c r="F269" i="11"/>
  <c r="F281" i="11"/>
  <c r="F291" i="11"/>
  <c r="W81" i="11"/>
  <c r="AE40" i="11"/>
  <c r="AE269" i="11"/>
  <c r="AM8" i="11"/>
  <c r="AM42" i="11"/>
  <c r="AM74" i="11"/>
  <c r="AM106" i="11"/>
  <c r="AM138" i="11"/>
  <c r="AM170" i="11"/>
  <c r="AM202" i="11"/>
  <c r="AM234" i="11"/>
  <c r="AM266" i="11"/>
  <c r="F29" i="11"/>
  <c r="F61" i="11"/>
  <c r="F93" i="11"/>
  <c r="F113" i="11"/>
  <c r="F134" i="11"/>
  <c r="F157" i="11"/>
  <c r="F174" i="11"/>
  <c r="F190" i="11"/>
  <c r="F206" i="11"/>
  <c r="F222" i="11"/>
  <c r="F238" i="11"/>
  <c r="F254" i="11"/>
  <c r="F270" i="11"/>
  <c r="F282" i="11"/>
  <c r="F292" i="11"/>
  <c r="F53" i="11"/>
  <c r="F129" i="11"/>
  <c r="F172" i="11"/>
  <c r="F204" i="11"/>
  <c r="F252" i="11"/>
  <c r="AV30" i="11"/>
  <c r="BD79" i="11"/>
  <c r="BD95" i="11"/>
  <c r="BD111" i="11"/>
  <c r="AV148" i="11"/>
  <c r="AV181" i="11"/>
  <c r="BD226" i="11"/>
  <c r="BD202" i="11"/>
  <c r="BD287" i="11"/>
  <c r="AV279" i="11"/>
  <c r="BD271" i="11"/>
  <c r="BD263" i="11"/>
  <c r="BD255" i="11"/>
  <c r="AV184" i="11"/>
  <c r="BD23" i="11"/>
  <c r="AV56" i="11"/>
  <c r="AV80" i="11"/>
  <c r="AV104" i="11"/>
  <c r="BD125" i="11"/>
  <c r="AV149" i="11"/>
  <c r="BD188" i="11"/>
  <c r="AV180" i="11"/>
  <c r="BL164" i="11"/>
  <c r="AV244" i="11"/>
  <c r="BD250" i="11"/>
  <c r="BD286" i="11"/>
  <c r="BD278" i="11"/>
  <c r="BD270" i="11"/>
  <c r="BD262" i="11"/>
  <c r="BD192" i="11"/>
  <c r="BD224" i="11"/>
  <c r="AV208" i="11"/>
  <c r="BD200" i="11"/>
  <c r="AV186" i="11"/>
  <c r="AV178" i="11"/>
  <c r="BD170" i="11"/>
  <c r="AV154" i="11"/>
  <c r="BD223" i="11"/>
  <c r="BD215" i="11"/>
  <c r="AV207" i="11"/>
  <c r="BD199" i="11"/>
  <c r="AV242" i="11"/>
  <c r="BD234" i="11"/>
  <c r="BD292" i="11"/>
  <c r="BL284" i="11"/>
  <c r="BD276" i="11"/>
  <c r="BD268" i="11"/>
  <c r="AV260" i="11"/>
  <c r="BD161" i="11"/>
  <c r="BD153" i="11"/>
  <c r="BD222" i="11"/>
  <c r="BD214" i="11"/>
  <c r="AV206" i="11"/>
  <c r="BD198" i="11"/>
  <c r="BL233" i="11"/>
  <c r="AV245" i="11"/>
  <c r="AV117" i="11"/>
  <c r="AV176" i="11"/>
  <c r="AV152" i="11"/>
  <c r="AV221" i="11"/>
  <c r="AV213" i="11"/>
  <c r="AV205" i="11"/>
  <c r="AV197" i="11"/>
  <c r="BD232" i="11"/>
  <c r="AV247" i="11"/>
  <c r="BD290" i="11"/>
  <c r="BD266" i="11"/>
  <c r="AV240" i="11"/>
  <c r="BD168" i="11"/>
  <c r="AV29" i="11"/>
  <c r="BL45" i="11"/>
  <c r="AV54" i="11"/>
  <c r="AV94" i="11"/>
  <c r="BD147" i="11"/>
  <c r="BD190" i="11"/>
  <c r="AV182" i="11"/>
  <c r="AV166" i="11"/>
  <c r="AV230" i="11"/>
  <c r="BD248" i="11"/>
  <c r="AV252" i="11"/>
  <c r="BD288" i="11"/>
  <c r="BD280" i="11"/>
  <c r="BD272" i="11"/>
  <c r="BD264" i="11"/>
  <c r="AV224" i="11"/>
  <c r="AV170" i="11"/>
  <c r="AV284" i="11"/>
  <c r="AV276" i="11"/>
  <c r="AV268" i="11"/>
  <c r="BD279" i="11"/>
  <c r="AV263" i="11"/>
  <c r="BL268" i="11"/>
  <c r="AV292" i="11"/>
  <c r="AV223" i="11"/>
  <c r="AV287" i="11"/>
  <c r="AV255" i="11"/>
  <c r="AV214" i="11"/>
  <c r="AV199" i="11"/>
  <c r="AV198" i="11"/>
  <c r="AV271" i="11"/>
  <c r="AV234" i="11"/>
  <c r="CK8" i="11"/>
  <c r="BU8" i="11"/>
  <c r="CC8" i="11"/>
  <c r="BL8" i="11"/>
  <c r="BD8" i="11"/>
  <c r="CK16" i="11"/>
  <c r="CC16" i="11"/>
  <c r="BU16" i="11"/>
  <c r="BL16" i="11"/>
  <c r="BD16" i="11"/>
  <c r="CK24" i="11"/>
  <c r="CC24" i="11"/>
  <c r="BU24" i="11"/>
  <c r="BL24" i="11"/>
  <c r="BD24" i="11"/>
  <c r="CK32" i="11"/>
  <c r="CC32" i="11"/>
  <c r="BU32" i="11"/>
  <c r="BL32" i="11"/>
  <c r="BD32" i="11"/>
  <c r="CK40" i="11"/>
  <c r="CC40" i="11"/>
  <c r="BU40" i="11"/>
  <c r="BL40" i="11"/>
  <c r="CK49" i="11"/>
  <c r="BU49" i="11"/>
  <c r="CC49" i="11"/>
  <c r="BL49" i="11"/>
  <c r="AV49" i="11"/>
  <c r="CK57" i="11"/>
  <c r="BU57" i="11"/>
  <c r="CC57" i="11"/>
  <c r="BL57" i="11"/>
  <c r="AV57" i="11"/>
  <c r="CK65" i="11"/>
  <c r="CC65" i="11"/>
  <c r="BU65" i="11"/>
  <c r="BL65" i="11"/>
  <c r="AV65" i="11"/>
  <c r="CK73" i="11"/>
  <c r="BU73" i="11"/>
  <c r="CC73" i="11"/>
  <c r="BL73" i="11"/>
  <c r="AV73" i="11"/>
  <c r="CK81" i="11"/>
  <c r="BU81" i="11"/>
  <c r="CC81" i="11"/>
  <c r="BL81" i="11"/>
  <c r="AV81" i="11"/>
  <c r="CK89" i="11"/>
  <c r="CC89" i="11"/>
  <c r="BU89" i="11"/>
  <c r="BL89" i="11"/>
  <c r="AV89" i="11"/>
  <c r="CK97" i="11"/>
  <c r="BU97" i="11"/>
  <c r="CC97" i="11"/>
  <c r="BL97" i="11"/>
  <c r="AV97" i="11"/>
  <c r="CK105" i="11"/>
  <c r="CC105" i="11"/>
  <c r="BU105" i="11"/>
  <c r="BL105" i="11"/>
  <c r="AV105" i="11"/>
  <c r="CK113" i="11"/>
  <c r="BU113" i="11"/>
  <c r="CC113" i="11"/>
  <c r="BL113" i="11"/>
  <c r="AV113" i="11"/>
  <c r="CK126" i="11"/>
  <c r="CC126" i="11"/>
  <c r="BU126" i="11"/>
  <c r="BL126" i="11"/>
  <c r="BD126" i="11"/>
  <c r="CK134" i="11"/>
  <c r="CC134" i="11"/>
  <c r="BU134" i="11"/>
  <c r="BL134" i="11"/>
  <c r="BD134" i="11"/>
  <c r="CK142" i="11"/>
  <c r="CC142" i="11"/>
  <c r="BU142" i="11"/>
  <c r="BL142" i="11"/>
  <c r="BD142" i="11"/>
  <c r="CK150" i="11"/>
  <c r="CC150" i="11"/>
  <c r="BU150" i="11"/>
  <c r="BL150" i="11"/>
  <c r="BD150" i="11"/>
  <c r="CK9" i="11"/>
  <c r="BU9" i="11"/>
  <c r="CC9" i="11"/>
  <c r="BL9" i="11"/>
  <c r="AV9" i="11"/>
  <c r="CK17" i="11"/>
  <c r="BU17" i="11"/>
  <c r="CC17" i="11"/>
  <c r="BL17" i="11"/>
  <c r="AV17" i="11"/>
  <c r="CK25" i="11"/>
  <c r="CC25" i="11"/>
  <c r="BU25" i="11"/>
  <c r="AV25" i="11"/>
  <c r="BL25" i="11"/>
  <c r="BD25" i="11"/>
  <c r="CK33" i="11"/>
  <c r="BU33" i="11"/>
  <c r="CC33" i="11"/>
  <c r="BL33" i="11"/>
  <c r="AV33" i="11"/>
  <c r="CK41" i="11"/>
  <c r="CC41" i="11"/>
  <c r="BU41" i="11"/>
  <c r="AV41" i="11"/>
  <c r="BL41" i="11"/>
  <c r="CK50" i="11"/>
  <c r="CC50" i="11"/>
  <c r="BU50" i="11"/>
  <c r="BD50" i="11"/>
  <c r="BL50" i="11"/>
  <c r="CK58" i="11"/>
  <c r="CC58" i="11"/>
  <c r="BU58" i="11"/>
  <c r="BD58" i="11"/>
  <c r="BL58" i="11"/>
  <c r="CK66" i="11"/>
  <c r="CC66" i="11"/>
  <c r="BU66" i="11"/>
  <c r="BD66" i="11"/>
  <c r="BL66" i="11"/>
  <c r="CK74" i="11"/>
  <c r="CC74" i="11"/>
  <c r="BU74" i="11"/>
  <c r="BL74" i="11"/>
  <c r="BD74" i="11"/>
  <c r="CK82" i="11"/>
  <c r="CC82" i="11"/>
  <c r="BU82" i="11"/>
  <c r="BD82" i="11"/>
  <c r="BL82" i="11"/>
  <c r="CK90" i="11"/>
  <c r="CC90" i="11"/>
  <c r="BU90" i="11"/>
  <c r="BD90" i="11"/>
  <c r="BL90" i="11"/>
  <c r="CK98" i="11"/>
  <c r="CC98" i="11"/>
  <c r="BU98" i="11"/>
  <c r="BD98" i="11"/>
  <c r="CK106" i="11"/>
  <c r="CC106" i="11"/>
  <c r="BU106" i="11"/>
  <c r="BL106" i="11"/>
  <c r="BD106" i="11"/>
  <c r="CK114" i="11"/>
  <c r="CC114" i="11"/>
  <c r="BU114" i="11"/>
  <c r="BD114" i="11"/>
  <c r="CK127" i="11"/>
  <c r="CC127" i="11"/>
  <c r="BU127" i="11"/>
  <c r="BL127" i="11"/>
  <c r="CK135" i="11"/>
  <c r="CC135" i="11"/>
  <c r="BU135" i="11"/>
  <c r="BL135" i="11"/>
  <c r="CK143" i="11"/>
  <c r="CC143" i="11"/>
  <c r="BU143" i="11"/>
  <c r="BL143" i="11"/>
  <c r="CK151" i="11"/>
  <c r="CC151" i="11"/>
  <c r="BU151" i="11"/>
  <c r="BL151" i="11"/>
  <c r="CK10" i="11"/>
  <c r="CC10" i="11"/>
  <c r="BU10" i="11"/>
  <c r="BL10" i="11"/>
  <c r="BD10" i="11"/>
  <c r="CK18" i="11"/>
  <c r="CC18" i="11"/>
  <c r="BU18" i="11"/>
  <c r="BD18" i="11"/>
  <c r="BL18" i="11"/>
  <c r="CK26" i="11"/>
  <c r="CC26" i="11"/>
  <c r="BU26" i="11"/>
  <c r="BD26" i="11"/>
  <c r="BL26" i="11"/>
  <c r="CK34" i="11"/>
  <c r="CC34" i="11"/>
  <c r="BU34" i="11"/>
  <c r="BD34" i="11"/>
  <c r="BL34" i="11"/>
  <c r="CK42" i="11"/>
  <c r="CC42" i="11"/>
  <c r="BU42" i="11"/>
  <c r="BL42" i="11"/>
  <c r="BD42" i="11"/>
  <c r="CK51" i="11"/>
  <c r="CC51" i="11"/>
  <c r="BU51" i="11"/>
  <c r="BL51" i="11"/>
  <c r="AV51" i="11"/>
  <c r="CK59" i="11"/>
  <c r="CC59" i="11"/>
  <c r="BU59" i="11"/>
  <c r="BL59" i="11"/>
  <c r="BD59" i="11"/>
  <c r="AV59" i="11"/>
  <c r="CK67" i="11"/>
  <c r="CC67" i="11"/>
  <c r="BU67" i="11"/>
  <c r="BL67" i="11"/>
  <c r="BD67" i="11"/>
  <c r="AV67" i="11"/>
  <c r="CK75" i="11"/>
  <c r="CC75" i="11"/>
  <c r="BU75" i="11"/>
  <c r="BL75" i="11"/>
  <c r="BD75" i="11"/>
  <c r="AV75" i="11"/>
  <c r="CK83" i="11"/>
  <c r="CC83" i="11"/>
  <c r="BU83" i="11"/>
  <c r="BL83" i="11"/>
  <c r="AV83" i="11"/>
  <c r="CK91" i="11"/>
  <c r="CC91" i="11"/>
  <c r="BU91" i="11"/>
  <c r="BL91" i="11"/>
  <c r="BD91" i="11"/>
  <c r="AV91" i="11"/>
  <c r="CK99" i="11"/>
  <c r="CC99" i="11"/>
  <c r="BU99" i="11"/>
  <c r="BL99" i="11"/>
  <c r="BD99" i="11"/>
  <c r="AV99" i="11"/>
  <c r="CK107" i="11"/>
  <c r="CC107" i="11"/>
  <c r="BU107" i="11"/>
  <c r="BL107" i="11"/>
  <c r="BD107" i="11"/>
  <c r="AV107" i="11"/>
  <c r="CK120" i="11"/>
  <c r="CC120" i="11"/>
  <c r="BU120" i="11"/>
  <c r="BL120" i="11"/>
  <c r="BD120" i="11"/>
  <c r="CK128" i="11"/>
  <c r="CC128" i="11"/>
  <c r="BU128" i="11"/>
  <c r="BL128" i="11"/>
  <c r="BD128" i="11"/>
  <c r="CK136" i="11"/>
  <c r="CC136" i="11"/>
  <c r="BU136" i="11"/>
  <c r="BL136" i="11"/>
  <c r="CK144" i="11"/>
  <c r="CC144" i="11"/>
  <c r="BU144" i="11"/>
  <c r="BL144" i="11"/>
  <c r="BD144" i="11"/>
  <c r="CK11" i="11"/>
  <c r="CC11" i="11"/>
  <c r="BU11" i="11"/>
  <c r="BL11" i="11"/>
  <c r="BD11" i="11"/>
  <c r="AV11" i="11"/>
  <c r="CK19" i="11"/>
  <c r="CC19" i="11"/>
  <c r="BU19" i="11"/>
  <c r="BL19" i="11"/>
  <c r="BD19" i="11"/>
  <c r="AV19" i="11"/>
  <c r="CK27" i="11"/>
  <c r="CC27" i="11"/>
  <c r="BU27" i="11"/>
  <c r="BL27" i="11"/>
  <c r="BD27" i="11"/>
  <c r="AV27" i="11"/>
  <c r="CK35" i="11"/>
  <c r="CC35" i="11"/>
  <c r="BU35" i="11"/>
  <c r="BL35" i="11"/>
  <c r="BD35" i="11"/>
  <c r="AV35" i="11"/>
  <c r="CK43" i="11"/>
  <c r="CC43" i="11"/>
  <c r="BU43" i="11"/>
  <c r="BL43" i="11"/>
  <c r="BD43" i="11"/>
  <c r="AV43" i="11"/>
  <c r="CK52" i="11"/>
  <c r="CC52" i="11"/>
  <c r="BU52" i="11"/>
  <c r="BL52" i="11"/>
  <c r="CK60" i="11"/>
  <c r="CC60" i="11"/>
  <c r="BU60" i="11"/>
  <c r="BL60" i="11"/>
  <c r="CK68" i="11"/>
  <c r="CC68" i="11"/>
  <c r="BU68" i="11"/>
  <c r="BL68" i="11"/>
  <c r="CK76" i="11"/>
  <c r="CC76" i="11"/>
  <c r="BU76" i="11"/>
  <c r="BL76" i="11"/>
  <c r="CC84" i="11"/>
  <c r="CK84" i="11"/>
  <c r="BU84" i="11"/>
  <c r="BL84" i="11"/>
  <c r="CK92" i="11"/>
  <c r="CC92" i="11"/>
  <c r="BU92" i="11"/>
  <c r="BL92" i="11"/>
  <c r="CK100" i="11"/>
  <c r="CC100" i="11"/>
  <c r="BU100" i="11"/>
  <c r="BL100" i="11"/>
  <c r="CK108" i="11"/>
  <c r="CC108" i="11"/>
  <c r="BU108" i="11"/>
  <c r="BL108" i="11"/>
  <c r="CK121" i="11"/>
  <c r="BU121" i="11"/>
  <c r="CC121" i="11"/>
  <c r="BL121" i="11"/>
  <c r="AV121" i="11"/>
  <c r="CK129" i="11"/>
  <c r="BU129" i="11"/>
  <c r="CC129" i="11"/>
  <c r="BL129" i="11"/>
  <c r="AV129" i="11"/>
  <c r="CK137" i="11"/>
  <c r="CC137" i="11"/>
  <c r="BU137" i="11"/>
  <c r="BL137" i="11"/>
  <c r="AV137" i="11"/>
  <c r="CK145" i="11"/>
  <c r="BU145" i="11"/>
  <c r="CC145" i="11"/>
  <c r="BL145" i="11"/>
  <c r="AV145" i="11"/>
  <c r="CK12" i="11"/>
  <c r="CC12" i="11"/>
  <c r="BU12" i="11"/>
  <c r="BL12" i="11"/>
  <c r="CC20" i="11"/>
  <c r="CK20" i="11"/>
  <c r="BU20" i="11"/>
  <c r="BL20" i="11"/>
  <c r="CK28" i="11"/>
  <c r="CC28" i="11"/>
  <c r="BU28" i="11"/>
  <c r="CK36" i="11"/>
  <c r="CC36" i="11"/>
  <c r="BU36" i="11"/>
  <c r="BL36" i="11"/>
  <c r="CK44" i="11"/>
  <c r="CC44" i="11"/>
  <c r="BU44" i="11"/>
  <c r="BL44" i="11"/>
  <c r="CK53" i="11"/>
  <c r="CC53" i="11"/>
  <c r="BU53" i="11"/>
  <c r="BL53" i="11"/>
  <c r="BD53" i="11"/>
  <c r="CK61" i="11"/>
  <c r="CC61" i="11"/>
  <c r="BU61" i="11"/>
  <c r="CK69" i="11"/>
  <c r="CC69" i="11"/>
  <c r="BU69" i="11"/>
  <c r="BL69" i="11"/>
  <c r="BD69" i="11"/>
  <c r="CK77" i="11"/>
  <c r="CC77" i="11"/>
  <c r="BU77" i="11"/>
  <c r="BD77" i="11"/>
  <c r="BL77" i="11"/>
  <c r="CK85" i="11"/>
  <c r="BU85" i="11"/>
  <c r="CC85" i="11"/>
  <c r="BL85" i="11"/>
  <c r="BD85" i="11"/>
  <c r="CK93" i="11"/>
  <c r="CC93" i="11"/>
  <c r="BU93" i="11"/>
  <c r="BL93" i="11"/>
  <c r="CK101" i="11"/>
  <c r="BU101" i="11"/>
  <c r="CC101" i="11"/>
  <c r="BL101" i="11"/>
  <c r="BD101" i="11"/>
  <c r="CK109" i="11"/>
  <c r="CC109" i="11"/>
  <c r="BU109" i="11"/>
  <c r="BD109" i="11"/>
  <c r="BL109" i="11"/>
  <c r="CK122" i="11"/>
  <c r="CC122" i="11"/>
  <c r="BU122" i="11"/>
  <c r="BD122" i="11"/>
  <c r="BL122" i="11"/>
  <c r="CK130" i="11"/>
  <c r="CC130" i="11"/>
  <c r="BU130" i="11"/>
  <c r="BD130" i="11"/>
  <c r="BL130" i="11"/>
  <c r="CK138" i="11"/>
  <c r="CC138" i="11"/>
  <c r="BU138" i="11"/>
  <c r="BL138" i="11"/>
  <c r="BD138" i="11"/>
  <c r="CK146" i="11"/>
  <c r="CC146" i="11"/>
  <c r="BU146" i="11"/>
  <c r="BD146" i="11"/>
  <c r="BL146" i="11"/>
  <c r="CC116" i="11"/>
  <c r="CK116" i="11"/>
  <c r="BU116" i="11"/>
  <c r="BL116" i="11"/>
  <c r="CK191" i="11"/>
  <c r="CC191" i="11"/>
  <c r="BU191" i="11"/>
  <c r="BL191" i="11"/>
  <c r="CK183" i="11"/>
  <c r="CC183" i="11"/>
  <c r="BU183" i="11"/>
  <c r="BL183" i="11"/>
  <c r="CK175" i="11"/>
  <c r="CC175" i="11"/>
  <c r="BU175" i="11"/>
  <c r="BL175" i="11"/>
  <c r="CK167" i="11"/>
  <c r="CC167" i="11"/>
  <c r="BU167" i="11"/>
  <c r="BL167" i="11"/>
  <c r="CK159" i="11"/>
  <c r="CC159" i="11"/>
  <c r="BU159" i="11"/>
  <c r="BL159" i="11"/>
  <c r="CK228" i="11"/>
  <c r="CC228" i="11"/>
  <c r="BU228" i="11"/>
  <c r="BL228" i="11"/>
  <c r="CK220" i="11"/>
  <c r="CC220" i="11"/>
  <c r="BU220" i="11"/>
  <c r="BL220" i="11"/>
  <c r="CK212" i="11"/>
  <c r="CC212" i="11"/>
  <c r="BU212" i="11"/>
  <c r="BL212" i="11"/>
  <c r="CC204" i="11"/>
  <c r="CK204" i="11"/>
  <c r="BU204" i="11"/>
  <c r="BL204" i="11"/>
  <c r="CK254" i="11"/>
  <c r="CC254" i="11"/>
  <c r="BL254" i="11"/>
  <c r="BU254" i="11"/>
  <c r="CK239" i="11"/>
  <c r="CC239" i="11"/>
  <c r="BU239" i="11"/>
  <c r="BL239" i="11"/>
  <c r="CK231" i="11"/>
  <c r="CC231" i="11"/>
  <c r="BU231" i="11"/>
  <c r="BL231" i="11"/>
  <c r="CK249" i="11"/>
  <c r="BU249" i="11"/>
  <c r="CC249" i="11"/>
  <c r="BD249" i="11"/>
  <c r="BL249" i="11"/>
  <c r="CK293" i="11"/>
  <c r="CC293" i="11"/>
  <c r="BU293" i="11"/>
  <c r="BL293" i="11"/>
  <c r="BD293" i="11"/>
  <c r="CK285" i="11"/>
  <c r="CC285" i="11"/>
  <c r="BU285" i="11"/>
  <c r="BL285" i="11"/>
  <c r="BD285" i="11"/>
  <c r="CK277" i="11"/>
  <c r="CC277" i="11"/>
  <c r="BU277" i="11"/>
  <c r="BL277" i="11"/>
  <c r="BD277" i="11"/>
  <c r="CK269" i="11"/>
  <c r="CC269" i="11"/>
  <c r="BU269" i="11"/>
  <c r="BL269" i="11"/>
  <c r="BD269" i="11"/>
  <c r="CK261" i="11"/>
  <c r="CC261" i="11"/>
  <c r="BU261" i="11"/>
  <c r="BL261" i="11"/>
  <c r="BD261" i="11"/>
  <c r="AV286" i="11"/>
  <c r="AV278" i="11"/>
  <c r="AV270" i="11"/>
  <c r="AV262" i="11"/>
  <c r="AV254" i="11"/>
  <c r="AV202" i="11"/>
  <c r="AV191" i="11"/>
  <c r="AV159" i="11"/>
  <c r="AV138" i="11"/>
  <c r="AV127" i="11"/>
  <c r="AV106" i="11"/>
  <c r="AV82" i="11"/>
  <c r="AV69" i="11"/>
  <c r="AV44" i="11"/>
  <c r="AV18" i="11"/>
  <c r="BD254" i="11"/>
  <c r="BD240" i="11"/>
  <c r="BD228" i="11"/>
  <c r="BD176" i="11"/>
  <c r="BD164" i="11"/>
  <c r="BD129" i="11"/>
  <c r="BD113" i="11"/>
  <c r="BD61" i="11"/>
  <c r="BD44" i="11"/>
  <c r="BD28" i="11"/>
  <c r="BL184" i="11"/>
  <c r="CK115" i="11"/>
  <c r="CC115" i="11"/>
  <c r="BU115" i="11"/>
  <c r="BL115" i="11"/>
  <c r="AV115" i="11"/>
  <c r="CK190" i="11"/>
  <c r="CC190" i="11"/>
  <c r="BU190" i="11"/>
  <c r="BL190" i="11"/>
  <c r="CK182" i="11"/>
  <c r="CC182" i="11"/>
  <c r="BU182" i="11"/>
  <c r="BL182" i="11"/>
  <c r="CK174" i="11"/>
  <c r="CC174" i="11"/>
  <c r="BU174" i="11"/>
  <c r="BL174" i="11"/>
  <c r="CK166" i="11"/>
  <c r="CC166" i="11"/>
  <c r="BU166" i="11"/>
  <c r="BL166" i="11"/>
  <c r="CK158" i="11"/>
  <c r="CC158" i="11"/>
  <c r="BU158" i="11"/>
  <c r="BL158" i="11"/>
  <c r="BD158" i="11"/>
  <c r="CK227" i="11"/>
  <c r="CC227" i="11"/>
  <c r="BU227" i="11"/>
  <c r="BL227" i="11"/>
  <c r="BD227" i="11"/>
  <c r="AV227" i="11"/>
  <c r="CK219" i="11"/>
  <c r="CC219" i="11"/>
  <c r="BU219" i="11"/>
  <c r="BL219" i="11"/>
  <c r="BD219" i="11"/>
  <c r="AV219" i="11"/>
  <c r="CK211" i="11"/>
  <c r="CC211" i="11"/>
  <c r="BU211" i="11"/>
  <c r="BD211" i="11"/>
  <c r="BL211" i="11"/>
  <c r="AV211" i="11"/>
  <c r="CK203" i="11"/>
  <c r="CC203" i="11"/>
  <c r="BU203" i="11"/>
  <c r="BL203" i="11"/>
  <c r="BD203" i="11"/>
  <c r="AV203" i="11"/>
  <c r="CK253" i="11"/>
  <c r="CC253" i="11"/>
  <c r="BU253" i="11"/>
  <c r="BL253" i="11"/>
  <c r="BD253" i="11"/>
  <c r="CK238" i="11"/>
  <c r="CC238" i="11"/>
  <c r="BU238" i="11"/>
  <c r="BL238" i="11"/>
  <c r="CK230" i="11"/>
  <c r="CC230" i="11"/>
  <c r="BU230" i="11"/>
  <c r="BL230" i="11"/>
  <c r="CK248" i="11"/>
  <c r="CC248" i="11"/>
  <c r="BU248" i="11"/>
  <c r="BL248" i="11"/>
  <c r="CK252" i="11"/>
  <c r="CC252" i="11"/>
  <c r="BU252" i="11"/>
  <c r="BL252" i="11"/>
  <c r="CK292" i="11"/>
  <c r="CC292" i="11"/>
  <c r="BU292" i="11"/>
  <c r="BL292" i="11"/>
  <c r="CK284" i="11"/>
  <c r="CC284" i="11"/>
  <c r="BU284" i="11"/>
  <c r="CK276" i="11"/>
  <c r="CC276" i="11"/>
  <c r="BU276" i="11"/>
  <c r="BL276" i="11"/>
  <c r="CK268" i="11"/>
  <c r="CC268" i="11"/>
  <c r="BU268" i="11"/>
  <c r="CK260" i="11"/>
  <c r="CC260" i="11"/>
  <c r="BU260" i="11"/>
  <c r="BL260" i="11"/>
  <c r="AV293" i="11"/>
  <c r="AV285" i="11"/>
  <c r="AV277" i="11"/>
  <c r="AV269" i="11"/>
  <c r="AV261" i="11"/>
  <c r="AV253" i="11"/>
  <c r="AV232" i="11"/>
  <c r="AV222" i="11"/>
  <c r="AV212" i="11"/>
  <c r="AV200" i="11"/>
  <c r="AV190" i="11"/>
  <c r="AV168" i="11"/>
  <c r="AV158" i="11"/>
  <c r="AV136" i="11"/>
  <c r="AV126" i="11"/>
  <c r="AV116" i="11"/>
  <c r="AV93" i="11"/>
  <c r="AV68" i="11"/>
  <c r="AV42" i="11"/>
  <c r="AV16" i="11"/>
  <c r="BD252" i="11"/>
  <c r="BD239" i="11"/>
  <c r="BD175" i="11"/>
  <c r="BD145" i="11"/>
  <c r="BD127" i="11"/>
  <c r="BD93" i="11"/>
  <c r="BD76" i="11"/>
  <c r="BD60" i="11"/>
  <c r="BD41" i="11"/>
  <c r="BL28" i="11"/>
  <c r="CK13" i="11"/>
  <c r="CC13" i="11"/>
  <c r="BU13" i="11"/>
  <c r="BL13" i="11"/>
  <c r="BD13" i="11"/>
  <c r="CK21" i="11"/>
  <c r="BU21" i="11"/>
  <c r="CC21" i="11"/>
  <c r="BL21" i="11"/>
  <c r="BD21" i="11"/>
  <c r="CK29" i="11"/>
  <c r="CC29" i="11"/>
  <c r="BU29" i="11"/>
  <c r="BL29" i="11"/>
  <c r="CK37" i="11"/>
  <c r="BU37" i="11"/>
  <c r="CC37" i="11"/>
  <c r="BL37" i="11"/>
  <c r="BD37" i="11"/>
  <c r="CK45" i="11"/>
  <c r="CC45" i="11"/>
  <c r="BU45" i="11"/>
  <c r="BD45" i="11"/>
  <c r="CK54" i="11"/>
  <c r="CC54" i="11"/>
  <c r="BU54" i="11"/>
  <c r="BL54" i="11"/>
  <c r="BD54" i="11"/>
  <c r="CK62" i="11"/>
  <c r="CC62" i="11"/>
  <c r="BU62" i="11"/>
  <c r="BL62" i="11"/>
  <c r="BD62" i="11"/>
  <c r="CK70" i="11"/>
  <c r="CC70" i="11"/>
  <c r="BU70" i="11"/>
  <c r="BL70" i="11"/>
  <c r="BD70" i="11"/>
  <c r="CK78" i="11"/>
  <c r="CC78" i="11"/>
  <c r="BU78" i="11"/>
  <c r="BL78" i="11"/>
  <c r="BD78" i="11"/>
  <c r="CK86" i="11"/>
  <c r="CC86" i="11"/>
  <c r="BU86" i="11"/>
  <c r="BL86" i="11"/>
  <c r="BD86" i="11"/>
  <c r="CK94" i="11"/>
  <c r="CC94" i="11"/>
  <c r="BU94" i="11"/>
  <c r="BL94" i="11"/>
  <c r="BD94" i="11"/>
  <c r="CK102" i="11"/>
  <c r="CC102" i="11"/>
  <c r="BU102" i="11"/>
  <c r="BL102" i="11"/>
  <c r="BD102" i="11"/>
  <c r="CK110" i="11"/>
  <c r="BU110" i="11"/>
  <c r="BL110" i="11"/>
  <c r="CC110" i="11"/>
  <c r="BD110" i="11"/>
  <c r="CK123" i="11"/>
  <c r="CC123" i="11"/>
  <c r="BU123" i="11"/>
  <c r="BL123" i="11"/>
  <c r="BD123" i="11"/>
  <c r="AV123" i="11"/>
  <c r="CK131" i="11"/>
  <c r="CC131" i="11"/>
  <c r="BU131" i="11"/>
  <c r="BD131" i="11"/>
  <c r="AV131" i="11"/>
  <c r="CK139" i="11"/>
  <c r="CC139" i="11"/>
  <c r="BU139" i="11"/>
  <c r="BL139" i="11"/>
  <c r="BD139" i="11"/>
  <c r="AV139" i="11"/>
  <c r="CK147" i="11"/>
  <c r="CC147" i="11"/>
  <c r="BU147" i="11"/>
  <c r="AV147" i="11"/>
  <c r="CK14" i="11"/>
  <c r="CC14" i="11"/>
  <c r="BU14" i="11"/>
  <c r="BL14" i="11"/>
  <c r="BD14" i="11"/>
  <c r="CK22" i="11"/>
  <c r="CC22" i="11"/>
  <c r="BU22" i="11"/>
  <c r="BL22" i="11"/>
  <c r="BD22" i="11"/>
  <c r="CK30" i="11"/>
  <c r="CC30" i="11"/>
  <c r="BU30" i="11"/>
  <c r="BL30" i="11"/>
  <c r="BD30" i="11"/>
  <c r="CK38" i="11"/>
  <c r="CC38" i="11"/>
  <c r="BU38" i="11"/>
  <c r="BL38" i="11"/>
  <c r="BD38" i="11"/>
  <c r="CK47" i="11"/>
  <c r="CC47" i="11"/>
  <c r="BU47" i="11"/>
  <c r="BL47" i="11"/>
  <c r="AV47" i="11"/>
  <c r="CK55" i="11"/>
  <c r="CC55" i="11"/>
  <c r="BU55" i="11"/>
  <c r="BL55" i="11"/>
  <c r="AV55" i="11"/>
  <c r="CK63" i="11"/>
  <c r="CC63" i="11"/>
  <c r="BU63" i="11"/>
  <c r="BL63" i="11"/>
  <c r="AV63" i="11"/>
  <c r="CK71" i="11"/>
  <c r="CC71" i="11"/>
  <c r="BU71" i="11"/>
  <c r="BL71" i="11"/>
  <c r="AV71" i="11"/>
  <c r="CK79" i="11"/>
  <c r="CC79" i="11"/>
  <c r="BU79" i="11"/>
  <c r="BL79" i="11"/>
  <c r="AV79" i="11"/>
  <c r="CK87" i="11"/>
  <c r="CC87" i="11"/>
  <c r="BU87" i="11"/>
  <c r="BL87" i="11"/>
  <c r="AV87" i="11"/>
  <c r="CK95" i="11"/>
  <c r="CC95" i="11"/>
  <c r="BU95" i="11"/>
  <c r="BL95" i="11"/>
  <c r="AV95" i="11"/>
  <c r="CK103" i="11"/>
  <c r="CC103" i="11"/>
  <c r="BU103" i="11"/>
  <c r="BL103" i="11"/>
  <c r="CK111" i="11"/>
  <c r="CC111" i="11"/>
  <c r="BU111" i="11"/>
  <c r="BL111" i="11"/>
  <c r="CC124" i="11"/>
  <c r="CK124" i="11"/>
  <c r="BU124" i="11"/>
  <c r="BL124" i="11"/>
  <c r="CK132" i="11"/>
  <c r="CC132" i="11"/>
  <c r="BU132" i="11"/>
  <c r="BL132" i="11"/>
  <c r="CC140" i="11"/>
  <c r="CK140" i="11"/>
  <c r="BU140" i="11"/>
  <c r="BL140" i="11"/>
  <c r="CK148" i="11"/>
  <c r="CC148" i="11"/>
  <c r="BU148" i="11"/>
  <c r="BL148" i="11"/>
  <c r="CK189" i="11"/>
  <c r="BU189" i="11"/>
  <c r="CC189" i="11"/>
  <c r="BL189" i="11"/>
  <c r="BD189" i="11"/>
  <c r="CK181" i="11"/>
  <c r="CC181" i="11"/>
  <c r="BU181" i="11"/>
  <c r="BL181" i="11"/>
  <c r="BD181" i="11"/>
  <c r="CK173" i="11"/>
  <c r="CC173" i="11"/>
  <c r="BU173" i="11"/>
  <c r="BL173" i="11"/>
  <c r="BD173" i="11"/>
  <c r="CK165" i="11"/>
  <c r="BU165" i="11"/>
  <c r="CC165" i="11"/>
  <c r="BL165" i="11"/>
  <c r="BD165" i="11"/>
  <c r="CK157" i="11"/>
  <c r="BU157" i="11"/>
  <c r="CC157" i="11"/>
  <c r="BL157" i="11"/>
  <c r="CK226" i="11"/>
  <c r="CC226" i="11"/>
  <c r="BU226" i="11"/>
  <c r="BL226" i="11"/>
  <c r="CK218" i="11"/>
  <c r="CC218" i="11"/>
  <c r="BU218" i="11"/>
  <c r="BL218" i="11"/>
  <c r="CK210" i="11"/>
  <c r="CC210" i="11"/>
  <c r="BU210" i="11"/>
  <c r="BL210" i="11"/>
  <c r="CK202" i="11"/>
  <c r="CC202" i="11"/>
  <c r="BU202" i="11"/>
  <c r="BL202" i="11"/>
  <c r="CK246" i="11"/>
  <c r="CC246" i="11"/>
  <c r="BU246" i="11"/>
  <c r="BL246" i="11"/>
  <c r="CK237" i="11"/>
  <c r="CC237" i="11"/>
  <c r="BU237" i="11"/>
  <c r="BL237" i="11"/>
  <c r="BD237" i="11"/>
  <c r="CK229" i="11"/>
  <c r="CC229" i="11"/>
  <c r="BU229" i="11"/>
  <c r="BL229" i="11"/>
  <c r="BD229" i="11"/>
  <c r="CK251" i="11"/>
  <c r="CC251" i="11"/>
  <c r="BU251" i="11"/>
  <c r="BL251" i="11"/>
  <c r="BD251" i="11"/>
  <c r="AV251" i="11"/>
  <c r="CK291" i="11"/>
  <c r="CC291" i="11"/>
  <c r="BU291" i="11"/>
  <c r="BL291" i="11"/>
  <c r="BD291" i="11"/>
  <c r="CK283" i="11"/>
  <c r="CC283" i="11"/>
  <c r="BU283" i="11"/>
  <c r="BL283" i="11"/>
  <c r="BD283" i="11"/>
  <c r="CK275" i="11"/>
  <c r="CC275" i="11"/>
  <c r="BU275" i="11"/>
  <c r="BL275" i="11"/>
  <c r="BD275" i="11"/>
  <c r="CK267" i="11"/>
  <c r="CC267" i="11"/>
  <c r="BU267" i="11"/>
  <c r="BL267" i="11"/>
  <c r="BD267" i="11"/>
  <c r="CK259" i="11"/>
  <c r="CC259" i="11"/>
  <c r="BU259" i="11"/>
  <c r="BL259" i="11"/>
  <c r="BD259" i="11"/>
  <c r="AV231" i="11"/>
  <c r="AV210" i="11"/>
  <c r="AV189" i="11"/>
  <c r="AV167" i="11"/>
  <c r="AV157" i="11"/>
  <c r="AV146" i="11"/>
  <c r="AV135" i="11"/>
  <c r="AV125" i="11"/>
  <c r="AV114" i="11"/>
  <c r="AV92" i="11"/>
  <c r="AV78" i="11"/>
  <c r="AV66" i="11"/>
  <c r="AV53" i="11"/>
  <c r="AV40" i="11"/>
  <c r="AV28" i="11"/>
  <c r="AV14" i="11"/>
  <c r="BD238" i="11"/>
  <c r="BD212" i="11"/>
  <c r="BD186" i="11"/>
  <c r="BD174" i="11"/>
  <c r="BD159" i="11"/>
  <c r="BD143" i="11"/>
  <c r="BD108" i="11"/>
  <c r="BD92" i="11"/>
  <c r="BD73" i="11"/>
  <c r="BD57" i="11"/>
  <c r="BD40" i="11"/>
  <c r="BD20" i="11"/>
  <c r="BL147" i="11"/>
  <c r="CK15" i="11"/>
  <c r="CC15" i="11"/>
  <c r="BU15" i="11"/>
  <c r="BL15" i="11"/>
  <c r="AV15" i="11"/>
  <c r="BD15" i="11"/>
  <c r="CK23" i="11"/>
  <c r="CC23" i="11"/>
  <c r="BU23" i="11"/>
  <c r="BL23" i="11"/>
  <c r="AV23" i="11"/>
  <c r="CK31" i="11"/>
  <c r="CC31" i="11"/>
  <c r="BU31" i="11"/>
  <c r="BL31" i="11"/>
  <c r="AV31" i="11"/>
  <c r="CK39" i="11"/>
  <c r="CC39" i="11"/>
  <c r="BU39" i="11"/>
  <c r="BL39" i="11"/>
  <c r="AV39" i="11"/>
  <c r="CK48" i="11"/>
  <c r="CC48" i="11"/>
  <c r="BU48" i="11"/>
  <c r="BL48" i="11"/>
  <c r="BD48" i="11"/>
  <c r="CK56" i="11"/>
  <c r="CC56" i="11"/>
  <c r="BU56" i="11"/>
  <c r="BL56" i="11"/>
  <c r="BD56" i="11"/>
  <c r="CK64" i="11"/>
  <c r="CC64" i="11"/>
  <c r="BU64" i="11"/>
  <c r="BL64" i="11"/>
  <c r="BD64" i="11"/>
  <c r="CK72" i="11"/>
  <c r="CC72" i="11"/>
  <c r="BU72" i="11"/>
  <c r="BL72" i="11"/>
  <c r="CK80" i="11"/>
  <c r="CC80" i="11"/>
  <c r="BU80" i="11"/>
  <c r="BD80" i="11"/>
  <c r="CK88" i="11"/>
  <c r="CC88" i="11"/>
  <c r="BU88" i="11"/>
  <c r="BL88" i="11"/>
  <c r="BD88" i="11"/>
  <c r="CK96" i="11"/>
  <c r="CC96" i="11"/>
  <c r="BU96" i="11"/>
  <c r="BL96" i="11"/>
  <c r="BD96" i="11"/>
  <c r="CK104" i="11"/>
  <c r="CC104" i="11"/>
  <c r="BU104" i="11"/>
  <c r="BL104" i="11"/>
  <c r="CK112" i="11"/>
  <c r="CC112" i="11"/>
  <c r="BU112" i="11"/>
  <c r="BL112" i="11"/>
  <c r="BD112" i="11"/>
  <c r="CK125" i="11"/>
  <c r="BU125" i="11"/>
  <c r="CC125" i="11"/>
  <c r="BL125" i="11"/>
  <c r="CK133" i="11"/>
  <c r="BU133" i="11"/>
  <c r="CC133" i="11"/>
  <c r="BL133" i="11"/>
  <c r="BD133" i="11"/>
  <c r="CK141" i="11"/>
  <c r="CC141" i="11"/>
  <c r="BU141" i="11"/>
  <c r="BL141" i="11"/>
  <c r="BD141" i="11"/>
  <c r="CK149" i="11"/>
  <c r="CC149" i="11"/>
  <c r="BU149" i="11"/>
  <c r="BL149" i="11"/>
  <c r="BD149" i="11"/>
  <c r="CK196" i="11"/>
  <c r="CC196" i="11"/>
  <c r="BU196" i="11"/>
  <c r="BL196" i="11"/>
  <c r="CC188" i="11"/>
  <c r="CK188" i="11"/>
  <c r="BU188" i="11"/>
  <c r="BL188" i="11"/>
  <c r="CC180" i="11"/>
  <c r="CK180" i="11"/>
  <c r="BU180" i="11"/>
  <c r="BL180" i="11"/>
  <c r="CK172" i="11"/>
  <c r="CC172" i="11"/>
  <c r="BU172" i="11"/>
  <c r="BL172" i="11"/>
  <c r="CC164" i="11"/>
  <c r="CK164" i="11"/>
  <c r="BU164" i="11"/>
  <c r="CK156" i="11"/>
  <c r="CC156" i="11"/>
  <c r="BU156" i="11"/>
  <c r="BL156" i="11"/>
  <c r="CK225" i="11"/>
  <c r="BU225" i="11"/>
  <c r="CC225" i="11"/>
  <c r="BL225" i="11"/>
  <c r="BD225" i="11"/>
  <c r="AV225" i="11"/>
  <c r="CK217" i="11"/>
  <c r="BU217" i="11"/>
  <c r="CC217" i="11"/>
  <c r="BD217" i="11"/>
  <c r="AV217" i="11"/>
  <c r="CK209" i="11"/>
  <c r="BU209" i="11"/>
  <c r="CC209" i="11"/>
  <c r="BL209" i="11"/>
  <c r="BD209" i="11"/>
  <c r="AV209" i="11"/>
  <c r="CK201" i="11"/>
  <c r="CC201" i="11"/>
  <c r="BU201" i="11"/>
  <c r="BL201" i="11"/>
  <c r="BD201" i="11"/>
  <c r="AV201" i="11"/>
  <c r="CK244" i="11"/>
  <c r="CC244" i="11"/>
  <c r="BU244" i="11"/>
  <c r="BL244" i="11"/>
  <c r="CK236" i="11"/>
  <c r="CC236" i="11"/>
  <c r="BU236" i="11"/>
  <c r="BL236" i="11"/>
  <c r="CK46" i="11"/>
  <c r="BU46" i="11"/>
  <c r="CC46" i="11"/>
  <c r="BL46" i="11"/>
  <c r="BD46" i="11"/>
  <c r="CK250" i="11"/>
  <c r="CC250" i="11"/>
  <c r="BU250" i="11"/>
  <c r="CK290" i="11"/>
  <c r="CC290" i="11"/>
  <c r="BU290" i="11"/>
  <c r="BL290" i="11"/>
  <c r="CK282" i="11"/>
  <c r="CC282" i="11"/>
  <c r="BU282" i="11"/>
  <c r="BL282" i="11"/>
  <c r="CK274" i="11"/>
  <c r="CC274" i="11"/>
  <c r="BU274" i="11"/>
  <c r="BL274" i="11"/>
  <c r="CK266" i="11"/>
  <c r="CC266" i="11"/>
  <c r="BU266" i="11"/>
  <c r="BL266" i="11"/>
  <c r="CK258" i="11"/>
  <c r="CC258" i="11"/>
  <c r="BU258" i="11"/>
  <c r="BL258" i="11"/>
  <c r="AV291" i="11"/>
  <c r="AV283" i="11"/>
  <c r="AV275" i="11"/>
  <c r="AV267" i="11"/>
  <c r="AV259" i="11"/>
  <c r="AV250" i="11"/>
  <c r="AV220" i="11"/>
  <c r="AV188" i="11"/>
  <c r="AV156" i="11"/>
  <c r="AV144" i="11"/>
  <c r="AV134" i="11"/>
  <c r="AV124" i="11"/>
  <c r="AV112" i="11"/>
  <c r="AV102" i="11"/>
  <c r="AV90" i="11"/>
  <c r="AV77" i="11"/>
  <c r="AV64" i="11"/>
  <c r="AV52" i="11"/>
  <c r="AV38" i="11"/>
  <c r="AV26" i="11"/>
  <c r="AV13" i="11"/>
  <c r="BD274" i="11"/>
  <c r="BD236" i="11"/>
  <c r="BD210" i="11"/>
  <c r="BD184" i="11"/>
  <c r="BD172" i="11"/>
  <c r="BD157" i="11"/>
  <c r="BD140" i="11"/>
  <c r="BD124" i="11"/>
  <c r="BD105" i="11"/>
  <c r="BD89" i="11"/>
  <c r="BD72" i="11"/>
  <c r="BD55" i="11"/>
  <c r="BD39" i="11"/>
  <c r="BD17" i="11"/>
  <c r="BL131" i="11"/>
  <c r="CK195" i="11"/>
  <c r="CC195" i="11"/>
  <c r="BU195" i="11"/>
  <c r="BD195" i="11"/>
  <c r="BL195" i="11"/>
  <c r="AV195" i="11"/>
  <c r="CK187" i="11"/>
  <c r="CC187" i="11"/>
  <c r="BU187" i="11"/>
  <c r="BL187" i="11"/>
  <c r="BD187" i="11"/>
  <c r="AV187" i="11"/>
  <c r="CK179" i="11"/>
  <c r="CC179" i="11"/>
  <c r="BU179" i="11"/>
  <c r="BD179" i="11"/>
  <c r="BL179" i="11"/>
  <c r="AV179" i="11"/>
  <c r="CK171" i="11"/>
  <c r="CC171" i="11"/>
  <c r="BU171" i="11"/>
  <c r="BL171" i="11"/>
  <c r="BD171" i="11"/>
  <c r="AV171" i="11"/>
  <c r="CK163" i="11"/>
  <c r="CC163" i="11"/>
  <c r="BU163" i="11"/>
  <c r="BD163" i="11"/>
  <c r="BL163" i="11"/>
  <c r="AV163" i="11"/>
  <c r="CK155" i="11"/>
  <c r="CC155" i="11"/>
  <c r="BU155" i="11"/>
  <c r="BL155" i="11"/>
  <c r="BD155" i="11"/>
  <c r="AV155" i="11"/>
  <c r="CK224" i="11"/>
  <c r="CC224" i="11"/>
  <c r="BU224" i="11"/>
  <c r="BL224" i="11"/>
  <c r="CK216" i="11"/>
  <c r="CC216" i="11"/>
  <c r="BU216" i="11"/>
  <c r="BL216" i="11"/>
  <c r="CK208" i="11"/>
  <c r="CC208" i="11"/>
  <c r="BU208" i="11"/>
  <c r="BL208" i="11"/>
  <c r="CK200" i="11"/>
  <c r="CC200" i="11"/>
  <c r="BU200" i="11"/>
  <c r="CK243" i="11"/>
  <c r="CC243" i="11"/>
  <c r="BU243" i="11"/>
  <c r="BL243" i="11"/>
  <c r="BD243" i="11"/>
  <c r="AV243" i="11"/>
  <c r="CK235" i="11"/>
  <c r="CC235" i="11"/>
  <c r="BU235" i="11"/>
  <c r="BL235" i="11"/>
  <c r="BD235" i="11"/>
  <c r="AV235" i="11"/>
  <c r="CK289" i="11"/>
  <c r="BU289" i="11"/>
  <c r="CC289" i="11"/>
  <c r="BL289" i="11"/>
  <c r="BD289" i="11"/>
  <c r="CK281" i="11"/>
  <c r="BU281" i="11"/>
  <c r="CC281" i="11"/>
  <c r="BD281" i="11"/>
  <c r="BL281" i="11"/>
  <c r="CK273" i="11"/>
  <c r="BU273" i="11"/>
  <c r="CC273" i="11"/>
  <c r="BL273" i="11"/>
  <c r="BD273" i="11"/>
  <c r="CK265" i="11"/>
  <c r="BU265" i="11"/>
  <c r="CC265" i="11"/>
  <c r="BD265" i="11"/>
  <c r="BL265" i="11"/>
  <c r="CK257" i="11"/>
  <c r="BU257" i="11"/>
  <c r="CC257" i="11"/>
  <c r="BL257" i="11"/>
  <c r="BD257" i="11"/>
  <c r="AV290" i="11"/>
  <c r="AV282" i="11"/>
  <c r="AV274" i="11"/>
  <c r="AV266" i="11"/>
  <c r="AV258" i="11"/>
  <c r="AV249" i="11"/>
  <c r="AV239" i="11"/>
  <c r="AV229" i="11"/>
  <c r="AV218" i="11"/>
  <c r="AV175" i="11"/>
  <c r="AV165" i="11"/>
  <c r="AV143" i="11"/>
  <c r="AV133" i="11"/>
  <c r="AV122" i="11"/>
  <c r="AV111" i="11"/>
  <c r="AV101" i="11"/>
  <c r="AV88" i="11"/>
  <c r="AV76" i="11"/>
  <c r="AV62" i="11"/>
  <c r="AV50" i="11"/>
  <c r="AV37" i="11"/>
  <c r="AV24" i="11"/>
  <c r="AV12" i="11"/>
  <c r="BD260" i="11"/>
  <c r="BD247" i="11"/>
  <c r="BD208" i="11"/>
  <c r="BD196" i="11"/>
  <c r="BD183" i="11"/>
  <c r="BD156" i="11"/>
  <c r="BD137" i="11"/>
  <c r="BD121" i="11"/>
  <c r="BD104" i="11"/>
  <c r="BD87" i="11"/>
  <c r="BD71" i="11"/>
  <c r="BD52" i="11"/>
  <c r="BD36" i="11"/>
  <c r="BD12" i="11"/>
  <c r="BL250" i="11"/>
  <c r="BL114" i="11"/>
  <c r="CK119" i="11"/>
  <c r="CC119" i="11"/>
  <c r="BU119" i="11"/>
  <c r="BL119" i="11"/>
  <c r="CK194" i="11"/>
  <c r="CC194" i="11"/>
  <c r="BU194" i="11"/>
  <c r="BL194" i="11"/>
  <c r="CK186" i="11"/>
  <c r="CC186" i="11"/>
  <c r="BU186" i="11"/>
  <c r="BL186" i="11"/>
  <c r="CK178" i="11"/>
  <c r="CC178" i="11"/>
  <c r="BU178" i="11"/>
  <c r="BL178" i="11"/>
  <c r="CK170" i="11"/>
  <c r="CC170" i="11"/>
  <c r="BU170" i="11"/>
  <c r="BL170" i="11"/>
  <c r="CK162" i="11"/>
  <c r="CC162" i="11"/>
  <c r="BU162" i="11"/>
  <c r="BD162" i="11"/>
  <c r="BL162" i="11"/>
  <c r="CK154" i="11"/>
  <c r="CC154" i="11"/>
  <c r="BU154" i="11"/>
  <c r="BD154" i="11"/>
  <c r="BL154" i="11"/>
  <c r="CK223" i="11"/>
  <c r="BU223" i="11"/>
  <c r="CC223" i="11"/>
  <c r="BL223" i="11"/>
  <c r="CK215" i="11"/>
  <c r="CC215" i="11"/>
  <c r="BU215" i="11"/>
  <c r="BL215" i="11"/>
  <c r="CK207" i="11"/>
  <c r="CC207" i="11"/>
  <c r="BU207" i="11"/>
  <c r="BL207" i="11"/>
  <c r="CK199" i="11"/>
  <c r="CC199" i="11"/>
  <c r="BU199" i="11"/>
  <c r="BL199" i="11"/>
  <c r="CK242" i="11"/>
  <c r="CC242" i="11"/>
  <c r="BU242" i="11"/>
  <c r="BL242" i="11"/>
  <c r="CK234" i="11"/>
  <c r="CC234" i="11"/>
  <c r="BU234" i="11"/>
  <c r="BL234" i="11"/>
  <c r="CK288" i="11"/>
  <c r="CC288" i="11"/>
  <c r="BU288" i="11"/>
  <c r="BL288" i="11"/>
  <c r="CK280" i="11"/>
  <c r="CC280" i="11"/>
  <c r="BU280" i="11"/>
  <c r="BL280" i="11"/>
  <c r="CK272" i="11"/>
  <c r="CC272" i="11"/>
  <c r="BU272" i="11"/>
  <c r="BL272" i="11"/>
  <c r="CK264" i="11"/>
  <c r="CC264" i="11"/>
  <c r="BU264" i="11"/>
  <c r="BL264" i="11"/>
  <c r="CK256" i="11"/>
  <c r="CC256" i="11"/>
  <c r="BU256" i="11"/>
  <c r="BL256" i="11"/>
  <c r="AV289" i="11"/>
  <c r="AV281" i="11"/>
  <c r="AV273" i="11"/>
  <c r="AV265" i="11"/>
  <c r="AV257" i="11"/>
  <c r="AV248" i="11"/>
  <c r="AV238" i="11"/>
  <c r="AV228" i="11"/>
  <c r="AV216" i="11"/>
  <c r="AV196" i="11"/>
  <c r="AV174" i="11"/>
  <c r="AV164" i="11"/>
  <c r="AV142" i="11"/>
  <c r="AV132" i="11"/>
  <c r="AV120" i="11"/>
  <c r="AV110" i="11"/>
  <c r="AV100" i="11"/>
  <c r="AV86" i="11"/>
  <c r="AV74" i="11"/>
  <c r="AV61" i="11"/>
  <c r="AV48" i="11"/>
  <c r="AV36" i="11"/>
  <c r="AV22" i="11"/>
  <c r="AV10" i="11"/>
  <c r="BD284" i="11"/>
  <c r="BD258" i="11"/>
  <c r="BD246" i="11"/>
  <c r="BD220" i="11"/>
  <c r="BD207" i="11"/>
  <c r="BD194" i="11"/>
  <c r="BD182" i="11"/>
  <c r="BD136" i="11"/>
  <c r="BD119" i="11"/>
  <c r="BD84" i="11"/>
  <c r="BD68" i="11"/>
  <c r="BD51" i="11"/>
  <c r="BD33" i="11"/>
  <c r="BD9" i="11"/>
  <c r="BL98" i="11"/>
  <c r="CK118" i="11"/>
  <c r="CC118" i="11"/>
  <c r="BU118" i="11"/>
  <c r="BL118" i="11"/>
  <c r="BD118" i="11"/>
  <c r="CK193" i="11"/>
  <c r="BU193" i="11"/>
  <c r="CC193" i="11"/>
  <c r="BL193" i="11"/>
  <c r="BD193" i="11"/>
  <c r="AV193" i="11"/>
  <c r="CK185" i="11"/>
  <c r="BU185" i="11"/>
  <c r="CC185" i="11"/>
  <c r="BL185" i="11"/>
  <c r="BD185" i="11"/>
  <c r="AV185" i="11"/>
  <c r="CK177" i="11"/>
  <c r="BU177" i="11"/>
  <c r="CC177" i="11"/>
  <c r="BL177" i="11"/>
  <c r="BD177" i="11"/>
  <c r="AV177" i="11"/>
  <c r="CK169" i="11"/>
  <c r="CC169" i="11"/>
  <c r="BU169" i="11"/>
  <c r="BL169" i="11"/>
  <c r="BD169" i="11"/>
  <c r="AV169" i="11"/>
  <c r="CK161" i="11"/>
  <c r="BU161" i="11"/>
  <c r="CC161" i="11"/>
  <c r="BL161" i="11"/>
  <c r="AV161" i="11"/>
  <c r="CK153" i="11"/>
  <c r="BU153" i="11"/>
  <c r="CC153" i="11"/>
  <c r="BL153" i="11"/>
  <c r="AV153" i="11"/>
  <c r="CK222" i="11"/>
  <c r="CC222" i="11"/>
  <c r="BL222" i="11"/>
  <c r="BU222" i="11"/>
  <c r="CK214" i="11"/>
  <c r="CC214" i="11"/>
  <c r="BU214" i="11"/>
  <c r="BL214" i="11"/>
  <c r="CK206" i="11"/>
  <c r="CC206" i="11"/>
  <c r="BU206" i="11"/>
  <c r="BL206" i="11"/>
  <c r="CK198" i="11"/>
  <c r="CC198" i="11"/>
  <c r="BU198" i="11"/>
  <c r="BL198" i="11"/>
  <c r="CK241" i="11"/>
  <c r="BU241" i="11"/>
  <c r="CC241" i="11"/>
  <c r="BL241" i="11"/>
  <c r="BD241" i="11"/>
  <c r="AV241" i="11"/>
  <c r="CK233" i="11"/>
  <c r="BU233" i="11"/>
  <c r="CC233" i="11"/>
  <c r="BD233" i="11"/>
  <c r="AV233" i="11"/>
  <c r="CK245" i="11"/>
  <c r="CC245" i="11"/>
  <c r="BU245" i="11"/>
  <c r="BL245" i="11"/>
  <c r="BD245" i="11"/>
  <c r="CK287" i="11"/>
  <c r="BU287" i="11"/>
  <c r="CC287" i="11"/>
  <c r="BL287" i="11"/>
  <c r="CK279" i="11"/>
  <c r="CC279" i="11"/>
  <c r="BU279" i="11"/>
  <c r="BL279" i="11"/>
  <c r="CK271" i="11"/>
  <c r="CC271" i="11"/>
  <c r="BU271" i="11"/>
  <c r="BL271" i="11"/>
  <c r="CK263" i="11"/>
  <c r="BU263" i="11"/>
  <c r="CC263" i="11"/>
  <c r="BL263" i="11"/>
  <c r="CK255" i="11"/>
  <c r="BU255" i="11"/>
  <c r="CC255" i="11"/>
  <c r="BL255" i="11"/>
  <c r="AV288" i="11"/>
  <c r="AV280" i="11"/>
  <c r="AV272" i="11"/>
  <c r="AV264" i="11"/>
  <c r="AV256" i="11"/>
  <c r="AV237" i="11"/>
  <c r="AV226" i="11"/>
  <c r="AV215" i="11"/>
  <c r="AV194" i="11"/>
  <c r="AV183" i="11"/>
  <c r="AV173" i="11"/>
  <c r="AV162" i="11"/>
  <c r="AV151" i="11"/>
  <c r="AV141" i="11"/>
  <c r="AV130" i="11"/>
  <c r="AV119" i="11"/>
  <c r="AV109" i="11"/>
  <c r="AV98" i="11"/>
  <c r="AV85" i="11"/>
  <c r="AV72" i="11"/>
  <c r="AV60" i="11"/>
  <c r="AV46" i="11"/>
  <c r="AV34" i="11"/>
  <c r="AV21" i="11"/>
  <c r="AV8" i="11"/>
  <c r="BD282" i="11"/>
  <c r="BD256" i="11"/>
  <c r="BD244" i="11"/>
  <c r="BD231" i="11"/>
  <c r="BD218" i="11"/>
  <c r="BD206" i="11"/>
  <c r="BD180" i="11"/>
  <c r="BD167" i="11"/>
  <c r="BD151" i="11"/>
  <c r="BD135" i="11"/>
  <c r="BD116" i="11"/>
  <c r="BD100" i="11"/>
  <c r="BD83" i="11"/>
  <c r="BD65" i="11"/>
  <c r="BD49" i="11"/>
  <c r="BD31" i="11"/>
  <c r="BL217" i="11"/>
  <c r="BL80" i="11"/>
  <c r="CK117" i="11"/>
  <c r="CC117" i="11"/>
  <c r="BU117" i="11"/>
  <c r="BL117" i="11"/>
  <c r="BD117" i="11"/>
  <c r="CK192" i="11"/>
  <c r="CC192" i="11"/>
  <c r="BU192" i="11"/>
  <c r="BL192" i="11"/>
  <c r="CK184" i="11"/>
  <c r="CC184" i="11"/>
  <c r="BU184" i="11"/>
  <c r="CK176" i="11"/>
  <c r="CC176" i="11"/>
  <c r="BU176" i="11"/>
  <c r="BL176" i="11"/>
  <c r="CK168" i="11"/>
  <c r="CC168" i="11"/>
  <c r="BU168" i="11"/>
  <c r="BL168" i="11"/>
  <c r="CK160" i="11"/>
  <c r="CC160" i="11"/>
  <c r="BU160" i="11"/>
  <c r="BL160" i="11"/>
  <c r="BD160" i="11"/>
  <c r="CK152" i="11"/>
  <c r="CC152" i="11"/>
  <c r="BU152" i="11"/>
  <c r="BL152" i="11"/>
  <c r="BD152" i="11"/>
  <c r="CK221" i="11"/>
  <c r="CC221" i="11"/>
  <c r="BU221" i="11"/>
  <c r="BL221" i="11"/>
  <c r="BD221" i="11"/>
  <c r="CK213" i="11"/>
  <c r="CC213" i="11"/>
  <c r="BU213" i="11"/>
  <c r="BL213" i="11"/>
  <c r="BD213" i="11"/>
  <c r="CK205" i="11"/>
  <c r="CC205" i="11"/>
  <c r="BU205" i="11"/>
  <c r="BL205" i="11"/>
  <c r="BD205" i="11"/>
  <c r="CK197" i="11"/>
  <c r="BU197" i="11"/>
  <c r="CC197" i="11"/>
  <c r="BL197" i="11"/>
  <c r="BD197" i="11"/>
  <c r="CK240" i="11"/>
  <c r="CC240" i="11"/>
  <c r="BU240" i="11"/>
  <c r="BL240" i="11"/>
  <c r="CK232" i="11"/>
  <c r="CC232" i="11"/>
  <c r="BU232" i="11"/>
  <c r="BL232" i="11"/>
  <c r="CK247" i="11"/>
  <c r="BU247" i="11"/>
  <c r="CC247" i="11"/>
  <c r="BL247" i="11"/>
  <c r="CK286" i="11"/>
  <c r="CC286" i="11"/>
  <c r="BL286" i="11"/>
  <c r="BU286" i="11"/>
  <c r="CK278" i="11"/>
  <c r="CC278" i="11"/>
  <c r="BU278" i="11"/>
  <c r="BL278" i="11"/>
  <c r="CK270" i="11"/>
  <c r="CC270" i="11"/>
  <c r="BU270" i="11"/>
  <c r="BL270" i="11"/>
  <c r="CK262" i="11"/>
  <c r="CC262" i="11"/>
  <c r="BU262" i="11"/>
  <c r="BL262" i="11"/>
  <c r="AV246" i="11"/>
  <c r="AV236" i="11"/>
  <c r="AV204" i="11"/>
  <c r="AV192" i="11"/>
  <c r="AV172" i="11"/>
  <c r="AV160" i="11"/>
  <c r="AV150" i="11"/>
  <c r="AV140" i="11"/>
  <c r="AV128" i="11"/>
  <c r="AV118" i="11"/>
  <c r="AV108" i="11"/>
  <c r="AV96" i="11"/>
  <c r="AV84" i="11"/>
  <c r="AV70" i="11"/>
  <c r="AV58" i="11"/>
  <c r="AV45" i="11"/>
  <c r="AV32" i="11"/>
  <c r="AV20" i="11"/>
  <c r="BD242" i="11"/>
  <c r="BD230" i="11"/>
  <c r="BD216" i="11"/>
  <c r="BD204" i="11"/>
  <c r="BD191" i="11"/>
  <c r="BD178" i="11"/>
  <c r="BD166" i="11"/>
  <c r="BD148" i="11"/>
  <c r="BD132" i="11"/>
  <c r="BD115" i="11"/>
  <c r="BD97" i="11"/>
  <c r="BD81" i="11"/>
  <c r="BD63" i="11"/>
  <c r="BD47" i="11"/>
  <c r="BD29" i="11"/>
  <c r="BL200" i="11"/>
  <c r="BL61" i="11"/>
  <c r="L1" i="3"/>
  <c r="N64" i="4"/>
  <c r="CQ4" i="11" s="1"/>
  <c r="N60" i="4"/>
  <c r="BI4" i="11" s="1"/>
  <c r="N63" i="4"/>
  <c r="N55" i="4"/>
  <c r="T4" i="11" s="1"/>
  <c r="BI2" i="11"/>
  <c r="CQ2" i="11"/>
  <c r="N62" i="4"/>
  <c r="AS4" i="11"/>
  <c r="N65" i="4"/>
  <c r="CY4" i="11" s="1"/>
  <c r="N61" i="4"/>
  <c r="N57" i="4"/>
  <c r="AJ4" i="11" s="1"/>
  <c r="BR2" i="11"/>
  <c r="BZ3" i="11"/>
  <c r="N56" i="4"/>
  <c r="AB4" i="11" s="1"/>
  <c r="CH2" i="11"/>
  <c r="N59" i="4"/>
  <c r="BA4" i="11" s="1"/>
  <c r="N54" i="4"/>
  <c r="K4" i="11" s="1"/>
  <c r="BR3" i="11"/>
  <c r="CH3" i="11"/>
  <c r="N3" i="4"/>
  <c r="N5" i="4"/>
  <c r="N4" i="4"/>
  <c r="BD7" i="11"/>
  <c r="CC7" i="11"/>
  <c r="BU7" i="11"/>
  <c r="CK7" i="11"/>
  <c r="AV7" i="11"/>
  <c r="BL7" i="11"/>
  <c r="CZ332" i="11" l="1"/>
  <c r="CZ331" i="11"/>
  <c r="CZ322" i="11"/>
  <c r="CZ321" i="11"/>
  <c r="CZ319" i="11"/>
  <c r="CZ318" i="11"/>
  <c r="CZ317" i="11"/>
  <c r="CZ180" i="11"/>
  <c r="CZ172" i="11"/>
  <c r="CZ170" i="11"/>
  <c r="CZ166" i="11"/>
  <c r="CZ163" i="11"/>
  <c r="CZ160" i="11"/>
  <c r="CZ158" i="11"/>
  <c r="CZ101" i="11"/>
  <c r="CZ97" i="11"/>
  <c r="CZ96" i="11"/>
  <c r="CZ94" i="11"/>
  <c r="CZ93" i="11"/>
  <c r="CZ87" i="11"/>
  <c r="CZ86" i="11"/>
  <c r="CZ85" i="11"/>
  <c r="CZ84" i="11"/>
  <c r="CZ83" i="11"/>
  <c r="CZ82" i="11"/>
  <c r="CZ81" i="11"/>
  <c r="CZ80" i="11"/>
  <c r="CZ79" i="11"/>
  <c r="CZ72" i="11"/>
  <c r="CZ71" i="11"/>
  <c r="CZ70" i="11"/>
  <c r="CZ69" i="11"/>
  <c r="CZ68" i="11"/>
  <c r="CZ67" i="11"/>
  <c r="CZ66" i="11"/>
  <c r="CZ65" i="11"/>
  <c r="CZ60" i="11"/>
  <c r="CZ57" i="11"/>
  <c r="CZ49" i="11"/>
  <c r="CZ48" i="11"/>
  <c r="CZ47" i="11"/>
  <c r="CZ45" i="11"/>
  <c r="CZ44" i="11"/>
  <c r="CZ42" i="11"/>
  <c r="CZ41" i="11"/>
  <c r="CZ39" i="11"/>
  <c r="CZ38" i="11"/>
  <c r="CZ36" i="11"/>
  <c r="CZ35" i="11"/>
  <c r="CZ14" i="11"/>
  <c r="CZ10" i="11"/>
  <c r="CY264" i="11"/>
  <c r="CZ264" i="11" s="1"/>
  <c r="CY265" i="11"/>
  <c r="CZ265" i="11" s="1"/>
  <c r="CY267" i="11"/>
  <c r="CZ267" i="11" s="1"/>
  <c r="CY269" i="11"/>
  <c r="CZ269" i="11" s="1"/>
  <c r="CY271" i="11"/>
  <c r="CZ271" i="11" s="1"/>
  <c r="CY274" i="11"/>
  <c r="CZ274" i="11" s="1"/>
  <c r="CY275" i="11"/>
  <c r="CZ275" i="11" s="1"/>
  <c r="CY323" i="11"/>
  <c r="CZ323" i="11" s="1"/>
  <c r="CY301" i="11"/>
  <c r="CZ301" i="11" s="1"/>
  <c r="CY302" i="11"/>
  <c r="CZ302" i="11" s="1"/>
  <c r="CY303" i="11"/>
  <c r="CZ303" i="11" s="1"/>
  <c r="CY306" i="11"/>
  <c r="CZ306" i="11" s="1"/>
  <c r="CY307" i="11"/>
  <c r="CZ307" i="11" s="1"/>
  <c r="CY226" i="11"/>
  <c r="CZ226" i="11" s="1"/>
  <c r="CY240" i="11"/>
  <c r="CZ240" i="11" s="1"/>
  <c r="CY217" i="11"/>
  <c r="CZ217" i="11" s="1"/>
  <c r="CY218" i="11"/>
  <c r="CZ218" i="11" s="1"/>
  <c r="CY219" i="11"/>
  <c r="CZ219" i="11" s="1"/>
  <c r="CY220" i="11"/>
  <c r="CZ220" i="11" s="1"/>
  <c r="CV225" i="11"/>
  <c r="CV226" i="11"/>
  <c r="CV240" i="11"/>
  <c r="CV241" i="11"/>
  <c r="CY251" i="11"/>
  <c r="CZ251" i="11" s="1"/>
  <c r="CY252" i="11"/>
  <c r="CZ252" i="11" s="1"/>
  <c r="CY253" i="11"/>
  <c r="CZ253" i="11" s="1"/>
  <c r="CV107" i="11"/>
  <c r="CV82" i="11"/>
  <c r="CV217" i="11"/>
  <c r="CV219" i="11"/>
  <c r="CV137" i="11"/>
  <c r="CV101" i="11"/>
  <c r="CV84" i="11"/>
  <c r="CV86" i="11"/>
  <c r="CV330" i="11"/>
  <c r="CV331" i="11"/>
  <c r="CV267" i="11"/>
  <c r="CV269" i="11"/>
  <c r="CV271" i="11"/>
  <c r="CV332" i="11"/>
  <c r="CV335" i="11"/>
  <c r="CV163" i="11"/>
  <c r="CV166" i="11"/>
  <c r="CV172" i="11"/>
  <c r="CV178" i="11"/>
  <c r="CV179" i="11"/>
  <c r="CV180" i="11"/>
  <c r="CV187" i="11"/>
  <c r="CV199" i="11"/>
  <c r="CV44" i="11"/>
  <c r="CV136" i="11"/>
  <c r="CV140" i="11"/>
  <c r="CV218" i="11"/>
  <c r="CV220" i="11"/>
  <c r="CV128" i="11"/>
  <c r="CV158" i="11"/>
  <c r="CV160" i="11"/>
  <c r="CV81" i="11"/>
  <c r="CV83" i="11"/>
  <c r="CV85" i="11"/>
  <c r="CV43" i="11"/>
  <c r="CV41" i="11"/>
  <c r="CV45" i="11"/>
  <c r="CV73" i="11"/>
  <c r="CV71" i="11"/>
  <c r="K567" i="15"/>
  <c r="K568" i="15" s="1"/>
  <c r="K569" i="15" s="1"/>
  <c r="K570" i="15" s="1"/>
  <c r="K571" i="15" s="1"/>
  <c r="K572" i="15" s="1"/>
  <c r="CV77" i="11"/>
  <c r="CV76" i="11"/>
  <c r="CV96" i="11"/>
  <c r="CV69" i="11"/>
  <c r="CV67" i="11"/>
  <c r="CV65" i="11"/>
  <c r="CV63" i="11"/>
  <c r="CV61" i="11"/>
  <c r="CV80" i="11"/>
  <c r="CV78" i="11"/>
  <c r="CV75" i="11"/>
  <c r="CV97" i="11"/>
  <c r="CV94" i="11"/>
  <c r="CU57" i="11"/>
  <c r="CU51" i="11"/>
  <c r="CU48" i="11"/>
  <c r="CV92" i="11"/>
  <c r="CV88" i="11"/>
  <c r="CV42" i="11"/>
  <c r="CV59" i="11"/>
  <c r="CV57" i="11"/>
  <c r="CV53" i="11"/>
  <c r="CV51" i="11"/>
  <c r="CV49" i="11"/>
  <c r="CV47" i="11"/>
  <c r="CV79" i="11"/>
  <c r="CU75" i="11"/>
  <c r="CU96" i="11"/>
  <c r="CU93" i="11"/>
  <c r="CU94" i="11"/>
  <c r="CU91" i="11"/>
  <c r="CU88" i="11"/>
  <c r="CU85" i="11"/>
  <c r="CU82" i="11"/>
  <c r="CU107" i="11"/>
  <c r="CU101" i="11"/>
  <c r="CU160" i="11"/>
  <c r="CU41" i="11"/>
  <c r="CU43" i="11"/>
  <c r="CU335" i="11"/>
  <c r="CU163" i="11"/>
  <c r="CU166" i="11"/>
  <c r="CU172" i="11"/>
  <c r="CU178" i="11"/>
  <c r="CU179" i="11"/>
  <c r="CU45" i="11"/>
  <c r="CU72" i="11"/>
  <c r="CU69" i="11"/>
  <c r="CU66" i="11"/>
  <c r="CU63" i="11"/>
  <c r="CU60" i="11"/>
  <c r="CU78" i="11"/>
  <c r="CY148" i="11"/>
  <c r="CZ148" i="11" s="1"/>
  <c r="CY136" i="11"/>
  <c r="CZ136" i="11" s="1"/>
  <c r="CY137" i="11"/>
  <c r="CZ137" i="11" s="1"/>
  <c r="CY140" i="11"/>
  <c r="CZ140" i="11" s="1"/>
  <c r="CY128" i="11"/>
  <c r="CZ128" i="11" s="1"/>
  <c r="CY107" i="11"/>
  <c r="CZ107" i="11" s="1"/>
  <c r="CY92" i="11"/>
  <c r="CZ92" i="11" s="1"/>
  <c r="CY37" i="11"/>
  <c r="CZ37" i="11" s="1"/>
  <c r="CY58" i="11"/>
  <c r="CZ58" i="11" s="1"/>
  <c r="CY199" i="11"/>
  <c r="CZ199" i="11" s="1"/>
  <c r="CY187" i="11"/>
  <c r="CZ187" i="11" s="1"/>
  <c r="CY178" i="11"/>
  <c r="CZ178" i="11" s="1"/>
  <c r="CY179" i="11"/>
  <c r="CZ179" i="11" s="1"/>
  <c r="CU128" i="11"/>
  <c r="CU136" i="11"/>
  <c r="CU137" i="11"/>
  <c r="CU140" i="11"/>
  <c r="CU42" i="11"/>
  <c r="CU59" i="11"/>
  <c r="CU87" i="11"/>
  <c r="CU84" i="11"/>
  <c r="CU81" i="11"/>
  <c r="CU329" i="11"/>
  <c r="CU330" i="11"/>
  <c r="CU331" i="11"/>
  <c r="CU332" i="11"/>
  <c r="CU247" i="11"/>
  <c r="CU251" i="11"/>
  <c r="CU252" i="11"/>
  <c r="CU253" i="11"/>
  <c r="CU254" i="11"/>
  <c r="CU255" i="11"/>
  <c r="CU180" i="11"/>
  <c r="CU187" i="11"/>
  <c r="CU199" i="11"/>
  <c r="CU217" i="11"/>
  <c r="CU218" i="11"/>
  <c r="CU219" i="11"/>
  <c r="CU220" i="11"/>
  <c r="CU298" i="11"/>
  <c r="CU301" i="11"/>
  <c r="CU302" i="11"/>
  <c r="CU303" i="11"/>
  <c r="CU312" i="11"/>
  <c r="CU317" i="11"/>
  <c r="CU86" i="11"/>
  <c r="CU83" i="11"/>
  <c r="CU158" i="11"/>
  <c r="CU225" i="11"/>
  <c r="CU226" i="11"/>
  <c r="CU240" i="11"/>
  <c r="CU241" i="11"/>
  <c r="CU318" i="11"/>
  <c r="CU319" i="11"/>
  <c r="CU321" i="11"/>
  <c r="CU322" i="11"/>
  <c r="CU323" i="11"/>
  <c r="CU327" i="11"/>
  <c r="CU280" i="11"/>
  <c r="CU282" i="11"/>
  <c r="CU290" i="11"/>
  <c r="CU291" i="11"/>
  <c r="CU292" i="11"/>
  <c r="CU295" i="11"/>
  <c r="CU297" i="11"/>
  <c r="CU257" i="11"/>
  <c r="CU258" i="11"/>
  <c r="CU259" i="11"/>
  <c r="CU260" i="11"/>
  <c r="CU261" i="11"/>
  <c r="CU264" i="11"/>
  <c r="CU265" i="11"/>
  <c r="CU267" i="11"/>
  <c r="CU269" i="11"/>
  <c r="CU271" i="11"/>
  <c r="CU274" i="11"/>
  <c r="CU275" i="11"/>
  <c r="CU279" i="11"/>
  <c r="CU56" i="11"/>
  <c r="CU53" i="11"/>
  <c r="CU50" i="11"/>
  <c r="CU47" i="11"/>
  <c r="CU74" i="11"/>
  <c r="CU71" i="11"/>
  <c r="CU68" i="11"/>
  <c r="CU65" i="11"/>
  <c r="CU62" i="11"/>
  <c r="CU80" i="11"/>
  <c r="CU77" i="11"/>
  <c r="CU92" i="11"/>
  <c r="CU89" i="11"/>
  <c r="CY59" i="11"/>
  <c r="CZ59" i="11" s="1"/>
  <c r="CY56" i="11"/>
  <c r="CZ56" i="11" s="1"/>
  <c r="CY53" i="11"/>
  <c r="CZ53" i="11" s="1"/>
  <c r="CY50" i="11"/>
  <c r="CZ50" i="11" s="1"/>
  <c r="CW39" i="11"/>
  <c r="CW36" i="11"/>
  <c r="CW148" i="11"/>
  <c r="CW311" i="11"/>
  <c r="CW308" i="11"/>
  <c r="CY43" i="11"/>
  <c r="CZ43" i="11" s="1"/>
  <c r="CY40" i="11"/>
  <c r="CZ40" i="11" s="1"/>
  <c r="CV39" i="11"/>
  <c r="CV40" i="11"/>
  <c r="CV93" i="11"/>
  <c r="CV91" i="11"/>
  <c r="CV89" i="11"/>
  <c r="CU58" i="11"/>
  <c r="CU49" i="11"/>
  <c r="CU73" i="11"/>
  <c r="CU70" i="11"/>
  <c r="CU67" i="11"/>
  <c r="CU64" i="11"/>
  <c r="CU61" i="11"/>
  <c r="CU79" i="11"/>
  <c r="CU76" i="11"/>
  <c r="CU97" i="11"/>
  <c r="DB327" i="11"/>
  <c r="DB335" i="11"/>
  <c r="CV298" i="11"/>
  <c r="CV301" i="11"/>
  <c r="CV302" i="11"/>
  <c r="CV303" i="11"/>
  <c r="CV312" i="11"/>
  <c r="CV317" i="11"/>
  <c r="CV318" i="11"/>
  <c r="CV319" i="11"/>
  <c r="CV321" i="11"/>
  <c r="CV322" i="11"/>
  <c r="CV323" i="11"/>
  <c r="CV327" i="11"/>
  <c r="CV329" i="11"/>
  <c r="CV247" i="11"/>
  <c r="CV251" i="11"/>
  <c r="CV252" i="11"/>
  <c r="CV253" i="11"/>
  <c r="CV254" i="11"/>
  <c r="CV255" i="11"/>
  <c r="CV257" i="11"/>
  <c r="CV258" i="11"/>
  <c r="CV259" i="11"/>
  <c r="CV260" i="11"/>
  <c r="CV261" i="11"/>
  <c r="CV264" i="11"/>
  <c r="CV265" i="11"/>
  <c r="CY61" i="11"/>
  <c r="CZ61" i="11" s="1"/>
  <c r="CY62" i="11"/>
  <c r="CZ62" i="11" s="1"/>
  <c r="CY63" i="11"/>
  <c r="CZ63" i="11" s="1"/>
  <c r="CW14" i="11"/>
  <c r="CY88" i="11"/>
  <c r="CZ88" i="11" s="1"/>
  <c r="CY89" i="11"/>
  <c r="CZ89" i="11" s="1"/>
  <c r="CY91" i="11"/>
  <c r="CZ91" i="11" s="1"/>
  <c r="CY73" i="11"/>
  <c r="CZ73" i="11" s="1"/>
  <c r="CY74" i="11"/>
  <c r="CZ74" i="11" s="1"/>
  <c r="CY75" i="11"/>
  <c r="CZ75" i="11" s="1"/>
  <c r="CY76" i="11"/>
  <c r="CZ76" i="11" s="1"/>
  <c r="CY77" i="11"/>
  <c r="CZ77" i="11" s="1"/>
  <c r="CY78" i="11"/>
  <c r="CZ78" i="11" s="1"/>
  <c r="CU10" i="11"/>
  <c r="CX10" i="11"/>
  <c r="CV10" i="11"/>
  <c r="CV306" i="11"/>
  <c r="CV307" i="11"/>
  <c r="CV308" i="11"/>
  <c r="CV309" i="11"/>
  <c r="CV311" i="11"/>
  <c r="CV148" i="11"/>
  <c r="CV35" i="11"/>
  <c r="CV36" i="11"/>
  <c r="CV37" i="11"/>
  <c r="CV38" i="11"/>
  <c r="DB284" i="11"/>
  <c r="P944" i="3"/>
  <c r="DB308" i="11"/>
  <c r="DB328" i="11"/>
  <c r="DB334" i="11"/>
  <c r="C3624" i="3"/>
  <c r="K200" i="14"/>
  <c r="K201" i="14" s="1"/>
  <c r="K202" i="14" s="1"/>
  <c r="K203" i="14" s="1"/>
  <c r="K204" i="14" s="1"/>
  <c r="K205" i="14" s="1"/>
  <c r="K206" i="14" s="1"/>
  <c r="K207" i="14" s="1"/>
  <c r="K208" i="14" s="1"/>
  <c r="K209" i="14" s="1"/>
  <c r="K210" i="14" s="1"/>
  <c r="K211" i="14" s="1"/>
  <c r="K212" i="14" s="1"/>
  <c r="K213" i="14" s="1"/>
  <c r="K214" i="14" s="1"/>
  <c r="K215" i="14" s="1"/>
  <c r="K216" i="14" s="1"/>
  <c r="K217" i="14" s="1"/>
  <c r="K218" i="14" s="1"/>
  <c r="K219" i="14" s="1"/>
  <c r="K220" i="14" s="1"/>
  <c r="K221" i="14" s="1"/>
  <c r="K222" i="14" s="1"/>
  <c r="K223" i="14" s="1"/>
  <c r="K224" i="14" s="1"/>
  <c r="K225" i="14" s="1"/>
  <c r="K226" i="14" s="1"/>
  <c r="K227" i="14" s="1"/>
  <c r="K228" i="14" s="1"/>
  <c r="K229" i="14" s="1"/>
  <c r="DB293" i="11"/>
  <c r="DB252" i="11"/>
  <c r="DB129" i="11"/>
  <c r="DB282" i="11"/>
  <c r="DB238" i="11"/>
  <c r="DB190" i="11"/>
  <c r="DB134" i="11"/>
  <c r="DB61" i="11"/>
  <c r="DB281" i="11"/>
  <c r="DB237" i="11"/>
  <c r="DB189" i="11"/>
  <c r="DB133" i="11"/>
  <c r="DB54" i="11"/>
  <c r="DB220" i="11"/>
  <c r="DB21" i="11"/>
  <c r="DB278" i="11"/>
  <c r="DB185" i="11"/>
  <c r="DB46" i="11"/>
  <c r="DB279" i="11"/>
  <c r="DB246" i="11"/>
  <c r="DB236" i="11"/>
  <c r="DB289" i="11"/>
  <c r="DB201" i="11"/>
  <c r="DB78" i="11"/>
  <c r="DB145" i="11"/>
  <c r="DB261" i="11"/>
  <c r="DB213" i="11"/>
  <c r="DB165" i="11"/>
  <c r="DB101" i="11"/>
  <c r="DB260" i="11"/>
  <c r="DB212" i="11"/>
  <c r="DB161" i="11"/>
  <c r="DB97" i="11"/>
  <c r="DB214" i="11"/>
  <c r="DB45" i="11"/>
  <c r="DB273" i="11"/>
  <c r="DB225" i="11"/>
  <c r="DB177" i="11"/>
  <c r="DB117" i="11"/>
  <c r="DB30" i="11"/>
  <c r="DB148" i="11"/>
  <c r="DB124" i="11"/>
  <c r="DB100" i="11"/>
  <c r="DB76" i="11"/>
  <c r="DB52" i="11"/>
  <c r="DB28" i="11"/>
  <c r="DB283" i="11"/>
  <c r="DB259" i="11"/>
  <c r="DB235" i="11"/>
  <c r="DB211" i="11"/>
  <c r="DB187" i="11"/>
  <c r="DB163" i="11"/>
  <c r="DB139" i="11"/>
  <c r="DB115" i="11"/>
  <c r="DB91" i="11"/>
  <c r="DB67" i="11"/>
  <c r="DB43" i="11"/>
  <c r="DB19" i="11"/>
  <c r="DB204" i="11"/>
  <c r="DB53" i="11"/>
  <c r="DB270" i="11"/>
  <c r="DB222" i="11"/>
  <c r="DB174" i="11"/>
  <c r="DB113" i="11"/>
  <c r="DB29" i="11"/>
  <c r="DB269" i="11"/>
  <c r="DB221" i="11"/>
  <c r="DB173" i="11"/>
  <c r="DB110" i="11"/>
  <c r="DB22" i="11"/>
  <c r="DB150" i="11"/>
  <c r="DB249" i="11"/>
  <c r="DB149" i="11"/>
  <c r="DB198" i="11"/>
  <c r="DB188" i="11"/>
  <c r="DB265" i="11"/>
  <c r="DB169" i="11"/>
  <c r="DB14" i="11"/>
  <c r="DB277" i="11"/>
  <c r="DB125" i="11"/>
  <c r="DB286" i="11"/>
  <c r="DB245" i="11"/>
  <c r="DB197" i="11"/>
  <c r="DB142" i="11"/>
  <c r="DB70" i="11"/>
  <c r="DB285" i="11"/>
  <c r="DB244" i="11"/>
  <c r="DB196" i="11"/>
  <c r="DB141" i="11"/>
  <c r="DB69" i="11"/>
  <c r="DB166" i="11"/>
  <c r="DB13" i="11"/>
  <c r="DB257" i="11"/>
  <c r="DB209" i="11"/>
  <c r="DB158" i="11"/>
  <c r="DB94" i="11"/>
  <c r="DB164" i="11"/>
  <c r="DB140" i="11"/>
  <c r="DB116" i="11"/>
  <c r="DB92" i="11"/>
  <c r="DB68" i="11"/>
  <c r="DB44" i="11"/>
  <c r="DB20" i="11"/>
  <c r="DB275" i="11"/>
  <c r="DB251" i="11"/>
  <c r="DB227" i="11"/>
  <c r="DB203" i="11"/>
  <c r="DB179" i="11"/>
  <c r="DB155" i="11"/>
  <c r="DB131" i="11"/>
  <c r="DB107" i="11"/>
  <c r="DB83" i="11"/>
  <c r="DB59" i="11"/>
  <c r="DB35" i="11"/>
  <c r="DB11" i="11"/>
  <c r="DB266" i="11"/>
  <c r="DB242" i="11"/>
  <c r="DB218" i="11"/>
  <c r="DB172" i="11"/>
  <c r="DB292" i="11"/>
  <c r="DB254" i="11"/>
  <c r="DB206" i="11"/>
  <c r="DB157" i="11"/>
  <c r="DB93" i="11"/>
  <c r="DB291" i="11"/>
  <c r="DB253" i="11"/>
  <c r="DB205" i="11"/>
  <c r="DB153" i="11"/>
  <c r="DB250" i="11"/>
  <c r="DB226" i="11"/>
  <c r="DB202" i="11"/>
  <c r="DB178" i="11"/>
  <c r="DB154" i="11"/>
  <c r="DB130" i="11"/>
  <c r="DB106" i="11"/>
  <c r="DB82" i="11"/>
  <c r="DB58" i="11"/>
  <c r="DB34" i="11"/>
  <c r="DB10" i="11"/>
  <c r="DB17" i="11"/>
  <c r="DB81" i="11"/>
  <c r="DB57" i="11"/>
  <c r="DB288" i="11"/>
  <c r="DB264" i="11"/>
  <c r="DB240" i="11"/>
  <c r="DB216" i="11"/>
  <c r="DB192" i="11"/>
  <c r="DB168" i="11"/>
  <c r="DB144" i="11"/>
  <c r="DB120" i="11"/>
  <c r="DB96" i="11"/>
  <c r="DB72" i="11"/>
  <c r="DB48" i="11"/>
  <c r="DB24" i="11"/>
  <c r="DB263" i="11"/>
  <c r="DB239" i="11"/>
  <c r="DB215" i="11"/>
  <c r="DB191" i="11"/>
  <c r="DB167" i="11"/>
  <c r="DB143" i="11"/>
  <c r="DB119" i="11"/>
  <c r="DB95" i="11"/>
  <c r="DB71" i="11"/>
  <c r="DB47" i="11"/>
  <c r="DB23" i="11"/>
  <c r="DB194" i="11"/>
  <c r="DB170" i="11"/>
  <c r="DB146" i="11"/>
  <c r="DB122" i="11"/>
  <c r="DB98" i="11"/>
  <c r="DB74" i="11"/>
  <c r="DB50" i="11"/>
  <c r="DB26" i="11"/>
  <c r="DB33" i="11"/>
  <c r="DB9" i="11"/>
  <c r="DB73" i="11"/>
  <c r="DB49" i="11"/>
  <c r="DB280" i="11"/>
  <c r="DB256" i="11"/>
  <c r="DB232" i="11"/>
  <c r="DB208" i="11"/>
  <c r="DB184" i="11"/>
  <c r="DB160" i="11"/>
  <c r="DB136" i="11"/>
  <c r="DB112" i="11"/>
  <c r="DB88" i="11"/>
  <c r="DB64" i="11"/>
  <c r="DB40" i="11"/>
  <c r="DB16" i="11"/>
  <c r="DB255" i="11"/>
  <c r="DB231" i="11"/>
  <c r="DB207" i="11"/>
  <c r="DB183" i="11"/>
  <c r="DB159" i="11"/>
  <c r="DB135" i="11"/>
  <c r="DB111" i="11"/>
  <c r="DB87" i="11"/>
  <c r="DB63" i="11"/>
  <c r="DB39" i="11"/>
  <c r="DB15" i="11"/>
  <c r="DB86" i="11"/>
  <c r="DB268" i="11"/>
  <c r="DB85" i="11"/>
  <c r="DB217" i="11"/>
  <c r="DB105" i="11"/>
  <c r="DB287" i="11"/>
  <c r="DB290" i="11"/>
  <c r="DB109" i="11"/>
  <c r="DB233" i="11"/>
  <c r="DB126" i="11"/>
  <c r="DB230" i="11"/>
  <c r="DB77" i="11"/>
  <c r="DB276" i="11"/>
  <c r="DB229" i="11"/>
  <c r="DB181" i="11"/>
  <c r="DB121" i="11"/>
  <c r="DB38" i="11"/>
  <c r="DB274" i="11"/>
  <c r="DB228" i="11"/>
  <c r="DB180" i="11"/>
  <c r="DB118" i="11"/>
  <c r="DB37" i="11"/>
  <c r="DB262" i="11"/>
  <c r="DB102" i="11"/>
  <c r="DB241" i="11"/>
  <c r="DB193" i="11"/>
  <c r="DB137" i="11"/>
  <c r="DB62" i="11"/>
  <c r="DB156" i="11"/>
  <c r="DB132" i="11"/>
  <c r="DB108" i="11"/>
  <c r="DB84" i="11"/>
  <c r="DB60" i="11"/>
  <c r="DB36" i="11"/>
  <c r="DB12" i="11"/>
  <c r="DB267" i="11"/>
  <c r="DB243" i="11"/>
  <c r="DB219" i="11"/>
  <c r="DB195" i="11"/>
  <c r="DB171" i="11"/>
  <c r="DB147" i="11"/>
  <c r="DB123" i="11"/>
  <c r="DB99" i="11"/>
  <c r="DB75" i="11"/>
  <c r="DB51" i="11"/>
  <c r="DB27" i="11"/>
  <c r="DB258" i="11"/>
  <c r="DB234" i="11"/>
  <c r="DB210" i="11"/>
  <c r="DB186" i="11"/>
  <c r="DB162" i="11"/>
  <c r="DB138" i="11"/>
  <c r="DB114" i="11"/>
  <c r="DB90" i="11"/>
  <c r="DB66" i="11"/>
  <c r="DB42" i="11"/>
  <c r="DB18" i="11"/>
  <c r="DB25" i="11"/>
  <c r="DB89" i="11"/>
  <c r="DB65" i="11"/>
  <c r="DB41" i="11"/>
  <c r="DB272" i="11"/>
  <c r="DB248" i="11"/>
  <c r="DB224" i="11"/>
  <c r="DB200" i="11"/>
  <c r="DB176" i="11"/>
  <c r="DB152" i="11"/>
  <c r="DB128" i="11"/>
  <c r="DB104" i="11"/>
  <c r="DB80" i="11"/>
  <c r="DB56" i="11"/>
  <c r="DB32" i="11"/>
  <c r="DB8" i="11"/>
  <c r="DB271" i="11"/>
  <c r="DB247" i="11"/>
  <c r="DB223" i="11"/>
  <c r="DB199" i="11"/>
  <c r="DB175" i="11"/>
  <c r="DB151" i="11"/>
  <c r="DB127" i="11"/>
  <c r="DB103" i="11"/>
  <c r="DB79" i="11"/>
  <c r="DB55" i="11"/>
  <c r="DB31" i="11"/>
  <c r="DB294" i="11"/>
  <c r="DB295" i="11"/>
  <c r="DB296" i="11"/>
  <c r="DB297" i="11"/>
  <c r="DB298" i="11"/>
  <c r="DB182" i="11"/>
  <c r="DB299" i="11"/>
  <c r="DB300" i="11"/>
  <c r="DB301" i="11"/>
  <c r="DB302" i="11"/>
  <c r="DB303" i="11"/>
  <c r="DB304" i="11"/>
  <c r="DB305" i="11"/>
  <c r="DB310" i="11"/>
  <c r="DB307" i="11"/>
  <c r="DB309" i="11"/>
  <c r="DB306" i="11"/>
  <c r="DB7" i="11"/>
  <c r="DB312" i="11"/>
  <c r="DB311" i="11"/>
  <c r="DB313" i="11"/>
  <c r="DB314" i="11"/>
  <c r="DB315" i="11"/>
  <c r="DB316" i="11"/>
  <c r="DB318" i="11"/>
  <c r="DB317" i="11"/>
  <c r="DB319" i="11"/>
  <c r="DB320" i="11"/>
  <c r="DB322" i="11"/>
  <c r="DB321" i="11"/>
  <c r="DB323" i="11"/>
  <c r="DB325" i="11"/>
  <c r="DB324" i="11"/>
  <c r="DB326" i="11"/>
  <c r="DB329" i="11"/>
  <c r="DB333" i="11"/>
  <c r="DB332" i="11"/>
  <c r="DB331" i="11"/>
  <c r="DB330" i="11"/>
  <c r="DB337" i="11"/>
  <c r="DB336" i="11"/>
  <c r="DB338" i="11"/>
  <c r="DB339" i="11"/>
  <c r="K828" i="13"/>
  <c r="K829" i="13" s="1"/>
  <c r="K830" i="13" s="1"/>
  <c r="K831" i="13" s="1"/>
  <c r="K832" i="13" s="1"/>
  <c r="K833" i="13" s="1"/>
  <c r="K834" i="13" s="1"/>
  <c r="K835" i="13" s="1"/>
  <c r="K836" i="13" s="1"/>
  <c r="K837" i="13" s="1"/>
  <c r="K838" i="13" s="1"/>
  <c r="K839" i="13" s="1"/>
  <c r="K840" i="13" s="1"/>
  <c r="K841" i="13" s="1"/>
  <c r="K842" i="13" s="1"/>
  <c r="K843" i="13" s="1"/>
  <c r="K844" i="13" s="1"/>
  <c r="K845" i="13" s="1"/>
  <c r="K846" i="13" s="1"/>
  <c r="K847" i="13" s="1"/>
  <c r="K848" i="13" s="1"/>
  <c r="K849" i="13" s="1"/>
  <c r="K850" i="13" s="1"/>
  <c r="K851" i="13" s="1"/>
  <c r="K852" i="13" s="1"/>
  <c r="K853" i="13" s="1"/>
  <c r="K854" i="13" s="1"/>
  <c r="K855" i="13" s="1"/>
  <c r="K856" i="13" s="1"/>
  <c r="K857" i="13" s="1"/>
  <c r="K858" i="13" s="1"/>
  <c r="K859" i="13" s="1"/>
  <c r="K860" i="13" s="1"/>
  <c r="K861" i="13" s="1"/>
  <c r="K862" i="13" s="1"/>
  <c r="K863" i="13" s="1"/>
  <c r="K864" i="13" s="1"/>
  <c r="K865" i="13" s="1"/>
  <c r="K866" i="13" s="1"/>
  <c r="K867" i="13" s="1"/>
  <c r="K868" i="13" s="1"/>
  <c r="K869" i="13" s="1"/>
  <c r="K870" i="13" s="1"/>
  <c r="K871" i="13" s="1"/>
  <c r="K872" i="13" s="1"/>
  <c r="K873" i="13" s="1"/>
  <c r="K874" i="13" s="1"/>
  <c r="K875" i="13" s="1"/>
  <c r="K876" i="13" s="1"/>
  <c r="K877" i="13" s="1"/>
  <c r="K878" i="13" s="1"/>
  <c r="K879" i="13" s="1"/>
  <c r="K880" i="13" s="1"/>
  <c r="K881" i="13" s="1"/>
  <c r="K882" i="13" s="1"/>
  <c r="K883" i="13" s="1"/>
  <c r="K884" i="13" s="1"/>
  <c r="K885" i="13" s="1"/>
  <c r="K886" i="13" s="1"/>
  <c r="K887" i="13" s="1"/>
  <c r="K888" i="13" s="1"/>
  <c r="K889" i="13" s="1"/>
  <c r="K890" i="13" s="1"/>
  <c r="K891" i="13" s="1"/>
  <c r="K892" i="13" s="1"/>
  <c r="K893" i="13" s="1"/>
  <c r="K894" i="13" s="1"/>
  <c r="K895" i="13" s="1"/>
  <c r="K896" i="13" s="1"/>
  <c r="K897" i="13" s="1"/>
  <c r="K898" i="13" s="1"/>
  <c r="K899" i="13" s="1"/>
  <c r="K900" i="13" s="1"/>
  <c r="K901" i="13" s="1"/>
  <c r="K902" i="13" s="1"/>
  <c r="K903" i="13" s="1"/>
  <c r="K904" i="13" s="1"/>
  <c r="K905" i="13" s="1"/>
  <c r="K906" i="13" s="1"/>
  <c r="K907" i="13" s="1"/>
  <c r="K908" i="13" s="1"/>
  <c r="K909" i="13" s="1"/>
  <c r="K910" i="13" s="1"/>
  <c r="K911" i="13" s="1"/>
  <c r="K912" i="13" s="1"/>
  <c r="K913" i="13" s="1"/>
  <c r="K914" i="13" s="1"/>
  <c r="K915" i="13" s="1"/>
  <c r="K916" i="13" s="1"/>
  <c r="K917" i="13" s="1"/>
  <c r="K918" i="13" s="1"/>
  <c r="K919" i="13" s="1"/>
  <c r="K920" i="13" s="1"/>
  <c r="K921" i="13" s="1"/>
  <c r="K922" i="13" s="1"/>
  <c r="K923" i="13" s="1"/>
  <c r="K924" i="13" s="1"/>
  <c r="K925" i="13" s="1"/>
  <c r="K926" i="13" s="1"/>
  <c r="K927" i="13" s="1"/>
  <c r="K928" i="13" s="1"/>
  <c r="K929" i="13" s="1"/>
  <c r="K930" i="13" s="1"/>
  <c r="K931" i="13" s="1"/>
  <c r="K932" i="13" s="1"/>
  <c r="K933" i="13" s="1"/>
  <c r="K934" i="13" s="1"/>
  <c r="K935" i="13" s="1"/>
  <c r="K936" i="13" s="1"/>
  <c r="K937" i="13" s="1"/>
  <c r="K938" i="13" s="1"/>
  <c r="K939" i="13" s="1"/>
  <c r="K940" i="13" s="1"/>
  <c r="K941" i="13" s="1"/>
  <c r="K942" i="13" s="1"/>
  <c r="K943" i="13" s="1"/>
  <c r="K944" i="13" s="1"/>
  <c r="K945" i="13" s="1"/>
  <c r="K946" i="13" s="1"/>
  <c r="K947" i="13" s="1"/>
  <c r="K948" i="13" s="1"/>
  <c r="K949" i="13" s="1"/>
  <c r="K950" i="13" s="1"/>
  <c r="K951" i="13" s="1"/>
  <c r="K952" i="13" s="1"/>
  <c r="K953" i="13" s="1"/>
  <c r="K954" i="13" s="1"/>
  <c r="K955" i="13" s="1"/>
  <c r="K956" i="13" s="1"/>
  <c r="K957" i="13" s="1"/>
  <c r="K958" i="13" s="1"/>
  <c r="K959" i="13" s="1"/>
  <c r="K960" i="13" s="1"/>
  <c r="K961" i="13" s="1"/>
  <c r="K962" i="13" s="1"/>
  <c r="K963" i="13" s="1"/>
  <c r="K964" i="13" s="1"/>
  <c r="K965" i="13" s="1"/>
  <c r="K966" i="13" s="1"/>
  <c r="K967" i="13" s="1"/>
  <c r="K968" i="13" s="1"/>
  <c r="K969" i="13" s="1"/>
  <c r="K970" i="13" s="1"/>
  <c r="K971" i="13" s="1"/>
  <c r="K972" i="13" s="1"/>
  <c r="K973" i="13" s="1"/>
  <c r="K974" i="13" s="1"/>
  <c r="K975" i="13" s="1"/>
  <c r="K976" i="13" s="1"/>
  <c r="K977" i="13" s="1"/>
  <c r="K978" i="13" s="1"/>
  <c r="K979" i="13" s="1"/>
  <c r="K980" i="13" s="1"/>
  <c r="K981" i="13" s="1"/>
  <c r="K982" i="13" s="1"/>
  <c r="K983" i="13" s="1"/>
  <c r="K984" i="13" s="1"/>
  <c r="K985" i="13" s="1"/>
  <c r="K986" i="13" s="1"/>
  <c r="K987" i="13" s="1"/>
  <c r="K988" i="13" s="1"/>
  <c r="K989" i="13" s="1"/>
  <c r="K990" i="13" s="1"/>
  <c r="K991" i="13" s="1"/>
  <c r="K992" i="13" s="1"/>
  <c r="K993" i="13" s="1"/>
  <c r="K994" i="13" s="1"/>
  <c r="K995" i="13" s="1"/>
  <c r="K996" i="13" s="1"/>
  <c r="K997" i="13" s="1"/>
  <c r="K998" i="13" s="1"/>
  <c r="K999" i="13" s="1"/>
  <c r="K1000" i="13" s="1"/>
  <c r="K1001" i="13" s="1"/>
  <c r="K1002" i="13" s="1"/>
  <c r="K1003" i="13" s="1"/>
  <c r="K1004" i="13" s="1"/>
  <c r="K1005" i="13" s="1"/>
  <c r="K1006" i="13" s="1"/>
  <c r="K1007" i="13" s="1"/>
  <c r="K1008" i="13" s="1"/>
  <c r="K1009" i="13" s="1"/>
  <c r="K1010" i="13" s="1"/>
  <c r="K1011" i="13" s="1"/>
  <c r="K1012" i="13" s="1"/>
  <c r="K1013" i="13" s="1"/>
  <c r="K1014" i="13" s="1"/>
  <c r="K1015" i="13" s="1"/>
  <c r="K1016" i="13" s="1"/>
  <c r="K1017" i="13" s="1"/>
  <c r="K1018" i="13" s="1"/>
  <c r="K1019" i="13" s="1"/>
  <c r="K1020" i="13" s="1"/>
  <c r="K1021" i="13" s="1"/>
  <c r="K1022" i="13" s="1"/>
  <c r="K1023" i="13" s="1"/>
  <c r="K1024" i="13" s="1"/>
  <c r="K1025" i="13" s="1"/>
  <c r="K1026" i="13" s="1"/>
  <c r="K1027" i="13" s="1"/>
  <c r="K1028" i="13" s="1"/>
  <c r="K1029" i="13" s="1"/>
  <c r="K1030" i="13" s="1"/>
  <c r="K1031" i="13" s="1"/>
  <c r="K1032" i="13" s="1"/>
  <c r="K1033" i="13" s="1"/>
  <c r="K1034" i="13" s="1"/>
  <c r="K1035" i="13" s="1"/>
  <c r="K1036" i="13" s="1"/>
  <c r="K1037" i="13" s="1"/>
  <c r="K1038" i="13" s="1"/>
  <c r="K1039" i="13" s="1"/>
  <c r="K1040" i="13" s="1"/>
  <c r="K1041" i="13" s="1"/>
  <c r="K1042" i="13" s="1"/>
  <c r="K1043" i="13" s="1"/>
  <c r="K1044" i="13" s="1"/>
  <c r="K1045" i="13" s="1"/>
  <c r="K1046" i="13" s="1"/>
  <c r="K1047" i="13" s="1"/>
  <c r="K1048" i="13" s="1"/>
  <c r="K1049" i="13" s="1"/>
  <c r="K1050" i="13" s="1"/>
  <c r="K1051" i="13" s="1"/>
  <c r="K1052" i="13" s="1"/>
  <c r="K1053" i="13" s="1"/>
  <c r="K1054" i="13" s="1"/>
  <c r="C3340" i="3"/>
  <c r="C3339" i="3"/>
  <c r="C3672" i="3"/>
  <c r="C372" i="31"/>
  <c r="C373" i="31" s="1"/>
  <c r="C374" i="31" s="1"/>
  <c r="C375" i="31" s="1"/>
  <c r="C304" i="31"/>
  <c r="M1364" i="3"/>
  <c r="M1365" i="3" s="1"/>
  <c r="M1366" i="3" s="1"/>
  <c r="M1367" i="3" s="1"/>
  <c r="M1368" i="3" s="1"/>
  <c r="M1369" i="3" s="1"/>
  <c r="M1370" i="3" s="1"/>
  <c r="M1371" i="3" s="1"/>
  <c r="M1372" i="3" s="1"/>
  <c r="M1373" i="3" s="1"/>
  <c r="M1374" i="3" s="1"/>
  <c r="M1375" i="3" s="1"/>
  <c r="M1376" i="3" s="1"/>
  <c r="M1377" i="3" s="1"/>
  <c r="M1378" i="3" s="1"/>
  <c r="M1379" i="3" s="1"/>
  <c r="M1380" i="3" s="1"/>
  <c r="M1381" i="3" s="1"/>
  <c r="M1382" i="3" s="1"/>
  <c r="M1383" i="3" s="1"/>
  <c r="M1384" i="3" s="1"/>
  <c r="M1385" i="3" s="1"/>
  <c r="M1386" i="3" s="1"/>
  <c r="M1387" i="3" s="1"/>
  <c r="M1388" i="3" s="1"/>
  <c r="M1389" i="3" s="1"/>
  <c r="M1390" i="3" s="1"/>
  <c r="M1391" i="3" s="1"/>
  <c r="M1392" i="3" s="1"/>
  <c r="M1393" i="3" s="1"/>
  <c r="M1394" i="3" s="1"/>
  <c r="M1395" i="3" s="1"/>
  <c r="M1396" i="3" s="1"/>
  <c r="M1397" i="3" s="1"/>
  <c r="M1398" i="3" s="1"/>
  <c r="M1399" i="3" s="1"/>
  <c r="M1400" i="3" s="1"/>
  <c r="M1401" i="3" s="1"/>
  <c r="M1402" i="3" s="1"/>
  <c r="M1403" i="3" s="1"/>
  <c r="M1404" i="3" s="1"/>
  <c r="M1405" i="3" s="1"/>
  <c r="M1406" i="3" s="1"/>
  <c r="M1407" i="3" s="1"/>
  <c r="M1408" i="3" s="1"/>
  <c r="M1409" i="3" s="1"/>
  <c r="M1410" i="3" s="1"/>
  <c r="M1411" i="3" s="1"/>
  <c r="M1412" i="3" s="1"/>
  <c r="M1413" i="3" s="1"/>
  <c r="M1414" i="3" s="1"/>
  <c r="M1415" i="3" s="1"/>
  <c r="M1416" i="3" s="1"/>
  <c r="M1417" i="3" s="1"/>
  <c r="M1418" i="3" s="1"/>
  <c r="M1419" i="3" s="1"/>
  <c r="M1420" i="3" s="1"/>
  <c r="M1421" i="3" s="1"/>
  <c r="M1422" i="3" s="1"/>
  <c r="M1423" i="3" s="1"/>
  <c r="M1424" i="3" s="1"/>
  <c r="M1425" i="3" s="1"/>
  <c r="M1426" i="3" s="1"/>
  <c r="M1427" i="3" s="1"/>
  <c r="M1428" i="3" s="1"/>
  <c r="M1429" i="3" s="1"/>
  <c r="M1430" i="3" s="1"/>
  <c r="M1431" i="3" s="1"/>
  <c r="M1432" i="3" s="1"/>
  <c r="M1433" i="3" s="1"/>
  <c r="M1434" i="3" s="1"/>
  <c r="M1435" i="3" s="1"/>
  <c r="M1436" i="3" s="1"/>
  <c r="M1437" i="3" s="1"/>
  <c r="M1438" i="3" s="1"/>
  <c r="M1439" i="3" s="1"/>
  <c r="M1440" i="3" s="1"/>
  <c r="M1441" i="3" s="1"/>
  <c r="M1442" i="3" s="1"/>
  <c r="M1443" i="3" s="1"/>
  <c r="M1444" i="3" s="1"/>
  <c r="M1445" i="3" s="1"/>
  <c r="M1446" i="3" s="1"/>
  <c r="M1447" i="3" s="1"/>
  <c r="M1448" i="3" s="1"/>
  <c r="M1449" i="3" s="1"/>
  <c r="M1450" i="3" s="1"/>
  <c r="M1451" i="3" s="1"/>
  <c r="M1452" i="3" s="1"/>
  <c r="M1453" i="3" s="1"/>
  <c r="M1454" i="3" s="1"/>
  <c r="M1455" i="3" s="1"/>
  <c r="M1456" i="3" s="1"/>
  <c r="M1457" i="3" s="1"/>
  <c r="M1458" i="3" s="1"/>
  <c r="M1459" i="3" s="1"/>
  <c r="M1460" i="3" s="1"/>
  <c r="M1461" i="3" s="1"/>
  <c r="M1462" i="3" s="1"/>
  <c r="M1463" i="3" s="1"/>
  <c r="M1464" i="3" s="1"/>
  <c r="M1465" i="3" s="1"/>
  <c r="M1466" i="3" s="1"/>
  <c r="M1467" i="3" s="1"/>
  <c r="M1468" i="3" s="1"/>
  <c r="M1469" i="3" s="1"/>
  <c r="M1470" i="3" s="1"/>
  <c r="M1471" i="3" s="1"/>
  <c r="M1472" i="3" s="1"/>
  <c r="M1473" i="3" s="1"/>
  <c r="M1474" i="3" s="1"/>
  <c r="M1475" i="3" s="1"/>
  <c r="M1476" i="3" s="1"/>
  <c r="M1477" i="3" s="1"/>
  <c r="M1478" i="3" s="1"/>
  <c r="M1479" i="3" s="1"/>
  <c r="M1480" i="3" s="1"/>
  <c r="M1481" i="3" s="1"/>
  <c r="M1482" i="3" s="1"/>
  <c r="M1483" i="3" s="1"/>
  <c r="M1484" i="3" s="1"/>
  <c r="M1485" i="3" s="1"/>
  <c r="M1486" i="3" s="1"/>
  <c r="M1487" i="3" s="1"/>
  <c r="M1488" i="3" s="1"/>
  <c r="M1489" i="3" s="1"/>
  <c r="M1490" i="3" s="1"/>
  <c r="M1491" i="3" s="1"/>
  <c r="M1492" i="3" s="1"/>
  <c r="M1493" i="3" s="1"/>
  <c r="M1494" i="3" s="1"/>
  <c r="M1495" i="3" s="1"/>
  <c r="M1496" i="3" s="1"/>
  <c r="M1497" i="3" s="1"/>
  <c r="M1498" i="3" s="1"/>
  <c r="M1499" i="3" s="1"/>
  <c r="M1500" i="3" s="1"/>
  <c r="M1501" i="3" s="1"/>
  <c r="M1502" i="3" s="1"/>
  <c r="M1503" i="3" s="1"/>
  <c r="M1504" i="3" s="1"/>
  <c r="M1505" i="3" s="1"/>
  <c r="M1506" i="3" s="1"/>
  <c r="M1507" i="3" s="1"/>
  <c r="M1508" i="3" s="1"/>
  <c r="M1509" i="3" s="1"/>
  <c r="M1510" i="3" s="1"/>
  <c r="M1511" i="3" s="1"/>
  <c r="M1512" i="3" s="1"/>
  <c r="M1513" i="3" s="1"/>
  <c r="M1514" i="3" s="1"/>
  <c r="M1515" i="3" s="1"/>
  <c r="M1516" i="3" s="1"/>
  <c r="M1517" i="3" s="1"/>
  <c r="M1518" i="3" s="1"/>
  <c r="M1519" i="3" s="1"/>
  <c r="M1520" i="3" s="1"/>
  <c r="M1521" i="3" s="1"/>
  <c r="M1522" i="3" s="1"/>
  <c r="M1523" i="3" s="1"/>
  <c r="M1524" i="3" s="1"/>
  <c r="M1525" i="3" s="1"/>
  <c r="M1526" i="3" s="1"/>
  <c r="M1527" i="3" s="1"/>
  <c r="M1528" i="3" s="1"/>
  <c r="M1529" i="3" s="1"/>
  <c r="M1530" i="3" s="1"/>
  <c r="M1531" i="3" s="1"/>
  <c r="M1532" i="3" s="1"/>
  <c r="M1533" i="3" s="1"/>
  <c r="M1534" i="3" s="1"/>
  <c r="M1535" i="3" s="1"/>
  <c r="M1536" i="3" s="1"/>
  <c r="M1537" i="3" s="1"/>
  <c r="M1538" i="3" s="1"/>
  <c r="M1539" i="3" s="1"/>
  <c r="M1540" i="3" s="1"/>
  <c r="M1541" i="3" s="1"/>
  <c r="M1542" i="3" s="1"/>
  <c r="M1543" i="3" s="1"/>
  <c r="M1544" i="3" s="1"/>
  <c r="M1545" i="3" s="1"/>
  <c r="M1546" i="3" s="1"/>
  <c r="M1547" i="3" s="1"/>
  <c r="M1548" i="3" s="1"/>
  <c r="M1549" i="3" s="1"/>
  <c r="M1550" i="3" s="1"/>
  <c r="M1551" i="3" s="1"/>
  <c r="M1552" i="3" s="1"/>
  <c r="M1553" i="3" s="1"/>
  <c r="M1554" i="3" s="1"/>
  <c r="M1555" i="3" s="1"/>
  <c r="M1556" i="3" s="1"/>
  <c r="M1557" i="3" s="1"/>
  <c r="M1558" i="3" s="1"/>
  <c r="M1559" i="3" s="1"/>
  <c r="M1560" i="3" s="1"/>
  <c r="M1561" i="3" s="1"/>
  <c r="M1562" i="3" s="1"/>
  <c r="M1563" i="3" s="1"/>
  <c r="M1564" i="3" s="1"/>
  <c r="M1565" i="3" s="1"/>
  <c r="M1566" i="3" s="1"/>
  <c r="M1567" i="3" s="1"/>
  <c r="M1568" i="3" s="1"/>
  <c r="M1569" i="3" s="1"/>
  <c r="M1570" i="3" s="1"/>
  <c r="M1571" i="3" s="1"/>
  <c r="M1572" i="3" s="1"/>
  <c r="M1573" i="3" s="1"/>
  <c r="M1574" i="3" s="1"/>
  <c r="M1575" i="3" s="1"/>
  <c r="M1576" i="3" s="1"/>
  <c r="M1577" i="3" s="1"/>
  <c r="M1578" i="3" s="1"/>
  <c r="M1579" i="3" s="1"/>
  <c r="M1580" i="3" s="1"/>
  <c r="M1581" i="3" s="1"/>
  <c r="M1582" i="3" s="1"/>
  <c r="M1583" i="3" s="1"/>
  <c r="M1584" i="3" s="1"/>
  <c r="M1585" i="3" s="1"/>
  <c r="M1586" i="3" s="1"/>
  <c r="M1587" i="3" s="1"/>
  <c r="M1588" i="3" s="1"/>
  <c r="M1589" i="3" s="1"/>
  <c r="M1590" i="3" s="1"/>
  <c r="M1591" i="3" s="1"/>
  <c r="M1592" i="3" s="1"/>
  <c r="M1593" i="3" s="1"/>
  <c r="M1594" i="3" s="1"/>
  <c r="M1595" i="3" s="1"/>
  <c r="M1596" i="3" s="1"/>
  <c r="M1597" i="3" s="1"/>
  <c r="M1598" i="3" s="1"/>
  <c r="M1599" i="3" s="1"/>
  <c r="M1600" i="3" s="1"/>
  <c r="M1601" i="3" s="1"/>
  <c r="M1602" i="3" s="1"/>
  <c r="M1603" i="3" s="1"/>
  <c r="M1604" i="3" s="1"/>
  <c r="M1605" i="3" s="1"/>
  <c r="M1606" i="3" s="1"/>
  <c r="M1607" i="3" s="1"/>
  <c r="M1608" i="3" s="1"/>
  <c r="M1609" i="3" s="1"/>
  <c r="M1610" i="3" s="1"/>
  <c r="M1611" i="3" s="1"/>
  <c r="M1612" i="3" s="1"/>
  <c r="M1613" i="3" s="1"/>
  <c r="M1614" i="3" s="1"/>
  <c r="M1615" i="3" s="1"/>
  <c r="M1616" i="3" s="1"/>
  <c r="M1617" i="3" s="1"/>
  <c r="M1618" i="3" s="1"/>
  <c r="M1619" i="3" s="1"/>
  <c r="M1620" i="3" s="1"/>
  <c r="M1621" i="3" s="1"/>
  <c r="M1622" i="3" s="1"/>
  <c r="M1623" i="3" s="1"/>
  <c r="M1624" i="3" s="1"/>
  <c r="M1625" i="3" s="1"/>
  <c r="M1626" i="3" s="1"/>
  <c r="M1627" i="3" s="1"/>
  <c r="M1628" i="3" s="1"/>
  <c r="M1629" i="3" s="1"/>
  <c r="M1630" i="3" s="1"/>
  <c r="M1631" i="3" s="1"/>
  <c r="M1632" i="3" s="1"/>
  <c r="M1633" i="3" s="1"/>
  <c r="M1634" i="3" s="1"/>
  <c r="M1635" i="3" s="1"/>
  <c r="M1636" i="3" s="1"/>
  <c r="M1637" i="3" s="1"/>
  <c r="M1638" i="3" s="1"/>
  <c r="M1639" i="3" s="1"/>
  <c r="M1640" i="3" s="1"/>
  <c r="M1641" i="3" s="1"/>
  <c r="M1642" i="3" s="1"/>
  <c r="M1643" i="3" s="1"/>
  <c r="M1644" i="3" s="1"/>
  <c r="M1645" i="3" s="1"/>
  <c r="M1646" i="3" s="1"/>
  <c r="M1647" i="3" s="1"/>
  <c r="M1648" i="3" s="1"/>
  <c r="M1649" i="3" s="1"/>
  <c r="M1650" i="3" s="1"/>
  <c r="M1651" i="3" s="1"/>
  <c r="M1652" i="3" s="1"/>
  <c r="M1653" i="3" s="1"/>
  <c r="M1654" i="3" s="1"/>
  <c r="M1655" i="3" s="1"/>
  <c r="M1656" i="3" s="1"/>
  <c r="M1657" i="3" s="1"/>
  <c r="M1658" i="3" s="1"/>
  <c r="M1659" i="3" s="1"/>
  <c r="M1660" i="3" s="1"/>
  <c r="M1661" i="3" s="1"/>
  <c r="M1662" i="3" s="1"/>
  <c r="M1663" i="3" s="1"/>
  <c r="M1664" i="3" s="1"/>
  <c r="M1665" i="3" s="1"/>
  <c r="M1666" i="3" s="1"/>
  <c r="M1667" i="3" s="1"/>
  <c r="M1668" i="3" s="1"/>
  <c r="M1669" i="3" s="1"/>
  <c r="M1670" i="3" s="1"/>
  <c r="M1671" i="3" s="1"/>
  <c r="M1672" i="3" s="1"/>
  <c r="M1673" i="3" s="1"/>
  <c r="M1674" i="3" s="1"/>
  <c r="M1675" i="3" s="1"/>
  <c r="M1676" i="3" s="1"/>
  <c r="M1677" i="3" s="1"/>
  <c r="M1678" i="3" s="1"/>
  <c r="M1679" i="3" s="1"/>
  <c r="M1680" i="3" s="1"/>
  <c r="M1681" i="3" s="1"/>
  <c r="M1682" i="3" s="1"/>
  <c r="M1683" i="3" s="1"/>
  <c r="M1684" i="3" s="1"/>
  <c r="M1685" i="3" s="1"/>
  <c r="M1686" i="3" s="1"/>
  <c r="M1687" i="3" s="1"/>
  <c r="M1688" i="3" s="1"/>
  <c r="M1689" i="3" s="1"/>
  <c r="M1690" i="3" s="1"/>
  <c r="P1363" i="3"/>
  <c r="F5" i="11"/>
  <c r="AE5" i="11"/>
  <c r="AZ4" i="11"/>
  <c r="J4" i="11"/>
  <c r="AY4" i="11"/>
  <c r="I4" i="11"/>
  <c r="AX4" i="11"/>
  <c r="H4" i="11"/>
  <c r="W5" i="11"/>
  <c r="N5" i="11"/>
  <c r="AM5" i="11"/>
  <c r="AV5" i="11"/>
  <c r="BL5" i="11"/>
  <c r="BD5" i="11"/>
  <c r="CH4" i="11"/>
  <c r="BR4" i="11"/>
  <c r="BZ4" i="11"/>
  <c r="CY308" i="11" l="1"/>
  <c r="CZ308" i="11" s="1"/>
  <c r="CY309" i="11"/>
  <c r="CZ309" i="11" s="1"/>
  <c r="CY311" i="11"/>
  <c r="CZ311" i="11" s="1"/>
  <c r="CY312" i="11"/>
  <c r="CZ312" i="11" s="1"/>
  <c r="CY290" i="11"/>
  <c r="CZ290" i="11" s="1"/>
  <c r="CY291" i="11"/>
  <c r="CZ291" i="11" s="1"/>
  <c r="CY292" i="11"/>
  <c r="CZ292" i="11" s="1"/>
  <c r="CY51" i="11"/>
  <c r="CZ51" i="11" s="1"/>
  <c r="CY64" i="11"/>
  <c r="CZ64" i="11" s="1"/>
  <c r="CY335" i="11"/>
  <c r="CZ335" i="11" s="1"/>
  <c r="CY327" i="11"/>
  <c r="CZ327" i="11" s="1"/>
  <c r="CY329" i="11"/>
  <c r="CZ329" i="11" s="1"/>
  <c r="CY330" i="11"/>
  <c r="CZ330" i="11" s="1"/>
  <c r="CY254" i="11"/>
  <c r="CZ254" i="11" s="1"/>
  <c r="CY255" i="11"/>
  <c r="CZ255" i="11" s="1"/>
  <c r="CY257" i="11"/>
  <c r="CZ257" i="11" s="1"/>
  <c r="CY258" i="11"/>
  <c r="CZ258" i="11" s="1"/>
  <c r="CY259" i="11"/>
  <c r="CZ259" i="11" s="1"/>
  <c r="CY260" i="11"/>
  <c r="CZ260" i="11" s="1"/>
  <c r="CY261" i="11"/>
  <c r="CZ261" i="11" s="1"/>
  <c r="CY295" i="11"/>
  <c r="CZ295" i="11" s="1"/>
  <c r="CY297" i="11"/>
  <c r="CZ297" i="11" s="1"/>
  <c r="CY298" i="11"/>
  <c r="CZ298" i="11" s="1"/>
  <c r="CY279" i="11"/>
  <c r="CZ279" i="11" s="1"/>
  <c r="CY280" i="11"/>
  <c r="CZ280" i="11" s="1"/>
  <c r="CY282" i="11"/>
  <c r="CZ282" i="11" s="1"/>
  <c r="CV274" i="11"/>
  <c r="CV275" i="11"/>
  <c r="CV279" i="11"/>
  <c r="CV280" i="11"/>
  <c r="CV282" i="11"/>
  <c r="CV290" i="11"/>
  <c r="CV291" i="11"/>
  <c r="CV292" i="11"/>
  <c r="CV295" i="11"/>
  <c r="CV297" i="11"/>
  <c r="CY241" i="11"/>
  <c r="CZ241" i="11" s="1"/>
  <c r="CY247" i="11"/>
  <c r="CZ247" i="11" s="1"/>
  <c r="CY225" i="11"/>
  <c r="CZ225" i="11" s="1"/>
  <c r="K230" i="14"/>
  <c r="K231" i="14" s="1"/>
  <c r="K232" i="14" s="1"/>
  <c r="K233" i="14" s="1"/>
  <c r="K234" i="14" s="1"/>
  <c r="K235" i="14" s="1"/>
  <c r="K236" i="14" s="1"/>
  <c r="K237" i="14" s="1"/>
  <c r="K238" i="14" s="1"/>
  <c r="K239" i="14" s="1"/>
  <c r="K240" i="14" s="1"/>
  <c r="K241" i="14" s="1"/>
  <c r="K242" i="14" s="1"/>
  <c r="K243" i="14" s="1"/>
  <c r="K244" i="14" s="1"/>
  <c r="K245" i="14" s="1"/>
  <c r="K246" i="14" s="1"/>
  <c r="K247" i="14" s="1"/>
  <c r="K248" i="14" s="1"/>
  <c r="K249" i="14" s="1"/>
  <c r="K250" i="14" s="1"/>
  <c r="K251" i="14" s="1"/>
  <c r="K252" i="14" s="1"/>
  <c r="K253" i="14" s="1"/>
  <c r="C3673" i="3"/>
  <c r="C3341" i="3"/>
  <c r="C3625" i="3"/>
  <c r="M1691" i="3"/>
  <c r="M1692" i="3" s="1"/>
  <c r="M1693" i="3" s="1"/>
  <c r="M1694" i="3" s="1"/>
  <c r="M1695" i="3" s="1"/>
  <c r="M1696" i="3" s="1"/>
  <c r="M1697" i="3" s="1"/>
  <c r="M1698" i="3" s="1"/>
  <c r="M1699" i="3" s="1"/>
  <c r="M1700" i="3" s="1"/>
  <c r="M1701" i="3" s="1"/>
  <c r="M1702" i="3" s="1"/>
  <c r="M1703" i="3" s="1"/>
  <c r="M1704" i="3" s="1"/>
  <c r="M1705" i="3" s="1"/>
  <c r="M1706" i="3" s="1"/>
  <c r="AH101" i="11"/>
  <c r="Q101" i="11"/>
  <c r="AR101" i="11"/>
  <c r="O166" i="11"/>
  <c r="J166" i="11"/>
  <c r="AN166" i="11"/>
  <c r="AG85" i="11"/>
  <c r="I85" i="11"/>
  <c r="Y85" i="11"/>
  <c r="S85" i="11"/>
  <c r="AI85" i="11"/>
  <c r="AQ85" i="11"/>
  <c r="Z85" i="11"/>
  <c r="AR85" i="11"/>
  <c r="AH85" i="11"/>
  <c r="AN93" i="11"/>
  <c r="AF93" i="11"/>
  <c r="H93" i="11"/>
  <c r="J93" i="11"/>
  <c r="S77" i="11"/>
  <c r="AN85" i="11"/>
  <c r="O85" i="11"/>
  <c r="P85" i="11"/>
  <c r="AF85" i="11"/>
  <c r="AO85" i="11"/>
  <c r="H85" i="11"/>
  <c r="J85" i="11"/>
  <c r="G85" i="11"/>
  <c r="X85" i="11"/>
  <c r="AP85" i="11"/>
  <c r="Q85" i="11"/>
  <c r="R85" i="11"/>
  <c r="G77" i="11"/>
  <c r="AF77" i="11"/>
  <c r="AG77" i="11"/>
  <c r="AP77" i="11"/>
  <c r="AQ77" i="11"/>
  <c r="H77" i="11"/>
  <c r="Y77" i="11"/>
  <c r="Q77" i="11"/>
  <c r="AH77" i="11"/>
  <c r="R77" i="11"/>
  <c r="I77" i="11"/>
  <c r="Z77" i="11"/>
  <c r="X77" i="11"/>
  <c r="Y69" i="11"/>
  <c r="AQ69" i="11"/>
  <c r="R69" i="11"/>
  <c r="AI69" i="11"/>
  <c r="AH69" i="11"/>
  <c r="S69" i="11"/>
  <c r="AA69" i="11"/>
  <c r="Z69" i="11"/>
  <c r="AN77" i="11"/>
  <c r="O77" i="11"/>
  <c r="J77" i="11"/>
  <c r="P77" i="11"/>
  <c r="AO77" i="11"/>
  <c r="J69" i="11"/>
  <c r="P69" i="11"/>
  <c r="AO69" i="11"/>
  <c r="G69" i="11"/>
  <c r="O69" i="11"/>
  <c r="AN69" i="11"/>
  <c r="AF69" i="11"/>
  <c r="H69" i="11"/>
  <c r="X69" i="11"/>
  <c r="Q69" i="11"/>
  <c r="AG69" i="11"/>
  <c r="I69" i="11"/>
  <c r="AP69" i="11"/>
  <c r="AF61" i="11"/>
  <c r="O61" i="11"/>
  <c r="H61" i="11"/>
  <c r="G61" i="11"/>
  <c r="Q61" i="11"/>
  <c r="AG61" i="11"/>
  <c r="X61" i="11"/>
  <c r="I61" i="11"/>
  <c r="Y61" i="11"/>
  <c r="R61" i="11"/>
  <c r="AH61" i="11"/>
  <c r="AP61" i="11"/>
  <c r="Z61" i="11"/>
  <c r="R53" i="11"/>
  <c r="AH53" i="11"/>
  <c r="AG53" i="11"/>
  <c r="AP53" i="11"/>
  <c r="AI53" i="11"/>
  <c r="AR53" i="11"/>
  <c r="Y53" i="11"/>
  <c r="S53" i="11"/>
  <c r="AA53" i="11"/>
  <c r="J61" i="11"/>
  <c r="AN61" i="11"/>
  <c r="P61" i="11"/>
  <c r="AO61" i="11"/>
  <c r="AO44" i="11"/>
  <c r="Q44" i="11"/>
  <c r="G44" i="11"/>
  <c r="AP44" i="11"/>
  <c r="H44" i="11"/>
  <c r="R44" i="11"/>
  <c r="I44" i="11"/>
  <c r="X44" i="11"/>
  <c r="AH44" i="11"/>
  <c r="AG44" i="11"/>
  <c r="Z44" i="11"/>
  <c r="Y44" i="11"/>
  <c r="G53" i="11"/>
  <c r="AA258" i="11"/>
  <c r="AA257" i="11"/>
  <c r="X257" i="11"/>
  <c r="AG257" i="11"/>
  <c r="H257" i="11"/>
  <c r="G257" i="11"/>
  <c r="Q257" i="11"/>
  <c r="AP257" i="11"/>
  <c r="Y257" i="11"/>
  <c r="AQ257" i="11"/>
  <c r="S257" i="11"/>
  <c r="I257" i="11"/>
  <c r="Z257" i="11"/>
  <c r="R257" i="11"/>
  <c r="AA163" i="11"/>
  <c r="Q265" i="11"/>
  <c r="AQ265" i="11"/>
  <c r="AI265" i="11"/>
  <c r="R265" i="11"/>
  <c r="Z265" i="11"/>
  <c r="AG265" i="11"/>
  <c r="O257" i="11"/>
  <c r="AN257" i="11"/>
  <c r="P257" i="11"/>
  <c r="AO257" i="11"/>
  <c r="AF257" i="11"/>
  <c r="J257" i="11"/>
  <c r="AH257" i="11"/>
  <c r="J265" i="11"/>
  <c r="AN265" i="11"/>
  <c r="G265" i="11"/>
  <c r="AO265" i="11"/>
  <c r="O265" i="11"/>
  <c r="H265" i="11"/>
  <c r="X265" i="11"/>
  <c r="I265" i="11"/>
  <c r="P265" i="11"/>
  <c r="Y265" i="11"/>
  <c r="AF265" i="11"/>
  <c r="AH265" i="11"/>
  <c r="Q160" i="11"/>
  <c r="AQ160" i="11"/>
  <c r="AA160" i="11"/>
  <c r="AH160" i="11"/>
  <c r="X160" i="11"/>
  <c r="Y160" i="11"/>
  <c r="I160" i="11"/>
  <c r="AG160" i="11"/>
  <c r="Z160" i="11"/>
  <c r="AF240" i="11"/>
  <c r="G240" i="11"/>
  <c r="O240" i="11"/>
  <c r="P240" i="11"/>
  <c r="O160" i="11"/>
  <c r="AF160" i="11"/>
  <c r="AN160" i="11"/>
  <c r="H160" i="11"/>
  <c r="J160" i="11"/>
  <c r="AP160" i="11"/>
  <c r="AO160" i="11"/>
  <c r="R160" i="11"/>
  <c r="P160" i="11"/>
  <c r="AG166" i="11"/>
  <c r="AH166" i="11"/>
  <c r="AR166" i="11"/>
  <c r="AA166" i="11"/>
  <c r="O158" i="11"/>
  <c r="J158" i="11"/>
  <c r="AF158" i="11"/>
  <c r="Q158" i="11"/>
  <c r="AG158" i="11"/>
  <c r="AO158" i="11"/>
  <c r="Y158" i="11"/>
  <c r="AP158" i="11"/>
  <c r="P158" i="11"/>
  <c r="Q136" i="11"/>
  <c r="AG136" i="11"/>
  <c r="Z136" i="11"/>
  <c r="AR136" i="11"/>
  <c r="P136" i="11"/>
  <c r="O136" i="11"/>
  <c r="H136" i="11"/>
  <c r="AO136" i="11"/>
  <c r="G136" i="11"/>
  <c r="AQ136" i="11"/>
  <c r="AH136" i="11"/>
  <c r="AF136" i="11"/>
  <c r="I136" i="11"/>
  <c r="Y136" i="11"/>
  <c r="AP136" i="11"/>
  <c r="R136" i="11"/>
  <c r="AI136" i="11"/>
  <c r="X128" i="11"/>
  <c r="I128" i="11"/>
  <c r="AG128" i="11"/>
  <c r="R128" i="11"/>
  <c r="AP128" i="11"/>
  <c r="AI128" i="11"/>
  <c r="Y128" i="11"/>
  <c r="S128" i="11"/>
  <c r="Z128" i="11"/>
  <c r="AR128" i="11"/>
  <c r="AQ128" i="11"/>
  <c r="J136" i="11"/>
  <c r="AN136" i="11"/>
  <c r="AH91" i="11"/>
  <c r="AP91" i="11"/>
  <c r="R91" i="11"/>
  <c r="I91" i="11"/>
  <c r="AR91" i="11"/>
  <c r="AQ91" i="11"/>
  <c r="S91" i="11"/>
  <c r="AI91" i="11"/>
  <c r="Z91" i="11"/>
  <c r="AN107" i="11"/>
  <c r="O107" i="11"/>
  <c r="AO107" i="11"/>
  <c r="J107" i="11"/>
  <c r="AR83" i="11"/>
  <c r="J91" i="11"/>
  <c r="O91" i="11"/>
  <c r="AN91" i="11"/>
  <c r="AF91" i="11"/>
  <c r="H91" i="11"/>
  <c r="AO91" i="11"/>
  <c r="P91" i="11"/>
  <c r="AG91" i="11"/>
  <c r="Q91" i="11"/>
  <c r="G91" i="11"/>
  <c r="Y91" i="11"/>
  <c r="X91" i="11"/>
  <c r="X83" i="11"/>
  <c r="G83" i="11"/>
  <c r="Q83" i="11"/>
  <c r="AP83" i="11"/>
  <c r="AG83" i="11"/>
  <c r="AH83" i="11"/>
  <c r="R83" i="11"/>
  <c r="I83" i="11"/>
  <c r="Y83" i="11"/>
  <c r="AI83" i="11"/>
  <c r="AA83" i="11"/>
  <c r="AQ83" i="11"/>
  <c r="S83" i="11"/>
  <c r="I75" i="11"/>
  <c r="R75" i="11"/>
  <c r="X75" i="11"/>
  <c r="S75" i="11"/>
  <c r="AR75" i="11"/>
  <c r="AI75" i="11"/>
  <c r="J83" i="11"/>
  <c r="O83" i="11"/>
  <c r="AF83" i="11"/>
  <c r="P83" i="11"/>
  <c r="AN83" i="11"/>
  <c r="AO83" i="11"/>
  <c r="H83" i="11"/>
  <c r="X59" i="11"/>
  <c r="S59" i="11"/>
  <c r="AQ59" i="11"/>
  <c r="AP59" i="11"/>
  <c r="Z59" i="11"/>
  <c r="AO67" i="11"/>
  <c r="J67" i="11"/>
  <c r="G67" i="11"/>
  <c r="AN67" i="11"/>
  <c r="H67" i="11"/>
  <c r="O67" i="11"/>
  <c r="AF67" i="11"/>
  <c r="X67" i="11"/>
  <c r="AO59" i="11"/>
  <c r="AF59" i="11"/>
  <c r="J59" i="11"/>
  <c r="H59" i="11"/>
  <c r="P59" i="11"/>
  <c r="G59" i="11"/>
  <c r="O59" i="11"/>
  <c r="AG59" i="11"/>
  <c r="I59" i="11"/>
  <c r="R59" i="11"/>
  <c r="Y59" i="11"/>
  <c r="AH59" i="11"/>
  <c r="Q59" i="11"/>
  <c r="X51" i="11"/>
  <c r="AF51" i="11"/>
  <c r="AQ51" i="11"/>
  <c r="Q51" i="11"/>
  <c r="AP51" i="11"/>
  <c r="Y51" i="11"/>
  <c r="I51" i="11"/>
  <c r="AG51" i="11"/>
  <c r="AH51" i="11"/>
  <c r="AI51" i="11"/>
  <c r="AA51" i="11"/>
  <c r="R51" i="11"/>
  <c r="AN59" i="11"/>
  <c r="R42" i="11"/>
  <c r="S42" i="11"/>
  <c r="AR42" i="11"/>
  <c r="AH42" i="11"/>
  <c r="Z42" i="11"/>
  <c r="AG42" i="11"/>
  <c r="AN51" i="11"/>
  <c r="AO51" i="11"/>
  <c r="J51" i="11"/>
  <c r="P51" i="11"/>
  <c r="H51" i="11"/>
  <c r="O51" i="11"/>
  <c r="G51" i="11"/>
  <c r="AQ44" i="11"/>
  <c r="AR44" i="11"/>
  <c r="S44" i="11"/>
  <c r="J53" i="11"/>
  <c r="AN53" i="11"/>
  <c r="O53" i="11"/>
  <c r="AO53" i="11"/>
  <c r="P53" i="11"/>
  <c r="H53" i="11"/>
  <c r="AF53" i="11"/>
  <c r="Q53" i="11"/>
  <c r="X53" i="11"/>
  <c r="I53" i="11"/>
  <c r="O42" i="11"/>
  <c r="AN42" i="11"/>
  <c r="AO42" i="11"/>
  <c r="AF42" i="11"/>
  <c r="H42" i="11"/>
  <c r="G42" i="11"/>
  <c r="P42" i="11"/>
  <c r="Q42" i="11"/>
  <c r="X42" i="11"/>
  <c r="I42" i="11"/>
  <c r="AP42" i="11"/>
  <c r="Y42" i="11"/>
  <c r="AQ42" i="11"/>
  <c r="J10" i="11"/>
  <c r="AF10" i="11"/>
  <c r="AO10" i="11"/>
  <c r="H10" i="11"/>
  <c r="AN10" i="11"/>
  <c r="P10" i="11"/>
  <c r="X10" i="11"/>
  <c r="AP10" i="11"/>
  <c r="G10" i="11"/>
  <c r="Q10" i="11"/>
  <c r="AG10" i="11"/>
  <c r="Y10" i="11"/>
  <c r="I10" i="11"/>
  <c r="AR260" i="11"/>
  <c r="AR81" i="11"/>
  <c r="AI94" i="11"/>
  <c r="AI39" i="11"/>
  <c r="Z94" i="11"/>
  <c r="AQ40" i="11"/>
  <c r="AH39" i="11"/>
  <c r="AH10" i="11"/>
  <c r="I258" i="11"/>
  <c r="O10" i="11"/>
  <c r="AR79" i="11"/>
  <c r="AI87" i="11"/>
  <c r="Z280" i="11"/>
  <c r="S269" i="11"/>
  <c r="S38" i="11"/>
  <c r="AQ260" i="11"/>
  <c r="Y220" i="11"/>
  <c r="R269" i="11"/>
  <c r="AQ87" i="11"/>
  <c r="AH71" i="11"/>
  <c r="AP217" i="11"/>
  <c r="Q38" i="11"/>
  <c r="P79" i="11"/>
  <c r="AA264" i="11"/>
  <c r="AA269" i="11"/>
  <c r="AA63" i="11"/>
  <c r="AA84" i="11"/>
  <c r="AR254" i="11"/>
  <c r="AR140" i="11"/>
  <c r="AA178" i="11"/>
  <c r="AA217" i="11"/>
  <c r="AA71" i="11"/>
  <c r="AR172" i="11"/>
  <c r="AR87" i="11"/>
  <c r="AI225" i="11"/>
  <c r="AI140" i="11"/>
  <c r="AI41" i="11"/>
  <c r="Z71" i="11"/>
  <c r="Z38" i="11"/>
  <c r="S45" i="11"/>
  <c r="AQ140" i="11"/>
  <c r="AI43" i="11"/>
  <c r="Z73" i="11"/>
  <c r="S43" i="11"/>
  <c r="AQ172" i="11"/>
  <c r="AH79" i="11"/>
  <c r="Y280" i="11"/>
  <c r="AO14" i="11"/>
  <c r="I63" i="11"/>
  <c r="AP63" i="11"/>
  <c r="AG63" i="11"/>
  <c r="Q172" i="11"/>
  <c r="G76" i="11"/>
  <c r="AA280" i="11"/>
  <c r="AA225" i="11"/>
  <c r="AA172" i="11"/>
  <c r="AR180" i="11"/>
  <c r="AR148" i="11"/>
  <c r="AR14" i="11"/>
  <c r="Z84" i="11"/>
  <c r="S225" i="11"/>
  <c r="S172" i="11"/>
  <c r="S71" i="11"/>
  <c r="AQ225" i="11"/>
  <c r="AH217" i="11"/>
  <c r="AH180" i="11"/>
  <c r="AH14" i="11"/>
  <c r="Y261" i="11"/>
  <c r="I71" i="11"/>
  <c r="AG172" i="11"/>
  <c r="H180" i="11"/>
  <c r="AA38" i="11"/>
  <c r="AR225" i="11"/>
  <c r="AR179" i="11"/>
  <c r="AR37" i="11"/>
  <c r="AI290" i="11"/>
  <c r="AI14" i="11"/>
  <c r="Z225" i="11"/>
  <c r="Z148" i="11"/>
  <c r="AR38" i="11"/>
  <c r="AR76" i="11"/>
  <c r="AI220" i="11"/>
  <c r="AI63" i="11"/>
  <c r="S180" i="11"/>
  <c r="S79" i="11"/>
  <c r="AG180" i="11"/>
  <c r="AH38" i="11"/>
  <c r="Y68" i="11"/>
  <c r="AP97" i="11"/>
  <c r="AA252" i="11"/>
  <c r="AA87" i="11"/>
  <c r="AA47" i="11"/>
  <c r="AA60" i="11"/>
  <c r="AR199" i="11"/>
  <c r="AA218" i="11"/>
  <c r="AR63" i="11"/>
  <c r="AI269" i="11"/>
  <c r="AI71" i="11"/>
  <c r="Z251" i="11"/>
  <c r="Z14" i="11"/>
  <c r="S217" i="11"/>
  <c r="S87" i="11"/>
  <c r="Z269" i="11"/>
  <c r="AH76" i="11"/>
  <c r="AA179" i="11"/>
  <c r="AR264" i="11"/>
  <c r="Z172" i="11"/>
  <c r="R172" i="11"/>
  <c r="AA220" i="11"/>
  <c r="AP261" i="11"/>
  <c r="AR279" i="11"/>
  <c r="AR71" i="11"/>
  <c r="AI60" i="11"/>
  <c r="AA261" i="11"/>
  <c r="AA76" i="11"/>
  <c r="AA291" i="11"/>
  <c r="AH292" i="11"/>
  <c r="AR251" i="11"/>
  <c r="AQ252" i="11"/>
  <c r="R264" i="11"/>
  <c r="AH269" i="11"/>
  <c r="AA274" i="11"/>
  <c r="AA275" i="11"/>
  <c r="AA279" i="11"/>
  <c r="AI280" i="11"/>
  <c r="Y282" i="11"/>
  <c r="Q290" i="11"/>
  <c r="I295" i="11"/>
  <c r="H295" i="11"/>
  <c r="G295" i="11"/>
  <c r="K295" i="11"/>
  <c r="I218" i="11"/>
  <c r="I225" i="11"/>
  <c r="I166" i="11"/>
  <c r="AI257" i="11"/>
  <c r="H258" i="11"/>
  <c r="AR259" i="11"/>
  <c r="Z260" i="11"/>
  <c r="AQ261" i="11"/>
  <c r="AQ295" i="11"/>
  <c r="AR295" i="11"/>
  <c r="J297" i="11"/>
  <c r="J295" i="11"/>
  <c r="I297" i="11"/>
  <c r="H297" i="11"/>
  <c r="G297" i="11"/>
  <c r="K297" i="11"/>
  <c r="X295" i="11"/>
  <c r="Y295" i="11"/>
  <c r="Z295" i="11"/>
  <c r="AA295" i="11"/>
  <c r="AB295" i="11"/>
  <c r="AF295" i="11"/>
  <c r="AG295" i="11"/>
  <c r="AH295" i="11"/>
  <c r="AI295" i="11"/>
  <c r="AJ295" i="11"/>
  <c r="AN295" i="11"/>
  <c r="AO295" i="11"/>
  <c r="AP295" i="11"/>
  <c r="AQ297" i="11"/>
  <c r="AR297" i="11"/>
  <c r="O295" i="11"/>
  <c r="P295" i="11"/>
  <c r="Q295" i="11"/>
  <c r="R295" i="11"/>
  <c r="S295" i="11"/>
  <c r="T295" i="11"/>
  <c r="O298" i="11"/>
  <c r="T298" i="11"/>
  <c r="J303" i="11"/>
  <c r="K303" i="11"/>
  <c r="G302" i="11"/>
  <c r="K302" i="11"/>
  <c r="J302" i="11"/>
  <c r="I301" i="11"/>
  <c r="G298" i="11"/>
  <c r="G301" i="11"/>
  <c r="K301" i="11"/>
  <c r="AF301" i="11"/>
  <c r="AG301" i="11"/>
  <c r="AH301" i="11"/>
  <c r="AI301" i="11"/>
  <c r="AJ301" i="11"/>
  <c r="AN301" i="11"/>
  <c r="AO301" i="11"/>
  <c r="AP301" i="11"/>
  <c r="AQ301" i="11"/>
  <c r="AR301" i="11"/>
  <c r="P301" i="11"/>
  <c r="Q301" i="11"/>
  <c r="R301" i="11"/>
  <c r="S301" i="11"/>
  <c r="X301" i="11"/>
  <c r="Y301" i="11"/>
  <c r="Z301" i="11"/>
  <c r="AA301" i="11"/>
  <c r="AB301" i="11"/>
  <c r="AA302" i="11"/>
  <c r="AB302" i="11"/>
  <c r="AF302" i="11"/>
  <c r="AG302" i="11"/>
  <c r="AH302" i="11"/>
  <c r="AI302" i="11"/>
  <c r="AJ302" i="11"/>
  <c r="AN302" i="11"/>
  <c r="AO302" i="11"/>
  <c r="AP302" i="11"/>
  <c r="AQ302" i="11"/>
  <c r="AR302" i="11"/>
  <c r="O306" i="11"/>
  <c r="J306" i="11"/>
  <c r="P306" i="11"/>
  <c r="T306" i="11"/>
  <c r="P303" i="11"/>
  <c r="Q303" i="11"/>
  <c r="R303" i="11"/>
  <c r="S303" i="11"/>
  <c r="X303" i="11"/>
  <c r="Y303" i="11"/>
  <c r="Z303" i="11"/>
  <c r="AA303" i="11"/>
  <c r="AB303" i="11"/>
  <c r="AN306" i="11"/>
  <c r="AO306" i="11"/>
  <c r="AP306" i="11"/>
  <c r="AQ306" i="11"/>
  <c r="AR306" i="11"/>
  <c r="Q306" i="11"/>
  <c r="G306" i="11"/>
  <c r="K306" i="11"/>
  <c r="T307" i="11"/>
  <c r="R241" i="11"/>
  <c r="R306" i="11"/>
  <c r="S306" i="11"/>
  <c r="X306" i="11"/>
  <c r="Y306" i="11"/>
  <c r="Z306" i="11"/>
  <c r="AA306" i="11"/>
  <c r="AB306" i="11"/>
  <c r="AF306" i="11"/>
  <c r="AG306" i="11"/>
  <c r="AH306" i="11"/>
  <c r="AI306" i="11"/>
  <c r="I306" i="11"/>
  <c r="I307" i="11"/>
  <c r="I308" i="11"/>
  <c r="O308" i="11"/>
  <c r="O307" i="11"/>
  <c r="J307" i="11"/>
  <c r="G308" i="11"/>
  <c r="K308" i="11"/>
  <c r="R308" i="11"/>
  <c r="T308" i="11"/>
  <c r="G307" i="11"/>
  <c r="K307" i="11"/>
  <c r="R307" i="11"/>
  <c r="AR307" i="11"/>
  <c r="Q308" i="11"/>
  <c r="P308" i="11"/>
  <c r="Q307" i="11"/>
  <c r="P307" i="11"/>
  <c r="H306" i="11"/>
  <c r="H307" i="11"/>
  <c r="H308" i="11"/>
  <c r="Y307" i="11"/>
  <c r="Z307" i="11"/>
  <c r="AA307" i="11"/>
  <c r="AB307" i="11"/>
  <c r="AF307" i="11"/>
  <c r="AG307" i="11"/>
  <c r="AH307" i="11"/>
  <c r="AI307" i="11"/>
  <c r="AJ307" i="11"/>
  <c r="AN307" i="11"/>
  <c r="AO307" i="11"/>
  <c r="AP307" i="11"/>
  <c r="AQ307" i="11"/>
  <c r="AJ308" i="11"/>
  <c r="AN308" i="11"/>
  <c r="AO308" i="11"/>
  <c r="AP308" i="11"/>
  <c r="AQ308" i="11"/>
  <c r="AR308" i="11"/>
  <c r="S307" i="11"/>
  <c r="X307" i="11"/>
  <c r="S220" i="11"/>
  <c r="S179" i="11"/>
  <c r="S308" i="11"/>
  <c r="X308" i="11"/>
  <c r="Y308" i="11"/>
  <c r="Z308" i="11"/>
  <c r="AA308" i="11"/>
  <c r="AB308" i="11"/>
  <c r="AF308" i="11"/>
  <c r="AG308" i="11"/>
  <c r="AH308" i="11"/>
  <c r="AI308" i="11"/>
  <c r="X136" i="11"/>
  <c r="J309" i="11"/>
  <c r="X309" i="11"/>
  <c r="AJ309" i="11"/>
  <c r="AB309" i="11"/>
  <c r="G309" i="11"/>
  <c r="K309" i="11"/>
  <c r="S309" i="11"/>
  <c r="T309" i="11"/>
  <c r="AA309" i="11"/>
  <c r="AA240" i="11"/>
  <c r="AA187" i="11"/>
  <c r="Z309" i="11"/>
  <c r="Z254" i="11"/>
  <c r="Z199" i="11"/>
  <c r="Z158" i="11"/>
  <c r="Y309" i="11"/>
  <c r="O309" i="11"/>
  <c r="O311" i="11"/>
  <c r="T311" i="11"/>
  <c r="O312" i="11"/>
  <c r="T312" i="11"/>
  <c r="AA311" i="11"/>
  <c r="AA312" i="11"/>
  <c r="AB311" i="11"/>
  <c r="AB312" i="11"/>
  <c r="AF311" i="11"/>
  <c r="AJ311" i="11"/>
  <c r="AF312" i="11"/>
  <c r="AJ312" i="11"/>
  <c r="AN312" i="11"/>
  <c r="AQ312" i="11"/>
  <c r="AR312" i="11"/>
  <c r="AQ311" i="11"/>
  <c r="AR311" i="11"/>
  <c r="X311" i="11"/>
  <c r="X312" i="11"/>
  <c r="G311" i="11"/>
  <c r="K311" i="11"/>
  <c r="G312" i="11"/>
  <c r="K312" i="11"/>
  <c r="J311" i="11"/>
  <c r="J312" i="11"/>
  <c r="X45" i="11"/>
  <c r="AA137" i="11"/>
  <c r="AI58" i="11"/>
  <c r="AA77" i="11"/>
  <c r="AH86" i="11"/>
  <c r="CL14" i="11"/>
  <c r="CM14" i="11"/>
  <c r="CN14" i="11"/>
  <c r="CO14" i="11"/>
  <c r="CP14" i="11"/>
  <c r="CP306" i="11"/>
  <c r="CP307" i="11"/>
  <c r="CP308" i="11"/>
  <c r="CP309" i="11"/>
  <c r="CP311" i="11"/>
  <c r="CP312" i="11"/>
  <c r="AA61" i="11"/>
  <c r="AA70" i="11"/>
  <c r="AI74" i="11"/>
  <c r="AI81" i="11"/>
  <c r="AA85" i="11"/>
  <c r="AI96" i="11"/>
  <c r="O140" i="11"/>
  <c r="CP290" i="11"/>
  <c r="CP291" i="11"/>
  <c r="CP292" i="11"/>
  <c r="CP295" i="11"/>
  <c r="CP297" i="11"/>
  <c r="CP298" i="11"/>
  <c r="CP301" i="11"/>
  <c r="CP302" i="11"/>
  <c r="CP303" i="11"/>
  <c r="CP265" i="11"/>
  <c r="CP267" i="11"/>
  <c r="CP269" i="11"/>
  <c r="CP271" i="11"/>
  <c r="CP274" i="11"/>
  <c r="CP275" i="11"/>
  <c r="CP279" i="11"/>
  <c r="CP280" i="11"/>
  <c r="CP282" i="11"/>
  <c r="CP251" i="11"/>
  <c r="CP252" i="11"/>
  <c r="CP253" i="11"/>
  <c r="CP254" i="11"/>
  <c r="CP255" i="11"/>
  <c r="CP257" i="11"/>
  <c r="CP258" i="11"/>
  <c r="CP259" i="11"/>
  <c r="CP260" i="11"/>
  <c r="CP261" i="11"/>
  <c r="CP264" i="11"/>
  <c r="CP218" i="11"/>
  <c r="CP219" i="11"/>
  <c r="CP220" i="11"/>
  <c r="CP225" i="11"/>
  <c r="CP226" i="11"/>
  <c r="CP240" i="11"/>
  <c r="CP241" i="11"/>
  <c r="CP247" i="11"/>
  <c r="CP172" i="11"/>
  <c r="CP178" i="11"/>
  <c r="CP179" i="11"/>
  <c r="CP180" i="11"/>
  <c r="CP187" i="11"/>
  <c r="CP199" i="11"/>
  <c r="CP217" i="11"/>
  <c r="CP136" i="11"/>
  <c r="CP137" i="11"/>
  <c r="CP140" i="11"/>
  <c r="CP148" i="11"/>
  <c r="CP158" i="11"/>
  <c r="CP160" i="11"/>
  <c r="CP163" i="11"/>
  <c r="CP166" i="11"/>
  <c r="CP96" i="11"/>
  <c r="CP97" i="11"/>
  <c r="CP101" i="11"/>
  <c r="CP107" i="11"/>
  <c r="CP128" i="11"/>
  <c r="CP81" i="11"/>
  <c r="CP82" i="11"/>
  <c r="CP83" i="11"/>
  <c r="CP84" i="11"/>
  <c r="CP85" i="11"/>
  <c r="CP86" i="11"/>
  <c r="CP87" i="11"/>
  <c r="CP88" i="11"/>
  <c r="CP89" i="11"/>
  <c r="CP91" i="11"/>
  <c r="CP92" i="11"/>
  <c r="CP93" i="11"/>
  <c r="CP94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O295" i="11"/>
  <c r="CO297" i="11"/>
  <c r="CO298" i="11"/>
  <c r="CO301" i="11"/>
  <c r="CO302" i="11"/>
  <c r="CO303" i="11"/>
  <c r="CO306" i="11"/>
  <c r="CO307" i="11"/>
  <c r="CO308" i="11"/>
  <c r="CO309" i="11"/>
  <c r="CO311" i="11"/>
  <c r="CO312" i="11"/>
  <c r="CO271" i="11"/>
  <c r="CO274" i="11"/>
  <c r="CO275" i="11"/>
  <c r="CO279" i="11"/>
  <c r="CO280" i="11"/>
  <c r="CO282" i="11"/>
  <c r="CO290" i="11"/>
  <c r="CO291" i="11"/>
  <c r="CO292" i="11"/>
  <c r="CO257" i="11"/>
  <c r="CO258" i="11"/>
  <c r="CO259" i="11"/>
  <c r="CO260" i="11"/>
  <c r="CO261" i="11"/>
  <c r="CO264" i="11"/>
  <c r="CO265" i="11"/>
  <c r="CO267" i="11"/>
  <c r="CO269" i="11"/>
  <c r="CO240" i="11"/>
  <c r="CO241" i="11"/>
  <c r="CO247" i="11"/>
  <c r="CO251" i="11"/>
  <c r="CO252" i="11"/>
  <c r="CO253" i="11"/>
  <c r="CO254" i="11"/>
  <c r="CO255" i="11"/>
  <c r="CO180" i="11"/>
  <c r="CO187" i="11"/>
  <c r="CO199" i="11"/>
  <c r="CO217" i="11"/>
  <c r="CO218" i="11"/>
  <c r="CO219" i="11"/>
  <c r="CO220" i="11"/>
  <c r="CO225" i="11"/>
  <c r="CO226" i="11"/>
  <c r="CO158" i="11"/>
  <c r="CO160" i="11"/>
  <c r="CO163" i="11"/>
  <c r="CO166" i="11"/>
  <c r="CO172" i="11"/>
  <c r="CO178" i="11"/>
  <c r="CO179" i="11"/>
  <c r="CO128" i="11"/>
  <c r="CO136" i="11"/>
  <c r="CO137" i="11"/>
  <c r="CO140" i="11"/>
  <c r="CO148" i="11"/>
  <c r="CO88" i="11"/>
  <c r="CO89" i="11"/>
  <c r="CO91" i="11"/>
  <c r="CO92" i="11"/>
  <c r="CO93" i="11"/>
  <c r="CO94" i="11"/>
  <c r="CO96" i="11"/>
  <c r="CO97" i="11"/>
  <c r="CO101" i="11"/>
  <c r="CO107" i="11"/>
  <c r="CO48" i="11"/>
  <c r="CO49" i="11"/>
  <c r="CO50" i="11"/>
  <c r="CO51" i="11"/>
  <c r="CO53" i="11"/>
  <c r="CO56" i="11"/>
  <c r="CO57" i="11"/>
  <c r="CO58" i="11"/>
  <c r="CO59" i="11"/>
  <c r="CO60" i="11"/>
  <c r="CO61" i="11"/>
  <c r="CO35" i="11"/>
  <c r="CO36" i="11"/>
  <c r="CO37" i="11"/>
  <c r="CO38" i="11"/>
  <c r="CO39" i="11"/>
  <c r="CO40" i="11"/>
  <c r="CO41" i="11"/>
  <c r="CO42" i="11"/>
  <c r="CO43" i="11"/>
  <c r="CO44" i="11"/>
  <c r="CO45" i="11"/>
  <c r="CO47" i="11"/>
  <c r="CN306" i="11"/>
  <c r="CN307" i="11"/>
  <c r="CN308" i="11"/>
  <c r="CN309" i="11"/>
  <c r="CN311" i="11"/>
  <c r="CN312" i="11"/>
  <c r="CN290" i="11"/>
  <c r="CN291" i="11"/>
  <c r="CN292" i="11"/>
  <c r="CN295" i="11"/>
  <c r="CN297" i="11"/>
  <c r="CN298" i="11"/>
  <c r="CN301" i="11"/>
  <c r="CN302" i="11"/>
  <c r="CN303" i="11"/>
  <c r="CN265" i="11"/>
  <c r="CN267" i="11"/>
  <c r="CN269" i="11"/>
  <c r="CN271" i="11"/>
  <c r="CN274" i="11"/>
  <c r="CN275" i="11"/>
  <c r="CN279" i="11"/>
  <c r="CN280" i="11"/>
  <c r="CN282" i="11"/>
  <c r="CN251" i="11"/>
  <c r="CN252" i="11"/>
  <c r="CN253" i="11"/>
  <c r="CN254" i="11"/>
  <c r="CN255" i="11"/>
  <c r="CN257" i="11"/>
  <c r="CN258" i="11"/>
  <c r="CN259" i="11"/>
  <c r="CN260" i="11"/>
  <c r="CN261" i="11"/>
  <c r="CN264" i="11"/>
  <c r="CN218" i="11"/>
  <c r="CN219" i="11"/>
  <c r="CN220" i="11"/>
  <c r="CN225" i="11"/>
  <c r="CN226" i="11"/>
  <c r="CN240" i="11"/>
  <c r="CN241" i="11"/>
  <c r="CN247" i="11"/>
  <c r="CN172" i="11"/>
  <c r="CN178" i="11"/>
  <c r="CN179" i="11"/>
  <c r="CN180" i="11"/>
  <c r="CN187" i="11"/>
  <c r="CN199" i="11"/>
  <c r="CN217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45" i="11"/>
  <c r="CN47" i="11"/>
  <c r="CN48" i="11"/>
  <c r="CN49" i="11"/>
  <c r="CN50" i="11"/>
  <c r="CN51" i="11"/>
  <c r="CN53" i="11"/>
  <c r="CN56" i="11"/>
  <c r="CN57" i="11"/>
  <c r="CN58" i="11"/>
  <c r="CN59" i="11"/>
  <c r="CN35" i="11"/>
  <c r="CN36" i="11"/>
  <c r="CN37" i="11"/>
  <c r="CN38" i="11"/>
  <c r="CN39" i="11"/>
  <c r="CN40" i="11"/>
  <c r="CN41" i="11"/>
  <c r="CN42" i="11"/>
  <c r="CN43" i="11"/>
  <c r="CN44" i="11"/>
  <c r="CM302" i="11"/>
  <c r="CM303" i="11"/>
  <c r="CM306" i="11"/>
  <c r="CM307" i="11"/>
  <c r="CM308" i="11"/>
  <c r="CM309" i="11"/>
  <c r="CM311" i="11"/>
  <c r="CM312" i="11"/>
  <c r="CM280" i="11"/>
  <c r="CM282" i="11"/>
  <c r="CM290" i="11"/>
  <c r="CM291" i="11"/>
  <c r="CM292" i="11"/>
  <c r="CM295" i="11"/>
  <c r="CM297" i="11"/>
  <c r="CM298" i="11"/>
  <c r="CM301" i="11"/>
  <c r="CM264" i="11"/>
  <c r="CM265" i="11"/>
  <c r="CM267" i="11"/>
  <c r="CM269" i="11"/>
  <c r="CM271" i="11"/>
  <c r="CM274" i="11"/>
  <c r="CM275" i="11"/>
  <c r="CM279" i="11"/>
  <c r="CM251" i="11"/>
  <c r="CM252" i="11"/>
  <c r="CM253" i="11"/>
  <c r="CM254" i="11"/>
  <c r="CM255" i="11"/>
  <c r="CM257" i="11"/>
  <c r="CM258" i="11"/>
  <c r="CM259" i="11"/>
  <c r="CM260" i="11"/>
  <c r="CM261" i="11"/>
  <c r="CM217" i="11"/>
  <c r="CM218" i="11"/>
  <c r="CM219" i="11"/>
  <c r="CM220" i="11"/>
  <c r="CM225" i="11"/>
  <c r="CM226" i="11"/>
  <c r="CM240" i="11"/>
  <c r="CM241" i="11"/>
  <c r="CM247" i="11"/>
  <c r="CM172" i="11"/>
  <c r="CM178" i="11"/>
  <c r="CM179" i="11"/>
  <c r="CM180" i="11"/>
  <c r="CM187" i="11"/>
  <c r="CM199" i="11"/>
  <c r="CM136" i="11"/>
  <c r="CM137" i="11"/>
  <c r="CM140" i="11"/>
  <c r="CM148" i="11"/>
  <c r="CM158" i="11"/>
  <c r="CM160" i="11"/>
  <c r="CM163" i="11"/>
  <c r="CM166" i="11"/>
  <c r="CM101" i="11"/>
  <c r="CM107" i="11"/>
  <c r="CM128" i="11"/>
  <c r="CM84" i="11"/>
  <c r="CM85" i="11"/>
  <c r="CM86" i="11"/>
  <c r="CM87" i="11"/>
  <c r="CM88" i="11"/>
  <c r="CM89" i="11"/>
  <c r="CM91" i="11"/>
  <c r="CM92" i="11"/>
  <c r="CM93" i="11"/>
  <c r="CM94" i="11"/>
  <c r="CM96" i="11"/>
  <c r="CM97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43" i="11"/>
  <c r="CM44" i="11"/>
  <c r="CM45" i="11"/>
  <c r="CM47" i="11"/>
  <c r="CM48" i="11"/>
  <c r="CM49" i="11"/>
  <c r="CM50" i="11"/>
  <c r="CM51" i="11"/>
  <c r="CM53" i="11"/>
  <c r="CM56" i="11"/>
  <c r="CM57" i="11"/>
  <c r="CM35" i="11"/>
  <c r="CM36" i="11"/>
  <c r="CM37" i="11"/>
  <c r="CM38" i="11"/>
  <c r="CM39" i="11"/>
  <c r="CM40" i="11"/>
  <c r="CM41" i="11"/>
  <c r="CM42" i="11"/>
  <c r="CL301" i="11"/>
  <c r="CL302" i="11"/>
  <c r="CL303" i="11"/>
  <c r="CL306" i="11"/>
  <c r="CL307" i="11"/>
  <c r="CL308" i="11"/>
  <c r="CL309" i="11"/>
  <c r="CL311" i="11"/>
  <c r="CL312" i="11"/>
  <c r="CL275" i="11"/>
  <c r="CL279" i="11"/>
  <c r="CL280" i="11"/>
  <c r="CL282" i="11"/>
  <c r="CL290" i="11"/>
  <c r="CL291" i="11"/>
  <c r="CL292" i="11"/>
  <c r="CL295" i="11"/>
  <c r="CL297" i="11"/>
  <c r="CL298" i="11"/>
  <c r="CL260" i="11"/>
  <c r="CL261" i="11"/>
  <c r="CL264" i="11"/>
  <c r="CL265" i="11"/>
  <c r="CL267" i="11"/>
  <c r="CL269" i="11"/>
  <c r="CL271" i="11"/>
  <c r="CL274" i="11"/>
  <c r="CL247" i="11"/>
  <c r="CL251" i="11"/>
  <c r="CL252" i="11"/>
  <c r="CL253" i="11"/>
  <c r="CL254" i="11"/>
  <c r="CL255" i="11"/>
  <c r="CL257" i="11"/>
  <c r="CL258" i="11"/>
  <c r="CL259" i="11"/>
  <c r="CL199" i="11"/>
  <c r="CL217" i="11"/>
  <c r="CL218" i="11"/>
  <c r="CL219" i="11"/>
  <c r="CL220" i="11"/>
  <c r="CL225" i="11"/>
  <c r="CL226" i="11"/>
  <c r="CL240" i="11"/>
  <c r="CL241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BF295" i="11"/>
  <c r="BF297" i="11"/>
  <c r="BF301" i="11"/>
  <c r="BF302" i="11"/>
  <c r="BF303" i="11"/>
  <c r="BF306" i="11"/>
  <c r="BF307" i="11"/>
  <c r="BF308" i="11"/>
  <c r="BF309" i="11"/>
  <c r="BF311" i="11"/>
  <c r="BF312" i="11"/>
  <c r="BF271" i="11"/>
  <c r="BF274" i="11"/>
  <c r="BF275" i="11"/>
  <c r="BF279" i="11"/>
  <c r="BF280" i="11"/>
  <c r="BF282" i="11"/>
  <c r="BF290" i="11"/>
  <c r="BF291" i="11"/>
  <c r="BF255" i="11"/>
  <c r="BF257" i="11"/>
  <c r="BF258" i="11"/>
  <c r="BF259" i="11"/>
  <c r="BF260" i="11"/>
  <c r="BF261" i="11"/>
  <c r="BF264" i="11"/>
  <c r="BF265" i="11"/>
  <c r="BF267" i="11"/>
  <c r="BF269" i="11"/>
  <c r="BF226" i="11"/>
  <c r="BF240" i="11"/>
  <c r="BF241" i="11"/>
  <c r="BF247" i="11"/>
  <c r="BF251" i="11"/>
  <c r="BF252" i="11"/>
  <c r="BF253" i="11"/>
  <c r="BF254" i="11"/>
  <c r="BF180" i="11"/>
  <c r="BF187" i="11"/>
  <c r="BF199" i="11"/>
  <c r="BF217" i="11"/>
  <c r="BF218" i="11"/>
  <c r="BF219" i="11"/>
  <c r="BF220" i="11"/>
  <c r="BF225" i="11"/>
  <c r="BF160" i="11"/>
  <c r="BF163" i="11"/>
  <c r="BF166" i="11"/>
  <c r="BF172" i="11"/>
  <c r="BF178" i="11"/>
  <c r="BF179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1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G312" i="11"/>
  <c r="BF56" i="11"/>
  <c r="BF57" i="11"/>
  <c r="BF58" i="11"/>
  <c r="BF59" i="11"/>
  <c r="BF60" i="11"/>
  <c r="BF61" i="11"/>
  <c r="BF62" i="11"/>
  <c r="BF63" i="11"/>
  <c r="BF64" i="11"/>
  <c r="BG290" i="11"/>
  <c r="BG291" i="11"/>
  <c r="BG295" i="11"/>
  <c r="BG297" i="11"/>
  <c r="BG301" i="11"/>
  <c r="BG302" i="11"/>
  <c r="BG303" i="11"/>
  <c r="BG306" i="11"/>
  <c r="BG307" i="11"/>
  <c r="BG308" i="11"/>
  <c r="BG309" i="11"/>
  <c r="BG311" i="11"/>
  <c r="BG271" i="11"/>
  <c r="BG274" i="11"/>
  <c r="BG275" i="11"/>
  <c r="BG279" i="11"/>
  <c r="BG280" i="11"/>
  <c r="BG282" i="11"/>
  <c r="BG267" i="11"/>
  <c r="BG269" i="11"/>
  <c r="BG225" i="11"/>
  <c r="BG226" i="11"/>
  <c r="BG240" i="11"/>
  <c r="BG241" i="11"/>
  <c r="BG247" i="11"/>
  <c r="BG251" i="11"/>
  <c r="BG252" i="11"/>
  <c r="BG179" i="11"/>
  <c r="BG180" i="11"/>
  <c r="BG187" i="11"/>
  <c r="BG199" i="11"/>
  <c r="BG217" i="11"/>
  <c r="BG218" i="11"/>
  <c r="BG219" i="11"/>
  <c r="BG220" i="11"/>
  <c r="BG163" i="11"/>
  <c r="BG166" i="11"/>
  <c r="BG172" i="11"/>
  <c r="BG178" i="11"/>
  <c r="BG91" i="11"/>
  <c r="BG92" i="11"/>
  <c r="BG93" i="11"/>
  <c r="BG94" i="11"/>
  <c r="BG96" i="11"/>
  <c r="BG97" i="11"/>
  <c r="BG101" i="11"/>
  <c r="BG107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H311" i="11"/>
  <c r="BH312" i="11"/>
  <c r="BG56" i="11"/>
  <c r="BG57" i="11"/>
  <c r="BG58" i="11"/>
  <c r="BG59" i="11"/>
  <c r="BG60" i="11"/>
  <c r="BG61" i="11"/>
  <c r="BG62" i="11"/>
  <c r="BG63" i="11"/>
  <c r="BV329" i="11"/>
  <c r="BW329" i="11"/>
  <c r="BX329" i="11"/>
  <c r="BY329" i="11"/>
  <c r="BZ329" i="11"/>
  <c r="BH301" i="11"/>
  <c r="BH302" i="11"/>
  <c r="BH303" i="11"/>
  <c r="BH306" i="11"/>
  <c r="BH307" i="11"/>
  <c r="BH308" i="11"/>
  <c r="BH309" i="11"/>
  <c r="BH274" i="11"/>
  <c r="BH275" i="11"/>
  <c r="BH279" i="11"/>
  <c r="BH280" i="11"/>
  <c r="BH282" i="11"/>
  <c r="BH290" i="11"/>
  <c r="BH291" i="11"/>
  <c r="BH295" i="11"/>
  <c r="BH297" i="11"/>
  <c r="BH258" i="11"/>
  <c r="BH259" i="11"/>
  <c r="BH260" i="11"/>
  <c r="BH261" i="11"/>
  <c r="BH264" i="11"/>
  <c r="BH265" i="11"/>
  <c r="BH267" i="11"/>
  <c r="BH269" i="11"/>
  <c r="BH271" i="11"/>
  <c r="BH128" i="11"/>
  <c r="BH136" i="11"/>
  <c r="BH137" i="11"/>
  <c r="BH140" i="11"/>
  <c r="BH148" i="11"/>
  <c r="BH158" i="11"/>
  <c r="BH160" i="11"/>
  <c r="BH163" i="11"/>
  <c r="BH85" i="11"/>
  <c r="BH86" i="11"/>
  <c r="BH87" i="11"/>
  <c r="BH88" i="11"/>
  <c r="BH89" i="11"/>
  <c r="BH91" i="11"/>
  <c r="BH92" i="11"/>
  <c r="BH93" i="11"/>
  <c r="BH94" i="11"/>
  <c r="BH96" i="11"/>
  <c r="BH97" i="11"/>
  <c r="BH10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84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E258" i="11"/>
  <c r="BE259" i="11"/>
  <c r="BE260" i="11"/>
  <c r="BE261" i="11"/>
  <c r="BE264" i="11"/>
  <c r="BE265" i="11"/>
  <c r="BE267" i="11"/>
  <c r="K335" i="11"/>
  <c r="AB335" i="11"/>
  <c r="BA335" i="11"/>
  <c r="CH335" i="11"/>
  <c r="BI335" i="11"/>
  <c r="AJ335" i="11"/>
  <c r="T335" i="11"/>
  <c r="AS335" i="11"/>
  <c r="BQ335" i="11"/>
  <c r="BP335" i="11"/>
  <c r="BO335" i="11"/>
  <c r="BE166" i="11"/>
  <c r="BE172" i="11"/>
  <c r="BE178" i="11"/>
  <c r="BE179" i="11"/>
  <c r="BE180" i="11"/>
  <c r="BE187" i="11"/>
  <c r="BE128" i="11"/>
  <c r="BE136" i="11"/>
  <c r="BE137" i="11"/>
  <c r="BE140" i="11"/>
  <c r="BE148" i="11"/>
  <c r="BE158" i="11"/>
  <c r="BE160" i="11"/>
  <c r="BE163" i="11"/>
  <c r="BE96" i="11"/>
  <c r="BE97" i="11"/>
  <c r="BE101" i="11"/>
  <c r="BE107" i="11"/>
  <c r="BE81" i="11"/>
  <c r="BE82" i="11"/>
  <c r="BE83" i="11"/>
  <c r="BE84" i="11"/>
  <c r="BE85" i="11"/>
  <c r="BE86" i="11"/>
  <c r="BE87" i="11"/>
  <c r="BE88" i="11"/>
  <c r="BE89" i="11"/>
  <c r="BE91" i="11"/>
  <c r="BE92" i="11"/>
  <c r="BE93" i="11"/>
  <c r="BE94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A199" i="11"/>
  <c r="BA217" i="11"/>
  <c r="BA218" i="11"/>
  <c r="BA219" i="11"/>
  <c r="BA220" i="11"/>
  <c r="BA225" i="11"/>
  <c r="BA226" i="11"/>
  <c r="BA240" i="11"/>
  <c r="BA241" i="11"/>
  <c r="BA128" i="11"/>
  <c r="BA136" i="11"/>
  <c r="BA137" i="11"/>
  <c r="BA140" i="11"/>
  <c r="BA178" i="11"/>
  <c r="BA179" i="11"/>
  <c r="BA180" i="11"/>
  <c r="BA187" i="11"/>
  <c r="BA85" i="11"/>
  <c r="BA86" i="11"/>
  <c r="BA87" i="11"/>
  <c r="BA88" i="11"/>
  <c r="BA89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44" i="11"/>
  <c r="BA45" i="11"/>
  <c r="BA47" i="11"/>
  <c r="BA48" i="11"/>
  <c r="BA49" i="11"/>
  <c r="BA50" i="11"/>
  <c r="BA51" i="11"/>
  <c r="BA53" i="11"/>
  <c r="BA56" i="11"/>
  <c r="BA57" i="11"/>
  <c r="BA58" i="11"/>
  <c r="AX264" i="11"/>
  <c r="AX255" i="11"/>
  <c r="AX219" i="11"/>
  <c r="AX179" i="11"/>
  <c r="AX107" i="11"/>
  <c r="AX89" i="11"/>
  <c r="AX80" i="11"/>
  <c r="AX71" i="11"/>
  <c r="AX62" i="11"/>
  <c r="AX61" i="11"/>
  <c r="AX64" i="11"/>
  <c r="AX67" i="11"/>
  <c r="AX70" i="11"/>
  <c r="AX73" i="11"/>
  <c r="AX76" i="11"/>
  <c r="AX79" i="11"/>
  <c r="AX82" i="11"/>
  <c r="AX85" i="11"/>
  <c r="AX88" i="11"/>
  <c r="AX91" i="11"/>
  <c r="AX94" i="11"/>
  <c r="AX97" i="11"/>
  <c r="AX265" i="11"/>
  <c r="AX271" i="11"/>
  <c r="AX274" i="11"/>
  <c r="AX280" i="11"/>
  <c r="AX292" i="11"/>
  <c r="AX295" i="11"/>
  <c r="AX301" i="11"/>
  <c r="AX307" i="11"/>
  <c r="AX43" i="11"/>
  <c r="AX49" i="11"/>
  <c r="AX58" i="11"/>
  <c r="AX217" i="11"/>
  <c r="AX220" i="11"/>
  <c r="AX226" i="11"/>
  <c r="AX241" i="11"/>
  <c r="AX247" i="11"/>
  <c r="AX253" i="11"/>
  <c r="AX259" i="11"/>
  <c r="AX78" i="11"/>
  <c r="AX81" i="11"/>
  <c r="AX84" i="11"/>
  <c r="AX87" i="11"/>
  <c r="AX93" i="11"/>
  <c r="AX96" i="11"/>
  <c r="AX180" i="11"/>
  <c r="AY88" i="11"/>
  <c r="AY79" i="11"/>
  <c r="AY63" i="11"/>
  <c r="AY45" i="11"/>
  <c r="AY43" i="11"/>
  <c r="AY311" i="11"/>
  <c r="AY302" i="11"/>
  <c r="AY295" i="11"/>
  <c r="AY275" i="11"/>
  <c r="AY259" i="11"/>
  <c r="AY303" i="11"/>
  <c r="AY306" i="11"/>
  <c r="AY309" i="11"/>
  <c r="AY308" i="11"/>
  <c r="AY290" i="11"/>
  <c r="AY254" i="11"/>
  <c r="AY220" i="11"/>
  <c r="AY178" i="11"/>
  <c r="AY160" i="11"/>
  <c r="AY97" i="11"/>
  <c r="AY258" i="11"/>
  <c r="AY261" i="11"/>
  <c r="AY264" i="11"/>
  <c r="AY267" i="11"/>
  <c r="AY279" i="11"/>
  <c r="AY282" i="11"/>
  <c r="AY291" i="11"/>
  <c r="AY297" i="11"/>
  <c r="AY179" i="11"/>
  <c r="AY219" i="11"/>
  <c r="AY225" i="11"/>
  <c r="AY240" i="11"/>
  <c r="AY252" i="11"/>
  <c r="AY255" i="11"/>
  <c r="AY92" i="11"/>
  <c r="AY101" i="11"/>
  <c r="AY107" i="11"/>
  <c r="AY128" i="11"/>
  <c r="AY137" i="11"/>
  <c r="AY140" i="11"/>
  <c r="AY158" i="11"/>
  <c r="AY53" i="11"/>
  <c r="AY56" i="11"/>
  <c r="AY59" i="11"/>
  <c r="AY62" i="11"/>
  <c r="AY65" i="11"/>
  <c r="AY68" i="11"/>
  <c r="AY71" i="11"/>
  <c r="AY74" i="11"/>
  <c r="AY77" i="11"/>
  <c r="AY80" i="11"/>
  <c r="AY83" i="11"/>
  <c r="AY86" i="11"/>
  <c r="AY89" i="11"/>
  <c r="AY260" i="11"/>
  <c r="AY166" i="11"/>
  <c r="AY87" i="11"/>
  <c r="AY85" i="11"/>
  <c r="AY60" i="11"/>
  <c r="AY58" i="11"/>
  <c r="AY271" i="11"/>
  <c r="AY269" i="11"/>
  <c r="AY217" i="11"/>
  <c r="AY251" i="11"/>
  <c r="AY253" i="11"/>
  <c r="AY280" i="11"/>
  <c r="AY312" i="11"/>
  <c r="AY307" i="11"/>
  <c r="AY226" i="11"/>
  <c r="AY78" i="11"/>
  <c r="AY76" i="11"/>
  <c r="AY51" i="11"/>
  <c r="AY49" i="11"/>
  <c r="AZ291" i="11"/>
  <c r="AZ295" i="11"/>
  <c r="AZ297" i="11"/>
  <c r="AZ301" i="11"/>
  <c r="AZ302" i="11"/>
  <c r="AZ303" i="11"/>
  <c r="AZ306" i="11"/>
  <c r="AZ307" i="11"/>
  <c r="AZ308" i="11"/>
  <c r="AZ309" i="11"/>
  <c r="AZ311" i="11"/>
  <c r="AZ312" i="11"/>
  <c r="AZ269" i="11"/>
  <c r="AZ271" i="11"/>
  <c r="AZ274" i="11"/>
  <c r="AZ275" i="11"/>
  <c r="AZ279" i="11"/>
  <c r="AZ280" i="11"/>
  <c r="AZ282" i="11"/>
  <c r="AZ290" i="11"/>
  <c r="AZ255" i="11"/>
  <c r="AZ257" i="11"/>
  <c r="AZ258" i="11"/>
  <c r="AZ259" i="11"/>
  <c r="AZ260" i="11"/>
  <c r="AZ261" i="11"/>
  <c r="AZ264" i="11"/>
  <c r="AZ265" i="11"/>
  <c r="AZ267" i="11"/>
  <c r="AZ240" i="11"/>
  <c r="AZ241" i="11"/>
  <c r="AZ247" i="11"/>
  <c r="AZ251" i="11"/>
  <c r="AZ252" i="11"/>
  <c r="AZ253" i="11"/>
  <c r="AZ254" i="11"/>
  <c r="AZ199" i="11"/>
  <c r="AZ217" i="11"/>
  <c r="AZ218" i="11"/>
  <c r="AZ219" i="11"/>
  <c r="AZ220" i="11"/>
  <c r="AZ225" i="11"/>
  <c r="AZ226" i="11"/>
  <c r="AZ166" i="11"/>
  <c r="AZ172" i="11"/>
  <c r="AZ178" i="11"/>
  <c r="AZ179" i="11"/>
  <c r="AZ180" i="11"/>
  <c r="AZ187" i="11"/>
  <c r="AZ128" i="11"/>
  <c r="AZ136" i="11"/>
  <c r="AZ137" i="11"/>
  <c r="AZ140" i="11"/>
  <c r="AZ148" i="11"/>
  <c r="AZ158" i="11"/>
  <c r="AZ160" i="11"/>
  <c r="AZ163" i="11"/>
  <c r="AZ97" i="11"/>
  <c r="AZ101" i="11"/>
  <c r="AZ107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BM280" i="11"/>
  <c r="BM282" i="11"/>
  <c r="BM290" i="11"/>
  <c r="BM291" i="11"/>
  <c r="BM292" i="11"/>
  <c r="BM295" i="11"/>
  <c r="BM297" i="11"/>
  <c r="BM298" i="11"/>
  <c r="BM301" i="11"/>
  <c r="BM264" i="11"/>
  <c r="BM265" i="11"/>
  <c r="BM267" i="11"/>
  <c r="BM269" i="11"/>
  <c r="BM271" i="11"/>
  <c r="BM274" i="11"/>
  <c r="BM275" i="11"/>
  <c r="BM279" i="11"/>
  <c r="BM251" i="11"/>
  <c r="BM252" i="11"/>
  <c r="BM253" i="11"/>
  <c r="BM254" i="11"/>
  <c r="BM255" i="11"/>
  <c r="BM257" i="11"/>
  <c r="BM258" i="11"/>
  <c r="BM259" i="11"/>
  <c r="BM260" i="11"/>
  <c r="BM261" i="11"/>
  <c r="BM220" i="11"/>
  <c r="BM225" i="11"/>
  <c r="BM226" i="11"/>
  <c r="BM240" i="11"/>
  <c r="BM241" i="11"/>
  <c r="BM247" i="11"/>
  <c r="BM178" i="11"/>
  <c r="BM179" i="11"/>
  <c r="BM180" i="11"/>
  <c r="BM187" i="11"/>
  <c r="BM199" i="11"/>
  <c r="BM217" i="11"/>
  <c r="BM218" i="11"/>
  <c r="BM219" i="11"/>
  <c r="BM158" i="11"/>
  <c r="BM160" i="11"/>
  <c r="BM163" i="11"/>
  <c r="BM166" i="11"/>
  <c r="BM172" i="11"/>
  <c r="BM128" i="11"/>
  <c r="BM136" i="11"/>
  <c r="BM137" i="11"/>
  <c r="BM140" i="11"/>
  <c r="BM148" i="11"/>
  <c r="BM96" i="11"/>
  <c r="BM97" i="11"/>
  <c r="BM101" i="11"/>
  <c r="BM107" i="11"/>
  <c r="BA91" i="11"/>
  <c r="BA92" i="11"/>
  <c r="BA93" i="11"/>
  <c r="BA94" i="11"/>
  <c r="BA96" i="11"/>
  <c r="BA97" i="11"/>
  <c r="BA101" i="11"/>
  <c r="BA107" i="11"/>
  <c r="BM81" i="11"/>
  <c r="BM82" i="11"/>
  <c r="BM83" i="11"/>
  <c r="BM84" i="11"/>
  <c r="BM85" i="11"/>
  <c r="BM86" i="11"/>
  <c r="BM87" i="11"/>
  <c r="BM88" i="11"/>
  <c r="BM89" i="11"/>
  <c r="BM91" i="11"/>
  <c r="BM92" i="11"/>
  <c r="BM93" i="11"/>
  <c r="BM94" i="11"/>
  <c r="BA148" i="11"/>
  <c r="BA158" i="11"/>
  <c r="BA160" i="11"/>
  <c r="BA163" i="11"/>
  <c r="BA166" i="11"/>
  <c r="BA172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42" i="11"/>
  <c r="BM43" i="11"/>
  <c r="BM44" i="11"/>
  <c r="BM45" i="11"/>
  <c r="BM47" i="11"/>
  <c r="BM48" i="11"/>
  <c r="BM49" i="11"/>
  <c r="BM50" i="11"/>
  <c r="BM51" i="11"/>
  <c r="BM53" i="11"/>
  <c r="BM56" i="11"/>
  <c r="BM35" i="11"/>
  <c r="BM36" i="11"/>
  <c r="BM37" i="11"/>
  <c r="BM38" i="11"/>
  <c r="BM39" i="11"/>
  <c r="BM40" i="11"/>
  <c r="BM41" i="11"/>
  <c r="BN311" i="11"/>
  <c r="BN312" i="11"/>
  <c r="BN10" i="11"/>
  <c r="BM14" i="11"/>
  <c r="BN258" i="11"/>
  <c r="BN259" i="11"/>
  <c r="BN260" i="11"/>
  <c r="BN261" i="11"/>
  <c r="BN264" i="11"/>
  <c r="BN265" i="11"/>
  <c r="BN267" i="11"/>
  <c r="BN269" i="11"/>
  <c r="BN178" i="11"/>
  <c r="BN179" i="11"/>
  <c r="BN180" i="11"/>
  <c r="BN187" i="11"/>
  <c r="BN199" i="11"/>
  <c r="BN217" i="11"/>
  <c r="BN218" i="11"/>
  <c r="BN158" i="11"/>
  <c r="BN160" i="11"/>
  <c r="BN163" i="11"/>
  <c r="BN166" i="11"/>
  <c r="BN172" i="11"/>
  <c r="BN128" i="11"/>
  <c r="BN136" i="11"/>
  <c r="BN137" i="11"/>
  <c r="BN140" i="11"/>
  <c r="BN148" i="11"/>
  <c r="BN97" i="11"/>
  <c r="BN101" i="11"/>
  <c r="BN107" i="11"/>
  <c r="BN83" i="11"/>
  <c r="BN84" i="11"/>
  <c r="BN85" i="11"/>
  <c r="BN86" i="11"/>
  <c r="BN87" i="11"/>
  <c r="BN88" i="11"/>
  <c r="BN89" i="11"/>
  <c r="BN91" i="11"/>
  <c r="BN92" i="11"/>
  <c r="BN93" i="11"/>
  <c r="BN94" i="11"/>
  <c r="BN96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35" i="11"/>
  <c r="BN36" i="11"/>
  <c r="BN37" i="11"/>
  <c r="BN38" i="11"/>
  <c r="BN39" i="11"/>
  <c r="BN40" i="11"/>
  <c r="BN41" i="11"/>
  <c r="BN42" i="11"/>
  <c r="BN43" i="11"/>
  <c r="BO251" i="11"/>
  <c r="BO252" i="11"/>
  <c r="BO253" i="11"/>
  <c r="BO254" i="11"/>
  <c r="BO255" i="11"/>
  <c r="BO257" i="11"/>
  <c r="BO258" i="11"/>
  <c r="BO259" i="11"/>
  <c r="BO260" i="11"/>
  <c r="BO261" i="11"/>
  <c r="BO225" i="11"/>
  <c r="BO226" i="11"/>
  <c r="BO240" i="11"/>
  <c r="BO241" i="11"/>
  <c r="BO247" i="11"/>
  <c r="BO166" i="11"/>
  <c r="BO172" i="11"/>
  <c r="BO178" i="11"/>
  <c r="BO179" i="11"/>
  <c r="BO180" i="11"/>
  <c r="BO187" i="11"/>
  <c r="BO136" i="11"/>
  <c r="BO137" i="11"/>
  <c r="BO140" i="11"/>
  <c r="BO148" i="11"/>
  <c r="BO158" i="11"/>
  <c r="BO160" i="11"/>
  <c r="BO163" i="11"/>
  <c r="BO128" i="11"/>
  <c r="BO107" i="11"/>
  <c r="BO86" i="11"/>
  <c r="BO87" i="11"/>
  <c r="BO88" i="11"/>
  <c r="BO89" i="11"/>
  <c r="BO91" i="11"/>
  <c r="BO92" i="11"/>
  <c r="BO93" i="11"/>
  <c r="BO94" i="11"/>
  <c r="BO96" i="11"/>
  <c r="BO97" i="11"/>
  <c r="BO101" i="11"/>
  <c r="BP251" i="11"/>
  <c r="BP252" i="11"/>
  <c r="BP253" i="11"/>
  <c r="BP254" i="11"/>
  <c r="BP255" i="11"/>
  <c r="BP257" i="11"/>
  <c r="BP258" i="11"/>
  <c r="BP259" i="11"/>
  <c r="BP260" i="11"/>
  <c r="BP261" i="11"/>
  <c r="BP220" i="11"/>
  <c r="BP225" i="11"/>
  <c r="BP226" i="11"/>
  <c r="BP240" i="11"/>
  <c r="BP241" i="11"/>
  <c r="BP247" i="11"/>
  <c r="BP180" i="11"/>
  <c r="BP187" i="11"/>
  <c r="BP199" i="11"/>
  <c r="BP217" i="11"/>
  <c r="BP218" i="11"/>
  <c r="BP219" i="11"/>
  <c r="BP163" i="11"/>
  <c r="BP166" i="11"/>
  <c r="BP172" i="11"/>
  <c r="BP178" i="11"/>
  <c r="BP179" i="11"/>
  <c r="BP136" i="11"/>
  <c r="BP137" i="11"/>
  <c r="BP140" i="11"/>
  <c r="BP148" i="11"/>
  <c r="BP158" i="11"/>
  <c r="BP160" i="11"/>
  <c r="BP128" i="11"/>
  <c r="BP107" i="11"/>
  <c r="BP86" i="11"/>
  <c r="BP87" i="11"/>
  <c r="BP88" i="11"/>
  <c r="BP89" i="11"/>
  <c r="BP91" i="11"/>
  <c r="BP92" i="11"/>
  <c r="BP93" i="11"/>
  <c r="BP94" i="11"/>
  <c r="BP96" i="11"/>
  <c r="BP97" i="11"/>
  <c r="BP101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35" i="11"/>
  <c r="BP36" i="11"/>
  <c r="BP37" i="11"/>
  <c r="BP38" i="11"/>
  <c r="BP39" i="11"/>
  <c r="BP40" i="11"/>
  <c r="BP41" i="11"/>
  <c r="BP42" i="11"/>
  <c r="BP43" i="11"/>
  <c r="BP57" i="11"/>
  <c r="BP58" i="11"/>
  <c r="BP59" i="11"/>
  <c r="BQ308" i="11"/>
  <c r="BQ309" i="11"/>
  <c r="BQ311" i="11"/>
  <c r="BQ312" i="11"/>
  <c r="BQ10" i="11"/>
  <c r="BQ290" i="11"/>
  <c r="BQ291" i="11"/>
  <c r="BQ292" i="11"/>
  <c r="BQ295" i="11"/>
  <c r="BQ297" i="11"/>
  <c r="BQ298" i="11"/>
  <c r="BQ301" i="11"/>
  <c r="BQ302" i="11"/>
  <c r="BQ303" i="11"/>
  <c r="BQ306" i="11"/>
  <c r="BQ307" i="11"/>
  <c r="BQ178" i="11"/>
  <c r="BQ179" i="11"/>
  <c r="BQ180" i="11"/>
  <c r="BQ187" i="11"/>
  <c r="BQ199" i="11"/>
  <c r="BQ158" i="11"/>
  <c r="BQ160" i="11"/>
  <c r="BQ163" i="11"/>
  <c r="BQ166" i="11"/>
  <c r="BQ172" i="11"/>
  <c r="BQ136" i="11"/>
  <c r="BQ137" i="11"/>
  <c r="BQ140" i="11"/>
  <c r="BQ148" i="11"/>
  <c r="BQ128" i="11"/>
  <c r="BQ35" i="11"/>
  <c r="BQ36" i="11"/>
  <c r="BQ37" i="11"/>
  <c r="BQ38" i="11"/>
  <c r="BQ39" i="11"/>
  <c r="BQ40" i="11"/>
  <c r="BQ41" i="11"/>
  <c r="BQ42" i="11"/>
  <c r="BQ43" i="11"/>
  <c r="BQ44" i="11"/>
  <c r="BQ45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V303" i="11"/>
  <c r="BV306" i="11"/>
  <c r="BV307" i="11"/>
  <c r="BV308" i="11"/>
  <c r="BV309" i="11"/>
  <c r="BV311" i="11"/>
  <c r="BV312" i="11"/>
  <c r="BQ14" i="11"/>
  <c r="BV282" i="11"/>
  <c r="BV290" i="11"/>
  <c r="BV291" i="11"/>
  <c r="BV292" i="11"/>
  <c r="BV295" i="11"/>
  <c r="BV297" i="11"/>
  <c r="BV298" i="11"/>
  <c r="BV301" i="11"/>
  <c r="BV302" i="11"/>
  <c r="BV267" i="11"/>
  <c r="BV269" i="11"/>
  <c r="BV271" i="11"/>
  <c r="BV274" i="11"/>
  <c r="BV275" i="11"/>
  <c r="BV279" i="11"/>
  <c r="BV280" i="11"/>
  <c r="BV253" i="11"/>
  <c r="BV254" i="11"/>
  <c r="BV255" i="11"/>
  <c r="BV257" i="11"/>
  <c r="BV258" i="11"/>
  <c r="BV259" i="11"/>
  <c r="BV260" i="11"/>
  <c r="BV261" i="11"/>
  <c r="BV264" i="11"/>
  <c r="BV265" i="11"/>
  <c r="BV240" i="11"/>
  <c r="BV241" i="11"/>
  <c r="BV247" i="11"/>
  <c r="BV251" i="11"/>
  <c r="BV252" i="11"/>
  <c r="C3342" i="3"/>
  <c r="BP14" i="11"/>
  <c r="BV128" i="11"/>
  <c r="BQ240" i="11"/>
  <c r="BQ241" i="11"/>
  <c r="BQ247" i="11"/>
  <c r="BV107" i="11"/>
  <c r="BP44" i="11"/>
  <c r="BP45" i="11"/>
  <c r="BP47" i="11"/>
  <c r="BP48" i="11"/>
  <c r="BP49" i="11"/>
  <c r="BP50" i="11"/>
  <c r="BP51" i="11"/>
  <c r="BP53" i="11"/>
  <c r="BP56" i="11"/>
  <c r="BV89" i="11"/>
  <c r="BV91" i="11"/>
  <c r="BV92" i="11"/>
  <c r="BV93" i="11"/>
  <c r="BV94" i="11"/>
  <c r="BV96" i="11"/>
  <c r="BV97" i="11"/>
  <c r="BV101" i="11"/>
  <c r="BQ258" i="11"/>
  <c r="BQ259" i="11"/>
  <c r="BQ260" i="11"/>
  <c r="BQ261" i="11"/>
  <c r="BQ264" i="11"/>
  <c r="BQ265" i="11"/>
  <c r="BQ267" i="11"/>
  <c r="BQ269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37" i="11"/>
  <c r="BV38" i="11"/>
  <c r="BV39" i="11"/>
  <c r="BV40" i="11"/>
  <c r="BV41" i="11"/>
  <c r="BV42" i="11"/>
  <c r="BV43" i="11"/>
  <c r="BV44" i="11"/>
  <c r="BV45" i="11"/>
  <c r="BV47" i="11"/>
  <c r="BV48" i="11"/>
  <c r="BV49" i="11"/>
  <c r="BV35" i="11"/>
  <c r="BV36" i="11"/>
  <c r="BW311" i="11"/>
  <c r="BW312" i="11"/>
  <c r="BV10" i="11"/>
  <c r="BV14" i="11"/>
  <c r="BW295" i="11"/>
  <c r="BW297" i="11"/>
  <c r="BW298" i="11"/>
  <c r="BW301" i="11"/>
  <c r="BW302" i="11"/>
  <c r="BW303" i="11"/>
  <c r="BW306" i="11"/>
  <c r="BW307" i="11"/>
  <c r="BW308" i="11"/>
  <c r="BW309" i="11"/>
  <c r="BW274" i="11"/>
  <c r="BW275" i="11"/>
  <c r="BW279" i="11"/>
  <c r="BW280" i="11"/>
  <c r="BW282" i="11"/>
  <c r="BW290" i="11"/>
  <c r="BW291" i="11"/>
  <c r="BW292" i="11"/>
  <c r="BW261" i="11"/>
  <c r="BW264" i="11"/>
  <c r="BW265" i="11"/>
  <c r="BW267" i="11"/>
  <c r="BW269" i="11"/>
  <c r="BW271" i="11"/>
  <c r="BW251" i="11"/>
  <c r="BW252" i="11"/>
  <c r="BW253" i="11"/>
  <c r="BW254" i="11"/>
  <c r="BW255" i="11"/>
  <c r="BW257" i="11"/>
  <c r="BW258" i="11"/>
  <c r="BW259" i="11"/>
  <c r="BW260" i="11"/>
  <c r="BW226" i="11"/>
  <c r="BW240" i="11"/>
  <c r="BW241" i="11"/>
  <c r="BW247" i="11"/>
  <c r="BW199" i="11"/>
  <c r="BW217" i="11"/>
  <c r="BW218" i="11"/>
  <c r="BW219" i="11"/>
  <c r="BW220" i="11"/>
  <c r="BW225" i="11"/>
  <c r="BW172" i="11"/>
  <c r="BW178" i="11"/>
  <c r="BW179" i="11"/>
  <c r="BW180" i="11"/>
  <c r="BW187" i="11"/>
  <c r="BW148" i="11"/>
  <c r="BW158" i="11"/>
  <c r="BW160" i="11"/>
  <c r="BW163" i="11"/>
  <c r="BW166" i="11"/>
  <c r="BW128" i="11"/>
  <c r="BW136" i="11"/>
  <c r="BW137" i="11"/>
  <c r="BW140" i="11"/>
  <c r="BX258" i="11"/>
  <c r="BX274" i="11"/>
  <c r="BX275" i="11"/>
  <c r="BX279" i="11"/>
  <c r="BX280" i="11"/>
  <c r="BX282" i="11"/>
  <c r="BX290" i="11"/>
  <c r="BX247" i="11"/>
  <c r="BX251" i="11"/>
  <c r="BX252" i="11"/>
  <c r="BX253" i="11"/>
  <c r="BX254" i="11"/>
  <c r="BX255" i="11"/>
  <c r="BX257" i="11"/>
  <c r="BX220" i="11"/>
  <c r="BX225" i="11"/>
  <c r="BX226" i="11"/>
  <c r="BX240" i="11"/>
  <c r="BX241" i="11"/>
  <c r="BX187" i="11"/>
  <c r="BX199" i="11"/>
  <c r="BX217" i="11"/>
  <c r="BX218" i="11"/>
  <c r="BX219" i="11"/>
  <c r="BX166" i="11"/>
  <c r="BX172" i="11"/>
  <c r="BX178" i="11"/>
  <c r="BX179" i="11"/>
  <c r="BX180" i="11"/>
  <c r="BX148" i="11"/>
  <c r="BX158" i="11"/>
  <c r="BX160" i="11"/>
  <c r="BX163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X128" i="11"/>
  <c r="BX136" i="11"/>
  <c r="BX137" i="11"/>
  <c r="BX140" i="11"/>
  <c r="BX101" i="11"/>
  <c r="BX10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45" i="11"/>
  <c r="BX47" i="11"/>
  <c r="BX48" i="11"/>
  <c r="BX49" i="11"/>
  <c r="BX50" i="11"/>
  <c r="BX51" i="11"/>
  <c r="BX53" i="11"/>
  <c r="BX56" i="11"/>
  <c r="BX57" i="11"/>
  <c r="BY311" i="11"/>
  <c r="BY312" i="11"/>
  <c r="BX10" i="11"/>
  <c r="BX14" i="11"/>
  <c r="BY295" i="11"/>
  <c r="BY297" i="11"/>
  <c r="BY298" i="11"/>
  <c r="BY301" i="11"/>
  <c r="BY302" i="11"/>
  <c r="BY303" i="11"/>
  <c r="BY306" i="11"/>
  <c r="BY307" i="11"/>
  <c r="BY308" i="11"/>
  <c r="BY309" i="11"/>
  <c r="BY274" i="11"/>
  <c r="BY275" i="11"/>
  <c r="BY279" i="11"/>
  <c r="BY280" i="11"/>
  <c r="BY282" i="11"/>
  <c r="BY290" i="11"/>
  <c r="BY291" i="11"/>
  <c r="BY292" i="11"/>
  <c r="BY260" i="11"/>
  <c r="BY261" i="11"/>
  <c r="BY264" i="11"/>
  <c r="BY265" i="11"/>
  <c r="BY267" i="11"/>
  <c r="BY269" i="11"/>
  <c r="BY271" i="11"/>
  <c r="BY163" i="11"/>
  <c r="BY166" i="11"/>
  <c r="BY172" i="11"/>
  <c r="BY178" i="11"/>
  <c r="BY179" i="11"/>
  <c r="BY148" i="11"/>
  <c r="BY158" i="11"/>
  <c r="BY160" i="11"/>
  <c r="BY128" i="11"/>
  <c r="BY136" i="11"/>
  <c r="BY137" i="11"/>
  <c r="BY140" i="11"/>
  <c r="BY97" i="11"/>
  <c r="BY101" i="11"/>
  <c r="BY107" i="11"/>
  <c r="BY83" i="11"/>
  <c r="BY84" i="11"/>
  <c r="BY85" i="11"/>
  <c r="BY86" i="11"/>
  <c r="BY87" i="11"/>
  <c r="BY88" i="11"/>
  <c r="BY89" i="11"/>
  <c r="BY91" i="11"/>
  <c r="BY92" i="11"/>
  <c r="BY93" i="11"/>
  <c r="BY94" i="11"/>
  <c r="BY96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44" i="11"/>
  <c r="BY45" i="11"/>
  <c r="BY47" i="11"/>
  <c r="BY48" i="11"/>
  <c r="BY49" i="11"/>
  <c r="BY50" i="11"/>
  <c r="BY51" i="11"/>
  <c r="BY53" i="11"/>
  <c r="BY56" i="11"/>
  <c r="BY35" i="11"/>
  <c r="BY36" i="11"/>
  <c r="BY37" i="11"/>
  <c r="BY38" i="11"/>
  <c r="BY39" i="11"/>
  <c r="BY40" i="11"/>
  <c r="BY41" i="11"/>
  <c r="BY42" i="11"/>
  <c r="BY43" i="11"/>
  <c r="BY14" i="11"/>
  <c r="CD306" i="11"/>
  <c r="CD307" i="11"/>
  <c r="CD308" i="11"/>
  <c r="CD309" i="11"/>
  <c r="CD311" i="11"/>
  <c r="CD312" i="11"/>
  <c r="BY10" i="11"/>
  <c r="CD290" i="11"/>
  <c r="CD291" i="11"/>
  <c r="CD292" i="11"/>
  <c r="CD295" i="11"/>
  <c r="CD297" i="11"/>
  <c r="CD298" i="11"/>
  <c r="CD301" i="11"/>
  <c r="CD302" i="11"/>
  <c r="CD303" i="11"/>
  <c r="CD271" i="11"/>
  <c r="CD274" i="11"/>
  <c r="CD275" i="11"/>
  <c r="CD279" i="11"/>
  <c r="CD280" i="11"/>
  <c r="CD282" i="11"/>
  <c r="CD257" i="11"/>
  <c r="CD258" i="11"/>
  <c r="CD259" i="11"/>
  <c r="CD260" i="11"/>
  <c r="CD261" i="11"/>
  <c r="CD264" i="11"/>
  <c r="CD265" i="11"/>
  <c r="CD267" i="11"/>
  <c r="CD269" i="11"/>
  <c r="CD241" i="11"/>
  <c r="CD247" i="11"/>
  <c r="CD251" i="11"/>
  <c r="CD252" i="11"/>
  <c r="CD253" i="11"/>
  <c r="CD254" i="11"/>
  <c r="CD255" i="11"/>
  <c r="CD218" i="11"/>
  <c r="CD219" i="11"/>
  <c r="CD220" i="11"/>
  <c r="CD225" i="11"/>
  <c r="CD226" i="11"/>
  <c r="CD240" i="11"/>
  <c r="CD93" i="11"/>
  <c r="CD94" i="11"/>
  <c r="CD96" i="11"/>
  <c r="CD97" i="11"/>
  <c r="CD101" i="11"/>
  <c r="CD80" i="11"/>
  <c r="CD81" i="11"/>
  <c r="CD82" i="11"/>
  <c r="CD83" i="11"/>
  <c r="CD84" i="11"/>
  <c r="CD85" i="11"/>
  <c r="CD86" i="11"/>
  <c r="CD87" i="11"/>
  <c r="CD88" i="11"/>
  <c r="CD89" i="11"/>
  <c r="CD91" i="11"/>
  <c r="CD92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56" i="11"/>
  <c r="CD57" i="11"/>
  <c r="CD58" i="11"/>
  <c r="CD59" i="11"/>
  <c r="CD60" i="11"/>
  <c r="CD61" i="11"/>
  <c r="CD62" i="11"/>
  <c r="CD63" i="11"/>
  <c r="CD64" i="11"/>
  <c r="CD65" i="11"/>
  <c r="CD66" i="11"/>
  <c r="CD41" i="11"/>
  <c r="CD42" i="11"/>
  <c r="CD43" i="11"/>
  <c r="CD44" i="11"/>
  <c r="CD45" i="11"/>
  <c r="CD47" i="11"/>
  <c r="CD48" i="11"/>
  <c r="CD49" i="11"/>
  <c r="CD50" i="11"/>
  <c r="CD51" i="11"/>
  <c r="CD53" i="11"/>
  <c r="CD35" i="11"/>
  <c r="CD36" i="11"/>
  <c r="CD37" i="11"/>
  <c r="CD38" i="11"/>
  <c r="CD39" i="11"/>
  <c r="CD40" i="11"/>
  <c r="CD14" i="11"/>
  <c r="CE303" i="11"/>
  <c r="CE306" i="11"/>
  <c r="CE307" i="11"/>
  <c r="CE308" i="11"/>
  <c r="CE309" i="11"/>
  <c r="CE311" i="11"/>
  <c r="CE312" i="11"/>
  <c r="CD10" i="11"/>
  <c r="CE290" i="11"/>
  <c r="CE291" i="11"/>
  <c r="CE292" i="11"/>
  <c r="CE295" i="11"/>
  <c r="CE297" i="11"/>
  <c r="CE301" i="11"/>
  <c r="CE302" i="11"/>
  <c r="BW85" i="11"/>
  <c r="BW86" i="11"/>
  <c r="BW87" i="11"/>
  <c r="BW88" i="11"/>
  <c r="BW89" i="11"/>
  <c r="BW91" i="11"/>
  <c r="BW92" i="11"/>
  <c r="BW93" i="11"/>
  <c r="BW94" i="11"/>
  <c r="BW96" i="11"/>
  <c r="BW97" i="11"/>
  <c r="CE269" i="11"/>
  <c r="CE271" i="11"/>
  <c r="CE274" i="11"/>
  <c r="CE275" i="11"/>
  <c r="CE279" i="11"/>
  <c r="CE280" i="11"/>
  <c r="CE282" i="11"/>
  <c r="BX259" i="11"/>
  <c r="BX260" i="11"/>
  <c r="BX261" i="11"/>
  <c r="BX264" i="11"/>
  <c r="BX265" i="11"/>
  <c r="BX267" i="11"/>
  <c r="BX269" i="11"/>
  <c r="BX271" i="11"/>
  <c r="CE255" i="11"/>
  <c r="CE257" i="11"/>
  <c r="CE258" i="11"/>
  <c r="CE259" i="11"/>
  <c r="CE260" i="11"/>
  <c r="CE261" i="11"/>
  <c r="CE264" i="11"/>
  <c r="CE265" i="11"/>
  <c r="CE267" i="11"/>
  <c r="CE240" i="11"/>
  <c r="CE241" i="11"/>
  <c r="CE247" i="11"/>
  <c r="CE251" i="11"/>
  <c r="CE252" i="11"/>
  <c r="CE253" i="11"/>
  <c r="CE254" i="11"/>
  <c r="CE217" i="11"/>
  <c r="CE218" i="11"/>
  <c r="CE219" i="11"/>
  <c r="CE220" i="11"/>
  <c r="CE225" i="11"/>
  <c r="CE226" i="11"/>
  <c r="CE187" i="11"/>
  <c r="CE199" i="11"/>
  <c r="CE166" i="11"/>
  <c r="CE172" i="11"/>
  <c r="CE178" i="11"/>
  <c r="CE179" i="11"/>
  <c r="CE180" i="11"/>
  <c r="CE148" i="11"/>
  <c r="CE158" i="11"/>
  <c r="CE160" i="11"/>
  <c r="CE163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CE101" i="11"/>
  <c r="CE107" i="11"/>
  <c r="CE72" i="11"/>
  <c r="CE73" i="11"/>
  <c r="CE74" i="11"/>
  <c r="CE75" i="11"/>
  <c r="CE76" i="11"/>
  <c r="CE91" i="11"/>
  <c r="CE92" i="11"/>
  <c r="CE93" i="11"/>
  <c r="CE94" i="11"/>
  <c r="CE96" i="11"/>
  <c r="CE97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47" i="11"/>
  <c r="CE48" i="11"/>
  <c r="CE49" i="11"/>
  <c r="CE50" i="11"/>
  <c r="CE51" i="11"/>
  <c r="CE53" i="11"/>
  <c r="CE56" i="11"/>
  <c r="CE57" i="11"/>
  <c r="CE58" i="11"/>
  <c r="CE35" i="11"/>
  <c r="CE36" i="11"/>
  <c r="CE37" i="11"/>
  <c r="CE38" i="11"/>
  <c r="CE39" i="11"/>
  <c r="CE40" i="11"/>
  <c r="CE41" i="11"/>
  <c r="CE42" i="11"/>
  <c r="CE43" i="11"/>
  <c r="CE44" i="11"/>
  <c r="CE45" i="11"/>
  <c r="CF309" i="11"/>
  <c r="CF311" i="11"/>
  <c r="CF312" i="11"/>
  <c r="CE10" i="11"/>
  <c r="CE14" i="11"/>
  <c r="CF295" i="11"/>
  <c r="CF297" i="11"/>
  <c r="CF298" i="11"/>
  <c r="CF301" i="11"/>
  <c r="CF302" i="11"/>
  <c r="CF303" i="11"/>
  <c r="CF306" i="11"/>
  <c r="CF307" i="11"/>
  <c r="CF308" i="11"/>
  <c r="CF274" i="11"/>
  <c r="CF275" i="11"/>
  <c r="CF279" i="11"/>
  <c r="CF280" i="11"/>
  <c r="CF282" i="11"/>
  <c r="CF290" i="11"/>
  <c r="CF291" i="11"/>
  <c r="CF292" i="11"/>
  <c r="CF261" i="11"/>
  <c r="CF264" i="11"/>
  <c r="CF265" i="11"/>
  <c r="CF267" i="11"/>
  <c r="CF269" i="11"/>
  <c r="CF271" i="11"/>
  <c r="CF251" i="11"/>
  <c r="CF252" i="11"/>
  <c r="CF253" i="11"/>
  <c r="CF254" i="11"/>
  <c r="CF255" i="11"/>
  <c r="CF257" i="11"/>
  <c r="CF258" i="11"/>
  <c r="CF259" i="11"/>
  <c r="CF260" i="11"/>
  <c r="CF128" i="11"/>
  <c r="CF101" i="11"/>
  <c r="CF107" i="11"/>
  <c r="CF86" i="11"/>
  <c r="CF87" i="11"/>
  <c r="CF88" i="11"/>
  <c r="CF89" i="11"/>
  <c r="CF91" i="11"/>
  <c r="CF92" i="11"/>
  <c r="CF93" i="11"/>
  <c r="CF94" i="11"/>
  <c r="CF96" i="11"/>
  <c r="CF97" i="11"/>
  <c r="CF10" i="11"/>
  <c r="CF14" i="11"/>
  <c r="CG309" i="11"/>
  <c r="CG311" i="11"/>
  <c r="CG312" i="11"/>
  <c r="CG297" i="11"/>
  <c r="CG298" i="11"/>
  <c r="CG301" i="11"/>
  <c r="CG302" i="11"/>
  <c r="CG303" i="11"/>
  <c r="CG306" i="11"/>
  <c r="CG307" i="11"/>
  <c r="CG308" i="11"/>
  <c r="C3674" i="3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G290" i="11"/>
  <c r="CG291" i="11"/>
  <c r="CG292" i="11"/>
  <c r="CG295" i="11"/>
  <c r="CG271" i="11"/>
  <c r="CG274" i="11"/>
  <c r="CG275" i="11"/>
  <c r="CG279" i="11"/>
  <c r="CG280" i="11"/>
  <c r="CG282" i="11"/>
  <c r="CG257" i="11"/>
  <c r="CG258" i="11"/>
  <c r="CG259" i="11"/>
  <c r="CG260" i="11"/>
  <c r="CG261" i="11"/>
  <c r="CG264" i="11"/>
  <c r="CG265" i="11"/>
  <c r="CG267" i="11"/>
  <c r="CG269" i="11"/>
  <c r="CG247" i="11"/>
  <c r="CG251" i="11"/>
  <c r="CG252" i="11"/>
  <c r="CG253" i="11"/>
  <c r="CG254" i="11"/>
  <c r="CG255" i="11"/>
  <c r="CG240" i="11"/>
  <c r="CG241" i="11"/>
  <c r="CG217" i="11"/>
  <c r="CG218" i="11"/>
  <c r="CG219" i="11"/>
  <c r="CG220" i="11"/>
  <c r="CG225" i="11"/>
  <c r="CG226" i="11"/>
  <c r="CG187" i="11"/>
  <c r="CG199" i="11"/>
  <c r="CG160" i="11"/>
  <c r="CG163" i="11"/>
  <c r="CG166" i="11"/>
  <c r="CG128" i="11"/>
  <c r="CG136" i="11"/>
  <c r="CF136" i="11"/>
  <c r="CF137" i="11"/>
  <c r="CF140" i="11"/>
  <c r="CF148" i="11"/>
  <c r="CG101" i="11"/>
  <c r="CG107" i="11"/>
  <c r="CG85" i="11"/>
  <c r="CG86" i="11"/>
  <c r="CG87" i="11"/>
  <c r="CG88" i="11"/>
  <c r="CG89" i="11"/>
  <c r="CG91" i="11"/>
  <c r="CG92" i="11"/>
  <c r="CG93" i="11"/>
  <c r="CG94" i="11"/>
  <c r="CG96" i="11"/>
  <c r="CG97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47" i="11"/>
  <c r="CG48" i="11"/>
  <c r="CG49" i="11"/>
  <c r="CG50" i="11"/>
  <c r="CG51" i="11"/>
  <c r="CG53" i="11"/>
  <c r="CG56" i="11"/>
  <c r="CG57" i="11"/>
  <c r="CG58" i="11"/>
  <c r="CG35" i="11"/>
  <c r="CG36" i="11"/>
  <c r="CG37" i="11"/>
  <c r="CG38" i="11"/>
  <c r="CG39" i="11"/>
  <c r="CG40" i="11"/>
  <c r="CG41" i="11"/>
  <c r="CG42" i="11"/>
  <c r="CG43" i="11"/>
  <c r="CG44" i="11"/>
  <c r="CG45" i="11"/>
  <c r="AW48" i="11"/>
  <c r="AW43" i="11"/>
  <c r="CG10" i="11"/>
  <c r="CG14" i="11"/>
  <c r="AW97" i="11"/>
  <c r="AW93" i="11"/>
  <c r="AW88" i="11"/>
  <c r="AW84" i="11"/>
  <c r="AW79" i="11"/>
  <c r="AW75" i="11"/>
  <c r="AW70" i="11"/>
  <c r="AW66" i="11"/>
  <c r="AW61" i="11"/>
  <c r="AW57" i="11"/>
  <c r="AW160" i="11"/>
  <c r="AW254" i="11"/>
  <c r="AW240" i="11"/>
  <c r="AW218" i="11"/>
  <c r="AW187" i="11"/>
  <c r="AW178" i="11"/>
  <c r="AW308" i="11"/>
  <c r="AW302" i="11"/>
  <c r="AW295" i="11"/>
  <c r="AW291" i="11"/>
  <c r="AW267" i="11"/>
  <c r="AW258" i="11"/>
  <c r="AW94" i="11"/>
  <c r="AW85" i="11"/>
  <c r="AW81" i="11"/>
  <c r="AW76" i="11"/>
  <c r="AW72" i="11"/>
  <c r="AW67" i="11"/>
  <c r="AW63" i="11"/>
  <c r="AW58" i="11"/>
  <c r="AW49" i="11"/>
  <c r="AW45" i="11"/>
  <c r="AW311" i="11"/>
  <c r="AW148" i="11"/>
  <c r="AW219" i="11"/>
  <c r="AW180" i="11"/>
  <c r="AW166" i="11"/>
  <c r="AW282" i="11"/>
  <c r="AW269" i="11"/>
  <c r="AW264" i="11"/>
  <c r="AW260" i="11"/>
  <c r="AW255" i="11"/>
  <c r="AW251" i="11"/>
  <c r="AW280" i="11"/>
  <c r="AW290" i="11"/>
  <c r="AW312" i="11"/>
  <c r="AW309" i="11"/>
  <c r="AW306" i="11"/>
  <c r="AW303" i="11"/>
  <c r="AW297" i="11"/>
  <c r="AW292" i="11"/>
  <c r="AW241" i="11"/>
  <c r="AW247" i="11"/>
  <c r="AW253" i="11"/>
  <c r="AW259" i="11"/>
  <c r="AW265" i="11"/>
  <c r="AW271" i="11"/>
  <c r="AW274" i="11"/>
  <c r="AW199" i="11"/>
  <c r="AW217" i="11"/>
  <c r="AW220" i="11"/>
  <c r="AW226" i="11"/>
  <c r="AS327" i="11"/>
  <c r="BA327" i="11"/>
  <c r="AW128" i="11"/>
  <c r="AW137" i="11"/>
  <c r="AW140" i="11"/>
  <c r="O327" i="11"/>
  <c r="P327" i="11"/>
  <c r="K327" i="11"/>
  <c r="G327" i="11"/>
  <c r="AB327" i="11"/>
  <c r="X327" i="11"/>
  <c r="T327" i="11"/>
  <c r="AJ327" i="11"/>
  <c r="CP327" i="11"/>
  <c r="BI327" i="11"/>
  <c r="BR327" i="11"/>
  <c r="BM327" i="11"/>
  <c r="BN327" i="11"/>
  <c r="H327" i="11"/>
  <c r="I327" i="11"/>
  <c r="J327" i="11"/>
  <c r="BH327" i="11"/>
  <c r="BV327" i="11"/>
  <c r="BW327" i="11"/>
  <c r="BX327" i="11"/>
  <c r="BY327" i="11"/>
  <c r="CD327" i="11"/>
  <c r="CE327" i="11"/>
  <c r="CF327" i="11"/>
  <c r="CG327" i="11"/>
  <c r="CL327" i="11"/>
  <c r="CM327" i="11"/>
  <c r="CN327" i="11"/>
  <c r="CO327" i="11"/>
  <c r="CF47" i="11"/>
  <c r="CF48" i="11"/>
  <c r="CF49" i="11"/>
  <c r="CF50" i="11"/>
  <c r="CF51" i="11"/>
  <c r="CF53" i="11"/>
  <c r="CF56" i="11"/>
  <c r="CF57" i="11"/>
  <c r="CF58" i="11"/>
  <c r="AW74" i="11"/>
  <c r="AW77" i="11"/>
  <c r="AW80" i="11"/>
  <c r="AW83" i="11"/>
  <c r="AW86" i="11"/>
  <c r="AW89" i="11"/>
  <c r="AW92" i="11"/>
  <c r="AW101" i="11"/>
  <c r="AW107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AW44" i="11"/>
  <c r="AW47" i="11"/>
  <c r="AW50" i="11"/>
  <c r="AW53" i="11"/>
  <c r="AW56" i="11"/>
  <c r="AW59" i="11"/>
  <c r="AW62" i="11"/>
  <c r="AW65" i="11"/>
  <c r="AW68" i="11"/>
  <c r="AW71" i="11"/>
  <c r="CG172" i="11"/>
  <c r="CG178" i="11"/>
  <c r="CG179" i="11"/>
  <c r="CG180" i="11"/>
  <c r="AW279" i="11"/>
  <c r="AW261" i="11"/>
  <c r="AW252" i="11"/>
  <c r="AW225" i="11"/>
  <c r="AW87" i="11"/>
  <c r="AW82" i="11"/>
  <c r="AW78" i="11"/>
  <c r="AW73" i="11"/>
  <c r="AW69" i="11"/>
  <c r="AW64" i="11"/>
  <c r="AW60" i="11"/>
  <c r="AW51" i="11"/>
  <c r="AW136" i="11"/>
  <c r="AW96" i="11"/>
  <c r="AW91" i="11"/>
  <c r="AW275" i="11"/>
  <c r="AW257" i="11"/>
  <c r="AW172" i="11"/>
  <c r="AW163" i="11"/>
  <c r="AW307" i="11"/>
  <c r="AW301" i="11"/>
  <c r="G317" i="11"/>
  <c r="K317" i="11"/>
  <c r="G318" i="11"/>
  <c r="K318" i="11"/>
  <c r="X317" i="11"/>
  <c r="AB317" i="11"/>
  <c r="X318" i="11"/>
  <c r="AB318" i="11"/>
  <c r="AH317" i="11"/>
  <c r="AH318" i="11"/>
  <c r="AI317" i="11"/>
  <c r="AI318" i="11"/>
  <c r="AA317" i="11"/>
  <c r="AA318" i="11"/>
  <c r="AF317" i="11"/>
  <c r="AJ317" i="11"/>
  <c r="AF318" i="11"/>
  <c r="AJ318" i="11"/>
  <c r="AX318" i="11"/>
  <c r="BA317" i="11"/>
  <c r="BA318" i="11"/>
  <c r="J308" i="11"/>
  <c r="J317" i="11"/>
  <c r="J318" i="11"/>
  <c r="O317" i="11"/>
  <c r="T317" i="11"/>
  <c r="O318" i="11"/>
  <c r="T318" i="11"/>
  <c r="AY41" i="11"/>
  <c r="AY42" i="11"/>
  <c r="AY37" i="11"/>
  <c r="AY317" i="11"/>
  <c r="AY318" i="11"/>
  <c r="AX298" i="11"/>
  <c r="AX38" i="11"/>
  <c r="AX39" i="11"/>
  <c r="AX40" i="11"/>
  <c r="AX41" i="11"/>
  <c r="AX42" i="11"/>
  <c r="AX37" i="11"/>
  <c r="AX317" i="11"/>
  <c r="AZ47" i="11"/>
  <c r="AZ48" i="11"/>
  <c r="AZ49" i="11"/>
  <c r="AZ50" i="11"/>
  <c r="AZ51" i="11"/>
  <c r="AZ53" i="11"/>
  <c r="AZ317" i="11"/>
  <c r="AZ318" i="11"/>
  <c r="AY298" i="11"/>
  <c r="AY38" i="11"/>
  <c r="AY39" i="11"/>
  <c r="AY40" i="11"/>
  <c r="AZ36" i="11"/>
  <c r="AZ37" i="11"/>
  <c r="AZ298" i="11"/>
  <c r="AZ292" i="11"/>
  <c r="AZ38" i="11"/>
  <c r="AZ39" i="11"/>
  <c r="AZ40" i="11"/>
  <c r="AZ41" i="11"/>
  <c r="AZ42" i="11"/>
  <c r="AZ43" i="11"/>
  <c r="AZ44" i="11"/>
  <c r="AZ45" i="11"/>
  <c r="X319" i="11"/>
  <c r="AB319" i="11"/>
  <c r="AW298" i="11"/>
  <c r="AW38" i="11"/>
  <c r="AW39" i="11"/>
  <c r="AW40" i="11"/>
  <c r="AW41" i="11"/>
  <c r="AW42" i="11"/>
  <c r="AW317" i="11"/>
  <c r="AW318" i="11"/>
  <c r="AZ35" i="11"/>
  <c r="CN319" i="11"/>
  <c r="CO319" i="11"/>
  <c r="CP319" i="11"/>
  <c r="G319" i="11"/>
  <c r="K319" i="11"/>
  <c r="BH319" i="11"/>
  <c r="BG319" i="11"/>
  <c r="BF319" i="11"/>
  <c r="CL319" i="11"/>
  <c r="CM319" i="11"/>
  <c r="AY319" i="11"/>
  <c r="AX319" i="11"/>
  <c r="BA319" i="11"/>
  <c r="AJ319" i="11"/>
  <c r="T319" i="11"/>
  <c r="BE319" i="11"/>
  <c r="BV319" i="11"/>
  <c r="BQ319" i="11"/>
  <c r="BP319" i="11"/>
  <c r="BO319" i="11"/>
  <c r="BN319" i="11"/>
  <c r="BM319" i="11"/>
  <c r="AZ319" i="11"/>
  <c r="CF319" i="11"/>
  <c r="CE319" i="11"/>
  <c r="CD319" i="11"/>
  <c r="BY319" i="11"/>
  <c r="BX319" i="11"/>
  <c r="BW319" i="11"/>
  <c r="K322" i="11"/>
  <c r="X321" i="11"/>
  <c r="AB321" i="11"/>
  <c r="X322" i="11"/>
  <c r="AB322" i="11"/>
  <c r="AH319" i="11"/>
  <c r="AI319" i="11"/>
  <c r="AW319" i="11"/>
  <c r="CG319" i="11"/>
  <c r="CL321" i="11"/>
  <c r="CL322" i="11"/>
  <c r="CM321" i="11"/>
  <c r="CM322" i="11"/>
  <c r="CN321" i="11"/>
  <c r="CN322" i="11"/>
  <c r="CO321" i="11"/>
  <c r="CO322" i="11"/>
  <c r="CP321" i="11"/>
  <c r="CP322" i="11"/>
  <c r="G321" i="11"/>
  <c r="K321" i="11"/>
  <c r="G322" i="11"/>
  <c r="AY322" i="11"/>
  <c r="AX321" i="11"/>
  <c r="AX322" i="11"/>
  <c r="BA321" i="11"/>
  <c r="BA322" i="11"/>
  <c r="AJ321" i="11"/>
  <c r="AJ322" i="11"/>
  <c r="T321" i="11"/>
  <c r="T322" i="11"/>
  <c r="BE321" i="11"/>
  <c r="BH321" i="11"/>
  <c r="BG321" i="11"/>
  <c r="BF321" i="11"/>
  <c r="BQ321" i="11"/>
  <c r="BQ322" i="11"/>
  <c r="BP321" i="11"/>
  <c r="BP322" i="11"/>
  <c r="BO321" i="11"/>
  <c r="BO322" i="11"/>
  <c r="BN321" i="11"/>
  <c r="BN322" i="11"/>
  <c r="BM321" i="11"/>
  <c r="BM322" i="11"/>
  <c r="AZ321" i="11"/>
  <c r="AZ322" i="11"/>
  <c r="AY321" i="11"/>
  <c r="CF322" i="11"/>
  <c r="CE321" i="11"/>
  <c r="CE322" i="11"/>
  <c r="CD321" i="11"/>
  <c r="CD322" i="11"/>
  <c r="BY321" i="11"/>
  <c r="BY322" i="11"/>
  <c r="BX321" i="11"/>
  <c r="BX322" i="11"/>
  <c r="BW321" i="11"/>
  <c r="BW322" i="11"/>
  <c r="BV321" i="11"/>
  <c r="BV322" i="11"/>
  <c r="AH322" i="11"/>
  <c r="AI323" i="11"/>
  <c r="AI321" i="11"/>
  <c r="AI322" i="11"/>
  <c r="X323" i="11"/>
  <c r="AB323" i="11"/>
  <c r="G323" i="11"/>
  <c r="K323" i="11"/>
  <c r="AW321" i="11"/>
  <c r="AW322" i="11"/>
  <c r="CG321" i="11"/>
  <c r="CG322" i="11"/>
  <c r="CF321" i="11"/>
  <c r="O321" i="11"/>
  <c r="O322" i="11"/>
  <c r="AA319" i="11"/>
  <c r="AA323" i="11"/>
  <c r="AA321" i="11"/>
  <c r="AA322" i="11"/>
  <c r="AF319" i="11"/>
  <c r="AF323" i="11"/>
  <c r="AJ323" i="11"/>
  <c r="AF321" i="11"/>
  <c r="AF322" i="11"/>
  <c r="AH323" i="11"/>
  <c r="AH321" i="11"/>
  <c r="BN323" i="11"/>
  <c r="BM323" i="11"/>
  <c r="AZ323" i="11"/>
  <c r="AY323" i="11"/>
  <c r="AX323" i="11"/>
  <c r="BA323" i="11"/>
  <c r="J319" i="11"/>
  <c r="J323" i="11"/>
  <c r="J321" i="11"/>
  <c r="J322" i="11"/>
  <c r="O319" i="11"/>
  <c r="O323" i="11"/>
  <c r="T323" i="11"/>
  <c r="AN323" i="11"/>
  <c r="AQ323" i="11"/>
  <c r="CG323" i="11"/>
  <c r="CF323" i="11"/>
  <c r="CE323" i="11"/>
  <c r="CD323" i="11"/>
  <c r="BY323" i="11"/>
  <c r="BX323" i="11"/>
  <c r="BW323" i="11"/>
  <c r="BV323" i="11"/>
  <c r="BQ323" i="11"/>
  <c r="BP323" i="11"/>
  <c r="BO323" i="11"/>
  <c r="H323" i="11"/>
  <c r="I323" i="11"/>
  <c r="P323" i="11"/>
  <c r="Q323" i="11"/>
  <c r="R323" i="11"/>
  <c r="S323" i="11"/>
  <c r="Z323" i="11"/>
  <c r="Y323" i="11"/>
  <c r="AG323" i="11"/>
  <c r="AW158" i="11"/>
  <c r="AW179" i="11"/>
  <c r="BH10" i="11"/>
  <c r="BH14" i="11"/>
  <c r="BF48" i="11"/>
  <c r="BF49" i="11"/>
  <c r="BF50" i="11"/>
  <c r="BF51" i="11"/>
  <c r="BF53" i="11"/>
  <c r="BH322" i="11"/>
  <c r="BH323" i="11"/>
  <c r="BH298" i="11"/>
  <c r="BH292" i="11"/>
  <c r="BF35" i="11"/>
  <c r="BF36" i="11"/>
  <c r="BE50" i="11"/>
  <c r="BE51" i="11"/>
  <c r="BE53" i="11"/>
  <c r="BF322" i="11"/>
  <c r="BF323" i="11"/>
  <c r="BF298" i="11"/>
  <c r="BF292" i="11"/>
  <c r="BF10" i="11"/>
  <c r="BE37" i="11"/>
  <c r="BE38" i="11"/>
  <c r="BE39" i="11"/>
  <c r="BE40" i="11"/>
  <c r="BE41" i="11"/>
  <c r="BE42" i="11"/>
  <c r="BE43" i="11"/>
  <c r="BE44" i="11"/>
  <c r="BE45" i="11"/>
  <c r="BE47" i="11"/>
  <c r="BE48" i="11"/>
  <c r="BE49" i="11"/>
  <c r="BE35" i="11"/>
  <c r="BE36" i="11"/>
  <c r="BE14" i="11"/>
  <c r="BG53" i="11"/>
  <c r="BE322" i="11"/>
  <c r="BE323" i="11"/>
  <c r="BE298" i="11"/>
  <c r="BE292" i="11"/>
  <c r="BE10" i="11"/>
  <c r="BG39" i="11"/>
  <c r="BG40" i="11"/>
  <c r="BG41" i="11"/>
  <c r="BG42" i="11"/>
  <c r="BG43" i="11"/>
  <c r="BG44" i="11"/>
  <c r="BG45" i="11"/>
  <c r="BG47" i="11"/>
  <c r="BG48" i="11"/>
  <c r="BG49" i="11"/>
  <c r="BG50" i="11"/>
  <c r="BG51" i="11"/>
  <c r="BG35" i="11"/>
  <c r="BG36" i="11"/>
  <c r="BG37" i="11"/>
  <c r="BG38" i="11"/>
  <c r="BG14" i="11"/>
  <c r="BG322" i="11"/>
  <c r="BG323" i="11"/>
  <c r="BG298" i="11"/>
  <c r="BG292" i="11"/>
  <c r="BG10" i="11"/>
  <c r="R10" i="11"/>
  <c r="AW323" i="11"/>
  <c r="CL323" i="11"/>
  <c r="CM323" i="11"/>
  <c r="CN323" i="11"/>
  <c r="CO323" i="11"/>
  <c r="CP323" i="11"/>
  <c r="S14" i="11"/>
  <c r="AI97" i="11"/>
  <c r="AR94" i="11"/>
  <c r="S92" i="11"/>
  <c r="AP89" i="11"/>
  <c r="Y87" i="11"/>
  <c r="R84" i="11"/>
  <c r="AR82" i="11"/>
  <c r="AQ79" i="11"/>
  <c r="R76" i="11"/>
  <c r="AR73" i="11"/>
  <c r="S148" i="11"/>
  <c r="C376" i="31"/>
  <c r="BE317" i="11"/>
  <c r="BF317" i="11"/>
  <c r="BG317" i="11"/>
  <c r="BH317" i="11"/>
  <c r="BI317" i="11"/>
  <c r="BM317" i="11"/>
  <c r="BN317" i="11"/>
  <c r="BO317" i="11"/>
  <c r="BP317" i="11"/>
  <c r="BQ317" i="11"/>
  <c r="BR317" i="11"/>
  <c r="BV317" i="11"/>
  <c r="BW317" i="11"/>
  <c r="BX317" i="11"/>
  <c r="BY317" i="11"/>
  <c r="BZ317" i="11"/>
  <c r="CD317" i="11"/>
  <c r="CE317" i="11"/>
  <c r="CF317" i="11"/>
  <c r="CG317" i="11"/>
  <c r="CH317" i="11"/>
  <c r="CL317" i="11"/>
  <c r="CM317" i="11"/>
  <c r="CN317" i="11"/>
  <c r="CO317" i="11"/>
  <c r="CP317" i="11"/>
  <c r="CQ317" i="11"/>
  <c r="BE318" i="11"/>
  <c r="BF318" i="11"/>
  <c r="BG318" i="11"/>
  <c r="BH318" i="11"/>
  <c r="BI318" i="11"/>
  <c r="BM318" i="11"/>
  <c r="BN318" i="11"/>
  <c r="BO318" i="11"/>
  <c r="BP318" i="11"/>
  <c r="BQ318" i="11"/>
  <c r="BR318" i="11"/>
  <c r="BV318" i="11"/>
  <c r="BW318" i="11"/>
  <c r="BX318" i="11"/>
  <c r="BY318" i="11"/>
  <c r="BZ318" i="11"/>
  <c r="CD318" i="11"/>
  <c r="CE318" i="11"/>
  <c r="CF318" i="11"/>
  <c r="CG318" i="11"/>
  <c r="CH318" i="11"/>
  <c r="CL318" i="11"/>
  <c r="CM318" i="11"/>
  <c r="CN318" i="11"/>
  <c r="CO318" i="11"/>
  <c r="CP318" i="11"/>
  <c r="CQ318" i="11"/>
  <c r="C305" i="31"/>
  <c r="CK5" i="11"/>
  <c r="N7" i="4"/>
  <c r="P4" i="11" s="1"/>
  <c r="N6" i="4"/>
  <c r="O4" i="11" s="1"/>
  <c r="C3626" i="3" l="1"/>
  <c r="C3627" i="3" s="1"/>
  <c r="C3628" i="3" s="1"/>
  <c r="C3629" i="3" s="1"/>
  <c r="C3630" i="3" s="1"/>
  <c r="C3631" i="3" s="1"/>
  <c r="Y166" i="11"/>
  <c r="AP166" i="11"/>
  <c r="AO166" i="11"/>
  <c r="AQ166" i="11"/>
  <c r="G158" i="11"/>
  <c r="X158" i="11"/>
  <c r="Y101" i="11"/>
  <c r="AQ101" i="11"/>
  <c r="S101" i="11"/>
  <c r="AI101" i="11"/>
  <c r="H101" i="11"/>
  <c r="AG101" i="11"/>
  <c r="I101" i="11"/>
  <c r="R70" i="11"/>
  <c r="Y70" i="11"/>
  <c r="AP70" i="11"/>
  <c r="I70" i="11"/>
  <c r="S70" i="11"/>
  <c r="AQ70" i="11"/>
  <c r="P166" i="11"/>
  <c r="AF166" i="11"/>
  <c r="G166" i="11"/>
  <c r="H166" i="11"/>
  <c r="X166" i="11"/>
  <c r="Q166" i="11"/>
  <c r="R166" i="11"/>
  <c r="I255" i="11"/>
  <c r="AR255" i="11"/>
  <c r="R255" i="11"/>
  <c r="S255" i="11"/>
  <c r="Z255" i="11"/>
  <c r="AH255" i="11"/>
  <c r="AF70" i="11"/>
  <c r="G70" i="11"/>
  <c r="P70" i="11"/>
  <c r="O70" i="11"/>
  <c r="Q70" i="11"/>
  <c r="X70" i="11"/>
  <c r="H70" i="11"/>
  <c r="AR252" i="11"/>
  <c r="AR163" i="11"/>
  <c r="AR36" i="11"/>
  <c r="AI255" i="11"/>
  <c r="AI219" i="11"/>
  <c r="AI274" i="11"/>
  <c r="H255" i="11"/>
  <c r="AG255" i="11"/>
  <c r="X255" i="11"/>
  <c r="AQ255" i="11"/>
  <c r="Y255" i="11"/>
  <c r="Q255" i="11"/>
  <c r="AP255" i="11"/>
  <c r="Z241" i="11"/>
  <c r="Z86" i="11"/>
  <c r="S253" i="11"/>
  <c r="S226" i="11"/>
  <c r="AQ199" i="11"/>
  <c r="AH279" i="11"/>
  <c r="AH37" i="11"/>
  <c r="AA101" i="11"/>
  <c r="AA255" i="11"/>
  <c r="AA75" i="11"/>
  <c r="AA41" i="11"/>
  <c r="Z101" i="11"/>
  <c r="Z53" i="11"/>
  <c r="S166" i="11"/>
  <c r="AQ75" i="11"/>
  <c r="Y259" i="11"/>
  <c r="Y65" i="11"/>
  <c r="AO101" i="11"/>
  <c r="AP265" i="11"/>
  <c r="AA39" i="11"/>
  <c r="AA66" i="11"/>
  <c r="AR65" i="11"/>
  <c r="AI160" i="11"/>
  <c r="AI61" i="11"/>
  <c r="G160" i="11"/>
  <c r="J39" i="11"/>
  <c r="O39" i="11"/>
  <c r="Y57" i="11"/>
  <c r="AA292" i="11"/>
  <c r="AA199" i="11"/>
  <c r="AA247" i="11"/>
  <c r="AR271" i="11"/>
  <c r="AR59" i="11"/>
  <c r="AR10" i="11"/>
  <c r="AI253" i="11"/>
  <c r="AI59" i="11"/>
  <c r="Z258" i="11"/>
  <c r="G39" i="11"/>
  <c r="AN39" i="11"/>
  <c r="P39" i="11"/>
  <c r="AP39" i="11"/>
  <c r="X39" i="11"/>
  <c r="AG39" i="11"/>
  <c r="I39" i="11"/>
  <c r="AQ39" i="11"/>
  <c r="H39" i="11"/>
  <c r="AI44" i="11"/>
  <c r="Z51" i="11"/>
  <c r="S51" i="11"/>
  <c r="AQ67" i="11"/>
  <c r="BW332" i="11"/>
  <c r="CQ335" i="11"/>
  <c r="CM335" i="11"/>
  <c r="CP332" i="11"/>
  <c r="CM331" i="11"/>
  <c r="CP329" i="11"/>
  <c r="X331" i="11"/>
  <c r="X329" i="11"/>
  <c r="X332" i="11"/>
  <c r="X335" i="11"/>
  <c r="X330" i="11"/>
  <c r="AF39" i="11"/>
  <c r="AO39" i="11"/>
  <c r="P332" i="11"/>
  <c r="P335" i="11"/>
  <c r="Q329" i="11"/>
  <c r="Q330" i="11"/>
  <c r="AA329" i="11"/>
  <c r="AA330" i="11"/>
  <c r="O332" i="11"/>
  <c r="O335" i="11"/>
  <c r="AF329" i="11"/>
  <c r="AF330" i="11"/>
  <c r="AF331" i="11"/>
  <c r="AF332" i="11"/>
  <c r="AF335" i="11"/>
  <c r="AW332" i="11"/>
  <c r="AW335" i="11"/>
  <c r="AX330" i="11"/>
  <c r="AY331" i="11"/>
  <c r="AZ329" i="11"/>
  <c r="AZ332" i="11"/>
  <c r="AZ335" i="11"/>
  <c r="BE330" i="11"/>
  <c r="Q331" i="11"/>
  <c r="Q332" i="11"/>
  <c r="P329" i="11"/>
  <c r="P330" i="11"/>
  <c r="P331" i="11"/>
  <c r="CD331" i="11"/>
  <c r="CD332" i="11"/>
  <c r="CL329" i="11"/>
  <c r="CO329" i="11"/>
  <c r="CL330" i="11"/>
  <c r="CO330" i="11"/>
  <c r="CL331" i="11"/>
  <c r="CO331" i="11"/>
  <c r="CL332" i="11"/>
  <c r="CO332" i="11"/>
  <c r="AO330" i="11"/>
  <c r="AR331" i="11"/>
  <c r="AW329" i="11"/>
  <c r="CL335" i="11"/>
  <c r="CO335" i="11"/>
  <c r="R331" i="11"/>
  <c r="S329" i="11"/>
  <c r="S332" i="11"/>
  <c r="S335" i="11"/>
  <c r="AI331" i="11"/>
  <c r="AH329" i="11"/>
  <c r="AH332" i="11"/>
  <c r="AH335" i="11"/>
  <c r="AG330" i="11"/>
  <c r="CD329" i="11"/>
  <c r="CD330" i="11"/>
  <c r="Y56" i="11"/>
  <c r="AF56" i="11"/>
  <c r="AH56" i="11"/>
  <c r="S48" i="11"/>
  <c r="AA48" i="11"/>
  <c r="I48" i="11"/>
  <c r="Z48" i="11"/>
  <c r="AI48" i="11"/>
  <c r="AR48" i="11"/>
  <c r="J56" i="11"/>
  <c r="AN56" i="11"/>
  <c r="AO56" i="11"/>
  <c r="O56" i="11"/>
  <c r="AF64" i="11"/>
  <c r="AO64" i="11"/>
  <c r="G64" i="11"/>
  <c r="H64" i="11"/>
  <c r="AN64" i="11"/>
  <c r="P56" i="11"/>
  <c r="G56" i="11"/>
  <c r="H56" i="11"/>
  <c r="Q56" i="11"/>
  <c r="X56" i="11"/>
  <c r="AG56" i="11"/>
  <c r="I56" i="11"/>
  <c r="R56" i="11"/>
  <c r="Q40" i="11"/>
  <c r="AG40" i="11"/>
  <c r="R40" i="11"/>
  <c r="I40" i="11"/>
  <c r="AH40" i="11"/>
  <c r="AP56" i="11"/>
  <c r="AQ56" i="11"/>
  <c r="Z56" i="11"/>
  <c r="S56" i="11"/>
  <c r="AI56" i="11"/>
  <c r="AR56" i="11"/>
  <c r="J64" i="11"/>
  <c r="O64" i="11"/>
  <c r="AQ64" i="11"/>
  <c r="AA64" i="11"/>
  <c r="S64" i="11"/>
  <c r="AP64" i="11"/>
  <c r="J72" i="11"/>
  <c r="AF40" i="11"/>
  <c r="H40" i="11"/>
  <c r="G40" i="11"/>
  <c r="X40" i="11"/>
  <c r="O40" i="11"/>
  <c r="AO40" i="11"/>
  <c r="AP40" i="11"/>
  <c r="Y40" i="11"/>
  <c r="X89" i="11"/>
  <c r="AH89" i="11"/>
  <c r="R89" i="11"/>
  <c r="I89" i="11"/>
  <c r="Y89" i="11"/>
  <c r="P64" i="11"/>
  <c r="AG64" i="11"/>
  <c r="Q64" i="11"/>
  <c r="AH64" i="11"/>
  <c r="I64" i="11"/>
  <c r="R64" i="11"/>
  <c r="Y64" i="11"/>
  <c r="X64" i="11"/>
  <c r="P88" i="11"/>
  <c r="X88" i="11"/>
  <c r="AP88" i="11"/>
  <c r="Q88" i="11"/>
  <c r="Y88" i="11"/>
  <c r="O89" i="11"/>
  <c r="AN89" i="11"/>
  <c r="H89" i="11"/>
  <c r="AO89" i="11"/>
  <c r="P89" i="11"/>
  <c r="Q89" i="11"/>
  <c r="AG89" i="11"/>
  <c r="G89" i="11"/>
  <c r="R96" i="11"/>
  <c r="I96" i="11"/>
  <c r="X96" i="11"/>
  <c r="AR96" i="11"/>
  <c r="AA96" i="11"/>
  <c r="AG88" i="11"/>
  <c r="I88" i="11"/>
  <c r="R88" i="11"/>
  <c r="AH88" i="11"/>
  <c r="Z88" i="11"/>
  <c r="AR88" i="11"/>
  <c r="O88" i="11"/>
  <c r="G88" i="11"/>
  <c r="X187" i="11"/>
  <c r="AF187" i="11"/>
  <c r="I187" i="11"/>
  <c r="AQ187" i="11"/>
  <c r="AP187" i="11"/>
  <c r="O96" i="11"/>
  <c r="AO96" i="11"/>
  <c r="H96" i="11"/>
  <c r="AG96" i="11"/>
  <c r="AH96" i="11"/>
  <c r="G96" i="11"/>
  <c r="AP96" i="11"/>
  <c r="Q96" i="11"/>
  <c r="Z187" i="11"/>
  <c r="AI187" i="11"/>
  <c r="AF179" i="11"/>
  <c r="O179" i="11"/>
  <c r="AO179" i="11"/>
  <c r="Z96" i="11"/>
  <c r="AQ96" i="11"/>
  <c r="S96" i="11"/>
  <c r="O187" i="11"/>
  <c r="AN187" i="11"/>
  <c r="P187" i="11"/>
  <c r="AO187" i="11"/>
  <c r="J187" i="11"/>
  <c r="AG179" i="11"/>
  <c r="R179" i="11"/>
  <c r="Y179" i="11"/>
  <c r="AI179" i="11"/>
  <c r="AQ179" i="11"/>
  <c r="R187" i="11"/>
  <c r="H187" i="11"/>
  <c r="Q187" i="11"/>
  <c r="AG187" i="11"/>
  <c r="Y187" i="11"/>
  <c r="G187" i="11"/>
  <c r="S187" i="11"/>
  <c r="AR187" i="11"/>
  <c r="AF292" i="11"/>
  <c r="Q292" i="11"/>
  <c r="AG292" i="11"/>
  <c r="I292" i="11"/>
  <c r="AP292" i="11"/>
  <c r="AN179" i="11"/>
  <c r="H179" i="11"/>
  <c r="J179" i="11"/>
  <c r="G179" i="11"/>
  <c r="X179" i="11"/>
  <c r="P179" i="11"/>
  <c r="AP179" i="11"/>
  <c r="AH179" i="11"/>
  <c r="R292" i="11"/>
  <c r="Y292" i="11"/>
  <c r="AQ292" i="11"/>
  <c r="S292" i="11"/>
  <c r="Z292" i="11"/>
  <c r="O260" i="11"/>
  <c r="J260" i="11"/>
  <c r="H260" i="11"/>
  <c r="AN260" i="11"/>
  <c r="AF260" i="11"/>
  <c r="Q260" i="11"/>
  <c r="X292" i="11"/>
  <c r="AN292" i="11"/>
  <c r="X260" i="11"/>
  <c r="AP260" i="11"/>
  <c r="P260" i="11"/>
  <c r="I260" i="11"/>
  <c r="AO260" i="11"/>
  <c r="AG260" i="11"/>
  <c r="G260" i="11"/>
  <c r="Y260" i="11"/>
  <c r="AH260" i="11"/>
  <c r="S260" i="11"/>
  <c r="AI260" i="11"/>
  <c r="R260" i="11"/>
  <c r="AA290" i="11"/>
  <c r="J37" i="11"/>
  <c r="G37" i="11"/>
  <c r="AN37" i="11"/>
  <c r="AA226" i="11"/>
  <c r="AA265" i="11"/>
  <c r="AA91" i="11"/>
  <c r="AA88" i="11"/>
  <c r="AA56" i="11"/>
  <c r="AR265" i="11"/>
  <c r="AR258" i="11"/>
  <c r="AR80" i="11"/>
  <c r="AR51" i="11"/>
  <c r="AR77" i="11"/>
  <c r="H37" i="11"/>
  <c r="R37" i="11"/>
  <c r="I37" i="11"/>
  <c r="Y37" i="11"/>
  <c r="AI37" i="11"/>
  <c r="AP37" i="11"/>
  <c r="AI279" i="11"/>
  <c r="AI88" i="11"/>
  <c r="AI42" i="11"/>
  <c r="Z271" i="11"/>
  <c r="Y96" i="11"/>
  <c r="H163" i="11"/>
  <c r="S136" i="11"/>
  <c r="G45" i="11"/>
  <c r="O45" i="11"/>
  <c r="AF45" i="11"/>
  <c r="Q45" i="11"/>
  <c r="AG45" i="11"/>
  <c r="R45" i="11"/>
  <c r="AF37" i="11"/>
  <c r="O37" i="11"/>
  <c r="AO37" i="11"/>
  <c r="X37" i="11"/>
  <c r="Q37" i="11"/>
  <c r="P37" i="11"/>
  <c r="AG37" i="11"/>
  <c r="Z45" i="11"/>
  <c r="AR45" i="11"/>
  <c r="AI45" i="11"/>
  <c r="AA45" i="11"/>
  <c r="AP45" i="11"/>
  <c r="AQ45" i="11"/>
  <c r="AQ37" i="11"/>
  <c r="Z37" i="11"/>
  <c r="S37" i="11"/>
  <c r="AN45" i="11"/>
  <c r="J45" i="11"/>
  <c r="P45" i="11"/>
  <c r="AO45" i="11"/>
  <c r="Y62" i="11"/>
  <c r="S62" i="11"/>
  <c r="AN62" i="11"/>
  <c r="AF62" i="11"/>
  <c r="J62" i="11"/>
  <c r="AO62" i="11"/>
  <c r="G62" i="11"/>
  <c r="P62" i="11"/>
  <c r="AG62" i="11"/>
  <c r="Y45" i="11"/>
  <c r="AH45" i="11"/>
  <c r="I45" i="11"/>
  <c r="H45" i="11"/>
  <c r="AN78" i="11"/>
  <c r="O78" i="11"/>
  <c r="AP62" i="11"/>
  <c r="R62" i="11"/>
  <c r="H62" i="11"/>
  <c r="Q62" i="11"/>
  <c r="I62" i="11"/>
  <c r="X62" i="11"/>
  <c r="AH62" i="11"/>
  <c r="AQ62" i="11"/>
  <c r="AA62" i="11"/>
  <c r="AR62" i="11"/>
  <c r="O62" i="11"/>
  <c r="AA78" i="11"/>
  <c r="Y78" i="11"/>
  <c r="Z62" i="11"/>
  <c r="AN70" i="11"/>
  <c r="J70" i="11"/>
  <c r="AO70" i="11"/>
  <c r="AI70" i="11"/>
  <c r="Z70" i="11"/>
  <c r="AR70" i="11"/>
  <c r="AG70" i="11"/>
  <c r="AH70" i="11"/>
  <c r="J78" i="11"/>
  <c r="AF78" i="11"/>
  <c r="O94" i="11"/>
  <c r="X86" i="11"/>
  <c r="P78" i="11"/>
  <c r="H78" i="11"/>
  <c r="AG78" i="11"/>
  <c r="Q78" i="11"/>
  <c r="I78" i="11"/>
  <c r="X78" i="11"/>
  <c r="R78" i="11"/>
  <c r="AP78" i="11"/>
  <c r="AH78" i="11"/>
  <c r="G78" i="11"/>
  <c r="AO78" i="11"/>
  <c r="AH94" i="11"/>
  <c r="Y94" i="11"/>
  <c r="H86" i="11"/>
  <c r="Y86" i="11"/>
  <c r="Q86" i="11"/>
  <c r="AG86" i="11"/>
  <c r="I86" i="11"/>
  <c r="R86" i="11"/>
  <c r="AQ86" i="11"/>
  <c r="AP86" i="11"/>
  <c r="S86" i="11"/>
  <c r="AI86" i="11"/>
  <c r="AR86" i="11"/>
  <c r="X226" i="11"/>
  <c r="AG226" i="11"/>
  <c r="H226" i="11"/>
  <c r="I226" i="11"/>
  <c r="AQ226" i="11"/>
  <c r="Y226" i="11"/>
  <c r="G94" i="11"/>
  <c r="AN94" i="11"/>
  <c r="AO94" i="11"/>
  <c r="P94" i="11"/>
  <c r="AG94" i="11"/>
  <c r="H94" i="11"/>
  <c r="I94" i="11"/>
  <c r="AO218" i="11"/>
  <c r="AF218" i="11"/>
  <c r="G218" i="11"/>
  <c r="AN218" i="11"/>
  <c r="J218" i="11"/>
  <c r="P218" i="11"/>
  <c r="R218" i="11"/>
  <c r="AG218" i="11"/>
  <c r="AP218" i="11"/>
  <c r="Q218" i="11"/>
  <c r="Y218" i="11"/>
  <c r="AQ218" i="11"/>
  <c r="AN226" i="11"/>
  <c r="Z218" i="11"/>
  <c r="AH218" i="11"/>
  <c r="AR218" i="11"/>
  <c r="AI218" i="11"/>
  <c r="H218" i="11"/>
  <c r="S218" i="11"/>
  <c r="AN251" i="11"/>
  <c r="J251" i="11"/>
  <c r="AF251" i="11"/>
  <c r="AO251" i="11"/>
  <c r="P251" i="11"/>
  <c r="H251" i="11"/>
  <c r="O218" i="11"/>
  <c r="Q251" i="11"/>
  <c r="X251" i="11"/>
  <c r="AG251" i="11"/>
  <c r="I251" i="11"/>
  <c r="Y251" i="11"/>
  <c r="AQ251" i="11"/>
  <c r="AP251" i="11"/>
  <c r="R251" i="11"/>
  <c r="O251" i="11"/>
  <c r="AA251" i="11"/>
  <c r="AH251" i="11"/>
  <c r="S251" i="11"/>
  <c r="X218" i="11"/>
  <c r="P73" i="11"/>
  <c r="AO73" i="11"/>
  <c r="G73" i="11"/>
  <c r="AG73" i="11"/>
  <c r="H73" i="11"/>
  <c r="I73" i="11"/>
  <c r="AH73" i="11"/>
  <c r="Q73" i="11"/>
  <c r="R73" i="11"/>
  <c r="X73" i="11"/>
  <c r="AI251" i="11"/>
  <c r="AA136" i="11"/>
  <c r="G251" i="11"/>
  <c r="AP73" i="11"/>
  <c r="Y73" i="11"/>
  <c r="S73" i="11"/>
  <c r="AQ73" i="11"/>
  <c r="AI73" i="11"/>
  <c r="AA73" i="11"/>
  <c r="J81" i="11"/>
  <c r="AN81" i="11"/>
  <c r="O81" i="11"/>
  <c r="P81" i="11"/>
  <c r="O73" i="11"/>
  <c r="AN73" i="11"/>
  <c r="AF73" i="11"/>
  <c r="AG97" i="11"/>
  <c r="I97" i="11"/>
  <c r="Y97" i="11"/>
  <c r="G97" i="11"/>
  <c r="AH97" i="11"/>
  <c r="R97" i="11"/>
  <c r="AA97" i="11"/>
  <c r="H97" i="11"/>
  <c r="Z97" i="11"/>
  <c r="S97" i="11"/>
  <c r="AR97" i="11"/>
  <c r="J178" i="11"/>
  <c r="P178" i="11"/>
  <c r="AF178" i="11"/>
  <c r="O178" i="11"/>
  <c r="G178" i="11"/>
  <c r="AN178" i="11"/>
  <c r="H178" i="11"/>
  <c r="Q178" i="11"/>
  <c r="AG178" i="11"/>
  <c r="X178" i="11"/>
  <c r="I178" i="11"/>
  <c r="AH178" i="11"/>
  <c r="Y178" i="11"/>
  <c r="R178" i="11"/>
  <c r="AO178" i="11"/>
  <c r="AP178" i="11"/>
  <c r="Z178" i="11"/>
  <c r="AQ178" i="11"/>
  <c r="S178" i="11"/>
  <c r="AI178" i="11"/>
  <c r="O199" i="11"/>
  <c r="AN199" i="11"/>
  <c r="J199" i="11"/>
  <c r="AF199" i="11"/>
  <c r="G199" i="11"/>
  <c r="AO199" i="11"/>
  <c r="P199" i="11"/>
  <c r="H199" i="11"/>
  <c r="AG291" i="11"/>
  <c r="AH291" i="11"/>
  <c r="R291" i="11"/>
  <c r="X291" i="11"/>
  <c r="Q199" i="11"/>
  <c r="X199" i="11"/>
  <c r="AP199" i="11"/>
  <c r="AG199" i="11"/>
  <c r="R199" i="11"/>
  <c r="I199" i="11"/>
  <c r="AH199" i="11"/>
  <c r="S199" i="11"/>
  <c r="Y199" i="11"/>
  <c r="S291" i="11"/>
  <c r="J275" i="11"/>
  <c r="AF275" i="11"/>
  <c r="O275" i="11"/>
  <c r="P275" i="11"/>
  <c r="O291" i="11"/>
  <c r="AF291" i="11"/>
  <c r="G291" i="11"/>
  <c r="J291" i="11"/>
  <c r="P291" i="11"/>
  <c r="AO291" i="11"/>
  <c r="Q291" i="11"/>
  <c r="AN291" i="11"/>
  <c r="AI275" i="11"/>
  <c r="AR275" i="11"/>
  <c r="H291" i="11"/>
  <c r="AP291" i="11"/>
  <c r="Y291" i="11"/>
  <c r="I291" i="11"/>
  <c r="Z291" i="11"/>
  <c r="AI291" i="11"/>
  <c r="AQ291" i="11"/>
  <c r="AR291" i="11"/>
  <c r="Q267" i="11"/>
  <c r="X267" i="11"/>
  <c r="G275" i="11"/>
  <c r="H275" i="11"/>
  <c r="AN275" i="11"/>
  <c r="Q275" i="11"/>
  <c r="R275" i="11"/>
  <c r="AH275" i="11"/>
  <c r="AG275" i="11"/>
  <c r="X275" i="11"/>
  <c r="AP275" i="11"/>
  <c r="S275" i="11"/>
  <c r="Z275" i="11"/>
  <c r="AA331" i="11"/>
  <c r="AA332" i="11"/>
  <c r="AA335" i="11"/>
  <c r="Z329" i="11"/>
  <c r="Z330" i="11"/>
  <c r="Z331" i="11"/>
  <c r="Z332" i="11"/>
  <c r="Z335" i="11"/>
  <c r="Y329" i="11"/>
  <c r="J335" i="11"/>
  <c r="O329" i="11"/>
  <c r="O330" i="11"/>
  <c r="O331" i="11"/>
  <c r="AR72" i="11"/>
  <c r="AR69" i="11"/>
  <c r="Y275" i="11"/>
  <c r="AQ275" i="11"/>
  <c r="AO275" i="11"/>
  <c r="I275" i="11"/>
  <c r="J267" i="11"/>
  <c r="P267" i="11"/>
  <c r="AN267" i="11"/>
  <c r="G267" i="11"/>
  <c r="H267" i="11"/>
  <c r="AO267" i="11"/>
  <c r="O267" i="11"/>
  <c r="Q335" i="11"/>
  <c r="R329" i="11"/>
  <c r="R332" i="11"/>
  <c r="R335" i="11"/>
  <c r="S330" i="11"/>
  <c r="AI329" i="11"/>
  <c r="AI332" i="11"/>
  <c r="AI335" i="11"/>
  <c r="AH330" i="11"/>
  <c r="Y330" i="11"/>
  <c r="Y331" i="11"/>
  <c r="Y332" i="11"/>
  <c r="Y335" i="11"/>
  <c r="AQ267" i="11"/>
  <c r="AQ10" i="11"/>
  <c r="R93" i="11"/>
  <c r="AP240" i="11"/>
  <c r="AI259" i="11"/>
  <c r="Q259" i="11"/>
  <c r="AQ259" i="11"/>
  <c r="S259" i="11"/>
  <c r="AG259" i="11"/>
  <c r="AA128" i="11"/>
  <c r="AA59" i="11"/>
  <c r="AA86" i="11"/>
  <c r="AR257" i="11"/>
  <c r="AO264" i="11"/>
  <c r="G264" i="11"/>
  <c r="H264" i="11"/>
  <c r="P264" i="11"/>
  <c r="Q264" i="11"/>
  <c r="AA42" i="11"/>
  <c r="AI166" i="11"/>
  <c r="AI40" i="11"/>
  <c r="Z219" i="11"/>
  <c r="Z83" i="11"/>
  <c r="Z64" i="11"/>
  <c r="S258" i="11"/>
  <c r="S160" i="11"/>
  <c r="J94" i="11"/>
  <c r="S78" i="11"/>
  <c r="AQ78" i="11"/>
  <c r="Z78" i="11"/>
  <c r="AR78" i="11"/>
  <c r="AI78" i="11"/>
  <c r="O86" i="11"/>
  <c r="J86" i="11"/>
  <c r="AN86" i="11"/>
  <c r="AO86" i="11"/>
  <c r="G86" i="11"/>
  <c r="P86" i="11"/>
  <c r="AF86" i="11"/>
  <c r="AN41" i="11"/>
  <c r="O41" i="11"/>
  <c r="P41" i="11"/>
  <c r="AF41" i="11"/>
  <c r="AO41" i="11"/>
  <c r="Q280" i="11"/>
  <c r="I280" i="11"/>
  <c r="R280" i="11"/>
  <c r="AH280" i="11"/>
  <c r="J264" i="11"/>
  <c r="O264" i="11"/>
  <c r="AN264" i="11"/>
  <c r="AF264" i="11"/>
  <c r="G41" i="11"/>
  <c r="AG41" i="11"/>
  <c r="Q41" i="11"/>
  <c r="AP41" i="11"/>
  <c r="AH41" i="11"/>
  <c r="X41" i="11"/>
  <c r="J41" i="11"/>
  <c r="Y41" i="11"/>
  <c r="AQ41" i="11"/>
  <c r="H41" i="11"/>
  <c r="R41" i="11"/>
  <c r="S41" i="11"/>
  <c r="Z41" i="11"/>
  <c r="I41" i="11"/>
  <c r="J50" i="11"/>
  <c r="O50" i="11"/>
  <c r="P50" i="11"/>
  <c r="AN50" i="11"/>
  <c r="AF50" i="11"/>
  <c r="AO50" i="11"/>
  <c r="H50" i="11"/>
  <c r="Q50" i="11"/>
  <c r="AG50" i="11"/>
  <c r="G50" i="11"/>
  <c r="X50" i="11"/>
  <c r="AH50" i="11"/>
  <c r="AH226" i="11"/>
  <c r="AP226" i="11"/>
  <c r="R226" i="11"/>
  <c r="Q226" i="11"/>
  <c r="Z226" i="11"/>
  <c r="AR226" i="11"/>
  <c r="J226" i="11"/>
  <c r="O226" i="11"/>
  <c r="AF226" i="11"/>
  <c r="G226" i="11"/>
  <c r="AO226" i="11"/>
  <c r="P226" i="11"/>
  <c r="AF94" i="11"/>
  <c r="I50" i="11"/>
  <c r="AQ50" i="11"/>
  <c r="AP50" i="11"/>
  <c r="R50" i="11"/>
  <c r="S50" i="11"/>
  <c r="AR50" i="11"/>
  <c r="Z50" i="11"/>
  <c r="Y50" i="11"/>
  <c r="AI50" i="11"/>
  <c r="P58" i="11"/>
  <c r="O58" i="11"/>
  <c r="AN58" i="11"/>
  <c r="AO58" i="11"/>
  <c r="X58" i="11"/>
  <c r="AG58" i="11"/>
  <c r="Y58" i="11"/>
  <c r="J58" i="11"/>
  <c r="AP58" i="11"/>
  <c r="R58" i="11"/>
  <c r="Q58" i="11"/>
  <c r="H58" i="11"/>
  <c r="I58" i="11"/>
  <c r="AQ58" i="11"/>
  <c r="Z58" i="11"/>
  <c r="S58" i="11"/>
  <c r="AF58" i="11"/>
  <c r="G58" i="11"/>
  <c r="AR58" i="11"/>
  <c r="AH58" i="11"/>
  <c r="AA58" i="11"/>
  <c r="P66" i="11"/>
  <c r="AF66" i="11"/>
  <c r="O66" i="11"/>
  <c r="G66" i="11"/>
  <c r="AN66" i="11"/>
  <c r="J66" i="11"/>
  <c r="AO66" i="11"/>
  <c r="H66" i="11"/>
  <c r="AG66" i="11"/>
  <c r="H74" i="11"/>
  <c r="AO74" i="11"/>
  <c r="P74" i="11"/>
  <c r="AF74" i="11"/>
  <c r="X74" i="11"/>
  <c r="AP74" i="11"/>
  <c r="AH66" i="11"/>
  <c r="AP66" i="11"/>
  <c r="X66" i="11"/>
  <c r="Q66" i="11"/>
  <c r="R66" i="11"/>
  <c r="AQ66" i="11"/>
  <c r="AI66" i="11"/>
  <c r="AA74" i="11"/>
  <c r="G74" i="11"/>
  <c r="AR74" i="11"/>
  <c r="Q74" i="11"/>
  <c r="I74" i="11"/>
  <c r="S74" i="11"/>
  <c r="CE298" i="11"/>
  <c r="AR66" i="11"/>
  <c r="I66" i="11"/>
  <c r="S66" i="11"/>
  <c r="Y66" i="11"/>
  <c r="J74" i="11"/>
  <c r="O74" i="11"/>
  <c r="H88" i="11"/>
  <c r="AQ88" i="11"/>
  <c r="S88" i="11"/>
  <c r="AN96" i="11"/>
  <c r="AF96" i="11"/>
  <c r="J96" i="11"/>
  <c r="P96" i="11"/>
  <c r="Z80" i="11"/>
  <c r="AI80" i="11"/>
  <c r="AN88" i="11"/>
  <c r="J88" i="11"/>
  <c r="AF88" i="11"/>
  <c r="AO88" i="11"/>
  <c r="AG82" i="11"/>
  <c r="R82" i="11"/>
  <c r="AH82" i="11"/>
  <c r="Q82" i="11"/>
  <c r="Y82" i="11"/>
  <c r="I82" i="11"/>
  <c r="R74" i="11"/>
  <c r="Y74" i="11"/>
  <c r="AG74" i="11"/>
  <c r="AH74" i="11"/>
  <c r="AN74" i="11"/>
  <c r="Z74" i="11"/>
  <c r="AQ74" i="11"/>
  <c r="AP82" i="11"/>
  <c r="AQ82" i="11"/>
  <c r="AI82" i="11"/>
  <c r="AN82" i="11"/>
  <c r="Z82" i="11"/>
  <c r="AA82" i="11"/>
  <c r="J82" i="11"/>
  <c r="AF82" i="11"/>
  <c r="G82" i="11"/>
  <c r="H82" i="11"/>
  <c r="O82" i="11"/>
  <c r="P82" i="11"/>
  <c r="AO82" i="11"/>
  <c r="AO241" i="11"/>
  <c r="P241" i="11"/>
  <c r="AF241" i="11"/>
  <c r="G241" i="11"/>
  <c r="AH241" i="11"/>
  <c r="AQ241" i="11"/>
  <c r="AP241" i="11"/>
  <c r="H241" i="11"/>
  <c r="AG241" i="11"/>
  <c r="I241" i="11"/>
  <c r="AR241" i="11"/>
  <c r="AN241" i="11"/>
  <c r="X82" i="11"/>
  <c r="S241" i="11"/>
  <c r="Y241" i="11"/>
  <c r="X241" i="11"/>
  <c r="J290" i="11"/>
  <c r="O290" i="11"/>
  <c r="P290" i="11"/>
  <c r="AF290" i="11"/>
  <c r="G290" i="11"/>
  <c r="AO290" i="11"/>
  <c r="O282" i="11"/>
  <c r="J282" i="11"/>
  <c r="J241" i="11"/>
  <c r="O241" i="11"/>
  <c r="AF282" i="11"/>
  <c r="AN282" i="11"/>
  <c r="H282" i="11"/>
  <c r="X282" i="11"/>
  <c r="AP282" i="11"/>
  <c r="G282" i="11"/>
  <c r="AG282" i="11"/>
  <c r="Z282" i="11"/>
  <c r="AR282" i="11"/>
  <c r="AH282" i="11"/>
  <c r="R282" i="11"/>
  <c r="Q241" i="11"/>
  <c r="AI241" i="11"/>
  <c r="P43" i="11"/>
  <c r="O43" i="11"/>
  <c r="J35" i="11"/>
  <c r="AN35" i="11"/>
  <c r="P35" i="11"/>
  <c r="O35" i="11"/>
  <c r="AF35" i="11"/>
  <c r="G35" i="11"/>
  <c r="Q35" i="11"/>
  <c r="X35" i="11"/>
  <c r="H35" i="11"/>
  <c r="P282" i="11"/>
  <c r="AO282" i="11"/>
  <c r="G43" i="11"/>
  <c r="O60" i="11"/>
  <c r="AO35" i="11"/>
  <c r="AQ35" i="11"/>
  <c r="AG35" i="11"/>
  <c r="R35" i="11"/>
  <c r="AI35" i="11"/>
  <c r="Y35" i="11"/>
  <c r="AR35" i="11"/>
  <c r="AA35" i="11"/>
  <c r="AN43" i="11"/>
  <c r="J43" i="11"/>
  <c r="AF43" i="11"/>
  <c r="G60" i="11"/>
  <c r="Q60" i="11"/>
  <c r="AG43" i="11"/>
  <c r="Q43" i="11"/>
  <c r="AP43" i="11"/>
  <c r="Y43" i="11"/>
  <c r="AO43" i="11"/>
  <c r="AH43" i="11"/>
  <c r="X43" i="11"/>
  <c r="H43" i="11"/>
  <c r="R43" i="11"/>
  <c r="AQ43" i="11"/>
  <c r="I43" i="11"/>
  <c r="X68" i="11"/>
  <c r="I68" i="11"/>
  <c r="AO60" i="11"/>
  <c r="J60" i="11"/>
  <c r="P60" i="11"/>
  <c r="AF60" i="11"/>
  <c r="AN60" i="11"/>
  <c r="H60" i="11"/>
  <c r="AG60" i="11"/>
  <c r="AP60" i="11"/>
  <c r="I60" i="11"/>
  <c r="Y60" i="11"/>
  <c r="R60" i="11"/>
  <c r="AP76" i="11"/>
  <c r="I76" i="11"/>
  <c r="AR60" i="11"/>
  <c r="Z60" i="11"/>
  <c r="P68" i="11"/>
  <c r="O68" i="11"/>
  <c r="AO68" i="11"/>
  <c r="AN68" i="11"/>
  <c r="AF68" i="11"/>
  <c r="J68" i="11"/>
  <c r="G68" i="11"/>
  <c r="H68" i="11"/>
  <c r="AH68" i="11"/>
  <c r="P84" i="11"/>
  <c r="AF84" i="11"/>
  <c r="S68" i="11"/>
  <c r="AI68" i="11"/>
  <c r="Q68" i="11"/>
  <c r="AP68" i="11"/>
  <c r="P76" i="11"/>
  <c r="J76" i="11"/>
  <c r="AN76" i="11"/>
  <c r="AF76" i="11"/>
  <c r="O76" i="11"/>
  <c r="X76" i="11"/>
  <c r="AO76" i="11"/>
  <c r="AN92" i="11"/>
  <c r="P92" i="11"/>
  <c r="H76" i="11"/>
  <c r="AG76" i="11"/>
  <c r="Y76" i="11"/>
  <c r="S76" i="11"/>
  <c r="Z76" i="11"/>
  <c r="Q76" i="11"/>
  <c r="O84" i="11"/>
  <c r="AN84" i="11"/>
  <c r="AO84" i="11"/>
  <c r="J84" i="11"/>
  <c r="G84" i="11"/>
  <c r="K56" i="11"/>
  <c r="M56" i="11" s="1"/>
  <c r="K64" i="11"/>
  <c r="L64" i="11" s="1"/>
  <c r="Q84" i="11"/>
  <c r="AG84" i="11"/>
  <c r="AH84" i="11"/>
  <c r="X84" i="11"/>
  <c r="AQ84" i="11"/>
  <c r="AP84" i="11"/>
  <c r="I84" i="11"/>
  <c r="H84" i="11"/>
  <c r="Y84" i="11"/>
  <c r="J92" i="11"/>
  <c r="O92" i="11"/>
  <c r="R92" i="11"/>
  <c r="H92" i="11"/>
  <c r="AI92" i="11"/>
  <c r="Z92" i="11"/>
  <c r="K79" i="11"/>
  <c r="K87" i="11"/>
  <c r="L87" i="11" s="1"/>
  <c r="K199" i="11"/>
  <c r="L199" i="11" s="1"/>
  <c r="K247" i="11"/>
  <c r="L247" i="11" s="1"/>
  <c r="K255" i="11"/>
  <c r="M255" i="11" s="1"/>
  <c r="K271" i="11"/>
  <c r="L271" i="11" s="1"/>
  <c r="K279" i="11"/>
  <c r="L279" i="11" s="1"/>
  <c r="K40" i="11"/>
  <c r="M40" i="11" s="1"/>
  <c r="K48" i="11"/>
  <c r="M48" i="11" s="1"/>
  <c r="X137" i="11"/>
  <c r="P137" i="11"/>
  <c r="I137" i="11"/>
  <c r="AH92" i="11"/>
  <c r="AO92" i="11"/>
  <c r="AF92" i="11"/>
  <c r="G92" i="11"/>
  <c r="AP92" i="11"/>
  <c r="I92" i="11"/>
  <c r="Q92" i="11"/>
  <c r="X92" i="11"/>
  <c r="Y92" i="11"/>
  <c r="AG92" i="11"/>
  <c r="H137" i="11"/>
  <c r="Y137" i="11"/>
  <c r="S137" i="11"/>
  <c r="AR137" i="11"/>
  <c r="J220" i="11"/>
  <c r="P220" i="11"/>
  <c r="O220" i="11"/>
  <c r="J137" i="11"/>
  <c r="O137" i="11"/>
  <c r="AN137" i="11"/>
  <c r="G137" i="11"/>
  <c r="AF137" i="11"/>
  <c r="AO137" i="11"/>
  <c r="AQ220" i="11"/>
  <c r="H220" i="11"/>
  <c r="AG220" i="11"/>
  <c r="R220" i="11"/>
  <c r="X220" i="11"/>
  <c r="AP220" i="11"/>
  <c r="Z220" i="11"/>
  <c r="R137" i="11"/>
  <c r="AH137" i="11"/>
  <c r="AG137" i="11"/>
  <c r="AP137" i="11"/>
  <c r="Q137" i="11"/>
  <c r="AQ137" i="11"/>
  <c r="AG254" i="11"/>
  <c r="AO254" i="11"/>
  <c r="P254" i="11"/>
  <c r="G254" i="11"/>
  <c r="Y254" i="11"/>
  <c r="AH254" i="11"/>
  <c r="Q254" i="11"/>
  <c r="AF220" i="11"/>
  <c r="AN220" i="11"/>
  <c r="AO220" i="11"/>
  <c r="G220" i="11"/>
  <c r="Q220" i="11"/>
  <c r="I220" i="11"/>
  <c r="H254" i="11"/>
  <c r="I254" i="11"/>
  <c r="AI254" i="11"/>
  <c r="AA254" i="11"/>
  <c r="R254" i="11"/>
  <c r="AQ254" i="11"/>
  <c r="S254" i="11"/>
  <c r="AR220" i="11"/>
  <c r="AH220" i="11"/>
  <c r="J254" i="11"/>
  <c r="AF254" i="11"/>
  <c r="O254" i="11"/>
  <c r="AN254" i="11"/>
  <c r="AN280" i="11"/>
  <c r="P280" i="11"/>
  <c r="O280" i="11"/>
  <c r="AO280" i="11"/>
  <c r="AF280" i="11"/>
  <c r="G280" i="11"/>
  <c r="H280" i="11"/>
  <c r="X280" i="11"/>
  <c r="AP280" i="11"/>
  <c r="I264" i="11"/>
  <c r="AG264" i="11"/>
  <c r="X254" i="11"/>
  <c r="AP254" i="11"/>
  <c r="X264" i="11"/>
  <c r="AQ264" i="11"/>
  <c r="AR280" i="11"/>
  <c r="AR68" i="11"/>
  <c r="Z137" i="11"/>
  <c r="S280" i="11"/>
  <c r="AQ60" i="11"/>
  <c r="AH264" i="11"/>
  <c r="R68" i="11"/>
  <c r="I35" i="11"/>
  <c r="AG280" i="11"/>
  <c r="AA43" i="11"/>
  <c r="J280" i="11"/>
  <c r="Y14" i="11"/>
  <c r="AP14" i="11"/>
  <c r="X14" i="11"/>
  <c r="AA92" i="11"/>
  <c r="AI84" i="11"/>
  <c r="Z264" i="11"/>
  <c r="Z35" i="11"/>
  <c r="S84" i="11"/>
  <c r="S264" i="11"/>
  <c r="AP264" i="11"/>
  <c r="AP35" i="11"/>
  <c r="J14" i="11"/>
  <c r="O14" i="11"/>
  <c r="R38" i="11"/>
  <c r="Y38" i="11"/>
  <c r="AQ38" i="11"/>
  <c r="AG38" i="11"/>
  <c r="AF14" i="11"/>
  <c r="H14" i="11"/>
  <c r="AN14" i="11"/>
  <c r="P14" i="11"/>
  <c r="G14" i="11"/>
  <c r="AG14" i="11"/>
  <c r="Q14" i="11"/>
  <c r="I14" i="11"/>
  <c r="R14" i="11"/>
  <c r="Q47" i="11"/>
  <c r="R47" i="11"/>
  <c r="AG47" i="11"/>
  <c r="I47" i="11"/>
  <c r="Y47" i="11"/>
  <c r="O38" i="11"/>
  <c r="AN38" i="11"/>
  <c r="P38" i="11"/>
  <c r="AF38" i="11"/>
  <c r="AO38" i="11"/>
  <c r="G38" i="11"/>
  <c r="J38" i="11"/>
  <c r="X38" i="11"/>
  <c r="J63" i="11"/>
  <c r="Q63" i="11"/>
  <c r="R63" i="11"/>
  <c r="Y63" i="11"/>
  <c r="AN63" i="11"/>
  <c r="AP38" i="11"/>
  <c r="J47" i="11"/>
  <c r="O47" i="11"/>
  <c r="P47" i="11"/>
  <c r="AO47" i="11"/>
  <c r="AN47" i="11"/>
  <c r="AF47" i="11"/>
  <c r="G47" i="11"/>
  <c r="H71" i="11"/>
  <c r="AP71" i="11"/>
  <c r="X71" i="11"/>
  <c r="AG71" i="11"/>
  <c r="R71" i="11"/>
  <c r="AQ47" i="11"/>
  <c r="AP47" i="11"/>
  <c r="P63" i="11"/>
  <c r="O63" i="11"/>
  <c r="G63" i="11"/>
  <c r="AF63" i="11"/>
  <c r="AO63" i="11"/>
  <c r="H63" i="11"/>
  <c r="Y79" i="11"/>
  <c r="I79" i="11"/>
  <c r="O87" i="11"/>
  <c r="AN87" i="11"/>
  <c r="AF87" i="11"/>
  <c r="J71" i="11"/>
  <c r="AF71" i="11"/>
  <c r="O71" i="11"/>
  <c r="G71" i="11"/>
  <c r="AO71" i="11"/>
  <c r="P71" i="11"/>
  <c r="AN71" i="11"/>
  <c r="Q71" i="11"/>
  <c r="R87" i="11"/>
  <c r="X87" i="11"/>
  <c r="J140" i="11"/>
  <c r="P140" i="11"/>
  <c r="AF140" i="11"/>
  <c r="O79" i="11"/>
  <c r="AN79" i="11"/>
  <c r="J79" i="11"/>
  <c r="AF79" i="11"/>
  <c r="AO79" i="11"/>
  <c r="G79" i="11"/>
  <c r="H79" i="11"/>
  <c r="AP79" i="11"/>
  <c r="I140" i="11"/>
  <c r="X140" i="11"/>
  <c r="AP140" i="11"/>
  <c r="R140" i="11"/>
  <c r="AN148" i="11"/>
  <c r="J87" i="11"/>
  <c r="P87" i="11"/>
  <c r="Q87" i="11"/>
  <c r="H87" i="11"/>
  <c r="AO87" i="11"/>
  <c r="AP87" i="11"/>
  <c r="I87" i="11"/>
  <c r="AG87" i="11"/>
  <c r="AH148" i="11"/>
  <c r="Y148" i="11"/>
  <c r="H148" i="11"/>
  <c r="I148" i="11"/>
  <c r="O148" i="11"/>
  <c r="AO140" i="11"/>
  <c r="Y140" i="11"/>
  <c r="AH140" i="11"/>
  <c r="AN140" i="11"/>
  <c r="H140" i="11"/>
  <c r="AG140" i="11"/>
  <c r="G140" i="11"/>
  <c r="Q140" i="11"/>
  <c r="I172" i="11"/>
  <c r="X172" i="11"/>
  <c r="AH172" i="11"/>
  <c r="AP172" i="11"/>
  <c r="AO172" i="11"/>
  <c r="J148" i="11"/>
  <c r="G148" i="11"/>
  <c r="P148" i="11"/>
  <c r="AF148" i="11"/>
  <c r="AO148" i="11"/>
  <c r="Q148" i="11"/>
  <c r="AG148" i="11"/>
  <c r="X148" i="11"/>
  <c r="Q225" i="11"/>
  <c r="AP225" i="11"/>
  <c r="AH225" i="11"/>
  <c r="R225" i="11"/>
  <c r="AG225" i="11"/>
  <c r="J172" i="11"/>
  <c r="AN172" i="11"/>
  <c r="AF172" i="11"/>
  <c r="O172" i="11"/>
  <c r="G172" i="11"/>
  <c r="P172" i="11"/>
  <c r="H172" i="11"/>
  <c r="Y172" i="11"/>
  <c r="AG217" i="11"/>
  <c r="I217" i="11"/>
  <c r="R217" i="11"/>
  <c r="O217" i="11"/>
  <c r="Y217" i="11"/>
  <c r="P225" i="11"/>
  <c r="AF225" i="11"/>
  <c r="O225" i="11"/>
  <c r="AO225" i="11"/>
  <c r="G225" i="11"/>
  <c r="J225" i="11"/>
  <c r="AN225" i="11"/>
  <c r="H225" i="11"/>
  <c r="H269" i="11"/>
  <c r="X269" i="11"/>
  <c r="AG269" i="11"/>
  <c r="Q217" i="11"/>
  <c r="P217" i="11"/>
  <c r="X225" i="11"/>
  <c r="J217" i="11"/>
  <c r="H217" i="11"/>
  <c r="AN217" i="11"/>
  <c r="AF217" i="11"/>
  <c r="G217" i="11"/>
  <c r="X217" i="11"/>
  <c r="AO217" i="11"/>
  <c r="J261" i="11"/>
  <c r="AF261" i="11"/>
  <c r="O261" i="11"/>
  <c r="G261" i="11"/>
  <c r="P261" i="11"/>
  <c r="AN261" i="11"/>
  <c r="AO261" i="11"/>
  <c r="P269" i="11"/>
  <c r="J269" i="11"/>
  <c r="G269" i="11"/>
  <c r="O269" i="11"/>
  <c r="AF269" i="11"/>
  <c r="Q269" i="11"/>
  <c r="AG261" i="11"/>
  <c r="X261" i="11"/>
  <c r="AA148" i="11"/>
  <c r="AR261" i="11"/>
  <c r="AI261" i="11"/>
  <c r="AI38" i="11"/>
  <c r="Z261" i="11"/>
  <c r="AQ269" i="11"/>
  <c r="Y269" i="11"/>
  <c r="AO269" i="11"/>
  <c r="AP269" i="11"/>
  <c r="I269" i="11"/>
  <c r="AN269" i="11"/>
  <c r="S140" i="11"/>
  <c r="S47" i="11"/>
  <c r="AH63" i="11"/>
  <c r="R148" i="11"/>
  <c r="I38" i="11"/>
  <c r="G87" i="11"/>
  <c r="AA140" i="11"/>
  <c r="AA14" i="11"/>
  <c r="Q261" i="11"/>
  <c r="I261" i="11"/>
  <c r="R261" i="11"/>
  <c r="AH261" i="11"/>
  <c r="H261" i="11"/>
  <c r="AI148" i="11"/>
  <c r="Z180" i="11"/>
  <c r="AQ148" i="11"/>
  <c r="Y225" i="11"/>
  <c r="R79" i="11"/>
  <c r="AG79" i="11"/>
  <c r="X47" i="11"/>
  <c r="Q79" i="11"/>
  <c r="AW10" i="11"/>
  <c r="AW14" i="11"/>
  <c r="Z79" i="11"/>
  <c r="Z63" i="11"/>
  <c r="Z47" i="11"/>
  <c r="K94" i="11"/>
  <c r="M94" i="11" s="1"/>
  <c r="K158" i="11"/>
  <c r="L158" i="11" s="1"/>
  <c r="K166" i="11"/>
  <c r="L166" i="11" s="1"/>
  <c r="K254" i="11"/>
  <c r="L254" i="11" s="1"/>
  <c r="K39" i="11"/>
  <c r="L39" i="11" s="1"/>
  <c r="K47" i="11"/>
  <c r="M47" i="11" s="1"/>
  <c r="K63" i="11"/>
  <c r="M63" i="11" s="1"/>
  <c r="AW36" i="11"/>
  <c r="AW35" i="11"/>
  <c r="AW37" i="11"/>
  <c r="K14" i="11"/>
  <c r="M14" i="11" s="1"/>
  <c r="K38" i="11"/>
  <c r="L38" i="11" s="1"/>
  <c r="AR47" i="11"/>
  <c r="K80" i="11"/>
  <c r="L80" i="11" s="1"/>
  <c r="K88" i="11"/>
  <c r="L88" i="11" s="1"/>
  <c r="K96" i="11"/>
  <c r="L96" i="11" s="1"/>
  <c r="K128" i="11"/>
  <c r="M128" i="11" s="1"/>
  <c r="K136" i="11"/>
  <c r="M136" i="11" s="1"/>
  <c r="K160" i="11"/>
  <c r="M160" i="11" s="1"/>
  <c r="K240" i="11"/>
  <c r="L240" i="11" s="1"/>
  <c r="K264" i="11"/>
  <c r="M264" i="11" s="1"/>
  <c r="K280" i="11"/>
  <c r="M280" i="11" s="1"/>
  <c r="K62" i="11"/>
  <c r="M62" i="11" s="1"/>
  <c r="K70" i="11"/>
  <c r="L70" i="11" s="1"/>
  <c r="K78" i="11"/>
  <c r="L78" i="11" s="1"/>
  <c r="K86" i="11"/>
  <c r="L86" i="11" s="1"/>
  <c r="K10" i="11"/>
  <c r="M10" i="11" s="1"/>
  <c r="K42" i="11"/>
  <c r="M42" i="11" s="1"/>
  <c r="K41" i="11"/>
  <c r="M41" i="11" s="1"/>
  <c r="K49" i="11"/>
  <c r="L49" i="11" s="1"/>
  <c r="K57" i="11"/>
  <c r="M57" i="11" s="1"/>
  <c r="K65" i="11"/>
  <c r="L65" i="11" s="1"/>
  <c r="K73" i="11"/>
  <c r="M73" i="11" s="1"/>
  <c r="K81" i="11"/>
  <c r="M81" i="11" s="1"/>
  <c r="K89" i="11"/>
  <c r="M89" i="11" s="1"/>
  <c r="K97" i="11"/>
  <c r="L97" i="11" s="1"/>
  <c r="K137" i="11"/>
  <c r="L137" i="11" s="1"/>
  <c r="K71" i="11"/>
  <c r="L71" i="11" s="1"/>
  <c r="K72" i="11"/>
  <c r="M72" i="11" s="1"/>
  <c r="K74" i="11"/>
  <c r="M74" i="11" s="1"/>
  <c r="K82" i="11"/>
  <c r="L82" i="11" s="1"/>
  <c r="K178" i="11"/>
  <c r="M178" i="11" s="1"/>
  <c r="K218" i="11"/>
  <c r="L218" i="11" s="1"/>
  <c r="K226" i="11"/>
  <c r="M226" i="11" s="1"/>
  <c r="K258" i="11"/>
  <c r="M258" i="11" s="1"/>
  <c r="K274" i="11"/>
  <c r="M274" i="11" s="1"/>
  <c r="K282" i="11"/>
  <c r="L282" i="11" s="1"/>
  <c r="K217" i="11"/>
  <c r="L217" i="11" s="1"/>
  <c r="K225" i="11"/>
  <c r="M225" i="11" s="1"/>
  <c r="K241" i="11"/>
  <c r="M241" i="11" s="1"/>
  <c r="K257" i="11"/>
  <c r="M257" i="11" s="1"/>
  <c r="K265" i="11"/>
  <c r="L265" i="11" s="1"/>
  <c r="K35" i="11"/>
  <c r="L35" i="11" s="1"/>
  <c r="K43" i="11"/>
  <c r="M43" i="11" s="1"/>
  <c r="K51" i="11"/>
  <c r="L51" i="11" s="1"/>
  <c r="K59" i="11"/>
  <c r="L59" i="11" s="1"/>
  <c r="K67" i="11"/>
  <c r="M67" i="11" s="1"/>
  <c r="K75" i="11"/>
  <c r="L75" i="11" s="1"/>
  <c r="K83" i="11"/>
  <c r="M83" i="11" s="1"/>
  <c r="K91" i="11"/>
  <c r="L91" i="11" s="1"/>
  <c r="K107" i="11"/>
  <c r="M107" i="11" s="1"/>
  <c r="K163" i="11"/>
  <c r="L163" i="11" s="1"/>
  <c r="K50" i="11"/>
  <c r="M50" i="11" s="1"/>
  <c r="K58" i="11"/>
  <c r="M58" i="11" s="1"/>
  <c r="K66" i="11"/>
  <c r="M66" i="11" s="1"/>
  <c r="K37" i="11"/>
  <c r="M37" i="11" s="1"/>
  <c r="K179" i="11"/>
  <c r="M179" i="11" s="1"/>
  <c r="K187" i="11"/>
  <c r="L187" i="11" s="1"/>
  <c r="K219" i="11"/>
  <c r="L219" i="11" s="1"/>
  <c r="K251" i="11"/>
  <c r="M251" i="11" s="1"/>
  <c r="K259" i="11"/>
  <c r="L259" i="11" s="1"/>
  <c r="K267" i="11"/>
  <c r="M267" i="11" s="1"/>
  <c r="K275" i="11"/>
  <c r="L275" i="11" s="1"/>
  <c r="K291" i="11"/>
  <c r="L291" i="11" s="1"/>
  <c r="K36" i="11"/>
  <c r="M36" i="11" s="1"/>
  <c r="K44" i="11"/>
  <c r="M44" i="11" s="1"/>
  <c r="K60" i="11"/>
  <c r="M60" i="11" s="1"/>
  <c r="K290" i="11"/>
  <c r="L290" i="11" s="1"/>
  <c r="K269" i="11"/>
  <c r="L269" i="11" s="1"/>
  <c r="K68" i="11"/>
  <c r="L68" i="11" s="1"/>
  <c r="K76" i="11"/>
  <c r="M76" i="11" s="1"/>
  <c r="K84" i="11"/>
  <c r="M84" i="11" s="1"/>
  <c r="K92" i="11"/>
  <c r="L92" i="11" s="1"/>
  <c r="K140" i="11"/>
  <c r="L140" i="11" s="1"/>
  <c r="K148" i="11"/>
  <c r="L148" i="11" s="1"/>
  <c r="K172" i="11"/>
  <c r="M172" i="11" s="1"/>
  <c r="K180" i="11"/>
  <c r="L180" i="11" s="1"/>
  <c r="K220" i="11"/>
  <c r="L220" i="11" s="1"/>
  <c r="K252" i="11"/>
  <c r="M252" i="11" s="1"/>
  <c r="K260" i="11"/>
  <c r="M260" i="11" s="1"/>
  <c r="K292" i="11"/>
  <c r="M292" i="11" s="1"/>
  <c r="K45" i="11"/>
  <c r="L45" i="11" s="1"/>
  <c r="K53" i="11"/>
  <c r="L53" i="11" s="1"/>
  <c r="K61" i="11"/>
  <c r="M61" i="11" s="1"/>
  <c r="K69" i="11"/>
  <c r="L69" i="11" s="1"/>
  <c r="K77" i="11"/>
  <c r="L77" i="11" s="1"/>
  <c r="K85" i="11"/>
  <c r="M85" i="11" s="1"/>
  <c r="K93" i="11"/>
  <c r="M93" i="11" s="1"/>
  <c r="K101" i="11"/>
  <c r="M101" i="11" s="1"/>
  <c r="K253" i="11"/>
  <c r="M253" i="11" s="1"/>
  <c r="K261" i="11"/>
  <c r="L261" i="11" s="1"/>
  <c r="AS253" i="11"/>
  <c r="AU253" i="11" s="1"/>
  <c r="AS36" i="11"/>
  <c r="AT36" i="11" s="1"/>
  <c r="AS44" i="11"/>
  <c r="AT44" i="11" s="1"/>
  <c r="AS60" i="11"/>
  <c r="AT60" i="11" s="1"/>
  <c r="AS68" i="11"/>
  <c r="AU68" i="11" s="1"/>
  <c r="AS76" i="11"/>
  <c r="AT76" i="11" s="1"/>
  <c r="AS84" i="11"/>
  <c r="AU84" i="11" s="1"/>
  <c r="AS92" i="11"/>
  <c r="AT92" i="11" s="1"/>
  <c r="AS140" i="11"/>
  <c r="AU140" i="11" s="1"/>
  <c r="AS148" i="11"/>
  <c r="AU148" i="11" s="1"/>
  <c r="AS172" i="11"/>
  <c r="AU172" i="11" s="1"/>
  <c r="AS180" i="11"/>
  <c r="AU180" i="11" s="1"/>
  <c r="AS220" i="11"/>
  <c r="AT220" i="11" s="1"/>
  <c r="AB78" i="11"/>
  <c r="AD78" i="11" s="1"/>
  <c r="AB86" i="11"/>
  <c r="AC86" i="11" s="1"/>
  <c r="AB94" i="11"/>
  <c r="AC94" i="11" s="1"/>
  <c r="AY36" i="11"/>
  <c r="AZ10" i="11"/>
  <c r="AZ14" i="11"/>
  <c r="AY35" i="11"/>
  <c r="AY10" i="11"/>
  <c r="AY14" i="11"/>
  <c r="AB79" i="11"/>
  <c r="AC79" i="11" s="1"/>
  <c r="AB87" i="11"/>
  <c r="AC87" i="11" s="1"/>
  <c r="AB199" i="11"/>
  <c r="AD199" i="11" s="1"/>
  <c r="AB247" i="11"/>
  <c r="AC247" i="11" s="1"/>
  <c r="AB255" i="11"/>
  <c r="AC255" i="11" s="1"/>
  <c r="AB101" i="11"/>
  <c r="AC101" i="11" s="1"/>
  <c r="AB253" i="11"/>
  <c r="AC253" i="11" s="1"/>
  <c r="AB261" i="11"/>
  <c r="AC261" i="11" s="1"/>
  <c r="AB269" i="11"/>
  <c r="AD269" i="11" s="1"/>
  <c r="AB14" i="11"/>
  <c r="AC14" i="11" s="1"/>
  <c r="AB38" i="11"/>
  <c r="AC38" i="11" s="1"/>
  <c r="AB62" i="11"/>
  <c r="AD62" i="11" s="1"/>
  <c r="AB70" i="11"/>
  <c r="AD70" i="11" s="1"/>
  <c r="AB64" i="11"/>
  <c r="AD64" i="11" s="1"/>
  <c r="AB72" i="11"/>
  <c r="AD72" i="11" s="1"/>
  <c r="AB80" i="11"/>
  <c r="AC80" i="11" s="1"/>
  <c r="AB88" i="11"/>
  <c r="AD88" i="11" s="1"/>
  <c r="AB96" i="11"/>
  <c r="AD96" i="11" s="1"/>
  <c r="AB128" i="11"/>
  <c r="AC128" i="11" s="1"/>
  <c r="AB158" i="11"/>
  <c r="AD158" i="11" s="1"/>
  <c r="AB166" i="11"/>
  <c r="AD166" i="11" s="1"/>
  <c r="AB254" i="11"/>
  <c r="AD254" i="11" s="1"/>
  <c r="AB39" i="11"/>
  <c r="AC39" i="11" s="1"/>
  <c r="AB47" i="11"/>
  <c r="AD47" i="11" s="1"/>
  <c r="AB63" i="11"/>
  <c r="AC63" i="11" s="1"/>
  <c r="AB71" i="11"/>
  <c r="AC71" i="11" s="1"/>
  <c r="AB217" i="11"/>
  <c r="AC217" i="11" s="1"/>
  <c r="AB225" i="11"/>
  <c r="AD225" i="11" s="1"/>
  <c r="AB241" i="11"/>
  <c r="AD241" i="11" s="1"/>
  <c r="AB257" i="11"/>
  <c r="AD257" i="11" s="1"/>
  <c r="AB265" i="11"/>
  <c r="AD265" i="11" s="1"/>
  <c r="AB10" i="11"/>
  <c r="AC10" i="11" s="1"/>
  <c r="AB42" i="11"/>
  <c r="AD42" i="11" s="1"/>
  <c r="AB50" i="11"/>
  <c r="AD50" i="11" s="1"/>
  <c r="AB271" i="11"/>
  <c r="AD271" i="11" s="1"/>
  <c r="AB279" i="11"/>
  <c r="AD279" i="11" s="1"/>
  <c r="AB40" i="11"/>
  <c r="AD40" i="11" s="1"/>
  <c r="AB48" i="11"/>
  <c r="AC48" i="11" s="1"/>
  <c r="AB56" i="11"/>
  <c r="AD56" i="11" s="1"/>
  <c r="AB82" i="11"/>
  <c r="AD82" i="11" s="1"/>
  <c r="AB178" i="11"/>
  <c r="AC178" i="11" s="1"/>
  <c r="AB218" i="11"/>
  <c r="AD218" i="11" s="1"/>
  <c r="AB226" i="11"/>
  <c r="AD226" i="11" s="1"/>
  <c r="AB258" i="11"/>
  <c r="AC258" i="11" s="1"/>
  <c r="AB274" i="11"/>
  <c r="AD274" i="11" s="1"/>
  <c r="AB282" i="11"/>
  <c r="AC282" i="11" s="1"/>
  <c r="AB290" i="11"/>
  <c r="AD290" i="11" s="1"/>
  <c r="AB136" i="11"/>
  <c r="AC136" i="11" s="1"/>
  <c r="AB89" i="11"/>
  <c r="AC89" i="11" s="1"/>
  <c r="AB97" i="11"/>
  <c r="AC97" i="11" s="1"/>
  <c r="AB137" i="11"/>
  <c r="AC137" i="11" s="1"/>
  <c r="AB43" i="11"/>
  <c r="AD43" i="11" s="1"/>
  <c r="AB51" i="11"/>
  <c r="AC51" i="11" s="1"/>
  <c r="AB59" i="11"/>
  <c r="AD59" i="11" s="1"/>
  <c r="AB67" i="11"/>
  <c r="AD67" i="11" s="1"/>
  <c r="AB75" i="11"/>
  <c r="AD75" i="11" s="1"/>
  <c r="AB83" i="11"/>
  <c r="AC83" i="11" s="1"/>
  <c r="AB91" i="11"/>
  <c r="AB107" i="11"/>
  <c r="AC107" i="11" s="1"/>
  <c r="AB163" i="11"/>
  <c r="AD163" i="11" s="1"/>
  <c r="AB179" i="11"/>
  <c r="AC179" i="11" s="1"/>
  <c r="AB58" i="11"/>
  <c r="AD58" i="11" s="1"/>
  <c r="AB66" i="11"/>
  <c r="AD66" i="11" s="1"/>
  <c r="AB74" i="11"/>
  <c r="AC74" i="11" s="1"/>
  <c r="AB187" i="11"/>
  <c r="AC187" i="11" s="1"/>
  <c r="AB219" i="11"/>
  <c r="AD219" i="11" s="1"/>
  <c r="AB251" i="11"/>
  <c r="AC251" i="11" s="1"/>
  <c r="AB259" i="11"/>
  <c r="AC259" i="11" s="1"/>
  <c r="AB267" i="11"/>
  <c r="AC267" i="11" s="1"/>
  <c r="AB275" i="11"/>
  <c r="AB291" i="11"/>
  <c r="AD291" i="11" s="1"/>
  <c r="AX35" i="11"/>
  <c r="AX10" i="11"/>
  <c r="AB35" i="11"/>
  <c r="AD35" i="11" s="1"/>
  <c r="T70" i="11"/>
  <c r="V70" i="11" s="1"/>
  <c r="T78" i="11"/>
  <c r="T86" i="11"/>
  <c r="V86" i="11" s="1"/>
  <c r="AX14" i="11"/>
  <c r="AX36" i="11"/>
  <c r="T37" i="11"/>
  <c r="U37" i="11" s="1"/>
  <c r="T45" i="11"/>
  <c r="U45" i="11" s="1"/>
  <c r="T53" i="11"/>
  <c r="V53" i="11" s="1"/>
  <c r="T61" i="11"/>
  <c r="V61" i="11" s="1"/>
  <c r="T69" i="11"/>
  <c r="U69" i="11" s="1"/>
  <c r="T77" i="11"/>
  <c r="U77" i="11" s="1"/>
  <c r="T85" i="11"/>
  <c r="U85" i="11" s="1"/>
  <c r="T71" i="11"/>
  <c r="V71" i="11" s="1"/>
  <c r="T79" i="11"/>
  <c r="V79" i="11" s="1"/>
  <c r="T87" i="11"/>
  <c r="U87" i="11" s="1"/>
  <c r="T199" i="11"/>
  <c r="U199" i="11" s="1"/>
  <c r="T247" i="11"/>
  <c r="T93" i="11"/>
  <c r="V93" i="11" s="1"/>
  <c r="T101" i="11"/>
  <c r="V101" i="11" s="1"/>
  <c r="T253" i="11"/>
  <c r="V253" i="11" s="1"/>
  <c r="T261" i="11"/>
  <c r="U261" i="11" s="1"/>
  <c r="T269" i="11"/>
  <c r="U269" i="11" s="1"/>
  <c r="T14" i="11"/>
  <c r="V14" i="11" s="1"/>
  <c r="T38" i="11"/>
  <c r="U38" i="11" s="1"/>
  <c r="T62" i="11"/>
  <c r="V62" i="11" s="1"/>
  <c r="T56" i="11"/>
  <c r="U56" i="11" s="1"/>
  <c r="T64" i="11"/>
  <c r="V64" i="11" s="1"/>
  <c r="T72" i="11"/>
  <c r="V72" i="11" s="1"/>
  <c r="T80" i="11"/>
  <c r="U80" i="11" s="1"/>
  <c r="T88" i="11"/>
  <c r="U88" i="11" s="1"/>
  <c r="T96" i="11"/>
  <c r="U96" i="11" s="1"/>
  <c r="T94" i="11"/>
  <c r="T158" i="11"/>
  <c r="V158" i="11" s="1"/>
  <c r="T166" i="11"/>
  <c r="V166" i="11" s="1"/>
  <c r="T254" i="11"/>
  <c r="U254" i="11" s="1"/>
  <c r="T39" i="11"/>
  <c r="V39" i="11" s="1"/>
  <c r="T47" i="11"/>
  <c r="U47" i="11" s="1"/>
  <c r="T63" i="11"/>
  <c r="U63" i="11" s="1"/>
  <c r="T240" i="11"/>
  <c r="V240" i="11" s="1"/>
  <c r="T264" i="11"/>
  <c r="V264" i="11" s="1"/>
  <c r="T280" i="11"/>
  <c r="U280" i="11" s="1"/>
  <c r="T41" i="11"/>
  <c r="V41" i="11" s="1"/>
  <c r="T49" i="11"/>
  <c r="U49" i="11" s="1"/>
  <c r="T57" i="11"/>
  <c r="U57" i="11" s="1"/>
  <c r="T65" i="11"/>
  <c r="U65" i="11" s="1"/>
  <c r="T255" i="11"/>
  <c r="U255" i="11" s="1"/>
  <c r="T271" i="11"/>
  <c r="V271" i="11" s="1"/>
  <c r="T279" i="11"/>
  <c r="U279" i="11" s="1"/>
  <c r="T40" i="11"/>
  <c r="V40" i="11" s="1"/>
  <c r="T48" i="11"/>
  <c r="T89" i="11"/>
  <c r="V89" i="11" s="1"/>
  <c r="T97" i="11"/>
  <c r="V97" i="11" s="1"/>
  <c r="T137" i="11"/>
  <c r="U137" i="11" s="1"/>
  <c r="T217" i="11"/>
  <c r="U217" i="11" s="1"/>
  <c r="T225" i="11"/>
  <c r="V225" i="11" s="1"/>
  <c r="T241" i="11"/>
  <c r="U241" i="11" s="1"/>
  <c r="T257" i="11"/>
  <c r="V257" i="11" s="1"/>
  <c r="T265" i="11"/>
  <c r="V265" i="11" s="1"/>
  <c r="T10" i="11"/>
  <c r="V10" i="11" s="1"/>
  <c r="T42" i="11"/>
  <c r="V42" i="11" s="1"/>
  <c r="T128" i="11"/>
  <c r="U128" i="11" s="1"/>
  <c r="T136" i="11"/>
  <c r="U136" i="11" s="1"/>
  <c r="T160" i="11"/>
  <c r="U160" i="11" s="1"/>
  <c r="T75" i="11"/>
  <c r="V75" i="11" s="1"/>
  <c r="T83" i="11"/>
  <c r="U83" i="11" s="1"/>
  <c r="T50" i="11"/>
  <c r="U50" i="11" s="1"/>
  <c r="T58" i="11"/>
  <c r="U58" i="11" s="1"/>
  <c r="T66" i="11"/>
  <c r="U66" i="11" s="1"/>
  <c r="T74" i="11"/>
  <c r="U74" i="11" s="1"/>
  <c r="T82" i="11"/>
  <c r="V82" i="11" s="1"/>
  <c r="T178" i="11"/>
  <c r="V178" i="11" s="1"/>
  <c r="T218" i="11"/>
  <c r="U218" i="11" s="1"/>
  <c r="T226" i="11"/>
  <c r="U226" i="11" s="1"/>
  <c r="T73" i="11"/>
  <c r="V73" i="11" s="1"/>
  <c r="T81" i="11"/>
  <c r="U81" i="11" s="1"/>
  <c r="T275" i="11"/>
  <c r="U275" i="11" s="1"/>
  <c r="T291" i="11"/>
  <c r="V291" i="11" s="1"/>
  <c r="T258" i="11"/>
  <c r="V258" i="11" s="1"/>
  <c r="T274" i="11"/>
  <c r="V274" i="11" s="1"/>
  <c r="T282" i="11"/>
  <c r="U282" i="11" s="1"/>
  <c r="T290" i="11"/>
  <c r="U290" i="11" s="1"/>
  <c r="T35" i="11"/>
  <c r="U35" i="11" s="1"/>
  <c r="T43" i="11"/>
  <c r="V43" i="11" s="1"/>
  <c r="T51" i="11"/>
  <c r="U51" i="11" s="1"/>
  <c r="T59" i="11"/>
  <c r="V59" i="11" s="1"/>
  <c r="T67" i="11"/>
  <c r="U67" i="11" s="1"/>
  <c r="T91" i="11"/>
  <c r="U91" i="11" s="1"/>
  <c r="T107" i="11"/>
  <c r="V107" i="11" s="1"/>
  <c r="T163" i="11"/>
  <c r="V163" i="11" s="1"/>
  <c r="T179" i="11"/>
  <c r="V179" i="11" s="1"/>
  <c r="T187" i="11"/>
  <c r="V187" i="11" s="1"/>
  <c r="T219" i="11"/>
  <c r="U219" i="11" s="1"/>
  <c r="T251" i="11"/>
  <c r="V251" i="11" s="1"/>
  <c r="T259" i="11"/>
  <c r="U259" i="11" s="1"/>
  <c r="T267" i="11"/>
  <c r="U267" i="11" s="1"/>
  <c r="T148" i="11"/>
  <c r="U148" i="11" s="1"/>
  <c r="T172" i="11"/>
  <c r="V172" i="11" s="1"/>
  <c r="T180" i="11"/>
  <c r="U180" i="11" s="1"/>
  <c r="T220" i="11"/>
  <c r="U220" i="11" s="1"/>
  <c r="T252" i="11"/>
  <c r="U252" i="11" s="1"/>
  <c r="AQ329" i="11"/>
  <c r="AQ332" i="11"/>
  <c r="AQ335" i="11"/>
  <c r="AP330" i="11"/>
  <c r="T36" i="11"/>
  <c r="V36" i="11" s="1"/>
  <c r="T44" i="11"/>
  <c r="U44" i="11" s="1"/>
  <c r="T60" i="11"/>
  <c r="V60" i="11" s="1"/>
  <c r="T68" i="11"/>
  <c r="U68" i="11" s="1"/>
  <c r="T76" i="11"/>
  <c r="T84" i="11"/>
  <c r="U84" i="11" s="1"/>
  <c r="T92" i="11"/>
  <c r="U92" i="11" s="1"/>
  <c r="T140" i="11"/>
  <c r="U140" i="11" s="1"/>
  <c r="AS83" i="11"/>
  <c r="AU83" i="11" s="1"/>
  <c r="AS91" i="11"/>
  <c r="AT91" i="11" s="1"/>
  <c r="AS107" i="11"/>
  <c r="AT107" i="11" s="1"/>
  <c r="AS163" i="11"/>
  <c r="AU163" i="11" s="1"/>
  <c r="AS179" i="11"/>
  <c r="AU179" i="11" s="1"/>
  <c r="BE331" i="11"/>
  <c r="CE329" i="11"/>
  <c r="CE330" i="11"/>
  <c r="CE331" i="11"/>
  <c r="CG332" i="11"/>
  <c r="AN331" i="11"/>
  <c r="AS69" i="11"/>
  <c r="AT69" i="11" s="1"/>
  <c r="AS77" i="11"/>
  <c r="AU77" i="11" s="1"/>
  <c r="AS85" i="11"/>
  <c r="AU85" i="11" s="1"/>
  <c r="AS93" i="11"/>
  <c r="AT93" i="11" s="1"/>
  <c r="AS101" i="11"/>
  <c r="AU101" i="11" s="1"/>
  <c r="AS14" i="11"/>
  <c r="AT14" i="11" s="1"/>
  <c r="AS35" i="11"/>
  <c r="AT35" i="11" s="1"/>
  <c r="AS43" i="11"/>
  <c r="AU43" i="11" s="1"/>
  <c r="AS51" i="11"/>
  <c r="AU51" i="11" s="1"/>
  <c r="AS59" i="11"/>
  <c r="AU59" i="11" s="1"/>
  <c r="AS67" i="11"/>
  <c r="AT67" i="11" s="1"/>
  <c r="AS75" i="11"/>
  <c r="AT75" i="11" s="1"/>
  <c r="AS78" i="11"/>
  <c r="AT78" i="11" s="1"/>
  <c r="AS86" i="11"/>
  <c r="AU86" i="11" s="1"/>
  <c r="AS94" i="11"/>
  <c r="AU94" i="11" s="1"/>
  <c r="AS158" i="11"/>
  <c r="AT158" i="11" s="1"/>
  <c r="AS166" i="11"/>
  <c r="AT166" i="11" s="1"/>
  <c r="AS39" i="11"/>
  <c r="AU39" i="11" s="1"/>
  <c r="AS47" i="11"/>
  <c r="AT47" i="11" s="1"/>
  <c r="AS187" i="11"/>
  <c r="AT187" i="11" s="1"/>
  <c r="AS219" i="11"/>
  <c r="AT219" i="11" s="1"/>
  <c r="AS37" i="11"/>
  <c r="AS45" i="11"/>
  <c r="AT45" i="11" s="1"/>
  <c r="AS53" i="11"/>
  <c r="AT53" i="11" s="1"/>
  <c r="AS61" i="11"/>
  <c r="AT61" i="11" s="1"/>
  <c r="AS87" i="11"/>
  <c r="AT87" i="11" s="1"/>
  <c r="AS199" i="11"/>
  <c r="AU199" i="11" s="1"/>
  <c r="AS40" i="11"/>
  <c r="AU40" i="11" s="1"/>
  <c r="AS48" i="11"/>
  <c r="AT48" i="11" s="1"/>
  <c r="AS56" i="11"/>
  <c r="AT56" i="11" s="1"/>
  <c r="AS64" i="11"/>
  <c r="AS72" i="11"/>
  <c r="AU72" i="11" s="1"/>
  <c r="AS80" i="11"/>
  <c r="AU80" i="11" s="1"/>
  <c r="AS88" i="11"/>
  <c r="AT88" i="11" s="1"/>
  <c r="AS38" i="11"/>
  <c r="AT38" i="11" s="1"/>
  <c r="AS62" i="11"/>
  <c r="AU62" i="11" s="1"/>
  <c r="AS70" i="11"/>
  <c r="AT70" i="11" s="1"/>
  <c r="AS160" i="11"/>
  <c r="AT160" i="11" s="1"/>
  <c r="AS41" i="11"/>
  <c r="AU41" i="11" s="1"/>
  <c r="AS49" i="11"/>
  <c r="AT49" i="11" s="1"/>
  <c r="AS57" i="11"/>
  <c r="AT57" i="11" s="1"/>
  <c r="AS65" i="11"/>
  <c r="AU65" i="11" s="1"/>
  <c r="AS73" i="11"/>
  <c r="AU73" i="11" s="1"/>
  <c r="AS81" i="11"/>
  <c r="AU81" i="11" s="1"/>
  <c r="AS89" i="11"/>
  <c r="AT89" i="11" s="1"/>
  <c r="AS97" i="11"/>
  <c r="AT97" i="11" s="1"/>
  <c r="AS63" i="11"/>
  <c r="AT63" i="11" s="1"/>
  <c r="AS71" i="11"/>
  <c r="AT71" i="11" s="1"/>
  <c r="AS79" i="11"/>
  <c r="AU79" i="11" s="1"/>
  <c r="AS217" i="11"/>
  <c r="AU217" i="11" s="1"/>
  <c r="AS225" i="11"/>
  <c r="AU225" i="11" s="1"/>
  <c r="AS240" i="11"/>
  <c r="AT240" i="11" s="1"/>
  <c r="AS264" i="11"/>
  <c r="AT264" i="11" s="1"/>
  <c r="AS280" i="11"/>
  <c r="AT280" i="11" s="1"/>
  <c r="AS241" i="11"/>
  <c r="AT241" i="11" s="1"/>
  <c r="AS257" i="11"/>
  <c r="AU257" i="11" s="1"/>
  <c r="AS265" i="11"/>
  <c r="AU265" i="11" s="1"/>
  <c r="AS96" i="11"/>
  <c r="AU96" i="11" s="1"/>
  <c r="AS128" i="11"/>
  <c r="AT128" i="11" s="1"/>
  <c r="AS136" i="11"/>
  <c r="AT136" i="11" s="1"/>
  <c r="AS274" i="11"/>
  <c r="AS282" i="11"/>
  <c r="AT282" i="11" s="1"/>
  <c r="AS290" i="11"/>
  <c r="AU290" i="11" s="1"/>
  <c r="AS251" i="11"/>
  <c r="AT251" i="11" s="1"/>
  <c r="AS259" i="11"/>
  <c r="AT259" i="11" s="1"/>
  <c r="AS267" i="11"/>
  <c r="AT267" i="11" s="1"/>
  <c r="AS275" i="11"/>
  <c r="AT275" i="11" s="1"/>
  <c r="AS291" i="11"/>
  <c r="AU291" i="11" s="1"/>
  <c r="AS252" i="11"/>
  <c r="AT252" i="11" s="1"/>
  <c r="AS260" i="11"/>
  <c r="AT260" i="11" s="1"/>
  <c r="AS292" i="11"/>
  <c r="AT292" i="11" s="1"/>
  <c r="AS137" i="11"/>
  <c r="AT137" i="11" s="1"/>
  <c r="AS258" i="11"/>
  <c r="AU258" i="11" s="1"/>
  <c r="AJ53" i="11"/>
  <c r="AK53" i="11" s="1"/>
  <c r="AJ84" i="11"/>
  <c r="AJ92" i="11"/>
  <c r="AL92" i="11" s="1"/>
  <c r="AJ140" i="11"/>
  <c r="AL140" i="11" s="1"/>
  <c r="AJ148" i="11"/>
  <c r="AL148" i="11" s="1"/>
  <c r="AJ172" i="11"/>
  <c r="AL172" i="11" s="1"/>
  <c r="AJ180" i="11"/>
  <c r="AL180" i="11" s="1"/>
  <c r="AJ220" i="11"/>
  <c r="AK220" i="11" s="1"/>
  <c r="AJ252" i="11"/>
  <c r="AK252" i="11" s="1"/>
  <c r="AJ260" i="11"/>
  <c r="AK260" i="11" s="1"/>
  <c r="AJ292" i="11"/>
  <c r="AL292" i="11" s="1"/>
  <c r="AJ37" i="11"/>
  <c r="AK37" i="11" s="1"/>
  <c r="AJ45" i="11"/>
  <c r="AK45" i="11" s="1"/>
  <c r="BZ240" i="11"/>
  <c r="BZ48" i="11"/>
  <c r="AJ61" i="11"/>
  <c r="AK61" i="11" s="1"/>
  <c r="AJ69" i="11"/>
  <c r="AK69" i="11" s="1"/>
  <c r="AJ77" i="11"/>
  <c r="AL77" i="11" s="1"/>
  <c r="AJ85" i="11"/>
  <c r="AK85" i="11" s="1"/>
  <c r="AJ93" i="11"/>
  <c r="AK93" i="11" s="1"/>
  <c r="AJ101" i="11"/>
  <c r="AJ253" i="11"/>
  <c r="AL253" i="11" s="1"/>
  <c r="AJ261" i="11"/>
  <c r="AL261" i="11" s="1"/>
  <c r="AJ269" i="11"/>
  <c r="AL269" i="11" s="1"/>
  <c r="AJ14" i="11"/>
  <c r="AL14" i="11" s="1"/>
  <c r="AJ38" i="11"/>
  <c r="AK38" i="11" s="1"/>
  <c r="BZ47" i="11"/>
  <c r="BZ254" i="11"/>
  <c r="BZ62" i="11"/>
  <c r="BZ101" i="11"/>
  <c r="BZ37" i="11"/>
  <c r="BZ140" i="11"/>
  <c r="BZ76" i="11"/>
  <c r="BZ179" i="11"/>
  <c r="BZ51" i="11"/>
  <c r="BZ282" i="11"/>
  <c r="BZ218" i="11"/>
  <c r="BZ257" i="11"/>
  <c r="BZ65" i="11"/>
  <c r="BZ45" i="11"/>
  <c r="BZ148" i="11"/>
  <c r="BZ84" i="11"/>
  <c r="BZ251" i="11"/>
  <c r="BZ187" i="11"/>
  <c r="BZ59" i="11"/>
  <c r="BZ290" i="11"/>
  <c r="BZ226" i="11"/>
  <c r="BZ265" i="11"/>
  <c r="BZ137" i="11"/>
  <c r="BZ73" i="11"/>
  <c r="BZ56" i="11"/>
  <c r="BR158" i="11"/>
  <c r="BR166" i="11"/>
  <c r="BR254" i="11"/>
  <c r="BR63" i="11"/>
  <c r="BR71" i="11"/>
  <c r="BR79" i="11"/>
  <c r="BR87" i="11"/>
  <c r="BR199" i="11"/>
  <c r="BR247" i="11"/>
  <c r="BR255" i="11"/>
  <c r="BR271" i="11"/>
  <c r="BR279" i="11"/>
  <c r="BZ70" i="11"/>
  <c r="BR77" i="11"/>
  <c r="BR85" i="11"/>
  <c r="BR93" i="11"/>
  <c r="BR101" i="11"/>
  <c r="BR253" i="11"/>
  <c r="BR261" i="11"/>
  <c r="BR269" i="11"/>
  <c r="BR62" i="11"/>
  <c r="BR70" i="11"/>
  <c r="BR78" i="11"/>
  <c r="BR86" i="11"/>
  <c r="BR94" i="11"/>
  <c r="BR68" i="11"/>
  <c r="BR76" i="11"/>
  <c r="BR84" i="11"/>
  <c r="BR92" i="11"/>
  <c r="BR140" i="11"/>
  <c r="BR148" i="11"/>
  <c r="BR172" i="11"/>
  <c r="BR180" i="11"/>
  <c r="BR220" i="11"/>
  <c r="BR252" i="11"/>
  <c r="BR260" i="11"/>
  <c r="BR61" i="11"/>
  <c r="BR69" i="11"/>
  <c r="BR83" i="11"/>
  <c r="BR91" i="11"/>
  <c r="BR107" i="11"/>
  <c r="BR163" i="11"/>
  <c r="BR179" i="11"/>
  <c r="BR187" i="11"/>
  <c r="BR219" i="11"/>
  <c r="BR251" i="11"/>
  <c r="BR259" i="11"/>
  <c r="BR267" i="11"/>
  <c r="BR275" i="11"/>
  <c r="BR291" i="11"/>
  <c r="BR60" i="11"/>
  <c r="AS261" i="11"/>
  <c r="AU261" i="11" s="1"/>
  <c r="AS269" i="11"/>
  <c r="AU269" i="11" s="1"/>
  <c r="AS254" i="11"/>
  <c r="AU254" i="11" s="1"/>
  <c r="AS247" i="11"/>
  <c r="AT247" i="11" s="1"/>
  <c r="AS255" i="11"/>
  <c r="AU255" i="11" s="1"/>
  <c r="AS271" i="11"/>
  <c r="AU271" i="11" s="1"/>
  <c r="AS279" i="11"/>
  <c r="AT279" i="11" s="1"/>
  <c r="BR82" i="11"/>
  <c r="BR178" i="11"/>
  <c r="BR218" i="11"/>
  <c r="BR226" i="11"/>
  <c r="BR258" i="11"/>
  <c r="BR274" i="11"/>
  <c r="BR282" i="11"/>
  <c r="BR290" i="11"/>
  <c r="BR59" i="11"/>
  <c r="BR67" i="11"/>
  <c r="BR75" i="11"/>
  <c r="BZ14" i="11"/>
  <c r="BZ53" i="11"/>
  <c r="BZ220" i="11"/>
  <c r="BZ92" i="11"/>
  <c r="BZ259" i="11"/>
  <c r="BZ67" i="11"/>
  <c r="BZ42" i="11"/>
  <c r="BZ81" i="11"/>
  <c r="BZ128" i="11"/>
  <c r="BZ64" i="11"/>
  <c r="BZ247" i="11"/>
  <c r="BR56" i="11"/>
  <c r="BR64" i="11"/>
  <c r="BZ75" i="11"/>
  <c r="BZ178" i="11"/>
  <c r="BZ50" i="11"/>
  <c r="BZ217" i="11"/>
  <c r="BZ89" i="11"/>
  <c r="BZ264" i="11"/>
  <c r="BZ136" i="11"/>
  <c r="BZ72" i="11"/>
  <c r="BZ255" i="11"/>
  <c r="BZ63" i="11"/>
  <c r="BZ78" i="11"/>
  <c r="BZ225" i="11"/>
  <c r="BZ97" i="11"/>
  <c r="BZ80" i="11"/>
  <c r="BZ199" i="11"/>
  <c r="BZ71" i="11"/>
  <c r="BZ86" i="11"/>
  <c r="BZ253" i="11"/>
  <c r="BZ61" i="11"/>
  <c r="BZ292" i="11"/>
  <c r="BZ36" i="11"/>
  <c r="BZ267" i="11"/>
  <c r="CQ252" i="11"/>
  <c r="CQ260" i="11"/>
  <c r="CQ292" i="11"/>
  <c r="BZ158" i="11"/>
  <c r="BZ94" i="11"/>
  <c r="BZ261" i="11"/>
  <c r="BZ69" i="11"/>
  <c r="BZ172" i="11"/>
  <c r="BZ44" i="11"/>
  <c r="BZ275" i="11"/>
  <c r="BZ83" i="11"/>
  <c r="BZ58" i="11"/>
  <c r="CQ258" i="11"/>
  <c r="CQ274" i="11"/>
  <c r="CQ282" i="11"/>
  <c r="CQ290" i="11"/>
  <c r="CQ35" i="11"/>
  <c r="CQ43" i="11"/>
  <c r="CQ51" i="11"/>
  <c r="CQ59" i="11"/>
  <c r="CQ67" i="11"/>
  <c r="CQ10" i="11"/>
  <c r="CQ42" i="11"/>
  <c r="CQ50" i="11"/>
  <c r="CQ58" i="11"/>
  <c r="CQ66" i="11"/>
  <c r="CQ74" i="11"/>
  <c r="CQ82" i="11"/>
  <c r="CQ178" i="11"/>
  <c r="CQ218" i="11"/>
  <c r="CQ226" i="11"/>
  <c r="CQ49" i="11"/>
  <c r="CQ57" i="11"/>
  <c r="CQ65" i="11"/>
  <c r="CQ73" i="11"/>
  <c r="CQ81" i="11"/>
  <c r="CQ89" i="11"/>
  <c r="CQ97" i="11"/>
  <c r="CQ137" i="11"/>
  <c r="CQ217" i="11"/>
  <c r="CQ225" i="11"/>
  <c r="CQ241" i="11"/>
  <c r="CQ257" i="11"/>
  <c r="CQ265" i="11"/>
  <c r="CQ64" i="11"/>
  <c r="CQ72" i="11"/>
  <c r="CQ80" i="11"/>
  <c r="CQ88" i="11"/>
  <c r="CQ96" i="11"/>
  <c r="CQ128" i="11"/>
  <c r="CQ136" i="11"/>
  <c r="CQ160" i="11"/>
  <c r="CQ240" i="11"/>
  <c r="CQ264" i="11"/>
  <c r="CQ280" i="11"/>
  <c r="CQ41" i="11"/>
  <c r="CQ63" i="11"/>
  <c r="CQ71" i="11"/>
  <c r="CQ79" i="11"/>
  <c r="CQ87" i="11"/>
  <c r="CQ199" i="11"/>
  <c r="CQ247" i="11"/>
  <c r="CQ255" i="11"/>
  <c r="CQ271" i="11"/>
  <c r="CQ279" i="11"/>
  <c r="CQ40" i="11"/>
  <c r="CQ48" i="11"/>
  <c r="CQ56" i="11"/>
  <c r="CQ14" i="11"/>
  <c r="CQ38" i="11"/>
  <c r="CQ62" i="11"/>
  <c r="CQ70" i="11"/>
  <c r="CQ78" i="11"/>
  <c r="CQ86" i="11"/>
  <c r="CQ94" i="11"/>
  <c r="CQ158" i="11"/>
  <c r="CQ166" i="11"/>
  <c r="CQ254" i="11"/>
  <c r="CQ39" i="11"/>
  <c r="CQ47" i="11"/>
  <c r="BI280" i="11"/>
  <c r="CQ37" i="11"/>
  <c r="CQ45" i="11"/>
  <c r="CQ53" i="11"/>
  <c r="CQ61" i="11"/>
  <c r="CQ69" i="11"/>
  <c r="CQ77" i="11"/>
  <c r="CQ85" i="11"/>
  <c r="CQ93" i="11"/>
  <c r="CQ101" i="11"/>
  <c r="CQ253" i="11"/>
  <c r="CQ261" i="11"/>
  <c r="CQ269" i="11"/>
  <c r="BI279" i="11"/>
  <c r="BI56" i="11"/>
  <c r="BI64" i="11"/>
  <c r="BI72" i="11"/>
  <c r="BI80" i="11"/>
  <c r="BI88" i="11"/>
  <c r="BI96" i="11"/>
  <c r="BI128" i="11"/>
  <c r="BI136" i="11"/>
  <c r="BI160" i="11"/>
  <c r="BI240" i="11"/>
  <c r="BI264" i="11"/>
  <c r="BI86" i="11"/>
  <c r="BI94" i="11"/>
  <c r="BI158" i="11"/>
  <c r="BI166" i="11"/>
  <c r="BI254" i="11"/>
  <c r="BI63" i="11"/>
  <c r="BI71" i="11"/>
  <c r="BI79" i="11"/>
  <c r="BI87" i="11"/>
  <c r="BI199" i="11"/>
  <c r="BI247" i="11"/>
  <c r="BI255" i="11"/>
  <c r="BI271" i="11"/>
  <c r="BI61" i="11"/>
  <c r="BI69" i="11"/>
  <c r="BI77" i="11"/>
  <c r="BI85" i="11"/>
  <c r="BI93" i="11"/>
  <c r="BI101" i="11"/>
  <c r="BI253" i="11"/>
  <c r="BI261" i="11"/>
  <c r="BI269" i="11"/>
  <c r="BI62" i="11"/>
  <c r="BI70" i="11"/>
  <c r="BI78" i="11"/>
  <c r="BI291" i="11"/>
  <c r="BI60" i="11"/>
  <c r="BI68" i="11"/>
  <c r="BI76" i="11"/>
  <c r="BI84" i="11"/>
  <c r="BI92" i="11"/>
  <c r="BI140" i="11"/>
  <c r="BI148" i="11"/>
  <c r="BI172" i="11"/>
  <c r="BI180" i="11"/>
  <c r="BI220" i="11"/>
  <c r="BI252" i="11"/>
  <c r="BI260" i="11"/>
  <c r="BI91" i="11"/>
  <c r="BI107" i="11"/>
  <c r="BI163" i="11"/>
  <c r="BI179" i="11"/>
  <c r="BI187" i="11"/>
  <c r="BI219" i="11"/>
  <c r="BI251" i="11"/>
  <c r="BI259" i="11"/>
  <c r="BI267" i="11"/>
  <c r="BI275" i="11"/>
  <c r="BI258" i="11"/>
  <c r="BI274" i="11"/>
  <c r="BI282" i="11"/>
  <c r="BI290" i="11"/>
  <c r="BI59" i="11"/>
  <c r="BI67" i="11"/>
  <c r="BI75" i="11"/>
  <c r="BI83" i="11"/>
  <c r="BI241" i="11"/>
  <c r="BI257" i="11"/>
  <c r="BI265" i="11"/>
  <c r="BI58" i="11"/>
  <c r="BI66" i="11"/>
  <c r="BI74" i="11"/>
  <c r="BI82" i="11"/>
  <c r="BI178" i="11"/>
  <c r="BI218" i="11"/>
  <c r="BI226" i="11"/>
  <c r="BZ79" i="11"/>
  <c r="BI57" i="11"/>
  <c r="BI65" i="11"/>
  <c r="BI73" i="11"/>
  <c r="BI81" i="11"/>
  <c r="BI89" i="11"/>
  <c r="BI97" i="11"/>
  <c r="BI137" i="11"/>
  <c r="BI217" i="11"/>
  <c r="BI225" i="11"/>
  <c r="CH44" i="11"/>
  <c r="CH60" i="11"/>
  <c r="CH68" i="11"/>
  <c r="CH76" i="11"/>
  <c r="CH84" i="11"/>
  <c r="CH92" i="11"/>
  <c r="CH140" i="11"/>
  <c r="CH148" i="11"/>
  <c r="CH172" i="11"/>
  <c r="CH180" i="11"/>
  <c r="CH220" i="11"/>
  <c r="CH252" i="11"/>
  <c r="CH260" i="11"/>
  <c r="CH91" i="11"/>
  <c r="CH107" i="11"/>
  <c r="CH163" i="11"/>
  <c r="CH179" i="11"/>
  <c r="CH187" i="11"/>
  <c r="CH219" i="11"/>
  <c r="CH251" i="11"/>
  <c r="CH259" i="11"/>
  <c r="CH267" i="11"/>
  <c r="CH275" i="11"/>
  <c r="CH291" i="11"/>
  <c r="CH36" i="11"/>
  <c r="CH258" i="11"/>
  <c r="CH274" i="11"/>
  <c r="CH282" i="11"/>
  <c r="CH290" i="11"/>
  <c r="CH35" i="11"/>
  <c r="CH43" i="11"/>
  <c r="CH51" i="11"/>
  <c r="CH59" i="11"/>
  <c r="CH67" i="11"/>
  <c r="CH75" i="11"/>
  <c r="CH83" i="11"/>
  <c r="CH72" i="11"/>
  <c r="CH80" i="11"/>
  <c r="CH88" i="11"/>
  <c r="CH96" i="11"/>
  <c r="CH128" i="11"/>
  <c r="CH136" i="11"/>
  <c r="CH160" i="11"/>
  <c r="CH240" i="11"/>
  <c r="CH264" i="11"/>
  <c r="CH280" i="11"/>
  <c r="CH41" i="11"/>
  <c r="CH71" i="11"/>
  <c r="CH79" i="11"/>
  <c r="CH87" i="11"/>
  <c r="CH199" i="11"/>
  <c r="CH247" i="11"/>
  <c r="CH255" i="11"/>
  <c r="CH271" i="11"/>
  <c r="CH279" i="11"/>
  <c r="CH40" i="11"/>
  <c r="CH48" i="11"/>
  <c r="CH56" i="11"/>
  <c r="CH64" i="11"/>
  <c r="CH38" i="11"/>
  <c r="CH62" i="11"/>
  <c r="CH70" i="11"/>
  <c r="CH78" i="11"/>
  <c r="CH86" i="11"/>
  <c r="CH94" i="11"/>
  <c r="CH158" i="11"/>
  <c r="CH166" i="11"/>
  <c r="CH254" i="11"/>
  <c r="CH39" i="11"/>
  <c r="CH47" i="11"/>
  <c r="CH63" i="11"/>
  <c r="BZ60" i="11"/>
  <c r="BZ291" i="11"/>
  <c r="BZ163" i="11"/>
  <c r="BZ35" i="11"/>
  <c r="BZ74" i="11"/>
  <c r="BZ10" i="11"/>
  <c r="BZ241" i="11"/>
  <c r="BZ49" i="11"/>
  <c r="BZ160" i="11"/>
  <c r="BZ96" i="11"/>
  <c r="BZ279" i="11"/>
  <c r="BZ87" i="11"/>
  <c r="CH14" i="11"/>
  <c r="BZ93" i="11"/>
  <c r="BZ260" i="11"/>
  <c r="BZ68" i="11"/>
  <c r="BZ107" i="11"/>
  <c r="BZ43" i="11"/>
  <c r="BZ274" i="11"/>
  <c r="BZ82" i="11"/>
  <c r="BZ57" i="11"/>
  <c r="BZ40" i="11"/>
  <c r="BZ85" i="11"/>
  <c r="BZ252" i="11"/>
  <c r="CQ303" i="11"/>
  <c r="CQ302" i="11"/>
  <c r="CQ301" i="11"/>
  <c r="CQ298" i="11"/>
  <c r="CQ297" i="11"/>
  <c r="BI309" i="11"/>
  <c r="BI308" i="11"/>
  <c r="BI307" i="11"/>
  <c r="BI306" i="11"/>
  <c r="BI303" i="11"/>
  <c r="BI302" i="11"/>
  <c r="BI301" i="11"/>
  <c r="BI297" i="11"/>
  <c r="BZ297" i="11"/>
  <c r="BR309" i="11"/>
  <c r="BR308" i="11"/>
  <c r="BR307" i="11"/>
  <c r="BR306" i="11"/>
  <c r="BR303" i="11"/>
  <c r="BR302" i="11"/>
  <c r="BR301" i="11"/>
  <c r="BR297" i="11"/>
  <c r="CQ309" i="11"/>
  <c r="CQ308" i="11"/>
  <c r="CQ307" i="11"/>
  <c r="CQ306" i="11"/>
  <c r="CH302" i="11"/>
  <c r="CH301" i="11"/>
  <c r="CH298" i="11"/>
  <c r="CH297" i="11"/>
  <c r="BZ39" i="11"/>
  <c r="BZ309" i="11"/>
  <c r="BZ308" i="11"/>
  <c r="BZ307" i="11"/>
  <c r="BZ306" i="11"/>
  <c r="BZ303" i="11"/>
  <c r="BZ302" i="11"/>
  <c r="BZ301" i="11"/>
  <c r="BZ298" i="11"/>
  <c r="BI35" i="11"/>
  <c r="BI36" i="11"/>
  <c r="BI37" i="11"/>
  <c r="BI38" i="11"/>
  <c r="BI39" i="11"/>
  <c r="BI40" i="11"/>
  <c r="BI41" i="11"/>
  <c r="BI42" i="11"/>
  <c r="BI43" i="11"/>
  <c r="BI44" i="11"/>
  <c r="BI45" i="11"/>
  <c r="BI47" i="11"/>
  <c r="BI48" i="11"/>
  <c r="BR48" i="11"/>
  <c r="BR49" i="11"/>
  <c r="BR50" i="11"/>
  <c r="BR51" i="11"/>
  <c r="BR53" i="11"/>
  <c r="BI298" i="11"/>
  <c r="BI292" i="11"/>
  <c r="BI10" i="11"/>
  <c r="BI14" i="11"/>
  <c r="BR35" i="11"/>
  <c r="BR36" i="11"/>
  <c r="BR37" i="11"/>
  <c r="BR38" i="11"/>
  <c r="BR39" i="11"/>
  <c r="BR40" i="11"/>
  <c r="BR41" i="11"/>
  <c r="BR42" i="11"/>
  <c r="BR43" i="11"/>
  <c r="BR44" i="11"/>
  <c r="BR45" i="11"/>
  <c r="BR47" i="11"/>
  <c r="CF240" i="11"/>
  <c r="CF241" i="11"/>
  <c r="CF247" i="11"/>
  <c r="AS302" i="11"/>
  <c r="BR298" i="11"/>
  <c r="BR292" i="11"/>
  <c r="BR10" i="11"/>
  <c r="BR14" i="11"/>
  <c r="BH50" i="11"/>
  <c r="BH51" i="11"/>
  <c r="BH53" i="11"/>
  <c r="AR160" i="11"/>
  <c r="AR178" i="11"/>
  <c r="I309" i="11"/>
  <c r="H309" i="11"/>
  <c r="R309" i="11"/>
  <c r="AS306" i="11"/>
  <c r="AS307" i="11"/>
  <c r="CH323" i="11"/>
  <c r="BR323" i="11"/>
  <c r="AS295" i="11"/>
  <c r="BH36" i="11"/>
  <c r="BH37" i="11"/>
  <c r="BH38" i="11"/>
  <c r="BH39" i="11"/>
  <c r="BH40" i="11"/>
  <c r="BH41" i="11"/>
  <c r="BH42" i="11"/>
  <c r="BH43" i="11"/>
  <c r="BH44" i="11"/>
  <c r="BH45" i="11"/>
  <c r="BH47" i="11"/>
  <c r="BH48" i="11"/>
  <c r="BH49" i="11"/>
  <c r="BF39" i="11"/>
  <c r="BF40" i="11"/>
  <c r="BF41" i="11"/>
  <c r="BF42" i="11"/>
  <c r="BF43" i="11"/>
  <c r="BF44" i="11"/>
  <c r="BF45" i="11"/>
  <c r="BF47" i="11"/>
  <c r="BF14" i="11"/>
  <c r="BZ323" i="11"/>
  <c r="BI330" i="11"/>
  <c r="BI331" i="11"/>
  <c r="BI332" i="11"/>
  <c r="AS330" i="11"/>
  <c r="AS331" i="11"/>
  <c r="AS332" i="11"/>
  <c r="BP327" i="11"/>
  <c r="BO327" i="11"/>
  <c r="BF37" i="11"/>
  <c r="BF38" i="11"/>
  <c r="CQ327" i="11"/>
  <c r="CH327" i="11"/>
  <c r="BZ327" i="11"/>
  <c r="BQ327" i="11"/>
  <c r="BO218" i="11"/>
  <c r="BO219" i="11"/>
  <c r="BO220" i="11"/>
  <c r="CH330" i="11"/>
  <c r="CH331" i="11"/>
  <c r="CH332" i="11"/>
  <c r="BZ332" i="11"/>
  <c r="BR330" i="11"/>
  <c r="BR331" i="11"/>
  <c r="BR332" i="11"/>
  <c r="BN290" i="11"/>
  <c r="BN44" i="11"/>
  <c r="BN45" i="11"/>
  <c r="BN47" i="11"/>
  <c r="BN48" i="11"/>
  <c r="BN49" i="11"/>
  <c r="BN50" i="11"/>
  <c r="BN51" i="11"/>
  <c r="BN53" i="11"/>
  <c r="BN56" i="11"/>
  <c r="BO199" i="11"/>
  <c r="BO217" i="11"/>
  <c r="BM63" i="11"/>
  <c r="BM64" i="11"/>
  <c r="BM65" i="11"/>
  <c r="BM66" i="11"/>
  <c r="BM67" i="11"/>
  <c r="BN271" i="11"/>
  <c r="BN274" i="11"/>
  <c r="BN275" i="11"/>
  <c r="BN279" i="11"/>
  <c r="BN280" i="11"/>
  <c r="BN282" i="11"/>
  <c r="AX53" i="11"/>
  <c r="AX44" i="11"/>
  <c r="BA10" i="11"/>
  <c r="BC10" i="11" s="1"/>
  <c r="BA14" i="11"/>
  <c r="BC14" i="11" s="1"/>
  <c r="BM57" i="11"/>
  <c r="BM58" i="11"/>
  <c r="BM59" i="11"/>
  <c r="BM60" i="11"/>
  <c r="BM61" i="11"/>
  <c r="BM62" i="11"/>
  <c r="BH107" i="11"/>
  <c r="BE269" i="11"/>
  <c r="BE271" i="11"/>
  <c r="BE274" i="11"/>
  <c r="BE275" i="11"/>
  <c r="BE279" i="11"/>
  <c r="BE280" i="11"/>
  <c r="BE282" i="11"/>
  <c r="BN335" i="11"/>
  <c r="BM335" i="11"/>
  <c r="BR335" i="11"/>
  <c r="BZ335" i="11"/>
  <c r="BG257" i="11"/>
  <c r="BG258" i="11"/>
  <c r="BG259" i="11"/>
  <c r="BG260" i="11"/>
  <c r="BG261" i="11"/>
  <c r="BG264" i="11"/>
  <c r="BG265" i="11"/>
  <c r="BH166" i="11"/>
  <c r="BH172" i="11"/>
  <c r="BH178" i="11"/>
  <c r="BH179" i="11"/>
  <c r="BH180" i="11"/>
  <c r="BH187" i="11"/>
  <c r="CN86" i="11"/>
  <c r="CN87" i="11"/>
  <c r="CN88" i="11"/>
  <c r="CN89" i="11"/>
  <c r="CN91" i="11"/>
  <c r="CN92" i="11"/>
  <c r="CN93" i="11"/>
  <c r="CN94" i="11"/>
  <c r="CN96" i="11"/>
  <c r="CN97" i="11"/>
  <c r="BG253" i="11"/>
  <c r="BG254" i="11"/>
  <c r="BG255" i="11"/>
  <c r="H335" i="11"/>
  <c r="I329" i="11"/>
  <c r="I330" i="11"/>
  <c r="I331" i="11"/>
  <c r="I332" i="11"/>
  <c r="I335" i="11"/>
  <c r="J329" i="11"/>
  <c r="J330" i="11"/>
  <c r="J331" i="11"/>
  <c r="J332" i="11"/>
  <c r="BY332" i="11"/>
  <c r="BV332" i="11"/>
  <c r="AX331" i="11"/>
  <c r="AY329" i="11"/>
  <c r="AY332" i="11"/>
  <c r="AY335" i="11"/>
  <c r="AZ330" i="11"/>
  <c r="AO331" i="11"/>
  <c r="AR329" i="11"/>
  <c r="AR332" i="11"/>
  <c r="AR335" i="11"/>
  <c r="AW330" i="11"/>
  <c r="G332" i="11"/>
  <c r="CG330" i="11"/>
  <c r="BG335" i="11"/>
  <c r="BG332" i="11"/>
  <c r="BG329" i="11"/>
  <c r="BH331" i="11"/>
  <c r="BF330" i="11"/>
  <c r="CF335" i="11"/>
  <c r="BY335" i="11"/>
  <c r="BV335" i="11"/>
  <c r="CP335" i="11"/>
  <c r="CM332" i="11"/>
  <c r="CP330" i="11"/>
  <c r="CM329" i="11"/>
  <c r="CE332" i="11"/>
  <c r="G329" i="11"/>
  <c r="G330" i="11"/>
  <c r="G331" i="11"/>
  <c r="AJ79" i="11"/>
  <c r="AJ87" i="11"/>
  <c r="AJ199" i="11"/>
  <c r="AJ247" i="11"/>
  <c r="AJ255" i="11"/>
  <c r="AJ271" i="11"/>
  <c r="AJ279" i="11"/>
  <c r="AJ40" i="11"/>
  <c r="AJ48" i="11"/>
  <c r="AJ56" i="11"/>
  <c r="AJ64" i="11"/>
  <c r="AJ62" i="11"/>
  <c r="AJ70" i="11"/>
  <c r="AJ78" i="11"/>
  <c r="AJ86" i="11"/>
  <c r="AJ94" i="11"/>
  <c r="AJ158" i="11"/>
  <c r="AJ166" i="11"/>
  <c r="AJ254" i="11"/>
  <c r="AJ39" i="11"/>
  <c r="AJ47" i="11"/>
  <c r="AJ63" i="11"/>
  <c r="AJ71" i="11"/>
  <c r="C3343" i="3"/>
  <c r="T260" i="11"/>
  <c r="T292" i="11"/>
  <c r="AS10" i="11"/>
  <c r="AS42" i="11"/>
  <c r="AS50" i="11"/>
  <c r="AS58" i="11"/>
  <c r="AS66" i="11"/>
  <c r="AS74" i="11"/>
  <c r="AS82" i="11"/>
  <c r="AS178" i="11"/>
  <c r="AS218" i="11"/>
  <c r="AS226" i="11"/>
  <c r="U172" i="11"/>
  <c r="V84" i="11"/>
  <c r="M1707" i="3"/>
  <c r="M1708" i="3" s="1"/>
  <c r="M1709" i="3" s="1"/>
  <c r="M1710" i="3" s="1"/>
  <c r="M1711" i="3" s="1"/>
  <c r="M1712" i="3" s="1"/>
  <c r="M1713" i="3" s="1"/>
  <c r="M1714" i="3" s="1"/>
  <c r="M1715" i="3" s="1"/>
  <c r="M1716" i="3" s="1"/>
  <c r="M1717" i="3" s="1"/>
  <c r="M1718" i="3" s="1"/>
  <c r="M1719" i="3" s="1"/>
  <c r="M1720" i="3" s="1"/>
  <c r="M1721" i="3" s="1"/>
  <c r="M1722" i="3" s="1"/>
  <c r="M1723" i="3" s="1"/>
  <c r="M1724" i="3" s="1"/>
  <c r="M1725" i="3" s="1"/>
  <c r="M1726" i="3" s="1"/>
  <c r="M1727" i="3" s="1"/>
  <c r="M1728" i="3" s="1"/>
  <c r="M1729" i="3" s="1"/>
  <c r="M1730" i="3" s="1"/>
  <c r="M1731" i="3" s="1"/>
  <c r="M1732" i="3" s="1"/>
  <c r="M1733" i="3" s="1"/>
  <c r="M1734" i="3" s="1"/>
  <c r="M1735" i="3" s="1"/>
  <c r="M1736" i="3" s="1"/>
  <c r="M1737" i="3" s="1"/>
  <c r="M1738" i="3" s="1"/>
  <c r="M1739" i="3" s="1"/>
  <c r="M1740" i="3" s="1"/>
  <c r="M1741" i="3" s="1"/>
  <c r="M1742" i="3" s="1"/>
  <c r="M1743" i="3" s="1"/>
  <c r="M1744" i="3" s="1"/>
  <c r="M1745" i="3" s="1"/>
  <c r="M1746" i="3" s="1"/>
  <c r="M1747" i="3" s="1"/>
  <c r="M1748" i="3" s="1"/>
  <c r="M1749" i="3" s="1"/>
  <c r="M1750" i="3" s="1"/>
  <c r="M1751" i="3" s="1"/>
  <c r="M1752" i="3" s="1"/>
  <c r="M1753" i="3" s="1"/>
  <c r="M1754" i="3" s="1"/>
  <c r="M1755" i="3" s="1"/>
  <c r="M1756" i="3" s="1"/>
  <c r="M1757" i="3" s="1"/>
  <c r="M1758" i="3" s="1"/>
  <c r="M1759" i="3" s="1"/>
  <c r="M1760" i="3" s="1"/>
  <c r="M1761" i="3" s="1"/>
  <c r="M1762" i="3" s="1"/>
  <c r="M1763" i="3" s="1"/>
  <c r="M1764" i="3" s="1"/>
  <c r="M1765" i="3" s="1"/>
  <c r="M1766" i="3" s="1"/>
  <c r="M1767" i="3" s="1"/>
  <c r="M1768" i="3" s="1"/>
  <c r="M1769" i="3" s="1"/>
  <c r="M1770" i="3" s="1"/>
  <c r="M1771" i="3" s="1"/>
  <c r="M1772" i="3" s="1"/>
  <c r="M1773" i="3" s="1"/>
  <c r="M1774" i="3" s="1"/>
  <c r="BC44" i="11"/>
  <c r="BC45" i="11"/>
  <c r="M271" i="11"/>
  <c r="L48" i="11"/>
  <c r="L255" i="11"/>
  <c r="L40" i="11"/>
  <c r="M279" i="11"/>
  <c r="M79" i="11"/>
  <c r="L79" i="11"/>
  <c r="L295" i="11"/>
  <c r="M295" i="11"/>
  <c r="M297" i="11"/>
  <c r="L297" i="11"/>
  <c r="V295" i="11"/>
  <c r="U295" i="11"/>
  <c r="AC295" i="11"/>
  <c r="AD295" i="11"/>
  <c r="AK295" i="11"/>
  <c r="AL295" i="11"/>
  <c r="V298" i="11"/>
  <c r="U298" i="11"/>
  <c r="M303" i="11"/>
  <c r="L303" i="11"/>
  <c r="M301" i="11"/>
  <c r="L301" i="11"/>
  <c r="L302" i="11"/>
  <c r="M302" i="11"/>
  <c r="AK301" i="11"/>
  <c r="AL301" i="11"/>
  <c r="AL302" i="11"/>
  <c r="AK302" i="11"/>
  <c r="AC301" i="11"/>
  <c r="AD301" i="11"/>
  <c r="AC302" i="11"/>
  <c r="AD302" i="11"/>
  <c r="L306" i="11"/>
  <c r="M306" i="11"/>
  <c r="AC303" i="11"/>
  <c r="AD303" i="11"/>
  <c r="V306" i="11"/>
  <c r="U306" i="11"/>
  <c r="M308" i="11"/>
  <c r="L308" i="11"/>
  <c r="AD306" i="11"/>
  <c r="AC306" i="11"/>
  <c r="V308" i="11"/>
  <c r="U308" i="11"/>
  <c r="L307" i="11"/>
  <c r="M307" i="11"/>
  <c r="V307" i="11"/>
  <c r="U307" i="11"/>
  <c r="AD307" i="11"/>
  <c r="AC307" i="11"/>
  <c r="AL307" i="11"/>
  <c r="AK307" i="11"/>
  <c r="AC308" i="11"/>
  <c r="AD308" i="11"/>
  <c r="AK308" i="11"/>
  <c r="AL308" i="11"/>
  <c r="AC309" i="11"/>
  <c r="AD309" i="11"/>
  <c r="M309" i="11"/>
  <c r="L309" i="11"/>
  <c r="AL309" i="11"/>
  <c r="AK309" i="11"/>
  <c r="U309" i="11"/>
  <c r="V309" i="11"/>
  <c r="L312" i="11"/>
  <c r="M312" i="11"/>
  <c r="AC311" i="11"/>
  <c r="AD311" i="11"/>
  <c r="AL311" i="11"/>
  <c r="AK311" i="11"/>
  <c r="U311" i="11"/>
  <c r="V311" i="11"/>
  <c r="M311" i="11"/>
  <c r="L311" i="11"/>
  <c r="AK312" i="11"/>
  <c r="AL312" i="11"/>
  <c r="AC312" i="11"/>
  <c r="AD312" i="11"/>
  <c r="V312" i="11"/>
  <c r="U312" i="11"/>
  <c r="U335" i="11"/>
  <c r="V335" i="11"/>
  <c r="CR335" i="11"/>
  <c r="CS335" i="11"/>
  <c r="AK335" i="11"/>
  <c r="AL335" i="11"/>
  <c r="BB335" i="11"/>
  <c r="BC335" i="11"/>
  <c r="BJ335" i="11"/>
  <c r="BK335" i="11"/>
  <c r="AC335" i="11"/>
  <c r="AD335" i="11"/>
  <c r="AT335" i="11"/>
  <c r="AU335" i="11"/>
  <c r="CI335" i="11"/>
  <c r="CJ335" i="11"/>
  <c r="L335" i="11"/>
  <c r="M335" i="11"/>
  <c r="C3675" i="3"/>
  <c r="BB327" i="11"/>
  <c r="BC327" i="11"/>
  <c r="AT327" i="11"/>
  <c r="AU327" i="11"/>
  <c r="AD327" i="11"/>
  <c r="AC327" i="11"/>
  <c r="U327" i="11"/>
  <c r="V327" i="11"/>
  <c r="AK327" i="11"/>
  <c r="AL327" i="11"/>
  <c r="L327" i="11"/>
  <c r="M327" i="11"/>
  <c r="BJ327" i="11"/>
  <c r="BK327" i="11"/>
  <c r="BS327" i="11"/>
  <c r="BT327" i="11"/>
  <c r="L318" i="11"/>
  <c r="M318" i="11"/>
  <c r="AC317" i="11"/>
  <c r="AD317" i="11"/>
  <c r="M317" i="11"/>
  <c r="L317" i="11"/>
  <c r="AD318" i="11"/>
  <c r="AC318" i="11"/>
  <c r="U317" i="11"/>
  <c r="V317" i="11"/>
  <c r="BC317" i="11"/>
  <c r="BB317" i="11"/>
  <c r="AK318" i="11"/>
  <c r="AL318" i="11"/>
  <c r="U318" i="11"/>
  <c r="V318" i="11"/>
  <c r="BB318" i="11"/>
  <c r="BC318" i="11"/>
  <c r="AL317" i="11"/>
  <c r="AK317" i="11"/>
  <c r="AD319" i="11"/>
  <c r="AC319" i="11"/>
  <c r="L319" i="11"/>
  <c r="M319" i="11"/>
  <c r="AL319" i="11"/>
  <c r="AK319" i="11"/>
  <c r="V319" i="11"/>
  <c r="U319" i="11"/>
  <c r="BC319" i="11"/>
  <c r="BB319" i="11"/>
  <c r="AD321" i="11"/>
  <c r="AC321" i="11"/>
  <c r="AC322" i="11"/>
  <c r="AD322" i="11"/>
  <c r="L322" i="11"/>
  <c r="M322" i="11"/>
  <c r="AL322" i="11"/>
  <c r="AK322" i="11"/>
  <c r="L321" i="11"/>
  <c r="M321" i="11"/>
  <c r="AK321" i="11"/>
  <c r="AL321" i="11"/>
  <c r="U322" i="11"/>
  <c r="V322" i="11"/>
  <c r="BB322" i="11"/>
  <c r="BC322" i="11"/>
  <c r="V321" i="11"/>
  <c r="U321" i="11"/>
  <c r="BB321" i="11"/>
  <c r="BC321" i="11"/>
  <c r="M323" i="11"/>
  <c r="L323" i="11"/>
  <c r="AL323" i="11"/>
  <c r="AK323" i="11"/>
  <c r="AD323" i="11"/>
  <c r="AC323" i="11"/>
  <c r="BB323" i="11"/>
  <c r="BC323" i="11"/>
  <c r="U323" i="11"/>
  <c r="V323" i="11"/>
  <c r="C377" i="31"/>
  <c r="C378" i="31" s="1"/>
  <c r="C379" i="31" s="1"/>
  <c r="C380" i="31" s="1"/>
  <c r="C382" i="31" s="1"/>
  <c r="C383" i="31" s="1"/>
  <c r="C384" i="31" s="1"/>
  <c r="CA318" i="11"/>
  <c r="CB318" i="11"/>
  <c r="CS317" i="11"/>
  <c r="CR317" i="11"/>
  <c r="BT317" i="11"/>
  <c r="BS317" i="11"/>
  <c r="CR318" i="11"/>
  <c r="CS318" i="11"/>
  <c r="BS318" i="11"/>
  <c r="BT318" i="11"/>
  <c r="CI317" i="11"/>
  <c r="CJ317" i="11"/>
  <c r="BJ317" i="11"/>
  <c r="BK317" i="11"/>
  <c r="CJ318" i="11"/>
  <c r="CI318" i="11"/>
  <c r="BK318" i="11"/>
  <c r="BJ318" i="11"/>
  <c r="CA317" i="11"/>
  <c r="CB317" i="11"/>
  <c r="C306" i="31"/>
  <c r="CC5" i="11"/>
  <c r="BU5" i="11"/>
  <c r="N8" i="4"/>
  <c r="Q4" i="11" s="1"/>
  <c r="M75" i="11" l="1"/>
  <c r="L42" i="11"/>
  <c r="AD251" i="11"/>
  <c r="M70" i="11"/>
  <c r="M219" i="11"/>
  <c r="U70" i="11"/>
  <c r="M137" i="11"/>
  <c r="M247" i="11"/>
  <c r="L160" i="11"/>
  <c r="L50" i="11"/>
  <c r="V56" i="11"/>
  <c r="M38" i="11"/>
  <c r="L264" i="11"/>
  <c r="L73" i="11"/>
  <c r="M91" i="11"/>
  <c r="L258" i="11"/>
  <c r="M77" i="11"/>
  <c r="M49" i="11"/>
  <c r="M290" i="11"/>
  <c r="M180" i="11"/>
  <c r="AC72" i="11"/>
  <c r="AC279" i="11"/>
  <c r="M166" i="11"/>
  <c r="L10" i="11"/>
  <c r="L178" i="11"/>
  <c r="M140" i="11"/>
  <c r="M64" i="11"/>
  <c r="M199" i="11"/>
  <c r="M88" i="11"/>
  <c r="L72" i="11"/>
  <c r="M217" i="11"/>
  <c r="L257" i="11"/>
  <c r="L43" i="11"/>
  <c r="L267" i="11"/>
  <c r="L36" i="11"/>
  <c r="AD101" i="11"/>
  <c r="U166" i="11"/>
  <c r="M87" i="11"/>
  <c r="L56" i="11"/>
  <c r="M39" i="11"/>
  <c r="M80" i="11"/>
  <c r="M35" i="11"/>
  <c r="AU76" i="11"/>
  <c r="M86" i="11"/>
  <c r="L89" i="11"/>
  <c r="L66" i="11"/>
  <c r="AD259" i="11"/>
  <c r="L136" i="11"/>
  <c r="L47" i="11"/>
  <c r="M97" i="11"/>
  <c r="L67" i="11"/>
  <c r="L37" i="11"/>
  <c r="L76" i="11"/>
  <c r="L260" i="11"/>
  <c r="M53" i="11"/>
  <c r="L101" i="11"/>
  <c r="AC166" i="11"/>
  <c r="AC56" i="11"/>
  <c r="AU220" i="11"/>
  <c r="AC269" i="11"/>
  <c r="AC96" i="11"/>
  <c r="U71" i="11"/>
  <c r="V275" i="11"/>
  <c r="M148" i="11"/>
  <c r="L61" i="11"/>
  <c r="AC64" i="11"/>
  <c r="M78" i="11"/>
  <c r="L274" i="11"/>
  <c r="M218" i="11"/>
  <c r="AC78" i="11"/>
  <c r="L94" i="11"/>
  <c r="L63" i="11"/>
  <c r="L57" i="11"/>
  <c r="M51" i="11"/>
  <c r="L251" i="11"/>
  <c r="AD63" i="11"/>
  <c r="AC70" i="11"/>
  <c r="M254" i="11"/>
  <c r="L280" i="11"/>
  <c r="L225" i="11"/>
  <c r="L41" i="11"/>
  <c r="L107" i="11"/>
  <c r="L252" i="11"/>
  <c r="L179" i="11"/>
  <c r="M259" i="11"/>
  <c r="M269" i="11"/>
  <c r="AU92" i="11"/>
  <c r="AC265" i="11"/>
  <c r="AC43" i="11"/>
  <c r="L292" i="11"/>
  <c r="L253" i="11"/>
  <c r="AD247" i="11"/>
  <c r="AD80" i="11"/>
  <c r="AC40" i="11"/>
  <c r="AC226" i="11"/>
  <c r="M220" i="11"/>
  <c r="V66" i="11"/>
  <c r="AT140" i="11"/>
  <c r="AD261" i="11"/>
  <c r="AD10" i="11"/>
  <c r="M69" i="11"/>
  <c r="AU44" i="11"/>
  <c r="AT180" i="11"/>
  <c r="AD86" i="11"/>
  <c r="U93" i="11"/>
  <c r="V219" i="11"/>
  <c r="U75" i="11"/>
  <c r="U187" i="11"/>
  <c r="M240" i="11"/>
  <c r="L83" i="11"/>
  <c r="M82" i="11"/>
  <c r="M68" i="11"/>
  <c r="L60" i="11"/>
  <c r="AD71" i="11"/>
  <c r="AD107" i="11"/>
  <c r="V87" i="11"/>
  <c r="AC62" i="11"/>
  <c r="AC199" i="11"/>
  <c r="AC218" i="11"/>
  <c r="AC163" i="11"/>
  <c r="V58" i="11"/>
  <c r="U42" i="11"/>
  <c r="AD258" i="11"/>
  <c r="U39" i="11"/>
  <c r="V50" i="11"/>
  <c r="V290" i="11"/>
  <c r="DC64" i="11"/>
  <c r="AT77" i="11"/>
  <c r="V180" i="11"/>
  <c r="AU87" i="11"/>
  <c r="AU57" i="11"/>
  <c r="AD136" i="11"/>
  <c r="AD217" i="11"/>
  <c r="AD83" i="11"/>
  <c r="V255" i="11"/>
  <c r="AU160" i="11"/>
  <c r="AL37" i="11"/>
  <c r="C3344" i="3"/>
  <c r="C3633" i="3"/>
  <c r="V85" i="11"/>
  <c r="V279" i="11"/>
  <c r="U89" i="11"/>
  <c r="AL260" i="11"/>
  <c r="AT225" i="11"/>
  <c r="AU45" i="11"/>
  <c r="AU47" i="11"/>
  <c r="AC47" i="11"/>
  <c r="AD137" i="11"/>
  <c r="AC257" i="11"/>
  <c r="AC42" i="11"/>
  <c r="AC59" i="11"/>
  <c r="AC274" i="11"/>
  <c r="AD267" i="11"/>
  <c r="U101" i="11"/>
  <c r="V96" i="11"/>
  <c r="V199" i="11"/>
  <c r="V47" i="11"/>
  <c r="U97" i="11"/>
  <c r="U82" i="11"/>
  <c r="V35" i="11"/>
  <c r="V269" i="11"/>
  <c r="V45" i="11"/>
  <c r="U225" i="11"/>
  <c r="U274" i="11"/>
  <c r="V91" i="11"/>
  <c r="U10" i="11"/>
  <c r="V282" i="11"/>
  <c r="AT73" i="11"/>
  <c r="AU251" i="11"/>
  <c r="AU259" i="11"/>
  <c r="V220" i="11"/>
  <c r="AU56" i="11"/>
  <c r="AT62" i="11"/>
  <c r="AT65" i="11"/>
  <c r="AU252" i="11"/>
  <c r="AU35" i="11"/>
  <c r="AK292" i="11"/>
  <c r="AT254" i="11"/>
  <c r="AK77" i="11"/>
  <c r="L14" i="11"/>
  <c r="M65" i="11"/>
  <c r="M59" i="11"/>
  <c r="M163" i="11"/>
  <c r="M92" i="11"/>
  <c r="AD38" i="11"/>
  <c r="AD48" i="11"/>
  <c r="AC271" i="11"/>
  <c r="AC88" i="11"/>
  <c r="AC35" i="11"/>
  <c r="V261" i="11"/>
  <c r="U64" i="11"/>
  <c r="V160" i="11"/>
  <c r="U41" i="11"/>
  <c r="V217" i="11"/>
  <c r="V218" i="11"/>
  <c r="V267" i="11"/>
  <c r="M71" i="11"/>
  <c r="L128" i="11"/>
  <c r="L62" i="11"/>
  <c r="M158" i="11"/>
  <c r="L241" i="11"/>
  <c r="M282" i="11"/>
  <c r="L226" i="11"/>
  <c r="L172" i="11"/>
  <c r="M187" i="11"/>
  <c r="M291" i="11"/>
  <c r="M45" i="11"/>
  <c r="M261" i="11"/>
  <c r="AT253" i="11"/>
  <c r="AU36" i="11"/>
  <c r="AD87" i="11"/>
  <c r="AD39" i="11"/>
  <c r="AC241" i="11"/>
  <c r="AD97" i="11"/>
  <c r="AD51" i="11"/>
  <c r="AD187" i="11"/>
  <c r="V37" i="11"/>
  <c r="V88" i="11"/>
  <c r="V81" i="11"/>
  <c r="V65" i="11"/>
  <c r="U257" i="11"/>
  <c r="U163" i="11"/>
  <c r="U60" i="11"/>
  <c r="AU187" i="11"/>
  <c r="AT163" i="11"/>
  <c r="AU67" i="11"/>
  <c r="AT72" i="11"/>
  <c r="AU38" i="11"/>
  <c r="AT257" i="11"/>
  <c r="AU282" i="11"/>
  <c r="AU292" i="11"/>
  <c r="AK172" i="11"/>
  <c r="AT83" i="11"/>
  <c r="AT43" i="11"/>
  <c r="AT101" i="11"/>
  <c r="AU48" i="11"/>
  <c r="AT86" i="11"/>
  <c r="AU264" i="11"/>
  <c r="AT291" i="11"/>
  <c r="AK92" i="11"/>
  <c r="AL84" i="11"/>
  <c r="AK84" i="11"/>
  <c r="AT274" i="11"/>
  <c r="AU274" i="11"/>
  <c r="AT64" i="11"/>
  <c r="AU64" i="11"/>
  <c r="V78" i="11"/>
  <c r="U78" i="11"/>
  <c r="AC275" i="11"/>
  <c r="AD275" i="11"/>
  <c r="AD91" i="11"/>
  <c r="AC91" i="11"/>
  <c r="M96" i="11"/>
  <c r="M265" i="11"/>
  <c r="L81" i="11"/>
  <c r="L74" i="11"/>
  <c r="L58" i="11"/>
  <c r="L44" i="11"/>
  <c r="M275" i="11"/>
  <c r="L84" i="11"/>
  <c r="L85" i="11"/>
  <c r="L93" i="11"/>
  <c r="AT84" i="11"/>
  <c r="AT68" i="11"/>
  <c r="AT172" i="11"/>
  <c r="AD255" i="11"/>
  <c r="AC158" i="11"/>
  <c r="AD94" i="11"/>
  <c r="AD14" i="11"/>
  <c r="AD89" i="11"/>
  <c r="AD128" i="11"/>
  <c r="AC75" i="11"/>
  <c r="AC58" i="11"/>
  <c r="AC290" i="11"/>
  <c r="AD178" i="11"/>
  <c r="AC291" i="11"/>
  <c r="U86" i="11"/>
  <c r="V38" i="11"/>
  <c r="U61" i="11"/>
  <c r="U158" i="11"/>
  <c r="U240" i="11"/>
  <c r="V74" i="11"/>
  <c r="U258" i="11"/>
  <c r="V83" i="11"/>
  <c r="V51" i="11"/>
  <c r="V259" i="11"/>
  <c r="AU93" i="11"/>
  <c r="AU63" i="11"/>
  <c r="AU166" i="11"/>
  <c r="AU128" i="11"/>
  <c r="AT81" i="11"/>
  <c r="AT217" i="11"/>
  <c r="AU241" i="11"/>
  <c r="AT258" i="11"/>
  <c r="AL69" i="11"/>
  <c r="AK269" i="11"/>
  <c r="AL252" i="11"/>
  <c r="AK101" i="11"/>
  <c r="AL101" i="11"/>
  <c r="AT37" i="11"/>
  <c r="AU37" i="11"/>
  <c r="V76" i="11"/>
  <c r="U76" i="11"/>
  <c r="V48" i="11"/>
  <c r="U48" i="11"/>
  <c r="V94" i="11"/>
  <c r="U94" i="11"/>
  <c r="V247" i="11"/>
  <c r="U247" i="11"/>
  <c r="AU60" i="11"/>
  <c r="AT148" i="11"/>
  <c r="AC254" i="11"/>
  <c r="AD79" i="11"/>
  <c r="AD253" i="11"/>
  <c r="AC50" i="11"/>
  <c r="AC225" i="11"/>
  <c r="AD179" i="11"/>
  <c r="AD282" i="11"/>
  <c r="AC82" i="11"/>
  <c r="V77" i="11"/>
  <c r="U14" i="11"/>
  <c r="U271" i="11"/>
  <c r="V254" i="11"/>
  <c r="U73" i="11"/>
  <c r="V137" i="11"/>
  <c r="U43" i="11"/>
  <c r="V44" i="11"/>
  <c r="AT59" i="11"/>
  <c r="AU88" i="11"/>
  <c r="AT79" i="11"/>
  <c r="AT96" i="11"/>
  <c r="AU49" i="11"/>
  <c r="AU240" i="11"/>
  <c r="AU260" i="11"/>
  <c r="AL220" i="11"/>
  <c r="AL53" i="11"/>
  <c r="AC67" i="11"/>
  <c r="AD74" i="11"/>
  <c r="U53" i="11"/>
  <c r="U253" i="11"/>
  <c r="V80" i="11"/>
  <c r="U79" i="11"/>
  <c r="V63" i="11"/>
  <c r="V57" i="11"/>
  <c r="V241" i="11"/>
  <c r="V280" i="11"/>
  <c r="V136" i="11"/>
  <c r="U178" i="11"/>
  <c r="V67" i="11"/>
  <c r="U107" i="11"/>
  <c r="U291" i="11"/>
  <c r="V252" i="11"/>
  <c r="V140" i="11"/>
  <c r="AU61" i="11"/>
  <c r="AU69" i="11"/>
  <c r="AU107" i="11"/>
  <c r="AT40" i="11"/>
  <c r="AU78" i="11"/>
  <c r="AU158" i="11"/>
  <c r="AU70" i="11"/>
  <c r="AU97" i="11"/>
  <c r="AU137" i="11"/>
  <c r="AU275" i="11"/>
  <c r="AK261" i="11"/>
  <c r="AK148" i="11"/>
  <c r="AT269" i="11"/>
  <c r="AL38" i="11"/>
  <c r="U251" i="11"/>
  <c r="U36" i="11"/>
  <c r="AT85" i="11"/>
  <c r="AU91" i="11"/>
  <c r="AU75" i="11"/>
  <c r="AU71" i="11"/>
  <c r="AT271" i="11"/>
  <c r="V92" i="11"/>
  <c r="AU14" i="11"/>
  <c r="AU219" i="11"/>
  <c r="AT179" i="11"/>
  <c r="AT94" i="11"/>
  <c r="AK14" i="11"/>
  <c r="AT199" i="11"/>
  <c r="AT80" i="11"/>
  <c r="AT41" i="11"/>
  <c r="AK253" i="11"/>
  <c r="AU267" i="11"/>
  <c r="AL61" i="11"/>
  <c r="AK180" i="11"/>
  <c r="AT261" i="11"/>
  <c r="AL93" i="11"/>
  <c r="AU279" i="11"/>
  <c r="AT255" i="11"/>
  <c r="AU247" i="11"/>
  <c r="AC66" i="11"/>
  <c r="AC219" i="11"/>
  <c r="U62" i="11"/>
  <c r="V69" i="11"/>
  <c r="U72" i="11"/>
  <c r="U40" i="11"/>
  <c r="U265" i="11"/>
  <c r="U264" i="11"/>
  <c r="V128" i="11"/>
  <c r="V49" i="11"/>
  <c r="V226" i="11"/>
  <c r="U59" i="11"/>
  <c r="U179" i="11"/>
  <c r="V148" i="11"/>
  <c r="V68" i="11"/>
  <c r="AU53" i="11"/>
  <c r="AT51" i="11"/>
  <c r="AT39" i="11"/>
  <c r="AU136" i="11"/>
  <c r="AU89" i="11"/>
  <c r="AU280" i="11"/>
  <c r="AT265" i="11"/>
  <c r="AT290" i="11"/>
  <c r="AL85" i="11"/>
  <c r="AK140" i="11"/>
  <c r="AL45" i="11"/>
  <c r="DC94" i="11"/>
  <c r="DC70" i="11"/>
  <c r="DC71" i="11"/>
  <c r="DC158" i="11"/>
  <c r="DC78" i="11"/>
  <c r="DC86" i="11"/>
  <c r="DC62" i="11"/>
  <c r="CB48" i="11"/>
  <c r="CA48" i="11"/>
  <c r="CA240" i="11"/>
  <c r="CB240" i="11"/>
  <c r="CA137" i="11"/>
  <c r="CB137" i="11"/>
  <c r="CA290" i="11"/>
  <c r="CB290" i="11"/>
  <c r="CB251" i="11"/>
  <c r="CA251" i="11"/>
  <c r="CB148" i="11"/>
  <c r="CA148" i="11"/>
  <c r="CA257" i="11"/>
  <c r="CB257" i="11"/>
  <c r="CA51" i="11"/>
  <c r="CB51" i="11"/>
  <c r="CA140" i="11"/>
  <c r="CB140" i="11"/>
  <c r="CB62" i="11"/>
  <c r="CA62" i="11"/>
  <c r="CA56" i="11"/>
  <c r="CB56" i="11"/>
  <c r="CB265" i="11"/>
  <c r="CA265" i="11"/>
  <c r="CA59" i="11"/>
  <c r="CB59" i="11"/>
  <c r="CA45" i="11"/>
  <c r="CB45" i="11"/>
  <c r="CA218" i="11"/>
  <c r="CB218" i="11"/>
  <c r="CB179" i="11"/>
  <c r="CA179" i="11"/>
  <c r="CA37" i="11"/>
  <c r="CB37" i="11"/>
  <c r="CA254" i="11"/>
  <c r="CB254" i="11"/>
  <c r="CA73" i="11"/>
  <c r="CB73" i="11"/>
  <c r="CA226" i="11"/>
  <c r="CB226" i="11"/>
  <c r="CA187" i="11"/>
  <c r="CB187" i="11"/>
  <c r="CB84" i="11"/>
  <c r="CA84" i="11"/>
  <c r="CA65" i="11"/>
  <c r="CB65" i="11"/>
  <c r="CA282" i="11"/>
  <c r="CB282" i="11"/>
  <c r="CB76" i="11"/>
  <c r="CA76" i="11"/>
  <c r="CA101" i="11"/>
  <c r="CB101" i="11"/>
  <c r="CA47" i="11"/>
  <c r="CB47" i="11"/>
  <c r="BT78" i="11"/>
  <c r="BS78" i="11"/>
  <c r="BS253" i="11"/>
  <c r="BT253" i="11"/>
  <c r="BT85" i="11"/>
  <c r="BS85" i="11"/>
  <c r="BT279" i="11"/>
  <c r="BS279" i="11"/>
  <c r="BS247" i="11"/>
  <c r="BT247" i="11"/>
  <c r="BS79" i="11"/>
  <c r="BT79" i="11"/>
  <c r="BT254" i="11"/>
  <c r="BS254" i="11"/>
  <c r="BT94" i="11"/>
  <c r="BS94" i="11"/>
  <c r="BT70" i="11"/>
  <c r="BS70" i="11"/>
  <c r="BS269" i="11"/>
  <c r="BT269" i="11"/>
  <c r="BT101" i="11"/>
  <c r="BS101" i="11"/>
  <c r="BT77" i="11"/>
  <c r="BS77" i="11"/>
  <c r="BT271" i="11"/>
  <c r="BS271" i="11"/>
  <c r="BS199" i="11"/>
  <c r="BT199" i="11"/>
  <c r="BT71" i="11"/>
  <c r="BS71" i="11"/>
  <c r="BT166" i="11"/>
  <c r="BS166" i="11"/>
  <c r="BS86" i="11"/>
  <c r="BT86" i="11"/>
  <c r="BT62" i="11"/>
  <c r="BS62" i="11"/>
  <c r="BS261" i="11"/>
  <c r="BT261" i="11"/>
  <c r="BT93" i="11"/>
  <c r="BS93" i="11"/>
  <c r="CA70" i="11"/>
  <c r="CB70" i="11"/>
  <c r="BT255" i="11"/>
  <c r="BS255" i="11"/>
  <c r="BT87" i="11"/>
  <c r="BS87" i="11"/>
  <c r="BT63" i="11"/>
  <c r="BS63" i="11"/>
  <c r="BS158" i="11"/>
  <c r="BT158" i="11"/>
  <c r="BT275" i="11"/>
  <c r="BS275" i="11"/>
  <c r="BT251" i="11"/>
  <c r="BS251" i="11"/>
  <c r="BT179" i="11"/>
  <c r="BS179" i="11"/>
  <c r="BT91" i="11"/>
  <c r="BS91" i="11"/>
  <c r="BS61" i="11"/>
  <c r="BT61" i="11"/>
  <c r="BT220" i="11"/>
  <c r="BS220" i="11"/>
  <c r="BT148" i="11"/>
  <c r="BS148" i="11"/>
  <c r="BS84" i="11"/>
  <c r="BT84" i="11"/>
  <c r="BT60" i="11"/>
  <c r="BS60" i="11"/>
  <c r="BS267" i="11"/>
  <c r="BT267" i="11"/>
  <c r="BS219" i="11"/>
  <c r="BT219" i="11"/>
  <c r="BT163" i="11"/>
  <c r="BS163" i="11"/>
  <c r="BS83" i="11"/>
  <c r="BT83" i="11"/>
  <c r="BS260" i="11"/>
  <c r="BT260" i="11"/>
  <c r="BS180" i="11"/>
  <c r="BT180" i="11"/>
  <c r="BT140" i="11"/>
  <c r="BS140" i="11"/>
  <c r="BT76" i="11"/>
  <c r="BS76" i="11"/>
  <c r="BT291" i="11"/>
  <c r="BS291" i="11"/>
  <c r="BS259" i="11"/>
  <c r="BT259" i="11"/>
  <c r="BT187" i="11"/>
  <c r="BS187" i="11"/>
  <c r="BT107" i="11"/>
  <c r="BS107" i="11"/>
  <c r="BT69" i="11"/>
  <c r="BS69" i="11"/>
  <c r="BT252" i="11"/>
  <c r="BS252" i="11"/>
  <c r="BS172" i="11"/>
  <c r="BT172" i="11"/>
  <c r="BS92" i="11"/>
  <c r="BT92" i="11"/>
  <c r="BT68" i="11"/>
  <c r="BS68" i="11"/>
  <c r="BS59" i="11"/>
  <c r="BT59" i="11"/>
  <c r="BS274" i="11"/>
  <c r="BT274" i="11"/>
  <c r="BT178" i="11"/>
  <c r="BS178" i="11"/>
  <c r="BT75" i="11"/>
  <c r="BS75" i="11"/>
  <c r="BS290" i="11"/>
  <c r="BT290" i="11"/>
  <c r="BT258" i="11"/>
  <c r="BS258" i="11"/>
  <c r="BS226" i="11"/>
  <c r="BT226" i="11"/>
  <c r="BS82" i="11"/>
  <c r="BT82" i="11"/>
  <c r="BS67" i="11"/>
  <c r="BT67" i="11"/>
  <c r="BT282" i="11"/>
  <c r="BS282" i="11"/>
  <c r="BS218" i="11"/>
  <c r="BT218" i="11"/>
  <c r="DC199" i="11"/>
  <c r="DC79" i="11"/>
  <c r="DC56" i="11"/>
  <c r="BT56" i="11"/>
  <c r="BS56" i="11"/>
  <c r="CA128" i="11"/>
  <c r="CB128" i="11"/>
  <c r="CA67" i="11"/>
  <c r="CB67" i="11"/>
  <c r="CA220" i="11"/>
  <c r="CB220" i="11"/>
  <c r="CA247" i="11"/>
  <c r="CB247" i="11"/>
  <c r="CB81" i="11"/>
  <c r="CA81" i="11"/>
  <c r="CB259" i="11"/>
  <c r="CA259" i="11"/>
  <c r="CB53" i="11"/>
  <c r="CA53" i="11"/>
  <c r="BT64" i="11"/>
  <c r="BS64" i="11"/>
  <c r="CB64" i="11"/>
  <c r="CA64" i="11"/>
  <c r="CB42" i="11"/>
  <c r="CA42" i="11"/>
  <c r="CB92" i="11"/>
  <c r="CA92" i="11"/>
  <c r="CA14" i="11"/>
  <c r="CB14" i="11"/>
  <c r="CB292" i="11"/>
  <c r="CA292" i="11"/>
  <c r="CA86" i="11"/>
  <c r="CB86" i="11"/>
  <c r="CB80" i="11"/>
  <c r="CA80" i="11"/>
  <c r="CA225" i="11"/>
  <c r="CB225" i="11"/>
  <c r="CB63" i="11"/>
  <c r="CA63" i="11"/>
  <c r="CA136" i="11"/>
  <c r="CB136" i="11"/>
  <c r="CB217" i="11"/>
  <c r="CA217" i="11"/>
  <c r="CB267" i="11"/>
  <c r="CA267" i="11"/>
  <c r="CA61" i="11"/>
  <c r="CB61" i="11"/>
  <c r="CB71" i="11"/>
  <c r="CA71" i="11"/>
  <c r="CA255" i="11"/>
  <c r="CB255" i="11"/>
  <c r="CA264" i="11"/>
  <c r="CB264" i="11"/>
  <c r="CA50" i="11"/>
  <c r="CB50" i="11"/>
  <c r="CB36" i="11"/>
  <c r="CA36" i="11"/>
  <c r="CA253" i="11"/>
  <c r="CB253" i="11"/>
  <c r="CB199" i="11"/>
  <c r="CA199" i="11"/>
  <c r="CA97" i="11"/>
  <c r="CB97" i="11"/>
  <c r="CA78" i="11"/>
  <c r="CB78" i="11"/>
  <c r="CB72" i="11"/>
  <c r="CA72" i="11"/>
  <c r="CB89" i="11"/>
  <c r="CA89" i="11"/>
  <c r="CA178" i="11"/>
  <c r="CB178" i="11"/>
  <c r="CA75" i="11"/>
  <c r="CB75" i="11"/>
  <c r="CA44" i="11"/>
  <c r="CB44" i="11"/>
  <c r="CA261" i="11"/>
  <c r="CB261" i="11"/>
  <c r="CS292" i="11"/>
  <c r="CR292" i="11"/>
  <c r="CB83" i="11"/>
  <c r="CA83" i="11"/>
  <c r="CA172" i="11"/>
  <c r="CB172" i="11"/>
  <c r="CB94" i="11"/>
  <c r="CA94" i="11"/>
  <c r="CS260" i="11"/>
  <c r="CR260" i="11"/>
  <c r="CA58" i="11"/>
  <c r="CB58" i="11"/>
  <c r="CB275" i="11"/>
  <c r="CA275" i="11"/>
  <c r="CB69" i="11"/>
  <c r="CA69" i="11"/>
  <c r="CA158" i="11"/>
  <c r="CB158" i="11"/>
  <c r="CS252" i="11"/>
  <c r="CR252" i="11"/>
  <c r="DC47" i="11"/>
  <c r="DC48" i="11"/>
  <c r="CR59" i="11"/>
  <c r="CS59" i="11"/>
  <c r="CR35" i="11"/>
  <c r="CS35" i="11"/>
  <c r="CS282" i="11"/>
  <c r="CR282" i="11"/>
  <c r="CS51" i="11"/>
  <c r="CR51" i="11"/>
  <c r="CS274" i="11"/>
  <c r="CR274" i="11"/>
  <c r="CS67" i="11"/>
  <c r="CR67" i="11"/>
  <c r="CS43" i="11"/>
  <c r="CR43" i="11"/>
  <c r="CS290" i="11"/>
  <c r="CR290" i="11"/>
  <c r="CR258" i="11"/>
  <c r="CS258" i="11"/>
  <c r="CS178" i="11"/>
  <c r="CR178" i="11"/>
  <c r="CS66" i="11"/>
  <c r="CR66" i="11"/>
  <c r="CS42" i="11"/>
  <c r="CR42" i="11"/>
  <c r="CR226" i="11"/>
  <c r="CS226" i="11"/>
  <c r="CS82" i="11"/>
  <c r="CR82" i="11"/>
  <c r="CR58" i="11"/>
  <c r="CS58" i="11"/>
  <c r="CS10" i="11"/>
  <c r="CR10" i="11"/>
  <c r="CR218" i="11"/>
  <c r="CS218" i="11"/>
  <c r="CR74" i="11"/>
  <c r="CS74" i="11"/>
  <c r="CS50" i="11"/>
  <c r="CR50" i="11"/>
  <c r="CS280" i="11"/>
  <c r="CR280" i="11"/>
  <c r="CS160" i="11"/>
  <c r="CR160" i="11"/>
  <c r="CS96" i="11"/>
  <c r="CR96" i="11"/>
  <c r="CS72" i="11"/>
  <c r="CR72" i="11"/>
  <c r="CS257" i="11"/>
  <c r="CR257" i="11"/>
  <c r="CS217" i="11"/>
  <c r="CR217" i="11"/>
  <c r="CS89" i="11"/>
  <c r="CR89" i="11"/>
  <c r="CR65" i="11"/>
  <c r="CS65" i="11"/>
  <c r="CS41" i="11"/>
  <c r="CR41" i="11"/>
  <c r="CR264" i="11"/>
  <c r="CS264" i="11"/>
  <c r="CS136" i="11"/>
  <c r="CR136" i="11"/>
  <c r="CR88" i="11"/>
  <c r="CS88" i="11"/>
  <c r="CS64" i="11"/>
  <c r="CR64" i="11"/>
  <c r="CR241" i="11"/>
  <c r="CS241" i="11"/>
  <c r="CS137" i="11"/>
  <c r="CR137" i="11"/>
  <c r="CS81" i="11"/>
  <c r="CR81" i="11"/>
  <c r="CS57" i="11"/>
  <c r="CR57" i="11"/>
  <c r="CS240" i="11"/>
  <c r="CR240" i="11"/>
  <c r="CR128" i="11"/>
  <c r="CS128" i="11"/>
  <c r="CS80" i="11"/>
  <c r="CR80" i="11"/>
  <c r="CS265" i="11"/>
  <c r="CR265" i="11"/>
  <c r="CS225" i="11"/>
  <c r="CR225" i="11"/>
  <c r="CS97" i="11"/>
  <c r="CR97" i="11"/>
  <c r="CS73" i="11"/>
  <c r="CR73" i="11"/>
  <c r="CS49" i="11"/>
  <c r="CR49" i="11"/>
  <c r="CS48" i="11"/>
  <c r="CR48" i="11"/>
  <c r="CR279" i="11"/>
  <c r="CS279" i="11"/>
  <c r="CR247" i="11"/>
  <c r="CS247" i="11"/>
  <c r="CS79" i="11"/>
  <c r="CR79" i="11"/>
  <c r="CS40" i="11"/>
  <c r="CR40" i="11"/>
  <c r="CS271" i="11"/>
  <c r="CR271" i="11"/>
  <c r="CR199" i="11"/>
  <c r="CS199" i="11"/>
  <c r="CS71" i="11"/>
  <c r="CR71" i="11"/>
  <c r="CS56" i="11"/>
  <c r="CR56" i="11"/>
  <c r="CS255" i="11"/>
  <c r="CR255" i="11"/>
  <c r="CS87" i="11"/>
  <c r="CR87" i="11"/>
  <c r="CR63" i="11"/>
  <c r="CS63" i="11"/>
  <c r="CS253" i="11"/>
  <c r="CR253" i="11"/>
  <c r="CS85" i="11"/>
  <c r="CR85" i="11"/>
  <c r="CR61" i="11"/>
  <c r="CS61" i="11"/>
  <c r="CS37" i="11"/>
  <c r="CR37" i="11"/>
  <c r="CS39" i="11"/>
  <c r="CR39" i="11"/>
  <c r="CS158" i="11"/>
  <c r="CR158" i="11"/>
  <c r="CS78" i="11"/>
  <c r="CR78" i="11"/>
  <c r="CR269" i="11"/>
  <c r="CS269" i="11"/>
  <c r="CR101" i="11"/>
  <c r="CS101" i="11"/>
  <c r="CS77" i="11"/>
  <c r="CR77" i="11"/>
  <c r="CR53" i="11"/>
  <c r="CS53" i="11"/>
  <c r="BK280" i="11"/>
  <c r="BJ280" i="11"/>
  <c r="CS254" i="11"/>
  <c r="CR254" i="11"/>
  <c r="CS94" i="11"/>
  <c r="CR94" i="11"/>
  <c r="CS70" i="11"/>
  <c r="CR70" i="11"/>
  <c r="CS38" i="11"/>
  <c r="CR38" i="11"/>
  <c r="CS261" i="11"/>
  <c r="CR261" i="11"/>
  <c r="CS93" i="11"/>
  <c r="CR93" i="11"/>
  <c r="CS69" i="11"/>
  <c r="CR69" i="11"/>
  <c r="CS45" i="11"/>
  <c r="CR45" i="11"/>
  <c r="CS47" i="11"/>
  <c r="CR47" i="11"/>
  <c r="CS166" i="11"/>
  <c r="CR166" i="11"/>
  <c r="CS86" i="11"/>
  <c r="CR86" i="11"/>
  <c r="CR62" i="11"/>
  <c r="CS62" i="11"/>
  <c r="CS14" i="11"/>
  <c r="CR14" i="11"/>
  <c r="BJ247" i="11"/>
  <c r="BK247" i="11"/>
  <c r="BK79" i="11"/>
  <c r="BJ79" i="11"/>
  <c r="BJ254" i="11"/>
  <c r="BK254" i="11"/>
  <c r="BK94" i="11"/>
  <c r="BJ94" i="11"/>
  <c r="BJ240" i="11"/>
  <c r="BK240" i="11"/>
  <c r="BJ128" i="11"/>
  <c r="BK128" i="11"/>
  <c r="BJ80" i="11"/>
  <c r="BK80" i="11"/>
  <c r="BJ56" i="11"/>
  <c r="BK56" i="11"/>
  <c r="BJ271" i="11"/>
  <c r="BK271" i="11"/>
  <c r="BJ199" i="11"/>
  <c r="BK199" i="11"/>
  <c r="BK71" i="11"/>
  <c r="BJ71" i="11"/>
  <c r="BJ166" i="11"/>
  <c r="BK166" i="11"/>
  <c r="BK86" i="11"/>
  <c r="BJ86" i="11"/>
  <c r="BJ160" i="11"/>
  <c r="BK160" i="11"/>
  <c r="BJ96" i="11"/>
  <c r="BK96" i="11"/>
  <c r="BJ72" i="11"/>
  <c r="BK72" i="11"/>
  <c r="BJ255" i="11"/>
  <c r="BK255" i="11"/>
  <c r="BK87" i="11"/>
  <c r="BJ87" i="11"/>
  <c r="BK63" i="11"/>
  <c r="BJ63" i="11"/>
  <c r="BJ158" i="11"/>
  <c r="BK158" i="11"/>
  <c r="BJ264" i="11"/>
  <c r="BK264" i="11"/>
  <c r="BJ136" i="11"/>
  <c r="BK136" i="11"/>
  <c r="BJ88" i="11"/>
  <c r="BK88" i="11"/>
  <c r="BK64" i="11"/>
  <c r="BJ64" i="11"/>
  <c r="BJ279" i="11"/>
  <c r="BK279" i="11"/>
  <c r="BJ220" i="11"/>
  <c r="BK220" i="11"/>
  <c r="BJ148" i="11"/>
  <c r="BK148" i="11"/>
  <c r="BJ84" i="11"/>
  <c r="BK84" i="11"/>
  <c r="BJ60" i="11"/>
  <c r="BK60" i="11"/>
  <c r="BK70" i="11"/>
  <c r="BJ70" i="11"/>
  <c r="BK269" i="11"/>
  <c r="BJ269" i="11"/>
  <c r="BJ101" i="11"/>
  <c r="BK101" i="11"/>
  <c r="BJ77" i="11"/>
  <c r="BK77" i="11"/>
  <c r="BJ260" i="11"/>
  <c r="BK260" i="11"/>
  <c r="BK180" i="11"/>
  <c r="BJ180" i="11"/>
  <c r="BK140" i="11"/>
  <c r="BJ140" i="11"/>
  <c r="BJ76" i="11"/>
  <c r="BK76" i="11"/>
  <c r="BJ291" i="11"/>
  <c r="BK291" i="11"/>
  <c r="BK62" i="11"/>
  <c r="BJ62" i="11"/>
  <c r="BJ261" i="11"/>
  <c r="BK261" i="11"/>
  <c r="BJ93" i="11"/>
  <c r="BK93" i="11"/>
  <c r="BK69" i="11"/>
  <c r="BJ69" i="11"/>
  <c r="BJ252" i="11"/>
  <c r="BK252" i="11"/>
  <c r="BJ172" i="11"/>
  <c r="BK172" i="11"/>
  <c r="BK92" i="11"/>
  <c r="BJ92" i="11"/>
  <c r="BJ68" i="11"/>
  <c r="BK68" i="11"/>
  <c r="BK78" i="11"/>
  <c r="BJ78" i="11"/>
  <c r="BJ253" i="11"/>
  <c r="BK253" i="11"/>
  <c r="BJ85" i="11"/>
  <c r="BK85" i="11"/>
  <c r="BK61" i="11"/>
  <c r="BJ61" i="11"/>
  <c r="DC87" i="11"/>
  <c r="BJ67" i="11"/>
  <c r="BK67" i="11"/>
  <c r="BJ282" i="11"/>
  <c r="BK282" i="11"/>
  <c r="BJ267" i="11"/>
  <c r="BK267" i="11"/>
  <c r="BK219" i="11"/>
  <c r="BJ219" i="11"/>
  <c r="BJ163" i="11"/>
  <c r="BK163" i="11"/>
  <c r="BJ83" i="11"/>
  <c r="BK83" i="11"/>
  <c r="BK59" i="11"/>
  <c r="BJ59" i="11"/>
  <c r="BJ274" i="11"/>
  <c r="BK274" i="11"/>
  <c r="BK259" i="11"/>
  <c r="BJ259" i="11"/>
  <c r="BJ187" i="11"/>
  <c r="BK187" i="11"/>
  <c r="BK107" i="11"/>
  <c r="BJ107" i="11"/>
  <c r="BJ75" i="11"/>
  <c r="BK75" i="11"/>
  <c r="BK290" i="11"/>
  <c r="BJ290" i="11"/>
  <c r="BJ258" i="11"/>
  <c r="BK258" i="11"/>
  <c r="BJ275" i="11"/>
  <c r="BK275" i="11"/>
  <c r="BJ251" i="11"/>
  <c r="BK251" i="11"/>
  <c r="BK179" i="11"/>
  <c r="BJ179" i="11"/>
  <c r="BJ91" i="11"/>
  <c r="BK91" i="11"/>
  <c r="BJ137" i="11"/>
  <c r="BK137" i="11"/>
  <c r="BK81" i="11"/>
  <c r="BJ81" i="11"/>
  <c r="BK57" i="11"/>
  <c r="BJ57" i="11"/>
  <c r="BJ218" i="11"/>
  <c r="BK218" i="11"/>
  <c r="BJ74" i="11"/>
  <c r="BK74" i="11"/>
  <c r="BK265" i="11"/>
  <c r="BJ265" i="11"/>
  <c r="BJ225" i="11"/>
  <c r="BK225" i="11"/>
  <c r="BJ97" i="11"/>
  <c r="BK97" i="11"/>
  <c r="BJ73" i="11"/>
  <c r="BK73" i="11"/>
  <c r="CA79" i="11"/>
  <c r="CB79" i="11"/>
  <c r="BK178" i="11"/>
  <c r="BJ178" i="11"/>
  <c r="BJ66" i="11"/>
  <c r="BK66" i="11"/>
  <c r="BK257" i="11"/>
  <c r="BJ257" i="11"/>
  <c r="BJ217" i="11"/>
  <c r="BK217" i="11"/>
  <c r="BJ89" i="11"/>
  <c r="BK89" i="11"/>
  <c r="BK65" i="11"/>
  <c r="BJ65" i="11"/>
  <c r="BJ226" i="11"/>
  <c r="BK226" i="11"/>
  <c r="BJ82" i="11"/>
  <c r="BK82" i="11"/>
  <c r="BK58" i="11"/>
  <c r="BJ58" i="11"/>
  <c r="BJ241" i="11"/>
  <c r="BK241" i="11"/>
  <c r="DC335" i="11"/>
  <c r="CI252" i="11"/>
  <c r="CJ252" i="11"/>
  <c r="CI172" i="11"/>
  <c r="CJ172" i="11"/>
  <c r="CI92" i="11"/>
  <c r="CJ92" i="11"/>
  <c r="CI68" i="11"/>
  <c r="CJ68" i="11"/>
  <c r="CJ220" i="11"/>
  <c r="CI220" i="11"/>
  <c r="CI148" i="11"/>
  <c r="CJ148" i="11"/>
  <c r="CJ84" i="11"/>
  <c r="CI84" i="11"/>
  <c r="CI60" i="11"/>
  <c r="CJ60" i="11"/>
  <c r="CI260" i="11"/>
  <c r="CJ260" i="11"/>
  <c r="CI180" i="11"/>
  <c r="CJ180" i="11"/>
  <c r="CJ140" i="11"/>
  <c r="CI140" i="11"/>
  <c r="CI76" i="11"/>
  <c r="CJ76" i="11"/>
  <c r="CI44" i="11"/>
  <c r="CJ44" i="11"/>
  <c r="CI67" i="11"/>
  <c r="CJ67" i="11"/>
  <c r="CI43" i="11"/>
  <c r="CJ43" i="11"/>
  <c r="CI274" i="11"/>
  <c r="CJ274" i="11"/>
  <c r="CI267" i="11"/>
  <c r="CJ267" i="11"/>
  <c r="CI219" i="11"/>
  <c r="CJ219" i="11"/>
  <c r="CI163" i="11"/>
  <c r="CJ163" i="11"/>
  <c r="CJ83" i="11"/>
  <c r="CI83" i="11"/>
  <c r="CJ59" i="11"/>
  <c r="CI59" i="11"/>
  <c r="CJ35" i="11"/>
  <c r="CI35" i="11"/>
  <c r="CJ290" i="11"/>
  <c r="CI290" i="11"/>
  <c r="CI258" i="11"/>
  <c r="CJ258" i="11"/>
  <c r="CI291" i="11"/>
  <c r="CJ291" i="11"/>
  <c r="CJ259" i="11"/>
  <c r="CI259" i="11"/>
  <c r="CI187" i="11"/>
  <c r="CJ187" i="11"/>
  <c r="CI107" i="11"/>
  <c r="CJ107" i="11"/>
  <c r="CJ75" i="11"/>
  <c r="CI75" i="11"/>
  <c r="CJ51" i="11"/>
  <c r="CI51" i="11"/>
  <c r="CI282" i="11"/>
  <c r="CJ282" i="11"/>
  <c r="CJ36" i="11"/>
  <c r="CI36" i="11"/>
  <c r="CJ275" i="11"/>
  <c r="CI275" i="11"/>
  <c r="CJ251" i="11"/>
  <c r="CI251" i="11"/>
  <c r="CJ179" i="11"/>
  <c r="CI179" i="11"/>
  <c r="CI91" i="11"/>
  <c r="CJ91" i="11"/>
  <c r="CJ48" i="11"/>
  <c r="CI48" i="11"/>
  <c r="CI279" i="11"/>
  <c r="CJ279" i="11"/>
  <c r="CI247" i="11"/>
  <c r="CJ247" i="11"/>
  <c r="CJ79" i="11"/>
  <c r="CI79" i="11"/>
  <c r="CI136" i="11"/>
  <c r="CJ136" i="11"/>
  <c r="CI88" i="11"/>
  <c r="CJ88" i="11"/>
  <c r="CJ64" i="11"/>
  <c r="CI64" i="11"/>
  <c r="CJ40" i="11"/>
  <c r="CI40" i="11"/>
  <c r="CI271" i="11"/>
  <c r="CJ271" i="11"/>
  <c r="CI199" i="11"/>
  <c r="CJ199" i="11"/>
  <c r="CJ71" i="11"/>
  <c r="CI71" i="11"/>
  <c r="CJ280" i="11"/>
  <c r="CI280" i="11"/>
  <c r="CI240" i="11"/>
  <c r="CJ240" i="11"/>
  <c r="CJ128" i="11"/>
  <c r="CI128" i="11"/>
  <c r="CJ80" i="11"/>
  <c r="CI80" i="11"/>
  <c r="CJ56" i="11"/>
  <c r="CI56" i="11"/>
  <c r="CI255" i="11"/>
  <c r="CJ255" i="11"/>
  <c r="CJ87" i="11"/>
  <c r="CI87" i="11"/>
  <c r="CJ41" i="11"/>
  <c r="CI41" i="11"/>
  <c r="CI264" i="11"/>
  <c r="CJ264" i="11"/>
  <c r="CI160" i="11"/>
  <c r="CJ160" i="11"/>
  <c r="CI96" i="11"/>
  <c r="CJ96" i="11"/>
  <c r="CJ72" i="11"/>
  <c r="CI72" i="11"/>
  <c r="CB279" i="11"/>
  <c r="CA279" i="11"/>
  <c r="CB49" i="11"/>
  <c r="CA49" i="11"/>
  <c r="CA74" i="11"/>
  <c r="CB74" i="11"/>
  <c r="CB291" i="11"/>
  <c r="CA291" i="11"/>
  <c r="CI47" i="11"/>
  <c r="CJ47" i="11"/>
  <c r="CJ166" i="11"/>
  <c r="CI166" i="11"/>
  <c r="CI86" i="11"/>
  <c r="CJ86" i="11"/>
  <c r="CI62" i="11"/>
  <c r="CJ62" i="11"/>
  <c r="CI14" i="11"/>
  <c r="CJ14" i="11"/>
  <c r="CA96" i="11"/>
  <c r="CB96" i="11"/>
  <c r="CA241" i="11"/>
  <c r="CB241" i="11"/>
  <c r="CA35" i="11"/>
  <c r="CB35" i="11"/>
  <c r="CB60" i="11"/>
  <c r="CA60" i="11"/>
  <c r="CI39" i="11"/>
  <c r="CJ39" i="11"/>
  <c r="CJ158" i="11"/>
  <c r="CI158" i="11"/>
  <c r="CJ78" i="11"/>
  <c r="CI78" i="11"/>
  <c r="CA87" i="11"/>
  <c r="CB87" i="11"/>
  <c r="CB160" i="11"/>
  <c r="CA160" i="11"/>
  <c r="CA10" i="11"/>
  <c r="CB10" i="11"/>
  <c r="CB163" i="11"/>
  <c r="CA163" i="11"/>
  <c r="CI63" i="11"/>
  <c r="CJ63" i="11"/>
  <c r="CI254" i="11"/>
  <c r="CJ254" i="11"/>
  <c r="CI94" i="11"/>
  <c r="CJ94" i="11"/>
  <c r="CI70" i="11"/>
  <c r="CJ70" i="11"/>
  <c r="CI38" i="11"/>
  <c r="CJ38" i="11"/>
  <c r="BK301" i="11"/>
  <c r="BJ301" i="11"/>
  <c r="BJ306" i="11"/>
  <c r="BK306" i="11"/>
  <c r="BJ309" i="11"/>
  <c r="BK309" i="11"/>
  <c r="CS301" i="11"/>
  <c r="CR301" i="11"/>
  <c r="CB85" i="11"/>
  <c r="CA85" i="11"/>
  <c r="CA57" i="11"/>
  <c r="CB57" i="11"/>
  <c r="CA43" i="11"/>
  <c r="CB43" i="11"/>
  <c r="CB260" i="11"/>
  <c r="CA260" i="11"/>
  <c r="BJ302" i="11"/>
  <c r="BK302" i="11"/>
  <c r="BJ307" i="11"/>
  <c r="BK307" i="11"/>
  <c r="CS297" i="11"/>
  <c r="CR297" i="11"/>
  <c r="CR302" i="11"/>
  <c r="CS302" i="11"/>
  <c r="CB82" i="11"/>
  <c r="CA82" i="11"/>
  <c r="CA107" i="11"/>
  <c r="CB107" i="11"/>
  <c r="CB93" i="11"/>
  <c r="CA93" i="11"/>
  <c r="BJ297" i="11"/>
  <c r="BK297" i="11"/>
  <c r="BJ303" i="11"/>
  <c r="BK303" i="11"/>
  <c r="BJ308" i="11"/>
  <c r="BK308" i="11"/>
  <c r="CS298" i="11"/>
  <c r="CR298" i="11"/>
  <c r="CR303" i="11"/>
  <c r="CS303" i="11"/>
  <c r="CA252" i="11"/>
  <c r="CB252" i="11"/>
  <c r="CB40" i="11"/>
  <c r="CA40" i="11"/>
  <c r="CA274" i="11"/>
  <c r="CB274" i="11"/>
  <c r="CB68" i="11"/>
  <c r="CA68" i="11"/>
  <c r="CA302" i="11"/>
  <c r="CB302" i="11"/>
  <c r="CB308" i="11"/>
  <c r="CA308" i="11"/>
  <c r="CI298" i="11"/>
  <c r="CJ298" i="11"/>
  <c r="CR307" i="11"/>
  <c r="CS307" i="11"/>
  <c r="BS301" i="11"/>
  <c r="BT301" i="11"/>
  <c r="BS307" i="11"/>
  <c r="BT307" i="11"/>
  <c r="CA303" i="11"/>
  <c r="CB303" i="11"/>
  <c r="CB309" i="11"/>
  <c r="CA309" i="11"/>
  <c r="CI301" i="11"/>
  <c r="CJ301" i="11"/>
  <c r="CR308" i="11"/>
  <c r="CS308" i="11"/>
  <c r="BS302" i="11"/>
  <c r="BT302" i="11"/>
  <c r="BT308" i="11"/>
  <c r="BS308" i="11"/>
  <c r="CB298" i="11"/>
  <c r="CA298" i="11"/>
  <c r="CA306" i="11"/>
  <c r="CB306" i="11"/>
  <c r="CB39" i="11"/>
  <c r="CA39" i="11"/>
  <c r="CI302" i="11"/>
  <c r="CJ302" i="11"/>
  <c r="CS309" i="11"/>
  <c r="CR309" i="11"/>
  <c r="BS303" i="11"/>
  <c r="BT303" i="11"/>
  <c r="BS309" i="11"/>
  <c r="BT309" i="11"/>
  <c r="CA301" i="11"/>
  <c r="CB301" i="11"/>
  <c r="CA307" i="11"/>
  <c r="CB307" i="11"/>
  <c r="CJ297" i="11"/>
  <c r="CI297" i="11"/>
  <c r="CS306" i="11"/>
  <c r="CR306" i="11"/>
  <c r="BT297" i="11"/>
  <c r="BS297" i="11"/>
  <c r="BT306" i="11"/>
  <c r="BS306" i="11"/>
  <c r="CA297" i="11"/>
  <c r="CB297" i="11"/>
  <c r="BJ10" i="11"/>
  <c r="BK10" i="11"/>
  <c r="BS53" i="11"/>
  <c r="BT53" i="11"/>
  <c r="BS49" i="11"/>
  <c r="BT49" i="11"/>
  <c r="BK47" i="11"/>
  <c r="BJ47" i="11"/>
  <c r="BJ43" i="11"/>
  <c r="BK43" i="11"/>
  <c r="BJ40" i="11"/>
  <c r="BK40" i="11"/>
  <c r="BJ37" i="11"/>
  <c r="BK37" i="11"/>
  <c r="BJ14" i="11"/>
  <c r="BK14" i="11"/>
  <c r="BJ292" i="11"/>
  <c r="BK292" i="11"/>
  <c r="BS51" i="11"/>
  <c r="BT51" i="11"/>
  <c r="BS48" i="11"/>
  <c r="BT48" i="11"/>
  <c r="BJ45" i="11"/>
  <c r="BK45" i="11"/>
  <c r="BK42" i="11"/>
  <c r="BJ42" i="11"/>
  <c r="BJ39" i="11"/>
  <c r="BK39" i="11"/>
  <c r="BK36" i="11"/>
  <c r="BJ36" i="11"/>
  <c r="BJ298" i="11"/>
  <c r="BK298" i="11"/>
  <c r="BS50" i="11"/>
  <c r="BT50" i="11"/>
  <c r="BK48" i="11"/>
  <c r="BJ48" i="11"/>
  <c r="BK44" i="11"/>
  <c r="BJ44" i="11"/>
  <c r="BK41" i="11"/>
  <c r="BJ41" i="11"/>
  <c r="BJ38" i="11"/>
  <c r="BK38" i="11"/>
  <c r="BK35" i="11"/>
  <c r="BJ35" i="11"/>
  <c r="DC327" i="11"/>
  <c r="BT14" i="11"/>
  <c r="BS14" i="11"/>
  <c r="BT298" i="11"/>
  <c r="BS298" i="11"/>
  <c r="BT45" i="11"/>
  <c r="BS45" i="11"/>
  <c r="BS41" i="11"/>
  <c r="BT41" i="11"/>
  <c r="BS37" i="11"/>
  <c r="BT37" i="11"/>
  <c r="AU302" i="11"/>
  <c r="AT302" i="11"/>
  <c r="BS44" i="11"/>
  <c r="BT44" i="11"/>
  <c r="BS40" i="11"/>
  <c r="BT40" i="11"/>
  <c r="BS36" i="11"/>
  <c r="BT36" i="11"/>
  <c r="BS10" i="11"/>
  <c r="BT10" i="11"/>
  <c r="BS43" i="11"/>
  <c r="BT43" i="11"/>
  <c r="BS39" i="11"/>
  <c r="BT39" i="11"/>
  <c r="BS35" i="11"/>
  <c r="BT35" i="11"/>
  <c r="BS292" i="11"/>
  <c r="BT292" i="11"/>
  <c r="BS47" i="11"/>
  <c r="BT47" i="11"/>
  <c r="BS42" i="11"/>
  <c r="BT42" i="11"/>
  <c r="BS38" i="11"/>
  <c r="BT38" i="11"/>
  <c r="BS323" i="11"/>
  <c r="BT323" i="11"/>
  <c r="CI323" i="11"/>
  <c r="CJ323" i="11"/>
  <c r="AU307" i="11"/>
  <c r="AT307" i="11"/>
  <c r="AT295" i="11"/>
  <c r="AU295" i="11"/>
  <c r="AU306" i="11"/>
  <c r="AT306" i="11"/>
  <c r="CB323" i="11"/>
  <c r="CA323" i="11"/>
  <c r="DC14" i="11"/>
  <c r="CI327" i="11"/>
  <c r="CJ327" i="11"/>
  <c r="AT330" i="11"/>
  <c r="AU330" i="11"/>
  <c r="BJ331" i="11"/>
  <c r="BK331" i="11"/>
  <c r="CS327" i="11"/>
  <c r="CR327" i="11"/>
  <c r="AT332" i="11"/>
  <c r="AU332" i="11"/>
  <c r="BJ330" i="11"/>
  <c r="BK330" i="11"/>
  <c r="CA327" i="11"/>
  <c r="CB327" i="11"/>
  <c r="AU331" i="11"/>
  <c r="AT331" i="11"/>
  <c r="BK332" i="11"/>
  <c r="BJ332" i="11"/>
  <c r="BS332" i="11"/>
  <c r="BT332" i="11"/>
  <c r="CI332" i="11"/>
  <c r="CJ332" i="11"/>
  <c r="BS331" i="11"/>
  <c r="BT331" i="11"/>
  <c r="CA332" i="11"/>
  <c r="CB332" i="11"/>
  <c r="CI331" i="11"/>
  <c r="CJ331" i="11"/>
  <c r="BT330" i="11"/>
  <c r="BS330" i="11"/>
  <c r="CJ330" i="11"/>
  <c r="CI330" i="11"/>
  <c r="BT335" i="11"/>
  <c r="BS335" i="11"/>
  <c r="CA335" i="11"/>
  <c r="CB335" i="11"/>
  <c r="AL56" i="11"/>
  <c r="AK56" i="11"/>
  <c r="AL271" i="11"/>
  <c r="AK271" i="11"/>
  <c r="AL199" i="11"/>
  <c r="AK199" i="11"/>
  <c r="AL48" i="11"/>
  <c r="AK48" i="11"/>
  <c r="AL255" i="11"/>
  <c r="AK255" i="11"/>
  <c r="AL87" i="11"/>
  <c r="AK87" i="11"/>
  <c r="AL64" i="11"/>
  <c r="AK64" i="11"/>
  <c r="AL40" i="11"/>
  <c r="AK40" i="11"/>
  <c r="AL279" i="11"/>
  <c r="AK279" i="11"/>
  <c r="AL247" i="11"/>
  <c r="AK247" i="11"/>
  <c r="AL79" i="11"/>
  <c r="AK79" i="11"/>
  <c r="AL63" i="11"/>
  <c r="AK63" i="11"/>
  <c r="AL254" i="11"/>
  <c r="AK254" i="11"/>
  <c r="AL78" i="11"/>
  <c r="AK78" i="11"/>
  <c r="AL47" i="11"/>
  <c r="AK47" i="11"/>
  <c r="AL166" i="11"/>
  <c r="AK166" i="11"/>
  <c r="AL94" i="11"/>
  <c r="AK94" i="11"/>
  <c r="AL70" i="11"/>
  <c r="AK70" i="11"/>
  <c r="DC63" i="11"/>
  <c r="AL71" i="11"/>
  <c r="AK71" i="11"/>
  <c r="AL39" i="11"/>
  <c r="AK39" i="11"/>
  <c r="AL158" i="11"/>
  <c r="AK158" i="11"/>
  <c r="AL86" i="11"/>
  <c r="AK86" i="11"/>
  <c r="AL62" i="11"/>
  <c r="AK62" i="11"/>
  <c r="AT218" i="11"/>
  <c r="AU218" i="11"/>
  <c r="AT74" i="11"/>
  <c r="AU74" i="11"/>
  <c r="AT50" i="11"/>
  <c r="AU50" i="11"/>
  <c r="AT10" i="11"/>
  <c r="AU10" i="11"/>
  <c r="AT178" i="11"/>
  <c r="AU178" i="11"/>
  <c r="AT66" i="11"/>
  <c r="AU66" i="11"/>
  <c r="AT42" i="11"/>
  <c r="AU42" i="11"/>
  <c r="U292" i="11"/>
  <c r="V292" i="11"/>
  <c r="AT226" i="11"/>
  <c r="AU226" i="11"/>
  <c r="AT82" i="11"/>
  <c r="AU82" i="11"/>
  <c r="AT58" i="11"/>
  <c r="AU58" i="11"/>
  <c r="U260" i="11"/>
  <c r="V260" i="11"/>
  <c r="M1775" i="3"/>
  <c r="M1776" i="3" s="1"/>
  <c r="M1777" i="3" s="1"/>
  <c r="M1778" i="3" s="1"/>
  <c r="M1779" i="3" s="1"/>
  <c r="M1780" i="3" s="1"/>
  <c r="M1781" i="3" s="1"/>
  <c r="M1782" i="3" s="1"/>
  <c r="M1783" i="3" s="1"/>
  <c r="M1784" i="3" s="1"/>
  <c r="M1785" i="3" s="1"/>
  <c r="M1786" i="3" s="1"/>
  <c r="M1787" i="3" s="1"/>
  <c r="M1788" i="3" s="1"/>
  <c r="M1789" i="3" s="1"/>
  <c r="M1790" i="3" s="1"/>
  <c r="M1791" i="3" s="1"/>
  <c r="M1792" i="3" s="1"/>
  <c r="M1793" i="3" s="1"/>
  <c r="M1794" i="3" s="1"/>
  <c r="M1795" i="3" s="1"/>
  <c r="M1796" i="3" s="1"/>
  <c r="M1797" i="3" s="1"/>
  <c r="M1798" i="3" s="1"/>
  <c r="M1799" i="3" s="1"/>
  <c r="M1800" i="3" s="1"/>
  <c r="M1801" i="3" s="1"/>
  <c r="M1802" i="3" s="1"/>
  <c r="M1803" i="3" s="1"/>
  <c r="M1804" i="3" s="1"/>
  <c r="M1805" i="3" s="1"/>
  <c r="M1806" i="3" s="1"/>
  <c r="M1807" i="3" s="1"/>
  <c r="M1808" i="3" s="1"/>
  <c r="M1809" i="3" s="1"/>
  <c r="M1810" i="3" s="1"/>
  <c r="M1811" i="3" s="1"/>
  <c r="M1812" i="3" s="1"/>
  <c r="M1813" i="3" s="1"/>
  <c r="M1814" i="3" s="1"/>
  <c r="M1815" i="3" s="1"/>
  <c r="M1816" i="3" s="1"/>
  <c r="M1817" i="3" s="1"/>
  <c r="M1818" i="3" s="1"/>
  <c r="M1819" i="3" s="1"/>
  <c r="M1820" i="3" s="1"/>
  <c r="M1821" i="3" s="1"/>
  <c r="M1822" i="3" s="1"/>
  <c r="M1823" i="3" s="1"/>
  <c r="M1824" i="3" s="1"/>
  <c r="M1825" i="3" s="1"/>
  <c r="M1826" i="3" s="1"/>
  <c r="M1827" i="3" s="1"/>
  <c r="M1828" i="3" s="1"/>
  <c r="M1829" i="3" s="1"/>
  <c r="M1830" i="3" s="1"/>
  <c r="M1831" i="3" s="1"/>
  <c r="M1832" i="3" s="1"/>
  <c r="C3676" i="3"/>
  <c r="C385" i="31"/>
  <c r="C307" i="31"/>
  <c r="N9" i="4"/>
  <c r="R4" i="11" s="1"/>
  <c r="C3634" i="3" l="1"/>
  <c r="C3635" i="3"/>
  <c r="C3636" i="3" s="1"/>
  <c r="C3637" i="3" s="1"/>
  <c r="C3345" i="3"/>
  <c r="O1832" i="3"/>
  <c r="M1833" i="3"/>
  <c r="M1834" i="3" s="1"/>
  <c r="M1835" i="3" s="1"/>
  <c r="M1836" i="3" s="1"/>
  <c r="M1837" i="3" s="1"/>
  <c r="M1838" i="3" s="1"/>
  <c r="M1839" i="3" s="1"/>
  <c r="M1840" i="3" s="1"/>
  <c r="M1841" i="3" s="1"/>
  <c r="M1842" i="3" s="1"/>
  <c r="M1843" i="3" s="1"/>
  <c r="M1844" i="3" s="1"/>
  <c r="M1845" i="3" s="1"/>
  <c r="M1846" i="3" s="1"/>
  <c r="M1847" i="3" s="1"/>
  <c r="M1848" i="3" s="1"/>
  <c r="M1849" i="3" s="1"/>
  <c r="M1850" i="3" s="1"/>
  <c r="M1851" i="3" s="1"/>
  <c r="M1852" i="3" s="1"/>
  <c r="M1853" i="3" s="1"/>
  <c r="M1854" i="3" s="1"/>
  <c r="M1855" i="3" s="1"/>
  <c r="M1856" i="3" s="1"/>
  <c r="M1857" i="3" s="1"/>
  <c r="M1858" i="3" s="1"/>
  <c r="M1859" i="3" s="1"/>
  <c r="M1860" i="3" s="1"/>
  <c r="M1861" i="3" s="1"/>
  <c r="M1862" i="3" s="1"/>
  <c r="M1863" i="3" s="1"/>
  <c r="M1864" i="3" s="1"/>
  <c r="M1865" i="3" s="1"/>
  <c r="M1866" i="3" s="1"/>
  <c r="M1867" i="3" s="1"/>
  <c r="M1868" i="3" s="1"/>
  <c r="M1869" i="3" s="1"/>
  <c r="M1870" i="3" s="1"/>
  <c r="M1871" i="3" s="1"/>
  <c r="M1872" i="3" s="1"/>
  <c r="M1873" i="3" s="1"/>
  <c r="M1874" i="3" s="1"/>
  <c r="M1875" i="3" s="1"/>
  <c r="M1876" i="3" s="1"/>
  <c r="M1877" i="3" s="1"/>
  <c r="M1878" i="3" s="1"/>
  <c r="M1879" i="3" s="1"/>
  <c r="M1880" i="3" s="1"/>
  <c r="M1881" i="3" s="1"/>
  <c r="M1882" i="3" s="1"/>
  <c r="M1883" i="3" s="1"/>
  <c r="M1884" i="3" s="1"/>
  <c r="M1885" i="3" s="1"/>
  <c r="M1886" i="3" s="1"/>
  <c r="M1887" i="3" s="1"/>
  <c r="M1888" i="3" s="1"/>
  <c r="M1889" i="3" s="1"/>
  <c r="M1890" i="3" s="1"/>
  <c r="M1891" i="3" s="1"/>
  <c r="M1892" i="3" s="1"/>
  <c r="M1893" i="3" s="1"/>
  <c r="M1894" i="3" s="1"/>
  <c r="M1895" i="3" s="1"/>
  <c r="M1896" i="3" s="1"/>
  <c r="M1897" i="3" s="1"/>
  <c r="M1898" i="3" s="1"/>
  <c r="M1899" i="3" s="1"/>
  <c r="M1900" i="3" s="1"/>
  <c r="M1901" i="3" s="1"/>
  <c r="M1902" i="3" s="1"/>
  <c r="M1903" i="3" s="1"/>
  <c r="M1904" i="3" s="1"/>
  <c r="M1905" i="3" s="1"/>
  <c r="M1906" i="3" s="1"/>
  <c r="M1907" i="3" s="1"/>
  <c r="M1908" i="3" s="1"/>
  <c r="M1909" i="3" s="1"/>
  <c r="M1910" i="3" s="1"/>
  <c r="M1911" i="3" s="1"/>
  <c r="M1912" i="3" s="1"/>
  <c r="M1913" i="3" s="1"/>
  <c r="M1914" i="3" s="1"/>
  <c r="M1915" i="3" s="1"/>
  <c r="M1916" i="3" s="1"/>
  <c r="M1917" i="3" s="1"/>
  <c r="M1918" i="3" s="1"/>
  <c r="M1919" i="3" s="1"/>
  <c r="M1920" i="3" s="1"/>
  <c r="M1921" i="3" s="1"/>
  <c r="M1922" i="3" s="1"/>
  <c r="M1923" i="3" s="1"/>
  <c r="M1924" i="3" s="1"/>
  <c r="M1925" i="3" s="1"/>
  <c r="M1926" i="3" s="1"/>
  <c r="M1927" i="3" s="1"/>
  <c r="M1928" i="3" s="1"/>
  <c r="M1929" i="3" s="1"/>
  <c r="M1930" i="3" s="1"/>
  <c r="M1931" i="3" s="1"/>
  <c r="M1932" i="3" s="1"/>
  <c r="M1933" i="3" s="1"/>
  <c r="M1934" i="3" s="1"/>
  <c r="M1935" i="3" s="1"/>
  <c r="M1936" i="3" s="1"/>
  <c r="M1937" i="3" s="1"/>
  <c r="M1938" i="3" s="1"/>
  <c r="M1939" i="3" s="1"/>
  <c r="M1940" i="3" s="1"/>
  <c r="M1941" i="3" s="1"/>
  <c r="M1942" i="3" s="1"/>
  <c r="M1943" i="3" s="1"/>
  <c r="M1944" i="3" s="1"/>
  <c r="M1945" i="3" s="1"/>
  <c r="M1946" i="3" s="1"/>
  <c r="M1947" i="3" s="1"/>
  <c r="M1948" i="3" s="1"/>
  <c r="M1949" i="3" s="1"/>
  <c r="M1950" i="3" s="1"/>
  <c r="M1951" i="3" s="1"/>
  <c r="M1952" i="3" s="1"/>
  <c r="M1953" i="3" s="1"/>
  <c r="M1954" i="3" s="1"/>
  <c r="M1955" i="3" s="1"/>
  <c r="M1956" i="3" s="1"/>
  <c r="M1957" i="3" s="1"/>
  <c r="M1958" i="3" s="1"/>
  <c r="M1959" i="3" s="1"/>
  <c r="M1960" i="3" s="1"/>
  <c r="M1961" i="3" s="1"/>
  <c r="M1962" i="3" s="1"/>
  <c r="M1963" i="3" s="1"/>
  <c r="M1964" i="3" s="1"/>
  <c r="M1965" i="3" s="1"/>
  <c r="M1966" i="3" s="1"/>
  <c r="M1967" i="3" s="1"/>
  <c r="M1968" i="3" s="1"/>
  <c r="M1969" i="3" s="1"/>
  <c r="M1970" i="3" s="1"/>
  <c r="M1971" i="3" s="1"/>
  <c r="M1972" i="3" s="1"/>
  <c r="M1973" i="3" s="1"/>
  <c r="M1974" i="3" s="1"/>
  <c r="M1975" i="3" s="1"/>
  <c r="M1976" i="3" s="1"/>
  <c r="M1977" i="3" s="1"/>
  <c r="M1978" i="3" s="1"/>
  <c r="M1979" i="3" s="1"/>
  <c r="M1980" i="3" s="1"/>
  <c r="M1981" i="3" s="1"/>
  <c r="M1982" i="3" s="1"/>
  <c r="M1983" i="3" s="1"/>
  <c r="M1984" i="3" s="1"/>
  <c r="M1985" i="3" s="1"/>
  <c r="M1986" i="3" s="1"/>
  <c r="M1987" i="3" s="1"/>
  <c r="M1988" i="3" s="1"/>
  <c r="M1989" i="3" s="1"/>
  <c r="M1990" i="3" s="1"/>
  <c r="M1991" i="3" s="1"/>
  <c r="M1992" i="3" s="1"/>
  <c r="M1993" i="3" s="1"/>
  <c r="M1994" i="3" s="1"/>
  <c r="M1995" i="3" s="1"/>
  <c r="M1996" i="3" s="1"/>
  <c r="M1997" i="3" s="1"/>
  <c r="M1998" i="3" s="1"/>
  <c r="M1999" i="3" s="1"/>
  <c r="M2000" i="3" s="1"/>
  <c r="M2001" i="3" s="1"/>
  <c r="M2002" i="3" s="1"/>
  <c r="M2003" i="3" s="1"/>
  <c r="M2004" i="3" s="1"/>
  <c r="M2005" i="3" s="1"/>
  <c r="M2006" i="3" s="1"/>
  <c r="M2007" i="3" s="1"/>
  <c r="M2008" i="3" s="1"/>
  <c r="M2009" i="3" s="1"/>
  <c r="M2010" i="3" s="1"/>
  <c r="M2011" i="3" s="1"/>
  <c r="M2012" i="3" s="1"/>
  <c r="M2013" i="3" s="1"/>
  <c r="M2014" i="3" s="1"/>
  <c r="M2015" i="3" s="1"/>
  <c r="M2016" i="3" s="1"/>
  <c r="M2017" i="3" s="1"/>
  <c r="M2018" i="3" s="1"/>
  <c r="M2019" i="3" s="1"/>
  <c r="M2020" i="3" s="1"/>
  <c r="M2021" i="3" s="1"/>
  <c r="M2022" i="3" s="1"/>
  <c r="M2023" i="3" s="1"/>
  <c r="M2024" i="3" s="1"/>
  <c r="M2025" i="3" s="1"/>
  <c r="M2026" i="3" s="1"/>
  <c r="M2027" i="3" s="1"/>
  <c r="M2028" i="3" s="1"/>
  <c r="M2029" i="3" s="1"/>
  <c r="M2030" i="3" s="1"/>
  <c r="M2031" i="3" s="1"/>
  <c r="M2032" i="3" s="1"/>
  <c r="M2033" i="3" s="1"/>
  <c r="M2034" i="3" s="1"/>
  <c r="M2035" i="3" s="1"/>
  <c r="M2036" i="3" s="1"/>
  <c r="M2037" i="3" s="1"/>
  <c r="M2038" i="3" s="1"/>
  <c r="M2039" i="3" s="1"/>
  <c r="M2040" i="3" s="1"/>
  <c r="M2041" i="3" s="1"/>
  <c r="C3677" i="3"/>
  <c r="C386" i="31"/>
  <c r="C308" i="31"/>
  <c r="K1" i="3"/>
  <c r="C3638" i="3" l="1"/>
  <c r="C3678" i="3"/>
  <c r="C3346" i="3"/>
  <c r="M2042" i="3"/>
  <c r="M2043" i="3" s="1"/>
  <c r="M2044" i="3" s="1"/>
  <c r="M2045" i="3" s="1"/>
  <c r="M2046" i="3" s="1"/>
  <c r="M2047" i="3" s="1"/>
  <c r="M2048" i="3" s="1"/>
  <c r="M2049" i="3" s="1"/>
  <c r="M2050" i="3" s="1"/>
  <c r="M2051" i="3" s="1"/>
  <c r="M2052" i="3" s="1"/>
  <c r="M2053" i="3" s="1"/>
  <c r="M2054" i="3" s="1"/>
  <c r="M2055" i="3" s="1"/>
  <c r="M2056" i="3" s="1"/>
  <c r="M2057" i="3" s="1"/>
  <c r="M2058" i="3" s="1"/>
  <c r="M2059" i="3" s="1"/>
  <c r="M2060" i="3" s="1"/>
  <c r="M2061" i="3" s="1"/>
  <c r="M2062" i="3" s="1"/>
  <c r="M2063" i="3" s="1"/>
  <c r="M2064" i="3" s="1"/>
  <c r="M2065" i="3" s="1"/>
  <c r="M2066" i="3" s="1"/>
  <c r="M2067" i="3" s="1"/>
  <c r="M2068" i="3" s="1"/>
  <c r="M2069" i="3" s="1"/>
  <c r="M2070" i="3" s="1"/>
  <c r="M2071" i="3" s="1"/>
  <c r="M2072" i="3" s="1"/>
  <c r="M2073" i="3" s="1"/>
  <c r="M2074" i="3" s="1"/>
  <c r="M2075" i="3" s="1"/>
  <c r="M2076" i="3" s="1"/>
  <c r="M2077" i="3" s="1"/>
  <c r="M2078" i="3" s="1"/>
  <c r="M2079" i="3" s="1"/>
  <c r="M2080" i="3" s="1"/>
  <c r="M2081" i="3" s="1"/>
  <c r="M2082" i="3" s="1"/>
  <c r="M2083" i="3" s="1"/>
  <c r="M2084" i="3" s="1"/>
  <c r="M2085" i="3" s="1"/>
  <c r="M2086" i="3" s="1"/>
  <c r="M2087" i="3" s="1"/>
  <c r="M2088" i="3" s="1"/>
  <c r="M2089" i="3" s="1"/>
  <c r="M2090" i="3" s="1"/>
  <c r="M2091" i="3" s="1"/>
  <c r="M2092" i="3" s="1"/>
  <c r="M2093" i="3" s="1"/>
  <c r="M2094" i="3" s="1"/>
  <c r="M2095" i="3" s="1"/>
  <c r="M2096" i="3" s="1"/>
  <c r="M2097" i="3" s="1"/>
  <c r="M2098" i="3" s="1"/>
  <c r="M2099" i="3" s="1"/>
  <c r="M2100" i="3" s="1"/>
  <c r="M2101" i="3" s="1"/>
  <c r="M2102" i="3" s="1"/>
  <c r="M2103" i="3" s="1"/>
  <c r="M2104" i="3" s="1"/>
  <c r="M2105" i="3" s="1"/>
  <c r="M2106" i="3" s="1"/>
  <c r="M2107" i="3" s="1"/>
  <c r="M2108" i="3" s="1"/>
  <c r="M2109" i="3" s="1"/>
  <c r="M2110" i="3" s="1"/>
  <c r="M2111" i="3" s="1"/>
  <c r="M2112" i="3" s="1"/>
  <c r="M2113" i="3" s="1"/>
  <c r="M2114" i="3" s="1"/>
  <c r="M2115" i="3" s="1"/>
  <c r="M2116" i="3" s="1"/>
  <c r="M2117" i="3" s="1"/>
  <c r="M2118" i="3" s="1"/>
  <c r="M2119" i="3" s="1"/>
  <c r="M2120" i="3" s="1"/>
  <c r="M2121" i="3" s="1"/>
  <c r="M2122" i="3" s="1"/>
  <c r="M2123" i="3" s="1"/>
  <c r="M2124" i="3" s="1"/>
  <c r="M2125" i="3" s="1"/>
  <c r="M2126" i="3" s="1"/>
  <c r="M2127" i="3" s="1"/>
  <c r="M2128" i="3" s="1"/>
  <c r="M2129" i="3" s="1"/>
  <c r="M2130" i="3" s="1"/>
  <c r="M2131" i="3" s="1"/>
  <c r="M2132" i="3" s="1"/>
  <c r="M2133" i="3" s="1"/>
  <c r="M2134" i="3" s="1"/>
  <c r="M2135" i="3" s="1"/>
  <c r="M2136" i="3" s="1"/>
  <c r="M2137" i="3" s="1"/>
  <c r="M2138" i="3" s="1"/>
  <c r="M2139" i="3" s="1"/>
  <c r="M2140" i="3" s="1"/>
  <c r="M2141" i="3" s="1"/>
  <c r="M2142" i="3" s="1"/>
  <c r="M2143" i="3" s="1"/>
  <c r="M2144" i="3" s="1"/>
  <c r="M2145" i="3" s="1"/>
  <c r="M2146" i="3" s="1"/>
  <c r="M2147" i="3" s="1"/>
  <c r="M2148" i="3" s="1"/>
  <c r="M2149" i="3" s="1"/>
  <c r="M2150" i="3" s="1"/>
  <c r="M2151" i="3" s="1"/>
  <c r="M2152" i="3" s="1"/>
  <c r="M2153" i="3" s="1"/>
  <c r="M2154" i="3" s="1"/>
  <c r="M2155" i="3" s="1"/>
  <c r="M2156" i="3" s="1"/>
  <c r="M2157" i="3" s="1"/>
  <c r="M2158" i="3" s="1"/>
  <c r="M2159" i="3" s="1"/>
  <c r="M2160" i="3" s="1"/>
  <c r="M2161" i="3" s="1"/>
  <c r="M2162" i="3" s="1"/>
  <c r="M2163" i="3" s="1"/>
  <c r="M2164" i="3" s="1"/>
  <c r="M2165" i="3" s="1"/>
  <c r="M2166" i="3" s="1"/>
  <c r="M2167" i="3" s="1"/>
  <c r="M2168" i="3" s="1"/>
  <c r="M2169" i="3" s="1"/>
  <c r="M2170" i="3" s="1"/>
  <c r="M2171" i="3" s="1"/>
  <c r="M2172" i="3" s="1"/>
  <c r="M2173" i="3" s="1"/>
  <c r="M2174" i="3" s="1"/>
  <c r="M2175" i="3" s="1"/>
  <c r="M2176" i="3" s="1"/>
  <c r="M2177" i="3" s="1"/>
  <c r="M2178" i="3" s="1"/>
  <c r="M2179" i="3" s="1"/>
  <c r="M2180" i="3" s="1"/>
  <c r="M2181" i="3" s="1"/>
  <c r="M2182" i="3" s="1"/>
  <c r="M2183" i="3" s="1"/>
  <c r="M2184" i="3" s="1"/>
  <c r="M2185" i="3" s="1"/>
  <c r="M2186" i="3" s="1"/>
  <c r="M2187" i="3" s="1"/>
  <c r="M2188" i="3" s="1"/>
  <c r="M2189" i="3" s="1"/>
  <c r="M2190" i="3" s="1"/>
  <c r="M2191" i="3" s="1"/>
  <c r="M2192" i="3" s="1"/>
  <c r="M2193" i="3" s="1"/>
  <c r="M2194" i="3" s="1"/>
  <c r="M2195" i="3" s="1"/>
  <c r="M2196" i="3" s="1"/>
  <c r="M2197" i="3" s="1"/>
  <c r="M2198" i="3" s="1"/>
  <c r="M2199" i="3" s="1"/>
  <c r="M2200" i="3" s="1"/>
  <c r="M2201" i="3" s="1"/>
  <c r="M2202" i="3" s="1"/>
  <c r="M2203" i="3" s="1"/>
  <c r="M2204" i="3" s="1"/>
  <c r="M2205" i="3" s="1"/>
  <c r="M2206" i="3" s="1"/>
  <c r="M2207" i="3" s="1"/>
  <c r="M2208" i="3" s="1"/>
  <c r="M2209" i="3" s="1"/>
  <c r="M2210" i="3" s="1"/>
  <c r="M2211" i="3" s="1"/>
  <c r="M2212" i="3" s="1"/>
  <c r="M2213" i="3" s="1"/>
  <c r="M2214" i="3" s="1"/>
  <c r="M2215" i="3" s="1"/>
  <c r="M2216" i="3" s="1"/>
  <c r="M2217" i="3" s="1"/>
  <c r="M2218" i="3" s="1"/>
  <c r="M2219" i="3" s="1"/>
  <c r="M2220" i="3" s="1"/>
  <c r="M2221" i="3" s="1"/>
  <c r="M2222" i="3" s="1"/>
  <c r="M2223" i="3" s="1"/>
  <c r="M2224" i="3" s="1"/>
  <c r="M2225" i="3" s="1"/>
  <c r="M2226" i="3" s="1"/>
  <c r="M2227" i="3" s="1"/>
  <c r="M2228" i="3" s="1"/>
  <c r="M2229" i="3" s="1"/>
  <c r="M2230" i="3" s="1"/>
  <c r="M2231" i="3" s="1"/>
  <c r="M2232" i="3" s="1"/>
  <c r="M2233" i="3" s="1"/>
  <c r="M2234" i="3" s="1"/>
  <c r="M2235" i="3" s="1"/>
  <c r="M2236" i="3" s="1"/>
  <c r="M2237" i="3" s="1"/>
  <c r="M2238" i="3" s="1"/>
  <c r="M2239" i="3" s="1"/>
  <c r="M2240" i="3" s="1"/>
  <c r="M2241" i="3" s="1"/>
  <c r="M2242" i="3" s="1"/>
  <c r="M2243" i="3" s="1"/>
  <c r="M2244" i="3" s="1"/>
  <c r="M2245" i="3" s="1"/>
  <c r="M2246" i="3" s="1"/>
  <c r="M2247" i="3" s="1"/>
  <c r="M2248" i="3" s="1"/>
  <c r="M2249" i="3" s="1"/>
  <c r="M2250" i="3" s="1"/>
  <c r="M2251" i="3" s="1"/>
  <c r="M2252" i="3" s="1"/>
  <c r="M2253" i="3" s="1"/>
  <c r="M2254" i="3" s="1"/>
  <c r="M2255" i="3" s="1"/>
  <c r="M2256" i="3" s="1"/>
  <c r="M2257" i="3" s="1"/>
  <c r="M2258" i="3" s="1"/>
  <c r="M2259" i="3" s="1"/>
  <c r="M2260" i="3" s="1"/>
  <c r="M2261" i="3" s="1"/>
  <c r="M2262" i="3" s="1"/>
  <c r="M2263" i="3" s="1"/>
  <c r="M2264" i="3" s="1"/>
  <c r="M2265" i="3" s="1"/>
  <c r="M2266" i="3" s="1"/>
  <c r="M2267" i="3" s="1"/>
  <c r="M2268" i="3" s="1"/>
  <c r="M2269" i="3" s="1"/>
  <c r="M2270" i="3" s="1"/>
  <c r="M2271" i="3" s="1"/>
  <c r="M2272" i="3" s="1"/>
  <c r="M2273" i="3" s="1"/>
  <c r="M2274" i="3" s="1"/>
  <c r="M2275" i="3" s="1"/>
  <c r="M2276" i="3" s="1"/>
  <c r="M2277" i="3" s="1"/>
  <c r="M2278" i="3" s="1"/>
  <c r="M2279" i="3" s="1"/>
  <c r="M2280" i="3" s="1"/>
  <c r="M2281" i="3" s="1"/>
  <c r="M2282" i="3" s="1"/>
  <c r="M2283" i="3" s="1"/>
  <c r="M2284" i="3" s="1"/>
  <c r="M2285" i="3" s="1"/>
  <c r="M2286" i="3" s="1"/>
  <c r="M2287" i="3" s="1"/>
  <c r="M2288" i="3" s="1"/>
  <c r="M2289" i="3" s="1"/>
  <c r="M2290" i="3" s="1"/>
  <c r="M2291" i="3" s="1"/>
  <c r="M2292" i="3" s="1"/>
  <c r="M2293" i="3" s="1"/>
  <c r="M2294" i="3" s="1"/>
  <c r="M2295" i="3" s="1"/>
  <c r="M2296" i="3" s="1"/>
  <c r="M2297" i="3" s="1"/>
  <c r="M2298" i="3" s="1"/>
  <c r="M2299" i="3" s="1"/>
  <c r="M2300" i="3" s="1"/>
  <c r="M2301" i="3" s="1"/>
  <c r="M2302" i="3" s="1"/>
  <c r="M2303" i="3" s="1"/>
  <c r="M2304" i="3" s="1"/>
  <c r="M2305" i="3" s="1"/>
  <c r="M2306" i="3" s="1"/>
  <c r="M2307" i="3" s="1"/>
  <c r="M2308" i="3" s="1"/>
  <c r="M2309" i="3" s="1"/>
  <c r="M2310" i="3" s="1"/>
  <c r="M2311" i="3" s="1"/>
  <c r="M2312" i="3" s="1"/>
  <c r="M2313" i="3" s="1"/>
  <c r="M2314" i="3" s="1"/>
  <c r="M2315" i="3" s="1"/>
  <c r="M2316" i="3" s="1"/>
  <c r="M2317" i="3" s="1"/>
  <c r="M2318" i="3" s="1"/>
  <c r="M2319" i="3" s="1"/>
  <c r="M2320" i="3" s="1"/>
  <c r="M2321" i="3" s="1"/>
  <c r="M2322" i="3" s="1"/>
  <c r="M2323" i="3" s="1"/>
  <c r="M2324" i="3" s="1"/>
  <c r="M2325" i="3" s="1"/>
  <c r="M2326" i="3" s="1"/>
  <c r="M2327" i="3" s="1"/>
  <c r="M2328" i="3" s="1"/>
  <c r="M2329" i="3" s="1"/>
  <c r="M2330" i="3" s="1"/>
  <c r="M2331" i="3" s="1"/>
  <c r="M2332" i="3" s="1"/>
  <c r="M2333" i="3" s="1"/>
  <c r="M2334" i="3" s="1"/>
  <c r="M2335" i="3" s="1"/>
  <c r="M2336" i="3" s="1"/>
  <c r="M2337" i="3" s="1"/>
  <c r="M2338" i="3" s="1"/>
  <c r="M2339" i="3" s="1"/>
  <c r="M2340" i="3" s="1"/>
  <c r="M2341" i="3" s="1"/>
  <c r="M2342" i="3" s="1"/>
  <c r="M2343" i="3" s="1"/>
  <c r="M2344" i="3" s="1"/>
  <c r="M2345" i="3" s="1"/>
  <c r="M2346" i="3" s="1"/>
  <c r="M2347" i="3" s="1"/>
  <c r="M2348" i="3" s="1"/>
  <c r="M2349" i="3" s="1"/>
  <c r="M2350" i="3" s="1"/>
  <c r="M2351" i="3" s="1"/>
  <c r="M2352" i="3" s="1"/>
  <c r="M2353" i="3" s="1"/>
  <c r="M2354" i="3" s="1"/>
  <c r="M2355" i="3" s="1"/>
  <c r="M2356" i="3" s="1"/>
  <c r="M2357" i="3" s="1"/>
  <c r="M2358" i="3" s="1"/>
  <c r="M2359" i="3" s="1"/>
  <c r="M2360" i="3" s="1"/>
  <c r="M2361" i="3" s="1"/>
  <c r="M2362" i="3" s="1"/>
  <c r="M2363" i="3" s="1"/>
  <c r="M2364" i="3" s="1"/>
  <c r="M2365" i="3" s="1"/>
  <c r="M2366" i="3" s="1"/>
  <c r="M2367" i="3" s="1"/>
  <c r="M2368" i="3" s="1"/>
  <c r="M2369" i="3" s="1"/>
  <c r="M2370" i="3" s="1"/>
  <c r="M2371" i="3" s="1"/>
  <c r="M2372" i="3" s="1"/>
  <c r="M2373" i="3" s="1"/>
  <c r="M2374" i="3" s="1"/>
  <c r="M2375" i="3" s="1"/>
  <c r="M2376" i="3" s="1"/>
  <c r="M2377" i="3" s="1"/>
  <c r="M2378" i="3" s="1"/>
  <c r="M2379" i="3" s="1"/>
  <c r="M2380" i="3" s="1"/>
  <c r="M2381" i="3" s="1"/>
  <c r="M2382" i="3" s="1"/>
  <c r="M2383" i="3" s="1"/>
  <c r="M2384" i="3" s="1"/>
  <c r="M2385" i="3" s="1"/>
  <c r="M2386" i="3" s="1"/>
  <c r="M2387" i="3" s="1"/>
  <c r="M2388" i="3" s="1"/>
  <c r="M2389" i="3" s="1"/>
  <c r="M2390" i="3" s="1"/>
  <c r="M2391" i="3" s="1"/>
  <c r="M2392" i="3" s="1"/>
  <c r="M2393" i="3" s="1"/>
  <c r="M2394" i="3" s="1"/>
  <c r="M2395" i="3" s="1"/>
  <c r="M2396" i="3" s="1"/>
  <c r="M2397" i="3" s="1"/>
  <c r="M2398" i="3" s="1"/>
  <c r="M2399" i="3" s="1"/>
  <c r="M2400" i="3" s="1"/>
  <c r="M2401" i="3" s="1"/>
  <c r="M2402" i="3" s="1"/>
  <c r="M2403" i="3" s="1"/>
  <c r="M2404" i="3" s="1"/>
  <c r="M2405" i="3" s="1"/>
  <c r="M2406" i="3" s="1"/>
  <c r="M2407" i="3" s="1"/>
  <c r="M2408" i="3" s="1"/>
  <c r="M2409" i="3" s="1"/>
  <c r="M2410" i="3" s="1"/>
  <c r="M2411" i="3" s="1"/>
  <c r="M2412" i="3" s="1"/>
  <c r="M2413" i="3" s="1"/>
  <c r="M2414" i="3" s="1"/>
  <c r="M2415" i="3" s="1"/>
  <c r="M2416" i="3" s="1"/>
  <c r="M2417" i="3" s="1"/>
  <c r="M2418" i="3" s="1"/>
  <c r="M2419" i="3" s="1"/>
  <c r="M2420" i="3" s="1"/>
  <c r="O2420" i="3" s="1"/>
  <c r="C3679" i="3"/>
  <c r="C387" i="31"/>
  <c r="C309" i="31"/>
  <c r="BB14" i="11"/>
  <c r="BB45" i="11"/>
  <c r="BB10" i="11"/>
  <c r="BB44" i="11"/>
  <c r="C3347" i="3" l="1"/>
  <c r="C3348" i="3" s="1"/>
  <c r="C3349" i="3" s="1"/>
  <c r="C3350" i="3" s="1"/>
  <c r="C3639" i="3"/>
  <c r="C3680" i="3"/>
  <c r="C388" i="31"/>
  <c r="C389" i="31" s="1"/>
  <c r="C390" i="31" s="1"/>
  <c r="M2421" i="3"/>
  <c r="M2422" i="3" s="1"/>
  <c r="M2423" i="3" s="1"/>
  <c r="M2424" i="3" s="1"/>
  <c r="M2425" i="3" s="1"/>
  <c r="M2426" i="3" s="1"/>
  <c r="M2427" i="3" s="1"/>
  <c r="M2428" i="3" s="1"/>
  <c r="M2429" i="3" s="1"/>
  <c r="M2430" i="3" s="1"/>
  <c r="M2431" i="3" s="1"/>
  <c r="M2432" i="3" s="1"/>
  <c r="M2433" i="3" s="1"/>
  <c r="M2434" i="3" s="1"/>
  <c r="M2435" i="3" s="1"/>
  <c r="M2436" i="3" s="1"/>
  <c r="M2437" i="3" s="1"/>
  <c r="M2438" i="3" s="1"/>
  <c r="M2439" i="3" s="1"/>
  <c r="M2440" i="3" s="1"/>
  <c r="M2441" i="3" s="1"/>
  <c r="M2442" i="3" s="1"/>
  <c r="M2443" i="3" s="1"/>
  <c r="M2444" i="3" s="1"/>
  <c r="M2445" i="3" s="1"/>
  <c r="M2446" i="3" s="1"/>
  <c r="M2447" i="3" s="1"/>
  <c r="M2448" i="3" s="1"/>
  <c r="M2449" i="3" s="1"/>
  <c r="M2450" i="3" s="1"/>
  <c r="M2451" i="3" s="1"/>
  <c r="M2452" i="3" s="1"/>
  <c r="M2453" i="3" s="1"/>
  <c r="M2454" i="3" s="1"/>
  <c r="M2455" i="3" s="1"/>
  <c r="M2456" i="3" s="1"/>
  <c r="M2457" i="3" s="1"/>
  <c r="M2458" i="3" s="1"/>
  <c r="O2419" i="3"/>
  <c r="C310" i="31"/>
  <c r="C311" i="31" s="1"/>
  <c r="BB88" i="11"/>
  <c r="BC88" i="11"/>
  <c r="BB51" i="11"/>
  <c r="BC51" i="11"/>
  <c r="BB76" i="11"/>
  <c r="BC76" i="11"/>
  <c r="BB66" i="11"/>
  <c r="BC66" i="11"/>
  <c r="BB58" i="11"/>
  <c r="BC58" i="11"/>
  <c r="BB96" i="11"/>
  <c r="BC96" i="11"/>
  <c r="BB77" i="11"/>
  <c r="BC77" i="11"/>
  <c r="BB166" i="11"/>
  <c r="BC166" i="11"/>
  <c r="BB74" i="11"/>
  <c r="BC74" i="11"/>
  <c r="BB199" i="11"/>
  <c r="BC199" i="11"/>
  <c r="BB79" i="11"/>
  <c r="BC79" i="11"/>
  <c r="BB172" i="11"/>
  <c r="BC172" i="11"/>
  <c r="BB158" i="11"/>
  <c r="BC158" i="11"/>
  <c r="BB128" i="11"/>
  <c r="BC128" i="11"/>
  <c r="BB93" i="11"/>
  <c r="BC93" i="11"/>
  <c r="BB67" i="11"/>
  <c r="BC67" i="11"/>
  <c r="BB60" i="11"/>
  <c r="BC60" i="11"/>
  <c r="BB49" i="11"/>
  <c r="BC49" i="11"/>
  <c r="BB59" i="11"/>
  <c r="BC59" i="11"/>
  <c r="BB89" i="11"/>
  <c r="BC89" i="11"/>
  <c r="BB140" i="11"/>
  <c r="BC140" i="11"/>
  <c r="BB78" i="11"/>
  <c r="BC78" i="11"/>
  <c r="BB187" i="11"/>
  <c r="BC187" i="11"/>
  <c r="BB137" i="11"/>
  <c r="BC137" i="11"/>
  <c r="BB240" i="11"/>
  <c r="BC240" i="11"/>
  <c r="BB56" i="11"/>
  <c r="BC56" i="11"/>
  <c r="BB220" i="11"/>
  <c r="BC220" i="11"/>
  <c r="BB136" i="11"/>
  <c r="BC136" i="11"/>
  <c r="BB81" i="11"/>
  <c r="BC81" i="11"/>
  <c r="BB180" i="11"/>
  <c r="BC180" i="11"/>
  <c r="BB69" i="11"/>
  <c r="BC69" i="11"/>
  <c r="BB163" i="11"/>
  <c r="BC163" i="11"/>
  <c r="BB87" i="11"/>
  <c r="BC87" i="11"/>
  <c r="BB219" i="11"/>
  <c r="BC219" i="11"/>
  <c r="BB68" i="11"/>
  <c r="BC68" i="11"/>
  <c r="BB91" i="11"/>
  <c r="BC91" i="11"/>
  <c r="BB148" i="11"/>
  <c r="BC148" i="11"/>
  <c r="BB82" i="11"/>
  <c r="BC82" i="11"/>
  <c r="BB73" i="11"/>
  <c r="BC73" i="11"/>
  <c r="BB65" i="11"/>
  <c r="BC65" i="11"/>
  <c r="BB57" i="11"/>
  <c r="BC57" i="11"/>
  <c r="BB94" i="11"/>
  <c r="BC94" i="11"/>
  <c r="BB48" i="11"/>
  <c r="BC48" i="11"/>
  <c r="BB86" i="11"/>
  <c r="BC86" i="11"/>
  <c r="BB107" i="11"/>
  <c r="BC107" i="11"/>
  <c r="BB75" i="11"/>
  <c r="BC75" i="11"/>
  <c r="BB226" i="11"/>
  <c r="BC226" i="11"/>
  <c r="BB85" i="11"/>
  <c r="BC85" i="11"/>
  <c r="BB178" i="11"/>
  <c r="BC178" i="11"/>
  <c r="BB225" i="11"/>
  <c r="BC225" i="11"/>
  <c r="BB80" i="11"/>
  <c r="BC80" i="11"/>
  <c r="BB61" i="11"/>
  <c r="BC61" i="11"/>
  <c r="BB241" i="11"/>
  <c r="BC241" i="11"/>
  <c r="BB218" i="11"/>
  <c r="BC218" i="11"/>
  <c r="BB62" i="11"/>
  <c r="BC62" i="11"/>
  <c r="BB70" i="11"/>
  <c r="BC70" i="11"/>
  <c r="BB47" i="11"/>
  <c r="BC47" i="11"/>
  <c r="BB179" i="11"/>
  <c r="BC179" i="11"/>
  <c r="BB160" i="11"/>
  <c r="BC160" i="11"/>
  <c r="BB63" i="11"/>
  <c r="BC63" i="11"/>
  <c r="BB53" i="11"/>
  <c r="BC53" i="11"/>
  <c r="BB64" i="11"/>
  <c r="BC64" i="11"/>
  <c r="BB72" i="11"/>
  <c r="BC72" i="11"/>
  <c r="BB84" i="11"/>
  <c r="BC84" i="11"/>
  <c r="BB101" i="11"/>
  <c r="BC101" i="11"/>
  <c r="BB71" i="11"/>
  <c r="BC71" i="11"/>
  <c r="BB92" i="11"/>
  <c r="BC92" i="11"/>
  <c r="BB50" i="11"/>
  <c r="BC50" i="11"/>
  <c r="BB83" i="11"/>
  <c r="BC83" i="11"/>
  <c r="BB97" i="11"/>
  <c r="BC97" i="11"/>
  <c r="BB217" i="11"/>
  <c r="BC217" i="11"/>
  <c r="C3351" i="3" l="1"/>
  <c r="C3640" i="3"/>
  <c r="C3641" i="3" s="1"/>
  <c r="C3681" i="3"/>
  <c r="C3352" i="3"/>
  <c r="C391" i="31"/>
  <c r="C392" i="31" s="1"/>
  <c r="C393" i="31" s="1"/>
  <c r="C395" i="31" s="1"/>
  <c r="C396" i="31" s="1"/>
  <c r="M2459" i="3"/>
  <c r="M2460" i="3" s="1"/>
  <c r="M2461" i="3" s="1"/>
  <c r="M2462" i="3" s="1"/>
  <c r="M2463" i="3" s="1"/>
  <c r="M2464" i="3" s="1"/>
  <c r="M2465" i="3" s="1"/>
  <c r="M2466" i="3" s="1"/>
  <c r="M2467" i="3" s="1"/>
  <c r="M2468" i="3" s="1"/>
  <c r="M2469" i="3" s="1"/>
  <c r="M2470" i="3" s="1"/>
  <c r="M2471" i="3" s="1"/>
  <c r="M2472" i="3" s="1"/>
  <c r="M2473" i="3" s="1"/>
  <c r="M2474" i="3" s="1"/>
  <c r="M2475" i="3" s="1"/>
  <c r="M2476" i="3" s="1"/>
  <c r="M2477" i="3" s="1"/>
  <c r="M2478" i="3" s="1"/>
  <c r="M2479" i="3" s="1"/>
  <c r="M2480" i="3" s="1"/>
  <c r="M2481" i="3" s="1"/>
  <c r="M2482" i="3" s="1"/>
  <c r="M2483" i="3" s="1"/>
  <c r="M2484" i="3" s="1"/>
  <c r="M2485" i="3" s="1"/>
  <c r="M2486" i="3" s="1"/>
  <c r="M2487" i="3" s="1"/>
  <c r="M2488" i="3" s="1"/>
  <c r="M2489" i="3" s="1"/>
  <c r="M2490" i="3" s="1"/>
  <c r="M2491" i="3" s="1"/>
  <c r="M2492" i="3" s="1"/>
  <c r="M2493" i="3" s="1"/>
  <c r="M2494" i="3" s="1"/>
  <c r="M2495" i="3" s="1"/>
  <c r="M2496" i="3" s="1"/>
  <c r="M2497" i="3" s="1"/>
  <c r="M2498" i="3" s="1"/>
  <c r="M2499" i="3" s="1"/>
  <c r="M2500" i="3" s="1"/>
  <c r="M2501" i="3" s="1"/>
  <c r="M2502" i="3" s="1"/>
  <c r="M2503" i="3" s="1"/>
  <c r="M2504" i="3" s="1"/>
  <c r="M2505" i="3" s="1"/>
  <c r="M2506" i="3" s="1"/>
  <c r="M2507" i="3" s="1"/>
  <c r="M2508" i="3" s="1"/>
  <c r="M2509" i="3" s="1"/>
  <c r="M2510" i="3" s="1"/>
  <c r="M2511" i="3" s="1"/>
  <c r="M2512" i="3" s="1"/>
  <c r="M2513" i="3" s="1"/>
  <c r="M2514" i="3" s="1"/>
  <c r="M2515" i="3" s="1"/>
  <c r="M2516" i="3" s="1"/>
  <c r="M2517" i="3" s="1"/>
  <c r="M2518" i="3" s="1"/>
  <c r="M2519" i="3" s="1"/>
  <c r="M2520" i="3" s="1"/>
  <c r="M2521" i="3" s="1"/>
  <c r="M2522" i="3" s="1"/>
  <c r="M2523" i="3" s="1"/>
  <c r="M2524" i="3" s="1"/>
  <c r="M2525" i="3" s="1"/>
  <c r="M2526" i="3" s="1"/>
  <c r="M2527" i="3" s="1"/>
  <c r="M2528" i="3" s="1"/>
  <c r="M2529" i="3" s="1"/>
  <c r="M2530" i="3" s="1"/>
  <c r="M2531" i="3" s="1"/>
  <c r="M2532" i="3" s="1"/>
  <c r="M2533" i="3" s="1"/>
  <c r="M2534" i="3" s="1"/>
  <c r="M2535" i="3" s="1"/>
  <c r="M2536" i="3" s="1"/>
  <c r="M2537" i="3" s="1"/>
  <c r="M2538" i="3" s="1"/>
  <c r="M2539" i="3" s="1"/>
  <c r="M2540" i="3" s="1"/>
  <c r="M2541" i="3" s="1"/>
  <c r="M2542" i="3" s="1"/>
  <c r="M2543" i="3" s="1"/>
  <c r="M2544" i="3" s="1"/>
  <c r="M2545" i="3" s="1"/>
  <c r="M2546" i="3" s="1"/>
  <c r="M2547" i="3" s="1"/>
  <c r="M2548" i="3" s="1"/>
  <c r="M2549" i="3" s="1"/>
  <c r="M2550" i="3" s="1"/>
  <c r="M2551" i="3" s="1"/>
  <c r="M2552" i="3" s="1"/>
  <c r="M2553" i="3" s="1"/>
  <c r="M2554" i="3" s="1"/>
  <c r="M2555" i="3" s="1"/>
  <c r="M2556" i="3" s="1"/>
  <c r="M2557" i="3" s="1"/>
  <c r="M2558" i="3" s="1"/>
  <c r="M2559" i="3" s="1"/>
  <c r="M2560" i="3" s="1"/>
  <c r="M2561" i="3" s="1"/>
  <c r="M2562" i="3" s="1"/>
  <c r="M2563" i="3" s="1"/>
  <c r="M2564" i="3" s="1"/>
  <c r="M2565" i="3" s="1"/>
  <c r="M2566" i="3" s="1"/>
  <c r="M2567" i="3" s="1"/>
  <c r="M2568" i="3" s="1"/>
  <c r="M2569" i="3" s="1"/>
  <c r="M2570" i="3" s="1"/>
  <c r="M2571" i="3" s="1"/>
  <c r="M2572" i="3" s="1"/>
  <c r="M2573" i="3" s="1"/>
  <c r="M2574" i="3" s="1"/>
  <c r="M2575" i="3" s="1"/>
  <c r="M2576" i="3" s="1"/>
  <c r="M2577" i="3" s="1"/>
  <c r="M2578" i="3" s="1"/>
  <c r="M2579" i="3" s="1"/>
  <c r="M2580" i="3" s="1"/>
  <c r="M2581" i="3" s="1"/>
  <c r="M2582" i="3" s="1"/>
  <c r="M2583" i="3" s="1"/>
  <c r="M2584" i="3" s="1"/>
  <c r="M2585" i="3" s="1"/>
  <c r="M2586" i="3" s="1"/>
  <c r="M2587" i="3" s="1"/>
  <c r="M2588" i="3" s="1"/>
  <c r="M2589" i="3" s="1"/>
  <c r="M2590" i="3" s="1"/>
  <c r="M2591" i="3" s="1"/>
  <c r="M2592" i="3" s="1"/>
  <c r="M2593" i="3" s="1"/>
  <c r="M2594" i="3" s="1"/>
  <c r="M2595" i="3" s="1"/>
  <c r="M2596" i="3" s="1"/>
  <c r="M2597" i="3" s="1"/>
  <c r="M2598" i="3" s="1"/>
  <c r="M2599" i="3" s="1"/>
  <c r="C312" i="31"/>
  <c r="C3353" i="3" l="1"/>
  <c r="C3642" i="3"/>
  <c r="M2600" i="3"/>
  <c r="M2601" i="3" s="1"/>
  <c r="M2602" i="3" s="1"/>
  <c r="M2603" i="3" s="1"/>
  <c r="M2604" i="3" s="1"/>
  <c r="M2605" i="3" s="1"/>
  <c r="M2606" i="3" s="1"/>
  <c r="M2607" i="3" s="1"/>
  <c r="M2608" i="3" s="1"/>
  <c r="M2609" i="3" s="1"/>
  <c r="M2610" i="3" s="1"/>
  <c r="M2611" i="3" s="1"/>
  <c r="M2612" i="3" s="1"/>
  <c r="M2613" i="3" s="1"/>
  <c r="M2614" i="3" s="1"/>
  <c r="M2615" i="3" s="1"/>
  <c r="M2616" i="3" s="1"/>
  <c r="M2617" i="3" s="1"/>
  <c r="M2618" i="3" s="1"/>
  <c r="M2619" i="3" s="1"/>
  <c r="M2620" i="3" s="1"/>
  <c r="M2621" i="3" s="1"/>
  <c r="M2622" i="3" s="1"/>
  <c r="M2623" i="3" s="1"/>
  <c r="M2624" i="3" s="1"/>
  <c r="M2625" i="3" s="1"/>
  <c r="M2626" i="3" s="1"/>
  <c r="M2627" i="3" s="1"/>
  <c r="M2628" i="3" s="1"/>
  <c r="M2629" i="3" s="1"/>
  <c r="M2630" i="3" s="1"/>
  <c r="M2631" i="3" s="1"/>
  <c r="M2632" i="3" s="1"/>
  <c r="M2633" i="3" s="1"/>
  <c r="M2634" i="3" s="1"/>
  <c r="M2635" i="3" s="1"/>
  <c r="C3682" i="3"/>
  <c r="C3693" i="3"/>
  <c r="C397" i="31"/>
  <c r="C313" i="31"/>
  <c r="C3354" i="3" l="1"/>
  <c r="C3355" i="3" s="1"/>
  <c r="C3643" i="3"/>
  <c r="M2636" i="3"/>
  <c r="M2637" i="3" s="1"/>
  <c r="M2638" i="3" s="1"/>
  <c r="M2639" i="3" s="1"/>
  <c r="M2640" i="3" s="1"/>
  <c r="M2641" i="3" s="1"/>
  <c r="M2642" i="3" s="1"/>
  <c r="M2643" i="3" s="1"/>
  <c r="M2644" i="3" s="1"/>
  <c r="M2645" i="3" s="1"/>
  <c r="M2646" i="3" s="1"/>
  <c r="M2647" i="3" s="1"/>
  <c r="M2648" i="3" s="1"/>
  <c r="M2649" i="3" s="1"/>
  <c r="M2650" i="3" s="1"/>
  <c r="M2651" i="3" s="1"/>
  <c r="M2652" i="3" s="1"/>
  <c r="M2653" i="3" s="1"/>
  <c r="M2654" i="3" s="1"/>
  <c r="M2655" i="3" s="1"/>
  <c r="M2656" i="3" s="1"/>
  <c r="M2657" i="3" s="1"/>
  <c r="M2658" i="3" s="1"/>
  <c r="M2659" i="3" s="1"/>
  <c r="M2660" i="3" s="1"/>
  <c r="M2661" i="3" s="1"/>
  <c r="M2662" i="3" s="1"/>
  <c r="M2663" i="3" s="1"/>
  <c r="M2664" i="3" s="1"/>
  <c r="M2665" i="3" s="1"/>
  <c r="M2666" i="3" s="1"/>
  <c r="M2667" i="3" s="1"/>
  <c r="M2668" i="3" s="1"/>
  <c r="M2669" i="3" s="1"/>
  <c r="M2670" i="3" s="1"/>
  <c r="M2671" i="3" s="1"/>
  <c r="M2672" i="3" s="1"/>
  <c r="M2673" i="3" s="1"/>
  <c r="M2674" i="3" s="1"/>
  <c r="M2675" i="3" s="1"/>
  <c r="M2676" i="3" s="1"/>
  <c r="M2677" i="3" s="1"/>
  <c r="M2678" i="3" s="1"/>
  <c r="M2679" i="3" s="1"/>
  <c r="M2680" i="3" s="1"/>
  <c r="M2681" i="3" s="1"/>
  <c r="M2682" i="3" s="1"/>
  <c r="M2683" i="3" s="1"/>
  <c r="M2684" i="3" s="1"/>
  <c r="M2685" i="3" s="1"/>
  <c r="M2686" i="3" s="1"/>
  <c r="M2687" i="3" s="1"/>
  <c r="M2688" i="3" s="1"/>
  <c r="M2689" i="3" s="1"/>
  <c r="M2690" i="3" s="1"/>
  <c r="M2691" i="3" s="1"/>
  <c r="M2692" i="3" s="1"/>
  <c r="M2693" i="3" s="1"/>
  <c r="M2694" i="3" s="1"/>
  <c r="M2695" i="3" s="1"/>
  <c r="M2696" i="3" s="1"/>
  <c r="M2697" i="3" s="1"/>
  <c r="M2698" i="3" s="1"/>
  <c r="M2699" i="3" s="1"/>
  <c r="M2700" i="3" s="1"/>
  <c r="M2701" i="3" s="1"/>
  <c r="M2702" i="3" s="1"/>
  <c r="M2703" i="3" s="1"/>
  <c r="C3694" i="3"/>
  <c r="C3695" i="3" s="1"/>
  <c r="C3696" i="3" s="1"/>
  <c r="C3683" i="3"/>
  <c r="C398" i="31"/>
  <c r="C399" i="31" s="1"/>
  <c r="C400" i="31" s="1"/>
  <c r="C314" i="31"/>
  <c r="O419" i="3"/>
  <c r="N419" i="3"/>
  <c r="C3645" i="3" l="1"/>
  <c r="M2704" i="3"/>
  <c r="M2705" i="3" s="1"/>
  <c r="M2706" i="3" s="1"/>
  <c r="M2707" i="3" s="1"/>
  <c r="M2708" i="3" s="1"/>
  <c r="M2709" i="3" s="1"/>
  <c r="M2710" i="3" s="1"/>
  <c r="M2711" i="3" s="1"/>
  <c r="M2712" i="3" s="1"/>
  <c r="M2713" i="3" s="1"/>
  <c r="M2714" i="3" s="1"/>
  <c r="M2715" i="3" s="1"/>
  <c r="M2716" i="3" s="1"/>
  <c r="M2717" i="3" s="1"/>
  <c r="M2718" i="3" s="1"/>
  <c r="M2719" i="3" s="1"/>
  <c r="M2720" i="3" s="1"/>
  <c r="M2721" i="3" s="1"/>
  <c r="M2722" i="3" s="1"/>
  <c r="M2723" i="3" s="1"/>
  <c r="M2724" i="3" s="1"/>
  <c r="M2725" i="3" s="1"/>
  <c r="M2726" i="3" s="1"/>
  <c r="C3697" i="3"/>
  <c r="C3684" i="3"/>
  <c r="C3356" i="3"/>
  <c r="C401" i="31"/>
  <c r="C315" i="31"/>
  <c r="C3646" i="3" l="1"/>
  <c r="M2729" i="3"/>
  <c r="M2730" i="3" s="1"/>
  <c r="M2731" i="3" s="1"/>
  <c r="M2732" i="3" s="1"/>
  <c r="M2733" i="3" s="1"/>
  <c r="M2734" i="3" s="1"/>
  <c r="M2735" i="3" s="1"/>
  <c r="M2736" i="3" s="1"/>
  <c r="M2737" i="3" s="1"/>
  <c r="M2738" i="3" s="1"/>
  <c r="M2739" i="3" s="1"/>
  <c r="M2740" i="3" s="1"/>
  <c r="M2741" i="3" s="1"/>
  <c r="M2742" i="3" s="1"/>
  <c r="M2743" i="3" s="1"/>
  <c r="M2744" i="3" s="1"/>
  <c r="M2745" i="3" s="1"/>
  <c r="M2746" i="3" s="1"/>
  <c r="M2747" i="3" s="1"/>
  <c r="M2748" i="3" s="1"/>
  <c r="M2749" i="3" s="1"/>
  <c r="M2750" i="3" s="1"/>
  <c r="M2751" i="3" s="1"/>
  <c r="M2752" i="3" s="1"/>
  <c r="M2753" i="3" s="1"/>
  <c r="M2754" i="3" s="1"/>
  <c r="M2755" i="3" s="1"/>
  <c r="M2756" i="3" s="1"/>
  <c r="M2757" i="3" s="1"/>
  <c r="M2758" i="3" s="1"/>
  <c r="M2759" i="3" s="1"/>
  <c r="M2760" i="3" s="1"/>
  <c r="M2761" i="3" s="1"/>
  <c r="M2762" i="3" s="1"/>
  <c r="M2763" i="3" s="1"/>
  <c r="M2764" i="3" s="1"/>
  <c r="M2765" i="3" s="1"/>
  <c r="M2766" i="3" s="1"/>
  <c r="M2767" i="3" s="1"/>
  <c r="M2768" i="3" s="1"/>
  <c r="M2769" i="3" s="1"/>
  <c r="M2770" i="3" s="1"/>
  <c r="M2771" i="3" s="1"/>
  <c r="M2772" i="3" s="1"/>
  <c r="M2773" i="3" s="1"/>
  <c r="M2774" i="3" s="1"/>
  <c r="M2775" i="3" s="1"/>
  <c r="M2776" i="3" s="1"/>
  <c r="M2777" i="3" s="1"/>
  <c r="M2778" i="3" s="1"/>
  <c r="M2779" i="3" s="1"/>
  <c r="M2780" i="3" s="1"/>
  <c r="M2781" i="3" s="1"/>
  <c r="M2782" i="3" s="1"/>
  <c r="M2783" i="3" s="1"/>
  <c r="M2784" i="3" s="1"/>
  <c r="M2785" i="3" s="1"/>
  <c r="M2786" i="3" s="1"/>
  <c r="M2787" i="3" s="1"/>
  <c r="M2788" i="3" s="1"/>
  <c r="M2789" i="3" s="1"/>
  <c r="M2790" i="3" s="1"/>
  <c r="M2791" i="3" s="1"/>
  <c r="M2792" i="3" s="1"/>
  <c r="M2793" i="3" s="1"/>
  <c r="M2794" i="3" s="1"/>
  <c r="M2795" i="3" s="1"/>
  <c r="M2796" i="3" s="1"/>
  <c r="M2797" i="3" s="1"/>
  <c r="M2798" i="3" s="1"/>
  <c r="M2799" i="3" s="1"/>
  <c r="M2800" i="3" s="1"/>
  <c r="M2801" i="3" s="1"/>
  <c r="M2802" i="3" s="1"/>
  <c r="M2803" i="3" s="1"/>
  <c r="M2727" i="3"/>
  <c r="M2728" i="3" s="1"/>
  <c r="C3698" i="3"/>
  <c r="C3699" i="3" s="1"/>
  <c r="C3685" i="3"/>
  <c r="C3686" i="3" s="1"/>
  <c r="C3357" i="3"/>
  <c r="C402" i="31"/>
  <c r="C3647" i="3" l="1"/>
  <c r="C3651" i="3" s="1"/>
  <c r="C3652" i="3" s="1"/>
  <c r="C3653" i="3" s="1"/>
  <c r="C3700" i="3"/>
  <c r="C3687" i="3"/>
  <c r="C3358" i="3"/>
  <c r="C403" i="31"/>
  <c r="M2804" i="3"/>
  <c r="M2805" i="3" s="1"/>
  <c r="M2806" i="3" s="1"/>
  <c r="M2807" i="3" s="1"/>
  <c r="M2808" i="3" s="1"/>
  <c r="M2809" i="3" s="1"/>
  <c r="M2810" i="3" s="1"/>
  <c r="M2811" i="3" s="1"/>
  <c r="M2812" i="3" s="1"/>
  <c r="M2813" i="3" s="1"/>
  <c r="M2814" i="3" s="1"/>
  <c r="M2815" i="3" s="1"/>
  <c r="M2816" i="3" s="1"/>
  <c r="M2817" i="3" s="1"/>
  <c r="M2818" i="3" s="1"/>
  <c r="M2819" i="3" s="1"/>
  <c r="M2820" i="3" s="1"/>
  <c r="M2821" i="3" s="1"/>
  <c r="C3654" i="3" l="1"/>
  <c r="C3655" i="3" s="1"/>
  <c r="C3701" i="3"/>
  <c r="C3688" i="3"/>
  <c r="C404" i="31"/>
  <c r="C405" i="31" s="1"/>
  <c r="M2822" i="3"/>
  <c r="M2823" i="3" s="1"/>
  <c r="M2824" i="3" s="1"/>
  <c r="M2825" i="3" s="1"/>
  <c r="M2826" i="3" s="1"/>
  <c r="M2827" i="3" s="1"/>
  <c r="M2828" i="3" s="1"/>
  <c r="M2829" i="3" s="1"/>
  <c r="M2830" i="3" s="1"/>
  <c r="M2831" i="3" s="1"/>
  <c r="M2832" i="3" s="1"/>
  <c r="M2833" i="3" s="1"/>
  <c r="M2834" i="3" s="1"/>
  <c r="M2835" i="3" s="1"/>
  <c r="C3656" i="3" l="1"/>
  <c r="C3702" i="3"/>
  <c r="C3689" i="3"/>
  <c r="C406" i="31"/>
  <c r="M2836" i="3"/>
  <c r="M2837" i="3" s="1"/>
  <c r="M2838" i="3" s="1"/>
  <c r="M2839" i="3" s="1"/>
  <c r="M2840" i="3" s="1"/>
  <c r="M2841" i="3" s="1"/>
  <c r="M2842" i="3" s="1"/>
  <c r="M2843" i="3" s="1"/>
  <c r="M2844" i="3" s="1"/>
  <c r="M2845" i="3" s="1"/>
  <c r="M2846" i="3" s="1"/>
  <c r="M2847" i="3" s="1"/>
  <c r="M2848" i="3" s="1"/>
  <c r="M2849" i="3" s="1"/>
  <c r="M2850" i="3" s="1"/>
  <c r="M2851" i="3" s="1"/>
  <c r="M2852" i="3" s="1"/>
  <c r="M2853" i="3" s="1"/>
  <c r="M2854" i="3" s="1"/>
  <c r="M2855" i="3" s="1"/>
  <c r="M2856" i="3" s="1"/>
  <c r="M2857" i="3" s="1"/>
  <c r="M2858" i="3" s="1"/>
  <c r="M2859" i="3" s="1"/>
  <c r="M2860" i="3" s="1"/>
  <c r="M2861" i="3" s="1"/>
  <c r="M2862" i="3" s="1"/>
  <c r="M2863" i="3" s="1"/>
  <c r="M2864" i="3" s="1"/>
  <c r="M2865" i="3" s="1"/>
  <c r="M2866" i="3" s="1"/>
  <c r="M2867" i="3" s="1"/>
  <c r="M2868" i="3" s="1"/>
  <c r="M2869" i="3" s="1"/>
  <c r="M2870" i="3" s="1"/>
  <c r="M2871" i="3" s="1"/>
  <c r="M2872" i="3" s="1"/>
  <c r="M2873" i="3" s="1"/>
  <c r="M2874" i="3" s="1"/>
  <c r="M2875" i="3" s="1"/>
  <c r="M2876" i="3" s="1"/>
  <c r="M2877" i="3" s="1"/>
  <c r="M2878" i="3" s="1"/>
  <c r="M2879" i="3" s="1"/>
  <c r="M2880" i="3" s="1"/>
  <c r="M2881" i="3" s="1"/>
  <c r="M2882" i="3" s="1"/>
  <c r="M2883" i="3" s="1"/>
  <c r="M2884" i="3" s="1"/>
  <c r="M2885" i="3" s="1"/>
  <c r="M2886" i="3" s="1"/>
  <c r="M2887" i="3" s="1"/>
  <c r="M2888" i="3" s="1"/>
  <c r="M2889" i="3" s="1"/>
  <c r="M2890" i="3" s="1"/>
  <c r="M2891" i="3" s="1"/>
  <c r="M2892" i="3" s="1"/>
  <c r="M2893" i="3" s="1"/>
  <c r="M2894" i="3" s="1"/>
  <c r="M2895" i="3" s="1"/>
  <c r="M2896" i="3" s="1"/>
  <c r="M2897" i="3" s="1"/>
  <c r="M2898" i="3" s="1"/>
  <c r="M2899" i="3" s="1"/>
  <c r="M2900" i="3" s="1"/>
  <c r="M2901" i="3" s="1"/>
  <c r="M2902" i="3" s="1"/>
  <c r="M2903" i="3" s="1"/>
  <c r="M2904" i="3" s="1"/>
  <c r="M2905" i="3" s="1"/>
  <c r="M2906" i="3" s="1"/>
  <c r="M2907" i="3" s="1"/>
  <c r="M2908" i="3" s="1"/>
  <c r="M2909" i="3" s="1"/>
  <c r="M2910" i="3" s="1"/>
  <c r="M2911" i="3" s="1"/>
  <c r="M2912" i="3" s="1"/>
  <c r="M2913" i="3" s="1"/>
  <c r="M2914" i="3" s="1"/>
  <c r="M2915" i="3" s="1"/>
  <c r="M2916" i="3" s="1"/>
  <c r="M2917" i="3" s="1"/>
  <c r="M2918" i="3" s="1"/>
  <c r="M2919" i="3" s="1"/>
  <c r="M2920" i="3" s="1"/>
  <c r="M2921" i="3" s="1"/>
  <c r="M2922" i="3" s="1"/>
  <c r="M2923" i="3" s="1"/>
  <c r="M2924" i="3" s="1"/>
  <c r="M2925" i="3" s="1"/>
  <c r="M2926" i="3" s="1"/>
  <c r="M2927" i="3" s="1"/>
  <c r="M2928" i="3" s="1"/>
  <c r="M2929" i="3" s="1"/>
  <c r="M2930" i="3" s="1"/>
  <c r="M2931" i="3" s="1"/>
  <c r="M2932" i="3" s="1"/>
  <c r="M2933" i="3" s="1"/>
  <c r="M2934" i="3" s="1"/>
  <c r="M2935" i="3" s="1"/>
  <c r="M2936" i="3" s="1"/>
  <c r="M2937" i="3" s="1"/>
  <c r="M2938" i="3" s="1"/>
  <c r="M2939" i="3" s="1"/>
  <c r="M2940" i="3" s="1"/>
  <c r="M2941" i="3" s="1"/>
  <c r="M2942" i="3" s="1"/>
  <c r="M2943" i="3" s="1"/>
  <c r="M2944" i="3" s="1"/>
  <c r="M2945" i="3" s="1"/>
  <c r="M2946" i="3" s="1"/>
  <c r="M2947" i="3" s="1"/>
  <c r="M2948" i="3" s="1"/>
  <c r="M2949" i="3" s="1"/>
  <c r="M2950" i="3" s="1"/>
  <c r="M2951" i="3" s="1"/>
  <c r="M2952" i="3" s="1"/>
  <c r="M2953" i="3" s="1"/>
  <c r="M2954" i="3" s="1"/>
  <c r="M2955" i="3" s="1"/>
  <c r="M2956" i="3" s="1"/>
  <c r="M2957" i="3" s="1"/>
  <c r="M2958" i="3" s="1"/>
  <c r="M2959" i="3" s="1"/>
  <c r="M2960" i="3" s="1"/>
  <c r="M2961" i="3" s="1"/>
  <c r="M2962" i="3" s="1"/>
  <c r="M2963" i="3" s="1"/>
  <c r="M2964" i="3" s="1"/>
  <c r="M2965" i="3" s="1"/>
  <c r="M2966" i="3" s="1"/>
  <c r="M2967" i="3" s="1"/>
  <c r="M2968" i="3" s="1"/>
  <c r="M2969" i="3" s="1"/>
  <c r="M2970" i="3" s="1"/>
  <c r="M2971" i="3" s="1"/>
  <c r="M2972" i="3" s="1"/>
  <c r="M2973" i="3" s="1"/>
  <c r="M2974" i="3" s="1"/>
  <c r="M2975" i="3" s="1"/>
  <c r="M2976" i="3" s="1"/>
  <c r="M2977" i="3" s="1"/>
  <c r="M2978" i="3" s="1"/>
  <c r="M2979" i="3" s="1"/>
  <c r="M2980" i="3" s="1"/>
  <c r="M2981" i="3" s="1"/>
  <c r="M2982" i="3" s="1"/>
  <c r="M2983" i="3" s="1"/>
  <c r="M2984" i="3" s="1"/>
  <c r="M2985" i="3" s="1"/>
  <c r="M2986" i="3" s="1"/>
  <c r="M2987" i="3" s="1"/>
  <c r="M2988" i="3" s="1"/>
  <c r="M2989" i="3" s="1"/>
  <c r="M2990" i="3" s="1"/>
  <c r="M2991" i="3" s="1"/>
  <c r="M2992" i="3" s="1"/>
  <c r="M2993" i="3" s="1"/>
  <c r="M2994" i="3" s="1"/>
  <c r="M2995" i="3" s="1"/>
  <c r="M2996" i="3" s="1"/>
  <c r="M2997" i="3" s="1"/>
  <c r="M2998" i="3" s="1"/>
  <c r="M2999" i="3" s="1"/>
  <c r="M3000" i="3" s="1"/>
  <c r="M3001" i="3" s="1"/>
  <c r="M3002" i="3" s="1"/>
  <c r="M3003" i="3" s="1"/>
  <c r="M3004" i="3" s="1"/>
  <c r="M3005" i="3" s="1"/>
  <c r="M3006" i="3" s="1"/>
  <c r="M3007" i="3" s="1"/>
  <c r="M3008" i="3" s="1"/>
  <c r="M3009" i="3" s="1"/>
  <c r="M3010" i="3" s="1"/>
  <c r="M3011" i="3" s="1"/>
  <c r="M3012" i="3" s="1"/>
  <c r="M3013" i="3" s="1"/>
  <c r="M3014" i="3" s="1"/>
  <c r="M3015" i="3" s="1"/>
  <c r="M3016" i="3" s="1"/>
  <c r="M3017" i="3" s="1"/>
  <c r="M3018" i="3" s="1"/>
  <c r="M3019" i="3" s="1"/>
  <c r="M3020" i="3" s="1"/>
  <c r="M3021" i="3" s="1"/>
  <c r="M3022" i="3" s="1"/>
  <c r="M3023" i="3" s="1"/>
  <c r="M3024" i="3" s="1"/>
  <c r="M3025" i="3" s="1"/>
  <c r="M3026" i="3" s="1"/>
  <c r="M3027" i="3" s="1"/>
  <c r="M3028" i="3" s="1"/>
  <c r="M3029" i="3" s="1"/>
  <c r="M3030" i="3" s="1"/>
  <c r="M3031" i="3" s="1"/>
  <c r="M3032" i="3" s="1"/>
  <c r="M3033" i="3" s="1"/>
  <c r="M3034" i="3" s="1"/>
  <c r="M3035" i="3" s="1"/>
  <c r="M3036" i="3" s="1"/>
  <c r="M3037" i="3" s="1"/>
  <c r="M3038" i="3" s="1"/>
  <c r="M3039" i="3" s="1"/>
  <c r="M3040" i="3" s="1"/>
  <c r="M3041" i="3" s="1"/>
  <c r="M3042" i="3" s="1"/>
  <c r="M3043" i="3" s="1"/>
  <c r="M3044" i="3" s="1"/>
  <c r="M3045" i="3" s="1"/>
  <c r="M3046" i="3" s="1"/>
  <c r="M3047" i="3" s="1"/>
  <c r="M3048" i="3" s="1"/>
  <c r="M3049" i="3" s="1"/>
  <c r="M3050" i="3" s="1"/>
  <c r="M3051" i="3" s="1"/>
  <c r="M3052" i="3" s="1"/>
  <c r="M3053" i="3" s="1"/>
  <c r="M3054" i="3" s="1"/>
  <c r="M3055" i="3" s="1"/>
  <c r="M3056" i="3" s="1"/>
  <c r="M3057" i="3" s="1"/>
  <c r="M3058" i="3" s="1"/>
  <c r="M3059" i="3" s="1"/>
  <c r="M3060" i="3" s="1"/>
  <c r="M3061" i="3" s="1"/>
  <c r="M3062" i="3" s="1"/>
  <c r="M3063" i="3" s="1"/>
  <c r="M3064" i="3" s="1"/>
  <c r="M3065" i="3" s="1"/>
  <c r="M3066" i="3" s="1"/>
  <c r="M3067" i="3" s="1"/>
  <c r="M3068" i="3" s="1"/>
  <c r="M3069" i="3" s="1"/>
  <c r="M3070" i="3" s="1"/>
  <c r="M3071" i="3" s="1"/>
  <c r="M3072" i="3" s="1"/>
  <c r="M3073" i="3" s="1"/>
  <c r="M3074" i="3" s="1"/>
  <c r="M3075" i="3" s="1"/>
  <c r="M3076" i="3" s="1"/>
  <c r="M3077" i="3" s="1"/>
  <c r="M3078" i="3" s="1"/>
  <c r="M3079" i="3" s="1"/>
  <c r="M3080" i="3" s="1"/>
  <c r="M3081" i="3" s="1"/>
  <c r="M3082" i="3" s="1"/>
  <c r="M3083" i="3" s="1"/>
  <c r="M3084" i="3" s="1"/>
  <c r="M3085" i="3" s="1"/>
  <c r="M3086" i="3" s="1"/>
  <c r="M3087" i="3" s="1"/>
  <c r="M3088" i="3" s="1"/>
  <c r="M3089" i="3" s="1"/>
  <c r="M3090" i="3" s="1"/>
  <c r="M3091" i="3" s="1"/>
  <c r="M3092" i="3" s="1"/>
  <c r="M3093" i="3" s="1"/>
  <c r="M3094" i="3" s="1"/>
  <c r="M3095" i="3" s="1"/>
  <c r="M3096" i="3" s="1"/>
  <c r="M3097" i="3" s="1"/>
  <c r="M3098" i="3" s="1"/>
  <c r="M3099" i="3" s="1"/>
  <c r="M3100" i="3" s="1"/>
  <c r="M3101" i="3" s="1"/>
  <c r="M3102" i="3" s="1"/>
  <c r="M3103" i="3" s="1"/>
  <c r="M3104" i="3" s="1"/>
  <c r="M3105" i="3" s="1"/>
  <c r="M3106" i="3" s="1"/>
  <c r="M3107" i="3" s="1"/>
  <c r="M3108" i="3" s="1"/>
  <c r="M3109" i="3" s="1"/>
  <c r="M3110" i="3" s="1"/>
  <c r="M3111" i="3" s="1"/>
  <c r="M3112" i="3" s="1"/>
  <c r="M3113" i="3" s="1"/>
  <c r="M3114" i="3" s="1"/>
  <c r="M3115" i="3" s="1"/>
  <c r="M3116" i="3" s="1"/>
  <c r="M3117" i="3" s="1"/>
  <c r="M3118" i="3" s="1"/>
  <c r="M3119" i="3" s="1"/>
  <c r="M3120" i="3" s="1"/>
  <c r="M3121" i="3" s="1"/>
  <c r="M3122" i="3" s="1"/>
  <c r="M3123" i="3" s="1"/>
  <c r="M3124" i="3" s="1"/>
  <c r="M3125" i="3" s="1"/>
  <c r="M3126" i="3" s="1"/>
  <c r="M3127" i="3" s="1"/>
  <c r="M3128" i="3" s="1"/>
  <c r="M3129" i="3" s="1"/>
  <c r="M3130" i="3" s="1"/>
  <c r="M3131" i="3" s="1"/>
  <c r="M3132" i="3" s="1"/>
  <c r="M3133" i="3" s="1"/>
  <c r="M3134" i="3" s="1"/>
  <c r="M3135" i="3" s="1"/>
  <c r="M3136" i="3" s="1"/>
  <c r="M3137" i="3" s="1"/>
  <c r="M3138" i="3" s="1"/>
  <c r="M3139" i="3" s="1"/>
  <c r="M3140" i="3" s="1"/>
  <c r="M3141" i="3" s="1"/>
  <c r="M3142" i="3" s="1"/>
  <c r="M3143" i="3" s="1"/>
  <c r="M3144" i="3" s="1"/>
  <c r="M3145" i="3" s="1"/>
  <c r="M3146" i="3" s="1"/>
  <c r="M3147" i="3" s="1"/>
  <c r="M3148" i="3" s="1"/>
  <c r="M3149" i="3" s="1"/>
  <c r="M3150" i="3" s="1"/>
  <c r="M3151" i="3" s="1"/>
  <c r="M3152" i="3" s="1"/>
  <c r="M3153" i="3" s="1"/>
  <c r="M3154" i="3" s="1"/>
  <c r="M3155" i="3" s="1"/>
  <c r="M3156" i="3" s="1"/>
  <c r="M3157" i="3" s="1"/>
  <c r="M3158" i="3" s="1"/>
  <c r="M3159" i="3" s="1"/>
  <c r="M3160" i="3" s="1"/>
  <c r="M3161" i="3" s="1"/>
  <c r="M3162" i="3" s="1"/>
  <c r="M3163" i="3" s="1"/>
  <c r="M3164" i="3" s="1"/>
  <c r="M3165" i="3" s="1"/>
  <c r="M3166" i="3" s="1"/>
  <c r="M3167" i="3" s="1"/>
  <c r="M3168" i="3" s="1"/>
  <c r="M3169" i="3" s="1"/>
  <c r="M3170" i="3" s="1"/>
  <c r="M3171" i="3" s="1"/>
  <c r="M3172" i="3" s="1"/>
  <c r="M3173" i="3" s="1"/>
  <c r="M3174" i="3" s="1"/>
  <c r="M3175" i="3" s="1"/>
  <c r="M3176" i="3" s="1"/>
  <c r="M3177" i="3" s="1"/>
  <c r="M3178" i="3" s="1"/>
  <c r="M3179" i="3" s="1"/>
  <c r="M3180" i="3" s="1"/>
  <c r="M3181" i="3" s="1"/>
  <c r="M3182" i="3" s="1"/>
  <c r="M3183" i="3" s="1"/>
  <c r="M3184" i="3" s="1"/>
  <c r="M3185" i="3" s="1"/>
  <c r="M3186" i="3" s="1"/>
  <c r="M3187" i="3" s="1"/>
  <c r="M3188" i="3" s="1"/>
  <c r="M3189" i="3" s="1"/>
  <c r="M3190" i="3" s="1"/>
  <c r="M3191" i="3" s="1"/>
  <c r="M3192" i="3" s="1"/>
  <c r="M3193" i="3" s="1"/>
  <c r="M3194" i="3" s="1"/>
  <c r="M3195" i="3" s="1"/>
  <c r="M3196" i="3" s="1"/>
  <c r="M3197" i="3" s="1"/>
  <c r="M3198" i="3" s="1"/>
  <c r="M3199" i="3" s="1"/>
  <c r="M3200" i="3" s="1"/>
  <c r="M3201" i="3" s="1"/>
  <c r="M3202" i="3" s="1"/>
  <c r="M3203" i="3" s="1"/>
  <c r="M3204" i="3" s="1"/>
  <c r="M3205" i="3" s="1"/>
  <c r="M3206" i="3" s="1"/>
  <c r="M3207" i="3" s="1"/>
  <c r="M3208" i="3" s="1"/>
  <c r="M3209" i="3" s="1"/>
  <c r="M3210" i="3" s="1"/>
  <c r="M3211" i="3" s="1"/>
  <c r="M3212" i="3" s="1"/>
  <c r="M3213" i="3" s="1"/>
  <c r="M3214" i="3" s="1"/>
  <c r="M3215" i="3" s="1"/>
  <c r="M3216" i="3" s="1"/>
  <c r="M3217" i="3" s="1"/>
  <c r="M3218" i="3" s="1"/>
  <c r="M3219" i="3" s="1"/>
  <c r="M3220" i="3" s="1"/>
  <c r="M3221" i="3" s="1"/>
  <c r="C3657" i="3" l="1"/>
  <c r="M3222" i="3"/>
  <c r="M3223" i="3" s="1"/>
  <c r="M3224" i="3" s="1"/>
  <c r="M3225" i="3" s="1"/>
  <c r="M3226" i="3" s="1"/>
  <c r="M3227" i="3" s="1"/>
  <c r="M3228" i="3" s="1"/>
  <c r="M3229" i="3" s="1"/>
  <c r="M3230" i="3" s="1"/>
  <c r="M3231" i="3" s="1"/>
  <c r="M3232" i="3" s="1"/>
  <c r="M3233" i="3" s="1"/>
  <c r="M3234" i="3" s="1"/>
  <c r="M3235" i="3" s="1"/>
  <c r="M3236" i="3" s="1"/>
  <c r="M3237" i="3" s="1"/>
  <c r="M3238" i="3" s="1"/>
  <c r="M3239" i="3" s="1"/>
  <c r="M3240" i="3" s="1"/>
  <c r="M3241" i="3" s="1"/>
  <c r="M3242" i="3" s="1"/>
  <c r="M3243" i="3" s="1"/>
  <c r="M3244" i="3" s="1"/>
  <c r="M3245" i="3" s="1"/>
  <c r="M3246" i="3" s="1"/>
  <c r="M3247" i="3" s="1"/>
  <c r="M3248" i="3" s="1"/>
  <c r="M3249" i="3" s="1"/>
  <c r="M3250" i="3" s="1"/>
  <c r="M3251" i="3" s="1"/>
  <c r="M3252" i="3" s="1"/>
  <c r="M3253" i="3" s="1"/>
  <c r="M3254" i="3" s="1"/>
  <c r="M3255" i="3" s="1"/>
  <c r="M3256" i="3" s="1"/>
  <c r="M3257" i="3" s="1"/>
  <c r="M3258" i="3" s="1"/>
  <c r="M3259" i="3" s="1"/>
  <c r="M3260" i="3" s="1"/>
  <c r="M3261" i="3" s="1"/>
  <c r="M3262" i="3" s="1"/>
  <c r="M3263" i="3" s="1"/>
  <c r="M3264" i="3" s="1"/>
  <c r="M3265" i="3" s="1"/>
  <c r="M3266" i="3" s="1"/>
  <c r="M3267" i="3" s="1"/>
  <c r="M3268" i="3" s="1"/>
  <c r="M3269" i="3" s="1"/>
  <c r="M3270" i="3" s="1"/>
  <c r="M3271" i="3" s="1"/>
  <c r="M3272" i="3" s="1"/>
  <c r="M3273" i="3" s="1"/>
  <c r="M3274" i="3" s="1"/>
  <c r="M3275" i="3" s="1"/>
  <c r="M3276" i="3" s="1"/>
  <c r="M3277" i="3" s="1"/>
  <c r="M3278" i="3" s="1"/>
  <c r="M3279" i="3" s="1"/>
  <c r="M3280" i="3" s="1"/>
  <c r="M3281" i="3" s="1"/>
  <c r="M3282" i="3" s="1"/>
  <c r="M3283" i="3" s="1"/>
  <c r="M3284" i="3" s="1"/>
  <c r="M3285" i="3" s="1"/>
  <c r="M3286" i="3" s="1"/>
  <c r="M3287" i="3" s="1"/>
  <c r="M3288" i="3" s="1"/>
  <c r="M3289" i="3" s="1"/>
  <c r="M3290" i="3" s="1"/>
  <c r="M3291" i="3" s="1"/>
  <c r="M3292" i="3" s="1"/>
  <c r="M3293" i="3" s="1"/>
  <c r="M3294" i="3" s="1"/>
  <c r="M3295" i="3" s="1"/>
  <c r="M3296" i="3" s="1"/>
  <c r="M3297" i="3" s="1"/>
  <c r="M3298" i="3" s="1"/>
  <c r="M3299" i="3" s="1"/>
  <c r="M3300" i="3" s="1"/>
  <c r="M3301" i="3" s="1"/>
  <c r="C3703" i="3"/>
  <c r="C3690" i="3"/>
  <c r="O2875" i="3"/>
  <c r="C407" i="31"/>
  <c r="C3691" i="3" l="1"/>
  <c r="C3658" i="3"/>
  <c r="M3302" i="3"/>
  <c r="M3303" i="3" s="1"/>
  <c r="M3304" i="3" s="1"/>
  <c r="M3305" i="3" s="1"/>
  <c r="M3306" i="3" s="1"/>
  <c r="M3307" i="3" s="1"/>
  <c r="M3308" i="3" s="1"/>
  <c r="M3309" i="3" s="1"/>
  <c r="M3310" i="3" s="1"/>
  <c r="M3311" i="3" s="1"/>
  <c r="M3312" i="3" s="1"/>
  <c r="M3313" i="3" s="1"/>
  <c r="M3314" i="3" s="1"/>
  <c r="M3315" i="3" s="1"/>
  <c r="M3316" i="3" s="1"/>
  <c r="M3317" i="3" s="1"/>
  <c r="M3318" i="3" s="1"/>
  <c r="M3319" i="3" s="1"/>
  <c r="M3320" i="3" s="1"/>
  <c r="M3321" i="3" s="1"/>
  <c r="M3322" i="3" s="1"/>
  <c r="M3323" i="3" s="1"/>
  <c r="M3324" i="3" s="1"/>
  <c r="C3704" i="3"/>
  <c r="C408" i="31"/>
  <c r="C3705" i="3" l="1"/>
  <c r="C3659" i="3"/>
  <c r="M3325" i="3"/>
  <c r="M3326" i="3" s="1"/>
  <c r="M3327" i="3" s="1"/>
  <c r="M3328" i="3" s="1"/>
  <c r="M3329" i="3" s="1"/>
  <c r="M3330" i="3" s="1"/>
  <c r="M3331" i="3" s="1"/>
  <c r="M3332" i="3" s="1"/>
  <c r="M3333" i="3" s="1"/>
  <c r="M3334" i="3" s="1"/>
  <c r="M3335" i="3" s="1"/>
  <c r="M3336" i="3" s="1"/>
  <c r="M3337" i="3" s="1"/>
  <c r="M3338" i="3" s="1"/>
  <c r="M3339" i="3" s="1"/>
  <c r="M3340" i="3" s="1"/>
  <c r="M3341" i="3" s="1"/>
  <c r="M3342" i="3" s="1"/>
  <c r="M3343" i="3" s="1"/>
  <c r="M3344" i="3" s="1"/>
  <c r="M3345" i="3" s="1"/>
  <c r="M3346" i="3" s="1"/>
  <c r="M3347" i="3" s="1"/>
  <c r="M3348" i="3" s="1"/>
  <c r="M3349" i="3" s="1"/>
  <c r="M3350" i="3" s="1"/>
  <c r="M3351" i="3" s="1"/>
  <c r="M3352" i="3" s="1"/>
  <c r="M3353" i="3" s="1"/>
  <c r="M3354" i="3" s="1"/>
  <c r="M3355" i="3" s="1"/>
  <c r="M3356" i="3" s="1"/>
  <c r="M3357" i="3" s="1"/>
  <c r="M3358" i="3" s="1"/>
  <c r="M3359" i="3" s="1"/>
  <c r="M3360" i="3" s="1"/>
  <c r="M3361" i="3" s="1"/>
  <c r="M3362" i="3" s="1"/>
  <c r="M3363" i="3" s="1"/>
  <c r="M3364" i="3" s="1"/>
  <c r="M3365" i="3" s="1"/>
  <c r="M3366" i="3" s="1"/>
  <c r="M3367" i="3" s="1"/>
  <c r="M3368" i="3" s="1"/>
  <c r="M3369" i="3" s="1"/>
  <c r="M3370" i="3" s="1"/>
  <c r="M3371" i="3" s="1"/>
  <c r="M3372" i="3" s="1"/>
  <c r="M3373" i="3" s="1"/>
  <c r="M3374" i="3" s="1"/>
  <c r="M3375" i="3" s="1"/>
  <c r="M3376" i="3" s="1"/>
  <c r="M3377" i="3" s="1"/>
  <c r="M3378" i="3" s="1"/>
  <c r="M3379" i="3" s="1"/>
  <c r="M3380" i="3" s="1"/>
  <c r="M3381" i="3" s="1"/>
  <c r="M3382" i="3" s="1"/>
  <c r="M3383" i="3" s="1"/>
  <c r="M3384" i="3" s="1"/>
  <c r="M3385" i="3" s="1"/>
  <c r="M3386" i="3" s="1"/>
  <c r="M3387" i="3" s="1"/>
  <c r="M3388" i="3" s="1"/>
  <c r="M3389" i="3" s="1"/>
  <c r="M3390" i="3" s="1"/>
  <c r="M3391" i="3" s="1"/>
  <c r="M3392" i="3" s="1"/>
  <c r="M3393" i="3" s="1"/>
  <c r="M3394" i="3" s="1"/>
  <c r="M3395" i="3" s="1"/>
  <c r="M3396" i="3" s="1"/>
  <c r="M3397" i="3" s="1"/>
  <c r="M3398" i="3" s="1"/>
  <c r="M3399" i="3" s="1"/>
  <c r="M3400" i="3" s="1"/>
  <c r="M3401" i="3" s="1"/>
  <c r="M3402" i="3" s="1"/>
  <c r="M3403" i="3" s="1"/>
  <c r="M3404" i="3" s="1"/>
  <c r="M3405" i="3" s="1"/>
  <c r="M3406" i="3" s="1"/>
  <c r="M3407" i="3" s="1"/>
  <c r="M3408" i="3" s="1"/>
  <c r="M3409" i="3" s="1"/>
  <c r="M3410" i="3" s="1"/>
  <c r="M3411" i="3" s="1"/>
  <c r="M3412" i="3" s="1"/>
  <c r="M3413" i="3" s="1"/>
  <c r="M3414" i="3" s="1"/>
  <c r="M3415" i="3" s="1"/>
  <c r="M3416" i="3" s="1"/>
  <c r="M3417" i="3" s="1"/>
  <c r="M3418" i="3" s="1"/>
  <c r="M3419" i="3" s="1"/>
  <c r="M3420" i="3" s="1"/>
  <c r="M3421" i="3" s="1"/>
  <c r="M3422" i="3" s="1"/>
  <c r="M3423" i="3" s="1"/>
  <c r="M3424" i="3" s="1"/>
  <c r="M3425" i="3" s="1"/>
  <c r="M3426" i="3" s="1"/>
  <c r="M3427" i="3" s="1"/>
  <c r="M3428" i="3" s="1"/>
  <c r="M3429" i="3" s="1"/>
  <c r="M3430" i="3" s="1"/>
  <c r="M3431" i="3" s="1"/>
  <c r="M3432" i="3" s="1"/>
  <c r="M3433" i="3" s="1"/>
  <c r="M3434" i="3" s="1"/>
  <c r="M3435" i="3" s="1"/>
  <c r="M3436" i="3" s="1"/>
  <c r="M3437" i="3" s="1"/>
  <c r="M3438" i="3" s="1"/>
  <c r="M3439" i="3" s="1"/>
  <c r="M3440" i="3" s="1"/>
  <c r="M3441" i="3" s="1"/>
  <c r="M3442" i="3" s="1"/>
  <c r="M3443" i="3" s="1"/>
  <c r="M3444" i="3" s="1"/>
  <c r="M3445" i="3" s="1"/>
  <c r="M3446" i="3" s="1"/>
  <c r="M3447" i="3" s="1"/>
  <c r="M3448" i="3" s="1"/>
  <c r="M3449" i="3" s="1"/>
  <c r="M3450" i="3" s="1"/>
  <c r="M3451" i="3" s="1"/>
  <c r="M3452" i="3" s="1"/>
  <c r="M3453" i="3" s="1"/>
  <c r="M3454" i="3" s="1"/>
  <c r="M3455" i="3" s="1"/>
  <c r="M3456" i="3" s="1"/>
  <c r="M3457" i="3" s="1"/>
  <c r="M3458" i="3" s="1"/>
  <c r="M3459" i="3" s="1"/>
  <c r="M3460" i="3" s="1"/>
  <c r="M3461" i="3" s="1"/>
  <c r="M3462" i="3" s="1"/>
  <c r="M3463" i="3" s="1"/>
  <c r="M3464" i="3" s="1"/>
  <c r="M3465" i="3" s="1"/>
  <c r="M3466" i="3" s="1"/>
  <c r="M3467" i="3" s="1"/>
  <c r="M3468" i="3" s="1"/>
  <c r="M3469" i="3" s="1"/>
  <c r="M3470" i="3" s="1"/>
  <c r="M3471" i="3" s="1"/>
  <c r="M3472" i="3" s="1"/>
  <c r="M3473" i="3" s="1"/>
  <c r="M3474" i="3" s="1"/>
  <c r="M3475" i="3" s="1"/>
  <c r="M3476" i="3" s="1"/>
  <c r="M3477" i="3" s="1"/>
  <c r="M3478" i="3" s="1"/>
  <c r="M3479" i="3" s="1"/>
  <c r="M3480" i="3" s="1"/>
  <c r="M3481" i="3" s="1"/>
  <c r="M3482" i="3" s="1"/>
  <c r="M3483" i="3" s="1"/>
  <c r="M3484" i="3" s="1"/>
  <c r="M3485" i="3" s="1"/>
  <c r="M3486" i="3" s="1"/>
  <c r="M3487" i="3" s="1"/>
  <c r="M3488" i="3" s="1"/>
  <c r="M3489" i="3" s="1"/>
  <c r="M3490" i="3" s="1"/>
  <c r="M3491" i="3" s="1"/>
  <c r="M3492" i="3" s="1"/>
  <c r="M3493" i="3" s="1"/>
  <c r="M3494" i="3" s="1"/>
  <c r="M3495" i="3" s="1"/>
  <c r="M3496" i="3" s="1"/>
  <c r="M3497" i="3" s="1"/>
  <c r="M3498" i="3" s="1"/>
  <c r="M3499" i="3" s="1"/>
  <c r="M3500" i="3" s="1"/>
  <c r="M3501" i="3" s="1"/>
  <c r="M3502" i="3" s="1"/>
  <c r="M3503" i="3" s="1"/>
  <c r="M3504" i="3" s="1"/>
  <c r="M3505" i="3" s="1"/>
  <c r="M3506" i="3" s="1"/>
  <c r="M3507" i="3" s="1"/>
  <c r="M3508" i="3" s="1"/>
  <c r="M3509" i="3" s="1"/>
  <c r="M3510" i="3" s="1"/>
  <c r="M3511" i="3" s="1"/>
  <c r="M3512" i="3" s="1"/>
  <c r="M3513" i="3" s="1"/>
  <c r="M3514" i="3" s="1"/>
  <c r="M3515" i="3" s="1"/>
  <c r="M3516" i="3" s="1"/>
  <c r="M3517" i="3" s="1"/>
  <c r="M3518" i="3" s="1"/>
  <c r="M3519" i="3" s="1"/>
  <c r="M3520" i="3" s="1"/>
  <c r="M3521" i="3" s="1"/>
  <c r="M3522" i="3" s="1"/>
  <c r="M3523" i="3" s="1"/>
  <c r="M3524" i="3" s="1"/>
  <c r="M3525" i="3" s="1"/>
  <c r="M3526" i="3" s="1"/>
  <c r="M3527" i="3" s="1"/>
  <c r="M3528" i="3" s="1"/>
  <c r="M3529" i="3" s="1"/>
  <c r="M3530" i="3" s="1"/>
  <c r="M3531" i="3" s="1"/>
  <c r="M3532" i="3" s="1"/>
  <c r="M3533" i="3" s="1"/>
  <c r="M3534" i="3" s="1"/>
  <c r="M3535" i="3" s="1"/>
  <c r="M3536" i="3" s="1"/>
  <c r="M3537" i="3" s="1"/>
  <c r="M3538" i="3" s="1"/>
  <c r="M3539" i="3" s="1"/>
  <c r="M3540" i="3" s="1"/>
  <c r="M3541" i="3" s="1"/>
  <c r="M3542" i="3" s="1"/>
  <c r="M3543" i="3" s="1"/>
  <c r="M3544" i="3" s="1"/>
  <c r="M3545" i="3" s="1"/>
  <c r="M3546" i="3" s="1"/>
  <c r="M3547" i="3" s="1"/>
  <c r="M3548" i="3" s="1"/>
  <c r="M3549" i="3" s="1"/>
  <c r="M3550" i="3" s="1"/>
  <c r="M3551" i="3" s="1"/>
  <c r="M3552" i="3" s="1"/>
  <c r="M3553" i="3" s="1"/>
  <c r="M3554" i="3" s="1"/>
  <c r="M3555" i="3" s="1"/>
  <c r="M3556" i="3" s="1"/>
  <c r="M3557" i="3" s="1"/>
  <c r="M3558" i="3" s="1"/>
  <c r="M3559" i="3" s="1"/>
  <c r="M3560" i="3" s="1"/>
  <c r="M3561" i="3" s="1"/>
  <c r="M3562" i="3" s="1"/>
  <c r="M3563" i="3" s="1"/>
  <c r="M3564" i="3" s="1"/>
  <c r="M3565" i="3" s="1"/>
  <c r="M3566" i="3" s="1"/>
  <c r="M3567" i="3" s="1"/>
  <c r="M3568" i="3" s="1"/>
  <c r="M3569" i="3" s="1"/>
  <c r="M3570" i="3" s="1"/>
  <c r="M3571" i="3" s="1"/>
  <c r="M3572" i="3" s="1"/>
  <c r="M3573" i="3" s="1"/>
  <c r="M3574" i="3" s="1"/>
  <c r="M3575" i="3" s="1"/>
  <c r="M3576" i="3" s="1"/>
  <c r="M3577" i="3" s="1"/>
  <c r="M3578" i="3" s="1"/>
  <c r="M3579" i="3" s="1"/>
  <c r="M3580" i="3" s="1"/>
  <c r="M3581" i="3" s="1"/>
  <c r="M3582" i="3" s="1"/>
  <c r="M3583" i="3" s="1"/>
  <c r="M3584" i="3" s="1"/>
  <c r="M3585" i="3" s="1"/>
  <c r="M3586" i="3" s="1"/>
  <c r="M3587" i="3" s="1"/>
  <c r="M3588" i="3" s="1"/>
  <c r="M3589" i="3" s="1"/>
  <c r="M3590" i="3" s="1"/>
  <c r="M3591" i="3" s="1"/>
  <c r="M3592" i="3" s="1"/>
  <c r="M3593" i="3" s="1"/>
  <c r="M3594" i="3" s="1"/>
  <c r="M3595" i="3" s="1"/>
  <c r="M3596" i="3" s="1"/>
  <c r="M3597" i="3" s="1"/>
  <c r="M3598" i="3" s="1"/>
  <c r="M3599" i="3" s="1"/>
  <c r="M3600" i="3" s="1"/>
  <c r="M3601" i="3" s="1"/>
  <c r="M3602" i="3" s="1"/>
  <c r="M3603" i="3" s="1"/>
  <c r="M3604" i="3" s="1"/>
  <c r="M3605" i="3" s="1"/>
  <c r="M3606" i="3" s="1"/>
  <c r="M3607" i="3" s="1"/>
  <c r="M3608" i="3" s="1"/>
  <c r="M3609" i="3" s="1"/>
  <c r="M3610" i="3" s="1"/>
  <c r="M3611" i="3" s="1"/>
  <c r="M3612" i="3" s="1"/>
  <c r="M3613" i="3" s="1"/>
  <c r="M3614" i="3" s="1"/>
  <c r="M3615" i="3" s="1"/>
  <c r="M3616" i="3" s="1"/>
  <c r="M3617" i="3" s="1"/>
  <c r="M3618" i="3" s="1"/>
  <c r="M3619" i="3" s="1"/>
  <c r="M3620" i="3" s="1"/>
  <c r="M3621" i="3" s="1"/>
  <c r="M3622" i="3" s="1"/>
  <c r="M3623" i="3" s="1"/>
  <c r="M3624" i="3" s="1"/>
  <c r="M3625" i="3" s="1"/>
  <c r="M3626" i="3" s="1"/>
  <c r="M3627" i="3" s="1"/>
  <c r="M3628" i="3" s="1"/>
  <c r="M3629" i="3" s="1"/>
  <c r="M3630" i="3" s="1"/>
  <c r="M3631" i="3" s="1"/>
  <c r="M3632" i="3" s="1"/>
  <c r="M3633" i="3" s="1"/>
  <c r="M3634" i="3" s="1"/>
  <c r="M3635" i="3" s="1"/>
  <c r="M3636" i="3" s="1"/>
  <c r="M3637" i="3" s="1"/>
  <c r="M3638" i="3" s="1"/>
  <c r="M3639" i="3" s="1"/>
  <c r="M3640" i="3" s="1"/>
  <c r="M3641" i="3" s="1"/>
  <c r="M3642" i="3" s="1"/>
  <c r="M3643" i="3" s="1"/>
  <c r="M3644" i="3" s="1"/>
  <c r="M3645" i="3" s="1"/>
  <c r="M3646" i="3" s="1"/>
  <c r="M3647" i="3" s="1"/>
  <c r="M3648" i="3" s="1"/>
  <c r="M3649" i="3" s="1"/>
  <c r="M3650" i="3" s="1"/>
  <c r="M3651" i="3" s="1"/>
  <c r="M3652" i="3" s="1"/>
  <c r="M3653" i="3" s="1"/>
  <c r="M3654" i="3" s="1"/>
  <c r="M3655" i="3" s="1"/>
  <c r="M3656" i="3" s="1"/>
  <c r="M3657" i="3" s="1"/>
  <c r="M3658" i="3" s="1"/>
  <c r="M3659" i="3" s="1"/>
  <c r="M3660" i="3" s="1"/>
  <c r="M3661" i="3" s="1"/>
  <c r="M3662" i="3" s="1"/>
  <c r="M3663" i="3" s="1"/>
  <c r="M3664" i="3" s="1"/>
  <c r="M3665" i="3" s="1"/>
  <c r="M3666" i="3" s="1"/>
  <c r="M3667" i="3" s="1"/>
  <c r="M3668" i="3" s="1"/>
  <c r="M3669" i="3" s="1"/>
  <c r="M3670" i="3" s="1"/>
  <c r="M3671" i="3" s="1"/>
  <c r="M3672" i="3" s="1"/>
  <c r="M3673" i="3" s="1"/>
  <c r="M3674" i="3" s="1"/>
  <c r="M3675" i="3" s="1"/>
  <c r="M3676" i="3" s="1"/>
  <c r="O3324" i="3"/>
  <c r="C3706" i="3"/>
  <c r="C410" i="31"/>
  <c r="C3660" i="3" l="1"/>
  <c r="CY289" i="11" s="1"/>
  <c r="CZ289" i="11" s="1"/>
  <c r="M3677" i="3"/>
  <c r="M3678" i="3" s="1"/>
  <c r="M3679" i="3" s="1"/>
  <c r="M3680" i="3" s="1"/>
  <c r="M3681" i="3" s="1"/>
  <c r="M3682" i="3" s="1"/>
  <c r="M3683" i="3" s="1"/>
  <c r="M3684" i="3" s="1"/>
  <c r="M3685" i="3" s="1"/>
  <c r="M3686" i="3" s="1"/>
  <c r="M3687" i="3" s="1"/>
  <c r="M3688" i="3" s="1"/>
  <c r="M3689" i="3" s="1"/>
  <c r="M3690" i="3" s="1"/>
  <c r="M3691" i="3" s="1"/>
  <c r="M3692" i="3" s="1"/>
  <c r="M3693" i="3" s="1"/>
  <c r="M3694" i="3" s="1"/>
  <c r="M3695" i="3" s="1"/>
  <c r="M3696" i="3" s="1"/>
  <c r="M3697" i="3" s="1"/>
  <c r="M3698" i="3" s="1"/>
  <c r="M3699" i="3" s="1"/>
  <c r="M3700" i="3" s="1"/>
  <c r="M3701" i="3" s="1"/>
  <c r="M3702" i="3" s="1"/>
  <c r="M3703" i="3" s="1"/>
  <c r="M3704" i="3" s="1"/>
  <c r="M3705" i="3" s="1"/>
  <c r="M3706" i="3" s="1"/>
  <c r="M3707" i="3" s="1"/>
  <c r="M3708" i="3" s="1"/>
  <c r="M3709" i="3" s="1"/>
  <c r="M3710" i="3" s="1"/>
  <c r="M3711" i="3" s="1"/>
  <c r="M3712" i="3" s="1"/>
  <c r="M3713" i="3" s="1"/>
  <c r="M3714" i="3" s="1"/>
  <c r="M3715" i="3" s="1"/>
  <c r="M3716" i="3" s="1"/>
  <c r="M3717" i="3" s="1"/>
  <c r="M3718" i="3" s="1"/>
  <c r="M3719" i="3" s="1"/>
  <c r="M3720" i="3" s="1"/>
  <c r="M3721" i="3" s="1"/>
  <c r="M3722" i="3" s="1"/>
  <c r="M3723" i="3" s="1"/>
  <c r="M3724" i="3" s="1"/>
  <c r="M3725" i="3" s="1"/>
  <c r="M3726" i="3" s="1"/>
  <c r="M3727" i="3" s="1"/>
  <c r="M3728" i="3" s="1"/>
  <c r="M3729" i="3" s="1"/>
  <c r="M3730" i="3" s="1"/>
  <c r="M3731" i="3" s="1"/>
  <c r="M3732" i="3" s="1"/>
  <c r="M3733" i="3" s="1"/>
  <c r="M3734" i="3" s="1"/>
  <c r="M3735" i="3" s="1"/>
  <c r="M3736" i="3" s="1"/>
  <c r="M3737" i="3" s="1"/>
  <c r="M3738" i="3" s="1"/>
  <c r="M3739" i="3" s="1"/>
  <c r="M3740" i="3" s="1"/>
  <c r="M3741" i="3" s="1"/>
  <c r="M3742" i="3" s="1"/>
  <c r="M3743" i="3" s="1"/>
  <c r="C3707" i="3"/>
  <c r="C3708" i="3" s="1"/>
  <c r="C3709" i="3" s="1"/>
  <c r="BQ329" i="11"/>
  <c r="BR329" i="11"/>
  <c r="CH329" i="11"/>
  <c r="C3720" i="3"/>
  <c r="K329" i="11"/>
  <c r="T329" i="11"/>
  <c r="AB329" i="11"/>
  <c r="AJ329" i="11"/>
  <c r="AS329" i="11"/>
  <c r="BA329" i="11"/>
  <c r="BI329" i="11"/>
  <c r="BM329" i="11"/>
  <c r="BN329" i="11"/>
  <c r="BO329" i="11"/>
  <c r="BP329" i="11"/>
  <c r="P321" i="11"/>
  <c r="P322" i="11"/>
  <c r="Q321" i="11"/>
  <c r="Q322" i="11"/>
  <c r="R321" i="11"/>
  <c r="R322" i="11"/>
  <c r="S321" i="11"/>
  <c r="S322" i="11"/>
  <c r="AG321" i="11"/>
  <c r="AG322" i="11"/>
  <c r="AN321" i="11"/>
  <c r="C411" i="31"/>
  <c r="C412" i="31" s="1"/>
  <c r="AP323" i="11"/>
  <c r="AO323" i="11"/>
  <c r="AR323" i="11"/>
  <c r="H321" i="11"/>
  <c r="H322" i="11"/>
  <c r="I321" i="11"/>
  <c r="I322" i="11"/>
  <c r="Z321" i="11"/>
  <c r="Z322" i="11"/>
  <c r="Y321" i="11"/>
  <c r="Y322" i="11"/>
  <c r="CX289" i="11" l="1"/>
  <c r="CV289" i="11"/>
  <c r="CW289" i="11"/>
  <c r="CU289" i="11"/>
  <c r="AY289" i="11"/>
  <c r="AX289" i="11"/>
  <c r="BG289" i="11"/>
  <c r="BP289" i="11"/>
  <c r="BM289" i="11"/>
  <c r="CM289" i="11"/>
  <c r="J289" i="11"/>
  <c r="AP289" i="11"/>
  <c r="AI289" i="11"/>
  <c r="AF289" i="11"/>
  <c r="Y289" i="11"/>
  <c r="P289" i="11"/>
  <c r="Z289" i="11"/>
  <c r="G289" i="11"/>
  <c r="K289" i="11"/>
  <c r="AS289" i="11"/>
  <c r="CE289" i="11"/>
  <c r="BY289" i="11"/>
  <c r="BE289" i="11"/>
  <c r="BA289" i="11"/>
  <c r="BW289" i="11"/>
  <c r="BO289" i="11"/>
  <c r="AZ289" i="11"/>
  <c r="CP289" i="11"/>
  <c r="AG289" i="11"/>
  <c r="AO289" i="11"/>
  <c r="CL289" i="11"/>
  <c r="R289" i="11"/>
  <c r="AQ289" i="11"/>
  <c r="S289" i="11"/>
  <c r="O289" i="11"/>
  <c r="H289" i="11"/>
  <c r="AJ289" i="11"/>
  <c r="T289" i="11"/>
  <c r="C3661" i="3"/>
  <c r="CD289" i="11"/>
  <c r="CG289" i="11"/>
  <c r="AW289" i="11"/>
  <c r="BV289" i="11"/>
  <c r="BX289" i="11"/>
  <c r="BH289" i="11"/>
  <c r="BQ289" i="11"/>
  <c r="BN289" i="11"/>
  <c r="BF289" i="11"/>
  <c r="CN289" i="11"/>
  <c r="AN289" i="11"/>
  <c r="AR289" i="11"/>
  <c r="CO289" i="11"/>
  <c r="X289" i="11"/>
  <c r="Q289" i="11"/>
  <c r="AA289" i="11"/>
  <c r="AH289" i="11"/>
  <c r="I289" i="11"/>
  <c r="AB289" i="11"/>
  <c r="CF289" i="11"/>
  <c r="BZ289" i="11"/>
  <c r="CQ289" i="11"/>
  <c r="BI289" i="11"/>
  <c r="M3744" i="3"/>
  <c r="M3745" i="3" s="1"/>
  <c r="M3746" i="3" s="1"/>
  <c r="M3747" i="3" s="1"/>
  <c r="M3748" i="3" s="1"/>
  <c r="M3749" i="3" s="1"/>
  <c r="M3750" i="3" s="1"/>
  <c r="M3751" i="3" s="1"/>
  <c r="M3752" i="3" s="1"/>
  <c r="M3753" i="3" s="1"/>
  <c r="M3754" i="3" s="1"/>
  <c r="M3755" i="3" s="1"/>
  <c r="M3756" i="3" s="1"/>
  <c r="M3757" i="3" s="1"/>
  <c r="M3758" i="3" s="1"/>
  <c r="M3759" i="3" s="1"/>
  <c r="M3760" i="3" s="1"/>
  <c r="M3761" i="3" s="1"/>
  <c r="M3762" i="3" s="1"/>
  <c r="M3763" i="3" s="1"/>
  <c r="M3764" i="3" s="1"/>
  <c r="M3765" i="3" s="1"/>
  <c r="M3766" i="3" s="1"/>
  <c r="M3767" i="3" s="1"/>
  <c r="M3768" i="3" s="1"/>
  <c r="M3769" i="3" s="1"/>
  <c r="M3770" i="3" s="1"/>
  <c r="M3771" i="3" s="1"/>
  <c r="M3772" i="3" s="1"/>
  <c r="M3773" i="3" s="1"/>
  <c r="M3774" i="3" s="1"/>
  <c r="M3775" i="3" s="1"/>
  <c r="M3776" i="3" s="1"/>
  <c r="M3777" i="3" s="1"/>
  <c r="M3778" i="3" s="1"/>
  <c r="M3779" i="3" s="1"/>
  <c r="M3780" i="3" s="1"/>
  <c r="M3781" i="3" s="1"/>
  <c r="M3782" i="3" s="1"/>
  <c r="M3783" i="3" s="1"/>
  <c r="M3784" i="3" s="1"/>
  <c r="M3785" i="3" s="1"/>
  <c r="M3786" i="3" s="1"/>
  <c r="M3787" i="3" s="1"/>
  <c r="M3788" i="3" s="1"/>
  <c r="M3789" i="3" s="1"/>
  <c r="M3790" i="3" s="1"/>
  <c r="M3791" i="3" s="1"/>
  <c r="M3792" i="3" s="1"/>
  <c r="M3793" i="3" s="1"/>
  <c r="M3794" i="3" s="1"/>
  <c r="C3711" i="3"/>
  <c r="C3710" i="3"/>
  <c r="CF60" i="11"/>
  <c r="CF61" i="11"/>
  <c r="CF62" i="11"/>
  <c r="CF63" i="11"/>
  <c r="CF64" i="11"/>
  <c r="CF78" i="11"/>
  <c r="CF79" i="11"/>
  <c r="CF80" i="11"/>
  <c r="CF81" i="11"/>
  <c r="CF82" i="11"/>
  <c r="CF83" i="11"/>
  <c r="CF84" i="11"/>
  <c r="CF85" i="11"/>
  <c r="C3721" i="3"/>
  <c r="C3722" i="3" s="1"/>
  <c r="C3723" i="3" s="1"/>
  <c r="C3724" i="3" s="1"/>
  <c r="CF35" i="11"/>
  <c r="CF36" i="11"/>
  <c r="CF37" i="11"/>
  <c r="CF38" i="11"/>
  <c r="CF39" i="11"/>
  <c r="CF40" i="11"/>
  <c r="CF41" i="11"/>
  <c r="CF42" i="11"/>
  <c r="CF43" i="11"/>
  <c r="CF44" i="11"/>
  <c r="CF45" i="11"/>
  <c r="CF59" i="11"/>
  <c r="CJ329" i="11"/>
  <c r="CI329" i="11"/>
  <c r="CB329" i="11"/>
  <c r="CA329" i="11"/>
  <c r="BT329" i="11"/>
  <c r="BS329" i="11"/>
  <c r="BK329" i="11"/>
  <c r="BJ329" i="11"/>
  <c r="BC329" i="11"/>
  <c r="BB329" i="11"/>
  <c r="AU329" i="11"/>
  <c r="AT329" i="11"/>
  <c r="AL329" i="11"/>
  <c r="AK329" i="11"/>
  <c r="AD329" i="11"/>
  <c r="AC329" i="11"/>
  <c r="V329" i="11"/>
  <c r="U329" i="11"/>
  <c r="M329" i="11"/>
  <c r="L329" i="11"/>
  <c r="C413" i="31"/>
  <c r="H319" i="11"/>
  <c r="I319" i="11"/>
  <c r="P319" i="11"/>
  <c r="Q319" i="11"/>
  <c r="R319" i="11"/>
  <c r="S319" i="11"/>
  <c r="Y319" i="11"/>
  <c r="C427" i="31"/>
  <c r="AN322" i="11"/>
  <c r="AQ321" i="11"/>
  <c r="AQ322" i="11"/>
  <c r="AP321" i="11"/>
  <c r="AP322" i="11"/>
  <c r="AO321" i="11"/>
  <c r="AO322" i="11"/>
  <c r="AR321" i="11"/>
  <c r="AR322" i="11"/>
  <c r="BJ289" i="11" l="1"/>
  <c r="BK289" i="11"/>
  <c r="AD289" i="11"/>
  <c r="AC289" i="11"/>
  <c r="V289" i="11"/>
  <c r="U289" i="11"/>
  <c r="CR289" i="11"/>
  <c r="CS289" i="11"/>
  <c r="AK289" i="11"/>
  <c r="AL289" i="11"/>
  <c r="CB289" i="11"/>
  <c r="CA289" i="11"/>
  <c r="BC289" i="11"/>
  <c r="BB289" i="11"/>
  <c r="AT289" i="11"/>
  <c r="AU289" i="11"/>
  <c r="C3662" i="3"/>
  <c r="M289" i="11"/>
  <c r="L289" i="11"/>
  <c r="C3725" i="3"/>
  <c r="CY188" i="11" s="1"/>
  <c r="CZ188" i="11" s="1"/>
  <c r="M3795" i="3"/>
  <c r="M3796" i="3" s="1"/>
  <c r="M3797" i="3" s="1"/>
  <c r="M3798" i="3" s="1"/>
  <c r="M3799" i="3" s="1"/>
  <c r="M3800" i="3" s="1"/>
  <c r="M3801" i="3" s="1"/>
  <c r="M3802" i="3" s="1"/>
  <c r="M3803" i="3" s="1"/>
  <c r="M3804" i="3" s="1"/>
  <c r="M3805" i="3" s="1"/>
  <c r="M3806" i="3" s="1"/>
  <c r="M3807" i="3" s="1"/>
  <c r="M3808" i="3" s="1"/>
  <c r="M3809" i="3" s="1"/>
  <c r="M3810" i="3" s="1"/>
  <c r="M3811" i="3" s="1"/>
  <c r="M3812" i="3" s="1"/>
  <c r="M3813" i="3" s="1"/>
  <c r="M3814" i="3" s="1"/>
  <c r="M3815" i="3" s="1"/>
  <c r="M3816" i="3" s="1"/>
  <c r="M3817" i="3" s="1"/>
  <c r="M3818" i="3" s="1"/>
  <c r="M3819" i="3" s="1"/>
  <c r="M3820" i="3" s="1"/>
  <c r="AA188" i="11"/>
  <c r="BY188" i="11"/>
  <c r="AI188" i="11"/>
  <c r="Q188" i="11"/>
  <c r="CQ188" i="11"/>
  <c r="AW188" i="11"/>
  <c r="CD188" i="11"/>
  <c r="CF217" i="11"/>
  <c r="CF218" i="11"/>
  <c r="CF219" i="11"/>
  <c r="CF220" i="11"/>
  <c r="CF225" i="11"/>
  <c r="CF226" i="11"/>
  <c r="CF187" i="11"/>
  <c r="CF188" i="11"/>
  <c r="CF199" i="11"/>
  <c r="CF172" i="11"/>
  <c r="CF178" i="11"/>
  <c r="CF179" i="11"/>
  <c r="CF180" i="11"/>
  <c r="CF158" i="11"/>
  <c r="CF160" i="11"/>
  <c r="CF163" i="11"/>
  <c r="CF166" i="11"/>
  <c r="C3712" i="3"/>
  <c r="C414" i="31"/>
  <c r="AG317" i="11"/>
  <c r="AG318" i="11"/>
  <c r="AN317" i="11"/>
  <c r="AN318" i="11"/>
  <c r="AQ317" i="11"/>
  <c r="AQ318" i="11"/>
  <c r="AP317" i="11"/>
  <c r="AP318" i="11"/>
  <c r="AO317" i="11"/>
  <c r="AO318" i="11"/>
  <c r="AR317" i="11"/>
  <c r="Z318" i="11"/>
  <c r="Y317" i="11"/>
  <c r="Y318" i="11"/>
  <c r="P317" i="11"/>
  <c r="P318" i="11"/>
  <c r="Q317" i="11"/>
  <c r="Q318" i="11"/>
  <c r="R317" i="11"/>
  <c r="R318" i="11"/>
  <c r="S317" i="11"/>
  <c r="S318" i="11"/>
  <c r="H317" i="11"/>
  <c r="H318" i="11"/>
  <c r="I317" i="11"/>
  <c r="I318" i="11"/>
  <c r="Z317" i="11"/>
  <c r="C428" i="31"/>
  <c r="C429" i="31" s="1"/>
  <c r="Z319" i="11"/>
  <c r="AG319" i="11"/>
  <c r="AN319" i="11"/>
  <c r="AO319" i="11"/>
  <c r="AP319" i="11"/>
  <c r="AQ319" i="11"/>
  <c r="AR319" i="11"/>
  <c r="CE188" i="11" l="1"/>
  <c r="CH188" i="11"/>
  <c r="CJ188" i="11" s="1"/>
  <c r="AJ188" i="11"/>
  <c r="AL188" i="11" s="1"/>
  <c r="J188" i="11"/>
  <c r="BH188" i="11"/>
  <c r="X188" i="11"/>
  <c r="G188" i="11"/>
  <c r="C3726" i="3"/>
  <c r="BZ188" i="11"/>
  <c r="CB188" i="11" s="1"/>
  <c r="K188" i="11"/>
  <c r="M188" i="11" s="1"/>
  <c r="AN188" i="11"/>
  <c r="BE188" i="11"/>
  <c r="H188" i="11"/>
  <c r="AG188" i="11"/>
  <c r="CG188" i="11"/>
  <c r="BI188" i="11"/>
  <c r="BJ188" i="11" s="1"/>
  <c r="I188" i="11"/>
  <c r="S188" i="11"/>
  <c r="BA188" i="11"/>
  <c r="BC188" i="11" s="1"/>
  <c r="O188" i="11"/>
  <c r="CP188" i="11"/>
  <c r="AZ188" i="11"/>
  <c r="CM188" i="11"/>
  <c r="CX188" i="11"/>
  <c r="CW188" i="11"/>
  <c r="CV188" i="11"/>
  <c r="CU188" i="11"/>
  <c r="BO188" i="11"/>
  <c r="BF188" i="11"/>
  <c r="C3663" i="3"/>
  <c r="CO188" i="11"/>
  <c r="BV188" i="11"/>
  <c r="AP188" i="11"/>
  <c r="CN188" i="11"/>
  <c r="BQ188" i="11"/>
  <c r="AS188" i="11"/>
  <c r="AU188" i="11" s="1"/>
  <c r="AO188" i="11"/>
  <c r="BN188" i="11"/>
  <c r="AX188" i="11"/>
  <c r="BW188" i="11"/>
  <c r="AB188" i="11"/>
  <c r="AC188" i="11" s="1"/>
  <c r="R188" i="11"/>
  <c r="BR188" i="11"/>
  <c r="BS188" i="11" s="1"/>
  <c r="T188" i="11"/>
  <c r="V188" i="11" s="1"/>
  <c r="Y188" i="11"/>
  <c r="AQ188" i="11"/>
  <c r="CL188" i="11"/>
  <c r="BM188" i="11"/>
  <c r="AH188" i="11"/>
  <c r="AF188" i="11"/>
  <c r="BG188" i="11"/>
  <c r="BP188" i="11"/>
  <c r="Z188" i="11"/>
  <c r="P188" i="11"/>
  <c r="AY188" i="11"/>
  <c r="BX188" i="11"/>
  <c r="AR188" i="11"/>
  <c r="M3821" i="3"/>
  <c r="M3822" i="3" s="1"/>
  <c r="M3823" i="3" s="1"/>
  <c r="M3824" i="3" s="1"/>
  <c r="M3825" i="3" s="1"/>
  <c r="M3826" i="3" s="1"/>
  <c r="M3827" i="3" s="1"/>
  <c r="M3828" i="3" s="1"/>
  <c r="M3829" i="3" s="1"/>
  <c r="M3830" i="3" s="1"/>
  <c r="M3831" i="3" s="1"/>
  <c r="M3832" i="3" s="1"/>
  <c r="M3833" i="3" s="1"/>
  <c r="M3834" i="3" s="1"/>
  <c r="M3835" i="3" s="1"/>
  <c r="M3836" i="3" s="1"/>
  <c r="M3837" i="3" s="1"/>
  <c r="M3838" i="3" s="1"/>
  <c r="M3839" i="3" s="1"/>
  <c r="M3840" i="3" s="1"/>
  <c r="M3841" i="3" s="1"/>
  <c r="M3842" i="3" s="1"/>
  <c r="M3843" i="3" s="1"/>
  <c r="M3844" i="3" s="1"/>
  <c r="M3845" i="3" s="1"/>
  <c r="M3846" i="3" s="1"/>
  <c r="M3847" i="3" s="1"/>
  <c r="M3848" i="3" s="1"/>
  <c r="CS188" i="11"/>
  <c r="CR188" i="11"/>
  <c r="C3727" i="3"/>
  <c r="C3713" i="3"/>
  <c r="C430" i="31"/>
  <c r="C431" i="31" s="1"/>
  <c r="C432" i="31" s="1"/>
  <c r="C433" i="31" s="1"/>
  <c r="C435" i="31" s="1"/>
  <c r="C436" i="31" s="1"/>
  <c r="C437" i="31" s="1"/>
  <c r="C438" i="31" s="1"/>
  <c r="C439" i="31" s="1"/>
  <c r="C440" i="31" s="1"/>
  <c r="C415" i="31"/>
  <c r="AR318" i="11"/>
  <c r="BK188" i="11" l="1"/>
  <c r="AK188" i="11"/>
  <c r="L188" i="11"/>
  <c r="CA188" i="11"/>
  <c r="CI188" i="11"/>
  <c r="BB188" i="11"/>
  <c r="C3664" i="3"/>
  <c r="C3665" i="3" s="1"/>
  <c r="AT188" i="11"/>
  <c r="AD188" i="11"/>
  <c r="U188" i="11"/>
  <c r="BT188" i="11"/>
  <c r="DC188" i="11"/>
  <c r="M3849" i="3"/>
  <c r="M3850" i="3" s="1"/>
  <c r="M3851" i="3" s="1"/>
  <c r="M3852" i="3" s="1"/>
  <c r="M3853" i="3" s="1"/>
  <c r="M3854" i="3" s="1"/>
  <c r="M3855" i="3" s="1"/>
  <c r="M3856" i="3" s="1"/>
  <c r="M3857" i="3" s="1"/>
  <c r="M3858" i="3" s="1"/>
  <c r="M3859" i="3" s="1"/>
  <c r="M3860" i="3" s="1"/>
  <c r="M3861" i="3" s="1"/>
  <c r="M3862" i="3" s="1"/>
  <c r="C3728" i="3"/>
  <c r="C3714" i="3"/>
  <c r="C441" i="31"/>
  <c r="C442" i="31" s="1"/>
  <c r="C416" i="31"/>
  <c r="M3863" i="3" l="1"/>
  <c r="M3864" i="3" s="1"/>
  <c r="M3865" i="3" s="1"/>
  <c r="N3865" i="3" s="1"/>
  <c r="C3729" i="3"/>
  <c r="C3715" i="3"/>
  <c r="C443" i="31"/>
  <c r="C444" i="31" s="1"/>
  <c r="C445" i="31" s="1"/>
  <c r="C446" i="31" s="1"/>
  <c r="C447" i="31" s="1"/>
  <c r="C449" i="31" s="1"/>
  <c r="C417" i="31"/>
  <c r="C418" i="31" s="1"/>
  <c r="M3866" i="3" l="1"/>
  <c r="M3867" i="3" s="1"/>
  <c r="M3868" i="3" s="1"/>
  <c r="M3869" i="3" s="1"/>
  <c r="M3870" i="3" s="1"/>
  <c r="M3871" i="3" s="1"/>
  <c r="M3872" i="3" s="1"/>
  <c r="M3873" i="3" s="1"/>
  <c r="M3874" i="3" s="1"/>
  <c r="M3875" i="3" s="1"/>
  <c r="M3876" i="3" s="1"/>
  <c r="M3877" i="3" s="1"/>
  <c r="M3878" i="3" s="1"/>
  <c r="M3879" i="3" s="1"/>
  <c r="M3880" i="3" s="1"/>
  <c r="M3881" i="3" s="1"/>
  <c r="M3882" i="3" s="1"/>
  <c r="M3883" i="3" s="1"/>
  <c r="M3884" i="3" s="1"/>
  <c r="M3885" i="3" s="1"/>
  <c r="M3886" i="3" s="1"/>
  <c r="M3887" i="3" s="1"/>
  <c r="M3888" i="3" s="1"/>
  <c r="M3889" i="3" s="1"/>
  <c r="M3890" i="3" s="1"/>
  <c r="M3891" i="3" s="1"/>
  <c r="M3892" i="3" s="1"/>
  <c r="M3893" i="3" s="1"/>
  <c r="M3894" i="3" s="1"/>
  <c r="M3895" i="3" s="1"/>
  <c r="M3896" i="3" s="1"/>
  <c r="M3897" i="3" s="1"/>
  <c r="M3898" i="3" s="1"/>
  <c r="M3899" i="3" s="1"/>
  <c r="M3900" i="3" s="1"/>
  <c r="M3901" i="3" s="1"/>
  <c r="M3902" i="3" s="1"/>
  <c r="M3903" i="3" s="1"/>
  <c r="M3904" i="3" s="1"/>
  <c r="M3905" i="3" s="1"/>
  <c r="M3906" i="3" s="1"/>
  <c r="M3907" i="3" s="1"/>
  <c r="M3908" i="3" s="1"/>
  <c r="M3909" i="3" s="1"/>
  <c r="M3910" i="3" s="1"/>
  <c r="M3911" i="3" s="1"/>
  <c r="M3912" i="3" s="1"/>
  <c r="M3913" i="3" s="1"/>
  <c r="M3914" i="3" s="1"/>
  <c r="M3915" i="3" s="1"/>
  <c r="M3916" i="3" s="1"/>
  <c r="M3917" i="3" s="1"/>
  <c r="M3918" i="3" s="1"/>
  <c r="M3919" i="3" s="1"/>
  <c r="M3920" i="3" s="1"/>
  <c r="M3921" i="3" s="1"/>
  <c r="M3922" i="3" s="1"/>
  <c r="M3923" i="3" s="1"/>
  <c r="M3924" i="3" s="1"/>
  <c r="M3925" i="3" s="1"/>
  <c r="M3926" i="3" s="1"/>
  <c r="M3927" i="3" s="1"/>
  <c r="M3928" i="3" s="1"/>
  <c r="M3929" i="3" s="1"/>
  <c r="M3930" i="3" s="1"/>
  <c r="M3931" i="3" s="1"/>
  <c r="M3932" i="3" s="1"/>
  <c r="M3933" i="3" s="1"/>
  <c r="M3934" i="3" s="1"/>
  <c r="M3935" i="3" s="1"/>
  <c r="M3936" i="3" s="1"/>
  <c r="M3937" i="3" s="1"/>
  <c r="M3938" i="3" s="1"/>
  <c r="M3939" i="3" s="1"/>
  <c r="M3940" i="3" s="1"/>
  <c r="M3941" i="3" s="1"/>
  <c r="M3942" i="3" s="1"/>
  <c r="M3943" i="3" s="1"/>
  <c r="M3944" i="3" s="1"/>
  <c r="M3945" i="3" s="1"/>
  <c r="M3946" i="3" s="1"/>
  <c r="M3947" i="3" s="1"/>
  <c r="M3948" i="3" s="1"/>
  <c r="M3949" i="3" s="1"/>
  <c r="M3950" i="3" s="1"/>
  <c r="M3951" i="3" s="1"/>
  <c r="M3952" i="3" s="1"/>
  <c r="M3953" i="3" s="1"/>
  <c r="M3954" i="3" s="1"/>
  <c r="M3955" i="3" s="1"/>
  <c r="M3956" i="3" s="1"/>
  <c r="M3957" i="3" s="1"/>
  <c r="M3958" i="3" s="1"/>
  <c r="M3959" i="3" s="1"/>
  <c r="M3960" i="3" s="1"/>
  <c r="M3961" i="3" s="1"/>
  <c r="M3962" i="3" s="1"/>
  <c r="M3963" i="3" s="1"/>
  <c r="M3964" i="3" s="1"/>
  <c r="M3965" i="3" s="1"/>
  <c r="M3966" i="3" s="1"/>
  <c r="M3967" i="3" s="1"/>
  <c r="M3968" i="3" s="1"/>
  <c r="M3969" i="3" s="1"/>
  <c r="M3970" i="3" s="1"/>
  <c r="M3971" i="3" s="1"/>
  <c r="M3972" i="3" s="1"/>
  <c r="M3973" i="3" s="1"/>
  <c r="M3974" i="3" s="1"/>
  <c r="M3975" i="3" s="1"/>
  <c r="M3976" i="3" s="1"/>
  <c r="M3977" i="3" s="1"/>
  <c r="M3978" i="3" s="1"/>
  <c r="M3979" i="3" s="1"/>
  <c r="M3980" i="3" s="1"/>
  <c r="M3981" i="3" s="1"/>
  <c r="M3982" i="3" s="1"/>
  <c r="M3983" i="3" s="1"/>
  <c r="M3984" i="3" s="1"/>
  <c r="M3985" i="3" s="1"/>
  <c r="M3986" i="3" s="1"/>
  <c r="M3987" i="3" s="1"/>
  <c r="M3988" i="3" s="1"/>
  <c r="M3989" i="3" s="1"/>
  <c r="M3990" i="3" s="1"/>
  <c r="M3991" i="3" s="1"/>
  <c r="M3992" i="3" s="1"/>
  <c r="M3993" i="3" s="1"/>
  <c r="M3994" i="3" s="1"/>
  <c r="M3995" i="3" s="1"/>
  <c r="M3996" i="3" s="1"/>
  <c r="M3997" i="3" s="1"/>
  <c r="M3998" i="3" s="1"/>
  <c r="M3999" i="3" s="1"/>
  <c r="M4000" i="3" s="1"/>
  <c r="M4001" i="3" s="1"/>
  <c r="M4002" i="3" s="1"/>
  <c r="M4003" i="3" s="1"/>
  <c r="M4004" i="3" s="1"/>
  <c r="M4005" i="3" s="1"/>
  <c r="M4006" i="3" s="1"/>
  <c r="M4007" i="3" s="1"/>
  <c r="M4008" i="3" s="1"/>
  <c r="M4009" i="3" s="1"/>
  <c r="M4010" i="3" s="1"/>
  <c r="M4011" i="3" s="1"/>
  <c r="M4012" i="3" s="1"/>
  <c r="M4013" i="3" s="1"/>
  <c r="M4014" i="3" s="1"/>
  <c r="M4015" i="3" s="1"/>
  <c r="M4016" i="3" s="1"/>
  <c r="M4017" i="3" s="1"/>
  <c r="M4018" i="3" s="1"/>
  <c r="M4019" i="3" s="1"/>
  <c r="M4020" i="3" s="1"/>
  <c r="M4021" i="3" s="1"/>
  <c r="M4022" i="3" s="1"/>
  <c r="M4023" i="3" s="1"/>
  <c r="M4024" i="3" s="1"/>
  <c r="M4025" i="3" s="1"/>
  <c r="M4026" i="3" s="1"/>
  <c r="M4027" i="3" s="1"/>
  <c r="M4028" i="3" s="1"/>
  <c r="M4029" i="3" s="1"/>
  <c r="M4030" i="3" s="1"/>
  <c r="M4031" i="3" s="1"/>
  <c r="M4032" i="3" s="1"/>
  <c r="M4033" i="3" s="1"/>
  <c r="M4034" i="3" s="1"/>
  <c r="M4035" i="3" s="1"/>
  <c r="M4036" i="3" s="1"/>
  <c r="M4037" i="3" s="1"/>
  <c r="M4038" i="3" s="1"/>
  <c r="M4039" i="3" s="1"/>
  <c r="M4040" i="3" s="1"/>
  <c r="M4041" i="3" s="1"/>
  <c r="M4042" i="3" s="1"/>
  <c r="M4043" i="3" s="1"/>
  <c r="M4044" i="3" s="1"/>
  <c r="M4045" i="3" s="1"/>
  <c r="M4046" i="3" s="1"/>
  <c r="M4047" i="3" s="1"/>
  <c r="M4048" i="3" s="1"/>
  <c r="M4049" i="3" s="1"/>
  <c r="M4050" i="3" s="1"/>
  <c r="M4051" i="3" s="1"/>
  <c r="M4052" i="3" s="1"/>
  <c r="M4053" i="3" s="1"/>
  <c r="M4054" i="3" s="1"/>
  <c r="M4055" i="3" s="1"/>
  <c r="M4056" i="3" s="1"/>
  <c r="M4057" i="3" s="1"/>
  <c r="M4058" i="3" s="1"/>
  <c r="M4059" i="3" s="1"/>
  <c r="M4060" i="3" s="1"/>
  <c r="M4061" i="3" s="1"/>
  <c r="M4062" i="3" s="1"/>
  <c r="M4063" i="3" s="1"/>
  <c r="M4064" i="3" s="1"/>
  <c r="M4065" i="3" s="1"/>
  <c r="M4066" i="3" s="1"/>
  <c r="M4067" i="3" s="1"/>
  <c r="M4068" i="3" s="1"/>
  <c r="M4069" i="3" s="1"/>
  <c r="M4070" i="3" s="1"/>
  <c r="M4071" i="3" s="1"/>
  <c r="M4072" i="3" s="1"/>
  <c r="M4073" i="3" s="1"/>
  <c r="M4074" i="3" s="1"/>
  <c r="M4075" i="3" s="1"/>
  <c r="M4076" i="3" s="1"/>
  <c r="M4077" i="3" s="1"/>
  <c r="C3730" i="3"/>
  <c r="C3731" i="3" s="1"/>
  <c r="C3716" i="3"/>
  <c r="C450" i="31"/>
  <c r="C451" i="31" s="1"/>
  <c r="C419" i="31"/>
  <c r="M4078" i="3" l="1"/>
  <c r="M4079" i="3" s="1"/>
  <c r="M4080" i="3" s="1"/>
  <c r="M4081" i="3" s="1"/>
  <c r="M4082" i="3" s="1"/>
  <c r="M4083" i="3" s="1"/>
  <c r="M4084" i="3" s="1"/>
  <c r="M4085" i="3" s="1"/>
  <c r="M4086" i="3" s="1"/>
  <c r="M4087" i="3" s="1"/>
  <c r="M4088" i="3" s="1"/>
  <c r="M4089" i="3" s="1"/>
  <c r="M4090" i="3" s="1"/>
  <c r="M4091" i="3" s="1"/>
  <c r="M4092" i="3" s="1"/>
  <c r="M4093" i="3" s="1"/>
  <c r="M4094" i="3" s="1"/>
  <c r="M4095" i="3" s="1"/>
  <c r="M4096" i="3" s="1"/>
  <c r="M4097" i="3" s="1"/>
  <c r="M4098" i="3" s="1"/>
  <c r="M4099" i="3" s="1"/>
  <c r="M4100" i="3" s="1"/>
  <c r="M4101" i="3" s="1"/>
  <c r="M4102" i="3" s="1"/>
  <c r="M4103" i="3" s="1"/>
  <c r="M4104" i="3" s="1"/>
  <c r="M4105" i="3" s="1"/>
  <c r="M4106" i="3" s="1"/>
  <c r="M4107" i="3" s="1"/>
  <c r="M4108" i="3" s="1"/>
  <c r="M4109" i="3" s="1"/>
  <c r="M4110" i="3" s="1"/>
  <c r="M4111" i="3" s="1"/>
  <c r="M4112" i="3" s="1"/>
  <c r="M4113" i="3" s="1"/>
  <c r="M4114" i="3" s="1"/>
  <c r="M4115" i="3" s="1"/>
  <c r="M4116" i="3" s="1"/>
  <c r="M4117" i="3" s="1"/>
  <c r="M4118" i="3" s="1"/>
  <c r="M4119" i="3" s="1"/>
  <c r="M4120" i="3" s="1"/>
  <c r="M4121" i="3" s="1"/>
  <c r="M4122" i="3" s="1"/>
  <c r="M4123" i="3" s="1"/>
  <c r="M4124" i="3" s="1"/>
  <c r="M4125" i="3" s="1"/>
  <c r="M4126" i="3" s="1"/>
  <c r="M4127" i="3" s="1"/>
  <c r="M4128" i="3" s="1"/>
  <c r="M4129" i="3" s="1"/>
  <c r="M4130" i="3" s="1"/>
  <c r="M4131" i="3" s="1"/>
  <c r="M4132" i="3" s="1"/>
  <c r="M4133" i="3" s="1"/>
  <c r="M4134" i="3" s="1"/>
  <c r="M4135" i="3" s="1"/>
  <c r="M4136" i="3" s="1"/>
  <c r="M4137" i="3" s="1"/>
  <c r="M4138" i="3" s="1"/>
  <c r="M4139" i="3" s="1"/>
  <c r="M4140" i="3" s="1"/>
  <c r="M4141" i="3" s="1"/>
  <c r="M4142" i="3" s="1"/>
  <c r="M4143" i="3" s="1"/>
  <c r="C3732" i="3"/>
  <c r="C3734" i="3" s="1"/>
  <c r="C3717" i="3"/>
  <c r="C452" i="31"/>
  <c r="C420" i="31"/>
  <c r="C3735" i="3" l="1"/>
  <c r="C3736" i="3" s="1"/>
  <c r="C3737" i="3" s="1"/>
  <c r="M4144" i="3"/>
  <c r="M4145" i="3" s="1"/>
  <c r="M4146" i="3" s="1"/>
  <c r="M4147" i="3" s="1"/>
  <c r="M4148" i="3" s="1"/>
  <c r="M4149" i="3" s="1"/>
  <c r="M4150" i="3" s="1"/>
  <c r="M4151" i="3" s="1"/>
  <c r="M4152" i="3" s="1"/>
  <c r="M4153" i="3" s="1"/>
  <c r="M4154" i="3" s="1"/>
  <c r="M4155" i="3" s="1"/>
  <c r="M4156" i="3" s="1"/>
  <c r="M4157" i="3" s="1"/>
  <c r="M4158" i="3" s="1"/>
  <c r="M4159" i="3" s="1"/>
  <c r="M4160" i="3" s="1"/>
  <c r="M4161" i="3" s="1"/>
  <c r="M4162" i="3" s="1"/>
  <c r="M4163" i="3" s="1"/>
  <c r="M4164" i="3" s="1"/>
  <c r="M4165" i="3" s="1"/>
  <c r="M4166" i="3" s="1"/>
  <c r="M4167" i="3" s="1"/>
  <c r="M4168" i="3" s="1"/>
  <c r="M4169" i="3" s="1"/>
  <c r="M4170" i="3" s="1"/>
  <c r="M4171" i="3" s="1"/>
  <c r="C3718" i="3"/>
  <c r="C453" i="31"/>
  <c r="C421" i="31"/>
  <c r="C3738" i="3" l="1"/>
  <c r="M4172" i="3"/>
  <c r="M4173" i="3" s="1"/>
  <c r="M4174" i="3" s="1"/>
  <c r="M4175" i="3" s="1"/>
  <c r="M4176" i="3" s="1"/>
  <c r="M4177" i="3" s="1"/>
  <c r="M4178" i="3" s="1"/>
  <c r="M4179" i="3" s="1"/>
  <c r="M4180" i="3" s="1"/>
  <c r="M4181" i="3" s="1"/>
  <c r="M4182" i="3" s="1"/>
  <c r="M4183" i="3" s="1"/>
  <c r="M4184" i="3" s="1"/>
  <c r="M4185" i="3" s="1"/>
  <c r="M4186" i="3" s="1"/>
  <c r="M4187" i="3" s="1"/>
  <c r="M4188" i="3" s="1"/>
  <c r="M4189" i="3" s="1"/>
  <c r="M4190" i="3" s="1"/>
  <c r="M4191" i="3" s="1"/>
  <c r="M4192" i="3" s="1"/>
  <c r="M4193" i="3" s="1"/>
  <c r="M4194" i="3" s="1"/>
  <c r="M4195" i="3" s="1"/>
  <c r="M4196" i="3" s="1"/>
  <c r="M4197" i="3" s="1"/>
  <c r="M4198" i="3" s="1"/>
  <c r="M4199" i="3" s="1"/>
  <c r="M4200" i="3" s="1"/>
  <c r="M4201" i="3" s="1"/>
  <c r="M4202" i="3" s="1"/>
  <c r="M4203" i="3" s="1"/>
  <c r="M4204" i="3" s="1"/>
  <c r="M4205" i="3" s="1"/>
  <c r="M4206" i="3" s="1"/>
  <c r="M4207" i="3" s="1"/>
  <c r="M4208" i="3" s="1"/>
  <c r="M4209" i="3" s="1"/>
  <c r="M4210" i="3" s="1"/>
  <c r="M4211" i="3" s="1"/>
  <c r="M4212" i="3" s="1"/>
  <c r="M4213" i="3" s="1"/>
  <c r="M4214" i="3" s="1"/>
  <c r="M4215" i="3" s="1"/>
  <c r="M4216" i="3" s="1"/>
  <c r="M4217" i="3" s="1"/>
  <c r="M4218" i="3" s="1"/>
  <c r="M4219" i="3" s="1"/>
  <c r="M4220" i="3" s="1"/>
  <c r="M4221" i="3" s="1"/>
  <c r="M4222" i="3" s="1"/>
  <c r="M4223" i="3" s="1"/>
  <c r="M4224" i="3" s="1"/>
  <c r="M4225" i="3" s="1"/>
  <c r="M4226" i="3" s="1"/>
  <c r="M4227" i="3" s="1"/>
  <c r="M4228" i="3" s="1"/>
  <c r="M4229" i="3" s="1"/>
  <c r="M4230" i="3" s="1"/>
  <c r="M4231" i="3" s="1"/>
  <c r="M4232" i="3" s="1"/>
  <c r="M4233" i="3" s="1"/>
  <c r="M4234" i="3" s="1"/>
  <c r="M4235" i="3" s="1"/>
  <c r="M4236" i="3" s="1"/>
  <c r="M4237" i="3" s="1"/>
  <c r="M4238" i="3" s="1"/>
  <c r="M4239" i="3" s="1"/>
  <c r="M4240" i="3" s="1"/>
  <c r="M4241" i="3" s="1"/>
  <c r="M4242" i="3" s="1"/>
  <c r="M4243" i="3" s="1"/>
  <c r="M4244" i="3" s="1"/>
  <c r="M4245" i="3" s="1"/>
  <c r="M4246" i="3" s="1"/>
  <c r="M4247" i="3" s="1"/>
  <c r="M4248" i="3" s="1"/>
  <c r="M4249" i="3" s="1"/>
  <c r="M4250" i="3" s="1"/>
  <c r="M4251" i="3" s="1"/>
  <c r="M4252" i="3" s="1"/>
  <c r="M4253" i="3" s="1"/>
  <c r="M4254" i="3" s="1"/>
  <c r="M4255" i="3" s="1"/>
  <c r="M4256" i="3" s="1"/>
  <c r="M4257" i="3" s="1"/>
  <c r="M4258" i="3" s="1"/>
  <c r="M4259" i="3" s="1"/>
  <c r="M4260" i="3" s="1"/>
  <c r="M4261" i="3" s="1"/>
  <c r="M4262" i="3" s="1"/>
  <c r="M4263" i="3" s="1"/>
  <c r="M4264" i="3" s="1"/>
  <c r="M4265" i="3" s="1"/>
  <c r="M4266" i="3" s="1"/>
  <c r="M4267" i="3" s="1"/>
  <c r="M4268" i="3" s="1"/>
  <c r="M4269" i="3" s="1"/>
  <c r="M4270" i="3" s="1"/>
  <c r="M4271" i="3" s="1"/>
  <c r="M4272" i="3" s="1"/>
  <c r="M4273" i="3" s="1"/>
  <c r="M4274" i="3" s="1"/>
  <c r="M4275" i="3" s="1"/>
  <c r="M4276" i="3" s="1"/>
  <c r="M4277" i="3" s="1"/>
  <c r="M4278" i="3" s="1"/>
  <c r="M4279" i="3" s="1"/>
  <c r="M4280" i="3" s="1"/>
  <c r="C454" i="31"/>
  <c r="C455" i="31" s="1"/>
  <c r="C422" i="31"/>
  <c r="C3739" i="3" l="1"/>
  <c r="C3740" i="3" s="1"/>
  <c r="C3741" i="3" s="1"/>
  <c r="M4281" i="3"/>
  <c r="M4282" i="3" s="1"/>
  <c r="M4283" i="3" s="1"/>
  <c r="M4284" i="3" s="1"/>
  <c r="M4285" i="3" s="1"/>
  <c r="M4286" i="3" s="1"/>
  <c r="M4287" i="3" s="1"/>
  <c r="M4288" i="3" s="1"/>
  <c r="M4289" i="3" s="1"/>
  <c r="M4290" i="3" s="1"/>
  <c r="M4291" i="3" s="1"/>
  <c r="M4292" i="3" s="1"/>
  <c r="M4293" i="3" s="1"/>
  <c r="M4294" i="3" s="1"/>
  <c r="M4295" i="3" s="1"/>
  <c r="M4296" i="3" s="1"/>
  <c r="M4297" i="3" s="1"/>
  <c r="M4298" i="3" s="1"/>
  <c r="M4299" i="3" s="1"/>
  <c r="M4300" i="3" s="1"/>
  <c r="M4301" i="3" s="1"/>
  <c r="M4302" i="3" s="1"/>
  <c r="M4303" i="3" s="1"/>
  <c r="M4304" i="3" s="1"/>
  <c r="M4305" i="3" s="1"/>
  <c r="M4306" i="3" s="1"/>
  <c r="M4307" i="3" s="1"/>
  <c r="M4308" i="3" s="1"/>
  <c r="M4309" i="3" s="1"/>
  <c r="M4310" i="3" s="1"/>
  <c r="M4311" i="3" s="1"/>
  <c r="C456" i="31"/>
  <c r="C457" i="31" s="1"/>
  <c r="C458" i="31" s="1"/>
  <c r="C459" i="31" s="1"/>
  <c r="C460" i="31" s="1"/>
  <c r="C461" i="31" s="1"/>
  <c r="C462" i="31" s="1"/>
  <c r="C463" i="31" l="1"/>
  <c r="C464" i="31" s="1"/>
  <c r="C466" i="31" s="1"/>
  <c r="M4312" i="3"/>
  <c r="M4313" i="3" s="1"/>
  <c r="M4314" i="3" s="1"/>
  <c r="M4315" i="3" s="1"/>
  <c r="M4316" i="3" s="1"/>
  <c r="M4317" i="3" s="1"/>
  <c r="M4318" i="3" s="1"/>
  <c r="M4319" i="3" s="1"/>
  <c r="C3742" i="3"/>
  <c r="C3743" i="3" s="1"/>
  <c r="AO327" i="11"/>
  <c r="AP327" i="11"/>
  <c r="AQ327" i="11"/>
  <c r="AR327" i="11"/>
  <c r="AW327" i="11"/>
  <c r="AX327" i="11"/>
  <c r="AY327" i="11"/>
  <c r="AZ327" i="11"/>
  <c r="BE327" i="11"/>
  <c r="BF327" i="11"/>
  <c r="BG327" i="11"/>
  <c r="C467" i="31"/>
  <c r="C468" i="31" s="1"/>
  <c r="C469" i="31" s="1"/>
  <c r="C470" i="31" s="1"/>
  <c r="C471" i="31" s="1"/>
  <c r="C472" i="31" s="1"/>
  <c r="Q327" i="11"/>
  <c r="R327" i="11"/>
  <c r="S327" i="11"/>
  <c r="Y327" i="11"/>
  <c r="Z327" i="11"/>
  <c r="AA327" i="11"/>
  <c r="AF327" i="11"/>
  <c r="AG327" i="11"/>
  <c r="AH327" i="11"/>
  <c r="AI327" i="11"/>
  <c r="AN327" i="11"/>
  <c r="C473" i="31" l="1"/>
  <c r="C474" i="31" s="1"/>
  <c r="C475" i="31" s="1"/>
  <c r="C476" i="31" s="1"/>
  <c r="C477" i="31" s="1"/>
  <c r="C478" i="31" s="1"/>
  <c r="C480" i="31" s="1"/>
  <c r="C481" i="31" s="1"/>
  <c r="C482" i="31" s="1"/>
  <c r="M4320" i="3"/>
  <c r="M4321" i="3" s="1"/>
  <c r="M4322" i="3" s="1"/>
  <c r="M4323" i="3" s="1"/>
  <c r="M4324" i="3" s="1"/>
  <c r="M4325" i="3" s="1"/>
  <c r="M4326" i="3" s="1"/>
  <c r="M4327" i="3" s="1"/>
  <c r="M4328" i="3" s="1"/>
  <c r="M4329" i="3" s="1"/>
  <c r="M4330" i="3" s="1"/>
  <c r="M4331" i="3" s="1"/>
  <c r="M4332" i="3" s="1"/>
  <c r="M4333" i="3" s="1"/>
  <c r="M4334" i="3" s="1"/>
  <c r="M4335" i="3" s="1"/>
  <c r="M4336" i="3" s="1"/>
  <c r="M4337" i="3" s="1"/>
  <c r="C3744" i="3"/>
  <c r="CG148" i="11"/>
  <c r="CG158" i="11"/>
  <c r="CG137" i="11"/>
  <c r="CG140" i="11"/>
  <c r="M4338" i="3" l="1"/>
  <c r="M4339" i="3" s="1"/>
  <c r="M4340" i="3" s="1"/>
  <c r="M4341" i="3" s="1"/>
  <c r="M4342" i="3" s="1"/>
  <c r="M4343" i="3" s="1"/>
  <c r="M4344" i="3" s="1"/>
  <c r="M4345" i="3" s="1"/>
  <c r="M4346" i="3" s="1"/>
  <c r="M4347" i="3" s="1"/>
  <c r="M4348" i="3" s="1"/>
  <c r="M4349" i="3" s="1"/>
  <c r="M4350" i="3" s="1"/>
  <c r="M4351" i="3" s="1"/>
  <c r="M4352" i="3" s="1"/>
  <c r="M4353" i="3" s="1"/>
  <c r="M4354" i="3" s="1"/>
  <c r="M4355" i="3" s="1"/>
  <c r="M4356" i="3" s="1"/>
  <c r="M4357" i="3" s="1"/>
  <c r="M4358" i="3" s="1"/>
  <c r="M4359" i="3" s="1"/>
  <c r="M4360" i="3" s="1"/>
  <c r="M4361" i="3" s="1"/>
  <c r="M4362" i="3" s="1"/>
  <c r="M4363" i="3" s="1"/>
  <c r="M4364" i="3" s="1"/>
  <c r="M4365" i="3" s="1"/>
  <c r="M4366" i="3" s="1"/>
  <c r="M4367" i="3" s="1"/>
  <c r="M4368" i="3" s="1"/>
  <c r="M4369" i="3" s="1"/>
  <c r="M4370" i="3" s="1"/>
  <c r="M4371" i="3" s="1"/>
  <c r="M4372" i="3" s="1"/>
  <c r="M4373" i="3" s="1"/>
  <c r="M4374" i="3" s="1"/>
  <c r="M4375" i="3" s="1"/>
  <c r="M4376" i="3" s="1"/>
  <c r="M4377" i="3" s="1"/>
  <c r="M4378" i="3" s="1"/>
  <c r="M4379" i="3" s="1"/>
  <c r="M4380" i="3" s="1"/>
  <c r="M4381" i="3" s="1"/>
  <c r="M4382" i="3" s="1"/>
  <c r="M4383" i="3" s="1"/>
  <c r="M4384" i="3" s="1"/>
  <c r="M4385" i="3" s="1"/>
  <c r="M4386" i="3" s="1"/>
  <c r="M4387" i="3" s="1"/>
  <c r="M4388" i="3" s="1"/>
  <c r="M4389" i="3" s="1"/>
  <c r="M4390" i="3" s="1"/>
  <c r="M4391" i="3" s="1"/>
  <c r="M4392" i="3" s="1"/>
  <c r="M4393" i="3" s="1"/>
  <c r="M4394" i="3" s="1"/>
  <c r="M4395" i="3" s="1"/>
  <c r="M4396" i="3" s="1"/>
  <c r="M4397" i="3" s="1"/>
  <c r="M4398" i="3" s="1"/>
  <c r="M4399" i="3" s="1"/>
  <c r="M4400" i="3" s="1"/>
  <c r="M4401" i="3" s="1"/>
  <c r="M4402" i="3" s="1"/>
  <c r="M4403" i="3" s="1"/>
  <c r="M4404" i="3" s="1"/>
  <c r="M4405" i="3" s="1"/>
  <c r="M4406" i="3" s="1"/>
  <c r="M4407" i="3" s="1"/>
  <c r="M4408" i="3" s="1"/>
  <c r="M4409" i="3" s="1"/>
  <c r="M4410" i="3" s="1"/>
  <c r="M4411" i="3" s="1"/>
  <c r="M4412" i="3" s="1"/>
  <c r="M4413" i="3" s="1"/>
  <c r="M4414" i="3" s="1"/>
  <c r="M4415" i="3" s="1"/>
  <c r="M4416" i="3" s="1"/>
  <c r="M4417" i="3" s="1"/>
  <c r="M4418" i="3" s="1"/>
  <c r="M4419" i="3" s="1"/>
  <c r="M4420" i="3" s="1"/>
  <c r="M4421" i="3" s="1"/>
  <c r="M4422" i="3" s="1"/>
  <c r="M4423" i="3" s="1"/>
  <c r="M4424" i="3" s="1"/>
  <c r="M4425" i="3" s="1"/>
  <c r="M4426" i="3" s="1"/>
  <c r="M4427" i="3" s="1"/>
  <c r="M4428" i="3" s="1"/>
  <c r="M4429" i="3" s="1"/>
  <c r="M4430" i="3" s="1"/>
  <c r="M4431" i="3" s="1"/>
  <c r="M4432" i="3" s="1"/>
  <c r="M4433" i="3" s="1"/>
  <c r="M4434" i="3" s="1"/>
  <c r="M4435" i="3" s="1"/>
  <c r="M4436" i="3" s="1"/>
  <c r="M4437" i="3" s="1"/>
  <c r="M4438" i="3" s="1"/>
  <c r="M4439" i="3" s="1"/>
  <c r="M4440" i="3" s="1"/>
  <c r="M4441" i="3" s="1"/>
  <c r="M4442" i="3" s="1"/>
  <c r="M4443" i="3" s="1"/>
  <c r="M4444" i="3" s="1"/>
  <c r="M4445" i="3" s="1"/>
  <c r="M4446" i="3" s="1"/>
  <c r="M4447" i="3" s="1"/>
  <c r="M4448" i="3" s="1"/>
  <c r="M4449" i="3" s="1"/>
  <c r="M4450" i="3" s="1"/>
  <c r="M4451" i="3" s="1"/>
  <c r="M4452" i="3" s="1"/>
  <c r="M4453" i="3" s="1"/>
  <c r="M4454" i="3" s="1"/>
  <c r="M4455" i="3" s="1"/>
  <c r="M4456" i="3" s="1"/>
  <c r="M4457" i="3" s="1"/>
  <c r="M4458" i="3" s="1"/>
  <c r="M4459" i="3" s="1"/>
  <c r="M4460" i="3" s="1"/>
  <c r="M4461" i="3" s="1"/>
  <c r="M4462" i="3" s="1"/>
  <c r="M4463" i="3" s="1"/>
  <c r="M4464" i="3" s="1"/>
  <c r="M4465" i="3" s="1"/>
  <c r="M4466" i="3" s="1"/>
  <c r="M4467" i="3" s="1"/>
  <c r="M4468" i="3" s="1"/>
  <c r="M4469" i="3" s="1"/>
  <c r="M4470" i="3" s="1"/>
  <c r="M4471" i="3" s="1"/>
  <c r="M4472" i="3" s="1"/>
  <c r="M4473" i="3" s="1"/>
  <c r="M4474" i="3" s="1"/>
  <c r="M4475" i="3" s="1"/>
  <c r="M4476" i="3" s="1"/>
  <c r="M4477" i="3" s="1"/>
  <c r="M4478" i="3" s="1"/>
  <c r="M4479" i="3" s="1"/>
  <c r="M4480" i="3" s="1"/>
  <c r="M4481" i="3" s="1"/>
  <c r="M4482" i="3" s="1"/>
  <c r="M4483" i="3" s="1"/>
  <c r="M4484" i="3" s="1"/>
  <c r="M4485" i="3" s="1"/>
  <c r="M4486" i="3" s="1"/>
  <c r="M4487" i="3" s="1"/>
  <c r="M4488" i="3" s="1"/>
  <c r="M4489" i="3" s="1"/>
  <c r="M4490" i="3" s="1"/>
  <c r="M4491" i="3" s="1"/>
  <c r="M4492" i="3" s="1"/>
  <c r="O4332" i="3"/>
  <c r="C3745" i="3"/>
  <c r="C3746" i="3" s="1"/>
  <c r="C483" i="31"/>
  <c r="C484" i="31" s="1"/>
  <c r="M4493" i="3" l="1"/>
  <c r="M4494" i="3" s="1"/>
  <c r="M4495" i="3" s="1"/>
  <c r="M4496" i="3" s="1"/>
  <c r="M4497" i="3" s="1"/>
  <c r="M4498" i="3" s="1"/>
  <c r="M4499" i="3" s="1"/>
  <c r="M4500" i="3" s="1"/>
  <c r="M4501" i="3" s="1"/>
  <c r="M4502" i="3" s="1"/>
  <c r="M4503" i="3" s="1"/>
  <c r="M4504" i="3" s="1"/>
  <c r="M4505" i="3" s="1"/>
  <c r="M4506" i="3" s="1"/>
  <c r="M4507" i="3" s="1"/>
  <c r="M4508" i="3" s="1"/>
  <c r="M4509" i="3" s="1"/>
  <c r="M4510" i="3" s="1"/>
  <c r="M4511" i="3" s="1"/>
  <c r="M4512" i="3" s="1"/>
  <c r="M4513" i="3" s="1"/>
  <c r="M4514" i="3" s="1"/>
  <c r="M4515" i="3" s="1"/>
  <c r="M4516" i="3" s="1"/>
  <c r="M4517" i="3" s="1"/>
  <c r="M4518" i="3" s="1"/>
  <c r="M4519" i="3" s="1"/>
  <c r="M4520" i="3" s="1"/>
  <c r="M4521" i="3" s="1"/>
  <c r="M4522" i="3" s="1"/>
  <c r="M4523" i="3" s="1"/>
  <c r="M4524" i="3" s="1"/>
  <c r="M4525" i="3" s="1"/>
  <c r="M4526" i="3" s="1"/>
  <c r="M4527" i="3" s="1"/>
  <c r="M4528" i="3" s="1"/>
  <c r="M4529" i="3" s="1"/>
  <c r="M4530" i="3" s="1"/>
  <c r="M4531" i="3" s="1"/>
  <c r="M4532" i="3" s="1"/>
  <c r="M4533" i="3" s="1"/>
  <c r="M4534" i="3" s="1"/>
  <c r="C3748" i="3"/>
  <c r="C3747" i="3"/>
  <c r="C485" i="31"/>
  <c r="M4535" i="3" l="1"/>
  <c r="M4536" i="3" s="1"/>
  <c r="M4537" i="3" s="1"/>
  <c r="M4538" i="3" s="1"/>
  <c r="M4539" i="3" s="1"/>
  <c r="M4540" i="3" s="1"/>
  <c r="M4541" i="3" s="1"/>
  <c r="M4542" i="3" s="1"/>
  <c r="M4543" i="3" s="1"/>
  <c r="M4544" i="3" s="1"/>
  <c r="M4545" i="3" s="1"/>
  <c r="M4546" i="3" s="1"/>
  <c r="M4547" i="3" s="1"/>
  <c r="M4548" i="3" s="1"/>
  <c r="M4549" i="3" s="1"/>
  <c r="M4550" i="3" s="1"/>
  <c r="M4551" i="3" s="1"/>
  <c r="M4552" i="3" s="1"/>
  <c r="M4553" i="3" s="1"/>
  <c r="M4554" i="3" s="1"/>
  <c r="M4555" i="3" s="1"/>
  <c r="M4556" i="3" s="1"/>
  <c r="M4557" i="3" s="1"/>
  <c r="M4558" i="3" s="1"/>
  <c r="M4559" i="3" s="1"/>
  <c r="M4560" i="3" s="1"/>
  <c r="M4561" i="3" s="1"/>
  <c r="M4562" i="3" s="1"/>
  <c r="M4563" i="3" s="1"/>
  <c r="C3749" i="3"/>
  <c r="C3750" i="3" s="1"/>
  <c r="C486" i="31"/>
  <c r="M4564" i="3" l="1"/>
  <c r="M4565" i="3" s="1"/>
  <c r="M4566" i="3" s="1"/>
  <c r="M4567" i="3" s="1"/>
  <c r="M4568" i="3" s="1"/>
  <c r="M4569" i="3" s="1"/>
  <c r="M4570" i="3" s="1"/>
  <c r="M4571" i="3" s="1"/>
  <c r="M4572" i="3" s="1"/>
  <c r="M4573" i="3" s="1"/>
  <c r="M4574" i="3" s="1"/>
  <c r="M4575" i="3" s="1"/>
  <c r="M4576" i="3" s="1"/>
  <c r="M4577" i="3" s="1"/>
  <c r="M4578" i="3" s="1"/>
  <c r="M4579" i="3" s="1"/>
  <c r="M4580" i="3" s="1"/>
  <c r="M4581" i="3" s="1"/>
  <c r="M4582" i="3" s="1"/>
  <c r="M4583" i="3" s="1"/>
  <c r="M4584" i="3" s="1"/>
  <c r="M4585" i="3" s="1"/>
  <c r="C3751" i="3"/>
  <c r="C3752" i="3" s="1"/>
  <c r="C487" i="31"/>
  <c r="M4586" i="3" l="1"/>
  <c r="M4587" i="3" s="1"/>
  <c r="M4588" i="3" s="1"/>
  <c r="M4589" i="3" s="1"/>
  <c r="M4590" i="3" s="1"/>
  <c r="M4591" i="3" s="1"/>
  <c r="M4592" i="3" s="1"/>
  <c r="M4593" i="3" s="1"/>
  <c r="M4594" i="3" s="1"/>
  <c r="M4595" i="3" s="1"/>
  <c r="M4596" i="3" s="1"/>
  <c r="M4597" i="3" s="1"/>
  <c r="M4598" i="3" s="1"/>
  <c r="M4599" i="3" s="1"/>
  <c r="M4600" i="3" s="1"/>
  <c r="M4601" i="3" s="1"/>
  <c r="M4602" i="3" s="1"/>
  <c r="M4603" i="3" s="1"/>
  <c r="M4604" i="3" s="1"/>
  <c r="M4605" i="3" s="1"/>
  <c r="M4606" i="3" s="1"/>
  <c r="M4607" i="3" s="1"/>
  <c r="M4608" i="3" s="1"/>
  <c r="M4609" i="3" s="1"/>
  <c r="M4610" i="3" s="1"/>
  <c r="M4611" i="3" s="1"/>
  <c r="M4612" i="3" s="1"/>
  <c r="M4613" i="3" s="1"/>
  <c r="M4614" i="3" s="1"/>
  <c r="M4615" i="3" s="1"/>
  <c r="M4616" i="3" s="1"/>
  <c r="M4617" i="3" s="1"/>
  <c r="M4618" i="3" s="1"/>
  <c r="M4619" i="3" s="1"/>
  <c r="M4620" i="3" s="1"/>
  <c r="M4621" i="3" s="1"/>
  <c r="M4622" i="3" s="1"/>
  <c r="M4623" i="3" s="1"/>
  <c r="M4624" i="3" s="1"/>
  <c r="M4625" i="3" s="1"/>
  <c r="M4626" i="3" s="1"/>
  <c r="M4627" i="3" s="1"/>
  <c r="M4628" i="3" s="1"/>
  <c r="M4629" i="3" s="1"/>
  <c r="M4630" i="3" s="1"/>
  <c r="M4631" i="3" s="1"/>
  <c r="M4632" i="3" s="1"/>
  <c r="M4633" i="3" s="1"/>
  <c r="M4634" i="3" s="1"/>
  <c r="M4635" i="3" s="1"/>
  <c r="M4636" i="3" s="1"/>
  <c r="M4637" i="3" s="1"/>
  <c r="M4638" i="3" s="1"/>
  <c r="M4639" i="3" s="1"/>
  <c r="M4640" i="3" s="1"/>
  <c r="M4641" i="3" s="1"/>
  <c r="M4642" i="3" s="1"/>
  <c r="M4643" i="3" s="1"/>
  <c r="M4644" i="3" s="1"/>
  <c r="M4645" i="3" s="1"/>
  <c r="M4646" i="3" s="1"/>
  <c r="M4647" i="3" s="1"/>
  <c r="M4648" i="3" s="1"/>
  <c r="M4649" i="3" s="1"/>
  <c r="M4650" i="3" s="1"/>
  <c r="M4651" i="3" s="1"/>
  <c r="M4652" i="3" s="1"/>
  <c r="M4653" i="3" s="1"/>
  <c r="M4654" i="3" s="1"/>
  <c r="M4655" i="3" s="1"/>
  <c r="M4656" i="3" s="1"/>
  <c r="M4657" i="3" s="1"/>
  <c r="M4658" i="3" s="1"/>
  <c r="M4659" i="3" s="1"/>
  <c r="M4660" i="3" s="1"/>
  <c r="M4661" i="3" s="1"/>
  <c r="C3753" i="3"/>
  <c r="C488" i="31"/>
  <c r="M4662" i="3" l="1"/>
  <c r="M4663" i="3" s="1"/>
  <c r="M4664" i="3" s="1"/>
  <c r="M4665" i="3" s="1"/>
  <c r="M4666" i="3" s="1"/>
  <c r="M4667" i="3" s="1"/>
  <c r="M4668" i="3" s="1"/>
  <c r="M4669" i="3" s="1"/>
  <c r="M4670" i="3" s="1"/>
  <c r="M4671" i="3" s="1"/>
  <c r="M4672" i="3" s="1"/>
  <c r="M4673" i="3" s="1"/>
  <c r="M4674" i="3" s="1"/>
  <c r="M4675" i="3" s="1"/>
  <c r="M4676" i="3" s="1"/>
  <c r="M4677" i="3" s="1"/>
  <c r="M4678" i="3" s="1"/>
  <c r="M4679" i="3" s="1"/>
  <c r="M4680" i="3" s="1"/>
  <c r="M4681" i="3" s="1"/>
  <c r="M4682" i="3" s="1"/>
  <c r="M4683" i="3" s="1"/>
  <c r="M4684" i="3" s="1"/>
  <c r="M4685" i="3" s="1"/>
  <c r="M4686" i="3" s="1"/>
  <c r="M4687" i="3" s="1"/>
  <c r="M4688" i="3" s="1"/>
  <c r="M4689" i="3" s="1"/>
  <c r="M4690" i="3" s="1"/>
  <c r="M4691" i="3" s="1"/>
  <c r="M4692" i="3" s="1"/>
  <c r="M4693" i="3" s="1"/>
  <c r="M4694" i="3" s="1"/>
  <c r="M4695" i="3" s="1"/>
  <c r="M4696" i="3" s="1"/>
  <c r="M4697" i="3" s="1"/>
  <c r="M4698" i="3" s="1"/>
  <c r="M4699" i="3" s="1"/>
  <c r="C3754" i="3"/>
  <c r="C489" i="31"/>
  <c r="C490" i="31" s="1"/>
  <c r="M4700" i="3" l="1"/>
  <c r="M4701" i="3" s="1"/>
  <c r="M4702" i="3" s="1"/>
  <c r="M4703" i="3" s="1"/>
  <c r="M4704" i="3" s="1"/>
  <c r="M4705" i="3" s="1"/>
  <c r="M4706" i="3" s="1"/>
  <c r="M4707" i="3" s="1"/>
  <c r="M4708" i="3" s="1"/>
  <c r="M4709" i="3" s="1"/>
  <c r="M4710" i="3" s="1"/>
  <c r="M4711" i="3" s="1"/>
  <c r="M4712" i="3" s="1"/>
  <c r="M4713" i="3" s="1"/>
  <c r="M4714" i="3" s="1"/>
  <c r="M4715" i="3" s="1"/>
  <c r="M4716" i="3" s="1"/>
  <c r="M4717" i="3" s="1"/>
  <c r="M4718" i="3" s="1"/>
  <c r="M4719" i="3" s="1"/>
  <c r="M4720" i="3" s="1"/>
  <c r="M4721" i="3" s="1"/>
  <c r="M4722" i="3" s="1"/>
  <c r="M4723" i="3" s="1"/>
  <c r="M4724" i="3" s="1"/>
  <c r="M4725" i="3" s="1"/>
  <c r="M4726" i="3" s="1"/>
  <c r="M4727" i="3" s="1"/>
  <c r="M4728" i="3" s="1"/>
  <c r="M4729" i="3" s="1"/>
  <c r="M4730" i="3" s="1"/>
  <c r="M4731" i="3" s="1"/>
  <c r="M4732" i="3" s="1"/>
  <c r="M4733" i="3" s="1"/>
  <c r="M4734" i="3" s="1"/>
  <c r="M4735" i="3" s="1"/>
  <c r="M4736" i="3" s="1"/>
  <c r="M4737" i="3" s="1"/>
  <c r="M4738" i="3" s="1"/>
  <c r="M4739" i="3" s="1"/>
  <c r="M4740" i="3" s="1"/>
  <c r="M4741" i="3" s="1"/>
  <c r="M4742" i="3" s="1"/>
  <c r="M4743" i="3" s="1"/>
  <c r="M4744" i="3" s="1"/>
  <c r="M4745" i="3" s="1"/>
  <c r="M4746" i="3" s="1"/>
  <c r="M4747" i="3" s="1"/>
  <c r="C3755" i="3"/>
  <c r="C3756" i="3" s="1"/>
  <c r="C491" i="31"/>
  <c r="C3757" i="3" l="1"/>
  <c r="M4748" i="3"/>
  <c r="M4749" i="3" s="1"/>
  <c r="M4750" i="3" s="1"/>
  <c r="M4751" i="3" s="1"/>
  <c r="M4752" i="3" s="1"/>
  <c r="M4753" i="3" s="1"/>
  <c r="M4754" i="3" s="1"/>
  <c r="M4755" i="3" s="1"/>
  <c r="M4756" i="3" s="1"/>
  <c r="M4757" i="3" s="1"/>
  <c r="M4758" i="3" s="1"/>
  <c r="M4759" i="3" s="1"/>
  <c r="M4760" i="3" s="1"/>
  <c r="M4761" i="3" s="1"/>
  <c r="M4762" i="3" s="1"/>
  <c r="M4763" i="3" s="1"/>
  <c r="M4764" i="3" s="1"/>
  <c r="M4765" i="3" s="1"/>
  <c r="M4766" i="3" s="1"/>
  <c r="M4767" i="3" s="1"/>
  <c r="M4768" i="3" s="1"/>
  <c r="C492" i="31"/>
  <c r="C3758" i="3" l="1"/>
  <c r="M4769" i="3"/>
  <c r="M4770" i="3" s="1"/>
  <c r="M4771" i="3" s="1"/>
  <c r="M4772" i="3" s="1"/>
  <c r="M4773" i="3" s="1"/>
  <c r="M4774" i="3" s="1"/>
  <c r="M4775" i="3" s="1"/>
  <c r="M4776" i="3" s="1"/>
  <c r="C493" i="31"/>
  <c r="C3759" i="3" l="1"/>
  <c r="M4777" i="3"/>
  <c r="M4778" i="3" s="1"/>
  <c r="M4779" i="3" s="1"/>
  <c r="M4780" i="3" s="1"/>
  <c r="M4781" i="3" s="1"/>
  <c r="M4782" i="3" s="1"/>
  <c r="M4783" i="3" s="1"/>
  <c r="M4784" i="3" s="1"/>
  <c r="M4785" i="3" s="1"/>
  <c r="M4786" i="3" s="1"/>
  <c r="M4787" i="3" s="1"/>
  <c r="M4788" i="3" s="1"/>
  <c r="M4789" i="3" s="1"/>
  <c r="M4790" i="3" s="1"/>
  <c r="M4791" i="3" s="1"/>
  <c r="M4792" i="3" s="1"/>
  <c r="M4793" i="3" s="1"/>
  <c r="M4794" i="3" s="1"/>
  <c r="M4795" i="3" s="1"/>
  <c r="M4796" i="3" s="1"/>
  <c r="M4797" i="3" s="1"/>
  <c r="M4798" i="3" s="1"/>
  <c r="M4799" i="3" s="1"/>
  <c r="M4800" i="3" s="1"/>
  <c r="M4801" i="3" s="1"/>
  <c r="M4802" i="3" s="1"/>
  <c r="M4803" i="3" s="1"/>
  <c r="M4804" i="3" s="1"/>
  <c r="M4805" i="3" s="1"/>
  <c r="M4806" i="3" s="1"/>
  <c r="M4807" i="3" s="1"/>
  <c r="M4808" i="3" s="1"/>
  <c r="C494" i="31"/>
  <c r="C3760" i="3" l="1"/>
  <c r="M4809" i="3"/>
  <c r="M4810" i="3" s="1"/>
  <c r="M4811" i="3" s="1"/>
  <c r="M4812" i="3" s="1"/>
  <c r="M4813" i="3" s="1"/>
  <c r="M4814" i="3" s="1"/>
  <c r="M4815" i="3" s="1"/>
  <c r="M4816" i="3" s="1"/>
  <c r="M4817" i="3" s="1"/>
  <c r="M4818" i="3" s="1"/>
  <c r="M4819" i="3" s="1"/>
  <c r="M4820" i="3" s="1"/>
  <c r="M4821" i="3" s="1"/>
  <c r="M4822" i="3" s="1"/>
  <c r="M4823" i="3" s="1"/>
  <c r="M4824" i="3" s="1"/>
  <c r="M4825" i="3" s="1"/>
  <c r="M4826" i="3" s="1"/>
  <c r="M4827" i="3" s="1"/>
  <c r="M4828" i="3" s="1"/>
  <c r="M4829" i="3" s="1"/>
  <c r="M4830" i="3" s="1"/>
  <c r="M4831" i="3" s="1"/>
  <c r="M4832" i="3" s="1"/>
  <c r="M4833" i="3" s="1"/>
  <c r="M4834" i="3" s="1"/>
  <c r="M4835" i="3" s="1"/>
  <c r="M4836" i="3" s="1"/>
  <c r="M4837" i="3" s="1"/>
  <c r="M4838" i="3" s="1"/>
  <c r="M4839" i="3" s="1"/>
  <c r="M4840" i="3" s="1"/>
  <c r="M4841" i="3" s="1"/>
  <c r="M4842" i="3" s="1"/>
  <c r="M4843" i="3" s="1"/>
  <c r="M4844" i="3" s="1"/>
  <c r="M4845" i="3" s="1"/>
  <c r="M4846" i="3" s="1"/>
  <c r="M4847" i="3" s="1"/>
  <c r="M4848" i="3" s="1"/>
  <c r="M4849" i="3" s="1"/>
  <c r="M4850" i="3" s="1"/>
  <c r="M4851" i="3" s="1"/>
  <c r="M4852" i="3" s="1"/>
  <c r="M4853" i="3" s="1"/>
  <c r="M4854" i="3" s="1"/>
  <c r="M4855" i="3" s="1"/>
  <c r="M4856" i="3" s="1"/>
  <c r="M4857" i="3" s="1"/>
  <c r="M4858" i="3" s="1"/>
  <c r="M4859" i="3" s="1"/>
  <c r="M4860" i="3" s="1"/>
  <c r="M4861" i="3" s="1"/>
  <c r="M4862" i="3" s="1"/>
  <c r="M4863" i="3" s="1"/>
  <c r="M4864" i="3" s="1"/>
  <c r="M4865" i="3" s="1"/>
  <c r="M4866" i="3" s="1"/>
  <c r="M4867" i="3" s="1"/>
  <c r="M4868" i="3" s="1"/>
  <c r="M4869" i="3" s="1"/>
  <c r="M4870" i="3" s="1"/>
  <c r="M4871" i="3" s="1"/>
  <c r="M4872" i="3" s="1"/>
  <c r="M4873" i="3" s="1"/>
  <c r="M4874" i="3" s="1"/>
  <c r="M4875" i="3" s="1"/>
  <c r="M4876" i="3" s="1"/>
  <c r="M4877" i="3" s="1"/>
  <c r="M4878" i="3" s="1"/>
  <c r="M4879" i="3" s="1"/>
  <c r="M4880" i="3" s="1"/>
  <c r="M4881" i="3" s="1"/>
  <c r="M4882" i="3" s="1"/>
  <c r="M4883" i="3" s="1"/>
  <c r="M4884" i="3" s="1"/>
  <c r="M4885" i="3" s="1"/>
  <c r="M4886" i="3" s="1"/>
  <c r="M4887" i="3" s="1"/>
  <c r="M4888" i="3" s="1"/>
  <c r="M4889" i="3" s="1"/>
  <c r="M4890" i="3" s="1"/>
  <c r="M4891" i="3" s="1"/>
  <c r="M4892" i="3" s="1"/>
  <c r="M4893" i="3" s="1"/>
  <c r="M4894" i="3" s="1"/>
  <c r="M4895" i="3" s="1"/>
  <c r="M4896" i="3" s="1"/>
  <c r="M4897" i="3" s="1"/>
  <c r="M4898" i="3" s="1"/>
  <c r="M4899" i="3" s="1"/>
  <c r="M4900" i="3" s="1"/>
  <c r="M4901" i="3" s="1"/>
  <c r="M4902" i="3" s="1"/>
  <c r="M4903" i="3" s="1"/>
  <c r="M4904" i="3" s="1"/>
  <c r="M4905" i="3" s="1"/>
  <c r="M4906" i="3" s="1"/>
  <c r="M4907" i="3" s="1"/>
  <c r="M4908" i="3" s="1"/>
  <c r="M4909" i="3" s="1"/>
  <c r="M4910" i="3" s="1"/>
  <c r="M4911" i="3" s="1"/>
  <c r="M4912" i="3" s="1"/>
  <c r="M4913" i="3" s="1"/>
  <c r="M4914" i="3" s="1"/>
  <c r="M4915" i="3" s="1"/>
  <c r="M4916" i="3" s="1"/>
  <c r="M4917" i="3" s="1"/>
  <c r="M4918" i="3" s="1"/>
  <c r="M4919" i="3" s="1"/>
  <c r="M4920" i="3" s="1"/>
  <c r="M4921" i="3" s="1"/>
  <c r="M4922" i="3" s="1"/>
  <c r="M4923" i="3" s="1"/>
  <c r="M4924" i="3" s="1"/>
  <c r="M4925" i="3" s="1"/>
  <c r="M4926" i="3" s="1"/>
  <c r="M4927" i="3" s="1"/>
  <c r="M4928" i="3" s="1"/>
  <c r="M4929" i="3" s="1"/>
  <c r="M4930" i="3" s="1"/>
  <c r="M4931" i="3" s="1"/>
  <c r="M4932" i="3" s="1"/>
  <c r="M4933" i="3" s="1"/>
  <c r="M4934" i="3" s="1"/>
  <c r="M4935" i="3" s="1"/>
  <c r="M4936" i="3" s="1"/>
  <c r="M4937" i="3" s="1"/>
  <c r="M4938" i="3" s="1"/>
  <c r="M4939" i="3" s="1"/>
  <c r="M4940" i="3" s="1"/>
  <c r="M4941" i="3" s="1"/>
  <c r="M4942" i="3" s="1"/>
  <c r="M4943" i="3" s="1"/>
  <c r="M4944" i="3" s="1"/>
  <c r="M4945" i="3" s="1"/>
  <c r="M4946" i="3" s="1"/>
  <c r="M4947" i="3" s="1"/>
  <c r="M4948" i="3" s="1"/>
  <c r="M4949" i="3" s="1"/>
  <c r="M4950" i="3" s="1"/>
  <c r="M4951" i="3" s="1"/>
  <c r="M4952" i="3" s="1"/>
  <c r="M4953" i="3" s="1"/>
  <c r="M4954" i="3" s="1"/>
  <c r="M4955" i="3" s="1"/>
  <c r="M4956" i="3" s="1"/>
  <c r="M4957" i="3" s="1"/>
  <c r="M4958" i="3" s="1"/>
  <c r="M4959" i="3" s="1"/>
  <c r="M4960" i="3" s="1"/>
  <c r="M4961" i="3" s="1"/>
  <c r="M4962" i="3" s="1"/>
  <c r="M4963" i="3" s="1"/>
  <c r="M4964" i="3" s="1"/>
  <c r="M4965" i="3" s="1"/>
  <c r="M4966" i="3" s="1"/>
  <c r="M4967" i="3" s="1"/>
  <c r="M4968" i="3" s="1"/>
  <c r="M4969" i="3" s="1"/>
  <c r="M4970" i="3" s="1"/>
  <c r="M4971" i="3" s="1"/>
  <c r="M4972" i="3" s="1"/>
  <c r="M4973" i="3" s="1"/>
  <c r="M4974" i="3" s="1"/>
  <c r="M4975" i="3" s="1"/>
  <c r="M4976" i="3" s="1"/>
  <c r="M4977" i="3" s="1"/>
  <c r="M4978" i="3" s="1"/>
  <c r="M4979" i="3" s="1"/>
  <c r="M4980" i="3" s="1"/>
  <c r="M4981" i="3" s="1"/>
  <c r="M4982" i="3" s="1"/>
  <c r="M4983" i="3" s="1"/>
  <c r="M4984" i="3" s="1"/>
  <c r="M4985" i="3" s="1"/>
  <c r="M4986" i="3" s="1"/>
  <c r="M4987" i="3" s="1"/>
  <c r="M4988" i="3" s="1"/>
  <c r="M4989" i="3" s="1"/>
  <c r="M4990" i="3" s="1"/>
  <c r="M4991" i="3" s="1"/>
  <c r="M4992" i="3" s="1"/>
  <c r="M4993" i="3" s="1"/>
  <c r="M4994" i="3" s="1"/>
  <c r="M4995" i="3" s="1"/>
  <c r="M4996" i="3" s="1"/>
  <c r="M4997" i="3" s="1"/>
  <c r="M4998" i="3" s="1"/>
  <c r="M4999" i="3" s="1"/>
  <c r="M5000" i="3" s="1"/>
  <c r="M5001" i="3" s="1"/>
  <c r="M5002" i="3" s="1"/>
  <c r="M5003" i="3" s="1"/>
  <c r="M5004" i="3" s="1"/>
  <c r="M5005" i="3" s="1"/>
  <c r="M5006" i="3" s="1"/>
  <c r="M5007" i="3" s="1"/>
  <c r="M5008" i="3" s="1"/>
  <c r="M5009" i="3" s="1"/>
  <c r="M5010" i="3" s="1"/>
  <c r="M5011" i="3" s="1"/>
  <c r="M5012" i="3" s="1"/>
  <c r="M5013" i="3" s="1"/>
  <c r="M5014" i="3" s="1"/>
  <c r="M5015" i="3" s="1"/>
  <c r="M5016" i="3" s="1"/>
  <c r="M5017" i="3" s="1"/>
  <c r="M5018" i="3" s="1"/>
  <c r="M5019" i="3" s="1"/>
  <c r="M5020" i="3" s="1"/>
  <c r="M5021" i="3" s="1"/>
  <c r="M5022" i="3" s="1"/>
  <c r="M5023" i="3" s="1"/>
  <c r="M5024" i="3" s="1"/>
  <c r="M5025" i="3" s="1"/>
  <c r="M5026" i="3" s="1"/>
  <c r="M5027" i="3" s="1"/>
  <c r="M5028" i="3" s="1"/>
  <c r="M5029" i="3" s="1"/>
  <c r="M5030" i="3" s="1"/>
  <c r="M5031" i="3" s="1"/>
  <c r="M5032" i="3" s="1"/>
  <c r="M5033" i="3" s="1"/>
  <c r="M5034" i="3" s="1"/>
  <c r="M5035" i="3" s="1"/>
  <c r="M5036" i="3" s="1"/>
  <c r="M5037" i="3" s="1"/>
  <c r="M5038" i="3" s="1"/>
  <c r="M5039" i="3" s="1"/>
  <c r="M5040" i="3" s="1"/>
  <c r="M5041" i="3" s="1"/>
  <c r="M5042" i="3" s="1"/>
  <c r="M5043" i="3" s="1"/>
  <c r="M5044" i="3" s="1"/>
  <c r="M5045" i="3" s="1"/>
  <c r="M5046" i="3" s="1"/>
  <c r="M5047" i="3" s="1"/>
  <c r="M5048" i="3" s="1"/>
  <c r="M5049" i="3" s="1"/>
  <c r="M5050" i="3" s="1"/>
  <c r="M5051" i="3" s="1"/>
  <c r="M5052" i="3" s="1"/>
  <c r="M5053" i="3" s="1"/>
  <c r="M5054" i="3" s="1"/>
  <c r="M5055" i="3" s="1"/>
  <c r="M5056" i="3" s="1"/>
  <c r="M5057" i="3" s="1"/>
  <c r="M5058" i="3" s="1"/>
  <c r="M5059" i="3" s="1"/>
  <c r="M5060" i="3" s="1"/>
  <c r="M5061" i="3" s="1"/>
  <c r="M5062" i="3" s="1"/>
  <c r="M5063" i="3" s="1"/>
  <c r="M5064" i="3" s="1"/>
  <c r="M5065" i="3" s="1"/>
  <c r="M5066" i="3" s="1"/>
  <c r="M5067" i="3" s="1"/>
  <c r="M5068" i="3" s="1"/>
  <c r="M5069" i="3" s="1"/>
  <c r="M5070" i="3" s="1"/>
  <c r="M5071" i="3" s="1"/>
  <c r="M5072" i="3" s="1"/>
  <c r="M5073" i="3" s="1"/>
  <c r="M5074" i="3" s="1"/>
  <c r="M5075" i="3" s="1"/>
  <c r="M5076" i="3" s="1"/>
  <c r="M5077" i="3" s="1"/>
  <c r="M5078" i="3" s="1"/>
  <c r="M5079" i="3" s="1"/>
  <c r="M5080" i="3" s="1"/>
  <c r="M5081" i="3" s="1"/>
  <c r="M5082" i="3" s="1"/>
  <c r="M5083" i="3" s="1"/>
  <c r="M5084" i="3" s="1"/>
  <c r="M5085" i="3" s="1"/>
  <c r="M5086" i="3" s="1"/>
  <c r="M5087" i="3" s="1"/>
  <c r="M5088" i="3" s="1"/>
  <c r="M5089" i="3" s="1"/>
  <c r="M5090" i="3" s="1"/>
  <c r="M5091" i="3" s="1"/>
  <c r="M5092" i="3" s="1"/>
  <c r="M5093" i="3" s="1"/>
  <c r="M5094" i="3" s="1"/>
  <c r="M5095" i="3" s="1"/>
  <c r="M5096" i="3" s="1"/>
  <c r="M5097" i="3" s="1"/>
  <c r="M5098" i="3" s="1"/>
  <c r="M5099" i="3" s="1"/>
  <c r="M5100" i="3" s="1"/>
  <c r="M5101" i="3" s="1"/>
  <c r="M5102" i="3" s="1"/>
  <c r="M5103" i="3" s="1"/>
  <c r="M5104" i="3" s="1"/>
  <c r="M5105" i="3" s="1"/>
  <c r="M5106" i="3" s="1"/>
  <c r="M5107" i="3" s="1"/>
  <c r="M5108" i="3" s="1"/>
  <c r="M5109" i="3" s="1"/>
  <c r="M5110" i="3" s="1"/>
  <c r="M5111" i="3" s="1"/>
  <c r="M5112" i="3" s="1"/>
  <c r="M5113" i="3" s="1"/>
  <c r="M5114" i="3" s="1"/>
  <c r="M5115" i="3" s="1"/>
  <c r="M5116" i="3" s="1"/>
  <c r="M5117" i="3" s="1"/>
  <c r="M5118" i="3" s="1"/>
  <c r="M5119" i="3" s="1"/>
  <c r="M5120" i="3" s="1"/>
  <c r="M5121" i="3" s="1"/>
  <c r="M5122" i="3" s="1"/>
  <c r="M5123" i="3" s="1"/>
  <c r="M5124" i="3" s="1"/>
  <c r="M5125" i="3" s="1"/>
  <c r="M5126" i="3" s="1"/>
  <c r="M5127" i="3" s="1"/>
  <c r="M5128" i="3" s="1"/>
  <c r="M5129" i="3" s="1"/>
  <c r="M5130" i="3" s="1"/>
  <c r="M5131" i="3" s="1"/>
  <c r="M5132" i="3" s="1"/>
  <c r="M5133" i="3" s="1"/>
  <c r="M5134" i="3" s="1"/>
  <c r="M5135" i="3" s="1"/>
  <c r="M5136" i="3" s="1"/>
  <c r="M5137" i="3" s="1"/>
  <c r="M5138" i="3" s="1"/>
  <c r="M5139" i="3" s="1"/>
  <c r="M5140" i="3" s="1"/>
  <c r="M5141" i="3" s="1"/>
  <c r="M5142" i="3" s="1"/>
  <c r="M5143" i="3" s="1"/>
  <c r="M5144" i="3" s="1"/>
  <c r="M5145" i="3" s="1"/>
  <c r="M5146" i="3" s="1"/>
  <c r="M5147" i="3" s="1"/>
  <c r="M5148" i="3" s="1"/>
  <c r="M5149" i="3" s="1"/>
  <c r="M5150" i="3" s="1"/>
  <c r="M5151" i="3" s="1"/>
  <c r="M5152" i="3" s="1"/>
  <c r="M5153" i="3" s="1"/>
  <c r="M5154" i="3" s="1"/>
  <c r="M5155" i="3" s="1"/>
  <c r="M5156" i="3" s="1"/>
  <c r="M5157" i="3" s="1"/>
  <c r="M5158" i="3" s="1"/>
  <c r="M5159" i="3" s="1"/>
  <c r="M5160" i="3" s="1"/>
  <c r="M5161" i="3" s="1"/>
  <c r="M5162" i="3" s="1"/>
  <c r="M5163" i="3" s="1"/>
  <c r="M5164" i="3" s="1"/>
  <c r="M5165" i="3" s="1"/>
  <c r="M5166" i="3" s="1"/>
  <c r="M5167" i="3" s="1"/>
  <c r="M5168" i="3" s="1"/>
  <c r="M5169" i="3" s="1"/>
  <c r="M5170" i="3" s="1"/>
  <c r="M5171" i="3" s="1"/>
  <c r="M5172" i="3" s="1"/>
  <c r="M5173" i="3" s="1"/>
  <c r="M5174" i="3" s="1"/>
  <c r="M5175" i="3" s="1"/>
  <c r="M5176" i="3" s="1"/>
  <c r="M5177" i="3" s="1"/>
  <c r="M5178" i="3" s="1"/>
  <c r="M5179" i="3" s="1"/>
  <c r="M5180" i="3" s="1"/>
  <c r="M5181" i="3" s="1"/>
  <c r="M5182" i="3" s="1"/>
  <c r="M5183" i="3" s="1"/>
  <c r="M5184" i="3" s="1"/>
  <c r="M5185" i="3" s="1"/>
  <c r="M5186" i="3" s="1"/>
  <c r="M5187" i="3" s="1"/>
  <c r="M5188" i="3" s="1"/>
  <c r="M5189" i="3" s="1"/>
  <c r="M5190" i="3" s="1"/>
  <c r="M5191" i="3" s="1"/>
  <c r="M5192" i="3" s="1"/>
  <c r="M5193" i="3" s="1"/>
  <c r="M5194" i="3" s="1"/>
  <c r="M5195" i="3" s="1"/>
  <c r="M5196" i="3" s="1"/>
  <c r="M5197" i="3" s="1"/>
  <c r="M5198" i="3" s="1"/>
  <c r="M5199" i="3" s="1"/>
  <c r="M5200" i="3" s="1"/>
  <c r="M5201" i="3" s="1"/>
  <c r="M5202" i="3" s="1"/>
  <c r="M5203" i="3" s="1"/>
  <c r="M5204" i="3" s="1"/>
  <c r="M5205" i="3" s="1"/>
  <c r="M5206" i="3" s="1"/>
  <c r="M5207" i="3" s="1"/>
  <c r="M5208" i="3" s="1"/>
  <c r="M5209" i="3" s="1"/>
  <c r="M5210" i="3" s="1"/>
  <c r="M5211" i="3" s="1"/>
  <c r="M5212" i="3" s="1"/>
  <c r="M5213" i="3" s="1"/>
  <c r="M5214" i="3" s="1"/>
  <c r="M5215" i="3" s="1"/>
  <c r="M5216" i="3" s="1"/>
  <c r="M5217" i="3" s="1"/>
  <c r="M5218" i="3" s="1"/>
  <c r="M5219" i="3" s="1"/>
  <c r="M5220" i="3" s="1"/>
  <c r="M5221" i="3" s="1"/>
  <c r="M5222" i="3" s="1"/>
  <c r="M5223" i="3" s="1"/>
  <c r="M5224" i="3" s="1"/>
  <c r="M5225" i="3" s="1"/>
  <c r="M5226" i="3" s="1"/>
  <c r="M5227" i="3" s="1"/>
  <c r="M5228" i="3" s="1"/>
  <c r="M5229" i="3" s="1"/>
  <c r="M5230" i="3" s="1"/>
  <c r="M5231" i="3" s="1"/>
  <c r="M5232" i="3" s="1"/>
  <c r="M5233" i="3" s="1"/>
  <c r="M5234" i="3" s="1"/>
  <c r="M5235" i="3" s="1"/>
  <c r="M5236" i="3" s="1"/>
  <c r="M5237" i="3" s="1"/>
  <c r="M5238" i="3" s="1"/>
  <c r="M5239" i="3" s="1"/>
  <c r="M5240" i="3" s="1"/>
  <c r="M5241" i="3" s="1"/>
  <c r="M5242" i="3" s="1"/>
  <c r="M5243" i="3" s="1"/>
  <c r="M5244" i="3" s="1"/>
  <c r="M5245" i="3" s="1"/>
  <c r="M5246" i="3" s="1"/>
  <c r="M5247" i="3" s="1"/>
  <c r="M5248" i="3" s="1"/>
  <c r="M5249" i="3" s="1"/>
  <c r="M5250" i="3" s="1"/>
  <c r="M5251" i="3" s="1"/>
  <c r="M5252" i="3" s="1"/>
  <c r="M5253" i="3" s="1"/>
  <c r="M5254" i="3" s="1"/>
  <c r="M5255" i="3" s="1"/>
  <c r="M5256" i="3" s="1"/>
  <c r="M5257" i="3" s="1"/>
  <c r="M5258" i="3" s="1"/>
  <c r="M5259" i="3" s="1"/>
  <c r="M5260" i="3" s="1"/>
  <c r="M5261" i="3" s="1"/>
  <c r="M5262" i="3" s="1"/>
  <c r="M5263" i="3" s="1"/>
  <c r="M5264" i="3" s="1"/>
  <c r="M5265" i="3" s="1"/>
  <c r="M5266" i="3" s="1"/>
  <c r="M5267" i="3" s="1"/>
  <c r="M5268" i="3" s="1"/>
  <c r="M5269" i="3" s="1"/>
  <c r="M5270" i="3" s="1"/>
  <c r="M5271" i="3" s="1"/>
  <c r="M5272" i="3" s="1"/>
  <c r="M5273" i="3" s="1"/>
  <c r="M5274" i="3" s="1"/>
  <c r="M5275" i="3" s="1"/>
  <c r="M5276" i="3" s="1"/>
  <c r="M5277" i="3" s="1"/>
  <c r="M5278" i="3" s="1"/>
  <c r="M5279" i="3" s="1"/>
  <c r="M5280" i="3" s="1"/>
  <c r="M5281" i="3" s="1"/>
  <c r="M5282" i="3" s="1"/>
  <c r="M5283" i="3" s="1"/>
  <c r="M5284" i="3" s="1"/>
  <c r="M5285" i="3" s="1"/>
  <c r="M5286" i="3" s="1"/>
  <c r="M5287" i="3" s="1"/>
  <c r="M5288" i="3" s="1"/>
  <c r="M5289" i="3" s="1"/>
  <c r="M5290" i="3" s="1"/>
  <c r="M5291" i="3" s="1"/>
  <c r="M5292" i="3" s="1"/>
  <c r="M5293" i="3" s="1"/>
  <c r="M5294" i="3" s="1"/>
  <c r="M5295" i="3" s="1"/>
  <c r="M5296" i="3" s="1"/>
  <c r="M5297" i="3" s="1"/>
  <c r="M5298" i="3" s="1"/>
  <c r="M5299" i="3" s="1"/>
  <c r="M5300" i="3" s="1"/>
  <c r="M5301" i="3" s="1"/>
  <c r="M5302" i="3" s="1"/>
  <c r="M5303" i="3" s="1"/>
  <c r="M5304" i="3" s="1"/>
  <c r="M5305" i="3" s="1"/>
  <c r="M5306" i="3" s="1"/>
  <c r="M5307" i="3" s="1"/>
  <c r="M5308" i="3" s="1"/>
  <c r="M5309" i="3" s="1"/>
  <c r="M5310" i="3" s="1"/>
  <c r="M5311" i="3" s="1"/>
  <c r="M5312" i="3" s="1"/>
  <c r="M5313" i="3" s="1"/>
  <c r="M5314" i="3" s="1"/>
  <c r="M5315" i="3" s="1"/>
  <c r="M5316" i="3" s="1"/>
  <c r="M5317" i="3" s="1"/>
  <c r="M5318" i="3" s="1"/>
  <c r="M5319" i="3" s="1"/>
  <c r="M5320" i="3" s="1"/>
  <c r="M5321" i="3" s="1"/>
  <c r="M5322" i="3" s="1"/>
  <c r="M5323" i="3" s="1"/>
  <c r="M5324" i="3" s="1"/>
  <c r="M5325" i="3" s="1"/>
  <c r="M5326" i="3" s="1"/>
  <c r="M5327" i="3" s="1"/>
  <c r="M5328" i="3" s="1"/>
  <c r="M5329" i="3" s="1"/>
  <c r="M5330" i="3" s="1"/>
  <c r="M5331" i="3" s="1"/>
  <c r="M5332" i="3" s="1"/>
  <c r="M5333" i="3" s="1"/>
  <c r="M5334" i="3" s="1"/>
  <c r="M5335" i="3" s="1"/>
  <c r="M5336" i="3" s="1"/>
  <c r="M5337" i="3" s="1"/>
  <c r="M5338" i="3" s="1"/>
  <c r="M5339" i="3" s="1"/>
  <c r="M5340" i="3" s="1"/>
  <c r="M5341" i="3" s="1"/>
  <c r="M5342" i="3" s="1"/>
  <c r="M5343" i="3" s="1"/>
  <c r="M5344" i="3" s="1"/>
  <c r="M5345" i="3" s="1"/>
  <c r="M5346" i="3" s="1"/>
  <c r="M5347" i="3" s="1"/>
  <c r="M5348" i="3" s="1"/>
  <c r="M5349" i="3" s="1"/>
  <c r="M5350" i="3" s="1"/>
  <c r="M5351" i="3" s="1"/>
  <c r="M5352" i="3" s="1"/>
  <c r="M5353" i="3" s="1"/>
  <c r="M5354" i="3" s="1"/>
  <c r="M5355" i="3" s="1"/>
  <c r="M5356" i="3" s="1"/>
  <c r="M5357" i="3" s="1"/>
  <c r="M5358" i="3" s="1"/>
  <c r="M5359" i="3" s="1"/>
  <c r="M5360" i="3" s="1"/>
  <c r="M5361" i="3" s="1"/>
  <c r="M5362" i="3" s="1"/>
  <c r="M5363" i="3" s="1"/>
  <c r="M5364" i="3" s="1"/>
  <c r="M5365" i="3" s="1"/>
  <c r="M5366" i="3" s="1"/>
  <c r="M5367" i="3" s="1"/>
  <c r="M5368" i="3" s="1"/>
  <c r="M5369" i="3" s="1"/>
  <c r="M5370" i="3" s="1"/>
  <c r="M5371" i="3" s="1"/>
  <c r="M5372" i="3" s="1"/>
  <c r="M5373" i="3" s="1"/>
  <c r="M5374" i="3" s="1"/>
  <c r="M5375" i="3" s="1"/>
  <c r="M5376" i="3" s="1"/>
  <c r="M5377" i="3" s="1"/>
  <c r="M5378" i="3" s="1"/>
  <c r="M5379" i="3" s="1"/>
  <c r="M5380" i="3" s="1"/>
  <c r="M5381" i="3" s="1"/>
  <c r="M5382" i="3" s="1"/>
  <c r="M5383" i="3" s="1"/>
  <c r="M5384" i="3" s="1"/>
  <c r="M5385" i="3" s="1"/>
  <c r="M5386" i="3" s="1"/>
  <c r="M5387" i="3" s="1"/>
  <c r="M5388" i="3" s="1"/>
  <c r="M5389" i="3" s="1"/>
  <c r="M5390" i="3" s="1"/>
  <c r="M5391" i="3" s="1"/>
  <c r="M5392" i="3" s="1"/>
  <c r="M5393" i="3" s="1"/>
  <c r="M5394" i="3" s="1"/>
  <c r="M5395" i="3" s="1"/>
  <c r="M5396" i="3" s="1"/>
  <c r="M5397" i="3" s="1"/>
  <c r="M5398" i="3" s="1"/>
  <c r="M5399" i="3" s="1"/>
  <c r="M5400" i="3" s="1"/>
  <c r="M5401" i="3" s="1"/>
  <c r="M5402" i="3" s="1"/>
  <c r="M5403" i="3" s="1"/>
  <c r="M5404" i="3" s="1"/>
  <c r="M5405" i="3" s="1"/>
  <c r="M5406" i="3" s="1"/>
  <c r="M5407" i="3" s="1"/>
  <c r="M5408" i="3" s="1"/>
  <c r="M5409" i="3" s="1"/>
  <c r="M5410" i="3" s="1"/>
  <c r="M5411" i="3" s="1"/>
  <c r="M5412" i="3" s="1"/>
  <c r="M5413" i="3" s="1"/>
  <c r="M5414" i="3" s="1"/>
  <c r="M5415" i="3" s="1"/>
  <c r="M5416" i="3" s="1"/>
  <c r="M5417" i="3" s="1"/>
  <c r="M5418" i="3" s="1"/>
  <c r="M5419" i="3" s="1"/>
  <c r="M5420" i="3" s="1"/>
  <c r="M5421" i="3" s="1"/>
  <c r="M5422" i="3" s="1"/>
  <c r="M5423" i="3" s="1"/>
  <c r="M5424" i="3" s="1"/>
  <c r="M5425" i="3" s="1"/>
  <c r="M5426" i="3" s="1"/>
  <c r="M5427" i="3" s="1"/>
  <c r="M5428" i="3" s="1"/>
  <c r="M5429" i="3" s="1"/>
  <c r="M5430" i="3" s="1"/>
  <c r="M5431" i="3" s="1"/>
  <c r="M5432" i="3" s="1"/>
  <c r="M5433" i="3" s="1"/>
  <c r="M5434" i="3" s="1"/>
  <c r="M5435" i="3" s="1"/>
  <c r="M5436" i="3" s="1"/>
  <c r="M5437" i="3" s="1"/>
  <c r="M5438" i="3" s="1"/>
  <c r="M5439" i="3" s="1"/>
  <c r="M5440" i="3" s="1"/>
  <c r="M5441" i="3" s="1"/>
  <c r="M5442" i="3" s="1"/>
  <c r="M5443" i="3" s="1"/>
  <c r="M5444" i="3" s="1"/>
  <c r="M5445" i="3" s="1"/>
  <c r="M5446" i="3" s="1"/>
  <c r="M5447" i="3" s="1"/>
  <c r="M5448" i="3" s="1"/>
  <c r="M5449" i="3" s="1"/>
  <c r="M5450" i="3" s="1"/>
  <c r="M5451" i="3" s="1"/>
  <c r="M5452" i="3" s="1"/>
  <c r="M5453" i="3" s="1"/>
  <c r="M5454" i="3" s="1"/>
  <c r="M5455" i="3" s="1"/>
  <c r="M5456" i="3" s="1"/>
  <c r="M5457" i="3" s="1"/>
  <c r="M5458" i="3" s="1"/>
  <c r="M5459" i="3" s="1"/>
  <c r="M5460" i="3" s="1"/>
  <c r="M5461" i="3" s="1"/>
  <c r="M5462" i="3" s="1"/>
  <c r="M5463" i="3" s="1"/>
  <c r="M5464" i="3" s="1"/>
  <c r="M5465" i="3" s="1"/>
  <c r="M5466" i="3" s="1"/>
  <c r="M5467" i="3" s="1"/>
  <c r="M5468" i="3" s="1"/>
  <c r="M5469" i="3" s="1"/>
  <c r="M5470" i="3" s="1"/>
  <c r="M5471" i="3" s="1"/>
  <c r="M5472" i="3" s="1"/>
  <c r="M5473" i="3" s="1"/>
  <c r="M5474" i="3" s="1"/>
  <c r="M5475" i="3" s="1"/>
  <c r="M5476" i="3" s="1"/>
  <c r="M5477" i="3" s="1"/>
  <c r="M5478" i="3" s="1"/>
  <c r="M5479" i="3" s="1"/>
  <c r="M5480" i="3" s="1"/>
  <c r="M5481" i="3" s="1"/>
  <c r="M5482" i="3" s="1"/>
  <c r="M5483" i="3" s="1"/>
  <c r="M5484" i="3" s="1"/>
  <c r="M5485" i="3" s="1"/>
  <c r="M5486" i="3" s="1"/>
  <c r="M5487" i="3" s="1"/>
  <c r="M5488" i="3" s="1"/>
  <c r="M5489" i="3" s="1"/>
  <c r="M5490" i="3" s="1"/>
  <c r="M5491" i="3" s="1"/>
  <c r="M5492" i="3" s="1"/>
  <c r="M5493" i="3" s="1"/>
  <c r="M5494" i="3" s="1"/>
  <c r="M5495" i="3" s="1"/>
  <c r="M5496" i="3" s="1"/>
  <c r="M5497" i="3" s="1"/>
  <c r="M5498" i="3" s="1"/>
  <c r="M5499" i="3" s="1"/>
  <c r="M5500" i="3" s="1"/>
  <c r="M5501" i="3" s="1"/>
  <c r="M5502" i="3" s="1"/>
  <c r="M5503" i="3" s="1"/>
  <c r="M5504" i="3" s="1"/>
  <c r="M5505" i="3" s="1"/>
  <c r="M5506" i="3" s="1"/>
  <c r="M5507" i="3" s="1"/>
  <c r="M5508" i="3" s="1"/>
  <c r="M5509" i="3" s="1"/>
  <c r="M5510" i="3" s="1"/>
  <c r="M5511" i="3" s="1"/>
  <c r="M5512" i="3" s="1"/>
  <c r="M5513" i="3" s="1"/>
  <c r="M5514" i="3" s="1"/>
  <c r="M5515" i="3" s="1"/>
  <c r="M5516" i="3" s="1"/>
  <c r="M5517" i="3" s="1"/>
  <c r="M5518" i="3" s="1"/>
  <c r="M5519" i="3" s="1"/>
  <c r="M5520" i="3" s="1"/>
  <c r="M5521" i="3" s="1"/>
  <c r="M5522" i="3" s="1"/>
  <c r="M5523" i="3" s="1"/>
  <c r="M5524" i="3" s="1"/>
  <c r="M5525" i="3" s="1"/>
  <c r="M5526" i="3" s="1"/>
  <c r="M5527" i="3" s="1"/>
  <c r="M5528" i="3" s="1"/>
  <c r="M5529" i="3" s="1"/>
  <c r="M5530" i="3" s="1"/>
  <c r="M5531" i="3" s="1"/>
  <c r="M5532" i="3" s="1"/>
  <c r="M5533" i="3" s="1"/>
  <c r="M5534" i="3" s="1"/>
  <c r="M5535" i="3" s="1"/>
  <c r="M5536" i="3" s="1"/>
  <c r="M5537" i="3" s="1"/>
  <c r="M5538" i="3" s="1"/>
  <c r="M5539" i="3" s="1"/>
  <c r="M5540" i="3" s="1"/>
  <c r="M5541" i="3" s="1"/>
  <c r="M5542" i="3" s="1"/>
  <c r="M5543" i="3" s="1"/>
  <c r="M5544" i="3" s="1"/>
  <c r="M5545" i="3" s="1"/>
  <c r="M5546" i="3" s="1"/>
  <c r="M5547" i="3" s="1"/>
  <c r="M5548" i="3" s="1"/>
  <c r="M5549" i="3" s="1"/>
  <c r="M5550" i="3" s="1"/>
  <c r="M5551" i="3" s="1"/>
  <c r="M5552" i="3" s="1"/>
  <c r="M5553" i="3" s="1"/>
  <c r="M5554" i="3" s="1"/>
  <c r="M5555" i="3" s="1"/>
  <c r="M5556" i="3" s="1"/>
  <c r="M5557" i="3" s="1"/>
  <c r="M5558" i="3" s="1"/>
  <c r="M5559" i="3" s="1"/>
  <c r="M5560" i="3" s="1"/>
  <c r="M5561" i="3" s="1"/>
  <c r="M5562" i="3" s="1"/>
  <c r="M5563" i="3" s="1"/>
  <c r="M5564" i="3" s="1"/>
  <c r="M5565" i="3" s="1"/>
  <c r="M5566" i="3" s="1"/>
  <c r="M5567" i="3" s="1"/>
  <c r="M5568" i="3" s="1"/>
  <c r="M5569" i="3" s="1"/>
  <c r="M5570" i="3" s="1"/>
  <c r="M5571" i="3" s="1"/>
  <c r="M5572" i="3" s="1"/>
  <c r="M5573" i="3" s="1"/>
  <c r="M5574" i="3" s="1"/>
  <c r="M5575" i="3" s="1"/>
  <c r="M5576" i="3" s="1"/>
  <c r="M5577" i="3" s="1"/>
  <c r="M5578" i="3" s="1"/>
  <c r="M5579" i="3" s="1"/>
  <c r="M5580" i="3" s="1"/>
  <c r="M5581" i="3" s="1"/>
  <c r="M5582" i="3" s="1"/>
  <c r="M5583" i="3" s="1"/>
  <c r="M5584" i="3" s="1"/>
  <c r="M5585" i="3" s="1"/>
  <c r="M5586" i="3" s="1"/>
  <c r="M5587" i="3" s="1"/>
  <c r="M5588" i="3" s="1"/>
  <c r="M5589" i="3" s="1"/>
  <c r="M5590" i="3" s="1"/>
  <c r="M5591" i="3" s="1"/>
  <c r="M5592" i="3" s="1"/>
  <c r="M5593" i="3" s="1"/>
  <c r="M5594" i="3" s="1"/>
  <c r="M5595" i="3" s="1"/>
  <c r="M5596" i="3" s="1"/>
  <c r="M5597" i="3" s="1"/>
  <c r="M5598" i="3" s="1"/>
  <c r="M5599" i="3" s="1"/>
  <c r="M5600" i="3" s="1"/>
  <c r="M5601" i="3" s="1"/>
  <c r="M5602" i="3" s="1"/>
  <c r="M5603" i="3" s="1"/>
  <c r="M5604" i="3" s="1"/>
  <c r="M5605" i="3" s="1"/>
  <c r="M5606" i="3" s="1"/>
  <c r="M5607" i="3" s="1"/>
  <c r="M5608" i="3" s="1"/>
  <c r="M5609" i="3" s="1"/>
  <c r="M5610" i="3" s="1"/>
  <c r="M5611" i="3" s="1"/>
  <c r="M5612" i="3" s="1"/>
  <c r="M5613" i="3" s="1"/>
  <c r="M5614" i="3" s="1"/>
  <c r="M5615" i="3" s="1"/>
  <c r="M5616" i="3" s="1"/>
  <c r="M5617" i="3" s="1"/>
  <c r="M5618" i="3" s="1"/>
  <c r="M5619" i="3" s="1"/>
  <c r="M5620" i="3" s="1"/>
  <c r="M5621" i="3" s="1"/>
  <c r="M5622" i="3" s="1"/>
  <c r="M5623" i="3" s="1"/>
  <c r="M5624" i="3" s="1"/>
  <c r="M5625" i="3" s="1"/>
  <c r="M5626" i="3" s="1"/>
  <c r="M5627" i="3" s="1"/>
  <c r="M5628" i="3" s="1"/>
  <c r="M5629" i="3" s="1"/>
  <c r="M5630" i="3" s="1"/>
  <c r="M5631" i="3" s="1"/>
  <c r="M5632" i="3" s="1"/>
  <c r="M5633" i="3" s="1"/>
  <c r="M5634" i="3" s="1"/>
  <c r="M5635" i="3" s="1"/>
  <c r="M5636" i="3" s="1"/>
  <c r="M5637" i="3" s="1"/>
  <c r="M5638" i="3" s="1"/>
  <c r="M5639" i="3" s="1"/>
  <c r="M5640" i="3" s="1"/>
  <c r="M5641" i="3" s="1"/>
  <c r="M5642" i="3" s="1"/>
  <c r="M5643" i="3" s="1"/>
  <c r="M5644" i="3" s="1"/>
  <c r="M5645" i="3" s="1"/>
  <c r="M5646" i="3" s="1"/>
  <c r="M5647" i="3" s="1"/>
  <c r="M5648" i="3" s="1"/>
  <c r="M5649" i="3" s="1"/>
  <c r="M5650" i="3" s="1"/>
  <c r="M5651" i="3" s="1"/>
  <c r="M5652" i="3" s="1"/>
  <c r="M5653" i="3" s="1"/>
  <c r="M5654" i="3" s="1"/>
  <c r="M5655" i="3" s="1"/>
  <c r="M5656" i="3" s="1"/>
  <c r="M5657" i="3" s="1"/>
  <c r="M5658" i="3" s="1"/>
  <c r="M5659" i="3" s="1"/>
  <c r="M5660" i="3" s="1"/>
  <c r="M5661" i="3" s="1"/>
  <c r="M5662" i="3" s="1"/>
  <c r="M5663" i="3" s="1"/>
  <c r="M5664" i="3" s="1"/>
  <c r="M5665" i="3" s="1"/>
  <c r="M5666" i="3" s="1"/>
  <c r="M5667" i="3" s="1"/>
  <c r="M5668" i="3" s="1"/>
  <c r="M5669" i="3" s="1"/>
  <c r="M5670" i="3" s="1"/>
  <c r="M5671" i="3" s="1"/>
  <c r="M5672" i="3" s="1"/>
  <c r="M5673" i="3" s="1"/>
  <c r="M5674" i="3" s="1"/>
  <c r="M5675" i="3" s="1"/>
  <c r="M5676" i="3" s="1"/>
  <c r="M5677" i="3" s="1"/>
  <c r="M5678" i="3" s="1"/>
  <c r="M5679" i="3" s="1"/>
  <c r="M5680" i="3" s="1"/>
  <c r="M5681" i="3" s="1"/>
  <c r="M5682" i="3" s="1"/>
  <c r="C495" i="31"/>
  <c r="C497" i="31" l="1"/>
  <c r="C3761" i="3"/>
  <c r="C3762" i="3" s="1"/>
  <c r="C3763" i="3" s="1"/>
  <c r="M5683" i="3"/>
  <c r="M5684" i="3" s="1"/>
  <c r="M5685" i="3" s="1"/>
  <c r="M5686" i="3" s="1"/>
  <c r="M5687" i="3" s="1"/>
  <c r="M5688" i="3" s="1"/>
  <c r="M5689" i="3" s="1"/>
  <c r="M5690" i="3" s="1"/>
  <c r="M5691" i="3" s="1"/>
  <c r="M5692" i="3" s="1"/>
  <c r="M5693" i="3" s="1"/>
  <c r="M5694" i="3" s="1"/>
  <c r="M5695" i="3" s="1"/>
  <c r="M5696" i="3" s="1"/>
  <c r="M5697" i="3" s="1"/>
  <c r="M5698" i="3" s="1"/>
  <c r="M5699" i="3" s="1"/>
  <c r="M5700" i="3" s="1"/>
  <c r="M5701" i="3" s="1"/>
  <c r="M5702" i="3" s="1"/>
  <c r="M5703" i="3" s="1"/>
  <c r="M5704" i="3" s="1"/>
  <c r="M5705" i="3" s="1"/>
  <c r="M5706" i="3" s="1"/>
  <c r="M5707" i="3" s="1"/>
  <c r="M5708" i="3" s="1"/>
  <c r="M5709" i="3" s="1"/>
  <c r="M5710" i="3" s="1"/>
  <c r="M5711" i="3" s="1"/>
  <c r="M5712" i="3" s="1"/>
  <c r="M5713" i="3" s="1"/>
  <c r="M5714" i="3" s="1"/>
  <c r="M5715" i="3" s="1"/>
  <c r="M5716" i="3" s="1"/>
  <c r="M5717" i="3" s="1"/>
  <c r="M5718" i="3" s="1"/>
  <c r="M5719" i="3" s="1"/>
  <c r="M5720" i="3" s="1"/>
  <c r="M5721" i="3" s="1"/>
  <c r="M5722" i="3" s="1"/>
  <c r="M5723" i="3" s="1"/>
  <c r="M5724" i="3" s="1"/>
  <c r="BX35" i="11"/>
  <c r="BX36" i="11"/>
  <c r="BX37" i="11"/>
  <c r="BX38" i="11"/>
  <c r="BX39" i="11"/>
  <c r="BX40" i="11"/>
  <c r="BX41" i="11"/>
  <c r="BX42" i="11"/>
  <c r="BX43" i="11"/>
  <c r="BX44" i="11"/>
  <c r="BY251" i="11"/>
  <c r="BY252" i="11"/>
  <c r="BY253" i="11"/>
  <c r="BY254" i="11"/>
  <c r="BY255" i="11"/>
  <c r="BY257" i="11"/>
  <c r="BY258" i="11"/>
  <c r="BY259" i="11"/>
  <c r="BY240" i="11"/>
  <c r="BY241" i="11"/>
  <c r="BY247" i="11"/>
  <c r="BY217" i="11"/>
  <c r="BY218" i="11"/>
  <c r="BY219" i="11"/>
  <c r="BY220" i="11"/>
  <c r="BY225" i="11"/>
  <c r="BY226" i="11"/>
  <c r="BY180" i="11"/>
  <c r="BY187" i="11"/>
  <c r="BY199" i="11"/>
  <c r="CE136" i="11"/>
  <c r="CE137" i="11"/>
  <c r="CE140" i="11"/>
  <c r="C498" i="31"/>
  <c r="C499" i="31" s="1"/>
  <c r="CE128" i="11"/>
  <c r="C3764" i="3" l="1"/>
  <c r="CY153" i="11" s="1"/>
  <c r="CZ153" i="11" s="1"/>
  <c r="M5725" i="3"/>
  <c r="M5726" i="3" s="1"/>
  <c r="M5727" i="3" s="1"/>
  <c r="M5728" i="3" s="1"/>
  <c r="M5729" i="3" s="1"/>
  <c r="M5730" i="3" s="1"/>
  <c r="M5731" i="3" s="1"/>
  <c r="M5732" i="3" s="1"/>
  <c r="M5733" i="3" s="1"/>
  <c r="M5734" i="3" s="1"/>
  <c r="M5735" i="3" s="1"/>
  <c r="M5736" i="3" s="1"/>
  <c r="M5737" i="3" s="1"/>
  <c r="M5738" i="3" s="1"/>
  <c r="M5739" i="3" s="1"/>
  <c r="M5740" i="3" s="1"/>
  <c r="M5741" i="3" s="1"/>
  <c r="M5742" i="3" s="1"/>
  <c r="M5743" i="3" s="1"/>
  <c r="M5744" i="3" s="1"/>
  <c r="M5745" i="3" s="1"/>
  <c r="C500" i="31"/>
  <c r="C501" i="31" s="1"/>
  <c r="CD128" i="11"/>
  <c r="CD107" i="11"/>
  <c r="CW153" i="11" l="1"/>
  <c r="CX153" i="11"/>
  <c r="CU153" i="11"/>
  <c r="CV153" i="11"/>
  <c r="BW153" i="11"/>
  <c r="BA153" i="11"/>
  <c r="CP153" i="11"/>
  <c r="R153" i="11"/>
  <c r="T153" i="11"/>
  <c r="AZ153" i="11"/>
  <c r="AA153" i="11"/>
  <c r="J153" i="11"/>
  <c r="AG153" i="11"/>
  <c r="BN153" i="11"/>
  <c r="AF153" i="11"/>
  <c r="Y153" i="11"/>
  <c r="BZ153" i="11"/>
  <c r="CE153" i="11"/>
  <c r="C3765" i="3"/>
  <c r="S153" i="11"/>
  <c r="CH153" i="11"/>
  <c r="BP153" i="11"/>
  <c r="BE153" i="11"/>
  <c r="AO153" i="11"/>
  <c r="Q153" i="11"/>
  <c r="AS153" i="11"/>
  <c r="BF153" i="11"/>
  <c r="AR153" i="11"/>
  <c r="H153" i="11"/>
  <c r="AN153" i="11"/>
  <c r="AX153" i="11"/>
  <c r="P153" i="11"/>
  <c r="CD153" i="11"/>
  <c r="BM153" i="11"/>
  <c r="BG153" i="11"/>
  <c r="O153" i="11"/>
  <c r="K153" i="11"/>
  <c r="AJ153" i="11"/>
  <c r="CL153" i="11"/>
  <c r="AI153" i="11"/>
  <c r="G153" i="11"/>
  <c r="BV153" i="11"/>
  <c r="BH153" i="11"/>
  <c r="X153" i="11"/>
  <c r="AQ153" i="11"/>
  <c r="BI153" i="11"/>
  <c r="CF153" i="11"/>
  <c r="BY153" i="11"/>
  <c r="CN153" i="11"/>
  <c r="CQ153" i="11"/>
  <c r="BR153" i="11"/>
  <c r="BX153" i="11"/>
  <c r="AY153" i="11"/>
  <c r="CM153" i="11"/>
  <c r="AH153" i="11"/>
  <c r="AB153" i="11"/>
  <c r="BO153" i="11"/>
  <c r="CO153" i="11"/>
  <c r="Z153" i="11"/>
  <c r="AP153" i="11"/>
  <c r="BQ153" i="11"/>
  <c r="I153" i="11"/>
  <c r="CG153" i="11"/>
  <c r="AW153" i="11"/>
  <c r="M5746" i="3"/>
  <c r="M5747" i="3" s="1"/>
  <c r="M5748" i="3" s="1"/>
  <c r="M5749" i="3" s="1"/>
  <c r="M5750" i="3" s="1"/>
  <c r="M5751" i="3" s="1"/>
  <c r="M5752" i="3" s="1"/>
  <c r="M5753" i="3" s="1"/>
  <c r="M5754" i="3" s="1"/>
  <c r="M5755" i="3" s="1"/>
  <c r="M5756" i="3" s="1"/>
  <c r="C502" i="31"/>
  <c r="CD148" i="11"/>
  <c r="CD158" i="11"/>
  <c r="CD160" i="11"/>
  <c r="CD163" i="11"/>
  <c r="CD136" i="11"/>
  <c r="CD137" i="11"/>
  <c r="CD140" i="11"/>
  <c r="BS153" i="11" l="1"/>
  <c r="BT153" i="11"/>
  <c r="C3766" i="3"/>
  <c r="CS153" i="11"/>
  <c r="CR153" i="11"/>
  <c r="BK153" i="11"/>
  <c r="BJ153" i="11"/>
  <c r="AL153" i="11"/>
  <c r="AK153" i="11"/>
  <c r="AT153" i="11"/>
  <c r="AU153" i="11"/>
  <c r="BB153" i="11"/>
  <c r="BC153" i="11"/>
  <c r="M153" i="11"/>
  <c r="DC153" i="11"/>
  <c r="L153" i="11"/>
  <c r="CI153" i="11"/>
  <c r="CJ153" i="11"/>
  <c r="CB153" i="11"/>
  <c r="CA153" i="11"/>
  <c r="V153" i="11"/>
  <c r="U153" i="11"/>
  <c r="AD153" i="11"/>
  <c r="AC153" i="11"/>
  <c r="M5757" i="3"/>
  <c r="C503" i="31"/>
  <c r="CD187" i="11"/>
  <c r="CD199" i="11"/>
  <c r="CD217" i="11"/>
  <c r="CD166" i="11"/>
  <c r="CD172" i="11"/>
  <c r="CD178" i="11"/>
  <c r="CD179" i="11"/>
  <c r="CD180" i="11"/>
  <c r="C3767" i="3" l="1"/>
  <c r="C3768" i="3" s="1"/>
  <c r="C3769" i="3" s="1"/>
  <c r="C3771" i="3" s="1"/>
  <c r="C3772" i="3" s="1"/>
  <c r="C3773" i="3" s="1"/>
  <c r="C3774" i="3" s="1"/>
  <c r="M5758" i="3"/>
  <c r="M5759" i="3" s="1"/>
  <c r="M5760" i="3" s="1"/>
  <c r="M5761" i="3" s="1"/>
  <c r="M5762" i="3" s="1"/>
  <c r="M5763" i="3" s="1"/>
  <c r="M5764" i="3" s="1"/>
  <c r="M5765" i="3" s="1"/>
  <c r="M5766" i="3" s="1"/>
  <c r="M5767" i="3" s="1"/>
  <c r="M5768" i="3" s="1"/>
  <c r="M5769" i="3" s="1"/>
  <c r="M5770" i="3" s="1"/>
  <c r="M5771" i="3" s="1"/>
  <c r="M5772" i="3" s="1"/>
  <c r="M5773" i="3" s="1"/>
  <c r="M5774" i="3" s="1"/>
  <c r="M5775" i="3" s="1"/>
  <c r="M5776" i="3" s="1"/>
  <c r="M5777" i="3" s="1"/>
  <c r="M5778" i="3" s="1"/>
  <c r="M5779" i="3" s="1"/>
  <c r="M5780" i="3" s="1"/>
  <c r="M5781" i="3" s="1"/>
  <c r="M5782" i="3" s="1"/>
  <c r="M5783" i="3" s="1"/>
  <c r="M5784" i="3" s="1"/>
  <c r="M5785" i="3" s="1"/>
  <c r="M5786" i="3" s="1"/>
  <c r="M5787" i="3" s="1"/>
  <c r="M5788" i="3" s="1"/>
  <c r="M5789" i="3" s="1"/>
  <c r="M5790" i="3" s="1"/>
  <c r="M5791" i="3" s="1"/>
  <c r="M5792" i="3" s="1"/>
  <c r="M5793" i="3" s="1"/>
  <c r="M5794" i="3" s="1"/>
  <c r="M5795" i="3" s="1"/>
  <c r="M5796" i="3" s="1"/>
  <c r="M5797" i="3" s="1"/>
  <c r="M5798" i="3" s="1"/>
  <c r="C504" i="31"/>
  <c r="C3775" i="3" l="1"/>
  <c r="M5799" i="3"/>
  <c r="M5800" i="3" s="1"/>
  <c r="M5801" i="3" s="1"/>
  <c r="M5802" i="3" s="1"/>
  <c r="M5803" i="3" s="1"/>
  <c r="M5804" i="3" s="1"/>
  <c r="M5805" i="3" s="1"/>
  <c r="M5806" i="3" s="1"/>
  <c r="M5807" i="3" s="1"/>
  <c r="M5808" i="3" s="1"/>
  <c r="M5809" i="3" s="1"/>
  <c r="M5810" i="3" s="1"/>
  <c r="M5811" i="3" s="1"/>
  <c r="M5812" i="3" s="1"/>
  <c r="M5813" i="3" s="1"/>
  <c r="M5814" i="3" s="1"/>
  <c r="M5815" i="3" s="1"/>
  <c r="M5816" i="3" s="1"/>
  <c r="M5817" i="3" s="1"/>
  <c r="M5818" i="3" s="1"/>
  <c r="M5819" i="3" s="1"/>
  <c r="M5820" i="3" s="1"/>
  <c r="M5821" i="3" s="1"/>
  <c r="M5822" i="3" s="1"/>
  <c r="M5823" i="3" s="1"/>
  <c r="M5824" i="3" s="1"/>
  <c r="M5825" i="3" s="1"/>
  <c r="M5826" i="3" s="1"/>
  <c r="M5827" i="3" s="1"/>
  <c r="M5828" i="3" s="1"/>
  <c r="M5829" i="3" s="1"/>
  <c r="M5830" i="3" s="1"/>
  <c r="M5831" i="3" s="1"/>
  <c r="M5832" i="3" s="1"/>
  <c r="M5833" i="3" s="1"/>
  <c r="M5834" i="3" s="1"/>
  <c r="M5835" i="3" s="1"/>
  <c r="M5836" i="3" s="1"/>
  <c r="M5837" i="3" s="1"/>
  <c r="M5838" i="3" s="1"/>
  <c r="M5839" i="3" s="1"/>
  <c r="M5840" i="3" s="1"/>
  <c r="M5841" i="3" s="1"/>
  <c r="M5842" i="3" s="1"/>
  <c r="M5843" i="3" s="1"/>
  <c r="M5844" i="3" s="1"/>
  <c r="M5845" i="3" s="1"/>
  <c r="M5846" i="3" s="1"/>
  <c r="M5847" i="3" s="1"/>
  <c r="M5848" i="3" s="1"/>
  <c r="M5849" i="3" s="1"/>
  <c r="M5850" i="3" s="1"/>
  <c r="M5851" i="3" s="1"/>
  <c r="M5852" i="3" s="1"/>
  <c r="M5853" i="3" s="1"/>
  <c r="M5854" i="3" s="1"/>
  <c r="M5855" i="3" s="1"/>
  <c r="M5856" i="3" s="1"/>
  <c r="M5857" i="3" s="1"/>
  <c r="M5858" i="3" s="1"/>
  <c r="M5859" i="3" s="1"/>
  <c r="M5860" i="3" s="1"/>
  <c r="M5861" i="3" s="1"/>
  <c r="M5862" i="3" s="1"/>
  <c r="M5863" i="3" s="1"/>
  <c r="M5864" i="3" s="1"/>
  <c r="M5865" i="3" s="1"/>
  <c r="M5866" i="3" s="1"/>
  <c r="M5867" i="3" s="1"/>
  <c r="M5868" i="3" s="1"/>
  <c r="M5869" i="3" s="1"/>
  <c r="M5870" i="3" s="1"/>
  <c r="M5871" i="3" s="1"/>
  <c r="M5872" i="3" s="1"/>
  <c r="M5873" i="3" s="1"/>
  <c r="M5874" i="3" s="1"/>
  <c r="M5875" i="3" s="1"/>
  <c r="M5876" i="3" s="1"/>
  <c r="M5877" i="3" s="1"/>
  <c r="M5878" i="3" s="1"/>
  <c r="M5879" i="3" s="1"/>
  <c r="M5880" i="3" s="1"/>
  <c r="M5881" i="3" s="1"/>
  <c r="M5882" i="3" s="1"/>
  <c r="C505" i="31"/>
  <c r="C506" i="31" s="1"/>
  <c r="M5883" i="3" l="1"/>
  <c r="M5884" i="3" s="1"/>
  <c r="M5885" i="3" s="1"/>
  <c r="M5886" i="3" s="1"/>
  <c r="M5887" i="3" s="1"/>
  <c r="M5888" i="3" s="1"/>
  <c r="M5889" i="3" s="1"/>
  <c r="M5890" i="3" s="1"/>
  <c r="M5891" i="3" s="1"/>
  <c r="M5892" i="3" s="1"/>
  <c r="M5893" i="3" s="1"/>
  <c r="M5894" i="3" s="1"/>
  <c r="M5895" i="3" s="1"/>
  <c r="M5896" i="3" s="1"/>
  <c r="M5897" i="3" s="1"/>
  <c r="M5898" i="3" s="1"/>
  <c r="M5899" i="3" s="1"/>
  <c r="M5900" i="3" s="1"/>
  <c r="M5901" i="3" s="1"/>
  <c r="M5902" i="3" s="1"/>
  <c r="M5903" i="3" s="1"/>
  <c r="M5904" i="3" s="1"/>
  <c r="M5905" i="3" s="1"/>
  <c r="M5906" i="3" s="1"/>
  <c r="M5907" i="3" s="1"/>
  <c r="M5908" i="3" s="1"/>
  <c r="M5909" i="3" s="1"/>
  <c r="M5910" i="3" s="1"/>
  <c r="M5911" i="3" s="1"/>
  <c r="M5912" i="3" s="1"/>
  <c r="M5913" i="3" s="1"/>
  <c r="M5914" i="3" s="1"/>
  <c r="M5915" i="3" s="1"/>
  <c r="M5916" i="3" s="1"/>
  <c r="M5917" i="3" s="1"/>
  <c r="M5918" i="3" s="1"/>
  <c r="M5919" i="3" s="1"/>
  <c r="M5920" i="3" s="1"/>
  <c r="M5921" i="3" s="1"/>
  <c r="M5922" i="3" s="1"/>
  <c r="M5923" i="3" s="1"/>
  <c r="M5924" i="3" s="1"/>
  <c r="M5925" i="3" s="1"/>
  <c r="M5926" i="3" s="1"/>
  <c r="M5927" i="3" s="1"/>
  <c r="M5928" i="3" s="1"/>
  <c r="M5929" i="3" s="1"/>
  <c r="M5930" i="3" s="1"/>
  <c r="M5931" i="3" s="1"/>
  <c r="M5932" i="3" s="1"/>
  <c r="M5933" i="3" s="1"/>
  <c r="M5934" i="3" s="1"/>
  <c r="M5935" i="3" s="1"/>
  <c r="M5936" i="3" s="1"/>
  <c r="C3776" i="3"/>
  <c r="C507" i="31"/>
  <c r="M5937" i="3" l="1"/>
  <c r="M5938" i="3" s="1"/>
  <c r="M5939" i="3" s="1"/>
  <c r="M5940" i="3" s="1"/>
  <c r="M5941" i="3" s="1"/>
  <c r="M5942" i="3" s="1"/>
  <c r="M5943" i="3" s="1"/>
  <c r="M5944" i="3" s="1"/>
  <c r="M5945" i="3" s="1"/>
  <c r="M5946" i="3" s="1"/>
  <c r="M5947" i="3" s="1"/>
  <c r="M5948" i="3" s="1"/>
  <c r="M5949" i="3" s="1"/>
  <c r="M5950" i="3" s="1"/>
  <c r="M5951" i="3" s="1"/>
  <c r="M5952" i="3" s="1"/>
  <c r="M5953" i="3" s="1"/>
  <c r="M5954" i="3" s="1"/>
  <c r="M5955" i="3" s="1"/>
  <c r="M5956" i="3" s="1"/>
  <c r="M5957" i="3" s="1"/>
  <c r="M5958" i="3" s="1"/>
  <c r="M5959" i="3" s="1"/>
  <c r="M5960" i="3" s="1"/>
  <c r="M5961" i="3" s="1"/>
  <c r="M5962" i="3" s="1"/>
  <c r="M5963" i="3" s="1"/>
  <c r="M5964" i="3" s="1"/>
  <c r="M5965" i="3" s="1"/>
  <c r="M5966" i="3" s="1"/>
  <c r="M5967" i="3" s="1"/>
  <c r="M5968" i="3" s="1"/>
  <c r="M5969" i="3" s="1"/>
  <c r="M5970" i="3" s="1"/>
  <c r="M5971" i="3" s="1"/>
  <c r="M5972" i="3" s="1"/>
  <c r="M5973" i="3" s="1"/>
  <c r="M5974" i="3" s="1"/>
  <c r="M5975" i="3" s="1"/>
  <c r="M5976" i="3" s="1"/>
  <c r="M5977" i="3" s="1"/>
  <c r="M5978" i="3" s="1"/>
  <c r="C3777" i="3"/>
  <c r="C3778" i="3" s="1"/>
  <c r="C508" i="31"/>
  <c r="M5979" i="3" l="1"/>
  <c r="M5980" i="3" s="1"/>
  <c r="M5981" i="3" s="1"/>
  <c r="M5982" i="3" s="1"/>
  <c r="M5983" i="3" s="1"/>
  <c r="M5984" i="3" s="1"/>
  <c r="M5985" i="3" s="1"/>
  <c r="M5986" i="3" s="1"/>
  <c r="M5987" i="3" s="1"/>
  <c r="M5988" i="3" s="1"/>
  <c r="M5989" i="3" s="1"/>
  <c r="M5990" i="3" s="1"/>
  <c r="M5991" i="3" s="1"/>
  <c r="M5992" i="3" s="1"/>
  <c r="M5993" i="3" s="1"/>
  <c r="M5994" i="3" s="1"/>
  <c r="M5995" i="3" s="1"/>
  <c r="M5996" i="3" s="1"/>
  <c r="M5997" i="3" s="1"/>
  <c r="M5998" i="3" s="1"/>
  <c r="M5999" i="3" s="1"/>
  <c r="M6000" i="3" s="1"/>
  <c r="M6001" i="3" s="1"/>
  <c r="M6002" i="3" s="1"/>
  <c r="M6003" i="3" s="1"/>
  <c r="M6004" i="3" s="1"/>
  <c r="M6005" i="3" s="1"/>
  <c r="M6006" i="3" s="1"/>
  <c r="M6007" i="3" s="1"/>
  <c r="M6008" i="3" s="1"/>
  <c r="M6009" i="3" s="1"/>
  <c r="M6010" i="3" s="1"/>
  <c r="M6011" i="3" s="1"/>
  <c r="M6012" i="3" s="1"/>
  <c r="M6013" i="3" s="1"/>
  <c r="M6014" i="3" s="1"/>
  <c r="M6015" i="3" s="1"/>
  <c r="M6016" i="3" s="1"/>
  <c r="M6017" i="3" s="1"/>
  <c r="M6018" i="3" s="1"/>
  <c r="M6019" i="3" s="1"/>
  <c r="M6020" i="3" s="1"/>
  <c r="M6021" i="3" s="1"/>
  <c r="M6022" i="3" s="1"/>
  <c r="M6023" i="3" s="1"/>
  <c r="M6024" i="3" s="1"/>
  <c r="M6025" i="3" s="1"/>
  <c r="M6026" i="3" s="1"/>
  <c r="M6027" i="3" s="1"/>
  <c r="M6028" i="3" s="1"/>
  <c r="M6029" i="3" s="1"/>
  <c r="M6030" i="3" s="1"/>
  <c r="M6031" i="3" s="1"/>
  <c r="M6032" i="3" s="1"/>
  <c r="M6033" i="3" s="1"/>
  <c r="M6034" i="3" s="1"/>
  <c r="M6035" i="3" s="1"/>
  <c r="M6036" i="3" s="1"/>
  <c r="M6037" i="3" s="1"/>
  <c r="M6038" i="3" s="1"/>
  <c r="M6039" i="3" s="1"/>
  <c r="M6040" i="3" s="1"/>
  <c r="M6041" i="3" s="1"/>
  <c r="M6042" i="3" s="1"/>
  <c r="M6043" i="3" s="1"/>
  <c r="M6044" i="3" s="1"/>
  <c r="M6045" i="3" s="1"/>
  <c r="M6046" i="3" s="1"/>
  <c r="M6047" i="3" s="1"/>
  <c r="M6048" i="3" s="1"/>
  <c r="M6049" i="3" s="1"/>
  <c r="M6050" i="3" s="1"/>
  <c r="C3779" i="3"/>
  <c r="CY144" i="11" s="1"/>
  <c r="CZ144" i="11" s="1"/>
  <c r="M6051" i="3" l="1"/>
  <c r="M6052" i="3" s="1"/>
  <c r="M6053" i="3" s="1"/>
  <c r="M6054" i="3" s="1"/>
  <c r="M6055" i="3" s="1"/>
  <c r="M6056" i="3" s="1"/>
  <c r="M6057" i="3" s="1"/>
  <c r="M6058" i="3" s="1"/>
  <c r="M6059" i="3" s="1"/>
  <c r="M6060" i="3" s="1"/>
  <c r="M6061" i="3" s="1"/>
  <c r="M6062" i="3" s="1"/>
  <c r="M6063" i="3" s="1"/>
  <c r="M6064" i="3" s="1"/>
  <c r="M6065" i="3" s="1"/>
  <c r="M6066" i="3" s="1"/>
  <c r="M6067" i="3" s="1"/>
  <c r="M6068" i="3" s="1"/>
  <c r="M6069" i="3" s="1"/>
  <c r="M6070" i="3" s="1"/>
  <c r="M6071" i="3" s="1"/>
  <c r="M6072" i="3" s="1"/>
  <c r="M6073" i="3" s="1"/>
  <c r="M6074" i="3" s="1"/>
  <c r="M6075" i="3" s="1"/>
  <c r="M6076" i="3" s="1"/>
  <c r="M6077" i="3" s="1"/>
  <c r="M6078" i="3" s="1"/>
  <c r="M6079" i="3" s="1"/>
  <c r="M6080" i="3" s="1"/>
  <c r="M6081" i="3" s="1"/>
  <c r="M6082" i="3" s="1"/>
  <c r="M6083" i="3" s="1"/>
  <c r="M6084" i="3" s="1"/>
  <c r="CW144" i="11"/>
  <c r="CX144" i="11"/>
  <c r="CV144" i="11"/>
  <c r="CU144" i="11"/>
  <c r="T144" i="11"/>
  <c r="BI144" i="11"/>
  <c r="BR144" i="11"/>
  <c r="BE144" i="11"/>
  <c r="BO144" i="11"/>
  <c r="AR144" i="11"/>
  <c r="CM144" i="11"/>
  <c r="CF144" i="11"/>
  <c r="O144" i="11"/>
  <c r="AS144" i="11"/>
  <c r="BZ144" i="11"/>
  <c r="AF144" i="11"/>
  <c r="BA144" i="11"/>
  <c r="BP144" i="11"/>
  <c r="AN144" i="11"/>
  <c r="BH144" i="11"/>
  <c r="AW144" i="11"/>
  <c r="Q144" i="11"/>
  <c r="BQ144" i="11"/>
  <c r="CD144" i="11"/>
  <c r="CE144" i="11"/>
  <c r="C3780" i="3"/>
  <c r="AJ144" i="11"/>
  <c r="CH144" i="11"/>
  <c r="P144" i="11"/>
  <c r="AZ144" i="11"/>
  <c r="BW144" i="11"/>
  <c r="AO144" i="11"/>
  <c r="AX144" i="11"/>
  <c r="AA144" i="11"/>
  <c r="CP144" i="11"/>
  <c r="BY144" i="11"/>
  <c r="CO144" i="11"/>
  <c r="CG144" i="11"/>
  <c r="BN144" i="11"/>
  <c r="K144" i="11"/>
  <c r="AB144" i="11"/>
  <c r="CQ144" i="11"/>
  <c r="J144" i="11"/>
  <c r="BM144" i="11"/>
  <c r="AI144" i="11"/>
  <c r="AH144" i="11"/>
  <c r="BX144" i="11"/>
  <c r="G144" i="11"/>
  <c r="C510" i="31"/>
  <c r="M6085" i="3" l="1"/>
  <c r="M6086" i="3" s="1"/>
  <c r="M6087" i="3" s="1"/>
  <c r="M6088" i="3" s="1"/>
  <c r="M6089" i="3" s="1"/>
  <c r="M6090" i="3" s="1"/>
  <c r="M6091" i="3" s="1"/>
  <c r="M6092" i="3" s="1"/>
  <c r="M6093" i="3" s="1"/>
  <c r="M6094" i="3" s="1"/>
  <c r="M6095" i="3" s="1"/>
  <c r="M6096" i="3" s="1"/>
  <c r="M6097" i="3" s="1"/>
  <c r="M6098" i="3" s="1"/>
  <c r="M6099" i="3" s="1"/>
  <c r="M6100" i="3" s="1"/>
  <c r="M6101" i="3" s="1"/>
  <c r="M6102" i="3" s="1"/>
  <c r="M6103" i="3" s="1"/>
  <c r="M6104" i="3" s="1"/>
  <c r="M6105" i="3" s="1"/>
  <c r="M6106" i="3" s="1"/>
  <c r="M6107" i="3" s="1"/>
  <c r="M6108" i="3" s="1"/>
  <c r="M6109" i="3" s="1"/>
  <c r="M6110" i="3" s="1"/>
  <c r="M6111" i="3" s="1"/>
  <c r="M6112" i="3" s="1"/>
  <c r="M6113" i="3" s="1"/>
  <c r="M6114" i="3" s="1"/>
  <c r="M6115" i="3" s="1"/>
  <c r="M6116" i="3" s="1"/>
  <c r="M6117" i="3" s="1"/>
  <c r="M6118" i="3" s="1"/>
  <c r="M6119" i="3" s="1"/>
  <c r="M6120" i="3" s="1"/>
  <c r="M6121" i="3" s="1"/>
  <c r="M6122" i="3" s="1"/>
  <c r="M6123" i="3" s="1"/>
  <c r="M6124" i="3" s="1"/>
  <c r="M6125" i="3" s="1"/>
  <c r="M6126" i="3" s="1"/>
  <c r="M6127" i="3" s="1"/>
  <c r="M6128" i="3" s="1"/>
  <c r="M6129" i="3" s="1"/>
  <c r="M6130" i="3" s="1"/>
  <c r="M6131" i="3" s="1"/>
  <c r="M6132" i="3" s="1"/>
  <c r="M6133" i="3" s="1"/>
  <c r="M6134" i="3" s="1"/>
  <c r="M6135" i="3" s="1"/>
  <c r="M6136" i="3" s="1"/>
  <c r="M6137" i="3" s="1"/>
  <c r="M6138" i="3" s="1"/>
  <c r="M6139" i="3" s="1"/>
  <c r="M6140" i="3" s="1"/>
  <c r="M6141" i="3" s="1"/>
  <c r="M6142" i="3" s="1"/>
  <c r="M6143" i="3" s="1"/>
  <c r="M6144" i="3" s="1"/>
  <c r="M6145" i="3" s="1"/>
  <c r="M6146" i="3" s="1"/>
  <c r="M6147" i="3" s="1"/>
  <c r="M6148" i="3" s="1"/>
  <c r="M6149" i="3" s="1"/>
  <c r="M6150" i="3" s="1"/>
  <c r="M6151" i="3" s="1"/>
  <c r="M6152" i="3" s="1"/>
  <c r="M6153" i="3" s="1"/>
  <c r="M6154" i="3" s="1"/>
  <c r="M6155" i="3" s="1"/>
  <c r="M6156" i="3" s="1"/>
  <c r="M6157" i="3" s="1"/>
  <c r="M6158" i="3" s="1"/>
  <c r="M6159" i="3" s="1"/>
  <c r="M6160" i="3" s="1"/>
  <c r="M6161" i="3" s="1"/>
  <c r="M6162" i="3" s="1"/>
  <c r="M6163" i="3" s="1"/>
  <c r="M6164" i="3" s="1"/>
  <c r="M6165" i="3" s="1"/>
  <c r="M6166" i="3" s="1"/>
  <c r="M6167" i="3" s="1"/>
  <c r="M6168" i="3" s="1"/>
  <c r="M6169" i="3" s="1"/>
  <c r="M6170" i="3" s="1"/>
  <c r="M6171" i="3" s="1"/>
  <c r="M6172" i="3" s="1"/>
  <c r="M6173" i="3" s="1"/>
  <c r="M6174" i="3" s="1"/>
  <c r="M6175" i="3" s="1"/>
  <c r="M6176" i="3" s="1"/>
  <c r="M6177" i="3" s="1"/>
  <c r="M6178" i="3" s="1"/>
  <c r="M6179" i="3" s="1"/>
  <c r="M6180" i="3" s="1"/>
  <c r="M6181" i="3" s="1"/>
  <c r="M6182" i="3" s="1"/>
  <c r="M6183" i="3" s="1"/>
  <c r="M6184" i="3" s="1"/>
  <c r="M144" i="11"/>
  <c r="L144" i="11"/>
  <c r="DC144" i="11"/>
  <c r="AK144" i="11"/>
  <c r="AL144" i="11"/>
  <c r="CB144" i="11"/>
  <c r="CA144" i="11"/>
  <c r="BT144" i="11"/>
  <c r="BS144" i="11"/>
  <c r="CR144" i="11"/>
  <c r="CS144" i="11"/>
  <c r="C3781" i="3"/>
  <c r="C3782" i="3" s="1"/>
  <c r="C3783" i="3" s="1"/>
  <c r="C3784" i="3" s="1"/>
  <c r="AT144" i="11"/>
  <c r="AU144" i="11"/>
  <c r="BJ144" i="11"/>
  <c r="BK144" i="11"/>
  <c r="AD144" i="11"/>
  <c r="AC144" i="11"/>
  <c r="BB144" i="11"/>
  <c r="BC144" i="11"/>
  <c r="V144" i="11"/>
  <c r="U144" i="11"/>
  <c r="CJ144" i="11"/>
  <c r="CI144" i="11"/>
  <c r="C511" i="31"/>
  <c r="M6185" i="3" l="1"/>
  <c r="M6186" i="3" s="1"/>
  <c r="M6187" i="3" s="1"/>
  <c r="M6188" i="3" s="1"/>
  <c r="M6189" i="3" s="1"/>
  <c r="M6190" i="3" s="1"/>
  <c r="M6191" i="3" s="1"/>
  <c r="M6192" i="3" s="1"/>
  <c r="M6193" i="3" s="1"/>
  <c r="M6194" i="3" s="1"/>
  <c r="M6195" i="3" s="1"/>
  <c r="M6196" i="3" s="1"/>
  <c r="M6197" i="3" s="1"/>
  <c r="M6198" i="3" s="1"/>
  <c r="M6199" i="3" s="1"/>
  <c r="M6200" i="3" s="1"/>
  <c r="M6201" i="3" s="1"/>
  <c r="M6202" i="3" s="1"/>
  <c r="M6203" i="3" s="1"/>
  <c r="M6204" i="3" s="1"/>
  <c r="M6205" i="3" s="1"/>
  <c r="M6206" i="3" s="1"/>
  <c r="M6207" i="3" s="1"/>
  <c r="M6208" i="3" s="1"/>
  <c r="M6209" i="3" s="1"/>
  <c r="M6210" i="3" s="1"/>
  <c r="M6211" i="3" s="1"/>
  <c r="M6212" i="3" s="1"/>
  <c r="C3785" i="3"/>
  <c r="C3786" i="3"/>
  <c r="C512" i="31"/>
  <c r="C3787" i="3" l="1"/>
  <c r="C3788" i="3" s="1"/>
  <c r="C514" i="31"/>
  <c r="C515" i="31" s="1"/>
  <c r="C516" i="31" s="1"/>
  <c r="C3789" i="3" l="1"/>
  <c r="C517" i="31"/>
  <c r="C518" i="31" s="1"/>
  <c r="C519" i="31" s="1"/>
  <c r="C3795" i="3"/>
  <c r="C3796" i="3" s="1"/>
  <c r="C3790" i="3" l="1"/>
  <c r="C3791" i="3" s="1"/>
  <c r="C3792" i="3" s="1"/>
  <c r="C3793" i="3" s="1"/>
  <c r="C520" i="31"/>
  <c r="C3797" i="3"/>
  <c r="C3798" i="3" s="1"/>
  <c r="C3799" i="3" s="1"/>
  <c r="C521" i="31" l="1"/>
  <c r="C522" i="31" s="1"/>
  <c r="C3800" i="3"/>
  <c r="C523" i="31" l="1"/>
  <c r="C3801" i="3"/>
  <c r="C524" i="31" l="1"/>
  <c r="C3802" i="3"/>
  <c r="C525" i="31" l="1"/>
  <c r="C3803" i="3"/>
  <c r="C526" i="31" l="1"/>
  <c r="C3804" i="3"/>
  <c r="C3805" i="3" s="1"/>
  <c r="C528" i="31" l="1"/>
  <c r="C3806" i="3"/>
  <c r="BP312" i="11" l="1"/>
  <c r="BP10" i="11"/>
  <c r="BO14" i="11"/>
  <c r="C529" i="31"/>
  <c r="BP298" i="11"/>
  <c r="BP301" i="11"/>
  <c r="BP302" i="11"/>
  <c r="BP303" i="11"/>
  <c r="BP306" i="11"/>
  <c r="BP307" i="11"/>
  <c r="BP308" i="11"/>
  <c r="BP309" i="11"/>
  <c r="BP311" i="11"/>
  <c r="C3807" i="3"/>
  <c r="C530" i="31" l="1"/>
  <c r="BO36" i="11"/>
  <c r="BO37" i="11"/>
  <c r="BO38" i="11"/>
  <c r="BO39" i="11"/>
  <c r="BO40" i="11"/>
  <c r="BO41" i="11"/>
  <c r="BO42" i="11"/>
  <c r="BO43" i="11"/>
  <c r="BO44" i="11"/>
  <c r="BO45" i="11"/>
  <c r="BO35" i="11"/>
  <c r="C3808" i="3"/>
  <c r="C531" i="31" l="1"/>
  <c r="C3809" i="3"/>
  <c r="C532" i="31" l="1"/>
  <c r="C533" i="31" s="1"/>
  <c r="C3810" i="3"/>
  <c r="C3811" i="3" s="1"/>
  <c r="C3812" i="3" s="1"/>
  <c r="C3813" i="3" l="1"/>
  <c r="C534" i="31"/>
  <c r="C535" i="31" s="1"/>
  <c r="C3814" i="3"/>
  <c r="C536" i="31" l="1"/>
  <c r="C3815" i="3"/>
  <c r="C537" i="31" l="1"/>
  <c r="C3816" i="3"/>
  <c r="C538" i="31" l="1"/>
  <c r="C3817" i="3"/>
  <c r="C539" i="31" l="1"/>
  <c r="C3820" i="3"/>
  <c r="C3818" i="3"/>
  <c r="C540" i="31" l="1"/>
  <c r="C3822" i="3"/>
  <c r="C3823" i="3" s="1"/>
  <c r="C3824" i="3" s="1"/>
  <c r="C3821" i="3"/>
  <c r="C542" i="31" l="1"/>
  <c r="C543" i="31" s="1"/>
  <c r="C544" i="31" s="1"/>
  <c r="C3825" i="3"/>
  <c r="C3826" i="3" l="1"/>
  <c r="C3827" i="3" s="1"/>
  <c r="C3828" i="3" s="1"/>
  <c r="C545" i="31"/>
  <c r="C546" i="31" s="1"/>
  <c r="C547" i="31" l="1"/>
  <c r="C548" i="31" s="1"/>
  <c r="C3829" i="3"/>
  <c r="C549" i="31" l="1"/>
  <c r="C3830" i="3"/>
  <c r="C3832" i="3" s="1"/>
  <c r="C550" i="31" l="1"/>
  <c r="C551" i="31" s="1"/>
  <c r="C3833" i="3"/>
  <c r="C3834" i="3" s="1"/>
  <c r="C3835" i="3" s="1"/>
  <c r="C552" i="31" l="1"/>
  <c r="C3836" i="3"/>
  <c r="BX84" i="11"/>
  <c r="BX85" i="11"/>
  <c r="BX86" i="11"/>
  <c r="BX87" i="11"/>
  <c r="BX88" i="11"/>
  <c r="BX89" i="11"/>
  <c r="BX91" i="11"/>
  <c r="BX92" i="11"/>
  <c r="BX93" i="11"/>
  <c r="BX94" i="11"/>
  <c r="BX96" i="11"/>
  <c r="BX97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C553" i="31" l="1"/>
  <c r="C3837" i="3"/>
  <c r="C554" i="31" l="1"/>
  <c r="C3838" i="3"/>
  <c r="C555" i="31" l="1"/>
  <c r="C3839" i="3"/>
  <c r="C556" i="31" l="1"/>
  <c r="C3840" i="3"/>
  <c r="C3842" i="3" s="1"/>
  <c r="C557" i="31" l="1"/>
  <c r="C3845" i="3"/>
  <c r="C3847" i="3" s="1"/>
  <c r="C3848" i="3" s="1"/>
  <c r="C3843" i="3"/>
  <c r="C3849" i="3" l="1"/>
  <c r="C560" i="31"/>
  <c r="C3844" i="3"/>
  <c r="C3846" i="3"/>
  <c r="C3850" i="3"/>
  <c r="BN247" i="11" l="1"/>
  <c r="BN251" i="11"/>
  <c r="BN252" i="11"/>
  <c r="BN253" i="11"/>
  <c r="BN254" i="11"/>
  <c r="BN255" i="11"/>
  <c r="BN257" i="11"/>
  <c r="C561" i="31"/>
  <c r="BN219" i="11"/>
  <c r="BN220" i="11"/>
  <c r="BN225" i="11"/>
  <c r="BN226" i="11"/>
  <c r="BN240" i="11"/>
  <c r="BN241" i="11"/>
  <c r="C3851" i="3"/>
  <c r="C562" i="31" l="1"/>
  <c r="C563" i="31" s="1"/>
  <c r="C564" i="31" s="1"/>
  <c r="C3852" i="3"/>
  <c r="C3853" i="3" l="1"/>
  <c r="C565" i="31"/>
  <c r="C566" i="31" s="1"/>
  <c r="C3854" i="3" l="1"/>
  <c r="C3855" i="3" s="1"/>
  <c r="C3856" i="3" s="1"/>
  <c r="C567" i="31"/>
  <c r="C568" i="31" s="1"/>
  <c r="C569" i="31" l="1"/>
  <c r="C570" i="31" s="1"/>
  <c r="C571" i="31" s="1"/>
  <c r="C3857" i="3"/>
  <c r="C3858" i="3" s="1"/>
  <c r="C3859" i="3" s="1"/>
  <c r="CY277" i="11" s="1"/>
  <c r="CZ277" i="11" s="1"/>
  <c r="CX277" i="11" l="1"/>
  <c r="CU277" i="11"/>
  <c r="CW277" i="11"/>
  <c r="CV277" i="11"/>
  <c r="C572" i="31"/>
  <c r="C3860" i="3"/>
  <c r="CF277" i="11"/>
  <c r="BP277" i="11"/>
  <c r="BH277" i="11"/>
  <c r="CO277" i="11"/>
  <c r="AA277" i="11"/>
  <c r="AO277" i="11"/>
  <c r="AG277" i="11"/>
  <c r="BA277" i="11"/>
  <c r="AF277" i="11"/>
  <c r="AI277" i="11"/>
  <c r="BN277" i="11"/>
  <c r="CP277" i="11"/>
  <c r="J277" i="11"/>
  <c r="K277" i="11"/>
  <c r="AJ277" i="11"/>
  <c r="CQ277" i="11"/>
  <c r="CE277" i="11"/>
  <c r="BM277" i="11"/>
  <c r="BG277" i="11"/>
  <c r="P277" i="11"/>
  <c r="Y277" i="11"/>
  <c r="T277" i="11"/>
  <c r="CN277" i="11"/>
  <c r="H277" i="11"/>
  <c r="BY277" i="11"/>
  <c r="AX277" i="11"/>
  <c r="AN277" i="11"/>
  <c r="AB277" i="11"/>
  <c r="BI277" i="11"/>
  <c r="BR277" i="11"/>
  <c r="CD277" i="11"/>
  <c r="AZ277" i="11"/>
  <c r="BF277" i="11"/>
  <c r="G277" i="11"/>
  <c r="Z277" i="11"/>
  <c r="BX277" i="11"/>
  <c r="R277" i="11"/>
  <c r="X277" i="11"/>
  <c r="BV277" i="11"/>
  <c r="BE277" i="11"/>
  <c r="AQ277" i="11"/>
  <c r="AH277" i="11"/>
  <c r="AS277" i="11"/>
  <c r="BZ277" i="11"/>
  <c r="CG277" i="11"/>
  <c r="BW277" i="11"/>
  <c r="AY277" i="11"/>
  <c r="CL277" i="11"/>
  <c r="AR277" i="11"/>
  <c r="Q277" i="11"/>
  <c r="S277" i="11"/>
  <c r="BO277" i="11"/>
  <c r="AP277" i="11"/>
  <c r="BQ277" i="11"/>
  <c r="CM277" i="11"/>
  <c r="O277" i="11"/>
  <c r="I277" i="11"/>
  <c r="CH277" i="11"/>
  <c r="AW277" i="11"/>
  <c r="DC277" i="11" l="1"/>
  <c r="C574" i="31"/>
  <c r="AC277" i="11"/>
  <c r="AD277" i="11"/>
  <c r="AL277" i="11"/>
  <c r="AK277" i="11"/>
  <c r="C3861" i="3"/>
  <c r="M277" i="11"/>
  <c r="L277" i="11"/>
  <c r="CI277" i="11"/>
  <c r="CJ277" i="11"/>
  <c r="V277" i="11"/>
  <c r="U277" i="11"/>
  <c r="BB277" i="11"/>
  <c r="BC277" i="11"/>
  <c r="CA277" i="11"/>
  <c r="CB277" i="11"/>
  <c r="BS277" i="11"/>
  <c r="BT277" i="11"/>
  <c r="AT277" i="11"/>
  <c r="AU277" i="11"/>
  <c r="BJ277" i="11"/>
  <c r="BK277" i="11"/>
  <c r="CR277" i="11"/>
  <c r="CS277" i="11"/>
  <c r="BE307" i="11" l="1"/>
  <c r="BE308" i="11"/>
  <c r="BE309" i="11"/>
  <c r="BE311" i="11"/>
  <c r="BE312" i="11"/>
  <c r="BH56" i="11"/>
  <c r="BH57" i="11"/>
  <c r="BH58" i="11"/>
  <c r="C575" i="31"/>
  <c r="C576" i="31" s="1"/>
  <c r="BE290" i="11"/>
  <c r="BE291" i="11"/>
  <c r="BE295" i="11"/>
  <c r="BE297" i="11"/>
  <c r="BE301" i="11"/>
  <c r="BE302" i="11"/>
  <c r="BE303" i="11"/>
  <c r="BE306" i="11"/>
  <c r="C3862" i="3"/>
  <c r="C3863" i="3" s="1"/>
  <c r="C3865" i="3" l="1"/>
  <c r="C3866" i="3" s="1"/>
  <c r="C3867" i="3" s="1"/>
  <c r="C3868" i="3" s="1"/>
  <c r="C3869" i="3" s="1"/>
  <c r="C577" i="31"/>
  <c r="C578" i="31" s="1"/>
  <c r="C579" i="31" s="1"/>
  <c r="C580" i="31" s="1"/>
  <c r="C581" i="31" s="1"/>
  <c r="BW35" i="11"/>
  <c r="BW36" i="11"/>
  <c r="BW37" i="11"/>
  <c r="BW38" i="11"/>
  <c r="BW39" i="11"/>
  <c r="BW40" i="11"/>
  <c r="BW41" i="11"/>
  <c r="BW42" i="11"/>
  <c r="BW43" i="11"/>
  <c r="BW44" i="11"/>
  <c r="BW45" i="11"/>
  <c r="BX308" i="11"/>
  <c r="BX309" i="11"/>
  <c r="BX311" i="11"/>
  <c r="BX312" i="11"/>
  <c r="BW10" i="11"/>
  <c r="BW14" i="11"/>
  <c r="BX291" i="11"/>
  <c r="BX292" i="11"/>
  <c r="BX295" i="11"/>
  <c r="BX297" i="11"/>
  <c r="BX298" i="11"/>
  <c r="BX301" i="11"/>
  <c r="BX302" i="11"/>
  <c r="BX303" i="11"/>
  <c r="BX306" i="11"/>
  <c r="BX307" i="11"/>
  <c r="C3870" i="3" l="1"/>
  <c r="C582" i="31"/>
  <c r="C583" i="31" s="1"/>
  <c r="C3871" i="3"/>
  <c r="BW101" i="11"/>
  <c r="BW107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47" i="11"/>
  <c r="BW48" i="11"/>
  <c r="BW49" i="11"/>
  <c r="BW50" i="11"/>
  <c r="BW51" i="11"/>
  <c r="BW53" i="11"/>
  <c r="BW56" i="11"/>
  <c r="BW57" i="11"/>
  <c r="BW58" i="11"/>
  <c r="BA332" i="11"/>
  <c r="AJ330" i="11"/>
  <c r="AJ331" i="11"/>
  <c r="AJ332" i="11"/>
  <c r="AB330" i="11"/>
  <c r="AB331" i="11"/>
  <c r="AB332" i="11"/>
  <c r="T330" i="11"/>
  <c r="T331" i="11"/>
  <c r="T332" i="11"/>
  <c r="BN331" i="11"/>
  <c r="BN332" i="11"/>
  <c r="BM330" i="11"/>
  <c r="BM331" i="11"/>
  <c r="BM332" i="11"/>
  <c r="K330" i="11"/>
  <c r="K331" i="11"/>
  <c r="K332" i="11"/>
  <c r="BA330" i="11"/>
  <c r="BA331" i="11"/>
  <c r="BQ330" i="11"/>
  <c r="BQ331" i="11"/>
  <c r="BQ332" i="11"/>
  <c r="BP330" i="11"/>
  <c r="BP331" i="11"/>
  <c r="BP332" i="11"/>
  <c r="BO330" i="11"/>
  <c r="BO331" i="11"/>
  <c r="BO332" i="11"/>
  <c r="BN330" i="11"/>
  <c r="C584" i="31" l="1"/>
  <c r="C3872" i="3"/>
  <c r="AC332" i="11"/>
  <c r="AD332" i="11"/>
  <c r="AL331" i="11"/>
  <c r="AK331" i="11"/>
  <c r="V332" i="11"/>
  <c r="U332" i="11"/>
  <c r="AC331" i="11"/>
  <c r="AD331" i="11"/>
  <c r="AK330" i="11"/>
  <c r="AL330" i="11"/>
  <c r="U331" i="11"/>
  <c r="V331" i="11"/>
  <c r="AD330" i="11"/>
  <c r="AC330" i="11"/>
  <c r="U330" i="11"/>
  <c r="V330" i="11"/>
  <c r="BC332" i="11"/>
  <c r="BB332" i="11"/>
  <c r="AK332" i="11"/>
  <c r="AL332" i="11"/>
  <c r="BB330" i="11"/>
  <c r="BC330" i="11"/>
  <c r="L332" i="11"/>
  <c r="M332" i="11"/>
  <c r="L331" i="11"/>
  <c r="M331" i="11"/>
  <c r="M330" i="11"/>
  <c r="L330" i="11"/>
  <c r="BB331" i="11"/>
  <c r="BC331" i="11"/>
  <c r="C585" i="31" l="1"/>
  <c r="C3873" i="3"/>
  <c r="C3874" i="3" l="1"/>
  <c r="C586" i="31"/>
  <c r="C588" i="31" s="1"/>
  <c r="C3875" i="3" l="1"/>
  <c r="C3876" i="3" s="1"/>
  <c r="C3877" i="3" s="1"/>
  <c r="P302" i="11"/>
  <c r="Q302" i="11"/>
  <c r="R302" i="11"/>
  <c r="S302" i="11"/>
  <c r="X302" i="11"/>
  <c r="Y302" i="11"/>
  <c r="Z302" i="11"/>
  <c r="C589" i="31"/>
  <c r="AF303" i="11"/>
  <c r="AG303" i="11"/>
  <c r="AH303" i="11"/>
  <c r="AI303" i="11"/>
  <c r="AJ303" i="11"/>
  <c r="AN303" i="11"/>
  <c r="AO303" i="11"/>
  <c r="AP303" i="11"/>
  <c r="AQ303" i="11"/>
  <c r="AR303" i="11"/>
  <c r="C3878" i="3" l="1"/>
  <c r="C3879" i="3" s="1"/>
  <c r="C590" i="31"/>
  <c r="AP144" i="11"/>
  <c r="Y144" i="11"/>
  <c r="I144" i="11"/>
  <c r="R144" i="11"/>
  <c r="X144" i="11"/>
  <c r="AG144" i="11"/>
  <c r="Z144" i="11"/>
  <c r="AQ144" i="11"/>
  <c r="S144" i="11"/>
  <c r="H144" i="11"/>
  <c r="AL303" i="11"/>
  <c r="AK303" i="11"/>
  <c r="CU13" i="11" l="1"/>
  <c r="CX13" i="11"/>
  <c r="CV13" i="11"/>
  <c r="CW13" i="11"/>
  <c r="CY13" i="11"/>
  <c r="CZ13" i="11" s="1"/>
  <c r="BA13" i="11"/>
  <c r="AG13" i="11"/>
  <c r="AR13" i="11"/>
  <c r="T13" i="11"/>
  <c r="G13" i="11"/>
  <c r="Z13" i="11"/>
  <c r="CN13" i="11"/>
  <c r="AQ13" i="11"/>
  <c r="K13" i="11"/>
  <c r="BF13" i="11"/>
  <c r="CH13" i="11"/>
  <c r="CD13" i="11"/>
  <c r="BP13" i="11"/>
  <c r="BH13" i="11"/>
  <c r="BW13" i="11"/>
  <c r="AY13" i="11"/>
  <c r="BI13" i="11"/>
  <c r="CF13" i="11"/>
  <c r="BV13" i="11"/>
  <c r="CG13" i="11"/>
  <c r="CL13" i="11"/>
  <c r="X13" i="11"/>
  <c r="AI13" i="11"/>
  <c r="CM13" i="11"/>
  <c r="AP13" i="11"/>
  <c r="AN13" i="11"/>
  <c r="AA13" i="11"/>
  <c r="J13" i="11"/>
  <c r="CQ13" i="11"/>
  <c r="C3880" i="3"/>
  <c r="C3881" i="3" s="1"/>
  <c r="C3882" i="3" s="1"/>
  <c r="C3883" i="3" s="1"/>
  <c r="CO13" i="11"/>
  <c r="AH13" i="11"/>
  <c r="AW13" i="11"/>
  <c r="CP13" i="11"/>
  <c r="Y13" i="11"/>
  <c r="AX13" i="11"/>
  <c r="P13" i="11"/>
  <c r="R13" i="11"/>
  <c r="AB13" i="11"/>
  <c r="BZ13" i="11"/>
  <c r="BQ13" i="11"/>
  <c r="BE13" i="11"/>
  <c r="BX13" i="11"/>
  <c r="I13" i="11"/>
  <c r="AS13" i="11"/>
  <c r="BY13" i="11"/>
  <c r="CE13" i="11"/>
  <c r="BM13" i="11"/>
  <c r="AF13" i="11"/>
  <c r="S13" i="11"/>
  <c r="AZ13" i="11"/>
  <c r="O13" i="11"/>
  <c r="AO13" i="11"/>
  <c r="AJ13" i="11"/>
  <c r="H13" i="11"/>
  <c r="Q13" i="11"/>
  <c r="BR13" i="11"/>
  <c r="BG13" i="11"/>
  <c r="BO13" i="11"/>
  <c r="C591" i="31"/>
  <c r="C592" i="31" s="1"/>
  <c r="C593" i="31" s="1"/>
  <c r="AC13" i="11" l="1"/>
  <c r="AD13" i="11"/>
  <c r="CJ13" i="11"/>
  <c r="CI13" i="11"/>
  <c r="C3884" i="3"/>
  <c r="BS13" i="11"/>
  <c r="BT13" i="11"/>
  <c r="CR13" i="11"/>
  <c r="CS13" i="11"/>
  <c r="BK13" i="11"/>
  <c r="BJ13" i="11"/>
  <c r="DC13" i="11"/>
  <c r="L13" i="11"/>
  <c r="M13" i="11"/>
  <c r="BC13" i="11"/>
  <c r="BB13" i="11"/>
  <c r="AL13" i="11"/>
  <c r="AK13" i="11"/>
  <c r="AU13" i="11"/>
  <c r="AT13" i="11"/>
  <c r="CB13" i="11"/>
  <c r="CA13" i="11"/>
  <c r="V13" i="11"/>
  <c r="U13" i="11"/>
  <c r="C594" i="31"/>
  <c r="C595" i="31" s="1"/>
  <c r="O219" i="11"/>
  <c r="P219" i="11"/>
  <c r="AO219" i="11"/>
  <c r="G219" i="11"/>
  <c r="AN219" i="11"/>
  <c r="X219" i="11"/>
  <c r="AF219" i="11"/>
  <c r="Y219" i="11"/>
  <c r="AG219" i="11"/>
  <c r="I219" i="11"/>
  <c r="H219" i="11"/>
  <c r="I158" i="11"/>
  <c r="AN158" i="11"/>
  <c r="R158" i="11"/>
  <c r="AQ158" i="11"/>
  <c r="AI158" i="11"/>
  <c r="AA158" i="11"/>
  <c r="H158" i="11"/>
  <c r="AH158" i="11"/>
  <c r="S158" i="11"/>
  <c r="AR158" i="11"/>
  <c r="J219" i="11"/>
  <c r="C3895" i="3"/>
  <c r="C3885" i="3" l="1"/>
  <c r="C596" i="31"/>
  <c r="C3896" i="3"/>
  <c r="C3897" i="3" s="1"/>
  <c r="C3898" i="3" s="1"/>
  <c r="C3899" i="3" s="1"/>
  <c r="C3886" i="3" l="1"/>
  <c r="C3887" i="3" s="1"/>
  <c r="C597" i="31"/>
  <c r="C3900" i="3"/>
  <c r="C3901" i="3" s="1"/>
  <c r="C3888" i="3" l="1"/>
  <c r="C3889" i="3" s="1"/>
  <c r="C598" i="31"/>
  <c r="C3902" i="3"/>
  <c r="C599" i="31" l="1"/>
  <c r="C3890" i="3"/>
  <c r="C3891" i="3" s="1"/>
  <c r="C3892" i="3" s="1"/>
  <c r="C3903" i="3"/>
  <c r="C601" i="31"/>
  <c r="C602" i="31" s="1"/>
  <c r="C603" i="31" s="1"/>
  <c r="C3904" i="3" l="1"/>
  <c r="CY236" i="11" s="1"/>
  <c r="CZ236" i="11" s="1"/>
  <c r="C604" i="31"/>
  <c r="C605" i="31" s="1"/>
  <c r="C606" i="31" s="1"/>
  <c r="BM236" i="11"/>
  <c r="BQ236" i="11"/>
  <c r="CM236" i="11"/>
  <c r="S236" i="11"/>
  <c r="Z236" i="11"/>
  <c r="BO236" i="11"/>
  <c r="BE236" i="11"/>
  <c r="AO236" i="11"/>
  <c r="AS236" i="11"/>
  <c r="AP236" i="11"/>
  <c r="CQ236" i="11"/>
  <c r="AW236" i="11"/>
  <c r="BW236" i="11"/>
  <c r="AX236" i="11"/>
  <c r="AH236" i="11"/>
  <c r="I236" i="11"/>
  <c r="BN236" i="11"/>
  <c r="CN236" i="11"/>
  <c r="H236" i="11"/>
  <c r="P236" i="11"/>
  <c r="X236" i="11"/>
  <c r="AZ236" i="11"/>
  <c r="BH236" i="11"/>
  <c r="R236" i="11"/>
  <c r="CH236" i="11"/>
  <c r="BZ236" i="11"/>
  <c r="CE236" i="11"/>
  <c r="BV236" i="11"/>
  <c r="BF236" i="11"/>
  <c r="AA236" i="11"/>
  <c r="T236" i="11"/>
  <c r="BG236" i="11"/>
  <c r="CO236" i="11"/>
  <c r="AR236" i="11"/>
  <c r="G236" i="11"/>
  <c r="K236" i="11"/>
  <c r="AY236" i="11"/>
  <c r="AG236" i="11"/>
  <c r="AJ236" i="11"/>
  <c r="BR236" i="11"/>
  <c r="CG236" i="11"/>
  <c r="CD236" i="11"/>
  <c r="BY236" i="11"/>
  <c r="BP236" i="11"/>
  <c r="AI236" i="11"/>
  <c r="O236" i="11"/>
  <c r="CL236" i="11"/>
  <c r="CP236" i="11"/>
  <c r="Y236" i="11"/>
  <c r="Q236" i="11"/>
  <c r="BA236" i="11"/>
  <c r="AN236" i="11"/>
  <c r="AB236" i="11"/>
  <c r="BI236" i="11"/>
  <c r="CF236" i="11"/>
  <c r="BX236" i="11" l="1"/>
  <c r="J236" i="11"/>
  <c r="AF236" i="11"/>
  <c r="C3905" i="3"/>
  <c r="AQ236" i="11"/>
  <c r="CW236" i="11"/>
  <c r="CX236" i="11"/>
  <c r="CV236" i="11"/>
  <c r="CU236" i="11"/>
  <c r="DC236" i="11"/>
  <c r="C607" i="31"/>
  <c r="C608" i="31" s="1"/>
  <c r="BJ236" i="11"/>
  <c r="BK236" i="11"/>
  <c r="AK236" i="11"/>
  <c r="AL236" i="11"/>
  <c r="CS236" i="11"/>
  <c r="CR236" i="11"/>
  <c r="AC236" i="11"/>
  <c r="AD236" i="11"/>
  <c r="CB236" i="11"/>
  <c r="CA236" i="11"/>
  <c r="AT236" i="11"/>
  <c r="AU236" i="11"/>
  <c r="BC236" i="11"/>
  <c r="BB236" i="11"/>
  <c r="V236" i="11"/>
  <c r="U236" i="11"/>
  <c r="CJ236" i="11"/>
  <c r="CI236" i="11"/>
  <c r="C3906" i="3"/>
  <c r="L236" i="11"/>
  <c r="M236" i="11"/>
  <c r="BT236" i="11"/>
  <c r="BS236" i="11"/>
  <c r="C609" i="31" l="1"/>
  <c r="C3907" i="3"/>
  <c r="C3908" i="3" l="1"/>
  <c r="C3909" i="3" s="1"/>
  <c r="C3910" i="3" s="1"/>
  <c r="C3911" i="3" s="1"/>
  <c r="C3912" i="3" s="1"/>
  <c r="C3913" i="3" s="1"/>
  <c r="C3914" i="3" s="1"/>
  <c r="C3915" i="3" s="1"/>
  <c r="C610" i="31"/>
  <c r="K211" i="11"/>
  <c r="CH211" i="11"/>
  <c r="AJ211" i="11"/>
  <c r="BE211" i="11"/>
  <c r="R211" i="11"/>
  <c r="Z211" i="11"/>
  <c r="CG211" i="11"/>
  <c r="BV211" i="11"/>
  <c r="AB211" i="11"/>
  <c r="CQ211" i="11"/>
  <c r="BQ211" i="11"/>
  <c r="AW211" i="11"/>
  <c r="G211" i="11"/>
  <c r="BX211" i="11"/>
  <c r="BG211" i="11"/>
  <c r="AH211" i="11"/>
  <c r="CO211" i="11"/>
  <c r="BM211" i="11"/>
  <c r="AN211" i="11"/>
  <c r="AO211" i="11"/>
  <c r="CL211" i="11"/>
  <c r="BH211" i="11"/>
  <c r="CD211" i="11"/>
  <c r="I211" i="11"/>
  <c r="H211" i="11"/>
  <c r="AG211" i="11"/>
  <c r="BA211" i="11"/>
  <c r="BY211" i="11"/>
  <c r="X211" i="11"/>
  <c r="O211" i="11"/>
  <c r="BR211" i="11"/>
  <c r="BZ211" i="11"/>
  <c r="BN211" i="11"/>
  <c r="Y211" i="11"/>
  <c r="AR211" i="11"/>
  <c r="AI211" i="11"/>
  <c r="CP211" i="11"/>
  <c r="AF211" i="11"/>
  <c r="Q211" i="11"/>
  <c r="CM211" i="11"/>
  <c r="CE211" i="11"/>
  <c r="S211" i="11"/>
  <c r="AA211" i="11"/>
  <c r="BO211" i="11"/>
  <c r="AS211" i="11"/>
  <c r="AX211" i="11"/>
  <c r="J211" i="11"/>
  <c r="BI211" i="11"/>
  <c r="T211" i="11"/>
  <c r="AZ211" i="11"/>
  <c r="AY211" i="11"/>
  <c r="P211" i="11"/>
  <c r="CF211" i="11"/>
  <c r="BP211" i="11"/>
  <c r="AP211" i="11"/>
  <c r="CN211" i="11"/>
  <c r="BW211" i="11"/>
  <c r="BF211" i="11"/>
  <c r="AQ211" i="11"/>
  <c r="C3916" i="3" l="1"/>
  <c r="C3917" i="3" s="1"/>
  <c r="DC211" i="11"/>
  <c r="V211" i="11"/>
  <c r="U211" i="11"/>
  <c r="AD211" i="11"/>
  <c r="AC211" i="11"/>
  <c r="BJ211" i="11"/>
  <c r="BK211" i="11"/>
  <c r="CB211" i="11"/>
  <c r="CA211" i="11"/>
  <c r="BC211" i="11"/>
  <c r="BB211" i="11"/>
  <c r="AK211" i="11"/>
  <c r="AL211" i="11"/>
  <c r="BS211" i="11"/>
  <c r="BT211" i="11"/>
  <c r="CI211" i="11"/>
  <c r="CJ211" i="11"/>
  <c r="AU211" i="11"/>
  <c r="AT211" i="11"/>
  <c r="L211" i="11"/>
  <c r="M211" i="11"/>
  <c r="CS211" i="11"/>
  <c r="CR211" i="11"/>
  <c r="C611" i="3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50" i="11"/>
  <c r="BV51" i="11"/>
  <c r="BV53" i="11"/>
  <c r="BV56" i="11"/>
  <c r="BV57" i="11"/>
  <c r="BV58" i="11"/>
  <c r="BV59" i="11"/>
  <c r="BV60" i="11"/>
  <c r="BV61" i="11"/>
  <c r="BV62" i="11"/>
  <c r="CW213" i="11" l="1"/>
  <c r="CV213" i="11"/>
  <c r="CU213" i="11"/>
  <c r="CX213" i="11"/>
  <c r="C3918" i="3"/>
  <c r="C612" i="31"/>
  <c r="AN213" i="11"/>
  <c r="S213" i="11"/>
  <c r="CG213" i="11"/>
  <c r="AB213" i="11"/>
  <c r="AO213" i="11"/>
  <c r="BZ213" i="11"/>
  <c r="BE213" i="11"/>
  <c r="BV213" i="11"/>
  <c r="AW213" i="11"/>
  <c r="CQ213" i="11"/>
  <c r="BX213" i="11"/>
  <c r="BY213" i="11"/>
  <c r="AI213" i="11"/>
  <c r="H213" i="11"/>
  <c r="AP213" i="11"/>
  <c r="I213" i="11"/>
  <c r="Q213" i="11"/>
  <c r="BI213" i="11"/>
  <c r="AJ213" i="11"/>
  <c r="CD213" i="11"/>
  <c r="BH213" i="11"/>
  <c r="T213" i="11"/>
  <c r="G213" i="11"/>
  <c r="R213" i="11"/>
  <c r="AF213" i="11"/>
  <c r="AR213" i="11"/>
  <c r="BP213" i="11"/>
  <c r="BF213" i="11"/>
  <c r="BM213" i="11"/>
  <c r="O213" i="11"/>
  <c r="CN213" i="11"/>
  <c r="AH213" i="11"/>
  <c r="BW213" i="11"/>
  <c r="K213" i="11"/>
  <c r="X213" i="11"/>
  <c r="AX213" i="11"/>
  <c r="BR213" i="11"/>
  <c r="P213" i="11"/>
  <c r="AZ213" i="11"/>
  <c r="CF213" i="11"/>
  <c r="BO213" i="11"/>
  <c r="CE213" i="11"/>
  <c r="CL213" i="11"/>
  <c r="CP213" i="11"/>
  <c r="BQ213" i="11"/>
  <c r="BN213" i="11"/>
  <c r="AQ213" i="11"/>
  <c r="J213" i="11"/>
  <c r="CH213" i="11"/>
  <c r="Y213" i="11"/>
  <c r="BG213" i="11"/>
  <c r="AS213" i="11"/>
  <c r="AA213" i="11"/>
  <c r="AG213" i="11"/>
  <c r="BA213" i="11"/>
  <c r="AY213" i="11"/>
  <c r="CO213" i="11"/>
  <c r="CM213" i="11"/>
  <c r="Z213" i="11"/>
  <c r="C3919" i="3" l="1"/>
  <c r="DC213" i="11"/>
  <c r="CI213" i="11"/>
  <c r="CJ213" i="11"/>
  <c r="L213" i="11"/>
  <c r="M213" i="11"/>
  <c r="U213" i="11"/>
  <c r="V213" i="11"/>
  <c r="BK213" i="11"/>
  <c r="BJ213" i="11"/>
  <c r="AC213" i="11"/>
  <c r="AD213" i="11"/>
  <c r="AU213" i="11"/>
  <c r="AT213" i="11"/>
  <c r="BS213" i="11"/>
  <c r="BT213" i="11"/>
  <c r="CA213" i="11"/>
  <c r="CB213" i="11"/>
  <c r="BC213" i="11"/>
  <c r="BB213" i="11"/>
  <c r="AK213" i="11"/>
  <c r="AL213" i="11"/>
  <c r="CS213" i="11"/>
  <c r="CR213" i="11"/>
  <c r="C613" i="31"/>
  <c r="BO204" i="11"/>
  <c r="AJ204" i="11"/>
  <c r="BH204" i="11"/>
  <c r="BN204" i="11"/>
  <c r="CG204" i="11"/>
  <c r="BE204" i="11"/>
  <c r="BX204" i="11"/>
  <c r="K204" i="11"/>
  <c r="BY204" i="11"/>
  <c r="AQ204" i="11"/>
  <c r="BQ204" i="11"/>
  <c r="AI204" i="11"/>
  <c r="AP204" i="11"/>
  <c r="AH204" i="11"/>
  <c r="AN204" i="11"/>
  <c r="BW204" i="11"/>
  <c r="BR204" i="11"/>
  <c r="X204" i="11"/>
  <c r="CE204" i="11"/>
  <c r="AZ204" i="11"/>
  <c r="R204" i="11"/>
  <c r="CN204" i="11"/>
  <c r="H204" i="11"/>
  <c r="AS204" i="11"/>
  <c r="AW204" i="11"/>
  <c r="O204" i="11"/>
  <c r="Y204" i="11"/>
  <c r="G204" i="11"/>
  <c r="AB204" i="11"/>
  <c r="BZ204" i="11"/>
  <c r="BA204" i="11"/>
  <c r="BF204" i="11"/>
  <c r="BI204" i="11"/>
  <c r="AR204" i="11"/>
  <c r="AF204" i="11"/>
  <c r="AG204" i="11"/>
  <c r="Q204" i="11"/>
  <c r="CM204" i="11"/>
  <c r="BP204" i="11"/>
  <c r="CF204" i="11"/>
  <c r="AA204" i="11"/>
  <c r="T204" i="11"/>
  <c r="AX204" i="11"/>
  <c r="CP204" i="11"/>
  <c r="AY204" i="11"/>
  <c r="Z204" i="11"/>
  <c r="CQ204" i="11"/>
  <c r="J204" i="11"/>
  <c r="BV204" i="11"/>
  <c r="S204" i="11"/>
  <c r="BG204" i="11"/>
  <c r="P204" i="11"/>
  <c r="BM204" i="11"/>
  <c r="CL204" i="11"/>
  <c r="CD204" i="11"/>
  <c r="I204" i="11"/>
  <c r="CO204" i="11"/>
  <c r="CH204" i="11"/>
  <c r="AO204" i="11"/>
  <c r="C614" i="31" l="1"/>
  <c r="DC204" i="11"/>
  <c r="C616" i="31"/>
  <c r="C617" i="31" s="1"/>
  <c r="CS204" i="11"/>
  <c r="CR204" i="11"/>
  <c r="BJ204" i="11"/>
  <c r="BK204" i="11"/>
  <c r="AC204" i="11"/>
  <c r="AD204" i="11"/>
  <c r="AT204" i="11"/>
  <c r="AU204" i="11"/>
  <c r="V204" i="11"/>
  <c r="U204" i="11"/>
  <c r="BB204" i="11"/>
  <c r="BC204" i="11"/>
  <c r="BS204" i="11"/>
  <c r="BT204" i="11"/>
  <c r="CB204" i="11"/>
  <c r="CA204" i="11"/>
  <c r="M204" i="11"/>
  <c r="L204" i="11"/>
  <c r="CJ204" i="11"/>
  <c r="CI204" i="11"/>
  <c r="AK204" i="11"/>
  <c r="AL204" i="11"/>
  <c r="C618" i="31" l="1"/>
  <c r="C619" i="31" s="1"/>
  <c r="C620" i="31" s="1"/>
  <c r="C621" i="31" s="1"/>
  <c r="C622" i="31" s="1"/>
  <c r="C623" i="31" l="1"/>
  <c r="C624" i="31" s="1"/>
  <c r="C625" i="31" s="1"/>
  <c r="C626" i="31" l="1"/>
  <c r="C627" i="31" s="1"/>
  <c r="CE212" i="11"/>
  <c r="CM212" i="11"/>
  <c r="X212" i="11"/>
  <c r="BI212" i="11"/>
  <c r="AB212" i="11"/>
  <c r="AS212" i="11"/>
  <c r="AP212" i="11"/>
  <c r="CL212" i="11"/>
  <c r="CD212" i="11"/>
  <c r="J212" i="11"/>
  <c r="AJ212" i="11"/>
  <c r="AF212" i="11"/>
  <c r="T212" i="11"/>
  <c r="AO212" i="11"/>
  <c r="BZ212" i="11"/>
  <c r="AI212" i="11"/>
  <c r="Y212" i="11"/>
  <c r="R212" i="11"/>
  <c r="Q212" i="11"/>
  <c r="CN212" i="11"/>
  <c r="BR212" i="11"/>
  <c r="P212" i="11"/>
  <c r="AZ212" i="11"/>
  <c r="CG212" i="11"/>
  <c r="O212" i="11"/>
  <c r="CO212" i="11"/>
  <c r="CH212" i="11"/>
  <c r="BH212" i="11"/>
  <c r="H212" i="11"/>
  <c r="AR212" i="11"/>
  <c r="BY212" i="11"/>
  <c r="BX212" i="11"/>
  <c r="AY212" i="11"/>
  <c r="CQ212" i="11"/>
  <c r="Z212" i="11"/>
  <c r="G212" i="11"/>
  <c r="BE212" i="11"/>
  <c r="BF212" i="11"/>
  <c r="BN212" i="11"/>
  <c r="AN212" i="11"/>
  <c r="BG212" i="11"/>
  <c r="BW212" i="11"/>
  <c r="AQ212" i="11"/>
  <c r="K212" i="11"/>
  <c r="BQ212" i="11"/>
  <c r="BM212" i="11"/>
  <c r="AX212" i="11"/>
  <c r="AW212" i="11"/>
  <c r="CP212" i="11"/>
  <c r="CF212" i="11"/>
  <c r="BP212" i="11"/>
  <c r="S212" i="11"/>
  <c r="AH212" i="11"/>
  <c r="AG212" i="11"/>
  <c r="BV212" i="11"/>
  <c r="BA212" i="11"/>
  <c r="BO212" i="11"/>
  <c r="AA212" i="11"/>
  <c r="I212" i="11"/>
  <c r="C3921" i="3" l="1"/>
  <c r="C3922" i="3" s="1"/>
  <c r="C3923" i="3" s="1"/>
  <c r="DC212" i="11"/>
  <c r="CI212" i="11"/>
  <c r="CJ212" i="11"/>
  <c r="BJ212" i="11"/>
  <c r="BK212" i="11"/>
  <c r="L212" i="11"/>
  <c r="M212" i="11"/>
  <c r="BS212" i="11"/>
  <c r="BT212" i="11"/>
  <c r="CA212" i="11"/>
  <c r="CB212" i="11"/>
  <c r="AL212" i="11"/>
  <c r="AK212" i="11"/>
  <c r="AT212" i="11"/>
  <c r="AU212" i="11"/>
  <c r="BB212" i="11"/>
  <c r="BC212" i="11"/>
  <c r="CR212" i="11"/>
  <c r="CS212" i="11"/>
  <c r="AC212" i="11"/>
  <c r="AD212" i="11"/>
  <c r="V212" i="11"/>
  <c r="U212" i="11"/>
  <c r="C629" i="31"/>
  <c r="CG214" i="11"/>
  <c r="AO214" i="11"/>
  <c r="AY214" i="11"/>
  <c r="AX214" i="11"/>
  <c r="BV214" i="11"/>
  <c r="R214" i="11"/>
  <c r="BH214" i="11"/>
  <c r="K214" i="11"/>
  <c r="Y214" i="11"/>
  <c r="T214" i="11"/>
  <c r="BF214" i="11"/>
  <c r="BW214" i="11"/>
  <c r="AA214" i="11"/>
  <c r="AF214" i="11"/>
  <c r="CO214" i="11"/>
  <c r="BE214" i="11"/>
  <c r="O214" i="11"/>
  <c r="AN214" i="11"/>
  <c r="CP214" i="11"/>
  <c r="AR214" i="11"/>
  <c r="S214" i="11"/>
  <c r="BX214" i="11"/>
  <c r="AI214" i="11"/>
  <c r="AH214" i="11"/>
  <c r="X214" i="11"/>
  <c r="CD214" i="11"/>
  <c r="AZ214" i="11"/>
  <c r="CQ214" i="11"/>
  <c r="BO214" i="11"/>
  <c r="P214" i="11"/>
  <c r="BI214" i="11"/>
  <c r="CL214" i="11"/>
  <c r="I214" i="11"/>
  <c r="AW214" i="11"/>
  <c r="BG214" i="11"/>
  <c r="AJ214" i="11"/>
  <c r="BY214" i="11"/>
  <c r="J214" i="11"/>
  <c r="G214" i="11"/>
  <c r="AQ214" i="11"/>
  <c r="BR214" i="11"/>
  <c r="CF214" i="11"/>
  <c r="Q214" i="11"/>
  <c r="CH214" i="11"/>
  <c r="BN214" i="11"/>
  <c r="BM214" i="11"/>
  <c r="BP214" i="11"/>
  <c r="BA214" i="11"/>
  <c r="BQ214" i="11"/>
  <c r="H214" i="11"/>
  <c r="BZ214" i="11"/>
  <c r="CE214" i="11"/>
  <c r="AP214" i="11"/>
  <c r="CM214" i="11"/>
  <c r="AG214" i="11"/>
  <c r="Z214" i="11"/>
  <c r="AB214" i="11"/>
  <c r="CN214" i="11"/>
  <c r="AS214" i="11"/>
  <c r="AJ219" i="11" l="1"/>
  <c r="AJ251" i="11"/>
  <c r="AJ259" i="11"/>
  <c r="AJ267" i="11"/>
  <c r="AJ275" i="11"/>
  <c r="AJ291" i="11"/>
  <c r="AJ36" i="11"/>
  <c r="AJ44" i="11"/>
  <c r="AJ60" i="11"/>
  <c r="AJ68" i="11"/>
  <c r="AJ76" i="11"/>
  <c r="AJ35" i="11"/>
  <c r="AJ43" i="11"/>
  <c r="AJ51" i="11"/>
  <c r="AJ59" i="11"/>
  <c r="AJ67" i="11"/>
  <c r="AJ75" i="11"/>
  <c r="AJ83" i="11"/>
  <c r="AJ91" i="11"/>
  <c r="AJ107" i="11"/>
  <c r="AJ163" i="11"/>
  <c r="AJ179" i="11"/>
  <c r="AJ187" i="11"/>
  <c r="DC214" i="11"/>
  <c r="AC214" i="11"/>
  <c r="AD214" i="11"/>
  <c r="CB214" i="11"/>
  <c r="CA214" i="11"/>
  <c r="BT214" i="11"/>
  <c r="BS214" i="11"/>
  <c r="U214" i="11"/>
  <c r="V214" i="11"/>
  <c r="C630" i="31"/>
  <c r="C631" i="31" s="1"/>
  <c r="BQ202" i="11"/>
  <c r="AG202" i="11"/>
  <c r="G202" i="11"/>
  <c r="AH202" i="11"/>
  <c r="S202" i="11"/>
  <c r="CQ202" i="11"/>
  <c r="Q202" i="11"/>
  <c r="X202" i="11"/>
  <c r="CH202" i="11"/>
  <c r="O202" i="11"/>
  <c r="Z202" i="11"/>
  <c r="H202" i="11"/>
  <c r="AO202" i="11"/>
  <c r="I202" i="11"/>
  <c r="AI202" i="11"/>
  <c r="AJ202" i="11"/>
  <c r="CE202" i="11"/>
  <c r="CM202" i="11"/>
  <c r="BR202" i="11"/>
  <c r="CN202" i="11"/>
  <c r="BH202" i="11"/>
  <c r="AS202" i="11"/>
  <c r="BI202" i="11"/>
  <c r="K202" i="11"/>
  <c r="CD202" i="11"/>
  <c r="Y202" i="11"/>
  <c r="AN202" i="11"/>
  <c r="BF202" i="11"/>
  <c r="BP202" i="11"/>
  <c r="T202" i="11"/>
  <c r="BE202" i="11"/>
  <c r="BO202" i="11"/>
  <c r="CL202" i="11"/>
  <c r="BZ202" i="11"/>
  <c r="AY202" i="11"/>
  <c r="R202" i="11"/>
  <c r="CP202" i="11"/>
  <c r="BN202" i="11"/>
  <c r="AX202" i="11"/>
  <c r="AF202" i="11"/>
  <c r="AA202" i="11"/>
  <c r="P202" i="11"/>
  <c r="BM202" i="11"/>
  <c r="BG202" i="11"/>
  <c r="BX202" i="11"/>
  <c r="CO202" i="11"/>
  <c r="AB202" i="11"/>
  <c r="J202" i="11"/>
  <c r="BW202" i="11"/>
  <c r="BV202" i="11"/>
  <c r="AZ202" i="11"/>
  <c r="CG202" i="11"/>
  <c r="BA202" i="11"/>
  <c r="AR202" i="11"/>
  <c r="BY202" i="11"/>
  <c r="AP202" i="11"/>
  <c r="AQ202" i="11"/>
  <c r="CF202" i="11"/>
  <c r="AW202" i="11"/>
  <c r="AK214" i="11"/>
  <c r="AL214" i="11"/>
  <c r="BK214" i="11"/>
  <c r="BJ214" i="11"/>
  <c r="BC214" i="11"/>
  <c r="BB214" i="11"/>
  <c r="CI214" i="11"/>
  <c r="CJ214" i="11"/>
  <c r="L214" i="11"/>
  <c r="M214" i="11"/>
  <c r="AU214" i="11"/>
  <c r="AT214" i="11"/>
  <c r="CR214" i="11"/>
  <c r="CS214" i="11"/>
  <c r="C3924" i="3"/>
  <c r="C3925" i="3" s="1"/>
  <c r="C3926" i="3" s="1"/>
  <c r="BV158" i="11"/>
  <c r="BV160" i="11"/>
  <c r="BV163" i="11"/>
  <c r="BV166" i="11"/>
  <c r="BV172" i="11"/>
  <c r="BV136" i="11"/>
  <c r="BV137" i="11"/>
  <c r="BV140" i="11"/>
  <c r="BV144" i="11"/>
  <c r="BV148" i="11"/>
  <c r="AL163" i="11" l="1"/>
  <c r="AK163" i="11"/>
  <c r="AL75" i="11"/>
  <c r="AK75" i="11"/>
  <c r="AK43" i="11"/>
  <c r="AL43" i="11"/>
  <c r="AK68" i="11"/>
  <c r="AL68" i="11"/>
  <c r="AL267" i="11"/>
  <c r="AK267" i="11"/>
  <c r="AL107" i="11"/>
  <c r="AK107" i="11"/>
  <c r="AL67" i="11"/>
  <c r="AK67" i="11"/>
  <c r="DC67" i="11"/>
  <c r="AK35" i="11"/>
  <c r="AL35" i="11"/>
  <c r="AK60" i="11"/>
  <c r="AL60" i="11"/>
  <c r="AK259" i="11"/>
  <c r="AL259" i="11"/>
  <c r="AL187" i="11"/>
  <c r="AK187" i="11"/>
  <c r="AK91" i="11"/>
  <c r="AL91" i="11"/>
  <c r="AL59" i="11"/>
  <c r="AK59" i="11"/>
  <c r="DC59" i="11"/>
  <c r="AL44" i="11"/>
  <c r="AK44" i="11"/>
  <c r="AK291" i="11"/>
  <c r="AL291" i="11"/>
  <c r="AK251" i="11"/>
  <c r="AL251" i="11"/>
  <c r="AK179" i="11"/>
  <c r="AL179" i="11"/>
  <c r="AL83" i="11"/>
  <c r="AK83" i="11"/>
  <c r="AL51" i="11"/>
  <c r="AK51" i="11"/>
  <c r="AL76" i="11"/>
  <c r="AK76" i="11"/>
  <c r="AL36" i="11"/>
  <c r="AK36" i="11"/>
  <c r="AL275" i="11"/>
  <c r="AK275" i="11"/>
  <c r="AL219" i="11"/>
  <c r="AK219" i="11"/>
  <c r="DC202" i="11"/>
  <c r="L202" i="11"/>
  <c r="M202" i="11"/>
  <c r="AC202" i="11"/>
  <c r="AD202" i="11"/>
  <c r="BK202" i="11"/>
  <c r="BJ202" i="11"/>
  <c r="BC202" i="11"/>
  <c r="BB202" i="11"/>
  <c r="CA202" i="11"/>
  <c r="CB202" i="11"/>
  <c r="AU202" i="11"/>
  <c r="AT202" i="11"/>
  <c r="C632" i="31"/>
  <c r="C633" i="31" s="1"/>
  <c r="S209" i="11"/>
  <c r="T209" i="11"/>
  <c r="O209" i="11"/>
  <c r="BP209" i="11"/>
  <c r="AY209" i="11"/>
  <c r="AJ209" i="11"/>
  <c r="Y209" i="11"/>
  <c r="BG209" i="11"/>
  <c r="G209" i="11"/>
  <c r="CD209" i="11"/>
  <c r="BO209" i="11"/>
  <c r="BQ209" i="11"/>
  <c r="BI209" i="11"/>
  <c r="BF209" i="11"/>
  <c r="BY209" i="11"/>
  <c r="CE209" i="11"/>
  <c r="CG209" i="11"/>
  <c r="P209" i="11"/>
  <c r="AO209" i="11"/>
  <c r="BX209" i="11"/>
  <c r="I209" i="11"/>
  <c r="AB209" i="11"/>
  <c r="AZ209" i="11"/>
  <c r="BH209" i="11"/>
  <c r="Q209" i="11"/>
  <c r="CO209" i="11"/>
  <c r="CN209" i="11"/>
  <c r="CH209" i="11"/>
  <c r="AP209" i="11"/>
  <c r="AA209" i="11"/>
  <c r="K209" i="11"/>
  <c r="BV209" i="11"/>
  <c r="BW209" i="11"/>
  <c r="CP209" i="11"/>
  <c r="AW209" i="11"/>
  <c r="CF209" i="11"/>
  <c r="AN209" i="11"/>
  <c r="J209" i="11"/>
  <c r="BM209" i="11"/>
  <c r="AQ209" i="11"/>
  <c r="BZ209" i="11"/>
  <c r="CQ209" i="11"/>
  <c r="BN209" i="11"/>
  <c r="AS209" i="11"/>
  <c r="CM209" i="11"/>
  <c r="BE209" i="11"/>
  <c r="R209" i="11"/>
  <c r="AF209" i="11"/>
  <c r="X209" i="11"/>
  <c r="AR209" i="11"/>
  <c r="BA209" i="11"/>
  <c r="AI209" i="11"/>
  <c r="AG209" i="11"/>
  <c r="AH209" i="11"/>
  <c r="BR209" i="11"/>
  <c r="H209" i="11"/>
  <c r="AX209" i="11"/>
  <c r="AK202" i="11"/>
  <c r="AL202" i="11"/>
  <c r="U202" i="11"/>
  <c r="V202" i="11"/>
  <c r="CR202" i="11"/>
  <c r="CS202" i="11"/>
  <c r="BS202" i="11"/>
  <c r="BT202" i="11"/>
  <c r="CJ202" i="11"/>
  <c r="CI202" i="11"/>
  <c r="C3927" i="3"/>
  <c r="BV217" i="11"/>
  <c r="BV218" i="11"/>
  <c r="BV219" i="11"/>
  <c r="BV220" i="11"/>
  <c r="BV225" i="11"/>
  <c r="BV226" i="11"/>
  <c r="BV178" i="11"/>
  <c r="BV179" i="11"/>
  <c r="BV180" i="11"/>
  <c r="BV187" i="11"/>
  <c r="BV199" i="11"/>
  <c r="CV201" i="11" l="1"/>
  <c r="CU201" i="11"/>
  <c r="Z209" i="11"/>
  <c r="CL209" i="11"/>
  <c r="DC209" i="11"/>
  <c r="BC209" i="11"/>
  <c r="BB209" i="11"/>
  <c r="CS209" i="11"/>
  <c r="CR209" i="11"/>
  <c r="AD209" i="11"/>
  <c r="AC209" i="11"/>
  <c r="CA209" i="11"/>
  <c r="CB209" i="11"/>
  <c r="M209" i="11"/>
  <c r="L209" i="11"/>
  <c r="AT209" i="11"/>
  <c r="AU209" i="11"/>
  <c r="BK209" i="11"/>
  <c r="BJ209" i="11"/>
  <c r="C634" i="31"/>
  <c r="AR201" i="11"/>
  <c r="BV201" i="11"/>
  <c r="T201" i="11"/>
  <c r="J201" i="11"/>
  <c r="BA201" i="11"/>
  <c r="AX201" i="11"/>
  <c r="Y201" i="11"/>
  <c r="CD201" i="11"/>
  <c r="AW201" i="11"/>
  <c r="AH201" i="11"/>
  <c r="CP201" i="11"/>
  <c r="AP201" i="11"/>
  <c r="AQ201" i="11"/>
  <c r="AA201" i="11"/>
  <c r="AN201" i="11"/>
  <c r="CN201" i="11"/>
  <c r="BE201" i="11"/>
  <c r="BZ201" i="11"/>
  <c r="BP201" i="11"/>
  <c r="CL201" i="11"/>
  <c r="AB201" i="11"/>
  <c r="AY201" i="11"/>
  <c r="CH201" i="11"/>
  <c r="BG201" i="11"/>
  <c r="CE201" i="11"/>
  <c r="I201" i="11"/>
  <c r="BX201" i="11"/>
  <c r="Z201" i="11"/>
  <c r="AI201" i="11"/>
  <c r="BI201" i="11"/>
  <c r="BQ201" i="11"/>
  <c r="Q201" i="11"/>
  <c r="BO201" i="11"/>
  <c r="BW201" i="11"/>
  <c r="CQ201" i="11"/>
  <c r="BM201" i="11"/>
  <c r="BY201" i="11"/>
  <c r="BF201" i="11"/>
  <c r="R201" i="11"/>
  <c r="AF201" i="11"/>
  <c r="AJ201" i="11"/>
  <c r="AG201" i="11"/>
  <c r="AO201" i="11"/>
  <c r="S201" i="11"/>
  <c r="G201" i="11"/>
  <c r="CO201" i="11"/>
  <c r="BR201" i="11"/>
  <c r="AS201" i="11"/>
  <c r="P201" i="11"/>
  <c r="BH201" i="11"/>
  <c r="K201" i="11"/>
  <c r="CG201" i="11"/>
  <c r="H201" i="11"/>
  <c r="CM201" i="11"/>
  <c r="AZ201" i="11"/>
  <c r="X201" i="11"/>
  <c r="BN201" i="11"/>
  <c r="CF201" i="11"/>
  <c r="O201" i="11"/>
  <c r="BT209" i="11"/>
  <c r="BS209" i="11"/>
  <c r="V209" i="11"/>
  <c r="U209" i="11"/>
  <c r="CI209" i="11"/>
  <c r="CJ209" i="11"/>
  <c r="AK209" i="11"/>
  <c r="AL209" i="11"/>
  <c r="C3928" i="3"/>
  <c r="CY202" i="11" l="1"/>
  <c r="CZ202" i="11" s="1"/>
  <c r="CY212" i="11"/>
  <c r="CZ212" i="11" s="1"/>
  <c r="CY209" i="11"/>
  <c r="CZ209" i="11" s="1"/>
  <c r="CY214" i="11"/>
  <c r="CZ214" i="11" s="1"/>
  <c r="CY204" i="11"/>
  <c r="CZ204" i="11" s="1"/>
  <c r="CY211" i="11"/>
  <c r="CZ211" i="11" s="1"/>
  <c r="CY213" i="11"/>
  <c r="CZ213" i="11" s="1"/>
  <c r="CY201" i="11"/>
  <c r="CZ201" i="11" s="1"/>
  <c r="CY215" i="11"/>
  <c r="CZ215" i="11" s="1"/>
  <c r="CW202" i="11"/>
  <c r="CV212" i="11"/>
  <c r="CV202" i="11"/>
  <c r="CU202" i="11"/>
  <c r="CX202" i="11"/>
  <c r="CX209" i="11"/>
  <c r="CU212" i="11"/>
  <c r="CU209" i="11"/>
  <c r="CW209" i="11"/>
  <c r="CV209" i="11"/>
  <c r="CX212" i="11"/>
  <c r="CW212" i="11"/>
  <c r="CV214" i="11"/>
  <c r="CW214" i="11"/>
  <c r="CX214" i="11"/>
  <c r="CU214" i="11"/>
  <c r="CW204" i="11"/>
  <c r="CU204" i="11"/>
  <c r="CX204" i="11"/>
  <c r="CV204" i="11"/>
  <c r="CV211" i="11"/>
  <c r="CX211" i="11"/>
  <c r="CU211" i="11"/>
  <c r="CW211" i="11"/>
  <c r="CX201" i="11"/>
  <c r="CW201" i="11"/>
  <c r="CW215" i="11"/>
  <c r="CU215" i="11"/>
  <c r="CV215" i="11"/>
  <c r="CX215" i="11"/>
  <c r="DC201" i="11"/>
  <c r="P215" i="11"/>
  <c r="J215" i="11"/>
  <c r="Q215" i="11"/>
  <c r="AO215" i="11"/>
  <c r="R215" i="11"/>
  <c r="AP215" i="11"/>
  <c r="AR215" i="11"/>
  <c r="K215" i="11"/>
  <c r="AF215" i="11"/>
  <c r="G215" i="11"/>
  <c r="H215" i="11"/>
  <c r="Y215" i="11"/>
  <c r="Z215" i="11"/>
  <c r="S215" i="11"/>
  <c r="AA215" i="11"/>
  <c r="AS215" i="11"/>
  <c r="O215" i="11"/>
  <c r="AN215" i="11"/>
  <c r="AG215" i="11"/>
  <c r="I215" i="11"/>
  <c r="AH215" i="11"/>
  <c r="AQ215" i="11"/>
  <c r="X215" i="11"/>
  <c r="AB215" i="11"/>
  <c r="T215" i="11"/>
  <c r="AJ215" i="11"/>
  <c r="BZ215" i="11"/>
  <c r="BI215" i="11"/>
  <c r="BO215" i="11"/>
  <c r="CH215" i="11"/>
  <c r="CQ215" i="11"/>
  <c r="BR215" i="11"/>
  <c r="CM215" i="11"/>
  <c r="CL215" i="11"/>
  <c r="BN215" i="11"/>
  <c r="BQ215" i="11"/>
  <c r="CE215" i="11"/>
  <c r="CG215" i="11"/>
  <c r="BF215" i="11"/>
  <c r="BW215" i="11"/>
  <c r="AW215" i="11"/>
  <c r="CO215" i="11"/>
  <c r="CN215" i="11"/>
  <c r="AZ215" i="11"/>
  <c r="BP215" i="11"/>
  <c r="BX215" i="11"/>
  <c r="CP215" i="11"/>
  <c r="BG215" i="11"/>
  <c r="BA215" i="11"/>
  <c r="BM215" i="11"/>
  <c r="CF215" i="11"/>
  <c r="BY215" i="11"/>
  <c r="CD215" i="11"/>
  <c r="BV215" i="11"/>
  <c r="CB201" i="11"/>
  <c r="CA201" i="11"/>
  <c r="BB201" i="11"/>
  <c r="BC201" i="11"/>
  <c r="CS201" i="11"/>
  <c r="CR201" i="11"/>
  <c r="BK201" i="11"/>
  <c r="BJ201" i="11"/>
  <c r="AC201" i="11"/>
  <c r="AD201" i="11"/>
  <c r="AT201" i="11"/>
  <c r="AU201" i="11"/>
  <c r="U201" i="11"/>
  <c r="V201" i="11"/>
  <c r="BT201" i="11"/>
  <c r="BS201" i="11"/>
  <c r="CJ201" i="11"/>
  <c r="CI201" i="11"/>
  <c r="M201" i="11"/>
  <c r="L201" i="11"/>
  <c r="AL201" i="11"/>
  <c r="AK201" i="11"/>
  <c r="C3929" i="3"/>
  <c r="DC215" i="11" l="1"/>
  <c r="Z89" i="11"/>
  <c r="O97" i="11"/>
  <c r="J97" i="11"/>
  <c r="AF97" i="11"/>
  <c r="AN97" i="11"/>
  <c r="AO97" i="11"/>
  <c r="P97" i="11"/>
  <c r="X97" i="11"/>
  <c r="Q97" i="11"/>
  <c r="AQ97" i="11"/>
  <c r="Z81" i="11"/>
  <c r="AP81" i="11"/>
  <c r="S81" i="11"/>
  <c r="J89" i="11"/>
  <c r="AF89" i="11"/>
  <c r="AQ89" i="11"/>
  <c r="S89" i="11"/>
  <c r="AI89" i="11"/>
  <c r="AR89" i="11"/>
  <c r="AA89" i="11"/>
  <c r="AC215" i="11"/>
  <c r="AD215" i="11"/>
  <c r="AT215" i="11"/>
  <c r="AU215" i="11"/>
  <c r="BJ215" i="11"/>
  <c r="BK215" i="11"/>
  <c r="M215" i="11"/>
  <c r="L215" i="11"/>
  <c r="BS215" i="11"/>
  <c r="BT215" i="11"/>
  <c r="CB215" i="11"/>
  <c r="CA215" i="11"/>
  <c r="CR215" i="11"/>
  <c r="CS215" i="11"/>
  <c r="AL215" i="11"/>
  <c r="AK215" i="11"/>
  <c r="BC215" i="11"/>
  <c r="BB215" i="11"/>
  <c r="CI215" i="11"/>
  <c r="CJ215" i="11"/>
  <c r="V215" i="11"/>
  <c r="U215" i="11"/>
  <c r="C3930" i="3"/>
  <c r="C3931" i="3" l="1"/>
  <c r="C3958" i="3"/>
  <c r="C3959" i="3" s="1"/>
  <c r="C3960" i="3" s="1"/>
  <c r="C3961" i="3" s="1"/>
  <c r="C3962" i="3" s="1"/>
  <c r="C3963" i="3" l="1"/>
  <c r="C3932" i="3"/>
  <c r="C3964" i="3" l="1"/>
  <c r="C3965" i="3" s="1"/>
  <c r="CY46" i="11" s="1"/>
  <c r="CZ46" i="11" s="1"/>
  <c r="C3933" i="3"/>
  <c r="CW46" i="11" l="1"/>
  <c r="CX46" i="11"/>
  <c r="CV46" i="11"/>
  <c r="CU46" i="11"/>
  <c r="AX46" i="11"/>
  <c r="BA46" i="11"/>
  <c r="CM46" i="11"/>
  <c r="CP46" i="11"/>
  <c r="Z46" i="11"/>
  <c r="AF46" i="11"/>
  <c r="AO46" i="11"/>
  <c r="G46" i="11"/>
  <c r="R46" i="11"/>
  <c r="Q46" i="11"/>
  <c r="T46" i="11"/>
  <c r="AJ46" i="11"/>
  <c r="AY46" i="11"/>
  <c r="CL46" i="11"/>
  <c r="CO46" i="11"/>
  <c r="AQ46" i="11"/>
  <c r="Y46" i="11"/>
  <c r="O46" i="11"/>
  <c r="H46" i="11"/>
  <c r="AG46" i="11"/>
  <c r="X46" i="11"/>
  <c r="AA46" i="11"/>
  <c r="CN46" i="11"/>
  <c r="AI46" i="11"/>
  <c r="I46" i="11"/>
  <c r="AR46" i="11"/>
  <c r="S46" i="11"/>
  <c r="AN46" i="11"/>
  <c r="P46" i="11"/>
  <c r="J46" i="11"/>
  <c r="AP46" i="11"/>
  <c r="AH46" i="11"/>
  <c r="K46" i="11"/>
  <c r="AB46" i="11"/>
  <c r="AS46" i="11"/>
  <c r="BI46" i="11"/>
  <c r="CQ46" i="11"/>
  <c r="BR46" i="11"/>
  <c r="CH46" i="11"/>
  <c r="BF46" i="11"/>
  <c r="BH46" i="11"/>
  <c r="BZ46" i="11"/>
  <c r="BQ46" i="11"/>
  <c r="BY46" i="11"/>
  <c r="CF46" i="11"/>
  <c r="BE46" i="11"/>
  <c r="BV46" i="11"/>
  <c r="BX46" i="11"/>
  <c r="CD46" i="11"/>
  <c r="CE46" i="11"/>
  <c r="CG46" i="11"/>
  <c r="AZ46" i="11"/>
  <c r="BG46" i="11"/>
  <c r="BP46" i="11"/>
  <c r="AW46" i="11"/>
  <c r="BO46" i="11"/>
  <c r="BW46" i="11"/>
  <c r="C3966" i="3"/>
  <c r="C3967" i="3" s="1"/>
  <c r="C3968" i="3" s="1"/>
  <c r="BN46" i="11"/>
  <c r="BM46" i="11"/>
  <c r="C3934" i="3"/>
  <c r="DC46" i="11" l="1"/>
  <c r="CI46" i="11"/>
  <c r="CJ46" i="11"/>
  <c r="AU46" i="11"/>
  <c r="AT46" i="11"/>
  <c r="BS46" i="11"/>
  <c r="BT46" i="11"/>
  <c r="AD46" i="11"/>
  <c r="AC46" i="11"/>
  <c r="AL46" i="11"/>
  <c r="AK46" i="11"/>
  <c r="CB46" i="11"/>
  <c r="CA46" i="11"/>
  <c r="CR46" i="11"/>
  <c r="CS46" i="11"/>
  <c r="U46" i="11"/>
  <c r="V46" i="11"/>
  <c r="BB46" i="11"/>
  <c r="BC46" i="11"/>
  <c r="BJ46" i="11"/>
  <c r="BK46" i="11"/>
  <c r="L46" i="11"/>
  <c r="M46" i="11"/>
  <c r="C3969" i="3"/>
  <c r="C3935" i="3"/>
  <c r="CW32" i="11" l="1"/>
  <c r="CY32" i="11"/>
  <c r="CZ32" i="11" s="1"/>
  <c r="CU32" i="11"/>
  <c r="CX32" i="11"/>
  <c r="CV32" i="11"/>
  <c r="C3936" i="3"/>
  <c r="BQ32" i="11"/>
  <c r="BO32" i="11"/>
  <c r="G32" i="11"/>
  <c r="AO32" i="11"/>
  <c r="CL32" i="11"/>
  <c r="AN32" i="11"/>
  <c r="AW32" i="11"/>
  <c r="AZ32" i="11"/>
  <c r="AS32" i="11"/>
  <c r="BZ32" i="11"/>
  <c r="CD32" i="11"/>
  <c r="BX32" i="11"/>
  <c r="BA32" i="11"/>
  <c r="S32" i="11"/>
  <c r="AH32" i="11"/>
  <c r="CM32" i="11"/>
  <c r="O32" i="11"/>
  <c r="AB32" i="11"/>
  <c r="AX32" i="11"/>
  <c r="CH32" i="11"/>
  <c r="CE32" i="11"/>
  <c r="BW32" i="11"/>
  <c r="J32" i="11"/>
  <c r="AI32" i="11"/>
  <c r="Y32" i="11"/>
  <c r="CN32" i="11"/>
  <c r="AP32" i="11"/>
  <c r="T32" i="11"/>
  <c r="AJ32" i="11"/>
  <c r="CQ32" i="11"/>
  <c r="BY32" i="11"/>
  <c r="BF32" i="11"/>
  <c r="P32" i="11"/>
  <c r="BN32" i="11"/>
  <c r="AR32" i="11"/>
  <c r="CO32" i="11"/>
  <c r="R32" i="11"/>
  <c r="BH32" i="11"/>
  <c r="BV32" i="11"/>
  <c r="BG32" i="11"/>
  <c r="AG32" i="11"/>
  <c r="AQ32" i="11"/>
  <c r="X32" i="11"/>
  <c r="CP32" i="11"/>
  <c r="AA32" i="11"/>
  <c r="K32" i="11"/>
  <c r="BR32" i="11"/>
  <c r="CG32" i="11"/>
  <c r="I32" i="11"/>
  <c r="BP32" i="11"/>
  <c r="Q32" i="11"/>
  <c r="H32" i="11"/>
  <c r="BM32" i="11"/>
  <c r="AF32" i="11"/>
  <c r="Z32" i="11"/>
  <c r="AY32" i="11"/>
  <c r="BI32" i="11"/>
  <c r="BE32" i="11"/>
  <c r="CF32" i="11"/>
  <c r="C3970" i="3"/>
  <c r="C3972" i="3" s="1"/>
  <c r="C3973" i="3" s="1"/>
  <c r="C3974" i="3" s="1"/>
  <c r="C3975" i="3" s="1"/>
  <c r="C3976" i="3" s="1"/>
  <c r="CY216" i="11" s="1"/>
  <c r="CZ216" i="11" s="1"/>
  <c r="CW216" i="11" l="1"/>
  <c r="CX216" i="11"/>
  <c r="CV216" i="11"/>
  <c r="CU216" i="11"/>
  <c r="DC32" i="11"/>
  <c r="BA216" i="11"/>
  <c r="BH216" i="11"/>
  <c r="CM216" i="11"/>
  <c r="CP216" i="11"/>
  <c r="Z216" i="11"/>
  <c r="P216" i="11"/>
  <c r="G216" i="11"/>
  <c r="AP216" i="11"/>
  <c r="Y216" i="11"/>
  <c r="I216" i="11"/>
  <c r="S216" i="11"/>
  <c r="AS216" i="11"/>
  <c r="AJ216" i="11"/>
  <c r="AY216" i="11"/>
  <c r="BE216" i="11"/>
  <c r="BF216" i="11"/>
  <c r="CL216" i="11"/>
  <c r="CO216" i="11"/>
  <c r="AA216" i="11"/>
  <c r="O216" i="11"/>
  <c r="J216" i="11"/>
  <c r="H216" i="11"/>
  <c r="Q216" i="11"/>
  <c r="R216" i="11"/>
  <c r="AH216" i="11"/>
  <c r="AI216" i="11"/>
  <c r="K216" i="11"/>
  <c r="AB216" i="11"/>
  <c r="AZ216" i="11"/>
  <c r="AX216" i="11"/>
  <c r="BG216" i="11"/>
  <c r="CN216" i="11"/>
  <c r="AN216" i="11"/>
  <c r="AO216" i="11"/>
  <c r="AG216" i="11"/>
  <c r="AF216" i="11"/>
  <c r="X216" i="11"/>
  <c r="AQ216" i="11"/>
  <c r="AR216" i="11"/>
  <c r="T216" i="11"/>
  <c r="CH216" i="11"/>
  <c r="BI216" i="11"/>
  <c r="BR216" i="11"/>
  <c r="BZ216" i="11"/>
  <c r="CQ216" i="11"/>
  <c r="CE216" i="11"/>
  <c r="BQ216" i="11"/>
  <c r="BW216" i="11"/>
  <c r="CG216" i="11"/>
  <c r="AW216" i="11"/>
  <c r="BP216" i="11"/>
  <c r="BX216" i="11"/>
  <c r="CF216" i="11"/>
  <c r="BY216" i="11"/>
  <c r="CD216" i="11"/>
  <c r="BV216" i="11"/>
  <c r="C3977" i="3"/>
  <c r="BO216" i="11"/>
  <c r="BN216" i="11"/>
  <c r="BM216" i="11"/>
  <c r="U32" i="11"/>
  <c r="V32" i="11"/>
  <c r="CA32" i="11"/>
  <c r="CB32" i="11"/>
  <c r="BT32" i="11"/>
  <c r="BS32" i="11"/>
  <c r="CJ32" i="11"/>
  <c r="CI32" i="11"/>
  <c r="AT32" i="11"/>
  <c r="AU32" i="11"/>
  <c r="BJ32" i="11"/>
  <c r="BK32" i="11"/>
  <c r="L32" i="11"/>
  <c r="M32" i="11"/>
  <c r="CS32" i="11"/>
  <c r="CR32" i="11"/>
  <c r="BC32" i="11"/>
  <c r="BB32" i="11"/>
  <c r="AK32" i="11"/>
  <c r="AL32" i="11"/>
  <c r="AC32" i="11"/>
  <c r="AD32" i="11"/>
  <c r="C3938" i="3"/>
  <c r="C3978" i="3" l="1"/>
  <c r="C3979" i="3" s="1"/>
  <c r="DC216" i="11"/>
  <c r="CR216" i="11"/>
  <c r="CS216" i="11"/>
  <c r="U216" i="11"/>
  <c r="V216" i="11"/>
  <c r="L216" i="11"/>
  <c r="M216" i="11"/>
  <c r="AL216" i="11"/>
  <c r="AK216" i="11"/>
  <c r="CA216" i="11"/>
  <c r="CB216" i="11"/>
  <c r="BS216" i="11"/>
  <c r="BT216" i="11"/>
  <c r="BJ216" i="11"/>
  <c r="BK216" i="11"/>
  <c r="AC216" i="11"/>
  <c r="AD216" i="11"/>
  <c r="AT216" i="11"/>
  <c r="AU216" i="11"/>
  <c r="CI216" i="11"/>
  <c r="CJ216" i="11"/>
  <c r="BB216" i="11"/>
  <c r="BC216" i="11"/>
  <c r="BQ107" i="11"/>
  <c r="BQ86" i="11"/>
  <c r="BQ87" i="11"/>
  <c r="BQ88" i="11"/>
  <c r="BQ89" i="11"/>
  <c r="BQ91" i="11"/>
  <c r="BQ92" i="11"/>
  <c r="BQ93" i="11"/>
  <c r="BQ94" i="11"/>
  <c r="BQ96" i="11"/>
  <c r="BQ97" i="11"/>
  <c r="BQ101" i="11"/>
  <c r="BQ60" i="11"/>
  <c r="BQ61" i="11"/>
  <c r="BQ75" i="11"/>
  <c r="BQ76" i="11"/>
  <c r="BQ77" i="11"/>
  <c r="BQ78" i="11"/>
  <c r="BQ79" i="11"/>
  <c r="BQ80" i="11"/>
  <c r="BQ81" i="11"/>
  <c r="BQ82" i="11"/>
  <c r="BQ83" i="11"/>
  <c r="BQ84" i="11"/>
  <c r="BQ85" i="11"/>
  <c r="BQ47" i="11"/>
  <c r="BQ48" i="11"/>
  <c r="BQ49" i="11"/>
  <c r="BQ50" i="11"/>
  <c r="BQ51" i="11"/>
  <c r="BQ53" i="11"/>
  <c r="BQ56" i="11"/>
  <c r="BQ57" i="11"/>
  <c r="BQ58" i="11"/>
  <c r="BQ59" i="11"/>
  <c r="C3939" i="3"/>
  <c r="C3940" i="3" s="1"/>
  <c r="C3980" i="3" l="1"/>
  <c r="C3981" i="3" s="1"/>
  <c r="C3982" i="3" s="1"/>
  <c r="C3941" i="3"/>
  <c r="C3942" i="3" s="1"/>
  <c r="C3983" i="3" l="1"/>
  <c r="C3984" i="3" s="1"/>
  <c r="C3985" i="3" s="1"/>
  <c r="C3986" i="3" s="1"/>
  <c r="C3943" i="3"/>
  <c r="C3987" i="3" l="1"/>
  <c r="C3944" i="3"/>
  <c r="CY175" i="11" s="1"/>
  <c r="CZ175" i="11" s="1"/>
  <c r="CW175" i="11" l="1"/>
  <c r="CX175" i="11"/>
  <c r="CV175" i="11"/>
  <c r="CU175" i="11"/>
  <c r="C3988" i="3"/>
  <c r="BN175" i="11"/>
  <c r="AZ175" i="11"/>
  <c r="BE175" i="11"/>
  <c r="BH175" i="11"/>
  <c r="BG175" i="11"/>
  <c r="BF175" i="11"/>
  <c r="Y175" i="11"/>
  <c r="AA175" i="11"/>
  <c r="AR175" i="11"/>
  <c r="BP175" i="11"/>
  <c r="BM175" i="11"/>
  <c r="AX175" i="11"/>
  <c r="BA175" i="11"/>
  <c r="CL175" i="11"/>
  <c r="CM175" i="11"/>
  <c r="CN175" i="11"/>
  <c r="CO175" i="11"/>
  <c r="CP175" i="11"/>
  <c r="AI175" i="11"/>
  <c r="BO175" i="11"/>
  <c r="AY175" i="11"/>
  <c r="AO175" i="11"/>
  <c r="P175" i="11"/>
  <c r="Q175" i="11"/>
  <c r="I175" i="11"/>
  <c r="Z175" i="11"/>
  <c r="S175" i="11"/>
  <c r="K175" i="11"/>
  <c r="J175" i="11"/>
  <c r="AF175" i="11"/>
  <c r="H175" i="11"/>
  <c r="AG175" i="11"/>
  <c r="R175" i="11"/>
  <c r="X175" i="11"/>
  <c r="AB175" i="11"/>
  <c r="T175" i="11"/>
  <c r="O175" i="11"/>
  <c r="AN175" i="11"/>
  <c r="G175" i="11"/>
  <c r="AP175" i="11"/>
  <c r="AH175" i="11"/>
  <c r="AS175" i="11"/>
  <c r="AJ175" i="11"/>
  <c r="BZ175" i="11"/>
  <c r="AQ175" i="11"/>
  <c r="BI175" i="11"/>
  <c r="BR175" i="11"/>
  <c r="CH175" i="11"/>
  <c r="CQ175" i="11"/>
  <c r="CG175" i="11"/>
  <c r="CE175" i="11"/>
  <c r="BX175" i="11"/>
  <c r="AW175" i="11"/>
  <c r="BW175" i="11"/>
  <c r="BY175" i="11"/>
  <c r="CF175" i="11"/>
  <c r="CD175" i="11"/>
  <c r="BQ175" i="11"/>
  <c r="BV175" i="11"/>
  <c r="C3945" i="3"/>
  <c r="C3989" i="3" l="1"/>
  <c r="DC175" i="11"/>
  <c r="CB175" i="11"/>
  <c r="CA175" i="11"/>
  <c r="C3946" i="3"/>
  <c r="CR175" i="11"/>
  <c r="CS175" i="11"/>
  <c r="AK175" i="11"/>
  <c r="AL175" i="11"/>
  <c r="CJ175" i="11"/>
  <c r="CI175" i="11"/>
  <c r="L175" i="11"/>
  <c r="M175" i="11"/>
  <c r="BS175" i="11"/>
  <c r="BT175" i="11"/>
  <c r="AT175" i="11"/>
  <c r="AU175" i="11"/>
  <c r="BK175" i="11"/>
  <c r="BJ175" i="11"/>
  <c r="V175" i="11"/>
  <c r="U175" i="11"/>
  <c r="AD175" i="11"/>
  <c r="AC175" i="11"/>
  <c r="BC175" i="11"/>
  <c r="BB175" i="11"/>
  <c r="C3990" i="3" l="1"/>
  <c r="C3991" i="3" s="1"/>
  <c r="C3992" i="3" s="1"/>
  <c r="C3947" i="3"/>
  <c r="C3993" i="3" l="1"/>
  <c r="C3994" i="3" s="1"/>
  <c r="C3995" i="3" s="1"/>
  <c r="C3996" i="3" s="1"/>
  <c r="C4001" i="3" s="1"/>
  <c r="C3948" i="3"/>
  <c r="C3997" i="3" l="1"/>
  <c r="C3998" i="3" s="1"/>
  <c r="C3999" i="3" s="1"/>
  <c r="C4000" i="3" s="1"/>
  <c r="C3949" i="3"/>
  <c r="C4002" i="3"/>
  <c r="C3950" i="3" l="1"/>
  <c r="C3951" i="3" s="1"/>
  <c r="C4003" i="3"/>
  <c r="C4004" i="3" s="1"/>
  <c r="C4005" i="3" s="1"/>
  <c r="C3952" i="3" l="1"/>
  <c r="C3953" i="3" s="1"/>
  <c r="C4006" i="3"/>
  <c r="C4007" i="3" s="1"/>
  <c r="C4008" i="3" s="1"/>
  <c r="CY52" i="11" s="1"/>
  <c r="CZ52" i="11" s="1"/>
  <c r="CW52" i="11" l="1"/>
  <c r="CX52" i="11"/>
  <c r="CV52" i="11"/>
  <c r="CU52" i="11"/>
  <c r="C4010" i="3"/>
  <c r="C4011" i="3" s="1"/>
  <c r="C4012" i="3" s="1"/>
  <c r="C4013" i="3" s="1"/>
  <c r="BN52" i="11"/>
  <c r="BM52" i="11"/>
  <c r="AY52" i="11"/>
  <c r="AX52" i="11"/>
  <c r="CM52" i="11"/>
  <c r="CP52" i="11"/>
  <c r="AO52" i="11"/>
  <c r="G52" i="11"/>
  <c r="H52" i="11"/>
  <c r="R52" i="11"/>
  <c r="AP52" i="11"/>
  <c r="AI52" i="11"/>
  <c r="K52" i="11"/>
  <c r="CL52" i="11"/>
  <c r="CO52" i="11"/>
  <c r="J52" i="11"/>
  <c r="AN52" i="11"/>
  <c r="Q52" i="11"/>
  <c r="AH52" i="11"/>
  <c r="I52" i="11"/>
  <c r="AR52" i="11"/>
  <c r="T52" i="11"/>
  <c r="AS52" i="11"/>
  <c r="BA52" i="11"/>
  <c r="CN52" i="11"/>
  <c r="AB52" i="11"/>
  <c r="O52" i="11"/>
  <c r="P52" i="11"/>
  <c r="AF52" i="11"/>
  <c r="X52" i="11"/>
  <c r="AQ52" i="11"/>
  <c r="Y52" i="11"/>
  <c r="S52" i="11"/>
  <c r="AG52" i="11"/>
  <c r="AA52" i="11"/>
  <c r="AJ52" i="11"/>
  <c r="BI52" i="11"/>
  <c r="CH52" i="11"/>
  <c r="BZ52" i="11"/>
  <c r="BH52" i="11"/>
  <c r="CQ52" i="11"/>
  <c r="Z52" i="11"/>
  <c r="BR52" i="11"/>
  <c r="BP52" i="11"/>
  <c r="AW52" i="11"/>
  <c r="AZ52" i="11"/>
  <c r="BX52" i="11"/>
  <c r="BY52" i="11"/>
  <c r="CD52" i="11"/>
  <c r="CG52" i="11"/>
  <c r="BF52" i="11"/>
  <c r="CE52" i="11"/>
  <c r="CF52" i="11"/>
  <c r="BE52" i="11"/>
  <c r="BG52" i="11"/>
  <c r="BW52" i="11"/>
  <c r="BV52" i="11"/>
  <c r="BQ52" i="11"/>
  <c r="C3954" i="3"/>
  <c r="DC52" i="11" l="1"/>
  <c r="CB52" i="11"/>
  <c r="CA52" i="11"/>
  <c r="V52" i="11"/>
  <c r="U52" i="11"/>
  <c r="BS52" i="11"/>
  <c r="BT52" i="11"/>
  <c r="CI52" i="11"/>
  <c r="CJ52" i="11"/>
  <c r="AC52" i="11"/>
  <c r="AD52" i="11"/>
  <c r="L52" i="11"/>
  <c r="M52" i="11"/>
  <c r="BJ52" i="11"/>
  <c r="BK52" i="11"/>
  <c r="CS52" i="11"/>
  <c r="CR52" i="11"/>
  <c r="AL52" i="11"/>
  <c r="AK52" i="11"/>
  <c r="BB52" i="11"/>
  <c r="BC52" i="11"/>
  <c r="AT52" i="11"/>
  <c r="AU52" i="11"/>
  <c r="C4014" i="3"/>
  <c r="C3955" i="3"/>
  <c r="C4015" i="3" l="1"/>
  <c r="C3956" i="3"/>
  <c r="C4016" i="3" l="1"/>
  <c r="CY229" i="11" l="1"/>
  <c r="CZ229" i="11" s="1"/>
  <c r="CW229" i="11"/>
  <c r="BQ229" i="11"/>
  <c r="C4017" i="3"/>
  <c r="C4018" i="3" s="1"/>
  <c r="CU229" i="11" l="1"/>
  <c r="CV229" i="11"/>
  <c r="CX229" i="11"/>
  <c r="BY229" i="11"/>
  <c r="BP229" i="11"/>
  <c r="BV229" i="11"/>
  <c r="AW229" i="11"/>
  <c r="CD229" i="11"/>
  <c r="BX229" i="11"/>
  <c r="CG229" i="11"/>
  <c r="CH229" i="11"/>
  <c r="AS229" i="11"/>
  <c r="K229" i="11"/>
  <c r="AO229" i="11"/>
  <c r="BM229" i="11"/>
  <c r="AF229" i="11"/>
  <c r="R229" i="11"/>
  <c r="CO229" i="11"/>
  <c r="BN229" i="11"/>
  <c r="BZ229" i="11"/>
  <c r="T229" i="11"/>
  <c r="I229" i="11"/>
  <c r="O229" i="11"/>
  <c r="S229" i="11"/>
  <c r="CP229" i="11"/>
  <c r="Y229" i="11"/>
  <c r="CL229" i="11"/>
  <c r="C4019" i="3"/>
  <c r="C4020" i="3" s="1"/>
  <c r="CF229" i="11"/>
  <c r="CE229" i="11"/>
  <c r="BI229" i="11"/>
  <c r="AI229" i="11"/>
  <c r="AA229" i="11"/>
  <c r="Z229" i="11"/>
  <c r="CM229" i="11"/>
  <c r="AP229" i="11"/>
  <c r="BH229" i="11"/>
  <c r="BO229" i="11"/>
  <c r="BW229" i="11"/>
  <c r="AR229" i="11"/>
  <c r="AG229" i="11"/>
  <c r="CN229" i="11"/>
  <c r="AH229" i="11"/>
  <c r="BF229" i="11"/>
  <c r="H229" i="11"/>
  <c r="BA229" i="11"/>
  <c r="BR229" i="11"/>
  <c r="AJ229" i="11"/>
  <c r="X229" i="11"/>
  <c r="BG229" i="11"/>
  <c r="Q229" i="11"/>
  <c r="BE229" i="11"/>
  <c r="G229" i="11"/>
  <c r="AX229" i="11"/>
  <c r="CQ229" i="11"/>
  <c r="AB229" i="11"/>
  <c r="AN229" i="11"/>
  <c r="AY229" i="11"/>
  <c r="J229" i="11"/>
  <c r="AQ229" i="11"/>
  <c r="P229" i="11"/>
  <c r="AZ229" i="11"/>
  <c r="DC229" i="11" l="1"/>
  <c r="C4021" i="3"/>
  <c r="C4022" i="3" s="1"/>
  <c r="C4023" i="3" s="1"/>
  <c r="AD229" i="11"/>
  <c r="AC229" i="11"/>
  <c r="CR229" i="11"/>
  <c r="CS229" i="11"/>
  <c r="V229" i="11"/>
  <c r="U229" i="11"/>
  <c r="M229" i="11"/>
  <c r="L229" i="11"/>
  <c r="AK229" i="11"/>
  <c r="AL229" i="11"/>
  <c r="CA229" i="11"/>
  <c r="CB229" i="11"/>
  <c r="AT229" i="11"/>
  <c r="AU229" i="11"/>
  <c r="CI229" i="11"/>
  <c r="CJ229" i="11"/>
  <c r="BT229" i="11"/>
  <c r="BS229" i="11"/>
  <c r="BB229" i="11"/>
  <c r="BC229" i="11"/>
  <c r="BK229" i="11"/>
  <c r="BJ229" i="11"/>
  <c r="C4024" i="3" l="1"/>
  <c r="C4025" i="3" s="1"/>
  <c r="C4026" i="3" l="1"/>
  <c r="C4027" i="3" l="1"/>
  <c r="CY325" i="11" s="1"/>
  <c r="CZ325" i="11" s="1"/>
  <c r="CX325" i="11" l="1"/>
  <c r="CW325" i="11"/>
  <c r="CV325" i="11"/>
  <c r="CU325" i="11"/>
  <c r="BO325" i="11"/>
  <c r="BV325" i="11"/>
  <c r="BY325" i="11"/>
  <c r="CE325" i="11"/>
  <c r="CH325" i="11"/>
  <c r="CN325" i="11"/>
  <c r="CQ325" i="11"/>
  <c r="J325" i="11"/>
  <c r="AF325" i="11"/>
  <c r="Z325" i="11"/>
  <c r="Q325" i="11"/>
  <c r="AI325" i="11"/>
  <c r="AN325" i="11"/>
  <c r="AP325" i="11"/>
  <c r="AW325" i="11"/>
  <c r="AY325" i="11"/>
  <c r="BG325" i="11"/>
  <c r="BI325" i="11"/>
  <c r="BP325" i="11"/>
  <c r="BW325" i="11"/>
  <c r="BZ325" i="11"/>
  <c r="CF325" i="11"/>
  <c r="CL325" i="11"/>
  <c r="CO325" i="11"/>
  <c r="H325" i="11"/>
  <c r="O325" i="11"/>
  <c r="AJ325" i="11"/>
  <c r="Y325" i="11"/>
  <c r="R325" i="11"/>
  <c r="AH325" i="11"/>
  <c r="AS325" i="11"/>
  <c r="AO325" i="11"/>
  <c r="BA325" i="11"/>
  <c r="AZ325" i="11"/>
  <c r="BH325" i="11"/>
  <c r="BN325" i="11"/>
  <c r="BQ325" i="11"/>
  <c r="BX325" i="11"/>
  <c r="CD325" i="11"/>
  <c r="CG325" i="11"/>
  <c r="CM325" i="11"/>
  <c r="CP325" i="11"/>
  <c r="I325" i="11"/>
  <c r="T325" i="11"/>
  <c r="AA325" i="11"/>
  <c r="P325" i="11"/>
  <c r="S325" i="11"/>
  <c r="AG325" i="11"/>
  <c r="AQ325" i="11"/>
  <c r="AR325" i="11"/>
  <c r="AX325" i="11"/>
  <c r="BF325" i="11"/>
  <c r="BE325" i="11"/>
  <c r="X325" i="11"/>
  <c r="AB325" i="11"/>
  <c r="G325" i="11"/>
  <c r="BM325" i="11"/>
  <c r="K325" i="11"/>
  <c r="BR325" i="11"/>
  <c r="C4035" i="3"/>
  <c r="C4036" i="3" s="1"/>
  <c r="C4037" i="3" s="1"/>
  <c r="C4038" i="3" s="1"/>
  <c r="C4039" i="3" s="1"/>
  <c r="C4028" i="3"/>
  <c r="C4029" i="3" s="1"/>
  <c r="C4030" i="3" s="1"/>
  <c r="C4040" i="3" l="1"/>
  <c r="CY281" i="11" s="1"/>
  <c r="CZ281" i="11" s="1"/>
  <c r="C4031" i="3"/>
  <c r="C4032" i="3" s="1"/>
  <c r="C4033" i="3" s="1"/>
  <c r="DC325" i="11"/>
  <c r="BF281" i="11"/>
  <c r="X281" i="11"/>
  <c r="BA281" i="11"/>
  <c r="AG281" i="11"/>
  <c r="K281" i="11"/>
  <c r="CP281" i="11"/>
  <c r="I281" i="11"/>
  <c r="CH281" i="11"/>
  <c r="CD281" i="11"/>
  <c r="BY281" i="11"/>
  <c r="BW281" i="11"/>
  <c r="CF281" i="11"/>
  <c r="AW281" i="11"/>
  <c r="AD325" i="11"/>
  <c r="AC325" i="11"/>
  <c r="CJ325" i="11"/>
  <c r="CI325" i="11"/>
  <c r="BS325" i="11"/>
  <c r="BT325" i="11"/>
  <c r="V325" i="11"/>
  <c r="U325" i="11"/>
  <c r="BC325" i="11"/>
  <c r="BB325" i="11"/>
  <c r="BJ325" i="11"/>
  <c r="BK325" i="11"/>
  <c r="L325" i="11"/>
  <c r="M325" i="11"/>
  <c r="AK325" i="11"/>
  <c r="AL325" i="11"/>
  <c r="CR325" i="11"/>
  <c r="CS325" i="11"/>
  <c r="AT325" i="11"/>
  <c r="AU325" i="11"/>
  <c r="CB325" i="11"/>
  <c r="CA325" i="11"/>
  <c r="C4046" i="3"/>
  <c r="BQ257" i="11"/>
  <c r="BQ271" i="11"/>
  <c r="BQ274" i="11"/>
  <c r="BQ275" i="11"/>
  <c r="BQ279" i="11"/>
  <c r="BQ280" i="11"/>
  <c r="BQ281" i="11"/>
  <c r="BQ282" i="11"/>
  <c r="BQ217" i="11"/>
  <c r="BQ218" i="11"/>
  <c r="BQ219" i="11"/>
  <c r="BQ220" i="11"/>
  <c r="BQ225" i="11"/>
  <c r="BQ226" i="11"/>
  <c r="BQ251" i="11"/>
  <c r="BQ252" i="11"/>
  <c r="BQ253" i="11"/>
  <c r="BQ254" i="11"/>
  <c r="BQ255" i="11"/>
  <c r="BV281" i="11" l="1"/>
  <c r="BZ281" i="11"/>
  <c r="CA281" i="11" s="1"/>
  <c r="T281" i="11"/>
  <c r="V281" i="11" s="1"/>
  <c r="P281" i="11"/>
  <c r="CM281" i="11"/>
  <c r="AA281" i="11"/>
  <c r="AO281" i="11"/>
  <c r="AJ281" i="11"/>
  <c r="AK281" i="11" s="1"/>
  <c r="G281" i="11"/>
  <c r="BG281" i="11"/>
  <c r="CQ281" i="11"/>
  <c r="CS281" i="11" s="1"/>
  <c r="AR281" i="11"/>
  <c r="AN281" i="11"/>
  <c r="AX281" i="11"/>
  <c r="AI281" i="11"/>
  <c r="H281" i="11"/>
  <c r="AQ281" i="11"/>
  <c r="J281" i="11"/>
  <c r="BM281" i="11"/>
  <c r="CG281" i="11"/>
  <c r="BX281" i="11"/>
  <c r="BI281" i="11"/>
  <c r="BJ281" i="11" s="1"/>
  <c r="Y281" i="11"/>
  <c r="O281" i="11"/>
  <c r="AS281" i="11"/>
  <c r="AT281" i="11" s="1"/>
  <c r="Z281" i="11"/>
  <c r="AF281" i="11"/>
  <c r="AP281" i="11"/>
  <c r="CO281" i="11"/>
  <c r="CE281" i="11"/>
  <c r="BR281" i="11"/>
  <c r="BS281" i="11" s="1"/>
  <c r="R281" i="11"/>
  <c r="AH281" i="11"/>
  <c r="AB281" i="11"/>
  <c r="AC281" i="11" s="1"/>
  <c r="S281" i="11"/>
  <c r="CN281" i="11"/>
  <c r="Q281" i="11"/>
  <c r="CL281" i="11"/>
  <c r="BN281" i="11"/>
  <c r="BH281" i="11"/>
  <c r="AY281" i="11"/>
  <c r="BE281" i="11"/>
  <c r="C4041" i="3"/>
  <c r="AZ281" i="11"/>
  <c r="CW281" i="11"/>
  <c r="CX281" i="11"/>
  <c r="CV281" i="11"/>
  <c r="CU281" i="11"/>
  <c r="AL281" i="11"/>
  <c r="CJ281" i="11"/>
  <c r="CI281" i="11"/>
  <c r="AU281" i="11"/>
  <c r="L281" i="11"/>
  <c r="M281" i="11"/>
  <c r="BB281" i="11"/>
  <c r="BC281" i="11"/>
  <c r="C4042" i="3"/>
  <c r="C4047" i="3"/>
  <c r="U281" i="11" l="1"/>
  <c r="CR281" i="11"/>
  <c r="CB281" i="11"/>
  <c r="BT281" i="11"/>
  <c r="DC281" i="11"/>
  <c r="BK281" i="11"/>
  <c r="AD281" i="11"/>
  <c r="C4043" i="3"/>
  <c r="C4044" i="3" s="1"/>
  <c r="C4045" i="3" s="1"/>
  <c r="C4048" i="3"/>
  <c r="C4049" i="3" l="1"/>
  <c r="C4050" i="3" s="1"/>
  <c r="C4051" i="3" l="1"/>
  <c r="C4052" i="3" l="1"/>
  <c r="C4053" i="3" s="1"/>
  <c r="C4054" i="3" s="1"/>
  <c r="C4055" i="3" l="1"/>
  <c r="C4056" i="3" l="1"/>
  <c r="C4057" i="3" s="1"/>
  <c r="C4059" i="3" l="1"/>
  <c r="C4060" i="3" s="1"/>
  <c r="C4061" i="3" s="1"/>
  <c r="C4062" i="3" s="1"/>
  <c r="C4063" i="3" l="1"/>
  <c r="C4064" i="3" l="1"/>
  <c r="C4065" i="3" l="1"/>
  <c r="BP275" i="11"/>
  <c r="BP279" i="11"/>
  <c r="BP280" i="11"/>
  <c r="BP281" i="11"/>
  <c r="BP282" i="11"/>
  <c r="BP290" i="11"/>
  <c r="BP291" i="11"/>
  <c r="BP292" i="11"/>
  <c r="BP295" i="11"/>
  <c r="BP297" i="11"/>
  <c r="BP264" i="11"/>
  <c r="BP265" i="11"/>
  <c r="BP267" i="11"/>
  <c r="BP269" i="11"/>
  <c r="BP271" i="11"/>
  <c r="BP274" i="11"/>
  <c r="C4066" i="3" l="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47" i="11"/>
  <c r="BO48" i="11"/>
  <c r="BO49" i="11"/>
  <c r="BO50" i="11"/>
  <c r="BO51" i="11"/>
  <c r="BO52" i="11"/>
  <c r="BO53" i="11"/>
  <c r="BO56" i="11"/>
  <c r="BO57" i="11"/>
  <c r="BO58" i="11"/>
  <c r="BO72" i="11"/>
  <c r="C4067" i="3" l="1"/>
  <c r="C4068" i="3" l="1"/>
  <c r="C4069" i="3" s="1"/>
  <c r="C4071" i="3" s="1"/>
  <c r="C4072" i="3" s="1"/>
  <c r="C4073" i="3" s="1"/>
  <c r="C4074" i="3" s="1"/>
  <c r="C4075" i="3" l="1"/>
  <c r="C4076" i="3" l="1"/>
  <c r="C4077" i="3" l="1"/>
  <c r="C4078" i="3" s="1"/>
  <c r="C4079" i="3" l="1"/>
  <c r="C4080" i="3" l="1"/>
  <c r="C4081" i="3" s="1"/>
  <c r="C4083" i="3" l="1"/>
  <c r="C4082" i="3"/>
  <c r="C4084" i="3" l="1"/>
  <c r="C4085" i="3" l="1"/>
  <c r="C4086" i="3" l="1"/>
  <c r="C4087" i="3" l="1"/>
  <c r="C4088" i="3" l="1"/>
  <c r="C4089" i="3" s="1"/>
  <c r="C4090" i="3" l="1"/>
  <c r="C4091" i="3" s="1"/>
  <c r="C4093" i="3" l="1"/>
  <c r="C4094" i="3" l="1"/>
  <c r="C4095" i="3" s="1"/>
  <c r="C4096" i="3" s="1"/>
  <c r="C4097" i="3" s="1"/>
  <c r="C4098" i="3" l="1"/>
  <c r="BO280" i="11"/>
  <c r="BO281" i="11"/>
  <c r="BO282" i="11"/>
  <c r="BO290" i="11"/>
  <c r="BO291" i="11"/>
  <c r="BO292" i="11"/>
  <c r="BO295" i="11"/>
  <c r="BO297" i="11"/>
  <c r="BO298" i="11"/>
  <c r="BO264" i="11"/>
  <c r="BO265" i="11"/>
  <c r="BO267" i="11"/>
  <c r="BO269" i="11"/>
  <c r="BO271" i="11"/>
  <c r="BO274" i="11"/>
  <c r="BO275" i="11"/>
  <c r="BO279" i="11"/>
  <c r="C4099" i="3" l="1"/>
  <c r="BO10" i="11"/>
  <c r="BN13" i="11"/>
  <c r="BN14" i="11"/>
  <c r="BO301" i="11"/>
  <c r="BO302" i="11"/>
  <c r="BO303" i="11"/>
  <c r="BO306" i="11"/>
  <c r="BO307" i="11"/>
  <c r="BO308" i="11"/>
  <c r="BO309" i="11"/>
  <c r="BO311" i="11"/>
  <c r="BO312" i="11"/>
  <c r="C4100" i="3" l="1"/>
  <c r="C4101" i="3" l="1"/>
  <c r="C4102" i="3" l="1"/>
  <c r="C4103" i="3" l="1"/>
  <c r="C4104" i="3" l="1"/>
  <c r="C4105" i="3" s="1"/>
  <c r="C4106" i="3" s="1"/>
  <c r="C4107" i="3" l="1"/>
  <c r="C4108" i="3" l="1"/>
  <c r="CW246" i="11" l="1"/>
  <c r="CU246" i="11"/>
  <c r="CX246" i="11"/>
  <c r="CV246" i="11"/>
  <c r="C4109" i="3"/>
  <c r="BF246" i="11"/>
  <c r="BP246" i="11"/>
  <c r="CP246" i="11"/>
  <c r="AB246" i="11"/>
  <c r="BR246" i="11"/>
  <c r="R246" i="11"/>
  <c r="BN246" i="11"/>
  <c r="AW246" i="11"/>
  <c r="BI246" i="11"/>
  <c r="AA246" i="11"/>
  <c r="BE246" i="11"/>
  <c r="BG246" i="11"/>
  <c r="X246" i="11"/>
  <c r="AF246" i="11"/>
  <c r="S246" i="11"/>
  <c r="AH246" i="11"/>
  <c r="AJ246" i="11"/>
  <c r="CE246" i="11"/>
  <c r="AZ246" i="11"/>
  <c r="AG246" i="11"/>
  <c r="BV246" i="11"/>
  <c r="AS246" i="11"/>
  <c r="CG246" i="11"/>
  <c r="O246" i="11"/>
  <c r="CN246" i="11"/>
  <c r="P246" i="11"/>
  <c r="BW246" i="11"/>
  <c r="CH246" i="11"/>
  <c r="BQ246" i="11"/>
  <c r="K246" i="11"/>
  <c r="G246" i="11"/>
  <c r="CM246" i="11"/>
  <c r="BH246" i="11"/>
  <c r="CQ246" i="11"/>
  <c r="H246" i="11"/>
  <c r="CD246" i="11"/>
  <c r="BO246" i="11"/>
  <c r="Y246" i="11"/>
  <c r="BM246" i="11"/>
  <c r="AQ246" i="11"/>
  <c r="CF246" i="11"/>
  <c r="CL246" i="11"/>
  <c r="AR246" i="11"/>
  <c r="BY246" i="11"/>
  <c r="Q246" i="11"/>
  <c r="BX246" i="11"/>
  <c r="BZ246" i="11"/>
  <c r="AP246" i="11"/>
  <c r="J246" i="11"/>
  <c r="BA246" i="11"/>
  <c r="AI246" i="11"/>
  <c r="CO246" i="11"/>
  <c r="AN246" i="11"/>
  <c r="AO246" i="11"/>
  <c r="I246" i="11"/>
  <c r="AY246" i="11"/>
  <c r="T246" i="11"/>
  <c r="Z246" i="11"/>
  <c r="AX246" i="11"/>
  <c r="DC246" i="11" l="1"/>
  <c r="U246" i="11"/>
  <c r="V246" i="11"/>
  <c r="M246" i="11"/>
  <c r="L246" i="11"/>
  <c r="BB246" i="11"/>
  <c r="BC246" i="11"/>
  <c r="AL246" i="11"/>
  <c r="AK246" i="11"/>
  <c r="C4110" i="3"/>
  <c r="CB246" i="11"/>
  <c r="CA246" i="11"/>
  <c r="CR246" i="11"/>
  <c r="CS246" i="11"/>
  <c r="CI246" i="11"/>
  <c r="CJ246" i="11"/>
  <c r="AU246" i="11"/>
  <c r="AT246" i="11"/>
  <c r="BS246" i="11"/>
  <c r="BT246" i="11"/>
  <c r="AD246" i="11"/>
  <c r="AC246" i="11"/>
  <c r="BJ246" i="11"/>
  <c r="BK246" i="11"/>
  <c r="C4111" i="3" l="1"/>
  <c r="C4112" i="3" l="1"/>
  <c r="C4113" i="3" l="1"/>
  <c r="C4114" i="3" l="1"/>
  <c r="C4115" i="3" l="1"/>
  <c r="C4116" i="3" l="1"/>
  <c r="C4117" i="3" l="1"/>
  <c r="C4118" i="3" l="1"/>
  <c r="C4119" i="3" s="1"/>
  <c r="C4120" i="3" l="1"/>
  <c r="C4121" i="3" l="1"/>
  <c r="C4122" i="3" s="1"/>
  <c r="C4123" i="3" l="1"/>
  <c r="C4124" i="3" s="1"/>
  <c r="C4125" i="3" s="1"/>
  <c r="C4126" i="3" l="1"/>
  <c r="C4127" i="3" l="1"/>
  <c r="C4129" i="3" l="1"/>
  <c r="C4130" i="3" l="1"/>
  <c r="C4131" i="3" s="1"/>
  <c r="C4132" i="3" s="1"/>
  <c r="C4133" i="3" l="1"/>
  <c r="C4134" i="3" l="1"/>
  <c r="C4135" i="3" l="1"/>
  <c r="C4136" i="3" l="1"/>
  <c r="C4137" i="3" l="1"/>
  <c r="C4138" i="3" s="1"/>
  <c r="C4139" i="3" l="1"/>
  <c r="C4140" i="3" s="1"/>
  <c r="C4141" i="3" s="1"/>
  <c r="C4142" i="3" l="1"/>
  <c r="C4143" i="3" s="1"/>
  <c r="C4144" i="3" l="1"/>
  <c r="C4145" i="3" s="1"/>
  <c r="C4146" i="3" s="1"/>
  <c r="C4147" i="3" l="1"/>
  <c r="C4149" i="3" l="1"/>
  <c r="C4150" i="3" l="1"/>
  <c r="C4151" i="3" s="1"/>
  <c r="C4152" i="3" s="1"/>
  <c r="C4153" i="3" l="1"/>
  <c r="C4154" i="3" l="1"/>
  <c r="C4155" i="3" s="1"/>
  <c r="C4156" i="3" l="1"/>
  <c r="C4157" i="3" s="1"/>
  <c r="C4158" i="3" l="1"/>
  <c r="C4159" i="3" s="1"/>
  <c r="C4160" i="3" s="1"/>
  <c r="C4161" i="3" l="1"/>
  <c r="C4162" i="3" s="1"/>
  <c r="C4163" i="3" s="1"/>
  <c r="C4165" i="3" s="1"/>
  <c r="AX136" i="11" l="1"/>
  <c r="AX148" i="11"/>
  <c r="AX160" i="11"/>
  <c r="AX163" i="11"/>
  <c r="AX166" i="11"/>
  <c r="AX172" i="11"/>
  <c r="AX178" i="11"/>
  <c r="C4166" i="3"/>
  <c r="C4167" i="3" s="1"/>
  <c r="BN291" i="11"/>
  <c r="BN292" i="11"/>
  <c r="BN295" i="11"/>
  <c r="BN297" i="11"/>
  <c r="BN298" i="11"/>
  <c r="BN301" i="11"/>
  <c r="BN302" i="11"/>
  <c r="BN303" i="11"/>
  <c r="BN306" i="11"/>
  <c r="BN307" i="11"/>
  <c r="BN308" i="11"/>
  <c r="BN309" i="11"/>
  <c r="C4168" i="3" l="1"/>
  <c r="C4169" i="3" l="1"/>
  <c r="CY131" i="11" s="1"/>
  <c r="CZ131" i="11" s="1"/>
  <c r="BX131" i="11"/>
  <c r="S131" i="11"/>
  <c r="Q131" i="11"/>
  <c r="CO131" i="11"/>
  <c r="CF131" i="11"/>
  <c r="BY131" i="11"/>
  <c r="BO131" i="11"/>
  <c r="BZ131" i="11"/>
  <c r="CA131" i="11" s="1"/>
  <c r="AI131" i="11"/>
  <c r="O131" i="11"/>
  <c r="BE131" i="11"/>
  <c r="BG131" i="11"/>
  <c r="P131" i="11"/>
  <c r="BH131" i="11"/>
  <c r="BW131" i="11"/>
  <c r="BR131" i="11"/>
  <c r="BS131" i="11" s="1"/>
  <c r="BI131" i="11"/>
  <c r="BJ131" i="11" s="1"/>
  <c r="AP131" i="11"/>
  <c r="AO131" i="11"/>
  <c r="H131" i="11"/>
  <c r="K131" i="11"/>
  <c r="AN131" i="11"/>
  <c r="AX131" i="11"/>
  <c r="CE131" i="11"/>
  <c r="AW131" i="11"/>
  <c r="BN131" i="11"/>
  <c r="BP131" i="11"/>
  <c r="CH131" i="11"/>
  <c r="CI131" i="11" s="1"/>
  <c r="T131" i="11"/>
  <c r="U131" i="11" s="1"/>
  <c r="AG131" i="11"/>
  <c r="BF131" i="11"/>
  <c r="AB131" i="11"/>
  <c r="AC131" i="11" s="1"/>
  <c r="G131" i="11"/>
  <c r="X131" i="11"/>
  <c r="CL131" i="11"/>
  <c r="Z131" i="11"/>
  <c r="J131" i="11"/>
  <c r="AQ131" i="11"/>
  <c r="CP131" i="11"/>
  <c r="BA131" i="11"/>
  <c r="BB131" i="11" s="1"/>
  <c r="AH131" i="11"/>
  <c r="AJ131" i="11"/>
  <c r="AL131" i="11" s="1"/>
  <c r="I131" i="11"/>
  <c r="CN131" i="11"/>
  <c r="R131" i="11"/>
  <c r="AF131" i="11"/>
  <c r="CM131" i="11"/>
  <c r="AZ131" i="11"/>
  <c r="C4170" i="3"/>
  <c r="CQ131" i="11" l="1"/>
  <c r="CR131" i="11" s="1"/>
  <c r="AA131" i="11"/>
  <c r="BM131" i="11"/>
  <c r="Y131" i="11"/>
  <c r="CG131" i="11"/>
  <c r="AS131" i="11"/>
  <c r="AU131" i="11" s="1"/>
  <c r="CD131" i="11"/>
  <c r="BQ131" i="11"/>
  <c r="BV131" i="11"/>
  <c r="AR131" i="11"/>
  <c r="AY131" i="11"/>
  <c r="CX131" i="11"/>
  <c r="CW131" i="11"/>
  <c r="CV131" i="11"/>
  <c r="CU131" i="11"/>
  <c r="M131" i="11"/>
  <c r="AD131" i="11"/>
  <c r="L131" i="11"/>
  <c r="CB131" i="11"/>
  <c r="V131" i="11"/>
  <c r="BK131" i="11"/>
  <c r="CJ131" i="11"/>
  <c r="BT131" i="11"/>
  <c r="BC131" i="11"/>
  <c r="AK131" i="11"/>
  <c r="C4171" i="3"/>
  <c r="C4172" i="3" s="1"/>
  <c r="CS131" i="11" l="1"/>
  <c r="AT131" i="11"/>
  <c r="DC131" i="11"/>
  <c r="C4173" i="3"/>
  <c r="C4175" i="3" l="1"/>
  <c r="C4176" i="3" s="1"/>
  <c r="C4174" i="3"/>
  <c r="C4177" i="3" l="1"/>
  <c r="C4178" i="3" l="1"/>
  <c r="C4179" i="3" l="1"/>
  <c r="C4180" i="3" s="1"/>
  <c r="C4182" i="3" l="1"/>
  <c r="C4183" i="3" s="1"/>
  <c r="C4184" i="3" s="1"/>
  <c r="C4185" i="3" s="1"/>
  <c r="C4186" i="3" l="1"/>
  <c r="C4187" i="3" s="1"/>
  <c r="C4188" i="3" l="1"/>
  <c r="C4189" i="3" s="1"/>
  <c r="C4190" i="3" l="1"/>
  <c r="C4191" i="3" l="1"/>
  <c r="C4192" i="3" l="1"/>
  <c r="C4193" i="3" s="1"/>
  <c r="C4194" i="3" s="1"/>
  <c r="C4195" i="3" l="1"/>
  <c r="C4196" i="3" s="1"/>
  <c r="C4197" i="3" s="1"/>
  <c r="C4198" i="3" s="1"/>
  <c r="C4199" i="3" s="1"/>
  <c r="C4200" i="3" s="1"/>
  <c r="CY314" i="11" s="1"/>
  <c r="CZ314" i="11" s="1"/>
  <c r="CW314" i="11" l="1"/>
  <c r="CX314" i="11"/>
  <c r="CV314" i="11"/>
  <c r="CU314" i="11"/>
  <c r="C4201" i="3"/>
  <c r="J314" i="11"/>
  <c r="BI314" i="11"/>
  <c r="AS314" i="11"/>
  <c r="I314" i="11"/>
  <c r="P314" i="11"/>
  <c r="BR314" i="11"/>
  <c r="CQ314" i="11"/>
  <c r="H314" i="11"/>
  <c r="O314" i="11"/>
  <c r="CH314" i="11"/>
  <c r="BZ314" i="11"/>
  <c r="CM314" i="11"/>
  <c r="CO314" i="11"/>
  <c r="T314" i="11"/>
  <c r="BH314" i="11"/>
  <c r="BF314" i="11"/>
  <c r="AZ314" i="11"/>
  <c r="AX314" i="11"/>
  <c r="BA314" i="11"/>
  <c r="AB314" i="11"/>
  <c r="BQ314" i="11"/>
  <c r="BO314" i="11"/>
  <c r="BM314" i="11"/>
  <c r="CF314" i="11"/>
  <c r="CD314" i="11"/>
  <c r="BX314" i="11"/>
  <c r="AA314" i="11"/>
  <c r="K314" i="11"/>
  <c r="BN314" i="11"/>
  <c r="BY314" i="11"/>
  <c r="X314" i="11"/>
  <c r="CN314" i="11"/>
  <c r="CP314" i="11"/>
  <c r="BG314" i="11"/>
  <c r="CL314" i="11"/>
  <c r="BV314" i="11"/>
  <c r="CG314" i="11"/>
  <c r="BW314" i="11"/>
  <c r="BP314" i="11"/>
  <c r="AF314" i="11"/>
  <c r="G314" i="11"/>
  <c r="AW314" i="11"/>
  <c r="AH314" i="11"/>
  <c r="AI314" i="11"/>
  <c r="BE314" i="11"/>
  <c r="AY314" i="11"/>
  <c r="AJ314" i="11"/>
  <c r="CE314" i="11"/>
  <c r="AG314" i="11"/>
  <c r="AO314" i="11"/>
  <c r="AQ314" i="11"/>
  <c r="Q314" i="11"/>
  <c r="AN314" i="11"/>
  <c r="AP314" i="11"/>
  <c r="AR314" i="11"/>
  <c r="Z314" i="11"/>
  <c r="R314" i="11"/>
  <c r="Y314" i="11"/>
  <c r="S314" i="11"/>
  <c r="DC314" i="11" l="1"/>
  <c r="C4202" i="3"/>
  <c r="AK314" i="11"/>
  <c r="AL314" i="11"/>
  <c r="CA314" i="11"/>
  <c r="CB314" i="11"/>
  <c r="L314" i="11"/>
  <c r="M314" i="11"/>
  <c r="CI314" i="11"/>
  <c r="CJ314" i="11"/>
  <c r="AT314" i="11"/>
  <c r="AU314" i="11"/>
  <c r="AD314" i="11"/>
  <c r="AC314" i="11"/>
  <c r="U314" i="11"/>
  <c r="V314" i="11"/>
  <c r="BJ314" i="11"/>
  <c r="BK314" i="11"/>
  <c r="BB314" i="11"/>
  <c r="BC314" i="11"/>
  <c r="CR314" i="11"/>
  <c r="CS314" i="11"/>
  <c r="BS314" i="11"/>
  <c r="BT314" i="11"/>
  <c r="C4204" i="3" l="1"/>
  <c r="C4205" i="3" s="1"/>
  <c r="C4206" i="3" s="1"/>
  <c r="C4203" i="3"/>
  <c r="C4207" i="3" l="1"/>
  <c r="C4208" i="3" s="1"/>
  <c r="CY334" i="11" s="1"/>
  <c r="CZ334" i="11" s="1"/>
  <c r="CX334" i="11" l="1"/>
  <c r="CW334" i="11"/>
  <c r="CV334" i="11"/>
  <c r="CU334" i="11"/>
  <c r="BV334" i="11"/>
  <c r="BG334" i="11"/>
  <c r="J334" i="11"/>
  <c r="AA334" i="11"/>
  <c r="P334" i="11"/>
  <c r="AG334" i="11"/>
  <c r="AP334" i="11"/>
  <c r="AH334" i="11"/>
  <c r="AQ334" i="11"/>
  <c r="CP334" i="11"/>
  <c r="CM334" i="11"/>
  <c r="X334" i="11"/>
  <c r="I334" i="11"/>
  <c r="AF334" i="11"/>
  <c r="Y334" i="11"/>
  <c r="AN334" i="11"/>
  <c r="AO334" i="11"/>
  <c r="AX334" i="11"/>
  <c r="CE334" i="11"/>
  <c r="BY334" i="11"/>
  <c r="BF334" i="11"/>
  <c r="CD334" i="11"/>
  <c r="BX334" i="11"/>
  <c r="H334" i="11"/>
  <c r="O334" i="11"/>
  <c r="Z334" i="11"/>
  <c r="Q334" i="11"/>
  <c r="AW334" i="11"/>
  <c r="AZ334" i="11"/>
  <c r="CN334" i="11"/>
  <c r="S334" i="11"/>
  <c r="AR334" i="11"/>
  <c r="AY334" i="11"/>
  <c r="CL334" i="11"/>
  <c r="AI334" i="11"/>
  <c r="CO334" i="11"/>
  <c r="CF334" i="11"/>
  <c r="BW334" i="11"/>
  <c r="BH334" i="11"/>
  <c r="R334" i="11"/>
  <c r="BE334" i="11"/>
  <c r="CG334" i="11"/>
  <c r="CQ334" i="11"/>
  <c r="G334" i="11"/>
  <c r="C4209" i="3"/>
  <c r="BZ334" i="11"/>
  <c r="BI334" i="11"/>
  <c r="CH334" i="11"/>
  <c r="AS334" i="11"/>
  <c r="BR334" i="11"/>
  <c r="AT334" i="11" l="1"/>
  <c r="AU334" i="11"/>
  <c r="CJ334" i="11"/>
  <c r="CI334" i="11"/>
  <c r="CA334" i="11"/>
  <c r="CB334" i="11"/>
  <c r="BJ334" i="11"/>
  <c r="BK334" i="11"/>
  <c r="CS334" i="11"/>
  <c r="CR334" i="11"/>
  <c r="BT334" i="11"/>
  <c r="BS334" i="11"/>
  <c r="C4210" i="3"/>
  <c r="C4211" i="3" s="1"/>
  <c r="C4212" i="3" l="1"/>
  <c r="C4214" i="3"/>
  <c r="BM306" i="11" l="1"/>
  <c r="BM307" i="11"/>
  <c r="BM308" i="11"/>
  <c r="BM309" i="11"/>
  <c r="BM311" i="11"/>
  <c r="BM312" i="11"/>
  <c r="BM10" i="11"/>
  <c r="AZ56" i="11"/>
  <c r="C4215" i="3"/>
  <c r="C4216" i="3" s="1"/>
  <c r="C4217" i="3" s="1"/>
  <c r="K334" i="11"/>
  <c r="BQ334" i="11"/>
  <c r="BP334" i="11"/>
  <c r="BO334" i="11"/>
  <c r="BN334" i="11"/>
  <c r="BM334" i="11"/>
  <c r="BA334" i="11"/>
  <c r="AJ334" i="11"/>
  <c r="AB334" i="11"/>
  <c r="T334" i="11"/>
  <c r="BM302" i="11"/>
  <c r="BM303" i="11"/>
  <c r="DC334" i="11" l="1"/>
  <c r="C4218" i="3"/>
  <c r="C4219" i="3" s="1"/>
  <c r="AY93" i="11"/>
  <c r="AY91" i="11"/>
  <c r="AY84" i="11"/>
  <c r="AY82" i="11"/>
  <c r="AY75" i="11"/>
  <c r="AY73" i="11"/>
  <c r="AY66" i="11"/>
  <c r="AY64" i="11"/>
  <c r="AY57" i="11"/>
  <c r="AY257" i="11"/>
  <c r="AY241" i="11"/>
  <c r="AY199" i="11"/>
  <c r="AY172" i="11"/>
  <c r="AY163" i="11"/>
  <c r="AY136" i="11"/>
  <c r="AZ83" i="11"/>
  <c r="AZ84" i="11"/>
  <c r="AZ85" i="11"/>
  <c r="AZ86" i="11"/>
  <c r="AZ87" i="11"/>
  <c r="AZ88" i="11"/>
  <c r="AZ89" i="11"/>
  <c r="AZ91" i="11"/>
  <c r="AZ92" i="11"/>
  <c r="AZ93" i="11"/>
  <c r="AZ94" i="11"/>
  <c r="AZ96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AZ82" i="11"/>
  <c r="V334" i="11"/>
  <c r="U334" i="11"/>
  <c r="AC334" i="11"/>
  <c r="AD334" i="11"/>
  <c r="AK334" i="11"/>
  <c r="AL334" i="11"/>
  <c r="BC334" i="11"/>
  <c r="BB334" i="11"/>
  <c r="L334" i="11"/>
  <c r="M334" i="11"/>
  <c r="C4220" i="3" l="1"/>
  <c r="C4221" i="3" s="1"/>
  <c r="C4242" i="3"/>
  <c r="C4243" i="3" s="1"/>
  <c r="C4244" i="3" s="1"/>
  <c r="C4245" i="3" s="1"/>
  <c r="C4246" i="3" s="1"/>
  <c r="C4247" i="3" s="1"/>
  <c r="C4248" i="3" s="1"/>
  <c r="C4249" i="3" s="1"/>
  <c r="AY247" i="11"/>
  <c r="AY218" i="11"/>
  <c r="AY187" i="11"/>
  <c r="AY180" i="11"/>
  <c r="AY144" i="11"/>
  <c r="AY81" i="11"/>
  <c r="AY72" i="11"/>
  <c r="AY70" i="11"/>
  <c r="AY61" i="11"/>
  <c r="AY44" i="11"/>
  <c r="AY47" i="11"/>
  <c r="AY50" i="11"/>
  <c r="AY215" i="11"/>
  <c r="AY148" i="11"/>
  <c r="AY96" i="11"/>
  <c r="AY94" i="11"/>
  <c r="AY69" i="11"/>
  <c r="AY67" i="11"/>
  <c r="AY301" i="11"/>
  <c r="AY292" i="11"/>
  <c r="AY274" i="11"/>
  <c r="AY265" i="11"/>
  <c r="CY113" i="11" l="1"/>
  <c r="CZ113" i="11" s="1"/>
  <c r="C4222" i="3"/>
  <c r="C4223" i="3" s="1"/>
  <c r="O113" i="11"/>
  <c r="R113" i="11"/>
  <c r="CM113" i="11"/>
  <c r="X113" i="11"/>
  <c r="CO113" i="11"/>
  <c r="S113" i="11"/>
  <c r="BZ113" i="11"/>
  <c r="CQ113" i="11"/>
  <c r="BR113" i="11"/>
  <c r="BM113" i="11"/>
  <c r="CE113" i="11"/>
  <c r="AH113" i="11"/>
  <c r="BN113" i="11"/>
  <c r="BV113" i="11"/>
  <c r="CF113" i="11"/>
  <c r="BP113" i="11"/>
  <c r="BY113" i="11"/>
  <c r="CG113" i="11"/>
  <c r="AW113" i="11"/>
  <c r="AY113" i="11"/>
  <c r="AZ113" i="11"/>
  <c r="BX113" i="11"/>
  <c r="CD113" i="11"/>
  <c r="BW113" i="11"/>
  <c r="BQ113" i="11"/>
  <c r="C4251" i="3"/>
  <c r="CU113" i="11" l="1"/>
  <c r="CV113" i="11"/>
  <c r="CW113" i="11"/>
  <c r="CX113" i="11"/>
  <c r="BO113" i="11"/>
  <c r="BI113" i="11"/>
  <c r="BK113" i="11" s="1"/>
  <c r="AF113" i="11"/>
  <c r="CL113" i="11"/>
  <c r="AS113" i="11"/>
  <c r="AT113" i="11" s="1"/>
  <c r="J113" i="11"/>
  <c r="AJ113" i="11"/>
  <c r="AL113" i="11" s="1"/>
  <c r="AI113" i="11"/>
  <c r="AN113" i="11"/>
  <c r="Y113" i="11"/>
  <c r="BF113" i="11"/>
  <c r="I113" i="11"/>
  <c r="AO113" i="11"/>
  <c r="T113" i="11"/>
  <c r="U113" i="11" s="1"/>
  <c r="Z113" i="11"/>
  <c r="CN113" i="11"/>
  <c r="K113" i="11"/>
  <c r="H113" i="11"/>
  <c r="BG113" i="11"/>
  <c r="AA113" i="11"/>
  <c r="Q113" i="11"/>
  <c r="AB113" i="11"/>
  <c r="AC113" i="11" s="1"/>
  <c r="AR113" i="11"/>
  <c r="BE113" i="11"/>
  <c r="CH113" i="11"/>
  <c r="CJ113" i="11" s="1"/>
  <c r="AG113" i="11"/>
  <c r="P113" i="11"/>
  <c r="G113" i="11"/>
  <c r="CP113" i="11"/>
  <c r="AP113" i="11"/>
  <c r="BA113" i="11"/>
  <c r="BC113" i="11" s="1"/>
  <c r="AQ113" i="11"/>
  <c r="BH113" i="11"/>
  <c r="BT113" i="11"/>
  <c r="BS113" i="11"/>
  <c r="CR113" i="11"/>
  <c r="CS113" i="11"/>
  <c r="CA113" i="11"/>
  <c r="CB113" i="11"/>
  <c r="C4224" i="3"/>
  <c r="C4225" i="3" s="1"/>
  <c r="AX113" i="11"/>
  <c r="AX86" i="11"/>
  <c r="AX45" i="11"/>
  <c r="AX48" i="11"/>
  <c r="AX51" i="11"/>
  <c r="AX57" i="11"/>
  <c r="AX60" i="11"/>
  <c r="AX63" i="11"/>
  <c r="AX66" i="11"/>
  <c r="AX69" i="11"/>
  <c r="AX72" i="11"/>
  <c r="AX75" i="11"/>
  <c r="AX101" i="11"/>
  <c r="AX92" i="11"/>
  <c r="AX83" i="11"/>
  <c r="AX74" i="11"/>
  <c r="AX65" i="11"/>
  <c r="AX56" i="11"/>
  <c r="AX311" i="11"/>
  <c r="AX279" i="11"/>
  <c r="AX261" i="11"/>
  <c r="AX140" i="11"/>
  <c r="AX225" i="11"/>
  <c r="AX77" i="11"/>
  <c r="AX59" i="11"/>
  <c r="AX303" i="11"/>
  <c r="AX267" i="11"/>
  <c r="AX258" i="11"/>
  <c r="AX240" i="11"/>
  <c r="AX137" i="11"/>
  <c r="AX128" i="11"/>
  <c r="C4252" i="3"/>
  <c r="C4253" i="3" s="1"/>
  <c r="C4255" i="3" s="1"/>
  <c r="AY48" i="11"/>
  <c r="AX50" i="11"/>
  <c r="AX47" i="11"/>
  <c r="AX297" i="11"/>
  <c r="AX158" i="11"/>
  <c r="AX68" i="11"/>
  <c r="AX306" i="11"/>
  <c r="AX252" i="11"/>
  <c r="M113" i="11" l="1"/>
  <c r="DC113" i="11"/>
  <c r="BJ113" i="11"/>
  <c r="L113" i="11"/>
  <c r="AU113" i="11"/>
  <c r="AD113" i="11"/>
  <c r="CI113" i="11"/>
  <c r="V113" i="11"/>
  <c r="AK113" i="11"/>
  <c r="BB113" i="11"/>
  <c r="C4256" i="3"/>
  <c r="C4226" i="3"/>
  <c r="C4257" i="3" l="1"/>
  <c r="C4258" i="3" s="1"/>
  <c r="C4259" i="3" s="1"/>
  <c r="C4260" i="3" s="1"/>
  <c r="C4261" i="3" s="1"/>
  <c r="C4262" i="3" s="1"/>
  <c r="C4227" i="3"/>
  <c r="C4263" i="3" l="1"/>
  <c r="C4228" i="3"/>
  <c r="C4264" i="3" l="1"/>
  <c r="C4229" i="3"/>
  <c r="C4230" i="3" s="1"/>
  <c r="C4265" i="3" l="1"/>
  <c r="AX269" i="11"/>
  <c r="AX275" i="11"/>
  <c r="AX290" i="11"/>
  <c r="AX302" i="11"/>
  <c r="AX308" i="11"/>
  <c r="AX312" i="11"/>
  <c r="AX309" i="11"/>
  <c r="AX291" i="11"/>
  <c r="AX282" i="11"/>
  <c r="AX187" i="11"/>
  <c r="AX199" i="11"/>
  <c r="AX215" i="11"/>
  <c r="AX218" i="11"/>
  <c r="AX251" i="11"/>
  <c r="AX254" i="11"/>
  <c r="AX257" i="11"/>
  <c r="AX260" i="11"/>
  <c r="C4231" i="3"/>
  <c r="CX170" i="11" l="1"/>
  <c r="CW170" i="11"/>
  <c r="CV170" i="11"/>
  <c r="CU170" i="11"/>
  <c r="C4266" i="3"/>
  <c r="C4232" i="3"/>
  <c r="C4233" i="3" s="1"/>
  <c r="AF170" i="11"/>
  <c r="G170" i="11"/>
  <c r="AO170" i="11"/>
  <c r="AG170" i="11"/>
  <c r="AA170" i="11"/>
  <c r="AI170" i="11"/>
  <c r="K170" i="11"/>
  <c r="T170" i="11"/>
  <c r="AJ170" i="11"/>
  <c r="J170" i="11"/>
  <c r="P170" i="11"/>
  <c r="Q170" i="11"/>
  <c r="X170" i="11"/>
  <c r="R170" i="11"/>
  <c r="AH170" i="11"/>
  <c r="AB170" i="11"/>
  <c r="O170" i="11"/>
  <c r="AN170" i="11"/>
  <c r="H170" i="11"/>
  <c r="I170" i="11"/>
  <c r="AQ170" i="11"/>
  <c r="S170" i="11"/>
  <c r="AS170" i="11"/>
  <c r="AP170" i="11"/>
  <c r="BH170" i="11"/>
  <c r="CH170" i="11"/>
  <c r="BI170" i="11"/>
  <c r="CQ170" i="11"/>
  <c r="BZ170" i="11"/>
  <c r="BR170" i="11"/>
  <c r="AR170" i="11"/>
  <c r="BG170" i="11"/>
  <c r="AY170" i="11"/>
  <c r="BO170" i="11"/>
  <c r="BQ170" i="11"/>
  <c r="BW170" i="11"/>
  <c r="AW170" i="11"/>
  <c r="CO170" i="11"/>
  <c r="BE170" i="11"/>
  <c r="AX170" i="11"/>
  <c r="BM170" i="11"/>
  <c r="BA170" i="11"/>
  <c r="BN170" i="11"/>
  <c r="BY170" i="11"/>
  <c r="CE170" i="11"/>
  <c r="Z170" i="11"/>
  <c r="Y170" i="11"/>
  <c r="CP170" i="11"/>
  <c r="CN170" i="11"/>
  <c r="CM170" i="11"/>
  <c r="BF170" i="11"/>
  <c r="AZ170" i="11"/>
  <c r="BP170" i="11"/>
  <c r="BX170" i="11"/>
  <c r="CG170" i="11"/>
  <c r="CF170" i="11"/>
  <c r="CD170" i="11"/>
  <c r="BV170" i="11"/>
  <c r="C4267" i="3"/>
  <c r="BG128" i="11"/>
  <c r="BG136" i="11"/>
  <c r="BG137" i="11"/>
  <c r="BG140" i="11"/>
  <c r="BG144" i="11"/>
  <c r="BG148" i="11"/>
  <c r="BG158" i="11"/>
  <c r="BG160" i="11"/>
  <c r="C4294" i="3"/>
  <c r="BA35" i="11"/>
  <c r="DC35" i="11" s="1"/>
  <c r="BA36" i="11"/>
  <c r="BA37" i="11"/>
  <c r="BA38" i="11"/>
  <c r="BA39" i="11"/>
  <c r="DC39" i="11" s="1"/>
  <c r="BA40" i="11"/>
  <c r="DC40" i="11" s="1"/>
  <c r="BA41" i="11"/>
  <c r="BA42" i="11"/>
  <c r="BA43" i="11"/>
  <c r="DC43" i="11" s="1"/>
  <c r="C4234" i="3"/>
  <c r="DC170" i="11" l="1"/>
  <c r="CB170" i="11"/>
  <c r="CA170" i="11"/>
  <c r="AC170" i="11"/>
  <c r="AD170" i="11"/>
  <c r="U170" i="11"/>
  <c r="V170" i="11"/>
  <c r="CS170" i="11"/>
  <c r="CR170" i="11"/>
  <c r="BB170" i="11"/>
  <c r="BC170" i="11"/>
  <c r="BJ170" i="11"/>
  <c r="BK170" i="11"/>
  <c r="AT170" i="11"/>
  <c r="AU170" i="11"/>
  <c r="L170" i="11"/>
  <c r="M170" i="11"/>
  <c r="CI170" i="11"/>
  <c r="CJ170" i="11"/>
  <c r="BS170" i="11"/>
  <c r="BT170" i="11"/>
  <c r="AL170" i="11"/>
  <c r="AK170" i="11"/>
  <c r="C4268" i="3"/>
  <c r="C4269" i="3" s="1"/>
  <c r="C4270" i="3" s="1"/>
  <c r="C4271" i="3" s="1"/>
  <c r="C4295" i="3"/>
  <c r="C4296" i="3" s="1"/>
  <c r="BA298" i="11"/>
  <c r="BA301" i="11"/>
  <c r="BA302" i="11"/>
  <c r="BA303" i="11"/>
  <c r="BA306" i="11"/>
  <c r="BA307" i="11"/>
  <c r="BA308" i="11"/>
  <c r="BA309" i="11"/>
  <c r="BA311" i="11"/>
  <c r="BA312" i="11"/>
  <c r="BA274" i="11"/>
  <c r="BA275" i="11"/>
  <c r="BA279" i="11"/>
  <c r="DC279" i="11" s="1"/>
  <c r="BA280" i="11"/>
  <c r="BA282" i="11"/>
  <c r="BA290" i="11"/>
  <c r="BA291" i="11"/>
  <c r="BA292" i="11"/>
  <c r="BA295" i="11"/>
  <c r="BA297" i="11"/>
  <c r="BA260" i="11"/>
  <c r="BA261" i="11"/>
  <c r="BA264" i="11"/>
  <c r="BA265" i="11"/>
  <c r="BA267" i="11"/>
  <c r="BA269" i="11"/>
  <c r="BA271" i="11"/>
  <c r="BA247" i="11"/>
  <c r="DC247" i="11" s="1"/>
  <c r="BA251" i="11"/>
  <c r="BA252" i="11"/>
  <c r="BA253" i="11"/>
  <c r="BA254" i="11"/>
  <c r="DC254" i="11" s="1"/>
  <c r="BA255" i="11"/>
  <c r="DC255" i="11" s="1"/>
  <c r="BA257" i="11"/>
  <c r="BA258" i="11"/>
  <c r="BA259" i="11"/>
  <c r="BC40" i="11"/>
  <c r="BB40" i="11"/>
  <c r="BC42" i="11"/>
  <c r="BB42" i="11"/>
  <c r="BC39" i="11"/>
  <c r="BB39" i="11"/>
  <c r="BC38" i="11"/>
  <c r="BB38" i="11"/>
  <c r="BC43" i="11"/>
  <c r="BB43" i="11"/>
  <c r="BC37" i="11"/>
  <c r="BB37" i="11"/>
  <c r="BC36" i="11"/>
  <c r="BB36" i="11"/>
  <c r="BC41" i="11"/>
  <c r="BB41" i="11"/>
  <c r="BC35" i="11"/>
  <c r="BB35" i="11"/>
  <c r="C4235" i="3"/>
  <c r="C4272" i="3" l="1"/>
  <c r="C4273" i="3" s="1"/>
  <c r="C4275" i="3" s="1"/>
  <c r="BE247" i="11"/>
  <c r="BE251" i="11"/>
  <c r="BE252" i="11"/>
  <c r="BE253" i="11"/>
  <c r="BE254" i="11"/>
  <c r="BE255" i="11"/>
  <c r="BE257" i="11"/>
  <c r="C4297" i="3"/>
  <c r="BE199" i="11"/>
  <c r="BE215" i="11"/>
  <c r="BE217" i="11"/>
  <c r="BE218" i="11"/>
  <c r="BE219" i="11"/>
  <c r="BE220" i="11"/>
  <c r="BE225" i="11"/>
  <c r="BE226" i="11"/>
  <c r="BE240" i="11"/>
  <c r="BE241" i="11"/>
  <c r="BB292" i="11"/>
  <c r="BC292" i="11"/>
  <c r="BC282" i="11"/>
  <c r="BB282" i="11"/>
  <c r="BB306" i="11"/>
  <c r="BC306" i="11"/>
  <c r="BC291" i="11"/>
  <c r="BB291" i="11"/>
  <c r="BC280" i="11"/>
  <c r="BB280" i="11"/>
  <c r="BB312" i="11"/>
  <c r="BC312" i="11"/>
  <c r="BB303" i="11"/>
  <c r="BC303" i="11"/>
  <c r="BB290" i="11"/>
  <c r="BC290" i="11"/>
  <c r="BB279" i="11"/>
  <c r="BC279" i="11"/>
  <c r="BC311" i="11"/>
  <c r="BB311" i="11"/>
  <c r="BC302" i="11"/>
  <c r="BB302" i="11"/>
  <c r="BB275" i="11"/>
  <c r="BC275" i="11"/>
  <c r="BC309" i="11"/>
  <c r="BB309" i="11"/>
  <c r="BB301" i="11"/>
  <c r="BC301" i="11"/>
  <c r="BB297" i="11"/>
  <c r="BC297" i="11"/>
  <c r="BB274" i="11"/>
  <c r="BC274" i="11"/>
  <c r="BB308" i="11"/>
  <c r="BC308" i="11"/>
  <c r="BB295" i="11"/>
  <c r="BC295" i="11"/>
  <c r="BC307" i="11"/>
  <c r="BB307" i="11"/>
  <c r="BC298" i="11"/>
  <c r="BB298" i="11"/>
  <c r="BB255" i="11"/>
  <c r="BC255" i="11"/>
  <c r="BC271" i="11"/>
  <c r="BB271" i="11"/>
  <c r="BC265" i="11"/>
  <c r="BB265" i="11"/>
  <c r="BB254" i="11"/>
  <c r="BC254" i="11"/>
  <c r="BB264" i="11"/>
  <c r="BC264" i="11"/>
  <c r="BB253" i="11"/>
  <c r="BC253" i="11"/>
  <c r="BB247" i="11"/>
  <c r="BC247" i="11"/>
  <c r="BB269" i="11"/>
  <c r="BC269" i="11"/>
  <c r="BB259" i="11"/>
  <c r="BC259" i="11"/>
  <c r="BC252" i="11"/>
  <c r="BB252" i="11"/>
  <c r="BB258" i="11"/>
  <c r="BC258" i="11"/>
  <c r="BB251" i="11"/>
  <c r="BC251" i="11"/>
  <c r="BB267" i="11"/>
  <c r="BC267" i="11"/>
  <c r="BC261" i="11"/>
  <c r="BB261" i="11"/>
  <c r="BB257" i="11"/>
  <c r="BC257" i="11"/>
  <c r="BB260" i="11"/>
  <c r="BC260" i="11"/>
  <c r="C4236" i="3"/>
  <c r="C4298" i="3" l="1"/>
  <c r="C4299" i="3" s="1"/>
  <c r="C4276" i="3"/>
  <c r="C4277" i="3" s="1"/>
  <c r="C4278" i="3" s="1"/>
  <c r="C4237" i="3"/>
  <c r="C4300" i="3" l="1"/>
  <c r="C4279" i="3"/>
  <c r="C4238" i="3"/>
  <c r="C4239" i="3" s="1"/>
  <c r="C4240" i="3" s="1"/>
  <c r="C4301" i="3" l="1"/>
  <c r="C4302" i="3" s="1"/>
  <c r="C4280" i="3"/>
  <c r="BH247" i="11"/>
  <c r="BH251" i="11"/>
  <c r="BH252" i="11"/>
  <c r="BH253" i="11"/>
  <c r="BH254" i="11"/>
  <c r="BH255" i="11"/>
  <c r="BH257" i="11"/>
  <c r="BH199" i="11"/>
  <c r="BH215" i="11"/>
  <c r="BH217" i="11"/>
  <c r="BH218" i="11"/>
  <c r="BH219" i="11"/>
  <c r="BH220" i="11"/>
  <c r="BH225" i="11"/>
  <c r="BH226" i="11"/>
  <c r="BH240" i="11"/>
  <c r="BH241" i="11"/>
  <c r="C4303" i="3" l="1"/>
  <c r="C4281" i="3"/>
  <c r="C4312" i="3"/>
  <c r="C4304" i="3" l="1"/>
  <c r="C4305" i="3" s="1"/>
  <c r="C4306" i="3" s="1"/>
  <c r="C4307" i="3" s="1"/>
  <c r="C4308" i="3" s="1"/>
  <c r="C4309" i="3" s="1"/>
  <c r="C4310" i="3" s="1"/>
  <c r="C4282" i="3"/>
  <c r="C4317" i="3" l="1"/>
  <c r="C4283" i="3"/>
  <c r="BF128" i="11" l="1"/>
  <c r="BF136" i="11"/>
  <c r="BF137" i="11"/>
  <c r="BF140" i="11"/>
  <c r="BF144" i="11"/>
  <c r="BF148" i="11"/>
  <c r="BF158" i="11"/>
  <c r="C4318" i="3"/>
  <c r="CY315" i="11" s="1"/>
  <c r="CZ315" i="11" s="1"/>
  <c r="BF92" i="11"/>
  <c r="BF93" i="11"/>
  <c r="BF94" i="11"/>
  <c r="BF96" i="11"/>
  <c r="BF97" i="11"/>
  <c r="BF101" i="11"/>
  <c r="BF107" i="11"/>
  <c r="C4284" i="3"/>
  <c r="CY336" i="11" s="1"/>
  <c r="CZ336" i="11" s="1"/>
  <c r="CW336" i="11" l="1"/>
  <c r="CX336" i="11"/>
  <c r="CV336" i="11"/>
  <c r="CU336" i="11"/>
  <c r="CV315" i="11"/>
  <c r="CW315" i="11"/>
  <c r="CU315" i="11"/>
  <c r="CX315" i="11"/>
  <c r="C4319" i="3"/>
  <c r="C4320" i="3" s="1"/>
  <c r="C4321" i="3" s="1"/>
  <c r="C4322" i="3" s="1"/>
  <c r="H315" i="11"/>
  <c r="AR315" i="11"/>
  <c r="AS315" i="11"/>
  <c r="AZ315" i="11"/>
  <c r="BM315" i="11"/>
  <c r="CO315" i="11"/>
  <c r="BA315" i="11"/>
  <c r="CD315" i="11"/>
  <c r="CP315" i="11"/>
  <c r="AX315" i="11"/>
  <c r="CF315" i="11"/>
  <c r="AI315" i="11"/>
  <c r="J315" i="11"/>
  <c r="O315" i="11"/>
  <c r="I315" i="11"/>
  <c r="CN315" i="11"/>
  <c r="K315" i="11"/>
  <c r="CE315" i="11"/>
  <c r="BE315" i="11"/>
  <c r="BV315" i="11"/>
  <c r="G315" i="11"/>
  <c r="AB315" i="11"/>
  <c r="AJ315" i="11"/>
  <c r="BY315" i="11"/>
  <c r="AA315" i="11"/>
  <c r="CH315" i="11"/>
  <c r="BZ315" i="11"/>
  <c r="P315" i="11"/>
  <c r="T315" i="11"/>
  <c r="BW315" i="11"/>
  <c r="BX315" i="11"/>
  <c r="BF315" i="11"/>
  <c r="BO315" i="11"/>
  <c r="AF315" i="11"/>
  <c r="BH315" i="11"/>
  <c r="BQ315" i="11"/>
  <c r="X315" i="11"/>
  <c r="CQ315" i="11"/>
  <c r="BI315" i="11"/>
  <c r="BR315" i="11"/>
  <c r="BG315" i="11"/>
  <c r="BP315" i="11"/>
  <c r="AW315" i="11"/>
  <c r="AY315" i="11"/>
  <c r="CG315" i="11"/>
  <c r="CM315" i="11"/>
  <c r="CL315" i="11"/>
  <c r="BN315" i="11"/>
  <c r="AH315" i="11"/>
  <c r="AG315" i="11"/>
  <c r="AQ315" i="11"/>
  <c r="AN315" i="11"/>
  <c r="S315" i="11"/>
  <c r="Y315" i="11"/>
  <c r="R315" i="11"/>
  <c r="AO315" i="11"/>
  <c r="AP315" i="11"/>
  <c r="Q315" i="11"/>
  <c r="Z315" i="11"/>
  <c r="CE336" i="11"/>
  <c r="BW336" i="11"/>
  <c r="CG336" i="11"/>
  <c r="BH336" i="11"/>
  <c r="BZ336" i="11"/>
  <c r="CD336" i="11"/>
  <c r="BV336" i="11"/>
  <c r="AB336" i="11"/>
  <c r="I336" i="11"/>
  <c r="AF336" i="11"/>
  <c r="Y336" i="11"/>
  <c r="AH336" i="11"/>
  <c r="AQ336" i="11"/>
  <c r="AI336" i="11"/>
  <c r="BP336" i="11"/>
  <c r="CQ336" i="11"/>
  <c r="BM336" i="11"/>
  <c r="BG336" i="11"/>
  <c r="BO336" i="11"/>
  <c r="CP336" i="11"/>
  <c r="H336" i="11"/>
  <c r="O336" i="11"/>
  <c r="AJ336" i="11"/>
  <c r="Z336" i="11"/>
  <c r="Q336" i="11"/>
  <c r="BA336" i="11"/>
  <c r="BE336" i="11"/>
  <c r="CO336" i="11"/>
  <c r="AG336" i="11"/>
  <c r="AP336" i="11"/>
  <c r="CM336" i="11"/>
  <c r="BY336" i="11"/>
  <c r="X336" i="11"/>
  <c r="J336" i="11"/>
  <c r="T336" i="11"/>
  <c r="AA336" i="11"/>
  <c r="P336" i="11"/>
  <c r="S336" i="11"/>
  <c r="AR336" i="11"/>
  <c r="AY336" i="11"/>
  <c r="R336" i="11"/>
  <c r="AN336" i="11"/>
  <c r="AO336" i="11"/>
  <c r="AX336" i="11"/>
  <c r="BI336" i="11"/>
  <c r="BQ336" i="11"/>
  <c r="CL336" i="11"/>
  <c r="AS336" i="11"/>
  <c r="AZ336" i="11"/>
  <c r="BX336" i="11"/>
  <c r="CN336" i="11"/>
  <c r="AW336" i="11"/>
  <c r="BR336" i="11"/>
  <c r="BN336" i="11"/>
  <c r="CF336" i="11"/>
  <c r="G336" i="11"/>
  <c r="CH336" i="11"/>
  <c r="BF336" i="11"/>
  <c r="K336" i="11"/>
  <c r="C4285" i="3"/>
  <c r="DC336" i="11" l="1"/>
  <c r="DC315" i="11"/>
  <c r="BJ315" i="11"/>
  <c r="BK315" i="11"/>
  <c r="V315" i="11"/>
  <c r="U315" i="11"/>
  <c r="CR315" i="11"/>
  <c r="CS315" i="11"/>
  <c r="AK315" i="11"/>
  <c r="AL315" i="11"/>
  <c r="AU315" i="11"/>
  <c r="AT315" i="11"/>
  <c r="CA315" i="11"/>
  <c r="CB315" i="11"/>
  <c r="AC315" i="11"/>
  <c r="AD315" i="11"/>
  <c r="M315" i="11"/>
  <c r="L315" i="11"/>
  <c r="BC315" i="11"/>
  <c r="BB315" i="11"/>
  <c r="CI315" i="11"/>
  <c r="CJ315" i="11"/>
  <c r="BT315" i="11"/>
  <c r="BS315" i="11"/>
  <c r="AT336" i="11"/>
  <c r="AU336" i="11"/>
  <c r="L336" i="11"/>
  <c r="M336" i="11"/>
  <c r="BS336" i="11"/>
  <c r="BT336" i="11"/>
  <c r="V336" i="11"/>
  <c r="U336" i="11"/>
  <c r="AK336" i="11"/>
  <c r="AL336" i="11"/>
  <c r="CB336" i="11"/>
  <c r="CA336" i="11"/>
  <c r="CR336" i="11"/>
  <c r="CS336" i="11"/>
  <c r="CI336" i="11"/>
  <c r="CJ336" i="11"/>
  <c r="BJ336" i="11"/>
  <c r="BK336" i="11"/>
  <c r="BB336" i="11"/>
  <c r="BC336" i="11"/>
  <c r="AC336" i="11"/>
  <c r="AD336" i="11"/>
  <c r="C4286" i="3"/>
  <c r="C4287" i="3" s="1"/>
  <c r="C4323" i="3"/>
  <c r="C4324" i="3" l="1"/>
  <c r="C4325" i="3" s="1"/>
  <c r="C4326" i="3" s="1"/>
  <c r="C4288" i="3"/>
  <c r="C4289" i="3" s="1"/>
  <c r="C4290" i="3" s="1"/>
  <c r="C4327" i="3" l="1"/>
  <c r="C4328" i="3" l="1"/>
  <c r="C4329" i="3" s="1"/>
  <c r="CL96" i="11" l="1"/>
  <c r="CL97" i="11"/>
  <c r="CL101" i="11"/>
  <c r="CL107" i="11"/>
  <c r="CL82" i="11"/>
  <c r="CL83" i="11"/>
  <c r="CL84" i="11"/>
  <c r="CL85" i="11"/>
  <c r="CL86" i="11"/>
  <c r="CL87" i="11"/>
  <c r="CL88" i="11"/>
  <c r="CL89" i="11"/>
  <c r="CL91" i="11"/>
  <c r="CL92" i="11"/>
  <c r="CL93" i="11"/>
  <c r="CL94" i="11"/>
  <c r="CL41" i="11"/>
  <c r="CL42" i="11"/>
  <c r="CL43" i="11"/>
  <c r="CL44" i="11"/>
  <c r="CL45" i="11"/>
  <c r="CL47" i="11"/>
  <c r="CL48" i="11"/>
  <c r="CL49" i="11"/>
  <c r="CL50" i="11"/>
  <c r="CL51" i="11"/>
  <c r="CL53" i="11"/>
  <c r="C4332" i="3"/>
  <c r="CL35" i="11"/>
  <c r="CL36" i="11"/>
  <c r="CL37" i="11"/>
  <c r="CL38" i="11"/>
  <c r="CL39" i="11"/>
  <c r="CL40" i="11"/>
  <c r="C4334" i="3" l="1"/>
  <c r="C4333" i="3"/>
  <c r="CL166" i="11"/>
  <c r="CL170" i="11"/>
  <c r="CL172" i="11"/>
  <c r="CL178" i="11"/>
  <c r="CL179" i="11"/>
  <c r="CL180" i="11"/>
  <c r="CL187" i="11"/>
  <c r="C4335" i="3"/>
  <c r="CL128" i="11"/>
  <c r="CL136" i="11"/>
  <c r="CL137" i="11"/>
  <c r="CL140" i="11"/>
  <c r="CL144" i="11"/>
  <c r="CL148" i="11"/>
  <c r="CL158" i="11"/>
  <c r="CL160" i="11"/>
  <c r="CL163" i="11"/>
  <c r="C4336" i="3" l="1"/>
  <c r="C4337" i="3" s="1"/>
  <c r="C4338" i="3" s="1"/>
  <c r="C4339" i="3" s="1"/>
  <c r="C4340" i="3" s="1"/>
  <c r="C4341" i="3" l="1"/>
  <c r="C4342" i="3" l="1"/>
  <c r="C4343" i="3" l="1"/>
  <c r="C4344" i="3" l="1"/>
  <c r="C4345" i="3" l="1"/>
  <c r="C4346" i="3" l="1"/>
  <c r="C4347" i="3" l="1"/>
  <c r="CY117" i="11" s="1"/>
  <c r="CZ117" i="11" s="1"/>
  <c r="J117" i="11"/>
  <c r="AR117" i="11"/>
  <c r="CQ117" i="11"/>
  <c r="BA117" i="11"/>
  <c r="BN117" i="11"/>
  <c r="CM117" i="11"/>
  <c r="AY117" i="11"/>
  <c r="BF117" i="11"/>
  <c r="CN117" i="11"/>
  <c r="CO117" i="11"/>
  <c r="CP117" i="11"/>
  <c r="C4348" i="3"/>
  <c r="CX117" i="11" l="1"/>
  <c r="CW117" i="11"/>
  <c r="CV117" i="11"/>
  <c r="CU117" i="11"/>
  <c r="AO117" i="11"/>
  <c r="AN117" i="11"/>
  <c r="AI117" i="11"/>
  <c r="G117" i="11"/>
  <c r="BW117" i="11"/>
  <c r="CE117" i="11"/>
  <c r="AW117" i="11"/>
  <c r="AX117" i="11"/>
  <c r="BE117" i="11"/>
  <c r="BI117" i="11"/>
  <c r="BJ117" i="11" s="1"/>
  <c r="AP117" i="11"/>
  <c r="AS117" i="11"/>
  <c r="AU117" i="11" s="1"/>
  <c r="R117" i="11"/>
  <c r="Y117" i="11"/>
  <c r="CD117" i="11"/>
  <c r="BY117" i="11"/>
  <c r="CF117" i="11"/>
  <c r="CG117" i="11"/>
  <c r="BR117" i="11"/>
  <c r="BS117" i="11" s="1"/>
  <c r="BH117" i="11"/>
  <c r="K117" i="11"/>
  <c r="M117" i="11" s="1"/>
  <c r="I117" i="11"/>
  <c r="T117" i="11"/>
  <c r="U117" i="11" s="1"/>
  <c r="AG117" i="11"/>
  <c r="X117" i="11"/>
  <c r="BX117" i="11"/>
  <c r="BQ117" i="11"/>
  <c r="BP117" i="11"/>
  <c r="BV117" i="11"/>
  <c r="CH117" i="11"/>
  <c r="CI117" i="11" s="1"/>
  <c r="AJ117" i="11"/>
  <c r="AK117" i="11" s="1"/>
  <c r="AA117" i="11"/>
  <c r="Q117" i="11"/>
  <c r="AB117" i="11"/>
  <c r="AC117" i="11" s="1"/>
  <c r="P117" i="11"/>
  <c r="Z117" i="11"/>
  <c r="H117" i="11"/>
  <c r="CL117" i="11"/>
  <c r="AZ117" i="11"/>
  <c r="BG117" i="11"/>
  <c r="BO117" i="11"/>
  <c r="BM117" i="11"/>
  <c r="BZ117" i="11"/>
  <c r="AH117" i="11"/>
  <c r="O117" i="11"/>
  <c r="S117" i="11"/>
  <c r="AF117" i="11"/>
  <c r="AQ117" i="11"/>
  <c r="C4349" i="3"/>
  <c r="CR117" i="11"/>
  <c r="CS117" i="11"/>
  <c r="BB117" i="11"/>
  <c r="BC117" i="11"/>
  <c r="AT117" i="11" l="1"/>
  <c r="V117" i="11"/>
  <c r="L117" i="11"/>
  <c r="CJ117" i="11"/>
  <c r="BK117" i="11"/>
  <c r="AL117" i="11"/>
  <c r="BT117" i="11"/>
  <c r="AD117" i="11"/>
  <c r="DC117" i="11"/>
  <c r="CB117" i="11"/>
  <c r="CA117" i="11"/>
  <c r="C4350" i="3"/>
  <c r="C4351" i="3" l="1"/>
  <c r="C4352" i="3" l="1"/>
  <c r="C4353" i="3" l="1"/>
  <c r="C4354" i="3" l="1"/>
  <c r="C4355" i="3" l="1"/>
  <c r="C4356" i="3" l="1"/>
  <c r="C4357" i="3" s="1"/>
  <c r="C4358" i="3" s="1"/>
  <c r="C4359" i="3" l="1"/>
  <c r="C4360" i="3" l="1"/>
  <c r="C4361" i="3" s="1"/>
  <c r="C4362" i="3" s="1"/>
  <c r="C4363" i="3" l="1"/>
  <c r="C4364" i="3" l="1"/>
  <c r="C4365" i="3" s="1"/>
  <c r="C4366" i="3" s="1"/>
  <c r="C4367" i="3" l="1"/>
  <c r="C4368" i="3" s="1"/>
  <c r="C4369" i="3" s="1"/>
  <c r="C4370" i="3" s="1"/>
  <c r="C4371" i="3" l="1"/>
  <c r="C4372" i="3" l="1"/>
  <c r="CY55" i="11" s="1"/>
  <c r="CZ55" i="11" s="1"/>
  <c r="CW55" i="11" l="1"/>
  <c r="CX55" i="11"/>
  <c r="CV55" i="11"/>
  <c r="CU55" i="11"/>
  <c r="AG55" i="11"/>
  <c r="P55" i="11"/>
  <c r="H55" i="11"/>
  <c r="Q55" i="11"/>
  <c r="X55" i="11"/>
  <c r="AR55" i="11"/>
  <c r="AQ55" i="11"/>
  <c r="AB55" i="11"/>
  <c r="T55" i="11"/>
  <c r="AS55" i="11"/>
  <c r="Z55" i="11"/>
  <c r="J55" i="11"/>
  <c r="AO55" i="11"/>
  <c r="AN55" i="11"/>
  <c r="R55" i="11"/>
  <c r="AP55" i="11"/>
  <c r="AJ55" i="11"/>
  <c r="AF55" i="11"/>
  <c r="G55" i="11"/>
  <c r="O55" i="11"/>
  <c r="I55" i="11"/>
  <c r="AH55" i="11"/>
  <c r="K55" i="11"/>
  <c r="S55" i="11"/>
  <c r="BR55" i="11"/>
  <c r="BN55" i="11"/>
  <c r="CH55" i="11"/>
  <c r="BI55" i="11"/>
  <c r="CQ55" i="11"/>
  <c r="BZ55" i="11"/>
  <c r="BF55" i="11"/>
  <c r="BG55" i="11"/>
  <c r="BM55" i="11"/>
  <c r="BX55" i="11"/>
  <c r="CP55" i="11"/>
  <c r="CN55" i="11"/>
  <c r="CD55" i="11"/>
  <c r="CO55" i="11"/>
  <c r="CM55" i="11"/>
  <c r="BE55" i="11"/>
  <c r="BA55" i="11"/>
  <c r="BY55" i="11"/>
  <c r="CE55" i="11"/>
  <c r="CG55" i="11"/>
  <c r="CF55" i="11"/>
  <c r="AW55" i="11"/>
  <c r="AX55" i="11"/>
  <c r="BP55" i="11"/>
  <c r="BH55" i="11"/>
  <c r="BW55" i="11"/>
  <c r="BV55" i="11"/>
  <c r="BQ55" i="11"/>
  <c r="BO55" i="11"/>
  <c r="AZ55" i="11"/>
  <c r="AY55" i="11"/>
  <c r="CL55" i="11"/>
  <c r="C4373" i="3"/>
  <c r="Y55" i="11"/>
  <c r="AA55" i="11"/>
  <c r="AI55" i="11"/>
  <c r="C4377" i="3"/>
  <c r="DC55" i="11" l="1"/>
  <c r="BS55" i="11"/>
  <c r="BT55" i="11"/>
  <c r="CA55" i="11"/>
  <c r="CB55" i="11"/>
  <c r="BB55" i="11"/>
  <c r="BC55" i="11"/>
  <c r="CR55" i="11"/>
  <c r="CS55" i="11"/>
  <c r="AT55" i="11"/>
  <c r="AU55" i="11"/>
  <c r="BJ55" i="11"/>
  <c r="BK55" i="11"/>
  <c r="V55" i="11"/>
  <c r="U55" i="11"/>
  <c r="CI55" i="11"/>
  <c r="CJ55" i="11"/>
  <c r="M55" i="11"/>
  <c r="L55" i="11"/>
  <c r="AC55" i="11"/>
  <c r="AD55" i="11"/>
  <c r="AK55" i="11"/>
  <c r="AL55" i="11"/>
  <c r="CN137" i="11"/>
  <c r="CN140" i="11"/>
  <c r="CN144" i="11"/>
  <c r="CN148" i="11"/>
  <c r="CN158" i="11"/>
  <c r="CN160" i="11"/>
  <c r="CN163" i="11"/>
  <c r="CN166" i="11"/>
  <c r="CN101" i="11"/>
  <c r="CN107" i="11"/>
  <c r="CN128" i="11"/>
  <c r="CN136" i="11"/>
  <c r="C4378" i="3"/>
  <c r="C4379" i="3" s="1"/>
  <c r="C4380" i="3" s="1"/>
  <c r="C4381" i="3" l="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4382" i="3" l="1"/>
  <c r="C4383" i="3" s="1"/>
  <c r="C4384" i="3" l="1"/>
  <c r="C4385" i="3" l="1"/>
  <c r="C4386" i="3" l="1"/>
  <c r="C4387" i="3" s="1"/>
  <c r="C4388" i="3" s="1"/>
  <c r="C4389" i="3" s="1"/>
  <c r="C4390" i="3" s="1"/>
  <c r="C4391" i="3" s="1"/>
  <c r="C4392" i="3" l="1"/>
  <c r="C4393" i="3" s="1"/>
  <c r="C4394" i="3" l="1"/>
  <c r="C4395" i="3" l="1"/>
  <c r="C4396" i="3" l="1"/>
  <c r="C4397" i="3" s="1"/>
  <c r="C4398" i="3" s="1"/>
  <c r="C4400" i="3" l="1"/>
  <c r="C4401" i="3" l="1"/>
  <c r="C4402" i="3" s="1"/>
  <c r="CY337" i="11" s="1"/>
  <c r="CZ337" i="11" s="1"/>
  <c r="CX337" i="11" l="1"/>
  <c r="CU337" i="11"/>
  <c r="CW337" i="11"/>
  <c r="CV337" i="11"/>
  <c r="C4403" i="3"/>
  <c r="CY109" i="11" s="1"/>
  <c r="CZ109" i="11" s="1"/>
  <c r="J337" i="11"/>
  <c r="AW337" i="11"/>
  <c r="BY337" i="11"/>
  <c r="I337" i="11"/>
  <c r="AH337" i="11"/>
  <c r="CQ337" i="11"/>
  <c r="CP337" i="11"/>
  <c r="AJ337" i="11"/>
  <c r="AN337" i="11"/>
  <c r="BR337" i="11"/>
  <c r="T337" i="11"/>
  <c r="AZ337" i="11"/>
  <c r="CH337" i="11"/>
  <c r="AF337" i="11"/>
  <c r="AQ337" i="11"/>
  <c r="BG337" i="11"/>
  <c r="X337" i="11"/>
  <c r="Z337" i="11"/>
  <c r="AO337" i="11"/>
  <c r="CN337" i="11"/>
  <c r="AA337" i="11"/>
  <c r="S337" i="11"/>
  <c r="BN337" i="11"/>
  <c r="Y337" i="11"/>
  <c r="R337" i="11"/>
  <c r="BM337" i="11"/>
  <c r="AB337" i="11"/>
  <c r="Q337" i="11"/>
  <c r="AX337" i="11"/>
  <c r="CF337" i="11"/>
  <c r="CO337" i="11"/>
  <c r="K337" i="11"/>
  <c r="AI337" i="11"/>
  <c r="CG337" i="11"/>
  <c r="BO337" i="11"/>
  <c r="BQ337" i="11"/>
  <c r="P337" i="11"/>
  <c r="AR337" i="11"/>
  <c r="BF337" i="11"/>
  <c r="AG337" i="11"/>
  <c r="CE337" i="11"/>
  <c r="BP337" i="11"/>
  <c r="H337" i="11"/>
  <c r="BI337" i="11"/>
  <c r="CL337" i="11"/>
  <c r="G337" i="11"/>
  <c r="BH337" i="11"/>
  <c r="BW337" i="11"/>
  <c r="CM337" i="11"/>
  <c r="AS337" i="11"/>
  <c r="AY337" i="11"/>
  <c r="BX337" i="11"/>
  <c r="AP337" i="11"/>
  <c r="BV337" i="11"/>
  <c r="CD337" i="11"/>
  <c r="O337" i="11"/>
  <c r="BA337" i="11"/>
  <c r="BE337" i="11"/>
  <c r="BZ337" i="11"/>
  <c r="Z109" i="11"/>
  <c r="P109" i="11"/>
  <c r="BZ109" i="11"/>
  <c r="BG109" i="11"/>
  <c r="AZ109" i="11"/>
  <c r="AW109" i="11"/>
  <c r="X109" i="11"/>
  <c r="AS109" i="11"/>
  <c r="BN109" i="11"/>
  <c r="CE109" i="11"/>
  <c r="BH109" i="11"/>
  <c r="BO109" i="11"/>
  <c r="BE109" i="11"/>
  <c r="K109" i="11"/>
  <c r="AH109" i="11"/>
  <c r="BW109" i="11"/>
  <c r="Y109" i="11"/>
  <c r="S109" i="11"/>
  <c r="BM109" i="11"/>
  <c r="BV109" i="11"/>
  <c r="BQ109" i="11"/>
  <c r="R109" i="11"/>
  <c r="AR109" i="11"/>
  <c r="AN109" i="11"/>
  <c r="CH109" i="11"/>
  <c r="T109" i="11"/>
  <c r="AQ109" i="11"/>
  <c r="CF109" i="11"/>
  <c r="I109" i="11"/>
  <c r="AP109" i="11"/>
  <c r="O109" i="11"/>
  <c r="AB109" i="11"/>
  <c r="BI109" i="11"/>
  <c r="CG109" i="11"/>
  <c r="BP109" i="11"/>
  <c r="AY109" i="11"/>
  <c r="AA109" i="11"/>
  <c r="CW109" i="11" l="1"/>
  <c r="CX109" i="11"/>
  <c r="CV109" i="11"/>
  <c r="CU109" i="11"/>
  <c r="DC337" i="11"/>
  <c r="AX109" i="11"/>
  <c r="CO109" i="11"/>
  <c r="J109" i="11"/>
  <c r="BY109" i="11"/>
  <c r="C4404" i="3"/>
  <c r="CY110" i="11" s="1"/>
  <c r="CZ110" i="11" s="1"/>
  <c r="BR109" i="11"/>
  <c r="BS109" i="11" s="1"/>
  <c r="Q109" i="11"/>
  <c r="G109" i="11"/>
  <c r="CQ109" i="11"/>
  <c r="CS109" i="11" s="1"/>
  <c r="AI109" i="11"/>
  <c r="BF109" i="11"/>
  <c r="CL109" i="11"/>
  <c r="AF109" i="11"/>
  <c r="BX109" i="11"/>
  <c r="H109" i="11"/>
  <c r="CM109" i="11"/>
  <c r="AJ109" i="11"/>
  <c r="AK109" i="11" s="1"/>
  <c r="AO109" i="11"/>
  <c r="CN109" i="11"/>
  <c r="CD109" i="11"/>
  <c r="AG109" i="11"/>
  <c r="CP109" i="11"/>
  <c r="BA109" i="11"/>
  <c r="BB109" i="11" s="1"/>
  <c r="CA337" i="11"/>
  <c r="CB337" i="11"/>
  <c r="U337" i="11"/>
  <c r="V337" i="11"/>
  <c r="BT337" i="11"/>
  <c r="BS337" i="11"/>
  <c r="BC337" i="11"/>
  <c r="BB337" i="11"/>
  <c r="AD337" i="11"/>
  <c r="AC337" i="11"/>
  <c r="AT337" i="11"/>
  <c r="AU337" i="11"/>
  <c r="BJ337" i="11"/>
  <c r="BK337" i="11"/>
  <c r="L337" i="11"/>
  <c r="M337" i="11"/>
  <c r="AK337" i="11"/>
  <c r="AL337" i="11"/>
  <c r="CI337" i="11"/>
  <c r="CJ337" i="11"/>
  <c r="CR337" i="11"/>
  <c r="CS337" i="11"/>
  <c r="CA109" i="11"/>
  <c r="CB109" i="11"/>
  <c r="AT109" i="11"/>
  <c r="AU109" i="11"/>
  <c r="BJ109" i="11"/>
  <c r="BK109" i="11"/>
  <c r="AC109" i="11"/>
  <c r="AD109" i="11"/>
  <c r="V109" i="11"/>
  <c r="U109" i="11"/>
  <c r="AB110" i="11"/>
  <c r="BI110" i="11"/>
  <c r="K110" i="11"/>
  <c r="BP110" i="11"/>
  <c r="AI110" i="11"/>
  <c r="CE110" i="11"/>
  <c r="AW110" i="11"/>
  <c r="CM110" i="11"/>
  <c r="CN110" i="11"/>
  <c r="AG110" i="11"/>
  <c r="I110" i="11"/>
  <c r="AO110" i="11"/>
  <c r="CJ109" i="11"/>
  <c r="CI109" i="11"/>
  <c r="M109" i="11"/>
  <c r="L109" i="11"/>
  <c r="S110" i="11" l="1"/>
  <c r="CW110" i="11"/>
  <c r="CX110" i="11"/>
  <c r="CV110" i="11"/>
  <c r="CU110" i="11"/>
  <c r="AS110" i="11"/>
  <c r="AU110" i="11" s="1"/>
  <c r="BE110" i="11"/>
  <c r="Z110" i="11"/>
  <c r="BQ110" i="11"/>
  <c r="CG110" i="11"/>
  <c r="P110" i="11"/>
  <c r="BW110" i="11"/>
  <c r="BZ110" i="11"/>
  <c r="CB110" i="11" s="1"/>
  <c r="CL110" i="11"/>
  <c r="Y110" i="11"/>
  <c r="BX110" i="11"/>
  <c r="BR110" i="11"/>
  <c r="BT110" i="11" s="1"/>
  <c r="AZ110" i="11"/>
  <c r="BA110" i="11"/>
  <c r="BB110" i="11" s="1"/>
  <c r="O110" i="11"/>
  <c r="J110" i="11"/>
  <c r="BM110" i="11"/>
  <c r="BF110" i="11"/>
  <c r="AH110" i="11"/>
  <c r="R110" i="11"/>
  <c r="BO110" i="11"/>
  <c r="G110" i="11"/>
  <c r="AP110" i="11"/>
  <c r="BV110" i="11"/>
  <c r="AX110" i="11"/>
  <c r="CQ110" i="11"/>
  <c r="AN110" i="11"/>
  <c r="BH110" i="11"/>
  <c r="AY110" i="11"/>
  <c r="AR110" i="11"/>
  <c r="X110" i="11"/>
  <c r="CD110" i="11"/>
  <c r="AF110" i="11"/>
  <c r="C4405" i="3"/>
  <c r="C4406" i="3" s="1"/>
  <c r="Q110" i="11"/>
  <c r="T110" i="11"/>
  <c r="U110" i="11" s="1"/>
  <c r="AQ110" i="11"/>
  <c r="CH110" i="11"/>
  <c r="CJ110" i="11" s="1"/>
  <c r="CP110" i="11"/>
  <c r="BG110" i="11"/>
  <c r="BY110" i="11"/>
  <c r="AA110" i="11"/>
  <c r="H110" i="11"/>
  <c r="AJ110" i="11"/>
  <c r="AL110" i="11" s="1"/>
  <c r="CO110" i="11"/>
  <c r="CF110" i="11"/>
  <c r="BN110" i="11"/>
  <c r="CR109" i="11"/>
  <c r="DC109" i="11"/>
  <c r="BC109" i="11"/>
  <c r="BT109" i="11"/>
  <c r="AL109" i="11"/>
  <c r="M110" i="11"/>
  <c r="L110" i="11"/>
  <c r="BJ110" i="11"/>
  <c r="BK110" i="11"/>
  <c r="AD110" i="11"/>
  <c r="AC110" i="11"/>
  <c r="BS110" i="11" l="1"/>
  <c r="CA110" i="11"/>
  <c r="AT110" i="11"/>
  <c r="CS110" i="11"/>
  <c r="CR110" i="11"/>
  <c r="V110" i="11"/>
  <c r="BC110" i="11"/>
  <c r="CI110" i="11"/>
  <c r="DC110" i="11"/>
  <c r="AK110" i="11"/>
  <c r="C4407" i="3"/>
  <c r="C4408" i="3" l="1"/>
  <c r="CP40" i="11"/>
  <c r="CP41" i="11"/>
  <c r="CP42" i="11"/>
  <c r="CP43" i="11"/>
  <c r="CP44" i="11"/>
  <c r="CP45" i="11"/>
  <c r="CP47" i="11"/>
  <c r="CP48" i="11"/>
  <c r="CP49" i="11"/>
  <c r="CP50" i="11"/>
  <c r="CP51" i="11"/>
  <c r="CP53" i="11"/>
  <c r="CP35" i="11"/>
  <c r="CP36" i="11"/>
  <c r="CP37" i="11"/>
  <c r="CP38" i="11"/>
  <c r="CP39" i="11"/>
  <c r="C4409" i="3" l="1"/>
  <c r="C4410" i="3" s="1"/>
  <c r="C4411" i="3" s="1"/>
  <c r="C4412" i="3" l="1"/>
  <c r="C4413" i="3" l="1"/>
  <c r="C4414" i="3" l="1"/>
  <c r="C4415" i="3" s="1"/>
  <c r="C4416" i="3" l="1"/>
  <c r="C4417" i="3" l="1"/>
  <c r="C4418" i="3" l="1"/>
  <c r="C4419" i="3" s="1"/>
  <c r="C4421" i="3" l="1"/>
  <c r="C4422" i="3" l="1"/>
  <c r="C4423" i="3" s="1"/>
  <c r="C4424" i="3" l="1"/>
  <c r="C4425" i="3" l="1"/>
  <c r="C4426" i="3" s="1"/>
  <c r="C4427" i="3" l="1"/>
  <c r="C4428" i="3" l="1"/>
  <c r="C4429" i="3" l="1"/>
  <c r="C4430" i="3" s="1"/>
  <c r="C4431" i="3" s="1"/>
  <c r="C4432" i="3" s="1"/>
  <c r="C4433" i="3" l="1"/>
  <c r="C4434" i="3" l="1"/>
  <c r="AO312" i="11"/>
  <c r="Z311" i="11"/>
  <c r="Z312" i="11"/>
  <c r="Y311" i="11"/>
  <c r="Y312" i="11"/>
  <c r="S311" i="11"/>
  <c r="S312" i="11"/>
  <c r="R311" i="11"/>
  <c r="R312" i="11"/>
  <c r="Q311" i="11"/>
  <c r="Q312" i="11"/>
  <c r="P311" i="11"/>
  <c r="P312" i="11"/>
  <c r="CL10" i="11"/>
  <c r="CM10" i="11"/>
  <c r="CN10" i="11"/>
  <c r="CO10" i="11"/>
  <c r="CP10" i="11"/>
  <c r="X60" i="11"/>
  <c r="AR49" i="11"/>
  <c r="AP311" i="11"/>
  <c r="AP312" i="11"/>
  <c r="AO311" i="11"/>
  <c r="C4435" i="3" l="1"/>
  <c r="CY104" i="11" s="1"/>
  <c r="CZ104" i="11" s="1"/>
  <c r="BZ331" i="11"/>
  <c r="BV330" i="11"/>
  <c r="BW330" i="11"/>
  <c r="BX330" i="11"/>
  <c r="BY330" i="11"/>
  <c r="BZ330" i="11"/>
  <c r="I311" i="11"/>
  <c r="I312" i="11"/>
  <c r="H311" i="11"/>
  <c r="H312" i="11"/>
  <c r="AG311" i="11"/>
  <c r="AG312" i="11"/>
  <c r="AN311" i="11"/>
  <c r="BV331" i="11"/>
  <c r="BW331" i="11"/>
  <c r="BX331" i="11"/>
  <c r="BY331" i="11"/>
  <c r="CW104" i="11" l="1"/>
  <c r="CU104" i="11"/>
  <c r="CX104" i="11"/>
  <c r="CV104" i="11"/>
  <c r="C4436" i="3"/>
  <c r="S104" i="11"/>
  <c r="I104" i="11"/>
  <c r="CM104" i="11"/>
  <c r="J104" i="11"/>
  <c r="BG104" i="11"/>
  <c r="Q104" i="11"/>
  <c r="BN104" i="11"/>
  <c r="BZ104" i="11"/>
  <c r="AZ104" i="11"/>
  <c r="AN104" i="11"/>
  <c r="CN104" i="11"/>
  <c r="AF104" i="11"/>
  <c r="AI104" i="11"/>
  <c r="Y104" i="11"/>
  <c r="AJ104" i="11"/>
  <c r="BA104" i="11"/>
  <c r="BO104" i="11"/>
  <c r="CD104" i="11"/>
  <c r="CE104" i="11"/>
  <c r="AY104" i="11"/>
  <c r="H104" i="11"/>
  <c r="CO104" i="11"/>
  <c r="AH104" i="11"/>
  <c r="Z104" i="11"/>
  <c r="AA104" i="11"/>
  <c r="BI104" i="11"/>
  <c r="BV104" i="11"/>
  <c r="BX104" i="11"/>
  <c r="AR104" i="11"/>
  <c r="AX104" i="11"/>
  <c r="AP104" i="11"/>
  <c r="T104" i="11"/>
  <c r="CP104" i="11"/>
  <c r="AQ104" i="11"/>
  <c r="P104" i="11"/>
  <c r="BE104" i="11"/>
  <c r="R104" i="11"/>
  <c r="BH104" i="11"/>
  <c r="O104" i="11"/>
  <c r="K104" i="11"/>
  <c r="X104" i="11"/>
  <c r="AS104" i="11"/>
  <c r="BR104" i="11"/>
  <c r="CF104" i="11"/>
  <c r="CG104" i="11"/>
  <c r="BQ104" i="11"/>
  <c r="CQ104" i="11"/>
  <c r="AB104" i="11"/>
  <c r="BW104" i="11"/>
  <c r="BF104" i="11"/>
  <c r="AG104" i="11"/>
  <c r="CL104" i="11"/>
  <c r="G104" i="11"/>
  <c r="AO104" i="11"/>
  <c r="CH104" i="11"/>
  <c r="AW104" i="11"/>
  <c r="BM104" i="11"/>
  <c r="BP104" i="11"/>
  <c r="BY104" i="11"/>
  <c r="CB331" i="11"/>
  <c r="CA331" i="11"/>
  <c r="CA330" i="11"/>
  <c r="CB330" i="11"/>
  <c r="DC104" i="11" l="1"/>
  <c r="U104" i="11"/>
  <c r="V104" i="11"/>
  <c r="BJ104" i="11"/>
  <c r="BK104" i="11"/>
  <c r="AL104" i="11"/>
  <c r="AK104" i="11"/>
  <c r="AD104" i="11"/>
  <c r="AC104" i="11"/>
  <c r="BS104" i="11"/>
  <c r="BT104" i="11"/>
  <c r="CB104" i="11"/>
  <c r="CA104" i="11"/>
  <c r="L104" i="11"/>
  <c r="M104" i="11"/>
  <c r="AU104" i="11"/>
  <c r="AT104" i="11"/>
  <c r="CS104" i="11"/>
  <c r="CR104" i="11"/>
  <c r="CJ104" i="11"/>
  <c r="CI104" i="11"/>
  <c r="BB104" i="11"/>
  <c r="BC104" i="11"/>
  <c r="C4437" i="3"/>
  <c r="C4438" i="3" s="1"/>
  <c r="C4439" i="3" s="1"/>
  <c r="C4440" i="3" l="1"/>
  <c r="C4441" i="3" l="1"/>
  <c r="C4442" i="3" l="1"/>
  <c r="C4443" i="3" s="1"/>
  <c r="C4446" i="3" l="1"/>
  <c r="G279" i="11" l="1"/>
  <c r="Q279" i="11"/>
  <c r="X279" i="11"/>
  <c r="H279" i="11"/>
  <c r="AP279" i="11"/>
  <c r="AG279" i="11"/>
  <c r="I279" i="11"/>
  <c r="R279" i="11"/>
  <c r="S279" i="11"/>
  <c r="Z279" i="11"/>
  <c r="Y279" i="11"/>
  <c r="AQ279" i="11"/>
  <c r="J271" i="11"/>
  <c r="O279" i="11"/>
  <c r="J279" i="11"/>
  <c r="AF279" i="11"/>
  <c r="AN279" i="11"/>
  <c r="AO279" i="11"/>
  <c r="P279" i="11"/>
  <c r="C4447" i="3"/>
  <c r="C4448" i="3" s="1"/>
  <c r="C4449" i="3" s="1"/>
  <c r="Q252" i="11"/>
  <c r="X252" i="11"/>
  <c r="AP252" i="11"/>
  <c r="G252" i="11"/>
  <c r="R252" i="11"/>
  <c r="O252" i="11"/>
  <c r="I252" i="11"/>
  <c r="AG252" i="11"/>
  <c r="Y252" i="11"/>
  <c r="Z252" i="11"/>
  <c r="AH252" i="11"/>
  <c r="S252" i="11"/>
  <c r="AI252" i="11"/>
  <c r="C4450" i="3" l="1"/>
  <c r="C4451" i="3" s="1"/>
  <c r="C4452" i="3" s="1"/>
  <c r="C4453" i="3" l="1"/>
  <c r="C4454" i="3" s="1"/>
  <c r="CY207" i="11" s="1"/>
  <c r="CZ207" i="11" s="1"/>
  <c r="CX207" i="11" l="1"/>
  <c r="CU207" i="11"/>
  <c r="CW207" i="11"/>
  <c r="CV207" i="11"/>
  <c r="C4455" i="3"/>
  <c r="C4456" i="3" s="1"/>
  <c r="Z207" i="11"/>
  <c r="K207" i="11"/>
  <c r="AJ207" i="11"/>
  <c r="AY207" i="11"/>
  <c r="H207" i="11"/>
  <c r="AW207" i="11"/>
  <c r="CM207" i="11"/>
  <c r="BA207" i="11"/>
  <c r="CP207" i="11"/>
  <c r="BI207" i="11"/>
  <c r="Q207" i="11"/>
  <c r="BO207" i="11"/>
  <c r="CL207" i="11"/>
  <c r="BE207" i="11"/>
  <c r="G207" i="11"/>
  <c r="AO207" i="11"/>
  <c r="BZ207" i="11"/>
  <c r="O207" i="11"/>
  <c r="AP207" i="11"/>
  <c r="CQ207" i="11"/>
  <c r="T207" i="11"/>
  <c r="AS207" i="11"/>
  <c r="AA207" i="11"/>
  <c r="X207" i="11"/>
  <c r="AR207" i="11"/>
  <c r="BH207" i="11"/>
  <c r="CG207" i="11"/>
  <c r="S207" i="11"/>
  <c r="AB207" i="11"/>
  <c r="BW207" i="11"/>
  <c r="BQ207" i="11"/>
  <c r="BV207" i="11"/>
  <c r="R207" i="11"/>
  <c r="P207" i="11"/>
  <c r="BM207" i="11"/>
  <c r="BG207" i="11"/>
  <c r="CF207" i="11"/>
  <c r="BX207" i="11"/>
  <c r="BF207" i="11"/>
  <c r="BY207" i="11"/>
  <c r="CD207" i="11"/>
  <c r="AN207" i="11"/>
  <c r="Y207" i="11"/>
  <c r="CO207" i="11"/>
  <c r="AI207" i="11"/>
  <c r="CN207" i="11"/>
  <c r="AF207" i="11"/>
  <c r="AZ207" i="11"/>
  <c r="J207" i="11"/>
  <c r="AG207" i="11"/>
  <c r="BN207" i="11"/>
  <c r="AX207" i="11"/>
  <c r="CE207" i="11"/>
  <c r="CH207" i="11"/>
  <c r="BP207" i="11"/>
  <c r="BR207" i="11"/>
  <c r="AQ207" i="11"/>
  <c r="I207" i="11"/>
  <c r="AH207" i="11"/>
  <c r="DC207" i="11" l="1"/>
  <c r="AC207" i="11"/>
  <c r="AD207" i="11"/>
  <c r="AK207" i="11"/>
  <c r="AL207" i="11"/>
  <c r="CA207" i="11"/>
  <c r="CB207" i="11"/>
  <c r="BC207" i="11"/>
  <c r="BB207" i="11"/>
  <c r="M207" i="11"/>
  <c r="L207" i="11"/>
  <c r="AT207" i="11"/>
  <c r="AU207" i="11"/>
  <c r="U207" i="11"/>
  <c r="V207" i="11"/>
  <c r="C4457" i="3"/>
  <c r="BS207" i="11"/>
  <c r="BT207" i="11"/>
  <c r="CI207" i="11"/>
  <c r="CJ207" i="11"/>
  <c r="CR207" i="11"/>
  <c r="CS207" i="11"/>
  <c r="BJ207" i="11"/>
  <c r="BK207" i="11"/>
  <c r="CW174" i="11" l="1"/>
  <c r="CU174" i="11"/>
  <c r="CX174" i="11"/>
  <c r="CV174" i="11"/>
  <c r="C4458" i="3"/>
  <c r="CF174" i="11"/>
  <c r="BF174" i="11"/>
  <c r="AZ174" i="11"/>
  <c r="CD174" i="11"/>
  <c r="AI174" i="11"/>
  <c r="BI174" i="11"/>
  <c r="BV174" i="11"/>
  <c r="BO174" i="11"/>
  <c r="BN174" i="11"/>
  <c r="AJ174" i="11"/>
  <c r="BQ174" i="11"/>
  <c r="O174" i="11"/>
  <c r="AS174" i="11"/>
  <c r="AH174" i="11"/>
  <c r="P174" i="11"/>
  <c r="AA174" i="11"/>
  <c r="CO174" i="11"/>
  <c r="I174" i="11"/>
  <c r="AO174" i="11"/>
  <c r="CG174" i="11"/>
  <c r="AB174" i="11"/>
  <c r="J174" i="11"/>
  <c r="AY174" i="11"/>
  <c r="X174" i="11"/>
  <c r="T174" i="11"/>
  <c r="BR174" i="11"/>
  <c r="CQ174" i="11"/>
  <c r="AX174" i="11"/>
  <c r="BX174" i="11"/>
  <c r="Y174" i="11"/>
  <c r="G174" i="11"/>
  <c r="BW174" i="11"/>
  <c r="CP174" i="11"/>
  <c r="H174" i="11"/>
  <c r="Q174" i="11"/>
  <c r="AR174" i="11"/>
  <c r="AP174" i="11"/>
  <c r="AQ174" i="11"/>
  <c r="K174" i="11"/>
  <c r="Z174" i="11"/>
  <c r="BM174" i="11"/>
  <c r="CE174" i="11"/>
  <c r="AW174" i="11"/>
  <c r="BA174" i="11"/>
  <c r="AN174" i="11"/>
  <c r="BH174" i="11"/>
  <c r="BY174" i="11"/>
  <c r="BZ174" i="11"/>
  <c r="BP174" i="11"/>
  <c r="S174" i="11"/>
  <c r="CM174" i="11"/>
  <c r="BE174" i="11"/>
  <c r="CH174" i="11"/>
  <c r="R174" i="11"/>
  <c r="CN174" i="11"/>
  <c r="CL174" i="11"/>
  <c r="AG174" i="11"/>
  <c r="AF174" i="11"/>
  <c r="BG174" i="11"/>
  <c r="C4459" i="3"/>
  <c r="DC174" i="11" l="1"/>
  <c r="CB174" i="11"/>
  <c r="CA174" i="11"/>
  <c r="CI174" i="11"/>
  <c r="CJ174" i="11"/>
  <c r="AT174" i="11"/>
  <c r="AU174" i="11"/>
  <c r="M174" i="11"/>
  <c r="L174" i="11"/>
  <c r="CS174" i="11"/>
  <c r="CR174" i="11"/>
  <c r="BJ174" i="11"/>
  <c r="BK174" i="11"/>
  <c r="BB174" i="11"/>
  <c r="BC174" i="11"/>
  <c r="BS174" i="11"/>
  <c r="BT174" i="11"/>
  <c r="V174" i="11"/>
  <c r="U174" i="11"/>
  <c r="AC174" i="11"/>
  <c r="AD174" i="11"/>
  <c r="AL174" i="11"/>
  <c r="AK174" i="11"/>
  <c r="C4460" i="3"/>
  <c r="C4461" i="3" l="1"/>
  <c r="C4462" i="3" l="1"/>
  <c r="C4463" i="3" l="1"/>
  <c r="C4464" i="3" s="1"/>
  <c r="C4465" i="3" l="1"/>
  <c r="C4466" i="3" l="1"/>
  <c r="C4467" i="3" l="1"/>
  <c r="C4468" i="3" s="1"/>
  <c r="AF309" i="11"/>
  <c r="AG309" i="11"/>
  <c r="AH309" i="11"/>
  <c r="AI309" i="11"/>
  <c r="AN309" i="11"/>
  <c r="AO309" i="11"/>
  <c r="AP309" i="11"/>
  <c r="AQ309" i="11"/>
  <c r="AR309" i="11"/>
  <c r="Q309" i="11"/>
  <c r="P309" i="11"/>
  <c r="AJ306" i="11"/>
  <c r="AH311" i="11"/>
  <c r="AH312" i="11"/>
  <c r="AI311" i="11"/>
  <c r="AI312" i="11"/>
  <c r="AI215" i="11"/>
  <c r="AI217" i="11"/>
  <c r="AI226" i="11"/>
  <c r="AI172" i="11"/>
  <c r="AI180" i="11"/>
  <c r="AH163" i="11"/>
  <c r="X63" i="11"/>
  <c r="AL306" i="11" l="1"/>
  <c r="AK306" i="11"/>
  <c r="AA68" i="11" l="1"/>
  <c r="AI137" i="11"/>
  <c r="AA259" i="11"/>
  <c r="Z43" i="11"/>
  <c r="AA260" i="11"/>
  <c r="AR92" i="11"/>
  <c r="AI79" i="11"/>
  <c r="AQ71" i="11"/>
  <c r="X79" i="11"/>
  <c r="C4470" i="3"/>
  <c r="P298" i="11"/>
  <c r="Q298" i="11"/>
  <c r="R298" i="11"/>
  <c r="S298" i="11"/>
  <c r="X298" i="11"/>
  <c r="Y298" i="11"/>
  <c r="Z298" i="11"/>
  <c r="AA298" i="11"/>
  <c r="AB298" i="11"/>
  <c r="AF298" i="11"/>
  <c r="AG298" i="11"/>
  <c r="AH298" i="11"/>
  <c r="AI298" i="11"/>
  <c r="C4472" i="3"/>
  <c r="C4473" i="3" s="1"/>
  <c r="C4477" i="3" l="1"/>
  <c r="C4478" i="3" s="1"/>
  <c r="C4474" i="3"/>
  <c r="C4475" i="3" s="1"/>
  <c r="C4476" i="3" s="1"/>
  <c r="X297" i="11"/>
  <c r="Y297" i="11"/>
  <c r="Z297" i="11"/>
  <c r="AA297" i="11"/>
  <c r="AB297" i="11"/>
  <c r="AF297" i="11"/>
  <c r="AG297" i="11"/>
  <c r="AH297" i="11"/>
  <c r="AI297" i="11"/>
  <c r="AJ297" i="11"/>
  <c r="AN297" i="11"/>
  <c r="AO297" i="11"/>
  <c r="AP297" i="11"/>
  <c r="J298" i="11"/>
  <c r="J301" i="11"/>
  <c r="I298" i="11"/>
  <c r="K298" i="11"/>
  <c r="O297" i="11"/>
  <c r="P297" i="11"/>
  <c r="Q297" i="11"/>
  <c r="R297" i="11"/>
  <c r="S297" i="11"/>
  <c r="T297" i="11"/>
  <c r="H301" i="11"/>
  <c r="H298" i="11"/>
  <c r="I303" i="11"/>
  <c r="I302" i="11"/>
  <c r="G303" i="11"/>
  <c r="O303" i="11"/>
  <c r="T303" i="11"/>
  <c r="O302" i="11"/>
  <c r="T302" i="11"/>
  <c r="DC302" i="11" s="1"/>
  <c r="O301" i="11"/>
  <c r="T301" i="11"/>
  <c r="AJ298" i="11"/>
  <c r="AN298" i="11"/>
  <c r="AO298" i="11"/>
  <c r="AP298" i="11"/>
  <c r="AQ298" i="11"/>
  <c r="AR298" i="11"/>
  <c r="H303" i="11"/>
  <c r="H302" i="11"/>
  <c r="AC298" i="11"/>
  <c r="AD298" i="11"/>
  <c r="C4479" i="3" l="1"/>
  <c r="AD297" i="11"/>
  <c r="AC297" i="11"/>
  <c r="AL297" i="11"/>
  <c r="AK297" i="11"/>
  <c r="V297" i="11"/>
  <c r="U297" i="11"/>
  <c r="M298" i="11"/>
  <c r="L298" i="11"/>
  <c r="V303" i="11"/>
  <c r="U303" i="11"/>
  <c r="V301" i="11"/>
  <c r="U301" i="11"/>
  <c r="AK298" i="11"/>
  <c r="AL298" i="11"/>
  <c r="U302" i="11"/>
  <c r="V302" i="11"/>
  <c r="C4480" i="3" l="1"/>
  <c r="C4481" i="3" s="1"/>
  <c r="C4482" i="3" l="1"/>
  <c r="C4483" i="3" s="1"/>
  <c r="CY108" i="11" s="1"/>
  <c r="CZ108" i="11" s="1"/>
  <c r="CX108" i="11" l="1"/>
  <c r="CU108" i="11"/>
  <c r="CW108" i="11"/>
  <c r="CV108" i="11"/>
  <c r="C4484" i="3"/>
  <c r="CY115" i="11" s="1"/>
  <c r="CZ115" i="11" s="1"/>
  <c r="BN108" i="11"/>
  <c r="BF108" i="11"/>
  <c r="BA108" i="11"/>
  <c r="CP108" i="11"/>
  <c r="AF108" i="11"/>
  <c r="AJ108" i="11"/>
  <c r="I108" i="11"/>
  <c r="AN108" i="11"/>
  <c r="AI108" i="11"/>
  <c r="CQ108" i="11"/>
  <c r="BX108" i="11"/>
  <c r="CG108" i="11"/>
  <c r="AZ108" i="11"/>
  <c r="AQ108" i="11"/>
  <c r="X108" i="11"/>
  <c r="AA108" i="11"/>
  <c r="AB108" i="11"/>
  <c r="BY108" i="11"/>
  <c r="CL108" i="11"/>
  <c r="Z108" i="11"/>
  <c r="O108" i="11"/>
  <c r="Q108" i="11"/>
  <c r="BR108" i="11"/>
  <c r="AW108" i="11"/>
  <c r="BO108" i="11"/>
  <c r="BE108" i="11"/>
  <c r="BP108" i="11"/>
  <c r="CM108" i="11"/>
  <c r="J108" i="11"/>
  <c r="S108" i="11"/>
  <c r="H108" i="11"/>
  <c r="K108" i="11"/>
  <c r="P108" i="11"/>
  <c r="T108" i="11"/>
  <c r="BZ108" i="11"/>
  <c r="CF108" i="11"/>
  <c r="AO108" i="11"/>
  <c r="BM108" i="11"/>
  <c r="G108" i="11"/>
  <c r="AS108" i="11"/>
  <c r="R108" i="11"/>
  <c r="CH108" i="11"/>
  <c r="CD108" i="11"/>
  <c r="AH108" i="11"/>
  <c r="BI108" i="11"/>
  <c r="BW108" i="11"/>
  <c r="AX108" i="11"/>
  <c r="BH108" i="11"/>
  <c r="CN108" i="11"/>
  <c r="Y108" i="11"/>
  <c r="BV108" i="11"/>
  <c r="AR108" i="11"/>
  <c r="BG108" i="11"/>
  <c r="AY108" i="11"/>
  <c r="CO108" i="11"/>
  <c r="AP108" i="11"/>
  <c r="AG108" i="11"/>
  <c r="CE108" i="11"/>
  <c r="BQ108" i="11"/>
  <c r="CW115" i="11" l="1"/>
  <c r="CX115" i="11"/>
  <c r="CV115" i="11"/>
  <c r="CU115" i="11"/>
  <c r="DC108" i="11"/>
  <c r="BJ108" i="11"/>
  <c r="BK108" i="11"/>
  <c r="V108" i="11"/>
  <c r="U108" i="11"/>
  <c r="CS108" i="11"/>
  <c r="CR108" i="11"/>
  <c r="BB108" i="11"/>
  <c r="BC108" i="11"/>
  <c r="L108" i="11"/>
  <c r="M108" i="11"/>
  <c r="CJ108" i="11"/>
  <c r="CI108" i="11"/>
  <c r="AL108" i="11"/>
  <c r="AK108" i="11"/>
  <c r="C4485" i="3"/>
  <c r="O115" i="11"/>
  <c r="G115" i="11"/>
  <c r="X115" i="11"/>
  <c r="I115" i="11"/>
  <c r="AH115" i="11"/>
  <c r="Z115" i="11"/>
  <c r="AS115" i="11"/>
  <c r="AN115" i="11"/>
  <c r="P115" i="11"/>
  <c r="AF115" i="11"/>
  <c r="AQ115" i="11"/>
  <c r="H115" i="11"/>
  <c r="Y115" i="11"/>
  <c r="R115" i="11"/>
  <c r="AB115" i="11"/>
  <c r="T115" i="11"/>
  <c r="AO115" i="11"/>
  <c r="J115" i="11"/>
  <c r="Q115" i="11"/>
  <c r="AG115" i="11"/>
  <c r="AI115" i="11"/>
  <c r="AP115" i="11"/>
  <c r="S115" i="11"/>
  <c r="K115" i="11"/>
  <c r="AJ115" i="11"/>
  <c r="AR115" i="11"/>
  <c r="BH115" i="11"/>
  <c r="BI115" i="11"/>
  <c r="BZ115" i="11"/>
  <c r="CH115" i="11"/>
  <c r="CQ115" i="11"/>
  <c r="BR115" i="11"/>
  <c r="CP115" i="11"/>
  <c r="AZ115" i="11"/>
  <c r="BM115" i="11"/>
  <c r="AW115" i="11"/>
  <c r="CM115" i="11"/>
  <c r="BN115" i="11"/>
  <c r="BO115" i="11"/>
  <c r="BX115" i="11"/>
  <c r="CF115" i="11"/>
  <c r="CO115" i="11"/>
  <c r="BG115" i="11"/>
  <c r="BY115" i="11"/>
  <c r="CG115" i="11"/>
  <c r="BE115" i="11"/>
  <c r="BA115" i="11"/>
  <c r="BP115" i="11"/>
  <c r="BV115" i="11"/>
  <c r="CE115" i="11"/>
  <c r="CD115" i="11"/>
  <c r="BW115" i="11"/>
  <c r="BQ115" i="11"/>
  <c r="AX115" i="11"/>
  <c r="AY115" i="11"/>
  <c r="BF115" i="11"/>
  <c r="CL115" i="11"/>
  <c r="CN115" i="11"/>
  <c r="AA115" i="11"/>
  <c r="AU108" i="11"/>
  <c r="AT108" i="11"/>
  <c r="CA108" i="11"/>
  <c r="CB108" i="11"/>
  <c r="BS108" i="11"/>
  <c r="BT108" i="11"/>
  <c r="AD108" i="11"/>
  <c r="AC108" i="11"/>
  <c r="DC115" i="11" l="1"/>
  <c r="BJ115" i="11"/>
  <c r="BK115" i="11"/>
  <c r="AT115" i="11"/>
  <c r="AU115" i="11"/>
  <c r="BS115" i="11"/>
  <c r="BT115" i="11"/>
  <c r="V115" i="11"/>
  <c r="U115" i="11"/>
  <c r="CS115" i="11"/>
  <c r="CR115" i="11"/>
  <c r="AK115" i="11"/>
  <c r="AL115" i="11"/>
  <c r="AD115" i="11"/>
  <c r="AC115" i="11"/>
  <c r="C4486" i="3"/>
  <c r="CJ115" i="11"/>
  <c r="CI115" i="11"/>
  <c r="BB115" i="11"/>
  <c r="BC115" i="11"/>
  <c r="CA115" i="11"/>
  <c r="CB115" i="11"/>
  <c r="L115" i="11"/>
  <c r="M115" i="11"/>
  <c r="C4487" i="3" l="1"/>
  <c r="C4488" i="3" l="1"/>
  <c r="CY208" i="11" s="1"/>
  <c r="CZ208" i="11" s="1"/>
  <c r="CW208" i="11" l="1"/>
  <c r="CX208" i="11"/>
  <c r="CV208" i="11"/>
  <c r="CU208" i="11"/>
  <c r="C4489" i="3"/>
  <c r="AI208" i="11"/>
  <c r="AF208" i="11"/>
  <c r="BR208" i="11"/>
  <c r="Z208" i="11"/>
  <c r="AA208" i="11"/>
  <c r="CQ208" i="11"/>
  <c r="CO208" i="11"/>
  <c r="BF208" i="11"/>
  <c r="AW208" i="11"/>
  <c r="BG208" i="11"/>
  <c r="AO208" i="11"/>
  <c r="BX208" i="11"/>
  <c r="I208" i="11"/>
  <c r="AY208" i="11"/>
  <c r="AX208" i="11"/>
  <c r="BQ208" i="11"/>
  <c r="AH208" i="11"/>
  <c r="BN208" i="11"/>
  <c r="AG208" i="11"/>
  <c r="BM208" i="11"/>
  <c r="Q208" i="11"/>
  <c r="G208" i="11"/>
  <c r="CH208" i="11"/>
  <c r="AS208" i="11"/>
  <c r="H208" i="11"/>
  <c r="O208" i="11"/>
  <c r="BA208" i="11"/>
  <c r="BZ208" i="11"/>
  <c r="CM208" i="11"/>
  <c r="CE208" i="11"/>
  <c r="R208" i="11"/>
  <c r="CF208" i="11"/>
  <c r="BY208" i="11"/>
  <c r="AQ208" i="11"/>
  <c r="BW208" i="11"/>
  <c r="CD208" i="11"/>
  <c r="T208" i="11"/>
  <c r="AP208" i="11"/>
  <c r="BE208" i="11"/>
  <c r="BP208" i="11"/>
  <c r="AN208" i="11"/>
  <c r="CP208" i="11"/>
  <c r="CN208" i="11"/>
  <c r="J208" i="11"/>
  <c r="AB208" i="11"/>
  <c r="CL208" i="11"/>
  <c r="AJ208" i="11"/>
  <c r="BO208" i="11"/>
  <c r="P208" i="11"/>
  <c r="X208" i="11"/>
  <c r="BH208" i="11"/>
  <c r="S208" i="11"/>
  <c r="Y208" i="11"/>
  <c r="K208" i="11"/>
  <c r="AZ208" i="11"/>
  <c r="BV208" i="11"/>
  <c r="CG208" i="11"/>
  <c r="BI208" i="11"/>
  <c r="AR208" i="11"/>
  <c r="DC208" i="11" l="1"/>
  <c r="C4490" i="3"/>
  <c r="CI208" i="11"/>
  <c r="CJ208" i="11"/>
  <c r="AB103" i="11"/>
  <c r="X103" i="11"/>
  <c r="BA103" i="11"/>
  <c r="BJ208" i="11"/>
  <c r="BK208" i="11"/>
  <c r="AC208" i="11"/>
  <c r="AD208" i="11"/>
  <c r="CA208" i="11"/>
  <c r="CB208" i="11"/>
  <c r="L208" i="11"/>
  <c r="M208" i="11"/>
  <c r="BC208" i="11"/>
  <c r="BB208" i="11"/>
  <c r="BT208" i="11"/>
  <c r="BS208" i="11"/>
  <c r="AL208" i="11"/>
  <c r="AK208" i="11"/>
  <c r="U208" i="11"/>
  <c r="V208" i="11"/>
  <c r="AT208" i="11"/>
  <c r="AU208" i="11"/>
  <c r="CR208" i="11"/>
  <c r="CS208" i="11"/>
  <c r="CU103" i="11" l="1"/>
  <c r="CV103" i="11"/>
  <c r="BI103" i="11"/>
  <c r="BK103" i="11" s="1"/>
  <c r="K103" i="11"/>
  <c r="L103" i="11" s="1"/>
  <c r="BF103" i="11"/>
  <c r="AW103" i="11"/>
  <c r="CN103" i="11"/>
  <c r="AJ103" i="11"/>
  <c r="AL103" i="11" s="1"/>
  <c r="AA103" i="11"/>
  <c r="CG103" i="11"/>
  <c r="AY103" i="11"/>
  <c r="BE103" i="11"/>
  <c r="J103" i="11"/>
  <c r="C4491" i="3"/>
  <c r="C4492" i="3" s="1"/>
  <c r="AP103" i="11"/>
  <c r="CF103" i="11"/>
  <c r="AN103" i="11"/>
  <c r="Z103" i="11"/>
  <c r="T103" i="11"/>
  <c r="V103" i="11" s="1"/>
  <c r="AF103" i="11"/>
  <c r="BO103" i="11"/>
  <c r="S103" i="11"/>
  <c r="Q103" i="11"/>
  <c r="BQ103" i="11"/>
  <c r="Y103" i="11"/>
  <c r="AO103" i="11"/>
  <c r="BW103" i="11"/>
  <c r="AG103" i="11"/>
  <c r="AQ103" i="11"/>
  <c r="CO103" i="11"/>
  <c r="AS103" i="11"/>
  <c r="AT103" i="11" s="1"/>
  <c r="I103" i="11"/>
  <c r="CM103" i="11"/>
  <c r="P103" i="11"/>
  <c r="CL103" i="11"/>
  <c r="BR103" i="11"/>
  <c r="BS103" i="11" s="1"/>
  <c r="AI103" i="11"/>
  <c r="O103" i="11"/>
  <c r="CH103" i="11"/>
  <c r="CJ103" i="11" s="1"/>
  <c r="CD103" i="11"/>
  <c r="AH103" i="11"/>
  <c r="BX103" i="11"/>
  <c r="G103" i="11"/>
  <c r="CP103" i="11"/>
  <c r="H103" i="11"/>
  <c r="BG103" i="11"/>
  <c r="AX103" i="11"/>
  <c r="BN103" i="11"/>
  <c r="AZ103" i="11"/>
  <c r="CQ103" i="11"/>
  <c r="CR103" i="11" s="1"/>
  <c r="CE103" i="11"/>
  <c r="AR103" i="11"/>
  <c r="BZ103" i="11"/>
  <c r="CA103" i="11" s="1"/>
  <c r="BY103" i="11"/>
  <c r="BP103" i="11"/>
  <c r="BV103" i="11"/>
  <c r="R103" i="11"/>
  <c r="BH103" i="11"/>
  <c r="BM103" i="11"/>
  <c r="AD103" i="11"/>
  <c r="AC103" i="11"/>
  <c r="BB103" i="11"/>
  <c r="BC103" i="11"/>
  <c r="BJ103" i="11" l="1"/>
  <c r="AK103" i="11"/>
  <c r="M103" i="11"/>
  <c r="DC103" i="11"/>
  <c r="U103" i="11"/>
  <c r="AU103" i="11"/>
  <c r="CI103" i="11"/>
  <c r="BT103" i="11"/>
  <c r="CS103" i="11"/>
  <c r="CB103" i="11"/>
  <c r="C4493" i="3"/>
  <c r="C4494" i="3" l="1"/>
  <c r="C4495" i="3" s="1"/>
  <c r="C4496" i="3" l="1"/>
  <c r="C4497" i="3" s="1"/>
  <c r="C4498" i="3" s="1"/>
  <c r="CY262" i="11" s="1"/>
  <c r="CZ262" i="11" s="1"/>
  <c r="AJ262" i="11"/>
  <c r="CW262" i="11" l="1"/>
  <c r="CX262" i="11"/>
  <c r="CV262" i="11"/>
  <c r="CU262" i="11"/>
  <c r="C4499" i="3"/>
  <c r="AB262" i="11"/>
  <c r="AD262" i="11" s="1"/>
  <c r="O262" i="11"/>
  <c r="CN262" i="11"/>
  <c r="BF262" i="11"/>
  <c r="CL262" i="11"/>
  <c r="CD262" i="11"/>
  <c r="AN262" i="11"/>
  <c r="BQ262" i="11"/>
  <c r="R262" i="11"/>
  <c r="AX262" i="11"/>
  <c r="AO262" i="11"/>
  <c r="BZ262" i="11"/>
  <c r="CB262" i="11" s="1"/>
  <c r="S262" i="11"/>
  <c r="Q262" i="11"/>
  <c r="AG262" i="11"/>
  <c r="J262" i="11"/>
  <c r="BI262" i="11"/>
  <c r="BJ262" i="11" s="1"/>
  <c r="CG262" i="11"/>
  <c r="P262" i="11"/>
  <c r="BN262" i="11"/>
  <c r="Y262" i="11"/>
  <c r="BE262" i="11"/>
  <c r="G262" i="11"/>
  <c r="BH262" i="11"/>
  <c r="CF262" i="11"/>
  <c r="AP262" i="11"/>
  <c r="Z262" i="11"/>
  <c r="AR262" i="11"/>
  <c r="BM262" i="11"/>
  <c r="CO262" i="11"/>
  <c r="BW262" i="11"/>
  <c r="BY262" i="11"/>
  <c r="T262" i="11"/>
  <c r="V262" i="11" s="1"/>
  <c r="BV262" i="11"/>
  <c r="AZ262" i="11"/>
  <c r="BO262" i="11"/>
  <c r="BR262" i="11"/>
  <c r="BT262" i="11" s="1"/>
  <c r="AF262" i="11"/>
  <c r="CP262" i="11"/>
  <c r="BP262" i="11"/>
  <c r="AQ262" i="11"/>
  <c r="AH262" i="11"/>
  <c r="AA262" i="11"/>
  <c r="CH262" i="11"/>
  <c r="CI262" i="11" s="1"/>
  <c r="BG262" i="11"/>
  <c r="AI262" i="11"/>
  <c r="CE262" i="11"/>
  <c r="I262" i="11"/>
  <c r="X262" i="11"/>
  <c r="AS262" i="11"/>
  <c r="AU262" i="11" s="1"/>
  <c r="AY262" i="11"/>
  <c r="H262" i="11"/>
  <c r="BX262" i="11"/>
  <c r="BA262" i="11"/>
  <c r="BC262" i="11" s="1"/>
  <c r="K262" i="11"/>
  <c r="M262" i="11" s="1"/>
  <c r="CQ262" i="11"/>
  <c r="CS262" i="11" s="1"/>
  <c r="AW262" i="11"/>
  <c r="CM262" i="11"/>
  <c r="C4500" i="3"/>
  <c r="AK262" i="11"/>
  <c r="AL262" i="11"/>
  <c r="AC262" i="11" l="1"/>
  <c r="U262" i="11"/>
  <c r="BS262" i="11"/>
  <c r="CJ262" i="11"/>
  <c r="BB262" i="11"/>
  <c r="AT262" i="11"/>
  <c r="CR262" i="11"/>
  <c r="L262" i="11"/>
  <c r="BK262" i="11"/>
  <c r="CA262" i="11"/>
  <c r="DC262" i="11"/>
  <c r="C4501" i="3"/>
  <c r="C4502" i="3" s="1"/>
  <c r="C4503" i="3" s="1"/>
  <c r="C4504" i="3" s="1"/>
  <c r="C4505" i="3" l="1"/>
  <c r="C4506" i="3" l="1"/>
  <c r="C4507" i="3" l="1"/>
  <c r="C4508" i="3" s="1"/>
  <c r="C4509" i="3" l="1"/>
  <c r="C4510" i="3" s="1"/>
  <c r="C4511" i="3" l="1"/>
  <c r="C4513" i="3" s="1"/>
  <c r="C4514" i="3" s="1"/>
  <c r="C4515" i="3" l="1"/>
  <c r="C4516" i="3" s="1"/>
  <c r="C4517" i="3" s="1"/>
  <c r="C4518" i="3" s="1"/>
  <c r="C4519" i="3" l="1"/>
  <c r="C4520" i="3"/>
  <c r="C4521" i="3" s="1"/>
  <c r="C4522" i="3" l="1"/>
  <c r="C4523" i="3" s="1"/>
  <c r="C4524" i="3" s="1"/>
  <c r="C4525" i="3" l="1"/>
  <c r="CY177" i="11" s="1"/>
  <c r="CZ177" i="11" s="1"/>
  <c r="CW177" i="11" l="1"/>
  <c r="CX177" i="11"/>
  <c r="CV177" i="11"/>
  <c r="CU177" i="11"/>
  <c r="C4526" i="3"/>
  <c r="AO177" i="11"/>
  <c r="G177" i="11"/>
  <c r="AQ177" i="11"/>
  <c r="AP177" i="11"/>
  <c r="X177" i="11"/>
  <c r="AR177" i="11"/>
  <c r="R177" i="11"/>
  <c r="S177" i="11"/>
  <c r="AB177" i="11"/>
  <c r="J177" i="11"/>
  <c r="AF177" i="11"/>
  <c r="O177" i="11"/>
  <c r="AG177" i="11"/>
  <c r="Q177" i="11"/>
  <c r="AA177" i="11"/>
  <c r="Z177" i="11"/>
  <c r="K177" i="11"/>
  <c r="AS177" i="11"/>
  <c r="P177" i="11"/>
  <c r="AN177" i="11"/>
  <c r="AH177" i="11"/>
  <c r="Y177" i="11"/>
  <c r="H177" i="11"/>
  <c r="I177" i="11"/>
  <c r="AI177" i="11"/>
  <c r="T177" i="11"/>
  <c r="AJ177" i="11"/>
  <c r="BH177" i="11"/>
  <c r="BI177" i="11"/>
  <c r="BZ177" i="11"/>
  <c r="CH177" i="11"/>
  <c r="BR177" i="11"/>
  <c r="CQ177" i="11"/>
  <c r="CO177" i="11"/>
  <c r="BA177" i="11"/>
  <c r="AX177" i="11"/>
  <c r="BO177" i="11"/>
  <c r="BQ177" i="11"/>
  <c r="BW177" i="11"/>
  <c r="CE177" i="11"/>
  <c r="AW177" i="11"/>
  <c r="CP177" i="11"/>
  <c r="BF177" i="11"/>
  <c r="BG177" i="11"/>
  <c r="BE177" i="11"/>
  <c r="AZ177" i="11"/>
  <c r="BM177" i="11"/>
  <c r="BN177" i="11"/>
  <c r="BY177" i="11"/>
  <c r="CN177" i="11"/>
  <c r="CM177" i="11"/>
  <c r="BP177" i="11"/>
  <c r="BX177" i="11"/>
  <c r="CG177" i="11"/>
  <c r="CF177" i="11"/>
  <c r="CD177" i="11"/>
  <c r="BV177" i="11"/>
  <c r="AY177" i="11"/>
  <c r="CL177" i="11"/>
  <c r="DC177" i="11" l="1"/>
  <c r="CB177" i="11"/>
  <c r="CA177" i="11"/>
  <c r="V177" i="11"/>
  <c r="U177" i="11"/>
  <c r="BC177" i="11"/>
  <c r="BB177" i="11"/>
  <c r="BK177" i="11"/>
  <c r="BJ177" i="11"/>
  <c r="AD177" i="11"/>
  <c r="AC177" i="11"/>
  <c r="CS177" i="11"/>
  <c r="CR177" i="11"/>
  <c r="BS177" i="11"/>
  <c r="BT177" i="11"/>
  <c r="AT177" i="11"/>
  <c r="AU177" i="11"/>
  <c r="CI177" i="11"/>
  <c r="CJ177" i="11"/>
  <c r="AK177" i="11"/>
  <c r="AL177" i="11"/>
  <c r="M177" i="11"/>
  <c r="L177" i="11"/>
  <c r="C4527" i="3"/>
  <c r="C4528" i="3" s="1"/>
  <c r="C4529" i="3" s="1"/>
  <c r="C4530" i="3" s="1"/>
  <c r="C4531" i="3" l="1"/>
  <c r="C4532" i="3" s="1"/>
  <c r="C4533" i="3" l="1"/>
  <c r="C4534" i="3" l="1"/>
  <c r="C4536" i="3" s="1"/>
  <c r="C4537" i="3" s="1"/>
  <c r="C4538" i="3" l="1"/>
  <c r="C4539" i="3" s="1"/>
  <c r="C4540" i="3" s="1"/>
  <c r="C4541" i="3" l="1"/>
  <c r="C4542" i="3" s="1"/>
  <c r="CV328" i="11" l="1"/>
  <c r="CW328" i="11"/>
  <c r="CX328" i="11"/>
  <c r="CU328" i="11"/>
  <c r="BV328" i="11"/>
  <c r="BY328" i="11"/>
  <c r="BN328" i="11"/>
  <c r="AS328" i="11"/>
  <c r="AT328" i="11" s="1"/>
  <c r="BI328" i="11"/>
  <c r="BK328" i="11" s="1"/>
  <c r="C4543" i="3"/>
  <c r="C4544" i="3" s="1"/>
  <c r="CY95" i="11" s="1"/>
  <c r="CZ95" i="11" s="1"/>
  <c r="AB328" i="11"/>
  <c r="AD328" i="11" s="1"/>
  <c r="BM328" i="11"/>
  <c r="BW328" i="11"/>
  <c r="T328" i="11"/>
  <c r="V328" i="11" s="1"/>
  <c r="BR328" i="11"/>
  <c r="BS328" i="11" s="1"/>
  <c r="BX328" i="11"/>
  <c r="BZ328" i="11"/>
  <c r="CB328" i="11" s="1"/>
  <c r="BP328" i="11"/>
  <c r="AJ328" i="11"/>
  <c r="AL328" i="11" s="1"/>
  <c r="BQ328" i="11"/>
  <c r="CH328" i="11"/>
  <c r="CJ328" i="11" s="1"/>
  <c r="BA328" i="11"/>
  <c r="BB328" i="11" s="1"/>
  <c r="K328" i="11"/>
  <c r="BO328" i="11"/>
  <c r="AO328" i="11"/>
  <c r="AF328" i="11"/>
  <c r="AI328" i="11"/>
  <c r="Q328" i="11"/>
  <c r="CD328" i="11"/>
  <c r="BG328" i="11"/>
  <c r="AG328" i="11"/>
  <c r="J328" i="11"/>
  <c r="AH328" i="11"/>
  <c r="S328" i="11"/>
  <c r="AY328" i="11"/>
  <c r="H328" i="11"/>
  <c r="O328" i="11"/>
  <c r="CF328" i="11"/>
  <c r="G328" i="11"/>
  <c r="BE328" i="11"/>
  <c r="Z328" i="11"/>
  <c r="X328" i="11"/>
  <c r="CE328" i="11"/>
  <c r="BH328" i="11"/>
  <c r="AX328" i="11"/>
  <c r="CO328" i="11"/>
  <c r="AN328" i="11"/>
  <c r="I328" i="11"/>
  <c r="AP328" i="11"/>
  <c r="BF328" i="11"/>
  <c r="CL328" i="11"/>
  <c r="AA328" i="11"/>
  <c r="AQ328" i="11"/>
  <c r="AW328" i="11"/>
  <c r="CP328" i="11"/>
  <c r="R328" i="11"/>
  <c r="CG328" i="11"/>
  <c r="AZ328" i="11"/>
  <c r="CQ328" i="11"/>
  <c r="CS328" i="11" s="1"/>
  <c r="CN328" i="11"/>
  <c r="AR328" i="11"/>
  <c r="P328" i="11"/>
  <c r="Y328" i="11"/>
  <c r="CX95" i="11" l="1"/>
  <c r="CW95" i="11"/>
  <c r="CV95" i="11"/>
  <c r="CU95" i="11"/>
  <c r="M328" i="11"/>
  <c r="DC328" i="11"/>
  <c r="L328" i="11"/>
  <c r="AC328" i="11"/>
  <c r="CA328" i="11"/>
  <c r="AU328" i="11"/>
  <c r="BC328" i="11"/>
  <c r="AK328" i="11"/>
  <c r="BT328" i="11"/>
  <c r="BJ328" i="11"/>
  <c r="CI328" i="11"/>
  <c r="U328" i="11"/>
  <c r="CR328" i="11"/>
  <c r="C4545" i="3"/>
  <c r="AF95" i="11"/>
  <c r="H95" i="11"/>
  <c r="AQ95" i="11"/>
  <c r="X95" i="11"/>
  <c r="R95" i="11"/>
  <c r="Z95" i="11"/>
  <c r="T95" i="11"/>
  <c r="AJ95" i="11"/>
  <c r="O95" i="11"/>
  <c r="G95" i="11"/>
  <c r="J95" i="11"/>
  <c r="Q95" i="11"/>
  <c r="AP95" i="11"/>
  <c r="AO95" i="11"/>
  <c r="AB95" i="11"/>
  <c r="AS95" i="11"/>
  <c r="AN95" i="11"/>
  <c r="P95" i="11"/>
  <c r="AG95" i="11"/>
  <c r="Y95" i="11"/>
  <c r="I95" i="11"/>
  <c r="AH95" i="11"/>
  <c r="K95" i="11"/>
  <c r="CN95" i="11"/>
  <c r="CH95" i="11"/>
  <c r="BI95" i="11"/>
  <c r="BZ95" i="11"/>
  <c r="CQ95" i="11"/>
  <c r="BR95" i="11"/>
  <c r="BH95" i="11"/>
  <c r="BE95" i="11"/>
  <c r="AY95" i="11"/>
  <c r="BA95" i="11"/>
  <c r="BO95" i="11"/>
  <c r="BP95" i="11"/>
  <c r="CD95" i="11"/>
  <c r="BW95" i="11"/>
  <c r="CF95" i="11"/>
  <c r="CG95" i="11"/>
  <c r="CM95" i="11"/>
  <c r="BG95" i="11"/>
  <c r="BN95" i="11"/>
  <c r="BY95" i="11"/>
  <c r="CE95" i="11"/>
  <c r="S95" i="11"/>
  <c r="AI95" i="11"/>
  <c r="CO95" i="11"/>
  <c r="BM95" i="11"/>
  <c r="BV95" i="11"/>
  <c r="AW95" i="11"/>
  <c r="AR95" i="11"/>
  <c r="AA95" i="11"/>
  <c r="CP95" i="11"/>
  <c r="BX95" i="11"/>
  <c r="BQ95" i="11"/>
  <c r="AZ95" i="11"/>
  <c r="AX95" i="11"/>
  <c r="BF95" i="11"/>
  <c r="CL95" i="11"/>
  <c r="C4546" i="3"/>
  <c r="DC95" i="11" l="1"/>
  <c r="CR95" i="11"/>
  <c r="CS95" i="11"/>
  <c r="AL95" i="11"/>
  <c r="AK95" i="11"/>
  <c r="BB95" i="11"/>
  <c r="BC95" i="11"/>
  <c r="CA95" i="11"/>
  <c r="CB95" i="11"/>
  <c r="L95" i="11"/>
  <c r="M95" i="11"/>
  <c r="V95" i="11"/>
  <c r="U95" i="11"/>
  <c r="BJ95" i="11"/>
  <c r="BK95" i="11"/>
  <c r="AT95" i="11"/>
  <c r="AU95" i="11"/>
  <c r="BS95" i="11"/>
  <c r="BT95" i="11"/>
  <c r="CI95" i="11"/>
  <c r="CJ95" i="11"/>
  <c r="AD95" i="11"/>
  <c r="AC95" i="11"/>
  <c r="C4547" i="3"/>
  <c r="C4548" i="3" l="1"/>
  <c r="C4549" i="3" s="1"/>
  <c r="C4550" i="3" l="1"/>
  <c r="C4551" i="3" s="1"/>
  <c r="Z217" i="11"/>
  <c r="Z140" i="11"/>
  <c r="Z87" i="11"/>
  <c r="Z68" i="11"/>
  <c r="S261" i="11"/>
  <c r="S63" i="11"/>
  <c r="AQ217" i="11"/>
  <c r="AQ180" i="11"/>
  <c r="AQ14" i="11"/>
  <c r="AH87" i="11"/>
  <c r="Q180" i="11"/>
  <c r="H47" i="11"/>
  <c r="AA180" i="11"/>
  <c r="AA79" i="11"/>
  <c r="AA36" i="11"/>
  <c r="AR217" i="11"/>
  <c r="AR269" i="11"/>
  <c r="AI264" i="11"/>
  <c r="AI47" i="11"/>
  <c r="C4552" i="3" l="1"/>
  <c r="J42" i="11"/>
  <c r="Z10" i="11"/>
  <c r="S10" i="11"/>
  <c r="AA10" i="11"/>
  <c r="AI10" i="11"/>
  <c r="C4553" i="3" l="1"/>
  <c r="C4554" i="3" l="1"/>
  <c r="C4555" i="3" s="1"/>
  <c r="C4556" i="3" s="1"/>
  <c r="C4557" i="3" s="1"/>
  <c r="CY155" i="11" s="1"/>
  <c r="CZ155" i="11" s="1"/>
  <c r="CV155" i="11" l="1"/>
  <c r="CW155" i="11"/>
  <c r="CX155" i="11"/>
  <c r="CU155" i="11"/>
  <c r="C4558" i="3"/>
  <c r="C4560" i="3" s="1"/>
  <c r="C4561" i="3" s="1"/>
  <c r="C4562" i="3" s="1"/>
  <c r="C4563" i="3" s="1"/>
  <c r="AY155" i="11"/>
  <c r="Z155" i="11"/>
  <c r="AA155" i="11"/>
  <c r="CF155" i="11"/>
  <c r="BF155" i="11"/>
  <c r="Q155" i="11"/>
  <c r="AW155" i="11"/>
  <c r="BO155" i="11"/>
  <c r="R155" i="11"/>
  <c r="K155" i="11"/>
  <c r="BN155" i="11"/>
  <c r="AQ155" i="11"/>
  <c r="BQ155" i="11"/>
  <c r="AP155" i="11"/>
  <c r="BA155" i="11"/>
  <c r="J155" i="11"/>
  <c r="AR155" i="11"/>
  <c r="CE155" i="11"/>
  <c r="AX155" i="11"/>
  <c r="AH155" i="11"/>
  <c r="BV155" i="11"/>
  <c r="AO155" i="11"/>
  <c r="BZ155" i="11"/>
  <c r="CG155" i="11"/>
  <c r="BM155" i="11"/>
  <c r="O155" i="11"/>
  <c r="BP155" i="11"/>
  <c r="I155" i="11"/>
  <c r="AJ155" i="11"/>
  <c r="CD155" i="11"/>
  <c r="BG155" i="11"/>
  <c r="AI155" i="11"/>
  <c r="CQ155" i="11"/>
  <c r="CL155" i="11"/>
  <c r="P155" i="11"/>
  <c r="CP155" i="11"/>
  <c r="BE155" i="11"/>
  <c r="AG155" i="11"/>
  <c r="CH155" i="11"/>
  <c r="AZ155" i="11"/>
  <c r="AN155" i="11"/>
  <c r="AB155" i="11"/>
  <c r="BY155" i="11"/>
  <c r="CM155" i="11"/>
  <c r="X155" i="11"/>
  <c r="BX155" i="11"/>
  <c r="Y155" i="11"/>
  <c r="CO155" i="11"/>
  <c r="G155" i="11"/>
  <c r="BR155" i="11"/>
  <c r="CN155" i="11"/>
  <c r="S155" i="11"/>
  <c r="BI155" i="11"/>
  <c r="BH155" i="11"/>
  <c r="AF155" i="11"/>
  <c r="T155" i="11"/>
  <c r="BW155" i="11"/>
  <c r="H155" i="11"/>
  <c r="AS155" i="11"/>
  <c r="DC155" i="11" l="1"/>
  <c r="V155" i="11"/>
  <c r="U155" i="11"/>
  <c r="AD155" i="11"/>
  <c r="AC155" i="11"/>
  <c r="BJ155" i="11"/>
  <c r="BK155" i="11"/>
  <c r="AK155" i="11"/>
  <c r="AL155" i="11"/>
  <c r="L155" i="11"/>
  <c r="M155" i="11"/>
  <c r="CA155" i="11"/>
  <c r="CB155" i="11"/>
  <c r="CJ155" i="11"/>
  <c r="CI155" i="11"/>
  <c r="CS155" i="11"/>
  <c r="CR155" i="11"/>
  <c r="AT155" i="11"/>
  <c r="AU155" i="11"/>
  <c r="BS155" i="11"/>
  <c r="BT155" i="11"/>
  <c r="BB155" i="11"/>
  <c r="BC155" i="11"/>
  <c r="C4564" i="3"/>
  <c r="C4566" i="3" l="1"/>
  <c r="C4567" i="3" s="1"/>
  <c r="C4568" i="3" s="1"/>
  <c r="C4569" i="3" s="1"/>
  <c r="C4570" i="3" s="1"/>
  <c r="C4571" i="3" s="1"/>
  <c r="C4572" i="3" s="1"/>
  <c r="C4573" i="3" s="1"/>
  <c r="C4575" i="3" s="1"/>
  <c r="C4565" i="3"/>
  <c r="C4576" i="3" l="1"/>
  <c r="C4577" i="3" s="1"/>
  <c r="C4578" i="3" s="1"/>
  <c r="C4579" i="3" l="1"/>
  <c r="C4580" i="3" l="1"/>
  <c r="C4581" i="3" l="1"/>
  <c r="C4582" i="3" l="1"/>
  <c r="C4583" i="3" s="1"/>
  <c r="C4585" i="3" l="1"/>
  <c r="C4586" i="3" l="1"/>
  <c r="C4589" i="3" l="1"/>
  <c r="C4590" i="3" s="1"/>
  <c r="C4587" i="3"/>
  <c r="C4588" i="3" s="1"/>
  <c r="C4591" i="3" l="1"/>
  <c r="C4592" i="3" s="1"/>
  <c r="C4593" i="3" s="1"/>
  <c r="CY186" i="11" s="1"/>
  <c r="CZ186" i="11" s="1"/>
  <c r="J75" i="11"/>
  <c r="O75" i="11"/>
  <c r="P75" i="11"/>
  <c r="AF75" i="11"/>
  <c r="AN75" i="11"/>
  <c r="G75" i="11"/>
  <c r="AO75" i="11"/>
  <c r="Q75" i="11"/>
  <c r="AG75" i="11"/>
  <c r="AP75" i="11"/>
  <c r="Y75" i="11"/>
  <c r="H75" i="11"/>
  <c r="AH75" i="11"/>
  <c r="Q67" i="11"/>
  <c r="AG67" i="11"/>
  <c r="P67" i="11"/>
  <c r="I67" i="11"/>
  <c r="R67" i="11"/>
  <c r="Y67" i="11"/>
  <c r="AP67" i="11"/>
  <c r="AI67" i="11"/>
  <c r="S67" i="11"/>
  <c r="AA67" i="11"/>
  <c r="AH67" i="11"/>
  <c r="AR67" i="11"/>
  <c r="Z67" i="11"/>
  <c r="CV186" i="11" l="1"/>
  <c r="CW186" i="11"/>
  <c r="CU186" i="11"/>
  <c r="CX186" i="11"/>
  <c r="R186" i="11"/>
  <c r="BR186" i="11"/>
  <c r="AA186" i="11"/>
  <c r="AR186" i="11"/>
  <c r="Y186" i="11"/>
  <c r="BO186" i="11"/>
  <c r="CQ186" i="11"/>
  <c r="AG186" i="11"/>
  <c r="CM186" i="11"/>
  <c r="BG186" i="11"/>
  <c r="I186" i="11"/>
  <c r="CD186" i="11"/>
  <c r="AF186" i="11"/>
  <c r="BW186" i="11"/>
  <c r="CG186" i="11"/>
  <c r="CP186" i="11"/>
  <c r="AO186" i="11"/>
  <c r="O186" i="11"/>
  <c r="BX186" i="11"/>
  <c r="CE186" i="11"/>
  <c r="T186" i="11"/>
  <c r="AS186" i="11"/>
  <c r="AJ186" i="11"/>
  <c r="AW186" i="11"/>
  <c r="H186" i="11"/>
  <c r="X186" i="11"/>
  <c r="AZ186" i="11"/>
  <c r="BZ186" i="11"/>
  <c r="BF186" i="11"/>
  <c r="BY186" i="11"/>
  <c r="G186" i="11"/>
  <c r="J186" i="11"/>
  <c r="CN186" i="11"/>
  <c r="BQ186" i="11"/>
  <c r="P186" i="11"/>
  <c r="CH186" i="11"/>
  <c r="K186" i="11"/>
  <c r="CF186" i="11"/>
  <c r="BE186" i="11"/>
  <c r="C4594" i="3"/>
  <c r="Q186" i="11"/>
  <c r="BP186" i="11"/>
  <c r="AB186" i="11"/>
  <c r="CL186" i="11"/>
  <c r="AN186" i="11"/>
  <c r="AI186" i="11"/>
  <c r="AQ186" i="11"/>
  <c r="BI186" i="11"/>
  <c r="BH186" i="11"/>
  <c r="S186" i="11"/>
  <c r="Z186" i="11"/>
  <c r="AP186" i="11"/>
  <c r="BN186" i="11"/>
  <c r="BA186" i="11"/>
  <c r="CO186" i="11"/>
  <c r="BM186" i="11"/>
  <c r="BV186" i="11"/>
  <c r="AH186" i="11"/>
  <c r="AY186" i="11"/>
  <c r="AX186" i="11"/>
  <c r="DC186" i="11" l="1"/>
  <c r="CI186" i="11"/>
  <c r="CJ186" i="11"/>
  <c r="BS186" i="11"/>
  <c r="BT186" i="11"/>
  <c r="C4595" i="3"/>
  <c r="CY237" i="11" s="1"/>
  <c r="CZ237" i="11" s="1"/>
  <c r="CR186" i="11"/>
  <c r="CS186" i="11"/>
  <c r="CB186" i="11"/>
  <c r="CA186" i="11"/>
  <c r="AL186" i="11"/>
  <c r="AK186" i="11"/>
  <c r="BC186" i="11"/>
  <c r="BB186" i="11"/>
  <c r="BK186" i="11"/>
  <c r="BJ186" i="11"/>
  <c r="AU186" i="11"/>
  <c r="AT186" i="11"/>
  <c r="AD186" i="11"/>
  <c r="AC186" i="11"/>
  <c r="M186" i="11"/>
  <c r="L186" i="11"/>
  <c r="U186" i="11"/>
  <c r="V186" i="11"/>
  <c r="CX237" i="11" l="1"/>
  <c r="CW237" i="11"/>
  <c r="CV237" i="11"/>
  <c r="CU237" i="11"/>
  <c r="C4596" i="3"/>
  <c r="AB237" i="11"/>
  <c r="K237" i="11"/>
  <c r="Z237" i="11"/>
  <c r="BO237" i="11"/>
  <c r="BP237" i="11"/>
  <c r="AA237" i="11"/>
  <c r="AQ237" i="11"/>
  <c r="CN237" i="11"/>
  <c r="BX237" i="11"/>
  <c r="AI237" i="11"/>
  <c r="AN237" i="11"/>
  <c r="G237" i="11"/>
  <c r="AR237" i="11"/>
  <c r="CD237" i="11"/>
  <c r="H237" i="11"/>
  <c r="BE237" i="11"/>
  <c r="AG237" i="11"/>
  <c r="CE237" i="11"/>
  <c r="BH237" i="11"/>
  <c r="BG237" i="11"/>
  <c r="Y237" i="11"/>
  <c r="Q237" i="11"/>
  <c r="BN237" i="11"/>
  <c r="CG237" i="11"/>
  <c r="CM237" i="11"/>
  <c r="BF237" i="11"/>
  <c r="J237" i="11"/>
  <c r="AX237" i="11"/>
  <c r="BI237" i="11"/>
  <c r="AY237" i="11"/>
  <c r="AW237" i="11"/>
  <c r="BQ237" i="11"/>
  <c r="CP237" i="11"/>
  <c r="AO237" i="11"/>
  <c r="BV237" i="11"/>
  <c r="BY237" i="11"/>
  <c r="AS237" i="11"/>
  <c r="AJ237" i="11"/>
  <c r="BR237" i="11"/>
  <c r="BM237" i="11"/>
  <c r="O237" i="11"/>
  <c r="I237" i="11"/>
  <c r="CQ237" i="11"/>
  <c r="X237" i="11"/>
  <c r="AP237" i="11"/>
  <c r="AF237" i="11"/>
  <c r="CF237" i="11"/>
  <c r="R237" i="11"/>
  <c r="CO237" i="11"/>
  <c r="S237" i="11"/>
  <c r="AH237" i="11"/>
  <c r="CH237" i="11"/>
  <c r="BZ237" i="11"/>
  <c r="T237" i="11"/>
  <c r="CL237" i="11"/>
  <c r="AZ237" i="11"/>
  <c r="BA237" i="11"/>
  <c r="P237" i="11"/>
  <c r="BW237" i="11"/>
  <c r="DC237" i="11" l="1"/>
  <c r="V237" i="11"/>
  <c r="U237" i="11"/>
  <c r="CS237" i="11"/>
  <c r="CR237" i="11"/>
  <c r="AK237" i="11"/>
  <c r="AL237" i="11"/>
  <c r="CB237" i="11"/>
  <c r="CA237" i="11"/>
  <c r="AU237" i="11"/>
  <c r="AT237" i="11"/>
  <c r="CJ237" i="11"/>
  <c r="CI237" i="11"/>
  <c r="M237" i="11"/>
  <c r="L237" i="11"/>
  <c r="AC237" i="11"/>
  <c r="AD237" i="11"/>
  <c r="BB237" i="11"/>
  <c r="BC237" i="11"/>
  <c r="C4597" i="3"/>
  <c r="BT237" i="11"/>
  <c r="BS237" i="11"/>
  <c r="BK237" i="11"/>
  <c r="BJ237" i="11"/>
  <c r="C4598" i="3" l="1"/>
  <c r="C4599" i="3" s="1"/>
  <c r="C4600" i="3" l="1"/>
  <c r="C4601" i="3" s="1"/>
  <c r="C4602" i="3" l="1"/>
  <c r="C4604" i="3" l="1"/>
  <c r="C4605" i="3" s="1"/>
  <c r="C4606" i="3" s="1"/>
  <c r="C4607" i="3" s="1"/>
  <c r="C4608" i="3" s="1"/>
  <c r="C4609" i="3" l="1"/>
  <c r="C4610" i="3" s="1"/>
  <c r="AQ107" i="11"/>
  <c r="S107" i="11"/>
  <c r="AR107" i="11"/>
  <c r="J128" i="11"/>
  <c r="AF128" i="11"/>
  <c r="AN128" i="11"/>
  <c r="AO128" i="11"/>
  <c r="P128" i="11"/>
  <c r="H128" i="11"/>
  <c r="G128" i="11"/>
  <c r="O128" i="11"/>
  <c r="Q128" i="11"/>
  <c r="AH128" i="11"/>
  <c r="AF107" i="11"/>
  <c r="H107" i="11"/>
  <c r="X107" i="11"/>
  <c r="P107" i="11"/>
  <c r="AG107" i="11"/>
  <c r="AP107" i="11"/>
  <c r="G107" i="11"/>
  <c r="AH107" i="11"/>
  <c r="I107" i="11"/>
  <c r="Q107" i="11"/>
  <c r="Y107" i="11"/>
  <c r="Z107" i="11"/>
  <c r="R107" i="11"/>
  <c r="C4611" i="3" l="1"/>
  <c r="C4612" i="3" s="1"/>
  <c r="C4613" i="3" l="1"/>
  <c r="C4614" i="3" l="1"/>
  <c r="C4615" i="3" l="1"/>
  <c r="CY243" i="11" s="1"/>
  <c r="CZ243" i="11" s="1"/>
  <c r="Y243" i="11"/>
  <c r="Z243" i="11"/>
  <c r="P243" i="11"/>
  <c r="T243" i="11"/>
  <c r="AF243" i="11"/>
  <c r="O243" i="11"/>
  <c r="Q243" i="11"/>
  <c r="R243" i="11"/>
  <c r="I243" i="11"/>
  <c r="AI243" i="11"/>
  <c r="S243" i="11"/>
  <c r="K243" i="11"/>
  <c r="J243" i="11"/>
  <c r="AN243" i="11"/>
  <c r="G243" i="11"/>
  <c r="AH243" i="11"/>
  <c r="AG243" i="11"/>
  <c r="AQ243" i="11"/>
  <c r="AA243" i="11"/>
  <c r="AR243" i="11"/>
  <c r="AS243" i="11"/>
  <c r="AJ243" i="11"/>
  <c r="CH243" i="11"/>
  <c r="BI243" i="11"/>
  <c r="CQ243" i="11"/>
  <c r="CF243" i="11"/>
  <c r="BR243" i="11"/>
  <c r="BZ243" i="11"/>
  <c r="CN243" i="11"/>
  <c r="BF243" i="11"/>
  <c r="BG243" i="11"/>
  <c r="BA243" i="11"/>
  <c r="BW243" i="11"/>
  <c r="AY243" i="11"/>
  <c r="AZ243" i="11"/>
  <c r="BO243" i="11"/>
  <c r="BV243" i="11"/>
  <c r="AW243" i="11"/>
  <c r="X243" i="11"/>
  <c r="CL243" i="11"/>
  <c r="BM243" i="11"/>
  <c r="CE243" i="11"/>
  <c r="CP243" i="11"/>
  <c r="CO243" i="11"/>
  <c r="CM243" i="11"/>
  <c r="BP243" i="11"/>
  <c r="BQ243" i="11"/>
  <c r="BX243" i="11"/>
  <c r="CD243" i="11"/>
  <c r="CG243" i="11"/>
  <c r="BY243" i="11"/>
  <c r="BN243" i="11"/>
  <c r="AX243" i="11"/>
  <c r="BE243" i="11"/>
  <c r="BH243" i="11"/>
  <c r="CX243" i="11" l="1"/>
  <c r="CW243" i="11"/>
  <c r="CV243" i="11"/>
  <c r="CU243" i="11"/>
  <c r="AO243" i="11"/>
  <c r="H243" i="11"/>
  <c r="AB243" i="11"/>
  <c r="DC243" i="11" s="1"/>
  <c r="AP243" i="11"/>
  <c r="C4616" i="3"/>
  <c r="C4618" i="3" s="1"/>
  <c r="CY116" i="11" s="1"/>
  <c r="CZ116" i="11" s="1"/>
  <c r="BJ243" i="11"/>
  <c r="BK243" i="11"/>
  <c r="V243" i="11"/>
  <c r="U243" i="11"/>
  <c r="CJ243" i="11"/>
  <c r="CI243" i="11"/>
  <c r="BT243" i="11"/>
  <c r="BS243" i="11"/>
  <c r="CA243" i="11"/>
  <c r="CB243" i="11"/>
  <c r="BC243" i="11"/>
  <c r="BB243" i="11"/>
  <c r="AT243" i="11"/>
  <c r="AU243" i="11"/>
  <c r="L243" i="11"/>
  <c r="M243" i="11"/>
  <c r="AL243" i="11"/>
  <c r="AK243" i="11"/>
  <c r="CS243" i="11"/>
  <c r="CR243" i="11"/>
  <c r="CW116" i="11" l="1"/>
  <c r="CX116" i="11"/>
  <c r="CV116" i="11"/>
  <c r="CU116" i="11"/>
  <c r="C4617" i="3"/>
  <c r="AD243" i="11"/>
  <c r="AC243" i="11"/>
  <c r="C4619" i="3"/>
  <c r="O116" i="11"/>
  <c r="P116" i="11"/>
  <c r="Q116" i="11"/>
  <c r="R116" i="11"/>
  <c r="AQ116" i="11"/>
  <c r="AR116" i="11"/>
  <c r="T116" i="11"/>
  <c r="AO116" i="11"/>
  <c r="G116" i="11"/>
  <c r="AN116" i="11"/>
  <c r="AG116" i="11"/>
  <c r="Y116" i="11"/>
  <c r="S116" i="11"/>
  <c r="I116" i="11"/>
  <c r="K116" i="11"/>
  <c r="AB116" i="11"/>
  <c r="AS116" i="11"/>
  <c r="AF116" i="11"/>
  <c r="J116" i="11"/>
  <c r="H116" i="11"/>
  <c r="AP116" i="11"/>
  <c r="AH116" i="11"/>
  <c r="Z116" i="11"/>
  <c r="AJ116" i="11"/>
  <c r="BH116" i="11"/>
  <c r="BI116" i="11"/>
  <c r="CH116" i="11"/>
  <c r="BZ116" i="11"/>
  <c r="CQ116" i="11"/>
  <c r="BR116" i="11"/>
  <c r="CO116" i="11"/>
  <c r="BE116" i="11"/>
  <c r="BV116" i="11"/>
  <c r="BY116" i="11"/>
  <c r="AA116" i="11"/>
  <c r="CP116" i="11"/>
  <c r="BA116" i="11"/>
  <c r="AY116" i="11"/>
  <c r="AZ116" i="11"/>
  <c r="BN116" i="11"/>
  <c r="BX116" i="11"/>
  <c r="CE116" i="11"/>
  <c r="CG116" i="11"/>
  <c r="AI116" i="11"/>
  <c r="X116" i="11"/>
  <c r="CM116" i="11"/>
  <c r="BG116" i="11"/>
  <c r="BM116" i="11"/>
  <c r="BP116" i="11"/>
  <c r="CF116" i="11"/>
  <c r="AX116" i="11"/>
  <c r="BO116" i="11"/>
  <c r="AW116" i="11"/>
  <c r="CD116" i="11"/>
  <c r="BW116" i="11"/>
  <c r="BQ116" i="11"/>
  <c r="BF116" i="11"/>
  <c r="CL116" i="11"/>
  <c r="CN116" i="11"/>
  <c r="DC116" i="11" l="1"/>
  <c r="BT116" i="11"/>
  <c r="BS116" i="11"/>
  <c r="AL116" i="11"/>
  <c r="AK116" i="11"/>
  <c r="CS116" i="11"/>
  <c r="CR116" i="11"/>
  <c r="CB116" i="11"/>
  <c r="CA116" i="11"/>
  <c r="CI116" i="11"/>
  <c r="CJ116" i="11"/>
  <c r="AU116" i="11"/>
  <c r="AT116" i="11"/>
  <c r="V116" i="11"/>
  <c r="U116" i="11"/>
  <c r="BK116" i="11"/>
  <c r="BJ116" i="11"/>
  <c r="AD116" i="11"/>
  <c r="AC116" i="11"/>
  <c r="BB116" i="11"/>
  <c r="BC116" i="11"/>
  <c r="L116" i="11"/>
  <c r="M116" i="11"/>
  <c r="C4620" i="3"/>
  <c r="CY119" i="11" s="1"/>
  <c r="CZ119" i="11" s="1"/>
  <c r="CX119" i="11" l="1"/>
  <c r="CW119" i="11"/>
  <c r="CV119" i="11"/>
  <c r="CU119" i="11"/>
  <c r="C4621" i="3"/>
  <c r="O119" i="11"/>
  <c r="G119" i="11"/>
  <c r="R119" i="11"/>
  <c r="AP119" i="11"/>
  <c r="AR119" i="11"/>
  <c r="AQ119" i="11"/>
  <c r="AI119" i="11"/>
  <c r="K119" i="11"/>
  <c r="AJ119" i="11"/>
  <c r="J119" i="11"/>
  <c r="AO119" i="11"/>
  <c r="X119" i="11"/>
  <c r="I119" i="11"/>
  <c r="AF119" i="11"/>
  <c r="Q119" i="11"/>
  <c r="AH119" i="11"/>
  <c r="AS119" i="11"/>
  <c r="P119" i="11"/>
  <c r="AN119" i="11"/>
  <c r="AG119" i="11"/>
  <c r="H119" i="11"/>
  <c r="Y119" i="11"/>
  <c r="S119" i="11"/>
  <c r="Z119" i="11"/>
  <c r="AB119" i="11"/>
  <c r="T119" i="11"/>
  <c r="BZ119" i="11"/>
  <c r="BI119" i="11"/>
  <c r="BH119" i="11"/>
  <c r="CH119" i="11"/>
  <c r="CQ119" i="11"/>
  <c r="BR119" i="11"/>
  <c r="CM119" i="11"/>
  <c r="BN119" i="11"/>
  <c r="BV119" i="11"/>
  <c r="CF119" i="11"/>
  <c r="AW119" i="11"/>
  <c r="BP119" i="11"/>
  <c r="CO119" i="11"/>
  <c r="BE119" i="11"/>
  <c r="AY119" i="11"/>
  <c r="BM119" i="11"/>
  <c r="BO119" i="11"/>
  <c r="BQ119" i="11"/>
  <c r="BY119" i="11"/>
  <c r="CP119" i="11"/>
  <c r="BA119" i="11"/>
  <c r="AZ119" i="11"/>
  <c r="BX119" i="11"/>
  <c r="CE119" i="11"/>
  <c r="CG119" i="11"/>
  <c r="CD119" i="11"/>
  <c r="BW119" i="11"/>
  <c r="AX119" i="11"/>
  <c r="BG119" i="11"/>
  <c r="BF119" i="11"/>
  <c r="CL119" i="11"/>
  <c r="CN119" i="11"/>
  <c r="AA119" i="11"/>
  <c r="DC119" i="11" l="1"/>
  <c r="BK119" i="11"/>
  <c r="BJ119" i="11"/>
  <c r="CA119" i="11"/>
  <c r="CB119" i="11"/>
  <c r="AU119" i="11"/>
  <c r="AT119" i="11"/>
  <c r="L119" i="11"/>
  <c r="M119" i="11"/>
  <c r="BT119" i="11"/>
  <c r="BS119" i="11"/>
  <c r="V119" i="11"/>
  <c r="U119" i="11"/>
  <c r="CS119" i="11"/>
  <c r="CR119" i="11"/>
  <c r="AD119" i="11"/>
  <c r="AC119" i="11"/>
  <c r="C4622" i="3"/>
  <c r="CI119" i="11"/>
  <c r="CJ119" i="11"/>
  <c r="BB119" i="11"/>
  <c r="BC119" i="11"/>
  <c r="AK119" i="11"/>
  <c r="AL119" i="11"/>
  <c r="C4623" i="3" l="1"/>
  <c r="C4624" i="3" l="1"/>
  <c r="C4625" i="3" s="1"/>
  <c r="C4626" i="3" l="1"/>
  <c r="C4627" i="3" s="1"/>
  <c r="C4628" i="3"/>
  <c r="C4629" i="3" l="1"/>
  <c r="C4630" i="3" l="1"/>
  <c r="C4631" i="3" l="1"/>
  <c r="C4632" i="3" l="1"/>
  <c r="C4633" i="3" s="1"/>
  <c r="C4634" i="3" s="1"/>
  <c r="C4635" i="3" s="1"/>
  <c r="C4636" i="3" s="1"/>
  <c r="C4637" i="3" s="1"/>
  <c r="C4638" i="3" l="1"/>
  <c r="C4639" i="3" l="1"/>
  <c r="C4640" i="3" l="1"/>
  <c r="CY161" i="11" s="1"/>
  <c r="CZ161" i="11" s="1"/>
  <c r="CX161" i="11" l="1"/>
  <c r="CW161" i="11"/>
  <c r="CV161" i="11"/>
  <c r="CU161" i="11"/>
  <c r="C4641" i="3"/>
  <c r="C4642" i="3" s="1"/>
  <c r="AF161" i="11"/>
  <c r="AO161" i="11"/>
  <c r="AH161" i="11"/>
  <c r="I161" i="11"/>
  <c r="Z161" i="11"/>
  <c r="Q161" i="11"/>
  <c r="K161" i="11"/>
  <c r="AJ161" i="11"/>
  <c r="P161" i="11"/>
  <c r="AN161" i="11"/>
  <c r="AP161" i="11"/>
  <c r="AG161" i="11"/>
  <c r="X161" i="11"/>
  <c r="S161" i="11"/>
  <c r="AI161" i="11"/>
  <c r="O161" i="11"/>
  <c r="J161" i="11"/>
  <c r="H161" i="11"/>
  <c r="R161" i="11"/>
  <c r="Y161" i="11"/>
  <c r="G161" i="11"/>
  <c r="AQ161" i="11"/>
  <c r="AB161" i="11"/>
  <c r="T161" i="11"/>
  <c r="AS161" i="11"/>
  <c r="AR161" i="11"/>
  <c r="BI161" i="11"/>
  <c r="BR161" i="11"/>
  <c r="BZ161" i="11"/>
  <c r="CH161" i="11"/>
  <c r="CQ161" i="11"/>
  <c r="BE161" i="11"/>
  <c r="BQ161" i="11"/>
  <c r="CG161" i="11"/>
  <c r="AW161" i="11"/>
  <c r="BF161" i="11"/>
  <c r="AX161" i="11"/>
  <c r="BN161" i="11"/>
  <c r="BX161" i="11"/>
  <c r="CP161" i="11"/>
  <c r="BH161" i="11"/>
  <c r="AY161" i="11"/>
  <c r="AZ161" i="11"/>
  <c r="BM161" i="11"/>
  <c r="BA161" i="11"/>
  <c r="BO161" i="11"/>
  <c r="BW161" i="11"/>
  <c r="BY161" i="11"/>
  <c r="CE161" i="11"/>
  <c r="AA161" i="11"/>
  <c r="CO161" i="11"/>
  <c r="CM161" i="11"/>
  <c r="BG161" i="11"/>
  <c r="BP161" i="11"/>
  <c r="CF161" i="11"/>
  <c r="CD161" i="11"/>
  <c r="BV161" i="11"/>
  <c r="CL161" i="11"/>
  <c r="CN161" i="11"/>
  <c r="DC161" i="11" l="1"/>
  <c r="CJ161" i="11"/>
  <c r="CI161" i="11"/>
  <c r="AT161" i="11"/>
  <c r="AU161" i="11"/>
  <c r="BS161" i="11"/>
  <c r="BT161" i="11"/>
  <c r="AC161" i="11"/>
  <c r="AD161" i="11"/>
  <c r="U161" i="11"/>
  <c r="V161" i="11"/>
  <c r="BB161" i="11"/>
  <c r="BC161" i="11"/>
  <c r="BJ161" i="11"/>
  <c r="BK161" i="11"/>
  <c r="AL161" i="11"/>
  <c r="AK161" i="11"/>
  <c r="L161" i="11"/>
  <c r="M161" i="11"/>
  <c r="CB161" i="11"/>
  <c r="CA161" i="11"/>
  <c r="CS161" i="11"/>
  <c r="CR161" i="11"/>
  <c r="C4643" i="3"/>
  <c r="C4644" i="3" l="1"/>
  <c r="CU152" i="11" l="1"/>
  <c r="CX152" i="11"/>
  <c r="CV152" i="11"/>
  <c r="CW152" i="11"/>
  <c r="CY152" i="11"/>
  <c r="CZ152" i="11" s="1"/>
  <c r="K152" i="11"/>
  <c r="AJ152" i="11"/>
  <c r="AA152" i="11"/>
  <c r="AS152" i="11"/>
  <c r="AI152" i="11"/>
  <c r="AB152" i="11"/>
  <c r="T152" i="11"/>
  <c r="BR152" i="11"/>
  <c r="CH152" i="11"/>
  <c r="BZ152" i="11"/>
  <c r="BI152" i="11"/>
  <c r="CQ152" i="11"/>
  <c r="CM152" i="11"/>
  <c r="BQ152" i="11"/>
  <c r="AW152" i="11"/>
  <c r="BE152" i="11"/>
  <c r="BP152" i="11"/>
  <c r="AX152" i="11"/>
  <c r="AY152" i="11"/>
  <c r="BN152" i="11"/>
  <c r="BX152" i="11"/>
  <c r="CP152" i="11"/>
  <c r="CO152" i="11"/>
  <c r="BH152" i="11"/>
  <c r="AZ152" i="11"/>
  <c r="BM152" i="11"/>
  <c r="BA152" i="11"/>
  <c r="BO152" i="11"/>
  <c r="BW152" i="11"/>
  <c r="BY152" i="11"/>
  <c r="CE152" i="11"/>
  <c r="CF152" i="11"/>
  <c r="CG152" i="11"/>
  <c r="CD152" i="11"/>
  <c r="BV152" i="11"/>
  <c r="BG152" i="11"/>
  <c r="BF152" i="11"/>
  <c r="CL152" i="11"/>
  <c r="CN152" i="11"/>
  <c r="J152" i="11"/>
  <c r="AH152" i="11"/>
  <c r="P152" i="11"/>
  <c r="Y152" i="11"/>
  <c r="Z152" i="11"/>
  <c r="O152" i="11"/>
  <c r="R152" i="11"/>
  <c r="AN152" i="11"/>
  <c r="C4645" i="3"/>
  <c r="AO152" i="11"/>
  <c r="AP152" i="11"/>
  <c r="Q152" i="11"/>
  <c r="I152" i="11"/>
  <c r="H152" i="11"/>
  <c r="S152" i="11"/>
  <c r="AF152" i="11"/>
  <c r="AQ152" i="11"/>
  <c r="G152" i="11"/>
  <c r="X152" i="11"/>
  <c r="AR152" i="11"/>
  <c r="AG152" i="11"/>
  <c r="DC152" i="11" l="1"/>
  <c r="BS152" i="11"/>
  <c r="BT152" i="11"/>
  <c r="AU152" i="11"/>
  <c r="AT152" i="11"/>
  <c r="M152" i="11"/>
  <c r="L152" i="11"/>
  <c r="U152" i="11"/>
  <c r="V152" i="11"/>
  <c r="C4646" i="3"/>
  <c r="CS152" i="11"/>
  <c r="CR152" i="11"/>
  <c r="AC152" i="11"/>
  <c r="AD152" i="11"/>
  <c r="BJ152" i="11"/>
  <c r="BK152" i="11"/>
  <c r="AL152" i="11"/>
  <c r="AK152" i="11"/>
  <c r="CA152" i="11"/>
  <c r="CB152" i="11"/>
  <c r="BB152" i="11"/>
  <c r="BC152" i="11"/>
  <c r="CJ152" i="11"/>
  <c r="CI152" i="11"/>
  <c r="C4647" i="3" l="1"/>
  <c r="C4648" i="3" l="1"/>
  <c r="C4650" i="3"/>
  <c r="C4651" i="3" l="1"/>
  <c r="C4652" i="3"/>
  <c r="C4653" i="3" s="1"/>
  <c r="C4655" i="3" s="1"/>
  <c r="AO240" i="11" l="1"/>
  <c r="S240" i="11"/>
  <c r="J247" i="11"/>
  <c r="AF247" i="11"/>
  <c r="AN247" i="11"/>
  <c r="P247" i="11"/>
  <c r="AO247" i="11"/>
  <c r="G247" i="11"/>
  <c r="Q247" i="11"/>
  <c r="O247" i="11"/>
  <c r="H247" i="11"/>
  <c r="R247" i="11"/>
  <c r="I247" i="11"/>
  <c r="C4656" i="3"/>
  <c r="C4657" i="3" s="1"/>
  <c r="J240" i="11"/>
  <c r="AN240" i="11"/>
  <c r="AG240" i="11"/>
  <c r="R240" i="11"/>
  <c r="Y240" i="11"/>
  <c r="AH240" i="11"/>
  <c r="X240" i="11"/>
  <c r="H240" i="11"/>
  <c r="Q240" i="11"/>
  <c r="AQ240" i="11"/>
  <c r="AI240" i="11"/>
  <c r="AR240" i="11"/>
  <c r="I240" i="11"/>
  <c r="C4658" i="3" l="1"/>
  <c r="AG247" i="11"/>
  <c r="X247" i="11"/>
  <c r="AP247" i="11"/>
  <c r="AR247" i="11"/>
  <c r="S247" i="11"/>
  <c r="Z247" i="11"/>
  <c r="AH247" i="11"/>
  <c r="AQ247" i="11"/>
  <c r="AI247" i="11"/>
  <c r="Y247" i="11"/>
  <c r="C4659" i="3" l="1"/>
  <c r="AG36" i="11"/>
  <c r="I36" i="11"/>
  <c r="AP36" i="11"/>
  <c r="AH36" i="11"/>
  <c r="Y36" i="11"/>
  <c r="AI36" i="11"/>
  <c r="X36" i="11"/>
  <c r="S36" i="11"/>
  <c r="J44" i="11"/>
  <c r="P44" i="11"/>
  <c r="AN44" i="11"/>
  <c r="AF44" i="11"/>
  <c r="O44" i="11"/>
  <c r="J36" i="11"/>
  <c r="O36" i="11"/>
  <c r="AN36" i="11"/>
  <c r="AF36" i="11"/>
  <c r="H36" i="11"/>
  <c r="AO36" i="11"/>
  <c r="P36" i="11"/>
  <c r="G36" i="11"/>
  <c r="Q36" i="11"/>
  <c r="R36" i="11"/>
  <c r="AQ36" i="11"/>
  <c r="C4660" i="3" l="1"/>
  <c r="C4661" i="3" s="1"/>
  <c r="C4662" i="3" l="1"/>
  <c r="C4663" i="3" l="1"/>
  <c r="C4664" i="3" l="1"/>
  <c r="C4665" i="3" s="1"/>
  <c r="C4666" i="3" s="1"/>
  <c r="C4667" i="3" s="1"/>
  <c r="C4668" i="3" l="1"/>
  <c r="C4669" i="3" l="1"/>
  <c r="C4670" i="3" l="1"/>
  <c r="C4671" i="3" s="1"/>
  <c r="C4672" i="3" s="1"/>
  <c r="C4673" i="3" s="1"/>
  <c r="C4674" i="3" s="1"/>
  <c r="C4676" i="3"/>
  <c r="C4677" i="3" l="1"/>
  <c r="C4678" i="3" s="1"/>
  <c r="C4679" i="3" s="1"/>
  <c r="C4680" i="3" l="1"/>
  <c r="C4681" i="3" s="1"/>
  <c r="C4682" i="3" l="1"/>
  <c r="C4683" i="3" s="1"/>
  <c r="C4684" i="3" s="1"/>
  <c r="C4685" i="3" l="1"/>
  <c r="C4686" i="3" s="1"/>
  <c r="C4687" i="3" l="1"/>
  <c r="C4688" i="3" s="1"/>
  <c r="C4690" i="3" s="1"/>
  <c r="I271" i="11" l="1"/>
  <c r="Q271" i="11"/>
  <c r="AA271" i="11"/>
  <c r="AQ271" i="11"/>
  <c r="S271" i="11"/>
  <c r="AI271" i="11"/>
  <c r="AN255" i="11"/>
  <c r="G255" i="11"/>
  <c r="AF255" i="11"/>
  <c r="AO255" i="11"/>
  <c r="P255" i="11"/>
  <c r="J255" i="11"/>
  <c r="O255" i="11"/>
  <c r="AN271" i="11"/>
  <c r="O271" i="11"/>
  <c r="AO271" i="11"/>
  <c r="G271" i="11"/>
  <c r="H271" i="11"/>
  <c r="P271" i="11"/>
  <c r="AF271" i="11"/>
  <c r="AG271" i="11"/>
  <c r="AP271" i="11"/>
  <c r="R271" i="11"/>
  <c r="Y271" i="11"/>
  <c r="AH271" i="11"/>
  <c r="X271" i="11"/>
  <c r="C4691" i="3"/>
  <c r="C4692" i="3" s="1"/>
  <c r="C4693" i="3" s="1"/>
  <c r="C4694" i="3" l="1"/>
  <c r="C4695" i="3" s="1"/>
  <c r="C4696" i="3" s="1"/>
  <c r="C4697" i="3" l="1"/>
  <c r="C4698" i="3" l="1"/>
  <c r="C4699" i="3" l="1"/>
  <c r="C4700" i="3" s="1"/>
  <c r="CY263" i="11" s="1"/>
  <c r="CZ263" i="11" s="1"/>
  <c r="AS263" i="11"/>
  <c r="BG263" i="11"/>
  <c r="BZ263" i="11"/>
  <c r="S263" i="11"/>
  <c r="CP263" i="11"/>
  <c r="AI263" i="11"/>
  <c r="BQ263" i="11"/>
  <c r="BW263" i="11"/>
  <c r="CG263" i="11"/>
  <c r="AW263" i="11"/>
  <c r="BO263" i="11"/>
  <c r="BV263" i="11"/>
  <c r="Q263" i="11"/>
  <c r="Z263" i="11"/>
  <c r="AO263" i="11"/>
  <c r="P263" i="11"/>
  <c r="AG263" i="11"/>
  <c r="J263" i="11"/>
  <c r="I263" i="11"/>
  <c r="AH263" i="11"/>
  <c r="CW263" i="11" l="1"/>
  <c r="CX263" i="11"/>
  <c r="CV263" i="11"/>
  <c r="CU263" i="11"/>
  <c r="AJ263" i="11"/>
  <c r="AL263" i="11" s="1"/>
  <c r="C4701" i="3"/>
  <c r="X263" i="11"/>
  <c r="AP263" i="11"/>
  <c r="BA263" i="11"/>
  <c r="BB263" i="11" s="1"/>
  <c r="AZ263" i="11"/>
  <c r="CD263" i="11"/>
  <c r="BN263" i="11"/>
  <c r="CF263" i="11"/>
  <c r="BR263" i="11"/>
  <c r="BT263" i="11" s="1"/>
  <c r="T263" i="11"/>
  <c r="V263" i="11" s="1"/>
  <c r="AA263" i="11"/>
  <c r="Y263" i="11"/>
  <c r="AF263" i="11"/>
  <c r="AX263" i="11"/>
  <c r="AY263" i="11"/>
  <c r="BH263" i="11"/>
  <c r="CM263" i="11"/>
  <c r="BX263" i="11"/>
  <c r="CH263" i="11"/>
  <c r="CJ263" i="11" s="1"/>
  <c r="K263" i="11"/>
  <c r="AR263" i="11"/>
  <c r="AQ263" i="11"/>
  <c r="H263" i="11"/>
  <c r="O263" i="11"/>
  <c r="BP263" i="11"/>
  <c r="BE263" i="11"/>
  <c r="CN263" i="11"/>
  <c r="BM263" i="11"/>
  <c r="CQ263" i="11"/>
  <c r="AB263" i="11"/>
  <c r="AD263" i="11" s="1"/>
  <c r="R263" i="11"/>
  <c r="G263" i="11"/>
  <c r="AN263" i="11"/>
  <c r="CE263" i="11"/>
  <c r="CL263" i="11"/>
  <c r="BY263" i="11"/>
  <c r="CO263" i="11"/>
  <c r="BF263" i="11"/>
  <c r="BI263" i="11"/>
  <c r="BJ263" i="11" s="1"/>
  <c r="C4702" i="3"/>
  <c r="CB263" i="11"/>
  <c r="CA263" i="11"/>
  <c r="AU263" i="11"/>
  <c r="AT263" i="11"/>
  <c r="AK263" i="11" l="1"/>
  <c r="M263" i="11"/>
  <c r="DC263" i="11"/>
  <c r="U263" i="11"/>
  <c r="BS263" i="11"/>
  <c r="L263" i="11"/>
  <c r="CS263" i="11"/>
  <c r="CR263" i="11"/>
  <c r="CI263" i="11"/>
  <c r="BC263" i="11"/>
  <c r="AC263" i="11"/>
  <c r="BK263" i="11"/>
  <c r="C4703" i="3"/>
  <c r="C4704" i="3" s="1"/>
  <c r="C4705" i="3" s="1"/>
  <c r="C4706" i="3" s="1"/>
  <c r="C4707" i="3" l="1"/>
  <c r="CN231" i="11" l="1"/>
  <c r="Z231" i="11"/>
  <c r="Q231" i="11"/>
  <c r="O231" i="11"/>
  <c r="X231" i="11"/>
  <c r="AH231" i="11"/>
  <c r="AO231" i="11"/>
  <c r="AB231" i="11"/>
  <c r="BG231" i="11"/>
  <c r="AI231" i="11"/>
  <c r="AR231" i="11"/>
  <c r="I231" i="11"/>
  <c r="AG231" i="11"/>
  <c r="AA231" i="11"/>
  <c r="BI231" i="11"/>
  <c r="CP231" i="11"/>
  <c r="BE231" i="11"/>
  <c r="BO231" i="11"/>
  <c r="AY231" i="11"/>
  <c r="S231" i="11"/>
  <c r="AN231" i="11"/>
  <c r="CG231" i="11"/>
  <c r="T231" i="11"/>
  <c r="AJ231" i="11"/>
  <c r="Y231" i="11"/>
  <c r="BY231" i="11"/>
  <c r="BZ231" i="11"/>
  <c r="R231" i="11"/>
  <c r="CL231" i="11"/>
  <c r="CF231" i="11"/>
  <c r="AQ231" i="11"/>
  <c r="AF231" i="11"/>
  <c r="BP231" i="11"/>
  <c r="K231" i="11"/>
  <c r="CO231" i="11"/>
  <c r="BM231" i="11"/>
  <c r="CQ231" i="11"/>
  <c r="AX231" i="11"/>
  <c r="J231" i="11"/>
  <c r="BV231" i="11"/>
  <c r="CM231" i="11"/>
  <c r="BW231" i="11"/>
  <c r="BN231" i="11"/>
  <c r="H231" i="11"/>
  <c r="AW231" i="11"/>
  <c r="AP231" i="11"/>
  <c r="BH231" i="11"/>
  <c r="CE231" i="11"/>
  <c r="G231" i="11"/>
  <c r="BA231" i="11"/>
  <c r="CH231" i="11"/>
  <c r="CD231" i="11"/>
  <c r="AZ231" i="11"/>
  <c r="BX231" i="11"/>
  <c r="P231" i="11"/>
  <c r="BF231" i="11"/>
  <c r="BQ231" i="11"/>
  <c r="BR231" i="11"/>
  <c r="AS231" i="11"/>
  <c r="DC231" i="11" l="1"/>
  <c r="H253" i="11"/>
  <c r="AO253" i="11"/>
  <c r="X253" i="11"/>
  <c r="AG253" i="11"/>
  <c r="I253" i="11"/>
  <c r="R253" i="11"/>
  <c r="Y253" i="11"/>
  <c r="Q253" i="11"/>
  <c r="G253" i="11"/>
  <c r="AR253" i="11"/>
  <c r="AQ253" i="11"/>
  <c r="AA253" i="11"/>
  <c r="AP253" i="11"/>
  <c r="AP219" i="11"/>
  <c r="Q219" i="11"/>
  <c r="R219" i="11"/>
  <c r="AR219" i="11"/>
  <c r="AA219" i="11"/>
  <c r="S219" i="11"/>
  <c r="AH219" i="11"/>
  <c r="AQ219" i="11"/>
  <c r="O253" i="11"/>
  <c r="J253" i="11"/>
  <c r="AN253" i="11"/>
  <c r="P253" i="11"/>
  <c r="AF253" i="11"/>
  <c r="C4710" i="3"/>
  <c r="AT231" i="11"/>
  <c r="AU231" i="11"/>
  <c r="BT231" i="11"/>
  <c r="BS231" i="11"/>
  <c r="AL231" i="11"/>
  <c r="AK231" i="11"/>
  <c r="CI231" i="11"/>
  <c r="CJ231" i="11"/>
  <c r="V231" i="11"/>
  <c r="U231" i="11"/>
  <c r="BB231" i="11"/>
  <c r="BC231" i="11"/>
  <c r="M231" i="11"/>
  <c r="L231" i="11"/>
  <c r="CA231" i="11"/>
  <c r="CB231" i="11"/>
  <c r="BJ231" i="11"/>
  <c r="BK231" i="11"/>
  <c r="CS231" i="11"/>
  <c r="CR231" i="11"/>
  <c r="AD231" i="11"/>
  <c r="AC231" i="11"/>
  <c r="C4711" i="3" l="1"/>
  <c r="J252" i="11"/>
  <c r="AN252" i="11"/>
  <c r="AF252" i="11"/>
  <c r="P252" i="11"/>
  <c r="H252" i="11"/>
  <c r="AO252" i="11"/>
  <c r="AH253" i="11"/>
  <c r="C4712" i="3"/>
  <c r="C4713" i="3" s="1"/>
  <c r="C4714" i="3" s="1"/>
  <c r="AQ93" i="11"/>
  <c r="AR93" i="11"/>
  <c r="AI93" i="11"/>
  <c r="AA93" i="11"/>
  <c r="AF101" i="11"/>
  <c r="O101" i="11"/>
  <c r="J101" i="11"/>
  <c r="G101" i="11"/>
  <c r="P101" i="11"/>
  <c r="AN101" i="11"/>
  <c r="X101" i="11"/>
  <c r="AP101" i="11"/>
  <c r="R101" i="11"/>
  <c r="AO93" i="11"/>
  <c r="O93" i="11"/>
  <c r="AG93" i="11"/>
  <c r="AP93" i="11"/>
  <c r="Y93" i="11"/>
  <c r="G93" i="11"/>
  <c r="X93" i="11"/>
  <c r="AH93" i="11"/>
  <c r="Q93" i="11"/>
  <c r="P93" i="11"/>
  <c r="I93" i="11"/>
  <c r="Z93" i="11"/>
  <c r="S93" i="11"/>
  <c r="C4715" i="3" l="1"/>
  <c r="C4716" i="3" l="1"/>
  <c r="C4717" i="3" l="1"/>
  <c r="C4718" i="3" l="1"/>
  <c r="C4720" i="3" l="1"/>
  <c r="C4721" i="3" l="1"/>
  <c r="C4722" i="3" s="1"/>
  <c r="C4723" i="3" s="1"/>
  <c r="C4724" i="3" l="1"/>
  <c r="C4725" i="3" l="1"/>
  <c r="C4726" i="3" l="1"/>
  <c r="C4727" i="3" l="1"/>
  <c r="C4728" i="3" l="1"/>
  <c r="C4729" i="3" s="1"/>
  <c r="C4730" i="3" l="1"/>
  <c r="C4731" i="3" l="1"/>
  <c r="C4732" i="3" s="1"/>
  <c r="C4733" i="3" l="1"/>
  <c r="C4734" i="3" s="1"/>
  <c r="C4735" i="3" s="1"/>
  <c r="CY300" i="11" s="1"/>
  <c r="CZ300" i="11" s="1"/>
  <c r="CW300" i="11" l="1"/>
  <c r="CX300" i="11"/>
  <c r="CV300" i="11"/>
  <c r="CU300" i="11"/>
  <c r="CQ300" i="11"/>
  <c r="Z300" i="11"/>
  <c r="AJ300" i="11"/>
  <c r="BF300" i="11"/>
  <c r="BH300" i="11"/>
  <c r="I300" i="11"/>
  <c r="Y300" i="11"/>
  <c r="BP300" i="11"/>
  <c r="BA300" i="11"/>
  <c r="AO300" i="11"/>
  <c r="G300" i="11"/>
  <c r="BG300" i="11"/>
  <c r="C4736" i="3"/>
  <c r="C4737" i="3" s="1"/>
  <c r="BI300" i="11"/>
  <c r="AG300" i="11"/>
  <c r="AQ300" i="11"/>
  <c r="BV300" i="11"/>
  <c r="P300" i="11"/>
  <c r="BM300" i="11"/>
  <c r="AH300" i="11"/>
  <c r="AF300" i="11"/>
  <c r="BE300" i="11"/>
  <c r="J300" i="11"/>
  <c r="X300" i="11"/>
  <c r="BY300" i="11"/>
  <c r="BX300" i="11"/>
  <c r="AR300" i="11"/>
  <c r="BQ300" i="11"/>
  <c r="AS300" i="11"/>
  <c r="AI300" i="11"/>
  <c r="CP300" i="11"/>
  <c r="AW300" i="11"/>
  <c r="CO300" i="11"/>
  <c r="CG300" i="11"/>
  <c r="BZ300" i="11"/>
  <c r="AP300" i="11"/>
  <c r="AY300" i="11"/>
  <c r="S300" i="11"/>
  <c r="T300" i="11"/>
  <c r="AB300" i="11"/>
  <c r="CD300" i="11"/>
  <c r="CM300" i="11"/>
  <c r="BO300" i="11"/>
  <c r="K300" i="11"/>
  <c r="O300" i="11"/>
  <c r="CH300" i="11"/>
  <c r="BW300" i="11"/>
  <c r="AA300" i="11"/>
  <c r="AN300" i="11"/>
  <c r="CL300" i="11"/>
  <c r="CE300" i="11"/>
  <c r="AZ300" i="11"/>
  <c r="BN300" i="11"/>
  <c r="H300" i="11"/>
  <c r="R300" i="11"/>
  <c r="CN300" i="11"/>
  <c r="Q300" i="11"/>
  <c r="BR300" i="11"/>
  <c r="CF300" i="11"/>
  <c r="AX300" i="11"/>
  <c r="DC300" i="11" l="1"/>
  <c r="C4738" i="3"/>
  <c r="BC300" i="11"/>
  <c r="BB300" i="11"/>
  <c r="BT300" i="11"/>
  <c r="BS300" i="11"/>
  <c r="BJ300" i="11"/>
  <c r="BK300" i="11"/>
  <c r="AL300" i="11"/>
  <c r="AK300" i="11"/>
  <c r="CI300" i="11"/>
  <c r="CJ300" i="11"/>
  <c r="CA300" i="11"/>
  <c r="CB300" i="11"/>
  <c r="CS300" i="11"/>
  <c r="CR300" i="11"/>
  <c r="AD300" i="11"/>
  <c r="AC300" i="11"/>
  <c r="AT300" i="11"/>
  <c r="AU300" i="11"/>
  <c r="M300" i="11"/>
  <c r="L300" i="11"/>
  <c r="V300" i="11"/>
  <c r="U300" i="11"/>
  <c r="C4739" i="3" l="1"/>
  <c r="C4740" i="3" s="1"/>
  <c r="C4741" i="3" l="1"/>
  <c r="C4742" i="3" l="1"/>
  <c r="C4743" i="3" s="1"/>
  <c r="C4744" i="3" l="1"/>
  <c r="C4745" i="3" l="1"/>
  <c r="C4746" i="3" l="1"/>
  <c r="C4747" i="3" s="1"/>
  <c r="C4748" i="3" l="1"/>
  <c r="C4749" i="3" s="1"/>
  <c r="C4750" i="3" s="1"/>
  <c r="C4751" i="3" s="1"/>
  <c r="C4752" i="3" l="1"/>
  <c r="C4754" i="3" s="1"/>
  <c r="C4755" i="3" s="1"/>
  <c r="BF332" i="11"/>
  <c r="BF329" i="11"/>
  <c r="CG331" i="11"/>
  <c r="CG329" i="11"/>
  <c r="BG330" i="11"/>
  <c r="BH335" i="11"/>
  <c r="BH332" i="11"/>
  <c r="BH329" i="11"/>
  <c r="BF331" i="11"/>
  <c r="CD335" i="11"/>
  <c r="BW335" i="11"/>
  <c r="CG335" i="11"/>
  <c r="BH330" i="11"/>
  <c r="CE335" i="11"/>
  <c r="BX335" i="11"/>
  <c r="BX332" i="11"/>
  <c r="CN335" i="11"/>
  <c r="CP331" i="11"/>
  <c r="CM330" i="11"/>
  <c r="BG331" i="11"/>
  <c r="BF335" i="11"/>
  <c r="C4756" i="3" l="1"/>
  <c r="C4757" i="3" l="1"/>
  <c r="C4758" i="3" l="1"/>
  <c r="C4759" i="3" l="1"/>
  <c r="C4760" i="3" l="1"/>
  <c r="C4761" i="3" s="1"/>
  <c r="C4762" i="3" l="1"/>
  <c r="C4763" i="3" l="1"/>
  <c r="C4765" i="3" l="1"/>
  <c r="S331" i="11"/>
  <c r="AI330" i="11"/>
  <c r="AH331" i="11"/>
  <c r="AG329" i="11"/>
  <c r="AG332" i="11"/>
  <c r="AG335" i="11"/>
  <c r="AN330" i="11"/>
  <c r="AQ331" i="11"/>
  <c r="AP329" i="11"/>
  <c r="AP332" i="11"/>
  <c r="AP335" i="11"/>
  <c r="CF332" i="11"/>
  <c r="CN329" i="11"/>
  <c r="CQ329" i="11"/>
  <c r="DC329" i="11" s="1"/>
  <c r="CN330" i="11"/>
  <c r="CQ330" i="11"/>
  <c r="DC330" i="11" s="1"/>
  <c r="CN331" i="11"/>
  <c r="CQ331" i="11"/>
  <c r="DC331" i="11" s="1"/>
  <c r="CN332" i="11"/>
  <c r="CQ332" i="11"/>
  <c r="R330" i="11"/>
  <c r="C4766" i="3"/>
  <c r="C4767" i="3" s="1"/>
  <c r="C4768" i="3" s="1"/>
  <c r="DC332" i="11" l="1"/>
  <c r="C4769" i="3"/>
  <c r="CR330" i="11"/>
  <c r="CS330" i="11"/>
  <c r="CR332" i="11"/>
  <c r="CS332" i="11"/>
  <c r="CS329" i="11"/>
  <c r="CR329" i="11"/>
  <c r="CS331" i="11"/>
  <c r="CR331" i="11"/>
  <c r="C4770" i="3" l="1"/>
  <c r="AW331" i="11"/>
  <c r="AX329" i="11"/>
  <c r="AX332" i="11"/>
  <c r="AX335" i="11"/>
  <c r="AY330" i="11"/>
  <c r="AZ331" i="11"/>
  <c r="BE329" i="11"/>
  <c r="BE332" i="11"/>
  <c r="BE335" i="11"/>
  <c r="CF329" i="11"/>
  <c r="CF330" i="11"/>
  <c r="CF331" i="11"/>
  <c r="AG331" i="11"/>
  <c r="AN329" i="11"/>
  <c r="AN332" i="11"/>
  <c r="AN335" i="11"/>
  <c r="AQ330" i="11"/>
  <c r="AP331" i="11"/>
  <c r="AO329" i="11"/>
  <c r="AO332" i="11"/>
  <c r="AO335" i="11"/>
  <c r="AR330" i="11"/>
  <c r="C4771" i="3" l="1"/>
  <c r="C4777" i="3"/>
  <c r="C4779" i="3" l="1"/>
  <c r="C4780" i="3" s="1"/>
  <c r="C4781" i="3" s="1"/>
  <c r="C4782" i="3" s="1"/>
  <c r="C4778" i="3"/>
  <c r="CY90" i="11" s="1"/>
  <c r="CZ90" i="11" s="1"/>
  <c r="C4772" i="3"/>
  <c r="C4773" i="3" s="1"/>
  <c r="C4774" i="3" s="1"/>
  <c r="C4775" i="3" s="1"/>
  <c r="CY185" i="11" s="1"/>
  <c r="CZ185" i="11" s="1"/>
  <c r="CX185" i="11" l="1"/>
  <c r="CU185" i="11"/>
  <c r="CW185" i="11"/>
  <c r="CV185" i="11"/>
  <c r="CW90" i="11"/>
  <c r="CX90" i="11"/>
  <c r="CU90" i="11"/>
  <c r="CV90" i="11"/>
  <c r="C4776" i="3"/>
  <c r="BN185" i="11"/>
  <c r="BF185" i="11"/>
  <c r="G185" i="11"/>
  <c r="Z185" i="11"/>
  <c r="T185" i="11"/>
  <c r="CN185" i="11"/>
  <c r="I185" i="11"/>
  <c r="BH185" i="11"/>
  <c r="H185" i="11"/>
  <c r="AH185" i="11"/>
  <c r="CQ185" i="11"/>
  <c r="CE185" i="11"/>
  <c r="BY185" i="11"/>
  <c r="BX185" i="11"/>
  <c r="BW185" i="11"/>
  <c r="BQ185" i="11"/>
  <c r="BM185" i="11"/>
  <c r="CL185" i="11"/>
  <c r="AG185" i="11"/>
  <c r="AP185" i="11"/>
  <c r="AZ185" i="11"/>
  <c r="J185" i="11"/>
  <c r="R185" i="11"/>
  <c r="AS185" i="11"/>
  <c r="CM185" i="11"/>
  <c r="AF185" i="11"/>
  <c r="AI185" i="11"/>
  <c r="AJ185" i="11"/>
  <c r="AR185" i="11"/>
  <c r="CD185" i="11"/>
  <c r="BP185" i="11"/>
  <c r="AY185" i="11"/>
  <c r="CO185" i="11"/>
  <c r="Q185" i="11"/>
  <c r="K185" i="11"/>
  <c r="AX185" i="11"/>
  <c r="AN185" i="11"/>
  <c r="X185" i="11"/>
  <c r="CP185" i="11"/>
  <c r="Y185" i="11"/>
  <c r="BZ185" i="11"/>
  <c r="CH185" i="11"/>
  <c r="CG185" i="11"/>
  <c r="BV185" i="11"/>
  <c r="BO185" i="11"/>
  <c r="BE185" i="11"/>
  <c r="AO185" i="11"/>
  <c r="AA185" i="11"/>
  <c r="AB185" i="11"/>
  <c r="BG185" i="11"/>
  <c r="O185" i="11"/>
  <c r="S185" i="11"/>
  <c r="BA185" i="11"/>
  <c r="P185" i="11"/>
  <c r="AQ185" i="11"/>
  <c r="BI185" i="11"/>
  <c r="BR185" i="11"/>
  <c r="CF185" i="11"/>
  <c r="AW185" i="11"/>
  <c r="CH90" i="11"/>
  <c r="CL90" i="11"/>
  <c r="AO90" i="11"/>
  <c r="G90" i="11"/>
  <c r="CE90" i="11"/>
  <c r="BP90" i="11"/>
  <c r="AB90" i="11"/>
  <c r="S90" i="11"/>
  <c r="BF90" i="11"/>
  <c r="BX90" i="11"/>
  <c r="AW90" i="11"/>
  <c r="BW90" i="11"/>
  <c r="BQ90" i="11"/>
  <c r="BH90" i="11"/>
  <c r="AP90" i="11"/>
  <c r="AZ90" i="11"/>
  <c r="AX90" i="11"/>
  <c r="AF90" i="11"/>
  <c r="AR90" i="11"/>
  <c r="BI90" i="11"/>
  <c r="CO90" i="11"/>
  <c r="BE90" i="11"/>
  <c r="R90" i="11"/>
  <c r="T90" i="11"/>
  <c r="BY90" i="11"/>
  <c r="CN90" i="11"/>
  <c r="AQ90" i="11"/>
  <c r="I90" i="11"/>
  <c r="Q90" i="11"/>
  <c r="Y90" i="11"/>
  <c r="BN90" i="11"/>
  <c r="AJ90" i="11"/>
  <c r="BG90" i="11"/>
  <c r="BO90" i="11"/>
  <c r="J90" i="11"/>
  <c r="AI90" i="11"/>
  <c r="CG90" i="11"/>
  <c r="BA90" i="11"/>
  <c r="BM90" i="11"/>
  <c r="AA90" i="11"/>
  <c r="AS90" i="11"/>
  <c r="CM90" i="11"/>
  <c r="BV90" i="11"/>
  <c r="AH90" i="11"/>
  <c r="Z90" i="11"/>
  <c r="BZ90" i="11"/>
  <c r="CD90" i="11"/>
  <c r="CP90" i="11"/>
  <c r="AG90" i="11"/>
  <c r="AN90" i="11"/>
  <c r="CQ90" i="11"/>
  <c r="CF90" i="11"/>
  <c r="O90" i="11"/>
  <c r="P90" i="11"/>
  <c r="H90" i="11"/>
  <c r="BR90" i="11"/>
  <c r="AY90" i="11"/>
  <c r="K90" i="11"/>
  <c r="X90" i="11"/>
  <c r="C4783" i="3"/>
  <c r="C4784" i="3" s="1"/>
  <c r="C4786" i="3" s="1"/>
  <c r="C4787" i="3" s="1"/>
  <c r="C4788" i="3" s="1"/>
  <c r="CY234" i="11" s="1"/>
  <c r="CZ234" i="11" s="1"/>
  <c r="CX234" i="11" l="1"/>
  <c r="CU234" i="11"/>
  <c r="CW234" i="11"/>
  <c r="CV234" i="11"/>
  <c r="BX234" i="11"/>
  <c r="DC90" i="11"/>
  <c r="DC185" i="11"/>
  <c r="AR234" i="11"/>
  <c r="G234" i="11"/>
  <c r="CL234" i="11"/>
  <c r="Z234" i="11"/>
  <c r="CM234" i="11"/>
  <c r="AW234" i="11"/>
  <c r="AX234" i="11"/>
  <c r="BF234" i="11"/>
  <c r="AG234" i="11"/>
  <c r="BV234" i="11"/>
  <c r="BA234" i="11"/>
  <c r="BC234" i="11" s="1"/>
  <c r="AO234" i="11"/>
  <c r="AH234" i="11"/>
  <c r="BR234" i="11"/>
  <c r="BS234" i="11" s="1"/>
  <c r="I234" i="11"/>
  <c r="AN234" i="11"/>
  <c r="R234" i="11"/>
  <c r="BZ234" i="11"/>
  <c r="CB234" i="11" s="1"/>
  <c r="BE234" i="11"/>
  <c r="CQ234" i="11"/>
  <c r="CS234" i="11" s="1"/>
  <c r="BN234" i="11"/>
  <c r="Q234" i="11"/>
  <c r="CO234" i="11"/>
  <c r="AP234" i="11"/>
  <c r="AI234" i="11"/>
  <c r="BQ234" i="11"/>
  <c r="BP234" i="11"/>
  <c r="AS234" i="11"/>
  <c r="AT234" i="11" s="1"/>
  <c r="AF234" i="11"/>
  <c r="AB234" i="11"/>
  <c r="AD234" i="11" s="1"/>
  <c r="CG234" i="11"/>
  <c r="S234" i="11"/>
  <c r="AQ234" i="11"/>
  <c r="BW234" i="11"/>
  <c r="BO234" i="11"/>
  <c r="H234" i="11"/>
  <c r="AJ234" i="11"/>
  <c r="AL234" i="11" s="1"/>
  <c r="AZ234" i="11"/>
  <c r="BH234" i="11"/>
  <c r="AY234" i="11"/>
  <c r="Y234" i="11"/>
  <c r="P234" i="11"/>
  <c r="X234" i="11"/>
  <c r="O234" i="11"/>
  <c r="CP234" i="11"/>
  <c r="C4789" i="3"/>
  <c r="C4790" i="3" s="1"/>
  <c r="K234" i="11"/>
  <c r="BM234" i="11"/>
  <c r="CN234" i="11"/>
  <c r="CE234" i="11"/>
  <c r="CD234" i="11"/>
  <c r="AA234" i="11"/>
  <c r="BI234" i="11"/>
  <c r="BJ234" i="11" s="1"/>
  <c r="CH234" i="11"/>
  <c r="CJ234" i="11" s="1"/>
  <c r="BY234" i="11"/>
  <c r="T234" i="11"/>
  <c r="V234" i="11" s="1"/>
  <c r="J234" i="11"/>
  <c r="BG234" i="11"/>
  <c r="CF234" i="11"/>
  <c r="U90" i="11"/>
  <c r="V90" i="11"/>
  <c r="BK185" i="11"/>
  <c r="BJ185" i="11"/>
  <c r="M185" i="11"/>
  <c r="L185" i="11"/>
  <c r="CS185" i="11"/>
  <c r="CR185" i="11"/>
  <c r="AT90" i="11"/>
  <c r="AU90" i="11"/>
  <c r="AD90" i="11"/>
  <c r="AC90" i="11"/>
  <c r="AK185" i="11"/>
  <c r="AL185" i="11"/>
  <c r="L90" i="11"/>
  <c r="M90" i="11"/>
  <c r="CB90" i="11"/>
  <c r="CA90" i="11"/>
  <c r="CJ90" i="11"/>
  <c r="CI90" i="11"/>
  <c r="AC185" i="11"/>
  <c r="AD185" i="11"/>
  <c r="U185" i="11"/>
  <c r="V185" i="11"/>
  <c r="CS90" i="11"/>
  <c r="CR90" i="11"/>
  <c r="CI185" i="11"/>
  <c r="CJ185" i="11"/>
  <c r="BS90" i="11"/>
  <c r="BT90" i="11"/>
  <c r="BB90" i="11"/>
  <c r="BC90" i="11"/>
  <c r="AK90" i="11"/>
  <c r="AL90" i="11"/>
  <c r="BK90" i="11"/>
  <c r="BJ90" i="11"/>
  <c r="BC185" i="11"/>
  <c r="BB185" i="11"/>
  <c r="CA185" i="11"/>
  <c r="CB185" i="11"/>
  <c r="BS185" i="11"/>
  <c r="BT185" i="11"/>
  <c r="AU185" i="11"/>
  <c r="AT185" i="11"/>
  <c r="C4791" i="3" l="1"/>
  <c r="M234" i="11"/>
  <c r="DC234" i="11"/>
  <c r="AK234" i="11"/>
  <c r="CA234" i="11"/>
  <c r="BT234" i="11"/>
  <c r="BB234" i="11"/>
  <c r="U234" i="11"/>
  <c r="CR234" i="11"/>
  <c r="AU234" i="11"/>
  <c r="L234" i="11"/>
  <c r="BK234" i="11"/>
  <c r="AC234" i="11"/>
  <c r="CI234" i="11"/>
  <c r="C4792" i="3" l="1"/>
  <c r="C4793" i="3" s="1"/>
  <c r="C4794" i="3" l="1"/>
  <c r="C4795" i="3" l="1"/>
  <c r="CY142" i="11" s="1"/>
  <c r="CZ142" i="11" s="1"/>
  <c r="CW142" i="11" l="1"/>
  <c r="CU142" i="11"/>
  <c r="CX142" i="11"/>
  <c r="CV142" i="11"/>
  <c r="C4796" i="3"/>
  <c r="BM142" i="11"/>
  <c r="CO142" i="11"/>
  <c r="S142" i="11"/>
  <c r="CN142" i="11"/>
  <c r="Z142" i="11"/>
  <c r="AX142" i="11"/>
  <c r="J142" i="11"/>
  <c r="AR142" i="11"/>
  <c r="BZ142" i="11"/>
  <c r="BW142" i="11"/>
  <c r="BP142" i="11"/>
  <c r="CD142" i="11"/>
  <c r="AY142" i="11"/>
  <c r="AF142" i="11"/>
  <c r="Y142" i="11"/>
  <c r="AN142" i="11"/>
  <c r="AQ142" i="11"/>
  <c r="BA142" i="11"/>
  <c r="O142" i="11"/>
  <c r="AP142" i="11"/>
  <c r="BI142" i="11"/>
  <c r="BQ142" i="11"/>
  <c r="CF142" i="11"/>
  <c r="BV142" i="11"/>
  <c r="BE142" i="11"/>
  <c r="P142" i="11"/>
  <c r="R142" i="11"/>
  <c r="AO142" i="11"/>
  <c r="K142" i="11"/>
  <c r="BH142" i="11"/>
  <c r="G142" i="11"/>
  <c r="AI142" i="11"/>
  <c r="CQ142" i="11"/>
  <c r="BY142" i="11"/>
  <c r="AA142" i="11"/>
  <c r="BF142" i="11"/>
  <c r="H142" i="11"/>
  <c r="AZ142" i="11"/>
  <c r="I142" i="11"/>
  <c r="AB142" i="11"/>
  <c r="CM142" i="11"/>
  <c r="AG142" i="11"/>
  <c r="BR142" i="11"/>
  <c r="BX142" i="11"/>
  <c r="CG142" i="11"/>
  <c r="BO142" i="11"/>
  <c r="CL142" i="11"/>
  <c r="X142" i="11"/>
  <c r="AS142" i="11"/>
  <c r="BG142" i="11"/>
  <c r="Q142" i="11"/>
  <c r="AJ142" i="11"/>
  <c r="CP142" i="11"/>
  <c r="AH142" i="11"/>
  <c r="T142" i="11"/>
  <c r="CH142" i="11"/>
  <c r="AW142" i="11"/>
  <c r="CE142" i="11"/>
  <c r="BN142" i="11"/>
  <c r="DC142" i="11" l="1"/>
  <c r="AU142" i="11"/>
  <c r="AT142" i="11"/>
  <c r="BS142" i="11"/>
  <c r="BT142" i="11"/>
  <c r="CR142" i="11"/>
  <c r="CS142" i="11"/>
  <c r="C4797" i="3"/>
  <c r="BJ142" i="11"/>
  <c r="BK142" i="11"/>
  <c r="CI142" i="11"/>
  <c r="CJ142" i="11"/>
  <c r="CB142" i="11"/>
  <c r="CA142" i="11"/>
  <c r="U142" i="11"/>
  <c r="V142" i="11"/>
  <c r="AK142" i="11"/>
  <c r="AL142" i="11"/>
  <c r="AD142" i="11"/>
  <c r="AC142" i="11"/>
  <c r="L142" i="11"/>
  <c r="M142" i="11"/>
  <c r="BC142" i="11"/>
  <c r="BB142" i="11"/>
  <c r="C4798" i="3" l="1"/>
  <c r="C4799" i="3" l="1"/>
  <c r="C4800" i="3" l="1"/>
  <c r="CY270" i="11" s="1"/>
  <c r="CZ270" i="11" s="1"/>
  <c r="CX270" i="11" l="1"/>
  <c r="CW270" i="11"/>
  <c r="CV270" i="11"/>
  <c r="CU270" i="11"/>
  <c r="C4802" i="3"/>
  <c r="O270" i="11"/>
  <c r="G270" i="11"/>
  <c r="I270" i="11"/>
  <c r="AQ270" i="11"/>
  <c r="R270" i="11"/>
  <c r="AI270" i="11"/>
  <c r="S270" i="11"/>
  <c r="J270" i="11"/>
  <c r="P270" i="11"/>
  <c r="H270" i="11"/>
  <c r="Y270" i="11"/>
  <c r="AN270" i="11"/>
  <c r="X270" i="11"/>
  <c r="AR270" i="11"/>
  <c r="Z270" i="11"/>
  <c r="AB270" i="11"/>
  <c r="T270" i="11"/>
  <c r="AS270" i="11"/>
  <c r="AF270" i="11"/>
  <c r="AO270" i="11"/>
  <c r="AP270" i="11"/>
  <c r="AH270" i="11"/>
  <c r="AG270" i="11"/>
  <c r="Q270" i="11"/>
  <c r="AA270" i="11"/>
  <c r="K270" i="11"/>
  <c r="AJ270" i="11"/>
  <c r="BE270" i="11"/>
  <c r="CH270" i="11"/>
  <c r="BI270" i="11"/>
  <c r="BR270" i="11"/>
  <c r="CQ270" i="11"/>
  <c r="BZ270" i="11"/>
  <c r="CP270" i="11"/>
  <c r="BF270" i="11"/>
  <c r="BH270" i="11"/>
  <c r="BN270" i="11"/>
  <c r="BY270" i="11"/>
  <c r="BX270" i="11"/>
  <c r="AW270" i="11"/>
  <c r="CN270" i="11"/>
  <c r="CM270" i="11"/>
  <c r="AZ270" i="11"/>
  <c r="CO270" i="11"/>
  <c r="BG270" i="11"/>
  <c r="AY270" i="11"/>
  <c r="BM270" i="11"/>
  <c r="BV270" i="11"/>
  <c r="BQ270" i="11"/>
  <c r="CF270" i="11"/>
  <c r="CG270" i="11"/>
  <c r="CL270" i="11"/>
  <c r="BW270" i="11"/>
  <c r="CD270" i="11"/>
  <c r="CE270" i="11"/>
  <c r="BP270" i="11"/>
  <c r="BO270" i="11"/>
  <c r="AX270" i="11"/>
  <c r="BA270" i="11"/>
  <c r="DC270" i="11" l="1"/>
  <c r="AF48" i="11"/>
  <c r="G48" i="11"/>
  <c r="J48" i="11"/>
  <c r="O48" i="11"/>
  <c r="Q48" i="11"/>
  <c r="AG48" i="11"/>
  <c r="X48" i="11"/>
  <c r="R48" i="11"/>
  <c r="AH48" i="11"/>
  <c r="H48" i="11"/>
  <c r="AQ48" i="11"/>
  <c r="AP48" i="11"/>
  <c r="Y48" i="11"/>
  <c r="C4803" i="3"/>
  <c r="C4804" i="3" s="1"/>
  <c r="G335" i="11"/>
  <c r="H329" i="11"/>
  <c r="H330" i="11"/>
  <c r="H331" i="11"/>
  <c r="H332" i="11"/>
  <c r="R39" i="11"/>
  <c r="Y39" i="11"/>
  <c r="S39" i="11"/>
  <c r="Q39" i="11"/>
  <c r="Z39" i="11"/>
  <c r="AN48" i="11"/>
  <c r="AO48" i="11"/>
  <c r="P48" i="11"/>
  <c r="U270" i="11"/>
  <c r="V270" i="11"/>
  <c r="CJ270" i="11"/>
  <c r="CI270" i="11"/>
  <c r="CA270" i="11"/>
  <c r="CB270" i="11"/>
  <c r="AL270" i="11"/>
  <c r="AK270" i="11"/>
  <c r="AC270" i="11"/>
  <c r="AD270" i="11"/>
  <c r="AT270" i="11"/>
  <c r="AU270" i="11"/>
  <c r="CR270" i="11"/>
  <c r="CS270" i="11"/>
  <c r="BC270" i="11"/>
  <c r="BB270" i="11"/>
  <c r="BS270" i="11"/>
  <c r="BT270" i="11"/>
  <c r="L270" i="11"/>
  <c r="M270" i="11"/>
  <c r="BJ270" i="11"/>
  <c r="BK270" i="11"/>
  <c r="C4805" i="3" l="1"/>
  <c r="CY273" i="11" s="1"/>
  <c r="CZ273" i="11" s="1"/>
  <c r="CH273" i="11"/>
  <c r="CQ273" i="11"/>
  <c r="BG273" i="11"/>
  <c r="BM273" i="11"/>
  <c r="CO273" i="11"/>
  <c r="BX273" i="11"/>
  <c r="CD273" i="11"/>
  <c r="AW273" i="11"/>
  <c r="O273" i="11"/>
  <c r="R273" i="11"/>
  <c r="J273" i="11"/>
  <c r="P273" i="11"/>
  <c r="AG273" i="11"/>
  <c r="G273" i="11"/>
  <c r="AF273" i="11"/>
  <c r="AQ273" i="11" l="1"/>
  <c r="BA273" i="11"/>
  <c r="BB273" i="11" s="1"/>
  <c r="AR273" i="11"/>
  <c r="AA273" i="11"/>
  <c r="CP273" i="11"/>
  <c r="BN273" i="11"/>
  <c r="H273" i="11"/>
  <c r="AX273" i="11"/>
  <c r="CF273" i="11"/>
  <c r="X273" i="11"/>
  <c r="S273" i="11"/>
  <c r="AB273" i="11"/>
  <c r="AD273" i="11" s="1"/>
  <c r="Q273" i="11"/>
  <c r="BQ273" i="11"/>
  <c r="CE273" i="11"/>
  <c r="BV273" i="11"/>
  <c r="BZ273" i="11"/>
  <c r="CA273" i="11" s="1"/>
  <c r="K273" i="11"/>
  <c r="M273" i="11" s="1"/>
  <c r="AS273" i="11"/>
  <c r="AT273" i="11" s="1"/>
  <c r="I273" i="11"/>
  <c r="CG273" i="11"/>
  <c r="CM273" i="11"/>
  <c r="AY273" i="11"/>
  <c r="BR273" i="11"/>
  <c r="BT273" i="11" s="1"/>
  <c r="AI273" i="11"/>
  <c r="AP273" i="11"/>
  <c r="AO273" i="11"/>
  <c r="BO273" i="11"/>
  <c r="BY273" i="11"/>
  <c r="AZ273" i="11"/>
  <c r="Z273" i="11"/>
  <c r="BF273" i="11"/>
  <c r="BI273" i="11"/>
  <c r="BJ273" i="11" s="1"/>
  <c r="AJ273" i="11"/>
  <c r="AL273" i="11" s="1"/>
  <c r="AN273" i="11"/>
  <c r="AH273" i="11"/>
  <c r="Y273" i="11"/>
  <c r="BP273" i="11"/>
  <c r="CL273" i="11"/>
  <c r="BH273" i="11"/>
  <c r="BW273" i="11"/>
  <c r="CN273" i="11"/>
  <c r="BE273" i="11"/>
  <c r="T273" i="11"/>
  <c r="CX273" i="11"/>
  <c r="CW273" i="11"/>
  <c r="CV273" i="11"/>
  <c r="CU273" i="11"/>
  <c r="C4806" i="3"/>
  <c r="C4807" i="3" s="1"/>
  <c r="C4808" i="3" s="1"/>
  <c r="CJ273" i="11"/>
  <c r="CI273" i="11"/>
  <c r="CS273" i="11"/>
  <c r="CR273" i="11"/>
  <c r="CM328" i="11"/>
  <c r="CB273" i="11" l="1"/>
  <c r="L273" i="11"/>
  <c r="AC273" i="11"/>
  <c r="BS273" i="11"/>
  <c r="AU273" i="11"/>
  <c r="BC273" i="11"/>
  <c r="AK273" i="11"/>
  <c r="DC273" i="11"/>
  <c r="BK273" i="11"/>
  <c r="U273" i="11"/>
  <c r="V273" i="11"/>
  <c r="C4809" i="3"/>
  <c r="C4810" i="3" l="1"/>
  <c r="C4811" i="3" s="1"/>
  <c r="C4812" i="3" l="1"/>
  <c r="CY154" i="11" s="1"/>
  <c r="CZ154" i="11" s="1"/>
  <c r="C4815" i="3"/>
  <c r="C4816" i="3" s="1"/>
  <c r="CW154" i="11" l="1"/>
  <c r="CX154" i="11"/>
  <c r="CU154" i="11"/>
  <c r="CV154" i="11"/>
  <c r="C4813" i="3"/>
  <c r="CL154" i="11"/>
  <c r="BM154" i="11"/>
  <c r="CO154" i="11"/>
  <c r="X154" i="11"/>
  <c r="Z154" i="11"/>
  <c r="AQ154" i="11"/>
  <c r="AS154" i="11"/>
  <c r="BO154" i="11"/>
  <c r="BF154" i="11"/>
  <c r="Q154" i="11"/>
  <c r="BP154" i="11"/>
  <c r="O154" i="11"/>
  <c r="AI154" i="11"/>
  <c r="J154" i="11"/>
  <c r="S154" i="11"/>
  <c r="BZ154" i="11"/>
  <c r="AX154" i="11"/>
  <c r="CQ154" i="11"/>
  <c r="BE154" i="11"/>
  <c r="CN154" i="11"/>
  <c r="BW154" i="11"/>
  <c r="CF154" i="11"/>
  <c r="AA154" i="11"/>
  <c r="BI154" i="11"/>
  <c r="BR154" i="11"/>
  <c r="AO154" i="11"/>
  <c r="BY154" i="11"/>
  <c r="P154" i="11"/>
  <c r="BG154" i="11"/>
  <c r="Y154" i="11"/>
  <c r="CH154" i="11"/>
  <c r="CM154" i="11"/>
  <c r="AW154" i="11"/>
  <c r="CP154" i="11"/>
  <c r="BQ154" i="11"/>
  <c r="AH154" i="11"/>
  <c r="BV154" i="11"/>
  <c r="K154" i="11"/>
  <c r="H154" i="11"/>
  <c r="AR154" i="11"/>
  <c r="BH154" i="11"/>
  <c r="CE154" i="11"/>
  <c r="BA154" i="11"/>
  <c r="R154" i="11"/>
  <c r="CG154" i="11"/>
  <c r="I154" i="11"/>
  <c r="CD154" i="11"/>
  <c r="T154" i="11"/>
  <c r="BN154" i="11"/>
  <c r="AJ154" i="11"/>
  <c r="AZ154" i="11"/>
  <c r="AN154" i="11"/>
  <c r="AY154" i="11"/>
  <c r="AF154" i="11"/>
  <c r="AG154" i="11"/>
  <c r="BX154" i="11"/>
  <c r="AB154" i="11"/>
  <c r="AP154" i="11"/>
  <c r="G154" i="11"/>
  <c r="C4817" i="3"/>
  <c r="C4818" i="3" s="1"/>
  <c r="DC154" i="11" l="1"/>
  <c r="AC154" i="11"/>
  <c r="AD154" i="11"/>
  <c r="BJ154" i="11"/>
  <c r="BK154" i="11"/>
  <c r="CR154" i="11"/>
  <c r="CS154" i="11"/>
  <c r="AT154" i="11"/>
  <c r="AU154" i="11"/>
  <c r="CA154" i="11"/>
  <c r="CB154" i="11"/>
  <c r="AL154" i="11"/>
  <c r="AK154" i="11"/>
  <c r="M154" i="11"/>
  <c r="L154" i="11"/>
  <c r="U154" i="11"/>
  <c r="V154" i="11"/>
  <c r="BB154" i="11"/>
  <c r="BC154" i="11"/>
  <c r="CJ154" i="11"/>
  <c r="CI154" i="11"/>
  <c r="BT154" i="11"/>
  <c r="BS154" i="11"/>
  <c r="C4819" i="3"/>
  <c r="C4820" i="3" s="1"/>
  <c r="C4821" i="3" l="1"/>
  <c r="C4822" i="3" l="1"/>
  <c r="C4823" i="3" s="1"/>
  <c r="C4824" i="3" l="1"/>
  <c r="CY132" i="11" l="1"/>
  <c r="CZ132" i="11" s="1"/>
  <c r="C4825" i="3"/>
  <c r="C4826" i="3" s="1"/>
  <c r="CY268" i="11" s="1"/>
  <c r="CZ268" i="11" s="1"/>
  <c r="BN132" i="11"/>
  <c r="BF132" i="11"/>
  <c r="Q132" i="11"/>
  <c r="R132" i="11"/>
  <c r="CN132" i="11"/>
  <c r="P132" i="11"/>
  <c r="T132" i="11"/>
  <c r="CQ132" i="11"/>
  <c r="BZ132" i="11"/>
  <c r="BW132" i="11"/>
  <c r="BM132" i="11"/>
  <c r="CO132" i="11"/>
  <c r="S132" i="11"/>
  <c r="AG132" i="11"/>
  <c r="AB132" i="11"/>
  <c r="AY132" i="11"/>
  <c r="CM132" i="11"/>
  <c r="AO132" i="11"/>
  <c r="I132" i="11"/>
  <c r="Y132" i="11"/>
  <c r="CF132" i="11"/>
  <c r="BQ132" i="11"/>
  <c r="AZ132" i="11"/>
  <c r="AP132" i="11"/>
  <c r="AI132" i="11"/>
  <c r="X132" i="11"/>
  <c r="AS132" i="11"/>
  <c r="BA132" i="11"/>
  <c r="CP132" i="11"/>
  <c r="G132" i="11"/>
  <c r="AX132" i="11"/>
  <c r="H132" i="11"/>
  <c r="AQ132" i="11"/>
  <c r="BI132" i="11"/>
  <c r="BX132" i="11"/>
  <c r="CE132" i="11"/>
  <c r="BV132" i="11"/>
  <c r="CD132" i="11"/>
  <c r="CG132" i="11"/>
  <c r="BP132" i="11"/>
  <c r="BG132" i="11"/>
  <c r="Z132" i="11"/>
  <c r="J132" i="11"/>
  <c r="K132" i="11"/>
  <c r="AJ132" i="11"/>
  <c r="BE132" i="11"/>
  <c r="AA132" i="11"/>
  <c r="O132" i="11"/>
  <c r="BH132" i="11"/>
  <c r="AN132" i="11"/>
  <c r="CH132" i="11"/>
  <c r="BR132" i="11"/>
  <c r="BY132" i="11"/>
  <c r="AH132" i="11"/>
  <c r="AW132" i="11"/>
  <c r="AF132" i="11" l="1"/>
  <c r="CX132" i="11"/>
  <c r="AR132" i="11"/>
  <c r="CU132" i="11"/>
  <c r="CL132" i="11"/>
  <c r="BO132" i="11"/>
  <c r="CV132" i="11"/>
  <c r="CW268" i="11"/>
  <c r="CV268" i="11"/>
  <c r="CX268" i="11"/>
  <c r="CU268" i="11"/>
  <c r="DC132" i="11"/>
  <c r="C4827" i="3"/>
  <c r="G268" i="11"/>
  <c r="BM268" i="11"/>
  <c r="BX268" i="11"/>
  <c r="T268" i="11"/>
  <c r="AA268" i="11"/>
  <c r="AX268" i="11"/>
  <c r="Z268" i="11"/>
  <c r="BW268" i="11"/>
  <c r="O268" i="11"/>
  <c r="CO268" i="11"/>
  <c r="BR268" i="11"/>
  <c r="AF268" i="11"/>
  <c r="BY268" i="11"/>
  <c r="AI268" i="11"/>
  <c r="AW268" i="11"/>
  <c r="CG268" i="11"/>
  <c r="AP268" i="11"/>
  <c r="BN268" i="11"/>
  <c r="BH268" i="11"/>
  <c r="CQ268" i="11"/>
  <c r="AJ268" i="11"/>
  <c r="BA268" i="11"/>
  <c r="AS268" i="11"/>
  <c r="AY268" i="11"/>
  <c r="H268" i="11"/>
  <c r="CF268" i="11"/>
  <c r="CH268" i="11"/>
  <c r="Q268" i="11"/>
  <c r="CP268" i="11"/>
  <c r="I268" i="11"/>
  <c r="BV268" i="11"/>
  <c r="BZ268" i="11"/>
  <c r="BE268" i="11"/>
  <c r="AR268" i="11"/>
  <c r="AO268" i="11"/>
  <c r="BO268" i="11"/>
  <c r="J268" i="11"/>
  <c r="AN268" i="11"/>
  <c r="AG268" i="11"/>
  <c r="AB268" i="11"/>
  <c r="BP268" i="11"/>
  <c r="S268" i="11"/>
  <c r="Y268" i="11"/>
  <c r="CD268" i="11"/>
  <c r="BI268" i="11"/>
  <c r="AZ268" i="11"/>
  <c r="CE268" i="11"/>
  <c r="AH268" i="11"/>
  <c r="R268" i="11"/>
  <c r="BQ268" i="11"/>
  <c r="P268" i="11"/>
  <c r="CM268" i="11"/>
  <c r="BF268" i="11"/>
  <c r="AQ268" i="11"/>
  <c r="K268" i="11"/>
  <c r="CL268" i="11"/>
  <c r="CN268" i="11"/>
  <c r="BG268" i="11"/>
  <c r="X268" i="11"/>
  <c r="AD132" i="11"/>
  <c r="AC132" i="11"/>
  <c r="CA132" i="11"/>
  <c r="CB132" i="11"/>
  <c r="CR132" i="11"/>
  <c r="CS132" i="11"/>
  <c r="BS132" i="11"/>
  <c r="BT132" i="11"/>
  <c r="CJ132" i="11"/>
  <c r="CI132" i="11"/>
  <c r="BK132" i="11"/>
  <c r="BJ132" i="11"/>
  <c r="V132" i="11"/>
  <c r="U132" i="11"/>
  <c r="AL132" i="11"/>
  <c r="AK132" i="11"/>
  <c r="BB132" i="11"/>
  <c r="BC132" i="11"/>
  <c r="M132" i="11"/>
  <c r="L132" i="11"/>
  <c r="AT132" i="11"/>
  <c r="AU132" i="11"/>
  <c r="DC268" i="11" l="1"/>
  <c r="AU268" i="11"/>
  <c r="AT268" i="11"/>
  <c r="BS268" i="11"/>
  <c r="BT268" i="11"/>
  <c r="BC268" i="11"/>
  <c r="BB268" i="11"/>
  <c r="V268" i="11"/>
  <c r="U268" i="11"/>
  <c r="AK268" i="11"/>
  <c r="AL268" i="11"/>
  <c r="AD268" i="11"/>
  <c r="AC268" i="11"/>
  <c r="CR268" i="11"/>
  <c r="CS268" i="11"/>
  <c r="BJ268" i="11"/>
  <c r="BK268" i="11"/>
  <c r="CI268" i="11"/>
  <c r="CJ268" i="11"/>
  <c r="L268" i="11"/>
  <c r="M268" i="11"/>
  <c r="CA268" i="11"/>
  <c r="CB268" i="11"/>
  <c r="C4828" i="3"/>
  <c r="C4829" i="3" s="1"/>
  <c r="C4830" i="3" s="1"/>
  <c r="C4831" i="3" s="1"/>
  <c r="C4832" i="3" l="1"/>
  <c r="C4838" i="3"/>
  <c r="C4833" i="3" l="1"/>
  <c r="C4834" i="3" s="1"/>
  <c r="AG80" i="11"/>
  <c r="AN80" i="11"/>
  <c r="Q80" i="11"/>
  <c r="AH80" i="11"/>
  <c r="X80" i="11"/>
  <c r="Y80" i="11"/>
  <c r="H80" i="11"/>
  <c r="R80" i="11"/>
  <c r="AP80" i="11"/>
  <c r="AA80" i="11"/>
  <c r="AQ80" i="11"/>
  <c r="I80" i="11"/>
  <c r="S80" i="11"/>
  <c r="C4839" i="3"/>
  <c r="Q72" i="11"/>
  <c r="AP72" i="11"/>
  <c r="Z72" i="11"/>
  <c r="AA72" i="11"/>
  <c r="S72" i="11"/>
  <c r="AI72" i="11"/>
  <c r="R72" i="11"/>
  <c r="O80" i="11"/>
  <c r="J80" i="11"/>
  <c r="P80" i="11"/>
  <c r="AF80" i="11"/>
  <c r="AO80" i="11"/>
  <c r="G80" i="11"/>
  <c r="AA94" i="11"/>
  <c r="AP94" i="11"/>
  <c r="X94" i="11"/>
  <c r="R94" i="11"/>
  <c r="AQ94" i="11"/>
  <c r="Q94" i="11"/>
  <c r="P72" i="11"/>
  <c r="O72" i="11"/>
  <c r="G72" i="11"/>
  <c r="H72" i="11"/>
  <c r="AF72" i="11"/>
  <c r="AN72" i="11"/>
  <c r="X72" i="11"/>
  <c r="AQ72" i="11"/>
  <c r="Y72" i="11"/>
  <c r="AO72" i="11"/>
  <c r="I72" i="11"/>
  <c r="AG72" i="11"/>
  <c r="AH72" i="11"/>
  <c r="C4835" i="3" l="1"/>
  <c r="C4841" i="3"/>
  <c r="C4842" i="3" s="1"/>
  <c r="C4843" i="3" s="1"/>
  <c r="CY121" i="11" s="1"/>
  <c r="CZ121" i="11" s="1"/>
  <c r="C4840" i="3"/>
  <c r="X163" i="11"/>
  <c r="AP163" i="11"/>
  <c r="AQ163" i="11"/>
  <c r="I163" i="11"/>
  <c r="Z163" i="11"/>
  <c r="S163" i="11"/>
  <c r="AI163" i="11"/>
  <c r="J292" i="11"/>
  <c r="O292" i="11"/>
  <c r="P292" i="11"/>
  <c r="AO292" i="11"/>
  <c r="H292" i="11"/>
  <c r="G292" i="11"/>
  <c r="Q179" i="11"/>
  <c r="I179" i="11"/>
  <c r="AF163" i="11"/>
  <c r="O163" i="11"/>
  <c r="P163" i="11"/>
  <c r="J163" i="11"/>
  <c r="G163" i="11"/>
  <c r="AN163" i="11"/>
  <c r="Q163" i="11"/>
  <c r="AO163" i="11"/>
  <c r="AG163" i="11"/>
  <c r="Y163" i="11"/>
  <c r="R163" i="11"/>
  <c r="CW121" i="11" l="1"/>
  <c r="CX121" i="11"/>
  <c r="CV121" i="11"/>
  <c r="CU121" i="11"/>
  <c r="T121" i="11"/>
  <c r="AB121" i="11"/>
  <c r="AJ121" i="11"/>
  <c r="AS121" i="11"/>
  <c r="CH121" i="11"/>
  <c r="BZ121" i="11"/>
  <c r="CQ121" i="11"/>
  <c r="BR121" i="11"/>
  <c r="BH121" i="11"/>
  <c r="BI121" i="11"/>
  <c r="Q121" i="11"/>
  <c r="AF121" i="11"/>
  <c r="AO121" i="11"/>
  <c r="H121" i="11"/>
  <c r="AP121" i="11"/>
  <c r="I121" i="11"/>
  <c r="BN121" i="11"/>
  <c r="BP121" i="11"/>
  <c r="BY121" i="11"/>
  <c r="CE121" i="11"/>
  <c r="Y121" i="11"/>
  <c r="AR121" i="11"/>
  <c r="O121" i="11"/>
  <c r="P121" i="11"/>
  <c r="AG121" i="11"/>
  <c r="X121" i="11"/>
  <c r="AI121" i="11"/>
  <c r="Z121" i="11"/>
  <c r="BE121" i="11"/>
  <c r="BM121" i="11"/>
  <c r="BO121" i="11"/>
  <c r="CF121" i="11"/>
  <c r="CG121" i="11"/>
  <c r="J121" i="11"/>
  <c r="AA121" i="11"/>
  <c r="AN121" i="11"/>
  <c r="G121" i="11"/>
  <c r="AH121" i="11"/>
  <c r="R121" i="11"/>
  <c r="CP121" i="11"/>
  <c r="CO121" i="11"/>
  <c r="CM121" i="11"/>
  <c r="BA121" i="11"/>
  <c r="AZ121" i="11"/>
  <c r="BQ121" i="11"/>
  <c r="BV121" i="11"/>
  <c r="BX121" i="11"/>
  <c r="AW121" i="11"/>
  <c r="CD121" i="11"/>
  <c r="BW121" i="11"/>
  <c r="AX121" i="11"/>
  <c r="AY121" i="11"/>
  <c r="BG121" i="11"/>
  <c r="BF121" i="11"/>
  <c r="CL121" i="11"/>
  <c r="CN121" i="11"/>
  <c r="S121" i="11"/>
  <c r="C4844" i="3"/>
  <c r="K121" i="11"/>
  <c r="C4836" i="3"/>
  <c r="C4845" i="3" l="1"/>
  <c r="C4846" i="3" s="1"/>
  <c r="DC121" i="11"/>
  <c r="BB121" i="11"/>
  <c r="BC121" i="11"/>
  <c r="CS121" i="11"/>
  <c r="CR121" i="11"/>
  <c r="CA121" i="11"/>
  <c r="CB121" i="11"/>
  <c r="AD121" i="11"/>
  <c r="AC121" i="11"/>
  <c r="L121" i="11"/>
  <c r="M121" i="11"/>
  <c r="CI121" i="11"/>
  <c r="CJ121" i="11"/>
  <c r="BJ121" i="11"/>
  <c r="BK121" i="11"/>
  <c r="AT121" i="11"/>
  <c r="AU121" i="11"/>
  <c r="BT121" i="11"/>
  <c r="BS121" i="11"/>
  <c r="AL121" i="11"/>
  <c r="AK121" i="11"/>
  <c r="V121" i="11"/>
  <c r="U121" i="11"/>
  <c r="AN40" i="11"/>
  <c r="P40" i="11"/>
  <c r="J40" i="11"/>
  <c r="Z40" i="11"/>
  <c r="S40" i="11"/>
  <c r="AR40" i="11"/>
  <c r="AN49" i="11"/>
  <c r="AO49" i="11"/>
  <c r="P49" i="11"/>
  <c r="J49" i="11"/>
  <c r="O49" i="11"/>
  <c r="X49" i="11"/>
  <c r="AF49" i="11"/>
  <c r="C4859" i="3"/>
  <c r="C4847" i="3" l="1"/>
  <c r="C4860" i="3"/>
  <c r="AN57" i="11"/>
  <c r="AF57" i="11"/>
  <c r="AO57" i="11"/>
  <c r="P57" i="11"/>
  <c r="J57" i="11"/>
  <c r="O57" i="11"/>
  <c r="H57" i="11"/>
  <c r="G57" i="11"/>
  <c r="AG57" i="11"/>
  <c r="Q57" i="11"/>
  <c r="AH57" i="11"/>
  <c r="AP57" i="11"/>
  <c r="X57" i="11"/>
  <c r="G49" i="11"/>
  <c r="H49" i="11"/>
  <c r="AP49" i="11"/>
  <c r="AG49" i="11"/>
  <c r="AQ49" i="11"/>
  <c r="R49" i="11"/>
  <c r="Q49" i="11"/>
  <c r="AA49" i="11"/>
  <c r="S49" i="11"/>
  <c r="Z49" i="11"/>
  <c r="Y49" i="11"/>
  <c r="AH49" i="11"/>
  <c r="AI49" i="11"/>
  <c r="C4848" i="3" l="1"/>
  <c r="C4861" i="3"/>
  <c r="C4862" i="3" s="1"/>
  <c r="C4863" i="3" s="1"/>
  <c r="C4864" i="3" s="1"/>
  <c r="H65" i="11"/>
  <c r="X65" i="11"/>
  <c r="Q65" i="11"/>
  <c r="AH65" i="11"/>
  <c r="AG65" i="11"/>
  <c r="AP65" i="11"/>
  <c r="S65" i="11"/>
  <c r="AA65" i="11"/>
  <c r="Z65" i="11"/>
  <c r="AI65" i="11"/>
  <c r="AQ65" i="11"/>
  <c r="R65" i="11"/>
  <c r="J73" i="11"/>
  <c r="I57" i="11"/>
  <c r="AR57" i="11"/>
  <c r="AQ57" i="11"/>
  <c r="S57" i="11"/>
  <c r="Z57" i="11"/>
  <c r="R57" i="11"/>
  <c r="O65" i="11"/>
  <c r="J65" i="11"/>
  <c r="AO65" i="11"/>
  <c r="P65" i="11"/>
  <c r="AN65" i="11"/>
  <c r="AF65" i="11"/>
  <c r="G65" i="11"/>
  <c r="C4850" i="3" l="1"/>
  <c r="C4849" i="3"/>
  <c r="C4865" i="3"/>
  <c r="C4851" i="3" l="1"/>
  <c r="C4852" i="3" s="1"/>
  <c r="C4853" i="3" s="1"/>
  <c r="CY239" i="11" s="1"/>
  <c r="CZ239" i="11" s="1"/>
  <c r="C4866" i="3"/>
  <c r="CU239" i="11" l="1"/>
  <c r="CW239" i="11"/>
  <c r="CX239" i="11"/>
  <c r="CV239" i="11"/>
  <c r="BA239" i="11"/>
  <c r="BO239" i="11"/>
  <c r="K239" i="11"/>
  <c r="BX239" i="11"/>
  <c r="AW239" i="11"/>
  <c r="AB239" i="11"/>
  <c r="BE239" i="11"/>
  <c r="BH239" i="11"/>
  <c r="AX239" i="11"/>
  <c r="BP239" i="11"/>
  <c r="AO239" i="11"/>
  <c r="T239" i="11"/>
  <c r="CE239" i="11"/>
  <c r="AF239" i="11"/>
  <c r="CD239" i="11"/>
  <c r="BZ239" i="11"/>
  <c r="S239" i="11"/>
  <c r="H239" i="11"/>
  <c r="O239" i="11"/>
  <c r="BG239" i="11"/>
  <c r="AP239" i="11"/>
  <c r="BR239" i="11"/>
  <c r="BV239" i="11"/>
  <c r="AN239" i="11"/>
  <c r="CG239" i="11"/>
  <c r="R239" i="11"/>
  <c r="AG239" i="11"/>
  <c r="Y239" i="11"/>
  <c r="BW239" i="11"/>
  <c r="BN239" i="11"/>
  <c r="CN239" i="11"/>
  <c r="BF239" i="11"/>
  <c r="BY239" i="11"/>
  <c r="AQ239" i="11"/>
  <c r="AS239" i="11"/>
  <c r="CM239" i="11"/>
  <c r="J239" i="11"/>
  <c r="I239" i="11"/>
  <c r="CQ239" i="11"/>
  <c r="CL239" i="11"/>
  <c r="Z239" i="11"/>
  <c r="BQ239" i="11"/>
  <c r="AJ239" i="11"/>
  <c r="AR239" i="11"/>
  <c r="AZ239" i="11"/>
  <c r="CF239" i="11"/>
  <c r="AI239" i="11"/>
  <c r="X239" i="11"/>
  <c r="P239" i="11"/>
  <c r="AA239" i="11"/>
  <c r="CP239" i="11"/>
  <c r="C4854" i="3"/>
  <c r="C4855" i="3" s="1"/>
  <c r="C4856" i="3" s="1"/>
  <c r="C4857" i="3" s="1"/>
  <c r="AY239" i="11"/>
  <c r="G239" i="11"/>
  <c r="AH239" i="11"/>
  <c r="CO239" i="11"/>
  <c r="BM239" i="11"/>
  <c r="CH239" i="11"/>
  <c r="Q239" i="11"/>
  <c r="BI239" i="11"/>
  <c r="C4867" i="3"/>
  <c r="AL239" i="11" l="1"/>
  <c r="AK239" i="11"/>
  <c r="BB239" i="11"/>
  <c r="BC239" i="11"/>
  <c r="BJ239" i="11"/>
  <c r="BK239" i="11"/>
  <c r="V239" i="11"/>
  <c r="U239" i="11"/>
  <c r="AD239" i="11"/>
  <c r="AC239" i="11"/>
  <c r="AU239" i="11"/>
  <c r="AT239" i="11"/>
  <c r="CI239" i="11"/>
  <c r="CJ239" i="11"/>
  <c r="BT239" i="11"/>
  <c r="BS239" i="11"/>
  <c r="CA239" i="11"/>
  <c r="CB239" i="11"/>
  <c r="CS239" i="11"/>
  <c r="CR239" i="11"/>
  <c r="M239" i="11"/>
  <c r="DC239" i="11"/>
  <c r="L239" i="11"/>
  <c r="C4868" i="3"/>
  <c r="C4869" i="3" s="1"/>
  <c r="C4870" i="3" s="1"/>
  <c r="C4871" i="3" s="1"/>
  <c r="C4872" i="3" l="1"/>
  <c r="C4873" i="3" s="1"/>
  <c r="C4874" i="3" s="1"/>
  <c r="C4875" i="3" s="1"/>
  <c r="C4876" i="3" s="1"/>
  <c r="C4877" i="3" l="1"/>
  <c r="C4878" i="3" l="1"/>
  <c r="C4880" i="3" l="1"/>
  <c r="C4881" i="3" l="1"/>
  <c r="C4882" i="3" l="1"/>
  <c r="C4883" i="3" s="1"/>
  <c r="C4885" i="3" l="1"/>
  <c r="C4886" i="3" l="1"/>
  <c r="C4887" i="3" s="1"/>
  <c r="C4888" i="3" l="1"/>
  <c r="C4889" i="3" l="1"/>
  <c r="C4890" i="3" l="1"/>
  <c r="C4891" i="3" l="1"/>
  <c r="C4892" i="3" l="1"/>
  <c r="C4893" i="3" l="1"/>
  <c r="C4894" i="3" s="1"/>
  <c r="C4895" i="3" l="1"/>
  <c r="BR176" i="11"/>
  <c r="T176" i="11"/>
  <c r="AG176" i="11"/>
  <c r="J176" i="11"/>
  <c r="S176" i="11"/>
  <c r="H176" i="11"/>
  <c r="AN176" i="11"/>
  <c r="CO176" i="11"/>
  <c r="BM176" i="11"/>
  <c r="BO176" i="11"/>
  <c r="CN176" i="11"/>
  <c r="BW176" i="11"/>
  <c r="CQ176" i="11"/>
  <c r="CH176" i="11"/>
  <c r="BA176" i="11"/>
  <c r="CD176" i="11"/>
  <c r="K176" i="11"/>
  <c r="AP176" i="11"/>
  <c r="AH176" i="11"/>
  <c r="CP176" i="11"/>
  <c r="O176" i="11"/>
  <c r="I176" i="11"/>
  <c r="BN176" i="11"/>
  <c r="CL176" i="11"/>
  <c r="BV176" i="11"/>
  <c r="BP176" i="11"/>
  <c r="CF176" i="11"/>
  <c r="AB176" i="11"/>
  <c r="CG176" i="11"/>
  <c r="BZ176" i="11"/>
  <c r="R176" i="11"/>
  <c r="Y176" i="11"/>
  <c r="Z176" i="11"/>
  <c r="BF176" i="11"/>
  <c r="P176" i="11"/>
  <c r="AO176" i="11"/>
  <c r="AZ176" i="11"/>
  <c r="BX176" i="11"/>
  <c r="G176" i="11"/>
  <c r="AR176" i="11"/>
  <c r="AI176" i="11"/>
  <c r="BE176" i="11"/>
  <c r="AY176" i="11"/>
  <c r="AW176" i="11"/>
  <c r="CE176" i="11"/>
  <c r="AX176" i="11"/>
  <c r="BY176" i="11"/>
  <c r="AS176" i="11"/>
  <c r="AQ176" i="11"/>
  <c r="AJ176" i="11"/>
  <c r="CM176" i="11"/>
  <c r="BG176" i="11"/>
  <c r="X176" i="11"/>
  <c r="AF176" i="11"/>
  <c r="AA176" i="11"/>
  <c r="Q176" i="11"/>
  <c r="BQ176" i="11"/>
  <c r="BH176" i="11"/>
  <c r="BI176" i="11"/>
  <c r="DC176" i="11" l="1"/>
  <c r="BJ176" i="11"/>
  <c r="BK176" i="11"/>
  <c r="AT176" i="11"/>
  <c r="AU176" i="11"/>
  <c r="CB176" i="11"/>
  <c r="CA176" i="11"/>
  <c r="BB176" i="11"/>
  <c r="BC176" i="11"/>
  <c r="CI176" i="11"/>
  <c r="CJ176" i="11"/>
  <c r="U176" i="11"/>
  <c r="V176" i="11"/>
  <c r="AL176" i="11"/>
  <c r="AK176" i="11"/>
  <c r="CR176" i="11"/>
  <c r="CS176" i="11"/>
  <c r="BT176" i="11"/>
  <c r="BS176" i="11"/>
  <c r="AD176" i="11"/>
  <c r="AC176" i="11"/>
  <c r="L176" i="11"/>
  <c r="M176" i="11"/>
  <c r="C4896" i="3"/>
  <c r="C4897" i="3" l="1"/>
  <c r="AY244" i="11"/>
  <c r="BE244" i="11"/>
  <c r="BX244" i="11"/>
  <c r="AS244" i="11"/>
  <c r="CG244" i="11"/>
  <c r="I244" i="11"/>
  <c r="CW244" i="11" l="1"/>
  <c r="CX244" i="11"/>
  <c r="CV244" i="11"/>
  <c r="CU244" i="11"/>
  <c r="C4898" i="3"/>
  <c r="BA244" i="11"/>
  <c r="BB244" i="11" s="1"/>
  <c r="CE244" i="11"/>
  <c r="AO244" i="11"/>
  <c r="AA244" i="11"/>
  <c r="CN244" i="11"/>
  <c r="CQ244" i="11"/>
  <c r="CR244" i="11" s="1"/>
  <c r="AH244" i="11"/>
  <c r="G244" i="11"/>
  <c r="CD244" i="11"/>
  <c r="AG244" i="11"/>
  <c r="BH244" i="11"/>
  <c r="AR244" i="11"/>
  <c r="R244" i="11"/>
  <c r="P244" i="11"/>
  <c r="Z244" i="11"/>
  <c r="BI244" i="11"/>
  <c r="BK244" i="11" s="1"/>
  <c r="BW244" i="11"/>
  <c r="Y244" i="11"/>
  <c r="AI244" i="11"/>
  <c r="BV244" i="11"/>
  <c r="S244" i="11"/>
  <c r="AJ244" i="11"/>
  <c r="AK244" i="11" s="1"/>
  <c r="BF244" i="11"/>
  <c r="AB244" i="11"/>
  <c r="AC244" i="11" s="1"/>
  <c r="AW244" i="11"/>
  <c r="CP244" i="11"/>
  <c r="J244" i="11"/>
  <c r="AF244" i="11"/>
  <c r="AZ244" i="11"/>
  <c r="AN244" i="11"/>
  <c r="CF244" i="11"/>
  <c r="AP244" i="11"/>
  <c r="K244" i="11"/>
  <c r="M244" i="11" s="1"/>
  <c r="O244" i="11"/>
  <c r="BQ244" i="11"/>
  <c r="Q244" i="11"/>
  <c r="H244" i="11"/>
  <c r="BN244" i="11"/>
  <c r="BO244" i="11"/>
  <c r="BP244" i="11"/>
  <c r="BR244" i="11"/>
  <c r="BT244" i="11" s="1"/>
  <c r="BY244" i="11"/>
  <c r="T244" i="11"/>
  <c r="U244" i="11" s="1"/>
  <c r="CL244" i="11"/>
  <c r="BZ244" i="11"/>
  <c r="CM244" i="11"/>
  <c r="AQ244" i="11"/>
  <c r="CO244" i="11"/>
  <c r="BG244" i="11"/>
  <c r="X244" i="11"/>
  <c r="BM244" i="11"/>
  <c r="AX244" i="11"/>
  <c r="CH244" i="11"/>
  <c r="CJ244" i="11" s="1"/>
  <c r="C4899" i="3"/>
  <c r="C4900" i="3" s="1"/>
  <c r="C4901" i="3" s="1"/>
  <c r="C4902" i="3" s="1"/>
  <c r="AU244" i="11"/>
  <c r="AT244" i="11"/>
  <c r="CW235" i="11" l="1"/>
  <c r="CX235" i="11"/>
  <c r="CU235" i="11"/>
  <c r="CV235" i="11"/>
  <c r="CS244" i="11"/>
  <c r="BC244" i="11"/>
  <c r="BJ244" i="11"/>
  <c r="AD244" i="11"/>
  <c r="L244" i="11"/>
  <c r="BS244" i="11"/>
  <c r="AL244" i="11"/>
  <c r="DC244" i="11"/>
  <c r="V244" i="11"/>
  <c r="CA244" i="11"/>
  <c r="CB244" i="11"/>
  <c r="CI244" i="11"/>
  <c r="C4903" i="3"/>
  <c r="CY99" i="11" s="1"/>
  <c r="CZ99" i="11" s="1"/>
  <c r="CF235" i="11"/>
  <c r="Q235" i="11"/>
  <c r="CN235" i="11"/>
  <c r="O235" i="11"/>
  <c r="BI235" i="11"/>
  <c r="CL235" i="11"/>
  <c r="BR235" i="11"/>
  <c r="R235" i="11"/>
  <c r="BV235" i="11"/>
  <c r="CM235" i="11"/>
  <c r="G235" i="11"/>
  <c r="AJ235" i="11"/>
  <c r="AO235" i="11"/>
  <c r="AP235" i="11"/>
  <c r="CH235" i="11"/>
  <c r="BH235" i="11"/>
  <c r="AA235" i="11"/>
  <c r="CO235" i="11"/>
  <c r="I235" i="11"/>
  <c r="S235" i="11"/>
  <c r="BY235" i="11"/>
  <c r="AB235" i="11"/>
  <c r="X235" i="11"/>
  <c r="BO235" i="11"/>
  <c r="H235" i="11"/>
  <c r="AW235" i="11"/>
  <c r="BX235" i="11"/>
  <c r="BQ235" i="11"/>
  <c r="Y235" i="11"/>
  <c r="BZ235" i="11"/>
  <c r="AF235" i="11"/>
  <c r="CE235" i="11"/>
  <c r="K235" i="11"/>
  <c r="BA235" i="11"/>
  <c r="AR235" i="11"/>
  <c r="AH235" i="11"/>
  <c r="BP235" i="11"/>
  <c r="BN235" i="11"/>
  <c r="AQ235" i="11"/>
  <c r="J235" i="11"/>
  <c r="AS235" i="11"/>
  <c r="AZ235" i="11"/>
  <c r="Z235" i="11"/>
  <c r="BG235" i="11"/>
  <c r="CD235" i="11"/>
  <c r="BE235" i="11"/>
  <c r="BW235" i="11"/>
  <c r="AY235" i="11"/>
  <c r="CG235" i="11"/>
  <c r="AG235" i="11"/>
  <c r="BM235" i="11"/>
  <c r="P235" i="11"/>
  <c r="AN235" i="11"/>
  <c r="CP235" i="11"/>
  <c r="AI235" i="11"/>
  <c r="BF235" i="11"/>
  <c r="AX235" i="11"/>
  <c r="T235" i="11"/>
  <c r="CQ235" i="11"/>
  <c r="CX99" i="11" l="1"/>
  <c r="CU99" i="11"/>
  <c r="CW99" i="11"/>
  <c r="CV99" i="11"/>
  <c r="DC235" i="11"/>
  <c r="AT235" i="11"/>
  <c r="AU235" i="11"/>
  <c r="CA235" i="11"/>
  <c r="CB235" i="11"/>
  <c r="BT235" i="11"/>
  <c r="BS235" i="11"/>
  <c r="BC235" i="11"/>
  <c r="BB235" i="11"/>
  <c r="AK235" i="11"/>
  <c r="AL235" i="11"/>
  <c r="C4904" i="3"/>
  <c r="AX99" i="11"/>
  <c r="AH99" i="11"/>
  <c r="AW99" i="11"/>
  <c r="P99" i="11"/>
  <c r="I99" i="11"/>
  <c r="BZ99" i="11"/>
  <c r="CL99" i="11"/>
  <c r="G99" i="11"/>
  <c r="CE99" i="11"/>
  <c r="AZ99" i="11"/>
  <c r="AG99" i="11"/>
  <c r="BA99" i="11"/>
  <c r="BM99" i="11"/>
  <c r="BV99" i="11"/>
  <c r="Y99" i="11"/>
  <c r="AN99" i="11"/>
  <c r="CF99" i="11"/>
  <c r="CP99" i="11"/>
  <c r="O99" i="11"/>
  <c r="AY99" i="11"/>
  <c r="BP99" i="11"/>
  <c r="AB99" i="11"/>
  <c r="CN99" i="11"/>
  <c r="AP99" i="11"/>
  <c r="AS99" i="11"/>
  <c r="BQ99" i="11"/>
  <c r="BE99" i="11"/>
  <c r="S99" i="11"/>
  <c r="BX99" i="11"/>
  <c r="AQ99" i="11"/>
  <c r="R99" i="11"/>
  <c r="CH99" i="11"/>
  <c r="CM99" i="11"/>
  <c r="X99" i="11"/>
  <c r="T99" i="11"/>
  <c r="J99" i="11"/>
  <c r="Q99" i="11"/>
  <c r="CQ99" i="11"/>
  <c r="BG99" i="11"/>
  <c r="BF99" i="11"/>
  <c r="BY99" i="11"/>
  <c r="BO99" i="11"/>
  <c r="H99" i="11"/>
  <c r="CG99" i="11"/>
  <c r="AO99" i="11"/>
  <c r="AF99" i="11"/>
  <c r="BI99" i="11"/>
  <c r="AR99" i="11"/>
  <c r="K99" i="11"/>
  <c r="CD99" i="11"/>
  <c r="CO99" i="11"/>
  <c r="AA99" i="11"/>
  <c r="AJ99" i="11"/>
  <c r="BN99" i="11"/>
  <c r="BH99" i="11"/>
  <c r="BW99" i="11"/>
  <c r="AI99" i="11"/>
  <c r="Z99" i="11"/>
  <c r="BR99" i="11"/>
  <c r="AC235" i="11"/>
  <c r="AD235" i="11"/>
  <c r="BK235" i="11"/>
  <c r="BJ235" i="11"/>
  <c r="L235" i="11"/>
  <c r="M235" i="11"/>
  <c r="CR235" i="11"/>
  <c r="CS235" i="11"/>
  <c r="V235" i="11"/>
  <c r="U235" i="11"/>
  <c r="CI235" i="11"/>
  <c r="CJ235" i="11"/>
  <c r="DC99" i="11" l="1"/>
  <c r="AD99" i="11"/>
  <c r="AC99" i="11"/>
  <c r="BC99" i="11"/>
  <c r="BB99" i="11"/>
  <c r="BT99" i="11"/>
  <c r="BS99" i="11"/>
  <c r="CB99" i="11"/>
  <c r="CA99" i="11"/>
  <c r="C4905" i="3"/>
  <c r="M99" i="11"/>
  <c r="L99" i="11"/>
  <c r="CS99" i="11"/>
  <c r="CR99" i="11"/>
  <c r="CI99" i="11"/>
  <c r="CJ99" i="11"/>
  <c r="AU99" i="11"/>
  <c r="AT99" i="11"/>
  <c r="AK99" i="11"/>
  <c r="AL99" i="11"/>
  <c r="BJ99" i="11"/>
  <c r="BK99" i="11"/>
  <c r="V99" i="11"/>
  <c r="U99" i="11"/>
  <c r="C4906" i="3" l="1"/>
  <c r="C4907" i="3" l="1"/>
  <c r="C4908" i="3" s="1"/>
  <c r="X290" i="11"/>
  <c r="AG290" i="11"/>
  <c r="I290" i="11"/>
  <c r="AQ290" i="11"/>
  <c r="H290" i="11"/>
  <c r="AP290" i="11"/>
  <c r="Y290" i="11"/>
  <c r="AH290" i="11"/>
  <c r="R290" i="11"/>
  <c r="AN290" i="11"/>
  <c r="S290" i="11"/>
  <c r="Z290" i="11"/>
  <c r="AR290" i="11"/>
  <c r="AF81" i="11"/>
  <c r="AO81" i="11"/>
  <c r="G81" i="11"/>
  <c r="X81" i="11"/>
  <c r="R81" i="11"/>
  <c r="I81" i="11"/>
  <c r="H81" i="11"/>
  <c r="AG81" i="11"/>
  <c r="AH81" i="11"/>
  <c r="Q81" i="11"/>
  <c r="Y81" i="11"/>
  <c r="AQ81" i="11"/>
  <c r="AA81" i="11"/>
  <c r="C4909" i="3" l="1"/>
  <c r="C4910" i="3" l="1"/>
  <c r="C4911" i="3" s="1"/>
  <c r="C4912" i="3" l="1"/>
  <c r="C4914" i="3" s="1"/>
  <c r="C4916" i="3" l="1"/>
  <c r="C4917" i="3" s="1"/>
  <c r="C4915" i="3"/>
  <c r="C4918" i="3" l="1"/>
  <c r="C4919" i="3" s="1"/>
  <c r="O259" i="11"/>
  <c r="AN259" i="11"/>
  <c r="G259" i="11"/>
  <c r="J259" i="11"/>
  <c r="AO259" i="11"/>
  <c r="P259" i="11"/>
  <c r="H259" i="11"/>
  <c r="I259" i="11"/>
  <c r="AH259" i="11"/>
  <c r="X259" i="11"/>
  <c r="AP259" i="11"/>
  <c r="R259" i="11"/>
  <c r="Z259" i="11"/>
  <c r="Y267" i="11"/>
  <c r="I267" i="11"/>
  <c r="AF267" i="11"/>
  <c r="AH267" i="11"/>
  <c r="AA267" i="11"/>
  <c r="R267" i="11"/>
  <c r="AR267" i="11"/>
  <c r="S267" i="11"/>
  <c r="AI267" i="11"/>
  <c r="Z267" i="11"/>
  <c r="AG267" i="11"/>
  <c r="AP267" i="11"/>
  <c r="AF259" i="11"/>
  <c r="CU266" i="11" l="1"/>
  <c r="CV266" i="11"/>
  <c r="CX266" i="11"/>
  <c r="CW266" i="11"/>
  <c r="C4920" i="3"/>
  <c r="C4921" i="3" s="1"/>
  <c r="BA266" i="11"/>
  <c r="G266" i="11"/>
  <c r="CD266" i="11"/>
  <c r="AX266" i="11"/>
  <c r="BF266" i="11"/>
  <c r="AZ266" i="11"/>
  <c r="BX266" i="11"/>
  <c r="CL266" i="11"/>
  <c r="CP266" i="11"/>
  <c r="CF266" i="11"/>
  <c r="K266" i="11"/>
  <c r="AF266" i="11"/>
  <c r="CO266" i="11"/>
  <c r="Y266" i="11"/>
  <c r="BM266" i="11"/>
  <c r="BP266" i="11"/>
  <c r="AI266" i="11"/>
  <c r="BI266" i="11"/>
  <c r="AN266" i="11"/>
  <c r="T266" i="11"/>
  <c r="BH266" i="11"/>
  <c r="CQ266" i="11"/>
  <c r="Q266" i="11"/>
  <c r="P266" i="11"/>
  <c r="BN266" i="11"/>
  <c r="BV266" i="11"/>
  <c r="AW266" i="11"/>
  <c r="AB266" i="11"/>
  <c r="BQ266" i="11"/>
  <c r="Z266" i="11"/>
  <c r="BO266" i="11"/>
  <c r="BG266" i="11"/>
  <c r="CH266" i="11"/>
  <c r="I266" i="11"/>
  <c r="AY266" i="11"/>
  <c r="AG266" i="11"/>
  <c r="CG266" i="11"/>
  <c r="BE266" i="11"/>
  <c r="AO266" i="11"/>
  <c r="AH266" i="11"/>
  <c r="X266" i="11"/>
  <c r="CM266" i="11"/>
  <c r="R266" i="11"/>
  <c r="AR266" i="11"/>
  <c r="CE266" i="11"/>
  <c r="J266" i="11"/>
  <c r="S266" i="11"/>
  <c r="BZ266" i="11"/>
  <c r="CN266" i="11"/>
  <c r="AS266" i="11"/>
  <c r="AA266" i="11"/>
  <c r="BR266" i="11"/>
  <c r="AP266" i="11"/>
  <c r="O266" i="11"/>
  <c r="AJ266" i="11"/>
  <c r="AQ266" i="11"/>
  <c r="H266" i="11"/>
  <c r="BY266" i="11"/>
  <c r="BW266" i="11"/>
  <c r="C4922" i="3"/>
  <c r="CI266" i="11" l="1"/>
  <c r="CJ266" i="11"/>
  <c r="AC266" i="11"/>
  <c r="AD266" i="11"/>
  <c r="CR266" i="11"/>
  <c r="CS266" i="11"/>
  <c r="CB266" i="11"/>
  <c r="CA266" i="11"/>
  <c r="BS266" i="11"/>
  <c r="BT266" i="11"/>
  <c r="V266" i="11"/>
  <c r="U266" i="11"/>
  <c r="BC266" i="11"/>
  <c r="BB266" i="11"/>
  <c r="BJ266" i="11"/>
  <c r="BK266" i="11"/>
  <c r="AK266" i="11"/>
  <c r="AL266" i="11"/>
  <c r="AT266" i="11"/>
  <c r="AU266" i="11"/>
  <c r="M266" i="11"/>
  <c r="DC266" i="11"/>
  <c r="L266" i="11"/>
  <c r="C4924" i="3"/>
  <c r="C4923" i="3"/>
  <c r="AQ121" i="11"/>
  <c r="AQ76" i="11"/>
  <c r="AH60" i="11"/>
  <c r="Y264" i="11"/>
  <c r="AI76" i="11"/>
  <c r="S60" i="11"/>
  <c r="AQ68" i="11"/>
  <c r="S82" i="11"/>
  <c r="S94" i="11"/>
  <c r="AQ61" i="11"/>
  <c r="AH187" i="11"/>
  <c r="S35" i="11"/>
  <c r="AQ92" i="11"/>
  <c r="AR84" i="11"/>
  <c r="AQ280" i="11"/>
  <c r="AI292" i="11"/>
  <c r="AI107" i="11"/>
  <c r="AI77" i="11"/>
  <c r="AI64" i="11"/>
  <c r="Z166" i="11"/>
  <c r="Z240" i="11"/>
  <c r="Z253" i="11"/>
  <c r="Z179" i="11"/>
  <c r="Z75" i="11"/>
  <c r="S265" i="11"/>
  <c r="S61" i="11"/>
  <c r="AQ258" i="11"/>
  <c r="AI258" i="11"/>
  <c r="AA107" i="11"/>
  <c r="AA282" i="11"/>
  <c r="AA241" i="11"/>
  <c r="AA57" i="11"/>
  <c r="AA44" i="11"/>
  <c r="AR292" i="11"/>
  <c r="AR64" i="11"/>
  <c r="AR61" i="11"/>
  <c r="AI199" i="11"/>
  <c r="AN258" i="11"/>
  <c r="AF258" i="11"/>
  <c r="J258" i="11"/>
  <c r="P258" i="11"/>
  <c r="G258" i="11"/>
  <c r="Q258" i="11"/>
  <c r="X258" i="11"/>
  <c r="AG258" i="11"/>
  <c r="R258" i="11"/>
  <c r="Y258" i="11"/>
  <c r="AH258" i="11"/>
  <c r="AO258" i="11"/>
  <c r="AP258" i="11"/>
  <c r="Q274" i="11"/>
  <c r="AG274" i="11"/>
  <c r="AP274" i="11"/>
  <c r="Y274" i="11"/>
  <c r="AH274" i="11"/>
  <c r="R274" i="11"/>
  <c r="AR274" i="11"/>
  <c r="P274" i="11"/>
  <c r="I274" i="11"/>
  <c r="AQ274" i="11"/>
  <c r="S274" i="11"/>
  <c r="Z274" i="11"/>
  <c r="O258" i="11"/>
  <c r="I282" i="11"/>
  <c r="AQ282" i="11"/>
  <c r="S282" i="11"/>
  <c r="AI282" i="11"/>
  <c r="Q282" i="11"/>
  <c r="O274" i="11"/>
  <c r="AN274" i="11"/>
  <c r="AF274" i="11"/>
  <c r="AO274" i="11"/>
  <c r="J274" i="11"/>
  <c r="G274" i="11"/>
  <c r="X274" i="11"/>
  <c r="H274" i="11"/>
  <c r="C4925" i="3" l="1"/>
  <c r="C4926" i="3" l="1"/>
  <c r="C4927" i="3" l="1"/>
  <c r="CY138" i="11" s="1"/>
  <c r="CZ138" i="11" s="1"/>
  <c r="H138" i="11"/>
  <c r="Q138" i="11"/>
  <c r="BQ138" i="11"/>
  <c r="AF138" i="11"/>
  <c r="BP138" i="11"/>
  <c r="X138" i="11"/>
  <c r="AI138" i="11"/>
  <c r="CM138" i="11"/>
  <c r="CQ138" i="11"/>
  <c r="AX138" i="11"/>
  <c r="BA138" i="11" l="1"/>
  <c r="BB138" i="11" s="1"/>
  <c r="CO138" i="11"/>
  <c r="BR138" i="11"/>
  <c r="BT138" i="11" s="1"/>
  <c r="BM138" i="11"/>
  <c r="AG138" i="11"/>
  <c r="CL138" i="11"/>
  <c r="CE138" i="11"/>
  <c r="BH138" i="11"/>
  <c r="S138" i="11"/>
  <c r="AN138" i="11"/>
  <c r="K138" i="11"/>
  <c r="L138" i="11" s="1"/>
  <c r="AS138" i="11"/>
  <c r="AT138" i="11" s="1"/>
  <c r="J138" i="11"/>
  <c r="AR138" i="11"/>
  <c r="Y138" i="11"/>
  <c r="AZ138" i="11"/>
  <c r="CG138" i="11"/>
  <c r="P138" i="11"/>
  <c r="CD138" i="11"/>
  <c r="AY138" i="11"/>
  <c r="AA138" i="11"/>
  <c r="T138" i="11"/>
  <c r="V138" i="11" s="1"/>
  <c r="BN138" i="11"/>
  <c r="BG138" i="11"/>
  <c r="AH138" i="11"/>
  <c r="Z138" i="11"/>
  <c r="AW138" i="11"/>
  <c r="BZ138" i="11"/>
  <c r="CA138" i="11" s="1"/>
  <c r="R138" i="11"/>
  <c r="AB138" i="11"/>
  <c r="AC138" i="11" s="1"/>
  <c r="CP138" i="11"/>
  <c r="BY138" i="11"/>
  <c r="BW138" i="11"/>
  <c r="BV138" i="11"/>
  <c r="BF138" i="11"/>
  <c r="I138" i="11"/>
  <c r="AO138" i="11"/>
  <c r="CN138" i="11"/>
  <c r="AP138" i="11"/>
  <c r="CF138" i="11"/>
  <c r="BO138" i="11"/>
  <c r="BE138" i="11"/>
  <c r="BI138" i="11"/>
  <c r="BK138" i="11" s="1"/>
  <c r="BX138" i="11"/>
  <c r="AQ138" i="11"/>
  <c r="AJ138" i="11"/>
  <c r="AL138" i="11" s="1"/>
  <c r="CH138" i="11"/>
  <c r="CI138" i="11" s="1"/>
  <c r="O138" i="11"/>
  <c r="G138" i="11"/>
  <c r="CW138" i="11"/>
  <c r="CX138" i="11"/>
  <c r="CU138" i="11"/>
  <c r="CV138" i="11"/>
  <c r="C4928" i="3"/>
  <c r="CY145" i="11" s="1"/>
  <c r="CZ145" i="11" s="1"/>
  <c r="CR138" i="11"/>
  <c r="CS138" i="11"/>
  <c r="BS138" i="11" l="1"/>
  <c r="BC138" i="11"/>
  <c r="M138" i="11"/>
  <c r="T145" i="11"/>
  <c r="V145" i="11" s="1"/>
  <c r="AJ145" i="11"/>
  <c r="AK145" i="11" s="1"/>
  <c r="AR145" i="11"/>
  <c r="BH145" i="11"/>
  <c r="AA145" i="11"/>
  <c r="BF145" i="11"/>
  <c r="Y145" i="11"/>
  <c r="X145" i="11"/>
  <c r="BM145" i="11"/>
  <c r="CN145" i="11"/>
  <c r="BG145" i="11"/>
  <c r="AN145" i="11"/>
  <c r="CE145" i="11"/>
  <c r="BR145" i="11"/>
  <c r="BT145" i="11" s="1"/>
  <c r="O145" i="11"/>
  <c r="S145" i="11"/>
  <c r="AZ145" i="11"/>
  <c r="AX145" i="11"/>
  <c r="BN145" i="11"/>
  <c r="AB145" i="11"/>
  <c r="AD145" i="11" s="1"/>
  <c r="Z145" i="11"/>
  <c r="CL145" i="11"/>
  <c r="CM145" i="11"/>
  <c r="CF145" i="11"/>
  <c r="BQ145" i="11"/>
  <c r="BV145" i="11"/>
  <c r="BE145" i="11"/>
  <c r="U138" i="11"/>
  <c r="AW145" i="11"/>
  <c r="BO145" i="11"/>
  <c r="BI145" i="11"/>
  <c r="BK145" i="11" s="1"/>
  <c r="AG145" i="11"/>
  <c r="R145" i="11"/>
  <c r="CH145" i="11"/>
  <c r="CJ145" i="11" s="1"/>
  <c r="BW145" i="11"/>
  <c r="AQ145" i="11"/>
  <c r="AO145" i="11"/>
  <c r="G145" i="11"/>
  <c r="BP145" i="11"/>
  <c r="AF145" i="11"/>
  <c r="AI145" i="11"/>
  <c r="BX145" i="11"/>
  <c r="H145" i="11"/>
  <c r="J145" i="11"/>
  <c r="AS145" i="11"/>
  <c r="AU145" i="11" s="1"/>
  <c r="P145" i="11"/>
  <c r="AY145" i="11"/>
  <c r="BY145" i="11"/>
  <c r="CQ145" i="11"/>
  <c r="CD145" i="11"/>
  <c r="CO145" i="11"/>
  <c r="Q145" i="11"/>
  <c r="BZ145" i="11"/>
  <c r="CA145" i="11" s="1"/>
  <c r="AH145" i="11"/>
  <c r="AU138" i="11"/>
  <c r="AD138" i="11"/>
  <c r="CB138" i="11"/>
  <c r="AK138" i="11"/>
  <c r="CJ138" i="11"/>
  <c r="BJ138" i="11"/>
  <c r="DC138" i="11"/>
  <c r="C4929" i="3"/>
  <c r="CU146" i="11" s="1"/>
  <c r="BA145" i="11"/>
  <c r="BC145" i="11" s="1"/>
  <c r="AP145" i="11"/>
  <c r="CG145" i="11"/>
  <c r="CP145" i="11"/>
  <c r="CW145" i="11"/>
  <c r="CX145" i="11"/>
  <c r="CV145" i="11"/>
  <c r="CU145" i="11"/>
  <c r="K145" i="11"/>
  <c r="M145" i="11" s="1"/>
  <c r="I145" i="11"/>
  <c r="CG146" i="11" l="1"/>
  <c r="U145" i="11"/>
  <c r="AL145" i="11"/>
  <c r="BW146" i="11"/>
  <c r="AT145" i="11"/>
  <c r="Y146" i="11"/>
  <c r="AB146" i="11"/>
  <c r="AC146" i="11" s="1"/>
  <c r="P146" i="11"/>
  <c r="BF146" i="11"/>
  <c r="O146" i="11"/>
  <c r="CF146" i="11"/>
  <c r="CM146" i="11"/>
  <c r="AJ146" i="11"/>
  <c r="AK146" i="11" s="1"/>
  <c r="Q146" i="11"/>
  <c r="BE146" i="11"/>
  <c r="AR146" i="11"/>
  <c r="H146" i="11"/>
  <c r="AN146" i="11"/>
  <c r="BP146" i="11"/>
  <c r="CH146" i="11"/>
  <c r="CI146" i="11" s="1"/>
  <c r="AZ146" i="11"/>
  <c r="AI146" i="11"/>
  <c r="BV146" i="11"/>
  <c r="I146" i="11"/>
  <c r="AH146" i="11"/>
  <c r="BZ146" i="11"/>
  <c r="CA146" i="11" s="1"/>
  <c r="CE146" i="11"/>
  <c r="AA146" i="11"/>
  <c r="BI146" i="11"/>
  <c r="BK146" i="11" s="1"/>
  <c r="BX146" i="11"/>
  <c r="BM146" i="11"/>
  <c r="G146" i="11"/>
  <c r="CQ146" i="11"/>
  <c r="CR146" i="11" s="1"/>
  <c r="AO146" i="11"/>
  <c r="AY146" i="11"/>
  <c r="AP146" i="11"/>
  <c r="AG146" i="11"/>
  <c r="AS146" i="11"/>
  <c r="AT146" i="11" s="1"/>
  <c r="X146" i="11"/>
  <c r="CL146" i="11"/>
  <c r="J146" i="11"/>
  <c r="BQ146" i="11"/>
  <c r="R146" i="11"/>
  <c r="S146" i="11"/>
  <c r="AW146" i="11"/>
  <c r="CP146" i="11"/>
  <c r="AF146" i="11"/>
  <c r="CO146" i="11"/>
  <c r="BA146" i="11"/>
  <c r="BC146" i="11" s="1"/>
  <c r="CD146" i="11"/>
  <c r="CN146" i="11"/>
  <c r="Z146" i="11"/>
  <c r="AX146" i="11"/>
  <c r="K146" i="11"/>
  <c r="L146" i="11" s="1"/>
  <c r="BY146" i="11"/>
  <c r="BH146" i="11"/>
  <c r="AQ146" i="11"/>
  <c r="T146" i="11"/>
  <c r="V146" i="11" s="1"/>
  <c r="BN146" i="11"/>
  <c r="AC145" i="11"/>
  <c r="BS145" i="11"/>
  <c r="BO146" i="11"/>
  <c r="BR146" i="11"/>
  <c r="BG146" i="11"/>
  <c r="CX146" i="11"/>
  <c r="C4930" i="3"/>
  <c r="CY165" i="11" s="1"/>
  <c r="CZ165" i="11" s="1"/>
  <c r="CI145" i="11"/>
  <c r="CB145" i="11"/>
  <c r="CR145" i="11"/>
  <c r="BJ145" i="11"/>
  <c r="CS145" i="11"/>
  <c r="CV146" i="11"/>
  <c r="CW146" i="11"/>
  <c r="CY146" i="11"/>
  <c r="CZ146" i="11" s="1"/>
  <c r="BB145" i="11"/>
  <c r="DC145" i="11"/>
  <c r="L145" i="11"/>
  <c r="CW165" i="11"/>
  <c r="CU165" i="11"/>
  <c r="AS165" i="11"/>
  <c r="BY165" i="11"/>
  <c r="BM165" i="11"/>
  <c r="BW165" i="11"/>
  <c r="AP165" i="11"/>
  <c r="AQ165" i="11"/>
  <c r="AO165" i="11"/>
  <c r="AI165" i="11"/>
  <c r="CM165" i="11"/>
  <c r="BA165" i="11"/>
  <c r="BO165" i="11"/>
  <c r="CE165" i="11"/>
  <c r="CL165" i="11"/>
  <c r="CN165" i="11"/>
  <c r="AR165" i="11"/>
  <c r="R165" i="11"/>
  <c r="P165" i="11"/>
  <c r="Y165" i="11"/>
  <c r="AF165" i="11"/>
  <c r="AJ165" i="11"/>
  <c r="CQ165" i="11"/>
  <c r="BF165" i="11"/>
  <c r="BQ165" i="11"/>
  <c r="BX165" i="11"/>
  <c r="CF165" i="11"/>
  <c r="J165" i="11"/>
  <c r="Z165" i="11"/>
  <c r="AN165" i="11"/>
  <c r="S165" i="11"/>
  <c r="AG165" i="11"/>
  <c r="AB165" i="11"/>
  <c r="CH165" i="11"/>
  <c r="BH165" i="11"/>
  <c r="BE165" i="11"/>
  <c r="AW165" i="11"/>
  <c r="CG165" i="11"/>
  <c r="CD165" i="11"/>
  <c r="AA165" i="11"/>
  <c r="G165" i="11"/>
  <c r="K165" i="11"/>
  <c r="Q165" i="11"/>
  <c r="I165" i="11"/>
  <c r="T165" i="11"/>
  <c r="BR165" i="11"/>
  <c r="BP165" i="11"/>
  <c r="AZ165" i="11"/>
  <c r="BG165" i="11"/>
  <c r="AX165" i="11"/>
  <c r="BV165" i="11"/>
  <c r="CO165" i="11"/>
  <c r="BI165" i="11" l="1"/>
  <c r="AY165" i="11"/>
  <c r="AH165" i="11"/>
  <c r="BN165" i="11"/>
  <c r="H165" i="11"/>
  <c r="CP165" i="11"/>
  <c r="BZ165" i="11"/>
  <c r="DC165" i="11" s="1"/>
  <c r="CV165" i="11"/>
  <c r="X165" i="11"/>
  <c r="O165" i="11"/>
  <c r="C4931" i="3"/>
  <c r="CY157" i="11" s="1"/>
  <c r="CZ157" i="11" s="1"/>
  <c r="AD146" i="11"/>
  <c r="BJ146" i="11"/>
  <c r="CJ146" i="11"/>
  <c r="CB146" i="11"/>
  <c r="AU146" i="11"/>
  <c r="AL146" i="11"/>
  <c r="M146" i="11"/>
  <c r="CX165" i="11"/>
  <c r="CS146" i="11"/>
  <c r="DC146" i="11"/>
  <c r="U146" i="11"/>
  <c r="BB146" i="11"/>
  <c r="BT146" i="11"/>
  <c r="BS146" i="11"/>
  <c r="CV157" i="11"/>
  <c r="CU157" i="11"/>
  <c r="AT165" i="11"/>
  <c r="AU165" i="11"/>
  <c r="AY157" i="11"/>
  <c r="I157" i="11"/>
  <c r="Y157" i="11"/>
  <c r="CL157" i="11"/>
  <c r="AO157" i="11"/>
  <c r="BX157" i="11"/>
  <c r="T157" i="11"/>
  <c r="BO157" i="11"/>
  <c r="AX157" i="11"/>
  <c r="AQ157" i="11"/>
  <c r="O157" i="11"/>
  <c r="BN157" i="11"/>
  <c r="AH157" i="11"/>
  <c r="AS157" i="11"/>
  <c r="AJ157" i="11"/>
  <c r="CM157" i="11"/>
  <c r="AA157" i="11"/>
  <c r="BZ157" i="11"/>
  <c r="BM157" i="11"/>
  <c r="X157" i="11"/>
  <c r="BQ157" i="11"/>
  <c r="G157" i="11"/>
  <c r="L165" i="11"/>
  <c r="M165" i="11"/>
  <c r="BT165" i="11"/>
  <c r="BS165" i="11"/>
  <c r="CS165" i="11"/>
  <c r="CR165" i="11"/>
  <c r="BB165" i="11"/>
  <c r="BC165" i="11"/>
  <c r="V165" i="11"/>
  <c r="U165" i="11"/>
  <c r="CI165" i="11"/>
  <c r="CJ165" i="11"/>
  <c r="AK165" i="11"/>
  <c r="AL165" i="11"/>
  <c r="AD165" i="11"/>
  <c r="AC165" i="11"/>
  <c r="BJ165" i="11"/>
  <c r="BK165" i="11"/>
  <c r="CB165" i="11" l="1"/>
  <c r="CA165" i="11"/>
  <c r="Z157" i="11"/>
  <c r="BH157" i="11"/>
  <c r="CN157" i="11"/>
  <c r="CP157" i="11"/>
  <c r="C4932" i="3"/>
  <c r="CY139" i="11" s="1"/>
  <c r="CZ139" i="11" s="1"/>
  <c r="CX157" i="11"/>
  <c r="AI157" i="11"/>
  <c r="BI157" i="11"/>
  <c r="AW157" i="11"/>
  <c r="BW157" i="11"/>
  <c r="H157" i="11"/>
  <c r="AR157" i="11"/>
  <c r="AZ157" i="11"/>
  <c r="BR157" i="11"/>
  <c r="BT157" i="11" s="1"/>
  <c r="R157" i="11"/>
  <c r="P157" i="11"/>
  <c r="AP157" i="11"/>
  <c r="BE157" i="11"/>
  <c r="BV157" i="11"/>
  <c r="AG157" i="11"/>
  <c r="CG157" i="11"/>
  <c r="BA157" i="11"/>
  <c r="BC157" i="11" s="1"/>
  <c r="BY157" i="11"/>
  <c r="CD157" i="11"/>
  <c r="BG157" i="11"/>
  <c r="BP157" i="11"/>
  <c r="AB157" i="11"/>
  <c r="AC157" i="11" s="1"/>
  <c r="S157" i="11"/>
  <c r="CF157" i="11"/>
  <c r="CW157" i="11"/>
  <c r="CQ157" i="11"/>
  <c r="CS157" i="11" s="1"/>
  <c r="AN157" i="11"/>
  <c r="J157" i="11"/>
  <c r="BF157" i="11"/>
  <c r="AF157" i="11"/>
  <c r="CH157" i="11"/>
  <c r="Q157" i="11"/>
  <c r="CO157" i="11"/>
  <c r="K157" i="11"/>
  <c r="L157" i="11" s="1"/>
  <c r="CE157" i="11"/>
  <c r="CW139" i="11"/>
  <c r="CX139" i="11"/>
  <c r="CU139" i="11"/>
  <c r="CV139" i="11"/>
  <c r="U157" i="11"/>
  <c r="V157" i="11"/>
  <c r="AT157" i="11"/>
  <c r="AU157" i="11"/>
  <c r="CB157" i="11"/>
  <c r="CA157" i="11"/>
  <c r="AL157" i="11"/>
  <c r="AK157" i="11"/>
  <c r="BN139" i="11"/>
  <c r="O139" i="11"/>
  <c r="AX139" i="11"/>
  <c r="AO139" i="11"/>
  <c r="BZ139" i="11"/>
  <c r="BH139" i="11"/>
  <c r="R139" i="11"/>
  <c r="BY139" i="11"/>
  <c r="BV139" i="11"/>
  <c r="X139" i="11"/>
  <c r="BQ139" i="11"/>
  <c r="AF139" i="11"/>
  <c r="CM139" i="11"/>
  <c r="AI139" i="11"/>
  <c r="CN139" i="11"/>
  <c r="Z139" i="11"/>
  <c r="AW139" i="11"/>
  <c r="BF139" i="11"/>
  <c r="K139" i="11"/>
  <c r="BX139" i="11"/>
  <c r="J139" i="11"/>
  <c r="T139" i="11"/>
  <c r="CL139" i="11"/>
  <c r="AP139" i="11"/>
  <c r="CQ139" i="11"/>
  <c r="AZ139" i="11"/>
  <c r="H139" i="11"/>
  <c r="BE139" i="11"/>
  <c r="AH139" i="11"/>
  <c r="CE139" i="11"/>
  <c r="Y139" i="11"/>
  <c r="AB139" i="11"/>
  <c r="BW139" i="11"/>
  <c r="AQ139" i="11"/>
  <c r="BO139" i="11"/>
  <c r="P139" i="11"/>
  <c r="CD139" i="11"/>
  <c r="BM139" i="11"/>
  <c r="AR139" i="11"/>
  <c r="AY139" i="11"/>
  <c r="BA139" i="11"/>
  <c r="AG139" i="11"/>
  <c r="BR139" i="11"/>
  <c r="BG139" i="11"/>
  <c r="I139" i="11"/>
  <c r="BI139" i="11"/>
  <c r="BP139" i="11"/>
  <c r="S139" i="11"/>
  <c r="CF139" i="11"/>
  <c r="Q139" i="11"/>
  <c r="AJ139" i="11"/>
  <c r="G139" i="11"/>
  <c r="CO139" i="11"/>
  <c r="AA139" i="11"/>
  <c r="CG139" i="11"/>
  <c r="CP139" i="11"/>
  <c r="CH139" i="11"/>
  <c r="AN139" i="11"/>
  <c r="AS139" i="11"/>
  <c r="C4934" i="3"/>
  <c r="C4933" i="3"/>
  <c r="CJ157" i="11"/>
  <c r="CI157" i="11"/>
  <c r="BJ157" i="11"/>
  <c r="BK157" i="11"/>
  <c r="AD157" i="11" l="1"/>
  <c r="M157" i="11"/>
  <c r="BS157" i="11"/>
  <c r="BB157" i="11"/>
  <c r="CR157" i="11"/>
  <c r="DC157" i="11"/>
  <c r="C4935" i="3"/>
  <c r="DC139" i="11"/>
  <c r="V139" i="11"/>
  <c r="U139" i="11"/>
  <c r="CB139" i="11"/>
  <c r="CA139" i="11"/>
  <c r="BS139" i="11"/>
  <c r="BT139" i="11"/>
  <c r="AU139" i="11"/>
  <c r="AT139" i="11"/>
  <c r="AC139" i="11"/>
  <c r="AD139" i="11"/>
  <c r="CI139" i="11"/>
  <c r="CJ139" i="11"/>
  <c r="BB139" i="11"/>
  <c r="BC139" i="11"/>
  <c r="CS139" i="11"/>
  <c r="CR139" i="11"/>
  <c r="L139" i="11"/>
  <c r="M139" i="11"/>
  <c r="C4938" i="3"/>
  <c r="BJ139" i="11"/>
  <c r="BK139" i="11"/>
  <c r="AL139" i="11"/>
  <c r="AK139" i="11"/>
  <c r="C4936" i="3" l="1"/>
  <c r="C4939" i="3"/>
  <c r="C4940" i="3" l="1"/>
  <c r="C4941" i="3" s="1"/>
  <c r="C4942" i="3" s="1"/>
  <c r="C4943" i="3" l="1"/>
  <c r="C4944" i="3" l="1"/>
  <c r="C4945" i="3" s="1"/>
  <c r="C4948" i="3" s="1"/>
  <c r="C4949" i="3" s="1"/>
  <c r="C4950" i="3" s="1"/>
  <c r="CU16" i="11" l="1"/>
  <c r="CX16" i="11"/>
  <c r="CV16" i="11"/>
  <c r="CW16" i="11"/>
  <c r="CY16" i="11"/>
  <c r="CZ16" i="11" s="1"/>
  <c r="C4947" i="3"/>
  <c r="C4946" i="3"/>
  <c r="BA100" i="11" s="1"/>
  <c r="AY16" i="11"/>
  <c r="AZ16" i="11"/>
  <c r="T16" i="11"/>
  <c r="AJ16" i="11"/>
  <c r="AX16" i="11"/>
  <c r="K16" i="11"/>
  <c r="AB16" i="11"/>
  <c r="AS16" i="11"/>
  <c r="BA16" i="11"/>
  <c r="BF16" i="11"/>
  <c r="CH16" i="11"/>
  <c r="CQ16" i="11"/>
  <c r="BR16" i="11"/>
  <c r="BI16" i="11"/>
  <c r="BZ16" i="11"/>
  <c r="X16" i="11"/>
  <c r="I16" i="11"/>
  <c r="AF16" i="11"/>
  <c r="P16" i="11"/>
  <c r="AG16" i="11"/>
  <c r="AH16" i="11"/>
  <c r="AI16" i="11"/>
  <c r="CO16" i="11"/>
  <c r="CN16" i="11"/>
  <c r="CL16" i="11"/>
  <c r="BY16" i="11"/>
  <c r="CD16" i="11"/>
  <c r="CE16" i="11"/>
  <c r="CG16" i="11"/>
  <c r="BH16" i="11"/>
  <c r="Q16" i="11"/>
  <c r="AR16" i="11"/>
  <c r="AN16" i="11"/>
  <c r="AO16" i="11"/>
  <c r="H16" i="11"/>
  <c r="Y16" i="11"/>
  <c r="CM16" i="11"/>
  <c r="BM16" i="11"/>
  <c r="BQ16" i="11"/>
  <c r="BV16" i="11"/>
  <c r="Z16" i="11"/>
  <c r="R16" i="11"/>
  <c r="AA16" i="11"/>
  <c r="AQ16" i="11"/>
  <c r="O16" i="11"/>
  <c r="G16" i="11"/>
  <c r="J16" i="11"/>
  <c r="AP16" i="11"/>
  <c r="S16" i="11"/>
  <c r="BP16" i="11"/>
  <c r="BX16" i="11"/>
  <c r="CF16" i="11"/>
  <c r="BE16" i="11"/>
  <c r="BG16" i="11"/>
  <c r="BO16" i="11"/>
  <c r="BW16" i="11"/>
  <c r="BN16" i="11"/>
  <c r="CP16" i="11"/>
  <c r="C4951" i="3"/>
  <c r="AW16" i="11"/>
  <c r="AQ100" i="11" l="1"/>
  <c r="AG100" i="11"/>
  <c r="AS100" i="11"/>
  <c r="AU100" i="11" s="1"/>
  <c r="AR100" i="11"/>
  <c r="AI100" i="11"/>
  <c r="AX100" i="11"/>
  <c r="BF100" i="11"/>
  <c r="BG100" i="11"/>
  <c r="Z100" i="11"/>
  <c r="CD100" i="11"/>
  <c r="X100" i="11"/>
  <c r="Q100" i="11"/>
  <c r="BX100" i="11"/>
  <c r="CL100" i="11"/>
  <c r="AJ100" i="11"/>
  <c r="AL100" i="11" s="1"/>
  <c r="BZ100" i="11"/>
  <c r="CA100" i="11" s="1"/>
  <c r="AH100" i="11"/>
  <c r="CN100" i="11"/>
  <c r="AB100" i="11"/>
  <c r="AC100" i="11" s="1"/>
  <c r="AF100" i="11"/>
  <c r="CH100" i="11"/>
  <c r="CI100" i="11" s="1"/>
  <c r="AY100" i="11"/>
  <c r="BP100" i="11"/>
  <c r="BI100" i="11"/>
  <c r="BJ100" i="11" s="1"/>
  <c r="CM100" i="11"/>
  <c r="O100" i="11"/>
  <c r="J100" i="11"/>
  <c r="BM100" i="11"/>
  <c r="CG100" i="11"/>
  <c r="AP100" i="11"/>
  <c r="BR100" i="11"/>
  <c r="BT100" i="11" s="1"/>
  <c r="I100" i="11"/>
  <c r="T100" i="11"/>
  <c r="V100" i="11" s="1"/>
  <c r="CE100" i="11"/>
  <c r="AN100" i="11"/>
  <c r="BQ100" i="11"/>
  <c r="BO100" i="11"/>
  <c r="AZ100" i="11"/>
  <c r="CO100" i="11"/>
  <c r="R100" i="11"/>
  <c r="Y100" i="11"/>
  <c r="H100" i="11"/>
  <c r="BW100" i="11"/>
  <c r="AW100" i="11"/>
  <c r="AO100" i="11"/>
  <c r="CQ100" i="11"/>
  <c r="CS100" i="11" s="1"/>
  <c r="BH100" i="11"/>
  <c r="CP100" i="11"/>
  <c r="P100" i="11"/>
  <c r="AA100" i="11"/>
  <c r="BY100" i="11"/>
  <c r="S100" i="11"/>
  <c r="CF100" i="11"/>
  <c r="G100" i="11"/>
  <c r="BE100" i="11"/>
  <c r="BN100" i="11"/>
  <c r="K100" i="11"/>
  <c r="L100" i="11" s="1"/>
  <c r="BV100" i="11"/>
  <c r="BB100" i="11"/>
  <c r="BC100" i="11"/>
  <c r="DC16" i="11"/>
  <c r="BT16" i="11"/>
  <c r="BS16" i="11"/>
  <c r="AT16" i="11"/>
  <c r="AU16" i="11"/>
  <c r="AL16" i="11"/>
  <c r="AK16" i="11"/>
  <c r="CS16" i="11"/>
  <c r="CR16" i="11"/>
  <c r="AC16" i="11"/>
  <c r="AD16" i="11"/>
  <c r="C4952" i="3"/>
  <c r="C4953" i="3" s="1"/>
  <c r="CI16" i="11"/>
  <c r="CJ16" i="11"/>
  <c r="L16" i="11"/>
  <c r="M16" i="11"/>
  <c r="U16" i="11"/>
  <c r="V16" i="11"/>
  <c r="CB16" i="11"/>
  <c r="CA16" i="11"/>
  <c r="BC16" i="11"/>
  <c r="BB16" i="11"/>
  <c r="BJ16" i="11"/>
  <c r="BK16" i="11"/>
  <c r="AT100" i="11" l="1"/>
  <c r="AK100" i="11"/>
  <c r="BK100" i="11"/>
  <c r="CB100" i="11"/>
  <c r="CJ100" i="11"/>
  <c r="U100" i="11"/>
  <c r="AD100" i="11"/>
  <c r="BS100" i="11"/>
  <c r="M100" i="11"/>
  <c r="DC100" i="11"/>
  <c r="CR100" i="11"/>
  <c r="C4954" i="3"/>
  <c r="C4955" i="3" l="1"/>
  <c r="C4956" i="3" s="1"/>
  <c r="C4957" i="3" l="1"/>
  <c r="C4962" i="3" l="1"/>
  <c r="C4963" i="3" s="1"/>
  <c r="C4964" i="3" l="1"/>
  <c r="C4965" i="3" l="1"/>
  <c r="C4966" i="3" l="1"/>
  <c r="CY123" i="11" s="1"/>
  <c r="CZ123" i="11" s="1"/>
  <c r="CV123" i="11" l="1"/>
  <c r="CW123" i="11"/>
  <c r="CU123" i="11"/>
  <c r="CX123" i="11"/>
  <c r="AP123" i="11"/>
  <c r="Q123" i="11"/>
  <c r="CD123" i="11"/>
  <c r="AO123" i="11"/>
  <c r="BZ123" i="11"/>
  <c r="CL123" i="11"/>
  <c r="AW123" i="11"/>
  <c r="T123" i="11"/>
  <c r="AQ123" i="11"/>
  <c r="BW123" i="11"/>
  <c r="CG123" i="11"/>
  <c r="BA123" i="11"/>
  <c r="K123" i="11"/>
  <c r="AX123" i="11"/>
  <c r="Y123" i="11"/>
  <c r="BX123" i="11"/>
  <c r="O123" i="11"/>
  <c r="J123" i="11"/>
  <c r="CF123" i="11"/>
  <c r="AR123" i="11"/>
  <c r="CH123" i="11"/>
  <c r="BH123" i="11"/>
  <c r="C4967" i="3"/>
  <c r="CY125" i="11" s="1"/>
  <c r="CZ125" i="11" s="1"/>
  <c r="AN123" i="11"/>
  <c r="CQ123" i="11"/>
  <c r="BF123" i="11"/>
  <c r="AS123" i="11"/>
  <c r="BV123" i="11"/>
  <c r="AH123" i="11"/>
  <c r="AZ123" i="11"/>
  <c r="AG123" i="11"/>
  <c r="BY123" i="11"/>
  <c r="Z123" i="11"/>
  <c r="AY123" i="11"/>
  <c r="R123" i="11"/>
  <c r="BI123" i="11"/>
  <c r="H123" i="11"/>
  <c r="CP123" i="11"/>
  <c r="AA123" i="11"/>
  <c r="BG123" i="11"/>
  <c r="BN123" i="11"/>
  <c r="S123" i="11"/>
  <c r="X123" i="11"/>
  <c r="BM123" i="11"/>
  <c r="G123" i="11"/>
  <c r="BR123" i="11"/>
  <c r="CO123" i="11"/>
  <c r="AJ123" i="11"/>
  <c r="BO123" i="11"/>
  <c r="AF123" i="11"/>
  <c r="CM123" i="11"/>
  <c r="BP123" i="11"/>
  <c r="CN123" i="11"/>
  <c r="AB123" i="11"/>
  <c r="BE123" i="11"/>
  <c r="AI123" i="11"/>
  <c r="CE123" i="11"/>
  <c r="I123" i="11"/>
  <c r="P123" i="11"/>
  <c r="BQ123" i="11"/>
  <c r="CX125" i="11" l="1"/>
  <c r="CW125" i="11"/>
  <c r="CV125" i="11"/>
  <c r="CU125" i="11"/>
  <c r="AT123" i="11"/>
  <c r="AU123" i="11"/>
  <c r="CI123" i="11"/>
  <c r="CJ123" i="11"/>
  <c r="CB123" i="11"/>
  <c r="CA123" i="11"/>
  <c r="AC123" i="11"/>
  <c r="AD123" i="11"/>
  <c r="AL123" i="11"/>
  <c r="AK123" i="11"/>
  <c r="BJ123" i="11"/>
  <c r="BK123" i="11"/>
  <c r="CR123" i="11"/>
  <c r="CS123" i="11"/>
  <c r="V123" i="11"/>
  <c r="U123" i="11"/>
  <c r="BT123" i="11"/>
  <c r="BS123" i="11"/>
  <c r="M123" i="11"/>
  <c r="DC123" i="11"/>
  <c r="L123" i="11"/>
  <c r="X125" i="11"/>
  <c r="AR125" i="11"/>
  <c r="AG125" i="11"/>
  <c r="BN125" i="11"/>
  <c r="H125" i="11"/>
  <c r="T125" i="11"/>
  <c r="K125" i="11"/>
  <c r="Q125" i="11"/>
  <c r="CF125" i="11"/>
  <c r="BH125" i="11"/>
  <c r="CN125" i="11"/>
  <c r="BP125" i="11"/>
  <c r="BW125" i="11"/>
  <c r="BV125" i="11"/>
  <c r="BX125" i="11"/>
  <c r="Z125" i="11"/>
  <c r="AP125" i="11"/>
  <c r="P125" i="11"/>
  <c r="AX125" i="11"/>
  <c r="BO125" i="11"/>
  <c r="AB125" i="11"/>
  <c r="BA125" i="11"/>
  <c r="AW125" i="11"/>
  <c r="CD125" i="11"/>
  <c r="BG125" i="11"/>
  <c r="AQ125" i="11"/>
  <c r="BM125" i="11"/>
  <c r="C4968" i="3"/>
  <c r="AN125" i="11"/>
  <c r="AH125" i="11"/>
  <c r="G125" i="11"/>
  <c r="BY125" i="11"/>
  <c r="BE125" i="11"/>
  <c r="I125" i="11"/>
  <c r="CO125" i="11"/>
  <c r="AJ125" i="11"/>
  <c r="CM125" i="11"/>
  <c r="O125" i="11"/>
  <c r="CG125" i="11"/>
  <c r="CE125" i="11"/>
  <c r="CL125" i="11"/>
  <c r="BI125" i="11"/>
  <c r="BQ125" i="11"/>
  <c r="CP125" i="11"/>
  <c r="BF125" i="11"/>
  <c r="AZ125" i="11"/>
  <c r="BR125" i="11"/>
  <c r="AO125" i="11"/>
  <c r="Y125" i="11"/>
  <c r="BZ125" i="11"/>
  <c r="AI125" i="11"/>
  <c r="AA125" i="11"/>
  <c r="CQ125" i="11"/>
  <c r="J125" i="11"/>
  <c r="AY125" i="11"/>
  <c r="S125" i="11"/>
  <c r="CH125" i="11"/>
  <c r="R125" i="11"/>
  <c r="AF125" i="11"/>
  <c r="AS125" i="11"/>
  <c r="BB123" i="11"/>
  <c r="BC123" i="11"/>
  <c r="CJ125" i="11" l="1"/>
  <c r="CI125" i="11"/>
  <c r="C4969" i="3"/>
  <c r="CB125" i="11"/>
  <c r="CA125" i="11"/>
  <c r="BC125" i="11"/>
  <c r="BB125" i="11"/>
  <c r="L125" i="11"/>
  <c r="M125" i="11"/>
  <c r="DC125" i="11"/>
  <c r="AC125" i="11"/>
  <c r="AD125" i="11"/>
  <c r="V125" i="11"/>
  <c r="U125" i="11"/>
  <c r="AU125" i="11"/>
  <c r="AT125" i="11"/>
  <c r="CS125" i="11"/>
  <c r="CR125" i="11"/>
  <c r="BT125" i="11"/>
  <c r="BS125" i="11"/>
  <c r="BJ125" i="11"/>
  <c r="BK125" i="11"/>
  <c r="AK125" i="11"/>
  <c r="AL125" i="11"/>
  <c r="C4970" i="3" l="1"/>
  <c r="C4971" i="3" l="1"/>
  <c r="CY205" i="11" s="1"/>
  <c r="CZ205" i="11" s="1"/>
  <c r="CW205" i="11" l="1"/>
  <c r="CX205" i="11"/>
  <c r="CU205" i="11"/>
  <c r="CV205" i="11"/>
  <c r="C4972" i="3"/>
  <c r="CO205" i="11"/>
  <c r="AI205" i="11"/>
  <c r="CN205" i="11"/>
  <c r="BG205" i="11"/>
  <c r="H205" i="11"/>
  <c r="AG205" i="11"/>
  <c r="BM205" i="11"/>
  <c r="AY205" i="11"/>
  <c r="AF205" i="11"/>
  <c r="BA205" i="11"/>
  <c r="O205" i="11"/>
  <c r="BF205" i="11"/>
  <c r="P205" i="11"/>
  <c r="AN205" i="11"/>
  <c r="CH205" i="11"/>
  <c r="BZ205" i="11"/>
  <c r="AX205" i="11"/>
  <c r="BX205" i="11"/>
  <c r="BV205" i="11"/>
  <c r="AZ205" i="11"/>
  <c r="CQ205" i="11"/>
  <c r="I205" i="11"/>
  <c r="G205" i="11"/>
  <c r="BR205" i="11"/>
  <c r="AJ205" i="11"/>
  <c r="BO205" i="11"/>
  <c r="BQ205" i="11"/>
  <c r="Q205" i="11"/>
  <c r="AB205" i="11"/>
  <c r="CM205" i="11"/>
  <c r="S205" i="11"/>
  <c r="AQ205" i="11"/>
  <c r="BW205" i="11"/>
  <c r="AP205" i="11"/>
  <c r="CG205" i="11"/>
  <c r="CF205" i="11"/>
  <c r="T205" i="11"/>
  <c r="AS205" i="11"/>
  <c r="J205" i="11"/>
  <c r="AW205" i="11"/>
  <c r="AH205" i="11"/>
  <c r="BH205" i="11"/>
  <c r="AR205" i="11"/>
  <c r="R205" i="11"/>
  <c r="K205" i="11"/>
  <c r="Z205" i="11"/>
  <c r="BE205" i="11"/>
  <c r="BN205" i="11"/>
  <c r="X205" i="11"/>
  <c r="Y205" i="11"/>
  <c r="BI205" i="11"/>
  <c r="CL205" i="11"/>
  <c r="AO205" i="11"/>
  <c r="CE205" i="11"/>
  <c r="BY205" i="11"/>
  <c r="AA205" i="11"/>
  <c r="CP205" i="11"/>
  <c r="CD205" i="11"/>
  <c r="BP205" i="11"/>
  <c r="V205" i="11" l="1"/>
  <c r="U205" i="11"/>
  <c r="AK205" i="11"/>
  <c r="AL205" i="11"/>
  <c r="CJ205" i="11"/>
  <c r="CI205" i="11"/>
  <c r="BB205" i="11"/>
  <c r="BC205" i="11"/>
  <c r="BT205" i="11"/>
  <c r="BS205" i="11"/>
  <c r="AD205" i="11"/>
  <c r="AC205" i="11"/>
  <c r="BJ205" i="11"/>
  <c r="BK205" i="11"/>
  <c r="M205" i="11"/>
  <c r="L205" i="11"/>
  <c r="DC205" i="11"/>
  <c r="C4973" i="3"/>
  <c r="AU205" i="11"/>
  <c r="AT205" i="11"/>
  <c r="CS205" i="11"/>
  <c r="CR205" i="11"/>
  <c r="CA205" i="11"/>
  <c r="CB205" i="11"/>
  <c r="C4974" i="3" l="1"/>
  <c r="C4975" i="3" s="1"/>
  <c r="C4976" i="3" s="1"/>
  <c r="C4977" i="3" l="1"/>
  <c r="C4978" i="3" l="1"/>
  <c r="C4979" i="3" s="1"/>
  <c r="C4980" i="3" s="1"/>
  <c r="C4981" i="3" l="1"/>
  <c r="C4982" i="3" l="1"/>
  <c r="C4983" i="3" l="1"/>
  <c r="C4984" i="3" l="1"/>
  <c r="C4985" i="3" l="1"/>
  <c r="C4986" i="3" s="1"/>
  <c r="Z326" i="11" l="1"/>
  <c r="C4987" i="3"/>
  <c r="C4988" i="3" s="1"/>
  <c r="AP326" i="11" l="1"/>
  <c r="BA326" i="11"/>
  <c r="AS326" i="11"/>
  <c r="CO326" i="11"/>
  <c r="CP326" i="11"/>
  <c r="AN326" i="11"/>
  <c r="Y326" i="11"/>
  <c r="G326" i="11"/>
  <c r="BP326" i="11"/>
  <c r="AB326" i="11"/>
  <c r="AY326" i="11"/>
  <c r="CH326" i="11"/>
  <c r="AZ326" i="11"/>
  <c r="BZ326" i="11"/>
  <c r="C4990" i="3"/>
  <c r="C4989" i="3"/>
  <c r="C4991" i="3" s="1"/>
  <c r="CY106" i="11" s="1"/>
  <c r="CZ106" i="11" s="1"/>
  <c r="CW106" i="11" l="1"/>
  <c r="CX106" i="11"/>
  <c r="CU106" i="11"/>
  <c r="CV106" i="11"/>
  <c r="AC326" i="11"/>
  <c r="AD326" i="11"/>
  <c r="CB326" i="11"/>
  <c r="CA326" i="11"/>
  <c r="AU326" i="11"/>
  <c r="AT326" i="11"/>
  <c r="CI326" i="11"/>
  <c r="CJ326" i="11"/>
  <c r="BC326" i="11"/>
  <c r="BB326" i="11"/>
  <c r="BE106" i="11"/>
  <c r="CP106" i="11"/>
  <c r="Q106" i="11"/>
  <c r="AN106" i="11"/>
  <c r="AR106" i="11"/>
  <c r="Z106" i="11"/>
  <c r="P106" i="11"/>
  <c r="T106" i="11"/>
  <c r="G106" i="11"/>
  <c r="CQ106" i="11"/>
  <c r="CD106" i="11"/>
  <c r="BY106" i="11"/>
  <c r="CF106" i="11"/>
  <c r="BN106" i="11"/>
  <c r="BH106" i="11"/>
  <c r="BA106" i="11"/>
  <c r="AG106" i="11"/>
  <c r="H106" i="11"/>
  <c r="Y106" i="11"/>
  <c r="K106" i="11"/>
  <c r="I106" i="11"/>
  <c r="AS106" i="11"/>
  <c r="R106" i="11"/>
  <c r="BZ106" i="11"/>
  <c r="CE106" i="11"/>
  <c r="AW106" i="11"/>
  <c r="BM106" i="11"/>
  <c r="BG106" i="11"/>
  <c r="CN106" i="11"/>
  <c r="AY106" i="11"/>
  <c r="X106" i="11"/>
  <c r="J106" i="11"/>
  <c r="S106" i="11"/>
  <c r="CH106" i="11"/>
  <c r="AZ106" i="11"/>
  <c r="BF106" i="11"/>
  <c r="O106" i="11"/>
  <c r="CL106" i="11"/>
  <c r="AP106" i="11"/>
  <c r="AF106" i="11"/>
  <c r="AB106" i="11"/>
  <c r="AI106" i="11"/>
  <c r="BI106" i="11"/>
  <c r="BO106" i="11"/>
  <c r="BX106" i="11"/>
  <c r="BW106" i="11"/>
  <c r="BQ106" i="11"/>
  <c r="CG106" i="11"/>
  <c r="AX106" i="11"/>
  <c r="CM106" i="11"/>
  <c r="AO106" i="11"/>
  <c r="CO106" i="11"/>
  <c r="AQ106" i="11"/>
  <c r="AH106" i="11"/>
  <c r="AJ106" i="11"/>
  <c r="BR106" i="11"/>
  <c r="BV106" i="11"/>
  <c r="BP106" i="11"/>
  <c r="AA106" i="11"/>
  <c r="BP173" i="11"/>
  <c r="BX173" i="11"/>
  <c r="CM173" i="11"/>
  <c r="AZ173" i="11"/>
  <c r="CG173" i="11"/>
  <c r="X173" i="11"/>
  <c r="AS173" i="11"/>
  <c r="CL173" i="11"/>
  <c r="CD173" i="11"/>
  <c r="CO173" i="11"/>
  <c r="CF173" i="11"/>
  <c r="BI173" i="11"/>
  <c r="BY173" i="11"/>
  <c r="R173" i="11"/>
  <c r="I173" i="11"/>
  <c r="CP173" i="11"/>
  <c r="O173" i="11"/>
  <c r="CE173" i="11"/>
  <c r="H173" i="11"/>
  <c r="T173" i="11"/>
  <c r="K173" i="11"/>
  <c r="BR173" i="11"/>
  <c r="G173" i="11"/>
  <c r="AO173" i="11"/>
  <c r="AQ173" i="11"/>
  <c r="BE173" i="11"/>
  <c r="BM173" i="11"/>
  <c r="BV173" i="11"/>
  <c r="AW173" i="11"/>
  <c r="J173" i="11"/>
  <c r="CQ173" i="11"/>
  <c r="Y173" i="11"/>
  <c r="BG173" i="11"/>
  <c r="CN173" i="11"/>
  <c r="AY173" i="11"/>
  <c r="BH173" i="11"/>
  <c r="BA173" i="11"/>
  <c r="AH173" i="11"/>
  <c r="AN173" i="11"/>
  <c r="BW173" i="11"/>
  <c r="AA173" i="11"/>
  <c r="AJ173" i="11"/>
  <c r="AB173" i="11"/>
  <c r="AR173" i="11"/>
  <c r="C4992" i="3"/>
  <c r="BF173" i="11"/>
  <c r="AX173" i="11"/>
  <c r="Z173" i="11"/>
  <c r="S173" i="11"/>
  <c r="CH173" i="11"/>
  <c r="AG173" i="11"/>
  <c r="BQ173" i="11"/>
  <c r="P173" i="11"/>
  <c r="BO173" i="11"/>
  <c r="Q173" i="11"/>
  <c r="AP173" i="11"/>
  <c r="AI173" i="11"/>
  <c r="BN173" i="11"/>
  <c r="BZ173" i="11"/>
  <c r="AF173" i="11"/>
  <c r="AT173" i="11" l="1"/>
  <c r="AU173" i="11"/>
  <c r="CJ106" i="11"/>
  <c r="CI106" i="11"/>
  <c r="CB106" i="11"/>
  <c r="CA106" i="11"/>
  <c r="C4993" i="3"/>
  <c r="C4994" i="3" s="1"/>
  <c r="C4995" i="3" s="1"/>
  <c r="BS173" i="11"/>
  <c r="BT173" i="11"/>
  <c r="BJ173" i="11"/>
  <c r="BK173" i="11"/>
  <c r="CJ173" i="11"/>
  <c r="CI173" i="11"/>
  <c r="M173" i="11"/>
  <c r="DC173" i="11"/>
  <c r="L173" i="11"/>
  <c r="AL106" i="11"/>
  <c r="AK106" i="11"/>
  <c r="BJ106" i="11"/>
  <c r="BK106" i="11"/>
  <c r="AT106" i="11"/>
  <c r="AU106" i="11"/>
  <c r="BC106" i="11"/>
  <c r="BB106" i="11"/>
  <c r="CS106" i="11"/>
  <c r="CR106" i="11"/>
  <c r="AD173" i="11"/>
  <c r="AC173" i="11"/>
  <c r="BB173" i="11"/>
  <c r="BC173" i="11"/>
  <c r="U173" i="11"/>
  <c r="V173" i="11"/>
  <c r="CB173" i="11"/>
  <c r="CA173" i="11"/>
  <c r="AK173" i="11"/>
  <c r="AL173" i="11"/>
  <c r="CR173" i="11"/>
  <c r="CS173" i="11"/>
  <c r="DC106" i="11"/>
  <c r="M106" i="11"/>
  <c r="L106" i="11"/>
  <c r="V106" i="11"/>
  <c r="U106" i="11"/>
  <c r="BT106" i="11"/>
  <c r="BS106" i="11"/>
  <c r="AC106" i="11"/>
  <c r="AD106" i="11"/>
  <c r="AB160" i="11"/>
  <c r="AB240" i="11"/>
  <c r="AB264" i="11"/>
  <c r="AB280" i="11"/>
  <c r="AB41" i="11"/>
  <c r="AB49" i="11"/>
  <c r="AB57" i="11"/>
  <c r="AB65" i="11"/>
  <c r="AB73" i="11"/>
  <c r="AB81" i="11"/>
  <c r="AP148" i="11"/>
  <c r="O180" i="11"/>
  <c r="P180" i="11"/>
  <c r="AN180" i="11"/>
  <c r="G180" i="11"/>
  <c r="AF180" i="11"/>
  <c r="J180" i="11"/>
  <c r="AO180" i="11"/>
  <c r="AP180" i="11"/>
  <c r="X180" i="11"/>
  <c r="Y180" i="11"/>
  <c r="R180" i="11"/>
  <c r="I180" i="11"/>
  <c r="C4996" i="3" l="1"/>
  <c r="AD49" i="11"/>
  <c r="AC49" i="11"/>
  <c r="AD41" i="11"/>
  <c r="AC41" i="11"/>
  <c r="AD240" i="11"/>
  <c r="AC240" i="11"/>
  <c r="AC81" i="11"/>
  <c r="AD81" i="11"/>
  <c r="AD160" i="11"/>
  <c r="AC160" i="11"/>
  <c r="AD73" i="11"/>
  <c r="AC73" i="11"/>
  <c r="AD65" i="11"/>
  <c r="AC65" i="11"/>
  <c r="AD280" i="11"/>
  <c r="AC280" i="11"/>
  <c r="AC57" i="11"/>
  <c r="AD57" i="11"/>
  <c r="AD264" i="11"/>
  <c r="AC264" i="11"/>
  <c r="C4997" i="3" l="1"/>
  <c r="C4998" i="3" s="1"/>
  <c r="C4999" i="3" s="1"/>
  <c r="C5000" i="3" l="1"/>
  <c r="CY159" i="11" s="1"/>
  <c r="CZ159" i="11" s="1"/>
  <c r="CW159" i="11" l="1"/>
  <c r="CX159" i="11"/>
  <c r="CU159" i="11"/>
  <c r="CV159" i="11"/>
  <c r="AP159" i="11"/>
  <c r="CN159" i="11"/>
  <c r="BN159" i="11"/>
  <c r="CE159" i="11"/>
  <c r="CG159" i="11"/>
  <c r="S159" i="11"/>
  <c r="AJ159" i="11"/>
  <c r="AF159" i="11"/>
  <c r="Y159" i="11"/>
  <c r="H159" i="11"/>
  <c r="AR159" i="11"/>
  <c r="BI159" i="11"/>
  <c r="BQ159" i="11"/>
  <c r="BO159" i="11"/>
  <c r="R159" i="11"/>
  <c r="AB159" i="11"/>
  <c r="BH159" i="11"/>
  <c r="CD159" i="11"/>
  <c r="BA159" i="11"/>
  <c r="AY159" i="11"/>
  <c r="AS159" i="11"/>
  <c r="AI159" i="11"/>
  <c r="AZ159" i="11"/>
  <c r="BE159" i="11"/>
  <c r="BR159" i="11"/>
  <c r="I159" i="11"/>
  <c r="J159" i="11"/>
  <c r="Z159" i="11"/>
  <c r="G159" i="11"/>
  <c r="CP159" i="11"/>
  <c r="CM159" i="11"/>
  <c r="CQ159" i="11"/>
  <c r="BF159" i="11"/>
  <c r="BP159" i="11"/>
  <c r="O159" i="11"/>
  <c r="BY159" i="11"/>
  <c r="CF159" i="11"/>
  <c r="BV159" i="11"/>
  <c r="AX159" i="11"/>
  <c r="K159" i="11"/>
  <c r="C5001" i="3"/>
  <c r="CH159" i="11"/>
  <c r="BX159" i="11"/>
  <c r="BG159" i="11"/>
  <c r="BM159" i="11"/>
  <c r="T159" i="11"/>
  <c r="AW159" i="11"/>
  <c r="X159" i="11"/>
  <c r="AA159" i="11"/>
  <c r="AO159" i="11"/>
  <c r="Q159" i="11"/>
  <c r="BZ159" i="11"/>
  <c r="AN159" i="11"/>
  <c r="AH159" i="11"/>
  <c r="CL159" i="11"/>
  <c r="CO159" i="11"/>
  <c r="AG159" i="11"/>
  <c r="P159" i="11"/>
  <c r="BW159" i="11"/>
  <c r="AQ159" i="11"/>
  <c r="CB159" i="11" l="1"/>
  <c r="CA159" i="11"/>
  <c r="CJ159" i="11"/>
  <c r="CI159" i="11"/>
  <c r="C5002" i="3"/>
  <c r="AD159" i="11"/>
  <c r="AC159" i="11"/>
  <c r="AU159" i="11"/>
  <c r="AT159" i="11"/>
  <c r="V159" i="11"/>
  <c r="U159" i="11"/>
  <c r="CR159" i="11"/>
  <c r="CS159" i="11"/>
  <c r="BS159" i="11"/>
  <c r="BT159" i="11"/>
  <c r="BB159" i="11"/>
  <c r="BC159" i="11"/>
  <c r="AK159" i="11"/>
  <c r="AL159" i="11"/>
  <c r="DC159" i="11"/>
  <c r="M159" i="11"/>
  <c r="L159" i="11"/>
  <c r="BK159" i="11"/>
  <c r="BJ159" i="11"/>
  <c r="C5003" i="3" l="1"/>
  <c r="C5005" i="3" l="1"/>
  <c r="C5006" i="3" s="1"/>
  <c r="C5007" i="3" s="1"/>
  <c r="C5008" i="3" s="1"/>
  <c r="C5009" i="3" s="1"/>
  <c r="C5010" i="3" s="1"/>
  <c r="C5011" i="3" s="1"/>
  <c r="C5012" i="3" s="1"/>
  <c r="CY127" i="11" s="1"/>
  <c r="CZ127" i="11" s="1"/>
  <c r="CW127" i="11" l="1"/>
  <c r="CX127" i="11"/>
  <c r="CV127" i="11"/>
  <c r="CU127" i="11"/>
  <c r="C5013" i="3"/>
  <c r="CY134" i="11" s="1"/>
  <c r="CZ134" i="11" s="1"/>
  <c r="G127" i="11"/>
  <c r="AR127" i="11"/>
  <c r="O127" i="11"/>
  <c r="K127" i="11"/>
  <c r="J127" i="11"/>
  <c r="BI127" i="11"/>
  <c r="BX127" i="11"/>
  <c r="AI127" i="11"/>
  <c r="BP127" i="11"/>
  <c r="BG127" i="11"/>
  <c r="BA127" i="11"/>
  <c r="H127" i="11"/>
  <c r="AN127" i="11"/>
  <c r="AJ127" i="11"/>
  <c r="AP127" i="11"/>
  <c r="CH127" i="11"/>
  <c r="CO127" i="11"/>
  <c r="CF127" i="11"/>
  <c r="CM127" i="11"/>
  <c r="BY127" i="11"/>
  <c r="BF127" i="11"/>
  <c r="Y127" i="11"/>
  <c r="AB127" i="11"/>
  <c r="X127" i="11"/>
  <c r="P127" i="11"/>
  <c r="S127" i="11"/>
  <c r="CQ127" i="11"/>
  <c r="AZ127" i="11"/>
  <c r="CG127" i="11"/>
  <c r="BE127" i="11"/>
  <c r="CE127" i="11"/>
  <c r="CL127" i="11"/>
  <c r="CN127" i="11"/>
  <c r="BH127" i="11"/>
  <c r="AY127" i="11"/>
  <c r="AG127" i="11"/>
  <c r="T127" i="11"/>
  <c r="AQ127" i="11"/>
  <c r="AO127" i="11"/>
  <c r="BZ127" i="11"/>
  <c r="BM127" i="11"/>
  <c r="AW127" i="11"/>
  <c r="BN127" i="11"/>
  <c r="CD127" i="11"/>
  <c r="I127" i="11"/>
  <c r="Q127" i="11"/>
  <c r="AF127" i="11"/>
  <c r="AS127" i="11"/>
  <c r="BR127" i="11"/>
  <c r="BO127" i="11"/>
  <c r="CP127" i="11"/>
  <c r="BV127" i="11"/>
  <c r="AX127" i="11"/>
  <c r="Z127" i="11"/>
  <c r="AA127" i="11"/>
  <c r="AH127" i="11"/>
  <c r="R127" i="11"/>
  <c r="BQ127" i="11"/>
  <c r="BW127" i="11"/>
  <c r="CX134" i="11" l="1"/>
  <c r="CU134" i="11"/>
  <c r="CW134" i="11"/>
  <c r="CV134" i="11"/>
  <c r="AU127" i="11"/>
  <c r="AT127" i="11"/>
  <c r="U127" i="11"/>
  <c r="V127" i="11"/>
  <c r="AL127" i="11"/>
  <c r="AK127" i="11"/>
  <c r="DC127" i="11"/>
  <c r="L127" i="11"/>
  <c r="M127" i="11"/>
  <c r="CB127" i="11"/>
  <c r="CA127" i="11"/>
  <c r="AC127" i="11"/>
  <c r="AD127" i="11"/>
  <c r="BK127" i="11"/>
  <c r="BJ127" i="11"/>
  <c r="BT127" i="11"/>
  <c r="BS127" i="11"/>
  <c r="CS127" i="11"/>
  <c r="CR127" i="11"/>
  <c r="CI127" i="11"/>
  <c r="CJ127" i="11"/>
  <c r="BC127" i="11"/>
  <c r="BB127" i="11"/>
  <c r="C5014" i="3"/>
  <c r="AY134" i="11"/>
  <c r="AR134" i="11"/>
  <c r="Y134" i="11"/>
  <c r="P134" i="11"/>
  <c r="R134" i="11"/>
  <c r="AB134" i="11"/>
  <c r="BG134" i="11"/>
  <c r="O134" i="11"/>
  <c r="H134" i="11"/>
  <c r="T134" i="11"/>
  <c r="BI134" i="11"/>
  <c r="BQ134" i="11"/>
  <c r="AW134" i="11"/>
  <c r="CF134" i="11"/>
  <c r="CD134" i="11"/>
  <c r="AS134" i="11"/>
  <c r="CQ134" i="11"/>
  <c r="BN134" i="11"/>
  <c r="BW134" i="11"/>
  <c r="AX134" i="11"/>
  <c r="AO134" i="11"/>
  <c r="AG134" i="11"/>
  <c r="AJ134" i="11"/>
  <c r="AF134" i="11"/>
  <c r="Z134" i="11"/>
  <c r="BF134" i="11"/>
  <c r="J134" i="11"/>
  <c r="I134" i="11"/>
  <c r="BP134" i="11"/>
  <c r="AI134" i="11"/>
  <c r="BM134" i="11"/>
  <c r="BA134" i="11"/>
  <c r="G134" i="11"/>
  <c r="S134" i="11"/>
  <c r="CM134" i="11"/>
  <c r="Q134" i="11"/>
  <c r="K134" i="11"/>
  <c r="BE134" i="11"/>
  <c r="CL134" i="11"/>
  <c r="X134" i="11"/>
  <c r="AA134" i="11"/>
  <c r="BR134" i="11"/>
  <c r="BX134" i="11"/>
  <c r="BO134" i="11"/>
  <c r="BY134" i="11"/>
  <c r="CE134" i="11"/>
  <c r="AZ134" i="11"/>
  <c r="CN134" i="11"/>
  <c r="AP134" i="11"/>
  <c r="AQ134" i="11"/>
  <c r="CP134" i="11"/>
  <c r="AH134" i="11"/>
  <c r="BH134" i="11"/>
  <c r="CO134" i="11"/>
  <c r="AN134" i="11"/>
  <c r="CH134" i="11"/>
  <c r="BZ134" i="11"/>
  <c r="CG134" i="11"/>
  <c r="BV134" i="11"/>
  <c r="CO203" i="11"/>
  <c r="AO203" i="11"/>
  <c r="AA203" i="11"/>
  <c r="BE203" i="11"/>
  <c r="AF203" i="11"/>
  <c r="CN203" i="11"/>
  <c r="AX203" i="11"/>
  <c r="CQ203" i="11"/>
  <c r="CM203" i="11"/>
  <c r="AI203" i="11"/>
  <c r="BH203" i="11"/>
  <c r="AR203" i="11"/>
  <c r="O203" i="11"/>
  <c r="AS203" i="11"/>
  <c r="BY203" i="11"/>
  <c r="Y203" i="11"/>
  <c r="P203" i="11"/>
  <c r="CF203" i="11"/>
  <c r="BP203" i="11"/>
  <c r="AG203" i="11"/>
  <c r="AQ203" i="11"/>
  <c r="BX203" i="11"/>
  <c r="H203" i="11"/>
  <c r="AJ203" i="11"/>
  <c r="BO203" i="11"/>
  <c r="CD203" i="11"/>
  <c r="CP203" i="11"/>
  <c r="BV203" i="11"/>
  <c r="BW203" i="11"/>
  <c r="AB203" i="11"/>
  <c r="Q203" i="11"/>
  <c r="R203" i="11"/>
  <c r="S203" i="11"/>
  <c r="T203" i="11"/>
  <c r="BI203" i="11"/>
  <c r="AN203" i="11"/>
  <c r="CL203" i="11"/>
  <c r="BZ203" i="11"/>
  <c r="CH203" i="11"/>
  <c r="CE203" i="11"/>
  <c r="CG203" i="11"/>
  <c r="X203" i="11"/>
  <c r="BG203" i="11"/>
  <c r="BM203" i="11"/>
  <c r="Z203" i="11"/>
  <c r="BQ203" i="11"/>
  <c r="K203" i="11"/>
  <c r="AH203" i="11"/>
  <c r="BR203" i="11"/>
  <c r="BF203" i="11"/>
  <c r="J203" i="11"/>
  <c r="AY203" i="11"/>
  <c r="AZ203" i="11"/>
  <c r="BA203" i="11"/>
  <c r="BN203" i="11"/>
  <c r="AW203" i="11"/>
  <c r="G203" i="11"/>
  <c r="I203" i="11"/>
  <c r="AP203" i="11"/>
  <c r="CW310" i="11" l="1"/>
  <c r="CY310" i="11"/>
  <c r="CZ310" i="11" s="1"/>
  <c r="CU310" i="11"/>
  <c r="CV310" i="11"/>
  <c r="CX310" i="11"/>
  <c r="AU134" i="11"/>
  <c r="AT134" i="11"/>
  <c r="U134" i="11"/>
  <c r="V134" i="11"/>
  <c r="BB134" i="11"/>
  <c r="BC134" i="11"/>
  <c r="BT134" i="11"/>
  <c r="BS134" i="11"/>
  <c r="DC134" i="11"/>
  <c r="L134" i="11"/>
  <c r="M134" i="11"/>
  <c r="CB134" i="11"/>
  <c r="CA134" i="11"/>
  <c r="CI134" i="11"/>
  <c r="CJ134" i="11"/>
  <c r="AD134" i="11"/>
  <c r="AC134" i="11"/>
  <c r="AL134" i="11"/>
  <c r="AK134" i="11"/>
  <c r="CS134" i="11"/>
  <c r="CR134" i="11"/>
  <c r="BJ134" i="11"/>
  <c r="BK134" i="11"/>
  <c r="C5015" i="3"/>
  <c r="BM310" i="11"/>
  <c r="CM310" i="11"/>
  <c r="AR310" i="11"/>
  <c r="G310" i="11"/>
  <c r="CO310" i="11"/>
  <c r="I310" i="11"/>
  <c r="K310" i="11"/>
  <c r="BH310" i="11"/>
  <c r="AN310" i="11"/>
  <c r="Z310" i="11"/>
  <c r="BZ310" i="11"/>
  <c r="AS310" i="11"/>
  <c r="BY310" i="11"/>
  <c r="CE310" i="11"/>
  <c r="BX310" i="11"/>
  <c r="CG310" i="11"/>
  <c r="AZ310" i="11"/>
  <c r="CP310" i="11"/>
  <c r="S310" i="11"/>
  <c r="AB310" i="11"/>
  <c r="T310" i="11"/>
  <c r="R310" i="11"/>
  <c r="AG310" i="11"/>
  <c r="BG310" i="11"/>
  <c r="AQ310" i="11"/>
  <c r="J310" i="11"/>
  <c r="BR310" i="11"/>
  <c r="CH310" i="11"/>
  <c r="CF310" i="11"/>
  <c r="AW310" i="11"/>
  <c r="BP310" i="11"/>
  <c r="AY310" i="11"/>
  <c r="AH310" i="11"/>
  <c r="P310" i="11"/>
  <c r="AJ310" i="11"/>
  <c r="AI310" i="11"/>
  <c r="AA310" i="11"/>
  <c r="BA310" i="11"/>
  <c r="BF310" i="11"/>
  <c r="H310" i="11"/>
  <c r="X310" i="11"/>
  <c r="CQ310" i="11"/>
  <c r="BQ310" i="11"/>
  <c r="BV310" i="11"/>
  <c r="CD310" i="11"/>
  <c r="BN310" i="11"/>
  <c r="AX310" i="11"/>
  <c r="AO310" i="11"/>
  <c r="Y310" i="11"/>
  <c r="CL310" i="11"/>
  <c r="AP310" i="11"/>
  <c r="O310" i="11"/>
  <c r="BE310" i="11"/>
  <c r="CN310" i="11"/>
  <c r="Q310" i="11"/>
  <c r="AF310" i="11"/>
  <c r="BI310" i="11"/>
  <c r="BW310" i="11"/>
  <c r="BO310" i="11"/>
  <c r="CJ203" i="11"/>
  <c r="CI203" i="11"/>
  <c r="BB203" i="11"/>
  <c r="BC203" i="11"/>
  <c r="BS203" i="11"/>
  <c r="BT203" i="11"/>
  <c r="CA203" i="11"/>
  <c r="CB203" i="11"/>
  <c r="DC203" i="11"/>
  <c r="L203" i="11"/>
  <c r="M203" i="11"/>
  <c r="AD203" i="11"/>
  <c r="AC203" i="11"/>
  <c r="AU203" i="11"/>
  <c r="AT203" i="11"/>
  <c r="CR203" i="11"/>
  <c r="CS203" i="11"/>
  <c r="BJ203" i="11"/>
  <c r="BK203" i="11"/>
  <c r="AL203" i="11"/>
  <c r="AK203" i="11"/>
  <c r="U203" i="11"/>
  <c r="V203" i="11"/>
  <c r="AK310" i="11" l="1"/>
  <c r="AL310" i="11"/>
  <c r="CB310" i="11"/>
  <c r="CA310" i="11"/>
  <c r="CI310" i="11"/>
  <c r="CJ310" i="11"/>
  <c r="BJ310" i="11"/>
  <c r="BK310" i="11"/>
  <c r="BS310" i="11"/>
  <c r="BT310" i="11"/>
  <c r="V310" i="11"/>
  <c r="U310" i="11"/>
  <c r="BB310" i="11"/>
  <c r="BC310" i="11"/>
  <c r="AD310" i="11"/>
  <c r="AC310" i="11"/>
  <c r="DC310" i="11"/>
  <c r="L310" i="11"/>
  <c r="M310" i="11"/>
  <c r="CR310" i="11"/>
  <c r="CS310" i="11"/>
  <c r="AT310" i="11"/>
  <c r="AU310" i="11"/>
  <c r="C5016" i="3"/>
  <c r="C5017" i="3" s="1"/>
  <c r="C5018" i="3" l="1"/>
  <c r="C5019" i="3" l="1"/>
  <c r="C5020" i="3" s="1"/>
  <c r="C5021" i="3" s="1"/>
  <c r="C5022" i="3" s="1"/>
  <c r="C5023" i="3" l="1"/>
  <c r="C5024" i="3" s="1"/>
  <c r="C5025" i="3" s="1"/>
  <c r="C5026" i="3" l="1"/>
  <c r="C5027" i="3" s="1"/>
  <c r="C5028" i="3" s="1"/>
  <c r="C5029" i="3" s="1"/>
  <c r="C5030" i="3" s="1"/>
  <c r="C5031" i="3" s="1"/>
  <c r="C5032" i="3" s="1"/>
  <c r="C5033" i="3" s="1"/>
  <c r="C5034" i="3" s="1"/>
  <c r="C5035" i="3" s="1"/>
  <c r="C5036" i="3" s="1"/>
  <c r="C5037" i="3" s="1"/>
  <c r="C5038" i="3" s="1"/>
  <c r="C5039" i="3" s="1"/>
  <c r="C5040" i="3" l="1"/>
  <c r="C5041" i="3" s="1"/>
  <c r="C5042" i="3" s="1"/>
  <c r="C5043" i="3" s="1"/>
  <c r="C5054" i="3"/>
  <c r="C5055" i="3" s="1"/>
  <c r="C5044" i="3" l="1"/>
  <c r="C5045" i="3" s="1"/>
  <c r="C5056" i="3"/>
  <c r="C5057" i="3" s="1"/>
  <c r="C5058" i="3" s="1"/>
  <c r="C5046" i="3" l="1"/>
  <c r="C5047" i="3" s="1"/>
  <c r="C5048" i="3" s="1"/>
  <c r="C5059" i="3"/>
  <c r="C5049" i="3" l="1"/>
  <c r="C5050" i="3" s="1"/>
  <c r="C5060" i="3"/>
  <c r="C5061" i="3" s="1"/>
  <c r="C5062" i="3" s="1"/>
  <c r="CU31" i="11" l="1"/>
  <c r="CW31" i="11"/>
  <c r="CX31" i="11"/>
  <c r="CY31" i="11"/>
  <c r="CZ31" i="11" s="1"/>
  <c r="CV31" i="11"/>
  <c r="C5051" i="3"/>
  <c r="C5052" i="3" s="1"/>
  <c r="CG31" i="11"/>
  <c r="AO31" i="11"/>
  <c r="CP31" i="11"/>
  <c r="CL31" i="11"/>
  <c r="BV31" i="11"/>
  <c r="AF31" i="11"/>
  <c r="AY31" i="11"/>
  <c r="AZ31" i="11"/>
  <c r="BG31" i="11"/>
  <c r="AN31" i="11"/>
  <c r="H31" i="11"/>
  <c r="I31" i="11"/>
  <c r="BW31" i="11"/>
  <c r="CO31" i="11"/>
  <c r="AS31" i="11"/>
  <c r="BP31" i="11"/>
  <c r="O31" i="11"/>
  <c r="AR31" i="11"/>
  <c r="BY31" i="11"/>
  <c r="AI31" i="11"/>
  <c r="J31" i="11"/>
  <c r="T31" i="11"/>
  <c r="AQ31" i="11"/>
  <c r="AP31" i="11"/>
  <c r="AB31" i="11"/>
  <c r="G31" i="11"/>
  <c r="CF31" i="11"/>
  <c r="BX31" i="11"/>
  <c r="BF31" i="11"/>
  <c r="S31" i="11"/>
  <c r="BM31" i="11"/>
  <c r="BQ31" i="11"/>
  <c r="BZ31" i="11"/>
  <c r="AJ31" i="11"/>
  <c r="AX31" i="11"/>
  <c r="BO31" i="11"/>
  <c r="AW31" i="11"/>
  <c r="CE31" i="11"/>
  <c r="CN31" i="11"/>
  <c r="AA31" i="11"/>
  <c r="K31" i="11"/>
  <c r="BH31" i="11"/>
  <c r="BI31" i="11"/>
  <c r="AH31" i="11"/>
  <c r="Z31" i="11"/>
  <c r="AG31" i="11"/>
  <c r="CH31" i="11"/>
  <c r="R31" i="11"/>
  <c r="BE31" i="11"/>
  <c r="X31" i="11"/>
  <c r="BR31" i="11"/>
  <c r="BN31" i="11"/>
  <c r="Q31" i="11"/>
  <c r="Y31" i="11"/>
  <c r="BA31" i="11"/>
  <c r="CQ31" i="11"/>
  <c r="CM31" i="11"/>
  <c r="CD31" i="11"/>
  <c r="P31" i="11"/>
  <c r="C5063" i="3"/>
  <c r="C5064" i="3" s="1"/>
  <c r="C5065" i="3" s="1"/>
  <c r="C5066" i="3" s="1"/>
  <c r="CY249" i="11" s="1"/>
  <c r="CZ249" i="11" s="1"/>
  <c r="CX249" i="11" l="1"/>
  <c r="CW249" i="11"/>
  <c r="CV249" i="11"/>
  <c r="CU249" i="11"/>
  <c r="CJ31" i="11"/>
  <c r="CI31" i="11"/>
  <c r="L31" i="11"/>
  <c r="DC31" i="11"/>
  <c r="M31" i="11"/>
  <c r="AK31" i="11"/>
  <c r="AL31" i="11"/>
  <c r="U31" i="11"/>
  <c r="V31" i="11"/>
  <c r="BB31" i="11"/>
  <c r="BC31" i="11"/>
  <c r="BT31" i="11"/>
  <c r="BS31" i="11"/>
  <c r="CB31" i="11"/>
  <c r="CA31" i="11"/>
  <c r="AU31" i="11"/>
  <c r="AT31" i="11"/>
  <c r="CS31" i="11"/>
  <c r="CR31" i="11"/>
  <c r="BJ31" i="11"/>
  <c r="BK31" i="11"/>
  <c r="AC31" i="11"/>
  <c r="AD31" i="11"/>
  <c r="C5067" i="3"/>
  <c r="C5068" i="3" s="1"/>
  <c r="C5069" i="3" s="1"/>
  <c r="CY164" i="11" s="1"/>
  <c r="CZ164" i="11" s="1"/>
  <c r="CX164" i="11" l="1"/>
  <c r="CW164" i="11"/>
  <c r="CV164" i="11"/>
  <c r="CU164" i="11"/>
  <c r="C5070" i="3"/>
  <c r="C5071" i="3" s="1"/>
  <c r="BP105" i="11"/>
  <c r="CM105" i="11"/>
  <c r="Y105" i="11"/>
  <c r="AZ105" i="11"/>
  <c r="AP105" i="11"/>
  <c r="BF105" i="11"/>
  <c r="H105" i="11"/>
  <c r="CQ105" i="11"/>
  <c r="BG105" i="11"/>
  <c r="BO105" i="11"/>
  <c r="BN105" i="11"/>
  <c r="X105" i="11"/>
  <c r="AS105" i="11"/>
  <c r="CO105" i="11"/>
  <c r="AA105" i="11"/>
  <c r="AY105" i="11"/>
  <c r="BV105" i="11"/>
  <c r="BZ105" i="11"/>
  <c r="AO105" i="11"/>
  <c r="AJ105" i="11"/>
  <c r="I105" i="11"/>
  <c r="AI105" i="11"/>
  <c r="BA105" i="11"/>
  <c r="AN105" i="11"/>
  <c r="CN105" i="11"/>
  <c r="BM105" i="11"/>
  <c r="P105" i="11"/>
  <c r="S105" i="11"/>
  <c r="CL105" i="11"/>
  <c r="BI105" i="11"/>
  <c r="G105" i="11"/>
  <c r="CE105" i="11"/>
  <c r="AG105" i="11"/>
  <c r="CG105" i="11"/>
  <c r="AX105" i="11"/>
  <c r="BQ105" i="11"/>
  <c r="AF105" i="11"/>
  <c r="R105" i="11"/>
  <c r="AB105" i="11"/>
  <c r="BW105" i="11"/>
  <c r="BY105" i="11"/>
  <c r="T105" i="11"/>
  <c r="O105" i="11"/>
  <c r="CP105" i="11"/>
  <c r="Z105" i="11"/>
  <c r="CH105" i="11"/>
  <c r="Q105" i="11"/>
  <c r="CD105" i="11"/>
  <c r="BE105" i="11"/>
  <c r="AW105" i="11"/>
  <c r="BR105" i="11"/>
  <c r="BH105" i="11"/>
  <c r="CF105" i="11"/>
  <c r="J105" i="11"/>
  <c r="AR105" i="11"/>
  <c r="K105" i="11"/>
  <c r="AH105" i="11"/>
  <c r="BX105" i="11"/>
  <c r="AQ105" i="11"/>
  <c r="AW164" i="11"/>
  <c r="Q164" i="11"/>
  <c r="AH164" i="11"/>
  <c r="AI164" i="11"/>
  <c r="AO164" i="11"/>
  <c r="BY164" i="11"/>
  <c r="CL164" i="11"/>
  <c r="Z164" i="11"/>
  <c r="AN164" i="11"/>
  <c r="BQ164" i="11"/>
  <c r="AF164" i="11"/>
  <c r="BG164" i="11"/>
  <c r="AJ164" i="11"/>
  <c r="AR164" i="11"/>
  <c r="AG164" i="11"/>
  <c r="P164" i="11"/>
  <c r="AY164" i="11"/>
  <c r="O164" i="11"/>
  <c r="CE164" i="11"/>
  <c r="CN164" i="11"/>
  <c r="AB164" i="11"/>
  <c r="BW164" i="11"/>
  <c r="X164" i="11"/>
  <c r="BA164" i="11"/>
  <c r="R164" i="11"/>
  <c r="BN164" i="11"/>
  <c r="J164" i="11"/>
  <c r="AA164" i="11"/>
  <c r="I164" i="11"/>
  <c r="BO164" i="11"/>
  <c r="CH164" i="11"/>
  <c r="BF164" i="11"/>
  <c r="AS164" i="11"/>
  <c r="BX164" i="11"/>
  <c r="T164" i="11"/>
  <c r="CG164" i="11"/>
  <c r="K164" i="11"/>
  <c r="BP164" i="11"/>
  <c r="G164" i="11"/>
  <c r="CO164" i="11"/>
  <c r="AZ164" i="11"/>
  <c r="Y164" i="11"/>
  <c r="CD164" i="11"/>
  <c r="BZ164" i="11"/>
  <c r="BH164" i="11"/>
  <c r="BI164" i="11"/>
  <c r="H164" i="11"/>
  <c r="AP164" i="11"/>
  <c r="S164" i="11"/>
  <c r="CP164" i="11"/>
  <c r="BV164" i="11"/>
  <c r="BE164" i="11"/>
  <c r="AX164" i="11"/>
  <c r="BR164" i="11"/>
  <c r="BM164" i="11"/>
  <c r="CQ164" i="11"/>
  <c r="CM164" i="11"/>
  <c r="CF164" i="11"/>
  <c r="AQ164" i="11"/>
  <c r="C5072" i="3" l="1"/>
  <c r="C5073" i="3" s="1"/>
  <c r="C5074" i="3" s="1"/>
  <c r="C5075" i="3" s="1"/>
  <c r="AD105" i="11"/>
  <c r="AC105" i="11"/>
  <c r="AL105" i="11"/>
  <c r="AK105" i="11"/>
  <c r="AT105" i="11"/>
  <c r="AU105" i="11"/>
  <c r="CR105" i="11"/>
  <c r="CS105" i="11"/>
  <c r="BS105" i="11"/>
  <c r="BT105" i="11"/>
  <c r="U105" i="11"/>
  <c r="V105" i="11"/>
  <c r="BK105" i="11"/>
  <c r="BJ105" i="11"/>
  <c r="CB105" i="11"/>
  <c r="CA105" i="11"/>
  <c r="L105" i="11"/>
  <c r="DC105" i="11"/>
  <c r="M105" i="11"/>
  <c r="BB105" i="11"/>
  <c r="BC105" i="11"/>
  <c r="CI105" i="11"/>
  <c r="CJ105" i="11"/>
  <c r="BS164" i="11"/>
  <c r="BT164" i="11"/>
  <c r="AC164" i="11"/>
  <c r="AD164" i="11"/>
  <c r="L164" i="11"/>
  <c r="M164" i="11"/>
  <c r="DC164" i="11"/>
  <c r="CJ164" i="11"/>
  <c r="CI164" i="11"/>
  <c r="BK164" i="11"/>
  <c r="BJ164" i="11"/>
  <c r="U164" i="11"/>
  <c r="V164" i="11"/>
  <c r="BB164" i="11"/>
  <c r="BC164" i="11"/>
  <c r="AK164" i="11"/>
  <c r="AL164" i="11"/>
  <c r="CS164" i="11"/>
  <c r="CR164" i="11"/>
  <c r="CA164" i="11"/>
  <c r="CB164" i="11"/>
  <c r="AT164" i="11"/>
  <c r="AU164" i="11"/>
  <c r="C5076" i="3" l="1"/>
  <c r="C5077" i="3" s="1"/>
  <c r="C5078" i="3" s="1"/>
  <c r="C5079" i="3" s="1"/>
  <c r="C5080" i="3" s="1"/>
  <c r="C5081" i="3" s="1"/>
  <c r="C5082" i="3" s="1"/>
  <c r="AB180" i="11"/>
  <c r="AB220" i="11"/>
  <c r="AB252" i="11"/>
  <c r="AB260" i="11"/>
  <c r="AB292" i="11"/>
  <c r="AB37" i="11"/>
  <c r="AB45" i="11"/>
  <c r="AB53" i="11"/>
  <c r="AB61" i="11"/>
  <c r="AB69" i="11"/>
  <c r="AB77" i="11"/>
  <c r="AB85" i="11"/>
  <c r="AB93" i="11"/>
  <c r="AB36" i="11"/>
  <c r="AB44" i="11"/>
  <c r="AB60" i="11"/>
  <c r="AB68" i="11"/>
  <c r="AB76" i="11"/>
  <c r="AB84" i="11"/>
  <c r="AB92" i="11"/>
  <c r="AB140" i="11"/>
  <c r="AB148" i="11"/>
  <c r="AB172" i="11"/>
  <c r="C5083" i="3" l="1"/>
  <c r="C5084" i="3" s="1"/>
  <c r="AD84" i="11"/>
  <c r="AC84" i="11"/>
  <c r="AC85" i="11"/>
  <c r="AD85" i="11"/>
  <c r="AD37" i="11"/>
  <c r="AC37" i="11"/>
  <c r="AC77" i="11"/>
  <c r="AD77" i="11"/>
  <c r="AD292" i="11"/>
  <c r="AC292" i="11"/>
  <c r="AC76" i="11"/>
  <c r="AD76" i="11"/>
  <c r="AD172" i="11"/>
  <c r="AC172" i="11"/>
  <c r="AD68" i="11"/>
  <c r="AC68" i="11"/>
  <c r="AC69" i="11"/>
  <c r="AD69" i="11"/>
  <c r="AD260" i="11"/>
  <c r="AC260" i="11"/>
  <c r="DC260" i="11"/>
  <c r="AD148" i="11"/>
  <c r="AC148" i="11"/>
  <c r="AD60" i="11"/>
  <c r="AC60" i="11"/>
  <c r="AC61" i="11"/>
  <c r="AD61" i="11"/>
  <c r="AD252" i="11"/>
  <c r="AC252" i="11"/>
  <c r="DC252" i="11"/>
  <c r="AC140" i="11"/>
  <c r="AD140" i="11"/>
  <c r="AC44" i="11"/>
  <c r="AD44" i="11"/>
  <c r="AD53" i="11"/>
  <c r="AC53" i="11"/>
  <c r="AD220" i="11"/>
  <c r="AC220" i="11"/>
  <c r="AD92" i="11"/>
  <c r="AC92" i="11"/>
  <c r="AD36" i="11"/>
  <c r="AC36" i="11"/>
  <c r="AD93" i="11"/>
  <c r="AC93" i="11"/>
  <c r="AD45" i="11"/>
  <c r="AC45" i="11"/>
  <c r="AD180" i="11"/>
  <c r="AC180" i="11"/>
  <c r="C5085" i="3" l="1"/>
  <c r="C5086" i="3" s="1"/>
  <c r="C5087" i="3" s="1"/>
  <c r="BM276" i="11"/>
  <c r="AW276" i="11"/>
  <c r="Y276" i="11"/>
  <c r="BI276" i="11"/>
  <c r="K276" i="11"/>
  <c r="BE276" i="11"/>
  <c r="AP276" i="11"/>
  <c r="BQ276" i="11"/>
  <c r="R276" i="11"/>
  <c r="AO276" i="11"/>
  <c r="AN276" i="11"/>
  <c r="AX276" i="11"/>
  <c r="J276" i="11"/>
  <c r="AG276" i="11"/>
  <c r="X276" i="11"/>
  <c r="G276" i="11"/>
  <c r="CL276" i="11"/>
  <c r="CO276" i="11"/>
  <c r="O276" i="11"/>
  <c r="Q276" i="11"/>
  <c r="BP276" i="11"/>
  <c r="AH276" i="11"/>
  <c r="BG276" i="11"/>
  <c r="CD276" i="11"/>
  <c r="AF276" i="11"/>
  <c r="CM276" i="11"/>
  <c r="AQ276" i="11"/>
  <c r="BR276" i="11"/>
  <c r="AA276" i="11"/>
  <c r="CF276" i="11"/>
  <c r="AZ276" i="11"/>
  <c r="CH276" i="11"/>
  <c r="S276" i="11"/>
  <c r="T276" i="11"/>
  <c r="P276" i="11"/>
  <c r="AS276" i="11"/>
  <c r="Z276" i="11"/>
  <c r="BX276" i="11"/>
  <c r="AJ276" i="11"/>
  <c r="BW276" i="11"/>
  <c r="BH276" i="11"/>
  <c r="BV276" i="11"/>
  <c r="I276" i="11"/>
  <c r="CN276" i="11"/>
  <c r="BZ276" i="11"/>
  <c r="AI276" i="11"/>
  <c r="AR276" i="11"/>
  <c r="AY276" i="11"/>
  <c r="CG276" i="11"/>
  <c r="BA276" i="11"/>
  <c r="H276" i="11"/>
  <c r="BN276" i="11"/>
  <c r="AB276" i="11"/>
  <c r="CP276" i="11"/>
  <c r="CE276" i="11"/>
  <c r="BY276" i="11"/>
  <c r="CQ276" i="11"/>
  <c r="BF276" i="11"/>
  <c r="BO276" i="11"/>
  <c r="AD276" i="11" l="1"/>
  <c r="AC276" i="11"/>
  <c r="L276" i="11"/>
  <c r="DC276" i="11"/>
  <c r="M276" i="11"/>
  <c r="V276" i="11"/>
  <c r="U276" i="11"/>
  <c r="BT276" i="11"/>
  <c r="BS276" i="11"/>
  <c r="BJ276" i="11"/>
  <c r="BK276" i="11"/>
  <c r="CR276" i="11"/>
  <c r="CS276" i="11"/>
  <c r="CB276" i="11"/>
  <c r="CA276" i="11"/>
  <c r="AL276" i="11"/>
  <c r="AK276" i="11"/>
  <c r="CJ276" i="11"/>
  <c r="CI276" i="11"/>
  <c r="BB276" i="11"/>
  <c r="BC276" i="11"/>
  <c r="AT276" i="11"/>
  <c r="AU276" i="11"/>
  <c r="C5088" i="3"/>
  <c r="C5089" i="3" s="1"/>
  <c r="C5090" i="3" s="1"/>
  <c r="C5091" i="3" s="1"/>
  <c r="CL278" i="11"/>
  <c r="AF278" i="11"/>
  <c r="AS278" i="11"/>
  <c r="CF278" i="11"/>
  <c r="CG278" i="11"/>
  <c r="O278" i="11"/>
  <c r="AQ278" i="11"/>
  <c r="CD278" i="11"/>
  <c r="AB278" i="11"/>
  <c r="AP278" i="11"/>
  <c r="CH278" i="11"/>
  <c r="AJ278" i="11"/>
  <c r="AG278" i="11"/>
  <c r="K278" i="11"/>
  <c r="AZ278" i="11"/>
  <c r="AR278" i="11"/>
  <c r="S278" i="11"/>
  <c r="BN278" i="11"/>
  <c r="G278" i="11"/>
  <c r="BP278" i="11"/>
  <c r="I278" i="11"/>
  <c r="H278" i="11"/>
  <c r="BZ278" i="11"/>
  <c r="X278" i="11"/>
  <c r="CO278" i="11"/>
  <c r="AW278" i="11"/>
  <c r="Q278" i="11"/>
  <c r="AX278" i="11"/>
  <c r="AY278" i="11"/>
  <c r="AO278" i="11"/>
  <c r="AH278" i="11"/>
  <c r="BW278" i="11"/>
  <c r="T278" i="11"/>
  <c r="BE278" i="11"/>
  <c r="J278" i="11"/>
  <c r="BY278" i="11"/>
  <c r="BF278" i="11"/>
  <c r="AN278" i="11"/>
  <c r="CE278" i="11"/>
  <c r="BX278" i="11"/>
  <c r="BG278" i="11"/>
  <c r="CN278" i="11"/>
  <c r="AI278" i="11"/>
  <c r="P278" i="11"/>
  <c r="BA278" i="11"/>
  <c r="BR278" i="11"/>
  <c r="CM278" i="11"/>
  <c r="R278" i="11"/>
  <c r="Z278" i="11"/>
  <c r="BI278" i="11"/>
  <c r="CQ278" i="11"/>
  <c r="BO278" i="11"/>
  <c r="BV278" i="11"/>
  <c r="Y278" i="11"/>
  <c r="BQ278" i="11"/>
  <c r="BM278" i="11"/>
  <c r="CP278" i="11"/>
  <c r="AA278" i="11"/>
  <c r="BH278" i="11"/>
  <c r="CP141" i="11"/>
  <c r="BG141" i="11"/>
  <c r="BE141" i="11"/>
  <c r="K141" i="11"/>
  <c r="CG141" i="11"/>
  <c r="AN141" i="11"/>
  <c r="O141" i="11"/>
  <c r="X141" i="11"/>
  <c r="AX141" i="11"/>
  <c r="Y141" i="11"/>
  <c r="CE141" i="11"/>
  <c r="AA141" i="11"/>
  <c r="T141" i="11"/>
  <c r="AW141" i="11"/>
  <c r="AQ141" i="11"/>
  <c r="BA141" i="11"/>
  <c r="BM141" i="11"/>
  <c r="P141" i="11"/>
  <c r="BR141" i="11"/>
  <c r="BH141" i="11"/>
  <c r="AB141" i="11"/>
  <c r="AI141" i="11"/>
  <c r="CQ141" i="11"/>
  <c r="CN141" i="11"/>
  <c r="AP141" i="11"/>
  <c r="BW141" i="11"/>
  <c r="AO141" i="11"/>
  <c r="BX141" i="11"/>
  <c r="BP141" i="11"/>
  <c r="CM141" i="11"/>
  <c r="AR141" i="11"/>
  <c r="Z141" i="11"/>
  <c r="Q141" i="11"/>
  <c r="CH141" i="11" l="1"/>
  <c r="CI141" i="11" s="1"/>
  <c r="CY141" i="11"/>
  <c r="CZ141" i="11" s="1"/>
  <c r="R141" i="11"/>
  <c r="BI141" i="11"/>
  <c r="BJ141" i="11" s="1"/>
  <c r="AH141" i="11"/>
  <c r="H141" i="11"/>
  <c r="CD141" i="11"/>
  <c r="BN141" i="11"/>
  <c r="CF141" i="11"/>
  <c r="G141" i="11"/>
  <c r="BY141" i="11"/>
  <c r="AY141" i="11"/>
  <c r="BZ141" i="11"/>
  <c r="CB141" i="11" s="1"/>
  <c r="AG141" i="11"/>
  <c r="AS141" i="11"/>
  <c r="AU141" i="11" s="1"/>
  <c r="AJ141" i="11"/>
  <c r="AK141" i="11" s="1"/>
  <c r="AF141" i="11"/>
  <c r="J141" i="11"/>
  <c r="I141" i="11"/>
  <c r="BV141" i="11"/>
  <c r="BF141" i="11"/>
  <c r="S141" i="11"/>
  <c r="AZ141" i="11"/>
  <c r="CL141" i="11"/>
  <c r="CO141" i="11"/>
  <c r="BQ141" i="11"/>
  <c r="BO141" i="11"/>
  <c r="CV141" i="11"/>
  <c r="CW141" i="11"/>
  <c r="CU141" i="11"/>
  <c r="CX141" i="11"/>
  <c r="CB278" i="11"/>
  <c r="CA278" i="11"/>
  <c r="CJ278" i="11"/>
  <c r="CI278" i="11"/>
  <c r="BS278" i="11"/>
  <c r="BT278" i="11"/>
  <c r="CS278" i="11"/>
  <c r="CR278" i="11"/>
  <c r="BC278" i="11"/>
  <c r="BB278" i="11"/>
  <c r="V278" i="11"/>
  <c r="U278" i="11"/>
  <c r="AC278" i="11"/>
  <c r="AD278" i="11"/>
  <c r="AT278" i="11"/>
  <c r="AU278" i="11"/>
  <c r="BK278" i="11"/>
  <c r="BJ278" i="11"/>
  <c r="M278" i="11"/>
  <c r="L278" i="11"/>
  <c r="DC278" i="11"/>
  <c r="AK278" i="11"/>
  <c r="AL278" i="11"/>
  <c r="C5092" i="3"/>
  <c r="C5093" i="3" s="1"/>
  <c r="C5094" i="3" s="1"/>
  <c r="C5095" i="3" s="1"/>
  <c r="BT141" i="11"/>
  <c r="BS141" i="11"/>
  <c r="BB141" i="11"/>
  <c r="BC141" i="11"/>
  <c r="V141" i="11"/>
  <c r="U141" i="11"/>
  <c r="M141" i="11"/>
  <c r="L141" i="11"/>
  <c r="C5097" i="3"/>
  <c r="CR141" i="11"/>
  <c r="CS141" i="11"/>
  <c r="AC141" i="11"/>
  <c r="AD141" i="11"/>
  <c r="CJ141" i="11" l="1"/>
  <c r="BK141" i="11"/>
  <c r="AL141" i="11"/>
  <c r="CA141" i="11"/>
  <c r="DC141" i="11"/>
  <c r="AT141" i="11"/>
  <c r="C5098" i="3"/>
  <c r="C5099" i="3" s="1"/>
  <c r="C5100" i="3" s="1"/>
  <c r="C5101" i="3" s="1"/>
  <c r="CY122" i="11" s="1"/>
  <c r="CZ122" i="11" s="1"/>
  <c r="CX122" i="11" l="1"/>
  <c r="CU122" i="11"/>
  <c r="CW122" i="11"/>
  <c r="CV122" i="11"/>
  <c r="C5102" i="3"/>
  <c r="BN122" i="11"/>
  <c r="BE122" i="11"/>
  <c r="O122" i="11"/>
  <c r="I122" i="11"/>
  <c r="BM122" i="11"/>
  <c r="CN122" i="11"/>
  <c r="AF122" i="11"/>
  <c r="Z122" i="11"/>
  <c r="H122" i="11"/>
  <c r="S122" i="11"/>
  <c r="AB122" i="11"/>
  <c r="BR122" i="11"/>
  <c r="BY122" i="11"/>
  <c r="CF122" i="11"/>
  <c r="BQ122" i="11"/>
  <c r="T122" i="11"/>
  <c r="CH122" i="11"/>
  <c r="CE122" i="11"/>
  <c r="BW122" i="11"/>
  <c r="AZ122" i="11"/>
  <c r="BH122" i="11"/>
  <c r="AN122" i="11"/>
  <c r="AI122" i="11"/>
  <c r="BA122" i="11"/>
  <c r="CO122" i="11"/>
  <c r="Q122" i="11"/>
  <c r="AQ122" i="11"/>
  <c r="Y122" i="11"/>
  <c r="AA122" i="11"/>
  <c r="CQ122" i="11"/>
  <c r="CD122" i="11"/>
  <c r="AY122" i="11"/>
  <c r="BG122" i="11"/>
  <c r="X122" i="11"/>
  <c r="AO122" i="11"/>
  <c r="CL122" i="11"/>
  <c r="CP122" i="11"/>
  <c r="G122" i="11"/>
  <c r="BO122" i="11"/>
  <c r="AH122" i="11"/>
  <c r="AR122" i="11"/>
  <c r="AS122" i="11"/>
  <c r="BI122" i="11"/>
  <c r="BV122" i="11"/>
  <c r="CG122" i="11"/>
  <c r="AX122" i="11"/>
  <c r="BF122" i="11"/>
  <c r="R122" i="11"/>
  <c r="BP122" i="11"/>
  <c r="CM122" i="11"/>
  <c r="P122" i="11"/>
  <c r="AG122" i="11"/>
  <c r="J122" i="11"/>
  <c r="AP122" i="11"/>
  <c r="K122" i="11"/>
  <c r="AJ122" i="11"/>
  <c r="BZ122" i="11"/>
  <c r="BX122" i="11"/>
  <c r="AW122" i="11"/>
  <c r="DC122" i="11" l="1"/>
  <c r="L122" i="11"/>
  <c r="M122" i="11"/>
  <c r="BJ122" i="11"/>
  <c r="BK122" i="11"/>
  <c r="AU122" i="11"/>
  <c r="AT122" i="11"/>
  <c r="CR122" i="11"/>
  <c r="CS122" i="11"/>
  <c r="CB122" i="11"/>
  <c r="CA122" i="11"/>
  <c r="BC122" i="11"/>
  <c r="BB122" i="11"/>
  <c r="BS122" i="11"/>
  <c r="BT122" i="11"/>
  <c r="CJ122" i="11"/>
  <c r="CI122" i="11"/>
  <c r="AL122" i="11"/>
  <c r="AK122" i="11"/>
  <c r="V122" i="11"/>
  <c r="U122" i="11"/>
  <c r="AD122" i="11"/>
  <c r="AC122" i="11"/>
  <c r="C5103" i="3"/>
  <c r="C5104" i="3" l="1"/>
  <c r="C5105" i="3" s="1"/>
  <c r="C5106" i="3" s="1"/>
  <c r="C5107" i="3" s="1"/>
  <c r="C5108" i="3" l="1"/>
  <c r="C5109" i="3" l="1"/>
  <c r="C5110" i="3" l="1"/>
  <c r="C5112" i="3" l="1"/>
  <c r="C5113" i="3" l="1"/>
  <c r="C5114" i="3" s="1"/>
  <c r="C5115" i="3" s="1"/>
  <c r="CW192" i="11" l="1"/>
  <c r="CX192" i="11"/>
  <c r="CV192" i="11"/>
  <c r="CU192" i="11"/>
  <c r="C5116" i="3"/>
  <c r="C5117" i="3" s="1"/>
  <c r="CG192" i="11"/>
  <c r="AI192" i="11"/>
  <c r="AZ192" i="11"/>
  <c r="Y192" i="11"/>
  <c r="CN192" i="11"/>
  <c r="I192" i="11"/>
  <c r="BZ192" i="11"/>
  <c r="O192" i="11"/>
  <c r="CE192" i="11"/>
  <c r="G192" i="11"/>
  <c r="AW192" i="11"/>
  <c r="Z192" i="11"/>
  <c r="CP192" i="11"/>
  <c r="BH192" i="11"/>
  <c r="BG192" i="11"/>
  <c r="S192" i="11"/>
  <c r="BM192" i="11"/>
  <c r="AP192" i="11"/>
  <c r="BA192" i="11"/>
  <c r="H192" i="11"/>
  <c r="AS192" i="11"/>
  <c r="AO192" i="11"/>
  <c r="BR192" i="11"/>
  <c r="AR192" i="11"/>
  <c r="CF192" i="11"/>
  <c r="CO192" i="11"/>
  <c r="CL192" i="11"/>
  <c r="AX192" i="11"/>
  <c r="BV192" i="11"/>
  <c r="BN192" i="11"/>
  <c r="Q192" i="11"/>
  <c r="R192" i="11"/>
  <c r="K192" i="11"/>
  <c r="BY192" i="11"/>
  <c r="AB192" i="11"/>
  <c r="BW192" i="11"/>
  <c r="BE192" i="11"/>
  <c r="BQ192" i="11"/>
  <c r="AY192" i="11"/>
  <c r="CM192" i="11"/>
  <c r="AH192" i="11"/>
  <c r="AA192" i="11"/>
  <c r="CH192" i="11"/>
  <c r="J192" i="11"/>
  <c r="BO192" i="11"/>
  <c r="AF192" i="11"/>
  <c r="CD192" i="11"/>
  <c r="AJ192" i="11"/>
  <c r="BX192" i="11"/>
  <c r="BP192" i="11"/>
  <c r="BF192" i="11"/>
  <c r="X192" i="11"/>
  <c r="BI192" i="11"/>
  <c r="AN192" i="11"/>
  <c r="CQ192" i="11"/>
  <c r="AG192" i="11"/>
  <c r="T192" i="11"/>
  <c r="P192" i="11"/>
  <c r="AQ192" i="11"/>
  <c r="C5118" i="3" l="1"/>
  <c r="C5119" i="3" s="1"/>
  <c r="C5120" i="3" s="1"/>
  <c r="C5121" i="3" s="1"/>
  <c r="C5122" i="3" s="1"/>
  <c r="AL192" i="11"/>
  <c r="AK192" i="11"/>
  <c r="CJ192" i="11"/>
  <c r="CI192" i="11"/>
  <c r="BJ192" i="11"/>
  <c r="BK192" i="11"/>
  <c r="AT192" i="11"/>
  <c r="AU192" i="11"/>
  <c r="AD192" i="11"/>
  <c r="AC192" i="11"/>
  <c r="U192" i="11"/>
  <c r="V192" i="11"/>
  <c r="BB192" i="11"/>
  <c r="BC192" i="11"/>
  <c r="DC192" i="11"/>
  <c r="L192" i="11"/>
  <c r="M192" i="11"/>
  <c r="CA192" i="11"/>
  <c r="CB192" i="11"/>
  <c r="CS192" i="11"/>
  <c r="CR192" i="11"/>
  <c r="BS192" i="11"/>
  <c r="BT192" i="11"/>
  <c r="CW169" i="11" l="1"/>
  <c r="CX169" i="11"/>
  <c r="CV169" i="11"/>
  <c r="CU169" i="11"/>
  <c r="C5123" i="3"/>
  <c r="AB169" i="11"/>
  <c r="CD169" i="11"/>
  <c r="X169" i="11"/>
  <c r="CP169" i="11"/>
  <c r="AG169" i="11"/>
  <c r="BG169" i="11"/>
  <c r="K169" i="11"/>
  <c r="CM169" i="11"/>
  <c r="AR169" i="11"/>
  <c r="BP169" i="11"/>
  <c r="I169" i="11"/>
  <c r="CH169" i="11"/>
  <c r="AI169" i="11"/>
  <c r="AS169" i="11"/>
  <c r="BV169" i="11"/>
  <c r="Q169" i="11"/>
  <c r="BY169" i="11"/>
  <c r="O169" i="11"/>
  <c r="BM169" i="11"/>
  <c r="BE169" i="11"/>
  <c r="Y169" i="11"/>
  <c r="AY169" i="11"/>
  <c r="R169" i="11"/>
  <c r="BI169" i="11"/>
  <c r="P169" i="11"/>
  <c r="AX169" i="11"/>
  <c r="Z169" i="11"/>
  <c r="AW169" i="11"/>
  <c r="G169" i="11"/>
  <c r="BW169" i="11"/>
  <c r="CL169" i="11"/>
  <c r="S169" i="11"/>
  <c r="BQ169" i="11"/>
  <c r="AO169" i="11"/>
  <c r="AZ169" i="11"/>
  <c r="AH169" i="11"/>
  <c r="CQ169" i="11"/>
  <c r="AN169" i="11"/>
  <c r="BZ169" i="11"/>
  <c r="CF169" i="11"/>
  <c r="BA169" i="11"/>
  <c r="AQ169" i="11"/>
  <c r="CE169" i="11"/>
  <c r="J169" i="11"/>
  <c r="BN169" i="11"/>
  <c r="BR169" i="11"/>
  <c r="H169" i="11"/>
  <c r="BH169" i="11"/>
  <c r="CN169" i="11"/>
  <c r="T169" i="11"/>
  <c r="AF169" i="11"/>
  <c r="CG169" i="11"/>
  <c r="AJ169" i="11"/>
  <c r="BX169" i="11"/>
  <c r="AA169" i="11"/>
  <c r="CO169" i="11"/>
  <c r="AP169" i="11"/>
  <c r="BO169" i="11"/>
  <c r="BF169" i="11"/>
  <c r="C5124" i="3"/>
  <c r="C5125" i="3" s="1"/>
  <c r="I198" i="11" l="1"/>
  <c r="O198" i="11"/>
  <c r="AH198" i="11"/>
  <c r="BE198" i="11"/>
  <c r="BH198" i="11"/>
  <c r="CP198" i="11"/>
  <c r="BN198" i="11"/>
  <c r="AN198" i="11"/>
  <c r="BW198" i="11"/>
  <c r="CH198" i="11"/>
  <c r="Y198" i="11"/>
  <c r="BP198" i="11"/>
  <c r="CN198" i="11"/>
  <c r="BX198" i="11"/>
  <c r="BF198" i="11"/>
  <c r="P198" i="11"/>
  <c r="CM198" i="11"/>
  <c r="J198" i="11"/>
  <c r="BM198" i="11"/>
  <c r="AG198" i="11"/>
  <c r="AW198" i="11"/>
  <c r="AQ198" i="11"/>
  <c r="BY198" i="11"/>
  <c r="CO198" i="11"/>
  <c r="CD198" i="11"/>
  <c r="Q198" i="11"/>
  <c r="AF198" i="11"/>
  <c r="T198" i="11"/>
  <c r="CG198" i="11"/>
  <c r="CE198" i="11"/>
  <c r="AO198" i="11"/>
  <c r="K198" i="11"/>
  <c r="Z198" i="11"/>
  <c r="AB198" i="11"/>
  <c r="BA198" i="11"/>
  <c r="BZ198" i="11"/>
  <c r="AP198" i="11"/>
  <c r="S198" i="11"/>
  <c r="X198" i="11"/>
  <c r="BV198" i="11"/>
  <c r="R198" i="11"/>
  <c r="BO198" i="11"/>
  <c r="AS198" i="11"/>
  <c r="AA198" i="11"/>
  <c r="BG198" i="11"/>
  <c r="G198" i="11"/>
  <c r="AI198" i="11"/>
  <c r="CQ198" i="11"/>
  <c r="AX198" i="11"/>
  <c r="BR198" i="11"/>
  <c r="CL198" i="11"/>
  <c r="CF198" i="11"/>
  <c r="BQ198" i="11"/>
  <c r="AR198" i="11"/>
  <c r="BI198" i="11"/>
  <c r="AY198" i="11"/>
  <c r="H198" i="11"/>
  <c r="AJ198" i="11"/>
  <c r="AZ198" i="11"/>
  <c r="C5126" i="3"/>
  <c r="C5127" i="3"/>
  <c r="AK169" i="11"/>
  <c r="AL169" i="11"/>
  <c r="CS169" i="11"/>
  <c r="CR169" i="11"/>
  <c r="BT169" i="11"/>
  <c r="BS169" i="11"/>
  <c r="BC169" i="11"/>
  <c r="BB169" i="11"/>
  <c r="BK169" i="11"/>
  <c r="BJ169" i="11"/>
  <c r="AT169" i="11"/>
  <c r="AU169" i="11"/>
  <c r="U169" i="11"/>
  <c r="V169" i="11"/>
  <c r="DC169" i="11"/>
  <c r="L169" i="11"/>
  <c r="M169" i="11"/>
  <c r="AC169" i="11"/>
  <c r="AD169" i="11"/>
  <c r="CA169" i="11"/>
  <c r="CB169" i="11"/>
  <c r="CJ169" i="11"/>
  <c r="CI169" i="11"/>
  <c r="C5128" i="3" l="1"/>
  <c r="C5129" i="3" s="1"/>
  <c r="BJ198" i="11"/>
  <c r="BK198" i="11"/>
  <c r="BS198" i="11"/>
  <c r="BT198" i="11"/>
  <c r="M198" i="11"/>
  <c r="L198" i="11"/>
  <c r="DC198" i="11"/>
  <c r="AT198" i="11"/>
  <c r="AU198" i="11"/>
  <c r="CJ198" i="11"/>
  <c r="CI198" i="11"/>
  <c r="CR198" i="11"/>
  <c r="CS198" i="11"/>
  <c r="CA198" i="11"/>
  <c r="CB198" i="11"/>
  <c r="BB198" i="11"/>
  <c r="BC198" i="11"/>
  <c r="AD198" i="11"/>
  <c r="AC198" i="11"/>
  <c r="AL198" i="11"/>
  <c r="AK198" i="11"/>
  <c r="V198" i="11"/>
  <c r="U198" i="11"/>
  <c r="C5130" i="3" l="1"/>
  <c r="C5131" i="3" s="1"/>
  <c r="C5132" i="3" s="1"/>
  <c r="C5133" i="3" l="1"/>
  <c r="Y324" i="11"/>
  <c r="AF324" i="11"/>
  <c r="AO324" i="11"/>
  <c r="AZ324" i="11"/>
  <c r="AW324" i="11"/>
  <c r="AN324" i="11"/>
  <c r="BO324" i="11"/>
  <c r="AX324" i="11"/>
  <c r="O324" i="11"/>
  <c r="BG324" i="11"/>
  <c r="AG324" i="11"/>
  <c r="BI324" i="11"/>
  <c r="CE324" i="11"/>
  <c r="AR324" i="11"/>
  <c r="BF324" i="11"/>
  <c r="I324" i="11"/>
  <c r="K324" i="11"/>
  <c r="BV324" i="11"/>
  <c r="H324" i="11"/>
  <c r="X324" i="11"/>
  <c r="Q324" i="11"/>
  <c r="BA324" i="11"/>
  <c r="BR324" i="11"/>
  <c r="AH324" i="11"/>
  <c r="CM324" i="11"/>
  <c r="CH324" i="11"/>
  <c r="CL324" i="11"/>
  <c r="G324" i="11"/>
  <c r="CD324" i="11"/>
  <c r="BE324" i="11"/>
  <c r="CQ324" i="11"/>
  <c r="Z324" i="11"/>
  <c r="P324" i="11"/>
  <c r="AS324" i="11"/>
  <c r="BM324" i="11"/>
  <c r="CG324" i="11"/>
  <c r="BY324" i="11"/>
  <c r="CO324" i="11"/>
  <c r="BH324" i="11"/>
  <c r="BP324" i="11"/>
  <c r="BN324" i="11"/>
  <c r="AP324" i="11"/>
  <c r="T324" i="11"/>
  <c r="AA324" i="11"/>
  <c r="R324" i="11"/>
  <c r="BZ324" i="11"/>
  <c r="AJ324" i="11"/>
  <c r="BX324" i="11"/>
  <c r="AQ324" i="11"/>
  <c r="CP324" i="11"/>
  <c r="BQ324" i="11"/>
  <c r="AB324" i="11"/>
  <c r="J324" i="11"/>
  <c r="S324" i="11"/>
  <c r="AI324" i="11"/>
  <c r="CF324" i="11"/>
  <c r="BW324" i="11"/>
  <c r="CN324" i="11"/>
  <c r="AY324" i="11"/>
  <c r="C5134" i="3" l="1"/>
  <c r="C5135" i="3" s="1"/>
  <c r="C5136" i="3" s="1"/>
  <c r="C5137" i="3" s="1"/>
  <c r="C5138" i="3" s="1"/>
  <c r="C5139" i="3" s="1"/>
  <c r="AY147" i="11" s="1"/>
  <c r="CJ324" i="11"/>
  <c r="CI324" i="11"/>
  <c r="CR324" i="11"/>
  <c r="CS324" i="11"/>
  <c r="BJ324" i="11"/>
  <c r="BK324" i="11"/>
  <c r="AL324" i="11"/>
  <c r="AK324" i="11"/>
  <c r="BS324" i="11"/>
  <c r="BT324" i="11"/>
  <c r="DC324" i="11"/>
  <c r="M324" i="11"/>
  <c r="L324" i="11"/>
  <c r="V324" i="11"/>
  <c r="U324" i="11"/>
  <c r="AC324" i="11"/>
  <c r="AD324" i="11"/>
  <c r="CA324" i="11"/>
  <c r="CB324" i="11"/>
  <c r="AT324" i="11"/>
  <c r="AU324" i="11"/>
  <c r="BC324" i="11"/>
  <c r="BB324" i="11"/>
  <c r="C5140" i="3"/>
  <c r="AI147" i="11"/>
  <c r="T147" i="11"/>
  <c r="X147" i="11"/>
  <c r="CL147" i="11"/>
  <c r="R147" i="11"/>
  <c r="Z147" i="11"/>
  <c r="CE147" i="11"/>
  <c r="P147" i="11"/>
  <c r="AH147" i="11"/>
  <c r="AP147" i="11"/>
  <c r="Q147" i="11"/>
  <c r="AZ147" i="11"/>
  <c r="K147" i="11"/>
  <c r="AA147" i="11"/>
  <c r="AG147" i="11"/>
  <c r="BH147" i="11"/>
  <c r="CM147" i="11"/>
  <c r="BZ147" i="11"/>
  <c r="AQ147" i="11"/>
  <c r="J147" i="11"/>
  <c r="AX147" i="11"/>
  <c r="BO147" i="11"/>
  <c r="BQ147" i="11"/>
  <c r="CF147" i="11"/>
  <c r="AW147" i="11"/>
  <c r="CP147" i="11"/>
  <c r="BR147" i="11"/>
  <c r="S147" i="11"/>
  <c r="AO147" i="11"/>
  <c r="CN147" i="11"/>
  <c r="BE147" i="11"/>
  <c r="BN147" i="11"/>
  <c r="BY147" i="11"/>
  <c r="AS147" i="11"/>
  <c r="CG147" i="11"/>
  <c r="H147" i="11" l="1"/>
  <c r="CW150" i="11"/>
  <c r="CU150" i="11"/>
  <c r="CX150" i="11"/>
  <c r="CV150" i="11"/>
  <c r="CY150" i="11"/>
  <c r="CZ150" i="11" s="1"/>
  <c r="BW147" i="11"/>
  <c r="CW147" i="11"/>
  <c r="CU147" i="11"/>
  <c r="CX147" i="11"/>
  <c r="CV147" i="11"/>
  <c r="CY147" i="11"/>
  <c r="CZ147" i="11" s="1"/>
  <c r="AR147" i="11"/>
  <c r="BG147" i="11"/>
  <c r="BI147" i="11"/>
  <c r="BJ147" i="11" s="1"/>
  <c r="BV147" i="11"/>
  <c r="CH147" i="11"/>
  <c r="CJ147" i="11" s="1"/>
  <c r="CD147" i="11"/>
  <c r="BF147" i="11"/>
  <c r="CQ147" i="11"/>
  <c r="CR147" i="11" s="1"/>
  <c r="BA147" i="11"/>
  <c r="BC147" i="11" s="1"/>
  <c r="AJ147" i="11"/>
  <c r="AL147" i="11" s="1"/>
  <c r="O147" i="11"/>
  <c r="AN147" i="11"/>
  <c r="AB147" i="11"/>
  <c r="AD147" i="11" s="1"/>
  <c r="AF147" i="11"/>
  <c r="I147" i="11"/>
  <c r="Y147" i="11"/>
  <c r="BP147" i="11"/>
  <c r="CO147" i="11"/>
  <c r="BX147" i="11"/>
  <c r="BM147" i="11"/>
  <c r="G147" i="11"/>
  <c r="BT147" i="11"/>
  <c r="BS147" i="11"/>
  <c r="AU147" i="11"/>
  <c r="AT147" i="11"/>
  <c r="CB147" i="11"/>
  <c r="CA147" i="11"/>
  <c r="M147" i="11"/>
  <c r="L147" i="11"/>
  <c r="U147" i="11"/>
  <c r="V147" i="11"/>
  <c r="C5141" i="3"/>
  <c r="BE150" i="11"/>
  <c r="AA150" i="11"/>
  <c r="BY150" i="11"/>
  <c r="BP150" i="11"/>
  <c r="BO150" i="11"/>
  <c r="AN150" i="11"/>
  <c r="AS150" i="11"/>
  <c r="AW150" i="11"/>
  <c r="CL150" i="11"/>
  <c r="AR150" i="11"/>
  <c r="CG150" i="11"/>
  <c r="AF150" i="11"/>
  <c r="CN150" i="11"/>
  <c r="BI150" i="11"/>
  <c r="BV150" i="11"/>
  <c r="BN150" i="11"/>
  <c r="AB150" i="11"/>
  <c r="J150" i="11"/>
  <c r="AI150" i="11"/>
  <c r="BA150" i="11"/>
  <c r="R150" i="11"/>
  <c r="CO150" i="11"/>
  <c r="AP150" i="11"/>
  <c r="AG150" i="11"/>
  <c r="AY150" i="11"/>
  <c r="BX150" i="11"/>
  <c r="CP150" i="11"/>
  <c r="CF150" i="11"/>
  <c r="Y150" i="11"/>
  <c r="CM150" i="11"/>
  <c r="X150" i="11"/>
  <c r="CH150" i="11"/>
  <c r="BG150" i="11"/>
  <c r="I150" i="11"/>
  <c r="BW150" i="11"/>
  <c r="G150" i="11"/>
  <c r="Z150" i="11"/>
  <c r="BQ150" i="11"/>
  <c r="AO150" i="11"/>
  <c r="S150" i="11"/>
  <c r="CE150" i="11"/>
  <c r="AQ150" i="11"/>
  <c r="BF150" i="11"/>
  <c r="K150" i="11"/>
  <c r="AJ150" i="11"/>
  <c r="AH150" i="11"/>
  <c r="BH150" i="11"/>
  <c r="BR150" i="11"/>
  <c r="AX150" i="11"/>
  <c r="Q150" i="11"/>
  <c r="CQ150" i="11"/>
  <c r="BM150" i="11"/>
  <c r="P150" i="11"/>
  <c r="BZ150" i="11"/>
  <c r="O150" i="11"/>
  <c r="H150" i="11"/>
  <c r="AZ150" i="11"/>
  <c r="T150" i="11"/>
  <c r="CD150" i="11"/>
  <c r="BK147" i="11" l="1"/>
  <c r="AK147" i="11"/>
  <c r="CS147" i="11"/>
  <c r="AC147" i="11"/>
  <c r="BB147" i="11"/>
  <c r="CI147" i="11"/>
  <c r="DC147" i="11"/>
  <c r="L150" i="11"/>
  <c r="M150" i="11"/>
  <c r="DC150" i="11"/>
  <c r="CJ150" i="11"/>
  <c r="CI150" i="11"/>
  <c r="AD150" i="11"/>
  <c r="AC150" i="11"/>
  <c r="C5142" i="3"/>
  <c r="BT150" i="11"/>
  <c r="BS150" i="11"/>
  <c r="BB150" i="11"/>
  <c r="BC150" i="11"/>
  <c r="CB150" i="11"/>
  <c r="CA150" i="11"/>
  <c r="BJ150" i="11"/>
  <c r="BK150" i="11"/>
  <c r="V150" i="11"/>
  <c r="U150" i="11"/>
  <c r="CR150" i="11"/>
  <c r="CS150" i="11"/>
  <c r="AK150" i="11"/>
  <c r="AL150" i="11"/>
  <c r="AU150" i="11"/>
  <c r="AT150" i="11"/>
  <c r="C5143" i="3" l="1"/>
  <c r="C5144" i="3" s="1"/>
  <c r="C5146" i="3" s="1"/>
  <c r="AJ258" i="11" l="1"/>
  <c r="AJ274" i="11"/>
  <c r="AJ282" i="11"/>
  <c r="AJ290" i="11"/>
  <c r="AJ265" i="11"/>
  <c r="AJ10" i="11"/>
  <c r="AJ42" i="11"/>
  <c r="AJ50" i="11"/>
  <c r="AJ58" i="11"/>
  <c r="AJ66" i="11"/>
  <c r="AJ74" i="11"/>
  <c r="AJ82" i="11"/>
  <c r="AJ178" i="11"/>
  <c r="AJ218" i="11"/>
  <c r="AJ226" i="11"/>
  <c r="AJ41" i="11"/>
  <c r="AJ49" i="11"/>
  <c r="AJ57" i="11"/>
  <c r="AJ65" i="11"/>
  <c r="AJ73" i="11"/>
  <c r="AJ81" i="11"/>
  <c r="AJ89" i="11"/>
  <c r="AJ97" i="11"/>
  <c r="AJ137" i="11"/>
  <c r="AJ217" i="11"/>
  <c r="AJ225" i="11"/>
  <c r="AJ241" i="11"/>
  <c r="AJ257" i="11"/>
  <c r="AJ72" i="11"/>
  <c r="AJ80" i="11"/>
  <c r="AJ88" i="11"/>
  <c r="AJ96" i="11"/>
  <c r="AJ128" i="11"/>
  <c r="AJ136" i="11"/>
  <c r="AJ160" i="11"/>
  <c r="AJ240" i="11"/>
  <c r="AJ264" i="11"/>
  <c r="AJ280" i="11"/>
  <c r="C5147" i="3"/>
  <c r="C5148" i="3" s="1"/>
  <c r="C5149" i="3" s="1"/>
  <c r="C5150" i="3" s="1"/>
  <c r="CY248" i="11" s="1"/>
  <c r="CZ248" i="11" s="1"/>
  <c r="CW248" i="11" l="1"/>
  <c r="CX248" i="11"/>
  <c r="CV248" i="11"/>
  <c r="CU248" i="11"/>
  <c r="AJ248" i="11"/>
  <c r="AK248" i="11" s="1"/>
  <c r="BZ248" i="11"/>
  <c r="AR248" i="11"/>
  <c r="S248" i="11"/>
  <c r="CO248" i="11"/>
  <c r="CN248" i="11"/>
  <c r="AZ248" i="11"/>
  <c r="BO248" i="11"/>
  <c r="BQ248" i="11"/>
  <c r="AW248" i="11"/>
  <c r="AS248" i="11"/>
  <c r="T248" i="11"/>
  <c r="CM248" i="11"/>
  <c r="CL248" i="11"/>
  <c r="BF248" i="11"/>
  <c r="BG248" i="11"/>
  <c r="BM248" i="11"/>
  <c r="BP248" i="11"/>
  <c r="BW248" i="11"/>
  <c r="BX248" i="11"/>
  <c r="CD248" i="11"/>
  <c r="K248" i="11"/>
  <c r="CP248" i="11"/>
  <c r="BV248" i="11"/>
  <c r="CE248" i="11"/>
  <c r="CG248" i="11"/>
  <c r="CH248" i="11"/>
  <c r="CF248" i="11"/>
  <c r="BY248" i="11"/>
  <c r="BN248" i="11"/>
  <c r="AY248" i="11"/>
  <c r="AX248" i="11"/>
  <c r="BA248" i="11"/>
  <c r="BE248" i="11"/>
  <c r="BH248" i="11"/>
  <c r="AO248" i="11"/>
  <c r="Z248" i="11"/>
  <c r="P248" i="11"/>
  <c r="I248" i="11"/>
  <c r="AP248" i="11"/>
  <c r="X248" i="11"/>
  <c r="H248" i="11"/>
  <c r="AF248" i="11"/>
  <c r="AQ248" i="11"/>
  <c r="Y248" i="11"/>
  <c r="O248" i="11"/>
  <c r="Q248" i="11"/>
  <c r="AH248" i="11"/>
  <c r="G248" i="11"/>
  <c r="R248" i="11"/>
  <c r="AA248" i="11"/>
  <c r="J248" i="11"/>
  <c r="AN248" i="11"/>
  <c r="AG248" i="11"/>
  <c r="AI248" i="11"/>
  <c r="AB248" i="11"/>
  <c r="BI248" i="11"/>
  <c r="CQ248" i="11"/>
  <c r="BR248" i="11"/>
  <c r="AL218" i="11"/>
  <c r="AK218" i="11"/>
  <c r="AL50" i="11"/>
  <c r="AK50" i="11"/>
  <c r="AL178" i="11"/>
  <c r="AK178" i="11"/>
  <c r="AK42" i="11"/>
  <c r="AL42" i="11"/>
  <c r="AK290" i="11"/>
  <c r="AL290" i="11"/>
  <c r="DC290" i="11"/>
  <c r="AK82" i="11"/>
  <c r="AL82" i="11"/>
  <c r="AL282" i="11"/>
  <c r="AK282" i="11"/>
  <c r="DC282" i="11"/>
  <c r="AK74" i="11"/>
  <c r="AL74" i="11"/>
  <c r="AL10" i="11"/>
  <c r="AK10" i="11"/>
  <c r="AK274" i="11"/>
  <c r="AL274" i="11"/>
  <c r="DC274" i="11"/>
  <c r="AK66" i="11"/>
  <c r="AL66" i="11"/>
  <c r="AK265" i="11"/>
  <c r="AL265" i="11"/>
  <c r="AL258" i="11"/>
  <c r="AK258" i="11"/>
  <c r="AL226" i="11"/>
  <c r="AK226" i="11"/>
  <c r="AK58" i="11"/>
  <c r="AL58" i="11"/>
  <c r="AL280" i="11"/>
  <c r="AK280" i="11"/>
  <c r="AK128" i="11"/>
  <c r="AL128" i="11"/>
  <c r="AL241" i="11"/>
  <c r="AK241" i="11"/>
  <c r="AL81" i="11"/>
  <c r="AK81" i="11"/>
  <c r="AL264" i="11"/>
  <c r="AK264" i="11"/>
  <c r="AK96" i="11"/>
  <c r="AL96" i="11"/>
  <c r="AL225" i="11"/>
  <c r="AK225" i="11"/>
  <c r="AL73" i="11"/>
  <c r="AK73" i="11"/>
  <c r="AL88" i="11"/>
  <c r="AK88" i="11"/>
  <c r="AK217" i="11"/>
  <c r="AL217" i="11"/>
  <c r="AL65" i="11"/>
  <c r="AK65" i="11"/>
  <c r="AL240" i="11"/>
  <c r="AK240" i="11"/>
  <c r="AK80" i="11"/>
  <c r="AL80" i="11"/>
  <c r="AL137" i="11"/>
  <c r="AK137" i="11"/>
  <c r="AL57" i="11"/>
  <c r="AK57" i="11"/>
  <c r="AL160" i="11"/>
  <c r="AK160" i="11"/>
  <c r="AL72" i="11"/>
  <c r="AK72" i="11"/>
  <c r="AK97" i="11"/>
  <c r="AL97" i="11"/>
  <c r="AK49" i="11"/>
  <c r="AL49" i="11"/>
  <c r="AK136" i="11"/>
  <c r="AL136" i="11"/>
  <c r="AL257" i="11"/>
  <c r="AK257" i="11"/>
  <c r="AK89" i="11"/>
  <c r="AL89" i="11"/>
  <c r="AL41" i="11"/>
  <c r="AK41" i="11"/>
  <c r="C5151" i="3"/>
  <c r="C5152" i="3" s="1"/>
  <c r="BR249" i="11"/>
  <c r="R249" i="11"/>
  <c r="G249" i="11"/>
  <c r="BF249" i="11"/>
  <c r="CN249" i="11"/>
  <c r="BN249" i="11"/>
  <c r="CH249" i="11"/>
  <c r="AA249" i="11"/>
  <c r="O249" i="11"/>
  <c r="BA249" i="11"/>
  <c r="P249" i="11"/>
  <c r="CL249" i="11"/>
  <c r="CP249" i="11"/>
  <c r="BY249" i="11"/>
  <c r="AF249" i="11"/>
  <c r="T249" i="11"/>
  <c r="Y249" i="11"/>
  <c r="AZ249" i="11"/>
  <c r="Z249" i="11"/>
  <c r="AW249" i="11"/>
  <c r="CG249" i="11"/>
  <c r="AS249" i="11"/>
  <c r="BM249" i="11"/>
  <c r="AY249" i="11"/>
  <c r="AX249" i="11"/>
  <c r="AH249" i="11"/>
  <c r="K249" i="11"/>
  <c r="CO249" i="11"/>
  <c r="BE249" i="11"/>
  <c r="AP249" i="11"/>
  <c r="BQ249" i="11"/>
  <c r="BH249" i="11"/>
  <c r="CM249" i="11"/>
  <c r="AB249" i="11"/>
  <c r="AQ249" i="11"/>
  <c r="BW249" i="11"/>
  <c r="Q249" i="11"/>
  <c r="CD249" i="11"/>
  <c r="AO249" i="11"/>
  <c r="BX249" i="11"/>
  <c r="BP249" i="11"/>
  <c r="S249" i="11"/>
  <c r="I249" i="11"/>
  <c r="CQ249" i="11"/>
  <c r="AI249" i="11"/>
  <c r="BV249" i="11"/>
  <c r="X249" i="11"/>
  <c r="BO249" i="11"/>
  <c r="CF249" i="11"/>
  <c r="BZ249" i="11"/>
  <c r="J249" i="11"/>
  <c r="AG249" i="11"/>
  <c r="BG249" i="11"/>
  <c r="AJ249" i="11"/>
  <c r="H249" i="11"/>
  <c r="BI249" i="11"/>
  <c r="AR249" i="11"/>
  <c r="AN249" i="11"/>
  <c r="CE249" i="11"/>
  <c r="AL248" i="11" l="1"/>
  <c r="DC248" i="11"/>
  <c r="BB248" i="11"/>
  <c r="BC248" i="11"/>
  <c r="CI248" i="11"/>
  <c r="CJ248" i="11"/>
  <c r="L248" i="11"/>
  <c r="M248" i="11"/>
  <c r="U248" i="11"/>
  <c r="V248" i="11"/>
  <c r="AC248" i="11"/>
  <c r="AD248" i="11"/>
  <c r="AU248" i="11"/>
  <c r="AT248" i="11"/>
  <c r="BS248" i="11"/>
  <c r="BT248" i="11"/>
  <c r="CS248" i="11"/>
  <c r="CR248" i="11"/>
  <c r="BJ248" i="11"/>
  <c r="BK248" i="11"/>
  <c r="CA248" i="11"/>
  <c r="CB248" i="11"/>
  <c r="C5154" i="3"/>
  <c r="C5155" i="3" s="1"/>
  <c r="C5153" i="3"/>
  <c r="CR249" i="11"/>
  <c r="CS249" i="11"/>
  <c r="AD249" i="11"/>
  <c r="AC249" i="11"/>
  <c r="AU249" i="11"/>
  <c r="AT249" i="11"/>
  <c r="V249" i="11"/>
  <c r="U249" i="11"/>
  <c r="BB249" i="11"/>
  <c r="BC249" i="11"/>
  <c r="CB249" i="11"/>
  <c r="CA249" i="11"/>
  <c r="M249" i="11"/>
  <c r="DC249" i="11"/>
  <c r="L249" i="11"/>
  <c r="BJ249" i="11"/>
  <c r="BK249" i="11"/>
  <c r="CJ249" i="11"/>
  <c r="CI249" i="11"/>
  <c r="BS249" i="11"/>
  <c r="BT249" i="11"/>
  <c r="BH326" i="11"/>
  <c r="AJ326" i="11"/>
  <c r="S326" i="11"/>
  <c r="BN326" i="11"/>
  <c r="BF326" i="11"/>
  <c r="BV326" i="11"/>
  <c r="BG326" i="11"/>
  <c r="CD326" i="11"/>
  <c r="BM326" i="11"/>
  <c r="AA326" i="11"/>
  <c r="BW326" i="11"/>
  <c r="CQ326" i="11"/>
  <c r="P326" i="11"/>
  <c r="R326" i="11"/>
  <c r="CN326" i="11"/>
  <c r="AO326" i="11"/>
  <c r="AQ326" i="11"/>
  <c r="BR326" i="11"/>
  <c r="T326" i="11"/>
  <c r="BO326" i="11"/>
  <c r="BE326" i="11"/>
  <c r="O326" i="11"/>
  <c r="BX326" i="11"/>
  <c r="CE326" i="11"/>
  <c r="AX326" i="11"/>
  <c r="X326" i="11"/>
  <c r="J326" i="11"/>
  <c r="BY326" i="11"/>
  <c r="AI326" i="11"/>
  <c r="I326" i="11"/>
  <c r="CF326" i="11"/>
  <c r="CG326" i="11"/>
  <c r="K326" i="11"/>
  <c r="AG326" i="11"/>
  <c r="CL326" i="11"/>
  <c r="BQ326" i="11"/>
  <c r="CM326" i="11"/>
  <c r="BI326" i="11"/>
  <c r="Q326" i="11"/>
  <c r="AW326" i="11"/>
  <c r="H326" i="11"/>
  <c r="AH326" i="11"/>
  <c r="AF326" i="11"/>
  <c r="AR326" i="11"/>
  <c r="AL249" i="11"/>
  <c r="AK249" i="11"/>
  <c r="C5156" i="3" l="1"/>
  <c r="BT326" i="11"/>
  <c r="BS326" i="11"/>
  <c r="CR326" i="11"/>
  <c r="CS326" i="11"/>
  <c r="DC326" i="11"/>
  <c r="M326" i="11"/>
  <c r="L326" i="11"/>
  <c r="BJ326" i="11"/>
  <c r="BK326" i="11"/>
  <c r="AL326" i="11"/>
  <c r="AK326" i="11"/>
  <c r="U326" i="11"/>
  <c r="V326" i="11"/>
  <c r="C5157" i="3" l="1"/>
  <c r="C5158" i="3" l="1"/>
  <c r="CW156" i="11" l="1"/>
  <c r="CU156" i="11"/>
  <c r="CX156" i="11"/>
  <c r="CV156" i="11"/>
  <c r="C5159" i="3"/>
  <c r="R156" i="11"/>
  <c r="AY156" i="11"/>
  <c r="AZ156" i="11"/>
  <c r="J156" i="11"/>
  <c r="AW156" i="11"/>
  <c r="AX156" i="11"/>
  <c r="CQ156" i="11"/>
  <c r="CN156" i="11"/>
  <c r="CE156" i="11"/>
  <c r="G156" i="11"/>
  <c r="Z156" i="11"/>
  <c r="AQ156" i="11"/>
  <c r="CM156" i="11"/>
  <c r="BA156" i="11"/>
  <c r="P156" i="11"/>
  <c r="AA156" i="11"/>
  <c r="BG156" i="11"/>
  <c r="BQ156" i="11"/>
  <c r="CF156" i="11"/>
  <c r="AO156" i="11"/>
  <c r="BF156" i="11"/>
  <c r="BY156" i="11"/>
  <c r="BO156" i="11"/>
  <c r="CD156" i="11"/>
  <c r="AJ156" i="11"/>
  <c r="AR156" i="11"/>
  <c r="K156" i="11"/>
  <c r="AS156" i="11"/>
  <c r="AP156" i="11"/>
  <c r="BE156" i="11"/>
  <c r="AB156" i="11"/>
  <c r="Q156" i="11"/>
  <c r="BR156" i="11"/>
  <c r="CH156" i="11"/>
  <c r="O156" i="11"/>
  <c r="BZ156" i="11"/>
  <c r="AI156" i="11"/>
  <c r="AF156" i="11"/>
  <c r="CO156" i="11"/>
  <c r="T156" i="11"/>
  <c r="H156" i="11"/>
  <c r="AN156" i="11"/>
  <c r="BI156" i="11"/>
  <c r="CG156" i="11"/>
  <c r="Y156" i="11"/>
  <c r="X156" i="11"/>
  <c r="CP156" i="11"/>
  <c r="BH156" i="11"/>
  <c r="AH156" i="11"/>
  <c r="I156" i="11"/>
  <c r="BW156" i="11"/>
  <c r="CL156" i="11"/>
  <c r="BP156" i="11"/>
  <c r="BM156" i="11"/>
  <c r="BV156" i="11"/>
  <c r="BX156" i="11"/>
  <c r="S156" i="11"/>
  <c r="BN156" i="11"/>
  <c r="AG156" i="11"/>
  <c r="CB156" i="11" l="1"/>
  <c r="CA156" i="11"/>
  <c r="AC156" i="11"/>
  <c r="AD156" i="11"/>
  <c r="AL156" i="11"/>
  <c r="AK156" i="11"/>
  <c r="BB156" i="11"/>
  <c r="BC156" i="11"/>
  <c r="U156" i="11"/>
  <c r="V156" i="11"/>
  <c r="CJ156" i="11"/>
  <c r="CI156" i="11"/>
  <c r="AU156" i="11"/>
  <c r="AT156" i="11"/>
  <c r="CS156" i="11"/>
  <c r="CR156" i="11"/>
  <c r="BT156" i="11"/>
  <c r="BS156" i="11"/>
  <c r="DC156" i="11"/>
  <c r="L156" i="11"/>
  <c r="M156" i="11"/>
  <c r="BJ156" i="11"/>
  <c r="BK156" i="11"/>
  <c r="C5160" i="3"/>
  <c r="C5161" i="3" l="1"/>
  <c r="C5162" i="3" s="1"/>
  <c r="C5163" i="3" l="1"/>
  <c r="C5164" i="3" l="1"/>
  <c r="Y230" i="11"/>
  <c r="AJ230" i="11"/>
  <c r="BX230" i="11"/>
  <c r="CE230" i="11"/>
  <c r="AW230" i="11"/>
  <c r="CH230" i="11"/>
  <c r="BF230" i="11"/>
  <c r="Q230" i="11"/>
  <c r="BN230" i="11"/>
  <c r="AR230" i="11"/>
  <c r="AG230" i="11"/>
  <c r="BQ230" i="11"/>
  <c r="AI230" i="11"/>
  <c r="AB230" i="11"/>
  <c r="O230" i="11"/>
  <c r="J230" i="11"/>
  <c r="BV230" i="11"/>
  <c r="AO230" i="11"/>
  <c r="AA230" i="11"/>
  <c r="BY230" i="11"/>
  <c r="CP230" i="11"/>
  <c r="BO230" i="11"/>
  <c r="AX230" i="11"/>
  <c r="I230" i="11"/>
  <c r="AZ230" i="11"/>
  <c r="CQ230" i="11"/>
  <c r="AF230" i="11"/>
  <c r="AY230" i="11"/>
  <c r="CM230" i="11"/>
  <c r="CF230" i="11"/>
  <c r="Z230" i="11"/>
  <c r="AP230" i="11"/>
  <c r="BZ230" i="11"/>
  <c r="BI230" i="11"/>
  <c r="BP230" i="11"/>
  <c r="CL230" i="11"/>
  <c r="P230" i="11"/>
  <c r="BM230" i="11"/>
  <c r="T230" i="11"/>
  <c r="CD230" i="11"/>
  <c r="AH230" i="11"/>
  <c r="K230" i="11"/>
  <c r="BE230" i="11"/>
  <c r="BR230" i="11"/>
  <c r="BG230" i="11"/>
  <c r="CN230" i="11"/>
  <c r="R230" i="11"/>
  <c r="AQ230" i="11"/>
  <c r="H230" i="11"/>
  <c r="CO230" i="11"/>
  <c r="BA230" i="11"/>
  <c r="CG230" i="11"/>
  <c r="AS230" i="11"/>
  <c r="S230" i="11"/>
  <c r="BW230" i="11"/>
  <c r="G230" i="11"/>
  <c r="AN230" i="11"/>
  <c r="X230" i="11"/>
  <c r="BH230" i="11"/>
  <c r="V230" i="11" l="1"/>
  <c r="U230" i="11"/>
  <c r="CB230" i="11"/>
  <c r="CA230" i="11"/>
  <c r="BT230" i="11"/>
  <c r="BS230" i="11"/>
  <c r="CR230" i="11"/>
  <c r="CS230" i="11"/>
  <c r="AC230" i="11"/>
  <c r="AD230" i="11"/>
  <c r="BC230" i="11"/>
  <c r="BB230" i="11"/>
  <c r="DC230" i="11"/>
  <c r="L230" i="11"/>
  <c r="M230" i="11"/>
  <c r="AK230" i="11"/>
  <c r="AL230" i="11"/>
  <c r="CI230" i="11"/>
  <c r="CJ230" i="11"/>
  <c r="AU230" i="11"/>
  <c r="AT230" i="11"/>
  <c r="BJ230" i="11"/>
  <c r="BK230" i="11"/>
  <c r="C5165" i="3"/>
  <c r="C5166" i="3" l="1"/>
  <c r="C5168" i="3" l="1"/>
  <c r="C5169" i="3" l="1"/>
  <c r="C5170" i="3" s="1"/>
  <c r="C5171" i="3" s="1"/>
  <c r="C5172" i="3" l="1"/>
  <c r="C5173" i="3" l="1"/>
  <c r="C5174" i="3" l="1"/>
  <c r="AB228" i="11"/>
  <c r="AX228" i="11"/>
  <c r="BN228" i="11"/>
  <c r="BQ228" i="11"/>
  <c r="AF228" i="11"/>
  <c r="CF228" i="11"/>
  <c r="AQ228" i="11"/>
  <c r="I228" i="11"/>
  <c r="G228" i="11"/>
  <c r="AG228" i="11"/>
  <c r="BH228" i="11"/>
  <c r="J228" i="11"/>
  <c r="CH228" i="11"/>
  <c r="Q228" i="11"/>
  <c r="Y228" i="11"/>
  <c r="AW228" i="11"/>
  <c r="CP228" i="11"/>
  <c r="BP228" i="11"/>
  <c r="AH228" i="11"/>
  <c r="K228" i="11"/>
  <c r="CO228" i="11"/>
  <c r="BW228" i="11"/>
  <c r="AY228" i="11"/>
  <c r="AS228" i="11"/>
  <c r="CG228" i="11"/>
  <c r="Z228" i="11"/>
  <c r="CL228" i="11"/>
  <c r="AP228" i="11"/>
  <c r="X228" i="11"/>
  <c r="CE228" i="11"/>
  <c r="CM228" i="11"/>
  <c r="BO228" i="11"/>
  <c r="AN228" i="11"/>
  <c r="CQ228" i="11"/>
  <c r="BF228" i="11"/>
  <c r="R228" i="11"/>
  <c r="AI228" i="11"/>
  <c r="AO228" i="11"/>
  <c r="BM228" i="11"/>
  <c r="P228" i="11"/>
  <c r="BX228" i="11"/>
  <c r="BE228" i="11"/>
  <c r="BZ228" i="11"/>
  <c r="BV228" i="11"/>
  <c r="CD228" i="11"/>
  <c r="AA228" i="11"/>
  <c r="BY228" i="11"/>
  <c r="AR228" i="11"/>
  <c r="BG228" i="11"/>
  <c r="AZ228" i="11"/>
  <c r="BA228" i="11"/>
  <c r="S228" i="11"/>
  <c r="BR228" i="11"/>
  <c r="BI228" i="11"/>
  <c r="T228" i="11"/>
  <c r="CN228" i="11"/>
  <c r="O228" i="11"/>
  <c r="AJ228" i="11"/>
  <c r="H228" i="11"/>
  <c r="BK228" i="11" l="1"/>
  <c r="BJ228" i="11"/>
  <c r="CS228" i="11"/>
  <c r="CR228" i="11"/>
  <c r="AL228" i="11"/>
  <c r="AK228" i="11"/>
  <c r="BT228" i="11"/>
  <c r="BS228" i="11"/>
  <c r="CB228" i="11"/>
  <c r="CA228" i="11"/>
  <c r="L228" i="11"/>
  <c r="DC228" i="11"/>
  <c r="M228" i="11"/>
  <c r="CI228" i="11"/>
  <c r="CJ228" i="11"/>
  <c r="AD228" i="11"/>
  <c r="AC228" i="11"/>
  <c r="V228" i="11"/>
  <c r="U228" i="11"/>
  <c r="BC228" i="11"/>
  <c r="BB228" i="11"/>
  <c r="AT228" i="11"/>
  <c r="AU228" i="11"/>
  <c r="CH245" i="11"/>
  <c r="AP245" i="11"/>
  <c r="AS245" i="11"/>
  <c r="BO245" i="11"/>
  <c r="AX245" i="11"/>
  <c r="AR245" i="11"/>
  <c r="CD245" i="11"/>
  <c r="BF245" i="11"/>
  <c r="AO245" i="11"/>
  <c r="BH245" i="11"/>
  <c r="BI245" i="11"/>
  <c r="G245" i="11"/>
  <c r="BZ245" i="11"/>
  <c r="T245" i="11"/>
  <c r="CP245" i="11"/>
  <c r="Q245" i="11"/>
  <c r="AG245" i="11"/>
  <c r="AW245" i="11"/>
  <c r="CL245" i="11"/>
  <c r="AJ245" i="11"/>
  <c r="BN245" i="11"/>
  <c r="AB245" i="11"/>
  <c r="BA245" i="11"/>
  <c r="BV245" i="11"/>
  <c r="BX245" i="11"/>
  <c r="Z245" i="11"/>
  <c r="BW245" i="11"/>
  <c r="CN245" i="11"/>
  <c r="J245" i="11"/>
  <c r="AI245" i="11"/>
  <c r="CG245" i="11"/>
  <c r="AH245" i="11"/>
  <c r="O245" i="11"/>
  <c r="BY245" i="11"/>
  <c r="I245" i="11"/>
  <c r="R245" i="11"/>
  <c r="S245" i="11"/>
  <c r="H245" i="11"/>
  <c r="AN245" i="11"/>
  <c r="P245" i="11"/>
  <c r="X245" i="11"/>
  <c r="BE245" i="11"/>
  <c r="CE245" i="11"/>
  <c r="BG245" i="11"/>
  <c r="BM245" i="11"/>
  <c r="K245" i="11"/>
  <c r="AQ245" i="11"/>
  <c r="AF245" i="11"/>
  <c r="BR245" i="11"/>
  <c r="CQ245" i="11"/>
  <c r="CM245" i="11"/>
  <c r="CO245" i="11"/>
  <c r="Y245" i="11"/>
  <c r="AZ245" i="11"/>
  <c r="CF245" i="11"/>
  <c r="AY245" i="11"/>
  <c r="BQ245" i="11"/>
  <c r="AA245" i="11"/>
  <c r="BP245" i="11"/>
  <c r="C5225" i="3"/>
  <c r="C5175" i="3"/>
  <c r="C5176" i="3" s="1"/>
  <c r="C5177" i="3" l="1"/>
  <c r="CS245" i="11"/>
  <c r="CR245" i="11"/>
  <c r="AD245" i="11"/>
  <c r="AC245" i="11"/>
  <c r="BJ245" i="11"/>
  <c r="BK245" i="11"/>
  <c r="L245" i="11"/>
  <c r="M245" i="11"/>
  <c r="DC245" i="11"/>
  <c r="C5226" i="3"/>
  <c r="BS245" i="11"/>
  <c r="BT245" i="11"/>
  <c r="AL245" i="11"/>
  <c r="AK245" i="11"/>
  <c r="U245" i="11"/>
  <c r="V245" i="11"/>
  <c r="AU245" i="11"/>
  <c r="AT245" i="11"/>
  <c r="CA245" i="11"/>
  <c r="CB245" i="11"/>
  <c r="BC245" i="11"/>
  <c r="BB245" i="11"/>
  <c r="CI245" i="11"/>
  <c r="CJ245" i="11"/>
  <c r="C5178" i="3" l="1"/>
  <c r="C5179" i="3" s="1"/>
  <c r="C5180" i="3" s="1"/>
  <c r="C5227" i="3"/>
  <c r="C5181" i="3" l="1"/>
  <c r="C5228" i="3"/>
  <c r="C5229" i="3" l="1"/>
  <c r="C5182" i="3"/>
  <c r="C5183" i="3" s="1"/>
  <c r="C5184" i="3" s="1"/>
  <c r="C5185" i="3" s="1"/>
  <c r="C5186" i="3" s="1"/>
  <c r="C5230" i="3" l="1"/>
  <c r="CY304" i="11" s="1"/>
  <c r="CZ304" i="11" s="1"/>
  <c r="C5187" i="3"/>
  <c r="C5188" i="3" s="1"/>
  <c r="C5189" i="3" s="1"/>
  <c r="C5190" i="3" s="1"/>
  <c r="C5191" i="3" s="1"/>
  <c r="C5192" i="3" s="1"/>
  <c r="C5193" i="3" s="1"/>
  <c r="C5194" i="3" s="1"/>
  <c r="CQ304" i="11"/>
  <c r="AX304" i="11"/>
  <c r="CL304" i="11"/>
  <c r="BZ304" i="11"/>
  <c r="CF304" i="11"/>
  <c r="BW304" i="11"/>
  <c r="AF304" i="11"/>
  <c r="BN304" i="11"/>
  <c r="P304" i="11"/>
  <c r="CN304" i="11"/>
  <c r="CD304" i="11"/>
  <c r="BM304" i="11"/>
  <c r="BA304" i="11"/>
  <c r="CM304" i="11"/>
  <c r="Y304" i="11"/>
  <c r="BH304" i="11"/>
  <c r="CP304" i="11"/>
  <c r="AB304" i="11"/>
  <c r="Z304" i="11"/>
  <c r="BF304" i="11"/>
  <c r="Q304" i="11"/>
  <c r="BQ304" i="11"/>
  <c r="CO304" i="11"/>
  <c r="AO304" i="11"/>
  <c r="R304" i="11"/>
  <c r="AN304" i="11"/>
  <c r="AI304" i="11"/>
  <c r="AY304" i="11"/>
  <c r="S304" i="11"/>
  <c r="BR304" i="11"/>
  <c r="AA304" i="11"/>
  <c r="AG304" i="11"/>
  <c r="G304" i="11"/>
  <c r="AW304" i="11"/>
  <c r="O304" i="11"/>
  <c r="AH304" i="11"/>
  <c r="T304" i="11"/>
  <c r="AP304" i="11"/>
  <c r="I304" i="11"/>
  <c r="BI304" i="11"/>
  <c r="X304" i="11"/>
  <c r="AQ304" i="11"/>
  <c r="CG304" i="11"/>
  <c r="BX304" i="11"/>
  <c r="BV304" i="11" l="1"/>
  <c r="BP304" i="11"/>
  <c r="CH304" i="11"/>
  <c r="CI304" i="11" s="1"/>
  <c r="BE304" i="11"/>
  <c r="CE304" i="11"/>
  <c r="BO304" i="11"/>
  <c r="BY304" i="11"/>
  <c r="H304" i="11"/>
  <c r="J304" i="11"/>
  <c r="AZ304" i="11"/>
  <c r="K304" i="11"/>
  <c r="L304" i="11" s="1"/>
  <c r="AJ304" i="11"/>
  <c r="AK304" i="11" s="1"/>
  <c r="C5231" i="3"/>
  <c r="CY339" i="11" s="1"/>
  <c r="CZ339" i="11" s="1"/>
  <c r="BG304" i="11"/>
  <c r="AS304" i="11"/>
  <c r="AU304" i="11" s="1"/>
  <c r="AR304" i="11"/>
  <c r="CU149" i="11"/>
  <c r="CX149" i="11"/>
  <c r="CV149" i="11"/>
  <c r="CW149" i="11"/>
  <c r="CY149" i="11"/>
  <c r="CZ149" i="11" s="1"/>
  <c r="CX304" i="11"/>
  <c r="CV304" i="11"/>
  <c r="CU304" i="11"/>
  <c r="CW304" i="11"/>
  <c r="CW339" i="11"/>
  <c r="CU339" i="11"/>
  <c r="C5232" i="3"/>
  <c r="CG339" i="11"/>
  <c r="K339" i="11"/>
  <c r="CL339" i="11"/>
  <c r="BO339" i="11"/>
  <c r="AR339" i="11"/>
  <c r="Q339" i="11"/>
  <c r="AQ339" i="11"/>
  <c r="BH339" i="11"/>
  <c r="Z339" i="11"/>
  <c r="X339" i="11"/>
  <c r="BY339" i="11"/>
  <c r="BX339" i="11"/>
  <c r="AJ339" i="11"/>
  <c r="O339" i="11"/>
  <c r="BA339" i="11"/>
  <c r="BQ339" i="11"/>
  <c r="AH339" i="11"/>
  <c r="AN339" i="11"/>
  <c r="BV339" i="11"/>
  <c r="AG339" i="11"/>
  <c r="BN339" i="11"/>
  <c r="AX339" i="11"/>
  <c r="BW339" i="11"/>
  <c r="G339" i="11"/>
  <c r="R339" i="11"/>
  <c r="AA339" i="11"/>
  <c r="S339" i="11"/>
  <c r="BI339" i="11"/>
  <c r="BE339" i="11"/>
  <c r="CQ339" i="11"/>
  <c r="CD339" i="11"/>
  <c r="CH339" i="11"/>
  <c r="AZ339" i="11"/>
  <c r="CM339" i="11"/>
  <c r="AF339" i="11"/>
  <c r="AP339" i="11"/>
  <c r="BM339" i="11"/>
  <c r="P339" i="11"/>
  <c r="BF339" i="11"/>
  <c r="H339" i="11"/>
  <c r="CN339" i="11"/>
  <c r="CP339" i="11"/>
  <c r="BP339" i="11"/>
  <c r="AO339" i="11"/>
  <c r="AW339" i="11"/>
  <c r="J339" i="11"/>
  <c r="T339" i="11"/>
  <c r="Y339" i="11"/>
  <c r="BR339" i="11"/>
  <c r="AY339" i="11"/>
  <c r="BG339" i="11"/>
  <c r="I339" i="11"/>
  <c r="CF339" i="11"/>
  <c r="CE339" i="11"/>
  <c r="AI339" i="11"/>
  <c r="BZ339" i="11"/>
  <c r="C5195" i="3"/>
  <c r="BA149" i="11"/>
  <c r="CQ149" i="11"/>
  <c r="AY149" i="11"/>
  <c r="S149" i="11"/>
  <c r="CG149" i="11"/>
  <c r="AN149" i="11"/>
  <c r="CM149" i="11"/>
  <c r="BW149" i="11"/>
  <c r="AO149" i="11"/>
  <c r="AG149" i="11"/>
  <c r="CO149" i="11"/>
  <c r="AF149" i="11"/>
  <c r="CP149" i="11"/>
  <c r="CE149" i="11"/>
  <c r="P149" i="11"/>
  <c r="CH149" i="11"/>
  <c r="I149" i="11"/>
  <c r="H149" i="11"/>
  <c r="CF149" i="11"/>
  <c r="BM149" i="11"/>
  <c r="BN149" i="11"/>
  <c r="Y149" i="11"/>
  <c r="CN149" i="11"/>
  <c r="BI149" i="11"/>
  <c r="AX149" i="11"/>
  <c r="BZ149" i="11"/>
  <c r="AZ149" i="11"/>
  <c r="R149" i="11"/>
  <c r="BX149" i="11"/>
  <c r="AI149" i="11"/>
  <c r="T149" i="11"/>
  <c r="CD149" i="11"/>
  <c r="BE149" i="11"/>
  <c r="X149" i="11"/>
  <c r="O149" i="11"/>
  <c r="BG149" i="11"/>
  <c r="BF149" i="11"/>
  <c r="AJ149" i="11"/>
  <c r="BO149" i="11"/>
  <c r="CL149" i="11"/>
  <c r="BR149" i="11"/>
  <c r="BY149" i="11"/>
  <c r="G149" i="11"/>
  <c r="K149" i="11"/>
  <c r="AH149" i="11"/>
  <c r="Q149" i="11"/>
  <c r="AW149" i="11"/>
  <c r="AQ149" i="11"/>
  <c r="AR149" i="11"/>
  <c r="AB149" i="11"/>
  <c r="AP149" i="11"/>
  <c r="J149" i="11"/>
  <c r="Z149" i="11"/>
  <c r="BQ149" i="11"/>
  <c r="BP149" i="11"/>
  <c r="AS149" i="11"/>
  <c r="BH149" i="11"/>
  <c r="AA149" i="11"/>
  <c r="BV149" i="11"/>
  <c r="BC304" i="11"/>
  <c r="BB304" i="11"/>
  <c r="BS304" i="11"/>
  <c r="BT304" i="11"/>
  <c r="AC304" i="11"/>
  <c r="AD304" i="11"/>
  <c r="CS304" i="11"/>
  <c r="CR304" i="11"/>
  <c r="V304" i="11"/>
  <c r="U304" i="11"/>
  <c r="CA304" i="11"/>
  <c r="CB304" i="11"/>
  <c r="BK304" i="11"/>
  <c r="BJ304" i="11"/>
  <c r="C5233" i="3"/>
  <c r="CO339" i="11" l="1"/>
  <c r="CV339" i="11"/>
  <c r="CX339" i="11"/>
  <c r="AS339" i="11"/>
  <c r="AT339" i="11" s="1"/>
  <c r="AB339" i="11"/>
  <c r="AL304" i="11"/>
  <c r="CJ304" i="11"/>
  <c r="M304" i="11"/>
  <c r="DC304" i="11"/>
  <c r="AT304" i="11"/>
  <c r="C5196" i="3"/>
  <c r="C5197" i="3" s="1"/>
  <c r="C5198" i="3" s="1"/>
  <c r="U149" i="11"/>
  <c r="V149" i="11"/>
  <c r="CA339" i="11"/>
  <c r="CB339" i="11"/>
  <c r="CI339" i="11"/>
  <c r="CJ339" i="11"/>
  <c r="BS339" i="11"/>
  <c r="BT339" i="11"/>
  <c r="AK339" i="11"/>
  <c r="AL339" i="11"/>
  <c r="BS149" i="11"/>
  <c r="BT149" i="11"/>
  <c r="BJ149" i="11"/>
  <c r="BK149" i="11"/>
  <c r="CS339" i="11"/>
  <c r="CR339" i="11"/>
  <c r="L339" i="11"/>
  <c r="M339" i="11"/>
  <c r="CR149" i="11"/>
  <c r="CS149" i="11"/>
  <c r="U339" i="11"/>
  <c r="V339" i="11"/>
  <c r="AT149" i="11"/>
  <c r="AU149" i="11"/>
  <c r="AD149" i="11"/>
  <c r="AC149" i="11"/>
  <c r="BB149" i="11"/>
  <c r="BC149" i="11"/>
  <c r="BJ339" i="11"/>
  <c r="BK339" i="11"/>
  <c r="DC149" i="11"/>
  <c r="M149" i="11"/>
  <c r="L149" i="11"/>
  <c r="AL149" i="11"/>
  <c r="AK149" i="11"/>
  <c r="CA149" i="11"/>
  <c r="CB149" i="11"/>
  <c r="CJ149" i="11"/>
  <c r="CI149" i="11"/>
  <c r="BC339" i="11"/>
  <c r="BB339" i="11"/>
  <c r="C5234" i="3"/>
  <c r="DC339" i="11" l="1"/>
  <c r="AU339" i="11"/>
  <c r="AD339" i="11"/>
  <c r="AC339" i="11"/>
  <c r="C5199" i="3"/>
  <c r="C5235" i="3"/>
  <c r="CW193" i="11" l="1"/>
  <c r="CX193" i="11"/>
  <c r="CV193" i="11"/>
  <c r="CU193" i="11"/>
  <c r="C5200" i="3"/>
  <c r="C5201" i="3" s="1"/>
  <c r="C5236" i="3"/>
  <c r="Z193" i="11"/>
  <c r="AH193" i="11"/>
  <c r="BI193" i="11"/>
  <c r="AR193" i="11"/>
  <c r="P193" i="11"/>
  <c r="BO193" i="11"/>
  <c r="CE193" i="11"/>
  <c r="Q193" i="11"/>
  <c r="BV193" i="11"/>
  <c r="AI193" i="11"/>
  <c r="CF193" i="11"/>
  <c r="AN193" i="11"/>
  <c r="X193" i="11"/>
  <c r="H193" i="11"/>
  <c r="AJ193" i="11"/>
  <c r="AX193" i="11"/>
  <c r="BX193" i="11"/>
  <c r="AQ193" i="11"/>
  <c r="I193" i="11"/>
  <c r="BY193" i="11"/>
  <c r="CH193" i="11"/>
  <c r="AO193" i="11"/>
  <c r="BF193" i="11"/>
  <c r="CD193" i="11"/>
  <c r="BE193" i="11"/>
  <c r="BM193" i="11"/>
  <c r="AF193" i="11"/>
  <c r="J193" i="11"/>
  <c r="G193" i="11"/>
  <c r="AW193" i="11"/>
  <c r="AG193" i="11"/>
  <c r="AS193" i="11"/>
  <c r="CQ193" i="11"/>
  <c r="AP193" i="11"/>
  <c r="AY193" i="11"/>
  <c r="R193" i="11"/>
  <c r="BP193" i="11"/>
  <c r="CG193" i="11"/>
  <c r="BN193" i="11"/>
  <c r="CP193" i="11"/>
  <c r="CN193" i="11"/>
  <c r="BR193" i="11"/>
  <c r="T193" i="11"/>
  <c r="BA193" i="11"/>
  <c r="Y193" i="11"/>
  <c r="O193" i="11"/>
  <c r="CL193" i="11"/>
  <c r="BH193" i="11"/>
  <c r="BW193" i="11"/>
  <c r="AA193" i="11"/>
  <c r="BG193" i="11"/>
  <c r="K193" i="11"/>
  <c r="AB193" i="11"/>
  <c r="CM193" i="11"/>
  <c r="AZ193" i="11"/>
  <c r="BZ193" i="11"/>
  <c r="S193" i="11"/>
  <c r="CO193" i="11"/>
  <c r="BQ193" i="11"/>
  <c r="C5202" i="3" l="1"/>
  <c r="C5203" i="3" s="1"/>
  <c r="C5204" i="3" s="1"/>
  <c r="BJ193" i="11"/>
  <c r="BK193" i="11"/>
  <c r="CS193" i="11"/>
  <c r="CR193" i="11"/>
  <c r="DC193" i="11"/>
  <c r="M193" i="11"/>
  <c r="L193" i="11"/>
  <c r="BB193" i="11"/>
  <c r="BC193" i="11"/>
  <c r="AU193" i="11"/>
  <c r="AT193" i="11"/>
  <c r="CB193" i="11"/>
  <c r="CA193" i="11"/>
  <c r="U193" i="11"/>
  <c r="V193" i="11"/>
  <c r="CJ193" i="11"/>
  <c r="CI193" i="11"/>
  <c r="AK193" i="11"/>
  <c r="AL193" i="11"/>
  <c r="C5238" i="3"/>
  <c r="C5237" i="3"/>
  <c r="CY102" i="11" s="1"/>
  <c r="CZ102" i="11" s="1"/>
  <c r="BT193" i="11"/>
  <c r="BS193" i="11"/>
  <c r="AC193" i="11"/>
  <c r="AD193" i="11"/>
  <c r="CX102" i="11" l="1"/>
  <c r="CW102" i="11"/>
  <c r="CV102" i="11"/>
  <c r="CU102" i="11"/>
  <c r="CH102" i="11"/>
  <c r="BZ102" i="11"/>
  <c r="BI102" i="11"/>
  <c r="BR102" i="11"/>
  <c r="CQ102" i="11"/>
  <c r="AS102" i="11"/>
  <c r="R102" i="11"/>
  <c r="Q102" i="11"/>
  <c r="AG102" i="11"/>
  <c r="AQ102" i="11"/>
  <c r="AR102" i="11"/>
  <c r="CM102" i="11"/>
  <c r="BE102" i="11"/>
  <c r="BO102" i="11"/>
  <c r="BY102" i="11"/>
  <c r="T102" i="11"/>
  <c r="Y102" i="11"/>
  <c r="I102" i="11"/>
  <c r="H102" i="11"/>
  <c r="Z102" i="11"/>
  <c r="AI102" i="11"/>
  <c r="CO102" i="11"/>
  <c r="AX102" i="11"/>
  <c r="AZ102" i="11"/>
  <c r="BN102" i="11"/>
  <c r="BX102" i="11"/>
  <c r="CD102" i="11"/>
  <c r="CG102" i="11"/>
  <c r="AW102" i="11"/>
  <c r="AA102" i="11"/>
  <c r="AB102" i="11"/>
  <c r="K102" i="11"/>
  <c r="S102" i="11"/>
  <c r="AH102" i="11"/>
  <c r="AP102" i="11"/>
  <c r="AF102" i="11"/>
  <c r="CP102" i="11"/>
  <c r="BG102" i="11"/>
  <c r="BM102" i="11"/>
  <c r="BA102" i="11"/>
  <c r="BP102" i="11"/>
  <c r="BV102" i="11"/>
  <c r="CE102" i="11"/>
  <c r="CF102" i="11"/>
  <c r="BH102" i="11"/>
  <c r="AJ102" i="11"/>
  <c r="BW102" i="11"/>
  <c r="BQ102" i="11"/>
  <c r="AY102" i="11"/>
  <c r="BF102" i="11"/>
  <c r="CL102" i="11"/>
  <c r="CN102" i="11"/>
  <c r="AN102" i="11"/>
  <c r="G102" i="11"/>
  <c r="AO102" i="11"/>
  <c r="J102" i="11"/>
  <c r="O102" i="11"/>
  <c r="X102" i="11"/>
  <c r="P102" i="11"/>
  <c r="C5205" i="3"/>
  <c r="C5206" i="3" s="1"/>
  <c r="C5239" i="3"/>
  <c r="C5240" i="3" l="1"/>
  <c r="M102" i="11"/>
  <c r="L102" i="11"/>
  <c r="DC102" i="11"/>
  <c r="BT102" i="11"/>
  <c r="BS102" i="11"/>
  <c r="AD102" i="11"/>
  <c r="AC102" i="11"/>
  <c r="BJ102" i="11"/>
  <c r="BK102" i="11"/>
  <c r="CA102" i="11"/>
  <c r="CB102" i="11"/>
  <c r="AK102" i="11"/>
  <c r="AL102" i="11"/>
  <c r="CI102" i="11"/>
  <c r="CJ102" i="11"/>
  <c r="C5207" i="3"/>
  <c r="C5208" i="3" s="1"/>
  <c r="BB102" i="11"/>
  <c r="BC102" i="11"/>
  <c r="V102" i="11"/>
  <c r="U102" i="11"/>
  <c r="AT102" i="11"/>
  <c r="AU102" i="11"/>
  <c r="CS102" i="11"/>
  <c r="CR102" i="11"/>
  <c r="C5242" i="3"/>
  <c r="C5209" i="3" l="1"/>
  <c r="C5210" i="3" s="1"/>
  <c r="C5211" i="3" s="1"/>
  <c r="C5243" i="3"/>
  <c r="C5244" i="3" s="1"/>
  <c r="C5245" i="3" s="1"/>
  <c r="CY256" i="11" s="1"/>
  <c r="CZ256" i="11" s="1"/>
  <c r="CW256" i="11" l="1"/>
  <c r="CV256" i="11"/>
  <c r="CU256" i="11"/>
  <c r="CX256" i="11"/>
  <c r="C5212" i="3"/>
  <c r="C5246" i="3"/>
  <c r="AY256" i="11"/>
  <c r="BF256" i="11"/>
  <c r="Z256" i="11"/>
  <c r="AA256" i="11"/>
  <c r="P256" i="11"/>
  <c r="S256" i="11"/>
  <c r="J256" i="11"/>
  <c r="AP256" i="11"/>
  <c r="X256" i="11"/>
  <c r="CD256" i="11"/>
  <c r="CF256" i="11"/>
  <c r="BW256" i="11"/>
  <c r="BX256" i="11"/>
  <c r="BQ256" i="11"/>
  <c r="BN256" i="11"/>
  <c r="BE256" i="11"/>
  <c r="CM256" i="11"/>
  <c r="AX256" i="11"/>
  <c r="AR256" i="11"/>
  <c r="Y256" i="11"/>
  <c r="G256" i="11"/>
  <c r="H256" i="11"/>
  <c r="AI256" i="11"/>
  <c r="AF256" i="11"/>
  <c r="Q256" i="11"/>
  <c r="CH256" i="11"/>
  <c r="BZ256" i="11"/>
  <c r="BO256" i="11"/>
  <c r="AW256" i="11"/>
  <c r="BM256" i="11"/>
  <c r="BH256" i="11"/>
  <c r="CP256" i="11"/>
  <c r="BA256" i="11"/>
  <c r="CL256" i="11"/>
  <c r="AO256" i="11"/>
  <c r="K256" i="11"/>
  <c r="I256" i="11"/>
  <c r="T256" i="11"/>
  <c r="AG256" i="11"/>
  <c r="AN256" i="11"/>
  <c r="CQ256" i="11"/>
  <c r="CE256" i="11"/>
  <c r="BP256" i="11"/>
  <c r="CG256" i="11"/>
  <c r="AZ256" i="11"/>
  <c r="BG256" i="11"/>
  <c r="CN256" i="11"/>
  <c r="CO256" i="11"/>
  <c r="O256" i="11"/>
  <c r="AQ256" i="11"/>
  <c r="AB256" i="11"/>
  <c r="AH256" i="11"/>
  <c r="AS256" i="11"/>
  <c r="R256" i="11"/>
  <c r="AJ256" i="11"/>
  <c r="BR256" i="11"/>
  <c r="BI256" i="11"/>
  <c r="BV256" i="11"/>
  <c r="BY256" i="11"/>
  <c r="C5213" i="3" l="1"/>
  <c r="C5214" i="3" s="1"/>
  <c r="CJ256" i="11"/>
  <c r="CI256" i="11"/>
  <c r="BS256" i="11"/>
  <c r="BT256" i="11"/>
  <c r="AT256" i="11"/>
  <c r="AU256" i="11"/>
  <c r="DC256" i="11"/>
  <c r="L256" i="11"/>
  <c r="M256" i="11"/>
  <c r="CR256" i="11"/>
  <c r="CS256" i="11"/>
  <c r="BJ256" i="11"/>
  <c r="BK256" i="11"/>
  <c r="AC256" i="11"/>
  <c r="AD256" i="11"/>
  <c r="AL256" i="11"/>
  <c r="AK256" i="11"/>
  <c r="U256" i="11"/>
  <c r="V256" i="11"/>
  <c r="BB256" i="11"/>
  <c r="BC256" i="11"/>
  <c r="CB256" i="11"/>
  <c r="CA256" i="11"/>
  <c r="C5247" i="3"/>
  <c r="C5215" i="3" l="1"/>
  <c r="C5216" i="3" s="1"/>
  <c r="C5248" i="3"/>
  <c r="C5217" i="3" l="1"/>
  <c r="C5218" i="3" s="1"/>
  <c r="C5219" i="3" s="1"/>
  <c r="C5220" i="3" s="1"/>
  <c r="C5221" i="3" s="1"/>
  <c r="C5249" i="3"/>
  <c r="C5250" i="3" s="1"/>
  <c r="AJ293" i="11"/>
  <c r="G293" i="11"/>
  <c r="AA293" i="11"/>
  <c r="BI293" i="11"/>
  <c r="BR293" i="11"/>
  <c r="BA293" i="11"/>
  <c r="R293" i="11"/>
  <c r="BP293" i="11"/>
  <c r="AS293" i="11"/>
  <c r="H293" i="11"/>
  <c r="CM293" i="11"/>
  <c r="BO293" i="11"/>
  <c r="X293" i="11"/>
  <c r="J293" i="11"/>
  <c r="O293" i="11"/>
  <c r="CD293" i="11"/>
  <c r="AB293" i="11"/>
  <c r="CN293" i="11"/>
  <c r="BN293" i="11"/>
  <c r="Q293" i="11"/>
  <c r="Y293" i="11"/>
  <c r="BW293" i="11"/>
  <c r="BE293" i="11"/>
  <c r="P293" i="11"/>
  <c r="CP293" i="11"/>
  <c r="AX293" i="11"/>
  <c r="BF293" i="11"/>
  <c r="K293" i="11"/>
  <c r="BY293" i="11"/>
  <c r="CG293" i="11"/>
  <c r="T293" i="11"/>
  <c r="BZ293" i="11"/>
  <c r="AO293" i="11"/>
  <c r="AZ293" i="11"/>
  <c r="CQ293" i="11"/>
  <c r="CL293" i="11"/>
  <c r="CE293" i="11"/>
  <c r="AG293" i="11"/>
  <c r="CH293" i="11"/>
  <c r="AQ293" i="11"/>
  <c r="I293" i="11"/>
  <c r="AN293" i="11"/>
  <c r="BM293" i="11"/>
  <c r="BG293" i="11"/>
  <c r="BQ293" i="11"/>
  <c r="AR293" i="11"/>
  <c r="Z293" i="11"/>
  <c r="CO293" i="11"/>
  <c r="AY293" i="11"/>
  <c r="AF293" i="11"/>
  <c r="AH293" i="11"/>
  <c r="BX293" i="11"/>
  <c r="AW293" i="11"/>
  <c r="CF293" i="11"/>
  <c r="AI293" i="11"/>
  <c r="BH293" i="11"/>
  <c r="S293" i="11"/>
  <c r="BV293" i="11"/>
  <c r="AP293" i="11"/>
  <c r="C5222" i="3" l="1"/>
  <c r="C5223" i="3" s="1"/>
  <c r="C5224" i="3" s="1"/>
  <c r="CI293" i="11"/>
  <c r="CJ293" i="11"/>
  <c r="DC293" i="11"/>
  <c r="DD293" i="11" s="1"/>
  <c r="L293" i="11"/>
  <c r="M293" i="11"/>
  <c r="AD293" i="11"/>
  <c r="AC293" i="11"/>
  <c r="BT293" i="11"/>
  <c r="BS293" i="11"/>
  <c r="BJ293" i="11"/>
  <c r="BK293" i="11"/>
  <c r="CA293" i="11"/>
  <c r="CB293" i="11"/>
  <c r="AT293" i="11"/>
  <c r="AU293" i="11"/>
  <c r="V293" i="11"/>
  <c r="U293" i="11"/>
  <c r="AK293" i="11"/>
  <c r="AL293" i="11"/>
  <c r="CS293" i="11"/>
  <c r="CR293" i="11"/>
  <c r="BC293" i="11"/>
  <c r="BB293" i="11"/>
  <c r="C5251" i="3"/>
  <c r="C5252" i="3" l="1"/>
  <c r="C5253" i="3" s="1"/>
  <c r="C5254" i="3" s="1"/>
  <c r="C5255" i="3" l="1"/>
  <c r="C5256" i="3" s="1"/>
  <c r="C5257" i="3" s="1"/>
  <c r="C5258" i="3" s="1"/>
  <c r="C5259" i="3" l="1"/>
  <c r="CY294" i="11" s="1"/>
  <c r="CZ294" i="11" s="1"/>
  <c r="CW294" i="11" l="1"/>
  <c r="CU294" i="11"/>
  <c r="CV294" i="11"/>
  <c r="CX294" i="11"/>
  <c r="C5260" i="3"/>
  <c r="CF294" i="11"/>
  <c r="AI294" i="11"/>
  <c r="BQ294" i="11"/>
  <c r="CD294" i="11"/>
  <c r="H294" i="11"/>
  <c r="AH294" i="11"/>
  <c r="P294" i="11"/>
  <c r="BP294" i="11"/>
  <c r="BX294" i="11"/>
  <c r="BZ294" i="11"/>
  <c r="X294" i="11"/>
  <c r="BI294" i="11"/>
  <c r="T294" i="11"/>
  <c r="AR294" i="11"/>
  <c r="BO294" i="11"/>
  <c r="CO294" i="11"/>
  <c r="AY294" i="11"/>
  <c r="CL294" i="11"/>
  <c r="Z294" i="11"/>
  <c r="BG294" i="11"/>
  <c r="AB294" i="11"/>
  <c r="BR294" i="11"/>
  <c r="J294" i="11"/>
  <c r="AJ294" i="11"/>
  <c r="CE294" i="11"/>
  <c r="CP294" i="11"/>
  <c r="BM294" i="11"/>
  <c r="CM294" i="11"/>
  <c r="BY294" i="11"/>
  <c r="G294" i="11"/>
  <c r="AS294" i="11"/>
  <c r="R294" i="11"/>
  <c r="AG294" i="11"/>
  <c r="CG294" i="11"/>
  <c r="BN294" i="11"/>
  <c r="AQ294" i="11"/>
  <c r="BE294" i="11"/>
  <c r="BH294" i="11"/>
  <c r="CH294" i="11"/>
  <c r="AA294" i="11"/>
  <c r="AW294" i="11"/>
  <c r="Y294" i="11"/>
  <c r="AN294" i="11"/>
  <c r="AF294" i="11"/>
  <c r="CQ294" i="11"/>
  <c r="I294" i="11"/>
  <c r="K294" i="11"/>
  <c r="S294" i="11"/>
  <c r="BV294" i="11"/>
  <c r="AO294" i="11"/>
  <c r="AZ294" i="11"/>
  <c r="CN294" i="11"/>
  <c r="AX294" i="11"/>
  <c r="BW294" i="11"/>
  <c r="BF294" i="11"/>
  <c r="O294" i="11"/>
  <c r="BA294" i="11"/>
  <c r="AP294" i="11"/>
  <c r="Q294" i="11"/>
  <c r="CR294" i="11" l="1"/>
  <c r="CS294" i="11"/>
  <c r="CJ294" i="11"/>
  <c r="CI294" i="11"/>
  <c r="BS294" i="11"/>
  <c r="BT294" i="11"/>
  <c r="CA294" i="11"/>
  <c r="CB294" i="11"/>
  <c r="AD294" i="11"/>
  <c r="AC294" i="11"/>
  <c r="BC294" i="11"/>
  <c r="BB294" i="11"/>
  <c r="L294" i="11"/>
  <c r="DC294" i="11"/>
  <c r="M294" i="11"/>
  <c r="AU294" i="11"/>
  <c r="AT294" i="11"/>
  <c r="V294" i="11"/>
  <c r="U294" i="11"/>
  <c r="AK294" i="11"/>
  <c r="AL294" i="11"/>
  <c r="BJ294" i="11"/>
  <c r="BK294" i="11"/>
  <c r="C5261" i="3"/>
  <c r="C5262" i="3" l="1"/>
  <c r="C5263" i="3" l="1"/>
  <c r="C5264" i="3" l="1"/>
  <c r="AZ98" i="11"/>
  <c r="AB98" i="11"/>
  <c r="O98" i="11"/>
  <c r="CE98" i="11"/>
  <c r="G98" i="11"/>
  <c r="CG98" i="11"/>
  <c r="S98" i="11"/>
  <c r="BY98" i="11"/>
  <c r="AN98" i="11"/>
  <c r="BZ98" i="11"/>
  <c r="AJ98" i="11"/>
  <c r="CM98" i="11"/>
  <c r="BH98" i="11"/>
  <c r="CH98" i="11"/>
  <c r="AP98" i="11"/>
  <c r="AX98" i="11"/>
  <c r="I98" i="11"/>
  <c r="AH98" i="11"/>
  <c r="BI98" i="11"/>
  <c r="BW98" i="11"/>
  <c r="AA98" i="11"/>
  <c r="CO98" i="11"/>
  <c r="BR98" i="11"/>
  <c r="AF98" i="11"/>
  <c r="X98" i="11"/>
  <c r="AG98" i="11"/>
  <c r="AW98" i="11"/>
  <c r="Z98" i="11"/>
  <c r="AS98" i="11"/>
  <c r="BF98" i="11"/>
  <c r="BP98" i="11"/>
  <c r="AQ98" i="11"/>
  <c r="BE98" i="11"/>
  <c r="CN98" i="11"/>
  <c r="BG98" i="11"/>
  <c r="BO98" i="11"/>
  <c r="AR98" i="11"/>
  <c r="BQ98" i="11"/>
  <c r="CF98" i="11"/>
  <c r="T98" i="11"/>
  <c r="P98" i="11"/>
  <c r="CQ98" i="11"/>
  <c r="CD98" i="11"/>
  <c r="CL98" i="11"/>
  <c r="AY98" i="11"/>
  <c r="AO98" i="11"/>
  <c r="BV98" i="11"/>
  <c r="CP98" i="11"/>
  <c r="AI98" i="11"/>
  <c r="BN98" i="11"/>
  <c r="H98" i="11"/>
  <c r="K98" i="11"/>
  <c r="R98" i="11"/>
  <c r="Q98" i="11"/>
  <c r="BA98" i="11"/>
  <c r="BX98" i="11"/>
  <c r="Y98" i="11"/>
  <c r="J98" i="11"/>
  <c r="BM98" i="11"/>
  <c r="BC98" i="11" l="1"/>
  <c r="BB98" i="11"/>
  <c r="CB98" i="11"/>
  <c r="CA98" i="11"/>
  <c r="CR98" i="11"/>
  <c r="CS98" i="11"/>
  <c r="CI98" i="11"/>
  <c r="CJ98" i="11"/>
  <c r="AC98" i="11"/>
  <c r="AD98" i="11"/>
  <c r="L98" i="11"/>
  <c r="M98" i="11"/>
  <c r="DC98" i="11"/>
  <c r="AT98" i="11"/>
  <c r="AU98" i="11"/>
  <c r="BK98" i="11"/>
  <c r="BJ98" i="11"/>
  <c r="U98" i="11"/>
  <c r="V98" i="11"/>
  <c r="BT98" i="11"/>
  <c r="BS98" i="11"/>
  <c r="AK98" i="11"/>
  <c r="AL98" i="11"/>
  <c r="C5265" i="3"/>
  <c r="Z286" i="11" l="1"/>
  <c r="AJ286" i="11"/>
  <c r="AY286" i="11"/>
  <c r="AB286" i="11"/>
  <c r="P286" i="11"/>
  <c r="CG286" i="11"/>
  <c r="BE286" i="11"/>
  <c r="AG286" i="11"/>
  <c r="AZ286" i="11"/>
  <c r="CF286" i="11"/>
  <c r="X286" i="11"/>
  <c r="BO286" i="11"/>
  <c r="CD286" i="11"/>
  <c r="BG286" i="11"/>
  <c r="BX286" i="11"/>
  <c r="CN286" i="11"/>
  <c r="CH286" i="11"/>
  <c r="O286" i="11"/>
  <c r="AW286" i="11"/>
  <c r="BI286" i="11"/>
  <c r="BY286" i="11"/>
  <c r="CM286" i="11"/>
  <c r="AA286" i="11"/>
  <c r="BQ286" i="11"/>
  <c r="BR286" i="11"/>
  <c r="T286" i="11"/>
  <c r="Q286" i="11"/>
  <c r="CP286" i="11"/>
  <c r="BZ286" i="11"/>
  <c r="AS286" i="11"/>
  <c r="G286" i="11"/>
  <c r="BN286" i="11"/>
  <c r="BA286" i="11"/>
  <c r="AF286" i="11"/>
  <c r="Y286" i="11"/>
  <c r="H286" i="11"/>
  <c r="S286" i="11"/>
  <c r="BM286" i="11"/>
  <c r="CQ286" i="11"/>
  <c r="BV286" i="11"/>
  <c r="AR286" i="11"/>
  <c r="BW286" i="11"/>
  <c r="BF286" i="11"/>
  <c r="CE286" i="11"/>
  <c r="AH286" i="11"/>
  <c r="CL286" i="11"/>
  <c r="K286" i="11"/>
  <c r="R286" i="11"/>
  <c r="AN286" i="11"/>
  <c r="BP286" i="11"/>
  <c r="I286" i="11"/>
  <c r="CO286" i="11"/>
  <c r="AX286" i="11"/>
  <c r="AQ286" i="11"/>
  <c r="BH286" i="11"/>
  <c r="AP286" i="11"/>
  <c r="C5266" i="3"/>
  <c r="J286" i="11"/>
  <c r="AO286" i="11"/>
  <c r="AI286" i="11"/>
  <c r="C5267" i="3" l="1"/>
  <c r="CJ286" i="11"/>
  <c r="CI286" i="11"/>
  <c r="CR286" i="11"/>
  <c r="CS286" i="11"/>
  <c r="BB286" i="11"/>
  <c r="BC286" i="11"/>
  <c r="U286" i="11"/>
  <c r="V286" i="11"/>
  <c r="BK286" i="11"/>
  <c r="BJ286" i="11"/>
  <c r="BT286" i="11"/>
  <c r="BS286" i="11"/>
  <c r="AC286" i="11"/>
  <c r="AD286" i="11"/>
  <c r="DC286" i="11"/>
  <c r="L286" i="11"/>
  <c r="M286" i="11"/>
  <c r="AT286" i="11"/>
  <c r="AU286" i="11"/>
  <c r="CB286" i="11"/>
  <c r="CA286" i="11"/>
  <c r="AK286" i="11"/>
  <c r="AL286" i="11"/>
  <c r="C5268" i="3" l="1"/>
  <c r="C5269" i="3" s="1"/>
  <c r="C5270" i="3" s="1"/>
  <c r="C5271" i="3" s="1"/>
  <c r="C5272" i="3" s="1"/>
  <c r="C5273" i="3" l="1"/>
  <c r="CV168" i="11" l="1"/>
  <c r="CW168" i="11"/>
  <c r="CU168" i="11"/>
  <c r="CX168" i="11"/>
  <c r="C5274" i="3"/>
  <c r="BG168" i="11"/>
  <c r="AR168" i="11"/>
  <c r="CE168" i="11"/>
  <c r="AO168" i="11"/>
  <c r="AZ168" i="11"/>
  <c r="P168" i="11"/>
  <c r="CH168" i="11"/>
  <c r="Q168" i="11"/>
  <c r="BR168" i="11"/>
  <c r="BY168" i="11"/>
  <c r="I168" i="11"/>
  <c r="H168" i="11"/>
  <c r="S168" i="11"/>
  <c r="CM168" i="11"/>
  <c r="AA168" i="11"/>
  <c r="AX168" i="11"/>
  <c r="AN168" i="11"/>
  <c r="CG168" i="11"/>
  <c r="BO168" i="11"/>
  <c r="AQ168" i="11"/>
  <c r="BE168" i="11"/>
  <c r="K168" i="11"/>
  <c r="AY168" i="11"/>
  <c r="BA168" i="11"/>
  <c r="BV168" i="11"/>
  <c r="AW168" i="11"/>
  <c r="J168" i="11"/>
  <c r="BP168" i="11"/>
  <c r="AP168" i="11"/>
  <c r="X168" i="11"/>
  <c r="CO168" i="11"/>
  <c r="BI168" i="11"/>
  <c r="CF168" i="11"/>
  <c r="AJ168" i="11"/>
  <c r="BM168" i="11"/>
  <c r="AS168" i="11"/>
  <c r="BW168" i="11"/>
  <c r="AI168" i="11"/>
  <c r="CL168" i="11"/>
  <c r="AH168" i="11"/>
  <c r="CN168" i="11"/>
  <c r="Z168" i="11"/>
  <c r="G168" i="11"/>
  <c r="CQ168" i="11"/>
  <c r="CD168" i="11"/>
  <c r="BN168" i="11"/>
  <c r="Y168" i="11"/>
  <c r="AB168" i="11"/>
  <c r="CP168" i="11"/>
  <c r="BQ168" i="11"/>
  <c r="R168" i="11"/>
  <c r="BX168" i="11"/>
  <c r="O168" i="11"/>
  <c r="BF168" i="11"/>
  <c r="AG168" i="11"/>
  <c r="BZ168" i="11"/>
  <c r="AF168" i="11"/>
  <c r="BH168" i="11"/>
  <c r="T168" i="11"/>
  <c r="AC168" i="11" l="1"/>
  <c r="AD168" i="11"/>
  <c r="CS168" i="11"/>
  <c r="CR168" i="11"/>
  <c r="DC168" i="11"/>
  <c r="M168" i="11"/>
  <c r="L168" i="11"/>
  <c r="BK168" i="11"/>
  <c r="BJ168" i="11"/>
  <c r="V168" i="11"/>
  <c r="U168" i="11"/>
  <c r="BT168" i="11"/>
  <c r="BS168" i="11"/>
  <c r="AU168" i="11"/>
  <c r="AT168" i="11"/>
  <c r="BB168" i="11"/>
  <c r="BC168" i="11"/>
  <c r="CA168" i="11"/>
  <c r="CB168" i="11"/>
  <c r="CJ168" i="11"/>
  <c r="CI168" i="11"/>
  <c r="AL168" i="11"/>
  <c r="AK168" i="11"/>
  <c r="C5275" i="3"/>
  <c r="C5276" i="3" s="1"/>
  <c r="C5277" i="3" s="1"/>
  <c r="C5278" i="3" s="1"/>
  <c r="C5279" i="3" s="1"/>
  <c r="C5280" i="3" s="1"/>
  <c r="C5281" i="3" s="1"/>
  <c r="C5282" i="3" s="1"/>
  <c r="C5283" i="3" s="1"/>
  <c r="C5284" i="3" s="1"/>
  <c r="C5285" i="3" l="1"/>
  <c r="C5287" i="3" l="1"/>
  <c r="CH319" i="11" l="1"/>
  <c r="BZ319" i="11"/>
  <c r="BR319" i="11"/>
  <c r="CQ319" i="11"/>
  <c r="BI319" i="11"/>
  <c r="AS301" i="11"/>
  <c r="AS319" i="11"/>
  <c r="AS297" i="11"/>
  <c r="AS298" i="11"/>
  <c r="AS317" i="11"/>
  <c r="AS318" i="11"/>
  <c r="AS308" i="11"/>
  <c r="AS309" i="11"/>
  <c r="AS303" i="11"/>
  <c r="CQ321" i="11"/>
  <c r="CQ322" i="11"/>
  <c r="AS321" i="11"/>
  <c r="AS322" i="11"/>
  <c r="BZ321" i="11"/>
  <c r="BZ322" i="11"/>
  <c r="CH321" i="11"/>
  <c r="CH322" i="11"/>
  <c r="BR321" i="11"/>
  <c r="BR322" i="11"/>
  <c r="BI321" i="11"/>
  <c r="BI322" i="11"/>
  <c r="C5288" i="3"/>
  <c r="C5289" i="3" s="1"/>
  <c r="C5302" i="3" l="1"/>
  <c r="C5290" i="3"/>
  <c r="CY133" i="11" s="1"/>
  <c r="CZ133" i="11" s="1"/>
  <c r="BT322" i="11"/>
  <c r="BS322" i="11"/>
  <c r="AT322" i="11"/>
  <c r="AU322" i="11"/>
  <c r="DC322" i="11"/>
  <c r="AT308" i="11"/>
  <c r="AU308" i="11"/>
  <c r="AU301" i="11"/>
  <c r="AT301" i="11"/>
  <c r="DC301" i="11"/>
  <c r="BS321" i="11"/>
  <c r="BT321" i="11"/>
  <c r="AU321" i="11"/>
  <c r="AT321" i="11"/>
  <c r="DC321" i="11"/>
  <c r="AT318" i="11"/>
  <c r="AU318" i="11"/>
  <c r="DC318" i="11"/>
  <c r="BK319" i="11"/>
  <c r="BJ319" i="11"/>
  <c r="CJ322" i="11"/>
  <c r="CI322" i="11"/>
  <c r="CR322" i="11"/>
  <c r="CS322" i="11"/>
  <c r="AT317" i="11"/>
  <c r="AU317" i="11"/>
  <c r="DC317" i="11"/>
  <c r="CR319" i="11"/>
  <c r="CS319" i="11"/>
  <c r="CJ321" i="11"/>
  <c r="CI321" i="11"/>
  <c r="CS321" i="11"/>
  <c r="CR321" i="11"/>
  <c r="AU298" i="11"/>
  <c r="AT298" i="11"/>
  <c r="DC298" i="11"/>
  <c r="BS319" i="11"/>
  <c r="BT319" i="11"/>
  <c r="BJ322" i="11"/>
  <c r="BK322" i="11"/>
  <c r="CB322" i="11"/>
  <c r="CA322" i="11"/>
  <c r="AT303" i="11"/>
  <c r="AU303" i="11"/>
  <c r="AT297" i="11"/>
  <c r="AU297" i="11"/>
  <c r="DC297" i="11"/>
  <c r="CB319" i="11"/>
  <c r="CA319" i="11"/>
  <c r="BJ321" i="11"/>
  <c r="BK321" i="11"/>
  <c r="CB321" i="11"/>
  <c r="CA321" i="11"/>
  <c r="AT309" i="11"/>
  <c r="AU309" i="11"/>
  <c r="AT319" i="11"/>
  <c r="AU319" i="11"/>
  <c r="DC319" i="11"/>
  <c r="CI319" i="11"/>
  <c r="CJ319" i="11"/>
  <c r="C5327" i="3"/>
  <c r="C5328" i="3" s="1"/>
  <c r="C5329" i="3" s="1"/>
  <c r="Y71" i="11"/>
  <c r="AG68" i="11"/>
  <c r="Z66" i="11"/>
  <c r="I65" i="11"/>
  <c r="AQ63" i="11"/>
  <c r="AI62" i="11"/>
  <c r="AI57" i="11"/>
  <c r="AQ53" i="11"/>
  <c r="AA50" i="11"/>
  <c r="BH35" i="11"/>
  <c r="CQ323" i="11"/>
  <c r="BI323" i="11"/>
  <c r="AS323" i="11"/>
  <c r="I49" i="11"/>
  <c r="AH47" i="11"/>
  <c r="AR43" i="11"/>
  <c r="AR41" i="11"/>
  <c r="AA40" i="11"/>
  <c r="AR39" i="11"/>
  <c r="H38" i="11"/>
  <c r="AA37" i="11"/>
  <c r="Z36" i="11"/>
  <c r="AH35" i="11"/>
  <c r="CW133" i="11" l="1"/>
  <c r="CX133" i="11"/>
  <c r="CV133" i="11"/>
  <c r="CU133" i="11"/>
  <c r="C5291" i="3"/>
  <c r="CY114" i="11" s="1"/>
  <c r="CZ114" i="11" s="1"/>
  <c r="BE133" i="11"/>
  <c r="CG133" i="11"/>
  <c r="AN133" i="11"/>
  <c r="AH133" i="11"/>
  <c r="T133" i="11"/>
  <c r="AY133" i="11"/>
  <c r="CN133" i="11"/>
  <c r="AO133" i="11"/>
  <c r="Q133" i="11"/>
  <c r="AP133" i="11"/>
  <c r="AR133" i="11"/>
  <c r="O133" i="11"/>
  <c r="BY133" i="11"/>
  <c r="BP133" i="11"/>
  <c r="CL133" i="11"/>
  <c r="G133" i="11"/>
  <c r="CD133" i="11"/>
  <c r="K133" i="11"/>
  <c r="BN133" i="11"/>
  <c r="BR133" i="11"/>
  <c r="BV133" i="11"/>
  <c r="BM133" i="11"/>
  <c r="CM133" i="11"/>
  <c r="AG133" i="11"/>
  <c r="Z133" i="11"/>
  <c r="CH133" i="11"/>
  <c r="BI133" i="11"/>
  <c r="AI133" i="11"/>
  <c r="AS133" i="11"/>
  <c r="AF133" i="11"/>
  <c r="Y133" i="11"/>
  <c r="R133" i="11"/>
  <c r="BZ133" i="11"/>
  <c r="AJ133" i="11"/>
  <c r="BF133" i="11"/>
  <c r="S133" i="11"/>
  <c r="BH133" i="11"/>
  <c r="J133" i="11"/>
  <c r="H133" i="11"/>
  <c r="AX133" i="11"/>
  <c r="BX133" i="11"/>
  <c r="CE133" i="11"/>
  <c r="AB133" i="11"/>
  <c r="BA133" i="11"/>
  <c r="AQ133" i="11"/>
  <c r="CQ133" i="11"/>
  <c r="BO133" i="11"/>
  <c r="CO133" i="11"/>
  <c r="X133" i="11"/>
  <c r="BW133" i="11"/>
  <c r="I133" i="11"/>
  <c r="AA133" i="11"/>
  <c r="CF133" i="11"/>
  <c r="AZ133" i="11"/>
  <c r="CP133" i="11"/>
  <c r="AW133" i="11"/>
  <c r="BQ133" i="11"/>
  <c r="BG133" i="11"/>
  <c r="P133" i="11"/>
  <c r="C5330" i="3"/>
  <c r="C5331" i="3" s="1"/>
  <c r="BM224" i="11"/>
  <c r="AB224" i="11"/>
  <c r="X224" i="11"/>
  <c r="AF224" i="11"/>
  <c r="Z224" i="11"/>
  <c r="AO224" i="11"/>
  <c r="BP224" i="11"/>
  <c r="CP224" i="11"/>
  <c r="BG224" i="11"/>
  <c r="AA224" i="11"/>
  <c r="BQ224" i="11"/>
  <c r="BO224" i="11"/>
  <c r="CM224" i="11"/>
  <c r="BY224" i="11"/>
  <c r="CH224" i="11"/>
  <c r="O224" i="11"/>
  <c r="BR224" i="11"/>
  <c r="BV224" i="11"/>
  <c r="CG224" i="11"/>
  <c r="H224" i="11"/>
  <c r="Y224" i="11"/>
  <c r="CQ224" i="11"/>
  <c r="AX224" i="11"/>
  <c r="CD224" i="11"/>
  <c r="T224" i="11"/>
  <c r="BN224" i="11"/>
  <c r="CN224" i="11"/>
  <c r="BI224" i="11"/>
  <c r="AQ224" i="11"/>
  <c r="AN224" i="11"/>
  <c r="BH224" i="11"/>
  <c r="AP224" i="11"/>
  <c r="AJ224" i="11"/>
  <c r="R224" i="11"/>
  <c r="AW224" i="11"/>
  <c r="P224" i="11"/>
  <c r="BE224" i="11"/>
  <c r="BF224" i="11"/>
  <c r="AG224" i="11"/>
  <c r="BZ224" i="11"/>
  <c r="AR224" i="11"/>
  <c r="G224" i="11"/>
  <c r="Q224" i="11"/>
  <c r="BA224" i="11"/>
  <c r="BX224" i="11"/>
  <c r="K224" i="11"/>
  <c r="AZ224" i="11"/>
  <c r="AH224" i="11"/>
  <c r="CO224" i="11"/>
  <c r="AI224" i="11"/>
  <c r="CL224" i="11"/>
  <c r="BW224" i="11"/>
  <c r="AS224" i="11"/>
  <c r="CE224" i="11"/>
  <c r="CF224" i="11"/>
  <c r="I224" i="11"/>
  <c r="AY224" i="11"/>
  <c r="J224" i="11"/>
  <c r="S224" i="11"/>
  <c r="C5303" i="3"/>
  <c r="C5352" i="3"/>
  <c r="C5353" i="3" s="1"/>
  <c r="C5354" i="3" s="1"/>
  <c r="C5355" i="3" s="1"/>
  <c r="CY287" i="11" s="1"/>
  <c r="CZ287" i="11" s="1"/>
  <c r="BZ166" i="11"/>
  <c r="BZ38" i="11"/>
  <c r="BZ269" i="11"/>
  <c r="BZ77" i="11"/>
  <c r="BZ180" i="11"/>
  <c r="BZ219" i="11"/>
  <c r="BZ91" i="11"/>
  <c r="BZ258" i="11"/>
  <c r="BZ66" i="11"/>
  <c r="BZ41" i="11"/>
  <c r="BZ280" i="11"/>
  <c r="BZ88" i="11"/>
  <c r="BZ271" i="11"/>
  <c r="CH292" i="11"/>
  <c r="CH37" i="11"/>
  <c r="CH45" i="11"/>
  <c r="CH53" i="11"/>
  <c r="CH61" i="11"/>
  <c r="CH69" i="11"/>
  <c r="CH77" i="11"/>
  <c r="CH85" i="11"/>
  <c r="CH93" i="11"/>
  <c r="CH101" i="11"/>
  <c r="CH253" i="11"/>
  <c r="CH261" i="11"/>
  <c r="CH269" i="11"/>
  <c r="CH289" i="11"/>
  <c r="CH10" i="11"/>
  <c r="CH42" i="11"/>
  <c r="CH50" i="11"/>
  <c r="CH58" i="11"/>
  <c r="CH66" i="11"/>
  <c r="CH74" i="11"/>
  <c r="CH82" i="11"/>
  <c r="CH178" i="11"/>
  <c r="CH218" i="11"/>
  <c r="CH226" i="11"/>
  <c r="CH49" i="11"/>
  <c r="CH57" i="11"/>
  <c r="CH65" i="11"/>
  <c r="CH73" i="11"/>
  <c r="CH81" i="11"/>
  <c r="CH89" i="11"/>
  <c r="CH97" i="11"/>
  <c r="CH137" i="11"/>
  <c r="CH217" i="11"/>
  <c r="CH225" i="11"/>
  <c r="CH241" i="11"/>
  <c r="CH257" i="11"/>
  <c r="CH265" i="11"/>
  <c r="BI311" i="11"/>
  <c r="AS311" i="11"/>
  <c r="AS312" i="11"/>
  <c r="BI295" i="11"/>
  <c r="BZ295" i="11"/>
  <c r="CH295" i="11"/>
  <c r="BR295" i="11"/>
  <c r="CQ295" i="11"/>
  <c r="CH309" i="11"/>
  <c r="CH308" i="11"/>
  <c r="CH307" i="11"/>
  <c r="CH306" i="11"/>
  <c r="CH303" i="11"/>
  <c r="BI49" i="11"/>
  <c r="BI50" i="11"/>
  <c r="BI51" i="11"/>
  <c r="BI53" i="11"/>
  <c r="CH312" i="11"/>
  <c r="CH311" i="11"/>
  <c r="BZ312" i="11"/>
  <c r="BZ311" i="11"/>
  <c r="BR312" i="11"/>
  <c r="BR311" i="11"/>
  <c r="CQ312" i="11"/>
  <c r="CQ311" i="11"/>
  <c r="BI312" i="11"/>
  <c r="AU323" i="11"/>
  <c r="AT323" i="11"/>
  <c r="DC323" i="11"/>
  <c r="BK323" i="11"/>
  <c r="BJ323" i="11"/>
  <c r="CR323" i="11"/>
  <c r="CS323" i="11"/>
  <c r="CW287" i="11" l="1"/>
  <c r="CX287" i="11"/>
  <c r="CV287" i="11"/>
  <c r="CU287" i="11"/>
  <c r="CX114" i="11"/>
  <c r="CU114" i="11"/>
  <c r="CW114" i="11"/>
  <c r="CV114" i="11"/>
  <c r="AB287" i="11"/>
  <c r="K287" i="11"/>
  <c r="CO287" i="11"/>
  <c r="BH287" i="11"/>
  <c r="AY287" i="11"/>
  <c r="BY287" i="11"/>
  <c r="CE287" i="11"/>
  <c r="CF287" i="11"/>
  <c r="CG287" i="11"/>
  <c r="AA287" i="11"/>
  <c r="AQ287" i="11"/>
  <c r="CP287" i="11"/>
  <c r="CM287" i="11"/>
  <c r="BG287" i="11"/>
  <c r="BM287" i="11"/>
  <c r="BV287" i="11"/>
  <c r="BW287" i="11"/>
  <c r="BX287" i="11"/>
  <c r="CD287" i="11"/>
  <c r="AS287" i="11"/>
  <c r="CN287" i="11"/>
  <c r="CL287" i="11"/>
  <c r="BF287" i="11"/>
  <c r="AZ287" i="11"/>
  <c r="AW287" i="11"/>
  <c r="BZ287" i="11"/>
  <c r="CQ287" i="11"/>
  <c r="CH287" i="11"/>
  <c r="BI287" i="11"/>
  <c r="BN287" i="11"/>
  <c r="AJ287" i="11"/>
  <c r="BE287" i="11"/>
  <c r="BQ287" i="11"/>
  <c r="BP287" i="11"/>
  <c r="BO287" i="11"/>
  <c r="AX287" i="11"/>
  <c r="BA287" i="11"/>
  <c r="AP287" i="11"/>
  <c r="P287" i="11"/>
  <c r="AO287" i="11"/>
  <c r="R287" i="11"/>
  <c r="H287" i="11"/>
  <c r="AH287" i="11"/>
  <c r="G287" i="11"/>
  <c r="AG287" i="11"/>
  <c r="I287" i="11"/>
  <c r="S287" i="11"/>
  <c r="AI287" i="11"/>
  <c r="O287" i="11"/>
  <c r="AN287" i="11"/>
  <c r="X287" i="11"/>
  <c r="Q287" i="11"/>
  <c r="AR287" i="11"/>
  <c r="Z287" i="11"/>
  <c r="J287" i="11"/>
  <c r="AF287" i="11"/>
  <c r="Y287" i="11"/>
  <c r="AD133" i="11"/>
  <c r="AC133" i="11"/>
  <c r="CI133" i="11"/>
  <c r="CJ133" i="11"/>
  <c r="BS133" i="11"/>
  <c r="BT133" i="11"/>
  <c r="CS133" i="11"/>
  <c r="CR133" i="11"/>
  <c r="DC133" i="11"/>
  <c r="L133" i="11"/>
  <c r="M133" i="11"/>
  <c r="AT133" i="11"/>
  <c r="AU133" i="11"/>
  <c r="AK133" i="11"/>
  <c r="AL133" i="11"/>
  <c r="BC133" i="11"/>
  <c r="BB133" i="11"/>
  <c r="CB133" i="11"/>
  <c r="CA133" i="11"/>
  <c r="BJ133" i="11"/>
  <c r="BK133" i="11"/>
  <c r="U133" i="11"/>
  <c r="V133" i="11"/>
  <c r="C5292" i="3"/>
  <c r="CY130" i="11" s="1"/>
  <c r="CZ130" i="11" s="1"/>
  <c r="AY114" i="11"/>
  <c r="AX114" i="11"/>
  <c r="BF114" i="11"/>
  <c r="BA114" i="11"/>
  <c r="G114" i="11"/>
  <c r="X114" i="11"/>
  <c r="Z114" i="11"/>
  <c r="AP114" i="11"/>
  <c r="AB114" i="11"/>
  <c r="Y114" i="11"/>
  <c r="CH114" i="11"/>
  <c r="BR114" i="11"/>
  <c r="CF114" i="11"/>
  <c r="BV114" i="11"/>
  <c r="BQ114" i="11"/>
  <c r="BN114" i="11"/>
  <c r="CL114" i="11"/>
  <c r="BE114" i="11"/>
  <c r="CM114" i="11"/>
  <c r="CN114" i="11"/>
  <c r="R114" i="11"/>
  <c r="P114" i="11"/>
  <c r="AR114" i="11"/>
  <c r="J114" i="11"/>
  <c r="AQ114" i="11"/>
  <c r="CQ114" i="11"/>
  <c r="BY114" i="11"/>
  <c r="CG114" i="11"/>
  <c r="BX114" i="11"/>
  <c r="CD114" i="11"/>
  <c r="BM114" i="11"/>
  <c r="CO114" i="11"/>
  <c r="BH114" i="11"/>
  <c r="CP114" i="11"/>
  <c r="O114" i="11"/>
  <c r="I114" i="11"/>
  <c r="H114" i="11"/>
  <c r="AN114" i="11"/>
  <c r="K114" i="11"/>
  <c r="AJ114" i="11"/>
  <c r="AO114" i="11"/>
  <c r="T114" i="11"/>
  <c r="BI114" i="11"/>
  <c r="BP114" i="11"/>
  <c r="AW114" i="11"/>
  <c r="AZ114" i="11"/>
  <c r="AI114" i="11"/>
  <c r="BG114" i="11"/>
  <c r="AA114" i="11"/>
  <c r="AF114" i="11"/>
  <c r="S114" i="11"/>
  <c r="AH114" i="11"/>
  <c r="Q114" i="11"/>
  <c r="AG114" i="11"/>
  <c r="AS114" i="11"/>
  <c r="BZ114" i="11"/>
  <c r="CE114" i="11"/>
  <c r="BO114" i="11"/>
  <c r="BW114" i="11"/>
  <c r="C5356" i="3"/>
  <c r="C5357" i="3" s="1"/>
  <c r="BR287" i="11"/>
  <c r="T287" i="11"/>
  <c r="AT224" i="11"/>
  <c r="AU224" i="11"/>
  <c r="AL224" i="11"/>
  <c r="AK224" i="11"/>
  <c r="BJ224" i="11"/>
  <c r="BK224" i="11"/>
  <c r="CS224" i="11"/>
  <c r="CR224" i="11"/>
  <c r="BC224" i="11"/>
  <c r="BB224" i="11"/>
  <c r="CI224" i="11"/>
  <c r="CJ224" i="11"/>
  <c r="AC224" i="11"/>
  <c r="AD224" i="11"/>
  <c r="V224" i="11"/>
  <c r="U224" i="11"/>
  <c r="C5304" i="3"/>
  <c r="C5305" i="3" s="1"/>
  <c r="C5306" i="3" s="1"/>
  <c r="C5332" i="3"/>
  <c r="M224" i="11"/>
  <c r="L224" i="11"/>
  <c r="DC224" i="11"/>
  <c r="CA224" i="11"/>
  <c r="CB224" i="11"/>
  <c r="BS224" i="11"/>
  <c r="BT224" i="11"/>
  <c r="CI261" i="11"/>
  <c r="CJ261" i="11"/>
  <c r="DC261" i="11"/>
  <c r="CI101" i="11"/>
  <c r="CJ101" i="11"/>
  <c r="DC101" i="11"/>
  <c r="CI53" i="11"/>
  <c r="CJ53" i="11"/>
  <c r="CA88" i="11"/>
  <c r="CB88" i="11"/>
  <c r="CB219" i="11"/>
  <c r="CA219" i="11"/>
  <c r="CJ93" i="11"/>
  <c r="CI93" i="11"/>
  <c r="DC93" i="11"/>
  <c r="CJ45" i="11"/>
  <c r="CI45" i="11"/>
  <c r="DC45" i="11"/>
  <c r="CB280" i="11"/>
  <c r="CA280" i="11"/>
  <c r="CA180" i="11"/>
  <c r="CB180" i="11"/>
  <c r="CJ85" i="11"/>
  <c r="CI85" i="11"/>
  <c r="DC85" i="11"/>
  <c r="CI37" i="11"/>
  <c r="CJ37" i="11"/>
  <c r="DC37" i="11"/>
  <c r="CA41" i="11"/>
  <c r="CB41" i="11"/>
  <c r="DC41" i="11"/>
  <c r="CA77" i="11"/>
  <c r="CB77" i="11"/>
  <c r="DC77" i="11"/>
  <c r="CJ69" i="11"/>
  <c r="CI69" i="11"/>
  <c r="DC69" i="11"/>
  <c r="CI269" i="11"/>
  <c r="CJ269" i="11"/>
  <c r="CI77" i="11"/>
  <c r="CJ77" i="11"/>
  <c r="CI292" i="11"/>
  <c r="CJ292" i="11"/>
  <c r="DC292" i="11"/>
  <c r="CB66" i="11"/>
  <c r="CA66" i="11"/>
  <c r="CB269" i="11"/>
  <c r="CA269" i="11"/>
  <c r="DC269" i="11"/>
  <c r="CA258" i="11"/>
  <c r="CB258" i="11"/>
  <c r="DC258" i="11"/>
  <c r="CB38" i="11"/>
  <c r="CA38" i="11"/>
  <c r="DC38" i="11"/>
  <c r="CI253" i="11"/>
  <c r="CJ253" i="11"/>
  <c r="DC253" i="11"/>
  <c r="CI61" i="11"/>
  <c r="CJ61" i="11"/>
  <c r="DC61" i="11"/>
  <c r="CA271" i="11"/>
  <c r="CB271" i="11"/>
  <c r="DC271" i="11"/>
  <c r="CA91" i="11"/>
  <c r="CB91" i="11"/>
  <c r="CB166" i="11"/>
  <c r="CA166" i="11"/>
  <c r="DC166" i="11"/>
  <c r="CI241" i="11"/>
  <c r="CJ241" i="11"/>
  <c r="CJ81" i="11"/>
  <c r="CI81" i="11"/>
  <c r="CI66" i="11"/>
  <c r="CJ66" i="11"/>
  <c r="CJ225" i="11"/>
  <c r="CI225" i="11"/>
  <c r="CJ73" i="11"/>
  <c r="CI73" i="11"/>
  <c r="CJ226" i="11"/>
  <c r="CI226" i="11"/>
  <c r="DC226" i="11"/>
  <c r="CI58" i="11"/>
  <c r="CJ58" i="11"/>
  <c r="CI217" i="11"/>
  <c r="CJ217" i="11"/>
  <c r="CI65" i="11"/>
  <c r="CJ65" i="11"/>
  <c r="CJ218" i="11"/>
  <c r="CI218" i="11"/>
  <c r="DC218" i="11"/>
  <c r="CI50" i="11"/>
  <c r="CJ50" i="11"/>
  <c r="CI137" i="11"/>
  <c r="CJ137" i="11"/>
  <c r="CJ57" i="11"/>
  <c r="CI57" i="11"/>
  <c r="CJ178" i="11"/>
  <c r="CI178" i="11"/>
  <c r="DC178" i="11"/>
  <c r="CJ42" i="11"/>
  <c r="CI42" i="11"/>
  <c r="DC42" i="11"/>
  <c r="CI265" i="11"/>
  <c r="CJ265" i="11"/>
  <c r="CI97" i="11"/>
  <c r="CJ97" i="11"/>
  <c r="CI49" i="11"/>
  <c r="CJ49" i="11"/>
  <c r="CJ82" i="11"/>
  <c r="CI82" i="11"/>
  <c r="DC82" i="11"/>
  <c r="CJ10" i="11"/>
  <c r="CI10" i="11"/>
  <c r="DC10" i="11"/>
  <c r="CJ257" i="11"/>
  <c r="CI257" i="11"/>
  <c r="CJ89" i="11"/>
  <c r="CI89" i="11"/>
  <c r="CJ74" i="11"/>
  <c r="CI74" i="11"/>
  <c r="CI289" i="11"/>
  <c r="CJ289" i="11"/>
  <c r="CS311" i="11"/>
  <c r="CR311" i="11"/>
  <c r="CJ311" i="11"/>
  <c r="CI311" i="11"/>
  <c r="CJ309" i="11"/>
  <c r="CI309" i="11"/>
  <c r="DC309" i="11"/>
  <c r="AT312" i="11"/>
  <c r="AU312" i="11"/>
  <c r="DC312" i="11"/>
  <c r="CR312" i="11"/>
  <c r="CS312" i="11"/>
  <c r="CI312" i="11"/>
  <c r="CJ312" i="11"/>
  <c r="CR295" i="11"/>
  <c r="CS295" i="11"/>
  <c r="AU311" i="11"/>
  <c r="AT311" i="11"/>
  <c r="DC311" i="11"/>
  <c r="BT311" i="11"/>
  <c r="BS311" i="11"/>
  <c r="BK53" i="11"/>
  <c r="BJ53" i="11"/>
  <c r="DC53" i="11"/>
  <c r="CJ303" i="11"/>
  <c r="CI303" i="11"/>
  <c r="DC303" i="11"/>
  <c r="BS295" i="11"/>
  <c r="BT295" i="11"/>
  <c r="BK311" i="11"/>
  <c r="BJ311" i="11"/>
  <c r="BS312" i="11"/>
  <c r="BT312" i="11"/>
  <c r="BJ51" i="11"/>
  <c r="BK51" i="11"/>
  <c r="DC51" i="11"/>
  <c r="CJ306" i="11"/>
  <c r="CI306" i="11"/>
  <c r="DC306" i="11"/>
  <c r="CI295" i="11"/>
  <c r="CJ295" i="11"/>
  <c r="CB311" i="11"/>
  <c r="CA311" i="11"/>
  <c r="BJ50" i="11"/>
  <c r="BK50" i="11"/>
  <c r="DC50" i="11"/>
  <c r="CI307" i="11"/>
  <c r="CJ307" i="11"/>
  <c r="DC307" i="11"/>
  <c r="CA295" i="11"/>
  <c r="CB295" i="11"/>
  <c r="BJ312" i="11"/>
  <c r="BK312" i="11"/>
  <c r="CA312" i="11"/>
  <c r="CB312" i="11"/>
  <c r="BJ49" i="11"/>
  <c r="BK49" i="11"/>
  <c r="DC49" i="11"/>
  <c r="CI308" i="11"/>
  <c r="CJ308" i="11"/>
  <c r="DC308" i="11"/>
  <c r="BK295" i="11"/>
  <c r="BJ295" i="11"/>
  <c r="DC295" i="11"/>
  <c r="CV272" i="11" l="1"/>
  <c r="CU272" i="11"/>
  <c r="CX272" i="11"/>
  <c r="CW272" i="11"/>
  <c r="CW130" i="11"/>
  <c r="CX130" i="11"/>
  <c r="CU130" i="11"/>
  <c r="CV130" i="11"/>
  <c r="CD227" i="11"/>
  <c r="AN227" i="11"/>
  <c r="CP227" i="11"/>
  <c r="BX227" i="11"/>
  <c r="BN227" i="11"/>
  <c r="S227" i="11"/>
  <c r="BO227" i="11"/>
  <c r="AI227" i="11"/>
  <c r="P227" i="11"/>
  <c r="AB227" i="11"/>
  <c r="AD227" i="11" s="1"/>
  <c r="CG227" i="11"/>
  <c r="CQ227" i="11"/>
  <c r="CS227" i="11" s="1"/>
  <c r="AO227" i="11"/>
  <c r="BI227" i="11"/>
  <c r="BJ227" i="11" s="1"/>
  <c r="CO227" i="11"/>
  <c r="Q227" i="11"/>
  <c r="CL227" i="11"/>
  <c r="AY227" i="11"/>
  <c r="BZ227" i="11"/>
  <c r="CA227" i="11" s="1"/>
  <c r="R227" i="11"/>
  <c r="J227" i="11"/>
  <c r="BP227" i="11"/>
  <c r="Z227" i="11"/>
  <c r="Y227" i="11"/>
  <c r="O227" i="11"/>
  <c r="BE227" i="11"/>
  <c r="BH227" i="11"/>
  <c r="AX227" i="11"/>
  <c r="AG227" i="11"/>
  <c r="AR227" i="11"/>
  <c r="AQ227" i="11"/>
  <c r="U114" i="11"/>
  <c r="V114" i="11"/>
  <c r="AD114" i="11"/>
  <c r="AC114" i="11"/>
  <c r="CJ287" i="11"/>
  <c r="CI287" i="11"/>
  <c r="G227" i="11"/>
  <c r="CM227" i="11"/>
  <c r="CR287" i="11"/>
  <c r="CS287" i="11"/>
  <c r="U287" i="11"/>
  <c r="V287" i="11"/>
  <c r="CA114" i="11"/>
  <c r="CB114" i="11"/>
  <c r="AK114" i="11"/>
  <c r="AL114" i="11"/>
  <c r="BS114" i="11"/>
  <c r="BT114" i="11"/>
  <c r="CA287" i="11"/>
  <c r="CB287" i="11"/>
  <c r="AU287" i="11"/>
  <c r="AT287" i="11"/>
  <c r="BG227" i="11"/>
  <c r="CN227" i="11"/>
  <c r="BT287" i="11"/>
  <c r="BS287" i="11"/>
  <c r="AU114" i="11"/>
  <c r="AT114" i="11"/>
  <c r="DC114" i="11"/>
  <c r="M114" i="11"/>
  <c r="L114" i="11"/>
  <c r="CI114" i="11"/>
  <c r="CJ114" i="11"/>
  <c r="C5293" i="3"/>
  <c r="CY111" i="11" s="1"/>
  <c r="CZ111" i="11" s="1"/>
  <c r="BN130" i="11"/>
  <c r="CL130" i="11"/>
  <c r="J130" i="11"/>
  <c r="I130" i="11"/>
  <c r="BG130" i="11"/>
  <c r="P130" i="11"/>
  <c r="Y130" i="11"/>
  <c r="BA130" i="11"/>
  <c r="AG130" i="11"/>
  <c r="AI130" i="11"/>
  <c r="CH130" i="11"/>
  <c r="BP130" i="11"/>
  <c r="BQ130" i="11"/>
  <c r="BM130" i="11"/>
  <c r="CO130" i="11"/>
  <c r="H130" i="11"/>
  <c r="AR130" i="11"/>
  <c r="BF130" i="11"/>
  <c r="G130" i="11"/>
  <c r="Z130" i="11"/>
  <c r="CN130" i="11"/>
  <c r="Q130" i="11"/>
  <c r="T130" i="11"/>
  <c r="AJ130" i="11"/>
  <c r="AB130" i="11"/>
  <c r="CQ130" i="11"/>
  <c r="BV130" i="11"/>
  <c r="CF130" i="11"/>
  <c r="BW130" i="11"/>
  <c r="AZ130" i="11"/>
  <c r="AA130" i="11"/>
  <c r="R130" i="11"/>
  <c r="BE130" i="11"/>
  <c r="CM130" i="11"/>
  <c r="AO130" i="11"/>
  <c r="AQ130" i="11"/>
  <c r="AF130" i="11"/>
  <c r="AP130" i="11"/>
  <c r="AS130" i="11"/>
  <c r="BI130" i="11"/>
  <c r="BX130" i="11"/>
  <c r="CG130" i="11"/>
  <c r="CE130" i="11"/>
  <c r="AY130" i="11"/>
  <c r="O130" i="11"/>
  <c r="X130" i="11"/>
  <c r="BH130" i="11"/>
  <c r="CP130" i="11"/>
  <c r="AH130" i="11"/>
  <c r="AX130" i="11"/>
  <c r="AN130" i="11"/>
  <c r="S130" i="11"/>
  <c r="K130" i="11"/>
  <c r="BZ130" i="11"/>
  <c r="BR130" i="11"/>
  <c r="BY130" i="11"/>
  <c r="AW130" i="11"/>
  <c r="CD130" i="11"/>
  <c r="BO130" i="11"/>
  <c r="DC287" i="11"/>
  <c r="BB287" i="11"/>
  <c r="BC287" i="11"/>
  <c r="AK287" i="11"/>
  <c r="AL287" i="11"/>
  <c r="AP227" i="11"/>
  <c r="CH227" i="11"/>
  <c r="CI227" i="11" s="1"/>
  <c r="BY227" i="11"/>
  <c r="AF227" i="11"/>
  <c r="AZ227" i="11"/>
  <c r="BA227" i="11"/>
  <c r="BC227" i="11" s="1"/>
  <c r="CE227" i="11"/>
  <c r="AA227" i="11"/>
  <c r="T227" i="11"/>
  <c r="V227" i="11" s="1"/>
  <c r="C5358" i="3"/>
  <c r="Z272" i="11"/>
  <c r="BA272" i="11"/>
  <c r="AI272" i="11"/>
  <c r="AH272" i="11"/>
  <c r="BI272" i="11"/>
  <c r="AJ272" i="11"/>
  <c r="BE272" i="11"/>
  <c r="CE272" i="11"/>
  <c r="AA272" i="11"/>
  <c r="K272" i="11"/>
  <c r="O272" i="11"/>
  <c r="AZ272" i="11"/>
  <c r="BN272" i="11"/>
  <c r="AX272" i="11"/>
  <c r="CL272" i="11"/>
  <c r="BQ272" i="11"/>
  <c r="BW272" i="11"/>
  <c r="H272" i="11"/>
  <c r="P272" i="11"/>
  <c r="AO272" i="11"/>
  <c r="J272" i="11"/>
  <c r="AQ272" i="11"/>
  <c r="CD272" i="11"/>
  <c r="BF272" i="11"/>
  <c r="BM272" i="11"/>
  <c r="Q272" i="11"/>
  <c r="S272" i="11"/>
  <c r="BG272" i="11"/>
  <c r="R272" i="11"/>
  <c r="CO272" i="11"/>
  <c r="BP272" i="11"/>
  <c r="AB272" i="11"/>
  <c r="AG272" i="11"/>
  <c r="BZ272" i="11"/>
  <c r="AS272" i="11"/>
  <c r="AF272" i="11"/>
  <c r="AY272" i="11"/>
  <c r="AW272" i="11"/>
  <c r="AR272" i="11"/>
  <c r="BX272" i="11"/>
  <c r="G272" i="11"/>
  <c r="I272" i="11"/>
  <c r="CH272" i="11"/>
  <c r="CG272" i="11"/>
  <c r="BH272" i="11"/>
  <c r="BV272" i="11"/>
  <c r="T272" i="11"/>
  <c r="X272" i="11"/>
  <c r="CM272" i="11"/>
  <c r="CQ272" i="11"/>
  <c r="BO272" i="11"/>
  <c r="BY272" i="11"/>
  <c r="Y272" i="11"/>
  <c r="CN272" i="11"/>
  <c r="CF272" i="11"/>
  <c r="AN272" i="11"/>
  <c r="CP272" i="11"/>
  <c r="AP272" i="11"/>
  <c r="BR272" i="11"/>
  <c r="CS114" i="11"/>
  <c r="CR114" i="11"/>
  <c r="L287" i="11"/>
  <c r="M287" i="11"/>
  <c r="BR227" i="11"/>
  <c r="BT227" i="11" s="1"/>
  <c r="AJ227" i="11"/>
  <c r="AS227" i="11"/>
  <c r="AU227" i="11" s="1"/>
  <c r="H227" i="11"/>
  <c r="K227" i="11"/>
  <c r="L227" i="11" s="1"/>
  <c r="AH227" i="11"/>
  <c r="BV227" i="11"/>
  <c r="BW227" i="11"/>
  <c r="BK114" i="11"/>
  <c r="BJ114" i="11"/>
  <c r="BB114" i="11"/>
  <c r="BC114" i="11"/>
  <c r="BK287" i="11"/>
  <c r="BJ287" i="11"/>
  <c r="AC287" i="11"/>
  <c r="AD287" i="11"/>
  <c r="C5307" i="3"/>
  <c r="C5308" i="3" s="1"/>
  <c r="C5309" i="3" s="1"/>
  <c r="C5310" i="3" s="1"/>
  <c r="C5311" i="3" s="1"/>
  <c r="C5312" i="3" s="1"/>
  <c r="C5313" i="3" s="1"/>
  <c r="AW227" i="11"/>
  <c r="BF227" i="11"/>
  <c r="BM227" i="11"/>
  <c r="X227" i="11"/>
  <c r="BQ227" i="11"/>
  <c r="C5340" i="3"/>
  <c r="C5333" i="3"/>
  <c r="C5334" i="3" s="1"/>
  <c r="C5335" i="3" s="1"/>
  <c r="C5336" i="3" s="1"/>
  <c r="C5337" i="3" s="1"/>
  <c r="CF227" i="11"/>
  <c r="I227" i="11"/>
  <c r="CX111" i="11" l="1"/>
  <c r="CW111" i="11"/>
  <c r="CV111" i="11"/>
  <c r="CU111" i="11"/>
  <c r="AC227" i="11"/>
  <c r="BB227" i="11"/>
  <c r="CB227" i="11"/>
  <c r="CR227" i="11"/>
  <c r="CJ227" i="11"/>
  <c r="BK227" i="11"/>
  <c r="U227" i="11"/>
  <c r="M227" i="11"/>
  <c r="AT227" i="11"/>
  <c r="BS227" i="11"/>
  <c r="DC227" i="11"/>
  <c r="AK227" i="11"/>
  <c r="CR272" i="11"/>
  <c r="CS272" i="11"/>
  <c r="CB272" i="11"/>
  <c r="CA272" i="11"/>
  <c r="L272" i="11"/>
  <c r="DC272" i="11"/>
  <c r="M272" i="11"/>
  <c r="AL272" i="11"/>
  <c r="AK272" i="11"/>
  <c r="BJ130" i="11"/>
  <c r="BK130" i="11"/>
  <c r="AK130" i="11"/>
  <c r="AL130" i="11"/>
  <c r="BC130" i="11"/>
  <c r="BB130" i="11"/>
  <c r="BJ272" i="11"/>
  <c r="BK272" i="11"/>
  <c r="C5359" i="3"/>
  <c r="CN195" i="11"/>
  <c r="AR195" i="11"/>
  <c r="CE195" i="11"/>
  <c r="BI195" i="11"/>
  <c r="BQ195" i="11"/>
  <c r="BN195" i="11"/>
  <c r="CG195" i="11"/>
  <c r="BO195" i="11"/>
  <c r="K195" i="11"/>
  <c r="BE195" i="11"/>
  <c r="O195" i="11"/>
  <c r="BG195" i="11"/>
  <c r="BY195" i="11"/>
  <c r="H195" i="11"/>
  <c r="BZ195" i="11"/>
  <c r="AB195" i="11"/>
  <c r="AZ195" i="11"/>
  <c r="CP195" i="11"/>
  <c r="CL195" i="11"/>
  <c r="AY195" i="11"/>
  <c r="AS195" i="11"/>
  <c r="AH195" i="11"/>
  <c r="CF195" i="11"/>
  <c r="R195" i="11"/>
  <c r="CQ195" i="11"/>
  <c r="Q195" i="11"/>
  <c r="S195" i="11"/>
  <c r="P195" i="11"/>
  <c r="AO195" i="11"/>
  <c r="AQ195" i="11"/>
  <c r="AP195" i="11"/>
  <c r="BA195" i="11"/>
  <c r="BH195" i="11"/>
  <c r="BV195" i="11"/>
  <c r="BM195" i="11"/>
  <c r="AW195" i="11"/>
  <c r="BP195" i="11"/>
  <c r="Z195" i="11"/>
  <c r="BW195" i="11"/>
  <c r="X195" i="11"/>
  <c r="AA195" i="11"/>
  <c r="BX195" i="11"/>
  <c r="CM195" i="11"/>
  <c r="BR195" i="11"/>
  <c r="AG195" i="11"/>
  <c r="CD195" i="11"/>
  <c r="J195" i="11"/>
  <c r="G195" i="11"/>
  <c r="CO195" i="11"/>
  <c r="AN195" i="11"/>
  <c r="CH195" i="11"/>
  <c r="AX195" i="11"/>
  <c r="Y195" i="11"/>
  <c r="AJ195" i="11"/>
  <c r="I195" i="11"/>
  <c r="AF195" i="11"/>
  <c r="AI195" i="11"/>
  <c r="BF195" i="11"/>
  <c r="T195" i="11"/>
  <c r="U130" i="11"/>
  <c r="V130" i="11"/>
  <c r="CI130" i="11"/>
  <c r="CJ130" i="11"/>
  <c r="AC272" i="11"/>
  <c r="AD272" i="11"/>
  <c r="BS130" i="11"/>
  <c r="BT130" i="11"/>
  <c r="C5294" i="3"/>
  <c r="CY112" i="11" s="1"/>
  <c r="CZ112" i="11" s="1"/>
  <c r="BN111" i="11"/>
  <c r="AX111" i="11"/>
  <c r="BE111" i="11"/>
  <c r="CM111" i="11"/>
  <c r="BA111" i="11"/>
  <c r="AN111" i="11"/>
  <c r="AQ111" i="11"/>
  <c r="I111" i="11"/>
  <c r="BZ111" i="11"/>
  <c r="BO111" i="11"/>
  <c r="BX111" i="11"/>
  <c r="CD111" i="11"/>
  <c r="BM111" i="11"/>
  <c r="CL111" i="11"/>
  <c r="BH111" i="11"/>
  <c r="CP111" i="11"/>
  <c r="CN111" i="11"/>
  <c r="X111" i="11"/>
  <c r="P111" i="11"/>
  <c r="AG111" i="11"/>
  <c r="AB111" i="11"/>
  <c r="J111" i="11"/>
  <c r="AH111" i="11"/>
  <c r="T111" i="11"/>
  <c r="CH111" i="11"/>
  <c r="BV111" i="11"/>
  <c r="BP111" i="11"/>
  <c r="AZ111" i="11"/>
  <c r="CO111" i="11"/>
  <c r="BG111" i="11"/>
  <c r="AA111" i="11"/>
  <c r="Y111" i="11"/>
  <c r="H111" i="11"/>
  <c r="AF111" i="11"/>
  <c r="AR111" i="11"/>
  <c r="AJ111" i="11"/>
  <c r="AO111" i="11"/>
  <c r="Z111" i="11"/>
  <c r="AS111" i="11"/>
  <c r="BI111" i="11"/>
  <c r="CF111" i="11"/>
  <c r="BY111" i="11"/>
  <c r="BW111" i="11"/>
  <c r="AY111" i="11"/>
  <c r="AP111" i="11"/>
  <c r="BF111" i="11"/>
  <c r="AI111" i="11"/>
  <c r="O111" i="11"/>
  <c r="Q111" i="11"/>
  <c r="R111" i="11"/>
  <c r="K111" i="11"/>
  <c r="G111" i="11"/>
  <c r="S111" i="11"/>
  <c r="BR111" i="11"/>
  <c r="CQ111" i="11"/>
  <c r="AW111" i="11"/>
  <c r="CE111" i="11"/>
  <c r="BQ111" i="11"/>
  <c r="CG111" i="11"/>
  <c r="AL227" i="11"/>
  <c r="BS272" i="11"/>
  <c r="BT272" i="11"/>
  <c r="CI272" i="11"/>
  <c r="CJ272" i="11"/>
  <c r="CB130" i="11"/>
  <c r="CA130" i="11"/>
  <c r="AU130" i="11"/>
  <c r="AT130" i="11"/>
  <c r="V272" i="11"/>
  <c r="U272" i="11"/>
  <c r="BB272" i="11"/>
  <c r="BC272" i="11"/>
  <c r="DC130" i="11"/>
  <c r="L130" i="11"/>
  <c r="M130" i="11"/>
  <c r="CR130" i="11"/>
  <c r="CS130" i="11"/>
  <c r="C5338" i="3"/>
  <c r="C5339" i="3" s="1"/>
  <c r="AT272" i="11"/>
  <c r="AU272" i="11"/>
  <c r="AC130" i="11"/>
  <c r="AD130" i="11"/>
  <c r="C5341" i="3"/>
  <c r="C5342" i="3" s="1"/>
  <c r="C5343" i="3" s="1"/>
  <c r="C5344" i="3" s="1"/>
  <c r="C5345" i="3" s="1"/>
  <c r="C5346" i="3" s="1"/>
  <c r="C5347" i="3" s="1"/>
  <c r="C5348" i="3" s="1"/>
  <c r="C5349" i="3" s="1"/>
  <c r="C5350" i="3" s="1"/>
  <c r="C5314" i="3"/>
  <c r="CW112" i="11" l="1"/>
  <c r="CX112" i="11"/>
  <c r="CU112" i="11"/>
  <c r="CV112" i="11"/>
  <c r="C5360" i="3"/>
  <c r="CY120" i="11" s="1"/>
  <c r="CZ120" i="11" s="1"/>
  <c r="AR283" i="11"/>
  <c r="P283" i="11"/>
  <c r="AY283" i="11"/>
  <c r="BY283" i="11"/>
  <c r="BF283" i="11"/>
  <c r="AX283" i="11"/>
  <c r="CE283" i="11"/>
  <c r="BO283" i="11"/>
  <c r="CM283" i="11"/>
  <c r="J283" i="11"/>
  <c r="BM283" i="11"/>
  <c r="BP283" i="11"/>
  <c r="Z283" i="11"/>
  <c r="CN283" i="11"/>
  <c r="X283" i="11"/>
  <c r="BR283" i="11"/>
  <c r="AA283" i="11"/>
  <c r="BG283" i="11"/>
  <c r="BQ283" i="11"/>
  <c r="K283" i="11"/>
  <c r="BV283" i="11"/>
  <c r="CH283" i="11"/>
  <c r="AG283" i="11"/>
  <c r="CG283" i="11"/>
  <c r="AQ283" i="11"/>
  <c r="AS283" i="11"/>
  <c r="R283" i="11"/>
  <c r="CF283" i="11"/>
  <c r="AP283" i="11"/>
  <c r="AF283" i="11"/>
  <c r="CO283" i="11"/>
  <c r="BI283" i="11"/>
  <c r="S283" i="11"/>
  <c r="Q283" i="11"/>
  <c r="BH283" i="11"/>
  <c r="AO283" i="11"/>
  <c r="I283" i="11"/>
  <c r="CD283" i="11"/>
  <c r="CL283" i="11"/>
  <c r="Y283" i="11"/>
  <c r="T283" i="11"/>
  <c r="CQ283" i="11"/>
  <c r="H283" i="11"/>
  <c r="AJ283" i="11"/>
  <c r="BN283" i="11"/>
  <c r="AW283" i="11"/>
  <c r="BE283" i="11"/>
  <c r="BZ283" i="11"/>
  <c r="BX283" i="11"/>
  <c r="G283" i="11"/>
  <c r="AN283" i="11"/>
  <c r="O283" i="11"/>
  <c r="AI283" i="11"/>
  <c r="BA283" i="11"/>
  <c r="AZ283" i="11"/>
  <c r="CP283" i="11"/>
  <c r="BW283" i="11"/>
  <c r="AH283" i="11"/>
  <c r="AB283" i="11"/>
  <c r="C5315" i="3"/>
  <c r="C5316" i="3" s="1"/>
  <c r="C5317" i="3" s="1"/>
  <c r="C5318" i="3" s="1"/>
  <c r="C5319" i="3" s="1"/>
  <c r="C5320" i="3" s="1"/>
  <c r="C5321" i="3" s="1"/>
  <c r="C5322" i="3" s="1"/>
  <c r="C5323" i="3" s="1"/>
  <c r="C5325" i="3" s="1"/>
  <c r="AL111" i="11"/>
  <c r="AK111" i="11"/>
  <c r="U111" i="11"/>
  <c r="V111" i="11"/>
  <c r="AK195" i="11"/>
  <c r="AL195" i="11"/>
  <c r="AU195" i="11"/>
  <c r="AT195" i="11"/>
  <c r="CA195" i="11"/>
  <c r="CB195" i="11"/>
  <c r="L195" i="11"/>
  <c r="M195" i="11"/>
  <c r="DC195" i="11"/>
  <c r="U195" i="11"/>
  <c r="V195" i="11"/>
  <c r="BB195" i="11"/>
  <c r="BC195" i="11"/>
  <c r="BJ111" i="11"/>
  <c r="BK111" i="11"/>
  <c r="CS195" i="11"/>
  <c r="CR195" i="11"/>
  <c r="DC111" i="11"/>
  <c r="M111" i="11"/>
  <c r="L111" i="11"/>
  <c r="AU111" i="11"/>
  <c r="AT111" i="11"/>
  <c r="AC111" i="11"/>
  <c r="AD111" i="11"/>
  <c r="CA111" i="11"/>
  <c r="CB111" i="11"/>
  <c r="CI195" i="11"/>
  <c r="CJ195" i="11"/>
  <c r="CR111" i="11"/>
  <c r="CS111" i="11"/>
  <c r="C5295" i="3"/>
  <c r="CY129" i="11" s="1"/>
  <c r="CZ129" i="11" s="1"/>
  <c r="CQ112" i="11"/>
  <c r="AW112" i="11"/>
  <c r="BA112" i="11"/>
  <c r="AS112" i="11"/>
  <c r="J112" i="11"/>
  <c r="X112" i="11"/>
  <c r="K112" i="11"/>
  <c r="BX112" i="11"/>
  <c r="AJ112" i="11"/>
  <c r="I112" i="11"/>
  <c r="BN112" i="11"/>
  <c r="BE112" i="11"/>
  <c r="BZ112" i="11"/>
  <c r="AN112" i="11"/>
  <c r="BP112" i="11"/>
  <c r="O112" i="11"/>
  <c r="AP112" i="11"/>
  <c r="BH112" i="11"/>
  <c r="BQ112" i="11"/>
  <c r="CL112" i="11"/>
  <c r="CF112" i="11"/>
  <c r="P112" i="11"/>
  <c r="H112" i="11"/>
  <c r="BO112" i="11"/>
  <c r="AQ112" i="11"/>
  <c r="CO112" i="11"/>
  <c r="AB112" i="11"/>
  <c r="Q112" i="11"/>
  <c r="AZ112" i="11"/>
  <c r="BI112" i="11"/>
  <c r="BF112" i="11"/>
  <c r="AA112" i="11"/>
  <c r="CH112" i="11"/>
  <c r="CG112" i="11"/>
  <c r="T112" i="11"/>
  <c r="Z112" i="11"/>
  <c r="G112" i="11"/>
  <c r="BR112" i="11"/>
  <c r="AF112" i="11"/>
  <c r="AG112" i="11"/>
  <c r="BY112" i="11"/>
  <c r="AY112" i="11"/>
  <c r="CM112" i="11"/>
  <c r="CD112" i="11"/>
  <c r="AR112" i="11"/>
  <c r="BM112" i="11"/>
  <c r="AI112" i="11"/>
  <c r="R112" i="11"/>
  <c r="S112" i="11"/>
  <c r="CP112" i="11"/>
  <c r="CE112" i="11"/>
  <c r="Y112" i="11"/>
  <c r="BG112" i="11"/>
  <c r="CN112" i="11"/>
  <c r="AH112" i="11"/>
  <c r="BW112" i="11"/>
  <c r="AX112" i="11"/>
  <c r="BV112" i="11"/>
  <c r="AO112" i="11"/>
  <c r="BS195" i="11"/>
  <c r="BT195" i="11"/>
  <c r="BT111" i="11"/>
  <c r="BS111" i="11"/>
  <c r="CI111" i="11"/>
  <c r="CJ111" i="11"/>
  <c r="BB111" i="11"/>
  <c r="BC111" i="11"/>
  <c r="AC195" i="11"/>
  <c r="AD195" i="11"/>
  <c r="BK195" i="11"/>
  <c r="BJ195" i="11"/>
  <c r="AY120" i="11"/>
  <c r="CP120" i="11"/>
  <c r="G120" i="11"/>
  <c r="BQ120" i="11"/>
  <c r="AB120" i="11"/>
  <c r="X120" i="11"/>
  <c r="BM120" i="11"/>
  <c r="Q120" i="11"/>
  <c r="BI120" i="11"/>
  <c r="CM120" i="11"/>
  <c r="BO120" i="11"/>
  <c r="CW129" i="11" l="1"/>
  <c r="CX129" i="11"/>
  <c r="CU129" i="11"/>
  <c r="CV129" i="11"/>
  <c r="CW120" i="11"/>
  <c r="CU120" i="11"/>
  <c r="CX120" i="11"/>
  <c r="CV120" i="11"/>
  <c r="H120" i="11"/>
  <c r="CN120" i="11"/>
  <c r="AZ120" i="11"/>
  <c r="R120" i="11"/>
  <c r="T120" i="11"/>
  <c r="V120" i="11" s="1"/>
  <c r="BV120" i="11"/>
  <c r="AS120" i="11"/>
  <c r="AT120" i="11" s="1"/>
  <c r="J120" i="11"/>
  <c r="CQ120" i="11"/>
  <c r="CS120" i="11" s="1"/>
  <c r="AN120" i="11"/>
  <c r="BR120" i="11"/>
  <c r="BS120" i="11" s="1"/>
  <c r="BN120" i="11"/>
  <c r="BG120" i="11"/>
  <c r="CL120" i="11"/>
  <c r="BZ120" i="11"/>
  <c r="CA120" i="11" s="1"/>
  <c r="AP120" i="11"/>
  <c r="CG120" i="11"/>
  <c r="CO120" i="11"/>
  <c r="AQ120" i="11"/>
  <c r="BX120" i="11"/>
  <c r="S120" i="11"/>
  <c r="BE120" i="11"/>
  <c r="Z120" i="11"/>
  <c r="AJ120" i="11"/>
  <c r="AK120" i="11" s="1"/>
  <c r="K120" i="11"/>
  <c r="M120" i="11" s="1"/>
  <c r="I120" i="11"/>
  <c r="AA120" i="11"/>
  <c r="CF120" i="11"/>
  <c r="Y120" i="11"/>
  <c r="C5361" i="3"/>
  <c r="AG120" i="11"/>
  <c r="CD120" i="11"/>
  <c r="AO120" i="11"/>
  <c r="AI120" i="11"/>
  <c r="AW120" i="11"/>
  <c r="AX120" i="11"/>
  <c r="O120" i="11"/>
  <c r="CH120" i="11"/>
  <c r="CJ120" i="11" s="1"/>
  <c r="AF120" i="11"/>
  <c r="BW120" i="11"/>
  <c r="BP120" i="11"/>
  <c r="BA120" i="11"/>
  <c r="BB120" i="11" s="1"/>
  <c r="P120" i="11"/>
  <c r="BY120" i="11"/>
  <c r="AR120" i="11"/>
  <c r="BF120" i="11"/>
  <c r="AH120" i="11"/>
  <c r="CE120" i="11"/>
  <c r="BH120" i="11"/>
  <c r="CJ283" i="11"/>
  <c r="CI283" i="11"/>
  <c r="BT283" i="11"/>
  <c r="BS283" i="11"/>
  <c r="AC283" i="11"/>
  <c r="AD283" i="11"/>
  <c r="BB283" i="11"/>
  <c r="BC283" i="11"/>
  <c r="CA283" i="11"/>
  <c r="CB283" i="11"/>
  <c r="CR283" i="11"/>
  <c r="CS283" i="11"/>
  <c r="BJ283" i="11"/>
  <c r="BK283" i="11"/>
  <c r="V283" i="11"/>
  <c r="U283" i="11"/>
  <c r="AT283" i="11"/>
  <c r="AU283" i="11"/>
  <c r="L283" i="11"/>
  <c r="DC283" i="11"/>
  <c r="M283" i="11"/>
  <c r="AK283" i="11"/>
  <c r="AL283" i="11"/>
  <c r="BJ120" i="11"/>
  <c r="BK120" i="11"/>
  <c r="AD120" i="11"/>
  <c r="AC120" i="11"/>
  <c r="C5296" i="3"/>
  <c r="CY124" i="11" s="1"/>
  <c r="CZ124" i="11" s="1"/>
  <c r="AZ129" i="11"/>
  <c r="BG129" i="11"/>
  <c r="BA129" i="11"/>
  <c r="CO129" i="11"/>
  <c r="AG129" i="11"/>
  <c r="AS129" i="11"/>
  <c r="R129" i="11"/>
  <c r="K129" i="11"/>
  <c r="AQ129" i="11"/>
  <c r="S129" i="11"/>
  <c r="CQ129" i="11"/>
  <c r="CH129" i="11"/>
  <c r="AR129" i="11"/>
  <c r="BP129" i="11"/>
  <c r="CE129" i="11"/>
  <c r="AX129" i="11"/>
  <c r="BF129" i="11"/>
  <c r="CN129" i="11"/>
  <c r="AO129" i="11"/>
  <c r="X129" i="11"/>
  <c r="Y129" i="11"/>
  <c r="AF129" i="11"/>
  <c r="AH129" i="11"/>
  <c r="BZ129" i="11"/>
  <c r="BO129" i="11"/>
  <c r="AW129" i="11"/>
  <c r="BV129" i="11"/>
  <c r="CD129" i="11"/>
  <c r="BN129" i="11"/>
  <c r="BE129" i="11"/>
  <c r="CM129" i="11"/>
  <c r="AY129" i="11"/>
  <c r="O129" i="11"/>
  <c r="Q129" i="11"/>
  <c r="J129" i="11"/>
  <c r="P129" i="11"/>
  <c r="AB129" i="11"/>
  <c r="G129" i="11"/>
  <c r="AI129" i="11"/>
  <c r="T129" i="11"/>
  <c r="BI129" i="11"/>
  <c r="CF129" i="11"/>
  <c r="BQ129" i="11"/>
  <c r="BX129" i="11"/>
  <c r="BM129" i="11"/>
  <c r="BH129" i="11"/>
  <c r="CP129" i="11"/>
  <c r="CL129" i="11"/>
  <c r="H129" i="11"/>
  <c r="Z129" i="11"/>
  <c r="AN129" i="11"/>
  <c r="I129" i="11"/>
  <c r="AJ129" i="11"/>
  <c r="AP129" i="11"/>
  <c r="AA129" i="11"/>
  <c r="BR129" i="11"/>
  <c r="CG129" i="11"/>
  <c r="BW129" i="11"/>
  <c r="BY129" i="11"/>
  <c r="BS112" i="11"/>
  <c r="BT112" i="11"/>
  <c r="CI112" i="11"/>
  <c r="CJ112" i="11"/>
  <c r="AU112" i="11"/>
  <c r="AT112" i="11"/>
  <c r="C5362" i="3"/>
  <c r="AD112" i="11"/>
  <c r="AC112" i="11"/>
  <c r="AK112" i="11"/>
  <c r="AL112" i="11"/>
  <c r="BB112" i="11"/>
  <c r="BC112" i="11"/>
  <c r="U112" i="11"/>
  <c r="V112" i="11"/>
  <c r="BJ112" i="11"/>
  <c r="BK112" i="11"/>
  <c r="CA112" i="11"/>
  <c r="CB112" i="11"/>
  <c r="L112" i="11"/>
  <c r="M112" i="11"/>
  <c r="DC112" i="11"/>
  <c r="CS112" i="11"/>
  <c r="CR112" i="11"/>
  <c r="AU120" i="11" l="1"/>
  <c r="CW124" i="11"/>
  <c r="CU124" i="11"/>
  <c r="CX124" i="11"/>
  <c r="CV124" i="11"/>
  <c r="L120" i="11"/>
  <c r="CI120" i="11"/>
  <c r="CB120" i="11"/>
  <c r="CR120" i="11"/>
  <c r="AL120" i="11"/>
  <c r="BC120" i="11"/>
  <c r="U120" i="11"/>
  <c r="DC120" i="11"/>
  <c r="BT120" i="11"/>
  <c r="BS129" i="11"/>
  <c r="BT129" i="11"/>
  <c r="CJ129" i="11"/>
  <c r="CI129" i="11"/>
  <c r="AP7" i="11"/>
  <c r="G7" i="11"/>
  <c r="BM7" i="11"/>
  <c r="AN7" i="11"/>
  <c r="CE7" i="11"/>
  <c r="CH7" i="11"/>
  <c r="BI7" i="11"/>
  <c r="AG7" i="11"/>
  <c r="BR7" i="11"/>
  <c r="AW7" i="11"/>
  <c r="C5363" i="3"/>
  <c r="C5364" i="3" s="1"/>
  <c r="C5365" i="3" s="1"/>
  <c r="C5366" i="3" s="1"/>
  <c r="C5367" i="3" s="1"/>
  <c r="C5368" i="3" s="1"/>
  <c r="P7" i="11"/>
  <c r="AS7" i="11"/>
  <c r="CV7" i="11"/>
  <c r="BP7" i="11"/>
  <c r="BG7" i="11"/>
  <c r="Y7" i="11"/>
  <c r="AJ7" i="11"/>
  <c r="AX7" i="11"/>
  <c r="Z7" i="11"/>
  <c r="BZ7" i="11"/>
  <c r="BN7" i="11"/>
  <c r="AF7" i="11"/>
  <c r="BW7" i="11"/>
  <c r="BX7" i="11"/>
  <c r="S7" i="11"/>
  <c r="AA7" i="11"/>
  <c r="CY7" i="11"/>
  <c r="J7" i="11"/>
  <c r="BY7" i="11"/>
  <c r="CP7" i="11"/>
  <c r="O7" i="11"/>
  <c r="BA7" i="11"/>
  <c r="I7" i="11"/>
  <c r="AB7" i="11"/>
  <c r="CU7" i="11"/>
  <c r="R7" i="11"/>
  <c r="CM7" i="11"/>
  <c r="Q7" i="11"/>
  <c r="CG7" i="11"/>
  <c r="CQ7" i="11"/>
  <c r="BQ7" i="11"/>
  <c r="AI7" i="11"/>
  <c r="CX7" i="11"/>
  <c r="AR7" i="11"/>
  <c r="CN7" i="11"/>
  <c r="AZ7" i="11"/>
  <c r="H7" i="11"/>
  <c r="CL7" i="11"/>
  <c r="T7" i="11"/>
  <c r="AO7" i="11"/>
  <c r="AY7" i="11"/>
  <c r="X7" i="11"/>
  <c r="AH7" i="11"/>
  <c r="AQ7" i="11"/>
  <c r="BH7" i="11"/>
  <c r="CO7" i="11"/>
  <c r="BV7" i="11"/>
  <c r="K7" i="11"/>
  <c r="CF7" i="11"/>
  <c r="BE7" i="11"/>
  <c r="CD7" i="11"/>
  <c r="BO7" i="11"/>
  <c r="BF7" i="11"/>
  <c r="CW7" i="11"/>
  <c r="CR129" i="11"/>
  <c r="CS129" i="11"/>
  <c r="AU129" i="11"/>
  <c r="AT129" i="11"/>
  <c r="AY124" i="11"/>
  <c r="BE124" i="11"/>
  <c r="CM124" i="11"/>
  <c r="CN124" i="11"/>
  <c r="G124" i="11"/>
  <c r="AQ124" i="11"/>
  <c r="AH124" i="11"/>
  <c r="K124" i="11"/>
  <c r="X124" i="11"/>
  <c r="T124" i="11"/>
  <c r="CQ124" i="11"/>
  <c r="BX124" i="11"/>
  <c r="BV124" i="11"/>
  <c r="CG124" i="11"/>
  <c r="BW124" i="11"/>
  <c r="BN124" i="11"/>
  <c r="AX124" i="11"/>
  <c r="BH124" i="11"/>
  <c r="CP124" i="11"/>
  <c r="AA124" i="11"/>
  <c r="H124" i="11"/>
  <c r="P124" i="11"/>
  <c r="AR124" i="11"/>
  <c r="AO124" i="11"/>
  <c r="AG124" i="11"/>
  <c r="AJ124" i="11"/>
  <c r="BZ124" i="11"/>
  <c r="BQ124" i="11"/>
  <c r="AW124" i="11"/>
  <c r="I124" i="11"/>
  <c r="BM124" i="11"/>
  <c r="CL124" i="11"/>
  <c r="BG124" i="11"/>
  <c r="Y124" i="11"/>
  <c r="AI124" i="11"/>
  <c r="R124" i="11"/>
  <c r="J124" i="11"/>
  <c r="Z124" i="11"/>
  <c r="AS124" i="11"/>
  <c r="AF124" i="11"/>
  <c r="BI124" i="11"/>
  <c r="BY124" i="11"/>
  <c r="BO124" i="11"/>
  <c r="CE124" i="11"/>
  <c r="AZ124" i="11"/>
  <c r="CO124" i="11"/>
  <c r="BF124" i="11"/>
  <c r="BA124" i="11"/>
  <c r="O124" i="11"/>
  <c r="AP124" i="11"/>
  <c r="Q124" i="11"/>
  <c r="S124" i="11"/>
  <c r="AN124" i="11"/>
  <c r="AB124" i="11"/>
  <c r="CH124" i="11"/>
  <c r="BR124" i="11"/>
  <c r="BP124" i="11"/>
  <c r="CF124" i="11"/>
  <c r="CD124" i="11"/>
  <c r="C5297" i="3"/>
  <c r="AC129" i="11"/>
  <c r="AD129" i="11"/>
  <c r="CA129" i="11"/>
  <c r="CB129" i="11"/>
  <c r="AL129" i="11"/>
  <c r="AK129" i="11"/>
  <c r="BK129" i="11"/>
  <c r="BJ129" i="11"/>
  <c r="BC129" i="11"/>
  <c r="BB129" i="11"/>
  <c r="V129" i="11"/>
  <c r="U129" i="11"/>
  <c r="DC129" i="11"/>
  <c r="M129" i="11"/>
  <c r="L129" i="11"/>
  <c r="CZ7" i="11" l="1"/>
  <c r="CS124" i="11"/>
  <c r="CR124" i="11"/>
  <c r="AT124" i="11"/>
  <c r="AU124" i="11"/>
  <c r="CB124" i="11"/>
  <c r="CA124" i="11"/>
  <c r="U124" i="11"/>
  <c r="V124" i="11"/>
  <c r="BC7" i="11"/>
  <c r="BB7" i="11"/>
  <c r="CA7" i="11"/>
  <c r="CB7" i="11"/>
  <c r="BS7" i="11"/>
  <c r="BT7" i="11"/>
  <c r="C5298" i="3"/>
  <c r="G320" i="11"/>
  <c r="CD320" i="11"/>
  <c r="X320" i="11"/>
  <c r="CG320" i="11"/>
  <c r="AN320" i="11"/>
  <c r="BA320" i="11"/>
  <c r="O320" i="11"/>
  <c r="T320" i="11"/>
  <c r="CF320" i="11"/>
  <c r="Q320" i="11"/>
  <c r="BG320" i="11"/>
  <c r="BZ320" i="11"/>
  <c r="BH320" i="11"/>
  <c r="BE320" i="11"/>
  <c r="H320" i="11"/>
  <c r="BX320" i="11"/>
  <c r="BQ320" i="11"/>
  <c r="AW320" i="11"/>
  <c r="BN320" i="11"/>
  <c r="BM320" i="11"/>
  <c r="AG320" i="11"/>
  <c r="AY320" i="11"/>
  <c r="I320" i="11"/>
  <c r="BR320" i="11"/>
  <c r="AH320" i="11"/>
  <c r="BY320" i="11"/>
  <c r="CO320" i="11"/>
  <c r="Z320" i="11"/>
  <c r="AR320" i="11"/>
  <c r="AB320" i="11"/>
  <c r="CN320" i="11"/>
  <c r="CQ320" i="11"/>
  <c r="AS320" i="11"/>
  <c r="BI320" i="11"/>
  <c r="S320" i="11"/>
  <c r="CE320" i="11"/>
  <c r="BF320" i="11"/>
  <c r="BW320" i="11"/>
  <c r="P320" i="11"/>
  <c r="AX320" i="11"/>
  <c r="CM320" i="11"/>
  <c r="CL320" i="11"/>
  <c r="AF320" i="11"/>
  <c r="AA320" i="11"/>
  <c r="AI320" i="11"/>
  <c r="Y320" i="11"/>
  <c r="R320" i="11"/>
  <c r="CP320" i="11"/>
  <c r="J320" i="11"/>
  <c r="BV320" i="11"/>
  <c r="AZ320" i="11"/>
  <c r="AO320" i="11"/>
  <c r="BP320" i="11"/>
  <c r="BO320" i="11"/>
  <c r="CH320" i="11"/>
  <c r="AQ320" i="11"/>
  <c r="K320" i="11"/>
  <c r="AJ320" i="11"/>
  <c r="AP320" i="11"/>
  <c r="BB124" i="11"/>
  <c r="BC124" i="11"/>
  <c r="AL124" i="11"/>
  <c r="AK124" i="11"/>
  <c r="V7" i="11"/>
  <c r="U7" i="11"/>
  <c r="CI124" i="11"/>
  <c r="CJ124" i="11"/>
  <c r="AD124" i="11"/>
  <c r="AC124" i="11"/>
  <c r="BJ124" i="11"/>
  <c r="BK124" i="11"/>
  <c r="AT7" i="11"/>
  <c r="AU7" i="11"/>
  <c r="BJ7" i="11"/>
  <c r="BK7" i="11"/>
  <c r="DC124" i="11"/>
  <c r="M124" i="11"/>
  <c r="L124" i="11"/>
  <c r="AL7" i="11"/>
  <c r="AK7" i="11"/>
  <c r="CI7" i="11"/>
  <c r="CJ7" i="11"/>
  <c r="BT124" i="11"/>
  <c r="BS124" i="11"/>
  <c r="DC7" i="11"/>
  <c r="M7" i="11"/>
  <c r="L7" i="11"/>
  <c r="CR7" i="11"/>
  <c r="CS7" i="11"/>
  <c r="AD7" i="11"/>
  <c r="AC7" i="11"/>
  <c r="C5369" i="3"/>
  <c r="C5371" i="3" l="1"/>
  <c r="C5372" i="3" s="1"/>
  <c r="C5370" i="3"/>
  <c r="AI15" i="11"/>
  <c r="AR15" i="11"/>
  <c r="BA15" i="11"/>
  <c r="BC15" i="11" s="1"/>
  <c r="BY15" i="11"/>
  <c r="BI15" i="11"/>
  <c r="BJ15" i="11" s="1"/>
  <c r="CM15" i="11"/>
  <c r="O15" i="11"/>
  <c r="CL15" i="11"/>
  <c r="BE15" i="11"/>
  <c r="BG15" i="11"/>
  <c r="BR15" i="11"/>
  <c r="BT15" i="11" s="1"/>
  <c r="Z15" i="11"/>
  <c r="AA15" i="11"/>
  <c r="H15" i="11"/>
  <c r="CF15" i="11"/>
  <c r="BV15" i="11"/>
  <c r="BM15" i="11"/>
  <c r="CP15" i="11"/>
  <c r="AG15" i="11"/>
  <c r="BH15" i="11"/>
  <c r="X15" i="11"/>
  <c r="BN15" i="11"/>
  <c r="CG15" i="11"/>
  <c r="CE15" i="11"/>
  <c r="AJ15" i="11"/>
  <c r="AL15" i="11" s="1"/>
  <c r="AP15" i="11"/>
  <c r="Q15" i="11"/>
  <c r="AZ15" i="11"/>
  <c r="AO15" i="11"/>
  <c r="CQ15" i="11"/>
  <c r="CR15" i="11" s="1"/>
  <c r="AH15" i="11"/>
  <c r="AY15" i="11"/>
  <c r="AN15" i="11"/>
  <c r="AX15" i="11"/>
  <c r="AS15" i="11"/>
  <c r="AT15" i="11" s="1"/>
  <c r="BX15" i="11"/>
  <c r="CD15" i="11"/>
  <c r="I15" i="11"/>
  <c r="BO15" i="11"/>
  <c r="CO15" i="11"/>
  <c r="T15" i="11"/>
  <c r="U15" i="11" s="1"/>
  <c r="BZ15" i="11"/>
  <c r="CA15" i="11" s="1"/>
  <c r="K15" i="11"/>
  <c r="M15" i="11" s="1"/>
  <c r="J15" i="11"/>
  <c r="BW15" i="11"/>
  <c r="BQ15" i="11"/>
  <c r="Y15" i="11"/>
  <c r="BP15" i="11"/>
  <c r="AF15" i="11"/>
  <c r="CR320" i="11"/>
  <c r="CS320" i="11"/>
  <c r="V320" i="11"/>
  <c r="U320" i="11"/>
  <c r="CJ320" i="11"/>
  <c r="CI320" i="11"/>
  <c r="AB15" i="11"/>
  <c r="AQ15" i="11"/>
  <c r="CH15" i="11"/>
  <c r="AC320" i="11"/>
  <c r="AD320" i="11"/>
  <c r="BT320" i="11"/>
  <c r="BS320" i="11"/>
  <c r="CA320" i="11"/>
  <c r="CB320" i="11"/>
  <c r="BC320" i="11"/>
  <c r="BB320" i="11"/>
  <c r="C5299" i="3"/>
  <c r="P15" i="11"/>
  <c r="BF15" i="11"/>
  <c r="CN15" i="11"/>
  <c r="S15" i="11"/>
  <c r="AL320" i="11"/>
  <c r="AK320" i="11"/>
  <c r="BJ320" i="11"/>
  <c r="BK320" i="11"/>
  <c r="G15" i="11"/>
  <c r="R15" i="11"/>
  <c r="AW15" i="11"/>
  <c r="M320" i="11"/>
  <c r="L320" i="11"/>
  <c r="DC320" i="11"/>
  <c r="AU320" i="11"/>
  <c r="AT320" i="11"/>
  <c r="CU299" i="11" l="1"/>
  <c r="CV299" i="11"/>
  <c r="CW299" i="11"/>
  <c r="CX299" i="11"/>
  <c r="BS15" i="11"/>
  <c r="BK15" i="11"/>
  <c r="AK15" i="11"/>
  <c r="CS15" i="11"/>
  <c r="L15" i="11"/>
  <c r="BB15" i="11"/>
  <c r="AU15" i="11"/>
  <c r="DC15" i="11"/>
  <c r="V15" i="11"/>
  <c r="CB15" i="11"/>
  <c r="CI15" i="11"/>
  <c r="CJ15" i="11"/>
  <c r="C5300" i="3"/>
  <c r="AC15" i="11"/>
  <c r="AD15" i="11"/>
  <c r="BA299" i="11"/>
  <c r="AP299" i="11"/>
  <c r="H299" i="11"/>
  <c r="CL299" i="11"/>
  <c r="AY299" i="11"/>
  <c r="T299" i="11"/>
  <c r="AO299" i="11"/>
  <c r="AQ299" i="11"/>
  <c r="BH299" i="11"/>
  <c r="AJ299" i="11"/>
  <c r="BO299" i="11"/>
  <c r="BM299" i="11"/>
  <c r="CM299" i="11"/>
  <c r="Q299" i="11"/>
  <c r="BZ299" i="11"/>
  <c r="CN299" i="11"/>
  <c r="CP299" i="11"/>
  <c r="AW299" i="11"/>
  <c r="AA299" i="11"/>
  <c r="BR299" i="11"/>
  <c r="BI299" i="11"/>
  <c r="O299" i="11"/>
  <c r="CE299" i="11"/>
  <c r="AZ299" i="11"/>
  <c r="X299" i="11"/>
  <c r="AI299" i="11"/>
  <c r="CG299" i="11"/>
  <c r="CH299" i="11"/>
  <c r="K299" i="11"/>
  <c r="CF299" i="11"/>
  <c r="Y299" i="11"/>
  <c r="AR299" i="11"/>
  <c r="AG299" i="11"/>
  <c r="P299" i="11"/>
  <c r="R299" i="11"/>
  <c r="BF299" i="11"/>
  <c r="BW299" i="11"/>
  <c r="AN299" i="11"/>
  <c r="BQ299" i="11"/>
  <c r="BV299" i="11"/>
  <c r="BX299" i="11"/>
  <c r="AF299" i="11"/>
  <c r="BN299" i="11"/>
  <c r="G299" i="11"/>
  <c r="S299" i="11"/>
  <c r="BG299" i="11"/>
  <c r="CD299" i="11"/>
  <c r="BY299" i="11"/>
  <c r="BE299" i="11"/>
  <c r="AX299" i="11"/>
  <c r="J299" i="11"/>
  <c r="C5373" i="3"/>
  <c r="C5374" i="3" s="1"/>
  <c r="C5375" i="3" s="1"/>
  <c r="CO299" i="11"/>
  <c r="CQ299" i="11"/>
  <c r="AB299" i="11"/>
  <c r="BP299" i="11"/>
  <c r="AH299" i="11"/>
  <c r="I299" i="11"/>
  <c r="AS299" i="11"/>
  <c r="Z299" i="11"/>
  <c r="CU313" i="11" l="1"/>
  <c r="CX313" i="11"/>
  <c r="CV313" i="11"/>
  <c r="CW313" i="11"/>
  <c r="DC299" i="11"/>
  <c r="M299" i="11"/>
  <c r="L299" i="11"/>
  <c r="CI299" i="11"/>
  <c r="CJ299" i="11"/>
  <c r="U299" i="11"/>
  <c r="V299" i="11"/>
  <c r="BB299" i="11"/>
  <c r="BC299" i="11"/>
  <c r="C5301" i="3"/>
  <c r="BH313" i="11"/>
  <c r="AX313" i="11"/>
  <c r="AP313" i="11"/>
  <c r="CM313" i="11"/>
  <c r="R313" i="11"/>
  <c r="O313" i="11"/>
  <c r="BF313" i="11"/>
  <c r="BG313" i="11"/>
  <c r="AB313" i="11"/>
  <c r="BW313" i="11"/>
  <c r="Q313" i="11"/>
  <c r="BX313" i="11"/>
  <c r="AZ313" i="11"/>
  <c r="AR313" i="11"/>
  <c r="X313" i="11"/>
  <c r="AI313" i="11"/>
  <c r="CG313" i="11"/>
  <c r="CD313" i="11"/>
  <c r="AJ313" i="11"/>
  <c r="P313" i="11"/>
  <c r="CE313" i="11"/>
  <c r="AW313" i="11"/>
  <c r="T313" i="11"/>
  <c r="AY313" i="11"/>
  <c r="CQ313" i="11"/>
  <c r="BR313" i="11"/>
  <c r="CL313" i="11"/>
  <c r="AG313" i="11"/>
  <c r="BO313" i="11"/>
  <c r="CP313" i="11"/>
  <c r="AF313" i="11"/>
  <c r="CH313" i="11"/>
  <c r="AN313" i="11"/>
  <c r="BE313" i="11"/>
  <c r="J313" i="11"/>
  <c r="Z313" i="11"/>
  <c r="BP313" i="11"/>
  <c r="AA313" i="11"/>
  <c r="S313" i="11"/>
  <c r="H313" i="11"/>
  <c r="BA313" i="11"/>
  <c r="BV313" i="11"/>
  <c r="I313" i="11"/>
  <c r="AH313" i="11"/>
  <c r="BZ313" i="11"/>
  <c r="AQ313" i="11"/>
  <c r="CO313" i="11"/>
  <c r="BQ313" i="11"/>
  <c r="AO313" i="11"/>
  <c r="BY313" i="11"/>
  <c r="BI313" i="11"/>
  <c r="G313" i="11"/>
  <c r="AS313" i="11"/>
  <c r="Y313" i="11"/>
  <c r="BN313" i="11"/>
  <c r="CF313" i="11"/>
  <c r="CN313" i="11"/>
  <c r="K313" i="11"/>
  <c r="BM313" i="11"/>
  <c r="C5376" i="3"/>
  <c r="C5377" i="3" s="1"/>
  <c r="AC299" i="11"/>
  <c r="AD299" i="11"/>
  <c r="BK299" i="11"/>
  <c r="BJ299" i="11"/>
  <c r="AL299" i="11"/>
  <c r="AK299" i="11"/>
  <c r="AT299" i="11"/>
  <c r="AU299" i="11"/>
  <c r="CR299" i="11"/>
  <c r="CS299" i="11"/>
  <c r="BT299" i="11"/>
  <c r="BS299" i="11"/>
  <c r="CB299" i="11"/>
  <c r="CA299" i="11"/>
  <c r="CY18" i="11" l="1"/>
  <c r="CZ18" i="11" s="1"/>
  <c r="CU18" i="11"/>
  <c r="CV18" i="11"/>
  <c r="CW18" i="11"/>
  <c r="CX18" i="11"/>
  <c r="BK313" i="11"/>
  <c r="BJ313" i="11"/>
  <c r="CB313" i="11"/>
  <c r="CA313" i="11"/>
  <c r="AD313" i="11"/>
  <c r="AC313" i="11"/>
  <c r="CJ313" i="11"/>
  <c r="CI313" i="11"/>
  <c r="BS313" i="11"/>
  <c r="BT313" i="11"/>
  <c r="CD18" i="11"/>
  <c r="CF18" i="11"/>
  <c r="AN18" i="11"/>
  <c r="BI18" i="11"/>
  <c r="BV18" i="11"/>
  <c r="AP18" i="11"/>
  <c r="AW18" i="11"/>
  <c r="CG18" i="11"/>
  <c r="CN18" i="11"/>
  <c r="CE18" i="11"/>
  <c r="I18" i="11"/>
  <c r="AO18" i="11"/>
  <c r="BO18" i="11"/>
  <c r="AJ18" i="11"/>
  <c r="C5378" i="3"/>
  <c r="C5379" i="3" s="1"/>
  <c r="AO19" i="11" s="1"/>
  <c r="AQ18" i="11"/>
  <c r="CQ18" i="11"/>
  <c r="BX18" i="11"/>
  <c r="J18" i="11"/>
  <c r="BY18" i="11"/>
  <c r="CH18" i="11"/>
  <c r="AZ18" i="11"/>
  <c r="Q18" i="11"/>
  <c r="Y18" i="11"/>
  <c r="H18" i="11"/>
  <c r="X18" i="11"/>
  <c r="BE18" i="11"/>
  <c r="AG18" i="11"/>
  <c r="BM18" i="11"/>
  <c r="R18" i="11"/>
  <c r="BH18" i="11"/>
  <c r="BA18" i="11"/>
  <c r="BQ18" i="11"/>
  <c r="AY18" i="11"/>
  <c r="CP18" i="11"/>
  <c r="S18" i="11"/>
  <c r="CM18" i="11"/>
  <c r="AF18" i="11"/>
  <c r="O18" i="11"/>
  <c r="BP18" i="11"/>
  <c r="P18" i="11"/>
  <c r="BN18" i="11"/>
  <c r="AH18" i="11"/>
  <c r="AS18" i="11"/>
  <c r="AX18" i="11"/>
  <c r="G18" i="11"/>
  <c r="BF18" i="11"/>
  <c r="CO18" i="11"/>
  <c r="AI18" i="11"/>
  <c r="BZ18" i="11"/>
  <c r="K18" i="11"/>
  <c r="BR18" i="11"/>
  <c r="CL18" i="11"/>
  <c r="BW18" i="11"/>
  <c r="AA18" i="11"/>
  <c r="T18" i="11"/>
  <c r="AR18" i="11"/>
  <c r="AB18" i="11"/>
  <c r="BG18" i="11"/>
  <c r="Z18" i="11"/>
  <c r="CS313" i="11"/>
  <c r="CR313" i="11"/>
  <c r="AL313" i="11"/>
  <c r="AK313" i="11"/>
  <c r="AU313" i="11"/>
  <c r="AT313" i="11"/>
  <c r="BB313" i="11"/>
  <c r="BC313" i="11"/>
  <c r="U313" i="11"/>
  <c r="V313" i="11"/>
  <c r="DC313" i="11"/>
  <c r="M313" i="11"/>
  <c r="L313" i="11"/>
  <c r="BZ19" i="11"/>
  <c r="T19" i="11"/>
  <c r="K19" i="11"/>
  <c r="AQ19" i="11"/>
  <c r="AF19" i="11"/>
  <c r="BQ19" i="11"/>
  <c r="CF19" i="11"/>
  <c r="AB19" i="11"/>
  <c r="G19" i="11"/>
  <c r="Q19" i="11"/>
  <c r="R19" i="11"/>
  <c r="J19" i="11"/>
  <c r="CN19" i="11"/>
  <c r="BP19" i="11"/>
  <c r="BY19" i="11"/>
  <c r="BH19" i="11"/>
  <c r="BE19" i="11"/>
  <c r="BG19" i="11"/>
  <c r="S19" i="11"/>
  <c r="AS19" i="11"/>
  <c r="AX19" i="11"/>
  <c r="AZ19" i="11"/>
  <c r="AH19" i="11"/>
  <c r="P19" i="11"/>
  <c r="H19" i="11"/>
  <c r="AG19" i="11"/>
  <c r="Y19" i="11"/>
  <c r="O19" i="11"/>
  <c r="AR19" i="11"/>
  <c r="CO19" i="11"/>
  <c r="CM19" i="11"/>
  <c r="BM19" i="11"/>
  <c r="CE19" i="11"/>
  <c r="CG19" i="11"/>
  <c r="BI19" i="11"/>
  <c r="BF19" i="11"/>
  <c r="BA19" i="11"/>
  <c r="CH19" i="11"/>
  <c r="BR19" i="11"/>
  <c r="BX19" i="11"/>
  <c r="BO19" i="11"/>
  <c r="BW19" i="11"/>
  <c r="AJ19" i="11"/>
  <c r="BN19" i="11"/>
  <c r="CL19" i="11"/>
  <c r="CP19" i="11"/>
  <c r="Z19" i="11"/>
  <c r="AI19" i="11" l="1"/>
  <c r="X19" i="11"/>
  <c r="C5380" i="3"/>
  <c r="AW19" i="11"/>
  <c r="CY21" i="11"/>
  <c r="CZ21" i="11" s="1"/>
  <c r="CU21" i="11"/>
  <c r="CV21" i="11"/>
  <c r="CW21" i="11"/>
  <c r="CX21" i="11"/>
  <c r="CU19" i="11"/>
  <c r="CX19" i="11"/>
  <c r="CV19" i="11"/>
  <c r="CW19" i="11"/>
  <c r="CY19" i="11"/>
  <c r="CZ19" i="11" s="1"/>
  <c r="AN19" i="11"/>
  <c r="BV19" i="11"/>
  <c r="AA19" i="11"/>
  <c r="CQ19" i="11"/>
  <c r="DC19" i="11" s="1"/>
  <c r="CD19" i="11"/>
  <c r="I19" i="11"/>
  <c r="AY19" i="11"/>
  <c r="AP19" i="11"/>
  <c r="AK18" i="11"/>
  <c r="AL18" i="11"/>
  <c r="AC18" i="11"/>
  <c r="AD18" i="11"/>
  <c r="BT18" i="11"/>
  <c r="BS18" i="11"/>
  <c r="V18" i="11"/>
  <c r="U18" i="11"/>
  <c r="DC18" i="11"/>
  <c r="M18" i="11"/>
  <c r="L18" i="11"/>
  <c r="CR18" i="11"/>
  <c r="CS18" i="11"/>
  <c r="CA18" i="11"/>
  <c r="CB18" i="11"/>
  <c r="AU18" i="11"/>
  <c r="AT18" i="11"/>
  <c r="CJ18" i="11"/>
  <c r="CI18" i="11"/>
  <c r="BJ18" i="11"/>
  <c r="BK18" i="11"/>
  <c r="BB18" i="11"/>
  <c r="BC18" i="11"/>
  <c r="AK19" i="11"/>
  <c r="AL19" i="11"/>
  <c r="CJ19" i="11"/>
  <c r="CI19" i="11"/>
  <c r="BC19" i="11"/>
  <c r="BB19" i="11"/>
  <c r="AT19" i="11"/>
  <c r="AU19" i="11"/>
  <c r="AD19" i="11"/>
  <c r="AC19" i="11"/>
  <c r="V19" i="11"/>
  <c r="U19" i="11"/>
  <c r="BK19" i="11"/>
  <c r="BJ19" i="11"/>
  <c r="CB19" i="11"/>
  <c r="CA19" i="11"/>
  <c r="BT19" i="11"/>
  <c r="BS19" i="11"/>
  <c r="C5381" i="3"/>
  <c r="G21" i="11"/>
  <c r="AG21" i="11"/>
  <c r="BW21" i="11"/>
  <c r="CN21" i="11"/>
  <c r="BX21" i="11"/>
  <c r="CL21" i="11"/>
  <c r="BF21" i="11"/>
  <c r="AI21" i="11"/>
  <c r="CE21" i="11"/>
  <c r="Y21" i="11"/>
  <c r="CF21" i="11"/>
  <c r="Z21" i="11"/>
  <c r="X21" i="11"/>
  <c r="I21" i="11"/>
  <c r="CD21" i="11"/>
  <c r="Q21" i="11"/>
  <c r="BM21" i="11"/>
  <c r="AZ21" i="11"/>
  <c r="BV21" i="11"/>
  <c r="AX21" i="11"/>
  <c r="CG21" i="11"/>
  <c r="BZ21" i="11"/>
  <c r="AA21" i="11"/>
  <c r="BO21" i="11"/>
  <c r="AY21" i="11"/>
  <c r="CP21" i="11"/>
  <c r="AO21" i="11"/>
  <c r="AN21" i="11"/>
  <c r="P21" i="11"/>
  <c r="BN21" i="11"/>
  <c r="H21" i="11"/>
  <c r="S21" i="11"/>
  <c r="AJ21" i="11"/>
  <c r="CH21" i="11"/>
  <c r="CM21" i="11"/>
  <c r="O21" i="11"/>
  <c r="AQ21" i="11"/>
  <c r="AR21" i="11"/>
  <c r="AH21" i="11"/>
  <c r="K21" i="11"/>
  <c r="BA21" i="11"/>
  <c r="AW21" i="11"/>
  <c r="BE21" i="11"/>
  <c r="AP21" i="11"/>
  <c r="BP21" i="11"/>
  <c r="AF21" i="11"/>
  <c r="R21" i="11"/>
  <c r="T21" i="11"/>
  <c r="BI21" i="11"/>
  <c r="AS21" i="11"/>
  <c r="CQ21" i="11"/>
  <c r="BH21" i="11"/>
  <c r="BY21" i="11"/>
  <c r="AB21" i="11"/>
  <c r="BR21" i="11"/>
  <c r="CO21" i="11"/>
  <c r="BQ21" i="11"/>
  <c r="J21" i="11"/>
  <c r="BG21" i="11"/>
  <c r="M19" i="11"/>
  <c r="L19" i="11"/>
  <c r="CR19" i="11" l="1"/>
  <c r="CS19" i="11"/>
  <c r="U21" i="11"/>
  <c r="V21" i="11"/>
  <c r="BC21" i="11"/>
  <c r="BB21" i="11"/>
  <c r="L21" i="11"/>
  <c r="M21" i="11"/>
  <c r="DC21" i="11"/>
  <c r="CJ21" i="11"/>
  <c r="CI21" i="11"/>
  <c r="BS21" i="11"/>
  <c r="BT21" i="11"/>
  <c r="AL21" i="11"/>
  <c r="AK21" i="11"/>
  <c r="CB21" i="11"/>
  <c r="CA21" i="11"/>
  <c r="C5382" i="3"/>
  <c r="CS21" i="11"/>
  <c r="CR21" i="11"/>
  <c r="AD21" i="11"/>
  <c r="AC21" i="11"/>
  <c r="AU21" i="11"/>
  <c r="AT21" i="11"/>
  <c r="BJ21" i="11"/>
  <c r="BK21" i="11"/>
  <c r="C5383" i="3" l="1"/>
  <c r="C5384" i="3" l="1"/>
  <c r="C5385" i="3" s="1"/>
  <c r="C5386" i="3" l="1"/>
  <c r="C5387" i="3" s="1"/>
  <c r="C5388" i="3" s="1"/>
  <c r="C5389" i="3" s="1"/>
  <c r="C5390" i="3" s="1"/>
  <c r="C5392" i="3" s="1"/>
  <c r="CQ36" i="11" l="1"/>
  <c r="CQ44" i="11"/>
  <c r="CQ60" i="11"/>
  <c r="CQ68" i="11"/>
  <c r="CQ76" i="11"/>
  <c r="CQ84" i="11"/>
  <c r="CQ92" i="11"/>
  <c r="CQ140" i="11"/>
  <c r="CQ148" i="11"/>
  <c r="CQ172" i="11"/>
  <c r="CQ180" i="11"/>
  <c r="CQ220" i="11"/>
  <c r="C5393" i="3"/>
  <c r="C5394" i="3" s="1"/>
  <c r="C5395" i="3" s="1"/>
  <c r="C5396" i="3" s="1"/>
  <c r="C5397" i="3" s="1"/>
  <c r="CQ75" i="11"/>
  <c r="CQ83" i="11"/>
  <c r="CQ91" i="11"/>
  <c r="CQ107" i="11"/>
  <c r="CQ163" i="11"/>
  <c r="CQ179" i="11"/>
  <c r="CQ187" i="11"/>
  <c r="CQ219" i="11"/>
  <c r="CQ251" i="11"/>
  <c r="CQ259" i="11"/>
  <c r="CQ267" i="11"/>
  <c r="CQ275" i="11"/>
  <c r="CQ291" i="11"/>
  <c r="CW338" i="11" l="1"/>
  <c r="CX338" i="11"/>
  <c r="CV338" i="11"/>
  <c r="CU338" i="11"/>
  <c r="C5398" i="3"/>
  <c r="H338" i="11"/>
  <c r="BX338" i="11"/>
  <c r="BN338" i="11"/>
  <c r="BF338" i="11"/>
  <c r="J338" i="11"/>
  <c r="AO338" i="11"/>
  <c r="AX338" i="11"/>
  <c r="BQ338" i="11"/>
  <c r="CG338" i="11"/>
  <c r="AS338" i="11"/>
  <c r="S338" i="11"/>
  <c r="BZ338" i="11"/>
  <c r="CF338" i="11"/>
  <c r="AP338" i="11"/>
  <c r="CQ338" i="11"/>
  <c r="BA338" i="11"/>
  <c r="P338" i="11"/>
  <c r="AH338" i="11"/>
  <c r="AQ338" i="11"/>
  <c r="O338" i="11"/>
  <c r="AF338" i="11"/>
  <c r="AW338" i="11"/>
  <c r="G338" i="11"/>
  <c r="AR338" i="11"/>
  <c r="AI338" i="11"/>
  <c r="I338" i="11"/>
  <c r="BH338" i="11"/>
  <c r="R338" i="11"/>
  <c r="CM338" i="11"/>
  <c r="AY338" i="11"/>
  <c r="Y338" i="11"/>
  <c r="CN338" i="11"/>
  <c r="BW338" i="11"/>
  <c r="BI338" i="11"/>
  <c r="AZ338" i="11"/>
  <c r="BO338" i="11"/>
  <c r="CP338" i="11"/>
  <c r="BV338" i="11"/>
  <c r="CL338" i="11"/>
  <c r="CD338" i="11"/>
  <c r="CO338" i="11"/>
  <c r="CE338" i="11"/>
  <c r="X338" i="11"/>
  <c r="BE338" i="11"/>
  <c r="AG338" i="11"/>
  <c r="BY338" i="11"/>
  <c r="AA338" i="11"/>
  <c r="Z338" i="11"/>
  <c r="BM338" i="11"/>
  <c r="T338" i="11"/>
  <c r="K338" i="11"/>
  <c r="AN338" i="11"/>
  <c r="AJ338" i="11"/>
  <c r="CH338" i="11"/>
  <c r="BP338" i="11"/>
  <c r="BR338" i="11"/>
  <c r="AB338" i="11"/>
  <c r="BG338" i="11"/>
  <c r="Q338" i="11"/>
  <c r="BR81" i="11"/>
  <c r="BR89" i="11"/>
  <c r="BR97" i="11"/>
  <c r="BR137" i="11"/>
  <c r="BR217" i="11"/>
  <c r="BR225" i="11"/>
  <c r="BR241" i="11"/>
  <c r="BR257" i="11"/>
  <c r="BR265" i="11"/>
  <c r="BR289" i="11"/>
  <c r="BR58" i="11"/>
  <c r="BR66" i="11"/>
  <c r="BR74" i="11"/>
  <c r="BR72" i="11"/>
  <c r="BR80" i="11"/>
  <c r="BR88" i="11"/>
  <c r="BR96" i="11"/>
  <c r="BR128" i="11"/>
  <c r="BR136" i="11"/>
  <c r="BR160" i="11"/>
  <c r="BR240" i="11"/>
  <c r="BR264" i="11"/>
  <c r="BR280" i="11"/>
  <c r="BR57" i="11"/>
  <c r="BR65" i="11"/>
  <c r="BR73" i="11"/>
  <c r="CS259" i="11"/>
  <c r="CR259" i="11"/>
  <c r="DC259" i="11"/>
  <c r="CS107" i="11"/>
  <c r="CR107" i="11"/>
  <c r="DC107" i="11"/>
  <c r="CS180" i="11"/>
  <c r="CR180" i="11"/>
  <c r="DC180" i="11"/>
  <c r="CS76" i="11"/>
  <c r="CR76" i="11"/>
  <c r="DC76" i="11"/>
  <c r="CS251" i="11"/>
  <c r="CR251" i="11"/>
  <c r="DC251" i="11"/>
  <c r="CR91" i="11"/>
  <c r="CS91" i="11"/>
  <c r="DC91" i="11"/>
  <c r="CR172" i="11"/>
  <c r="CS172" i="11"/>
  <c r="DC172" i="11"/>
  <c r="CR68" i="11"/>
  <c r="CS68" i="11"/>
  <c r="DC68" i="11"/>
  <c r="CR219" i="11"/>
  <c r="CS219" i="11"/>
  <c r="DC219" i="11"/>
  <c r="CS83" i="11"/>
  <c r="CR83" i="11"/>
  <c r="DC83" i="11"/>
  <c r="CS148" i="11"/>
  <c r="CR148" i="11"/>
  <c r="DC148" i="11"/>
  <c r="CS60" i="11"/>
  <c r="CR60" i="11"/>
  <c r="DC60" i="11"/>
  <c r="CS291" i="11"/>
  <c r="CR291" i="11"/>
  <c r="DC291" i="11"/>
  <c r="CR187" i="11"/>
  <c r="CS187" i="11"/>
  <c r="DC187" i="11"/>
  <c r="CR75" i="11"/>
  <c r="CS75" i="11"/>
  <c r="DC75" i="11"/>
  <c r="CS140" i="11"/>
  <c r="CR140" i="11"/>
  <c r="DC140" i="11"/>
  <c r="CS44" i="11"/>
  <c r="CR44" i="11"/>
  <c r="DC44" i="11"/>
  <c r="CR275" i="11"/>
  <c r="CS275" i="11"/>
  <c r="DC275" i="11"/>
  <c r="CS179" i="11"/>
  <c r="CR179" i="11"/>
  <c r="DC179" i="11"/>
  <c r="CS92" i="11"/>
  <c r="CR92" i="11"/>
  <c r="DC92" i="11"/>
  <c r="CS36" i="11"/>
  <c r="CR36" i="11"/>
  <c r="DC36" i="11"/>
  <c r="CR267" i="11"/>
  <c r="CS267" i="11"/>
  <c r="DC267" i="11"/>
  <c r="CS163" i="11"/>
  <c r="CR163" i="11"/>
  <c r="DC163" i="11"/>
  <c r="CS220" i="11"/>
  <c r="CR220" i="11"/>
  <c r="DC220" i="11"/>
  <c r="CR84" i="11"/>
  <c r="CS84" i="11"/>
  <c r="DC84" i="11"/>
  <c r="AC338" i="11" l="1"/>
  <c r="AD338" i="11"/>
  <c r="M338" i="11"/>
  <c r="L338" i="11"/>
  <c r="DC338" i="11"/>
  <c r="CS338" i="11"/>
  <c r="CR338" i="11"/>
  <c r="BT338" i="11"/>
  <c r="BS338" i="11"/>
  <c r="U338" i="11"/>
  <c r="V338" i="11"/>
  <c r="CI338" i="11"/>
  <c r="CJ338" i="11"/>
  <c r="CB338" i="11"/>
  <c r="CA338" i="11"/>
  <c r="C5399" i="3"/>
  <c r="BG194" i="11"/>
  <c r="BW194" i="11"/>
  <c r="AX194" i="11"/>
  <c r="BI194" i="11"/>
  <c r="CE194" i="11"/>
  <c r="BY194" i="11"/>
  <c r="AN194" i="11"/>
  <c r="CD194" i="11"/>
  <c r="T194" i="11"/>
  <c r="AI194" i="11"/>
  <c r="AO194" i="11"/>
  <c r="BV194" i="11"/>
  <c r="CL194" i="11"/>
  <c r="BN194" i="11"/>
  <c r="CG194" i="11"/>
  <c r="CO194" i="11"/>
  <c r="AZ194" i="11"/>
  <c r="R194" i="11"/>
  <c r="BZ194" i="11"/>
  <c r="BX194" i="11"/>
  <c r="CP194" i="11"/>
  <c r="BQ194" i="11"/>
  <c r="CN194" i="11"/>
  <c r="CM194" i="11"/>
  <c r="Y194" i="11"/>
  <c r="I194" i="11"/>
  <c r="CQ194" i="11"/>
  <c r="BP194" i="11"/>
  <c r="AY194" i="11"/>
  <c r="X194" i="11"/>
  <c r="BH194" i="11"/>
  <c r="K194" i="11"/>
  <c r="AS194" i="11"/>
  <c r="S194" i="11"/>
  <c r="BE194" i="11"/>
  <c r="AA194" i="11"/>
  <c r="Z194" i="11"/>
  <c r="AR194" i="11"/>
  <c r="AQ194" i="11"/>
  <c r="AB194" i="11"/>
  <c r="BR194" i="11"/>
  <c r="AF194" i="11"/>
  <c r="CF194" i="11"/>
  <c r="P194" i="11"/>
  <c r="J194" i="11"/>
  <c r="G194" i="11"/>
  <c r="BF194" i="11"/>
  <c r="BO194" i="11"/>
  <c r="AW194" i="11"/>
  <c r="AJ194" i="11"/>
  <c r="AG194" i="11"/>
  <c r="BM194" i="11"/>
  <c r="BA194" i="11"/>
  <c r="CH194" i="11"/>
  <c r="AP194" i="11"/>
  <c r="H194" i="11"/>
  <c r="Q194" i="11"/>
  <c r="AH194" i="11"/>
  <c r="O194" i="11"/>
  <c r="AK338" i="11"/>
  <c r="AL338" i="11"/>
  <c r="BJ338" i="11"/>
  <c r="BK338" i="11"/>
  <c r="BC338" i="11"/>
  <c r="BB338" i="11"/>
  <c r="AT338" i="11"/>
  <c r="AU338" i="11"/>
  <c r="C5475" i="3"/>
  <c r="BS128" i="11"/>
  <c r="BT128" i="11"/>
  <c r="DC128" i="11"/>
  <c r="BS96" i="11"/>
  <c r="BT96" i="11"/>
  <c r="DC96" i="11"/>
  <c r="BT225" i="11"/>
  <c r="BS225" i="11"/>
  <c r="DC225" i="11"/>
  <c r="BS264" i="11"/>
  <c r="BT264" i="11"/>
  <c r="DC264" i="11"/>
  <c r="BT88" i="11"/>
  <c r="BS88" i="11"/>
  <c r="DC88" i="11"/>
  <c r="BT58" i="11"/>
  <c r="BS58" i="11"/>
  <c r="DC58" i="11"/>
  <c r="BT217" i="11"/>
  <c r="BS217" i="11"/>
  <c r="DC217" i="11"/>
  <c r="BS73" i="11"/>
  <c r="BT73" i="11"/>
  <c r="DC73" i="11"/>
  <c r="BT74" i="11"/>
  <c r="BS74" i="11"/>
  <c r="DC74" i="11"/>
  <c r="BT280" i="11"/>
  <c r="BS280" i="11"/>
  <c r="DC280" i="11"/>
  <c r="BT66" i="11"/>
  <c r="BS66" i="11"/>
  <c r="DC66" i="11"/>
  <c r="BT240" i="11"/>
  <c r="BS240" i="11"/>
  <c r="DC240" i="11"/>
  <c r="BS80" i="11"/>
  <c r="BT80" i="11"/>
  <c r="DC80" i="11"/>
  <c r="BS289" i="11"/>
  <c r="BT289" i="11"/>
  <c r="DC289" i="11"/>
  <c r="BS137" i="11"/>
  <c r="BT137" i="11"/>
  <c r="DC137" i="11"/>
  <c r="BT160" i="11"/>
  <c r="BS160" i="11"/>
  <c r="DC160" i="11"/>
  <c r="BT72" i="11"/>
  <c r="BS72" i="11"/>
  <c r="DC72" i="11"/>
  <c r="BS265" i="11"/>
  <c r="BT265" i="11"/>
  <c r="DC265" i="11"/>
  <c r="BS97" i="11"/>
  <c r="BT97" i="11"/>
  <c r="DC97" i="11"/>
  <c r="BT65" i="11"/>
  <c r="BS65" i="11"/>
  <c r="DC65" i="11"/>
  <c r="BT136" i="11"/>
  <c r="BS136" i="11"/>
  <c r="DC136" i="11"/>
  <c r="BT257" i="11"/>
  <c r="BS257" i="11"/>
  <c r="DC257" i="11"/>
  <c r="BT89" i="11"/>
  <c r="BS89" i="11"/>
  <c r="DC89" i="11"/>
  <c r="BS57" i="11"/>
  <c r="BT57" i="11"/>
  <c r="DC57" i="11"/>
  <c r="BS241" i="11"/>
  <c r="BT241" i="11"/>
  <c r="DC241" i="11"/>
  <c r="BS81" i="11"/>
  <c r="BT81" i="11"/>
  <c r="DC81" i="11"/>
  <c r="BS194" i="11" l="1"/>
  <c r="BT194" i="11"/>
  <c r="AC194" i="11"/>
  <c r="AD194" i="11"/>
  <c r="CA194" i="11"/>
  <c r="CB194" i="11"/>
  <c r="BC194" i="11"/>
  <c r="BB194" i="11"/>
  <c r="AK194" i="11"/>
  <c r="AL194" i="11"/>
  <c r="C5400" i="3"/>
  <c r="C5476" i="3"/>
  <c r="C5477" i="3" s="1"/>
  <c r="C5478" i="3" s="1"/>
  <c r="H284" i="11"/>
  <c r="AS284" i="11"/>
  <c r="S284" i="11"/>
  <c r="AJ284" i="11"/>
  <c r="CN284" i="11"/>
  <c r="CL284" i="11"/>
  <c r="AQ284" i="11"/>
  <c r="CD284" i="11"/>
  <c r="Y284" i="11"/>
  <c r="BW284" i="11"/>
  <c r="AZ284" i="11"/>
  <c r="AX284" i="11"/>
  <c r="BM284" i="11"/>
  <c r="Z284" i="11"/>
  <c r="BI284" i="11"/>
  <c r="R284" i="11"/>
  <c r="BX284" i="11"/>
  <c r="P284" i="11"/>
  <c r="BN284" i="11"/>
  <c r="K284" i="11"/>
  <c r="BO284" i="11"/>
  <c r="G284" i="11"/>
  <c r="AI284" i="11"/>
  <c r="AY284" i="11"/>
  <c r="BA284" i="11"/>
  <c r="AB284" i="11"/>
  <c r="BE284" i="11"/>
  <c r="BY284" i="11"/>
  <c r="BQ284" i="11"/>
  <c r="AW284" i="11"/>
  <c r="X284" i="11"/>
  <c r="I284" i="11"/>
  <c r="BV284" i="11"/>
  <c r="BG284" i="11"/>
  <c r="CO284" i="11"/>
  <c r="BH284" i="11"/>
  <c r="AF284" i="11"/>
  <c r="CG284" i="11"/>
  <c r="BP284" i="11"/>
  <c r="AP284" i="11"/>
  <c r="AH284" i="11"/>
  <c r="Q284" i="11"/>
  <c r="AA284" i="11"/>
  <c r="CF284" i="11"/>
  <c r="CE284" i="11"/>
  <c r="AO284" i="11"/>
  <c r="CH284" i="11"/>
  <c r="AN284" i="11"/>
  <c r="AR284" i="11"/>
  <c r="AG284" i="11"/>
  <c r="CP284" i="11"/>
  <c r="BR284" i="11"/>
  <c r="CM284" i="11"/>
  <c r="BZ284" i="11"/>
  <c r="T284" i="11"/>
  <c r="J284" i="11"/>
  <c r="O284" i="11"/>
  <c r="BF284" i="11"/>
  <c r="CQ284" i="11"/>
  <c r="CJ194" i="11"/>
  <c r="CI194" i="11"/>
  <c r="AU194" i="11"/>
  <c r="AT194" i="11"/>
  <c r="BK194" i="11"/>
  <c r="BJ194" i="11"/>
  <c r="DC194" i="11"/>
  <c r="L194" i="11"/>
  <c r="M194" i="11"/>
  <c r="CS194" i="11"/>
  <c r="CR194" i="11"/>
  <c r="U194" i="11"/>
  <c r="V194" i="11"/>
  <c r="C5479" i="3" l="1"/>
  <c r="C5480" i="3" s="1"/>
  <c r="C5481" i="3" s="1"/>
  <c r="C5482" i="3" s="1"/>
  <c r="CY250" i="11" s="1"/>
  <c r="CZ250" i="11" s="1"/>
  <c r="AQ285" i="11"/>
  <c r="AZ285" i="11"/>
  <c r="Y285" i="11"/>
  <c r="BA285" i="11"/>
  <c r="AH285" i="11"/>
  <c r="CM285" i="11"/>
  <c r="BW285" i="11"/>
  <c r="AX285" i="11"/>
  <c r="R285" i="11"/>
  <c r="BY285" i="11"/>
  <c r="P285" i="11"/>
  <c r="AO285" i="11"/>
  <c r="X285" i="11"/>
  <c r="CI284" i="11"/>
  <c r="CJ284" i="11"/>
  <c r="AU284" i="11"/>
  <c r="AT284" i="11"/>
  <c r="C5401" i="3"/>
  <c r="U284" i="11"/>
  <c r="V284" i="11"/>
  <c r="AK284" i="11"/>
  <c r="AL284" i="11"/>
  <c r="CA284" i="11"/>
  <c r="CB284" i="11"/>
  <c r="BJ284" i="11"/>
  <c r="BK284" i="11"/>
  <c r="AD284" i="11"/>
  <c r="AC284" i="11"/>
  <c r="M284" i="11"/>
  <c r="DC284" i="11"/>
  <c r="L284" i="11"/>
  <c r="CR284" i="11"/>
  <c r="CS284" i="11"/>
  <c r="BS284" i="11"/>
  <c r="BT284" i="11"/>
  <c r="BC284" i="11"/>
  <c r="BB284" i="11"/>
  <c r="H285" i="11" l="1"/>
  <c r="BR285" i="11"/>
  <c r="BT285" i="11" s="1"/>
  <c r="BH285" i="11"/>
  <c r="Z285" i="11"/>
  <c r="AB285" i="11"/>
  <c r="AD285" i="11" s="1"/>
  <c r="CG285" i="11"/>
  <c r="BX285" i="11"/>
  <c r="AW285" i="11"/>
  <c r="S285" i="11"/>
  <c r="K285" i="11"/>
  <c r="M285" i="11" s="1"/>
  <c r="CU285" i="11"/>
  <c r="CV285" i="11"/>
  <c r="G285" i="11"/>
  <c r="CP285" i="11"/>
  <c r="CY285" i="11"/>
  <c r="CZ285" i="11" s="1"/>
  <c r="CX285" i="11"/>
  <c r="CW285" i="11"/>
  <c r="CW250" i="11"/>
  <c r="CX250" i="11"/>
  <c r="CV250" i="11"/>
  <c r="CU250" i="11"/>
  <c r="CN285" i="11"/>
  <c r="I285" i="11"/>
  <c r="AA285" i="11"/>
  <c r="CO285" i="11"/>
  <c r="BP285" i="11"/>
  <c r="CH285" i="11"/>
  <c r="CI285" i="11" s="1"/>
  <c r="BQ285" i="11"/>
  <c r="BZ285" i="11"/>
  <c r="CB285" i="11" s="1"/>
  <c r="BV285" i="11"/>
  <c r="AG285" i="11"/>
  <c r="BM285" i="11"/>
  <c r="O285" i="11"/>
  <c r="BO285" i="11"/>
  <c r="Q285" i="11"/>
  <c r="BF285" i="11"/>
  <c r="BI285" i="11"/>
  <c r="BK285" i="11" s="1"/>
  <c r="BN285" i="11"/>
  <c r="CL285" i="11"/>
  <c r="CQ285" i="11"/>
  <c r="CS285" i="11" s="1"/>
  <c r="CF285" i="11"/>
  <c r="AJ285" i="11"/>
  <c r="AK285" i="11" s="1"/>
  <c r="CD285" i="11"/>
  <c r="AP285" i="11"/>
  <c r="CE285" i="11"/>
  <c r="AN285" i="11"/>
  <c r="BE285" i="11"/>
  <c r="AR285" i="11"/>
  <c r="AF285" i="11"/>
  <c r="AY285" i="11"/>
  <c r="J285" i="11"/>
  <c r="BG285" i="11"/>
  <c r="AI285" i="11"/>
  <c r="AS285" i="11"/>
  <c r="AT285" i="11" s="1"/>
  <c r="T285" i="11"/>
  <c r="V285" i="11" s="1"/>
  <c r="BC285" i="11"/>
  <c r="BB285" i="11"/>
  <c r="L285" i="11"/>
  <c r="C5483" i="3"/>
  <c r="C5484" i="3" s="1"/>
  <c r="C5485" i="3" s="1"/>
  <c r="C5486" i="3" s="1"/>
  <c r="K250" i="11"/>
  <c r="Z250" i="11"/>
  <c r="AQ250" i="11"/>
  <c r="I250" i="11"/>
  <c r="Y250" i="11"/>
  <c r="H250" i="11"/>
  <c r="O250" i="11"/>
  <c r="AF250" i="11"/>
  <c r="AN250" i="11"/>
  <c r="P250" i="11"/>
  <c r="AO250" i="11"/>
  <c r="J250" i="11"/>
  <c r="G250" i="11"/>
  <c r="Q250" i="11"/>
  <c r="R250" i="11"/>
  <c r="AH250" i="11"/>
  <c r="X250" i="11"/>
  <c r="AP250" i="11"/>
  <c r="CN250" i="11"/>
  <c r="CL250" i="11"/>
  <c r="BV250" i="11"/>
  <c r="CP250" i="11"/>
  <c r="CO250" i="11"/>
  <c r="BG250" i="11"/>
  <c r="AX250" i="11"/>
  <c r="BM250" i="11"/>
  <c r="BO250" i="11"/>
  <c r="BP250" i="11"/>
  <c r="BW250" i="11"/>
  <c r="BX250" i="11"/>
  <c r="AI250" i="11"/>
  <c r="S250" i="11"/>
  <c r="AA250" i="11"/>
  <c r="AR250" i="11"/>
  <c r="CM250" i="11"/>
  <c r="BF250" i="11"/>
  <c r="AZ250" i="11"/>
  <c r="CD250" i="11"/>
  <c r="CE250" i="11"/>
  <c r="CG250" i="11"/>
  <c r="AW250" i="11"/>
  <c r="CF250" i="11"/>
  <c r="AB250" i="11"/>
  <c r="BR250" i="11"/>
  <c r="BZ250" i="11"/>
  <c r="BI250" i="11"/>
  <c r="T250" i="11"/>
  <c r="AS250" i="11"/>
  <c r="CQ250" i="11"/>
  <c r="BY250" i="11"/>
  <c r="BN250" i="11"/>
  <c r="BQ250" i="11"/>
  <c r="AY250" i="11"/>
  <c r="BA250" i="11"/>
  <c r="BE250" i="11"/>
  <c r="BH250" i="11"/>
  <c r="AG250" i="11"/>
  <c r="AJ250" i="11"/>
  <c r="CH250" i="11"/>
  <c r="C5402" i="3"/>
  <c r="AC285" i="11" l="1"/>
  <c r="BS285" i="11"/>
  <c r="CR285" i="11"/>
  <c r="CA285" i="11"/>
  <c r="CJ285" i="11"/>
  <c r="AL285" i="11"/>
  <c r="BJ285" i="11"/>
  <c r="AU285" i="11"/>
  <c r="U285" i="11"/>
  <c r="DC285" i="11"/>
  <c r="BC250" i="11"/>
  <c r="BB250" i="11"/>
  <c r="CB250" i="11"/>
  <c r="CA250" i="11"/>
  <c r="CI250" i="11"/>
  <c r="CJ250" i="11"/>
  <c r="CR250" i="11"/>
  <c r="CS250" i="11"/>
  <c r="BT250" i="11"/>
  <c r="BS250" i="11"/>
  <c r="AL250" i="11"/>
  <c r="AK250" i="11"/>
  <c r="AU250" i="11"/>
  <c r="AT250" i="11"/>
  <c r="AD250" i="11"/>
  <c r="AC250" i="11"/>
  <c r="L250" i="11"/>
  <c r="M250" i="11"/>
  <c r="DC250" i="11"/>
  <c r="V250" i="11"/>
  <c r="U250" i="11"/>
  <c r="BK250" i="11"/>
  <c r="BJ250" i="11"/>
  <c r="C5487" i="3"/>
  <c r="C5488" i="3" s="1"/>
  <c r="AY182" i="11"/>
  <c r="C5403" i="3"/>
  <c r="BR238" i="11"/>
  <c r="AI238" i="11"/>
  <c r="CO238" i="11"/>
  <c r="Q238" i="11"/>
  <c r="AP238" i="11"/>
  <c r="CH238" i="11"/>
  <c r="AF238" i="11"/>
  <c r="AH238" i="11"/>
  <c r="AB238" i="11"/>
  <c r="AJ238" i="11"/>
  <c r="BZ238" i="11"/>
  <c r="AW238" i="11"/>
  <c r="CQ238" i="11"/>
  <c r="T238" i="11"/>
  <c r="S238" i="11"/>
  <c r="BQ238" i="11"/>
  <c r="H238" i="11"/>
  <c r="BV238" i="11"/>
  <c r="R238" i="11"/>
  <c r="CL238" i="11"/>
  <c r="BF238" i="11"/>
  <c r="AG238" i="11"/>
  <c r="AX238" i="11"/>
  <c r="X238" i="11"/>
  <c r="CD238" i="11"/>
  <c r="BI238" i="11"/>
  <c r="CG238" i="11"/>
  <c r="AZ238" i="11"/>
  <c r="BO238" i="11"/>
  <c r="AN238" i="11"/>
  <c r="BW238" i="11"/>
  <c r="CM238" i="11"/>
  <c r="AS238" i="11"/>
  <c r="Z238" i="11"/>
  <c r="K238" i="11"/>
  <c r="I238" i="11"/>
  <c r="BP238" i="11"/>
  <c r="BA238" i="11"/>
  <c r="CN238" i="11"/>
  <c r="O238" i="11"/>
  <c r="AR238" i="11"/>
  <c r="AO238" i="11"/>
  <c r="Y238" i="11"/>
  <c r="BX238" i="11"/>
  <c r="BM238" i="11"/>
  <c r="BN238" i="11"/>
  <c r="AY238" i="11"/>
  <c r="AA238" i="11"/>
  <c r="BY238" i="11"/>
  <c r="CF238" i="11"/>
  <c r="G238" i="11"/>
  <c r="P238" i="11"/>
  <c r="BE238" i="11"/>
  <c r="J238" i="11"/>
  <c r="CE238" i="11"/>
  <c r="CP238" i="11"/>
  <c r="BH238" i="11"/>
  <c r="BG238" i="11"/>
  <c r="AQ238" i="11"/>
  <c r="CL182" i="11" l="1"/>
  <c r="AH182" i="11"/>
  <c r="CD182" i="11"/>
  <c r="AW182" i="11"/>
  <c r="CP182" i="11"/>
  <c r="Y182" i="11"/>
  <c r="CM182" i="11"/>
  <c r="CQ182" i="11"/>
  <c r="CS182" i="11" s="1"/>
  <c r="CN182" i="11"/>
  <c r="Q182" i="11"/>
  <c r="BF182" i="11"/>
  <c r="CE182" i="11"/>
  <c r="BW182" i="11"/>
  <c r="AR182" i="11"/>
  <c r="BQ182" i="11"/>
  <c r="Z182" i="11"/>
  <c r="AG182" i="11"/>
  <c r="AA182" i="11"/>
  <c r="CO182" i="11"/>
  <c r="AF182" i="11"/>
  <c r="G182" i="11"/>
  <c r="BR182" i="11"/>
  <c r="BS182" i="11" s="1"/>
  <c r="BY182" i="11"/>
  <c r="BX182" i="11"/>
  <c r="BI182" i="11"/>
  <c r="BJ182" i="11" s="1"/>
  <c r="AN182" i="11"/>
  <c r="J182" i="11"/>
  <c r="BV182" i="11"/>
  <c r="K182" i="11"/>
  <c r="M182" i="11" s="1"/>
  <c r="BZ182" i="11"/>
  <c r="CA182" i="11" s="1"/>
  <c r="T182" i="11"/>
  <c r="U182" i="11" s="1"/>
  <c r="BN182" i="11"/>
  <c r="BO182" i="11"/>
  <c r="AI182" i="11"/>
  <c r="BP182" i="11"/>
  <c r="X182" i="11"/>
  <c r="BH182" i="11"/>
  <c r="BA182" i="11"/>
  <c r="BC182" i="11" s="1"/>
  <c r="AX182" i="11"/>
  <c r="BM182" i="11"/>
  <c r="BG182" i="11"/>
  <c r="H182" i="11"/>
  <c r="BE182" i="11"/>
  <c r="AS182" i="11"/>
  <c r="AT182" i="11" s="1"/>
  <c r="AJ182" i="11"/>
  <c r="AL182" i="11" s="1"/>
  <c r="AB182" i="11"/>
  <c r="AD182" i="11" s="1"/>
  <c r="AP182" i="11"/>
  <c r="S182" i="11"/>
  <c r="R182" i="11"/>
  <c r="CF182" i="11"/>
  <c r="P182" i="11"/>
  <c r="AO182" i="11"/>
  <c r="O182" i="11"/>
  <c r="I182" i="11"/>
  <c r="AZ182" i="11"/>
  <c r="CG182" i="11"/>
  <c r="AQ182" i="11"/>
  <c r="CH182" i="11"/>
  <c r="CI182" i="11" s="1"/>
  <c r="C5489" i="3"/>
  <c r="BV296" i="11"/>
  <c r="BE296" i="11"/>
  <c r="O296" i="11"/>
  <c r="AG296" i="11"/>
  <c r="CD296" i="11"/>
  <c r="Q296" i="11"/>
  <c r="AX296" i="11"/>
  <c r="CG296" i="11"/>
  <c r="BZ296" i="11"/>
  <c r="BG296" i="11"/>
  <c r="Z296" i="11"/>
  <c r="X296" i="11"/>
  <c r="K296" i="11"/>
  <c r="BI296" i="11"/>
  <c r="I296" i="11"/>
  <c r="AQ296" i="11"/>
  <c r="T296" i="11"/>
  <c r="CM296" i="11"/>
  <c r="AR296" i="11"/>
  <c r="AP296" i="11"/>
  <c r="BN296" i="11"/>
  <c r="AW296" i="11"/>
  <c r="BF296" i="11"/>
  <c r="CQ296" i="11"/>
  <c r="R296" i="11"/>
  <c r="AZ296" i="11"/>
  <c r="BQ296" i="11"/>
  <c r="AI296" i="11"/>
  <c r="BP296" i="11"/>
  <c r="AF296" i="11"/>
  <c r="CE296" i="11"/>
  <c r="AN296" i="11"/>
  <c r="S296" i="11"/>
  <c r="AB296" i="11"/>
  <c r="CN296" i="11"/>
  <c r="BM296" i="11"/>
  <c r="J296" i="11"/>
  <c r="CH296" i="11"/>
  <c r="BO296" i="11"/>
  <c r="BW296" i="11"/>
  <c r="CL296" i="11"/>
  <c r="AY296" i="11"/>
  <c r="BA296" i="11"/>
  <c r="CO296" i="11"/>
  <c r="BR296" i="11"/>
  <c r="AO296" i="11"/>
  <c r="BX296" i="11"/>
  <c r="AS296" i="11"/>
  <c r="BH296" i="11"/>
  <c r="AJ296" i="11"/>
  <c r="BY296" i="11"/>
  <c r="CP296" i="11"/>
  <c r="Y296" i="11"/>
  <c r="AH296" i="11"/>
  <c r="H296" i="11"/>
  <c r="G296" i="11"/>
  <c r="AA296" i="11"/>
  <c r="P296" i="11"/>
  <c r="CF296" i="11"/>
  <c r="AL238" i="11"/>
  <c r="AK238" i="11"/>
  <c r="BK238" i="11"/>
  <c r="BJ238" i="11"/>
  <c r="AD238" i="11"/>
  <c r="AC238" i="11"/>
  <c r="DC238" i="11"/>
  <c r="L238" i="11"/>
  <c r="M238" i="11"/>
  <c r="U238" i="11"/>
  <c r="V238" i="11"/>
  <c r="CS238" i="11"/>
  <c r="CR238" i="11"/>
  <c r="AT238" i="11"/>
  <c r="AU238" i="11"/>
  <c r="CI238" i="11"/>
  <c r="CJ238" i="11"/>
  <c r="BS238" i="11"/>
  <c r="BT238" i="11"/>
  <c r="BC238" i="11"/>
  <c r="BB238" i="11"/>
  <c r="CB238" i="11"/>
  <c r="CA238" i="11"/>
  <c r="C5404" i="3"/>
  <c r="CR182" i="11" l="1"/>
  <c r="BT182" i="11"/>
  <c r="BB182" i="11"/>
  <c r="CB182" i="11"/>
  <c r="V182" i="11"/>
  <c r="BK182" i="11"/>
  <c r="AC182" i="11"/>
  <c r="AU182" i="11"/>
  <c r="CJ182" i="11"/>
  <c r="AK182" i="11"/>
  <c r="L182" i="11"/>
  <c r="DC182" i="11"/>
  <c r="BB296" i="11"/>
  <c r="BC296" i="11"/>
  <c r="AU296" i="11"/>
  <c r="AT296" i="11"/>
  <c r="BJ296" i="11"/>
  <c r="BK296" i="11"/>
  <c r="CA296" i="11"/>
  <c r="CB296" i="11"/>
  <c r="L296" i="11"/>
  <c r="DC296" i="11"/>
  <c r="M296" i="11"/>
  <c r="AD296" i="11"/>
  <c r="AC296" i="11"/>
  <c r="CS296" i="11"/>
  <c r="CR296" i="11"/>
  <c r="BT296" i="11"/>
  <c r="BS296" i="11"/>
  <c r="U296" i="11"/>
  <c r="V296" i="11"/>
  <c r="AK296" i="11"/>
  <c r="AL296" i="11"/>
  <c r="CJ296" i="11"/>
  <c r="CI296" i="11"/>
  <c r="AP167" i="11"/>
  <c r="AX167" i="11"/>
  <c r="CQ167" i="11"/>
  <c r="BH167" i="11"/>
  <c r="AR167" i="11"/>
  <c r="X167" i="11"/>
  <c r="CH167" i="11"/>
  <c r="AS167" i="11"/>
  <c r="G167" i="11"/>
  <c r="T167" i="11"/>
  <c r="AQ167" i="11"/>
  <c r="AA167" i="11"/>
  <c r="AY167" i="11"/>
  <c r="Y167" i="11"/>
  <c r="BZ167" i="11"/>
  <c r="BW167" i="11"/>
  <c r="O167" i="11"/>
  <c r="BG167" i="11"/>
  <c r="CN167" i="11"/>
  <c r="AF167" i="11"/>
  <c r="AZ167" i="11"/>
  <c r="AW167" i="11"/>
  <c r="CM167" i="11"/>
  <c r="BR167" i="11"/>
  <c r="CD167" i="11"/>
  <c r="K167" i="11"/>
  <c r="CP167" i="11"/>
  <c r="BA167" i="11"/>
  <c r="Q167" i="11"/>
  <c r="BE167" i="11"/>
  <c r="CO167" i="11"/>
  <c r="CF167" i="11"/>
  <c r="J167" i="11"/>
  <c r="CL167" i="11"/>
  <c r="H167" i="11"/>
  <c r="BV167" i="11"/>
  <c r="BF167" i="11"/>
  <c r="Z167" i="11"/>
  <c r="BI167" i="11"/>
  <c r="P167" i="11"/>
  <c r="BQ167" i="11"/>
  <c r="BP167" i="11"/>
  <c r="AB167" i="11"/>
  <c r="BX167" i="11"/>
  <c r="BY167" i="11"/>
  <c r="BO167" i="11"/>
  <c r="AO167" i="11"/>
  <c r="R167" i="11"/>
  <c r="I167" i="11"/>
  <c r="AN167" i="11"/>
  <c r="CG167" i="11"/>
  <c r="AJ167" i="11"/>
  <c r="CE167" i="11"/>
  <c r="AI167" i="11"/>
  <c r="S167" i="11"/>
  <c r="C5490" i="3"/>
  <c r="C5491" i="3" s="1"/>
  <c r="AG167" i="11"/>
  <c r="BM167" i="11"/>
  <c r="BN167" i="11"/>
  <c r="AH167" i="11"/>
  <c r="C5405" i="3"/>
  <c r="C5406" i="3" s="1"/>
  <c r="AD167" i="11" l="1"/>
  <c r="AC167" i="11"/>
  <c r="V167" i="11"/>
  <c r="U167" i="11"/>
  <c r="M167" i="11"/>
  <c r="L167" i="11"/>
  <c r="DC167" i="11"/>
  <c r="CA167" i="11"/>
  <c r="CB167" i="11"/>
  <c r="AT167" i="11"/>
  <c r="AU167" i="11"/>
  <c r="CR167" i="11"/>
  <c r="CS167" i="11"/>
  <c r="AK167" i="11"/>
  <c r="AL167" i="11"/>
  <c r="CI167" i="11"/>
  <c r="CJ167" i="11"/>
  <c r="BK167" i="11"/>
  <c r="BJ167" i="11"/>
  <c r="BT167" i="11"/>
  <c r="BS167" i="11"/>
  <c r="X171" i="11"/>
  <c r="BE171" i="11"/>
  <c r="BI171" i="11"/>
  <c r="CM171" i="11"/>
  <c r="CF171" i="11"/>
  <c r="BR171" i="11"/>
  <c r="AB171" i="11"/>
  <c r="CN171" i="11"/>
  <c r="CD171" i="11"/>
  <c r="S171" i="11"/>
  <c r="BW171" i="11"/>
  <c r="BH171" i="11"/>
  <c r="P171" i="11"/>
  <c r="AA171" i="11"/>
  <c r="AH171" i="11"/>
  <c r="BZ171" i="11"/>
  <c r="CO171" i="11"/>
  <c r="BV171" i="11"/>
  <c r="AY171" i="11"/>
  <c r="BO171" i="11"/>
  <c r="CL171" i="11"/>
  <c r="CG171" i="11"/>
  <c r="CE171" i="11"/>
  <c r="AI171" i="11"/>
  <c r="AX171" i="11"/>
  <c r="H171" i="11"/>
  <c r="BN171" i="11"/>
  <c r="AW171" i="11"/>
  <c r="T171" i="11"/>
  <c r="AO171" i="11"/>
  <c r="BA171" i="11"/>
  <c r="R171" i="11"/>
  <c r="I171" i="11"/>
  <c r="G171" i="11"/>
  <c r="AR171" i="11"/>
  <c r="AP171" i="11"/>
  <c r="BM171" i="11"/>
  <c r="CH171" i="11"/>
  <c r="AN171" i="11"/>
  <c r="BF171" i="11"/>
  <c r="Q171" i="11"/>
  <c r="K171" i="11"/>
  <c r="C5492" i="3"/>
  <c r="C5493" i="3" s="1"/>
  <c r="C5494" i="3" s="1"/>
  <c r="BG171" i="11"/>
  <c r="Y171" i="11"/>
  <c r="AG171" i="11"/>
  <c r="BQ171" i="11"/>
  <c r="AQ171" i="11"/>
  <c r="J171" i="11"/>
  <c r="BY171" i="11"/>
  <c r="CP171" i="11"/>
  <c r="Z171" i="11"/>
  <c r="BX171" i="11"/>
  <c r="CQ171" i="11"/>
  <c r="AZ171" i="11"/>
  <c r="AF171" i="11"/>
  <c r="BP171" i="11"/>
  <c r="AJ171" i="11"/>
  <c r="O171" i="11"/>
  <c r="AS171" i="11"/>
  <c r="BB167" i="11"/>
  <c r="BC167" i="11"/>
  <c r="C5407" i="3"/>
  <c r="CY242" i="11" s="1"/>
  <c r="CZ242" i="11" s="1"/>
  <c r="CW242" i="11" l="1"/>
  <c r="CX242" i="11"/>
  <c r="CV242" i="11"/>
  <c r="CU242" i="11"/>
  <c r="CW210" i="11"/>
  <c r="CX210" i="11"/>
  <c r="CV210" i="11"/>
  <c r="CU210" i="11"/>
  <c r="BC171" i="11"/>
  <c r="BB171" i="11"/>
  <c r="AC171" i="11"/>
  <c r="AD171" i="11"/>
  <c r="BS171" i="11"/>
  <c r="BT171" i="11"/>
  <c r="V171" i="11"/>
  <c r="U171" i="11"/>
  <c r="AU171" i="11"/>
  <c r="AT171" i="11"/>
  <c r="CS171" i="11"/>
  <c r="CR171" i="11"/>
  <c r="CB171" i="11"/>
  <c r="CA171" i="11"/>
  <c r="BR210" i="11"/>
  <c r="I210" i="11"/>
  <c r="BF210" i="11"/>
  <c r="CG210" i="11"/>
  <c r="K210" i="11"/>
  <c r="BV210" i="11"/>
  <c r="BP210" i="11"/>
  <c r="CF210" i="11"/>
  <c r="Y210" i="11"/>
  <c r="CP210" i="11"/>
  <c r="T210" i="11"/>
  <c r="O210" i="11"/>
  <c r="CD210" i="11"/>
  <c r="Q210" i="11"/>
  <c r="AG210" i="11"/>
  <c r="BI210" i="11"/>
  <c r="AF210" i="11"/>
  <c r="BG210" i="11"/>
  <c r="BW210" i="11"/>
  <c r="BM210" i="11"/>
  <c r="J210" i="11"/>
  <c r="AI210" i="11"/>
  <c r="CQ210" i="11"/>
  <c r="CH210" i="11"/>
  <c r="AN210" i="11"/>
  <c r="BO210" i="11"/>
  <c r="AP210" i="11"/>
  <c r="CM210" i="11"/>
  <c r="AO210" i="11"/>
  <c r="CE210" i="11"/>
  <c r="BA210" i="11"/>
  <c r="P210" i="11"/>
  <c r="CL210" i="11"/>
  <c r="BN210" i="11"/>
  <c r="BE210" i="11"/>
  <c r="BY210" i="11"/>
  <c r="AQ210" i="11"/>
  <c r="CO210" i="11"/>
  <c r="AB210" i="11"/>
  <c r="CN210" i="11"/>
  <c r="BQ210" i="11"/>
  <c r="G210" i="11"/>
  <c r="AY210" i="11"/>
  <c r="AA210" i="11"/>
  <c r="AZ210" i="11"/>
  <c r="C5495" i="3"/>
  <c r="C5496" i="3" s="1"/>
  <c r="AX210" i="11"/>
  <c r="BX210" i="11"/>
  <c r="AR210" i="11"/>
  <c r="AH210" i="11"/>
  <c r="BH210" i="11"/>
  <c r="S210" i="11"/>
  <c r="R210" i="11"/>
  <c r="AW210" i="11"/>
  <c r="Z210" i="11"/>
  <c r="AJ210" i="11"/>
  <c r="H210" i="11"/>
  <c r="BZ210" i="11"/>
  <c r="X210" i="11"/>
  <c r="AS210" i="11"/>
  <c r="CI171" i="11"/>
  <c r="CJ171" i="11"/>
  <c r="AL171" i="11"/>
  <c r="AK171" i="11"/>
  <c r="L171" i="11"/>
  <c r="DC171" i="11"/>
  <c r="M171" i="11"/>
  <c r="BJ171" i="11"/>
  <c r="BK171" i="11"/>
  <c r="Z242" i="11"/>
  <c r="AI242" i="11"/>
  <c r="G242" i="11"/>
  <c r="Q242" i="11"/>
  <c r="R242" i="11"/>
  <c r="AP242" i="11"/>
  <c r="P242" i="11"/>
  <c r="CO242" i="11"/>
  <c r="CN242" i="11"/>
  <c r="CL242" i="11"/>
  <c r="BG242" i="11"/>
  <c r="AY242" i="11"/>
  <c r="BM242" i="11"/>
  <c r="BO242" i="11"/>
  <c r="BP242" i="11"/>
  <c r="BQ242" i="11"/>
  <c r="O242" i="11"/>
  <c r="X242" i="11"/>
  <c r="AG242" i="11"/>
  <c r="Y242" i="11"/>
  <c r="AQ242" i="11"/>
  <c r="AF242" i="11"/>
  <c r="S242" i="11"/>
  <c r="CP242" i="11"/>
  <c r="CM242" i="11"/>
  <c r="AZ242" i="11"/>
  <c r="BV242" i="11"/>
  <c r="BW242" i="11"/>
  <c r="BX242" i="11"/>
  <c r="CD242" i="11"/>
  <c r="CG242" i="11"/>
  <c r="AW242" i="11"/>
  <c r="AO242" i="11"/>
  <c r="H242" i="11"/>
  <c r="I242" i="11"/>
  <c r="AH242" i="11"/>
  <c r="J242" i="11"/>
  <c r="AN242" i="11"/>
  <c r="AA242" i="11"/>
  <c r="BF242" i="11"/>
  <c r="BA242" i="11"/>
  <c r="CE242" i="11"/>
  <c r="BR242" i="11"/>
  <c r="BZ242" i="11"/>
  <c r="CQ242" i="11"/>
  <c r="CF242" i="11"/>
  <c r="AS242" i="11"/>
  <c r="BI242" i="11"/>
  <c r="BY242" i="11"/>
  <c r="BN242" i="11"/>
  <c r="AX242" i="11"/>
  <c r="BE242" i="11"/>
  <c r="BH242" i="11"/>
  <c r="AR242" i="11"/>
  <c r="AJ242" i="11"/>
  <c r="CH242" i="11"/>
  <c r="T242" i="11"/>
  <c r="AB242" i="11"/>
  <c r="K242" i="11"/>
  <c r="C5408" i="3"/>
  <c r="CA210" i="11" l="1"/>
  <c r="CB210" i="11"/>
  <c r="BB210" i="11"/>
  <c r="BC210" i="11"/>
  <c r="BX197" i="11"/>
  <c r="BG197" i="11"/>
  <c r="BH197" i="11"/>
  <c r="BI197" i="11"/>
  <c r="AS197" i="11"/>
  <c r="AI197" i="11"/>
  <c r="CN197" i="11"/>
  <c r="BW197" i="11"/>
  <c r="CD197" i="11"/>
  <c r="R197" i="11"/>
  <c r="K197" i="11"/>
  <c r="Q197" i="11"/>
  <c r="H197" i="11"/>
  <c r="AJ197" i="11"/>
  <c r="AR197" i="11"/>
  <c r="AO197" i="11"/>
  <c r="BZ197" i="11"/>
  <c r="AX197" i="11"/>
  <c r="BY197" i="11"/>
  <c r="CH197" i="11"/>
  <c r="Z197" i="11"/>
  <c r="BA197" i="11"/>
  <c r="CE197" i="11"/>
  <c r="BF197" i="11"/>
  <c r="P197" i="11"/>
  <c r="BE197" i="11"/>
  <c r="AB197" i="11"/>
  <c r="BO197" i="11"/>
  <c r="I197" i="11"/>
  <c r="AY197" i="11"/>
  <c r="AW197" i="11"/>
  <c r="AP197" i="11"/>
  <c r="AZ197" i="11"/>
  <c r="AN197" i="11"/>
  <c r="BQ197" i="11"/>
  <c r="CP197" i="11"/>
  <c r="BV197" i="11"/>
  <c r="CM197" i="11"/>
  <c r="T197" i="11"/>
  <c r="J197" i="11"/>
  <c r="AH197" i="11"/>
  <c r="CG197" i="11"/>
  <c r="O197" i="11"/>
  <c r="AF197" i="11"/>
  <c r="BN197" i="11"/>
  <c r="BR197" i="11"/>
  <c r="CQ197" i="11"/>
  <c r="G197" i="11"/>
  <c r="X197" i="11"/>
  <c r="CF197" i="11"/>
  <c r="C5497" i="3"/>
  <c r="BM197" i="11"/>
  <c r="S197" i="11"/>
  <c r="CL197" i="11"/>
  <c r="Y197" i="11"/>
  <c r="AG197" i="11"/>
  <c r="AA197" i="11"/>
  <c r="BP197" i="11"/>
  <c r="AQ197" i="11"/>
  <c r="CO197" i="11"/>
  <c r="AL210" i="11"/>
  <c r="AK210" i="11"/>
  <c r="CI210" i="11"/>
  <c r="CJ210" i="11"/>
  <c r="BT210" i="11"/>
  <c r="BS210" i="11"/>
  <c r="AD210" i="11"/>
  <c r="AC210" i="11"/>
  <c r="CS210" i="11"/>
  <c r="CR210" i="11"/>
  <c r="AT210" i="11"/>
  <c r="AU210" i="11"/>
  <c r="U210" i="11"/>
  <c r="V210" i="11"/>
  <c r="L210" i="11"/>
  <c r="DC210" i="11"/>
  <c r="M210" i="11"/>
  <c r="BK210" i="11"/>
  <c r="BJ210" i="11"/>
  <c r="BK242" i="11"/>
  <c r="BJ242" i="11"/>
  <c r="BS242" i="11"/>
  <c r="BT242" i="11"/>
  <c r="BB242" i="11"/>
  <c r="BC242" i="11"/>
  <c r="CB242" i="11"/>
  <c r="CA242" i="11"/>
  <c r="AT242" i="11"/>
  <c r="AU242" i="11"/>
  <c r="CI242" i="11"/>
  <c r="CJ242" i="11"/>
  <c r="M242" i="11"/>
  <c r="L242" i="11"/>
  <c r="DC242" i="11"/>
  <c r="AL242" i="11"/>
  <c r="AK242" i="11"/>
  <c r="V242" i="11"/>
  <c r="U242" i="11"/>
  <c r="C5409" i="3"/>
  <c r="BZ184" i="11"/>
  <c r="AG184" i="11"/>
  <c r="AR184" i="11"/>
  <c r="BM184" i="11"/>
  <c r="BR184" i="11"/>
  <c r="O184" i="11"/>
  <c r="BG184" i="11"/>
  <c r="AO184" i="11"/>
  <c r="CF184" i="11"/>
  <c r="H184" i="11"/>
  <c r="CD184" i="11"/>
  <c r="BQ184" i="11"/>
  <c r="BO184" i="11"/>
  <c r="AQ184" i="11"/>
  <c r="AN184" i="11"/>
  <c r="BF184" i="11"/>
  <c r="T184" i="11"/>
  <c r="CM184" i="11"/>
  <c r="BI184" i="11"/>
  <c r="BP184" i="11"/>
  <c r="AA184" i="11"/>
  <c r="K184" i="11"/>
  <c r="Q184" i="11"/>
  <c r="I184" i="11"/>
  <c r="AB184" i="11"/>
  <c r="BV184" i="11"/>
  <c r="BY184" i="11"/>
  <c r="CN184" i="11"/>
  <c r="BX184" i="11"/>
  <c r="X184" i="11"/>
  <c r="AY184" i="11"/>
  <c r="P184" i="11"/>
  <c r="R184" i="11"/>
  <c r="AS184" i="11"/>
  <c r="AJ184" i="11"/>
  <c r="G184" i="11"/>
  <c r="BW184" i="11"/>
  <c r="AP184" i="11"/>
  <c r="J184" i="11"/>
  <c r="S184" i="11"/>
  <c r="CQ184" i="11"/>
  <c r="AI184" i="11"/>
  <c r="AH184" i="11"/>
  <c r="AW184" i="11"/>
  <c r="BE184" i="11"/>
  <c r="AZ184" i="11"/>
  <c r="CE184" i="11"/>
  <c r="CO184" i="11"/>
  <c r="BN184" i="11"/>
  <c r="CP184" i="11"/>
  <c r="Y184" i="11"/>
  <c r="BH184" i="11"/>
  <c r="AF184" i="11"/>
  <c r="CL184" i="11"/>
  <c r="CH184" i="11"/>
  <c r="CG184" i="11"/>
  <c r="AX184" i="11"/>
  <c r="BA184" i="11"/>
  <c r="Z184" i="11"/>
  <c r="CS242" i="11"/>
  <c r="CR242" i="11"/>
  <c r="AC242" i="11"/>
  <c r="AD242" i="11"/>
  <c r="CX206" i="11" l="1"/>
  <c r="CU206" i="11"/>
  <c r="CW206" i="11"/>
  <c r="CV206" i="11"/>
  <c r="CR197" i="11"/>
  <c r="CS197" i="11"/>
  <c r="BT197" i="11"/>
  <c r="BS197" i="11"/>
  <c r="CB197" i="11"/>
  <c r="CA197" i="11"/>
  <c r="L197" i="11"/>
  <c r="DC197" i="11"/>
  <c r="M197" i="11"/>
  <c r="AH206" i="11"/>
  <c r="Z206" i="11"/>
  <c r="AX206" i="11"/>
  <c r="S206" i="11"/>
  <c r="AW206" i="11"/>
  <c r="AO206" i="11"/>
  <c r="BM206" i="11"/>
  <c r="AJ206" i="11"/>
  <c r="R206" i="11"/>
  <c r="AZ206" i="11"/>
  <c r="CH206" i="11"/>
  <c r="AP206" i="11"/>
  <c r="I206" i="11"/>
  <c r="AB206" i="11"/>
  <c r="BX206" i="11"/>
  <c r="BG206" i="11"/>
  <c r="BA206" i="11"/>
  <c r="BI206" i="11"/>
  <c r="CP206" i="11"/>
  <c r="X206" i="11"/>
  <c r="CM206" i="11"/>
  <c r="BR206" i="11"/>
  <c r="CO206" i="11"/>
  <c r="AN206" i="11"/>
  <c r="CN206" i="11"/>
  <c r="BE206" i="11"/>
  <c r="BZ206" i="11"/>
  <c r="BH206" i="11"/>
  <c r="G206" i="11"/>
  <c r="CE206" i="11"/>
  <c r="CD206" i="11"/>
  <c r="K206" i="11"/>
  <c r="BQ206" i="11"/>
  <c r="CF206" i="11"/>
  <c r="AR206" i="11"/>
  <c r="AI206" i="11"/>
  <c r="H206" i="11"/>
  <c r="AQ206" i="11"/>
  <c r="AY206" i="11"/>
  <c r="CQ206" i="11"/>
  <c r="BN206" i="11"/>
  <c r="Q206" i="11"/>
  <c r="J206" i="11"/>
  <c r="BO206" i="11"/>
  <c r="CL206" i="11"/>
  <c r="AA206" i="11"/>
  <c r="T206" i="11"/>
  <c r="BP206" i="11"/>
  <c r="BV206" i="11"/>
  <c r="O206" i="11"/>
  <c r="C5498" i="3"/>
  <c r="C5499" i="3" s="1"/>
  <c r="C5500" i="3" s="1"/>
  <c r="C5501" i="3" s="1"/>
  <c r="C5502" i="3" s="1"/>
  <c r="BF206" i="11"/>
  <c r="BY206" i="11"/>
  <c r="P206" i="11"/>
  <c r="CG206" i="11"/>
  <c r="AS206" i="11"/>
  <c r="AF206" i="11"/>
  <c r="Y206" i="11"/>
  <c r="AG206" i="11"/>
  <c r="BW206" i="11"/>
  <c r="BB197" i="11"/>
  <c r="BC197" i="11"/>
  <c r="AT197" i="11"/>
  <c r="AU197" i="11"/>
  <c r="V197" i="11"/>
  <c r="U197" i="11"/>
  <c r="AC197" i="11"/>
  <c r="AD197" i="11"/>
  <c r="BJ197" i="11"/>
  <c r="BK197" i="11"/>
  <c r="CI197" i="11"/>
  <c r="CJ197" i="11"/>
  <c r="AK197" i="11"/>
  <c r="AL197" i="11"/>
  <c r="C5410" i="3"/>
  <c r="C5411" i="3" s="1"/>
  <c r="AI183" i="11"/>
  <c r="BX183" i="11"/>
  <c r="BO183" i="11"/>
  <c r="AX183" i="11"/>
  <c r="BM183" i="11"/>
  <c r="R183" i="11"/>
  <c r="BV183" i="11"/>
  <c r="BR183" i="11"/>
  <c r="AS183" i="11"/>
  <c r="CQ183" i="11"/>
  <c r="CH183" i="11"/>
  <c r="BZ183" i="11"/>
  <c r="X183" i="11"/>
  <c r="CO183" i="11"/>
  <c r="CP183" i="11"/>
  <c r="AW183" i="11"/>
  <c r="AJ183" i="11"/>
  <c r="I183" i="11"/>
  <c r="BP183" i="11"/>
  <c r="H183" i="11"/>
  <c r="AB183" i="11"/>
  <c r="CG183" i="11"/>
  <c r="BY183" i="11"/>
  <c r="G183" i="11"/>
  <c r="AN183" i="11"/>
  <c r="CE183" i="11"/>
  <c r="AF183" i="11"/>
  <c r="BI183" i="11"/>
  <c r="AP183" i="11"/>
  <c r="CN183" i="11"/>
  <c r="AG183" i="11"/>
  <c r="CD183" i="11"/>
  <c r="Y183" i="11"/>
  <c r="BF183" i="11"/>
  <c r="BQ183" i="11"/>
  <c r="AY183" i="11"/>
  <c r="BH183" i="11"/>
  <c r="AH183" i="11"/>
  <c r="P183" i="11"/>
  <c r="BG183" i="11"/>
  <c r="Z183" i="11"/>
  <c r="CF183" i="11"/>
  <c r="AZ183" i="11"/>
  <c r="CL183" i="11"/>
  <c r="AO183" i="11"/>
  <c r="S183" i="11"/>
  <c r="J183" i="11"/>
  <c r="BN183" i="11"/>
  <c r="BE183" i="11"/>
  <c r="BA183" i="11"/>
  <c r="O183" i="11"/>
  <c r="BW183" i="11"/>
  <c r="T183" i="11"/>
  <c r="AA183" i="11"/>
  <c r="K183" i="11"/>
  <c r="AR183" i="11"/>
  <c r="AQ183" i="11"/>
  <c r="CM183" i="11"/>
  <c r="Q183" i="11"/>
  <c r="C5503" i="3"/>
  <c r="C5504" i="3" s="1"/>
  <c r="BB184" i="11"/>
  <c r="BC184" i="11"/>
  <c r="CS184" i="11"/>
  <c r="CR184" i="11"/>
  <c r="AL184" i="11"/>
  <c r="AK184" i="11"/>
  <c r="AD184" i="11"/>
  <c r="AC184" i="11"/>
  <c r="BK184" i="11"/>
  <c r="BJ184" i="11"/>
  <c r="AU184" i="11"/>
  <c r="AT184" i="11"/>
  <c r="CA184" i="11"/>
  <c r="CB184" i="11"/>
  <c r="CI184" i="11"/>
  <c r="CJ184" i="11"/>
  <c r="U184" i="11"/>
  <c r="V184" i="11"/>
  <c r="DC184" i="11"/>
  <c r="L184" i="11"/>
  <c r="M184" i="11"/>
  <c r="BT184" i="11"/>
  <c r="BS184" i="11"/>
  <c r="CR206" i="11" l="1"/>
  <c r="CS206" i="11"/>
  <c r="BK206" i="11"/>
  <c r="BJ206" i="11"/>
  <c r="AU206" i="11"/>
  <c r="AT206" i="11"/>
  <c r="BC206" i="11"/>
  <c r="BB206" i="11"/>
  <c r="CJ206" i="11"/>
  <c r="CI206" i="11"/>
  <c r="BT206" i="11"/>
  <c r="BS206" i="11"/>
  <c r="L206" i="11"/>
  <c r="DC206" i="11"/>
  <c r="M206" i="11"/>
  <c r="CA206" i="11"/>
  <c r="CB206" i="11"/>
  <c r="AC206" i="11"/>
  <c r="AD206" i="11"/>
  <c r="AL206" i="11"/>
  <c r="AK206" i="11"/>
  <c r="U206" i="11"/>
  <c r="V206" i="11"/>
  <c r="C5505" i="3"/>
  <c r="CY54" i="11" s="1"/>
  <c r="CZ54" i="11" s="1"/>
  <c r="BK183" i="11"/>
  <c r="BJ183" i="11"/>
  <c r="AK183" i="11"/>
  <c r="AL183" i="11"/>
  <c r="CI183" i="11"/>
  <c r="CJ183" i="11"/>
  <c r="C5412" i="3"/>
  <c r="X316" i="11"/>
  <c r="AP316" i="11"/>
  <c r="Q316" i="11"/>
  <c r="AS316" i="11"/>
  <c r="BZ316" i="11"/>
  <c r="O316" i="11"/>
  <c r="Z316" i="11"/>
  <c r="BV316" i="11"/>
  <c r="BA316" i="11"/>
  <c r="CD316" i="11"/>
  <c r="AF316" i="11"/>
  <c r="BN316" i="11"/>
  <c r="BG316" i="11"/>
  <c r="CP316" i="11"/>
  <c r="BY316" i="11"/>
  <c r="P316" i="11"/>
  <c r="BR316" i="11"/>
  <c r="R316" i="11"/>
  <c r="AA316" i="11"/>
  <c r="I316" i="11"/>
  <c r="AB316" i="11"/>
  <c r="AX316" i="11"/>
  <c r="BE316" i="11"/>
  <c r="AI316" i="11"/>
  <c r="J316" i="11"/>
  <c r="CL316" i="11"/>
  <c r="CH316" i="11"/>
  <c r="AR316" i="11"/>
  <c r="AQ316" i="11"/>
  <c r="AW316" i="11"/>
  <c r="AO316" i="11"/>
  <c r="CQ316" i="11"/>
  <c r="K316" i="11"/>
  <c r="AH316" i="11"/>
  <c r="H316" i="11"/>
  <c r="CG316" i="11"/>
  <c r="BW316" i="11"/>
  <c r="CE316" i="11"/>
  <c r="BM316" i="11"/>
  <c r="CN316" i="11"/>
  <c r="G316" i="11"/>
  <c r="AN316" i="11"/>
  <c r="BO316" i="11"/>
  <c r="BI316" i="11"/>
  <c r="AG316" i="11"/>
  <c r="BQ316" i="11"/>
  <c r="CF316" i="11"/>
  <c r="BP316" i="11"/>
  <c r="T316" i="11"/>
  <c r="BX316" i="11"/>
  <c r="CM316" i="11"/>
  <c r="AZ316" i="11"/>
  <c r="Y316" i="11"/>
  <c r="AY316" i="11"/>
  <c r="BH316" i="11"/>
  <c r="AJ316" i="11"/>
  <c r="S316" i="11"/>
  <c r="CO316" i="11"/>
  <c r="BF316" i="11"/>
  <c r="U183" i="11"/>
  <c r="V183" i="11"/>
  <c r="CS183" i="11"/>
  <c r="CR183" i="11"/>
  <c r="AD183" i="11"/>
  <c r="AC183" i="11"/>
  <c r="AU183" i="11"/>
  <c r="AT183" i="11"/>
  <c r="BS183" i="11"/>
  <c r="BT183" i="11"/>
  <c r="DC183" i="11"/>
  <c r="L183" i="11"/>
  <c r="M183" i="11"/>
  <c r="BC183" i="11"/>
  <c r="BB183" i="11"/>
  <c r="CA183" i="11"/>
  <c r="CB183" i="11"/>
  <c r="CW54" i="11" l="1"/>
  <c r="CX54" i="11"/>
  <c r="CV54" i="11"/>
  <c r="CU54" i="11"/>
  <c r="AT316" i="11"/>
  <c r="AU316" i="11"/>
  <c r="L316" i="11"/>
  <c r="DC316" i="11"/>
  <c r="M316" i="11"/>
  <c r="CJ316" i="11"/>
  <c r="CI316" i="11"/>
  <c r="AD316" i="11"/>
  <c r="AC316" i="11"/>
  <c r="BC316" i="11"/>
  <c r="BB316" i="11"/>
  <c r="AK316" i="11"/>
  <c r="AL316" i="11"/>
  <c r="BJ316" i="11"/>
  <c r="BK316" i="11"/>
  <c r="CS316" i="11"/>
  <c r="CR316" i="11"/>
  <c r="V316" i="11"/>
  <c r="U316" i="11"/>
  <c r="AG54" i="11"/>
  <c r="AH54" i="11"/>
  <c r="AF54" i="11"/>
  <c r="S54" i="11"/>
  <c r="R54" i="11"/>
  <c r="H54" i="11"/>
  <c r="AN54" i="11"/>
  <c r="BG54" i="11"/>
  <c r="AY54" i="11"/>
  <c r="CE54" i="11"/>
  <c r="AR54" i="11"/>
  <c r="AA54" i="11"/>
  <c r="O54" i="11"/>
  <c r="X54" i="11"/>
  <c r="G54" i="11"/>
  <c r="Q54" i="11"/>
  <c r="I54" i="11"/>
  <c r="J54" i="11"/>
  <c r="BF54" i="11"/>
  <c r="BP54" i="11"/>
  <c r="BX54" i="11"/>
  <c r="CG54" i="11"/>
  <c r="CF54" i="11"/>
  <c r="AI54" i="11"/>
  <c r="Z54" i="11"/>
  <c r="P54" i="11"/>
  <c r="Y54" i="11"/>
  <c r="AQ54" i="11"/>
  <c r="AP54" i="11"/>
  <c r="AO54" i="11"/>
  <c r="CO54" i="11"/>
  <c r="CN54" i="11"/>
  <c r="CM54" i="11"/>
  <c r="BA54" i="11"/>
  <c r="BM54" i="11"/>
  <c r="BY54" i="11"/>
  <c r="AW54" i="11"/>
  <c r="AS54" i="11"/>
  <c r="BN54" i="11"/>
  <c r="CQ54" i="11"/>
  <c r="CH54" i="11"/>
  <c r="CD54" i="11"/>
  <c r="AJ54" i="11"/>
  <c r="BR54" i="11"/>
  <c r="BI54" i="11"/>
  <c r="BZ54" i="11"/>
  <c r="BH54" i="11"/>
  <c r="BW54" i="11"/>
  <c r="BV54" i="11"/>
  <c r="BQ54" i="11"/>
  <c r="BO54" i="11"/>
  <c r="AZ54" i="11"/>
  <c r="AX54" i="11"/>
  <c r="BE54" i="11"/>
  <c r="CL54" i="11"/>
  <c r="CP54" i="11"/>
  <c r="AB54" i="11"/>
  <c r="K54" i="11"/>
  <c r="T54" i="11"/>
  <c r="C5506" i="3"/>
  <c r="C5507" i="3" s="1"/>
  <c r="C5413" i="3"/>
  <c r="CY126" i="11" s="1"/>
  <c r="CZ126" i="11" s="1"/>
  <c r="CD135" i="11"/>
  <c r="BO135" i="11"/>
  <c r="BP135" i="11"/>
  <c r="J135" i="11"/>
  <c r="AZ135" i="11"/>
  <c r="BE135" i="11"/>
  <c r="AI135" i="11"/>
  <c r="CL135" i="11"/>
  <c r="BX135" i="11"/>
  <c r="T135" i="11"/>
  <c r="AH135" i="11"/>
  <c r="AW135" i="11"/>
  <c r="CE135" i="11"/>
  <c r="CF135" i="11"/>
  <c r="CG135" i="11"/>
  <c r="CN135" i="11"/>
  <c r="BH135" i="11"/>
  <c r="AF135" i="11"/>
  <c r="CH135" i="11"/>
  <c r="BI135" i="11"/>
  <c r="AP135" i="11"/>
  <c r="BY135" i="11"/>
  <c r="BV135" i="11"/>
  <c r="AQ135" i="11"/>
  <c r="AY135" i="11"/>
  <c r="BG135" i="11"/>
  <c r="BF135" i="11"/>
  <c r="R135" i="11"/>
  <c r="AG135" i="11"/>
  <c r="AJ135" i="11"/>
  <c r="AO135" i="11"/>
  <c r="CO135" i="11"/>
  <c r="H135" i="11"/>
  <c r="G135" i="11"/>
  <c r="AX135" i="11"/>
  <c r="BZ135" i="11"/>
  <c r="S135" i="11"/>
  <c r="X135" i="11"/>
  <c r="AS135" i="11"/>
  <c r="CQ135" i="11"/>
  <c r="AR135" i="11"/>
  <c r="I135" i="11"/>
  <c r="Q135" i="11"/>
  <c r="CM135" i="11"/>
  <c r="AB135" i="11"/>
  <c r="BM135" i="11"/>
  <c r="BN135" i="11"/>
  <c r="AN135" i="11"/>
  <c r="BA135" i="11"/>
  <c r="Z135" i="11"/>
  <c r="BQ135" i="11"/>
  <c r="AA135" i="11"/>
  <c r="Y135" i="11"/>
  <c r="O135" i="11"/>
  <c r="P135" i="11"/>
  <c r="CP135" i="11"/>
  <c r="K135" i="11"/>
  <c r="BW135" i="11"/>
  <c r="BR135" i="11"/>
  <c r="BS316" i="11"/>
  <c r="BT316" i="11"/>
  <c r="CA316" i="11"/>
  <c r="CB316" i="11"/>
  <c r="CW126" i="11" l="1"/>
  <c r="CU126" i="11"/>
  <c r="CX126" i="11"/>
  <c r="CV126" i="11"/>
  <c r="M135" i="11"/>
  <c r="DC135" i="11"/>
  <c r="L135" i="11"/>
  <c r="C5508" i="3"/>
  <c r="C5509" i="3" s="1"/>
  <c r="C5510" i="3" s="1"/>
  <c r="BK54" i="11"/>
  <c r="BJ54" i="11"/>
  <c r="CS54" i="11"/>
  <c r="CR54" i="11"/>
  <c r="V135" i="11"/>
  <c r="U135" i="11"/>
  <c r="U54" i="11"/>
  <c r="V54" i="11"/>
  <c r="BT54" i="11"/>
  <c r="BS54" i="11"/>
  <c r="BB54" i="11"/>
  <c r="BC54" i="11"/>
  <c r="BT135" i="11"/>
  <c r="BS135" i="11"/>
  <c r="BJ135" i="11"/>
  <c r="BK135" i="11"/>
  <c r="AK54" i="11"/>
  <c r="AL54" i="11"/>
  <c r="CS135" i="11"/>
  <c r="CR135" i="11"/>
  <c r="CI135" i="11"/>
  <c r="CJ135" i="11"/>
  <c r="M54" i="11"/>
  <c r="L54" i="11"/>
  <c r="DC54" i="11"/>
  <c r="AT54" i="11"/>
  <c r="AU54" i="11"/>
  <c r="AC135" i="11"/>
  <c r="AD135" i="11"/>
  <c r="CA135" i="11"/>
  <c r="CB135" i="11"/>
  <c r="AL135" i="11"/>
  <c r="AK135" i="11"/>
  <c r="AC54" i="11"/>
  <c r="AD54" i="11"/>
  <c r="BB135" i="11"/>
  <c r="BC135" i="11"/>
  <c r="AT135" i="11"/>
  <c r="AU135" i="11"/>
  <c r="C5414" i="3"/>
  <c r="CY118" i="11" s="1"/>
  <c r="CZ118" i="11" s="1"/>
  <c r="AX126" i="11"/>
  <c r="CN126" i="11"/>
  <c r="H126" i="11"/>
  <c r="CM126" i="11"/>
  <c r="K126" i="11"/>
  <c r="AG126" i="11"/>
  <c r="BO126" i="11"/>
  <c r="AY126" i="11"/>
  <c r="CP126" i="11"/>
  <c r="BX126" i="11"/>
  <c r="BY126" i="11"/>
  <c r="BE126" i="11"/>
  <c r="P126" i="11"/>
  <c r="J126" i="11"/>
  <c r="AS126" i="11"/>
  <c r="BA126" i="11"/>
  <c r="AH126" i="11"/>
  <c r="BZ126" i="11"/>
  <c r="AB126" i="11"/>
  <c r="BF126" i="11"/>
  <c r="BN126" i="11"/>
  <c r="O126" i="11"/>
  <c r="BV126" i="11"/>
  <c r="AA126" i="11"/>
  <c r="AN126" i="11"/>
  <c r="Z126" i="11"/>
  <c r="S126" i="11"/>
  <c r="BW126" i="11"/>
  <c r="BH126" i="11"/>
  <c r="CQ126" i="11"/>
  <c r="BG126" i="11"/>
  <c r="BM126" i="11"/>
  <c r="AR126" i="11"/>
  <c r="X126" i="11"/>
  <c r="CG126" i="11"/>
  <c r="AW126" i="11"/>
  <c r="R126" i="11"/>
  <c r="AQ126" i="11"/>
  <c r="BI126" i="11"/>
  <c r="AO126" i="11"/>
  <c r="Y126" i="11"/>
  <c r="I126" i="11"/>
  <c r="BP126" i="11"/>
  <c r="AZ126" i="11"/>
  <c r="G126" i="11"/>
  <c r="CO126" i="11"/>
  <c r="T126" i="11"/>
  <c r="AP126" i="11"/>
  <c r="BR126" i="11"/>
  <c r="BQ126" i="11"/>
  <c r="Q126" i="11"/>
  <c r="CL126" i="11"/>
  <c r="AJ126" i="11"/>
  <c r="AI126" i="11"/>
  <c r="CH126" i="11"/>
  <c r="AF126" i="11"/>
  <c r="CF126" i="11"/>
  <c r="CD126" i="11"/>
  <c r="CE126" i="11"/>
  <c r="CB54" i="11"/>
  <c r="CA54" i="11"/>
  <c r="CJ54" i="11"/>
  <c r="CI54" i="11"/>
  <c r="CW118" i="11" l="1"/>
  <c r="CX118" i="11"/>
  <c r="CU118" i="11"/>
  <c r="CV118" i="11"/>
  <c r="CJ126" i="11"/>
  <c r="CI126" i="11"/>
  <c r="BS126" i="11"/>
  <c r="BT126" i="11"/>
  <c r="AD126" i="11"/>
  <c r="AC126" i="11"/>
  <c r="BB126" i="11"/>
  <c r="BC126" i="11"/>
  <c r="CS126" i="11"/>
  <c r="CR126" i="11"/>
  <c r="AT126" i="11"/>
  <c r="AU126" i="11"/>
  <c r="AL126" i="11"/>
  <c r="AK126" i="11"/>
  <c r="U126" i="11"/>
  <c r="V126" i="11"/>
  <c r="C5511" i="3"/>
  <c r="C5512" i="3" s="1"/>
  <c r="C5513" i="3" s="1"/>
  <c r="C5514" i="3" s="1"/>
  <c r="C5515" i="3" s="1"/>
  <c r="BJ126" i="11"/>
  <c r="BK126" i="11"/>
  <c r="CB126" i="11"/>
  <c r="CA126" i="11"/>
  <c r="M126" i="11"/>
  <c r="DC126" i="11"/>
  <c r="L126" i="11"/>
  <c r="C5415" i="3"/>
  <c r="AN118" i="11"/>
  <c r="AI118" i="11"/>
  <c r="G118" i="11"/>
  <c r="K118" i="11"/>
  <c r="X118" i="11"/>
  <c r="Y118" i="11"/>
  <c r="T118" i="11"/>
  <c r="BR118" i="11"/>
  <c r="CH118" i="11"/>
  <c r="BE118" i="11"/>
  <c r="CF118" i="11"/>
  <c r="AW118" i="11"/>
  <c r="BW118" i="11"/>
  <c r="O118" i="11"/>
  <c r="R118" i="11"/>
  <c r="AO118" i="11"/>
  <c r="AR118" i="11"/>
  <c r="AQ118" i="11"/>
  <c r="I118" i="11"/>
  <c r="AS118" i="11"/>
  <c r="BH118" i="11"/>
  <c r="CO118" i="11"/>
  <c r="BM118" i="11"/>
  <c r="AZ118" i="11"/>
  <c r="CP118" i="11"/>
  <c r="BV118" i="11"/>
  <c r="J118" i="11"/>
  <c r="AH118" i="11"/>
  <c r="AF118" i="11"/>
  <c r="S118" i="11"/>
  <c r="H118" i="11"/>
  <c r="BI118" i="11"/>
  <c r="BA118" i="11"/>
  <c r="BO118" i="11"/>
  <c r="BQ118" i="11"/>
  <c r="CM118" i="11"/>
  <c r="BX118" i="11"/>
  <c r="CD118" i="11"/>
  <c r="AG118" i="11"/>
  <c r="AJ118" i="11"/>
  <c r="Q118" i="11"/>
  <c r="Z118" i="11"/>
  <c r="P118" i="11"/>
  <c r="AP118" i="11"/>
  <c r="AB118" i="11"/>
  <c r="CQ118" i="11"/>
  <c r="BZ118" i="11"/>
  <c r="CE118" i="11"/>
  <c r="BY118" i="11"/>
  <c r="CG118" i="11"/>
  <c r="BN118" i="11"/>
  <c r="BP118" i="11"/>
  <c r="AX118" i="11"/>
  <c r="AY118" i="11"/>
  <c r="BG118" i="11"/>
  <c r="BF118" i="11"/>
  <c r="CL118" i="11"/>
  <c r="CN118" i="11"/>
  <c r="AA118" i="11"/>
  <c r="AD118" i="11" l="1"/>
  <c r="AC118" i="11"/>
  <c r="BB118" i="11"/>
  <c r="BC118" i="11"/>
  <c r="V118" i="11"/>
  <c r="U118" i="11"/>
  <c r="BJ118" i="11"/>
  <c r="BK118" i="11"/>
  <c r="C5416" i="3"/>
  <c r="J190" i="11"/>
  <c r="AP190" i="11"/>
  <c r="CO190" i="11"/>
  <c r="AB190" i="11"/>
  <c r="BW190" i="11"/>
  <c r="AR190" i="11"/>
  <c r="BR190" i="11"/>
  <c r="BZ190" i="11"/>
  <c r="BM190" i="11"/>
  <c r="BO190" i="11"/>
  <c r="Q190" i="11"/>
  <c r="I190" i="11"/>
  <c r="S190" i="11"/>
  <c r="AH190" i="11"/>
  <c r="CD190" i="11"/>
  <c r="AF190" i="11"/>
  <c r="AW190" i="11"/>
  <c r="H190" i="11"/>
  <c r="O190" i="11"/>
  <c r="AS190" i="11"/>
  <c r="BN190" i="11"/>
  <c r="AQ190" i="11"/>
  <c r="AX190" i="11"/>
  <c r="AN190" i="11"/>
  <c r="K190" i="11"/>
  <c r="CQ190" i="11"/>
  <c r="CG190" i="11"/>
  <c r="P190" i="11"/>
  <c r="CH190" i="11"/>
  <c r="G190" i="11"/>
  <c r="BH190" i="11"/>
  <c r="BX190" i="11"/>
  <c r="R190" i="11"/>
  <c r="AI190" i="11"/>
  <c r="BG190" i="11"/>
  <c r="BQ190" i="11"/>
  <c r="X190" i="11"/>
  <c r="CN190" i="11"/>
  <c r="T190" i="11"/>
  <c r="Z190" i="11"/>
  <c r="AJ190" i="11"/>
  <c r="Y190" i="11"/>
  <c r="AZ190" i="11"/>
  <c r="CF190" i="11"/>
  <c r="CM190" i="11"/>
  <c r="AA190" i="11"/>
  <c r="BE190" i="11"/>
  <c r="BF190" i="11"/>
  <c r="AG190" i="11"/>
  <c r="BI190" i="11"/>
  <c r="BA190" i="11"/>
  <c r="BV190" i="11"/>
  <c r="CL190" i="11"/>
  <c r="CP190" i="11"/>
  <c r="CE190" i="11"/>
  <c r="AY190" i="11"/>
  <c r="BP190" i="11"/>
  <c r="AO190" i="11"/>
  <c r="BY190" i="11"/>
  <c r="DC118" i="11"/>
  <c r="M118" i="11"/>
  <c r="L118" i="11"/>
  <c r="CA118" i="11"/>
  <c r="CB118" i="11"/>
  <c r="AU118" i="11"/>
  <c r="AT118" i="11"/>
  <c r="CI118" i="11"/>
  <c r="CJ118" i="11"/>
  <c r="CR118" i="11"/>
  <c r="CS118" i="11"/>
  <c r="AK118" i="11"/>
  <c r="AL118" i="11"/>
  <c r="BT118" i="11"/>
  <c r="BS118" i="11"/>
  <c r="C5516" i="3"/>
  <c r="C5517" i="3" s="1"/>
  <c r="CD181" i="11"/>
  <c r="K181" i="11"/>
  <c r="CO181" i="11"/>
  <c r="BX181" i="11"/>
  <c r="H181" i="11"/>
  <c r="AF181" i="11"/>
  <c r="BI181" i="11"/>
  <c r="BE181" i="11"/>
  <c r="AS181" i="11"/>
  <c r="BO181" i="11"/>
  <c r="AA181" i="11"/>
  <c r="BV181" i="11"/>
  <c r="AO181" i="11"/>
  <c r="CL181" i="11"/>
  <c r="BN181" i="11"/>
  <c r="AY181" i="11"/>
  <c r="BP181" i="11"/>
  <c r="X181" i="11"/>
  <c r="P181" i="11"/>
  <c r="AJ181" i="11"/>
  <c r="BY181" i="11"/>
  <c r="CM181" i="11"/>
  <c r="CG181" i="11"/>
  <c r="AG181" i="11"/>
  <c r="G181" i="11"/>
  <c r="Q181" i="11"/>
  <c r="R181" i="11"/>
  <c r="AH181" i="11"/>
  <c r="CN181" i="11"/>
  <c r="AI181" i="11"/>
  <c r="BQ181" i="11"/>
  <c r="T181" i="11"/>
  <c r="AN181" i="11"/>
  <c r="Z181" i="11"/>
  <c r="CF181" i="11"/>
  <c r="AW181" i="11"/>
  <c r="J181" i="11"/>
  <c r="BG181" i="11"/>
  <c r="Y181" i="11"/>
  <c r="BR181" i="11"/>
  <c r="CQ181" i="11"/>
  <c r="BF181" i="11"/>
  <c r="O181" i="11"/>
  <c r="S181" i="11"/>
  <c r="BZ181" i="11"/>
  <c r="AQ181" i="11"/>
  <c r="AP181" i="11"/>
  <c r="AR181" i="11"/>
  <c r="CP181" i="11"/>
  <c r="CH181" i="11"/>
  <c r="I181" i="11"/>
  <c r="BA181" i="11"/>
  <c r="CE181" i="11"/>
  <c r="BW181" i="11"/>
  <c r="BH181" i="11"/>
  <c r="BM181" i="11"/>
  <c r="AX181" i="11"/>
  <c r="AZ181" i="11"/>
  <c r="AB181" i="11"/>
  <c r="CU151" i="11" l="1"/>
  <c r="CY151" i="11"/>
  <c r="CZ151" i="11" s="1"/>
  <c r="CX151" i="11"/>
  <c r="CV151" i="11"/>
  <c r="CW151" i="11"/>
  <c r="CB181" i="11"/>
  <c r="CA181" i="11"/>
  <c r="CJ181" i="11"/>
  <c r="CI181" i="11"/>
  <c r="C5518" i="3"/>
  <c r="C5519" i="3" s="1"/>
  <c r="C5520" i="3" s="1"/>
  <c r="CD151" i="11"/>
  <c r="BW151" i="11"/>
  <c r="AZ151" i="11"/>
  <c r="P151" i="11"/>
  <c r="R151" i="11"/>
  <c r="BY151" i="11"/>
  <c r="BE151" i="11"/>
  <c r="AA151" i="11"/>
  <c r="AG151" i="11"/>
  <c r="BF151" i="11"/>
  <c r="Z151" i="11"/>
  <c r="H151" i="11"/>
  <c r="K151" i="11"/>
  <c r="CQ151" i="11"/>
  <c r="CF151" i="11"/>
  <c r="BQ151" i="11"/>
  <c r="BA151" i="11"/>
  <c r="AN151" i="11"/>
  <c r="I151" i="11"/>
  <c r="BV151" i="11"/>
  <c r="BH151" i="11"/>
  <c r="J151" i="11"/>
  <c r="S151" i="11"/>
  <c r="BX151" i="11"/>
  <c r="CM151" i="11"/>
  <c r="AP151" i="11"/>
  <c r="BI151" i="11"/>
  <c r="CE151" i="11"/>
  <c r="BP151" i="11"/>
  <c r="BG151" i="11"/>
  <c r="X151" i="11"/>
  <c r="BM151" i="11"/>
  <c r="CL151" i="11"/>
  <c r="AO151" i="11"/>
  <c r="Y151" i="11"/>
  <c r="BN151" i="11"/>
  <c r="CP151" i="11"/>
  <c r="AF151" i="11"/>
  <c r="AI151" i="11"/>
  <c r="AB151" i="11"/>
  <c r="BZ151" i="11"/>
  <c r="BR151" i="11"/>
  <c r="BO151" i="11"/>
  <c r="CN151" i="11"/>
  <c r="Q151" i="11"/>
  <c r="AJ151" i="11"/>
  <c r="AX151" i="11"/>
  <c r="CO151" i="11"/>
  <c r="G151" i="11"/>
  <c r="AS151" i="11"/>
  <c r="AY151" i="11"/>
  <c r="AH151" i="11"/>
  <c r="O151" i="11"/>
  <c r="AR151" i="11"/>
  <c r="T151" i="11"/>
  <c r="CH151" i="11"/>
  <c r="AW151" i="11"/>
  <c r="AQ151" i="11"/>
  <c r="CG151" i="11"/>
  <c r="CS190" i="11"/>
  <c r="CR190" i="11"/>
  <c r="AU190" i="11"/>
  <c r="AT190" i="11"/>
  <c r="CA190" i="11"/>
  <c r="CB190" i="11"/>
  <c r="U181" i="11"/>
  <c r="V181" i="11"/>
  <c r="AT181" i="11"/>
  <c r="AU181" i="11"/>
  <c r="AL190" i="11"/>
  <c r="AK190" i="11"/>
  <c r="M190" i="11"/>
  <c r="DC190" i="11"/>
  <c r="L190" i="11"/>
  <c r="BS190" i="11"/>
  <c r="BT190" i="11"/>
  <c r="AC181" i="11"/>
  <c r="AD181" i="11"/>
  <c r="AL181" i="11"/>
  <c r="AK181" i="11"/>
  <c r="BC190" i="11"/>
  <c r="BB190" i="11"/>
  <c r="CJ190" i="11"/>
  <c r="CI190" i="11"/>
  <c r="BM196" i="11"/>
  <c r="R196" i="11"/>
  <c r="BH196" i="11"/>
  <c r="BW196" i="11"/>
  <c r="AI196" i="11"/>
  <c r="AG196" i="11"/>
  <c r="AH196" i="11"/>
  <c r="AP196" i="11"/>
  <c r="AZ196" i="11"/>
  <c r="CD196" i="11"/>
  <c r="CH196" i="11"/>
  <c r="BQ196" i="11"/>
  <c r="X196" i="11"/>
  <c r="AB196" i="11"/>
  <c r="Q196" i="11"/>
  <c r="K196" i="11"/>
  <c r="CM196" i="11"/>
  <c r="BR196" i="11"/>
  <c r="BN196" i="11"/>
  <c r="BO196" i="11"/>
  <c r="BI196" i="11"/>
  <c r="S196" i="11"/>
  <c r="BA196" i="11"/>
  <c r="BF196" i="11"/>
  <c r="H196" i="11"/>
  <c r="G196" i="11"/>
  <c r="I196" i="11"/>
  <c r="AO196" i="11"/>
  <c r="AS196" i="11"/>
  <c r="CP196" i="11"/>
  <c r="O196" i="11"/>
  <c r="BG196" i="11"/>
  <c r="BE196" i="11"/>
  <c r="BZ196" i="11"/>
  <c r="CE196" i="11"/>
  <c r="CF196" i="11"/>
  <c r="CG196" i="11"/>
  <c r="CO196" i="11"/>
  <c r="BY196" i="11"/>
  <c r="CQ196" i="11"/>
  <c r="AF196" i="11"/>
  <c r="CL196" i="11"/>
  <c r="J196" i="11"/>
  <c r="AW196" i="11"/>
  <c r="BX196" i="11"/>
  <c r="AX196" i="11"/>
  <c r="AR196" i="11"/>
  <c r="P196" i="11"/>
  <c r="AN196" i="11"/>
  <c r="T196" i="11"/>
  <c r="BP196" i="11"/>
  <c r="BV196" i="11"/>
  <c r="Z196" i="11"/>
  <c r="AJ196" i="11"/>
  <c r="Y196" i="11"/>
  <c r="C5417" i="3"/>
  <c r="AY196" i="11"/>
  <c r="CN196" i="11"/>
  <c r="AQ196" i="11"/>
  <c r="AA196" i="11"/>
  <c r="BC181" i="11"/>
  <c r="BB181" i="11"/>
  <c r="CS181" i="11"/>
  <c r="CR181" i="11"/>
  <c r="BJ181" i="11"/>
  <c r="BK181" i="11"/>
  <c r="M181" i="11"/>
  <c r="L181" i="11"/>
  <c r="DC181" i="11"/>
  <c r="BJ190" i="11"/>
  <c r="BK190" i="11"/>
  <c r="V190" i="11"/>
  <c r="U190" i="11"/>
  <c r="BS181" i="11"/>
  <c r="BT181" i="11"/>
  <c r="AD190" i="11"/>
  <c r="AC190" i="11"/>
  <c r="CR196" i="11" l="1"/>
  <c r="CS196" i="11"/>
  <c r="CB196" i="11"/>
  <c r="CA196" i="11"/>
  <c r="AU196" i="11"/>
  <c r="AT196" i="11"/>
  <c r="BC196" i="11"/>
  <c r="BB196" i="11"/>
  <c r="C5418" i="3"/>
  <c r="CY288" i="11" s="1"/>
  <c r="CZ288" i="11" s="1"/>
  <c r="CJ196" i="11"/>
  <c r="CI196" i="11"/>
  <c r="CI151" i="11"/>
  <c r="CJ151" i="11"/>
  <c r="AT151" i="11"/>
  <c r="AU151" i="11"/>
  <c r="BJ151" i="11"/>
  <c r="BK151" i="11"/>
  <c r="C5521" i="3"/>
  <c r="V196" i="11"/>
  <c r="U196" i="11"/>
  <c r="BJ196" i="11"/>
  <c r="BK196" i="11"/>
  <c r="M196" i="11"/>
  <c r="L196" i="11"/>
  <c r="DC196" i="11"/>
  <c r="V151" i="11"/>
  <c r="U151" i="11"/>
  <c r="BT151" i="11"/>
  <c r="BS151" i="11"/>
  <c r="CR151" i="11"/>
  <c r="CS151" i="11"/>
  <c r="AL196" i="11"/>
  <c r="AK196" i="11"/>
  <c r="AD196" i="11"/>
  <c r="AC196" i="11"/>
  <c r="CA151" i="11"/>
  <c r="CB151" i="11"/>
  <c r="BS196" i="11"/>
  <c r="BT196" i="11"/>
  <c r="AL151" i="11"/>
  <c r="AK151" i="11"/>
  <c r="AD151" i="11"/>
  <c r="AC151" i="11"/>
  <c r="BC151" i="11"/>
  <c r="BB151" i="11"/>
  <c r="DC151" i="11"/>
  <c r="L151" i="11"/>
  <c r="M151" i="11"/>
  <c r="CX288" i="11" l="1"/>
  <c r="CV288" i="11"/>
  <c r="CU288" i="11"/>
  <c r="CW288" i="11"/>
  <c r="C5522" i="3"/>
  <c r="C5523" i="3" s="1"/>
  <c r="AR288" i="11"/>
  <c r="CG288" i="11"/>
  <c r="O288" i="11"/>
  <c r="Q288" i="11"/>
  <c r="BE288" i="11"/>
  <c r="AY288" i="11"/>
  <c r="K288" i="11"/>
  <c r="AS288" i="11"/>
  <c r="AN288" i="11"/>
  <c r="AZ288" i="11"/>
  <c r="BR288" i="11"/>
  <c r="AB288" i="11"/>
  <c r="AP288" i="11"/>
  <c r="AX288" i="11"/>
  <c r="X288" i="11"/>
  <c r="C5419" i="3"/>
  <c r="AQ288" i="11"/>
  <c r="BM288" i="11"/>
  <c r="CF288" i="11"/>
  <c r="CQ288" i="11"/>
  <c r="CM288" i="11"/>
  <c r="BP288" i="11"/>
  <c r="R288" i="11"/>
  <c r="AH288" i="11"/>
  <c r="BI288" i="11"/>
  <c r="G288" i="11"/>
  <c r="S288" i="11"/>
  <c r="AJ288" i="11"/>
  <c r="J288" i="11"/>
  <c r="H288" i="11"/>
  <c r="AO288" i="11"/>
  <c r="Z288" i="11"/>
  <c r="CP288" i="11"/>
  <c r="Y288" i="11"/>
  <c r="AF288" i="11"/>
  <c r="AG288" i="11"/>
  <c r="BO288" i="11"/>
  <c r="BV288" i="11"/>
  <c r="BX288" i="11"/>
  <c r="AW288" i="11"/>
  <c r="CL288" i="11"/>
  <c r="BZ288" i="11"/>
  <c r="BH288" i="11"/>
  <c r="CD288" i="11"/>
  <c r="CN288" i="11"/>
  <c r="I288" i="11"/>
  <c r="T288" i="11"/>
  <c r="BF288" i="11"/>
  <c r="AI288" i="11"/>
  <c r="CO288" i="11"/>
  <c r="CE288" i="11"/>
  <c r="BG288" i="11"/>
  <c r="BA288" i="11"/>
  <c r="BQ288" i="11"/>
  <c r="BW288" i="11"/>
  <c r="P288" i="11"/>
  <c r="AA288" i="11"/>
  <c r="BY288" i="11"/>
  <c r="BN288" i="11"/>
  <c r="CH288" i="11"/>
  <c r="CV27" i="11" l="1"/>
  <c r="CU27" i="11"/>
  <c r="CX27" i="11"/>
  <c r="CW27" i="11"/>
  <c r="CR288" i="11"/>
  <c r="CS288" i="11"/>
  <c r="CI288" i="11"/>
  <c r="CJ288" i="11"/>
  <c r="BK288" i="11"/>
  <c r="BJ288" i="11"/>
  <c r="U288" i="11"/>
  <c r="V288" i="11"/>
  <c r="AC288" i="11"/>
  <c r="AD288" i="11"/>
  <c r="AU288" i="11"/>
  <c r="AT288" i="11"/>
  <c r="BB288" i="11"/>
  <c r="BC288" i="11"/>
  <c r="BS288" i="11"/>
  <c r="BT288" i="11"/>
  <c r="L288" i="11"/>
  <c r="DC288" i="11"/>
  <c r="M288" i="11"/>
  <c r="CB288" i="11"/>
  <c r="CA288" i="11"/>
  <c r="AK288" i="11"/>
  <c r="AL288" i="11"/>
  <c r="C5420" i="3"/>
  <c r="C5524" i="3"/>
  <c r="J27" i="11"/>
  <c r="CH27" i="11"/>
  <c r="BM27" i="11"/>
  <c r="BR27" i="11"/>
  <c r="CD27" i="11"/>
  <c r="BP27" i="11"/>
  <c r="G27" i="11"/>
  <c r="O27" i="11"/>
  <c r="AZ27" i="11"/>
  <c r="CO27" i="11"/>
  <c r="BY27" i="11"/>
  <c r="BH27" i="11"/>
  <c r="P27" i="11"/>
  <c r="AX27" i="11"/>
  <c r="AY27" i="11"/>
  <c r="AH27" i="11"/>
  <c r="AB27" i="11"/>
  <c r="AF27" i="11"/>
  <c r="CL27" i="11"/>
  <c r="BN27" i="11"/>
  <c r="BQ27" i="11"/>
  <c r="BI27" i="11"/>
  <c r="I27" i="11"/>
  <c r="CP27" i="11"/>
  <c r="AJ27" i="11"/>
  <c r="BE27" i="11"/>
  <c r="CF27" i="11"/>
  <c r="K27" i="11"/>
  <c r="Z27" i="11"/>
  <c r="BA27" i="11"/>
  <c r="T27" i="11"/>
  <c r="CE27" i="11"/>
  <c r="AO27" i="11"/>
  <c r="BZ27" i="11"/>
  <c r="AG27" i="11"/>
  <c r="AI27" i="11"/>
  <c r="AN27" i="11"/>
  <c r="CN27" i="11"/>
  <c r="AA27" i="11"/>
  <c r="CM27" i="11"/>
  <c r="S27" i="11"/>
  <c r="X27" i="11"/>
  <c r="CQ27" i="11"/>
  <c r="BX27" i="11"/>
  <c r="Y27" i="11"/>
  <c r="CG27" i="11"/>
  <c r="R27" i="11"/>
  <c r="BV27" i="11"/>
  <c r="AW27" i="11"/>
  <c r="Q27" i="11"/>
  <c r="BF27" i="11"/>
  <c r="BW27" i="11"/>
  <c r="AS27" i="11"/>
  <c r="H27" i="11"/>
  <c r="AP27" i="11"/>
  <c r="BG27" i="11"/>
  <c r="AR27" i="11"/>
  <c r="BO27" i="11"/>
  <c r="AQ27" i="11"/>
  <c r="C5525" i="3" l="1"/>
  <c r="C5526" i="3" s="1"/>
  <c r="C5527" i="3" s="1"/>
  <c r="C5528" i="3" s="1"/>
  <c r="C5529" i="3" s="1"/>
  <c r="AL27" i="11"/>
  <c r="AK27" i="11"/>
  <c r="CR27" i="11"/>
  <c r="CS27" i="11"/>
  <c r="AC27" i="11"/>
  <c r="AD27" i="11"/>
  <c r="M27" i="11"/>
  <c r="L27" i="11"/>
  <c r="DC27" i="11"/>
  <c r="AT27" i="11"/>
  <c r="AU27" i="11"/>
  <c r="BK27" i="11"/>
  <c r="BJ27" i="11"/>
  <c r="BT27" i="11"/>
  <c r="BS27" i="11"/>
  <c r="C5421" i="3"/>
  <c r="C5422" i="3" s="1"/>
  <c r="BP191" i="11"/>
  <c r="AX191" i="11"/>
  <c r="AF191" i="11"/>
  <c r="BB27" i="11"/>
  <c r="BC27" i="11"/>
  <c r="V27" i="11"/>
  <c r="U27" i="11"/>
  <c r="CI27" i="11"/>
  <c r="CJ27" i="11"/>
  <c r="CB27" i="11"/>
  <c r="CA27" i="11"/>
  <c r="CV286" i="11" l="1"/>
  <c r="CY184" i="11"/>
  <c r="CZ184" i="11" s="1"/>
  <c r="CY181" i="11"/>
  <c r="CZ181" i="11" s="1"/>
  <c r="CY284" i="11"/>
  <c r="CZ284" i="11" s="1"/>
  <c r="CY320" i="11"/>
  <c r="CZ320" i="11" s="1"/>
  <c r="CY191" i="11"/>
  <c r="CZ191" i="11" s="1"/>
  <c r="CY135" i="11"/>
  <c r="CZ135" i="11" s="1"/>
  <c r="CY286" i="11"/>
  <c r="CZ286" i="11" s="1"/>
  <c r="CY190" i="11"/>
  <c r="CZ190" i="11" s="1"/>
  <c r="CY245" i="11"/>
  <c r="CZ245" i="11" s="1"/>
  <c r="CY246" i="11"/>
  <c r="CZ246" i="11" s="1"/>
  <c r="CY276" i="11"/>
  <c r="CZ276" i="11" s="1"/>
  <c r="CY278" i="11"/>
  <c r="CZ278" i="11" s="1"/>
  <c r="CY296" i="11"/>
  <c r="CZ296" i="11" s="1"/>
  <c r="CY283" i="11"/>
  <c r="CZ283" i="11" s="1"/>
  <c r="CY196" i="11"/>
  <c r="CZ196" i="11" s="1"/>
  <c r="CY230" i="11"/>
  <c r="CZ230" i="11" s="1"/>
  <c r="CY182" i="11"/>
  <c r="CZ182" i="11" s="1"/>
  <c r="CY198" i="11"/>
  <c r="CZ198" i="11" s="1"/>
  <c r="CY195" i="11"/>
  <c r="CZ195" i="11" s="1"/>
  <c r="CY227" i="11"/>
  <c r="CZ227" i="11" s="1"/>
  <c r="CY238" i="11"/>
  <c r="CZ238" i="11" s="1"/>
  <c r="CY316" i="11"/>
  <c r="CZ316" i="11" s="1"/>
  <c r="CY231" i="11"/>
  <c r="CZ231" i="11" s="1"/>
  <c r="CY203" i="11"/>
  <c r="CZ203" i="11" s="1"/>
  <c r="CY171" i="11"/>
  <c r="CZ171" i="11" s="1"/>
  <c r="CY105" i="11"/>
  <c r="CZ105" i="11" s="1"/>
  <c r="CZ326" i="11"/>
  <c r="CY98" i="11"/>
  <c r="CZ98" i="11" s="1"/>
  <c r="CY328" i="11"/>
  <c r="CZ328" i="11" s="1"/>
  <c r="CY174" i="11"/>
  <c r="CZ174" i="11" s="1"/>
  <c r="CY103" i="11"/>
  <c r="CZ103" i="11" s="1"/>
  <c r="CY194" i="11"/>
  <c r="CZ194" i="11" s="1"/>
  <c r="CY224" i="11"/>
  <c r="CZ224" i="11" s="1"/>
  <c r="CY324" i="11"/>
  <c r="CZ324" i="11" s="1"/>
  <c r="CY235" i="11"/>
  <c r="CZ235" i="11" s="1"/>
  <c r="CY206" i="11"/>
  <c r="CZ206" i="11" s="1"/>
  <c r="CY167" i="11"/>
  <c r="CZ167" i="11" s="1"/>
  <c r="CY156" i="11"/>
  <c r="CZ156" i="11" s="1"/>
  <c r="CY183" i="11"/>
  <c r="CZ183" i="11" s="1"/>
  <c r="CY293" i="11"/>
  <c r="CZ293" i="11" s="1"/>
  <c r="CY299" i="11"/>
  <c r="CZ299" i="11" s="1"/>
  <c r="CY228" i="11"/>
  <c r="CZ228" i="11" s="1"/>
  <c r="CY173" i="11"/>
  <c r="CZ173" i="11" s="1"/>
  <c r="CY266" i="11"/>
  <c r="CZ266" i="11" s="1"/>
  <c r="CY197" i="11"/>
  <c r="CZ197" i="11" s="1"/>
  <c r="CY176" i="11"/>
  <c r="CZ176" i="11" s="1"/>
  <c r="CY313" i="11"/>
  <c r="CZ313" i="11" s="1"/>
  <c r="CY244" i="11"/>
  <c r="CZ244" i="11" s="1"/>
  <c r="CY272" i="11"/>
  <c r="CZ272" i="11" s="1"/>
  <c r="CY100" i="11"/>
  <c r="CZ100" i="11" s="1"/>
  <c r="CY169" i="11"/>
  <c r="CZ169" i="11" s="1"/>
  <c r="CY192" i="11"/>
  <c r="CZ192" i="11" s="1"/>
  <c r="CY338" i="11"/>
  <c r="CZ338" i="11" s="1"/>
  <c r="CY168" i="11"/>
  <c r="CZ168" i="11" s="1"/>
  <c r="CY193" i="11"/>
  <c r="CZ193" i="11" s="1"/>
  <c r="CY15" i="11"/>
  <c r="CZ15" i="11" s="1"/>
  <c r="CU15" i="11"/>
  <c r="CX15" i="11"/>
  <c r="CV15" i="11"/>
  <c r="CW15" i="11"/>
  <c r="CY27" i="11"/>
  <c r="CZ27" i="11" s="1"/>
  <c r="CY210" i="11"/>
  <c r="CZ210" i="11" s="1"/>
  <c r="CW184" i="11"/>
  <c r="CV181" i="11"/>
  <c r="CX181" i="11"/>
  <c r="CU181" i="11"/>
  <c r="CW181" i="11"/>
  <c r="CX284" i="11"/>
  <c r="CU284" i="11"/>
  <c r="CV284" i="11"/>
  <c r="CW284" i="11"/>
  <c r="CV184" i="11"/>
  <c r="CX184" i="11"/>
  <c r="CU184" i="11"/>
  <c r="CW190" i="11"/>
  <c r="CX276" i="11"/>
  <c r="CX191" i="11"/>
  <c r="CU191" i="11"/>
  <c r="CW191" i="11"/>
  <c r="CV191" i="11"/>
  <c r="CU190" i="11"/>
  <c r="CX190" i="11"/>
  <c r="CV190" i="11"/>
  <c r="CW227" i="11"/>
  <c r="CX227" i="11"/>
  <c r="CU227" i="11"/>
  <c r="CV227" i="11"/>
  <c r="CW238" i="11"/>
  <c r="CX238" i="11"/>
  <c r="CU238" i="11"/>
  <c r="CV238" i="11"/>
  <c r="CV245" i="11"/>
  <c r="CW245" i="11"/>
  <c r="CU245" i="11"/>
  <c r="CX245" i="11"/>
  <c r="CU276" i="11"/>
  <c r="CW276" i="11"/>
  <c r="CV276" i="11"/>
  <c r="CX278" i="11"/>
  <c r="CV278" i="11"/>
  <c r="CW278" i="11"/>
  <c r="CU278" i="11"/>
  <c r="CW316" i="11"/>
  <c r="CU316" i="11"/>
  <c r="CV316" i="11"/>
  <c r="CX316" i="11"/>
  <c r="CV296" i="11"/>
  <c r="CU296" i="11"/>
  <c r="CX296" i="11"/>
  <c r="CW296" i="11"/>
  <c r="CV196" i="11"/>
  <c r="CX196" i="11"/>
  <c r="CU196" i="11"/>
  <c r="CW196" i="11"/>
  <c r="CU182" i="11"/>
  <c r="CV182" i="11"/>
  <c r="CX182" i="11"/>
  <c r="CW182" i="11"/>
  <c r="CW203" i="11"/>
  <c r="CU203" i="11"/>
  <c r="CV203" i="11"/>
  <c r="CX203" i="11"/>
  <c r="CW135" i="11"/>
  <c r="CX135" i="11"/>
  <c r="CX320" i="11"/>
  <c r="CW320" i="11"/>
  <c r="CV320" i="11"/>
  <c r="CU320" i="11"/>
  <c r="CW286" i="11"/>
  <c r="CX286" i="11"/>
  <c r="CU286" i="11"/>
  <c r="CW103" i="11"/>
  <c r="CX103" i="11"/>
  <c r="CW230" i="11"/>
  <c r="CU230" i="11"/>
  <c r="CX230" i="11"/>
  <c r="CV230" i="11"/>
  <c r="CW198" i="11"/>
  <c r="CU198" i="11"/>
  <c r="CX198" i="11"/>
  <c r="CV198" i="11"/>
  <c r="CW98" i="11"/>
  <c r="CX98" i="11"/>
  <c r="CW105" i="11"/>
  <c r="CX105" i="11"/>
  <c r="CV171" i="11"/>
  <c r="CU171" i="11"/>
  <c r="CW171" i="11"/>
  <c r="CX171" i="11"/>
  <c r="CV98" i="11"/>
  <c r="CU98" i="11"/>
  <c r="CX100" i="11"/>
  <c r="CW283" i="11"/>
  <c r="CX283" i="11"/>
  <c r="CU283" i="11"/>
  <c r="CV283" i="11"/>
  <c r="CV195" i="11"/>
  <c r="CU195" i="11"/>
  <c r="CW195" i="11"/>
  <c r="CX195" i="11"/>
  <c r="CV231" i="11"/>
  <c r="CU231" i="11"/>
  <c r="CW231" i="11"/>
  <c r="CX231" i="11"/>
  <c r="CU224" i="11"/>
  <c r="CV224" i="11"/>
  <c r="CW224" i="11"/>
  <c r="CX224" i="11"/>
  <c r="CV167" i="11"/>
  <c r="CW167" i="11"/>
  <c r="CX167" i="11"/>
  <c r="CU167" i="11"/>
  <c r="CW183" i="11"/>
  <c r="CV183" i="11"/>
  <c r="CU183" i="11"/>
  <c r="CX183" i="11"/>
  <c r="CW132" i="11"/>
  <c r="CV135" i="11"/>
  <c r="CU135" i="11"/>
  <c r="CV176" i="11"/>
  <c r="CX176" i="11"/>
  <c r="CW176" i="11"/>
  <c r="CU176" i="11"/>
  <c r="CW100" i="11"/>
  <c r="CW324" i="11"/>
  <c r="CX324" i="11"/>
  <c r="CU324" i="11"/>
  <c r="CV324" i="11"/>
  <c r="CX173" i="11"/>
  <c r="CU100" i="11"/>
  <c r="CV100" i="11"/>
  <c r="CU105" i="11"/>
  <c r="CV105" i="11"/>
  <c r="CV173" i="11"/>
  <c r="CW173" i="11"/>
  <c r="CU173" i="11"/>
  <c r="CX293" i="11"/>
  <c r="CV293" i="11"/>
  <c r="CW293" i="11"/>
  <c r="CU293" i="11"/>
  <c r="CX228" i="11"/>
  <c r="CU228" i="11"/>
  <c r="CW228" i="11"/>
  <c r="CV228" i="11"/>
  <c r="CW197" i="11"/>
  <c r="CU197" i="11"/>
  <c r="CV197" i="11"/>
  <c r="CX197" i="11"/>
  <c r="CX194" i="11"/>
  <c r="CW194" i="11"/>
  <c r="CU194" i="11"/>
  <c r="CV194" i="11"/>
  <c r="Z191" i="11"/>
  <c r="BX191" i="11"/>
  <c r="BE191" i="11"/>
  <c r="J191" i="11"/>
  <c r="AB191" i="11"/>
  <c r="AC191" i="11" s="1"/>
  <c r="AP191" i="11"/>
  <c r="K191" i="11"/>
  <c r="L191" i="11" s="1"/>
  <c r="CF191" i="11"/>
  <c r="AJ191" i="11"/>
  <c r="AL191" i="11" s="1"/>
  <c r="R191" i="11"/>
  <c r="CP191" i="11"/>
  <c r="AI191" i="11"/>
  <c r="BY191" i="11"/>
  <c r="AG191" i="11"/>
  <c r="BG191" i="11"/>
  <c r="S191" i="11"/>
  <c r="CG191" i="11"/>
  <c r="BI191" i="11"/>
  <c r="BJ191" i="11" s="1"/>
  <c r="BR191" i="11"/>
  <c r="BS191" i="11" s="1"/>
  <c r="AZ191" i="11"/>
  <c r="Q191" i="11"/>
  <c r="T191" i="11"/>
  <c r="U191" i="11" s="1"/>
  <c r="AO191" i="11"/>
  <c r="CM191" i="11"/>
  <c r="AY191" i="11"/>
  <c r="AR191" i="11"/>
  <c r="H191" i="11"/>
  <c r="AH191" i="11"/>
  <c r="CH191" i="11"/>
  <c r="CJ191" i="11" s="1"/>
  <c r="BV191" i="11"/>
  <c r="BZ191" i="11"/>
  <c r="CA191" i="11" s="1"/>
  <c r="CE191" i="11"/>
  <c r="BF191" i="11"/>
  <c r="AS191" i="11"/>
  <c r="AT191" i="11" s="1"/>
  <c r="AA191" i="11"/>
  <c r="CD191" i="11"/>
  <c r="BW191" i="11"/>
  <c r="G191" i="11"/>
  <c r="BO191" i="11"/>
  <c r="Y191" i="11"/>
  <c r="CN191" i="11"/>
  <c r="CL191" i="11"/>
  <c r="X191" i="11"/>
  <c r="CO191" i="11"/>
  <c r="BN191" i="11"/>
  <c r="BA191" i="11"/>
  <c r="BB191" i="11" s="1"/>
  <c r="AN191" i="11"/>
  <c r="I191" i="11"/>
  <c r="AW191" i="11"/>
  <c r="O191" i="11"/>
  <c r="BM191" i="11"/>
  <c r="BH191" i="11"/>
  <c r="BQ191" i="11"/>
  <c r="CQ191" i="11"/>
  <c r="CS191" i="11" s="1"/>
  <c r="P191" i="11"/>
  <c r="AQ191" i="11"/>
  <c r="C5423" i="3"/>
  <c r="C5424" i="3" s="1"/>
  <c r="C5448" i="3"/>
  <c r="CY8" i="11" l="1"/>
  <c r="CU8" i="11"/>
  <c r="CV8" i="11"/>
  <c r="CW8" i="11"/>
  <c r="CX8" i="11"/>
  <c r="V191" i="11"/>
  <c r="M191" i="11"/>
  <c r="CI191" i="11"/>
  <c r="AD191" i="11"/>
  <c r="CM8" i="11"/>
  <c r="BX8" i="11"/>
  <c r="G8" i="11"/>
  <c r="BR8" i="11"/>
  <c r="BG8" i="11"/>
  <c r="AN8" i="11"/>
  <c r="AS8" i="11"/>
  <c r="BW8" i="11"/>
  <c r="I8" i="11"/>
  <c r="AH8" i="11"/>
  <c r="AO8" i="11"/>
  <c r="BV8" i="11"/>
  <c r="K8" i="11"/>
  <c r="BF8" i="11"/>
  <c r="H8" i="11"/>
  <c r="CF8" i="11"/>
  <c r="AF8" i="11"/>
  <c r="BY8" i="11"/>
  <c r="CE8" i="11"/>
  <c r="CH8" i="11"/>
  <c r="BO8" i="11"/>
  <c r="X8" i="11"/>
  <c r="BZ8" i="11"/>
  <c r="AJ8" i="11"/>
  <c r="AX8" i="11"/>
  <c r="Y8" i="11"/>
  <c r="AG8" i="11"/>
  <c r="BA8" i="11"/>
  <c r="AI8" i="11"/>
  <c r="AA8" i="11"/>
  <c r="CN8" i="11"/>
  <c r="Q8" i="11"/>
  <c r="O8" i="11"/>
  <c r="S8" i="11"/>
  <c r="AW8" i="11"/>
  <c r="AR8" i="11"/>
  <c r="Z8" i="11"/>
  <c r="BH8" i="11"/>
  <c r="J8" i="11"/>
  <c r="BI8" i="11"/>
  <c r="P8" i="11"/>
  <c r="BM8" i="11"/>
  <c r="R8" i="11"/>
  <c r="BP8" i="11"/>
  <c r="AQ8" i="11"/>
  <c r="CD8" i="11"/>
  <c r="AY8" i="11"/>
  <c r="CO8" i="11"/>
  <c r="CL8" i="11"/>
  <c r="CP8" i="11"/>
  <c r="AP8" i="11"/>
  <c r="BQ8" i="11"/>
  <c r="BN8" i="11"/>
  <c r="AZ8" i="11"/>
  <c r="T8" i="11"/>
  <c r="AB8" i="11"/>
  <c r="CQ8" i="11"/>
  <c r="CG8" i="11"/>
  <c r="BE8" i="11"/>
  <c r="BK191" i="11"/>
  <c r="CR191" i="11"/>
  <c r="AK191" i="11"/>
  <c r="BT191" i="11"/>
  <c r="AU191" i="11"/>
  <c r="DC191" i="11"/>
  <c r="CB191" i="11"/>
  <c r="BC191" i="11"/>
  <c r="C5426" i="3"/>
  <c r="CY200" i="11" s="1"/>
  <c r="CZ200" i="11" s="1"/>
  <c r="C5425" i="3"/>
  <c r="C5449" i="3"/>
  <c r="C5450" i="3" s="1"/>
  <c r="CZ8" i="11" l="1"/>
  <c r="CU9" i="11"/>
  <c r="CX9" i="11"/>
  <c r="CV9" i="11"/>
  <c r="CW9" i="11"/>
  <c r="CY9" i="11"/>
  <c r="CZ9" i="11" s="1"/>
  <c r="CV23" i="11"/>
  <c r="CX23" i="11"/>
  <c r="CW23" i="11"/>
  <c r="CY23" i="11"/>
  <c r="CZ23" i="11" s="1"/>
  <c r="CU23" i="11"/>
  <c r="CU200" i="11"/>
  <c r="CX200" i="11"/>
  <c r="CV200" i="11"/>
  <c r="CW200" i="11"/>
  <c r="Y23" i="11"/>
  <c r="R23" i="11"/>
  <c r="AI23" i="11"/>
  <c r="K23" i="11"/>
  <c r="L23" i="11" s="1"/>
  <c r="BH23" i="11"/>
  <c r="CP23" i="11"/>
  <c r="CO23" i="11"/>
  <c r="BG23" i="11"/>
  <c r="BE23" i="11"/>
  <c r="U8" i="11"/>
  <c r="V8" i="11"/>
  <c r="BK8" i="11"/>
  <c r="BJ8" i="11"/>
  <c r="AL8" i="11"/>
  <c r="AK8" i="11"/>
  <c r="CA8" i="11"/>
  <c r="CB8" i="11"/>
  <c r="BI9" i="11"/>
  <c r="BE9" i="11"/>
  <c r="CH9" i="11"/>
  <c r="H9" i="11"/>
  <c r="BF9" i="11"/>
  <c r="AQ9" i="11"/>
  <c r="BA9" i="11"/>
  <c r="T9" i="11"/>
  <c r="AF9" i="11"/>
  <c r="AO9" i="11"/>
  <c r="I9" i="11"/>
  <c r="AB9" i="11"/>
  <c r="BN9" i="11"/>
  <c r="CM9" i="11"/>
  <c r="AR9" i="11"/>
  <c r="AW9" i="11"/>
  <c r="BH9" i="11"/>
  <c r="BR9" i="11"/>
  <c r="AN9" i="11"/>
  <c r="CE9" i="11"/>
  <c r="BZ9" i="11"/>
  <c r="CG9" i="11"/>
  <c r="CP9" i="11"/>
  <c r="CN9" i="11"/>
  <c r="Q9" i="11"/>
  <c r="Z9" i="11"/>
  <c r="CO9" i="11"/>
  <c r="K9" i="11"/>
  <c r="O9" i="11"/>
  <c r="BP9" i="11"/>
  <c r="AJ9" i="11"/>
  <c r="AZ9" i="11"/>
  <c r="S9" i="11"/>
  <c r="CL9" i="11"/>
  <c r="CF9" i="11"/>
  <c r="BX9" i="11"/>
  <c r="BV9" i="11"/>
  <c r="AG9" i="11"/>
  <c r="BY9" i="11"/>
  <c r="Y9" i="11"/>
  <c r="BO9" i="11"/>
  <c r="BQ9" i="11"/>
  <c r="J9" i="11"/>
  <c r="AA9" i="11"/>
  <c r="P9" i="11"/>
  <c r="AY9" i="11"/>
  <c r="AX9" i="11"/>
  <c r="BG9" i="11"/>
  <c r="AH9" i="11"/>
  <c r="CQ9" i="11"/>
  <c r="AP9" i="11"/>
  <c r="AI9" i="11"/>
  <c r="CD9" i="11"/>
  <c r="G9" i="11"/>
  <c r="AS9" i="11"/>
  <c r="X9" i="11"/>
  <c r="BM9" i="11"/>
  <c r="R9" i="11"/>
  <c r="BW9" i="11"/>
  <c r="CH23" i="11"/>
  <c r="CJ23" i="11" s="1"/>
  <c r="C5427" i="3"/>
  <c r="Z200" i="11"/>
  <c r="AG200" i="11"/>
  <c r="BI200" i="11"/>
  <c r="AS200" i="11"/>
  <c r="CG200" i="11"/>
  <c r="X200" i="11"/>
  <c r="AO200" i="11"/>
  <c r="AN200" i="11"/>
  <c r="K200" i="11"/>
  <c r="BN200" i="11"/>
  <c r="CQ200" i="11"/>
  <c r="Q200" i="11"/>
  <c r="H200" i="11"/>
  <c r="Y200" i="11"/>
  <c r="BF200" i="11"/>
  <c r="AF200" i="11"/>
  <c r="J200" i="11"/>
  <c r="BR200" i="11"/>
  <c r="AW200" i="11"/>
  <c r="BM200" i="11"/>
  <c r="O200" i="11"/>
  <c r="BW200" i="11"/>
  <c r="BG200" i="11"/>
  <c r="AA200" i="11"/>
  <c r="CP200" i="11"/>
  <c r="R200" i="11"/>
  <c r="BA200" i="11"/>
  <c r="CN200" i="11"/>
  <c r="AJ200" i="11"/>
  <c r="BY200" i="11"/>
  <c r="BZ200" i="11"/>
  <c r="BX200" i="11"/>
  <c r="AZ200" i="11"/>
  <c r="BO200" i="11"/>
  <c r="T200" i="11"/>
  <c r="AH200" i="11"/>
  <c r="AQ200" i="11"/>
  <c r="AR200" i="11"/>
  <c r="CD200" i="11"/>
  <c r="BE200" i="11"/>
  <c r="CL200" i="11"/>
  <c r="AP200" i="11"/>
  <c r="CF200" i="11"/>
  <c r="AB200" i="11"/>
  <c r="G200" i="11"/>
  <c r="CO200" i="11"/>
  <c r="AX200" i="11"/>
  <c r="CM200" i="11"/>
  <c r="CE200" i="11"/>
  <c r="S200" i="11"/>
  <c r="AI200" i="11"/>
  <c r="CH200" i="11"/>
  <c r="I200" i="11"/>
  <c r="BV200" i="11"/>
  <c r="AY200" i="11"/>
  <c r="BQ200" i="11"/>
  <c r="P200" i="11"/>
  <c r="BH200" i="11"/>
  <c r="BP200" i="11"/>
  <c r="BB8" i="11"/>
  <c r="BC8" i="11"/>
  <c r="BS8" i="11"/>
  <c r="BT8" i="11"/>
  <c r="CI8" i="11"/>
  <c r="CJ8" i="11"/>
  <c r="CR8" i="11"/>
  <c r="CS8" i="11"/>
  <c r="CM23" i="11"/>
  <c r="BF23" i="11"/>
  <c r="AC8" i="11"/>
  <c r="AD8" i="11"/>
  <c r="L8" i="11"/>
  <c r="M8" i="11"/>
  <c r="DC8" i="11"/>
  <c r="AT8" i="11"/>
  <c r="AU8" i="11"/>
  <c r="I23" i="11"/>
  <c r="BW23" i="11"/>
  <c r="AX23" i="11"/>
  <c r="S23" i="11"/>
  <c r="BQ23" i="11"/>
  <c r="Q23" i="11"/>
  <c r="CF23" i="11"/>
  <c r="AJ23" i="11"/>
  <c r="AL23" i="11" s="1"/>
  <c r="BR23" i="11"/>
  <c r="BS23" i="11" s="1"/>
  <c r="X23" i="11"/>
  <c r="BA23" i="11"/>
  <c r="BC23" i="11" s="1"/>
  <c r="CD23" i="11"/>
  <c r="CE23" i="11"/>
  <c r="G23" i="11"/>
  <c r="AP23" i="11"/>
  <c r="CL23" i="11"/>
  <c r="O23" i="11"/>
  <c r="BP23" i="11"/>
  <c r="CQ23" i="11"/>
  <c r="CR23" i="11" s="1"/>
  <c r="AG23" i="11"/>
  <c r="T23" i="11"/>
  <c r="U23" i="11" s="1"/>
  <c r="BX23" i="11"/>
  <c r="BV23" i="11"/>
  <c r="BI23" i="11"/>
  <c r="BJ23" i="11" s="1"/>
  <c r="BN23" i="11"/>
  <c r="AW23" i="11"/>
  <c r="AA23" i="11"/>
  <c r="BM23" i="11"/>
  <c r="H23" i="11"/>
  <c r="CN23" i="11"/>
  <c r="J23" i="11"/>
  <c r="AY23" i="11"/>
  <c r="AR23" i="11"/>
  <c r="AO23" i="11"/>
  <c r="P23" i="11"/>
  <c r="AF23" i="11"/>
  <c r="AQ23" i="11"/>
  <c r="AH23" i="11"/>
  <c r="AB23" i="11"/>
  <c r="AD23" i="11" s="1"/>
  <c r="AZ23" i="11"/>
  <c r="CG23" i="11"/>
  <c r="AS23" i="11"/>
  <c r="AU23" i="11" s="1"/>
  <c r="Z23" i="11"/>
  <c r="BZ23" i="11"/>
  <c r="CB23" i="11" s="1"/>
  <c r="AN23" i="11"/>
  <c r="BY23" i="11"/>
  <c r="BO23" i="11"/>
  <c r="C5451" i="3"/>
  <c r="CY24" i="11" l="1"/>
  <c r="CZ24" i="11" s="1"/>
  <c r="CU24" i="11"/>
  <c r="CX24" i="11"/>
  <c r="CV24" i="11"/>
  <c r="CW24" i="11"/>
  <c r="C5428" i="3"/>
  <c r="C5429" i="3" s="1"/>
  <c r="BN189" i="11" s="1"/>
  <c r="M23" i="11"/>
  <c r="CI23" i="11"/>
  <c r="AK23" i="11"/>
  <c r="AT23" i="11"/>
  <c r="CI200" i="11"/>
  <c r="CJ200" i="11"/>
  <c r="U200" i="11"/>
  <c r="V200" i="11"/>
  <c r="AK200" i="11"/>
  <c r="AL200" i="11"/>
  <c r="M200" i="11"/>
  <c r="DC200" i="11"/>
  <c r="L200" i="11"/>
  <c r="BK200" i="11"/>
  <c r="BJ200" i="11"/>
  <c r="CB9" i="11"/>
  <c r="CA9" i="11"/>
  <c r="BT200" i="11"/>
  <c r="BS200" i="11"/>
  <c r="U9" i="11"/>
  <c r="V9" i="11"/>
  <c r="CJ9" i="11"/>
  <c r="CI9" i="11"/>
  <c r="AK9" i="11"/>
  <c r="AL9" i="11"/>
  <c r="BB9" i="11"/>
  <c r="BC9" i="11"/>
  <c r="AD200" i="11"/>
  <c r="AC200" i="11"/>
  <c r="BC200" i="11"/>
  <c r="BB200" i="11"/>
  <c r="BS9" i="11"/>
  <c r="BT9" i="11"/>
  <c r="AD9" i="11"/>
  <c r="AC9" i="11"/>
  <c r="BJ9" i="11"/>
  <c r="BK9" i="11"/>
  <c r="CB200" i="11"/>
  <c r="CA200" i="11"/>
  <c r="CS200" i="11"/>
  <c r="CR200" i="11"/>
  <c r="AU9" i="11"/>
  <c r="AT9" i="11"/>
  <c r="CS9" i="11"/>
  <c r="CR9" i="11"/>
  <c r="AT200" i="11"/>
  <c r="AU200" i="11"/>
  <c r="M9" i="11"/>
  <c r="DC9" i="11"/>
  <c r="L9" i="11"/>
  <c r="CS23" i="11"/>
  <c r="V23" i="11"/>
  <c r="CA23" i="11"/>
  <c r="BT23" i="11"/>
  <c r="BB23" i="11"/>
  <c r="BK23" i="11"/>
  <c r="AC23" i="11"/>
  <c r="DC23" i="11"/>
  <c r="C5452" i="3"/>
  <c r="T24" i="11"/>
  <c r="BV24" i="11"/>
  <c r="AN24" i="11"/>
  <c r="BF24" i="11"/>
  <c r="G24" i="11"/>
  <c r="BH24" i="11"/>
  <c r="BX24" i="11"/>
  <c r="CP24" i="11"/>
  <c r="AF24" i="11"/>
  <c r="AY24" i="11"/>
  <c r="CE24" i="11"/>
  <c r="AO24" i="11"/>
  <c r="BE24" i="11"/>
  <c r="J24" i="11"/>
  <c r="AA24" i="11"/>
  <c r="BO24" i="11"/>
  <c r="X24" i="11"/>
  <c r="AG24" i="11"/>
  <c r="Y24" i="11"/>
  <c r="CL24" i="11"/>
  <c r="O24" i="11"/>
  <c r="CG24" i="11"/>
  <c r="CO24" i="11"/>
  <c r="BG24" i="11"/>
  <c r="S24" i="11"/>
  <c r="AJ24" i="11"/>
  <c r="BW24" i="11"/>
  <c r="I24" i="11"/>
  <c r="AH24" i="11"/>
  <c r="BI24" i="11"/>
  <c r="BN24" i="11"/>
  <c r="AQ24" i="11"/>
  <c r="AZ24" i="11"/>
  <c r="AX24" i="11"/>
  <c r="Z24" i="11"/>
  <c r="R24" i="11"/>
  <c r="CH24" i="11"/>
  <c r="P24" i="11"/>
  <c r="AB24" i="11"/>
  <c r="CM24" i="11"/>
  <c r="AS24" i="11"/>
  <c r="CN24" i="11"/>
  <c r="H24" i="11"/>
  <c r="BQ24" i="11"/>
  <c r="AP24" i="11"/>
  <c r="CF24" i="11"/>
  <c r="BR24" i="11"/>
  <c r="BZ24" i="11"/>
  <c r="AI24" i="11"/>
  <c r="BM24" i="11"/>
  <c r="BA24" i="11"/>
  <c r="CQ24" i="11"/>
  <c r="BP24" i="11"/>
  <c r="K24" i="11"/>
  <c r="CD24" i="11"/>
  <c r="AW24" i="11"/>
  <c r="BY24" i="11"/>
  <c r="Q24" i="11"/>
  <c r="AR24" i="11"/>
  <c r="AQ189" i="11" l="1"/>
  <c r="K189" i="11"/>
  <c r="M189" i="11" s="1"/>
  <c r="Y189" i="11"/>
  <c r="CU25" i="11"/>
  <c r="CX25" i="11"/>
  <c r="CW25" i="11"/>
  <c r="CY25" i="11"/>
  <c r="CZ25" i="11" s="1"/>
  <c r="CV25" i="11"/>
  <c r="BM189" i="11"/>
  <c r="AA189" i="11"/>
  <c r="BQ189" i="11"/>
  <c r="AW189" i="11"/>
  <c r="AI189" i="11"/>
  <c r="CY189" i="11"/>
  <c r="CZ189" i="11" s="1"/>
  <c r="AH189" i="11"/>
  <c r="CE189" i="11"/>
  <c r="CO189" i="11"/>
  <c r="P189" i="11"/>
  <c r="CH189" i="11"/>
  <c r="CI189" i="11" s="1"/>
  <c r="I189" i="11"/>
  <c r="BR189" i="11"/>
  <c r="BT189" i="11" s="1"/>
  <c r="CM189" i="11"/>
  <c r="BF189" i="11"/>
  <c r="CQ189" i="11"/>
  <c r="CS189" i="11" s="1"/>
  <c r="AN189" i="11"/>
  <c r="J189" i="11"/>
  <c r="AG189" i="11"/>
  <c r="BP189" i="11"/>
  <c r="CD189" i="11"/>
  <c r="CP189" i="11"/>
  <c r="BZ189" i="11"/>
  <c r="CB189" i="11" s="1"/>
  <c r="AB189" i="11"/>
  <c r="AD189" i="11" s="1"/>
  <c r="H189" i="11"/>
  <c r="AR189" i="11"/>
  <c r="BG189" i="11"/>
  <c r="AX189" i="11"/>
  <c r="AO189" i="11"/>
  <c r="AY189" i="11"/>
  <c r="AJ189" i="11"/>
  <c r="AL189" i="11" s="1"/>
  <c r="BV189" i="11"/>
  <c r="BW189" i="11"/>
  <c r="BE189" i="11"/>
  <c r="AP189" i="11"/>
  <c r="AS189" i="11"/>
  <c r="AU189" i="11" s="1"/>
  <c r="R189" i="11"/>
  <c r="BI189" i="11"/>
  <c r="BK189" i="11" s="1"/>
  <c r="BA189" i="11"/>
  <c r="BC189" i="11" s="1"/>
  <c r="BY189" i="11"/>
  <c r="CG189" i="11"/>
  <c r="X189" i="11"/>
  <c r="CF189" i="11"/>
  <c r="G189" i="11"/>
  <c r="Q189" i="11"/>
  <c r="T189" i="11"/>
  <c r="U189" i="11" s="1"/>
  <c r="AZ189" i="11"/>
  <c r="CN189" i="11"/>
  <c r="S189" i="11"/>
  <c r="BX189" i="11"/>
  <c r="BO189" i="11"/>
  <c r="BH189" i="11"/>
  <c r="AF189" i="11"/>
  <c r="C5430" i="3"/>
  <c r="CY11" i="11" s="1"/>
  <c r="O189" i="11"/>
  <c r="Z189" i="11"/>
  <c r="CL189" i="11"/>
  <c r="CW189" i="11"/>
  <c r="CX189" i="11"/>
  <c r="CU189" i="11"/>
  <c r="CV189" i="11"/>
  <c r="C5453" i="3"/>
  <c r="C5454" i="3" s="1"/>
  <c r="C5455" i="3" s="1"/>
  <c r="H25" i="11"/>
  <c r="BH25" i="11"/>
  <c r="BY25" i="11"/>
  <c r="CE25" i="11"/>
  <c r="AA25" i="11"/>
  <c r="BM25" i="11"/>
  <c r="T25" i="11"/>
  <c r="S25" i="11"/>
  <c r="BA25" i="11"/>
  <c r="AO25" i="11"/>
  <c r="I25" i="11"/>
  <c r="BG25" i="11"/>
  <c r="AS25" i="11"/>
  <c r="P25" i="11"/>
  <c r="BE25" i="11"/>
  <c r="AJ25" i="11"/>
  <c r="AF25" i="11"/>
  <c r="X25" i="11"/>
  <c r="Z25" i="11"/>
  <c r="AH25" i="11"/>
  <c r="CP25" i="11"/>
  <c r="AI25" i="11"/>
  <c r="BN25" i="11"/>
  <c r="AX25" i="11"/>
  <c r="CN25" i="11"/>
  <c r="CQ25" i="11"/>
  <c r="BQ25" i="11"/>
  <c r="CM25" i="11"/>
  <c r="G25" i="11"/>
  <c r="BW25" i="11"/>
  <c r="AB25" i="11"/>
  <c r="BR25" i="11"/>
  <c r="CD25" i="11"/>
  <c r="AY25" i="11"/>
  <c r="AN25" i="11"/>
  <c r="CL25" i="11"/>
  <c r="BP25" i="11"/>
  <c r="R25" i="11"/>
  <c r="AG25" i="11"/>
  <c r="BI25" i="11"/>
  <c r="CH25" i="11"/>
  <c r="J25" i="11"/>
  <c r="CF25" i="11"/>
  <c r="BO25" i="11"/>
  <c r="K25" i="11"/>
  <c r="AP25" i="11"/>
  <c r="CO25" i="11"/>
  <c r="AZ25" i="11"/>
  <c r="AW25" i="11"/>
  <c r="O25" i="11"/>
  <c r="Q25" i="11"/>
  <c r="Y25" i="11"/>
  <c r="BZ25" i="11"/>
  <c r="AQ25" i="11"/>
  <c r="AR25" i="11"/>
  <c r="BX25" i="11"/>
  <c r="BV25" i="11"/>
  <c r="BF25" i="11"/>
  <c r="CG25" i="11"/>
  <c r="AD24" i="11"/>
  <c r="AC24" i="11"/>
  <c r="L24" i="11"/>
  <c r="M24" i="11"/>
  <c r="DC24" i="11"/>
  <c r="CB24" i="11"/>
  <c r="CA24" i="11"/>
  <c r="AT24" i="11"/>
  <c r="AU24" i="11"/>
  <c r="CS24" i="11"/>
  <c r="CR24" i="11"/>
  <c r="BT24" i="11"/>
  <c r="BS24" i="11"/>
  <c r="CI24" i="11"/>
  <c r="CJ24" i="11"/>
  <c r="BB24" i="11"/>
  <c r="BC24" i="11"/>
  <c r="AK24" i="11"/>
  <c r="AL24" i="11"/>
  <c r="BK24" i="11"/>
  <c r="BJ24" i="11"/>
  <c r="U24" i="11"/>
  <c r="V24" i="11"/>
  <c r="CZ11" i="11" l="1"/>
  <c r="G11" i="11"/>
  <c r="H11" i="11"/>
  <c r="AX11" i="11"/>
  <c r="CR189" i="11"/>
  <c r="BE11" i="11"/>
  <c r="J11" i="11"/>
  <c r="BZ11" i="11"/>
  <c r="CA11" i="11" s="1"/>
  <c r="AQ11" i="11"/>
  <c r="AR11" i="11"/>
  <c r="CL11" i="11"/>
  <c r="O11" i="11"/>
  <c r="AF11" i="11"/>
  <c r="AG11" i="11"/>
  <c r="AI11" i="11"/>
  <c r="BW11" i="11"/>
  <c r="L189" i="11"/>
  <c r="BO11" i="11"/>
  <c r="BR11" i="11"/>
  <c r="BT11" i="11" s="1"/>
  <c r="CF11" i="11"/>
  <c r="CO11" i="11"/>
  <c r="CP11" i="11"/>
  <c r="AO11" i="11"/>
  <c r="CH11" i="11"/>
  <c r="CI11" i="11" s="1"/>
  <c r="CQ11" i="11"/>
  <c r="CS11" i="11" s="1"/>
  <c r="Z11" i="11"/>
  <c r="P11" i="11"/>
  <c r="CM11" i="11"/>
  <c r="AS11" i="11"/>
  <c r="AT11" i="11" s="1"/>
  <c r="BX11" i="11"/>
  <c r="CG11" i="11"/>
  <c r="AH11" i="11"/>
  <c r="BN11" i="11"/>
  <c r="BA11" i="11"/>
  <c r="BC11" i="11" s="1"/>
  <c r="T11" i="11"/>
  <c r="V11" i="11" s="1"/>
  <c r="BV11" i="11"/>
  <c r="CD11" i="11"/>
  <c r="C5431" i="3"/>
  <c r="C5432" i="3" s="1"/>
  <c r="CY143" i="11" s="1"/>
  <c r="CZ143" i="11" s="1"/>
  <c r="AJ11" i="11"/>
  <c r="AK11" i="11" s="1"/>
  <c r="BI11" i="11"/>
  <c r="BK11" i="11" s="1"/>
  <c r="BH11" i="11"/>
  <c r="BQ11" i="11"/>
  <c r="CN11" i="11"/>
  <c r="V189" i="11"/>
  <c r="BJ189" i="11"/>
  <c r="AA11" i="11"/>
  <c r="X11" i="11"/>
  <c r="CE11" i="11"/>
  <c r="Q11" i="11"/>
  <c r="I11" i="11"/>
  <c r="K11" i="11"/>
  <c r="L11" i="11" s="1"/>
  <c r="CU11" i="11"/>
  <c r="CX11" i="11"/>
  <c r="CV11" i="11"/>
  <c r="CW11" i="11"/>
  <c r="BB189" i="11"/>
  <c r="CA189" i="11"/>
  <c r="AK189" i="11"/>
  <c r="BS189" i="11"/>
  <c r="AT189" i="11"/>
  <c r="DC189" i="11"/>
  <c r="AC189" i="11"/>
  <c r="AZ11" i="11"/>
  <c r="AB11" i="11"/>
  <c r="BY11" i="11"/>
  <c r="R11" i="11"/>
  <c r="BP11" i="11"/>
  <c r="BG11" i="11"/>
  <c r="AN11" i="11"/>
  <c r="AP11" i="11"/>
  <c r="BM11" i="11"/>
  <c r="BF11" i="11"/>
  <c r="AW11" i="11"/>
  <c r="CJ189" i="11"/>
  <c r="Y11" i="11"/>
  <c r="S11" i="11"/>
  <c r="AY11" i="11"/>
  <c r="CJ25" i="11"/>
  <c r="CI25" i="11"/>
  <c r="DC25" i="11"/>
  <c r="M25" i="11"/>
  <c r="L25" i="11"/>
  <c r="AT25" i="11"/>
  <c r="AU25" i="11"/>
  <c r="V25" i="11"/>
  <c r="U25" i="11"/>
  <c r="BT25" i="11"/>
  <c r="BS25" i="11"/>
  <c r="CR25" i="11"/>
  <c r="CS25" i="11"/>
  <c r="AL25" i="11"/>
  <c r="AK25" i="11"/>
  <c r="C5456" i="3"/>
  <c r="CB25" i="11"/>
  <c r="CA25" i="11"/>
  <c r="AD25" i="11"/>
  <c r="AC25" i="11"/>
  <c r="BC25" i="11"/>
  <c r="BB25" i="11"/>
  <c r="BK25" i="11"/>
  <c r="BJ25" i="11"/>
  <c r="AU11" i="11" l="1"/>
  <c r="CJ11" i="11"/>
  <c r="U11" i="11"/>
  <c r="CB11" i="11"/>
  <c r="BB11" i="11"/>
  <c r="BS11" i="11"/>
  <c r="BJ11" i="11"/>
  <c r="CR11" i="11"/>
  <c r="AL11" i="11"/>
  <c r="M11" i="11"/>
  <c r="DC11" i="11"/>
  <c r="CY26" i="11"/>
  <c r="CZ26" i="11" s="1"/>
  <c r="CU26" i="11"/>
  <c r="CX26" i="11"/>
  <c r="CV26" i="11"/>
  <c r="CW26" i="11"/>
  <c r="AC11" i="11"/>
  <c r="AD11" i="11"/>
  <c r="CX143" i="11"/>
  <c r="CV143" i="11"/>
  <c r="CU143" i="11"/>
  <c r="CW143" i="11"/>
  <c r="C5457" i="3"/>
  <c r="BM26" i="11"/>
  <c r="AO26" i="11"/>
  <c r="BH26" i="11"/>
  <c r="BX26" i="11"/>
  <c r="H26" i="11"/>
  <c r="CF26" i="11"/>
  <c r="Y26" i="11"/>
  <c r="Z26" i="11"/>
  <c r="AA26" i="11"/>
  <c r="AY26" i="11"/>
  <c r="CE26" i="11"/>
  <c r="AN26" i="11"/>
  <c r="X26" i="11"/>
  <c r="CO26" i="11"/>
  <c r="CL26" i="11"/>
  <c r="Q26" i="11"/>
  <c r="AQ26" i="11"/>
  <c r="AG26" i="11"/>
  <c r="T26" i="11"/>
  <c r="AS26" i="11"/>
  <c r="P26" i="11"/>
  <c r="BI26" i="11"/>
  <c r="CM26" i="11"/>
  <c r="AX26" i="11"/>
  <c r="BF26" i="11"/>
  <c r="AB26" i="11"/>
  <c r="CG26" i="11"/>
  <c r="BV26" i="11"/>
  <c r="CH26" i="11"/>
  <c r="BP26" i="11"/>
  <c r="CN26" i="11"/>
  <c r="AF26" i="11"/>
  <c r="BR26" i="11"/>
  <c r="R26" i="11"/>
  <c r="BG26" i="11"/>
  <c r="AW26" i="11"/>
  <c r="S26" i="11"/>
  <c r="I26" i="11"/>
  <c r="BN26" i="11"/>
  <c r="CD26" i="11"/>
  <c r="BQ26" i="11"/>
  <c r="G26" i="11"/>
  <c r="AZ26" i="11"/>
  <c r="BE26" i="11"/>
  <c r="O26" i="11"/>
  <c r="CQ26" i="11"/>
  <c r="K26" i="11"/>
  <c r="AR26" i="11"/>
  <c r="BY26" i="11"/>
  <c r="BA26" i="11"/>
  <c r="AJ26" i="11"/>
  <c r="J26" i="11"/>
  <c r="CP26" i="11"/>
  <c r="AH26" i="11"/>
  <c r="BZ26" i="11"/>
  <c r="AP26" i="11"/>
  <c r="BW26" i="11"/>
  <c r="AI26" i="11"/>
  <c r="BO26" i="11"/>
  <c r="C5433" i="3"/>
  <c r="AZ143" i="11"/>
  <c r="AA143" i="11"/>
  <c r="CD143" i="11"/>
  <c r="AW143" i="11"/>
  <c r="G143" i="11"/>
  <c r="BP143" i="11"/>
  <c r="Q143" i="11"/>
  <c r="BY143" i="11"/>
  <c r="AF143" i="11"/>
  <c r="P143" i="11"/>
  <c r="CE143" i="11"/>
  <c r="AR143" i="11"/>
  <c r="BV143" i="11"/>
  <c r="AP143" i="11"/>
  <c r="T143" i="11"/>
  <c r="I143" i="11"/>
  <c r="BG143" i="11"/>
  <c r="BE143" i="11"/>
  <c r="BX143" i="11"/>
  <c r="Z143" i="11"/>
  <c r="O143" i="11"/>
  <c r="AS143" i="11"/>
  <c r="R143" i="11"/>
  <c r="BO143" i="11"/>
  <c r="AH143" i="11"/>
  <c r="Y143" i="11"/>
  <c r="AI143" i="11"/>
  <c r="AY143" i="11"/>
  <c r="BI143" i="11"/>
  <c r="S143" i="11"/>
  <c r="AO143" i="11"/>
  <c r="CH143" i="11"/>
  <c r="CL143" i="11"/>
  <c r="BZ143" i="11"/>
  <c r="X143" i="11"/>
  <c r="CO143" i="11"/>
  <c r="J143" i="11"/>
  <c r="CN143" i="11"/>
  <c r="AX143" i="11"/>
  <c r="AQ143" i="11"/>
  <c r="BR143" i="11"/>
  <c r="BQ143" i="11"/>
  <c r="BW143" i="11"/>
  <c r="AB143" i="11"/>
  <c r="AN143" i="11"/>
  <c r="CG143" i="11"/>
  <c r="BA143" i="11"/>
  <c r="AJ143" i="11"/>
  <c r="BN143" i="11"/>
  <c r="BF143" i="11"/>
  <c r="BH143" i="11"/>
  <c r="BM143" i="11"/>
  <c r="K143" i="11"/>
  <c r="CF143" i="11"/>
  <c r="CQ143" i="11"/>
  <c r="AG143" i="11"/>
  <c r="CM143" i="11"/>
  <c r="H143" i="11"/>
  <c r="CP143" i="11"/>
  <c r="CU12" i="11" l="1"/>
  <c r="CX12" i="11"/>
  <c r="CV12" i="11"/>
  <c r="CW12" i="11"/>
  <c r="CY12" i="11"/>
  <c r="AL26" i="11"/>
  <c r="AK26" i="11"/>
  <c r="V26" i="11"/>
  <c r="U26" i="11"/>
  <c r="AK143" i="11"/>
  <c r="AL143" i="11"/>
  <c r="BK143" i="11"/>
  <c r="BJ143" i="11"/>
  <c r="BC26" i="11"/>
  <c r="BB26" i="11"/>
  <c r="BS26" i="11"/>
  <c r="BT26" i="11"/>
  <c r="CA143" i="11"/>
  <c r="CB143" i="11"/>
  <c r="AD143" i="11"/>
  <c r="AC143" i="11"/>
  <c r="AU143" i="11"/>
  <c r="AT143" i="11"/>
  <c r="CB26" i="11"/>
  <c r="CA26" i="11"/>
  <c r="BJ26" i="11"/>
  <c r="BK26" i="11"/>
  <c r="C5458" i="3"/>
  <c r="C5459" i="3" s="1"/>
  <c r="CS143" i="11"/>
  <c r="CR143" i="11"/>
  <c r="CJ143" i="11"/>
  <c r="CI143" i="11"/>
  <c r="V143" i="11"/>
  <c r="U143" i="11"/>
  <c r="C5434" i="3"/>
  <c r="AW12" i="11"/>
  <c r="CQ12" i="11"/>
  <c r="CF12" i="11"/>
  <c r="R12" i="11"/>
  <c r="AQ12" i="11"/>
  <c r="BY12" i="11"/>
  <c r="CG12" i="11"/>
  <c r="BP12" i="11"/>
  <c r="BO12" i="11"/>
  <c r="AO12" i="11"/>
  <c r="H12" i="11"/>
  <c r="X12" i="11"/>
  <c r="S12" i="11"/>
  <c r="CO12" i="11"/>
  <c r="BG12" i="11"/>
  <c r="AB12" i="11"/>
  <c r="AZ12" i="11"/>
  <c r="BM12" i="11"/>
  <c r="AA12" i="11"/>
  <c r="BV12" i="11"/>
  <c r="Q12" i="11"/>
  <c r="BF12" i="11"/>
  <c r="AP12" i="11"/>
  <c r="CN12" i="11"/>
  <c r="AS12" i="11"/>
  <c r="AH12" i="11"/>
  <c r="O12" i="11"/>
  <c r="AI12" i="11"/>
  <c r="J12" i="11"/>
  <c r="K12" i="11"/>
  <c r="BX12" i="11"/>
  <c r="AJ12" i="11"/>
  <c r="CL12" i="11"/>
  <c r="BE12" i="11"/>
  <c r="Z12" i="11"/>
  <c r="CH12" i="11"/>
  <c r="BW12" i="11"/>
  <c r="CP12" i="11"/>
  <c r="AN12" i="11"/>
  <c r="G12" i="11"/>
  <c r="AR12" i="11"/>
  <c r="BR12" i="11"/>
  <c r="CE12" i="11"/>
  <c r="BN12" i="11"/>
  <c r="CM12" i="11"/>
  <c r="CD12" i="11"/>
  <c r="AX12" i="11"/>
  <c r="AG12" i="11"/>
  <c r="BQ12" i="11"/>
  <c r="BZ12" i="11"/>
  <c r="BH12" i="11"/>
  <c r="P12" i="11"/>
  <c r="BI12" i="11"/>
  <c r="I12" i="11"/>
  <c r="T12" i="11"/>
  <c r="Y12" i="11"/>
  <c r="AF12" i="11"/>
  <c r="BA12" i="11"/>
  <c r="AY12" i="11"/>
  <c r="AC26" i="11"/>
  <c r="AD26" i="11"/>
  <c r="M26" i="11"/>
  <c r="L26" i="11"/>
  <c r="DC26" i="11"/>
  <c r="DC143" i="11"/>
  <c r="M143" i="11"/>
  <c r="L143" i="11"/>
  <c r="BC143" i="11"/>
  <c r="BB143" i="11"/>
  <c r="BT143" i="11"/>
  <c r="BS143" i="11"/>
  <c r="CS26" i="11"/>
  <c r="CR26" i="11"/>
  <c r="CJ26" i="11"/>
  <c r="CI26" i="11"/>
  <c r="AU26" i="11"/>
  <c r="AT26" i="11"/>
  <c r="CZ12" i="11" l="1"/>
  <c r="CV28" i="11"/>
  <c r="CW28" i="11"/>
  <c r="CU28" i="11"/>
  <c r="CY28" i="11"/>
  <c r="CZ28" i="11" s="1"/>
  <c r="CX28" i="11"/>
  <c r="AD12" i="11"/>
  <c r="AC12" i="11"/>
  <c r="CA12" i="11"/>
  <c r="CB12" i="11"/>
  <c r="AL12" i="11"/>
  <c r="AK12" i="11"/>
  <c r="C5435" i="3"/>
  <c r="C5436" i="3" s="1"/>
  <c r="C5437" i="3" s="1"/>
  <c r="C5460" i="3"/>
  <c r="BV28" i="11"/>
  <c r="K28" i="11"/>
  <c r="BP28" i="11"/>
  <c r="AX28" i="11"/>
  <c r="BW28" i="11"/>
  <c r="T28" i="11"/>
  <c r="AF28" i="11"/>
  <c r="Y28" i="11"/>
  <c r="CE28" i="11"/>
  <c r="I28" i="11"/>
  <c r="R28" i="11"/>
  <c r="BX28" i="11"/>
  <c r="CM28" i="11"/>
  <c r="Q28" i="11"/>
  <c r="BE28" i="11"/>
  <c r="CL28" i="11"/>
  <c r="X28" i="11"/>
  <c r="AY28" i="11"/>
  <c r="CG28" i="11"/>
  <c r="BI28" i="11"/>
  <c r="CQ28" i="11"/>
  <c r="BN28" i="11"/>
  <c r="AO28" i="11"/>
  <c r="CP28" i="11"/>
  <c r="AZ28" i="11"/>
  <c r="BR28" i="11"/>
  <c r="BO28" i="11"/>
  <c r="O28" i="11"/>
  <c r="AJ28" i="11"/>
  <c r="BF28" i="11"/>
  <c r="AW28" i="11"/>
  <c r="BH28" i="11"/>
  <c r="AI28" i="11"/>
  <c r="AP28" i="11"/>
  <c r="BG28" i="11"/>
  <c r="AA28" i="11"/>
  <c r="AH28" i="11"/>
  <c r="AS28" i="11"/>
  <c r="CD28" i="11"/>
  <c r="CH28" i="11"/>
  <c r="BZ28" i="11"/>
  <c r="BY28" i="11"/>
  <c r="AB28" i="11"/>
  <c r="BA28" i="11"/>
  <c r="AN28" i="11"/>
  <c r="Z28" i="11"/>
  <c r="AQ28" i="11"/>
  <c r="H28" i="11"/>
  <c r="S28" i="11"/>
  <c r="CN28" i="11"/>
  <c r="BM28" i="11"/>
  <c r="J28" i="11"/>
  <c r="AG28" i="11"/>
  <c r="BQ28" i="11"/>
  <c r="AR28" i="11"/>
  <c r="CO28" i="11"/>
  <c r="G28" i="11"/>
  <c r="CF28" i="11"/>
  <c r="P28" i="11"/>
  <c r="V12" i="11"/>
  <c r="U12" i="11"/>
  <c r="BS12" i="11"/>
  <c r="BT12" i="11"/>
  <c r="CI12" i="11"/>
  <c r="CJ12" i="11"/>
  <c r="M12" i="11"/>
  <c r="L12" i="11"/>
  <c r="DC12" i="11"/>
  <c r="AU12" i="11"/>
  <c r="AT12" i="11"/>
  <c r="BC12" i="11"/>
  <c r="BB12" i="11"/>
  <c r="BK12" i="11"/>
  <c r="BJ12" i="11"/>
  <c r="CS12" i="11"/>
  <c r="CR12" i="11"/>
  <c r="BB28" i="11" l="1"/>
  <c r="BC28" i="11"/>
  <c r="C5438" i="3"/>
  <c r="C5439" i="3" s="1"/>
  <c r="AC28" i="11"/>
  <c r="AD28" i="11"/>
  <c r="AU28" i="11"/>
  <c r="AT28" i="11"/>
  <c r="AK28" i="11"/>
  <c r="AL28" i="11"/>
  <c r="U28" i="11"/>
  <c r="V28" i="11"/>
  <c r="C5461" i="3"/>
  <c r="CR28" i="11"/>
  <c r="CS28" i="11"/>
  <c r="CB28" i="11"/>
  <c r="CA28" i="11"/>
  <c r="BT28" i="11"/>
  <c r="BS28" i="11"/>
  <c r="BJ28" i="11"/>
  <c r="BK28" i="11"/>
  <c r="CI28" i="11"/>
  <c r="CJ28" i="11"/>
  <c r="M28" i="11"/>
  <c r="L28" i="11"/>
  <c r="DC28" i="11"/>
  <c r="CX29" i="11" l="1"/>
  <c r="CV29" i="11"/>
  <c r="CW29" i="11"/>
  <c r="CY29" i="11"/>
  <c r="CZ29" i="11" s="1"/>
  <c r="CU29" i="11"/>
  <c r="C5462" i="3"/>
  <c r="CQ29" i="11"/>
  <c r="BF29" i="11"/>
  <c r="CP29" i="11"/>
  <c r="BZ29" i="11"/>
  <c r="O29" i="11"/>
  <c r="Q29" i="11"/>
  <c r="CL29" i="11"/>
  <c r="BO29" i="11"/>
  <c r="BH29" i="11"/>
  <c r="K29" i="11"/>
  <c r="BQ29" i="11"/>
  <c r="AG29" i="11"/>
  <c r="BP29" i="11"/>
  <c r="AN29" i="11"/>
  <c r="CD29" i="11"/>
  <c r="AP29" i="11"/>
  <c r="AI29" i="11"/>
  <c r="BI29" i="11"/>
  <c r="CO29" i="11"/>
  <c r="J29" i="11"/>
  <c r="BM29" i="11"/>
  <c r="BW29" i="11"/>
  <c r="AW29" i="11"/>
  <c r="Y29" i="11"/>
  <c r="CG29" i="11"/>
  <c r="BR29" i="11"/>
  <c r="T29" i="11"/>
  <c r="R29" i="11"/>
  <c r="AJ29" i="11"/>
  <c r="AY29" i="11"/>
  <c r="CM29" i="11"/>
  <c r="AQ29" i="11"/>
  <c r="AO29" i="11"/>
  <c r="AH29" i="11"/>
  <c r="P29" i="11"/>
  <c r="BX29" i="11"/>
  <c r="CN29" i="11"/>
  <c r="G29" i="11"/>
  <c r="CE29" i="11"/>
  <c r="S29" i="11"/>
  <c r="BV29" i="11"/>
  <c r="BE29" i="11"/>
  <c r="AX29" i="11"/>
  <c r="AS29" i="11"/>
  <c r="BG29" i="11"/>
  <c r="X29" i="11"/>
  <c r="BA29" i="11"/>
  <c r="H29" i="11"/>
  <c r="BN29" i="11"/>
  <c r="BY29" i="11"/>
  <c r="AZ29" i="11"/>
  <c r="Z29" i="11"/>
  <c r="AR29" i="11"/>
  <c r="CH29" i="11"/>
  <c r="AA29" i="11"/>
  <c r="AB29" i="11"/>
  <c r="I29" i="11"/>
  <c r="AF29" i="11"/>
  <c r="CF29" i="11"/>
  <c r="C5440" i="3"/>
  <c r="C5441" i="3" s="1"/>
  <c r="CX17" i="11" l="1"/>
  <c r="CV17" i="11"/>
  <c r="CW17" i="11"/>
  <c r="CY17" i="11"/>
  <c r="CZ17" i="11" s="1"/>
  <c r="CU17" i="11"/>
  <c r="C5442" i="3"/>
  <c r="AH17" i="11"/>
  <c r="CM17" i="11"/>
  <c r="J17" i="11"/>
  <c r="AR17" i="11"/>
  <c r="AJ17" i="11"/>
  <c r="AQ17" i="11"/>
  <c r="O17" i="11"/>
  <c r="BH17" i="11"/>
  <c r="CE17" i="11"/>
  <c r="BF17" i="11"/>
  <c r="AG17" i="11"/>
  <c r="BO17" i="11"/>
  <c r="X17" i="11"/>
  <c r="AW17" i="11"/>
  <c r="CD17" i="11"/>
  <c r="BX17" i="11"/>
  <c r="CH17" i="11"/>
  <c r="BN17" i="11"/>
  <c r="Z17" i="11"/>
  <c r="AS17" i="11"/>
  <c r="BR17" i="11"/>
  <c r="CF17" i="11"/>
  <c r="BY17" i="11"/>
  <c r="P17" i="11"/>
  <c r="BA17" i="11"/>
  <c r="BP17" i="11"/>
  <c r="R17" i="11"/>
  <c r="S17" i="11"/>
  <c r="CG17" i="11"/>
  <c r="K17" i="11"/>
  <c r="G17" i="11"/>
  <c r="BV17" i="11"/>
  <c r="CQ17" i="11"/>
  <c r="CP17" i="11"/>
  <c r="BG17" i="11"/>
  <c r="T17" i="11"/>
  <c r="BZ17" i="11"/>
  <c r="BQ17" i="11"/>
  <c r="AP17" i="11"/>
  <c r="AZ17" i="11"/>
  <c r="H17" i="11"/>
  <c r="AO17" i="11"/>
  <c r="BM17" i="11"/>
  <c r="BI17" i="11"/>
  <c r="AA17" i="11"/>
  <c r="CN17" i="11"/>
  <c r="Y17" i="11"/>
  <c r="AX17" i="11"/>
  <c r="BW17" i="11"/>
  <c r="CL17" i="11"/>
  <c r="AN17" i="11"/>
  <c r="AY17" i="11"/>
  <c r="AF17" i="11"/>
  <c r="CO17" i="11"/>
  <c r="AI17" i="11"/>
  <c r="AB17" i="11"/>
  <c r="Q17" i="11"/>
  <c r="BE17" i="11"/>
  <c r="I17" i="11"/>
  <c r="CI29" i="11"/>
  <c r="CJ29" i="11"/>
  <c r="BT29" i="11"/>
  <c r="BS29" i="11"/>
  <c r="DC29" i="11"/>
  <c r="L29" i="11"/>
  <c r="M29" i="11"/>
  <c r="CB29" i="11"/>
  <c r="CA29" i="11"/>
  <c r="BB29" i="11"/>
  <c r="BC29" i="11"/>
  <c r="AL29" i="11"/>
  <c r="AK29" i="11"/>
  <c r="BK29" i="11"/>
  <c r="BJ29" i="11"/>
  <c r="AC29" i="11"/>
  <c r="AD29" i="11"/>
  <c r="AT29" i="11"/>
  <c r="AU29" i="11"/>
  <c r="CR29" i="11"/>
  <c r="CS29" i="11"/>
  <c r="U29" i="11"/>
  <c r="V29" i="11"/>
  <c r="C5463" i="3"/>
  <c r="CB17" i="11" l="1"/>
  <c r="CA17" i="11"/>
  <c r="CI17" i="11"/>
  <c r="CJ17" i="11"/>
  <c r="AK17" i="11"/>
  <c r="AL17" i="11"/>
  <c r="V17" i="11"/>
  <c r="U17" i="11"/>
  <c r="BS17" i="11"/>
  <c r="BT17" i="11"/>
  <c r="M17" i="11"/>
  <c r="L17" i="11"/>
  <c r="DC17" i="11"/>
  <c r="BC17" i="11"/>
  <c r="BB17" i="11"/>
  <c r="AU17" i="11"/>
  <c r="AT17" i="11"/>
  <c r="C5464" i="3"/>
  <c r="AC17" i="11"/>
  <c r="AD17" i="11"/>
  <c r="BJ17" i="11"/>
  <c r="BK17" i="11"/>
  <c r="CR17" i="11"/>
  <c r="CS17" i="11"/>
  <c r="C5443" i="3"/>
  <c r="CU30" i="11" l="1"/>
  <c r="CX30" i="11"/>
  <c r="CV30" i="11"/>
  <c r="CW30" i="11"/>
  <c r="CY30" i="11"/>
  <c r="CZ30" i="11" s="1"/>
  <c r="C5465" i="3"/>
  <c r="CY223" i="11" s="1"/>
  <c r="CZ223" i="11" s="1"/>
  <c r="Q30" i="11"/>
  <c r="CQ30" i="11"/>
  <c r="CP30" i="11"/>
  <c r="X30" i="11"/>
  <c r="BO30" i="11"/>
  <c r="Z30" i="11"/>
  <c r="BA30" i="11"/>
  <c r="CE30" i="11"/>
  <c r="AJ30" i="11"/>
  <c r="AH30" i="11"/>
  <c r="CF30" i="11"/>
  <c r="BQ30" i="11"/>
  <c r="BZ30" i="11"/>
  <c r="K30" i="11"/>
  <c r="CL30" i="11"/>
  <c r="BY30" i="11"/>
  <c r="BH30" i="11"/>
  <c r="AG30" i="11"/>
  <c r="BN30" i="11"/>
  <c r="AS30" i="11"/>
  <c r="BX30" i="11"/>
  <c r="AW30" i="11"/>
  <c r="P30" i="11"/>
  <c r="AB30" i="11"/>
  <c r="J30" i="11"/>
  <c r="BV30" i="11"/>
  <c r="AA30" i="11"/>
  <c r="G30" i="11"/>
  <c r="CN30" i="11"/>
  <c r="AR30" i="11"/>
  <c r="BI30" i="11"/>
  <c r="AI30" i="11"/>
  <c r="AX30" i="11"/>
  <c r="R30" i="11"/>
  <c r="BP30" i="11"/>
  <c r="BF30" i="11"/>
  <c r="AO30" i="11"/>
  <c r="CH30" i="11"/>
  <c r="AF30" i="11"/>
  <c r="BR30" i="11"/>
  <c r="T30" i="11"/>
  <c r="AQ30" i="11"/>
  <c r="I30" i="11"/>
  <c r="O30" i="11"/>
  <c r="AZ30" i="11"/>
  <c r="BW30" i="11"/>
  <c r="CD30" i="11"/>
  <c r="H30" i="11"/>
  <c r="AY30" i="11"/>
  <c r="Y30" i="11"/>
  <c r="S30" i="11"/>
  <c r="AN30" i="11"/>
  <c r="BE30" i="11"/>
  <c r="BG30" i="11"/>
  <c r="CO30" i="11"/>
  <c r="BM30" i="11"/>
  <c r="AP30" i="11"/>
  <c r="CG30" i="11"/>
  <c r="CM30" i="11"/>
  <c r="C5444" i="3"/>
  <c r="C5445" i="3" s="1"/>
  <c r="Z232" i="11"/>
  <c r="G232" i="11"/>
  <c r="AW232" i="11"/>
  <c r="T232" i="11"/>
  <c r="J232" i="11"/>
  <c r="BQ232" i="11"/>
  <c r="CN232" i="11"/>
  <c r="BX232" i="11"/>
  <c r="BR232" i="11"/>
  <c r="AY232" i="11"/>
  <c r="CD232" i="11"/>
  <c r="AS232" i="11"/>
  <c r="S232" i="11"/>
  <c r="BP232" i="11"/>
  <c r="AJ232" i="11"/>
  <c r="CP232" i="11"/>
  <c r="AR232" i="11"/>
  <c r="CH232" i="11"/>
  <c r="K232" i="11"/>
  <c r="X232" i="11"/>
  <c r="BF232" i="11"/>
  <c r="AF232" i="11"/>
  <c r="BE232" i="11"/>
  <c r="CQ232" i="11"/>
  <c r="BI232" i="11"/>
  <c r="CG232" i="11"/>
  <c r="BY232" i="11"/>
  <c r="BG232" i="11"/>
  <c r="H232" i="11"/>
  <c r="AZ232" i="11"/>
  <c r="I232" i="11"/>
  <c r="CL232" i="11"/>
  <c r="CM232" i="11"/>
  <c r="Q232" i="11"/>
  <c r="P232" i="11"/>
  <c r="AH232" i="11"/>
  <c r="CF232" i="11"/>
  <c r="AO232" i="11"/>
  <c r="BV232" i="11"/>
  <c r="AQ232" i="11"/>
  <c r="CO232" i="11"/>
  <c r="BO232" i="11"/>
  <c r="AG232" i="11"/>
  <c r="AX232" i="11"/>
  <c r="BZ232" i="11"/>
  <c r="AI232" i="11"/>
  <c r="BW232" i="11"/>
  <c r="R232" i="11"/>
  <c r="CE232" i="11"/>
  <c r="BH232" i="11"/>
  <c r="AN232" i="11"/>
  <c r="O232" i="11"/>
  <c r="AP232" i="11"/>
  <c r="BA232" i="11"/>
  <c r="AA232" i="11"/>
  <c r="BM232" i="11"/>
  <c r="BN232" i="11"/>
  <c r="Y232" i="11"/>
  <c r="AB232" i="11"/>
  <c r="CU20" i="11" l="1"/>
  <c r="CX20" i="11"/>
  <c r="CV20" i="11"/>
  <c r="CY20" i="11"/>
  <c r="CZ20" i="11" s="1"/>
  <c r="CW20" i="11"/>
  <c r="CW223" i="11"/>
  <c r="CX223" i="11"/>
  <c r="CV223" i="11"/>
  <c r="CU223" i="11"/>
  <c r="BC232" i="11"/>
  <c r="BB232" i="11"/>
  <c r="AL232" i="11"/>
  <c r="AK232" i="11"/>
  <c r="U232" i="11"/>
  <c r="V232" i="11"/>
  <c r="V30" i="11"/>
  <c r="U30" i="11"/>
  <c r="CB30" i="11"/>
  <c r="CA30" i="11"/>
  <c r="BJ232" i="11"/>
  <c r="BK232" i="11"/>
  <c r="L232" i="11"/>
  <c r="DC232" i="11"/>
  <c r="M232" i="11"/>
  <c r="BS232" i="11"/>
  <c r="BT232" i="11"/>
  <c r="BS30" i="11"/>
  <c r="BT30" i="11"/>
  <c r="AD30" i="11"/>
  <c r="AC30" i="11"/>
  <c r="BC30" i="11"/>
  <c r="BB30" i="11"/>
  <c r="CS30" i="11"/>
  <c r="CR30" i="11"/>
  <c r="CR232" i="11"/>
  <c r="CS232" i="11"/>
  <c r="CJ232" i="11"/>
  <c r="CI232" i="11"/>
  <c r="AC232" i="11"/>
  <c r="AD232" i="11"/>
  <c r="CI30" i="11"/>
  <c r="CJ30" i="11"/>
  <c r="C5466" i="3"/>
  <c r="H223" i="11"/>
  <c r="Z223" i="11"/>
  <c r="I223" i="11"/>
  <c r="R223" i="11"/>
  <c r="AS223" i="11"/>
  <c r="BR223" i="11"/>
  <c r="BW223" i="11"/>
  <c r="AW223" i="11"/>
  <c r="BM223" i="11"/>
  <c r="AZ223" i="11"/>
  <c r="BQ223" i="11"/>
  <c r="BE223" i="11"/>
  <c r="P223" i="11"/>
  <c r="AI223" i="11"/>
  <c r="AF223" i="11"/>
  <c r="S223" i="11"/>
  <c r="O223" i="11"/>
  <c r="AQ223" i="11"/>
  <c r="BO223" i="11"/>
  <c r="BX223" i="11"/>
  <c r="CO223" i="11"/>
  <c r="CP223" i="11"/>
  <c r="CF223" i="11"/>
  <c r="AY223" i="11"/>
  <c r="AH223" i="11"/>
  <c r="J223" i="11"/>
  <c r="K223" i="11"/>
  <c r="AN223" i="11"/>
  <c r="AR223" i="11"/>
  <c r="G223" i="11"/>
  <c r="AA223" i="11"/>
  <c r="CH223" i="11"/>
  <c r="BI223" i="11"/>
  <c r="CD223" i="11"/>
  <c r="BG223" i="11"/>
  <c r="CL223" i="11"/>
  <c r="BY223" i="11"/>
  <c r="AG223" i="11"/>
  <c r="AO223" i="11"/>
  <c r="Q223" i="11"/>
  <c r="BZ223" i="11"/>
  <c r="CM223" i="11"/>
  <c r="CE223" i="11"/>
  <c r="BA223" i="11"/>
  <c r="BP223" i="11"/>
  <c r="BN223" i="11"/>
  <c r="BH223" i="11"/>
  <c r="X223" i="11"/>
  <c r="AJ223" i="11"/>
  <c r="AP223" i="11"/>
  <c r="T223" i="11"/>
  <c r="Y223" i="11"/>
  <c r="AB223" i="11"/>
  <c r="CQ223" i="11"/>
  <c r="BF223" i="11"/>
  <c r="CG223" i="11"/>
  <c r="AX223" i="11"/>
  <c r="CN223" i="11"/>
  <c r="BV223" i="11"/>
  <c r="CB232" i="11"/>
  <c r="CA232" i="11"/>
  <c r="AU232" i="11"/>
  <c r="AT232" i="11"/>
  <c r="C5446" i="3"/>
  <c r="AY20" i="11"/>
  <c r="AZ20" i="11"/>
  <c r="AS20" i="11"/>
  <c r="K20" i="11"/>
  <c r="AW20" i="11"/>
  <c r="X20" i="11"/>
  <c r="H20" i="11"/>
  <c r="AQ20" i="11"/>
  <c r="AG20" i="11"/>
  <c r="J20" i="11"/>
  <c r="G20" i="11"/>
  <c r="BY20" i="11"/>
  <c r="CD20" i="11"/>
  <c r="CE20" i="11"/>
  <c r="CG20" i="11"/>
  <c r="BH20" i="11"/>
  <c r="AR20" i="11"/>
  <c r="AF20" i="11"/>
  <c r="AP20" i="11"/>
  <c r="R20" i="11"/>
  <c r="AI20" i="11"/>
  <c r="Y20" i="11"/>
  <c r="AN20" i="11"/>
  <c r="CO20" i="11"/>
  <c r="CM20" i="11"/>
  <c r="BM20" i="11"/>
  <c r="BQ20" i="11"/>
  <c r="BV20" i="11"/>
  <c r="AO20" i="11"/>
  <c r="AH20" i="11"/>
  <c r="Q20" i="11"/>
  <c r="S20" i="11"/>
  <c r="O20" i="11"/>
  <c r="P20" i="11"/>
  <c r="CN20" i="11"/>
  <c r="BP20" i="11"/>
  <c r="CF20" i="11"/>
  <c r="BE20" i="11"/>
  <c r="BG20" i="11"/>
  <c r="AX20" i="11"/>
  <c r="BZ20" i="11"/>
  <c r="BI20" i="11"/>
  <c r="BR20" i="11"/>
  <c r="BF20" i="11"/>
  <c r="T20" i="11"/>
  <c r="CH20" i="11"/>
  <c r="BX20" i="11"/>
  <c r="BO20" i="11"/>
  <c r="BW20" i="11"/>
  <c r="AJ20" i="11"/>
  <c r="BN20" i="11"/>
  <c r="BA20" i="11"/>
  <c r="CL20" i="11"/>
  <c r="CP20" i="11"/>
  <c r="I20" i="11"/>
  <c r="Z20" i="11"/>
  <c r="AA20" i="11"/>
  <c r="AB20" i="11"/>
  <c r="CQ20" i="11"/>
  <c r="BK30" i="11"/>
  <c r="BJ30" i="11"/>
  <c r="AU30" i="11"/>
  <c r="AT30" i="11"/>
  <c r="M30" i="11"/>
  <c r="L30" i="11"/>
  <c r="DC30" i="11"/>
  <c r="AL30" i="11"/>
  <c r="AK30" i="11"/>
  <c r="CV221" i="11" l="1"/>
  <c r="CW221" i="11"/>
  <c r="CX221" i="11"/>
  <c r="CU221" i="11"/>
  <c r="CS20" i="11"/>
  <c r="CR20" i="11"/>
  <c r="BS20" i="11"/>
  <c r="BT20" i="11"/>
  <c r="AT20" i="11"/>
  <c r="AU20" i="11"/>
  <c r="AK223" i="11"/>
  <c r="AL223" i="11"/>
  <c r="AT223" i="11"/>
  <c r="AU223" i="11"/>
  <c r="C5467" i="3"/>
  <c r="CY162" i="11" s="1"/>
  <c r="CZ162" i="11" s="1"/>
  <c r="BJ20" i="11"/>
  <c r="BK20" i="11"/>
  <c r="CR223" i="11"/>
  <c r="CS223" i="11"/>
  <c r="BK223" i="11"/>
  <c r="BJ223" i="11"/>
  <c r="DC223" i="11"/>
  <c r="L223" i="11"/>
  <c r="M223" i="11"/>
  <c r="AD20" i="11"/>
  <c r="AC20" i="11"/>
  <c r="CA20" i="11"/>
  <c r="CB20" i="11"/>
  <c r="AD223" i="11"/>
  <c r="AC223" i="11"/>
  <c r="CB223" i="11"/>
  <c r="CA223" i="11"/>
  <c r="CI223" i="11"/>
  <c r="CJ223" i="11"/>
  <c r="CJ20" i="11"/>
  <c r="CI20" i="11"/>
  <c r="C5447" i="3"/>
  <c r="K221" i="11"/>
  <c r="T221" i="11"/>
  <c r="G221" i="11"/>
  <c r="Z221" i="11"/>
  <c r="BO221" i="11"/>
  <c r="BV221" i="11"/>
  <c r="X221" i="11"/>
  <c r="CF221" i="11"/>
  <c r="AN221" i="11"/>
  <c r="CP221" i="11"/>
  <c r="AW221" i="11"/>
  <c r="CE221" i="11"/>
  <c r="BA221" i="11"/>
  <c r="CL221" i="11"/>
  <c r="BI221" i="11"/>
  <c r="AQ221" i="11"/>
  <c r="AB221" i="11"/>
  <c r="BR221" i="11"/>
  <c r="R221" i="11"/>
  <c r="BY221" i="11"/>
  <c r="AS221" i="11"/>
  <c r="AZ221" i="11"/>
  <c r="CQ221" i="11"/>
  <c r="Q221" i="11"/>
  <c r="J221" i="11"/>
  <c r="H221" i="11"/>
  <c r="BN221" i="11"/>
  <c r="BM221" i="11"/>
  <c r="P221" i="11"/>
  <c r="AX221" i="11"/>
  <c r="CD221" i="11"/>
  <c r="BG221" i="11"/>
  <c r="AI221" i="11"/>
  <c r="AR221" i="11"/>
  <c r="I221" i="11"/>
  <c r="AJ221" i="11"/>
  <c r="S221" i="11"/>
  <c r="BZ221" i="11"/>
  <c r="CH221" i="11"/>
  <c r="BX221" i="11"/>
  <c r="CM221" i="11"/>
  <c r="BE221" i="11"/>
  <c r="BH221" i="11"/>
  <c r="AF221" i="11"/>
  <c r="AH221" i="11"/>
  <c r="AP221" i="11"/>
  <c r="AG221" i="11"/>
  <c r="BF221" i="11"/>
  <c r="O221" i="11"/>
  <c r="CG221" i="11"/>
  <c r="AA221" i="11"/>
  <c r="AY221" i="11"/>
  <c r="CN221" i="11"/>
  <c r="Y221" i="11"/>
  <c r="CO221" i="11"/>
  <c r="BW221" i="11"/>
  <c r="BQ221" i="11"/>
  <c r="AO221" i="11"/>
  <c r="BP221" i="11"/>
  <c r="BC20" i="11"/>
  <c r="BB20" i="11"/>
  <c r="V20" i="11"/>
  <c r="U20" i="11"/>
  <c r="M20" i="11"/>
  <c r="L20" i="11"/>
  <c r="DC20" i="11"/>
  <c r="U223" i="11"/>
  <c r="V223" i="11"/>
  <c r="AL20" i="11"/>
  <c r="AK20" i="11"/>
  <c r="BC223" i="11"/>
  <c r="BB223" i="11"/>
  <c r="BT223" i="11"/>
  <c r="BS223" i="11"/>
  <c r="CU22" i="11" l="1"/>
  <c r="CX22" i="11"/>
  <c r="CV22" i="11"/>
  <c r="CW22" i="11"/>
  <c r="CY22" i="11"/>
  <c r="CZ22" i="11" s="1"/>
  <c r="CU162" i="11"/>
  <c r="CX162" i="11"/>
  <c r="CV162" i="11"/>
  <c r="CW162" i="11"/>
  <c r="BC221" i="11"/>
  <c r="BB221" i="11"/>
  <c r="V221" i="11"/>
  <c r="U221" i="11"/>
  <c r="CI221" i="11"/>
  <c r="CJ221" i="11"/>
  <c r="CS221" i="11"/>
  <c r="CR221" i="11"/>
  <c r="BT221" i="11"/>
  <c r="BS221" i="11"/>
  <c r="M221" i="11"/>
  <c r="L221" i="11"/>
  <c r="DC221" i="11"/>
  <c r="CB221" i="11"/>
  <c r="CA221" i="11"/>
  <c r="AD221" i="11"/>
  <c r="AC221" i="11"/>
  <c r="CQ22" i="11"/>
  <c r="I22" i="11"/>
  <c r="AJ22" i="11"/>
  <c r="R22" i="11"/>
  <c r="AQ22" i="11"/>
  <c r="AB22" i="11"/>
  <c r="AF22" i="11"/>
  <c r="CF22" i="11"/>
  <c r="BF22" i="11"/>
  <c r="BA22" i="11"/>
  <c r="BZ22" i="11"/>
  <c r="AO22" i="11"/>
  <c r="AS22" i="11"/>
  <c r="P22" i="11"/>
  <c r="S22" i="11"/>
  <c r="AY22" i="11"/>
  <c r="Y22" i="11"/>
  <c r="CG22" i="11"/>
  <c r="CL22" i="11"/>
  <c r="BR22" i="11"/>
  <c r="CO22" i="11"/>
  <c r="T22" i="11"/>
  <c r="X22" i="11"/>
  <c r="CN22" i="11"/>
  <c r="K22" i="11"/>
  <c r="AH22" i="11"/>
  <c r="BG22" i="11"/>
  <c r="BX22" i="11"/>
  <c r="CP22" i="11"/>
  <c r="BI22" i="11"/>
  <c r="J22" i="11"/>
  <c r="CM22" i="11"/>
  <c r="AX22" i="11"/>
  <c r="Q22" i="11"/>
  <c r="BM22" i="11"/>
  <c r="AI22" i="11"/>
  <c r="BP22" i="11"/>
  <c r="BH22" i="11"/>
  <c r="BO22" i="11"/>
  <c r="Z22" i="11"/>
  <c r="CH22" i="11"/>
  <c r="H22" i="11"/>
  <c r="BQ22" i="11"/>
  <c r="AZ22" i="11"/>
  <c r="AP22" i="11"/>
  <c r="BY22" i="11"/>
  <c r="AG22" i="11"/>
  <c r="BV22" i="11"/>
  <c r="AA22" i="11"/>
  <c r="BW22" i="11"/>
  <c r="AR22" i="11"/>
  <c r="G22" i="11"/>
  <c r="CD22" i="11"/>
  <c r="AW22" i="11"/>
  <c r="O22" i="11"/>
  <c r="BE22" i="11"/>
  <c r="AN22" i="11"/>
  <c r="CE22" i="11"/>
  <c r="BN22" i="11"/>
  <c r="C5468" i="3"/>
  <c r="CN162" i="11"/>
  <c r="AP162" i="11"/>
  <c r="BW162" i="11"/>
  <c r="Y162" i="11"/>
  <c r="AS162" i="11"/>
  <c r="AR162" i="11"/>
  <c r="CE162" i="11"/>
  <c r="AY162" i="11"/>
  <c r="BM162" i="11"/>
  <c r="AG162" i="11"/>
  <c r="O162" i="11"/>
  <c r="AQ162" i="11"/>
  <c r="AB162" i="11"/>
  <c r="CQ162" i="11"/>
  <c r="AZ162" i="11"/>
  <c r="R162" i="11"/>
  <c r="AJ162" i="11"/>
  <c r="I162" i="11"/>
  <c r="AH162" i="11"/>
  <c r="BE162" i="11"/>
  <c r="AA162" i="11"/>
  <c r="CM162" i="11"/>
  <c r="P162" i="11"/>
  <c r="T162" i="11"/>
  <c r="G162" i="11"/>
  <c r="CG162" i="11"/>
  <c r="BR162" i="11"/>
  <c r="BF162" i="11"/>
  <c r="CP162" i="11"/>
  <c r="BZ162" i="11"/>
  <c r="AI162" i="11"/>
  <c r="AN162" i="11"/>
  <c r="AW162" i="11"/>
  <c r="CL162" i="11"/>
  <c r="S162" i="11"/>
  <c r="BX162" i="11"/>
  <c r="H162" i="11"/>
  <c r="AF162" i="11"/>
  <c r="BH162" i="11"/>
  <c r="BN162" i="11"/>
  <c r="CF162" i="11"/>
  <c r="BA162" i="11"/>
  <c r="Z162" i="11"/>
  <c r="BP162" i="11"/>
  <c r="BO162" i="11"/>
  <c r="BV162" i="11"/>
  <c r="AX162" i="11"/>
  <c r="BI162" i="11"/>
  <c r="J162" i="11"/>
  <c r="CO162" i="11"/>
  <c r="CD162" i="11"/>
  <c r="X162" i="11"/>
  <c r="AO162" i="11"/>
  <c r="BQ162" i="11"/>
  <c r="CH162" i="11"/>
  <c r="BG162" i="11"/>
  <c r="BY162" i="11"/>
  <c r="Q162" i="11"/>
  <c r="K162" i="11"/>
  <c r="AT221" i="11"/>
  <c r="AU221" i="11"/>
  <c r="BK221" i="11"/>
  <c r="BJ221" i="11"/>
  <c r="AL221" i="11"/>
  <c r="AK221" i="11"/>
  <c r="CU222" i="11" l="1"/>
  <c r="CX222" i="11"/>
  <c r="CW222" i="11"/>
  <c r="CV222" i="11"/>
  <c r="AC162" i="11"/>
  <c r="AD162" i="11"/>
  <c r="CB22" i="11"/>
  <c r="CA22" i="11"/>
  <c r="AC22" i="11"/>
  <c r="AD22" i="11"/>
  <c r="BT162" i="11"/>
  <c r="BS162" i="11"/>
  <c r="AK162" i="11"/>
  <c r="AL162" i="11"/>
  <c r="C5469" i="3"/>
  <c r="CY33" i="11" s="1"/>
  <c r="CZ33" i="11" s="1"/>
  <c r="P222" i="11"/>
  <c r="BR222" i="11"/>
  <c r="AZ222" i="11"/>
  <c r="CQ222" i="11"/>
  <c r="AY222" i="11"/>
  <c r="CG222" i="11"/>
  <c r="AH222" i="11"/>
  <c r="BN222" i="11"/>
  <c r="AA222" i="11"/>
  <c r="R222" i="11"/>
  <c r="BY222" i="11"/>
  <c r="CL222" i="11"/>
  <c r="BZ222" i="11"/>
  <c r="CN222" i="11"/>
  <c r="O222" i="11"/>
  <c r="BE222" i="11"/>
  <c r="AJ222" i="11"/>
  <c r="BW222" i="11"/>
  <c r="BG222" i="11"/>
  <c r="Z222" i="11"/>
  <c r="BI222" i="11"/>
  <c r="CF222" i="11"/>
  <c r="AX222" i="11"/>
  <c r="AR222" i="11"/>
  <c r="G222" i="11"/>
  <c r="BH222" i="11"/>
  <c r="BO222" i="11"/>
  <c r="X222" i="11"/>
  <c r="AG222" i="11"/>
  <c r="CE222" i="11"/>
  <c r="CH222" i="11"/>
  <c r="BF222" i="11"/>
  <c r="Y222" i="11"/>
  <c r="T222" i="11"/>
  <c r="BA222" i="11"/>
  <c r="J222" i="11"/>
  <c r="BV222" i="11"/>
  <c r="BX222" i="11"/>
  <c r="AI222" i="11"/>
  <c r="AO222" i="11"/>
  <c r="AN222" i="11"/>
  <c r="I222" i="11"/>
  <c r="AB222" i="11"/>
  <c r="AW222" i="11"/>
  <c r="CM222" i="11"/>
  <c r="Q222" i="11"/>
  <c r="AQ222" i="11"/>
  <c r="K222" i="11"/>
  <c r="CO222" i="11"/>
  <c r="AS222" i="11"/>
  <c r="S222" i="11"/>
  <c r="CD222" i="11"/>
  <c r="BM222" i="11"/>
  <c r="H222" i="11"/>
  <c r="AF222" i="11"/>
  <c r="BP222" i="11"/>
  <c r="BQ222" i="11"/>
  <c r="CP222" i="11"/>
  <c r="AP222" i="11"/>
  <c r="CJ162" i="11"/>
  <c r="CI162" i="11"/>
  <c r="AT162" i="11"/>
  <c r="AU162" i="11"/>
  <c r="L22" i="11"/>
  <c r="M22" i="11"/>
  <c r="DC22" i="11"/>
  <c r="BS22" i="11"/>
  <c r="BT22" i="11"/>
  <c r="BC22" i="11"/>
  <c r="BB22" i="11"/>
  <c r="L162" i="11"/>
  <c r="M162" i="11"/>
  <c r="DC162" i="11"/>
  <c r="BJ162" i="11"/>
  <c r="BK162" i="11"/>
  <c r="BB162" i="11"/>
  <c r="BC162" i="11"/>
  <c r="BK22" i="11"/>
  <c r="BJ22" i="11"/>
  <c r="AK22" i="11"/>
  <c r="AL22" i="11"/>
  <c r="CA162" i="11"/>
  <c r="CB162" i="11"/>
  <c r="CJ22" i="11"/>
  <c r="CI22" i="11"/>
  <c r="AT22" i="11"/>
  <c r="AU22" i="11"/>
  <c r="V162" i="11"/>
  <c r="U162" i="11"/>
  <c r="CR162" i="11"/>
  <c r="CS162" i="11"/>
  <c r="V22" i="11"/>
  <c r="U22" i="11"/>
  <c r="CR22" i="11"/>
  <c r="CS22" i="11"/>
  <c r="CU33" i="11" l="1"/>
  <c r="CX33" i="11"/>
  <c r="CV33" i="11"/>
  <c r="CW33" i="11"/>
  <c r="AD222" i="11"/>
  <c r="AC222" i="11"/>
  <c r="DC222" i="11"/>
  <c r="L222" i="11"/>
  <c r="M222" i="11"/>
  <c r="CI222" i="11"/>
  <c r="CJ222" i="11"/>
  <c r="CR222" i="11"/>
  <c r="CS222" i="11"/>
  <c r="CA222" i="11"/>
  <c r="CB222" i="11"/>
  <c r="BB222" i="11"/>
  <c r="BC222" i="11"/>
  <c r="BS222" i="11"/>
  <c r="BT222" i="11"/>
  <c r="V222" i="11"/>
  <c r="U222" i="11"/>
  <c r="AK222" i="11"/>
  <c r="AL222" i="11"/>
  <c r="AU222" i="11"/>
  <c r="AT222" i="11"/>
  <c r="BK222" i="11"/>
  <c r="BJ222" i="11"/>
  <c r="C5470" i="3"/>
  <c r="AZ33" i="11"/>
  <c r="AY33" i="11"/>
  <c r="K33" i="11"/>
  <c r="AW33" i="11"/>
  <c r="R33" i="11"/>
  <c r="AG33" i="11"/>
  <c r="Z33" i="11"/>
  <c r="O33" i="11"/>
  <c r="AO33" i="11"/>
  <c r="Q33" i="11"/>
  <c r="AQ33" i="11"/>
  <c r="BN33" i="11"/>
  <c r="CD33" i="11"/>
  <c r="CE33" i="11"/>
  <c r="CG33" i="11"/>
  <c r="BE33" i="11"/>
  <c r="AH33" i="11"/>
  <c r="Y33" i="11"/>
  <c r="AR33" i="11"/>
  <c r="AF33" i="11"/>
  <c r="P33" i="11"/>
  <c r="J33" i="11"/>
  <c r="S33" i="11"/>
  <c r="AI33" i="11"/>
  <c r="CN33" i="11"/>
  <c r="BY33" i="11"/>
  <c r="I33" i="11"/>
  <c r="AA33" i="11"/>
  <c r="AN33" i="11"/>
  <c r="X33" i="11"/>
  <c r="AP33" i="11"/>
  <c r="G33" i="11"/>
  <c r="CO33" i="11"/>
  <c r="CM33" i="11"/>
  <c r="BM33" i="11"/>
  <c r="BP33" i="11"/>
  <c r="BQ33" i="11"/>
  <c r="BV33" i="11"/>
  <c r="BF33" i="11"/>
  <c r="BG33" i="11"/>
  <c r="AX33" i="11"/>
  <c r="AS33" i="11"/>
  <c r="BZ33" i="11"/>
  <c r="CQ33" i="11"/>
  <c r="BI33" i="11"/>
  <c r="T33" i="11"/>
  <c r="CH33" i="11"/>
  <c r="BR33" i="11"/>
  <c r="CF33" i="11"/>
  <c r="BX33" i="11"/>
  <c r="BO33" i="11"/>
  <c r="BW33" i="11"/>
  <c r="BA33" i="11"/>
  <c r="CL33" i="11"/>
  <c r="CP33" i="11"/>
  <c r="AB33" i="11"/>
  <c r="AJ33" i="11"/>
  <c r="BH33" i="11"/>
  <c r="H33" i="11"/>
  <c r="CU34" i="11" l="1"/>
  <c r="CX34" i="11"/>
  <c r="CV34" i="11"/>
  <c r="CW34" i="11"/>
  <c r="CY34" i="11"/>
  <c r="CZ34" i="11" s="1"/>
  <c r="AC33" i="11"/>
  <c r="AD33" i="11"/>
  <c r="CS33" i="11"/>
  <c r="CR33" i="11"/>
  <c r="L33" i="11"/>
  <c r="M33" i="11"/>
  <c r="DC33" i="11"/>
  <c r="CA33" i="11"/>
  <c r="CB33" i="11"/>
  <c r="BC33" i="11"/>
  <c r="BB33" i="11"/>
  <c r="BS33" i="11"/>
  <c r="BT33" i="11"/>
  <c r="CJ33" i="11"/>
  <c r="CI33" i="11"/>
  <c r="AU33" i="11"/>
  <c r="AT33" i="11"/>
  <c r="AK33" i="11"/>
  <c r="AL33" i="11"/>
  <c r="U33" i="11"/>
  <c r="V33" i="11"/>
  <c r="BK33" i="11"/>
  <c r="BJ33" i="11"/>
  <c r="C5471" i="3"/>
  <c r="CY333" i="11" s="1"/>
  <c r="CO34" i="11"/>
  <c r="CG34" i="11"/>
  <c r="BA34" i="11"/>
  <c r="AZ34" i="11"/>
  <c r="CP34" i="11"/>
  <c r="BZ34" i="11"/>
  <c r="CM34" i="11"/>
  <c r="AB34" i="11"/>
  <c r="BG34" i="11"/>
  <c r="BF34" i="11"/>
  <c r="BX34" i="11"/>
  <c r="R34" i="11"/>
  <c r="AP34" i="11"/>
  <c r="AO34" i="11"/>
  <c r="H34" i="11"/>
  <c r="BI34" i="11"/>
  <c r="CF34" i="11"/>
  <c r="Q34" i="11"/>
  <c r="CQ34" i="11"/>
  <c r="BN34" i="11"/>
  <c r="AY34" i="11"/>
  <c r="BE34" i="11"/>
  <c r="BO34" i="11"/>
  <c r="Z34" i="11"/>
  <c r="Y34" i="11"/>
  <c r="P34" i="11"/>
  <c r="S34" i="11"/>
  <c r="CH34" i="11"/>
  <c r="AQ34" i="11"/>
  <c r="AG34" i="11"/>
  <c r="BR34" i="11"/>
  <c r="AR34" i="11"/>
  <c r="T34" i="11"/>
  <c r="BY34" i="11"/>
  <c r="CN34" i="11"/>
  <c r="K34" i="11"/>
  <c r="BW34" i="11"/>
  <c r="J34" i="11"/>
  <c r="AN34" i="11"/>
  <c r="G34" i="11"/>
  <c r="AI34" i="11"/>
  <c r="AH34" i="11"/>
  <c r="O34" i="11"/>
  <c r="AX34" i="11"/>
  <c r="CD34" i="11"/>
  <c r="BM34" i="11"/>
  <c r="BP34" i="11"/>
  <c r="AS34" i="11"/>
  <c r="I34" i="11"/>
  <c r="AA34" i="11"/>
  <c r="AF34" i="11"/>
  <c r="AJ34" i="11"/>
  <c r="AW34" i="11"/>
  <c r="CE34" i="11"/>
  <c r="BQ34" i="11"/>
  <c r="BV34" i="11"/>
  <c r="CL34" i="11"/>
  <c r="X34" i="11"/>
  <c r="BH34" i="11"/>
  <c r="CZ333" i="11" l="1"/>
  <c r="CW333" i="11"/>
  <c r="CX333" i="11"/>
  <c r="CV333" i="11"/>
  <c r="CU333" i="11"/>
  <c r="CS34" i="11"/>
  <c r="CR34" i="11"/>
  <c r="CA34" i="11"/>
  <c r="CB34" i="11"/>
  <c r="C5472" i="3"/>
  <c r="CO333" i="11"/>
  <c r="BE333" i="11"/>
  <c r="Y333" i="11"/>
  <c r="P333" i="11"/>
  <c r="BV333" i="11"/>
  <c r="X333" i="11"/>
  <c r="Q333" i="11"/>
  <c r="S333" i="11"/>
  <c r="O333" i="11"/>
  <c r="AF333" i="11"/>
  <c r="CL333" i="11"/>
  <c r="AO333" i="11"/>
  <c r="AX333" i="11"/>
  <c r="AA333" i="11"/>
  <c r="Z333" i="11"/>
  <c r="BI333" i="11"/>
  <c r="BZ333" i="11"/>
  <c r="AW333" i="11"/>
  <c r="CP333" i="11"/>
  <c r="CH333" i="11"/>
  <c r="BX333" i="11"/>
  <c r="J333" i="11"/>
  <c r="AZ333" i="11"/>
  <c r="AG333" i="11"/>
  <c r="AS333" i="11"/>
  <c r="BR333" i="11"/>
  <c r="H333" i="11"/>
  <c r="I333" i="11"/>
  <c r="G333" i="11"/>
  <c r="BF333" i="11"/>
  <c r="AP333" i="11"/>
  <c r="BA333" i="11"/>
  <c r="AJ333" i="11"/>
  <c r="AB333" i="11"/>
  <c r="BQ333" i="11"/>
  <c r="BP333" i="11"/>
  <c r="BO333" i="11"/>
  <c r="T333" i="11"/>
  <c r="BN333" i="11"/>
  <c r="BM333" i="11"/>
  <c r="K333" i="11"/>
  <c r="CG333" i="11"/>
  <c r="CD333" i="11"/>
  <c r="CE333" i="11"/>
  <c r="CF333" i="11"/>
  <c r="BG333" i="11"/>
  <c r="BH333" i="11"/>
  <c r="CM333" i="11"/>
  <c r="BY333" i="11"/>
  <c r="BW333" i="11"/>
  <c r="R333" i="11"/>
  <c r="AI333" i="11"/>
  <c r="CN333" i="11"/>
  <c r="AN333" i="11"/>
  <c r="CQ333" i="11"/>
  <c r="AQ333" i="11"/>
  <c r="AY333" i="11"/>
  <c r="AH333" i="11"/>
  <c r="AR333" i="11"/>
  <c r="AT34" i="11"/>
  <c r="AU34" i="11"/>
  <c r="U34" i="11"/>
  <c r="V34" i="11"/>
  <c r="CI34" i="11"/>
  <c r="CJ34" i="11"/>
  <c r="BK34" i="11"/>
  <c r="BJ34" i="11"/>
  <c r="BC34" i="11"/>
  <c r="BB34" i="11"/>
  <c r="AK34" i="11"/>
  <c r="AL34" i="11"/>
  <c r="M34" i="11"/>
  <c r="L34" i="11"/>
  <c r="DC34" i="11"/>
  <c r="BT34" i="11"/>
  <c r="BS34" i="11"/>
  <c r="AC34" i="11"/>
  <c r="AD34" i="11"/>
  <c r="C5473" i="3" l="1"/>
  <c r="AP233" i="11"/>
  <c r="AZ233" i="11"/>
  <c r="AQ233" i="11"/>
  <c r="Y233" i="11"/>
  <c r="R233" i="11"/>
  <c r="CG233" i="11"/>
  <c r="CE233" i="11"/>
  <c r="O233" i="11"/>
  <c r="BQ233" i="11"/>
  <c r="T233" i="11"/>
  <c r="AX233" i="11"/>
  <c r="BX233" i="11"/>
  <c r="CN233" i="11"/>
  <c r="S233" i="11"/>
  <c r="J233" i="11"/>
  <c r="AW233" i="11"/>
  <c r="CQ233" i="11"/>
  <c r="AO233" i="11"/>
  <c r="BZ233" i="11"/>
  <c r="BO233" i="11"/>
  <c r="CH233" i="11"/>
  <c r="BM233" i="11"/>
  <c r="Z233" i="11"/>
  <c r="BR233" i="11"/>
  <c r="AF233" i="11"/>
  <c r="AY233" i="11"/>
  <c r="AS233" i="11"/>
  <c r="AA233" i="11"/>
  <c r="CL233" i="11"/>
  <c r="G233" i="11"/>
  <c r="K233" i="11"/>
  <c r="AH233" i="11"/>
  <c r="CD233" i="11"/>
  <c r="BG233" i="11"/>
  <c r="CF233" i="11"/>
  <c r="BH233" i="11"/>
  <c r="AB233" i="11"/>
  <c r="BE233" i="11"/>
  <c r="P233" i="11"/>
  <c r="BN233" i="11"/>
  <c r="CM233" i="11"/>
  <c r="BY233" i="11"/>
  <c r="AJ233" i="11"/>
  <c r="AI233" i="11"/>
  <c r="H233" i="11"/>
  <c r="BP233" i="11"/>
  <c r="CO233" i="11"/>
  <c r="BV233" i="11"/>
  <c r="AG233" i="11"/>
  <c r="I233" i="11"/>
  <c r="CP233" i="11"/>
  <c r="BA233" i="11"/>
  <c r="BW233" i="11"/>
  <c r="AR233" i="11"/>
  <c r="X233" i="11"/>
  <c r="BI233" i="11"/>
  <c r="AN233" i="11"/>
  <c r="BF233" i="11"/>
  <c r="Q233" i="11"/>
  <c r="M333" i="11"/>
  <c r="L333" i="11"/>
  <c r="CA333" i="11"/>
  <c r="CB333" i="11"/>
  <c r="AC333" i="11"/>
  <c r="AD333" i="11"/>
  <c r="BJ333" i="11"/>
  <c r="BK333" i="11"/>
  <c r="AK333" i="11"/>
  <c r="AL333" i="11"/>
  <c r="U333" i="11"/>
  <c r="V333" i="11"/>
  <c r="BB333" i="11"/>
  <c r="BC333" i="11"/>
  <c r="BT333" i="11"/>
  <c r="BS333" i="11"/>
  <c r="CJ333" i="11"/>
  <c r="CI333" i="11"/>
  <c r="DC333" i="11"/>
  <c r="CS333" i="11"/>
  <c r="CR333" i="11"/>
  <c r="AT333" i="11"/>
  <c r="AU333" i="11"/>
  <c r="CY305" i="11" l="1"/>
  <c r="CZ305" i="11" s="1"/>
  <c r="CV305" i="11"/>
  <c r="CU305" i="11"/>
  <c r="CW305" i="11"/>
  <c r="CX305" i="11"/>
  <c r="CY232" i="11"/>
  <c r="CZ232" i="11" s="1"/>
  <c r="CY233" i="11"/>
  <c r="CZ233" i="11" s="1"/>
  <c r="CY221" i="11"/>
  <c r="CY222" i="11"/>
  <c r="CZ222" i="11" s="1"/>
  <c r="CU232" i="11"/>
  <c r="CX232" i="11"/>
  <c r="CV232" i="11"/>
  <c r="CW232" i="11"/>
  <c r="CW233" i="11"/>
  <c r="CV233" i="11"/>
  <c r="CU233" i="11"/>
  <c r="CX233" i="11"/>
  <c r="BS233" i="11"/>
  <c r="BT233" i="11"/>
  <c r="CB233" i="11"/>
  <c r="CA233" i="11"/>
  <c r="L233" i="11"/>
  <c r="M233" i="11"/>
  <c r="DC233" i="11"/>
  <c r="BJ233" i="11"/>
  <c r="BK233" i="11"/>
  <c r="AT233" i="11"/>
  <c r="AU233" i="11"/>
  <c r="CS233" i="11"/>
  <c r="CR233" i="11"/>
  <c r="AR305" i="11"/>
  <c r="AR5" i="11" s="1"/>
  <c r="BZ305" i="11"/>
  <c r="Y305" i="11"/>
  <c r="Y5" i="11" s="1"/>
  <c r="J305" i="11"/>
  <c r="J5" i="11" s="1"/>
  <c r="AP305" i="11"/>
  <c r="AP5" i="11" s="1"/>
  <c r="Z305" i="11"/>
  <c r="Z5" i="11" s="1"/>
  <c r="BP305" i="11"/>
  <c r="BP5" i="11" s="1"/>
  <c r="AI305" i="11"/>
  <c r="AI5" i="11" s="1"/>
  <c r="BW305" i="11"/>
  <c r="BW5" i="11" s="1"/>
  <c r="Q305" i="11"/>
  <c r="Q5" i="11" s="1"/>
  <c r="AQ305" i="11"/>
  <c r="AQ5" i="11" s="1"/>
  <c r="T305" i="11"/>
  <c r="AO305" i="11"/>
  <c r="AO5" i="11" s="1"/>
  <c r="P305" i="11"/>
  <c r="P5" i="11" s="1"/>
  <c r="BI305" i="11"/>
  <c r="BI5" i="11" s="1"/>
  <c r="BM305" i="11"/>
  <c r="BM5" i="11" s="1"/>
  <c r="CP305" i="11"/>
  <c r="CP5" i="11" s="1"/>
  <c r="AS305" i="11"/>
  <c r="AG305" i="11"/>
  <c r="AG5" i="11" s="1"/>
  <c r="AW305" i="11"/>
  <c r="AW5" i="11" s="1"/>
  <c r="AN305" i="11"/>
  <c r="AN5" i="11" s="1"/>
  <c r="I305" i="11"/>
  <c r="I5" i="11" s="1"/>
  <c r="CQ305" i="11"/>
  <c r="AZ305" i="11"/>
  <c r="AZ5" i="11" s="1"/>
  <c r="CH305" i="11"/>
  <c r="G305" i="11"/>
  <c r="G5" i="11" s="1"/>
  <c r="H305" i="11"/>
  <c r="H5" i="11" s="1"/>
  <c r="BV305" i="11"/>
  <c r="BV5" i="11" s="1"/>
  <c r="AA305" i="11"/>
  <c r="AA5" i="11" s="1"/>
  <c r="S305" i="11"/>
  <c r="S5" i="11" s="1"/>
  <c r="BY305" i="11"/>
  <c r="BY5" i="11" s="1"/>
  <c r="AY305" i="11"/>
  <c r="AY5" i="11" s="1"/>
  <c r="BG305" i="11"/>
  <c r="BG5" i="11" s="1"/>
  <c r="AH305" i="11"/>
  <c r="AH5" i="11" s="1"/>
  <c r="BN305" i="11"/>
  <c r="BN5" i="11" s="1"/>
  <c r="CG305" i="11"/>
  <c r="CG5" i="11" s="1"/>
  <c r="X305" i="11"/>
  <c r="X5" i="11" s="1"/>
  <c r="AB305" i="11"/>
  <c r="BO305" i="11"/>
  <c r="BO5" i="11" s="1"/>
  <c r="BX305" i="11"/>
  <c r="BX5" i="11" s="1"/>
  <c r="BF305" i="11"/>
  <c r="BF5" i="11" s="1"/>
  <c r="BR305" i="11"/>
  <c r="K305" i="11"/>
  <c r="CN305" i="11"/>
  <c r="CN5" i="11" s="1"/>
  <c r="BH305" i="11"/>
  <c r="BH5" i="11" s="1"/>
  <c r="AJ305" i="11"/>
  <c r="R305" i="11"/>
  <c r="R5" i="11" s="1"/>
  <c r="CL305" i="11"/>
  <c r="CL5" i="11" s="1"/>
  <c r="BE305" i="11"/>
  <c r="BE5" i="11" s="1"/>
  <c r="AX305" i="11"/>
  <c r="AX5" i="11" s="1"/>
  <c r="CE305" i="11"/>
  <c r="CE5" i="11" s="1"/>
  <c r="AF305" i="11"/>
  <c r="AF5" i="11" s="1"/>
  <c r="O305" i="11"/>
  <c r="O5" i="11" s="1"/>
  <c r="BA305" i="11"/>
  <c r="BQ305" i="11"/>
  <c r="BQ5" i="11" s="1"/>
  <c r="CF305" i="11"/>
  <c r="CF5" i="11" s="1"/>
  <c r="CO305" i="11"/>
  <c r="CO5" i="11" s="1"/>
  <c r="CM305" i="11"/>
  <c r="CM5" i="11" s="1"/>
  <c r="CD305" i="11"/>
  <c r="CD5" i="11" s="1"/>
  <c r="AL233" i="11"/>
  <c r="AK233" i="11"/>
  <c r="AC233" i="11"/>
  <c r="AD233" i="11"/>
  <c r="V233" i="11"/>
  <c r="U233" i="11"/>
  <c r="CI233" i="11"/>
  <c r="CJ233" i="11"/>
  <c r="BC233" i="11"/>
  <c r="BB233" i="11"/>
  <c r="CZ221" i="11" l="1"/>
  <c r="CZ5" i="11" s="1"/>
  <c r="CY5" i="11"/>
  <c r="CV5" i="11"/>
  <c r="CW5" i="11"/>
  <c r="CX5" i="11"/>
  <c r="CU5" i="11"/>
  <c r="BT305" i="11"/>
  <c r="BS305" i="11"/>
  <c r="BS5" i="11" s="1"/>
  <c r="BR5" i="11"/>
  <c r="CB305" i="11"/>
  <c r="CA305" i="11"/>
  <c r="CA5" i="11" s="1"/>
  <c r="BZ5" i="11"/>
  <c r="CI305" i="11"/>
  <c r="CI5" i="11" s="1"/>
  <c r="CJ305" i="11"/>
  <c r="CH5" i="11"/>
  <c r="AK305" i="11"/>
  <c r="AK5" i="11" s="1"/>
  <c r="AL305" i="11"/>
  <c r="AJ5" i="11"/>
  <c r="AL5" i="11" s="1"/>
  <c r="AU305" i="11"/>
  <c r="AT305" i="11"/>
  <c r="AT5" i="11" s="1"/>
  <c r="AS5" i="11"/>
  <c r="U305" i="11"/>
  <c r="U5" i="11" s="1"/>
  <c r="V305" i="11"/>
  <c r="T5" i="11"/>
  <c r="BB305" i="11"/>
  <c r="BB5" i="11" s="1"/>
  <c r="BC305" i="11"/>
  <c r="BA5" i="11"/>
  <c r="CR305" i="11"/>
  <c r="CR5" i="11" s="1"/>
  <c r="CS305" i="11"/>
  <c r="CQ5" i="11"/>
  <c r="M305" i="11"/>
  <c r="L305" i="11"/>
  <c r="L5" i="11" s="1"/>
  <c r="DC305" i="11"/>
  <c r="K5" i="11"/>
  <c r="AC305" i="11"/>
  <c r="AC5" i="11" s="1"/>
  <c r="AD305" i="11"/>
  <c r="AB5" i="11"/>
  <c r="BK305" i="11"/>
  <c r="BJ305" i="11"/>
  <c r="BJ5" i="11" s="1"/>
  <c r="DD6" i="11" l="1"/>
  <c r="DE6" i="11" l="1"/>
  <c r="DF6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tc={4A79AEFB-88D0-4D23-8BA4-04D3CBB3E354}</author>
    <author>tc={69B5B168-E8B0-4029-A471-2EB42F9A0EE8}</author>
    <author>tc={EAF00EC3-4CB0-41FB-9F82-04CBFD3E5AB2}</author>
  </authors>
  <commentList>
    <comment ref="K172" authorId="0" shapeId="0" xr:uid="{4A79AEFB-88D0-4D23-8BA4-04D3CBB3E354}">
      <text>
        <t>[Threaded comment]
Your version of Excel allows you to read this threaded comment; however, any edits to it will get removed if the file is opened in a newer version of Excel. Learn more: https://go.microsoft.com/fwlink/?linkid=870924
Comment:
    SE CONTEMPLA PAGO DE BOTARGA POR $ 18,000
pago para 5 de julio 2025</t>
      </text>
    </comment>
    <comment ref="K190" authorId="1" shapeId="0" xr:uid="{69B5B168-E8B0-4029-A471-2EB42F9A0EE8}">
      <text>
        <t>[Threaded comment]
Your version of Excel allows you to read this threaded comment; however, any edits to it will get removed if the file is opened in a newer version of Excel. Learn more: https://go.microsoft.com/fwlink/?linkid=870924
Comment:
    Incremento de sueldo a 1 persona del dpto $ 500 a partir del 5 de Junio 25</t>
      </text>
    </comment>
    <comment ref="K245" authorId="2" shapeId="0" xr:uid="{EAF00EC3-4CB0-41FB-9F82-04CBFD3E5AB2}">
      <text>
        <t>[Threaded comment]
Your version of Excel allows you to read this threaded comment; however, any edits to it will get removed if the file is opened in a newer version of Excel. Learn more: https://go.microsoft.com/fwlink/?linkid=870924
Comment:
    94,500 INSUMOS BASEBALL(PELOTAS)
pago para el 05 de julio 2025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tc={A0E65A66-7407-4E4E-BF01-75791C1D656F}</author>
    <author>tc={27BF4879-AD84-40B5-B42F-3579517ADAAD}</author>
    <author>tc={491A2609-C2B4-4A22-8161-1BB279B97EAA}</author>
    <author>tc={A887D6FD-6E9B-4924-B398-DC0DB86C52DB}</author>
    <author>tc={C7F5FB50-1AFD-40F1-B1C6-1E4D25DD5E1E}</author>
    <author>tc={F81C2FE3-4550-42CD-B013-92DEF78FABC3}</author>
    <author>tc={AE20A9E5-17A7-4B23-A927-F02264AF3DE3}</author>
    <author>tc={1331177B-4BB0-4B87-A116-2EBD6117CFA8}</author>
    <author>tc={6030262F-3A87-490E-8377-ED4E8265D9E3}</author>
    <author>tc={11D94D5C-A471-4E4E-BA1E-30BBAE680837}</author>
    <author>tc={87959DFD-4CB8-47D5-A6D3-AA53301E2ABD}</author>
    <author>tc={866F84FC-1547-4C55-BDB1-2FB815BAF46E}</author>
    <author>tc={6D223FB7-98BD-40B0-813F-28E7FCEFC635}</author>
    <author>tc={D4D19DE1-BBC1-4F05-8FCA-124E46EFA328}</author>
    <author>tc={DAFDD7B2-6905-4298-9EC6-28CAB70ACB12}</author>
    <author>tc={6FFF9DAD-FD2D-4B41-9776-3EAD054E8A23}</author>
    <author>tc={894AC564-9666-4EF9-93FB-A0E905F21F4A}</author>
    <author>tc={4E8C8A0F-5B77-4FAC-8A3C-807457FA5242}</author>
    <author>tc={C6AF3749-81DC-4CAF-BC7C-054FC247D14B}</author>
    <author>tc={C2A0D391-177C-43E9-A259-264471FA626B}</author>
    <author>tc={E2A29FF1-BCE4-4993-AB72-53B240A88ACD}</author>
    <author>tc={E0DF3E30-32A4-41A9-B3AC-039B19C5E48D}</author>
    <author>tc={48F670D0-581E-4E92-A1AB-784D76A89C1B}</author>
    <author>tc={F8BDFFEF-F8E0-4D98-8E1B-8AAEDCDDEE13}</author>
    <author>tc={48100B51-D68F-44F0-8A74-C922AC17DC56}</author>
    <author>tc={1EF8A4A6-D350-4643-9DA0-46CC8EA30975}</author>
    <author>tc={ABD01BEC-9699-408E-9C4A-71293DE9F4D6}</author>
    <author>tc={8A0D1764-9A8F-4ACD-A4DB-9A13B60F6ABC}</author>
    <author>tc={F4A2CFAC-7032-4C20-89AD-58AE0DFEE1DF}</author>
    <author>tc={1BA7CA2D-8461-4D54-9222-46A1FA395600}</author>
    <author>tc={60EABF20-D79D-40BB-BD80-29924099CD59}</author>
    <author>tc={12AA9DC5-F76E-4757-9559-0188FF17516E}</author>
    <author>tc={CAD806AF-790F-4E0F-B9F2-47AC84E45028}</author>
    <author>tc={8AA7D051-1F60-4960-BAC4-AC259BBF2363}</author>
    <author>tc={6197BB3C-9DB6-4B8A-A7F7-E2CA5D6D164D}</author>
  </authors>
  <commentList>
    <comment ref="K336" authorId="0" shapeId="0" xr:uid="{A0E65A66-7407-4E4E-BF01-75791C1D656F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 . por faltante de ingreso de terminales de CODARE por cuenta bloqueada</t>
      </text>
    </comment>
    <comment ref="K627" authorId="1" shapeId="0" xr:uid="{27BF4879-AD84-40B5-B42F-3579517ADAAD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falto depositar dia 18 la recoleccion de E2</t>
      </text>
    </comment>
    <comment ref="K1118" authorId="2" shapeId="0" xr:uid="{491A2609-C2B4-4A22-8161-1BB279B97EAA}">
      <text>
        <t>[Threaded comment]
Your version of Excel allows you to read this threaded comment; however, any edits to it will get removed if the file is opened in a newer version of Excel. Learn more: https://go.microsoft.com/fwlink/?linkid=870924
Comment:
    E9  no deposito ( 7894)</t>
      </text>
    </comment>
    <comment ref="K1139" authorId="3" shapeId="0" xr:uid="{A887D6FD-6E9B-4924-B398-DC0DB86C52DB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 por falta de ingreso de E9 y E6</t>
      </text>
    </comment>
    <comment ref="K1178" authorId="4" shapeId="0" xr:uid="{C7F5FB50-1AFD-40F1-B1C6-1E4D25DD5E1E}">
      <text>
        <t>[Threaded comment]
Your version of Excel allows you to read this threaded comment; however, any edits to it will get removed if the file is opened in a newer version of Excel. Learn more: https://go.microsoft.com/fwlink/?linkid=870924
Comment:
    no deposito E9 $ 8906</t>
      </text>
    </comment>
    <comment ref="K1194" authorId="5" shapeId="0" xr:uid="{F81C2FE3-4550-42CD-B013-92DEF78FABC3}">
      <text>
        <t>[Threaded comment]
Your version of Excel allows you to read this threaded comment; however, any edits to it will get removed if the file is opened in a newer version of Excel. Learn more: https://go.microsoft.com/fwlink/?linkid=870924
Comment:
    No deposito E9 6921</t>
      </text>
    </comment>
    <comment ref="K1231" authorId="6" shapeId="0" xr:uid="{AE20A9E5-17A7-4B23-A927-F02264AF3DE3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falto depositar E9 día 22</t>
      </text>
    </comment>
    <comment ref="K1249" authorId="7" shapeId="0" xr:uid="{1331177B-4BB0-4B87-A116-2EBD6117CFA8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falta depositar E9 12631</t>
      </text>
    </comment>
    <comment ref="K1266" authorId="8" shapeId="0" xr:uid="{6030262F-3A87-490E-8377-ED4E8265D9E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ingreso de la venta de E9 del 21 22 ,24 y 23 de baril </t>
      </text>
    </comment>
    <comment ref="K1290" authorId="9" shapeId="0" xr:uid="{11D94D5C-A471-4E4E-BA1E-30BBAE680837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falta de deposito de E9 $ 5328</t>
      </text>
    </comment>
    <comment ref="K1309" authorId="10" shapeId="0" xr:uid="{87959DFD-4CB8-47D5-A6D3-AA53301E2ABD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falta de deposito de E9 $ 8780</t>
      </text>
    </comment>
    <comment ref="K1336" authorId="11" shapeId="0" xr:uid="{866F84FC-1547-4C55-BDB1-2FB815BAF46E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faltan depositos de: 
a15 (17,318 30/abr y 5,650 1/Mayo)
e9 (10,503 30/abr y 16,608 1/Mayo)</t>
      </text>
    </comment>
    <comment ref="K1363" authorId="12" shapeId="0" xr:uid="{6D223FB7-98BD-40B0-813F-28E7FCEFC635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Faltan depositos de;
A15 (16,272 3/Mayo y 8,204.50 4/Mayo)
E9 (22,735 2/May, 36,731 3/Mayo, 35,722 4/mayo)</t>
      </text>
    </comment>
    <comment ref="K1397" authorId="13" shapeId="0" xr:uid="{D4D19DE1-BBC1-4F05-8FCA-124E46EFA328}">
      <text>
        <t>[Threaded comment]
Your version of Excel allows you to read this threaded comment; however, any edits to it will get removed if the file is opened in a newer version of Excel. Learn more: https://go.microsoft.com/fwlink/?linkid=870924
Comment:
    A15 4885</t>
      </text>
    </comment>
    <comment ref="K1419" authorId="14" shapeId="0" xr:uid="{DAFDD7B2-6905-4298-9EC6-28CAB70ACB12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falto depositar A15, E4 y E9</t>
      </text>
    </comment>
    <comment ref="K1463" authorId="15" shapeId="0" xr:uid="{6FFF9DAD-FD2D-4B41-9776-3EAD054E8A23}">
      <text>
        <t>[Threaded comment]
Your version of Excel allows you to read this threaded comment; however, any edits to it will get removed if the file is opened in a newer version of Excel. Learn more: https://go.microsoft.com/fwlink/?linkid=870924
Comment:
    ingreso por venta de A15 6855</t>
      </text>
    </comment>
    <comment ref="K1514" authorId="16" shapeId="0" xr:uid="{894AC564-9666-4EF9-93FB-A0E905F21F4A}">
      <text>
        <t>[Threaded comment]
Your version of Excel allows you to read this threaded comment; however, any edits to it will get removed if the file is opened in a newer version of Excel. Learn more: https://go.microsoft.com/fwlink/?linkid=870924
Comment:
    ingreso de la venta del dia 10 y 11 de may de A15 
se desconto de la venta del 12 de A15 7038</t>
      </text>
    </comment>
    <comment ref="K1536" authorId="17" shapeId="0" xr:uid="{4E8C8A0F-5B77-4FAC-8A3C-807457FA5242}">
      <text>
        <t>[Threaded comment]
Your version of Excel allows you to read this threaded comment; however, any edits to it will get removed if the file is opened in a newer version of Excel. Learn more: https://go.microsoft.com/fwlink/?linkid=870924
Comment:
    ingreso venta de A15 del 12 de mayo y se desconto la venta de E9 del dia 13 10771</t>
      </text>
    </comment>
    <comment ref="K1555" authorId="18" shapeId="0" xr:uid="{C6AF3749-81DC-4CAF-BC7C-054FC247D14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se desconto venta de E6 no deposito y los 12252 de la venta de e9 que no se deposito </t>
      </text>
    </comment>
    <comment ref="K1573" authorId="19" shapeId="0" xr:uid="{C2A0D391-177C-43E9-A259-264471FA626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se desconto venta de A15 $14273.50 venta del 15 de mayo y los 13648 de E9 
ingreso la venta de e6 del 14 de mayo 6076
</t>
      </text>
    </comment>
    <comment ref="K1589" authorId="20" shapeId="0" xr:uid="{E2A29FF1-BCE4-4993-AB72-53B240A88ACD}">
      <text>
        <t>[Threaded comment]
Your version of Excel allows you to read this threaded comment; however, any edits to it will get removed if the file is opened in a newer version of Excel. Learn more: https://go.microsoft.com/fwlink/?linkid=870924
Comment:
    se desconto las ventas del 16 de mayo de E9 que son : 15704, 
ventas del 17 de mayo E9 :33328
del 18 de mayo de E9: 29250
17 de mayo de A15 se desconto :15214 y 18 de mayo de a15: 9078</t>
      </text>
    </comment>
    <comment ref="K1644" authorId="21" shapeId="0" xr:uid="{E0DF3E30-32A4-41A9-B3AC-039B19C5E48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descuento del venta del 10 de mayo de E9,7674
</t>
      </text>
    </comment>
    <comment ref="K1671" authorId="22" shapeId="0" xr:uid="{48F670D0-581E-4E92-A1AB-784D76A89C1B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descuento de la venta del 21 de mayo de E9 10878</t>
      </text>
    </comment>
    <comment ref="K1686" authorId="23" shapeId="0" xr:uid="{F8BDFFEF-F8E0-4D98-8E1B-8AAEDCDDEE13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descuento de la venta del 22 de mayo de E9 14253</t>
      </text>
    </comment>
    <comment ref="K1703" authorId="24" shapeId="0" xr:uid="{48100B51-D68F-44F0-8A74-C922AC17DC56}">
      <text>
        <t>[Threaded comment]
Your version of Excel allows you to read this threaded comment; however, any edits to it will get removed if the file is opened in a newer version of Excel. Learn more: https://go.microsoft.com/fwlink/?linkid=870924
Comment:
    no deposito A15 de fin de semana  venta del dia 24 y 25 16285
y 8160</t>
      </text>
    </comment>
    <comment ref="K1741" authorId="25" shapeId="0" xr:uid="{1EF8A4A6-D350-4643-9DA0-46CC8EA3097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desc de ventas de E9 $9783
</t>
      </text>
    </comment>
    <comment ref="K1769" authorId="26" shapeId="0" xr:uid="{ABD01BEC-9699-408E-9C4A-71293DE9F4D6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Descuento de la venta de E9 $9859</t>
      </text>
    </comment>
    <comment ref="K1790" authorId="27" shapeId="0" xr:uid="{8A0D1764-9A8F-4ACD-A4DB-9A13B60F6AB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Descuento de la venta de E9 </t>
      </text>
    </comment>
    <comment ref="K1805" authorId="28" shapeId="0" xr:uid="{F4A2CFAC-7032-4C20-89AD-58AE0DFEE1DF}">
      <text>
        <t>[Threaded comment]
Your version of Excel allows you to read this threaded comment; however, any edits to it will get removed if the file is opened in a newer version of Excel. Learn more: https://go.microsoft.com/fwlink/?linkid=870924
Comment:
    Descuento de la venta de  E9</t>
      </text>
    </comment>
    <comment ref="K1830" authorId="29" shapeId="0" xr:uid="{1BA7CA2D-8461-4D54-9222-46A1FA395600}">
      <text>
        <t>[Threaded comment]
Your version of Excel allows you to read this threaded comment; however, any edits to it will get removed if the file is opened in a newer version of Excel. Learn more: https://go.microsoft.com/fwlink/?linkid=870924
Comment:
    se descontó venta de A15 del sabado y domingo por $ 21183</t>
      </text>
    </comment>
    <comment ref="K1831" authorId="30" shapeId="0" xr:uid="{60EABF20-D79D-40BB-BD80-29924099CD59}">
      <text>
        <t>[Threaded comment]
Your version of Excel allows you to read this threaded comment; however, any edits to it will get removed if the file is opened in a newer version of Excel. Learn more: https://go.microsoft.com/fwlink/?linkid=870924
Comment:
    ingreso la veta de E9 de $ 9783+9859+10315+11948</t>
      </text>
    </comment>
    <comment ref="K1857" authorId="31" shapeId="0" xr:uid="{12AA9DC5-F76E-4757-9559-0188FF17516E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de E9 por $11535</t>
      </text>
    </comment>
    <comment ref="K1876" authorId="32" shapeId="0" xr:uid="{CAD806AF-790F-4E0F-B9F2-47AC84E45028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de E9 $ 7662</t>
      </text>
    </comment>
    <comment ref="K1893" authorId="33" shapeId="0" xr:uid="{8AA7D051-1F60-4960-BAC4-AC259BBF2363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de E9 $8523</t>
      </text>
    </comment>
    <comment ref="K1911" authorId="34" shapeId="0" xr:uid="{6197BB3C-9DB6-4B8A-A7F7-E2CA5D6D164D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de E9 $ 13280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tc={0F8A6F2D-6C22-42E7-A32B-5FD75FB80351}</author>
    <author>tc={C101A0CD-1A22-4840-851F-D1D54829F3F0}</author>
    <author>tc={A30CD91D-3595-4B50-B287-79D5ABB60A80}</author>
    <author>tc={1F0223DE-5E1A-4B2C-989F-F1343DD80AFD}</author>
  </authors>
  <commentList>
    <comment ref="G9" authorId="0" shapeId="0" xr:uid="{0F8A6F2D-6C22-42E7-A32B-5FD75FB80351}">
      <text>
        <t>[Threaded comment]
Your version of Excel allows you to read this threaded comment; however, any edits to it will get removed if the file is opened in a newer version of Excel. Learn more: https://go.microsoft.com/fwlink/?linkid=870924
Comment:
    todo se depositó en bajio thr y codare</t>
      </text>
    </comment>
    <comment ref="H10" authorId="1" shapeId="0" xr:uid="{C101A0CD-1A22-4840-851F-D1D54829F3F0}">
      <text>
        <t>[Threaded comment]
Your version of Excel allows you to read this threaded comment; however, any edits to it will get removed if the file is opened in a newer version of Excel. Learn more: https://go.microsoft.com/fwlink/?linkid=870924
Comment:
    todo se depositó en bajio thr y codare</t>
      </text>
    </comment>
    <comment ref="G11" authorId="2" shapeId="0" xr:uid="{A30CD91D-3595-4B50-B287-79D5ABB60A80}">
      <text>
        <t>[Threaded comment]
Your version of Excel allows you to read this threaded comment; however, any edits to it will get removed if the file is opened in a newer version of Excel. Learn more: https://go.microsoft.com/fwlink/?linkid=870924
Comment:
    este se quedó en caja fuerte no se depositó</t>
      </text>
    </comment>
    <comment ref="F21" authorId="3" shapeId="0" xr:uid="{1F0223DE-5E1A-4B2C-989F-F1343DD80AFD}">
      <text>
        <t>[Threaded comment]
Your version of Excel allows you to read this threaded comment; however, any edits to it will get removed if the file is opened in a newer version of Excel. Learn more: https://go.microsoft.com/fwlink/?linkid=870924
Comment:
    ingreso cuenta bajio CODARE</t>
      </text>
    </comment>
  </commentList>
</comments>
</file>

<file path=xl/sharedStrings.xml><?xml version="1.0" encoding="utf-8"?>
<sst xmlns="http://schemas.openxmlformats.org/spreadsheetml/2006/main" count="61379" uniqueCount="5208">
  <si>
    <t>PRESUPUESTOS GASTOS OPERATIVOS (Operating Expenses Budget) 2025</t>
  </si>
  <si>
    <t>Pres ENE 2024</t>
  </si>
  <si>
    <t>Pres FEB</t>
  </si>
  <si>
    <t>Pres MAR</t>
  </si>
  <si>
    <t>Pres ABR</t>
  </si>
  <si>
    <t>Pres MAY</t>
  </si>
  <si>
    <t>Pres JUN</t>
  </si>
  <si>
    <t>Pres JUL</t>
  </si>
  <si>
    <t>Pres AGO</t>
  </si>
  <si>
    <t>Pres SEP</t>
  </si>
  <si>
    <t>Pres OCT</t>
  </si>
  <si>
    <t>Pres NOV</t>
  </si>
  <si>
    <t>Pres DIC</t>
  </si>
  <si>
    <t>Pres ENE</t>
  </si>
  <si>
    <t>CODIGO (Code)</t>
  </si>
  <si>
    <t>NUM</t>
  </si>
  <si>
    <t>MARCA</t>
  </si>
  <si>
    <t>PRESUPUESTO</t>
  </si>
  <si>
    <t>CONCEPTO</t>
  </si>
  <si>
    <t>MKT</t>
  </si>
  <si>
    <t xml:space="preserve">ACTIVACION </t>
  </si>
  <si>
    <t>SERVICIOS</t>
  </si>
  <si>
    <t>ADQ DE EQ TECNOLOGICO</t>
  </si>
  <si>
    <t>FINANZAS</t>
  </si>
  <si>
    <t>AGUINALDO</t>
  </si>
  <si>
    <t>ALARMA</t>
  </si>
  <si>
    <t>SUCURSALES HR</t>
  </si>
  <si>
    <t>SUCURSALES CAPRICHOS</t>
  </si>
  <si>
    <t>CEDIS</t>
  </si>
  <si>
    <t>HR</t>
  </si>
  <si>
    <t>CAPACITACION</t>
  </si>
  <si>
    <t>CAP</t>
  </si>
  <si>
    <t>COMBUSTIBLE</t>
  </si>
  <si>
    <t>CAPRICHOS</t>
  </si>
  <si>
    <t>INVENTARIOS</t>
  </si>
  <si>
    <t>MANTENIMIENTO</t>
  </si>
  <si>
    <t>SISTEMAS</t>
  </si>
  <si>
    <t>CONTABILIDAD</t>
  </si>
  <si>
    <t>TESORERIA</t>
  </si>
  <si>
    <t>SGE</t>
  </si>
  <si>
    <t>GESTION EMPRESARIAL</t>
  </si>
  <si>
    <t>DE</t>
  </si>
  <si>
    <t>DIRECCION</t>
  </si>
  <si>
    <t>MEL</t>
  </si>
  <si>
    <t>MELISSA</t>
  </si>
  <si>
    <t>MM</t>
  </si>
  <si>
    <t>MARKET MAX</t>
  </si>
  <si>
    <t>COMISION SI VALE</t>
  </si>
  <si>
    <t>COMISIONES BANCARIAS</t>
  </si>
  <si>
    <t>MANEJO DE CUENTA</t>
  </si>
  <si>
    <t>TPV</t>
  </si>
  <si>
    <t>CUOTAS Y SUSCRIPCIONES</t>
  </si>
  <si>
    <t>OFFICE 365(DE)</t>
  </si>
  <si>
    <t>OFFICE 365(C1)</t>
  </si>
  <si>
    <t>OFFICE 365(GCOMPRAS)</t>
  </si>
  <si>
    <t>ASANA</t>
  </si>
  <si>
    <t>ZOOM</t>
  </si>
  <si>
    <t>FROGMI</t>
  </si>
  <si>
    <t>SIEM</t>
  </si>
  <si>
    <t>CHATGPT</t>
  </si>
  <si>
    <t>CANVA</t>
  </si>
  <si>
    <t>SHUTTER</t>
  </si>
  <si>
    <t>DOMINIOS DE PAGINAS</t>
  </si>
  <si>
    <t>TIMBRES P/FACTURACION</t>
  </si>
  <si>
    <t>REVALIDACION</t>
  </si>
  <si>
    <t>ACTAS</t>
  </si>
  <si>
    <t>PREDIALES</t>
  </si>
  <si>
    <t>CANACO</t>
  </si>
  <si>
    <t>ESTACIONAMIENTO A1</t>
  </si>
  <si>
    <t>KOLBEE</t>
  </si>
  <si>
    <t>APP</t>
  </si>
  <si>
    <t>BITAM</t>
  </si>
  <si>
    <t>XMLSAT</t>
  </si>
  <si>
    <t>CONTPAQ</t>
  </si>
  <si>
    <t>MULTAS</t>
  </si>
  <si>
    <t>ANUALIDAD TC</t>
  </si>
  <si>
    <t>PROTECCION CIVIL</t>
  </si>
  <si>
    <t>PREDIAL/REVALIDACIONES</t>
  </si>
  <si>
    <t>REGISTRO DE MARCA</t>
  </si>
  <si>
    <t>WORKFORCE</t>
  </si>
  <si>
    <t>GOOGLE CAPCUT</t>
  </si>
  <si>
    <t>TRAMITES</t>
  </si>
  <si>
    <t>TRASLADO DE VALORES</t>
  </si>
  <si>
    <t>MOKKER APP</t>
  </si>
  <si>
    <t>MIDJOURNEY APP</t>
  </si>
  <si>
    <t>CURSOS Y CAPACITACIONES</t>
  </si>
  <si>
    <t>DONATIVOS</t>
  </si>
  <si>
    <t>ENERGIA ELECTRICA</t>
  </si>
  <si>
    <t>A1</t>
  </si>
  <si>
    <t>A2</t>
  </si>
  <si>
    <t>A3</t>
  </si>
  <si>
    <t>A4</t>
  </si>
  <si>
    <t>A5</t>
  </si>
  <si>
    <t>A6</t>
  </si>
  <si>
    <t>A8</t>
  </si>
  <si>
    <t>A9</t>
  </si>
  <si>
    <t>A10</t>
  </si>
  <si>
    <t>A11</t>
  </si>
  <si>
    <t>A12</t>
  </si>
  <si>
    <t>A14</t>
  </si>
  <si>
    <t>A15</t>
  </si>
  <si>
    <t>A16</t>
  </si>
  <si>
    <t>A17</t>
  </si>
  <si>
    <t>A18</t>
  </si>
  <si>
    <t>A22</t>
  </si>
  <si>
    <t>A23</t>
  </si>
  <si>
    <t>A24</t>
  </si>
  <si>
    <t>E1</t>
  </si>
  <si>
    <t>E2</t>
  </si>
  <si>
    <t>E3</t>
  </si>
  <si>
    <t>E4</t>
  </si>
  <si>
    <t>E5</t>
  </si>
  <si>
    <t>E6</t>
  </si>
  <si>
    <t>E7</t>
  </si>
  <si>
    <t>E8</t>
  </si>
  <si>
    <t>INCREMENTO 2025</t>
  </si>
  <si>
    <t>E9</t>
  </si>
  <si>
    <t>E10</t>
  </si>
  <si>
    <t>E11</t>
  </si>
  <si>
    <t>FALTANTES</t>
  </si>
  <si>
    <t>FONDO Y REPOSICION</t>
  </si>
  <si>
    <t>FUMIGACION</t>
  </si>
  <si>
    <t>GAS</t>
  </si>
  <si>
    <t>GDNC</t>
  </si>
  <si>
    <t>HONORARIOS</t>
  </si>
  <si>
    <t>RECURSOS HUMANOS</t>
  </si>
  <si>
    <t>LEGAL</t>
  </si>
  <si>
    <t>IMAGEN VISUAL</t>
  </si>
  <si>
    <t>IMAGEN VISUAL HR</t>
  </si>
  <si>
    <t>IMAGEN VISUAL CAP</t>
  </si>
  <si>
    <t>ELI</t>
  </si>
  <si>
    <t>IMAGEN VISUAL ELILU</t>
  </si>
  <si>
    <t>IMSS/INFONAVIT</t>
  </si>
  <si>
    <t>INSUMOS</t>
  </si>
  <si>
    <t>CADENA DE SUMINISTROS</t>
  </si>
  <si>
    <t>COFFE</t>
  </si>
  <si>
    <t>L1</t>
  </si>
  <si>
    <t>JMAS</t>
  </si>
  <si>
    <t>MKT HR</t>
  </si>
  <si>
    <t>MKT CAP</t>
  </si>
  <si>
    <t>MELISSA/ELILU</t>
  </si>
  <si>
    <t>INFLUENCERS</t>
  </si>
  <si>
    <t>MTTO DE EDIFICIO</t>
  </si>
  <si>
    <t>MTTO EQ DE COMPUTO</t>
  </si>
  <si>
    <t>MTTO EQ DE TRANSPORTE</t>
  </si>
  <si>
    <t>MTTO MOBILIARIO</t>
  </si>
  <si>
    <t>REPARACION</t>
  </si>
  <si>
    <t>NOMINA ADMON</t>
  </si>
  <si>
    <t>COMPRAS</t>
  </si>
  <si>
    <t>FINANZAS/LEGAL</t>
  </si>
  <si>
    <t>HBG FINANZAS</t>
  </si>
  <si>
    <t>REPRESENTANTE LEGAL</t>
  </si>
  <si>
    <t>ANALISIS</t>
  </si>
  <si>
    <t>ANALISIS DE DATOS</t>
  </si>
  <si>
    <t>NOMINA SUCURSAL</t>
  </si>
  <si>
    <t>NOMINA</t>
  </si>
  <si>
    <t>OTROS GASTOS</t>
  </si>
  <si>
    <t>PRESTAMO</t>
  </si>
  <si>
    <t xml:space="preserve">OTROS GASTOS </t>
  </si>
  <si>
    <t>UNIFORMES</t>
  </si>
  <si>
    <t>PAQUETERIA</t>
  </si>
  <si>
    <t>CEDIS (E6)</t>
  </si>
  <si>
    <t>CT INTERNACIONAL</t>
  </si>
  <si>
    <t>POSADAS</t>
  </si>
  <si>
    <t>PUBLICIDAD</t>
  </si>
  <si>
    <t>BASEBALL</t>
  </si>
  <si>
    <t>RECOLECCION DE BASURA</t>
  </si>
  <si>
    <t>REDES</t>
  </si>
  <si>
    <t>ELILU</t>
  </si>
  <si>
    <t>RENTAS</t>
  </si>
  <si>
    <t>DOMICILIO FISCAL</t>
  </si>
  <si>
    <t>CONTABILIDAD (WT)</t>
  </si>
  <si>
    <t>SEGURIDAD</t>
  </si>
  <si>
    <t>SEGURO</t>
  </si>
  <si>
    <t>EDIFICIO</t>
  </si>
  <si>
    <t>EQ. DE TRANSPORTE</t>
  </si>
  <si>
    <t>SGM</t>
  </si>
  <si>
    <t>SINETI</t>
  </si>
  <si>
    <t>SINETI (SAP)</t>
  </si>
  <si>
    <t>SOLUONE</t>
  </si>
  <si>
    <t>SOLUONE (RETAIL)</t>
  </si>
  <si>
    <t>TELEFONIA</t>
  </si>
  <si>
    <t>TELMEX</t>
  </si>
  <si>
    <t>TELCEL</t>
  </si>
  <si>
    <t>STARLINK</t>
  </si>
  <si>
    <t>TOTAL PLAY (CONTA)</t>
  </si>
  <si>
    <t>TELEPEAJE</t>
  </si>
  <si>
    <t>OP HR</t>
  </si>
  <si>
    <t>OP CAPRICHOS</t>
  </si>
  <si>
    <t>UBER</t>
  </si>
  <si>
    <t>VACACIONES/FINIQUITOS</t>
  </si>
  <si>
    <t>VIATICOS</t>
  </si>
  <si>
    <t>ASESORES</t>
  </si>
  <si>
    <t>Suma de Pres ENE</t>
  </si>
  <si>
    <t>Suma de Real ENE</t>
  </si>
  <si>
    <t>Suma de Difer ENE</t>
  </si>
  <si>
    <t>GASTO REAL</t>
  </si>
  <si>
    <t>DIFERENCIA</t>
  </si>
  <si>
    <t>VARIACION</t>
  </si>
  <si>
    <t>ENERO</t>
  </si>
  <si>
    <t>CONCEPTOS CON MAYOR DIFERENCIA</t>
  </si>
  <si>
    <t>Total general</t>
  </si>
  <si>
    <t xml:space="preserve">GO </t>
  </si>
  <si>
    <t>CLAVE</t>
  </si>
  <si>
    <t>MES</t>
  </si>
  <si>
    <t>FECHA</t>
  </si>
  <si>
    <t>PRES</t>
  </si>
  <si>
    <t>APARTADO</t>
  </si>
  <si>
    <t>DESCIPCIÓN DETALLADA</t>
  </si>
  <si>
    <t>ENTRADAS</t>
  </si>
  <si>
    <t>SALIDAS</t>
  </si>
  <si>
    <t>SALDO</t>
  </si>
  <si>
    <t>feb</t>
  </si>
  <si>
    <t>Saldo incial</t>
  </si>
  <si>
    <t xml:space="preserve">Dispersión THR y Codare    2 y 3 </t>
  </si>
  <si>
    <t xml:space="preserve">ingreso por pago fra presidencia </t>
  </si>
  <si>
    <t>SI</t>
  </si>
  <si>
    <t>comision por terminal</t>
  </si>
  <si>
    <t>comision por manejo de cuenta</t>
  </si>
  <si>
    <t>BOV NOMINA</t>
  </si>
  <si>
    <t>Nomina</t>
  </si>
  <si>
    <t>BOV RENTAS</t>
  </si>
  <si>
    <t>Rentas</t>
  </si>
  <si>
    <t xml:space="preserve">fondo para E9 </t>
  </si>
  <si>
    <t>pago de luz de A18</t>
  </si>
  <si>
    <t>pago de luz de A23</t>
  </si>
  <si>
    <t xml:space="preserve">pago de luz de E8 </t>
  </si>
  <si>
    <t>pago servicio montacargas 2/2</t>
  </si>
  <si>
    <t>Excedente enviado a bolsa de Reinversion</t>
  </si>
  <si>
    <t xml:space="preserve">pago paqueteria Durango </t>
  </si>
  <si>
    <t>viaticos Inventarios</t>
  </si>
  <si>
    <t xml:space="preserve">pago parquimetros Juan Carlos </t>
  </si>
  <si>
    <t>pago de agua de A1</t>
  </si>
  <si>
    <t>pago de agua de E1</t>
  </si>
  <si>
    <t>pago de agua de A10</t>
  </si>
  <si>
    <t>pago de agua de A9</t>
  </si>
  <si>
    <t>pago de agua de A2</t>
  </si>
  <si>
    <t xml:space="preserve">pago de agua CEDIS </t>
  </si>
  <si>
    <t>pago telepeaje CEDIS</t>
  </si>
  <si>
    <t xml:space="preserve">pago telepeaje  THR </t>
  </si>
  <si>
    <t>pago telepeaje  Idalia Amado</t>
  </si>
  <si>
    <t>pago telepeaje  Nadia Cruz</t>
  </si>
  <si>
    <t>pago telepeaje  Caprichos</t>
  </si>
  <si>
    <t>pago telepeaje  Servicios</t>
  </si>
  <si>
    <t xml:space="preserve">pago rivalidacion  2 Aveo </t>
  </si>
  <si>
    <t>Pago de calefaccion A6 (R)</t>
  </si>
  <si>
    <t>pago de perifoneo A6(R)</t>
  </si>
  <si>
    <t>compra de insumos palomitas A10(R)</t>
  </si>
  <si>
    <t>pago de nomina de A10 (R)</t>
  </si>
  <si>
    <t>pago de uber de A17 (R)</t>
  </si>
  <si>
    <t>pago de uber de A18 (R)</t>
  </si>
  <si>
    <t>pago de  manto de edificio de A22 (R)</t>
  </si>
  <si>
    <t>pago de finiquito de A23 (R)</t>
  </si>
  <si>
    <t>pago de uber de E2 (R)</t>
  </si>
  <si>
    <t>pago de Nomina de E4 (R)</t>
  </si>
  <si>
    <t>pago de uber de E5 (R)</t>
  </si>
  <si>
    <t>pago de uber de A3 (R9</t>
  </si>
  <si>
    <t>pago de uber de E4 (R)</t>
  </si>
  <si>
    <t>NO</t>
  </si>
  <si>
    <t xml:space="preserve">desc por faltante en poliza </t>
  </si>
  <si>
    <t xml:space="preserve">Dispersión THR y Codare    </t>
  </si>
  <si>
    <t xml:space="preserve">ingreso pago starlink Daniela Ruvalcava febrero </t>
  </si>
  <si>
    <t xml:space="preserve">ingreso por deposito  de A23 </t>
  </si>
  <si>
    <t xml:space="preserve">ingreso por venta de carton </t>
  </si>
  <si>
    <t xml:space="preserve">pago viniles 14 de febrero caprichos </t>
  </si>
  <si>
    <t>reposicion Dani</t>
  </si>
  <si>
    <t>reposicion Idalia</t>
  </si>
  <si>
    <t>reposicion Jonathan</t>
  </si>
  <si>
    <t>reposicion Mariela GD3</t>
  </si>
  <si>
    <t>pago servicio Aveo  Paola</t>
  </si>
  <si>
    <t>reposicon Luisa Caprichos</t>
  </si>
  <si>
    <t>pago kolbe Mauricio</t>
  </si>
  <si>
    <t xml:space="preserve">viaticos mantenimiento Parral </t>
  </si>
  <si>
    <t xml:space="preserve">reposicion compra de tonner Miguel </t>
  </si>
  <si>
    <t xml:space="preserve">pago fotografos caprichos </t>
  </si>
  <si>
    <t xml:space="preserve">pago paqueteria CT </t>
  </si>
  <si>
    <t>pago de uber A3 (R)</t>
  </si>
  <si>
    <t>pago de compra de insumo A11 (R)</t>
  </si>
  <si>
    <t>pago de uber A11 (R)</t>
  </si>
  <si>
    <t>pago de Uber de E2 (R)</t>
  </si>
  <si>
    <t>pago de Uber de E4 (R)</t>
  </si>
  <si>
    <t>Pago de insumos de E7 (R)</t>
  </si>
  <si>
    <t xml:space="preserve">desc por faltante </t>
  </si>
  <si>
    <t xml:space="preserve">ingreso por dev de tarjeta JVS </t>
  </si>
  <si>
    <t xml:space="preserve">viaticos Cristi </t>
  </si>
  <si>
    <t>pago int por pago tardio de JVS</t>
  </si>
  <si>
    <t xml:space="preserve">viaticos Caprichos </t>
  </si>
  <si>
    <t xml:space="preserve">viaticos compradoras </t>
  </si>
  <si>
    <t xml:space="preserve">pago comida EL servicios </t>
  </si>
  <si>
    <t>pago Alarma E6</t>
  </si>
  <si>
    <t xml:space="preserve">pago total Play </t>
  </si>
  <si>
    <t>pago de uber de A3 (R)</t>
  </si>
  <si>
    <t>compra de insumos de A10 (R)</t>
  </si>
  <si>
    <t>pago manto edificio de A17 (R)</t>
  </si>
  <si>
    <t>pago  SI VALE</t>
  </si>
  <si>
    <t xml:space="preserve">pago telcel THR  y codare </t>
  </si>
  <si>
    <t xml:space="preserve">pago Marketing A14 </t>
  </si>
  <si>
    <t xml:space="preserve">pago Marketing A6 </t>
  </si>
  <si>
    <t>pago fondo de CEDIS</t>
  </si>
  <si>
    <t>pago de JMAS de E3(R)</t>
  </si>
  <si>
    <t xml:space="preserve">reposicion estacionamiento </t>
  </si>
  <si>
    <t xml:space="preserve">viaticos de CEDIS </t>
  </si>
  <si>
    <t>pago de luz de A1</t>
  </si>
  <si>
    <t>pago de liz de A17</t>
  </si>
  <si>
    <t xml:space="preserve">pago de paqueteria </t>
  </si>
  <si>
    <t>pago parquimetro Juan Carlos</t>
  </si>
  <si>
    <t>pago de uber de A4 (R)</t>
  </si>
  <si>
    <t>pago de uber A5 (R)</t>
  </si>
  <si>
    <t>pago de uber de A8 (R)</t>
  </si>
  <si>
    <t>pago de aumento de folios MKT A14 (R)</t>
  </si>
  <si>
    <t>pago de Jmas de A14 (R)</t>
  </si>
  <si>
    <t>pago de insumos de A15 (R)</t>
  </si>
  <si>
    <t>pago de nomina de A17 (R)</t>
  </si>
  <si>
    <t>pago de nomina de JMAS de A23 (R)</t>
  </si>
  <si>
    <t>pago de nomina de E5 (R)</t>
  </si>
  <si>
    <t>pago de JMAS de E6 (R)</t>
  </si>
  <si>
    <t xml:space="preserve">ingreso por sobrante en poliza </t>
  </si>
  <si>
    <t>BOV IMSS</t>
  </si>
  <si>
    <t>IMSS</t>
  </si>
  <si>
    <t xml:space="preserve">Reposicion Idalia </t>
  </si>
  <si>
    <t>pago compra mat sistemas (teclados , conectores , aire c)</t>
  </si>
  <si>
    <t xml:space="preserve">Pago poliza Camion cedis 2009 </t>
  </si>
  <si>
    <t xml:space="preserve">Pago tiras de E8 </t>
  </si>
  <si>
    <t>reposicion Perla Caprichos</t>
  </si>
  <si>
    <t xml:space="preserve">Viaticos Martha Melendez </t>
  </si>
  <si>
    <t>Pago de Horacio Ramirez</t>
  </si>
  <si>
    <t xml:space="preserve">viaticos E8 </t>
  </si>
  <si>
    <t>combustible Aaron tramite chequeras dos dias</t>
  </si>
  <si>
    <t xml:space="preserve">Compra insumos tesoreria y RH </t>
  </si>
  <si>
    <t>Viacticos y combustible de RH</t>
  </si>
  <si>
    <t xml:space="preserve">pago de uber de Recursos Humanos </t>
  </si>
  <si>
    <t>viaticos Juan Carlos Recoleccion Chihuahua</t>
  </si>
  <si>
    <t>pago grua de camion de CEDIS  (seguro )</t>
  </si>
  <si>
    <t>viaticos Auditoria</t>
  </si>
  <si>
    <t>pago dinamica MKT  a4 de febrero hr</t>
  </si>
  <si>
    <t>pago de JMAS A4 (R)</t>
  </si>
  <si>
    <t>pago de uber A4 (R)</t>
  </si>
  <si>
    <t>pago de nomina de E2  (R)</t>
  </si>
  <si>
    <t xml:space="preserve">pago de viaticos auditoria </t>
  </si>
  <si>
    <t>pago de viaticos de Cristi</t>
  </si>
  <si>
    <t xml:space="preserve">reposicion Ruben Hernandez </t>
  </si>
  <si>
    <t>Pago de uber de A4 (R)</t>
  </si>
  <si>
    <t xml:space="preserve">ingreso por sobrante de viaticos  RH </t>
  </si>
  <si>
    <t xml:space="preserve">comison por manejo de cuenta </t>
  </si>
  <si>
    <t>pago telepeaje  fernando Ibarra</t>
  </si>
  <si>
    <t>pago telepeaje  Martha Melendez</t>
  </si>
  <si>
    <t>pago telepeaje Nadia Cruz</t>
  </si>
  <si>
    <t>pago telepeaje  Cristina Baylon</t>
  </si>
  <si>
    <t>pago telepeaje  Leopoldo Anaya</t>
  </si>
  <si>
    <t>pago telepeaje  Paola Quintana</t>
  </si>
  <si>
    <t xml:space="preserve">pago telepeaje  CEDIS </t>
  </si>
  <si>
    <t>pago de fondo Paola Q.</t>
  </si>
  <si>
    <t>pago compostura de camion CEDIS</t>
  </si>
  <si>
    <t xml:space="preserve">pago por recoleccion de basura </t>
  </si>
  <si>
    <t xml:space="preserve">Dinamica Mkt A14 </t>
  </si>
  <si>
    <t xml:space="preserve">Dinamika Mkt A15 </t>
  </si>
  <si>
    <t xml:space="preserve">Dinamika Mkt A06 </t>
  </si>
  <si>
    <t xml:space="preserve">reposicion Idalia </t>
  </si>
  <si>
    <t>viaticos compradoras</t>
  </si>
  <si>
    <t>pago compra de insumos de A10 (R)</t>
  </si>
  <si>
    <t>pago de nomina E4 (R)</t>
  </si>
  <si>
    <t>pago de fumigaciion E4 (R)</t>
  </si>
  <si>
    <t>pago de insumos de E8 (R)</t>
  </si>
  <si>
    <t xml:space="preserve">ingreso por sobrante en poliza  </t>
  </si>
  <si>
    <t>ingreso boveda de emergencias (prestamo RUVADESA)</t>
  </si>
  <si>
    <t>Pago SI VALE</t>
  </si>
  <si>
    <t>pago agua de E8</t>
  </si>
  <si>
    <t>pago reposicion Fer Ibarra</t>
  </si>
  <si>
    <t>pago reposicion  Yazmin Perez</t>
  </si>
  <si>
    <t>pago de aseo urbano (R)</t>
  </si>
  <si>
    <t>pago de extintores de E8 (R)</t>
  </si>
  <si>
    <t xml:space="preserve">desc. por faltante en poliza </t>
  </si>
  <si>
    <t>Pago viaticos de cedis</t>
  </si>
  <si>
    <t xml:space="preserve">pago reparacion camion  2020 </t>
  </si>
  <si>
    <t>Viaticos viaje aeropuerto</t>
  </si>
  <si>
    <t xml:space="preserve">pago reposicion Oscar </t>
  </si>
  <si>
    <t>pago de luz de A4</t>
  </si>
  <si>
    <t>pago de luz de A15</t>
  </si>
  <si>
    <t>pago deluz de A5</t>
  </si>
  <si>
    <t>pago de luz de A22</t>
  </si>
  <si>
    <t>pago de luz de E7</t>
  </si>
  <si>
    <t>pago de luz de E3</t>
  </si>
  <si>
    <t>pago de luz de E4</t>
  </si>
  <si>
    <t xml:space="preserve">pago cafe oficinas </t>
  </si>
  <si>
    <t xml:space="preserve">Reposicion Ale Luna </t>
  </si>
  <si>
    <t xml:space="preserve">comida junta trimestral Caprichos </t>
  </si>
  <si>
    <t>pago de nomina de A2 (R)</t>
  </si>
  <si>
    <t>pago de uber de A4(R)</t>
  </si>
  <si>
    <t>pago de uer de A10 (R)</t>
  </si>
  <si>
    <t>pago de uber de e2 (R)</t>
  </si>
  <si>
    <t>pago de material para capacitacion (R)</t>
  </si>
  <si>
    <t>pago de uber E4(R)</t>
  </si>
  <si>
    <t>desc por faltante en poliza</t>
  </si>
  <si>
    <t>ingreso por prestamo RUVADESA</t>
  </si>
  <si>
    <t xml:space="preserve">pago rivalidacion vehiculos </t>
  </si>
  <si>
    <t>reposicion Daniela Borunda</t>
  </si>
  <si>
    <t xml:space="preserve">reposicion Idalia Amado </t>
  </si>
  <si>
    <t xml:space="preserve">pago fra refaccnaria Meoqui </t>
  </si>
  <si>
    <t>pago viaticos E8</t>
  </si>
  <si>
    <t>pago Fondo de CEDIS</t>
  </si>
  <si>
    <t>pago etiquetas CEDIS</t>
  </si>
  <si>
    <t xml:space="preserve">pago de etiquetas de sucursales </t>
  </si>
  <si>
    <t>pago paqueteria Ct</t>
  </si>
  <si>
    <t>pago de uber de A5 (R)</t>
  </si>
  <si>
    <t>pago de insumos  de A14 (R)</t>
  </si>
  <si>
    <t>compra de insumos de A22 (R)</t>
  </si>
  <si>
    <t>pago de insumos de E4 (R)</t>
  </si>
  <si>
    <t xml:space="preserve">Pago de todo Iluminacion </t>
  </si>
  <si>
    <t xml:space="preserve">pago servicio medico Julio manto </t>
  </si>
  <si>
    <t xml:space="preserve">Pago Abarrotera Adbeel </t>
  </si>
  <si>
    <t xml:space="preserve">Pago Refrigeracion Lozano </t>
  </si>
  <si>
    <t xml:space="preserve">pago viaticos Inventarios </t>
  </si>
  <si>
    <t xml:space="preserve">Viaticos Nadia </t>
  </si>
  <si>
    <t>pago aromas Elilu</t>
  </si>
  <si>
    <t>pago GTS  Elilu</t>
  </si>
  <si>
    <t xml:space="preserve">pago de luz cuarto de archivo </t>
  </si>
  <si>
    <t>pago de nomina de E1(R)</t>
  </si>
  <si>
    <t>pago de uber  de E2 (R)</t>
  </si>
  <si>
    <t>pago uber de  E4(R)</t>
  </si>
  <si>
    <t>pago de insumos  E7 (R)</t>
  </si>
  <si>
    <t>pago de insumos  E8 (R)</t>
  </si>
  <si>
    <t>Activación MKT de A10</t>
  </si>
  <si>
    <t xml:space="preserve">viaticos Cristi Baylon THR </t>
  </si>
  <si>
    <t xml:space="preserve">insumos para cafeteria </t>
  </si>
  <si>
    <t xml:space="preserve">viaticos Manto </t>
  </si>
  <si>
    <t xml:space="preserve">pago Frogmi </t>
  </si>
  <si>
    <t>pago viaticos Martha Melendez</t>
  </si>
  <si>
    <t xml:space="preserve">pago pila del camion de CEDIS </t>
  </si>
  <si>
    <t xml:space="preserve">pago dinamica de MKT A14 </t>
  </si>
  <si>
    <t>pago de JMAS de A11 (R)</t>
  </si>
  <si>
    <t>pago manto edificio A11(R)</t>
  </si>
  <si>
    <t>compra de insumos de A17 (R)</t>
  </si>
  <si>
    <t>pago de insumos de A23 (R)</t>
  </si>
  <si>
    <t>compra de insumos de E1 (R)</t>
  </si>
  <si>
    <t>pago de fumigacion de E8 (R)</t>
  </si>
  <si>
    <t xml:space="preserve">reposicion compra de cafe auditores en A1 </t>
  </si>
  <si>
    <t>pago de luz de A12</t>
  </si>
  <si>
    <t>pago deluz de A24</t>
  </si>
  <si>
    <t>pago de Luz de E5</t>
  </si>
  <si>
    <t xml:space="preserve">Pago electrica Victoria </t>
  </si>
  <si>
    <t xml:space="preserve">pago SI VALE </t>
  </si>
  <si>
    <t xml:space="preserve">pago deducible seguro camion de CEDIS </t>
  </si>
  <si>
    <t>pago enmicado de tarjetas de circulación</t>
  </si>
  <si>
    <t>pago de JMAS de A6 (R)</t>
  </si>
  <si>
    <t>pago de mant edificio A18 (R)</t>
  </si>
  <si>
    <t>pago de uber E2 (R)</t>
  </si>
  <si>
    <t>pago insumos E4 (R)</t>
  </si>
  <si>
    <t>desc por faltane en poliza</t>
  </si>
  <si>
    <t>Pago de viaticos CEDIS</t>
  </si>
  <si>
    <t>reposicion estacionamientos Oscar</t>
  </si>
  <si>
    <t xml:space="preserve">Pago Paqueteria </t>
  </si>
  <si>
    <t xml:space="preserve">pago retail One </t>
  </si>
  <si>
    <t xml:space="preserve">reposcio Marcos Cruz </t>
  </si>
  <si>
    <t>pago de luz de A6</t>
  </si>
  <si>
    <t>pago telcel linea CEDIS</t>
  </si>
  <si>
    <t>pago de uber de A5</t>
  </si>
  <si>
    <t>pago de uber de A23 (R)</t>
  </si>
  <si>
    <t>pago de insumos de E3 (R)</t>
  </si>
  <si>
    <t xml:space="preserve">pago compra de tintas sucursales </t>
  </si>
  <si>
    <t xml:space="preserve">pago de aseo urbano </t>
  </si>
  <si>
    <t xml:space="preserve">pago de telepeaje  THR </t>
  </si>
  <si>
    <t>pago de telepeaje Fenando Ibarra</t>
  </si>
  <si>
    <t>pago de telepeaje CEDIS</t>
  </si>
  <si>
    <t>pago de telepeaje caprichos</t>
  </si>
  <si>
    <t xml:space="preserve">pago de telepeaje CEDIS </t>
  </si>
  <si>
    <t xml:space="preserve">Pago de Helio caprichos </t>
  </si>
  <si>
    <t>viaticos Manto viaje a Chihuahua</t>
  </si>
  <si>
    <t>pago de viaticos Caprichos</t>
  </si>
  <si>
    <t>Reposicion Dani Borunda</t>
  </si>
  <si>
    <t>pago paqueteria Durango</t>
  </si>
  <si>
    <t xml:space="preserve">viaticos sistemas </t>
  </si>
  <si>
    <t>pago deuber de A5 (R)</t>
  </si>
  <si>
    <t>págo de uber de E2 (R)</t>
  </si>
  <si>
    <t>pago proteccion CIVil  Parral</t>
  </si>
  <si>
    <t>pago viaticos Miguel</t>
  </si>
  <si>
    <t>pago TC Amex Petca</t>
  </si>
  <si>
    <t xml:space="preserve">reposicion de Raul </t>
  </si>
  <si>
    <t xml:space="preserve">viaticos Inventarios </t>
  </si>
  <si>
    <t xml:space="preserve">pago redes Eduardo </t>
  </si>
  <si>
    <t xml:space="preserve">pago serviicio  de i10 </t>
  </si>
  <si>
    <t>pago de viaticos Cristi</t>
  </si>
  <si>
    <t>pago Mkt A14</t>
  </si>
  <si>
    <t>viaticos GE</t>
  </si>
  <si>
    <t xml:space="preserve">pago de bordado a MAEL </t>
  </si>
  <si>
    <t>pago Mkt A6</t>
  </si>
  <si>
    <t>pago Mkt A 17</t>
  </si>
  <si>
    <t>pago GPS vehiculo de RH</t>
  </si>
  <si>
    <t>pago de JMAS de A18 (R)</t>
  </si>
  <si>
    <t>pago de uber  A23 (R)</t>
  </si>
  <si>
    <t>pago de uber E4 (R)</t>
  </si>
  <si>
    <t>pago de uber de E8 (R)</t>
  </si>
  <si>
    <t xml:space="preserve">desc , por faltante en poliza </t>
  </si>
  <si>
    <t xml:space="preserve">Pago MHA THR </t>
  </si>
  <si>
    <t xml:space="preserve">Pago MHA Blue back THR </t>
  </si>
  <si>
    <t>pago de insumos de A11 (R)</t>
  </si>
  <si>
    <t>pago de JMAS de A16 (R)</t>
  </si>
  <si>
    <t>pago de uber de Elilu (R)</t>
  </si>
  <si>
    <t>Comison por manejo de cuenta</t>
  </si>
  <si>
    <t>Viaticos Miguel Alaniz</t>
  </si>
  <si>
    <t>Pago de agua de E4</t>
  </si>
  <si>
    <t xml:space="preserve">pago de luz de C&amp;A </t>
  </si>
  <si>
    <t>Pago de agua de A8</t>
  </si>
  <si>
    <t>pago alarma THR</t>
  </si>
  <si>
    <t xml:space="preserve">Pago BEMA  THR </t>
  </si>
  <si>
    <t xml:space="preserve">Pago Telmex </t>
  </si>
  <si>
    <t>Pago BEMA petca</t>
  </si>
  <si>
    <t>Pago Alarma Petca</t>
  </si>
  <si>
    <t xml:space="preserve">pago Alarma Codare </t>
  </si>
  <si>
    <t xml:space="preserve">repocision compra de cafe conta </t>
  </si>
  <si>
    <t xml:space="preserve">pago revalidaciones de Jetta y Beat </t>
  </si>
  <si>
    <t xml:space="preserve">pago de viaticos CEDIS </t>
  </si>
  <si>
    <t>reposicion estacionamiento Oscar Robledo</t>
  </si>
  <si>
    <t>pago de compra de pila del Camiion 2020</t>
  </si>
  <si>
    <t>compra de insumos para curso</t>
  </si>
  <si>
    <t xml:space="preserve">Dispersión THR y Codare   28 feb y 1 de marzo </t>
  </si>
  <si>
    <t>mar</t>
  </si>
  <si>
    <t>Dispersión THR y Codare    2 de Marzo</t>
  </si>
  <si>
    <t>comisión por terminal</t>
  </si>
  <si>
    <t>Comisión por manejo de cuenta</t>
  </si>
  <si>
    <t>pago total Play</t>
  </si>
  <si>
    <t>Pago Viniles de primavera CAPRICHOS</t>
  </si>
  <si>
    <t xml:space="preserve">Pago paqueteria </t>
  </si>
  <si>
    <t xml:space="preserve">Pago Microperforadores  GTS THR </t>
  </si>
  <si>
    <t>reposicion  curacion Julio (manto )</t>
  </si>
  <si>
    <t xml:space="preserve">pago de Luz de A11 </t>
  </si>
  <si>
    <t>Mantenimiento Edificio A2</t>
  </si>
  <si>
    <t>Pago de uber A5</t>
  </si>
  <si>
    <t>Pago jmas A5</t>
  </si>
  <si>
    <t>Pago de uber A23</t>
  </si>
  <si>
    <t>Pago de uber E2</t>
  </si>
  <si>
    <t>Pago de nómina A2</t>
  </si>
  <si>
    <t>Pago de uber E4</t>
  </si>
  <si>
    <t>Pago de nómina Elilu</t>
  </si>
  <si>
    <t xml:space="preserve">viaticos inventarios </t>
  </si>
  <si>
    <t>pago deuber de E2 (R)</t>
  </si>
  <si>
    <t>pago de uber de L1 (R)</t>
  </si>
  <si>
    <t>fondo mantenimiento</t>
  </si>
  <si>
    <t>pago technology businnes</t>
  </si>
  <si>
    <t xml:space="preserve">pago new berry </t>
  </si>
  <si>
    <t xml:space="preserve">reposicion Dani Borunda </t>
  </si>
  <si>
    <t>Viaticos E8</t>
  </si>
  <si>
    <t>pago reparación lap Pimpi</t>
  </si>
  <si>
    <t>viáticos de Nadia Cruz</t>
  </si>
  <si>
    <t>pago de insumos de E1(R)</t>
  </si>
  <si>
    <t>pago de uber de E2(R)</t>
  </si>
  <si>
    <t xml:space="preserve">comision por manejo cuenta </t>
  </si>
  <si>
    <t>pago de luz de A2</t>
  </si>
  <si>
    <t xml:space="preserve">pago de luz de A3 </t>
  </si>
  <si>
    <t>Pago GTS viniles y checador de A1</t>
  </si>
  <si>
    <t>pago GTS microperforados parte 2</t>
  </si>
  <si>
    <t xml:space="preserve">pago telepeaje Idalia Amado </t>
  </si>
  <si>
    <t>pago telepeaje Martha M</t>
  </si>
  <si>
    <t xml:space="preserve">pago telepeaje Cristi Bailon </t>
  </si>
  <si>
    <t xml:space="preserve">reposicion Jonathan </t>
  </si>
  <si>
    <t xml:space="preserve">pago telcel CODARE </t>
  </si>
  <si>
    <t xml:space="preserve">pago telcel THR </t>
  </si>
  <si>
    <t>pago MKT A12</t>
  </si>
  <si>
    <t xml:space="preserve">pago compra verificador de cable </t>
  </si>
  <si>
    <t>pago MKT A6</t>
  </si>
  <si>
    <t>Compra de insumos de A2 (R)</t>
  </si>
  <si>
    <t>pago de insumos de A6 (R)</t>
  </si>
  <si>
    <t>reparacion de caja fuerte de E2(R)</t>
  </si>
  <si>
    <t xml:space="preserve">ingreso por dev de multa de Ramón </t>
  </si>
  <si>
    <t xml:space="preserve">Rentas </t>
  </si>
  <si>
    <t xml:space="preserve">Pago SI VALE </t>
  </si>
  <si>
    <t xml:space="preserve">pago viaticos de Manto </t>
  </si>
  <si>
    <t>pago Alarma Durango E6</t>
  </si>
  <si>
    <t xml:space="preserve">compra de Disco DURO </t>
  </si>
  <si>
    <t xml:space="preserve">pago electrico </t>
  </si>
  <si>
    <t xml:space="preserve">pago reparacion Camion  20 </t>
  </si>
  <si>
    <t xml:space="preserve">pago de fondo CEDIS </t>
  </si>
  <si>
    <t xml:space="preserve">Pago renovacion Contpaq nomina </t>
  </si>
  <si>
    <t>pago TC JVS</t>
  </si>
  <si>
    <t>pago mantoo de edificio a17 (R)</t>
  </si>
  <si>
    <t xml:space="preserve">des por faltante en poliza </t>
  </si>
  <si>
    <t xml:space="preserve">Deposito Marcos Cruz Tramite Subdelegación </t>
  </si>
  <si>
    <t>reposicion Oscar Robles</t>
  </si>
  <si>
    <t xml:space="preserve">Nomina </t>
  </si>
  <si>
    <t>pago de luz de A9</t>
  </si>
  <si>
    <t>Pago deltor recoleccion basura</t>
  </si>
  <si>
    <t xml:space="preserve">pago paqueteria </t>
  </si>
  <si>
    <t xml:space="preserve">viáticos Miguel Alaniz </t>
  </si>
  <si>
    <t>pago de multas vehiculo sandero</t>
  </si>
  <si>
    <t xml:space="preserve">reposicion Perla Avitia </t>
  </si>
  <si>
    <t xml:space="preserve">reposicion Luis Roan </t>
  </si>
  <si>
    <t>pago de nomina de A10  (R)</t>
  </si>
  <si>
    <t>pago de globos de E1(R)</t>
  </si>
  <si>
    <t>pago de JMAS de E3 (R)</t>
  </si>
  <si>
    <t>pago de globos de E3(R)</t>
  </si>
  <si>
    <t>pago de globos de E5  (R)</t>
  </si>
  <si>
    <t>pago de globos de E6 (R)</t>
  </si>
  <si>
    <t>pago de globos de E7 (R)</t>
  </si>
  <si>
    <t xml:space="preserve">SI </t>
  </si>
  <si>
    <t>Pago seguro I10</t>
  </si>
  <si>
    <t xml:space="preserve">compra de comida curso </t>
  </si>
  <si>
    <t xml:space="preserve">compra baterias servidores </t>
  </si>
  <si>
    <t>pago seguro Rav 4</t>
  </si>
  <si>
    <t xml:space="preserve">pago compra de rollos golden star </t>
  </si>
  <si>
    <t xml:space="preserve">Pago viáticos auditoria </t>
  </si>
  <si>
    <t>Pago JMAS A4 (R)</t>
  </si>
  <si>
    <t>pago uber A4 (R)</t>
  </si>
  <si>
    <t>pago uber de A8 (R)</t>
  </si>
  <si>
    <t>pago manto edificio A11 (R)</t>
  </si>
  <si>
    <t>pago de botiquin E3 (R)</t>
  </si>
  <si>
    <t>pago de manto edificio E5 (R)</t>
  </si>
  <si>
    <t>ingreso prestamo  RUVADESA</t>
  </si>
  <si>
    <t xml:space="preserve">IMSS </t>
  </si>
  <si>
    <t xml:space="preserve">pago resto compostura camion 2020  CEDIS </t>
  </si>
  <si>
    <t>pago de telepeaje  Idalia THR</t>
  </si>
  <si>
    <t xml:space="preserve">pago de telepeaje  Nadia Cruz THR </t>
  </si>
  <si>
    <t>pago de telepeaje  Cristi THR</t>
  </si>
  <si>
    <t>pago de telepeaje CEDIS THR</t>
  </si>
  <si>
    <t>Reposicion Daniela Borunda</t>
  </si>
  <si>
    <t>pago vidrio A23</t>
  </si>
  <si>
    <t>pago MKT A15</t>
  </si>
  <si>
    <t>pago MKT A06</t>
  </si>
  <si>
    <t xml:space="preserve">viaticos Cristi Bailon </t>
  </si>
  <si>
    <t>pago de estacionamiento de A10  (R)</t>
  </si>
  <si>
    <t>pago de finiquito de A17 (R)</t>
  </si>
  <si>
    <t>pago de JMAS de A22 (R)</t>
  </si>
  <si>
    <t>pago de uebr de E4 (R)</t>
  </si>
  <si>
    <t>Pago de Jmas de E6 (R)</t>
  </si>
  <si>
    <t>pago de insumos de E8(R)</t>
  </si>
  <si>
    <t>Pago reposicion de fondo Manteniento</t>
  </si>
  <si>
    <t xml:space="preserve">compra de 1000 dlls </t>
  </si>
  <si>
    <t xml:space="preserve">pago Alarma A15 </t>
  </si>
  <si>
    <t>pago de uber de A11 (R)</t>
  </si>
  <si>
    <t xml:space="preserve">compra de adaptador Mariela </t>
  </si>
  <si>
    <t xml:space="preserve">reposicion Juan Carlos compra de Gato </t>
  </si>
  <si>
    <t>pago MKT A14</t>
  </si>
  <si>
    <t xml:space="preserve">pago MKT de A10 </t>
  </si>
  <si>
    <t>pago de fumigación de E4 (R)</t>
  </si>
  <si>
    <t>pago de uber  E4 (R)</t>
  </si>
  <si>
    <t>pago de uber  E5 (R)</t>
  </si>
  <si>
    <t xml:space="preserve">Pago Adbeel </t>
  </si>
  <si>
    <t xml:space="preserve">pago si VALE </t>
  </si>
  <si>
    <t>pago reparacion LAPTOP tesoreria</t>
  </si>
  <si>
    <t>Viaticos Ruben Hernandez</t>
  </si>
  <si>
    <t>pago de agua insumo A11 (R)</t>
  </si>
  <si>
    <t>pago de uber de A12  (R)</t>
  </si>
  <si>
    <t>pago de estacionamiento A14 (R)</t>
  </si>
  <si>
    <t>págo de uber de E4 (R)</t>
  </si>
  <si>
    <t>Pago de uber de E5 (R)</t>
  </si>
  <si>
    <t xml:space="preserve">reposicion Miguel viaje a Juarez </t>
  </si>
  <si>
    <t xml:space="preserve">reposicion Estacionamiento Oscar </t>
  </si>
  <si>
    <t xml:space="preserve">servicio Sandero mensajero </t>
  </si>
  <si>
    <t xml:space="preserve">viaticos CEDIS </t>
  </si>
  <si>
    <t xml:space="preserve">pago piso CEDIS </t>
  </si>
  <si>
    <t>pago de Luz A10</t>
  </si>
  <si>
    <t>pag de luz de A10</t>
  </si>
  <si>
    <t xml:space="preserve">pago de Luz de E1 </t>
  </si>
  <si>
    <t>pago de  luz A14</t>
  </si>
  <si>
    <t xml:space="preserve">pago de paqueteria Durango </t>
  </si>
  <si>
    <t xml:space="preserve">Pago viaticos THR fabi Delgado </t>
  </si>
  <si>
    <t xml:space="preserve">pago comida de curso </t>
  </si>
  <si>
    <t>billete falso</t>
  </si>
  <si>
    <t xml:space="preserve">viaticos Chofer </t>
  </si>
  <si>
    <t>viaticos Rey</t>
  </si>
  <si>
    <t>pago de JMAS A5 (R)</t>
  </si>
  <si>
    <t>pago de extraodinario  A8 (R)</t>
  </si>
  <si>
    <t>pago de JMAS de A17 (R)</t>
  </si>
  <si>
    <t>pago de Jmas de A23 (R)</t>
  </si>
  <si>
    <t>pago de JMAS de A24 (R)</t>
  </si>
  <si>
    <t>pago finiquito de A24 (R)</t>
  </si>
  <si>
    <t>pago de uber de A24 (R)</t>
  </si>
  <si>
    <t>dev por cobro doble de E4 (R)</t>
  </si>
  <si>
    <t xml:space="preserve">Dispersion recoleccion de E2 </t>
  </si>
  <si>
    <t xml:space="preserve">Viaticos Miguel Alaniz </t>
  </si>
  <si>
    <t xml:space="preserve">compostura camion CEDIS </t>
  </si>
  <si>
    <t xml:space="preserve">pago MHA Fabi Delgado </t>
  </si>
  <si>
    <t xml:space="preserve">Pago viaticos RH feria del empleo </t>
  </si>
  <si>
    <t>reposicion Daniela</t>
  </si>
  <si>
    <t>pago linea telcell CEDIS</t>
  </si>
  <si>
    <t xml:space="preserve">pago viaticos invetarios </t>
  </si>
  <si>
    <t>pago dictamen proteccion civil Parral</t>
  </si>
  <si>
    <t xml:space="preserve">pago de extintores proteccion civil </t>
  </si>
  <si>
    <t>pago de insumos bolsa de palomas  de A15 (R)</t>
  </si>
  <si>
    <t>pago A18 JMAS (R)</t>
  </si>
  <si>
    <t>pago uber de A23 (R)</t>
  </si>
  <si>
    <t xml:space="preserve">desc por faltante  en poliza </t>
  </si>
  <si>
    <t>Ingreso por faltante de deposito de E6</t>
  </si>
  <si>
    <t>pago Frogmi</t>
  </si>
  <si>
    <t xml:space="preserve">Pago GTS primavera verano THR </t>
  </si>
  <si>
    <t xml:space="preserve">Pago Joel Hernandez publicidad pasto artificial </t>
  </si>
  <si>
    <t xml:space="preserve">pago casetas y viaticos </t>
  </si>
  <si>
    <t>Viaticos Ruben Hérnandez</t>
  </si>
  <si>
    <t>pago de uber de A5(R)</t>
  </si>
  <si>
    <t>pago de uber de  A23 (R)</t>
  </si>
  <si>
    <t xml:space="preserve">ingreso prestamo TC  JVS </t>
  </si>
  <si>
    <t>Newberry</t>
  </si>
  <si>
    <t xml:space="preserve">viaticos Nadia </t>
  </si>
  <si>
    <t>insumos coffee break</t>
  </si>
  <si>
    <t>Compra adaptador FI</t>
  </si>
  <si>
    <t>Dinamica Mkt A06</t>
  </si>
  <si>
    <t>Dinamica Mkt 15</t>
  </si>
  <si>
    <t>Reposición Adaptador Cecy</t>
  </si>
  <si>
    <t xml:space="preserve">Limpieza dias 20,27,03 y 13  </t>
  </si>
  <si>
    <t xml:space="preserve">pago combustible a  bolsa de reinversion </t>
  </si>
  <si>
    <t xml:space="preserve">compra de combustible </t>
  </si>
  <si>
    <t>Pago electrica Victoria</t>
  </si>
  <si>
    <t xml:space="preserve">pago viaticos CEDIS </t>
  </si>
  <si>
    <t xml:space="preserve">NO </t>
  </si>
  <si>
    <t>pago piso CEDIS</t>
  </si>
  <si>
    <t>pago de fumigación E8  (R)</t>
  </si>
  <si>
    <t>pago viaticos Miguel Alaniz viaje a Chihuahua</t>
  </si>
  <si>
    <t xml:space="preserve">pago GTS viniles A18 THR </t>
  </si>
  <si>
    <t xml:space="preserve">pago telepeaje Fernando Ibarra </t>
  </si>
  <si>
    <t xml:space="preserve">pago telepeaje Nadia Cruz </t>
  </si>
  <si>
    <t>pago telepeaje Paola quintana</t>
  </si>
  <si>
    <t xml:space="preserve">pago etiquetas caprichos </t>
  </si>
  <si>
    <t xml:space="preserve">pago fondo de CEDIS </t>
  </si>
  <si>
    <t xml:space="preserve">pago manto de camion </t>
  </si>
  <si>
    <t xml:space="preserve">ingreso sobrante viáticos RH </t>
  </si>
  <si>
    <t>viaticos sistemas viaje para E6</t>
  </si>
  <si>
    <t>pago insumos de imagen visua de A2 (R)</t>
  </si>
  <si>
    <t>pago uber de A3 (R)</t>
  </si>
  <si>
    <t>pago de uber de A22 (R)</t>
  </si>
  <si>
    <t>pago de insumos de E7 (R)</t>
  </si>
  <si>
    <t xml:space="preserve">pago de luz de A2 </t>
  </si>
  <si>
    <t>pago viaticos auditoria</t>
  </si>
  <si>
    <t xml:space="preserve">pago servicio Beat caprichos </t>
  </si>
  <si>
    <t xml:space="preserve">Pago aseo urbano </t>
  </si>
  <si>
    <t>compra de pilas tesoreria</t>
  </si>
  <si>
    <t>compra de Cafe</t>
  </si>
  <si>
    <t xml:space="preserve">reposicion Miguel Alaniz pago de multa </t>
  </si>
  <si>
    <t>pago de manto de edificio A5 (R)</t>
  </si>
  <si>
    <t xml:space="preserve">pago TC Amex Petca </t>
  </si>
  <si>
    <t xml:space="preserve">Pago GTS elilu </t>
  </si>
  <si>
    <t xml:space="preserve">reposicion AAron viaje a E6 </t>
  </si>
  <si>
    <t>reposicion Dani Bounda</t>
  </si>
  <si>
    <t xml:space="preserve">pago de viaticos Cristi </t>
  </si>
  <si>
    <t>pago CXP Fix Lub 1/4 (servicios vehiculos )</t>
  </si>
  <si>
    <t>pago de SIEM de A23 (R)</t>
  </si>
  <si>
    <t xml:space="preserve">compra de cinta doble cara THR </t>
  </si>
  <si>
    <t xml:space="preserve">compra de pintura para pelotero de A6 </t>
  </si>
  <si>
    <t xml:space="preserve">reposicion por pago de paqueteria  Miguel Alaniz IMPI </t>
  </si>
  <si>
    <t>pago de luz de E6</t>
  </si>
  <si>
    <t>pago de viáticos E8 (R)</t>
  </si>
  <si>
    <t xml:space="preserve">reposicion Jose compra de Cal </t>
  </si>
  <si>
    <t>reposicion Luis Ruan</t>
  </si>
  <si>
    <t xml:space="preserve">reposicion Perla AVitia </t>
  </si>
  <si>
    <t>pago de uber A8 (R)</t>
  </si>
  <si>
    <t>pago  JMAS   A16 (R)</t>
  </si>
  <si>
    <t xml:space="preserve">ingreso por reembolso </t>
  </si>
  <si>
    <t>pago de luz CEDIS 1</t>
  </si>
  <si>
    <t>pago de luz CEDIS 3</t>
  </si>
  <si>
    <t>pago de luz CEDIS 4</t>
  </si>
  <si>
    <t>pago de luz CORPO 1</t>
  </si>
  <si>
    <t>pago de luz CORPO 2</t>
  </si>
  <si>
    <t>pago Alex asesor finanzas</t>
  </si>
  <si>
    <t>pago ventanal A18</t>
  </si>
  <si>
    <t>Pago SGM  Fernando Ibarra mensualidad</t>
  </si>
  <si>
    <t xml:space="preserve">Pago reubicacion del inversor CEDIS </t>
  </si>
  <si>
    <t xml:space="preserve">Pago pelotero THR </t>
  </si>
  <si>
    <t>Pago Santul Herrramientas insumos</t>
  </si>
  <si>
    <t xml:space="preserve">Compra de cal </t>
  </si>
  <si>
    <t xml:space="preserve">reposicion Oscar estacionamiento </t>
  </si>
  <si>
    <t xml:space="preserve">Protocolizacion Acta THR </t>
  </si>
  <si>
    <t>pago de Uber de E5 (R)</t>
  </si>
  <si>
    <t>pago de aseo urbano E5 (R)</t>
  </si>
  <si>
    <t>reposicion Miguel Alaniz registro Marca</t>
  </si>
  <si>
    <t xml:space="preserve">viáticos Marisol </t>
  </si>
  <si>
    <t xml:space="preserve">portones CEDIS </t>
  </si>
  <si>
    <t xml:space="preserve">ingreso por prestamo de Alamos </t>
  </si>
  <si>
    <t xml:space="preserve">comision por manejo de cuenta </t>
  </si>
  <si>
    <t>Pago de Telmex</t>
  </si>
  <si>
    <t xml:space="preserve">pago resgistro de marcca </t>
  </si>
  <si>
    <t xml:space="preserve">pago de comida tesoreria </t>
  </si>
  <si>
    <t xml:space="preserve">viaticos de E9 </t>
  </si>
  <si>
    <t xml:space="preserve">pago de redes </t>
  </si>
  <si>
    <t>pago CXP Fix Lub 2/4 (servicios vehiculos )</t>
  </si>
  <si>
    <t>Pago de Jmas de A5 (R)</t>
  </si>
  <si>
    <t>pago de Uber de A10 (R)</t>
  </si>
  <si>
    <t>pago de nomina de A15 (R)</t>
  </si>
  <si>
    <t>pago de nomina  de A17 (R)</t>
  </si>
  <si>
    <t>pago de nomina de A23</t>
  </si>
  <si>
    <t>pago de uber de E4(R)</t>
  </si>
  <si>
    <t>Pago de soluone</t>
  </si>
  <si>
    <t>pago de MKT A6</t>
  </si>
  <si>
    <t xml:space="preserve">Reposicion Jonathan </t>
  </si>
  <si>
    <t xml:space="preserve">pago MKT </t>
  </si>
  <si>
    <t xml:space="preserve">activación MKT THR </t>
  </si>
  <si>
    <t>viáticos Auditoria</t>
  </si>
  <si>
    <t xml:space="preserve">viacticos Inventarios </t>
  </si>
  <si>
    <t>pago de JMAS de A5 (R)</t>
  </si>
  <si>
    <t>pago de JMAS de A14 (R)</t>
  </si>
  <si>
    <t>pago de JMAS de A23  (R)</t>
  </si>
  <si>
    <t>pago de uber de L1  (R)</t>
  </si>
  <si>
    <t>desc. por faltante en poliza</t>
  </si>
  <si>
    <t xml:space="preserve">pago de telepeaje Caprichos </t>
  </si>
  <si>
    <t>pago de telepeaje  Nadia Cruz</t>
  </si>
  <si>
    <t>pago de telepeaje  CEDIS</t>
  </si>
  <si>
    <t>pago de telepeaje  THR</t>
  </si>
  <si>
    <t>pago de telepeaje  Caprichos</t>
  </si>
  <si>
    <t>reposicion Fernando Ibarra</t>
  </si>
  <si>
    <t xml:space="preserve">pago cambio de Razon social  CFE A2 </t>
  </si>
  <si>
    <t>Pago de volantes a14</t>
  </si>
  <si>
    <t>reposicion de Cristi B</t>
  </si>
  <si>
    <t xml:space="preserve">pago retiro de escombro </t>
  </si>
  <si>
    <t xml:space="preserve">pago de fondo de E9 </t>
  </si>
  <si>
    <t xml:space="preserve">saldo para telefono tesoreria token </t>
  </si>
  <si>
    <t>pago de estacionamiento A10 (R)</t>
  </si>
  <si>
    <t>pago de uber de A12 (R)</t>
  </si>
  <si>
    <t>ingreso por sobrante en poliza</t>
  </si>
  <si>
    <t xml:space="preserve">pago servicio VAN de CEDIS </t>
  </si>
  <si>
    <t xml:space="preserve">pago viaticos Miguel Alaniz </t>
  </si>
  <si>
    <t>Gts Viniles de A18</t>
  </si>
  <si>
    <t>pago de agua A8</t>
  </si>
  <si>
    <t xml:space="preserve">Pago de total play </t>
  </si>
  <si>
    <t>pago de tiras para A2</t>
  </si>
  <si>
    <t>viaticos Cristi HR</t>
  </si>
  <si>
    <t xml:space="preserve">pago compra de toner oficinas </t>
  </si>
  <si>
    <t xml:space="preserve">ingreso sobrante inst de piso CEDIS </t>
  </si>
  <si>
    <t xml:space="preserve">Dispersión THR y Codare     4 y 5 de abril </t>
  </si>
  <si>
    <t>Abr</t>
  </si>
  <si>
    <t>NA</t>
  </si>
  <si>
    <t xml:space="preserve">Dispersión THR y Codare    6 de abril </t>
  </si>
  <si>
    <t>reposicion Oscar Robledo</t>
  </si>
  <si>
    <t xml:space="preserve">parquimetros Juan Carlos </t>
  </si>
  <si>
    <t xml:space="preserve">pago TC JVS </t>
  </si>
  <si>
    <t>insumos juntas trimetrales</t>
  </si>
  <si>
    <t>compra de tonner auditoria</t>
  </si>
  <si>
    <t xml:space="preserve">pago  Telcel THR </t>
  </si>
  <si>
    <t xml:space="preserve">pago de luz  de A23 </t>
  </si>
  <si>
    <t xml:space="preserve">Pago coa seguro  SGM RH </t>
  </si>
  <si>
    <t xml:space="preserve">pago viaticos Luisa Ruan E9 </t>
  </si>
  <si>
    <t xml:space="preserve">Pago paqueteria Durango E6 </t>
  </si>
  <si>
    <t xml:space="preserve">pago Claudia Rivas MKT THR </t>
  </si>
  <si>
    <t>Pago uber de A15 (R)</t>
  </si>
  <si>
    <t xml:space="preserve">Pago alarma Durango </t>
  </si>
  <si>
    <t>reposicion Dani Borunda</t>
  </si>
  <si>
    <t xml:space="preserve">reposicio Idalia </t>
  </si>
  <si>
    <t>reposicio Jonathan</t>
  </si>
  <si>
    <t xml:space="preserve">reposicio Perla Avitia </t>
  </si>
  <si>
    <t>pago de agua de A1 (anticipo )</t>
  </si>
  <si>
    <t>pago de agua de A10 (anticipo)</t>
  </si>
  <si>
    <t>pago de agua de E1 (anticipo)</t>
  </si>
  <si>
    <t>pago de Agua de A2</t>
  </si>
  <si>
    <t xml:space="preserve">pago FIX Lub CXP </t>
  </si>
  <si>
    <t>pago servicio aveo GD1</t>
  </si>
  <si>
    <t>pago  servicio aveo GD2</t>
  </si>
  <si>
    <t xml:space="preserve">reposicion Jazmin SGM </t>
  </si>
  <si>
    <t xml:space="preserve">pago viaticos Cristi </t>
  </si>
  <si>
    <t>pago de  JMAS de E3</t>
  </si>
  <si>
    <t>Dispersión THR y Codare    E9 dia 7</t>
  </si>
  <si>
    <t>pago de luz de A17</t>
  </si>
  <si>
    <t xml:space="preserve">Pago de todo iluminación </t>
  </si>
  <si>
    <t xml:space="preserve">pago SGM  poliza Ruben </t>
  </si>
  <si>
    <t xml:space="preserve">pago Fondo de CEDIS </t>
  </si>
  <si>
    <t xml:space="preserve">viaticos MMM para E9 </t>
  </si>
  <si>
    <t>Pago plásticos Cordoba</t>
  </si>
  <si>
    <t xml:space="preserve">pago de Horacio Ramirez </t>
  </si>
  <si>
    <t xml:space="preserve">regalos MKT </t>
  </si>
  <si>
    <t>viaticos Caprichos  E9</t>
  </si>
  <si>
    <t>pago de uber de A14 (R)</t>
  </si>
  <si>
    <t>pago de insumos de E3(R)</t>
  </si>
  <si>
    <t>pago de viaticos Miguel Alaniz</t>
  </si>
  <si>
    <t xml:space="preserve">pago de  paqueteria Durango </t>
  </si>
  <si>
    <t xml:space="preserve">Pago New Berry </t>
  </si>
  <si>
    <t xml:space="preserve">Reposicion Luisa GD1 Caprichos </t>
  </si>
  <si>
    <t>Pago de uber de E2  (R)</t>
  </si>
  <si>
    <t>pago de uber de E4  (R)</t>
  </si>
  <si>
    <t xml:space="preserve">Pago GTS  THR </t>
  </si>
  <si>
    <t xml:space="preserve">pago Alarma THR </t>
  </si>
  <si>
    <t xml:space="preserve">pago ALarma CEDIS </t>
  </si>
  <si>
    <t xml:space="preserve">pago Alarma CEDIS </t>
  </si>
  <si>
    <t xml:space="preserve">viaticos Nadia Cruz </t>
  </si>
  <si>
    <t xml:space="preserve">viaticos Ruben </t>
  </si>
  <si>
    <t xml:space="preserve">Pago reparacion Camion CEDIS </t>
  </si>
  <si>
    <t>pago reposicion Miguel envio paqueteria</t>
  </si>
  <si>
    <t xml:space="preserve">pago viáticos  Jocelyn </t>
  </si>
  <si>
    <t>pago de  JMAS de A4 (R)</t>
  </si>
  <si>
    <t>pago finiquito de A12 (R)</t>
  </si>
  <si>
    <t>pago de uber de E2  (R)</t>
  </si>
  <si>
    <t>pago de uber de E1 (R)</t>
  </si>
  <si>
    <t xml:space="preserve">Pago reposicion Oscar Robles </t>
  </si>
  <si>
    <t>cambio amortiguadores sandero mensajero CUU</t>
  </si>
  <si>
    <t xml:space="preserve">pago de parquimetros Juan Carlos </t>
  </si>
  <si>
    <t xml:space="preserve">viaticos Sistemas </t>
  </si>
  <si>
    <t>pago Horacio Ramirez</t>
  </si>
  <si>
    <t xml:space="preserve">compra de agua para atender visita </t>
  </si>
  <si>
    <t xml:space="preserve">pago seguro puerta A5 </t>
  </si>
  <si>
    <t>pago SGM THR</t>
  </si>
  <si>
    <t>pago SGM DE</t>
  </si>
  <si>
    <t xml:space="preserve">pago SGM Finanzas </t>
  </si>
  <si>
    <t>pago SGM GE</t>
  </si>
  <si>
    <t xml:space="preserve">pago de SGM servicios </t>
  </si>
  <si>
    <t>pago de nomina A1 (R)</t>
  </si>
  <si>
    <t>pago de nomina A3 (R)</t>
  </si>
  <si>
    <t>pago de nomina A5 (R)</t>
  </si>
  <si>
    <t>pago de insumos A5 (R)</t>
  </si>
  <si>
    <t>Pago de nomina de A6 (R)</t>
  </si>
  <si>
    <t>pago de manto de edicifio A6 (R)</t>
  </si>
  <si>
    <t>pago de nomina de nomina de A8 (R)</t>
  </si>
  <si>
    <t>pago de nomina de A12 (R)</t>
  </si>
  <si>
    <t>pago de recuperacion de fondo A18 (R)</t>
  </si>
  <si>
    <t>pago de nomina de A18 (R)</t>
  </si>
  <si>
    <t>pago de nomina A23 (R)</t>
  </si>
  <si>
    <t>pago de nomina de A24 (R)</t>
  </si>
  <si>
    <t xml:space="preserve">Dispersión THR y Codare   venta E9 </t>
  </si>
  <si>
    <t>reposicion Fondo Paola</t>
  </si>
  <si>
    <t xml:space="preserve">compra cafetera </t>
  </si>
  <si>
    <t>pago de luz de A5</t>
  </si>
  <si>
    <t>pago de luz de A8</t>
  </si>
  <si>
    <t xml:space="preserve">Viaticos CEDIS </t>
  </si>
  <si>
    <t>pago technology business</t>
  </si>
  <si>
    <t xml:space="preserve">Pago productos quimicos </t>
  </si>
  <si>
    <t xml:space="preserve">pago identiflex </t>
  </si>
  <si>
    <t>Pago stickers Elilu</t>
  </si>
  <si>
    <t xml:space="preserve">pago telepeaje CEDIS </t>
  </si>
  <si>
    <t xml:space="preserve">Pago telepeaje Fernando Ibarra </t>
  </si>
  <si>
    <t xml:space="preserve">Pago telepeaje Idalia HR </t>
  </si>
  <si>
    <t xml:space="preserve">Pago telepeaje Martha Caprichos </t>
  </si>
  <si>
    <t xml:space="preserve">pago telepeaje HR </t>
  </si>
  <si>
    <t xml:space="preserve">pago telepeaje Paola Quintana </t>
  </si>
  <si>
    <t>Ingreso prestamo Hey Banco</t>
  </si>
  <si>
    <t>ingreso pago internet DR</t>
  </si>
  <si>
    <t>Pago Credito RUVADESA</t>
  </si>
  <si>
    <t xml:space="preserve">Pago financiera Alamos </t>
  </si>
  <si>
    <t xml:space="preserve">viáticos Mantenimiento </t>
  </si>
  <si>
    <t xml:space="preserve">reposición Martha comida comite </t>
  </si>
  <si>
    <t xml:space="preserve">compra insumos RH </t>
  </si>
  <si>
    <t xml:space="preserve">pago dinámica del dia niño </t>
  </si>
  <si>
    <t xml:space="preserve">Pago Fernando Reyes </t>
  </si>
  <si>
    <t xml:space="preserve">pago Adbeel </t>
  </si>
  <si>
    <t>pago new Berry</t>
  </si>
  <si>
    <t>pago manto de edificio A23 (R)</t>
  </si>
  <si>
    <t>pago de fumigación E4 (R)</t>
  </si>
  <si>
    <t>pago de combustible deposito de Juarez E8 (R)</t>
  </si>
  <si>
    <t>pago de insumos de E9 (R)</t>
  </si>
  <si>
    <t>pago de luz de A24</t>
  </si>
  <si>
    <t>pago de luz de E5</t>
  </si>
  <si>
    <t>pago de Luz de A4</t>
  </si>
  <si>
    <t>pago de Luz de A12</t>
  </si>
  <si>
    <t>pago de Luz de A15</t>
  </si>
  <si>
    <t xml:space="preserve">pago de frogmi </t>
  </si>
  <si>
    <t>pago servicio Jetta (Olga Araceli )</t>
  </si>
  <si>
    <t>pago reparacion Caminon</t>
  </si>
  <si>
    <t xml:space="preserve">viacticos CEDIS </t>
  </si>
  <si>
    <t xml:space="preserve">viaticos  NADIA </t>
  </si>
  <si>
    <t>reposicion Ruben aire camioneta Martha</t>
  </si>
  <si>
    <t xml:space="preserve">pago Kolbe MLA </t>
  </si>
  <si>
    <t xml:space="preserve">pago curso COPARMEX THR </t>
  </si>
  <si>
    <t xml:space="preserve">pago curso COPARMEX  CAPRICHOS </t>
  </si>
  <si>
    <t xml:space="preserve">parquimetro Juan Carlos </t>
  </si>
  <si>
    <t xml:space="preserve">Pago refrigeración Lozano </t>
  </si>
  <si>
    <t>pago de uber de A1 (R)</t>
  </si>
  <si>
    <t>pago manto de edificio A3 (R)</t>
  </si>
  <si>
    <t>pago de insumos de E4</t>
  </si>
  <si>
    <t>pago de extintores E4 (R)</t>
  </si>
  <si>
    <t>pago de fumigación de E8 (R)</t>
  </si>
  <si>
    <t>pago de uber de E9 (R)</t>
  </si>
  <si>
    <t xml:space="preserve">Dispersión THR y Codare    E9 y E6 </t>
  </si>
  <si>
    <t>Dispersión THR y Codare    E9  (dia 15 de abril )</t>
  </si>
  <si>
    <t>reparacion aire camioneta Martha M</t>
  </si>
  <si>
    <t xml:space="preserve">pago certificado de gravamen </t>
  </si>
  <si>
    <t xml:space="preserve">compra de adaptador lap tesoreria </t>
  </si>
  <si>
    <t>pago devolución A11 (R)</t>
  </si>
  <si>
    <t>pago uber de E2 (R)</t>
  </si>
  <si>
    <t xml:space="preserve">pago Julio Cesar Rios </t>
  </si>
  <si>
    <t xml:space="preserve">pago comida EL THR </t>
  </si>
  <si>
    <t xml:space="preserve">viaticos EL THR </t>
  </si>
  <si>
    <t xml:space="preserve">Pago Horacio Ramirez </t>
  </si>
  <si>
    <t>reposicion combustible  Fernando Ibarra</t>
  </si>
  <si>
    <t xml:space="preserve">reparación Aire carro de Rubén </t>
  </si>
  <si>
    <t xml:space="preserve">pago de globos evento E9 </t>
  </si>
  <si>
    <t xml:space="preserve">pago viáticos auditoria </t>
  </si>
  <si>
    <t xml:space="preserve">pago reposicion Luisa caprichos </t>
  </si>
  <si>
    <t>retiro a bolsa de Melisa del 28 al 30 de marzo</t>
  </si>
  <si>
    <t xml:space="preserve">retiro a bolsa de Melisa del 01 de abril </t>
  </si>
  <si>
    <t xml:space="preserve">retiro a bolsa de Melisa del 9 de abril </t>
  </si>
  <si>
    <t xml:space="preserve">retiro a bolsa de Melisa del 11 al 13 de Abril  </t>
  </si>
  <si>
    <t>pago de todo iluminacion</t>
  </si>
  <si>
    <t>pago de electrica Victoria</t>
  </si>
  <si>
    <t>pago telepeaje Fernando Ibarra</t>
  </si>
  <si>
    <t xml:space="preserve">pago telepeaje THR </t>
  </si>
  <si>
    <t>pago telepeaje  caprichos</t>
  </si>
  <si>
    <t>pago telepeaje paola quintana</t>
  </si>
  <si>
    <t>pago de agua de insumo A11 (R)</t>
  </si>
  <si>
    <t>pago combustible E8 (R)</t>
  </si>
  <si>
    <t xml:space="preserve">ingreso por pago de venta de juguete en A10 </t>
  </si>
  <si>
    <t xml:space="preserve">pago viaticos Manto </t>
  </si>
  <si>
    <t>Viaticos Miguel viaje a Chihuahua</t>
  </si>
  <si>
    <t xml:space="preserve">pago maquilista Caprichos </t>
  </si>
  <si>
    <t xml:space="preserve">comida Equipo lider caprichos </t>
  </si>
  <si>
    <t xml:space="preserve">pago mael </t>
  </si>
  <si>
    <t xml:space="preserve">fondo de CEDIS </t>
  </si>
  <si>
    <t xml:space="preserve">pago extintotes A24 </t>
  </si>
  <si>
    <t>pago de uber de A17  (R)</t>
  </si>
  <si>
    <t>pago de insumos de E9  (R)</t>
  </si>
  <si>
    <t xml:space="preserve">desc por faltante enpoliza </t>
  </si>
  <si>
    <t xml:space="preserve">pago de GTS HR </t>
  </si>
  <si>
    <t xml:space="preserve">aseo urbano HR </t>
  </si>
  <si>
    <t xml:space="preserve">pago de limpieza de A1 </t>
  </si>
  <si>
    <t xml:space="preserve">compra de recibos tesoreria </t>
  </si>
  <si>
    <t xml:space="preserve">comida EL finanzas </t>
  </si>
  <si>
    <t>pago de mantenimiento de edificio A12 (R)</t>
  </si>
  <si>
    <t xml:space="preserve">Dispersión E9 del 21 al 24 de abril </t>
  </si>
  <si>
    <t xml:space="preserve">Ingreso por dispocision de Hey Banco </t>
  </si>
  <si>
    <t xml:space="preserve">Pago SGM </t>
  </si>
  <si>
    <t xml:space="preserve">pago de viaticos Nadia </t>
  </si>
  <si>
    <t>reposicion Oscar Robledo llave vehiculo</t>
  </si>
  <si>
    <t xml:space="preserve">reposicion Oscar Robledo dos semanas de estacionamiento </t>
  </si>
  <si>
    <t xml:space="preserve">pago recarga de gas para aire RAV $ </t>
  </si>
  <si>
    <t xml:space="preserve">pago de viáticos CEDIS </t>
  </si>
  <si>
    <t xml:space="preserve">pago prestamo RUVADESA </t>
  </si>
  <si>
    <t xml:space="preserve">pago TC Petca </t>
  </si>
  <si>
    <t xml:space="preserve">pago linea telcel CEDIS </t>
  </si>
  <si>
    <t>pago de nomina de A14 (R)</t>
  </si>
  <si>
    <t>pago de nomina de E2 (R)</t>
  </si>
  <si>
    <t>pago de nomina de L1 (R)</t>
  </si>
  <si>
    <t>pago de telmex</t>
  </si>
  <si>
    <t>pago reparación de  baño E6</t>
  </si>
  <si>
    <t>pago de globos TRH</t>
  </si>
  <si>
    <t xml:space="preserve">pago viaticos THR </t>
  </si>
  <si>
    <t>compra en CT  no brake A03 A05 A12</t>
  </si>
  <si>
    <t>pago de  uber deE2 (R)</t>
  </si>
  <si>
    <t>pago de nomina de E9 (R)</t>
  </si>
  <si>
    <t>pago Paqueteria Durango E6</t>
  </si>
  <si>
    <t xml:space="preserve">pago viaticos Nadia </t>
  </si>
  <si>
    <t>compra de dulces Elilu</t>
  </si>
  <si>
    <t xml:space="preserve">reposicion Auditoria  escaneo libro </t>
  </si>
  <si>
    <t xml:space="preserve">pago de REDES </t>
  </si>
  <si>
    <t xml:space="preserve">viaticos CEDIS  viaje para  A22y E7 </t>
  </si>
  <si>
    <t xml:space="preserve">pago GTS  CAP </t>
  </si>
  <si>
    <t xml:space="preserve">reposicion Martha Melendez </t>
  </si>
  <si>
    <t xml:space="preserve">viaticos CEDIS ruta Norte </t>
  </si>
  <si>
    <t>Viaticos Marcos Cruz viaje a Camargo</t>
  </si>
  <si>
    <t xml:space="preserve">viaticos auditoria </t>
  </si>
  <si>
    <t xml:space="preserve">Viaticos CEDIS  ruta  para E8 y E9 </t>
  </si>
  <si>
    <t xml:space="preserve">viaticos Auditoria </t>
  </si>
  <si>
    <t>pago fotocopias Libro auditoria</t>
  </si>
  <si>
    <t xml:space="preserve">compra impresora CEDIS </t>
  </si>
  <si>
    <t>pago donativo fundacion VIDA</t>
  </si>
  <si>
    <t>pago de mantenimiento de E5 (R)</t>
  </si>
  <si>
    <t xml:space="preserve">Pago Deltor </t>
  </si>
  <si>
    <t>pago de luz A11</t>
  </si>
  <si>
    <t xml:space="preserve">pago coffe break </t>
  </si>
  <si>
    <t xml:space="preserve">pago viáticos CEDIS </t>
  </si>
  <si>
    <t xml:space="preserve">pagoo de viaticos Raul manto </t>
  </si>
  <si>
    <t xml:space="preserve">pago de viáticos compradoras </t>
  </si>
  <si>
    <t>pago manto edificio A4 (R)</t>
  </si>
  <si>
    <t>pago de uber de A5  (R)</t>
  </si>
  <si>
    <t>pago de manto de edificio A14 (R)</t>
  </si>
  <si>
    <t>pago de JMAS de A15 (R)</t>
  </si>
  <si>
    <t>pago de uber A17  (R)</t>
  </si>
  <si>
    <t>pago de JMAS de A23 (R)</t>
  </si>
  <si>
    <t>desc por fatante en poliza</t>
  </si>
  <si>
    <t xml:space="preserve">Dispersión THR y Codare    2y 3 de mayo </t>
  </si>
  <si>
    <t>May</t>
  </si>
  <si>
    <t xml:space="preserve">Dispersión THR y Codare    4 de mayo </t>
  </si>
  <si>
    <t>Dispersion de A15  (Vta 30 Abr y 1 mayo)</t>
  </si>
  <si>
    <t xml:space="preserve">ingreso starlink Daniela </t>
  </si>
  <si>
    <t xml:space="preserve">compra de pilas </t>
  </si>
  <si>
    <t xml:space="preserve">viáticos Raúl </t>
  </si>
  <si>
    <t xml:space="preserve">reposicion estacionamiento Oscar Robledo </t>
  </si>
  <si>
    <t xml:space="preserve">compra de teclado númerico </t>
  </si>
  <si>
    <t>compra de agua insumo A2 (R)</t>
  </si>
  <si>
    <t xml:space="preserve">pago de vidrio de A8 </t>
  </si>
  <si>
    <t>pago de proteccion civil A12 (extintores)</t>
  </si>
  <si>
    <t>pago de telepeaje cedis</t>
  </si>
  <si>
    <t>pago de telepeaje idalia</t>
  </si>
  <si>
    <t xml:space="preserve">pago de telepeaje Martha </t>
  </si>
  <si>
    <t>pago de uber de A2 (R)</t>
  </si>
  <si>
    <t>pago de  uber E2  (R)</t>
  </si>
  <si>
    <t>pago de impresiones de E8 (R)</t>
  </si>
  <si>
    <t>pago de usb E8 (R)</t>
  </si>
  <si>
    <t>Dispersion  de E9 (Vtas del 28 abr al 4 mayo) y A15 (3 y 4 de Mayo)</t>
  </si>
  <si>
    <t>pago servicio HRV Caprichos</t>
  </si>
  <si>
    <t xml:space="preserve">pago refregeracion Lozano </t>
  </si>
  <si>
    <t xml:space="preserve">pago compra tonner CEDIS y oficinas </t>
  </si>
  <si>
    <t xml:space="preserve">compra CT ratones </t>
  </si>
  <si>
    <t xml:space="preserve">pago seguro CEDIS </t>
  </si>
  <si>
    <t xml:space="preserve">reposicion Daniela </t>
  </si>
  <si>
    <t xml:space="preserve">viaticos de CEDIS E9 </t>
  </si>
  <si>
    <t xml:space="preserve">Viaticos Sistemas </t>
  </si>
  <si>
    <t xml:space="preserve">viaticos Invetarios </t>
  </si>
  <si>
    <t xml:space="preserve">pago de reparación compresor </t>
  </si>
  <si>
    <t xml:space="preserve">Dispersion  por venta de A15 del dia 5 de mayo </t>
  </si>
  <si>
    <t xml:space="preserve">pago prueba de humo camión CEDIS </t>
  </si>
  <si>
    <t xml:space="preserve">pago de fondo de CEDIS </t>
  </si>
  <si>
    <t xml:space="preserve">Reposición combustible de CEDIS </t>
  </si>
  <si>
    <t xml:space="preserve">viáticos THR </t>
  </si>
  <si>
    <t xml:space="preserve">dinamica de 10 de mayo </t>
  </si>
  <si>
    <t>viáticos Raúl viaje a Juárez</t>
  </si>
  <si>
    <t xml:space="preserve">compra de material manto </t>
  </si>
  <si>
    <t>reposicion Luis Roan</t>
  </si>
  <si>
    <t xml:space="preserve">reposicion Perla </t>
  </si>
  <si>
    <t>TC</t>
  </si>
  <si>
    <t xml:space="preserve">reposicion Oscar compra de mochila </t>
  </si>
  <si>
    <t xml:space="preserve">viáticos Caprichos </t>
  </si>
  <si>
    <t>pago de agua de Jmas de A24 (R)</t>
  </si>
  <si>
    <t>compra de insumos de E9 (R)</t>
  </si>
  <si>
    <t>Dispersion por depositos de A15 y E4  Venta 6 de Mayo</t>
  </si>
  <si>
    <t xml:space="preserve">Pago Bema THR </t>
  </si>
  <si>
    <t xml:space="preserve">Pago GTS THR </t>
  </si>
  <si>
    <t xml:space="preserve">Pago Mafer </t>
  </si>
  <si>
    <t xml:space="preserve">pago Telcel </t>
  </si>
  <si>
    <t xml:space="preserve">pago de luz A1 </t>
  </si>
  <si>
    <t xml:space="preserve">pago de luz de A18 </t>
  </si>
  <si>
    <t xml:space="preserve">pago de Luz de A23 </t>
  </si>
  <si>
    <t xml:space="preserve">pago de luz de A9 </t>
  </si>
  <si>
    <t>copias de RH</t>
  </si>
  <si>
    <t xml:space="preserve">pago de viaticos de Nadia </t>
  </si>
  <si>
    <t>Pago de uber de A3 (R)</t>
  </si>
  <si>
    <t>pago de insumos E3 (R)</t>
  </si>
  <si>
    <t>pago de gasolina depositos E8(R)</t>
  </si>
  <si>
    <t>NOMINAS</t>
  </si>
  <si>
    <t>compra de llantas trasporter</t>
  </si>
  <si>
    <t xml:space="preserve">pago de agua de E8 </t>
  </si>
  <si>
    <t>pago de CANACO de E1 (R)</t>
  </si>
  <si>
    <t>pago de mantenimiento de edificio (E9)</t>
  </si>
  <si>
    <t>Dispersion  por ventas de E9 Ventas del 6 al 8 Mayo</t>
  </si>
  <si>
    <t xml:space="preserve">reposicion Oscar Robledo </t>
  </si>
  <si>
    <t>pago parquimetros</t>
  </si>
  <si>
    <t>compra de aceite Rav 4</t>
  </si>
  <si>
    <t xml:space="preserve">comida tesoreria por pago de nomina tarde </t>
  </si>
  <si>
    <t xml:space="preserve">compra mat manto </t>
  </si>
  <si>
    <t xml:space="preserve">compra mouse y aux red finanzas </t>
  </si>
  <si>
    <t xml:space="preserve">pago de luz de E9 </t>
  </si>
  <si>
    <t xml:space="preserve">pago TC compra boletos shakira evento caprichos </t>
  </si>
  <si>
    <t xml:space="preserve">pago  paqueteria CEDIS </t>
  </si>
  <si>
    <t>Pago de nomina dia festivo A2 (R)</t>
  </si>
  <si>
    <t>pago de uber de A10 (R)</t>
  </si>
  <si>
    <t>compra de liston (insumos) E7 (R)</t>
  </si>
  <si>
    <t>cobro doble E9 (R)</t>
  </si>
  <si>
    <t xml:space="preserve">cambio propietario SANDERO </t>
  </si>
  <si>
    <t>No</t>
  </si>
  <si>
    <t xml:space="preserve">pago de agua de CEDIS </t>
  </si>
  <si>
    <t>pago de agua de A3</t>
  </si>
  <si>
    <t xml:space="preserve">Pago fuga de agua de A22 </t>
  </si>
  <si>
    <t>pago de Luz de A2</t>
  </si>
  <si>
    <t xml:space="preserve">viaticos caprichos </t>
  </si>
  <si>
    <t xml:space="preserve">activación A6 </t>
  </si>
  <si>
    <t xml:space="preserve">reposicion Martha combustible </t>
  </si>
  <si>
    <t>pago de JMAS A6 (R)</t>
  </si>
  <si>
    <t>pago manto de edificio  A9 (R)</t>
  </si>
  <si>
    <t>pago nomina A16 (R)</t>
  </si>
  <si>
    <t>pago de Nomina de E01 (R)</t>
  </si>
  <si>
    <t xml:space="preserve">Pago telepeaje  Caprichos </t>
  </si>
  <si>
    <t>Pago telepeaje CEDIS</t>
  </si>
  <si>
    <t>Pago telepeaje  THR</t>
  </si>
  <si>
    <t>Pago telepeaje  CEDIS</t>
  </si>
  <si>
    <t xml:space="preserve">reposicion Luisa caprichos </t>
  </si>
  <si>
    <t xml:space="preserve">viaticos Alonso </t>
  </si>
  <si>
    <t xml:space="preserve">pago de etiquetas CEDIS </t>
  </si>
  <si>
    <t>pago serivicio aveo GD1</t>
  </si>
  <si>
    <t xml:space="preserve">pago productos quimicos </t>
  </si>
  <si>
    <t xml:space="preserve">Viaticos EL THR </t>
  </si>
  <si>
    <t>viaticos integrador  Melissa</t>
  </si>
  <si>
    <t>Pago Soluone</t>
  </si>
  <si>
    <t>Pago prestamo HB Codare (Capital $40,794 Intereses $9,775.12)</t>
  </si>
  <si>
    <t xml:space="preserve">pago convenio de Agua de A15 </t>
  </si>
  <si>
    <t xml:space="preserve">Pago pentabonos Recursos </t>
  </si>
  <si>
    <t xml:space="preserve">pago de agua para I10 </t>
  </si>
  <si>
    <t>reposicion Oscar Robledo estacionamiento</t>
  </si>
  <si>
    <t xml:space="preserve">resposicion Oscar combustible extra viaje a Aldama </t>
  </si>
  <si>
    <t xml:space="preserve">reparación rampa camión </t>
  </si>
  <si>
    <t>viaticos CEDIS</t>
  </si>
  <si>
    <t xml:space="preserve">Pago paqueteria Durango </t>
  </si>
  <si>
    <t>reposicion para Ing (manto)</t>
  </si>
  <si>
    <t xml:space="preserve">parquimetros Alonso y viaticos </t>
  </si>
  <si>
    <t>Pago Machine LEARNING</t>
  </si>
  <si>
    <t>pago de nomina A6 (R)</t>
  </si>
  <si>
    <t>pago de globos  A10 (R)</t>
  </si>
  <si>
    <t>insumos agua de A11 (R)</t>
  </si>
  <si>
    <t>pago de nomina de A11 (R)</t>
  </si>
  <si>
    <t>pago de nomina A24 (R)</t>
  </si>
  <si>
    <t>pago de decoracion de E1 (R)</t>
  </si>
  <si>
    <t>pago de insumos de E1 (R)</t>
  </si>
  <si>
    <t>pagp de uber de E2 (R)</t>
  </si>
  <si>
    <t>pago de nomina de E4 (R)</t>
  </si>
  <si>
    <t>pago de aseo urbano de E5 (R)</t>
  </si>
  <si>
    <t>pago de pago de insumos de E7 (R)</t>
  </si>
  <si>
    <t xml:space="preserve">Dispersion  por venta de  A15  del 12 al 18 de mayo </t>
  </si>
  <si>
    <t xml:space="preserve">pago vidrio de A18 </t>
  </si>
  <si>
    <t xml:space="preserve">pago de Horacio Ramirez caprichos </t>
  </si>
  <si>
    <t>viaticos sistemas</t>
  </si>
  <si>
    <t xml:space="preserve">atencion medica de Julio </t>
  </si>
  <si>
    <t>pago de reposicion de fondo A18 (R)</t>
  </si>
  <si>
    <t>pago de combustible E8 (R)</t>
  </si>
  <si>
    <t>Dispersion  por venta de E9 del 12-18 de Mayo  y A15 (17-18 Mayo)</t>
  </si>
  <si>
    <t xml:space="preserve">Viaticos Iventarios </t>
  </si>
  <si>
    <t xml:space="preserve">SGM direccion </t>
  </si>
  <si>
    <t xml:space="preserve">compra de anticongelante de de I10 </t>
  </si>
  <si>
    <t>reposicion Perla</t>
  </si>
  <si>
    <t xml:space="preserve">reposicion Perla  </t>
  </si>
  <si>
    <t>viaticos Cristy</t>
  </si>
  <si>
    <t xml:space="preserve">Activacion MKT </t>
  </si>
  <si>
    <t xml:space="preserve">pago de luz de A14 </t>
  </si>
  <si>
    <t xml:space="preserve">pago de luz de A10 </t>
  </si>
  <si>
    <t xml:space="preserve">pago de luz de E1 </t>
  </si>
  <si>
    <t xml:space="preserve">reposicion Cristi memoria Camara </t>
  </si>
  <si>
    <t>pago de estacionamiento de A10 (R)</t>
  </si>
  <si>
    <t>pago de trasporte para conteo (R)</t>
  </si>
  <si>
    <t>pago de combustible de E8 (R)</t>
  </si>
  <si>
    <t xml:space="preserve">pago servicio I10 </t>
  </si>
  <si>
    <t xml:space="preserve">pago scaner documentos contratos </t>
  </si>
  <si>
    <t xml:space="preserve">pago compra art prueba terminales </t>
  </si>
  <si>
    <t xml:space="preserve">pago viaticos Nadia  elilu </t>
  </si>
  <si>
    <t xml:space="preserve">pago electrica Victoria </t>
  </si>
  <si>
    <t>pagode uber de E4 (R)</t>
  </si>
  <si>
    <t>pago de combustible para conteo de E8 (R)</t>
  </si>
  <si>
    <t xml:space="preserve">pago golden star </t>
  </si>
  <si>
    <t xml:space="preserve">compra SI VALE </t>
  </si>
  <si>
    <t xml:space="preserve">pago de viaticos de Miguel Alaniz </t>
  </si>
  <si>
    <t>pago seguro seguro vehiculo Sandero</t>
  </si>
  <si>
    <t>pago de pentabonos</t>
  </si>
  <si>
    <t>pago de fumigación E8 (R)</t>
  </si>
  <si>
    <t xml:space="preserve">Dispersion  por venta de E9 venta del 20,21 y 22 de mayo </t>
  </si>
  <si>
    <t>compra de aceite Montacargas</t>
  </si>
  <si>
    <t>pago servicio de sandero</t>
  </si>
  <si>
    <t>parquimetros Juan Carlos</t>
  </si>
  <si>
    <t xml:space="preserve">Pago eqiupo Hidraulico CEDIS </t>
  </si>
  <si>
    <t>pago viáticos CEDIS</t>
  </si>
  <si>
    <t>reposicion fondo CEDIS</t>
  </si>
  <si>
    <t xml:space="preserve">pago Alarma  Petca </t>
  </si>
  <si>
    <t>pago laptop Marisol (elilu, melissa, mm) (pagado AMEX )</t>
  </si>
  <si>
    <t>pago AMEX Petca</t>
  </si>
  <si>
    <t>pago alarma Petca</t>
  </si>
  <si>
    <t xml:space="preserve">pago alarma  THR </t>
  </si>
  <si>
    <t xml:space="preserve">pago alarma  Codare </t>
  </si>
  <si>
    <t>pago de agua de E4</t>
  </si>
  <si>
    <t xml:space="preserve">pago de agua de A8 </t>
  </si>
  <si>
    <t>pago de nomina de A3 (R)</t>
  </si>
  <si>
    <t>pago de uber de A15 (R)</t>
  </si>
  <si>
    <t>pago compra de agua insumo (R)</t>
  </si>
  <si>
    <t>pago de nomina de E1 (R)</t>
  </si>
  <si>
    <t>pago de insumos E5 (R)</t>
  </si>
  <si>
    <t>pago de nomina de E7 (R)</t>
  </si>
  <si>
    <t xml:space="preserve">Dispersion  por venta de A15 del 23 al 25 de mayo </t>
  </si>
  <si>
    <t xml:space="preserve">Pago GTS  MKT Caprichos </t>
  </si>
  <si>
    <t xml:space="preserve">viaje a Durango Caprichos </t>
  </si>
  <si>
    <t xml:space="preserve">refrigeracion Lozano </t>
  </si>
  <si>
    <t xml:space="preserve">pago de linea CEDIS </t>
  </si>
  <si>
    <t xml:space="preserve">pago viaticos A6 THR </t>
  </si>
  <si>
    <t>Abono Credito Hey Banco</t>
  </si>
  <si>
    <t>reposición Fondo Paola Q</t>
  </si>
  <si>
    <t>reposición fondo compra de Café</t>
  </si>
  <si>
    <t>reposicion de Dani Borunda</t>
  </si>
  <si>
    <t>reposicion de Jonathan</t>
  </si>
  <si>
    <t>pago de finiquito de A12 (R)</t>
  </si>
  <si>
    <t>pago por cobro doble (R)</t>
  </si>
  <si>
    <t>pago de Jmas de E5 (R)</t>
  </si>
  <si>
    <t>pago deinsumos de E4 (R)</t>
  </si>
  <si>
    <t xml:space="preserve">abono prestamo Hey Banco CODARE </t>
  </si>
  <si>
    <t>viaticos CEDIS E9 y E8</t>
  </si>
  <si>
    <t xml:space="preserve">pago reposicion Luisa </t>
  </si>
  <si>
    <t xml:space="preserve">Pago agua de E8 </t>
  </si>
  <si>
    <t xml:space="preserve">pago reposicion Perla </t>
  </si>
  <si>
    <t xml:space="preserve">reposicion casetsa Martha </t>
  </si>
  <si>
    <t xml:space="preserve">pago volates THR </t>
  </si>
  <si>
    <t xml:space="preserve">pago dinamica dia del padre </t>
  </si>
  <si>
    <t xml:space="preserve">pago de viaticos para A6 </t>
  </si>
  <si>
    <t xml:space="preserve">pago aseo urbano </t>
  </si>
  <si>
    <t>pago de uber de A3  (R)</t>
  </si>
  <si>
    <t>pago de reparacion impresora A14 (R)</t>
  </si>
  <si>
    <t xml:space="preserve">pago botiquin recursos humanos </t>
  </si>
  <si>
    <t xml:space="preserve">pago de luz de CEDIS </t>
  </si>
  <si>
    <t xml:space="preserve">pago reparacion maquina de nieve de A10 </t>
  </si>
  <si>
    <t xml:space="preserve">pago chip linea tesoreria </t>
  </si>
  <si>
    <t>pago de insumos de E7</t>
  </si>
  <si>
    <t xml:space="preserve">pago electrica victoria </t>
  </si>
  <si>
    <t xml:space="preserve">pago de luz de A6 </t>
  </si>
  <si>
    <t>viáticos Nadia Cruz</t>
  </si>
  <si>
    <t xml:space="preserve">abono agua de A10 </t>
  </si>
  <si>
    <t xml:space="preserve">pago combustible </t>
  </si>
  <si>
    <t xml:space="preserve">Pago Mael THR </t>
  </si>
  <si>
    <t xml:space="preserve">viaticos Martha </t>
  </si>
  <si>
    <t xml:space="preserve">pago Telmex </t>
  </si>
  <si>
    <t xml:space="preserve">Abono Credito Hey Banco Codare </t>
  </si>
  <si>
    <t xml:space="preserve">pago de MKT </t>
  </si>
  <si>
    <t xml:space="preserve">comida para Marisol y dulces de Elili para fotos </t>
  </si>
  <si>
    <t>aplicacion de caprichos CAPCUT</t>
  </si>
  <si>
    <t>pago manto aires de A11 (R)</t>
  </si>
  <si>
    <t>Dispersión THR y Codare    30 y 31 de mayo</t>
  </si>
  <si>
    <t xml:space="preserve">Dispersion  por venta de E9 del 26 al 29 de mayo y 31 de mayo </t>
  </si>
  <si>
    <t>Jun</t>
  </si>
  <si>
    <t xml:space="preserve">Dispersión THR y Codare    1 de junio </t>
  </si>
  <si>
    <t xml:space="preserve">Viaticos Mantenimiento </t>
  </si>
  <si>
    <t>pago parquimetros Juan Carlos</t>
  </si>
  <si>
    <t>reposicion estacionamiento Oscar</t>
  </si>
  <si>
    <t xml:space="preserve">anticipo sellos RH </t>
  </si>
  <si>
    <t xml:space="preserve">pago de pentabonos </t>
  </si>
  <si>
    <t>pago de nomina de A2  (R)</t>
  </si>
  <si>
    <t>pago de estacionamiento de A14 (R)</t>
  </si>
  <si>
    <t>pago de estacionamiento de E1 (R)</t>
  </si>
  <si>
    <t>ingreso starlink DR</t>
  </si>
  <si>
    <t xml:space="preserve">ingreso por venta de 1 de junio de A15 </t>
  </si>
  <si>
    <t>Pago Andres Quezada manto A22 (aires)</t>
  </si>
  <si>
    <t xml:space="preserve">pago Alarma Durango </t>
  </si>
  <si>
    <t>pago compra de impresoras  tickst</t>
  </si>
  <si>
    <t>compra transeptores de camara</t>
  </si>
  <si>
    <t xml:space="preserve">viaticos de Martha </t>
  </si>
  <si>
    <t>pago de manto de edificio de A23 (R)</t>
  </si>
  <si>
    <t>compra de cajones y tintas sistemas</t>
  </si>
  <si>
    <t>pago reparacion Antena de E1</t>
  </si>
  <si>
    <t>Pago Alarma PETCA</t>
  </si>
  <si>
    <t>pago activacion MKT  A6</t>
  </si>
  <si>
    <t xml:space="preserve">pago CANACO venta de verano </t>
  </si>
  <si>
    <t xml:space="preserve">pago Enmicado  POP de belleza suc THR </t>
  </si>
  <si>
    <t>pago de viaticos  THR</t>
  </si>
  <si>
    <t xml:space="preserve">revision de refrigeracion de A2 </t>
  </si>
  <si>
    <t>reposicion combustible Estefania</t>
  </si>
  <si>
    <t xml:space="preserve">compra de dlls para pago de renta oficina del paso </t>
  </si>
  <si>
    <t xml:space="preserve">abono prestamo Codare Hey Banco </t>
  </si>
  <si>
    <t>pago de luz  de E8</t>
  </si>
  <si>
    <t>pago de luz  de A18</t>
  </si>
  <si>
    <t>pago de manto edificio A 17 (R)</t>
  </si>
  <si>
    <t>pago de venta de verano E1 (R)</t>
  </si>
  <si>
    <t>pago de viaticos compradoras</t>
  </si>
  <si>
    <t xml:space="preserve">pago tinta caprichos </t>
  </si>
  <si>
    <t>Pago Credito Melissa Codare</t>
  </si>
  <si>
    <t>Pago Credito Melissa THR</t>
  </si>
  <si>
    <t xml:space="preserve">Pago Credito Melissa  Human FST </t>
  </si>
  <si>
    <t xml:space="preserve">pago GTS THR </t>
  </si>
  <si>
    <t xml:space="preserve">Pago Joel Hernandez THR </t>
  </si>
  <si>
    <t xml:space="preserve">Pago TC JVS </t>
  </si>
  <si>
    <t xml:space="preserve">Pago Viáticos Miguel Alaniz </t>
  </si>
  <si>
    <t xml:space="preserve">Pago de Horacio manto de A15 y A5 </t>
  </si>
  <si>
    <t>pago de horacio por 1200 (error deposito ) saldo a Favor</t>
  </si>
  <si>
    <t>Pago sellos RH</t>
  </si>
  <si>
    <t xml:space="preserve">pago viáticos  Nadia </t>
  </si>
  <si>
    <t xml:space="preserve">pago focos camiones </t>
  </si>
  <si>
    <t>Pago Santul herramientas</t>
  </si>
  <si>
    <t>pago de agua insumo de A18 (R)</t>
  </si>
  <si>
    <t>pago de gas montacargas</t>
  </si>
  <si>
    <t xml:space="preserve">pago limpieza de patio </t>
  </si>
  <si>
    <t xml:space="preserve">pago de mano de obra aire de A19 </t>
  </si>
  <si>
    <t xml:space="preserve">pago de la hidro para A9 </t>
  </si>
  <si>
    <t xml:space="preserve">pago reparacion camiones de CEDIS </t>
  </si>
  <si>
    <t>Pago Technology business</t>
  </si>
  <si>
    <t>Pago Adbeel insumos  CDS</t>
  </si>
  <si>
    <t xml:space="preserve">Pago compra de sanitario </t>
  </si>
  <si>
    <t xml:space="preserve">Pago Viáticos Caprichos </t>
  </si>
  <si>
    <t>pago telcel CODARE</t>
  </si>
  <si>
    <t>pago de luz de E9</t>
  </si>
  <si>
    <t xml:space="preserve">pago de luz de A23 </t>
  </si>
  <si>
    <t xml:space="preserve">pago de luz de A17 </t>
  </si>
  <si>
    <t>Pago de agua insumo A11 (R)</t>
  </si>
  <si>
    <t>pago de insumos de E4(R)</t>
  </si>
  <si>
    <t>reposicion pago del gas para el aire del camionde CDS</t>
  </si>
  <si>
    <t>viáticos CEDIS Juárez</t>
  </si>
  <si>
    <t xml:space="preserve">pago pentabonos </t>
  </si>
  <si>
    <t xml:space="preserve">reposicion Luis Ruan Capr </t>
  </si>
  <si>
    <t xml:space="preserve">viaticos swats THR </t>
  </si>
  <si>
    <t xml:space="preserve">reposicion Daniela Borunda </t>
  </si>
  <si>
    <t xml:space="preserve">viaticos Luis Ruan viaje a Juarez </t>
  </si>
  <si>
    <t>perifoneo A6</t>
  </si>
  <si>
    <t>dinamica de A10</t>
  </si>
  <si>
    <t xml:space="preserve">viaticos semana 19  THR </t>
  </si>
  <si>
    <t xml:space="preserve">globos dia del padre </t>
  </si>
  <si>
    <t>fajas para CEDIS</t>
  </si>
  <si>
    <t xml:space="preserve">pago Alarma CODARE </t>
  </si>
  <si>
    <t>reposicion auditoria</t>
  </si>
  <si>
    <t xml:space="preserve">pago repisas Elilu </t>
  </si>
  <si>
    <t xml:space="preserve">pago manto de minisplit E5 </t>
  </si>
  <si>
    <t>pago de JMAS de A04 (R)</t>
  </si>
  <si>
    <t>pago mtto de edificio A4 (R)</t>
  </si>
  <si>
    <t>pago de uber A12 (R)</t>
  </si>
  <si>
    <t>pago de uber A17 (R)</t>
  </si>
  <si>
    <t>pago de gasolina E2 (R)</t>
  </si>
  <si>
    <t>pago de uber para conteo E8 (R)</t>
  </si>
  <si>
    <t>pago insumos para E9 (R)</t>
  </si>
  <si>
    <t>Compras para mtto</t>
  </si>
  <si>
    <t>Viaticos Auditoría</t>
  </si>
  <si>
    <t>Compra de impresora de impresora para precios</t>
  </si>
  <si>
    <t xml:space="preserve">pago paqueteria para E6 </t>
  </si>
  <si>
    <t xml:space="preserve">chip para CEDIS RH </t>
  </si>
  <si>
    <t>pago de manto de edificio de A14 (R)</t>
  </si>
  <si>
    <t xml:space="preserve">pago Madrigal arreglo de fuga de aire de A9 </t>
  </si>
  <si>
    <t xml:space="preserve">pago llave de CEDIS del patio </t>
  </si>
  <si>
    <t>pago SI Vale</t>
  </si>
  <si>
    <t xml:space="preserve">pago viáticos viaje a Juárez Caprichos </t>
  </si>
  <si>
    <t>pago BEMA Petca</t>
  </si>
  <si>
    <t xml:space="preserve">reposicion Idalia THR </t>
  </si>
  <si>
    <t xml:space="preserve">pago telepeaje  Fer Ibarra </t>
  </si>
  <si>
    <t>pago telepeaje  CEDIS</t>
  </si>
  <si>
    <t xml:space="preserve">pago telepeaje  Idalia THR </t>
  </si>
  <si>
    <t>pago telepeaje   Dani Borunda THR</t>
  </si>
  <si>
    <t xml:space="preserve">pago telepeaje  Caprichos </t>
  </si>
  <si>
    <t>pago compra de bateria aveo GD3</t>
  </si>
  <si>
    <t xml:space="preserve">pago Deltor </t>
  </si>
  <si>
    <t>pago de fumigacion de E9 (R)</t>
  </si>
  <si>
    <t>pago de viaticos CEDIS</t>
  </si>
  <si>
    <t xml:space="preserve">pago reposicion estacionamiento Oscar Robledo </t>
  </si>
  <si>
    <t xml:space="preserve">pago 1 /4  patronato beis </t>
  </si>
  <si>
    <t xml:space="preserve">viáticos de Nadia Cruz </t>
  </si>
  <si>
    <t xml:space="preserve">Ingreso por reembolso SGM </t>
  </si>
  <si>
    <t xml:space="preserve">Pago COSEIN </t>
  </si>
  <si>
    <t xml:space="preserve">parquimetros a Juan Carlos </t>
  </si>
  <si>
    <t>pago pentabonos</t>
  </si>
  <si>
    <t xml:space="preserve">pago viaticos sistemas </t>
  </si>
  <si>
    <t>pago manto de edificio (R)</t>
  </si>
  <si>
    <t>pago de Uber de A4 (R)</t>
  </si>
  <si>
    <t>pago de nomina de A8 (R)</t>
  </si>
  <si>
    <t>pago de agua de insumo de A11 (R)</t>
  </si>
  <si>
    <t>pago de uber de A11  (R)</t>
  </si>
  <si>
    <t>pago de viaticos de A14 (R)</t>
  </si>
  <si>
    <t>pago de manto de edificio A15  (R)</t>
  </si>
  <si>
    <t>pago de JMAS A17 (R)</t>
  </si>
  <si>
    <t>pago de insumos de E5 (R)</t>
  </si>
  <si>
    <t>pago de   USB de E9 (R)</t>
  </si>
  <si>
    <t xml:space="preserve">pago SI VALE tarjetas combustible </t>
  </si>
  <si>
    <t xml:space="preserve">pago de luz de E7 </t>
  </si>
  <si>
    <t xml:space="preserve">pago de luz de A5 </t>
  </si>
  <si>
    <t xml:space="preserve">pago de luz de E4 </t>
  </si>
  <si>
    <t xml:space="preserve">pago de luz de A8 </t>
  </si>
  <si>
    <t xml:space="preserve">pago deluz de A5 </t>
  </si>
  <si>
    <t xml:space="preserve">pago de luz de A4 </t>
  </si>
  <si>
    <t xml:space="preserve">Pago compra de impresora A14 y mouse </t>
  </si>
  <si>
    <t xml:space="preserve">Pago Productos Quimicos </t>
  </si>
  <si>
    <t xml:space="preserve">Pago Paqueteria Durango </t>
  </si>
  <si>
    <t xml:space="preserve">reposicion Luisa Roan </t>
  </si>
  <si>
    <t>paho de uber de E4 (R)</t>
  </si>
  <si>
    <t>viticos Auditoria</t>
  </si>
  <si>
    <t xml:space="preserve">compra de Chip RH </t>
  </si>
  <si>
    <t xml:space="preserve">Pago kolbe MLA </t>
  </si>
  <si>
    <t>pago de Alarma Durango</t>
  </si>
  <si>
    <t>pago servicio  RAV 4</t>
  </si>
  <si>
    <t>pago de agua de A8</t>
  </si>
  <si>
    <t xml:space="preserve">pago de renta de pasto y carpas para venta de verano THR </t>
  </si>
  <si>
    <t xml:space="preserve">pago viaticos Cristy semana 20 </t>
  </si>
  <si>
    <t xml:space="preserve">pago viáticos Swats A24 </t>
  </si>
  <si>
    <t xml:space="preserve">pago Viaticos A6  Idalia </t>
  </si>
  <si>
    <t>pago de estacionamiento de E5 (R)</t>
  </si>
  <si>
    <t xml:space="preserve">Dispersion correpondiente a los dia 2,3,4,5 de junio de E9 </t>
  </si>
  <si>
    <t xml:space="preserve">Pago GTS Caprichos </t>
  </si>
  <si>
    <t xml:space="preserve">Pago Technology business </t>
  </si>
  <si>
    <t>pago de iuber de E4 (R)</t>
  </si>
  <si>
    <t>pago de JMAS de E5 (R)</t>
  </si>
  <si>
    <t>pago de Frogmi</t>
  </si>
  <si>
    <t>pago patronato 2/4</t>
  </si>
  <si>
    <t>pago reparacion minisplit CEDIS y A2</t>
  </si>
  <si>
    <t>Pag de New Berry</t>
  </si>
  <si>
    <t xml:space="preserve">Pago  Adbeel </t>
  </si>
  <si>
    <t>pago deltor</t>
  </si>
  <si>
    <t xml:space="preserve">pago servicio  F50 </t>
  </si>
  <si>
    <t>pago de uz de E5</t>
  </si>
  <si>
    <t xml:space="preserve">compra de gafetes caprichos </t>
  </si>
  <si>
    <t>pago fondo de manto .</t>
  </si>
  <si>
    <t xml:space="preserve">pago electrico reparacion pila Aveo servicios </t>
  </si>
  <si>
    <t>pago greenbag</t>
  </si>
  <si>
    <t>pago de estacionamiento de A2 (R)</t>
  </si>
  <si>
    <t>pago de manto edificio de A6 (R)</t>
  </si>
  <si>
    <t>pago de manto edificio de A10 (R)</t>
  </si>
  <si>
    <t>pago de Uber de A17 (R)</t>
  </si>
  <si>
    <t>pago de agua de insumo A17 (R)</t>
  </si>
  <si>
    <t>pago de Insumos de E5 (R)</t>
  </si>
  <si>
    <t>pago de Fumigación de E8 (R)</t>
  </si>
  <si>
    <t xml:space="preserve">Pago Fernando  Reyes Ocana </t>
  </si>
  <si>
    <t>pago green bag solutions</t>
  </si>
  <si>
    <t>pago carrito de paletas THR venta de verano</t>
  </si>
  <si>
    <t xml:space="preserve">espejo magico THR venta de verano </t>
  </si>
  <si>
    <t xml:space="preserve">reposicion estcionamiento Oscar Robledo </t>
  </si>
  <si>
    <t xml:space="preserve">pago reparacion Aire A4 manto </t>
  </si>
  <si>
    <t>pago viaticos CEDIS</t>
  </si>
  <si>
    <t>pago linea telcel CEDIS</t>
  </si>
  <si>
    <t>faltante por cambio en monedas de parquimetros (incompleto )</t>
  </si>
  <si>
    <t>pago manto de edificio  de A1</t>
  </si>
  <si>
    <t>pago de insumos de A22 (R)</t>
  </si>
  <si>
    <t>pago de nomina de E8 (R)</t>
  </si>
  <si>
    <t>pago de insumos feria del empleo</t>
  </si>
  <si>
    <t xml:space="preserve">pago playeras de verano </t>
  </si>
  <si>
    <t xml:space="preserve">Pago Horacio Ramirez MAnto </t>
  </si>
  <si>
    <t>pago Sr. Alan Manto.</t>
  </si>
  <si>
    <t>reposicion Dani B</t>
  </si>
  <si>
    <t>pago viáticos Juárez</t>
  </si>
  <si>
    <t>pago de manto edificio A2 (R)</t>
  </si>
  <si>
    <t>pago nomina de A11 (R)</t>
  </si>
  <si>
    <t>Pago de Credito Ruvadesa (500k Capital + 32.25k Interes)</t>
  </si>
  <si>
    <t xml:space="preserve">pago de aseo urbano THR </t>
  </si>
  <si>
    <t>pago de Luz de A6</t>
  </si>
  <si>
    <t xml:space="preserve">pago tramite VISA CECI </t>
  </si>
  <si>
    <t xml:space="preserve">pago tramite PC Parral </t>
  </si>
  <si>
    <t>pago telepeaje Dani</t>
  </si>
  <si>
    <t xml:space="preserve">pago telepeaje  Idalia Amado </t>
  </si>
  <si>
    <t xml:space="preserve">pago telepeaje  Leopoldo </t>
  </si>
  <si>
    <t>pago de agua insumo  A11(R)</t>
  </si>
  <si>
    <t>pago de IMSS de A15 (R)</t>
  </si>
  <si>
    <t>pago de uber de E3 (R)</t>
  </si>
  <si>
    <t>pago de fondo de E8 (R)</t>
  </si>
  <si>
    <t>pago TC Petca</t>
  </si>
  <si>
    <t>Viaticos RH feria de empleo</t>
  </si>
  <si>
    <t xml:space="preserve">pago vidrio de E9 </t>
  </si>
  <si>
    <t xml:space="preserve">pago reparacion del parabrisas del camio </t>
  </si>
  <si>
    <t>pago anticipo sonido caprichos venta de verano</t>
  </si>
  <si>
    <t xml:space="preserve">viaticos THR </t>
  </si>
  <si>
    <t xml:space="preserve">viaticos de Swat THR </t>
  </si>
  <si>
    <t>si</t>
  </si>
  <si>
    <t xml:space="preserve">viaticos Ruben H </t>
  </si>
  <si>
    <t xml:space="preserve">compra de computadora Inventarios </t>
  </si>
  <si>
    <t xml:space="preserve">pago  GTS Lonas THR </t>
  </si>
  <si>
    <t xml:space="preserve">pago de Calcas GTS Caprichos </t>
  </si>
  <si>
    <t xml:space="preserve">pago servicio camion CEDIS </t>
  </si>
  <si>
    <t xml:space="preserve">pago reparacion camion </t>
  </si>
  <si>
    <t xml:space="preserve">pago reposicion combustible Carmen Urbina </t>
  </si>
  <si>
    <t>pago deuber de A17  (R)</t>
  </si>
  <si>
    <t>pago de influencer de E9 (R)</t>
  </si>
  <si>
    <t>Pago de Credito Ruvadesa (1M Capital + 63k Interes)</t>
  </si>
  <si>
    <t xml:space="preserve">pago reembolso amortiguadores </t>
  </si>
  <si>
    <t xml:space="preserve">Pago Decoracion venta de verano THR </t>
  </si>
  <si>
    <t xml:space="preserve">pago de viaticos de CEDIS </t>
  </si>
  <si>
    <t>pago de JMAS de A5  (R)</t>
  </si>
  <si>
    <t>pago de uber de A!2 (R)</t>
  </si>
  <si>
    <t>pago de papeleria de A17 (R)</t>
  </si>
  <si>
    <t>pago manto edificio A (R)</t>
  </si>
  <si>
    <t>pago de nomina E5 (R)</t>
  </si>
  <si>
    <t xml:space="preserve">pago de viaticos  Luisa viaje a Torreon </t>
  </si>
  <si>
    <t>pago estacionamiento Oscar R</t>
  </si>
  <si>
    <t xml:space="preserve">reposicion combustible Juan Carlos </t>
  </si>
  <si>
    <t xml:space="preserve">pago cosein consultoria </t>
  </si>
  <si>
    <t xml:space="preserve">pago de Agua de A10 </t>
  </si>
  <si>
    <t>reposicion  Idalia</t>
  </si>
  <si>
    <t xml:space="preserve">reposicion Jonatha </t>
  </si>
  <si>
    <t xml:space="preserve">viaticos Martha Melendez viaje a Juarez </t>
  </si>
  <si>
    <t>Pago seguro Jetta</t>
  </si>
  <si>
    <t xml:space="preserve">pago viáticos EL Caprichos </t>
  </si>
  <si>
    <t>comison por manejo de cuenta</t>
  </si>
  <si>
    <t xml:space="preserve">pago de comida de venta de verano  THR </t>
  </si>
  <si>
    <t xml:space="preserve">pago de viaticos de A24 Imagen visual THR </t>
  </si>
  <si>
    <t xml:space="preserve">pago de viaticos de THR </t>
  </si>
  <si>
    <t>insumos junta trimestral</t>
  </si>
  <si>
    <t xml:space="preserve">compra tonner Auditoria </t>
  </si>
  <si>
    <t xml:space="preserve">manto de aire de A10 </t>
  </si>
  <si>
    <t xml:space="preserve">pago canalon de E5 manto </t>
  </si>
  <si>
    <t xml:space="preserve">pago de Agua de cuarto de archivo </t>
  </si>
  <si>
    <t xml:space="preserve">compra de mat de reparacion RAV 4 </t>
  </si>
  <si>
    <t>pago de estacionamiento A2 (R)</t>
  </si>
  <si>
    <t>pago de libro de información (R)</t>
  </si>
  <si>
    <t>pago de manto edificio  E2 (R)</t>
  </si>
  <si>
    <t>pago de insumo de E9 (R)</t>
  </si>
  <si>
    <t xml:space="preserve">compra de computadoras Conta y sistemas </t>
  </si>
  <si>
    <t xml:space="preserve">Pago de Horacio Ramirez </t>
  </si>
  <si>
    <t>viaticos Manto chiahuahua</t>
  </si>
  <si>
    <t xml:space="preserve">reposicion combustible Ruben </t>
  </si>
  <si>
    <t>reparacion marcha Rav 4</t>
  </si>
  <si>
    <t xml:space="preserve">compra de cintas para tesoreria </t>
  </si>
  <si>
    <t>Pago de estacionamiento de A10 (R)</t>
  </si>
  <si>
    <t>pago  de uber de E4 (R)</t>
  </si>
  <si>
    <t xml:space="preserve">ingreso reembolso SGM </t>
  </si>
  <si>
    <t xml:space="preserve">pago decoracion venta de verano THR </t>
  </si>
  <si>
    <t xml:space="preserve">pago influencer venta de verano THR </t>
  </si>
  <si>
    <t xml:space="preserve">pago comida venta verano caprichos </t>
  </si>
  <si>
    <t>pago decoracion venta de verano Caprichos</t>
  </si>
  <si>
    <t>reposicion Haidee comida</t>
  </si>
  <si>
    <t xml:space="preserve">pago de Alarma THR </t>
  </si>
  <si>
    <t xml:space="preserve">pago de total play </t>
  </si>
  <si>
    <t xml:space="preserve">Pago de vidrio de A9 </t>
  </si>
  <si>
    <t xml:space="preserve">Pago topes dulces y botanas THR </t>
  </si>
  <si>
    <t>Pago sonido venta de verano caprichos</t>
  </si>
  <si>
    <t xml:space="preserve">Pago Electrica Rios </t>
  </si>
  <si>
    <t xml:space="preserve">Pago telepeaje CEDIS </t>
  </si>
  <si>
    <t>Pago telepeaje  Idalia THR</t>
  </si>
  <si>
    <t>Pago telepeaje  Caprichos</t>
  </si>
  <si>
    <t xml:space="preserve">Pago telepeaje  CEDIS </t>
  </si>
  <si>
    <t xml:space="preserve">Pago laminas mat para A18 </t>
  </si>
  <si>
    <t>pago de insumos de A9 (R)</t>
  </si>
  <si>
    <t>pago de  insumos   A10 (R)</t>
  </si>
  <si>
    <t>Dispersión THR y Codare    4 y 5 de Junio</t>
  </si>
  <si>
    <t>Jul</t>
  </si>
  <si>
    <t>Dispersión THR y Codare    6 de Junio</t>
  </si>
  <si>
    <t>Nómina</t>
  </si>
  <si>
    <t xml:space="preserve">pago de luz de A11 </t>
  </si>
  <si>
    <t>pago de luz de A3</t>
  </si>
  <si>
    <t xml:space="preserve">pago canalon de A24 </t>
  </si>
  <si>
    <t xml:space="preserve">pago de comida de CEDIS </t>
  </si>
  <si>
    <t xml:space="preserve">viáticos sistemas </t>
  </si>
  <si>
    <t>pago servicio Tornado</t>
  </si>
  <si>
    <t xml:space="preserve">Para TC JVS </t>
  </si>
  <si>
    <t>Pago de nomina  A8 (R)</t>
  </si>
  <si>
    <t>pago dinamica de beis ball A10 (R)</t>
  </si>
  <si>
    <t>pago de agua insumo de A11 (R)</t>
  </si>
  <si>
    <t>pago de manto de edificio  A16 (R)</t>
  </si>
  <si>
    <t>pago de insumos de A17 (R)</t>
  </si>
  <si>
    <t>pago de gastos de personal  E1 (R)</t>
  </si>
  <si>
    <t>pago  de manto de edificio E5  (R)</t>
  </si>
  <si>
    <t>pago de consulta de E8 (R)</t>
  </si>
  <si>
    <t>pago de botarga de L1 (R)</t>
  </si>
  <si>
    <t>pago comida Nadia L1 (R)</t>
  </si>
  <si>
    <t xml:space="preserve">pago fondo Jocelyn </t>
  </si>
  <si>
    <t xml:space="preserve">compra Discos SSD </t>
  </si>
  <si>
    <t xml:space="preserve">Viaticos Caprichos </t>
  </si>
  <si>
    <t xml:space="preserve">Reposicion Luisa </t>
  </si>
  <si>
    <t>pago de Nomina de E2 (R)</t>
  </si>
  <si>
    <t>Pago de Credito Ruvadesa (200k Capital + 14.1k Interes)</t>
  </si>
  <si>
    <t xml:space="preserve">Pago Alarma de Durango </t>
  </si>
  <si>
    <t xml:space="preserve">pago comida EL Caprichos </t>
  </si>
  <si>
    <t>compra gas montacargas</t>
  </si>
  <si>
    <t xml:space="preserve">pago seguro Camion CEDIS </t>
  </si>
  <si>
    <t>pago de JMAS de A4 (R)</t>
  </si>
  <si>
    <t>pago reposicion Fondo Paola Quintana</t>
  </si>
  <si>
    <t>pago compras coffe break</t>
  </si>
  <si>
    <t>pago comida EL Servicios</t>
  </si>
  <si>
    <t xml:space="preserve">pago de Luz de E2 </t>
  </si>
  <si>
    <t xml:space="preserve">pago viaticos inventarios </t>
  </si>
  <si>
    <t>pago viaticos Raul</t>
  </si>
  <si>
    <t xml:space="preserve">pago Horacio Ramirez </t>
  </si>
  <si>
    <t xml:space="preserve">pago de viáticos A6 </t>
  </si>
  <si>
    <t xml:space="preserve">pago reparacion del camion </t>
  </si>
  <si>
    <t xml:space="preserve">pago consulta chofer </t>
  </si>
  <si>
    <t>Pago de uber de A12 (R)</t>
  </si>
  <si>
    <t xml:space="preserve">Pago Julio Cesar Rios Codare </t>
  </si>
  <si>
    <t>compra pastel FAI</t>
  </si>
  <si>
    <t>pago servicios SEPSA E9</t>
  </si>
  <si>
    <t xml:space="preserve">pago Viaticos Casas Grandes THR </t>
  </si>
  <si>
    <t xml:space="preserve">pago viaticos MArcos CRuz </t>
  </si>
  <si>
    <t>pago Agua de A2</t>
  </si>
  <si>
    <t xml:space="preserve">insumos tesoreria </t>
  </si>
  <si>
    <t xml:space="preserve">pago combustible Marcos viaje a Camargo </t>
  </si>
  <si>
    <t>pago de uber de  A17 (R)</t>
  </si>
  <si>
    <t>pago de uber  de E2(R)</t>
  </si>
  <si>
    <t>pago de cobro doble E3(R)</t>
  </si>
  <si>
    <t>pago de manto de minisplit de A1</t>
  </si>
  <si>
    <t>pago de manto de minisplit de E1</t>
  </si>
  <si>
    <t xml:space="preserve">pago reposicion Oscar Robledo </t>
  </si>
  <si>
    <t xml:space="preserve">pago parquimetros  </t>
  </si>
  <si>
    <t xml:space="preserve">viaticos Rubén </t>
  </si>
  <si>
    <t xml:space="preserve">pago  de viaticos CEDIS </t>
  </si>
  <si>
    <t>pago de beisball A1 (R)</t>
  </si>
  <si>
    <t>pago de nomina temporada  A8(R)</t>
  </si>
  <si>
    <t>pago de nomina de A9 (R)</t>
  </si>
  <si>
    <t xml:space="preserve">Pago Alarma Petca </t>
  </si>
  <si>
    <t xml:space="preserve">pago reposicion Dani </t>
  </si>
  <si>
    <t>pago reposicion Idalia</t>
  </si>
  <si>
    <t xml:space="preserve">pago reposicion jonathan </t>
  </si>
  <si>
    <t>pago reposicion Luisa</t>
  </si>
  <si>
    <t>pago reposicion Perla</t>
  </si>
  <si>
    <t>pago HoracioRamirez</t>
  </si>
  <si>
    <t xml:space="preserve">pago de  repuve del Jetta </t>
  </si>
  <si>
    <t>pago de manto edifico de A6 (R)</t>
  </si>
  <si>
    <t>pago de relleno sanitario A16 (R)</t>
  </si>
  <si>
    <t>pago de uber de  E4 (R)</t>
  </si>
  <si>
    <t>Ingreso por Disposicion Hey Banco</t>
  </si>
  <si>
    <t>Pago Machine Learning</t>
  </si>
  <si>
    <t>Pago Deltor Petca</t>
  </si>
  <si>
    <t xml:space="preserve">pago de poderes THR y CODARE </t>
  </si>
  <si>
    <t xml:space="preserve">viaticos Martha viaje a Juarez </t>
  </si>
  <si>
    <t>pago telepeaje  Fernando Ibarra</t>
  </si>
  <si>
    <t>pago telepeaje Idalia THR</t>
  </si>
  <si>
    <t xml:space="preserve">pago viaticos Caprichos </t>
  </si>
  <si>
    <t>pago bufete notarial</t>
  </si>
  <si>
    <t xml:space="preserve">combustible Extra CEDIS </t>
  </si>
  <si>
    <t>pago manto minisplit E1</t>
  </si>
  <si>
    <t xml:space="preserve">pago viáticos RH </t>
  </si>
  <si>
    <t xml:space="preserve">ingreso sobrante del gasto de Juntas trimestrales </t>
  </si>
  <si>
    <t>Pago alarma caprichos</t>
  </si>
  <si>
    <t xml:space="preserve">Pago servicio HRV Caprichos </t>
  </si>
  <si>
    <t>Pago Mael Bordados</t>
  </si>
  <si>
    <t xml:space="preserve">insumos MKT </t>
  </si>
  <si>
    <t xml:space="preserve">pago de estacionamiento de A10 </t>
  </si>
  <si>
    <t xml:space="preserve">pago alarma THR </t>
  </si>
  <si>
    <t>pago viáticos Auditoria</t>
  </si>
  <si>
    <t>pagode uber de E3 (R)</t>
  </si>
  <si>
    <t>pago de constancia derecho de piso  E3 (R)</t>
  </si>
  <si>
    <t>pago de finiquito de E7 (R)</t>
  </si>
  <si>
    <t xml:space="preserve">compra de jalon ind  para CEDIS </t>
  </si>
  <si>
    <t>pago comida Finanzas</t>
  </si>
  <si>
    <t xml:space="preserve">pago de viaticos Ruben </t>
  </si>
  <si>
    <t xml:space="preserve">pago prod quimicos </t>
  </si>
  <si>
    <t xml:space="preserve">pago renovacion cuentas google </t>
  </si>
  <si>
    <t xml:space="preserve">reposicion estacionamientos Oscar </t>
  </si>
  <si>
    <t>pago compra de insumo agua A22 (R)</t>
  </si>
  <si>
    <t>pago de manto de edificio E5 (R)</t>
  </si>
  <si>
    <t>pago fondo Arquitecta</t>
  </si>
  <si>
    <t xml:space="preserve">pago compra de cafe Paola </t>
  </si>
  <si>
    <t xml:space="preserve">pago gas montacargas </t>
  </si>
  <si>
    <t>pago para activdades de beisball</t>
  </si>
  <si>
    <t xml:space="preserve">pago de insumos marketing </t>
  </si>
  <si>
    <t xml:space="preserve">Pago Frogmi </t>
  </si>
  <si>
    <t>pago de luz de A10</t>
  </si>
  <si>
    <t xml:space="preserve">pago de luz de  A14 </t>
  </si>
  <si>
    <t>pago de luz de E1</t>
  </si>
  <si>
    <t>pago telcel linea de CEDIS</t>
  </si>
  <si>
    <t xml:space="preserve">pago de luz de oficina archivo </t>
  </si>
  <si>
    <t xml:space="preserve">pago bitacoras THR </t>
  </si>
  <si>
    <t xml:space="preserve">Pago electrica Rios </t>
  </si>
  <si>
    <t>Pago de uber de A5 (R)</t>
  </si>
  <si>
    <t>pago de manto edificio A24 (R)</t>
  </si>
  <si>
    <t xml:space="preserve">Pago credito Hb Codare </t>
  </si>
  <si>
    <t>pago reposicion Dani Borunda</t>
  </si>
  <si>
    <t xml:space="preserve">pago reposicion Jonathan </t>
  </si>
  <si>
    <t>pago reposicion Perla Avitia</t>
  </si>
  <si>
    <t xml:space="preserve">Pago reposicion Luisa Roan </t>
  </si>
  <si>
    <t xml:space="preserve">viaticos CEDIS viaje a Juarez </t>
  </si>
  <si>
    <t xml:space="preserve">compra botiquin recursos </t>
  </si>
  <si>
    <t xml:space="preserve">reparacion Muebles A1 </t>
  </si>
  <si>
    <t xml:space="preserve">pago reparacion de muebles de A11 </t>
  </si>
  <si>
    <t xml:space="preserve">pago de JMAS A1 </t>
  </si>
  <si>
    <t xml:space="preserve">impresion de comprobante y duplicado de no adeudo </t>
  </si>
  <si>
    <t>pago reposicion de fondo Cristi</t>
  </si>
  <si>
    <t xml:space="preserve">pizarron MKT </t>
  </si>
  <si>
    <t xml:space="preserve">Pago fondo CEDIS </t>
  </si>
  <si>
    <t>Pago Horacio Ramirez</t>
  </si>
  <si>
    <t>reposicion Daniela  Borunda</t>
  </si>
  <si>
    <t xml:space="preserve">pago Cesar Antonio Rios </t>
  </si>
  <si>
    <t xml:space="preserve">pago antivirus Sistemas </t>
  </si>
  <si>
    <t xml:space="preserve">compra de material de manto para E7 y A22 sistemas </t>
  </si>
  <si>
    <t>pago limpieza estacionamiento CEDIS</t>
  </si>
  <si>
    <t>Uber a17 (R)</t>
  </si>
  <si>
    <t>Mantenimiento de Edificio a24  (R)</t>
  </si>
  <si>
    <t>Uber E2  (R)</t>
  </si>
  <si>
    <t>Uber E4  (R)</t>
  </si>
  <si>
    <t>Paqueteria CT</t>
  </si>
  <si>
    <t>Viaticos Compradoras</t>
  </si>
  <si>
    <t>Combustible  vehiculo</t>
  </si>
  <si>
    <t>Honorarios Fideapech</t>
  </si>
  <si>
    <t>Pago de Telepeaje Cedis</t>
  </si>
  <si>
    <t>Pago de Telepeaje HR</t>
  </si>
  <si>
    <t>Pago de Telepeaje Finanzas</t>
  </si>
  <si>
    <t>Uber A3 (R)</t>
  </si>
  <si>
    <t>Agua Insumos A11 (R)</t>
  </si>
  <si>
    <t>Uber A17(R)</t>
  </si>
  <si>
    <t>Uber E2 (R)</t>
  </si>
  <si>
    <t>Uber E4 (R)</t>
  </si>
  <si>
    <t>Uber A5 (R)</t>
  </si>
  <si>
    <t>Mtto de Edificio A6 (R)</t>
  </si>
  <si>
    <t>Agua Insumos A6 (R)</t>
  </si>
  <si>
    <t>Aseo Ubrbano E5 (R)</t>
  </si>
  <si>
    <t>Fumigacion E8 (R)</t>
  </si>
  <si>
    <t>Estacionamiento Oscar</t>
  </si>
  <si>
    <t>Viaticos Nadia</t>
  </si>
  <si>
    <t>JMAS A1</t>
  </si>
  <si>
    <t>JMAS A9</t>
  </si>
  <si>
    <t>JMAS CEDIS</t>
  </si>
  <si>
    <t>JMAS E1</t>
  </si>
  <si>
    <t>Sivale</t>
  </si>
  <si>
    <t>Luz e2</t>
  </si>
  <si>
    <t>Aseo Urbano</t>
  </si>
  <si>
    <t>Servicio Kenworth</t>
  </si>
  <si>
    <t>Fondo Imagen Visual (Porta precios)</t>
  </si>
  <si>
    <t>Pago de Influencer</t>
  </si>
  <si>
    <t>Paqueteria Durango</t>
  </si>
  <si>
    <t>Ingreso de ML para pago de cintas mercado libre cintas ML</t>
  </si>
  <si>
    <t>Insumos de Marketing</t>
  </si>
  <si>
    <t>Viaticos Cedis</t>
  </si>
  <si>
    <t>Medicamento Chofer CEDIS</t>
  </si>
  <si>
    <t>Pago de TC Amex</t>
  </si>
  <si>
    <t>Pago de Nomina E1 Yazmin Garcia</t>
  </si>
  <si>
    <t>Apoyo de Transporte E2</t>
  </si>
  <si>
    <t>Retiro por faltante en nomina E2</t>
  </si>
  <si>
    <t>Apoyo de Transporte E4</t>
  </si>
  <si>
    <t>Pago de Nomina Mariana Orozco E5</t>
  </si>
  <si>
    <t>Pago de nomina Denisse Orduño E5</t>
  </si>
  <si>
    <t>Apoyo Transporte A18</t>
  </si>
  <si>
    <t>Nomina Contencion A8</t>
  </si>
  <si>
    <t>JMAS A18</t>
  </si>
  <si>
    <t>Apoyo Transporte a18</t>
  </si>
  <si>
    <t>Notas sr Alan MTTO</t>
  </si>
  <si>
    <t>Aceite I10</t>
  </si>
  <si>
    <t>Reposicion de Fondo D3</t>
  </si>
  <si>
    <t>Agua e8</t>
  </si>
  <si>
    <t>Agua a8</t>
  </si>
  <si>
    <t>Agua E9</t>
  </si>
  <si>
    <t>Viaticos ELC</t>
  </si>
  <si>
    <t>Compra de esquineros, tablaroca y postes para cedis</t>
  </si>
  <si>
    <t>Envio de Paqueteria a L01</t>
  </si>
  <si>
    <t xml:space="preserve">Fernando Javier Reyes Ocaña </t>
  </si>
  <si>
    <t>Afinacion Mayor Tornado</t>
  </si>
  <si>
    <t>Greenbag Solutions</t>
  </si>
  <si>
    <t>Pago de renta Variable E8</t>
  </si>
  <si>
    <t>Pago de Uber A5</t>
  </si>
  <si>
    <t>Pago de Uber E2</t>
  </si>
  <si>
    <t>Pago de Uber E4</t>
  </si>
  <si>
    <t>Servicio Aveo D1 HR</t>
  </si>
  <si>
    <t>ingreso  devolucion Notaria</t>
  </si>
  <si>
    <t xml:space="preserve">pago tapiz camioneta rav 4 </t>
  </si>
  <si>
    <t>pago Miriam Avila pago servicios Nomipaq</t>
  </si>
  <si>
    <t xml:space="preserve">Pago BEMA THR </t>
  </si>
  <si>
    <t>compra de pilas y switch para E7 y A22</t>
  </si>
  <si>
    <t>pago licencia uso de suelo Parral E3</t>
  </si>
  <si>
    <t xml:space="preserve">pago de JMAS de A10 </t>
  </si>
  <si>
    <t xml:space="preserve">pago reparación Sandero </t>
  </si>
  <si>
    <t>reposicion de fondo Daniela Borunda</t>
  </si>
  <si>
    <t>pago de viaticos MKT carpichos</t>
  </si>
  <si>
    <t>pago de Viaticos Marketing (Marisol)</t>
  </si>
  <si>
    <t xml:space="preserve">ingreso por compra con TC de Jocelin </t>
  </si>
  <si>
    <t>Pago soluone</t>
  </si>
  <si>
    <t xml:space="preserve">gas para montacargas CEDIS </t>
  </si>
  <si>
    <t xml:space="preserve">pago  GTS muestras caprichos </t>
  </si>
  <si>
    <t>Pago Telmex</t>
  </si>
  <si>
    <t xml:space="preserve">pago viáticos sistemas </t>
  </si>
  <si>
    <t>pago manto de edificio A16</t>
  </si>
  <si>
    <t xml:space="preserve">pago de uber A18 </t>
  </si>
  <si>
    <t>pago de uber de E2</t>
  </si>
  <si>
    <t>pago de manto de edificio de E3</t>
  </si>
  <si>
    <t>pago de uber de E4</t>
  </si>
  <si>
    <t xml:space="preserve">pago de insumos de E5 </t>
  </si>
  <si>
    <t xml:space="preserve">pago espejo de ponte guapa </t>
  </si>
  <si>
    <t>pago de luz  A16</t>
  </si>
  <si>
    <t>pago de Luz CEDIS 3</t>
  </si>
  <si>
    <t>pago de luz CORP 1</t>
  </si>
  <si>
    <t>pago de luz CORP 2</t>
  </si>
  <si>
    <t xml:space="preserve">pago de luz de E6 </t>
  </si>
  <si>
    <t xml:space="preserve">Pago Prductos BEMA </t>
  </si>
  <si>
    <t xml:space="preserve">pago viaticos Oscar RObledo </t>
  </si>
  <si>
    <t>pago viaticos Ruben Hernandez</t>
  </si>
  <si>
    <t>pago viaticos Miguel Alaniz</t>
  </si>
  <si>
    <t xml:space="preserve">pago reposicion comida comite </t>
  </si>
  <si>
    <t>reposicion Oscar Robledo estacionamientos</t>
  </si>
  <si>
    <t xml:space="preserve">pago de viaticos MKT </t>
  </si>
  <si>
    <t>pago MKT Activacion MELISSA</t>
  </si>
  <si>
    <t xml:space="preserve">compra de insumos de MKT </t>
  </si>
  <si>
    <t>pago de estacionamiento A15 (R)</t>
  </si>
  <si>
    <t>pago de mantenimiento de edificio de A16 (R)</t>
  </si>
  <si>
    <t>pago de Canaco E1 (R)</t>
  </si>
  <si>
    <t>Dispersión THR y Codare    1 y 2 de agosto</t>
  </si>
  <si>
    <t>Ago</t>
  </si>
  <si>
    <t xml:space="preserve">Dispersión THR y Codare    3 de Agosto </t>
  </si>
  <si>
    <t xml:space="preserve">Pago GTS patriotico THR </t>
  </si>
  <si>
    <t xml:space="preserve">pago GTS regreso a clases THR </t>
  </si>
  <si>
    <t xml:space="preserve">Pago Golden Star </t>
  </si>
  <si>
    <t>reposición combustible swats</t>
  </si>
  <si>
    <t>Pago de Luz de A18</t>
  </si>
  <si>
    <t xml:space="preserve">pago influencer de HR </t>
  </si>
  <si>
    <t xml:space="preserve">Pago viaticos Lizbeth </t>
  </si>
  <si>
    <t>pago de comida de CEDIS</t>
  </si>
  <si>
    <t>Pago de uber de A5</t>
  </si>
  <si>
    <t>pago de insumos A11</t>
  </si>
  <si>
    <t>pago de manto edificio A16</t>
  </si>
  <si>
    <t>pago de uber de A8</t>
  </si>
  <si>
    <t>pago de nomina de E1</t>
  </si>
  <si>
    <t>pago de JMAS de E3</t>
  </si>
  <si>
    <t>pago de nomina de E5</t>
  </si>
  <si>
    <t xml:space="preserve">pago de insumos de E8 </t>
  </si>
  <si>
    <t>combustible sistemas</t>
  </si>
  <si>
    <t>pago fondo Jocelin (manto)</t>
  </si>
  <si>
    <t>Jesus Luna contacto de A11</t>
  </si>
  <si>
    <t>Abono Ruvadesa (Capital 500k + 48,575 Interes)</t>
  </si>
  <si>
    <t>Reembolso bolsa de Compras (Pelotas de Baseball)</t>
  </si>
  <si>
    <t>Reembolso bolsa de Compras (Botarga HR)</t>
  </si>
  <si>
    <t xml:space="preserve">Pago Chalecos sistemas </t>
  </si>
  <si>
    <t>pago insumos agua  A17 (R)</t>
  </si>
  <si>
    <t xml:space="preserve">parquimetros  Juan Carlos </t>
  </si>
  <si>
    <t xml:space="preserve">pago cursos Rh </t>
  </si>
  <si>
    <t xml:space="preserve">pago electrica Rios </t>
  </si>
  <si>
    <t xml:space="preserve">reposicion Jonathan THR </t>
  </si>
  <si>
    <t xml:space="preserve">compra de Chips RH </t>
  </si>
  <si>
    <t xml:space="preserve">viaticos a Juarez CEDIS </t>
  </si>
  <si>
    <t xml:space="preserve">ingreso prestamo CODARE HB </t>
  </si>
  <si>
    <t xml:space="preserve">Pago productos Quimicos </t>
  </si>
  <si>
    <t xml:space="preserve">Pago telelepeaje CEDIS </t>
  </si>
  <si>
    <t>Pago telelepeaje HR</t>
  </si>
  <si>
    <t xml:space="preserve">Pago telelepeaje Caprichos  </t>
  </si>
  <si>
    <t xml:space="preserve">pago reposicion Dani  THR </t>
  </si>
  <si>
    <t xml:space="preserve">Pago reposicion Idalia </t>
  </si>
  <si>
    <t>viaticos Caprichos</t>
  </si>
  <si>
    <t xml:space="preserve">reposicion combustible Cristi </t>
  </si>
  <si>
    <t xml:space="preserve">compra chip RH </t>
  </si>
  <si>
    <t>pago comida distrital A22 (R)</t>
  </si>
  <si>
    <t>pago insumos E2 (R)</t>
  </si>
  <si>
    <t>pago de insumos de E8  (R)</t>
  </si>
  <si>
    <t>pago anuncio de A1</t>
  </si>
  <si>
    <t xml:space="preserve">pago de todo iluminacion THR venta de verano  reflector </t>
  </si>
  <si>
    <t xml:space="preserve">pago green solution </t>
  </si>
  <si>
    <t>Pago de Luz de E8</t>
  </si>
  <si>
    <t>pago  Telcel Codare</t>
  </si>
  <si>
    <t xml:space="preserve">pago Telcel THR </t>
  </si>
  <si>
    <t xml:space="preserve">pago rivalidacion camioneta Ruben </t>
  </si>
  <si>
    <t xml:space="preserve">pago fondo  de Beis MKT </t>
  </si>
  <si>
    <t xml:space="preserve">compra isumos MKT </t>
  </si>
  <si>
    <t xml:space="preserve">reposicion fondo  Luis Roan </t>
  </si>
  <si>
    <t>pago manto edificio A10 (R)</t>
  </si>
  <si>
    <t>pago insumos E2(R)</t>
  </si>
  <si>
    <t>pago uber de E4 (R)</t>
  </si>
  <si>
    <t xml:space="preserve">pago viaticos Miguel </t>
  </si>
  <si>
    <t>Pago de Luz de A1</t>
  </si>
  <si>
    <t xml:space="preserve">Pago de luz de A23 </t>
  </si>
  <si>
    <t>pago reposicion combustible Cristi</t>
  </si>
  <si>
    <t xml:space="preserve">reposicion estacionamiento Oscar </t>
  </si>
  <si>
    <t xml:space="preserve">pago de viaticos de Ruben </t>
  </si>
  <si>
    <t>Pago de nomina de A8 (R)</t>
  </si>
  <si>
    <t>pago de insumos E7 (R)</t>
  </si>
  <si>
    <t>pago spots Radio MKT</t>
  </si>
  <si>
    <t xml:space="preserve">pago viaticos Cristi THR </t>
  </si>
  <si>
    <t xml:space="preserve">reposicion Fabi Delgado </t>
  </si>
  <si>
    <t>pago viaticos de CEDIS</t>
  </si>
  <si>
    <t>reposicion Combustible Ramon</t>
  </si>
  <si>
    <t xml:space="preserve">pago fondo CEDIS </t>
  </si>
  <si>
    <t xml:space="preserve">reposicion Estefania </t>
  </si>
  <si>
    <t xml:space="preserve">pago fondo MKT </t>
  </si>
  <si>
    <t xml:space="preserve">insumos coffe break </t>
  </si>
  <si>
    <t xml:space="preserve">compra de TV para THR </t>
  </si>
  <si>
    <t xml:space="preserve">compra de aditivo para camion </t>
  </si>
  <si>
    <t xml:space="preserve">cuadernillos de RH </t>
  </si>
  <si>
    <t xml:space="preserve">colaboracion fortaleza THR </t>
  </si>
  <si>
    <t xml:space="preserve">compra de Balero de camion </t>
  </si>
  <si>
    <t>pago boletos de Beis  A1 (R)</t>
  </si>
  <si>
    <t>pago de man edificio A2 (R)</t>
  </si>
  <si>
    <t>compras de cintas para A4 (R)</t>
  </si>
  <si>
    <t xml:space="preserve">pago de combustible de IV  A12 (R) </t>
  </si>
  <si>
    <t>pago de manto edificio  A15 (R)</t>
  </si>
  <si>
    <t>pago de  uber de A18 (R)</t>
  </si>
  <si>
    <t>pago de gasolina de E3 (R)</t>
  </si>
  <si>
    <t>Pago de gasolina de E9 (R)</t>
  </si>
  <si>
    <t>pago prestamo CODARE HB</t>
  </si>
  <si>
    <t xml:space="preserve">pago centro de copiado </t>
  </si>
  <si>
    <t>pago viaticos  sistemas</t>
  </si>
  <si>
    <t xml:space="preserve">consulta accidente manto </t>
  </si>
  <si>
    <t>pago agua de insumo A11 (R)</t>
  </si>
  <si>
    <t>pago de horas extras E1 (R)</t>
  </si>
  <si>
    <t xml:space="preserve">pago ventiladores para servidorr </t>
  </si>
  <si>
    <t xml:space="preserve">viaticos Julio manto </t>
  </si>
  <si>
    <t xml:space="preserve">activación caprichos </t>
  </si>
  <si>
    <t>viacticos auditoria</t>
  </si>
  <si>
    <t>viaticos Raul</t>
  </si>
  <si>
    <t xml:space="preserve">Pago etiquetas CEDIS </t>
  </si>
  <si>
    <t>reposicion Jazmin Perez</t>
  </si>
  <si>
    <t xml:space="preserve">viaticos Jazmin Perez </t>
  </si>
  <si>
    <t xml:space="preserve">reparacion del camion </t>
  </si>
  <si>
    <t xml:space="preserve">pago vidrio de A5 </t>
  </si>
  <si>
    <t>pago de Jmas de A6 (R)</t>
  </si>
  <si>
    <t>pago de insumos de A12 (R)</t>
  </si>
  <si>
    <t>pago de fumigacion de E4 (R)</t>
  </si>
  <si>
    <t>pago de insumos de de E9 (R)</t>
  </si>
  <si>
    <t xml:space="preserve">pago Tolal Play </t>
  </si>
  <si>
    <t xml:space="preserve">pago telepeaje  Idalia </t>
  </si>
  <si>
    <t>pago telepeaje  Dani B</t>
  </si>
  <si>
    <t xml:space="preserve">pago extintores A 04 </t>
  </si>
  <si>
    <t xml:space="preserve">viaticos mantenimiento </t>
  </si>
  <si>
    <t xml:space="preserve">pago de insumos botiquin </t>
  </si>
  <si>
    <t>pago de manto edificio A4 (R)</t>
  </si>
  <si>
    <t>pago de manto edificio A6</t>
  </si>
  <si>
    <t>pago de  JMAS de A17 (R)</t>
  </si>
  <si>
    <t>pago de de uber  E2 (R)</t>
  </si>
  <si>
    <t xml:space="preserve">ingreso por prestamo Codare HB </t>
  </si>
  <si>
    <t>Ingreso por sobrante de Viaticos Auditoria</t>
  </si>
  <si>
    <t>Alerta grupo VII HR agosto</t>
  </si>
  <si>
    <t>Alerta grupo VII CODARE</t>
  </si>
  <si>
    <t>fernando javer reyes</t>
  </si>
  <si>
    <t xml:space="preserve">viaticos de Raul manto </t>
  </si>
  <si>
    <t xml:space="preserve">viaticos de Nadia </t>
  </si>
  <si>
    <t>pago por cobro mal A2 (R)</t>
  </si>
  <si>
    <t>pago manto de edificio de A17 (R)</t>
  </si>
  <si>
    <t>pago de insumos  de E4 (R)</t>
  </si>
  <si>
    <t>pago manto edificio L1 (R)</t>
  </si>
  <si>
    <t xml:space="preserve">ingreso de ML pago TC JVS </t>
  </si>
  <si>
    <t>pago prestamo HB Codare</t>
  </si>
  <si>
    <t xml:space="preserve">pago TC Codare HB </t>
  </si>
  <si>
    <t xml:space="preserve">pago computadoras CEDIS </t>
  </si>
  <si>
    <t xml:space="preserve">pago compostura del camion cedis </t>
  </si>
  <si>
    <t>pago de vidrio de A5</t>
  </si>
  <si>
    <t xml:space="preserve">reposicion combustible MR </t>
  </si>
  <si>
    <t xml:space="preserve">viaticos Miguel Alaniz </t>
  </si>
  <si>
    <t>pago de nomina E1 (R)</t>
  </si>
  <si>
    <t>apgo de uber de E4 (R)</t>
  </si>
  <si>
    <t>pago por cobro mal E9 (R)</t>
  </si>
  <si>
    <t xml:space="preserve">Pago Luis Carlos Lezama manto electrico de A9 </t>
  </si>
  <si>
    <t>reparacion aire de A10</t>
  </si>
  <si>
    <t xml:space="preserve">pago de horacio manto </t>
  </si>
  <si>
    <t xml:space="preserve">viaticos Juarez </t>
  </si>
  <si>
    <t xml:space="preserve">viaticos MKT Caprichos </t>
  </si>
  <si>
    <t>pago de viaticos de Nadia L1 (R)</t>
  </si>
  <si>
    <t xml:space="preserve">pago de Frogmi </t>
  </si>
  <si>
    <t xml:space="preserve">reposicion fondo  Faby Delgado </t>
  </si>
  <si>
    <t xml:space="preserve">pago de viaticos Caprichos </t>
  </si>
  <si>
    <t xml:space="preserve">Pago de viaticos  THR </t>
  </si>
  <si>
    <t xml:space="preserve">viaticos Ruben viaje a Durango </t>
  </si>
  <si>
    <t>pago de gastos medicos de E7 (R)</t>
  </si>
  <si>
    <t xml:space="preserve">compra Antena de A9 </t>
  </si>
  <si>
    <t>pago luz de A4</t>
  </si>
  <si>
    <t>pago luz de A15</t>
  </si>
  <si>
    <t>Pago Bema Petca</t>
  </si>
  <si>
    <t>Pago servicio Spark Caprichos</t>
  </si>
  <si>
    <t xml:space="preserve">Pago SEPSA E9 </t>
  </si>
  <si>
    <t>pago de agua de A17 (R)</t>
  </si>
  <si>
    <t>pago de uber de L01 (R)</t>
  </si>
  <si>
    <t>Pago patronato Beis Ball</t>
  </si>
  <si>
    <t>pago viaticos Nadia</t>
  </si>
  <si>
    <t>pago SI VALE</t>
  </si>
  <si>
    <t xml:space="preserve">Pago linea telcel CEDIS </t>
  </si>
  <si>
    <t xml:space="preserve">Pago GTS Anuncio A9 </t>
  </si>
  <si>
    <t xml:space="preserve">Pago señaletica A2 </t>
  </si>
  <si>
    <t xml:space="preserve">pago de Luz de A24 </t>
  </si>
  <si>
    <t>pago de luz   de cuarto de archivo</t>
  </si>
  <si>
    <t>pago de playeras Elilu</t>
  </si>
  <si>
    <t xml:space="preserve">pago de viaticos de Miguel </t>
  </si>
  <si>
    <t>Pago de luz de la bodega de E6</t>
  </si>
  <si>
    <t xml:space="preserve">Pago de paqueteria Durango </t>
  </si>
  <si>
    <t xml:space="preserve">pago de gas montacargas </t>
  </si>
  <si>
    <t>pago de cobro doble E5  (R)</t>
  </si>
  <si>
    <t>pago de fumigacion E8 (R)</t>
  </si>
  <si>
    <t xml:space="preserve">Pago Aseo Urbano THR </t>
  </si>
  <si>
    <t xml:space="preserve">pago THR  </t>
  </si>
  <si>
    <t xml:space="preserve">pago CEDIS </t>
  </si>
  <si>
    <t xml:space="preserve">Insumos MKT </t>
  </si>
  <si>
    <t xml:space="preserve">pago MKT inlfuencer caprichos </t>
  </si>
  <si>
    <t xml:space="preserve">pago influencer MKT  THR </t>
  </si>
  <si>
    <t>reposicion combustible Cristi</t>
  </si>
  <si>
    <t xml:space="preserve">pago de viaticos THR </t>
  </si>
  <si>
    <t xml:space="preserve">pago de viaticos Auditoria </t>
  </si>
  <si>
    <t>reposicion estacionamiento Oscar R</t>
  </si>
  <si>
    <t>pago de manto de edificio  A4 (R)</t>
  </si>
  <si>
    <t>compra de agua insumo (R)</t>
  </si>
  <si>
    <t xml:space="preserve">pago TC AMex Petca </t>
  </si>
  <si>
    <t xml:space="preserve">viaticos Marcos Cruz viaje a Camargo </t>
  </si>
  <si>
    <t xml:space="preserve">pago de viaticos  MKT </t>
  </si>
  <si>
    <t xml:space="preserve">Pago reparacion  Sandero </t>
  </si>
  <si>
    <t>Pgo de insumos de A22 (R)</t>
  </si>
  <si>
    <t xml:space="preserve">pago de JMAS de A22 </t>
  </si>
  <si>
    <t>pago de estacionamiento y combustible de E5 (R)</t>
  </si>
  <si>
    <t>pago JMAS de A16 (R)</t>
  </si>
  <si>
    <t xml:space="preserve">Pago compra  tintas Caprichos </t>
  </si>
  <si>
    <t xml:space="preserve">viaticos de MKT </t>
  </si>
  <si>
    <t xml:space="preserve">pago de CHIP RH </t>
  </si>
  <si>
    <t xml:space="preserve">pago de viaticos sistemas </t>
  </si>
  <si>
    <t xml:space="preserve">viaticos Miguel </t>
  </si>
  <si>
    <t xml:space="preserve">reposicion Marcos Cruz </t>
  </si>
  <si>
    <t xml:space="preserve">compra de pintura de A10 </t>
  </si>
  <si>
    <t xml:space="preserve">pago de viaticos Miguel Alaniz </t>
  </si>
  <si>
    <t>pago de viáticos  Rubén Hernández</t>
  </si>
  <si>
    <t xml:space="preserve">Pago  reparacion camion CEDIS </t>
  </si>
  <si>
    <t>pago renta variable E8</t>
  </si>
  <si>
    <t xml:space="preserve">pago agua de E8 </t>
  </si>
  <si>
    <t>pago agua de E9</t>
  </si>
  <si>
    <t>Jose Luis Carlos Chávez</t>
  </si>
  <si>
    <t xml:space="preserve">pago CT </t>
  </si>
  <si>
    <t xml:space="preserve">Pago NewBerry </t>
  </si>
  <si>
    <t>compra de gas montacargas</t>
  </si>
  <si>
    <t xml:space="preserve">reposicion Perla CEDIS </t>
  </si>
  <si>
    <t xml:space="preserve">activacion MKT THR </t>
  </si>
  <si>
    <t>Pago  SI VALE</t>
  </si>
  <si>
    <t xml:space="preserve">pago de influencer colaboración </t>
  </si>
  <si>
    <t xml:space="preserve">pago comida tesoreria </t>
  </si>
  <si>
    <t xml:space="preserve">pago influencer MKT </t>
  </si>
  <si>
    <t>pago de CANACO de A3 (R)</t>
  </si>
  <si>
    <t>pago de estacionamiento E5 (R)</t>
  </si>
  <si>
    <t>Dispersión THR y Codare    29 y 30</t>
  </si>
  <si>
    <t>Sep</t>
  </si>
  <si>
    <t>Dispersión THR y Codare     31</t>
  </si>
  <si>
    <t xml:space="preserve">pago telmex </t>
  </si>
  <si>
    <t>pago MHA topes A2 y A10</t>
  </si>
  <si>
    <t>Pago horacio Ramirez</t>
  </si>
  <si>
    <t xml:space="preserve">pago de JMAS A2 </t>
  </si>
  <si>
    <t xml:space="preserve">pago de JMAS de A1 </t>
  </si>
  <si>
    <t xml:space="preserve">pago de JMAS de A9 </t>
  </si>
  <si>
    <t>reposicion estacionamiento oscar</t>
  </si>
  <si>
    <t xml:space="preserve">viaticos  CEDIS </t>
  </si>
  <si>
    <t xml:space="preserve">pago reparacion clutch camion CEDIS </t>
  </si>
  <si>
    <t>pago activacion  MKT  HR</t>
  </si>
  <si>
    <t xml:space="preserve">pago  activacion Caprichos </t>
  </si>
  <si>
    <t>pago de combustible IV (R)A3</t>
  </si>
  <si>
    <t>pago de  JMAS de A23 (R)</t>
  </si>
  <si>
    <t>pago de  JMAS de A24 (R)</t>
  </si>
  <si>
    <t>pago reparacion de puerta de E5 (R)</t>
  </si>
  <si>
    <t xml:space="preserve">Dispersión THR y Codare     </t>
  </si>
  <si>
    <t>reparacion electrica dañada y cambio de focos de A1</t>
  </si>
  <si>
    <t xml:space="preserve">pago paqueteria CEDIS </t>
  </si>
  <si>
    <t>reposicion compra de pila  HRV caprichos</t>
  </si>
  <si>
    <t xml:space="preserve">envio papeleria E10 </t>
  </si>
  <si>
    <t xml:space="preserve">reposicion Miguel Alaniz </t>
  </si>
  <si>
    <t xml:space="preserve">reposicion Faby Delgado </t>
  </si>
  <si>
    <t xml:space="preserve">pago de viaticos CEDIS Juarez </t>
  </si>
  <si>
    <t>pago de insumos A15 (R)</t>
  </si>
  <si>
    <t>pago de finiquito A23 (R)</t>
  </si>
  <si>
    <t>pago de  uber de E4 (R)</t>
  </si>
  <si>
    <t>Pago de Luz de A11</t>
  </si>
  <si>
    <t xml:space="preserve">compra de material para A2 </t>
  </si>
  <si>
    <t xml:space="preserve">viaticos de Caprichos </t>
  </si>
  <si>
    <t xml:space="preserve">viaticos y casetas sistemas </t>
  </si>
  <si>
    <t xml:space="preserve">viaticos RH viaje a Parral </t>
  </si>
  <si>
    <t xml:space="preserve">viáticos Liz MKT </t>
  </si>
  <si>
    <t xml:space="preserve">compra de canaletas </t>
  </si>
  <si>
    <t>compra de 537,66 DLLS TC 19,15</t>
  </si>
  <si>
    <t xml:space="preserve">pago de uber de A3 </t>
  </si>
  <si>
    <t>pago de JMAS de A11</t>
  </si>
  <si>
    <t xml:space="preserve">pago de uber de A17 </t>
  </si>
  <si>
    <t>pago de JMAS de A18</t>
  </si>
  <si>
    <t>pago de JMAS de A17</t>
  </si>
  <si>
    <t xml:space="preserve">pago de uber de E4 </t>
  </si>
  <si>
    <t xml:space="preserve">viaticos Mantenimiento </t>
  </si>
  <si>
    <t xml:space="preserve">pago termos fortaleza </t>
  </si>
  <si>
    <t xml:space="preserve">viaticos MKT </t>
  </si>
  <si>
    <t xml:space="preserve">combustible MKT </t>
  </si>
  <si>
    <t xml:space="preserve">pago de vitroleros MKT  caprichos </t>
  </si>
  <si>
    <t xml:space="preserve">pago telepeaje  Frenando Ibarra </t>
  </si>
  <si>
    <t xml:space="preserve">pago telepeaje  THR Dani </t>
  </si>
  <si>
    <t xml:space="preserve">pago de  CANACO de A5 </t>
  </si>
  <si>
    <t xml:space="preserve">pago de uber de E2 </t>
  </si>
  <si>
    <t>pago de estacionamiento E5</t>
  </si>
  <si>
    <t>pago de viaticos L1</t>
  </si>
  <si>
    <t xml:space="preserve">pago telepeaje  Cristy Baylon THR </t>
  </si>
  <si>
    <t xml:space="preserve">pago telepeaje Inventarios </t>
  </si>
  <si>
    <t xml:space="preserve">gas de CEDIS </t>
  </si>
  <si>
    <t>pago Marketng viaticos</t>
  </si>
  <si>
    <t xml:space="preserve">viaticos manto </t>
  </si>
  <si>
    <t>Pago Patrocinio Pioneros</t>
  </si>
  <si>
    <t xml:space="preserve">pago  trámites Marco </t>
  </si>
  <si>
    <t xml:space="preserve">pago viaticos Melissa </t>
  </si>
  <si>
    <t xml:space="preserve">pago Alarma E6 </t>
  </si>
  <si>
    <t xml:space="preserve">Pago pintura Ossel </t>
  </si>
  <si>
    <t>pago de agua insumo A11</t>
  </si>
  <si>
    <t>Pago TC JVS</t>
  </si>
  <si>
    <t xml:space="preserve">pago reparacion Rav 4 </t>
  </si>
  <si>
    <t xml:space="preserve">pago Technology Bussnies </t>
  </si>
  <si>
    <t xml:space="preserve">pago reparacion antena de A10 sistemas </t>
  </si>
  <si>
    <t>Pago material antena de A1</t>
  </si>
  <si>
    <t xml:space="preserve">combustible sistemas </t>
  </si>
  <si>
    <t>pago reposicion Oscar Robledo</t>
  </si>
  <si>
    <t xml:space="preserve">pago viáticos de CEDIS </t>
  </si>
  <si>
    <t xml:space="preserve">pago parquimentros  Juan Carlos </t>
  </si>
  <si>
    <t xml:space="preserve">pago de agua de A15 </t>
  </si>
  <si>
    <t>pago de uber de A3</t>
  </si>
  <si>
    <t>pago de uber de A2</t>
  </si>
  <si>
    <t>pago estacionamiento A10</t>
  </si>
  <si>
    <t>pago nomina A10</t>
  </si>
  <si>
    <t>pago nomina A11</t>
  </si>
  <si>
    <t>pago de uber de A17</t>
  </si>
  <si>
    <t>pago de insumos A17</t>
  </si>
  <si>
    <t>pago de nomina A22</t>
  </si>
  <si>
    <t>pago de focos de E2</t>
  </si>
  <si>
    <t xml:space="preserve">pago de JMAS de E3 </t>
  </si>
  <si>
    <t xml:space="preserve">Pago telcel THR </t>
  </si>
  <si>
    <t xml:space="preserve">pago telcel Codare </t>
  </si>
  <si>
    <t xml:space="preserve">pago Servicio Jetta </t>
  </si>
  <si>
    <t>viaticos caprichos</t>
  </si>
  <si>
    <t>reposicion Arq Caprichos</t>
  </si>
  <si>
    <t xml:space="preserve">reposicion Luis Roan Cap </t>
  </si>
  <si>
    <t xml:space="preserve">pago viáticos A6 THR </t>
  </si>
  <si>
    <t>pago de parquimetros A10 (R)</t>
  </si>
  <si>
    <t>pago de JMAS A14 (R)</t>
  </si>
  <si>
    <t>pago de uber A14 (R)</t>
  </si>
  <si>
    <t>pago de Uber deE2 (R)</t>
  </si>
  <si>
    <t>pago de E3 cobro doble (R)</t>
  </si>
  <si>
    <t>Pago Multiempaques insumos CEDIS</t>
  </si>
  <si>
    <t xml:space="preserve">pago viaticos Sistemas </t>
  </si>
  <si>
    <t xml:space="preserve">combustible sistemas viaje a Durango </t>
  </si>
  <si>
    <t xml:space="preserve">Pago pantalla Lap Jocelyn </t>
  </si>
  <si>
    <t>pago de starticket dev A18 (R)</t>
  </si>
  <si>
    <t>pago de fumigación de E4(R)</t>
  </si>
  <si>
    <t>pago de fuber de E8 (R)</t>
  </si>
  <si>
    <t>pago de comida de E1 (R)</t>
  </si>
  <si>
    <t xml:space="preserve">pago compra costales de sal para CEDIS </t>
  </si>
  <si>
    <t xml:space="preserve">viáticos Rubén </t>
  </si>
  <si>
    <t xml:space="preserve">reposicion por cobro doble </t>
  </si>
  <si>
    <t xml:space="preserve">activacion MKT </t>
  </si>
  <si>
    <t>pago manto edificio de A4 (R)</t>
  </si>
  <si>
    <t>pago de parquimetro de A10 (R)</t>
  </si>
  <si>
    <t>pago de comida y estacionamiento de L1 (R)</t>
  </si>
  <si>
    <t>Pago CANACO Caprichos</t>
  </si>
  <si>
    <t xml:space="preserve">pago CANACO THR </t>
  </si>
  <si>
    <t xml:space="preserve">viaticos NADIA </t>
  </si>
  <si>
    <t xml:space="preserve">combustible Auditoria </t>
  </si>
  <si>
    <t xml:space="preserve">pago registro de Marca </t>
  </si>
  <si>
    <t xml:space="preserve">pago modificaciones CFE </t>
  </si>
  <si>
    <t>pago manto edificio  A4(R)</t>
  </si>
  <si>
    <t>pago parquimetro  A10 (R)</t>
  </si>
  <si>
    <t>pago insumos de E3 (R)</t>
  </si>
  <si>
    <t>pago de comida y estacionamiento L1 (R)</t>
  </si>
  <si>
    <t>pago de insumos de A8  (R)</t>
  </si>
  <si>
    <t>Pago cristal de A5</t>
  </si>
  <si>
    <t xml:space="preserve">pago de viáticos Martha Melendez </t>
  </si>
  <si>
    <t xml:space="preserve">pago de inlfuencer MKT </t>
  </si>
  <si>
    <t xml:space="preserve">viaticos CEDIS Juárez </t>
  </si>
  <si>
    <t xml:space="preserve">viáticos CEDIS </t>
  </si>
  <si>
    <t xml:space="preserve">combustible A2 </t>
  </si>
  <si>
    <t xml:space="preserve">pago de globos Helio MKT </t>
  </si>
  <si>
    <t xml:space="preserve">pago manto de edificio  A3 (R) </t>
  </si>
  <si>
    <t>pago de  insumos de A10  (R)</t>
  </si>
  <si>
    <t>pago de insumos de A11(R)</t>
  </si>
  <si>
    <t>pago de manto edificio de A14(R)</t>
  </si>
  <si>
    <t>pago de compra de chapa de E2 (R)</t>
  </si>
  <si>
    <t xml:space="preserve">Dispersión THR y Codare     15 y 16 </t>
  </si>
  <si>
    <t xml:space="preserve">Ingreso bolsa socios pago de agua de julio </t>
  </si>
  <si>
    <t>pago de luz de A14</t>
  </si>
  <si>
    <t xml:space="preserve">pago reparacion antena A1 </t>
  </si>
  <si>
    <t xml:space="preserve">pago computadora de Auditoria </t>
  </si>
  <si>
    <t>Pago telepeaje Luis Archuleta</t>
  </si>
  <si>
    <t xml:space="preserve">Pago telepeaje  IDalia Amado THR </t>
  </si>
  <si>
    <t>pago telepeaje Cristina Baylon</t>
  </si>
  <si>
    <t>pago telepeaje Natanael</t>
  </si>
  <si>
    <t>pago MKT estructura</t>
  </si>
  <si>
    <t>viaticos Sistemas</t>
  </si>
  <si>
    <t xml:space="preserve">reposicion parquimetros </t>
  </si>
  <si>
    <t xml:space="preserve">reposicion fondo Fabi Delgado </t>
  </si>
  <si>
    <t xml:space="preserve">fondo Miguel Alaniz </t>
  </si>
  <si>
    <t>Pago de uber de A14 (R)</t>
  </si>
  <si>
    <t xml:space="preserve">activación MKT </t>
  </si>
  <si>
    <t>pago miriam Avila pagode servicios contpaq</t>
  </si>
  <si>
    <t xml:space="preserve">pago compra memoria RAM </t>
  </si>
  <si>
    <t xml:space="preserve">Pago extintores E9 </t>
  </si>
  <si>
    <t xml:space="preserve">pago MKT vitroleras caprichos </t>
  </si>
  <si>
    <t>pago parquimetros A10 (R)</t>
  </si>
  <si>
    <t xml:space="preserve">pago adbeel </t>
  </si>
  <si>
    <t>pago insumos A10 (R)</t>
  </si>
  <si>
    <t xml:space="preserve">ingreso prestamo Credito HB Codare </t>
  </si>
  <si>
    <t xml:space="preserve">Pago Alarma Codare </t>
  </si>
  <si>
    <t xml:space="preserve">pago servicio VAN THR </t>
  </si>
  <si>
    <t>compra de computadoras secundarias para pinpad</t>
  </si>
  <si>
    <t xml:space="preserve">cobro por faltante en caja chica </t>
  </si>
  <si>
    <t>pago de insumos de A4 (R)</t>
  </si>
  <si>
    <t>Pago de Credito HB</t>
  </si>
  <si>
    <t xml:space="preserve">pago de luz  cuarto de archivo </t>
  </si>
  <si>
    <t xml:space="preserve">Pago parquimetros Juan Carlos </t>
  </si>
  <si>
    <t xml:space="preserve">Viaticos Marisol MKT </t>
  </si>
  <si>
    <t xml:space="preserve">GDNC </t>
  </si>
  <si>
    <t xml:space="preserve">pago combustible Tornado MKT </t>
  </si>
  <si>
    <t xml:space="preserve">compra de memorias USB inst de sistema operativo </t>
  </si>
  <si>
    <t xml:space="preserve">compra de botes de basura de CEDIS </t>
  </si>
  <si>
    <t>pago agua de insumo A17 (R)</t>
  </si>
  <si>
    <t>pago de insumos E1 (R)</t>
  </si>
  <si>
    <t>pago de Nomina E1 (R)</t>
  </si>
  <si>
    <t>pago nomina E3 (R)</t>
  </si>
  <si>
    <t>fondo manto Jocelyn</t>
  </si>
  <si>
    <t xml:space="preserve">Pago telepeaje Idalia THR </t>
  </si>
  <si>
    <t xml:space="preserve">Pago telepeaje  THR </t>
  </si>
  <si>
    <t xml:space="preserve">pago señaletica brochas thr </t>
  </si>
  <si>
    <t xml:space="preserve">compra insumos MKT </t>
  </si>
  <si>
    <t xml:space="preserve">Pago Horacio Martinez  GE </t>
  </si>
  <si>
    <t xml:space="preserve">Reposicion Idalia THR </t>
  </si>
  <si>
    <t xml:space="preserve">Reposicion Dani Borunda </t>
  </si>
  <si>
    <t>Reposicion Fabi Delgado</t>
  </si>
  <si>
    <t>Viaticos caprichos</t>
  </si>
  <si>
    <t xml:space="preserve">Viáticos Cristi THR </t>
  </si>
  <si>
    <t xml:space="preserve">Pago Toner CEDIS </t>
  </si>
  <si>
    <t xml:space="preserve">Viaticos sistemas </t>
  </si>
  <si>
    <t xml:space="preserve">pago para repisas de muebles THR </t>
  </si>
  <si>
    <t xml:space="preserve">reposicion combustible  Nadia </t>
  </si>
  <si>
    <t xml:space="preserve">viáticos  Durango caprichos </t>
  </si>
  <si>
    <t xml:space="preserve">viáticos MKT </t>
  </si>
  <si>
    <t>pago de insumos de A16 (R)</t>
  </si>
  <si>
    <t xml:space="preserve">Pago AseoUrbano </t>
  </si>
  <si>
    <t xml:space="preserve">reposicion combustible RH </t>
  </si>
  <si>
    <t xml:space="preserve">pago telcel linea de CEDIS </t>
  </si>
  <si>
    <t xml:space="preserve">combustible compradoras </t>
  </si>
  <si>
    <t xml:space="preserve">pago de casetas viaje a Mty CEDIS </t>
  </si>
  <si>
    <t>reposicion fondo A10 (R)</t>
  </si>
  <si>
    <t xml:space="preserve">ingreso Prestamo hb Codare </t>
  </si>
  <si>
    <t xml:space="preserve">Anuncio de A24 GTS </t>
  </si>
  <si>
    <t xml:space="preserve">Viaticos Ruben </t>
  </si>
  <si>
    <t>combustible MKT</t>
  </si>
  <si>
    <t>Pago TC AmeX  Petca</t>
  </si>
  <si>
    <t xml:space="preserve">pago Refrigeración Lozano </t>
  </si>
  <si>
    <t xml:space="preserve">Pago servicio Aveo </t>
  </si>
  <si>
    <t>pago  reposicion Oscar</t>
  </si>
  <si>
    <t>pago  chip Recursos Humanos</t>
  </si>
  <si>
    <t>ACTIVACION</t>
  </si>
  <si>
    <t xml:space="preserve">pago membesias MKT </t>
  </si>
  <si>
    <t>pago pastel Dirección</t>
  </si>
  <si>
    <t>pago de JMAS de A 23 (R)</t>
  </si>
  <si>
    <t xml:space="preserve">reposicion fondo Miguel Alaniz </t>
  </si>
  <si>
    <t>pago renta variable  E8</t>
  </si>
  <si>
    <t>pago de luz de CEDIS 1</t>
  </si>
  <si>
    <t>pago de luz de CEDIS 3</t>
  </si>
  <si>
    <t>pago de luz de CEDIS 4</t>
  </si>
  <si>
    <t>pago de luz de CORPO 1</t>
  </si>
  <si>
    <t>pago de luz de CORPO 2</t>
  </si>
  <si>
    <t xml:space="preserve">pago de agua de E9 </t>
  </si>
  <si>
    <t>pago de parquimetros de A2 (R)</t>
  </si>
  <si>
    <t>pago de horas extras de A22 (R)</t>
  </si>
  <si>
    <t>pago de botiquin de E4 (R)</t>
  </si>
  <si>
    <t>pago de gasolina manto E5 (R)</t>
  </si>
  <si>
    <t xml:space="preserve">comisiones manejo de cuenta </t>
  </si>
  <si>
    <t xml:space="preserve">pago de telmex </t>
  </si>
  <si>
    <t>pago de aguade A1</t>
  </si>
  <si>
    <t xml:space="preserve">pago de viáticos de Miguel Alaniz </t>
  </si>
  <si>
    <t>reposicion Idalia Amado</t>
  </si>
  <si>
    <t xml:space="preserve">viaticos Cristi Baylon </t>
  </si>
  <si>
    <t xml:space="preserve">Pago Multipacking </t>
  </si>
  <si>
    <t>pago de nómina de A1 (R)</t>
  </si>
  <si>
    <t>compra de switches pinpad</t>
  </si>
  <si>
    <t xml:space="preserve">viaticos Martha Melendez </t>
  </si>
  <si>
    <t>retiro de uber de E2</t>
  </si>
  <si>
    <t xml:space="preserve">retiro de uber de E4 </t>
  </si>
  <si>
    <t xml:space="preserve">viaticos  MKT Caprichos </t>
  </si>
  <si>
    <t xml:space="preserve">reposición Gasto médicos Auditoria </t>
  </si>
  <si>
    <t>retiro de insumos de A2</t>
  </si>
  <si>
    <t>retiro uber E2</t>
  </si>
  <si>
    <t>retiro uber E4</t>
  </si>
  <si>
    <t>ingreso prestamo profit CXP</t>
  </si>
  <si>
    <t>Ingreso Combustible Market Max</t>
  </si>
  <si>
    <t xml:space="preserve">viáticos Ruben </t>
  </si>
  <si>
    <t>gas montacargas</t>
  </si>
  <si>
    <t>pago de luz bodega  E6</t>
  </si>
  <si>
    <t xml:space="preserve">pago Marisol  MKT THR </t>
  </si>
  <si>
    <t>pago telepeaje THR</t>
  </si>
  <si>
    <t>pago telepeaje CAPRICHOS</t>
  </si>
  <si>
    <t xml:space="preserve">retiro de insumos A10 </t>
  </si>
  <si>
    <t>retiro de uber de E4</t>
  </si>
  <si>
    <t xml:space="preserve">retiro de L1 combustible Nadia </t>
  </si>
  <si>
    <t xml:space="preserve">Dispersión THR y Codare     3 Y 4 de oct </t>
  </si>
  <si>
    <t>Oct</t>
  </si>
  <si>
    <t>Dispersión THR y Codare     5 oct</t>
  </si>
  <si>
    <t>pago de luz de  A23</t>
  </si>
  <si>
    <t>pago de luz de E8</t>
  </si>
  <si>
    <t>pago de luz de  E9</t>
  </si>
  <si>
    <t xml:space="preserve">pago de viáticos Fabi Delgado </t>
  </si>
  <si>
    <t xml:space="preserve">combustible Ojinaga Fabi Delgado </t>
  </si>
  <si>
    <t>pago comida CEDIS  (sábado)</t>
  </si>
  <si>
    <t>Pago de Prestamo CXP</t>
  </si>
  <si>
    <t>retiro de nómina de A8</t>
  </si>
  <si>
    <t>retiro de insumos de A11</t>
  </si>
  <si>
    <t>retiro de insumos de A14</t>
  </si>
  <si>
    <t>retiro de uber de A17</t>
  </si>
  <si>
    <t>retiro de nomina de A22</t>
  </si>
  <si>
    <t xml:space="preserve">retiro para manto edificio </t>
  </si>
  <si>
    <t>retirpo para JMAS de A24</t>
  </si>
  <si>
    <t>retiro de insumos de E1</t>
  </si>
  <si>
    <t>retiro de nomina de E1</t>
  </si>
  <si>
    <t xml:space="preserve">retiro de uber de E2 </t>
  </si>
  <si>
    <t xml:space="preserve">retiro de nómina de E3 </t>
  </si>
  <si>
    <t>retiro de insumos de E4</t>
  </si>
  <si>
    <t xml:space="preserve">retiro de insumos de E5 </t>
  </si>
  <si>
    <t>Abono a Credito HB</t>
  </si>
  <si>
    <t xml:space="preserve">Pago TC JEVEES </t>
  </si>
  <si>
    <t xml:space="preserve">Pago telcel CODARE </t>
  </si>
  <si>
    <t xml:space="preserve">Pago telcel  THR </t>
  </si>
  <si>
    <t xml:space="preserve">pago uniformes THR </t>
  </si>
  <si>
    <t xml:space="preserve">pago servicio Aveo </t>
  </si>
  <si>
    <t xml:space="preserve">reposicion Ruben compostura Beat Caprichos </t>
  </si>
  <si>
    <t xml:space="preserve">pastel despedida de Estefania </t>
  </si>
  <si>
    <t>pago combustible ruta extra A6</t>
  </si>
  <si>
    <t xml:space="preserve">pago viáticos CEDIS A6 </t>
  </si>
  <si>
    <t>retiro uber  de A3</t>
  </si>
  <si>
    <t xml:space="preserve">retiro de uber de A8 </t>
  </si>
  <si>
    <t>retiro de insumo A8</t>
  </si>
  <si>
    <t>retiro estacionamiento  A10</t>
  </si>
  <si>
    <t>retiro insumos de A11</t>
  </si>
  <si>
    <t>retiro uber de A17</t>
  </si>
  <si>
    <t>retiro de nomina de E2</t>
  </si>
  <si>
    <t>retiro de nómina de E5</t>
  </si>
  <si>
    <t>retiro de nomina de E7</t>
  </si>
  <si>
    <t xml:space="preserve">retiro de uber de L1 </t>
  </si>
  <si>
    <t>reposicion Jonathan Gd3</t>
  </si>
  <si>
    <t>reposicion Luisa Roan Cap</t>
  </si>
  <si>
    <t>pago gas montacargas</t>
  </si>
  <si>
    <t>retiro por consulta médica de A10</t>
  </si>
  <si>
    <t>retiro de JMAS de E3</t>
  </si>
  <si>
    <t xml:space="preserve">retiro de insumos de E8 </t>
  </si>
  <si>
    <t xml:space="preserve">pago viniles de otoño </t>
  </si>
  <si>
    <t xml:space="preserve">pago alarma E6 </t>
  </si>
  <si>
    <t xml:space="preserve">pago coombustible extra CEDIS </t>
  </si>
  <si>
    <t xml:space="preserve">pago de viáticos Nadia </t>
  </si>
  <si>
    <t xml:space="preserve">pago de pendones y material MKT </t>
  </si>
  <si>
    <t>reetiro uber A8</t>
  </si>
  <si>
    <t>retiro insumos E5</t>
  </si>
  <si>
    <t>retiro etiquetas Elilu  E9</t>
  </si>
  <si>
    <t xml:space="preserve">retiro JMAS A14 </t>
  </si>
  <si>
    <t>reposicion fondo de CEDIS</t>
  </si>
  <si>
    <t xml:space="preserve">compra café </t>
  </si>
  <si>
    <t>reposicion fondo manto.</t>
  </si>
  <si>
    <t xml:space="preserve">compra de dulces  MKT </t>
  </si>
  <si>
    <t>Pago Estefania Montes apoyo procesos</t>
  </si>
  <si>
    <t>retiro insumos A14</t>
  </si>
  <si>
    <t>retiro uber de E2</t>
  </si>
  <si>
    <t>retiro de JMAS de E6</t>
  </si>
  <si>
    <t>retiro de parquimetros E6</t>
  </si>
  <si>
    <t>retiro de insumos de E6</t>
  </si>
  <si>
    <t>Renta</t>
  </si>
  <si>
    <t xml:space="preserve">pago SGM THR  </t>
  </si>
  <si>
    <t xml:space="preserve">pago horacio Ramirez manto </t>
  </si>
  <si>
    <t>pago  Jorge Alberto Romero manto</t>
  </si>
  <si>
    <t>Pago Olga Araceli</t>
  </si>
  <si>
    <t xml:space="preserve">pago Greenbag solution </t>
  </si>
  <si>
    <t xml:space="preserve">pago Seguro CEDIS </t>
  </si>
  <si>
    <t xml:space="preserve">reparación camion CEDIS </t>
  </si>
  <si>
    <t>pago galletas MKT</t>
  </si>
  <si>
    <t xml:space="preserve">reposición fondo Miguel </t>
  </si>
  <si>
    <t xml:space="preserve">viaticos CEDIS ruta Extra </t>
  </si>
  <si>
    <t xml:space="preserve">viáticos Martha </t>
  </si>
  <si>
    <t xml:space="preserve">activación THR  MKT </t>
  </si>
  <si>
    <t xml:space="preserve">activación E11 y  L3 </t>
  </si>
  <si>
    <t xml:space="preserve">activacion A10 </t>
  </si>
  <si>
    <t>retiro JMAS A4</t>
  </si>
  <si>
    <t>retiro uber A4</t>
  </si>
  <si>
    <t>retiro  JMAS A15</t>
  </si>
  <si>
    <t>retiro uber A22</t>
  </si>
  <si>
    <t>retiro insumos A10</t>
  </si>
  <si>
    <t>retiro de insumos E4</t>
  </si>
  <si>
    <t>retiro  insumos E9</t>
  </si>
  <si>
    <t xml:space="preserve">retiro uber de E4 </t>
  </si>
  <si>
    <t>retiro estaciionamiento A10</t>
  </si>
  <si>
    <t>retiro de nomina de A12</t>
  </si>
  <si>
    <t>retiro de uber de A8</t>
  </si>
  <si>
    <t xml:space="preserve">retiro nomina E4 </t>
  </si>
  <si>
    <t xml:space="preserve">retiro uber E4 </t>
  </si>
  <si>
    <t xml:space="preserve">retiro uber E2 </t>
  </si>
  <si>
    <t>retirno Nomina L1</t>
  </si>
  <si>
    <t xml:space="preserve">pago Seguro CEDIS Petca </t>
  </si>
  <si>
    <t xml:space="preserve">pago seguro HRV </t>
  </si>
  <si>
    <t xml:space="preserve">Pago automotriz bermudez </t>
  </si>
  <si>
    <t>pago tintas auditoria</t>
  </si>
  <si>
    <t xml:space="preserve">pago insumos Juntas trimestrales </t>
  </si>
  <si>
    <t>reposicon Idalia</t>
  </si>
  <si>
    <t xml:space="preserve">reposicon Luisa Roan </t>
  </si>
  <si>
    <t xml:space="preserve">Viaticos THR </t>
  </si>
  <si>
    <t xml:space="preserve">pago Bermudez </t>
  </si>
  <si>
    <t xml:space="preserve">pago SGM </t>
  </si>
  <si>
    <t>retiro de uber de A3</t>
  </si>
  <si>
    <t>retiro de apoyo contensión  A24</t>
  </si>
  <si>
    <t>retiro de insumos de E7</t>
  </si>
  <si>
    <t xml:space="preserve">billete falso </t>
  </si>
  <si>
    <t>pago telepeaje Idalia Amado</t>
  </si>
  <si>
    <t>pago telepeaje HR</t>
  </si>
  <si>
    <t xml:space="preserve">Pago Dulces MKT </t>
  </si>
  <si>
    <t xml:space="preserve">pago combustble ruta extra CEDIS </t>
  </si>
  <si>
    <t xml:space="preserve">viaticos de sistemas </t>
  </si>
  <si>
    <t xml:space="preserve">reposicion fondo MKT </t>
  </si>
  <si>
    <t xml:space="preserve">viáticos Extra THR </t>
  </si>
  <si>
    <t>retiro de uber de A10</t>
  </si>
  <si>
    <t>retiro de insumos de A17</t>
  </si>
  <si>
    <t xml:space="preserve">retiro  de insumos de E5 </t>
  </si>
  <si>
    <t xml:space="preserve">pago viaticos Auditoria </t>
  </si>
  <si>
    <t>retiro JMAS A5</t>
  </si>
  <si>
    <t>retiro JMAS A11</t>
  </si>
  <si>
    <t>retiro insumos A17</t>
  </si>
  <si>
    <t>retiro JMAS A22</t>
  </si>
  <si>
    <t xml:space="preserve">retiro uber de E2 </t>
  </si>
  <si>
    <t xml:space="preserve">retiro  uber de E4 </t>
  </si>
  <si>
    <t xml:space="preserve">Pago Technology Busines </t>
  </si>
  <si>
    <t xml:space="preserve">pago compra de pilas para CEDIS </t>
  </si>
  <si>
    <t xml:space="preserve">pago electrica Rios Codare </t>
  </si>
  <si>
    <t xml:space="preserve">Pago Electrica Rios THR </t>
  </si>
  <si>
    <t xml:space="preserve">pago  SI VALE </t>
  </si>
  <si>
    <t>retiro insumos de E3</t>
  </si>
  <si>
    <t xml:space="preserve">retiro de uber de A3 </t>
  </si>
  <si>
    <t>retiro de mant edificio de A11</t>
  </si>
  <si>
    <t>retiro de contencion  de A12</t>
  </si>
  <si>
    <t xml:space="preserve">retiro de uber de A12 </t>
  </si>
  <si>
    <t>retiro de uber de A14</t>
  </si>
  <si>
    <t>Pago Credito HB</t>
  </si>
  <si>
    <t xml:space="preserve">Pago de Frogmi </t>
  </si>
  <si>
    <t>pago de luz  de A22</t>
  </si>
  <si>
    <t>pago de luz  de A8</t>
  </si>
  <si>
    <t>pago de luz  de E7</t>
  </si>
  <si>
    <t>pago de luz  de E3</t>
  </si>
  <si>
    <t>pago de luz  de E4</t>
  </si>
  <si>
    <t>pago de luz  de A5</t>
  </si>
  <si>
    <t>combustible y Casetas RH</t>
  </si>
  <si>
    <t>paquete express</t>
  </si>
  <si>
    <t xml:space="preserve">combustible aeropuerto </t>
  </si>
  <si>
    <t xml:space="preserve">pago insumos cafeteria </t>
  </si>
  <si>
    <t xml:space="preserve">combustible CEDIS </t>
  </si>
  <si>
    <t>pago actualizacion nomiPaq</t>
  </si>
  <si>
    <t>retiro contension A24</t>
  </si>
  <si>
    <t>retiro uber A24</t>
  </si>
  <si>
    <t xml:space="preserve">retiro  uber A3 </t>
  </si>
  <si>
    <t>retiro contension A12</t>
  </si>
  <si>
    <t>retiro uber de A5</t>
  </si>
  <si>
    <t>retiro uber de A8</t>
  </si>
  <si>
    <t>retiro insumos  E3</t>
  </si>
  <si>
    <t>retiro uber de E4</t>
  </si>
  <si>
    <t>retiro uber L1</t>
  </si>
  <si>
    <t>retiro JMAS de E6</t>
  </si>
  <si>
    <t xml:space="preserve">retiro pago de nomina E6 </t>
  </si>
  <si>
    <t xml:space="preserve">pago GTS ventanales de A9 </t>
  </si>
  <si>
    <t xml:space="preserve">pago alarma Codare </t>
  </si>
  <si>
    <t xml:space="preserve">Viáticos Martha </t>
  </si>
  <si>
    <t>reposicion Jonatha</t>
  </si>
  <si>
    <t>reposicion Luisa Roan</t>
  </si>
  <si>
    <t xml:space="preserve">combustible Nata </t>
  </si>
  <si>
    <t>retiro de uber A3</t>
  </si>
  <si>
    <t>retiro JMAS A6</t>
  </si>
  <si>
    <t>retiro uber A12</t>
  </si>
  <si>
    <t>retiro uber A17</t>
  </si>
  <si>
    <t xml:space="preserve">pago de luz A15 </t>
  </si>
  <si>
    <t>pago de luz  A12</t>
  </si>
  <si>
    <t xml:space="preserve">pago GTS calcas caprichos </t>
  </si>
  <si>
    <t xml:space="preserve">pago GTS MKT sopa de letras </t>
  </si>
  <si>
    <t>pago  viaticos kick off</t>
  </si>
  <si>
    <t>retiro para estacionamiento de A15</t>
  </si>
  <si>
    <t xml:space="preserve">retiro para pago de impresora </t>
  </si>
  <si>
    <t>retiro para uber de E2</t>
  </si>
  <si>
    <t>retiro por devolución de E2</t>
  </si>
  <si>
    <t>retiro de uber por E4</t>
  </si>
  <si>
    <t xml:space="preserve">pago de luz de cuarto archivo </t>
  </si>
  <si>
    <t xml:space="preserve">pago de luz de A24 </t>
  </si>
  <si>
    <t xml:space="preserve">pago de  viáticos Miguel </t>
  </si>
  <si>
    <t xml:space="preserve">compra de CHIP </t>
  </si>
  <si>
    <t>activacion E1</t>
  </si>
  <si>
    <t>reposicion fondo Fabi Delgado</t>
  </si>
  <si>
    <t>retiro de insumos A6</t>
  </si>
  <si>
    <t>retiro estacionamiento A10</t>
  </si>
  <si>
    <t>retiro contención A24</t>
  </si>
  <si>
    <t xml:space="preserve">retiro uber A2 </t>
  </si>
  <si>
    <t>retiro  uber de E4</t>
  </si>
  <si>
    <t>retiro isumos E4</t>
  </si>
  <si>
    <t xml:space="preserve">Pago resto uniformes THR </t>
  </si>
  <si>
    <t xml:space="preserve">pago servicio del Camion </t>
  </si>
  <si>
    <t xml:space="preserve">pago mandiles Nadia </t>
  </si>
  <si>
    <t>pago paqueteria E6</t>
  </si>
  <si>
    <t>pago telepeaje  THR</t>
  </si>
  <si>
    <t xml:space="preserve">pago SEPSA </t>
  </si>
  <si>
    <t>comida visita</t>
  </si>
  <si>
    <t xml:space="preserve">pago telcel CEDIS </t>
  </si>
  <si>
    <t>pago mat anuncio L1</t>
  </si>
  <si>
    <t xml:space="preserve">retiro contención A24 </t>
  </si>
  <si>
    <t>retiro pago de seguridad E4</t>
  </si>
  <si>
    <t>retiro pago de uber E4</t>
  </si>
  <si>
    <t>retiro copia llave E6</t>
  </si>
  <si>
    <t>retiro fumigación E8</t>
  </si>
  <si>
    <t>retiro engargolado L1</t>
  </si>
  <si>
    <t>Pago servicios van CEDIS</t>
  </si>
  <si>
    <t>pago de TC Amex</t>
  </si>
  <si>
    <t>pago de Horacio Ramirez</t>
  </si>
  <si>
    <t xml:space="preserve">pago de Alan Manto minisplit de A10 </t>
  </si>
  <si>
    <t xml:space="preserve">pago apoyo Horacio gastos médicos </t>
  </si>
  <si>
    <t xml:space="preserve">Pago identiflex etiquetas THR </t>
  </si>
  <si>
    <t xml:space="preserve">Pago poliza Beat </t>
  </si>
  <si>
    <t>retiro de uber A1</t>
  </si>
  <si>
    <t>retiro fumigación  A3</t>
  </si>
  <si>
    <t>retiro de insumos de A10</t>
  </si>
  <si>
    <t>retiro de nomina de A10</t>
  </si>
  <si>
    <t>retiro de estacionamiento de A11</t>
  </si>
  <si>
    <t>retiro por contención de A12</t>
  </si>
  <si>
    <t>retiro de uber de A12</t>
  </si>
  <si>
    <t xml:space="preserve">retiro de uber de A15 </t>
  </si>
  <si>
    <t>retiro de nomina A17</t>
  </si>
  <si>
    <t>retiro de uber de A23</t>
  </si>
  <si>
    <t>retiro de insumos de E3</t>
  </si>
  <si>
    <t>retiro de uber de E3</t>
  </si>
  <si>
    <t>retiro de insumos de E5</t>
  </si>
  <si>
    <t>retiro de uber de E5</t>
  </si>
  <si>
    <t xml:space="preserve">viáticos Martha Melendez </t>
  </si>
  <si>
    <t xml:space="preserve">viáticos  HR </t>
  </si>
  <si>
    <t xml:space="preserve">engarlolados THR </t>
  </si>
  <si>
    <t xml:space="preserve">reposicion fondo Daniela </t>
  </si>
  <si>
    <t xml:space="preserve">reposicion fondo Jonathan </t>
  </si>
  <si>
    <t xml:space="preserve">reposicion fondo Perla </t>
  </si>
  <si>
    <t xml:space="preserve">reposicion fondo Luisa </t>
  </si>
  <si>
    <t>reposicion fondo Idalia</t>
  </si>
  <si>
    <t xml:space="preserve">Pago GPS para vehiculos nuevos </t>
  </si>
  <si>
    <t xml:space="preserve">publicicad agosto y sept Luis Valles </t>
  </si>
  <si>
    <t xml:space="preserve">pago servicio camioneta HRV Capr </t>
  </si>
  <si>
    <t xml:space="preserve">pago viaticos Paola Quintana </t>
  </si>
  <si>
    <t>retiro insumos E8</t>
  </si>
  <si>
    <t>retiro uber A3</t>
  </si>
  <si>
    <t>retiro agua insumo A11</t>
  </si>
  <si>
    <t xml:space="preserve">pago golden Star </t>
  </si>
  <si>
    <t xml:space="preserve">Pago Paqueteria CEDIS </t>
  </si>
  <si>
    <t xml:space="preserve">compra de ácido muriatico para baños </t>
  </si>
  <si>
    <t>pago timbres CODARE</t>
  </si>
  <si>
    <t xml:space="preserve">pago viáticos Miguel </t>
  </si>
  <si>
    <t>Pago Etiquetas E10 Y E11</t>
  </si>
  <si>
    <t>pago Luz E11</t>
  </si>
  <si>
    <t>retiro manto edificio A1</t>
  </si>
  <si>
    <t>retiro uber A23</t>
  </si>
  <si>
    <t>retiro uber E3</t>
  </si>
  <si>
    <t>retiro uber E7</t>
  </si>
  <si>
    <t>ingreso sobrantes viáticos Paola</t>
  </si>
  <si>
    <t>Ingreso pago de combustible Octubre Market Max</t>
  </si>
  <si>
    <t xml:space="preserve">prestamo a bolsa de reinversion </t>
  </si>
  <si>
    <t xml:space="preserve">pago cuenta maestra telmex </t>
  </si>
  <si>
    <t xml:space="preserve">pago patrocinio  pioneros MKT </t>
  </si>
  <si>
    <t xml:space="preserve">Pago de MKT activacion HR </t>
  </si>
  <si>
    <t xml:space="preserve">botiquin y papeleria RH </t>
  </si>
  <si>
    <t>viaticos Nadia</t>
  </si>
  <si>
    <t xml:space="preserve">pago influencer </t>
  </si>
  <si>
    <t>retiro de uber de A1</t>
  </si>
  <si>
    <t>retiro de mantenimiento de A18</t>
  </si>
  <si>
    <t>retiro de mantenimiento de A23</t>
  </si>
  <si>
    <t xml:space="preserve">comiones por manejo de cuenta </t>
  </si>
  <si>
    <t>Ingreso Market Max pago de Redes Octubre</t>
  </si>
  <si>
    <t>Pago Credito Ruvadesa (500k  Capital + 70,027.40 Interes)</t>
  </si>
  <si>
    <t xml:space="preserve">Pago Servicio camión  CEDIS </t>
  </si>
  <si>
    <t xml:space="preserve">Pago cambio de Actas </t>
  </si>
  <si>
    <t xml:space="preserve">pago fabian Delgado repisas HR </t>
  </si>
  <si>
    <t xml:space="preserve">cambio  Martha Melendez </t>
  </si>
  <si>
    <t xml:space="preserve">reposicion de fondo  Miguel Alaniz </t>
  </si>
  <si>
    <t>retiro uber  E9</t>
  </si>
  <si>
    <t>retiro uber A1</t>
  </si>
  <si>
    <t>retiro uber A10</t>
  </si>
  <si>
    <t>retiro uber A14</t>
  </si>
  <si>
    <t xml:space="preserve">ingreso cambio Martha </t>
  </si>
  <si>
    <t xml:space="preserve">Dispersión THR y Codare     31 y 1 noviembre </t>
  </si>
  <si>
    <t>Nov</t>
  </si>
  <si>
    <t xml:space="preserve">Dispersión THR y Codare     2 noviembre </t>
  </si>
  <si>
    <t xml:space="preserve">viáticos viaje a Chihuahua </t>
  </si>
  <si>
    <t xml:space="preserve">comida CEDIS sábado </t>
  </si>
  <si>
    <t xml:space="preserve">reposición insumos Carmen </t>
  </si>
  <si>
    <t xml:space="preserve">viáticos compradoras </t>
  </si>
  <si>
    <t xml:space="preserve">gas montacargas CEDIS </t>
  </si>
  <si>
    <t xml:space="preserve">reposicion parquimetros Oscar </t>
  </si>
  <si>
    <t>pago de Luz A11</t>
  </si>
  <si>
    <t xml:space="preserve">viáticos Cristi  HR </t>
  </si>
  <si>
    <t>pago de agua A1</t>
  </si>
  <si>
    <t>pago de gua de A9</t>
  </si>
  <si>
    <t xml:space="preserve">pago de agua de A10 </t>
  </si>
  <si>
    <t xml:space="preserve">pago de Agua de CEDIS </t>
  </si>
  <si>
    <t>retiro de uber de A9</t>
  </si>
  <si>
    <t>retiro  de uber A11</t>
  </si>
  <si>
    <t>retiro para pago reparacion impresora A12</t>
  </si>
  <si>
    <t>retiro por contension de A12</t>
  </si>
  <si>
    <t>reriro de uber de A10</t>
  </si>
  <si>
    <t>retiro de insumos A17</t>
  </si>
  <si>
    <t>retiro uber de A23</t>
  </si>
  <si>
    <t>retiro de uber de A24</t>
  </si>
  <si>
    <t>retiro de uber de E1</t>
  </si>
  <si>
    <t>retiro pago de finiquito E7</t>
  </si>
  <si>
    <t>retiro insumos de E9</t>
  </si>
  <si>
    <t xml:space="preserve">ingreso Starlink DR (4 meses ) </t>
  </si>
  <si>
    <t xml:space="preserve">ingreso prestamo profit CXP </t>
  </si>
  <si>
    <t xml:space="preserve">pago GTS  THR </t>
  </si>
  <si>
    <t xml:space="preserve">pago puerta deA22 </t>
  </si>
  <si>
    <t>compra insumos tesoreria</t>
  </si>
  <si>
    <t xml:space="preserve">reposicion Martha Mlendez </t>
  </si>
  <si>
    <t xml:space="preserve">reposiciion Idalia </t>
  </si>
  <si>
    <t xml:space="preserve">insumos Marketing </t>
  </si>
  <si>
    <t xml:space="preserve">rutas extras CEDIS </t>
  </si>
  <si>
    <t>reposicion fondo Manto  PQ</t>
  </si>
  <si>
    <t>retiro de viaticos integrador L1</t>
  </si>
  <si>
    <t xml:space="preserve">pago de agua E9 </t>
  </si>
  <si>
    <t>pago de luz A2 (3 recibos)</t>
  </si>
  <si>
    <t>pago de luz A3</t>
  </si>
  <si>
    <t>Pago BEMA Petca</t>
  </si>
  <si>
    <t xml:space="preserve">pago influencer MKT caprichos </t>
  </si>
  <si>
    <t xml:space="preserve">pago activación  buen fin </t>
  </si>
  <si>
    <t xml:space="preserve">pago de rutas foraneas CEDIS </t>
  </si>
  <si>
    <t>retiro de uber de A5</t>
  </si>
  <si>
    <t>retiro de uber E4</t>
  </si>
  <si>
    <t>retiro de insumos de E8</t>
  </si>
  <si>
    <t xml:space="preserve">Pago Julio César Rios </t>
  </si>
  <si>
    <t>Pago Green Bag Solution</t>
  </si>
  <si>
    <t xml:space="preserve">pago viaticos de Nadia </t>
  </si>
  <si>
    <t xml:space="preserve">pago viaticos Extras CEDIS </t>
  </si>
  <si>
    <t xml:space="preserve">Pago Alarma THR </t>
  </si>
  <si>
    <t xml:space="preserve">Pago Alarma Durango </t>
  </si>
  <si>
    <t xml:space="preserve">pago toner Caprichos </t>
  </si>
  <si>
    <t xml:space="preserve">retiro insumos A10 </t>
  </si>
  <si>
    <t>retiro nomina A14</t>
  </si>
  <si>
    <t>retiro uber  E2</t>
  </si>
  <si>
    <t>retiro uber E9</t>
  </si>
  <si>
    <t xml:space="preserve">retiro viáticos integrador </t>
  </si>
  <si>
    <t xml:space="preserve">Pago TC JEEVES </t>
  </si>
  <si>
    <t xml:space="preserve">Pago de viniles GTS </t>
  </si>
  <si>
    <t>pago MHA aparador A11</t>
  </si>
  <si>
    <t xml:space="preserve">pago mkt activacion THR </t>
  </si>
  <si>
    <t xml:space="preserve">pago aromas oficinas </t>
  </si>
  <si>
    <t xml:space="preserve">pago coffe brake </t>
  </si>
  <si>
    <t xml:space="preserve">uniformes Staff MKT HR </t>
  </si>
  <si>
    <t xml:space="preserve">gasmontacargas </t>
  </si>
  <si>
    <t xml:space="preserve">combustibles CEDIS </t>
  </si>
  <si>
    <t>retiro reparación anuncio  E3</t>
  </si>
  <si>
    <t>retito uber A4</t>
  </si>
  <si>
    <t>retiro  de insumos A10</t>
  </si>
  <si>
    <t xml:space="preserve">retiro uber de A10 </t>
  </si>
  <si>
    <t xml:space="preserve">retiros incremento fondos HR  </t>
  </si>
  <si>
    <t xml:space="preserve">retiros incremento fondos Caprichos </t>
  </si>
  <si>
    <t>retiros incremento fondos Elilu</t>
  </si>
  <si>
    <t>pago combustible</t>
  </si>
  <si>
    <t>pago seguro Beat</t>
  </si>
  <si>
    <t>pago viaticos Caprichos</t>
  </si>
  <si>
    <t xml:space="preserve">pago viaticos  THR </t>
  </si>
  <si>
    <t xml:space="preserve">pago TELCEL THR </t>
  </si>
  <si>
    <t>pago  TELCEL CODARE</t>
  </si>
  <si>
    <t xml:space="preserve">pago de Luz de A1 </t>
  </si>
  <si>
    <t xml:space="preserve">pago avaluo Meoqui </t>
  </si>
  <si>
    <t>combustible FER</t>
  </si>
  <si>
    <t xml:space="preserve">combustible Marcos </t>
  </si>
  <si>
    <t>viáticos  Martha para Cd. Juárez</t>
  </si>
  <si>
    <t xml:space="preserve">Pago identiflex caprichos </t>
  </si>
  <si>
    <t xml:space="preserve">Pago identiflex thr </t>
  </si>
  <si>
    <t xml:space="preserve">sellos para caprichos MKT </t>
  </si>
  <si>
    <t xml:space="preserve">material de activación y premios MKT </t>
  </si>
  <si>
    <t xml:space="preserve">pago viaticos Liz Aviles Caprichos MKT </t>
  </si>
  <si>
    <t xml:space="preserve">pago timbres Petca </t>
  </si>
  <si>
    <t>retiro insumos A11</t>
  </si>
  <si>
    <t xml:space="preserve">retiro uber A3 </t>
  </si>
  <si>
    <t>retiro contension  A12</t>
  </si>
  <si>
    <t>retiro insumos E1</t>
  </si>
  <si>
    <t>retiro JMAS E3</t>
  </si>
  <si>
    <t>retiro aseo urbano E5</t>
  </si>
  <si>
    <t>retiro mantenimiento E5</t>
  </si>
  <si>
    <t>retiro insumos E6</t>
  </si>
  <si>
    <t>pago servicio Beat (Javier Guerrero )</t>
  </si>
  <si>
    <t>pago servicio camion ( Miguel Aguntin B)</t>
  </si>
  <si>
    <t xml:space="preserve">Compra de manguera  y aceites de camion CEDIS </t>
  </si>
  <si>
    <t xml:space="preserve">compra uniformes caprichos </t>
  </si>
  <si>
    <t>retiro de Insumos de E8</t>
  </si>
  <si>
    <t>retiro uber de A3</t>
  </si>
  <si>
    <t xml:space="preserve">retiro de insumos de A10 </t>
  </si>
  <si>
    <t>retiro de JMAS de A14</t>
  </si>
  <si>
    <t xml:space="preserve">retiro de reparación amplificador </t>
  </si>
  <si>
    <t xml:space="preserve">reposicion Adalberto MKT </t>
  </si>
  <si>
    <t xml:space="preserve">pago sellos MKT Caprichos </t>
  </si>
  <si>
    <t xml:space="preserve">viaticos viaje a Juarez </t>
  </si>
  <si>
    <t xml:space="preserve">pago donativo fundacion vida </t>
  </si>
  <si>
    <t xml:space="preserve">pago de gas para minisplit de sistemas </t>
  </si>
  <si>
    <t xml:space="preserve">compra de tazas  para cafeteria </t>
  </si>
  <si>
    <t>retiro de estacionamiento  E5</t>
  </si>
  <si>
    <t>retiro de JMAS de A4</t>
  </si>
  <si>
    <t>retiro de uber de A4</t>
  </si>
  <si>
    <t>retiro manto de edificio A16</t>
  </si>
  <si>
    <t xml:space="preserve">retiro de JMAS de A23 </t>
  </si>
  <si>
    <t>retiro por contension de A24</t>
  </si>
  <si>
    <t xml:space="preserve">Olga Araceli  servicio beat </t>
  </si>
  <si>
    <t xml:space="preserve">gas montacargas </t>
  </si>
  <si>
    <t>retiro  uber A14</t>
  </si>
  <si>
    <t>pago Seguro  HRV Finanzas</t>
  </si>
  <si>
    <t xml:space="preserve">telepeaje  CEDIS </t>
  </si>
  <si>
    <t xml:space="preserve">telepeaje  THR </t>
  </si>
  <si>
    <t>viaticos Nadia Cruz</t>
  </si>
  <si>
    <t xml:space="preserve">Pago GTS  (aparadores de Halloween) </t>
  </si>
  <si>
    <t xml:space="preserve">Pago GTS  (publicidad de halloween ) </t>
  </si>
  <si>
    <t xml:space="preserve">pago de Electrica Rios  </t>
  </si>
  <si>
    <t xml:space="preserve">pago Sivia Mata muelles y servicios </t>
  </si>
  <si>
    <t xml:space="preserve">pago new Berry </t>
  </si>
  <si>
    <t xml:space="preserve">productos quimicos y limpieza </t>
  </si>
  <si>
    <t xml:space="preserve">reposicion Ruben Hernández </t>
  </si>
  <si>
    <t>retiro  por manto de E3</t>
  </si>
  <si>
    <t xml:space="preserve">retiro de uber de A10 </t>
  </si>
  <si>
    <t xml:space="preserve">retiro de uber A14 </t>
  </si>
  <si>
    <t>retiro de uber de A22</t>
  </si>
  <si>
    <t xml:space="preserve">pago viaticos CEDIS E2 y E4 </t>
  </si>
  <si>
    <t xml:space="preserve">apoyo transporte CEDIS  (bryan ) </t>
  </si>
  <si>
    <t xml:space="preserve">compra de mandado visita </t>
  </si>
  <si>
    <t xml:space="preserve">pago revisión HRV Caprichos </t>
  </si>
  <si>
    <t xml:space="preserve">pago viáticos Caprichos </t>
  </si>
  <si>
    <t>pago de luz de  E1</t>
  </si>
  <si>
    <t>retiro recoleccion de basura A5</t>
  </si>
  <si>
    <t>retiro uber de A11</t>
  </si>
  <si>
    <t>retiro contencion A12</t>
  </si>
  <si>
    <t>retiro JMAS A24</t>
  </si>
  <si>
    <t>retiro nómina E4</t>
  </si>
  <si>
    <t xml:space="preserve">retiro JMAS E5 </t>
  </si>
  <si>
    <t xml:space="preserve">retiro insumos E8 </t>
  </si>
  <si>
    <t>retiro agua insumos A11</t>
  </si>
  <si>
    <t>retiro JMAS A17</t>
  </si>
  <si>
    <t>retiro uber de A22</t>
  </si>
  <si>
    <t>retiro JMAS  E6</t>
  </si>
  <si>
    <t xml:space="preserve">comisiones pinpad THR y Caprichos </t>
  </si>
  <si>
    <t xml:space="preserve">SERVICIOS </t>
  </si>
  <si>
    <t xml:space="preserve">compra insumos visita </t>
  </si>
  <si>
    <t xml:space="preserve">comida El Caprichos </t>
  </si>
  <si>
    <t xml:space="preserve">pago insumos MKT </t>
  </si>
  <si>
    <t xml:space="preserve">viaticos Mkt Caprichos </t>
  </si>
  <si>
    <t xml:space="preserve">reposicion MKT </t>
  </si>
  <si>
    <t>activacion MKT E1</t>
  </si>
  <si>
    <t>reposicion de Idalia</t>
  </si>
  <si>
    <t>reposicion de Dani</t>
  </si>
  <si>
    <t xml:space="preserve">pago KOLBE </t>
  </si>
  <si>
    <t xml:space="preserve">compra de pistola de gravedad </t>
  </si>
  <si>
    <t>retiro de manto de edificio E7</t>
  </si>
  <si>
    <t xml:space="preserve">retiro de insumos de E9 </t>
  </si>
  <si>
    <t>pago comida visita</t>
  </si>
  <si>
    <t>pago viaticos Fabi Delgado</t>
  </si>
  <si>
    <t xml:space="preserve">comida trimestral HR </t>
  </si>
  <si>
    <t>retiro actividad plaza E8</t>
  </si>
  <si>
    <t xml:space="preserve">retiro uber de A18 </t>
  </si>
  <si>
    <t>viáticos Idalia Ojinaga</t>
  </si>
  <si>
    <t xml:space="preserve">insumos para cena CEDIS </t>
  </si>
  <si>
    <t>Cambio de Propietario Vehiculos THR-Codare</t>
  </si>
  <si>
    <t xml:space="preserve">pago decoración MKT </t>
  </si>
  <si>
    <t xml:space="preserve">pago sellos MKT </t>
  </si>
  <si>
    <t xml:space="preserve">insumos RH </t>
  </si>
  <si>
    <t xml:space="preserve">viáticos Inventarios </t>
  </si>
  <si>
    <t xml:space="preserve">compra de café </t>
  </si>
  <si>
    <t xml:space="preserve">Activación HR Beauty </t>
  </si>
  <si>
    <t>retiro fumigación de E8</t>
  </si>
  <si>
    <t>retiro estacionamiento L1</t>
  </si>
  <si>
    <t xml:space="preserve">retiro de pago contencion A24 </t>
  </si>
  <si>
    <t xml:space="preserve">pago Identiflex </t>
  </si>
  <si>
    <t>reposcion  Oscar Robledo</t>
  </si>
  <si>
    <t xml:space="preserve">parquimetros MKT </t>
  </si>
  <si>
    <t xml:space="preserve">pago comida visita </t>
  </si>
  <si>
    <t xml:space="preserve">pago de Villas Navidenas MKT </t>
  </si>
  <si>
    <t xml:space="preserve">pago de venta navideña THR </t>
  </si>
  <si>
    <t xml:space="preserve">pago reposicion Faby Delgado </t>
  </si>
  <si>
    <t xml:space="preserve">Pago GTS Elilu </t>
  </si>
  <si>
    <t>retiro de nomina A1</t>
  </si>
  <si>
    <t>retiro nomina A2</t>
  </si>
  <si>
    <t>retiro uber de A1</t>
  </si>
  <si>
    <t>retiro insumos de A4</t>
  </si>
  <si>
    <t>retiro de manto edificio A6</t>
  </si>
  <si>
    <t>retiro JMAS de A6</t>
  </si>
  <si>
    <t>retiro CANACO A8</t>
  </si>
  <si>
    <t>retiro nomina A10</t>
  </si>
  <si>
    <t>retiro uber A11</t>
  </si>
  <si>
    <t>retiro recolección de basura A17</t>
  </si>
  <si>
    <t>retiro uber de A12</t>
  </si>
  <si>
    <t>retiro contención de A12</t>
  </si>
  <si>
    <t>retiro nómina A22</t>
  </si>
  <si>
    <t>retiro compra diablito A24</t>
  </si>
  <si>
    <t>retiro contencion A24</t>
  </si>
  <si>
    <t>retiro uber de A24</t>
  </si>
  <si>
    <t>retiro nomina temporada E1</t>
  </si>
  <si>
    <t>retiro pago CANACO E4</t>
  </si>
  <si>
    <t>retiro uber de E5</t>
  </si>
  <si>
    <t>retiro estacionamiento E5</t>
  </si>
  <si>
    <t xml:space="preserve">retiro uber de E9 </t>
  </si>
  <si>
    <t xml:space="preserve">Pago Aseo Urbano </t>
  </si>
  <si>
    <t xml:space="preserve">pago viaticos Martha </t>
  </si>
  <si>
    <t>reposicion Perla Avitia</t>
  </si>
  <si>
    <t xml:space="preserve">pago sonido MKT venta navideña </t>
  </si>
  <si>
    <t xml:space="preserve">reposicion Kick off Auditoria </t>
  </si>
  <si>
    <t>retiro por devolucion A10</t>
  </si>
  <si>
    <t xml:space="preserve">retiro para manto de edificio </t>
  </si>
  <si>
    <t>retiro por pago de CANACO A12</t>
  </si>
  <si>
    <t>retiro por pago de CANACO A24</t>
  </si>
  <si>
    <t>pago seguro  2/4</t>
  </si>
  <si>
    <t>pago Amex Petca</t>
  </si>
  <si>
    <t xml:space="preserve">Pago anticipo Sudaderas MKT  Caprichos </t>
  </si>
  <si>
    <t xml:space="preserve">pago de actas cambio de representantes MWM FARHA Y Human FST </t>
  </si>
  <si>
    <t xml:space="preserve">reposicion IDALIA </t>
  </si>
  <si>
    <t xml:space="preserve">reposicion cena visita </t>
  </si>
  <si>
    <t>retiro Uber de A12</t>
  </si>
  <si>
    <t>retiro nomina E4</t>
  </si>
  <si>
    <t xml:space="preserve">retiro uber E5 </t>
  </si>
  <si>
    <t xml:space="preserve">Pago Bitam </t>
  </si>
  <si>
    <t>Pago microinversores Ojinaga</t>
  </si>
  <si>
    <t xml:space="preserve">pago de multas por verificacion del SAT THR </t>
  </si>
  <si>
    <t xml:space="preserve">Pago MKT Melisa activación </t>
  </si>
  <si>
    <t xml:space="preserve">pago sonido venta navideña THR </t>
  </si>
  <si>
    <t xml:space="preserve">pago de fondo de servicios </t>
  </si>
  <si>
    <t xml:space="preserve">viaticos Juan Carlos </t>
  </si>
  <si>
    <t>retiro manto edificio  A2</t>
  </si>
  <si>
    <t>retiro JMAS de A22</t>
  </si>
  <si>
    <t>retiro Uber de A2</t>
  </si>
  <si>
    <t xml:space="preserve">retiro  A3 nomina </t>
  </si>
  <si>
    <t>retiro por devolución A15</t>
  </si>
  <si>
    <t>retiro por insumos A17</t>
  </si>
  <si>
    <t>retiro por contención A24</t>
  </si>
  <si>
    <t>pago de Luz de E6</t>
  </si>
  <si>
    <t>pago de luz de bodega E6</t>
  </si>
  <si>
    <t xml:space="preserve">pago de Kolbe </t>
  </si>
  <si>
    <t>pago de luz  CEDIS $</t>
  </si>
  <si>
    <t>pagod e luz CORP 2</t>
  </si>
  <si>
    <t>pago telepeaje Caprichos</t>
  </si>
  <si>
    <t xml:space="preserve">Pago Eduardo Benavides reparacion Camion CEDIS </t>
  </si>
  <si>
    <t xml:space="preserve">reposicion Paola Quintana Gastos Aventi </t>
  </si>
  <si>
    <t>Dispersión THR y Codare     28 y 29 de nov</t>
  </si>
  <si>
    <t>Dic</t>
  </si>
  <si>
    <t xml:space="preserve">Dispersión THR y Codare     30 de nov </t>
  </si>
  <si>
    <t xml:space="preserve">comision por terminal manejo de cuenta </t>
  </si>
  <si>
    <t xml:space="preserve">pago de luz de A16 </t>
  </si>
  <si>
    <t xml:space="preserve">pago  fajas para CEDIS </t>
  </si>
  <si>
    <t>pago GTS impresiones para venta navideña Caprichos</t>
  </si>
  <si>
    <t xml:space="preserve">Pago Act de Contpaq </t>
  </si>
  <si>
    <t xml:space="preserve">pago insumos  MKT </t>
  </si>
  <si>
    <t>compra pastel graduadas</t>
  </si>
  <si>
    <t xml:space="preserve">pago tapiz Ave Paola </t>
  </si>
  <si>
    <t xml:space="preserve">viáticos HR </t>
  </si>
  <si>
    <t>pago de sudaderas HR</t>
  </si>
  <si>
    <t>retiro reparacion impresora A3</t>
  </si>
  <si>
    <t>retiro insumos A4</t>
  </si>
  <si>
    <t>retiro uber A8</t>
  </si>
  <si>
    <t>retiro uber  A11</t>
  </si>
  <si>
    <t>retiro nomina A12</t>
  </si>
  <si>
    <t>retiro uber por devolucion A15</t>
  </si>
  <si>
    <t>retiro nomina A22</t>
  </si>
  <si>
    <t xml:space="preserve">retiro uber A24 </t>
  </si>
  <si>
    <t>retiro nomina A24</t>
  </si>
  <si>
    <t>retiro uber E5</t>
  </si>
  <si>
    <t xml:space="preserve">Pago Technology bussines </t>
  </si>
  <si>
    <t>viaticos cedis</t>
  </si>
  <si>
    <t xml:space="preserve">decoracion sillon MKT venta navideña </t>
  </si>
  <si>
    <t>pago grinch</t>
  </si>
  <si>
    <t>viaticos Martha Melendez</t>
  </si>
  <si>
    <t xml:space="preserve">pago horacio Ramirez inst de tablets </t>
  </si>
  <si>
    <t xml:space="preserve">reposicion  Jonathan </t>
  </si>
  <si>
    <t xml:space="preserve">pago deducible Seguro choque Oscar </t>
  </si>
  <si>
    <t>viaticos auditoria</t>
  </si>
  <si>
    <t>retiro manto de edificio A4</t>
  </si>
  <si>
    <t>retiro recoleccion basura A5</t>
  </si>
  <si>
    <t>retiro contencíon A24</t>
  </si>
  <si>
    <t>retiro pago CANACO</t>
  </si>
  <si>
    <t>retiro uber de A18</t>
  </si>
  <si>
    <t xml:space="preserve">retiro uber  E5 </t>
  </si>
  <si>
    <t xml:space="preserve">compra tubos pvc mkt </t>
  </si>
  <si>
    <t>Pago de agua de A1</t>
  </si>
  <si>
    <t>Pago de agua de A9</t>
  </si>
  <si>
    <t>Pago de agua de A10</t>
  </si>
  <si>
    <t>pagod de agua de CEDIS</t>
  </si>
  <si>
    <t xml:space="preserve">pago equipo celular RH </t>
  </si>
  <si>
    <t xml:space="preserve">pago linea telcel de CEDIS </t>
  </si>
  <si>
    <t>pago paqueteria HR Almaraz</t>
  </si>
  <si>
    <t xml:space="preserve">pago apoyo a Chico de CEDIS transporte </t>
  </si>
  <si>
    <t xml:space="preserve">ingreso cambio faltante MM </t>
  </si>
  <si>
    <t>Viáticos Ruben</t>
  </si>
  <si>
    <t>trajes navideños Mkt</t>
  </si>
  <si>
    <t xml:space="preserve">tarjetas Navideñas </t>
  </si>
  <si>
    <t xml:space="preserve">lonas MKT </t>
  </si>
  <si>
    <t xml:space="preserve">pago telcel  THR </t>
  </si>
  <si>
    <t>pago alarma Codare</t>
  </si>
  <si>
    <t xml:space="preserve">material para venta navideña </t>
  </si>
  <si>
    <t>retiro por devolucion de pago A1</t>
  </si>
  <si>
    <t>retiro por finiquito de A11</t>
  </si>
  <si>
    <t xml:space="preserve">retiro insumos E6 </t>
  </si>
  <si>
    <t xml:space="preserve">retiro uber E6 </t>
  </si>
  <si>
    <t xml:space="preserve">Pago Mael Bordados THR </t>
  </si>
  <si>
    <t xml:space="preserve">pago soluone </t>
  </si>
  <si>
    <t xml:space="preserve">pago GTS </t>
  </si>
  <si>
    <t>pago de luz  de A23</t>
  </si>
  <si>
    <t xml:space="preserve">Pago Miriam Avila </t>
  </si>
  <si>
    <t xml:space="preserve">viaticos Juan Carlos viaje a Chihuahua </t>
  </si>
  <si>
    <t xml:space="preserve">pago combustible CEDIS </t>
  </si>
  <si>
    <t xml:space="preserve">pago combustible mantenimiento </t>
  </si>
  <si>
    <t xml:space="preserve">reposicion fondo Miguel </t>
  </si>
  <si>
    <t xml:space="preserve">reposicion combustible MKT </t>
  </si>
  <si>
    <t>pago reposicion gastos Mkt</t>
  </si>
  <si>
    <t xml:space="preserve">pago botarga Mkt </t>
  </si>
  <si>
    <t xml:space="preserve">pago resto viñas navideñas </t>
  </si>
  <si>
    <t xml:space="preserve">pago chip RH </t>
  </si>
  <si>
    <t xml:space="preserve">pago globos THR venta </t>
  </si>
  <si>
    <t>viaticos comida venta navieña</t>
  </si>
  <si>
    <t xml:space="preserve">pago pintura de A18 </t>
  </si>
  <si>
    <t>pago de gas de montacargas</t>
  </si>
  <si>
    <t xml:space="preserve">pago de viaticos y casetas de CEDIS </t>
  </si>
  <si>
    <t xml:space="preserve">pago gastos medicos Cristi Baylon </t>
  </si>
  <si>
    <t xml:space="preserve">pago laser plus MKT </t>
  </si>
  <si>
    <t>pago de luces venta navideña MKT</t>
  </si>
  <si>
    <t xml:space="preserve">compra de bolsas para morralla </t>
  </si>
  <si>
    <t xml:space="preserve">decoracion venta navideña </t>
  </si>
  <si>
    <t xml:space="preserve">pago alarma  Petca </t>
  </si>
  <si>
    <t>retiro de uber de A2</t>
  </si>
  <si>
    <t>retiro insumos A2</t>
  </si>
  <si>
    <t>retiro uber  A10</t>
  </si>
  <si>
    <t>retiro por devolucion A14</t>
  </si>
  <si>
    <t>retiro por estacionamiento E5</t>
  </si>
  <si>
    <t>Envio Parcial de Excedente a Reinversion</t>
  </si>
  <si>
    <t xml:space="preserve">pago TC Jeeves </t>
  </si>
  <si>
    <t>pago Luz de E1</t>
  </si>
  <si>
    <t xml:space="preserve">pago de Luz  E8 </t>
  </si>
  <si>
    <t>pago de luz E9</t>
  </si>
  <si>
    <t xml:space="preserve">compra ruben GDNC </t>
  </si>
  <si>
    <t xml:space="preserve">pago fondo de cajas E11 </t>
  </si>
  <si>
    <t xml:space="preserve">pago comida Aventi </t>
  </si>
  <si>
    <t>retiro nomina A3</t>
  </si>
  <si>
    <t>retiro  uber A5</t>
  </si>
  <si>
    <t>retiro uber de A10</t>
  </si>
  <si>
    <t>retiro insumos A15</t>
  </si>
  <si>
    <t>retiro por contension A24</t>
  </si>
  <si>
    <t>retiro de uber E1</t>
  </si>
  <si>
    <t>retiro nomina E1</t>
  </si>
  <si>
    <t>retiro insumos E2</t>
  </si>
  <si>
    <t xml:space="preserve">retiro nomina E3 </t>
  </si>
  <si>
    <t>retiro insumos E4</t>
  </si>
  <si>
    <t>retiro nomina E5</t>
  </si>
  <si>
    <t>retiro nomina E6</t>
  </si>
  <si>
    <t>retiro viaticos Integradora Elilu</t>
  </si>
  <si>
    <t xml:space="preserve">retiro uber L1 </t>
  </si>
  <si>
    <t xml:space="preserve">pago  proteccion civil Durango </t>
  </si>
  <si>
    <t xml:space="preserve">reposicion Dani </t>
  </si>
  <si>
    <t xml:space="preserve">reposicion Luisa </t>
  </si>
  <si>
    <t xml:space="preserve">pago serigrafia sudaderas </t>
  </si>
  <si>
    <t xml:space="preserve">pago falso plafon </t>
  </si>
  <si>
    <t>Pago Machine Learning e10 y e11</t>
  </si>
  <si>
    <t xml:space="preserve">reparacion minisplit sistemas </t>
  </si>
  <si>
    <t>pago alarma E6</t>
  </si>
  <si>
    <t>pago agua E8</t>
  </si>
  <si>
    <t xml:space="preserve">pago de viaticos  HR </t>
  </si>
  <si>
    <t xml:space="preserve">compra insumos  sistemas viaje a Cuahutemoc </t>
  </si>
  <si>
    <t xml:space="preserve">pago de viaticos sistemas viaje a cuahutemoc </t>
  </si>
  <si>
    <t xml:space="preserve">compra mochila tesoreria </t>
  </si>
  <si>
    <t xml:space="preserve">compra mouse pad tesoreria y RH </t>
  </si>
  <si>
    <t xml:space="preserve">viaticos Arquis </t>
  </si>
  <si>
    <t xml:space="preserve">comida tesoreria </t>
  </si>
  <si>
    <t xml:space="preserve">viaticos Cristina THR </t>
  </si>
  <si>
    <t xml:space="preserve">viaticos Raul Garcia </t>
  </si>
  <si>
    <t>pago telepeaje  HR</t>
  </si>
  <si>
    <t xml:space="preserve">pago TC Hb Codare </t>
  </si>
  <si>
    <t>retiro compra de trampas E1</t>
  </si>
  <si>
    <t>retiro por devolución A10</t>
  </si>
  <si>
    <t>Envio de Excedente  a Reinversion</t>
  </si>
  <si>
    <t>pago telefono Oscar R.</t>
  </si>
  <si>
    <t xml:space="preserve">pago de Luz de A17 </t>
  </si>
  <si>
    <t xml:space="preserve">pago reparacion tinaco Baños </t>
  </si>
  <si>
    <t>pago viáticos Martha Melendez</t>
  </si>
  <si>
    <t>compra de insumos Aaron</t>
  </si>
  <si>
    <t xml:space="preserve">pago contadora de Monedas </t>
  </si>
  <si>
    <t>retiro basura E5</t>
  </si>
  <si>
    <t>retiro insumos E3</t>
  </si>
  <si>
    <t>viaticos inventarios</t>
  </si>
  <si>
    <t xml:space="preserve">pago alex luevano trabajos THR </t>
  </si>
  <si>
    <t xml:space="preserve">Pago BEMA Petca </t>
  </si>
  <si>
    <t xml:space="preserve">Pago refrigeracion Lozano </t>
  </si>
  <si>
    <t xml:space="preserve">Pago Multiempaques </t>
  </si>
  <si>
    <t xml:space="preserve">Pago Green Bag </t>
  </si>
  <si>
    <t xml:space="preserve">viaticos Ruben Hernandez </t>
  </si>
  <si>
    <t>Viaticos Yoselin</t>
  </si>
  <si>
    <t xml:space="preserve">reposicion Martha </t>
  </si>
  <si>
    <t xml:space="preserve">reposicion combustible Diana </t>
  </si>
  <si>
    <t xml:space="preserve">retiro  uber A1 </t>
  </si>
  <si>
    <t>retiro uber A2</t>
  </si>
  <si>
    <t>retiro manto edificio de  A6</t>
  </si>
  <si>
    <t>retiro uber A9</t>
  </si>
  <si>
    <t xml:space="preserve">retiro JMAS A15 </t>
  </si>
  <si>
    <t xml:space="preserve">retiro  extintores E8 </t>
  </si>
  <si>
    <t>Envio de Excedente a Reinversion</t>
  </si>
  <si>
    <t>Honorarios Enrique Diaz</t>
  </si>
  <si>
    <t>retiro convenio A6</t>
  </si>
  <si>
    <t xml:space="preserve">retiro  uber A14 </t>
  </si>
  <si>
    <t xml:space="preserve">retiro uber  A24 </t>
  </si>
  <si>
    <t xml:space="preserve">compra bolsas para cambio </t>
  </si>
  <si>
    <t>viaticos MKT  venta A11</t>
  </si>
  <si>
    <t xml:space="preserve">viaticos Arquitectos </t>
  </si>
  <si>
    <t xml:space="preserve">pago anticipo posada </t>
  </si>
  <si>
    <t xml:space="preserve">pago Electrica Rios THR </t>
  </si>
  <si>
    <t xml:space="preserve">compra de tintas sucursales </t>
  </si>
  <si>
    <t>retiro de nomina de A2</t>
  </si>
  <si>
    <t>retiro de nomina de A3</t>
  </si>
  <si>
    <t>retiro uber de A4</t>
  </si>
  <si>
    <t>retiro de nómina de A6</t>
  </si>
  <si>
    <t>retiro recolección de basura de A5</t>
  </si>
  <si>
    <t>retiro de mant de edificio A9</t>
  </si>
  <si>
    <t>retiro uber de A9</t>
  </si>
  <si>
    <t>retiro nomina de A10</t>
  </si>
  <si>
    <t>retiro insumos de A10</t>
  </si>
  <si>
    <t>retiro por devolución de A11</t>
  </si>
  <si>
    <t>retiro de uber  de A11</t>
  </si>
  <si>
    <t>retiro de uber JMAS de A14</t>
  </si>
  <si>
    <t>retiro de nomina de A14</t>
  </si>
  <si>
    <t>retiro nomina de A17</t>
  </si>
  <si>
    <t>retiro recoleccion de basura de A17</t>
  </si>
  <si>
    <t>retiro de nomina A18</t>
  </si>
  <si>
    <t>retiro retiro insumos de A18</t>
  </si>
  <si>
    <t>retiro de insumos de A22</t>
  </si>
  <si>
    <t>retiro de nomina de A23</t>
  </si>
  <si>
    <t>retiro nómina de contencion  de A24</t>
  </si>
  <si>
    <t xml:space="preserve">retiro de uber de A24 </t>
  </si>
  <si>
    <t>retiro nomina de E3</t>
  </si>
  <si>
    <t>retiro de nomina de E4</t>
  </si>
  <si>
    <t>retiro de nomina de E5</t>
  </si>
  <si>
    <t>retiro de insumos  de E5</t>
  </si>
  <si>
    <t>retiro de uber E5</t>
  </si>
  <si>
    <t>retiro de uber de E6</t>
  </si>
  <si>
    <t>retiro de nomina de E9</t>
  </si>
  <si>
    <t>retiro de uber de E11</t>
  </si>
  <si>
    <t>retiro de uber de L1</t>
  </si>
  <si>
    <t xml:space="preserve">retiro de insumos de A14 </t>
  </si>
  <si>
    <t xml:space="preserve">pago gas CEDIS </t>
  </si>
  <si>
    <t>combustible Juan Carlos viaje a chihuahua</t>
  </si>
  <si>
    <t>reposicion fondo servicios</t>
  </si>
  <si>
    <t>reposicion cena Aventi</t>
  </si>
  <si>
    <t>pago de grua transporter</t>
  </si>
  <si>
    <t>viaticos Miguel Alaniz</t>
  </si>
  <si>
    <t>viaticos sistemas Cuahutemoc</t>
  </si>
  <si>
    <t>Pago Frogmi $3200 dlls</t>
  </si>
  <si>
    <t>pago mano de  obra inst tinaco baños</t>
  </si>
  <si>
    <t>pago LRRO GDNC</t>
  </si>
  <si>
    <t xml:space="preserve">Pago telepeaje </t>
  </si>
  <si>
    <t xml:space="preserve">viaticos HR Cuahutemoc </t>
  </si>
  <si>
    <t>VIaticos Juan Carlos (martes y miercoles)</t>
  </si>
  <si>
    <t xml:space="preserve">combustible recolección Miguel </t>
  </si>
  <si>
    <t>pago sudaderas Elilu</t>
  </si>
  <si>
    <t>pago cajas de regalo MKT</t>
  </si>
  <si>
    <t xml:space="preserve">viáticos ruta CEDIS </t>
  </si>
  <si>
    <t xml:space="preserve">pago sudaderas THR </t>
  </si>
  <si>
    <t>Reposicion Cristi</t>
  </si>
  <si>
    <t xml:space="preserve">compra contadora de billetes </t>
  </si>
  <si>
    <t xml:space="preserve">pago trabajo de A2 electrico </t>
  </si>
  <si>
    <t>retiro uber E1</t>
  </si>
  <si>
    <t>retiro insumos  de E5</t>
  </si>
  <si>
    <t>retiro uber de E9</t>
  </si>
  <si>
    <t>retiro basura E11</t>
  </si>
  <si>
    <t>reiro uber A1</t>
  </si>
  <si>
    <t>retiro Insumos A12</t>
  </si>
  <si>
    <t>pago de luz de  E7</t>
  </si>
  <si>
    <t>pago de luz de  E4</t>
  </si>
  <si>
    <t xml:space="preserve">mkt compra de insumos </t>
  </si>
  <si>
    <t>deposito Marcos Cruz tramites IMSS</t>
  </si>
  <si>
    <t>reparacion transporter</t>
  </si>
  <si>
    <t xml:space="preserve">anticipo reposteria posada </t>
  </si>
  <si>
    <t xml:space="preserve">pago BEMA Petca </t>
  </si>
  <si>
    <t xml:space="preserve">Pago Javier Reyes </t>
  </si>
  <si>
    <t>retiro manto edificio E1</t>
  </si>
  <si>
    <t>retiro manto edificio E2</t>
  </si>
  <si>
    <t>retiro uber de E3</t>
  </si>
  <si>
    <t>retiro uber E6</t>
  </si>
  <si>
    <t>retiro viaticos L1</t>
  </si>
  <si>
    <t>retiro  uber  A1</t>
  </si>
  <si>
    <t>retiro  uber  A9</t>
  </si>
  <si>
    <t>retiro  uber  A10</t>
  </si>
  <si>
    <t xml:space="preserve">retiro uber A14 </t>
  </si>
  <si>
    <t xml:space="preserve">pago papeleria Ochoa letrero CEDIS </t>
  </si>
  <si>
    <t>retiro  uber  E1</t>
  </si>
  <si>
    <t>retiro insumo E4</t>
  </si>
  <si>
    <t>retiro uber A5</t>
  </si>
  <si>
    <t>retiro uber a12</t>
  </si>
  <si>
    <t>Mtto 2026 SINETI</t>
  </si>
  <si>
    <t>pago seguro bbva cuenta MWM</t>
  </si>
  <si>
    <t>pago  luz de A15</t>
  </si>
  <si>
    <t>retiro nomina A1</t>
  </si>
  <si>
    <t>retiro nómina A10</t>
  </si>
  <si>
    <t>retirono nomina A12</t>
  </si>
  <si>
    <t>retiro por fumigación E3</t>
  </si>
  <si>
    <t xml:space="preserve">retiro uber A10 </t>
  </si>
  <si>
    <t xml:space="preserve">retiro nomina A14 </t>
  </si>
  <si>
    <t>retiro nomina A15</t>
  </si>
  <si>
    <t>retiro nomina A17</t>
  </si>
  <si>
    <t>retiro JMAS E6</t>
  </si>
  <si>
    <t xml:space="preserve">viaticos Diana Madrigal </t>
  </si>
  <si>
    <t xml:space="preserve">compra llanta Aveo </t>
  </si>
  <si>
    <t xml:space="preserve">comida CEDIS </t>
  </si>
  <si>
    <t xml:space="preserve">pago de cremalleras </t>
  </si>
  <si>
    <t>combustible Oscar Robledo (perdio la tarjeta )</t>
  </si>
  <si>
    <t xml:space="preserve">parquimetros Miguel </t>
  </si>
  <si>
    <t>pago servicio de Sandero</t>
  </si>
  <si>
    <t xml:space="preserve">reposicion fondo CEDIS </t>
  </si>
  <si>
    <t>compra insumos MKT (guillotina )</t>
  </si>
  <si>
    <t>paga de luz de bodega 4</t>
  </si>
  <si>
    <t xml:space="preserve">comida tesoreria y RH </t>
  </si>
  <si>
    <t>viáticos CEDIS Juarez</t>
  </si>
  <si>
    <t>adelanto musica posada</t>
  </si>
  <si>
    <t xml:space="preserve">viaticos choferes sabado </t>
  </si>
  <si>
    <t xml:space="preserve">cena CEDIS </t>
  </si>
  <si>
    <t>pago manto electricidad E2</t>
  </si>
  <si>
    <t>retiro  uber A1</t>
  </si>
  <si>
    <t>retiro mant edificio A3</t>
  </si>
  <si>
    <t>retiro  uber A4</t>
  </si>
  <si>
    <t>retiro comida A4</t>
  </si>
  <si>
    <t>retiro nomina A5</t>
  </si>
  <si>
    <t>retiro nomina A6</t>
  </si>
  <si>
    <t>reito de uber de A11</t>
  </si>
  <si>
    <t>retiro insumos A12</t>
  </si>
  <si>
    <t xml:space="preserve">retiro por devolución </t>
  </si>
  <si>
    <t>retiro nomina A16</t>
  </si>
  <si>
    <t xml:space="preserve">retiro insumos A17 </t>
  </si>
  <si>
    <t xml:space="preserve">retiro nomina A18 </t>
  </si>
  <si>
    <t>retiro  nomina A22</t>
  </si>
  <si>
    <t>retiro nomina A23</t>
  </si>
  <si>
    <t>retiro insumos A24</t>
  </si>
  <si>
    <t>retiro insumos  E4</t>
  </si>
  <si>
    <t xml:space="preserve">retiro JMAS E6 </t>
  </si>
  <si>
    <t>retiro insumos E7</t>
  </si>
  <si>
    <t>retiro nomina E8</t>
  </si>
  <si>
    <t>retiro nomina E9</t>
  </si>
  <si>
    <t>retiro nomina E11</t>
  </si>
  <si>
    <t>retiro uber E11</t>
  </si>
  <si>
    <t>Mantenimiento Licencias Soluone HR</t>
  </si>
  <si>
    <t>Mantenimiento Licencias Soluone Caprichos y Elilu</t>
  </si>
  <si>
    <t>pago decoración posada</t>
  </si>
  <si>
    <t>Abono Honorarios Ernesto Reyes</t>
  </si>
  <si>
    <t xml:space="preserve">pago electrica Rios PETCA </t>
  </si>
  <si>
    <t>reposicion Luisa</t>
  </si>
  <si>
    <t xml:space="preserve">viacticos Integrador  Nadia </t>
  </si>
  <si>
    <t>pago aseo urbano</t>
  </si>
  <si>
    <t>pago lampara Bodega A2</t>
  </si>
  <si>
    <t xml:space="preserve">combustible Juan Carlos </t>
  </si>
  <si>
    <t xml:space="preserve">reposicion combustible Ramon </t>
  </si>
  <si>
    <t>retiro manto edificio A2</t>
  </si>
  <si>
    <t>retiro  nomina A2</t>
  </si>
  <si>
    <t>retiro finiquito A5</t>
  </si>
  <si>
    <t xml:space="preserve">retiro comida A14 </t>
  </si>
  <si>
    <t>retiro JMAS A16</t>
  </si>
  <si>
    <t>retiro  nomina E1</t>
  </si>
  <si>
    <t>retiro nomina E2</t>
  </si>
  <si>
    <t>Resto Honorarios Ernesto Reyes</t>
  </si>
  <si>
    <t xml:space="preserve">pago renta Variable </t>
  </si>
  <si>
    <t>pago resto decoracion posada</t>
  </si>
  <si>
    <t xml:space="preserve">reposición combustible Mariela </t>
  </si>
  <si>
    <t>pago luz E11</t>
  </si>
  <si>
    <t xml:space="preserve">reposicion Jose Manto </t>
  </si>
  <si>
    <t>pago Kolbee Arquitecto</t>
  </si>
  <si>
    <t>retiro manto E3</t>
  </si>
  <si>
    <t>retiro manto E5</t>
  </si>
  <si>
    <t xml:space="preserve">retiro uber E11 </t>
  </si>
  <si>
    <t xml:space="preserve">retiro uber A4 </t>
  </si>
  <si>
    <t>retiro insumos A5</t>
  </si>
  <si>
    <t xml:space="preserve">retiro uber A12 </t>
  </si>
  <si>
    <t>retiro comida A14</t>
  </si>
  <si>
    <t>TC Amex</t>
  </si>
  <si>
    <t xml:space="preserve">pago posadas sucursales caprichos </t>
  </si>
  <si>
    <t>pago salon posada</t>
  </si>
  <si>
    <t xml:space="preserve">combustible aveo </t>
  </si>
  <si>
    <t xml:space="preserve">combustible juan carlos CUU </t>
  </si>
  <si>
    <t xml:space="preserve">compras comida ruben </t>
  </si>
  <si>
    <t xml:space="preserve">pago luz </t>
  </si>
  <si>
    <t xml:space="preserve">pago si vale MWM inscripción </t>
  </si>
  <si>
    <t>retiro nomina A18</t>
  </si>
  <si>
    <t>pago mandiles Melissa</t>
  </si>
  <si>
    <t xml:space="preserve">pago GTS pago checadores </t>
  </si>
  <si>
    <t xml:space="preserve">pago GTS Pago Anuncio A18 </t>
  </si>
  <si>
    <t xml:space="preserve">pago posada Carmen </t>
  </si>
  <si>
    <t xml:space="preserve">pago viaticos HR </t>
  </si>
  <si>
    <t>gas Montacarga</t>
  </si>
  <si>
    <t xml:space="preserve">combustible Oscar </t>
  </si>
  <si>
    <t xml:space="preserve">tramite recursos licencia </t>
  </si>
  <si>
    <t xml:space="preserve">reitro nomina E9 </t>
  </si>
  <si>
    <t>retiro nomina A8</t>
  </si>
  <si>
    <t>retiro fondo  A10</t>
  </si>
  <si>
    <t>retiro hotel Delicias A24</t>
  </si>
  <si>
    <t>Ingreso fondos temporada HR</t>
  </si>
  <si>
    <t>pago luz de E5</t>
  </si>
  <si>
    <t>pago reposicion Dani</t>
  </si>
  <si>
    <t>pago reposicion Jonathan</t>
  </si>
  <si>
    <t>pago ingenio celular</t>
  </si>
  <si>
    <t>pago CHIP</t>
  </si>
  <si>
    <t>Electrica Rios Petca</t>
  </si>
  <si>
    <t>Electrica Rios MWM</t>
  </si>
  <si>
    <t>reposicion Carmen gastos posada</t>
  </si>
  <si>
    <t xml:space="preserve">reposicion Juan Carlos desponchado </t>
  </si>
  <si>
    <t xml:space="preserve">comida recursos Humanos </t>
  </si>
  <si>
    <t>viaticos E6</t>
  </si>
  <si>
    <t>retiro pago gas A6</t>
  </si>
  <si>
    <t>retiro basura A17</t>
  </si>
  <si>
    <t xml:space="preserve">retiro uber E1 </t>
  </si>
  <si>
    <t>retiro finiquito E6</t>
  </si>
  <si>
    <t>retiro finiquito E7</t>
  </si>
  <si>
    <t>retiro agua insumos E8</t>
  </si>
  <si>
    <t>ingreso sobrantes sucursales  THR</t>
  </si>
  <si>
    <t>faltantes sucursales THR</t>
  </si>
  <si>
    <t>ingreso sobrantes sucursales Caprichos</t>
  </si>
  <si>
    <t xml:space="preserve">faltantes sucursales Caprichos </t>
  </si>
  <si>
    <t>Ingreso de Prestamo Bolsa Reinversion</t>
  </si>
  <si>
    <t>De todo Iluminacion</t>
  </si>
  <si>
    <t>Muestras Caprichos</t>
  </si>
  <si>
    <t>Alarmas Petca</t>
  </si>
  <si>
    <t>Alarmas Codare</t>
  </si>
  <si>
    <t>Alarmas THR</t>
  </si>
  <si>
    <t>Goldenstar</t>
  </si>
  <si>
    <t>Pago SEPSA</t>
  </si>
  <si>
    <t>Greenbag</t>
  </si>
  <si>
    <t>Deltor</t>
  </si>
  <si>
    <t xml:space="preserve">compra de detalle Brisa por cambio </t>
  </si>
  <si>
    <t>Abono a Credito Alamos (Excedente)</t>
  </si>
  <si>
    <t>retiro por  devolucion de vta A4</t>
  </si>
  <si>
    <t>retiro inisumos A17</t>
  </si>
  <si>
    <t>Ingreso de Fondos de caja  Caprichos</t>
  </si>
  <si>
    <t>viaticos manto</t>
  </si>
  <si>
    <t>Pago de Prestamo a Reinversion</t>
  </si>
  <si>
    <t xml:space="preserve">pago si vale </t>
  </si>
  <si>
    <t xml:space="preserve">retiro de A24 nomina </t>
  </si>
  <si>
    <t>Dispersión THR y Codare     2 y 3 enero</t>
  </si>
  <si>
    <t>Ene</t>
  </si>
  <si>
    <t>Dispersión THR y Codare     4 enero</t>
  </si>
  <si>
    <t xml:space="preserve">pago sticker  MKT </t>
  </si>
  <si>
    <t>pago de luz A2</t>
  </si>
  <si>
    <t>pago de luz A18</t>
  </si>
  <si>
    <t>pago de JMAS A1</t>
  </si>
  <si>
    <t>pago de JMAS A9</t>
  </si>
  <si>
    <t>pago de JMAS A10</t>
  </si>
  <si>
    <t xml:space="preserve">pago de JMAS CEDIS </t>
  </si>
  <si>
    <t>pago de JMAS E1</t>
  </si>
  <si>
    <t>pago de JMAS A2</t>
  </si>
  <si>
    <t>combustible Oscar</t>
  </si>
  <si>
    <t xml:space="preserve">compra tortillas </t>
  </si>
  <si>
    <t>reposicion Ruben comida Sabado</t>
  </si>
  <si>
    <t xml:space="preserve">pago de BITAM </t>
  </si>
  <si>
    <t xml:space="preserve">retiro nomina A5 </t>
  </si>
  <si>
    <t>retiro compra mesa comedor  A5</t>
  </si>
  <si>
    <t xml:space="preserve">retiro nomina A3 </t>
  </si>
  <si>
    <t xml:space="preserve">retiro nomina A10 </t>
  </si>
  <si>
    <t xml:space="preserve">retiro pago extra sabritas </t>
  </si>
  <si>
    <t>retiro uber A15</t>
  </si>
  <si>
    <t>retiro de nomina E2</t>
  </si>
  <si>
    <t>retiro ded nomina E4</t>
  </si>
  <si>
    <t xml:space="preserve">retiro de uber </t>
  </si>
  <si>
    <t xml:space="preserve">retiro de nomina E5 </t>
  </si>
  <si>
    <t xml:space="preserve">retiro insumos E5 </t>
  </si>
  <si>
    <t xml:space="preserve">retiro por devolucio de compra </t>
  </si>
  <si>
    <t xml:space="preserve">retiro manto edificio E8 </t>
  </si>
  <si>
    <t>retiro estacionamiento E11</t>
  </si>
  <si>
    <t>retiro de insumos E11</t>
  </si>
  <si>
    <t xml:space="preserve">retiro manto edificio Elilu </t>
  </si>
  <si>
    <t xml:space="preserve">retiro nomina A8 </t>
  </si>
  <si>
    <t>ingreso sobrante semana 48  THR</t>
  </si>
  <si>
    <t>faltantes semana 48 THR</t>
  </si>
  <si>
    <t>ingreso sobrante semana 48  CODARE</t>
  </si>
  <si>
    <t xml:space="preserve">faltantes semana 48  CODARE </t>
  </si>
  <si>
    <t>pago de luz A23</t>
  </si>
  <si>
    <t xml:space="preserve">pago de luz  E9 </t>
  </si>
  <si>
    <t xml:space="preserve">pago GTS viniles Navidad </t>
  </si>
  <si>
    <t xml:space="preserve">pago GTS muestras caprichos </t>
  </si>
  <si>
    <t xml:space="preserve">pago servicio HRV </t>
  </si>
  <si>
    <t>pago telepelaje CEDIS</t>
  </si>
  <si>
    <t>pago telepelaje FINANZAS</t>
  </si>
  <si>
    <t xml:space="preserve">compra mousse auditoria </t>
  </si>
  <si>
    <t>viaticos Manto Camargo</t>
  </si>
  <si>
    <t>retiro manto edificio E7</t>
  </si>
  <si>
    <t>retiro insumos A1</t>
  </si>
  <si>
    <t>retiro nomina A9</t>
  </si>
  <si>
    <t>retiro proteccion  civil A14</t>
  </si>
  <si>
    <t>retiro impresiones  A17</t>
  </si>
  <si>
    <t xml:space="preserve">pago total play </t>
  </si>
  <si>
    <t>pago de luz  A9</t>
  </si>
  <si>
    <t>pago viaticos  MKT Caprichos</t>
  </si>
  <si>
    <t>reposicion Ruben piezas Kangoo</t>
  </si>
  <si>
    <t>retiro inusmos E8</t>
  </si>
  <si>
    <t>retiro manto Edificio  A11</t>
  </si>
  <si>
    <t xml:space="preserve">retiro Roscas Caprichos </t>
  </si>
  <si>
    <t>retiro Roscas Elilu</t>
  </si>
  <si>
    <t xml:space="preserve">retiro Roscas HR </t>
  </si>
  <si>
    <t>pago insumos coffee</t>
  </si>
  <si>
    <t xml:space="preserve">pago insumos juntas trimestrales </t>
  </si>
  <si>
    <t xml:space="preserve">toner impresora auditoria </t>
  </si>
  <si>
    <t xml:space="preserve">posada Elilu </t>
  </si>
  <si>
    <t>lonas decoracion MKT</t>
  </si>
  <si>
    <t xml:space="preserve">posadas HR </t>
  </si>
  <si>
    <t xml:space="preserve">gas para montacargas </t>
  </si>
  <si>
    <t xml:space="preserve">viaticos  Juarez </t>
  </si>
  <si>
    <t xml:space="preserve">retiro uber A23 </t>
  </si>
  <si>
    <t>pago luz A1</t>
  </si>
  <si>
    <t>pago SI VALE MMW</t>
  </si>
  <si>
    <t xml:space="preserve">pago  SI VALE Petca </t>
  </si>
  <si>
    <t xml:space="preserve">pago viaticos Compradoras </t>
  </si>
  <si>
    <t xml:space="preserve">fondos de caja E10 </t>
  </si>
  <si>
    <t>pago servicio Aveo</t>
  </si>
  <si>
    <t>pago alarma  E6</t>
  </si>
  <si>
    <t>pago GTS anuncio A18</t>
  </si>
  <si>
    <t>retiro   JMAS A11</t>
  </si>
  <si>
    <t>ingreso sobrantes HR</t>
  </si>
  <si>
    <t>faltantes HR</t>
  </si>
  <si>
    <t>ingreso sobrantes Caprichos</t>
  </si>
  <si>
    <t xml:space="preserve">faltantes Caprichos </t>
  </si>
  <si>
    <t xml:space="preserve">pago computadora  Contabilidad </t>
  </si>
  <si>
    <t xml:space="preserve">pago viaticos Cedis </t>
  </si>
  <si>
    <t xml:space="preserve">reposicion Cecy compra de Toner </t>
  </si>
  <si>
    <t xml:space="preserve">reposicion Oscar </t>
  </si>
  <si>
    <t xml:space="preserve">compra de cafe </t>
  </si>
  <si>
    <t>retiro  insumos E4</t>
  </si>
  <si>
    <t xml:space="preserve">pago Seguro camion CEDIS </t>
  </si>
  <si>
    <t>reposición Dani</t>
  </si>
  <si>
    <t>reposición Idalia</t>
  </si>
  <si>
    <t xml:space="preserve">reposición Jonathan </t>
  </si>
  <si>
    <t>reposición Perla</t>
  </si>
  <si>
    <t>reposición Marlene</t>
  </si>
  <si>
    <t>pago Julio Cesar Rios</t>
  </si>
  <si>
    <t>pago paqueteria CT</t>
  </si>
  <si>
    <t>retiro gas A6</t>
  </si>
  <si>
    <t xml:space="preserve">pago sellos conta </t>
  </si>
  <si>
    <t xml:space="preserve">reposicion Jose Mendoza gast minisplit HR </t>
  </si>
  <si>
    <t>viaticos Juarez  cedis</t>
  </si>
  <si>
    <t xml:space="preserve">pago infra Helio THR </t>
  </si>
  <si>
    <t>viaticos HR</t>
  </si>
  <si>
    <t xml:space="preserve">retiro insumos E7 </t>
  </si>
  <si>
    <t>retiro  agua insumos</t>
  </si>
  <si>
    <t>pago si vale MWM</t>
  </si>
  <si>
    <t xml:space="preserve">pago si Vale Petca </t>
  </si>
  <si>
    <t xml:space="preserve">pago de viticos inventarios </t>
  </si>
  <si>
    <t xml:space="preserve">pago viáticos Auditoria </t>
  </si>
  <si>
    <t>pago MKT pago de Activación E4</t>
  </si>
  <si>
    <t xml:space="preserve">Pago  reparación Impresora E7 </t>
  </si>
  <si>
    <t xml:space="preserve">pago telepeaje  fernando Ibarra </t>
  </si>
  <si>
    <t>retiro recoleccion basura E5</t>
  </si>
  <si>
    <t>retiro  CANACO E6</t>
  </si>
  <si>
    <t>retiro devolucion A14</t>
  </si>
  <si>
    <t>Pago reparacion camion CEDIS</t>
  </si>
  <si>
    <t>retiro insumos A23</t>
  </si>
  <si>
    <t>retiro manto edificio E3</t>
  </si>
  <si>
    <t>retiro Canaco  E10</t>
  </si>
  <si>
    <t>retiro Canaco  E11</t>
  </si>
  <si>
    <t>ingreso sobrante semana 49 THR</t>
  </si>
  <si>
    <t>ingreso sobrante semana 49  CODARE</t>
  </si>
  <si>
    <t xml:space="preserve">pago de luz A10 </t>
  </si>
  <si>
    <t>pago de luz A14</t>
  </si>
  <si>
    <t>pago de luz E1</t>
  </si>
  <si>
    <t xml:space="preserve">reposicion Cristi Baylón </t>
  </si>
  <si>
    <t>compra de gas montacarga</t>
  </si>
  <si>
    <t xml:space="preserve">botiquin RH </t>
  </si>
  <si>
    <t xml:space="preserve">viaticos Marcos Cruz </t>
  </si>
  <si>
    <t xml:space="preserve">pago SI VALE Codare </t>
  </si>
  <si>
    <t xml:space="preserve">reposición conta compra de toner </t>
  </si>
  <si>
    <t xml:space="preserve">estacionamiento Oscar </t>
  </si>
  <si>
    <t>fondo de caja Elilu Juárez</t>
  </si>
  <si>
    <t>pago influencer MKT</t>
  </si>
  <si>
    <t>pago viaticos manto  E11</t>
  </si>
  <si>
    <t>viaticos Idalia Cuahutemoc</t>
  </si>
  <si>
    <t>pago technolocy nusiness</t>
  </si>
  <si>
    <t xml:space="preserve">pago SI VALE Petca </t>
  </si>
  <si>
    <t xml:space="preserve">pago si VALE CODARE </t>
  </si>
  <si>
    <t>retiro manto edificio A6</t>
  </si>
  <si>
    <t>retiro  uber A23</t>
  </si>
  <si>
    <t xml:space="preserve">retiro manto edificio E10 </t>
  </si>
  <si>
    <t xml:space="preserve">retiro nomina E10 </t>
  </si>
  <si>
    <t xml:space="preserve">retiro insumos E10 </t>
  </si>
  <si>
    <t>retiro uber E10</t>
  </si>
  <si>
    <t xml:space="preserve">ingreso prestamo Codare Hey Banco </t>
  </si>
  <si>
    <t xml:space="preserve">compra segurifact Human Fst </t>
  </si>
  <si>
    <t xml:space="preserve">Pago segurifact THR </t>
  </si>
  <si>
    <t xml:space="preserve">pago anticipo cristal A17 </t>
  </si>
  <si>
    <t xml:space="preserve">Pago publicidad valles Mata MKT </t>
  </si>
  <si>
    <t>viaticos Miguel</t>
  </si>
  <si>
    <t xml:space="preserve">reposicion Marlen </t>
  </si>
  <si>
    <t xml:space="preserve">modificación del carrito de pink up THR </t>
  </si>
  <si>
    <t>viaticos CEDIS viaje a Juarez</t>
  </si>
  <si>
    <t xml:space="preserve">viaticos sistemas cuu </t>
  </si>
  <si>
    <t>retiro pago de basura A16</t>
  </si>
  <si>
    <t>retiro pago de nomina A23</t>
  </si>
  <si>
    <t>retiro Uber E8</t>
  </si>
  <si>
    <t xml:space="preserve">pago Laptop sistemas y CEDIS </t>
  </si>
  <si>
    <t xml:space="preserve">pago servicio Camión CEDIS </t>
  </si>
  <si>
    <t xml:space="preserve">Pago SI VALE Codare </t>
  </si>
  <si>
    <t>reposicion Cristy</t>
  </si>
  <si>
    <t xml:space="preserve">pago decoracion MKT inahuracion E10 </t>
  </si>
  <si>
    <t xml:space="preserve">pago MKT anticipo glitter bar </t>
  </si>
  <si>
    <t xml:space="preserve">servicio de snack MKT </t>
  </si>
  <si>
    <t xml:space="preserve">reposicion de Jonathan </t>
  </si>
  <si>
    <t>retiro Manto edificio E11</t>
  </si>
  <si>
    <t xml:space="preserve">Pago de luz de bodega 4 CEDIS </t>
  </si>
  <si>
    <t>reposición sofia contadora combustible</t>
  </si>
  <si>
    <t xml:space="preserve">pago de globos Elilu MKT </t>
  </si>
  <si>
    <t>pago sonido inaguracion de E10</t>
  </si>
  <si>
    <t xml:space="preserve">pago servicio camion </t>
  </si>
  <si>
    <t>retiro CANACO E5</t>
  </si>
  <si>
    <t>retiro manto edificio E10</t>
  </si>
  <si>
    <t xml:space="preserve">retiro uber E10 </t>
  </si>
  <si>
    <t>ingreso sobrante semana 50  THR</t>
  </si>
  <si>
    <t>faltantes semana 50  THR</t>
  </si>
  <si>
    <t>ingreso sobrante semana 50   CODARE</t>
  </si>
  <si>
    <t xml:space="preserve">faltantes semana 50 CODARE </t>
  </si>
  <si>
    <t>pago sudaderas inaguración E10  MKT</t>
  </si>
  <si>
    <t>compras insumos inaguracion E10  MKT</t>
  </si>
  <si>
    <t xml:space="preserve">viaticos Juarez Liz Aviles </t>
  </si>
  <si>
    <t xml:space="preserve">viaticos compras </t>
  </si>
  <si>
    <t xml:space="preserve">pago GTS MKT </t>
  </si>
  <si>
    <t>pago renta de departamento</t>
  </si>
  <si>
    <t>retiro  estacionamiento E5</t>
  </si>
  <si>
    <t xml:space="preserve">retiro devolución </t>
  </si>
  <si>
    <t>retiro uber E8</t>
  </si>
  <si>
    <t>retiro manto de edificio E8</t>
  </si>
  <si>
    <t xml:space="preserve">pago Aseo Urbano </t>
  </si>
  <si>
    <t>pago SI VALE Mwm</t>
  </si>
  <si>
    <t>pago SI VALE Petca</t>
  </si>
  <si>
    <t xml:space="preserve">pago Amex Petca </t>
  </si>
  <si>
    <t>reposicion viaticos Miguel  (viernes)</t>
  </si>
  <si>
    <t>viaticos Miguel CUU</t>
  </si>
  <si>
    <t xml:space="preserve">compra cemento piso de CEDIS </t>
  </si>
  <si>
    <t xml:space="preserve">pago activacion E1 </t>
  </si>
  <si>
    <t xml:space="preserve">compra  isumos MKT </t>
  </si>
  <si>
    <t xml:space="preserve">pago de galletas inaguracion E10 </t>
  </si>
  <si>
    <t xml:space="preserve">pago comida Carlos </t>
  </si>
  <si>
    <t>pago de luz E6</t>
  </si>
  <si>
    <t>pago de bodega E6</t>
  </si>
  <si>
    <t xml:space="preserve">pago de estacionamiento Oscar </t>
  </si>
  <si>
    <t>pago telepeaje fernando Ibarra</t>
  </si>
  <si>
    <t>retiro JMAS  A23</t>
  </si>
  <si>
    <t>retiro insumos E11</t>
  </si>
  <si>
    <t>pago  insumos inaguracion L3</t>
  </si>
  <si>
    <t xml:space="preserve">mandiles Elilu </t>
  </si>
  <si>
    <t>retirouber E2</t>
  </si>
  <si>
    <t>retiro nómina E10</t>
  </si>
  <si>
    <t>retiro insumos L1</t>
  </si>
  <si>
    <t xml:space="preserve">ingreso abono a boveda de rentas </t>
  </si>
  <si>
    <t xml:space="preserve">Ingreso prestamo  Hb Codare </t>
  </si>
  <si>
    <t>pago fundación vida</t>
  </si>
  <si>
    <t xml:space="preserve">pago telcel linea CEDIS </t>
  </si>
  <si>
    <t>pago de agua de E8</t>
  </si>
  <si>
    <t>pago de agua de E9</t>
  </si>
  <si>
    <t xml:space="preserve">pago renta variable </t>
  </si>
  <si>
    <t>retiro  uber E4</t>
  </si>
  <si>
    <t xml:space="preserve">pago predial </t>
  </si>
  <si>
    <t xml:space="preserve">pago agua de A8 </t>
  </si>
  <si>
    <t xml:space="preserve">reposicion Miguel </t>
  </si>
  <si>
    <t>viaticos CEDIS E6</t>
  </si>
  <si>
    <t>reposicion CEDIS compra de material</t>
  </si>
  <si>
    <t xml:space="preserve">reposicion CEDIS </t>
  </si>
  <si>
    <t xml:space="preserve">pago MKT inaguracion E10 </t>
  </si>
  <si>
    <t>pago de luz de CORP 1</t>
  </si>
  <si>
    <t xml:space="preserve">pago de luz de CORP 2 </t>
  </si>
  <si>
    <t>retiro JMAS A14</t>
  </si>
  <si>
    <t>Pago Si VALE MWM</t>
  </si>
  <si>
    <t>Pago Servicio Aveo  servicios</t>
  </si>
  <si>
    <t xml:space="preserve">Pago Cristal A17 </t>
  </si>
  <si>
    <t xml:space="preserve">Pago Micro inversores A16 </t>
  </si>
  <si>
    <t xml:space="preserve">pago SI VALE PETCA </t>
  </si>
  <si>
    <t xml:space="preserve">pago SI VALE  Codare </t>
  </si>
  <si>
    <t xml:space="preserve">pago compra de tintas y pilas codare </t>
  </si>
  <si>
    <t xml:space="preserve">pago caseta Juarez MKT </t>
  </si>
  <si>
    <t xml:space="preserve">pago influencer E10 </t>
  </si>
  <si>
    <t>BOVEDA 1 NOMINA</t>
  </si>
  <si>
    <t>Feb</t>
  </si>
  <si>
    <t>ingreso caja chica</t>
  </si>
  <si>
    <t>pago finiquito  Victor Ceballos E2</t>
  </si>
  <si>
    <t>pago finiquito  Stephanie Solorzano E8</t>
  </si>
  <si>
    <t>pago finiquito  Paola Garcia E1</t>
  </si>
  <si>
    <t>pago finiquito  Jessica Hernandez A5</t>
  </si>
  <si>
    <t>pago finiquito  Carlos Runio Swat</t>
  </si>
  <si>
    <t>pago finiquito  Patricia Berdin E6</t>
  </si>
  <si>
    <t>pago finiquito Brenda Arreola  Elilu</t>
  </si>
  <si>
    <t>pago finiquito  Sujeydi Granillo A5</t>
  </si>
  <si>
    <t>pago finiquito  Edwin Daniel Hernandez A5</t>
  </si>
  <si>
    <t>pago finiquito lesley Guzman A3</t>
  </si>
  <si>
    <t>pago finiquito  Britny Mendoza A22</t>
  </si>
  <si>
    <t xml:space="preserve">pago finiquito  Adrian Fuentes A18 </t>
  </si>
  <si>
    <t xml:space="preserve">pago de bono </t>
  </si>
  <si>
    <t>ingreso nomina  socios</t>
  </si>
  <si>
    <t>ingreso nomina Julia</t>
  </si>
  <si>
    <t>ingreso nomina Melissa</t>
  </si>
  <si>
    <t>pago de nomina NO FISCAL</t>
  </si>
  <si>
    <t>Pago de nomina fiscal</t>
  </si>
  <si>
    <t xml:space="preserve">pago de bonos </t>
  </si>
  <si>
    <t xml:space="preserve">ingreso caja chica </t>
  </si>
  <si>
    <t>pago de finiquito Teresa Calvillo E6</t>
  </si>
  <si>
    <t>pago de finiquito  Cinthia Janeth Contreras A9</t>
  </si>
  <si>
    <t>pago de finiquito  Debanhi Vicuña A5</t>
  </si>
  <si>
    <t>pago de finiquito  Jazmin Nuñez Inventarios</t>
  </si>
  <si>
    <t>pago de finiquito  Alondra Orozco E7</t>
  </si>
  <si>
    <t>pago de finiquito  Carlos Herrera A18</t>
  </si>
  <si>
    <t>pago de finiquito  Ariadna Perez A18</t>
  </si>
  <si>
    <t xml:space="preserve">pago de finiquito  Camila Perez A18 </t>
  </si>
  <si>
    <t>pago de finiquito  Ailin Martinez A5</t>
  </si>
  <si>
    <t>pago de finiquito  David Quezada A3</t>
  </si>
  <si>
    <t>pago de finiquito  Anna Aguirre A1</t>
  </si>
  <si>
    <t>pago de finiquito  Gabriela Rios A16</t>
  </si>
  <si>
    <t>pago de finiquito  Nadia Vanesa Olivas E5</t>
  </si>
  <si>
    <t>pago de finiquito  Luis Alonso A14</t>
  </si>
  <si>
    <t>pago de finiquito  Yves Ramirez A8 (R)</t>
  </si>
  <si>
    <t>pago nomina MM</t>
  </si>
  <si>
    <t>pago finiquito  America Rodarte E5</t>
  </si>
  <si>
    <t>pago finiquito Deniss Najera E7</t>
  </si>
  <si>
    <t>pago finiquito Julia Morales E2</t>
  </si>
  <si>
    <t>pago finiquito Andrea Franco E2</t>
  </si>
  <si>
    <t>pago finiquito Barbara Lozoya E3</t>
  </si>
  <si>
    <t>pago finiquito Joselin Palma E3</t>
  </si>
  <si>
    <t xml:space="preserve">Pago finiquito </t>
  </si>
  <si>
    <t xml:space="preserve">pago convenio  CEDIS  Elva Sarai Moreno </t>
  </si>
  <si>
    <t>pago de nomina FISCAL</t>
  </si>
  <si>
    <t>Mar</t>
  </si>
  <si>
    <t>Pago finiquito Kevin Alejandro Ronquillo A8</t>
  </si>
  <si>
    <t>Pago finiquito Adalgisa Torres E2</t>
  </si>
  <si>
    <t>Pago finiquito Jessica Ceballos E4</t>
  </si>
  <si>
    <t>Pago finiquito Julio Castro A9</t>
  </si>
  <si>
    <t>Pago finiquito Osmar Medina A8</t>
  </si>
  <si>
    <t>Pago finiquito Alfredp Gardea A12</t>
  </si>
  <si>
    <t>Pago finiquito Diana Villagran A3</t>
  </si>
  <si>
    <t xml:space="preserve">pago  por convenio  Melani gómez A23 </t>
  </si>
  <si>
    <t>pago de bonos</t>
  </si>
  <si>
    <t>pago nomina Estefania Montes tesoreria</t>
  </si>
  <si>
    <t xml:space="preserve">pago de hora Extra Dora de CEDIS </t>
  </si>
  <si>
    <t xml:space="preserve">pago faltante de nomina Idalia </t>
  </si>
  <si>
    <t>pago finiquito  Estefani gonzales CDS</t>
  </si>
  <si>
    <t>pago finiquito  Monica Velazquez E4</t>
  </si>
  <si>
    <t>pago finiquito  Sandra Acosta L1</t>
  </si>
  <si>
    <t>pago finiquito  Itzel Espino A10</t>
  </si>
  <si>
    <t>pago finiquito  Luis Eduardo Duran A10</t>
  </si>
  <si>
    <t>pago finiquito  Gabriel Silva A10</t>
  </si>
  <si>
    <t>pago finiquito  Paulina Portillo A23</t>
  </si>
  <si>
    <t>pago finiquito Ileana Torres de E3</t>
  </si>
  <si>
    <t>pago finiquito  Abelardo Estrada  A22</t>
  </si>
  <si>
    <t>pago finiquito  Paola Martinez E6</t>
  </si>
  <si>
    <t>pago finiquito  Michel Ortega E2</t>
  </si>
  <si>
    <t>pago finiquito  Evelin López E2</t>
  </si>
  <si>
    <t>pago finiquito  Israel Pech CDS</t>
  </si>
  <si>
    <t>pago finiquito  Claudia Cazarez A18</t>
  </si>
  <si>
    <t xml:space="preserve">pago finiquito  Karen Cazarez E4 </t>
  </si>
  <si>
    <t>pago de nomina  NO FISCAL</t>
  </si>
  <si>
    <t xml:space="preserve">pago de nomina FISCAL </t>
  </si>
  <si>
    <t xml:space="preserve">pago de prestamo Mariela Ramos </t>
  </si>
  <si>
    <t xml:space="preserve">pago nomina Human Muscle </t>
  </si>
  <si>
    <t xml:space="preserve">prestamo Evelin Cortez RH </t>
  </si>
  <si>
    <t>pago de finiquito  Mariana Acosta A18</t>
  </si>
  <si>
    <t xml:space="preserve">pago de finiquito Andrea Guadalupe E7 </t>
  </si>
  <si>
    <t>pago de finiquito  Jocelyn Ramirez Elilu</t>
  </si>
  <si>
    <t>pago de finiquito Paola Martinez  E6</t>
  </si>
  <si>
    <t xml:space="preserve">pago de finiquito  Lizbeth Garcia A5 </t>
  </si>
  <si>
    <t>pago de nomia NO FISCAL</t>
  </si>
  <si>
    <t>pago de bonos ejecutivos</t>
  </si>
  <si>
    <t xml:space="preserve">pago de nomina Melissa </t>
  </si>
  <si>
    <t xml:space="preserve">pago de nomina Recepcion </t>
  </si>
  <si>
    <t xml:space="preserve">pago diferencia nomina Dora CEDIS </t>
  </si>
  <si>
    <t xml:space="preserve">pago de vacaciones Cecy Ayala Conta </t>
  </si>
  <si>
    <t xml:space="preserve">pago nomina dif Ramon Lara </t>
  </si>
  <si>
    <t>pago finiquito Krista Almeida E5</t>
  </si>
  <si>
    <t>pago finiquito Daniel Polanco A3</t>
  </si>
  <si>
    <t>pago finiquito Jose Luis Lugo A3</t>
  </si>
  <si>
    <t>pago nomina No Fiscal</t>
  </si>
  <si>
    <t>pago nomina FISCAL</t>
  </si>
  <si>
    <t>pago bonos ejecutivos</t>
  </si>
  <si>
    <t>pago finiquto Genesis Aleida E2</t>
  </si>
  <si>
    <t>pago finiquto Evelin Gutierrez E2</t>
  </si>
  <si>
    <t>pago finiquto Yeimi Enriquez  E2</t>
  </si>
  <si>
    <t>reposicion Faltante de Nomina Blas Guerrero CEDIS</t>
  </si>
  <si>
    <t>reposicion Faltante de Nomina Ramon Lara  CEDIS</t>
  </si>
  <si>
    <t>reposicion Faltante de Nomina Rey Garcia CEDIS</t>
  </si>
  <si>
    <t>reposicion Faltante de Nomina Enrique Sánchez CEDIS</t>
  </si>
  <si>
    <t xml:space="preserve">ingreso por dev  de sobrante en nómina </t>
  </si>
  <si>
    <t xml:space="preserve">Pago finiquito Hazel Ortiz A8 </t>
  </si>
  <si>
    <t xml:space="preserve">pago finiquito Sindy Hermosilla A22 </t>
  </si>
  <si>
    <t>pago de bonos compradoras</t>
  </si>
  <si>
    <t>pago de finiquito  Ethan Medina A18</t>
  </si>
  <si>
    <t>pago de finiquito  Perla Sigala A10</t>
  </si>
  <si>
    <t xml:space="preserve">pago de nomina Fiscal </t>
  </si>
  <si>
    <t xml:space="preserve">pago de nomina NO FISCAL </t>
  </si>
  <si>
    <t>pago de finiquito Brenda Franco A10</t>
  </si>
  <si>
    <t>pago de finiquito Erick MArtinez</t>
  </si>
  <si>
    <t>pago de nomina de Elilu</t>
  </si>
  <si>
    <t xml:space="preserve">pago de nomina swat THR </t>
  </si>
  <si>
    <t>pago caja chica</t>
  </si>
  <si>
    <t xml:space="preserve">pago finiquito Karen Salas Inventarios </t>
  </si>
  <si>
    <t>pago Alicia Becerra  A24</t>
  </si>
  <si>
    <t>Pagp Jose Manuel Acosta E7</t>
  </si>
  <si>
    <t xml:space="preserve">pago nomina no Fiscal </t>
  </si>
  <si>
    <t xml:space="preserve">pago bonos ejecutivos </t>
  </si>
  <si>
    <t xml:space="preserve">pago finiquito </t>
  </si>
  <si>
    <t xml:space="preserve">pago nomina Elilu   Itzel de Santiago </t>
  </si>
  <si>
    <t>Pago finiquito Jose Maria Rofdriguez  A12</t>
  </si>
  <si>
    <t>Pago finiquito America Chacon A12</t>
  </si>
  <si>
    <t>Pago finiquito Ana Laura Rascon A12</t>
  </si>
  <si>
    <t>Pago finiquito Angel Santigo Lira A12</t>
  </si>
  <si>
    <t xml:space="preserve">pago finiquito Yahaira Hernandez recepcion </t>
  </si>
  <si>
    <t xml:space="preserve">pago Evelyn Holguin E4 </t>
  </si>
  <si>
    <t>pago finiquito Madai Rodriguez  E1</t>
  </si>
  <si>
    <t>pago de finiquito Maximo avalos  A5</t>
  </si>
  <si>
    <t>pago de finiquito Jonas  Balderrama A5</t>
  </si>
  <si>
    <t>pago de finiquito Mayra Valdiviezo A5</t>
  </si>
  <si>
    <t>pago de finiquito Sergio Cervantes   A5</t>
  </si>
  <si>
    <t>pago de finiquito Angel Castillos A12</t>
  </si>
  <si>
    <t>pago de finiquito  Mia Acosta A9</t>
  </si>
  <si>
    <t>pago de finiquito Gabrile Balderrama   A12</t>
  </si>
  <si>
    <t>pago de bono</t>
  </si>
  <si>
    <t>Pago de convenio  Enrique Diaz</t>
  </si>
  <si>
    <t xml:space="preserve">pago de bonos ejecutivos </t>
  </si>
  <si>
    <t>Pago de finiquito de Ashley Holguin E2</t>
  </si>
  <si>
    <t>Pago de finiquito de Samuel Gutierrez Moreno  A14</t>
  </si>
  <si>
    <t>Pago de finiquito de Danna Avalos A3</t>
  </si>
  <si>
    <t>Pago de finiquito de Amanda rubio A23</t>
  </si>
  <si>
    <t>Pago de finiquito de  Adrian Garcia A1</t>
  </si>
  <si>
    <t>Pago de finiquito de  Jamie  Martinez  E9</t>
  </si>
  <si>
    <t>Pago de finiquito de Maria de Jesus ibarra Beltran A12</t>
  </si>
  <si>
    <t>Pago de finiquito de Korina Raigoza de A3</t>
  </si>
  <si>
    <t>Pago de finiquito de Erika Matas E2</t>
  </si>
  <si>
    <t xml:space="preserve">retiro para boveda de nómina pago convenio </t>
  </si>
  <si>
    <t>Pago nomina NO FISCAL</t>
  </si>
  <si>
    <t xml:space="preserve">Pago finiquito Karla Ruiz  RH </t>
  </si>
  <si>
    <t xml:space="preserve">Pagofiniquito  Elva Camila E8 </t>
  </si>
  <si>
    <t xml:space="preserve">Pago finiquito Hellier Vargas A18 </t>
  </si>
  <si>
    <t xml:space="preserve">Pago de bonos </t>
  </si>
  <si>
    <t xml:space="preserve">pago convenio </t>
  </si>
  <si>
    <t xml:space="preserve">pago denomina de Paola Parra  </t>
  </si>
  <si>
    <t>pago denomina de Jonathan Gandara THR GD3</t>
  </si>
  <si>
    <t>pago denomina de Gabriela Hernández  MKT</t>
  </si>
  <si>
    <t xml:space="preserve">pago denomina de Mario Humberto Gardea </t>
  </si>
  <si>
    <t xml:space="preserve">pago denomina de Esmeralda Alvarez </t>
  </si>
  <si>
    <t xml:space="preserve">pago de nomina dia festivo </t>
  </si>
  <si>
    <t>pago finiquito Larissa Lizet E1</t>
  </si>
  <si>
    <t>pago finiquito Adriana Casas E1</t>
  </si>
  <si>
    <t>pago finiquito Brissa Avitia E1</t>
  </si>
  <si>
    <t xml:space="preserve">pago de nomina No Fiscal </t>
  </si>
  <si>
    <t xml:space="preserve">pago de Bonos ejecutivos </t>
  </si>
  <si>
    <t>pago convenio Cinthia Angelica Melissa</t>
  </si>
  <si>
    <t>pago finiquito Kevin Peña A6</t>
  </si>
  <si>
    <t xml:space="preserve">CAPRICHOS </t>
  </si>
  <si>
    <t xml:space="preserve">pago finiquito Daniela Lares E6 </t>
  </si>
  <si>
    <t xml:space="preserve">adelanto de BONO </t>
  </si>
  <si>
    <t>Pago finiquito  Selene Alvear  A6</t>
  </si>
  <si>
    <t>Pago finiquito  Kiara Calderon  E4</t>
  </si>
  <si>
    <t>Pago finiquito Brenda Carbajal E3</t>
  </si>
  <si>
    <t>Pago finiquito  Blass Ortiz CDS</t>
  </si>
  <si>
    <t>pago de prestamo Lore (limpieza )</t>
  </si>
  <si>
    <t xml:space="preserve">Pago Nomina Fiscal </t>
  </si>
  <si>
    <t xml:space="preserve">Pago Nomina NO FISCAL </t>
  </si>
  <si>
    <t xml:space="preserve">pago Bonos ejecutivos </t>
  </si>
  <si>
    <t xml:space="preserve">pago Finiquito  Yamili Contreras CDS </t>
  </si>
  <si>
    <t>pago Finiquito  Luis Eduardo Martinez CEDIS</t>
  </si>
  <si>
    <t xml:space="preserve">pago Finiquito  Wendy Paola Parra OP HR </t>
  </si>
  <si>
    <t>pago Finiquito  Kenia Mitchel A12</t>
  </si>
  <si>
    <t>pago Finiquito  Ana Paola Chavira E4</t>
  </si>
  <si>
    <t xml:space="preserve">prestamo Evelyn RH </t>
  </si>
  <si>
    <t xml:space="preserve">pago prestamo Fabi Ontiveros </t>
  </si>
  <si>
    <t xml:space="preserve">pago finiquito Alejandra Luna </t>
  </si>
  <si>
    <t xml:space="preserve">pago finiquito Vero Garcia </t>
  </si>
  <si>
    <t xml:space="preserve">Prestamo  Marcos Cruz </t>
  </si>
  <si>
    <t xml:space="preserve">prestamo Mirna </t>
  </si>
  <si>
    <t>bono compradoras</t>
  </si>
  <si>
    <t xml:space="preserve">pago horas extras Lalo sistemas </t>
  </si>
  <si>
    <t xml:space="preserve">pago nomina CEDIS Cesar Duran </t>
  </si>
  <si>
    <t>pago finiquito  Daphne Davila  E5</t>
  </si>
  <si>
    <t>pago finiquito  Ericka Pacheco  A6</t>
  </si>
  <si>
    <t xml:space="preserve">pago Nomina Mariana Idaly Lechuga A15 </t>
  </si>
  <si>
    <t>pago de finiquito de  Valeria Gonzalez E1</t>
  </si>
  <si>
    <t>pago de finiquito de  Ximena Cazares A10</t>
  </si>
  <si>
    <t xml:space="preserve">prestamo Mayra CEDIS </t>
  </si>
  <si>
    <t>pago finiquito  Kate Martinez E1</t>
  </si>
  <si>
    <t>pago finiquito Omar Mendias A3</t>
  </si>
  <si>
    <t>pago finiquito Jesus Vargas A6</t>
  </si>
  <si>
    <t>pago finiquitos Mirna Guerrero CDS</t>
  </si>
  <si>
    <t xml:space="preserve">pago finiquito Irma Jimenez CDS </t>
  </si>
  <si>
    <t>pago finiquito  Alexica Lujan Vega A5</t>
  </si>
  <si>
    <t>pago finiquito  Jacqueline Bruno A17</t>
  </si>
  <si>
    <t xml:space="preserve">pago finiquito  Omar Mendias </t>
  </si>
  <si>
    <t>pago finiquito  Ingrid Flores E7</t>
  </si>
  <si>
    <t>Pago nomina Fiscal</t>
  </si>
  <si>
    <t xml:space="preserve">pago nomina No fiscal </t>
  </si>
  <si>
    <t xml:space="preserve">pago bonos </t>
  </si>
  <si>
    <t>pago prestamo Perla CEDIS</t>
  </si>
  <si>
    <t>pago finiquito  Diana Martinez A3</t>
  </si>
  <si>
    <t xml:space="preserve">pago finiquito  Manuel Garcia CDS </t>
  </si>
  <si>
    <t xml:space="preserve">pago horas extras mensajero Oscar </t>
  </si>
  <si>
    <t>pago finiquito Karla Hernandez  auditoria</t>
  </si>
  <si>
    <t>pago finiquito Alhely Mancinas E5</t>
  </si>
  <si>
    <t xml:space="preserve">pago finiquito  Damian Cervantes  A24 </t>
  </si>
  <si>
    <t xml:space="preserve">pago nomina diferencianMirna </t>
  </si>
  <si>
    <t>Pago finiquito Michell Azul Galvan  E4</t>
  </si>
  <si>
    <t xml:space="preserve">Pago Yahira Denisse Orduño  E5 </t>
  </si>
  <si>
    <t xml:space="preserve">pago nomina Vanessa  Gil de Arana conteo caprichos </t>
  </si>
  <si>
    <t xml:space="preserve">pago nomina  personal de manto. </t>
  </si>
  <si>
    <t>pago de finiquito Samantha Lopez E7</t>
  </si>
  <si>
    <t>pago Cinthia Soltelo A8</t>
  </si>
  <si>
    <t xml:space="preserve">pago Yerick Abdiel  A17 </t>
  </si>
  <si>
    <t xml:space="preserve">pago finqiuito Irving Carmona A3 </t>
  </si>
  <si>
    <t xml:space="preserve">Pago finiquito Angela Samantha </t>
  </si>
  <si>
    <t xml:space="preserve">reposicio nomina Alonso Valenzuela </t>
  </si>
  <si>
    <t>pago horas extras Oscar robledo tesoreria</t>
  </si>
  <si>
    <t xml:space="preserve">pago nomina CEDIS Manto </t>
  </si>
  <si>
    <t xml:space="preserve">pago finiquito   Berenice Corrales de A17 </t>
  </si>
  <si>
    <t>pago prestamo Jose Mendoza</t>
  </si>
  <si>
    <t xml:space="preserve">pago de nomina de temporada  Sofia Hernandez  etiquetado </t>
  </si>
  <si>
    <t xml:space="preserve">pago finiquito  Samantha MArtinez A9 </t>
  </si>
  <si>
    <t>pago finiquito  Laura Chavez E3</t>
  </si>
  <si>
    <t xml:space="preserve">pago finiquito Jennifer Rodriguez A12 </t>
  </si>
  <si>
    <t>pago finiquito Marcelo Moreno CDS</t>
  </si>
  <si>
    <t>Pago finiquito Dayana Rey A10</t>
  </si>
  <si>
    <t>pago finiquito   Esmeralda Gonzales A22</t>
  </si>
  <si>
    <t>pago finiquito   Mayra Chavez CDS</t>
  </si>
  <si>
    <t xml:space="preserve">pago finiquito Mario Humberto Gardea Swat </t>
  </si>
  <si>
    <t>pago finiquito Ruth Gabriela E5</t>
  </si>
  <si>
    <t>pago finiquito  Emely Martinez A24</t>
  </si>
  <si>
    <t>pago finiquito Alexa Perez E9</t>
  </si>
  <si>
    <t>pago finiquito  Perla Ramirez E9</t>
  </si>
  <si>
    <t>pago de nomina de temporada  Brandon Najera CEDIS</t>
  </si>
  <si>
    <t>pago de nomina de temporada  Brandon  olvera Aux Haidee</t>
  </si>
  <si>
    <t>pago de nomina Jorge Ulises CDS</t>
  </si>
  <si>
    <t xml:space="preserve">Pago finiquito Jorge Ulises CDS </t>
  </si>
  <si>
    <t xml:space="preserve">Pago finqiuito Eduardo Nevarez de A6 </t>
  </si>
  <si>
    <t>Pago finiquito Ximena Meraz E7</t>
  </si>
  <si>
    <t xml:space="preserve">pago finiquito Marnel Hernandez A4 </t>
  </si>
  <si>
    <t xml:space="preserve">pago convenio de E2 </t>
  </si>
  <si>
    <t xml:space="preserve">pago finqiuito Manuel Duran </t>
  </si>
  <si>
    <t xml:space="preserve">Pago nomina merkadotecnia </t>
  </si>
  <si>
    <t>pago nomina de temporada Brayan Axel CDS</t>
  </si>
  <si>
    <t>pago nomina de temporada Brando Olvera aunx Haidee</t>
  </si>
  <si>
    <t>pago nomina de temporada Danna Hernandez CEDIS</t>
  </si>
  <si>
    <t xml:space="preserve">pago nomina de temporada Brandon Alexis Najera CDS </t>
  </si>
  <si>
    <t xml:space="preserve">pago por vacaciones Guillermo Flores </t>
  </si>
  <si>
    <t>pago por vacaciones Marcos Cruz  conta</t>
  </si>
  <si>
    <t>pago por vacaciones Yeraldin Graciano</t>
  </si>
  <si>
    <t xml:space="preserve">pago por vacaciones   Cruz Idalia  GD2  THR </t>
  </si>
  <si>
    <t>pago Eunice Trejo E1</t>
  </si>
  <si>
    <t>pago nomina Diana Andres CDS</t>
  </si>
  <si>
    <t xml:space="preserve">pago nomina Vanesa Rangel MKT </t>
  </si>
  <si>
    <t xml:space="preserve">Pago de convenio Gilberto Gyovany A10 </t>
  </si>
  <si>
    <t>pago de finiquito Cinthia Paola Guerrero  A17</t>
  </si>
  <si>
    <t>pago de finiquito  Evelyn Anahi Gutierrez  E2</t>
  </si>
  <si>
    <t xml:space="preserve">pago prestamo Mariela Ramos </t>
  </si>
  <si>
    <t>pago prestamo Estefania Montes</t>
  </si>
  <si>
    <t xml:space="preserve">Pago Karen trevizo A17 </t>
  </si>
  <si>
    <t>Pago finiquito Jennifer Estrada A3</t>
  </si>
  <si>
    <t>pago finiquito Judith Reza A24</t>
  </si>
  <si>
    <t xml:space="preserve">pago finiquito Jesus Manuel Arevalo CEDIS </t>
  </si>
  <si>
    <t>pago de nomina de Brayan Axel CEDIS</t>
  </si>
  <si>
    <t>pago de nomina de Lesli Gutierrez  E4</t>
  </si>
  <si>
    <t xml:space="preserve">pago de nomina de Flor Maria A4 </t>
  </si>
  <si>
    <t xml:space="preserve">pago de nomina de  Brandon  Alexis CEDIS </t>
  </si>
  <si>
    <t xml:space="preserve">pago de nomina de Brandon Jael analisis de datos </t>
  </si>
  <si>
    <t>pago de nomina de Jordan Torres CEDIS</t>
  </si>
  <si>
    <t xml:space="preserve">pago de nomina de Dana Sofia CEDIS </t>
  </si>
  <si>
    <t xml:space="preserve">pago de horas extras de Julio Manto </t>
  </si>
  <si>
    <t xml:space="preserve">pago finiquito  Alonso Valenzuela Tesoreria </t>
  </si>
  <si>
    <t>pago finiquito Vanesa Nevarez A22</t>
  </si>
  <si>
    <t>Pago finquito Rey Garcia CDS</t>
  </si>
  <si>
    <t>pago de nomina de Brandon Alexis CEDIS</t>
  </si>
  <si>
    <t xml:space="preserve">pago de nomina de  Ruben Hdez CEDIS </t>
  </si>
  <si>
    <t>Pago de Horas extras de Jorge Najera Cedis</t>
  </si>
  <si>
    <t>Pago de Nomina Ximena Lopez E8</t>
  </si>
  <si>
    <t>Pago de Nomina Flor Sifuentes a4</t>
  </si>
  <si>
    <t>JOSE GUADALUPE TORRES RODRIGUEZ A12 FINIQUITO</t>
  </si>
  <si>
    <t>ISIS VALERIA TORRES PIÑA A17 FINIQUITO</t>
  </si>
  <si>
    <t>DANNA FRANCIS MUÑOZ BERMUDEZ A6 FINIQUITO</t>
  </si>
  <si>
    <t>DIANA CAROLINA VARELA DIAZ</t>
  </si>
  <si>
    <t>prestamo Rubén Hernández</t>
  </si>
  <si>
    <t xml:space="preserve">Pago convenio CEDIS </t>
  </si>
  <si>
    <t>pago finiquito  Mariana Rodriguez E1</t>
  </si>
  <si>
    <t>pago finiquito Carlos Herrera A18</t>
  </si>
  <si>
    <t>pago finiquito  Pablo  Urias A2</t>
  </si>
  <si>
    <t>pago finiquito  Kenia Pillado E3</t>
  </si>
  <si>
    <t>pago finiquito Lilian Jaquez A23</t>
  </si>
  <si>
    <t>Pago finiquito Aylin Saenz Auditoria</t>
  </si>
  <si>
    <t xml:space="preserve">Pago adelanto de bono </t>
  </si>
  <si>
    <t xml:space="preserve">Prestamo Evelin </t>
  </si>
  <si>
    <t xml:space="preserve">pago nomina retroactivo Marisol MKT </t>
  </si>
  <si>
    <t>pago finiquito Elena Juarez E5</t>
  </si>
  <si>
    <t>pago finiquito Maria Robles E7</t>
  </si>
  <si>
    <t xml:space="preserve">pago finiquito Karla Gonzalez E2 </t>
  </si>
  <si>
    <t xml:space="preserve">Pago Bono </t>
  </si>
  <si>
    <t>Pago nomina FISCAL</t>
  </si>
  <si>
    <t>Pago Finiquito Marco Antonio Mendez  CDS</t>
  </si>
  <si>
    <t xml:space="preserve">pago finiquito Loreth Marquez A10 </t>
  </si>
  <si>
    <t xml:space="preserve">Pago horas extras Oscar Robledo </t>
  </si>
  <si>
    <t xml:space="preserve">pago Isis Torres  A5 </t>
  </si>
  <si>
    <t>Pago MiriamGutierrez  E3</t>
  </si>
  <si>
    <t xml:space="preserve">pago faltante nomina Ramon </t>
  </si>
  <si>
    <t>ingreso finiquito  Ana Paula Cardona E2</t>
  </si>
  <si>
    <t xml:space="preserve">pago de finiquito Andrea Estrada E7 </t>
  </si>
  <si>
    <t>pago de finiquito Ashly martinez E5</t>
  </si>
  <si>
    <t>pago de finiquito Joshua Faudoa A17</t>
  </si>
  <si>
    <t>pago de finiquito Jesus Herrera A10</t>
  </si>
  <si>
    <t>pago de finiquito David Palomino E2</t>
  </si>
  <si>
    <t>pago de finiquito Nancy Lopez  E2</t>
  </si>
  <si>
    <t xml:space="preserve">pago finiquito MarioAlberto Romero MKT </t>
  </si>
  <si>
    <t>pago finiquito Lizbeth Gomez E3</t>
  </si>
  <si>
    <t>pago finiquito Fatima Talavera A8</t>
  </si>
  <si>
    <t>pago finiquito Ivan Cano A11</t>
  </si>
  <si>
    <t>pago finiquito Jocelin Fernanda E9</t>
  </si>
  <si>
    <t>pago finiquito Mayra Avila CDS</t>
  </si>
  <si>
    <t>pago finiquito Briana Talamantes  A3</t>
  </si>
  <si>
    <t>pago nomina Fiscal</t>
  </si>
  <si>
    <t>pago de horas extras Aaron Haros sistemas</t>
  </si>
  <si>
    <t xml:space="preserve">pago de horas  extras Luis Eduardo Najera  sistemas </t>
  </si>
  <si>
    <t>pago finiquito</t>
  </si>
  <si>
    <t>pago finiquito Estefania Gonzalez  E3</t>
  </si>
  <si>
    <t>pago finiquito Miriam Saldivar A3</t>
  </si>
  <si>
    <t>pago finiquito Regina Soto  A3</t>
  </si>
  <si>
    <t xml:space="preserve">pago horas extras  Silvestre CEDIS </t>
  </si>
  <si>
    <t>pago horas extras Daniel Borunda CDS</t>
  </si>
  <si>
    <t>pago convenio  Lic Diaz</t>
  </si>
  <si>
    <t>Pago finiquito  Michell Barraza A24</t>
  </si>
  <si>
    <t>Pago finiquito  Dana Ontiveros A6</t>
  </si>
  <si>
    <t>Pago finiquito  Dulce Caro de A3</t>
  </si>
  <si>
    <t>Pago finiquito  Larissa Treviso de E2</t>
  </si>
  <si>
    <t>Pago finiquito  Kenia Bujabda de A18</t>
  </si>
  <si>
    <t xml:space="preserve">Pago finiquito  Ariadna Perez A18 </t>
  </si>
  <si>
    <t xml:space="preserve">Pago de Nomina Luis Robledo Manto </t>
  </si>
  <si>
    <t xml:space="preserve">Pago nomina faltante CEDIS </t>
  </si>
  <si>
    <t xml:space="preserve">Pago nomina Pedro Estrada </t>
  </si>
  <si>
    <t xml:space="preserve">pago de horas extras Julio </t>
  </si>
  <si>
    <t>pago de finqiuito  Wendy Muñiz  Auditoria</t>
  </si>
  <si>
    <t xml:space="preserve">pago de finiquito Daniela Rosales  CEDIS </t>
  </si>
  <si>
    <t>pago de finiquito Fabiola Garcia E3</t>
  </si>
  <si>
    <t>pago finiquito Luisa Galindo  E2</t>
  </si>
  <si>
    <t xml:space="preserve">pago finiquito Estrella Madrid A6 </t>
  </si>
  <si>
    <t xml:space="preserve">pago finiquito mayra regina A3 </t>
  </si>
  <si>
    <t>pago nomina NO FISCAL</t>
  </si>
  <si>
    <t xml:space="preserve">pago convenio   de  A12 </t>
  </si>
  <si>
    <t>pago finiquito Marlene Hernandez  E1</t>
  </si>
  <si>
    <t>pago Dulce Maria L1</t>
  </si>
  <si>
    <t xml:space="preserve">pago adelanto de bono </t>
  </si>
  <si>
    <t>pago de finiquito Ximena Lopez E8</t>
  </si>
  <si>
    <t>pago finiquito Enrique Riva CEDIS</t>
  </si>
  <si>
    <t>pago finiquito Jose Emilio  A12</t>
  </si>
  <si>
    <t xml:space="preserve">Pago convenio  HR </t>
  </si>
  <si>
    <t>pago de nomiina FIscal</t>
  </si>
  <si>
    <t>pago de nomina No Fiscal</t>
  </si>
  <si>
    <t>pago de bono ejecutivos</t>
  </si>
  <si>
    <t xml:space="preserve">pago convenio E8 </t>
  </si>
  <si>
    <t>pago de finiquito Gaspar Vazquez  A17</t>
  </si>
  <si>
    <t>pago de finiquito  Laura López  E5</t>
  </si>
  <si>
    <t>pago de finiquito  Valeria Rodriguez Elilu</t>
  </si>
  <si>
    <t xml:space="preserve">pago horas extras Cesar Ricardo CDS </t>
  </si>
  <si>
    <t>pago horas extras CDS</t>
  </si>
  <si>
    <t>pago finiquito Valeria Varela E2</t>
  </si>
  <si>
    <t xml:space="preserve">pago finiquito Nancy Acosta A9 </t>
  </si>
  <si>
    <t xml:space="preserve">pago finiquito Mariela Gómez E9 </t>
  </si>
  <si>
    <t xml:space="preserve">pago de nomina Gisela Basurto </t>
  </si>
  <si>
    <t xml:space="preserve">pago finiquito Leticia Abigal Garcia CDIS </t>
  </si>
  <si>
    <t>pago finiquito Brenda Salcido A23</t>
  </si>
  <si>
    <t>pago finiquito Maria fernanda Gonzalez E6</t>
  </si>
  <si>
    <t xml:space="preserve">Pago finiquito Anelisse Gitierrez E7 </t>
  </si>
  <si>
    <t xml:space="preserve">pago convenio Caprichos </t>
  </si>
  <si>
    <t>Pago faltante nomina Diana Gpe L1</t>
  </si>
  <si>
    <t>pago faltante nomina  Marisol L1</t>
  </si>
  <si>
    <t>Pago finiquito Ailin Morales E2</t>
  </si>
  <si>
    <t>Pago finiquito Martha Alanis E4</t>
  </si>
  <si>
    <t>Pago finiquito Norma Quintana E7</t>
  </si>
  <si>
    <t>Pago finiquito  Fernanda Fierro A23</t>
  </si>
  <si>
    <t xml:space="preserve">Pago finiquito   Alexa Yamilet  Olivas A8 </t>
  </si>
  <si>
    <t xml:space="preserve">pago de nomina Alexi Conde  CEDIS </t>
  </si>
  <si>
    <t xml:space="preserve">Prestamo CEDIS </t>
  </si>
  <si>
    <t>Pago finiquito Miriam Camacho A18</t>
  </si>
  <si>
    <t>pago finiquito Jaime Peralta CDS</t>
  </si>
  <si>
    <t>Pago finiquito Brayan Alvarado A24</t>
  </si>
  <si>
    <t>pago bonos</t>
  </si>
  <si>
    <t>pago finqiuito  Karla Proa  A8</t>
  </si>
  <si>
    <t>pago finqiuito  Brithany Delgado  E1</t>
  </si>
  <si>
    <t xml:space="preserve">pago finquito Paula Garcia A24 </t>
  </si>
  <si>
    <t xml:space="preserve">pago finquito Brus Saenz  A22 </t>
  </si>
  <si>
    <t>pago finquito Martha Rivera de A22</t>
  </si>
  <si>
    <t>pago por faltante de nomina CEDIS</t>
  </si>
  <si>
    <t>faltante de nómina  Guillermo Flores  A11</t>
  </si>
  <si>
    <t xml:space="preserve">pago convenio CEDIS </t>
  </si>
  <si>
    <t xml:space="preserve">Pago finqiuito Alondra Gtz  E7 </t>
  </si>
  <si>
    <t>Pago finiquito  Yeraldin Graciano  E4</t>
  </si>
  <si>
    <t xml:space="preserve">Pago finiquito Tania Lizbeth de A10 </t>
  </si>
  <si>
    <t>Prestamo Sra. Lore (aseo )</t>
  </si>
  <si>
    <t>pago finiquito Blanca Molina E4</t>
  </si>
  <si>
    <t>pago finiquito  Salma Galaviz E4</t>
  </si>
  <si>
    <t>pago finiquito  Valeria Ruiz A22</t>
  </si>
  <si>
    <t>pago finiquito  Leslie Gutierrez E4</t>
  </si>
  <si>
    <t>pago finiquito  Dahne Valdez E5</t>
  </si>
  <si>
    <t xml:space="preserve">pago convenio de A2 </t>
  </si>
  <si>
    <t>pago finiquito  Wendy Dominguez E7</t>
  </si>
  <si>
    <t>pago finiquito  Jeyma Soledad  A17</t>
  </si>
  <si>
    <t>pago finiquito  Mariana Basurto E5</t>
  </si>
  <si>
    <t xml:space="preserve">Prestamo Marcela Molina </t>
  </si>
  <si>
    <t xml:space="preserve">Pago Finiquito Melissa Parra A12 </t>
  </si>
  <si>
    <t>pago finiquito  Christopher A6</t>
  </si>
  <si>
    <t>Prestamo Carmen Urbina</t>
  </si>
  <si>
    <t>pago finiquito Anna Escarcega A17</t>
  </si>
  <si>
    <t>pago finiquito uselmin Villanueva E3</t>
  </si>
  <si>
    <t>pago finiquito Alberto Lozano A24</t>
  </si>
  <si>
    <t xml:space="preserve">pago finiquito Janeth Hinostroza RH </t>
  </si>
  <si>
    <t xml:space="preserve">Pago convenio Caprichos E6 </t>
  </si>
  <si>
    <t xml:space="preserve">ingreso dev de nomina </t>
  </si>
  <si>
    <t xml:space="preserve">Pago finiquito Estefania Montes tesoreria </t>
  </si>
  <si>
    <t>pago de nomina fiscal</t>
  </si>
  <si>
    <t xml:space="preserve">reposicion Nomina Finanzas </t>
  </si>
  <si>
    <t>pago horas extras de Marian López CDS</t>
  </si>
  <si>
    <t>pago de horas extras Jorge Nájera CDS</t>
  </si>
  <si>
    <t xml:space="preserve">pago horas extras José MTZ CEDIS </t>
  </si>
  <si>
    <t xml:space="preserve">pago finiquito Vannely Aguirre compras </t>
  </si>
  <si>
    <t xml:space="preserve">pago finiquito Jose Antonio Moreno A23 </t>
  </si>
  <si>
    <t>pago finiquito Karen Corrujedo E4</t>
  </si>
  <si>
    <t>Pago finiquito Luisa Barrangan  E2</t>
  </si>
  <si>
    <t>Pago finiquito  Valeria Pérez   E2</t>
  </si>
  <si>
    <t xml:space="preserve">pago de convenio CEDIS </t>
  </si>
  <si>
    <t xml:space="preserve">pago horas Extras Raul Garcia Mato </t>
  </si>
  <si>
    <t xml:space="preserve">Pago finiquito Yahir Vargas A22 </t>
  </si>
  <si>
    <t xml:space="preserve">horas extras CEDIS </t>
  </si>
  <si>
    <t xml:space="preserve">prestamo personal Mariela Ramos </t>
  </si>
  <si>
    <t xml:space="preserve">prestamo personal  Monica </t>
  </si>
  <si>
    <t>pago finijito Jocelyn Moreno E4</t>
  </si>
  <si>
    <t>pago finijito  Juan Herrera A24</t>
  </si>
  <si>
    <t>pago finijito  Marlet Palomino A22</t>
  </si>
  <si>
    <t>paho nomina NO FISCAL</t>
  </si>
  <si>
    <t>pago finiquito  Flor Edith Dominguez E7</t>
  </si>
  <si>
    <t xml:space="preserve">pago finiquito  William Estrada A10 </t>
  </si>
  <si>
    <t>pago finiquito Gissel  Dominguez E8</t>
  </si>
  <si>
    <t>pago finiquito Leslie Castro E8</t>
  </si>
  <si>
    <t xml:space="preserve">pago finiquito Yoseline E3 </t>
  </si>
  <si>
    <t>pago finiquito Avalos A3</t>
  </si>
  <si>
    <t xml:space="preserve">pago de nomina faltante MKT </t>
  </si>
  <si>
    <t xml:space="preserve">pago finiquito Daniela Rodriguez E2 </t>
  </si>
  <si>
    <t>pago finiquito Dulce Maria Terrazas E2</t>
  </si>
  <si>
    <t>pago finiquito NadXiely Gonzalez E8</t>
  </si>
  <si>
    <t xml:space="preserve">Pago Nomina FISCAL </t>
  </si>
  <si>
    <t>Pago Nomina NO FISCAL</t>
  </si>
  <si>
    <t xml:space="preserve">pago nomina Bonos </t>
  </si>
  <si>
    <t>pago retroactivo Nomina Tesoreria</t>
  </si>
  <si>
    <t xml:space="preserve">pago de horas Extras CEDIS </t>
  </si>
  <si>
    <t>reposicion Nomina Maya Verdugo Melissa</t>
  </si>
  <si>
    <t>ingreso bolsa Melissa</t>
  </si>
  <si>
    <t xml:space="preserve">ingreso  caja chica </t>
  </si>
  <si>
    <t>Pago finiquito Ariadna Urbina E3</t>
  </si>
  <si>
    <t>Pago finiquito Alondra Rosales E6</t>
  </si>
  <si>
    <t>pago finiquito Julio Alvarado A12</t>
  </si>
  <si>
    <t>Pago finiquito Alondra Rosales E1</t>
  </si>
  <si>
    <t>pago finiquito Julio Alvarado A24</t>
  </si>
  <si>
    <t xml:space="preserve">pago finquito Luis Villagran CDS </t>
  </si>
  <si>
    <t xml:space="preserve">pago nomina FISCAL </t>
  </si>
  <si>
    <t>pago nomina  NO FISCAL</t>
  </si>
  <si>
    <t>Pago finiquito Citlaly Najera E6</t>
  </si>
  <si>
    <t>Pago finiquito Valeria Perez E2</t>
  </si>
  <si>
    <t xml:space="preserve">pago bonos compradoras </t>
  </si>
  <si>
    <t>Ingreso caja chica</t>
  </si>
  <si>
    <t>pago finqiuito  Maria Carreño A24</t>
  </si>
  <si>
    <t>pago finqiuito  Karla Martinez A11</t>
  </si>
  <si>
    <t>pago finqiuito  Aracely Ramos  A11</t>
  </si>
  <si>
    <t>pago finiquito Mayte Soto A2</t>
  </si>
  <si>
    <t>pago finqiuito Daniela  Amaya  E5</t>
  </si>
  <si>
    <t>pago finiquito Adiel Reyes  A3</t>
  </si>
  <si>
    <t>pago de  nomina FISCAL</t>
  </si>
  <si>
    <t xml:space="preserve">pago de nomina no FISCAL </t>
  </si>
  <si>
    <t xml:space="preserve">ppago de bonos ejecutivos </t>
  </si>
  <si>
    <t>pago finiquito Alexa Quezada E7</t>
  </si>
  <si>
    <t xml:space="preserve">pago finiquito   Nayeli Hernandez E4 </t>
  </si>
  <si>
    <t xml:space="preserve">pago finiquito  José Martinez CDS </t>
  </si>
  <si>
    <t>pago prestamo Fabi Ont</t>
  </si>
  <si>
    <t xml:space="preserve">pago convenio codare E2 Valeria Perez </t>
  </si>
  <si>
    <t xml:space="preserve">pago bonos Ejecutivos </t>
  </si>
  <si>
    <t>pago finiquito  Cristal Hernández E5</t>
  </si>
  <si>
    <t>pago  finiquito Vania Lugo A2</t>
  </si>
  <si>
    <t xml:space="preserve">Pago finiquito  Francisco Molina CDS </t>
  </si>
  <si>
    <t xml:space="preserve">pago nomina faltante Jocelyn Arquitecta </t>
  </si>
  <si>
    <t xml:space="preserve">pago nomina Carlos Moriel  </t>
  </si>
  <si>
    <t>pago finiquito Alondra Mendoza E8</t>
  </si>
  <si>
    <t>prestamo Carmen Urbina</t>
  </si>
  <si>
    <t xml:space="preserve">pago aguinaldo Fiscal </t>
  </si>
  <si>
    <t>pago aguinaldo No  Fiscal</t>
  </si>
  <si>
    <t>Pago aguinaldo bonos</t>
  </si>
  <si>
    <t>ingreso caja</t>
  </si>
  <si>
    <t xml:space="preserve">pago nomina </t>
  </si>
  <si>
    <t>pago prestamo Evelin</t>
  </si>
  <si>
    <t xml:space="preserve">pago faltante de nomina  pimpi cap </t>
  </si>
  <si>
    <t xml:space="preserve">pago faltante nomina CEDIS </t>
  </si>
  <si>
    <t xml:space="preserve">pago nomina dif Aaron </t>
  </si>
  <si>
    <t xml:space="preserve">pago honorarios  Carlos Moriel </t>
  </si>
  <si>
    <t xml:space="preserve">Ingreso caja chica </t>
  </si>
  <si>
    <t xml:space="preserve">Faltante nomina Yoselin </t>
  </si>
  <si>
    <t xml:space="preserve">faltante aguinaldo Evelin Alejandra </t>
  </si>
  <si>
    <t>pago finiquito  Angel GGodinez A8</t>
  </si>
  <si>
    <t>pago finiquito  brisa Chávez Melissa</t>
  </si>
  <si>
    <t>pago finiquito  Axel Rocha Swat</t>
  </si>
  <si>
    <t>pago finiquito  Dania  Martinez A22</t>
  </si>
  <si>
    <t>pago finiquito Arleth Ramirez A6</t>
  </si>
  <si>
    <t>pago finiquito Aleza Vega  E5</t>
  </si>
  <si>
    <t xml:space="preserve">pago finiquito de A11 </t>
  </si>
  <si>
    <t>pago nomina faltante Ana B E2</t>
  </si>
  <si>
    <t>pago de convenio  HR A24</t>
  </si>
  <si>
    <t>pago nomina faltante CEDIS</t>
  </si>
  <si>
    <t>pago finiquito Sugey Avilez  A14</t>
  </si>
  <si>
    <t>pago finiquito  Mayra Ortega  E11</t>
  </si>
  <si>
    <t>bono compradora PD</t>
  </si>
  <si>
    <t>pago nomina Carlos Moriel</t>
  </si>
  <si>
    <t xml:space="preserve">nomina jaqueline Nulez </t>
  </si>
  <si>
    <t>nomina Jocelyn  Arqui</t>
  </si>
  <si>
    <t xml:space="preserve">Nomina Jazmin Fernandez  CDS </t>
  </si>
  <si>
    <t>pago finiquito Jairo Corral A22</t>
  </si>
  <si>
    <t>pago finiquito Daniela Vidaña A2</t>
  </si>
  <si>
    <t>pago finiquito Karen Medina A22</t>
  </si>
  <si>
    <t>pago finiquito Marian Lopez DECIS</t>
  </si>
  <si>
    <t>pago finiquito Iris Rivas Contabilidad</t>
  </si>
  <si>
    <t xml:space="preserve">pago finiquito Jacqueline Nuñez Manto </t>
  </si>
  <si>
    <t>pago finiquito Joselyn Ochoa Manto</t>
  </si>
  <si>
    <t>pago finiquito  Maya Verdugo  Mel</t>
  </si>
  <si>
    <t>pago Nomina FISCAL</t>
  </si>
  <si>
    <t>pago convenio HR A23</t>
  </si>
  <si>
    <t>bonos</t>
  </si>
  <si>
    <t>pago nomina No FIscal</t>
  </si>
  <si>
    <t>pago nomina FIscal</t>
  </si>
  <si>
    <t>pago finiquito  Kevin Cruz Jaquez A22</t>
  </si>
  <si>
    <t>pago finiquito Guadalupe Baldena A22</t>
  </si>
  <si>
    <t xml:space="preserve">prestamos auditoria </t>
  </si>
  <si>
    <t>pago finiquito   Larissa Regina A23</t>
  </si>
  <si>
    <t>pago finiquito  Alexa carbajal E2</t>
  </si>
  <si>
    <t>pago finiquito  Valentina Cereceres E2</t>
  </si>
  <si>
    <t>pago finiquito  Michel Ponce  E2</t>
  </si>
  <si>
    <t>pago finiquito  Bryan Laureles  A23</t>
  </si>
  <si>
    <t>pago finiquito  Ashley E6</t>
  </si>
  <si>
    <t xml:space="preserve">pago nomina CODARE y HR </t>
  </si>
  <si>
    <t xml:space="preserve">prestamo chofer CEDIS </t>
  </si>
  <si>
    <t xml:space="preserve">pago prestamo MR Tesoreria </t>
  </si>
  <si>
    <t xml:space="preserve">pago finiquto Jocelyne dominguez E8 </t>
  </si>
  <si>
    <t>pago finiquto Dayna Moreno E4</t>
  </si>
  <si>
    <t>pago finiquto Olga Hernández E2</t>
  </si>
  <si>
    <t>pago finiquto Andrea Venegas  E11</t>
  </si>
  <si>
    <t>pago finiquto Larissa treviso A17</t>
  </si>
  <si>
    <t>pago finiquto Jael Payen A17</t>
  </si>
  <si>
    <t>pago finiquito Danna Corral A18</t>
  </si>
  <si>
    <t>pago finiquto Dylan Guevara  ARQ</t>
  </si>
  <si>
    <t>pago finiquito Kenia Rivera A23</t>
  </si>
  <si>
    <t>pago finiquito  Mariana Garcia A1</t>
  </si>
  <si>
    <t>pago finiquito  Alejandra Montañez A1</t>
  </si>
  <si>
    <t>pago finiquito  Pamela Frauto  A24</t>
  </si>
  <si>
    <t xml:space="preserve">pago diferencia Ramon </t>
  </si>
  <si>
    <t>pago diferencia Axel</t>
  </si>
  <si>
    <t>pago diferencia Jorge</t>
  </si>
  <si>
    <t xml:space="preserve">pago diferencia Antonio  </t>
  </si>
  <si>
    <t>pago de nomina no fiscal</t>
  </si>
  <si>
    <t>pago liquidacion E10</t>
  </si>
  <si>
    <t xml:space="preserve">pago finiquito codare </t>
  </si>
  <si>
    <t xml:space="preserve">SERVCIOS </t>
  </si>
  <si>
    <t xml:space="preserve">reposicion de horas de Extra cedis </t>
  </si>
  <si>
    <t xml:space="preserve">pago horas extras Ramon Lara </t>
  </si>
  <si>
    <t xml:space="preserve">pago nomina No FISCAL </t>
  </si>
  <si>
    <t>pago  bonos</t>
  </si>
  <si>
    <t xml:space="preserve">prestamo Mary RH </t>
  </si>
  <si>
    <t>prestamo Lore (limpieza)</t>
  </si>
  <si>
    <t xml:space="preserve">pago diferencia nomina CEDIS </t>
  </si>
  <si>
    <t>pago finiquito Montserrat Ruiz  E2</t>
  </si>
  <si>
    <t>pago finiquito Nahomi Juarez E10</t>
  </si>
  <si>
    <t>pago finiquito Evelin velazquez E10</t>
  </si>
  <si>
    <t>pago finiquito Sofia Rivas E1</t>
  </si>
  <si>
    <t>pago finiquito Luis Roan Dist</t>
  </si>
  <si>
    <t>pago finiquito Selene Hernandez A18</t>
  </si>
  <si>
    <t>pago finiquito Dian Gomez A9</t>
  </si>
  <si>
    <t>pago finiquito Ana Escarcega A17</t>
  </si>
  <si>
    <t>pago finiquito  Paula Serrano A3</t>
  </si>
  <si>
    <t>pago finiquito  Luz Quezada A8</t>
  </si>
  <si>
    <t>pago finiquito Lilia Salazar A4</t>
  </si>
  <si>
    <t>pago finiquito Yahir Bustillos A24</t>
  </si>
  <si>
    <t>pago finiquito Joselin Rodrigez A24</t>
  </si>
  <si>
    <t>BOVEDA 3 RENTAS</t>
  </si>
  <si>
    <t>Saldo Inicial</t>
  </si>
  <si>
    <t xml:space="preserve">pago de renta de A10 </t>
  </si>
  <si>
    <t xml:space="preserve">pago de renta de E2 </t>
  </si>
  <si>
    <t>pago de renta de E1</t>
  </si>
  <si>
    <t xml:space="preserve">pago de rennta de la bodega de E6 </t>
  </si>
  <si>
    <t>pago renta  A12</t>
  </si>
  <si>
    <t>pago renta A8</t>
  </si>
  <si>
    <t>pago renta E8</t>
  </si>
  <si>
    <t xml:space="preserve">pago Manto E8 </t>
  </si>
  <si>
    <t>pago renta A11</t>
  </si>
  <si>
    <t>pago renta de A14</t>
  </si>
  <si>
    <t>pago manto A18</t>
  </si>
  <si>
    <t>pago manto A23</t>
  </si>
  <si>
    <t>pago renta E6</t>
  </si>
  <si>
    <t xml:space="preserve">pago renta  E8 variable enero </t>
  </si>
  <si>
    <t>pago renta A10 (cheque)</t>
  </si>
  <si>
    <t xml:space="preserve">Pago renta de A24 </t>
  </si>
  <si>
    <t>pago de renta de A24</t>
  </si>
  <si>
    <t>pago de renta de a17</t>
  </si>
  <si>
    <t>pago de renta de A4</t>
  </si>
  <si>
    <t>pago de renta de E5</t>
  </si>
  <si>
    <t>pago de renta de E4</t>
  </si>
  <si>
    <t xml:space="preserve">pago de manto de E4 </t>
  </si>
  <si>
    <t>pago de renta de A8</t>
  </si>
  <si>
    <t>pago manto de A9</t>
  </si>
  <si>
    <t>pago de renta de A22</t>
  </si>
  <si>
    <t xml:space="preserve">pago de renta de A12 </t>
  </si>
  <si>
    <t>pago de renta de A15</t>
  </si>
  <si>
    <t>pago de renta de A3</t>
  </si>
  <si>
    <t>pago de renta de A17 convenio</t>
  </si>
  <si>
    <t>pago de renta de A3 convenio</t>
  </si>
  <si>
    <t>pago revalidacion Ing (RENTA )</t>
  </si>
  <si>
    <t>pago renta de  22</t>
  </si>
  <si>
    <t xml:space="preserve">pago renta de A15 </t>
  </si>
  <si>
    <t>pago renta de A16</t>
  </si>
  <si>
    <t>pago renta  E4 y A8 (convenio Senderos )</t>
  </si>
  <si>
    <t>pago renta de A22</t>
  </si>
  <si>
    <t>Pago de renta de A2</t>
  </si>
  <si>
    <t>pago renta de A9</t>
  </si>
  <si>
    <t>pago de renta de A1</t>
  </si>
  <si>
    <t xml:space="preserve">pago de renta de A5 </t>
  </si>
  <si>
    <t>ingresos caja chica</t>
  </si>
  <si>
    <t>Pago renta de E1</t>
  </si>
  <si>
    <t>pago renta bodega de E6</t>
  </si>
  <si>
    <t xml:space="preserve">Pago renta E2 </t>
  </si>
  <si>
    <t xml:space="preserve">pago renta A18 </t>
  </si>
  <si>
    <t xml:space="preserve">pago renta a12 </t>
  </si>
  <si>
    <t>pago renta de A10</t>
  </si>
  <si>
    <t>pago renta A22</t>
  </si>
  <si>
    <t xml:space="preserve">pago renta de E8 </t>
  </si>
  <si>
    <t>pago manto de E8</t>
  </si>
  <si>
    <t xml:space="preserve">pago renta de E3 </t>
  </si>
  <si>
    <t xml:space="preserve">pago manto de A18 </t>
  </si>
  <si>
    <t>pago manto de A23</t>
  </si>
  <si>
    <t>pago renta de A6</t>
  </si>
  <si>
    <t xml:space="preserve">pago de renta de A14 </t>
  </si>
  <si>
    <t xml:space="preserve">pago de manto E9 </t>
  </si>
  <si>
    <t>Pago renta A11</t>
  </si>
  <si>
    <t>pago renta A17</t>
  </si>
  <si>
    <t xml:space="preserve">pago renta A24 </t>
  </si>
  <si>
    <t xml:space="preserve">pago renta E6 </t>
  </si>
  <si>
    <t xml:space="preserve">pago de renta de A16 </t>
  </si>
  <si>
    <t>pago de agua y Drenaje des. de rentas ING</t>
  </si>
  <si>
    <t>reposicion Oscar  compra de cadena y candado rentas ING</t>
  </si>
  <si>
    <t>pago renta  A8</t>
  </si>
  <si>
    <t>pago  manto  A8</t>
  </si>
  <si>
    <t>pago renta E4</t>
  </si>
  <si>
    <t xml:space="preserve">pago  manto E4 </t>
  </si>
  <si>
    <t>pago renta A10</t>
  </si>
  <si>
    <t>pago renta E5</t>
  </si>
  <si>
    <t>pago renta A3</t>
  </si>
  <si>
    <t>pago renta A4</t>
  </si>
  <si>
    <t>pago renta A15</t>
  </si>
  <si>
    <t>pago convenio A3</t>
  </si>
  <si>
    <t>Pago de renta de A15</t>
  </si>
  <si>
    <t>pago de renta E4 y A8 (convenio )</t>
  </si>
  <si>
    <t>pago de renta de A10</t>
  </si>
  <si>
    <t>ingreso por pago de convenios de Febrero bolsa de  profit CXP</t>
  </si>
  <si>
    <t>ingreso por pago de convenios de Marzo  bolsa de  profit CXP</t>
  </si>
  <si>
    <t xml:space="preserve">pago renta de E2 </t>
  </si>
  <si>
    <t xml:space="preserve">pago renta de A18 </t>
  </si>
  <si>
    <t xml:space="preserve">pago renta de E1 </t>
  </si>
  <si>
    <t>A2 $24,354</t>
  </si>
  <si>
    <t>A9 $23,193.68</t>
  </si>
  <si>
    <t>A1 $34,789.44</t>
  </si>
  <si>
    <t>A5 $52,184.16</t>
  </si>
  <si>
    <t xml:space="preserve">pago de renta de A4  </t>
  </si>
  <si>
    <t>pago renta de bodega de E6</t>
  </si>
  <si>
    <t xml:space="preserve">pago de renta de A15 </t>
  </si>
  <si>
    <t xml:space="preserve">Pago de renta de E3 </t>
  </si>
  <si>
    <t>Pago renta E8</t>
  </si>
  <si>
    <t>pago manto E8</t>
  </si>
  <si>
    <t>pago renta A6</t>
  </si>
  <si>
    <t xml:space="preserve">pago renta A14 </t>
  </si>
  <si>
    <t>pago renta de A11</t>
  </si>
  <si>
    <t>pago renta de Manto de E9</t>
  </si>
  <si>
    <t>pago de renta de A16</t>
  </si>
  <si>
    <t>pago de renta  E4</t>
  </si>
  <si>
    <t>pago manto E4</t>
  </si>
  <si>
    <t xml:space="preserve">pago manto A8 </t>
  </si>
  <si>
    <t xml:space="preserve">pago renta de A24 </t>
  </si>
  <si>
    <t>pago de renta de A17</t>
  </si>
  <si>
    <t xml:space="preserve">pago de renta de E5 </t>
  </si>
  <si>
    <t>pago renta de A 2</t>
  </si>
  <si>
    <t>pago de renta de A9</t>
  </si>
  <si>
    <t>pago de renta de A5</t>
  </si>
  <si>
    <t xml:space="preserve">pago renta de A10 </t>
  </si>
  <si>
    <t>may</t>
  </si>
  <si>
    <t>pago renta E2</t>
  </si>
  <si>
    <t>pago Renta A12</t>
  </si>
  <si>
    <t xml:space="preserve">pago renta E1 </t>
  </si>
  <si>
    <t xml:space="preserve">pago de renta variable de E8 </t>
  </si>
  <si>
    <t xml:space="preserve">pago renta de E6 </t>
  </si>
  <si>
    <t>pago de renta de A18</t>
  </si>
  <si>
    <t>pago de renta E8</t>
  </si>
  <si>
    <t xml:space="preserve">pago manto de E8 </t>
  </si>
  <si>
    <t xml:space="preserve">pago de renta de E3 </t>
  </si>
  <si>
    <t xml:space="preserve">pago de manto de A18 </t>
  </si>
  <si>
    <t xml:space="preserve">pago de renta de E9 </t>
  </si>
  <si>
    <t>pago  manto de E9</t>
  </si>
  <si>
    <t xml:space="preserve">pago de manto de A23 </t>
  </si>
  <si>
    <t>pago de Manto de A8</t>
  </si>
  <si>
    <t>pago de Renta de A11</t>
  </si>
  <si>
    <t>pago de renta de A6</t>
  </si>
  <si>
    <t>pago de renta de E6</t>
  </si>
  <si>
    <t>pago abono renta ING (compra bote de pintura)</t>
  </si>
  <si>
    <t xml:space="preserve">pago por manto de paneles renta de ING. </t>
  </si>
  <si>
    <t>pago renta de A5</t>
  </si>
  <si>
    <t>pago renta de A17</t>
  </si>
  <si>
    <t xml:space="preserve">pago de renta de A3 </t>
  </si>
  <si>
    <t>pago renta de A 4</t>
  </si>
  <si>
    <t>pago renta de E8</t>
  </si>
  <si>
    <t>pago renta A2</t>
  </si>
  <si>
    <t xml:space="preserve">pago renta de A22 Sra. Mayagoitia mayo </t>
  </si>
  <si>
    <t xml:space="preserve">pago de renta de A23 </t>
  </si>
  <si>
    <t>Pago renta A10 NF</t>
  </si>
  <si>
    <t>pago renta A4 NF</t>
  </si>
  <si>
    <t xml:space="preserve">pago renta bodega de E6 </t>
  </si>
  <si>
    <t xml:space="preserve">pago renta de A12 </t>
  </si>
  <si>
    <t xml:space="preserve">pago manto E8 </t>
  </si>
  <si>
    <t xml:space="preserve">pago del seguro de AQ5 ING Ruvalcaba des c de rentas </t>
  </si>
  <si>
    <t>pago de renta de E3</t>
  </si>
  <si>
    <t xml:space="preserve">pago de renta de A11 </t>
  </si>
  <si>
    <t xml:space="preserve">pago de reta de A16 </t>
  </si>
  <si>
    <t>pago renta de E4</t>
  </si>
  <si>
    <t>pago manto de E4</t>
  </si>
  <si>
    <t>Pago renta de A8</t>
  </si>
  <si>
    <t xml:space="preserve">pago manto de A8 </t>
  </si>
  <si>
    <t>pago renta de A24</t>
  </si>
  <si>
    <t>pago renta de E6</t>
  </si>
  <si>
    <t>pago renta de A15</t>
  </si>
  <si>
    <t>pago renta de E9</t>
  </si>
  <si>
    <t>pago manto de E9</t>
  </si>
  <si>
    <t>pago renta de A10 adelanto de julio</t>
  </si>
  <si>
    <t>pago renta de E5</t>
  </si>
  <si>
    <t>pago renta de A3</t>
  </si>
  <si>
    <t>pago renta de A4</t>
  </si>
  <si>
    <t>pago enta de A4</t>
  </si>
  <si>
    <t>pago renta de A2</t>
  </si>
  <si>
    <t>pago renta de A1</t>
  </si>
  <si>
    <t xml:space="preserve">pago de renta variable A8 </t>
  </si>
  <si>
    <t xml:space="preserve">pago renta E2 </t>
  </si>
  <si>
    <t>pago renta Bodega de E6</t>
  </si>
  <si>
    <t>pago renta de E3</t>
  </si>
  <si>
    <t>pago renta de A23</t>
  </si>
  <si>
    <t xml:space="preserve">pago renta de A14 </t>
  </si>
  <si>
    <t xml:space="preserve">pago renta A16 </t>
  </si>
  <si>
    <t>E4 Renta Senderos CUU</t>
  </si>
  <si>
    <t>E4 Mtto Senderos CUU</t>
  </si>
  <si>
    <t>A8 Renta Senderos CUU</t>
  </si>
  <si>
    <t>A8 Mtto Senderos CUU</t>
  </si>
  <si>
    <t>A4 Pedro Gustavo Diaz</t>
  </si>
  <si>
    <t>E9 Renta Mi Plaza Talamas</t>
  </si>
  <si>
    <t xml:space="preserve">E9 Mtto Mi Plaza Talamas </t>
  </si>
  <si>
    <t>Abono a rentas RRP (Impuestos Donacion DRO)</t>
  </si>
  <si>
    <t>E8 Renta Juarez Zaragoza $73,994.68</t>
  </si>
  <si>
    <t>E8 Mtto Juarez Zaragoza $16,278.82</t>
  </si>
  <si>
    <t>A22 Maria Mayagoitia $44,544.58</t>
  </si>
  <si>
    <t>A24 Blanca Jaramillo $81,319.30</t>
  </si>
  <si>
    <t>A17 Inmobiliaria Vistion $76,326.96</t>
  </si>
  <si>
    <t>pago de renta de A10 Monica Santos</t>
  </si>
  <si>
    <t xml:space="preserve">pago renta Francisco Santos </t>
  </si>
  <si>
    <t xml:space="preserve">pago renta de A3 </t>
  </si>
  <si>
    <t xml:space="preserve">Pago renta  A15 </t>
  </si>
  <si>
    <t>pago renta A5</t>
  </si>
  <si>
    <t>pago renta A9</t>
  </si>
  <si>
    <t xml:space="preserve">pago renta A1 </t>
  </si>
  <si>
    <t xml:space="preserve">pago  renta de E2 </t>
  </si>
  <si>
    <t>pago renta de E1</t>
  </si>
  <si>
    <t>pago renta de A12</t>
  </si>
  <si>
    <t xml:space="preserve">pago  manto E9 </t>
  </si>
  <si>
    <t>pago Manto E4</t>
  </si>
  <si>
    <t>pago manto A8</t>
  </si>
  <si>
    <t>pago renta A14</t>
  </si>
  <si>
    <t>pago renta E9</t>
  </si>
  <si>
    <t>pago renta A16</t>
  </si>
  <si>
    <t>Pago renta de E4</t>
  </si>
  <si>
    <t>pago renta de A8</t>
  </si>
  <si>
    <t xml:space="preserve">pago renta de A22 </t>
  </si>
  <si>
    <t>pogo renta de A24</t>
  </si>
  <si>
    <t xml:space="preserve">pago renta de E5 </t>
  </si>
  <si>
    <t xml:space="preserve">pago renta de A17 </t>
  </si>
  <si>
    <t xml:space="preserve">pag orenta de A15 </t>
  </si>
  <si>
    <t xml:space="preserve">pago renta A3 </t>
  </si>
  <si>
    <t xml:space="preserve">pago renta de A2 </t>
  </si>
  <si>
    <t>pago renta A1</t>
  </si>
  <si>
    <t xml:space="preserve">pago renta A5 </t>
  </si>
  <si>
    <t xml:space="preserve">pago de renta de A18 </t>
  </si>
  <si>
    <t xml:space="preserve">pago de renta de E1 </t>
  </si>
  <si>
    <t>pago de renta de bodega de E6</t>
  </si>
  <si>
    <t>pago renta E3</t>
  </si>
  <si>
    <t xml:space="preserve">pago renta A6 </t>
  </si>
  <si>
    <t xml:space="preserve">Pago de renta de A10 </t>
  </si>
  <si>
    <t xml:space="preserve">pago  de renta de E5 </t>
  </si>
  <si>
    <t>Pago de renta de E4</t>
  </si>
  <si>
    <t>pago de manto de A8</t>
  </si>
  <si>
    <t>pago de renta de E8</t>
  </si>
  <si>
    <t xml:space="preserve">pago de manto de E8 </t>
  </si>
  <si>
    <t>pago dee renta de A24</t>
  </si>
  <si>
    <t xml:space="preserve">pago de renta de E6 </t>
  </si>
  <si>
    <t>pago de renta dde E3</t>
  </si>
  <si>
    <t>pago de renta de  A4</t>
  </si>
  <si>
    <t>pago de renta de E9</t>
  </si>
  <si>
    <t>pago de renta de E2</t>
  </si>
  <si>
    <t>pago de manto  de A23</t>
  </si>
  <si>
    <t>Pago de renta de E11</t>
  </si>
  <si>
    <t>pago renta de E11</t>
  </si>
  <si>
    <t>pago  manto de E4</t>
  </si>
  <si>
    <t>pago manto de A8</t>
  </si>
  <si>
    <t>pago de manto de E4</t>
  </si>
  <si>
    <t>pago de manto  de A8</t>
  </si>
  <si>
    <t xml:space="preserve">pago manto E9 </t>
  </si>
  <si>
    <t xml:space="preserve">pago  renta A10 </t>
  </si>
  <si>
    <t xml:space="preserve">pago de renta de A9 </t>
  </si>
  <si>
    <t>pago de de renta de A5</t>
  </si>
  <si>
    <t>pago renta de E2</t>
  </si>
  <si>
    <t>pago renta de A18</t>
  </si>
  <si>
    <t>pago manto de A18</t>
  </si>
  <si>
    <t xml:space="preserve">pago de renta E11 </t>
  </si>
  <si>
    <t>pago de renta E6</t>
  </si>
  <si>
    <t xml:space="preserve">pago de renta A16 </t>
  </si>
  <si>
    <t xml:space="preserve">pago renta E8 </t>
  </si>
  <si>
    <t>pago Manto E8</t>
  </si>
  <si>
    <t>pago manto E9</t>
  </si>
  <si>
    <t>pago renta A24</t>
  </si>
  <si>
    <t>pago de renta de A2 (VIAJE)</t>
  </si>
  <si>
    <t>pago de renta de A9 (VIAJE)</t>
  </si>
  <si>
    <t>pago de renta de A1 (VIAJE )</t>
  </si>
  <si>
    <t>pago de renta de A5 (VIAJE )</t>
  </si>
  <si>
    <t>pago de renta de A5  (Dic) (VIAJE)</t>
  </si>
  <si>
    <t>pago de renta de A2 (DIC) (VIAJE)</t>
  </si>
  <si>
    <t>Pago renta de A4</t>
  </si>
  <si>
    <t xml:space="preserve">pago renta A15 </t>
  </si>
  <si>
    <t>Pago renta A10</t>
  </si>
  <si>
    <t xml:space="preserve">pago de renta A10 </t>
  </si>
  <si>
    <t>pago de renta  A12</t>
  </si>
  <si>
    <t>pago de renta  A18</t>
  </si>
  <si>
    <t>pago de renta  A8</t>
  </si>
  <si>
    <t>pago de manto  A18 *</t>
  </si>
  <si>
    <t>pago de renta  A6</t>
  </si>
  <si>
    <t xml:space="preserve">pago de renta  A23 </t>
  </si>
  <si>
    <t>pago de renta  A22</t>
  </si>
  <si>
    <t>pago de renta  A24</t>
  </si>
  <si>
    <t>pago de renta  A15</t>
  </si>
  <si>
    <t>pago de renta  A14</t>
  </si>
  <si>
    <t>pago de renta  A17</t>
  </si>
  <si>
    <t>pago de renta  A3</t>
  </si>
  <si>
    <t>pago de renta A4</t>
  </si>
  <si>
    <t>pago de renta  E5</t>
  </si>
  <si>
    <t>pago de renta  E1</t>
  </si>
  <si>
    <t>pago de renta  E8</t>
  </si>
  <si>
    <t xml:space="preserve">pago de manto E8 </t>
  </si>
  <si>
    <t>pago de renta  E6</t>
  </si>
  <si>
    <t>pago de renta bodega E6</t>
  </si>
  <si>
    <t>pago de renta E9</t>
  </si>
  <si>
    <t>pago convenio E4/E8</t>
  </si>
  <si>
    <t>pago Manto A8</t>
  </si>
  <si>
    <t>pago Renta A11</t>
  </si>
  <si>
    <t>Pago compra Local A2</t>
  </si>
  <si>
    <t xml:space="preserve">ingreso  profit CXP </t>
  </si>
  <si>
    <t>Pago renta E11</t>
  </si>
  <si>
    <t>Pagp Renta E3</t>
  </si>
  <si>
    <t xml:space="preserve">pago de renta E10 </t>
  </si>
  <si>
    <t>pago manto E10</t>
  </si>
  <si>
    <t>pago impuestos compra A2</t>
  </si>
  <si>
    <t xml:space="preserve">liquidacion deuda A4 </t>
  </si>
  <si>
    <t>pago TC Gastos ING. viaje</t>
  </si>
  <si>
    <t xml:space="preserve">pago impuesto de fotsa compra venta </t>
  </si>
  <si>
    <t xml:space="preserve">pago impuesto compra-venta Fotsa </t>
  </si>
  <si>
    <t>pago renta bodega E6</t>
  </si>
  <si>
    <t>Pago renta E1</t>
  </si>
  <si>
    <t xml:space="preserve">pago renta  A15 </t>
  </si>
  <si>
    <t>pago renta A12</t>
  </si>
  <si>
    <t>pago renta A18</t>
  </si>
  <si>
    <t>pago de renta E3</t>
  </si>
  <si>
    <t>pago renta A23</t>
  </si>
  <si>
    <t>pago renta E11</t>
  </si>
  <si>
    <t>pago de adeudo A22</t>
  </si>
  <si>
    <t>pago de Adeudo A3</t>
  </si>
  <si>
    <t>pago de renta  de E4</t>
  </si>
  <si>
    <t xml:space="preserve">pago de manto de A8 </t>
  </si>
  <si>
    <t xml:space="preserve">pago renta E10 </t>
  </si>
  <si>
    <t>BOVEDA 2 IMSS</t>
  </si>
  <si>
    <t>Saldo inicial</t>
  </si>
  <si>
    <t xml:space="preserve">pago convenio IMSS </t>
  </si>
  <si>
    <t xml:space="preserve">ingreso </t>
  </si>
  <si>
    <t xml:space="preserve">Camargo THR </t>
  </si>
  <si>
    <t>Chihuahua THR</t>
  </si>
  <si>
    <t>Parral THR</t>
  </si>
  <si>
    <t>Casas Grandes THR</t>
  </si>
  <si>
    <t>Cuauhtemoc THR</t>
  </si>
  <si>
    <t>Aldama THR</t>
  </si>
  <si>
    <t>Meoqui THR</t>
  </si>
  <si>
    <t>Delicias THR</t>
  </si>
  <si>
    <t>Jimenez  THR</t>
  </si>
  <si>
    <t xml:space="preserve">Delicias Codare </t>
  </si>
  <si>
    <t>Chihuahua Codare</t>
  </si>
  <si>
    <t>Parral Codare</t>
  </si>
  <si>
    <t>Durango Codare</t>
  </si>
  <si>
    <t>Juarez Codare</t>
  </si>
  <si>
    <t>DELICIAS Human FST</t>
  </si>
  <si>
    <t>DELICIAS Human Muscle</t>
  </si>
  <si>
    <t>DELICIAS MWM</t>
  </si>
  <si>
    <t xml:space="preserve">pago diferencias por PR Human fst </t>
  </si>
  <si>
    <t xml:space="preserve">pago de convenio IMSS  THR </t>
  </si>
  <si>
    <t xml:space="preserve">pago convenio IMSS THR </t>
  </si>
  <si>
    <t xml:space="preserve">pago convenio THR </t>
  </si>
  <si>
    <t xml:space="preserve">pago convenio  IMSS THR </t>
  </si>
  <si>
    <t xml:space="preserve">Chihuahua Codare </t>
  </si>
  <si>
    <t xml:space="preserve">convenio IMSS THR </t>
  </si>
  <si>
    <t xml:space="preserve">Parral THR </t>
  </si>
  <si>
    <t xml:space="preserve">Parral MWM </t>
  </si>
  <si>
    <t xml:space="preserve">Delicias  Petca </t>
  </si>
  <si>
    <t xml:space="preserve">MWM Chihuahua </t>
  </si>
  <si>
    <t xml:space="preserve">Human Muscle Delicias </t>
  </si>
  <si>
    <t xml:space="preserve">Delicias MWM </t>
  </si>
  <si>
    <t>DESGLOSE TC</t>
  </si>
  <si>
    <t>CALG CO-OP HEAD OFFICE CALGARY</t>
  </si>
  <si>
    <t>FACEBK* DUBLIN</t>
  </si>
  <si>
    <t>SPOTIFY MX MEXICO caprichos</t>
  </si>
  <si>
    <t>MERCADOPAGO*CANVA044084 Benito Juárez</t>
  </si>
  <si>
    <t>SPOTIFY MX MEXICO</t>
  </si>
  <si>
    <t>MICROSOFT#G076575336 00 MSBILL.INFO</t>
  </si>
  <si>
    <t>REFACC MATA 000261331 CD DELICIAS C antic</t>
  </si>
  <si>
    <t>OPENAI *CHATGPT SUBSCR SAN FRANCISCO</t>
  </si>
  <si>
    <t xml:space="preserve">AUTOZONE 7130 DELICIAS CHIH autzone Ruben </t>
  </si>
  <si>
    <t>IVA APLICABLE</t>
  </si>
  <si>
    <t>TOTAL PLAY CR ENLACE MEXICO</t>
  </si>
  <si>
    <t>MERCADO LIBRE MEXICO</t>
  </si>
  <si>
    <t>ARTLIST WILMINGTON</t>
  </si>
  <si>
    <t>NETPAY*LLANTERA CHAVEZ Chihuahua</t>
  </si>
  <si>
    <t>SAMS DELICIAS CD MEXICO</t>
  </si>
  <si>
    <t>CAJANAUTA.COM CDMX</t>
  </si>
  <si>
    <t>POST WAREHOUSE El Paso</t>
  </si>
  <si>
    <t>ZOOM.COM 888-799-9666 SAN JOSE</t>
  </si>
  <si>
    <t>FACEBOOK</t>
  </si>
  <si>
    <t>CGO AUT TELCEL REGION 3 CHIHUAHUA</t>
  </si>
  <si>
    <t>OPENPAY*STARLINK CIUDAD DE MEXICO</t>
  </si>
  <si>
    <t>CUOTA ANUAL MENSUALIDAD 03 DE 03</t>
  </si>
  <si>
    <t>IMPRESORAS DE TICKET E1 Y E3</t>
  </si>
  <si>
    <t xml:space="preserve">spotify THR </t>
  </si>
  <si>
    <t>canva</t>
  </si>
  <si>
    <t xml:space="preserve">aluminios y vidrios </t>
  </si>
  <si>
    <t xml:space="preserve">ferreteria San Luis </t>
  </si>
  <si>
    <t>llantera chavez 6/6</t>
  </si>
  <si>
    <t xml:space="preserve">compra insumos cafeteria </t>
  </si>
  <si>
    <t>facebook</t>
  </si>
  <si>
    <t xml:space="preserve">amazone prime </t>
  </si>
  <si>
    <t>pago godaddy (sistemas )</t>
  </si>
  <si>
    <t>starlink</t>
  </si>
  <si>
    <t xml:space="preserve">spotify Caprichos </t>
  </si>
  <si>
    <t>pago total Play  E8</t>
  </si>
  <si>
    <t xml:space="preserve">compra de discos duroa y adaptadores </t>
  </si>
  <si>
    <t>pago telcel petca</t>
  </si>
  <si>
    <t xml:space="preserve">pago GPS </t>
  </si>
  <si>
    <t>chatgpt</t>
  </si>
  <si>
    <t xml:space="preserve">microsoft </t>
  </si>
  <si>
    <t>mas pot</t>
  </si>
  <si>
    <t xml:space="preserve">EBANX </t>
  </si>
  <si>
    <t xml:space="preserve">STAR MEDICA </t>
  </si>
  <si>
    <t>GESEME CHIH</t>
  </si>
  <si>
    <t xml:space="preserve">FARMACIA </t>
  </si>
  <si>
    <t xml:space="preserve">DISPOSICION  JVS </t>
  </si>
  <si>
    <t xml:space="preserve">CANVA </t>
  </si>
  <si>
    <t xml:space="preserve">Mercado pago CANVA </t>
  </si>
  <si>
    <t>facebook HR</t>
  </si>
  <si>
    <t>facebook CAPRICHOS</t>
  </si>
  <si>
    <t>facebook JB</t>
  </si>
  <si>
    <t>facebook MELISSA</t>
  </si>
  <si>
    <t xml:space="preserve">starlink </t>
  </si>
  <si>
    <t>spotify</t>
  </si>
  <si>
    <t>microsoft</t>
  </si>
  <si>
    <t xml:space="preserve">total play </t>
  </si>
  <si>
    <t>telcel lineas</t>
  </si>
  <si>
    <t xml:space="preserve">telcel GPS </t>
  </si>
  <si>
    <t>zoom</t>
  </si>
  <si>
    <t xml:space="preserve">envato chicago </t>
  </si>
  <si>
    <t xml:space="preserve">mas pot </t>
  </si>
  <si>
    <t>sistemas compra de impresora conta</t>
  </si>
  <si>
    <t xml:space="preserve">sistemas  celular 1  HR </t>
  </si>
  <si>
    <t xml:space="preserve">sistemas  celular  2 HR </t>
  </si>
  <si>
    <t xml:space="preserve">sistemas cinchos </t>
  </si>
  <si>
    <t>amazone market place</t>
  </si>
  <si>
    <t xml:space="preserve">amazone market retail </t>
  </si>
  <si>
    <t>Chat gpt</t>
  </si>
  <si>
    <t>facebook JULIA BARRAGAN</t>
  </si>
  <si>
    <t>facebook ELILU</t>
  </si>
  <si>
    <t>Starlink</t>
  </si>
  <si>
    <t>Microsoft</t>
  </si>
  <si>
    <t xml:space="preserve">Zoom </t>
  </si>
  <si>
    <t>telcel</t>
  </si>
  <si>
    <t>warehouse</t>
  </si>
  <si>
    <t xml:space="preserve">mercado libre  20 rollos de etiquetas </t>
  </si>
  <si>
    <t xml:space="preserve">mercado libre  comrpa de bateria de reemplazo </t>
  </si>
  <si>
    <t>spotify  THR</t>
  </si>
  <si>
    <t xml:space="preserve">spotify  THR </t>
  </si>
  <si>
    <t>ebanx</t>
  </si>
  <si>
    <t xml:space="preserve">compra pila beat </t>
  </si>
  <si>
    <t>workforce</t>
  </si>
  <si>
    <t>chat gpt</t>
  </si>
  <si>
    <t>Ebanx</t>
  </si>
  <si>
    <t>Google capcut Caprichos</t>
  </si>
  <si>
    <t>facebook Elilu</t>
  </si>
  <si>
    <t>facebook CAP</t>
  </si>
  <si>
    <t xml:space="preserve">sstarlink </t>
  </si>
  <si>
    <t xml:space="preserve">spoty </t>
  </si>
  <si>
    <t xml:space="preserve">telcel  petca </t>
  </si>
  <si>
    <t>telcel GPS</t>
  </si>
  <si>
    <t>runway standar  ambas marcas</t>
  </si>
  <si>
    <t>envato (melissa, MM)</t>
  </si>
  <si>
    <t>kommo</t>
  </si>
  <si>
    <t>mercado libre discos duros sistemas</t>
  </si>
  <si>
    <t xml:space="preserve">llantas camion CEDIS </t>
  </si>
  <si>
    <t xml:space="preserve">ebanx </t>
  </si>
  <si>
    <t xml:space="preserve">la competidora manto </t>
  </si>
  <si>
    <t>cofiasa</t>
  </si>
  <si>
    <t>worKface</t>
  </si>
  <si>
    <t xml:space="preserve">Mokker app ambas marcas </t>
  </si>
  <si>
    <t>MidJourney app de IA GE</t>
  </si>
  <si>
    <t xml:space="preserve">la competidora </t>
  </si>
  <si>
    <t xml:space="preserve">chatgpt </t>
  </si>
  <si>
    <t>mundo del tornillo</t>
  </si>
  <si>
    <t xml:space="preserve">pasa Juarez cintas manto </t>
  </si>
  <si>
    <t xml:space="preserve">Ferre myers </t>
  </si>
  <si>
    <t xml:space="preserve">cofiasa </t>
  </si>
  <si>
    <t>home depot</t>
  </si>
  <si>
    <t xml:space="preserve">pando mercantil </t>
  </si>
  <si>
    <t>mundo de tornillo</t>
  </si>
  <si>
    <t>retailbrillence</t>
  </si>
  <si>
    <t>Cofiasa</t>
  </si>
  <si>
    <t>facebook (HR)</t>
  </si>
  <si>
    <t>facebook (JB)</t>
  </si>
  <si>
    <t>facebook (CAPRICHOS)</t>
  </si>
  <si>
    <t xml:space="preserve">myers agricultura </t>
  </si>
  <si>
    <t xml:space="preserve">pago starlink </t>
  </si>
  <si>
    <t>facebook (MELISSA)</t>
  </si>
  <si>
    <t xml:space="preserve">MICROSOFT </t>
  </si>
  <si>
    <t>molienda sagrada</t>
  </si>
  <si>
    <t>mercado libre  impresora A14 y mouses</t>
  </si>
  <si>
    <t xml:space="preserve">mercado libre compra bateria sistemas </t>
  </si>
  <si>
    <t xml:space="preserve">telcel  PETCA </t>
  </si>
  <si>
    <t>mas post</t>
  </si>
  <si>
    <t>chtgpt</t>
  </si>
  <si>
    <t xml:space="preserve">amazone webs </t>
  </si>
  <si>
    <t>Heroku</t>
  </si>
  <si>
    <t>mercado libre cintas ML</t>
  </si>
  <si>
    <t xml:space="preserve">mercado libre tapete caprichos </t>
  </si>
  <si>
    <t xml:space="preserve">Spoty </t>
  </si>
  <si>
    <t xml:space="preserve">pasa Juarez  Manto </t>
  </si>
  <si>
    <t xml:space="preserve">pioneros ,matriz </t>
  </si>
  <si>
    <t xml:space="preserve">mid journey </t>
  </si>
  <si>
    <t xml:space="preserve">combustible </t>
  </si>
  <si>
    <t>casa Myer</t>
  </si>
  <si>
    <t>worforce</t>
  </si>
  <si>
    <t>steren</t>
  </si>
  <si>
    <t>fedex envio MM</t>
  </si>
  <si>
    <t>paquete express envio MM</t>
  </si>
  <si>
    <t xml:space="preserve">evanx </t>
  </si>
  <si>
    <t xml:space="preserve">Mokker </t>
  </si>
  <si>
    <t xml:space="preserve">pago hrodnematico A9 </t>
  </si>
  <si>
    <t>mercado pago MM</t>
  </si>
  <si>
    <t>Mercado Pago  MM</t>
  </si>
  <si>
    <t>app  adobe</t>
  </si>
  <si>
    <t>SQSP</t>
  </si>
  <si>
    <t xml:space="preserve">starlirlink </t>
  </si>
  <si>
    <t>facebook MEL</t>
  </si>
  <si>
    <t>facebook  HR</t>
  </si>
  <si>
    <t>facebook  ELILU</t>
  </si>
  <si>
    <t>facebook  CAP</t>
  </si>
  <si>
    <t>starlink  (no pres)</t>
  </si>
  <si>
    <t>spoty</t>
  </si>
  <si>
    <t>GPS</t>
  </si>
  <si>
    <t xml:space="preserve">app processing </t>
  </si>
  <si>
    <t xml:space="preserve">plan de pagos diferidos </t>
  </si>
  <si>
    <t>comision</t>
  </si>
  <si>
    <t>iva aplicable</t>
  </si>
  <si>
    <t xml:space="preserve">pago deducible CEDIS </t>
  </si>
  <si>
    <t xml:space="preserve">amazone retail  MKT  compra de impresora </t>
  </si>
  <si>
    <t>amazone retail  MKT cortadora que se hizo devolucion pero aunno se refleja</t>
  </si>
  <si>
    <t>amazone retail  MKT compra de bolsas para bebidas</t>
  </si>
  <si>
    <t xml:space="preserve">amazone retail  MKT </t>
  </si>
  <si>
    <t xml:space="preserve">amazone retail  MKT maquina de corte inteligente </t>
  </si>
  <si>
    <t xml:space="preserve">Mercado Libre compra de router A22 y E7 </t>
  </si>
  <si>
    <t>Mercado Libre compra mat manto sistemas</t>
  </si>
  <si>
    <t>Mercado Libre compra impresora  HR precios</t>
  </si>
  <si>
    <t>amazone rservice</t>
  </si>
  <si>
    <t xml:space="preserve">home depot  </t>
  </si>
  <si>
    <t>sams delicias despensador de agua</t>
  </si>
  <si>
    <t>pando mercantil</t>
  </si>
  <si>
    <t xml:space="preserve">electrica del desierto </t>
  </si>
  <si>
    <t xml:space="preserve">home depot compra taza del baño A18 </t>
  </si>
  <si>
    <t xml:space="preserve">worface </t>
  </si>
  <si>
    <t xml:space="preserve">rest gorditas Durango </t>
  </si>
  <si>
    <t xml:space="preserve">Hotel Durango </t>
  </si>
  <si>
    <t xml:space="preserve">church chiken Torreon </t>
  </si>
  <si>
    <t xml:space="preserve">el naranjo Durango </t>
  </si>
  <si>
    <t>chat GPT</t>
  </si>
  <si>
    <t xml:space="preserve">rest Arabiga </t>
  </si>
  <si>
    <t xml:space="preserve">canva </t>
  </si>
  <si>
    <t xml:space="preserve">midjourney </t>
  </si>
  <si>
    <t xml:space="preserve">Kenworth Delicias </t>
  </si>
  <si>
    <t xml:space="preserve">baleros y bandas </t>
  </si>
  <si>
    <t xml:space="preserve">mercantil de pinturas </t>
  </si>
  <si>
    <t xml:space="preserve">ferr kalish </t>
  </si>
  <si>
    <t xml:space="preserve">mercado pago </t>
  </si>
  <si>
    <t>electrica dominio</t>
  </si>
  <si>
    <t>casa Myers</t>
  </si>
  <si>
    <t xml:space="preserve">adobe MKT </t>
  </si>
  <si>
    <t xml:space="preserve">amazone </t>
  </si>
  <si>
    <t xml:space="preserve">amazone compra MKT </t>
  </si>
  <si>
    <t xml:space="preserve">vuelos Mexico Auditoria </t>
  </si>
  <si>
    <t>facebook  MELISSA</t>
  </si>
  <si>
    <t xml:space="preserve">hotel </t>
  </si>
  <si>
    <t>facebook  JB</t>
  </si>
  <si>
    <t xml:space="preserve">facebook  CAPRICHOS </t>
  </si>
  <si>
    <t>facebook   ELILU</t>
  </si>
  <si>
    <t xml:space="preserve">amazone market </t>
  </si>
  <si>
    <t>compra llantas Rav 4</t>
  </si>
  <si>
    <t xml:space="preserve">compra puntos de acceso </t>
  </si>
  <si>
    <t>compra de camaras de E6</t>
  </si>
  <si>
    <t xml:space="preserve">facebook  Julia </t>
  </si>
  <si>
    <t>spoty fy</t>
  </si>
  <si>
    <t>pago GPS</t>
  </si>
  <si>
    <t>many chats  MKT</t>
  </si>
  <si>
    <t xml:space="preserve">simpliers middletown </t>
  </si>
  <si>
    <t xml:space="preserve">many chats </t>
  </si>
  <si>
    <t>amazone</t>
  </si>
  <si>
    <t>amazone mouse inalambrico</t>
  </si>
  <si>
    <t>amazone tripie celular</t>
  </si>
  <si>
    <t xml:space="preserve">amazone  adaptador de tarjeta </t>
  </si>
  <si>
    <t>amazone  papel fotografico</t>
  </si>
  <si>
    <t>amazone  tripie camara</t>
  </si>
  <si>
    <t xml:space="preserve">amazone  tarjeta SD </t>
  </si>
  <si>
    <t>amazone  mouse inhalambrico</t>
  </si>
  <si>
    <t>amazone organizador escritorio</t>
  </si>
  <si>
    <t>mercado reforma comida visita WF</t>
  </si>
  <si>
    <t>central hotel boutique desayuno visita WF</t>
  </si>
  <si>
    <t>SPOTIFY</t>
  </si>
  <si>
    <t xml:space="preserve">Oct </t>
  </si>
  <si>
    <t>evanx</t>
  </si>
  <si>
    <t>adobe MKT app</t>
  </si>
  <si>
    <t>facebook Julia B</t>
  </si>
  <si>
    <t>facebook caprichos</t>
  </si>
  <si>
    <t>facebook hr</t>
  </si>
  <si>
    <t>facebook Melissa</t>
  </si>
  <si>
    <t>facebook Cap</t>
  </si>
  <si>
    <t xml:space="preserve">office depot HR acrilicos </t>
  </si>
  <si>
    <t xml:space="preserve">facebook Julia </t>
  </si>
  <si>
    <t>facebook Market</t>
  </si>
  <si>
    <t xml:space="preserve">facebook Market </t>
  </si>
  <si>
    <t>mercado libre memoria ram y bases ssd</t>
  </si>
  <si>
    <t xml:space="preserve">mercado libre pinzas y conectores sist </t>
  </si>
  <si>
    <t>amazone compra MKT</t>
  </si>
  <si>
    <t xml:space="preserve">mercado libre insumos MKT </t>
  </si>
  <si>
    <t>mercado libre MKT Melissa</t>
  </si>
  <si>
    <t>mercado libre MKT hamacas</t>
  </si>
  <si>
    <t xml:space="preserve">COFIASA </t>
  </si>
  <si>
    <t>SPOTY</t>
  </si>
  <si>
    <t>EBANX</t>
  </si>
  <si>
    <t>MUNDO DEL TORNILLO</t>
  </si>
  <si>
    <t xml:space="preserve">FERRE CASA MYERS </t>
  </si>
  <si>
    <t xml:space="preserve">MIDJOURNEY </t>
  </si>
  <si>
    <t>KENWORTH CEDIS</t>
  </si>
  <si>
    <t>compra sillas</t>
  </si>
  <si>
    <t>wokforce</t>
  </si>
  <si>
    <t>provesicsa compra zapatos manto</t>
  </si>
  <si>
    <t xml:space="preserve">ferretera san luis </t>
  </si>
  <si>
    <t>chatgp</t>
  </si>
  <si>
    <t xml:space="preserve">ferre casa myers </t>
  </si>
  <si>
    <t xml:space="preserve">evanx canva </t>
  </si>
  <si>
    <t>adobe MKT</t>
  </si>
  <si>
    <t>casa myers</t>
  </si>
  <si>
    <t xml:space="preserve">amazone retail </t>
  </si>
  <si>
    <t xml:space="preserve">casa myers </t>
  </si>
  <si>
    <t>facebook MM</t>
  </si>
  <si>
    <t>facebook cap</t>
  </si>
  <si>
    <t xml:space="preserve">appleebbes delicias comida vista </t>
  </si>
  <si>
    <t xml:space="preserve">rest el granero </t>
  </si>
  <si>
    <t xml:space="preserve">restaurante Manada </t>
  </si>
  <si>
    <t xml:space="preserve">caffenio </t>
  </si>
  <si>
    <t>Kenworth</t>
  </si>
  <si>
    <t>casa myer</t>
  </si>
  <si>
    <t xml:space="preserve">cofiasa CEDIS </t>
  </si>
  <si>
    <t>total</t>
  </si>
  <si>
    <t>capacitacion GEMINI</t>
  </si>
  <si>
    <t>viaje a Mexico PQ</t>
  </si>
  <si>
    <t>many chat</t>
  </si>
  <si>
    <t>midjourney</t>
  </si>
  <si>
    <t>office depot sillas</t>
  </si>
  <si>
    <t>dh gas  aeropuerto</t>
  </si>
  <si>
    <t>gasolina</t>
  </si>
  <si>
    <t>gas boquilla</t>
  </si>
  <si>
    <t>sams</t>
  </si>
  <si>
    <t>alsuper</t>
  </si>
  <si>
    <t xml:space="preserve">airbnb </t>
  </si>
  <si>
    <t>la competidora</t>
  </si>
  <si>
    <t>ferretera San Luis</t>
  </si>
  <si>
    <t>applebees</t>
  </si>
  <si>
    <t xml:space="preserve">mercado pago eduardoc  camion cedis </t>
  </si>
  <si>
    <t>LLANTAS LLASEDELSA</t>
  </si>
  <si>
    <t>PAYU   *GOOGLE ADS tienda nube  MKT</t>
  </si>
  <si>
    <t>adobe</t>
  </si>
  <si>
    <t>Facebook caprichos</t>
  </si>
  <si>
    <t>Facebook melissa</t>
  </si>
  <si>
    <t>Facebook market max</t>
  </si>
  <si>
    <t>Facebook thr</t>
  </si>
  <si>
    <t>bufalucas</t>
  </si>
  <si>
    <t xml:space="preserve">ELILU  </t>
  </si>
  <si>
    <t>Facebook  elilu</t>
  </si>
  <si>
    <t xml:space="preserve">telcel </t>
  </si>
  <si>
    <t>sams (regalos )</t>
  </si>
  <si>
    <t>liverpool (regalos )</t>
  </si>
  <si>
    <t xml:space="preserve">Facebook elilu </t>
  </si>
  <si>
    <t xml:space="preserve">home depot delicias </t>
  </si>
  <si>
    <t xml:space="preserve">telas desfiladero </t>
  </si>
  <si>
    <t>office depot</t>
  </si>
  <si>
    <t xml:space="preserve">sams </t>
  </si>
  <si>
    <t>gps telcel</t>
  </si>
  <si>
    <t>cahtgpt</t>
  </si>
  <si>
    <t>heroku</t>
  </si>
  <si>
    <t>A1010ecml01</t>
  </si>
  <si>
    <t>cuota anual 1/3</t>
  </si>
  <si>
    <t>IVA</t>
  </si>
  <si>
    <t>Mercado libre impresora ticket   E2 y A2</t>
  </si>
  <si>
    <t xml:space="preserve">Mercado libre lectores de CB A12 y A8 </t>
  </si>
  <si>
    <t>Mercado libre lectores de CB A12 y A9</t>
  </si>
  <si>
    <t>tienda nube miguel hidalgo</t>
  </si>
  <si>
    <t xml:space="preserve">amazone market place </t>
  </si>
  <si>
    <t>amazone web service</t>
  </si>
  <si>
    <t>combustible</t>
  </si>
  <si>
    <t xml:space="preserve">telas desfiladora MKT </t>
  </si>
  <si>
    <t>upc barcodes upcs.com</t>
  </si>
  <si>
    <t xml:space="preserve">adobe </t>
  </si>
  <si>
    <t>chat gtp</t>
  </si>
  <si>
    <t>facebook Market Max</t>
  </si>
  <si>
    <t>facebook  Elilu</t>
  </si>
  <si>
    <t xml:space="preserve">facebook Melissa </t>
  </si>
  <si>
    <t>tienda nube</t>
  </si>
  <si>
    <t>office depot impresora A10</t>
  </si>
  <si>
    <t>soriana</t>
  </si>
  <si>
    <t>copel</t>
  </si>
  <si>
    <t>facebook  cap</t>
  </si>
  <si>
    <t>facebook  Eli</t>
  </si>
  <si>
    <t>total play</t>
  </si>
  <si>
    <t xml:space="preserve">many chat </t>
  </si>
  <si>
    <t>plaud lle kent county 664.54</t>
  </si>
  <si>
    <t>i94 app processing</t>
  </si>
  <si>
    <t>OFFICE 365 (DE)</t>
  </si>
  <si>
    <t xml:space="preserve">cuota anual </t>
  </si>
  <si>
    <t xml:space="preserve">iva </t>
  </si>
  <si>
    <t xml:space="preserve">mercado libre compra impresora  /adaptadores </t>
  </si>
  <si>
    <t xml:space="preserve">mercadopago fasestickerd RH vasos posada </t>
  </si>
  <si>
    <t>mercadopago fasestickerd</t>
  </si>
  <si>
    <t xml:space="preserve">amazone insumos </t>
  </si>
  <si>
    <t>DESGLOSE COMBUSTIBLE</t>
  </si>
  <si>
    <t xml:space="preserve">Cristi </t>
  </si>
  <si>
    <t>Idalia</t>
  </si>
  <si>
    <t>Daniela</t>
  </si>
  <si>
    <t>Martha</t>
  </si>
  <si>
    <t>Luisa</t>
  </si>
  <si>
    <t>Paola</t>
  </si>
  <si>
    <t xml:space="preserve">RAUL GARCIA </t>
  </si>
  <si>
    <t xml:space="preserve">MARCOS CRUZ </t>
  </si>
  <si>
    <t>Fer Ibarra</t>
  </si>
  <si>
    <t>Oscar</t>
  </si>
  <si>
    <t>Ruben</t>
  </si>
  <si>
    <t>G empresarial</t>
  </si>
  <si>
    <t>faby</t>
  </si>
  <si>
    <t xml:space="preserve">NADIA CRUZ </t>
  </si>
  <si>
    <t>compra de combustible</t>
  </si>
  <si>
    <t>comision combustible</t>
  </si>
  <si>
    <t xml:space="preserve">Juan Carlos </t>
  </si>
  <si>
    <t xml:space="preserve">Oscar </t>
  </si>
  <si>
    <t xml:space="preserve">Paola </t>
  </si>
  <si>
    <t>Marcos Cruz</t>
  </si>
  <si>
    <t xml:space="preserve">Oscar Robledo </t>
  </si>
  <si>
    <t xml:space="preserve">Nadia Cruz </t>
  </si>
  <si>
    <t xml:space="preserve">inventarios </t>
  </si>
  <si>
    <t xml:space="preserve">compradoras </t>
  </si>
  <si>
    <t>CRISTY BAILON</t>
  </si>
  <si>
    <t>IDALIA AMADO</t>
  </si>
  <si>
    <t>DANIELA BORUNDA</t>
  </si>
  <si>
    <t>MARTHA MELENDEZ</t>
  </si>
  <si>
    <t>LUISA ROAN</t>
  </si>
  <si>
    <t>PAOLA QUINTANA</t>
  </si>
  <si>
    <t>MARCOS CRUZ</t>
  </si>
  <si>
    <t>OSCAR ROBLEDO</t>
  </si>
  <si>
    <t>JUAN CARLOS SANCHEZ</t>
  </si>
  <si>
    <t>NADIA CRUZ</t>
  </si>
  <si>
    <t>FABIOLA ONTIVEROS</t>
  </si>
  <si>
    <t>RAUL GARCIA</t>
  </si>
  <si>
    <t>MARCO CRUZ</t>
  </si>
  <si>
    <t>FERNANDO IBARRA</t>
  </si>
  <si>
    <t>RUBEN HERNANDEZ</t>
  </si>
  <si>
    <t>MARIELA GD3</t>
  </si>
  <si>
    <t>PERLA AVITIA</t>
  </si>
  <si>
    <t xml:space="preserve">RAUL GARICIA </t>
  </si>
  <si>
    <t>IDALIA</t>
  </si>
  <si>
    <t>MARTHA</t>
  </si>
  <si>
    <t>PAOLA</t>
  </si>
  <si>
    <t>JUAN CARLOS</t>
  </si>
  <si>
    <t>OSCAR</t>
  </si>
  <si>
    <t>RUBEN</t>
  </si>
  <si>
    <t>CRISTY BAYLON</t>
  </si>
  <si>
    <t xml:space="preserve">IDALIA </t>
  </si>
  <si>
    <t xml:space="preserve">MARTHA </t>
  </si>
  <si>
    <t xml:space="preserve"> RAUL GARCIA</t>
  </si>
  <si>
    <t>JAZMIN PEREZ</t>
  </si>
  <si>
    <t>FABY ONTIVEROS</t>
  </si>
  <si>
    <t xml:space="preserve">ARTURO </t>
  </si>
  <si>
    <t>LUISA</t>
  </si>
  <si>
    <t>ARTURO</t>
  </si>
  <si>
    <t xml:space="preserve">MARTHA MELENDEZ </t>
  </si>
  <si>
    <t>PERLA  AVITIA</t>
  </si>
  <si>
    <t>Arturo</t>
  </si>
  <si>
    <t>COMPRA DE COMBUSTIBLE</t>
  </si>
  <si>
    <t>CRISTY</t>
  </si>
  <si>
    <t>FABY</t>
  </si>
  <si>
    <t>DANIELA</t>
  </si>
  <si>
    <t>RAUL</t>
  </si>
  <si>
    <t>MARCOS</t>
  </si>
  <si>
    <t>FERNANDO</t>
  </si>
  <si>
    <t>NADIA</t>
  </si>
  <si>
    <t>FABIOLA DELGADO</t>
  </si>
  <si>
    <t xml:space="preserve">FERNANDO </t>
  </si>
  <si>
    <t>IDALUA</t>
  </si>
  <si>
    <t>G. EMPRESARAL</t>
  </si>
  <si>
    <t>FABUOLA</t>
  </si>
  <si>
    <t>PERLA</t>
  </si>
  <si>
    <t xml:space="preserve">FABIOLA </t>
  </si>
  <si>
    <t xml:space="preserve">LUISA </t>
  </si>
  <si>
    <t>FABY O</t>
  </si>
  <si>
    <t>FABY DELGADO</t>
  </si>
  <si>
    <t>DESGLOSE NOMINA</t>
  </si>
  <si>
    <t xml:space="preserve">Jun </t>
  </si>
  <si>
    <t>CADENA DE SUM</t>
  </si>
  <si>
    <t>HBG SERVICIOS</t>
  </si>
  <si>
    <t>RRHH</t>
  </si>
  <si>
    <t>HBG GE</t>
  </si>
  <si>
    <t>MARKETMAX</t>
  </si>
  <si>
    <t>ANALISTA</t>
  </si>
  <si>
    <t>MARKETING</t>
  </si>
  <si>
    <t>AUDITORIA</t>
  </si>
  <si>
    <t>COO COMPRAS</t>
  </si>
  <si>
    <t>OPNS HR</t>
  </si>
  <si>
    <t>OP MELISSA</t>
  </si>
  <si>
    <t>GESTION</t>
  </si>
  <si>
    <t>THR</t>
  </si>
  <si>
    <t>ETIQUETADO</t>
  </si>
  <si>
    <t>OP. HR</t>
  </si>
  <si>
    <t>INT GESTION</t>
  </si>
  <si>
    <t>COO. FINANZAS</t>
  </si>
  <si>
    <t>MENSAJERO</t>
  </si>
  <si>
    <t>DIST. CHAPRICHOS</t>
  </si>
  <si>
    <t>ARQ.</t>
  </si>
  <si>
    <t>CADENA</t>
  </si>
  <si>
    <t>E04</t>
  </si>
  <si>
    <t>GD3</t>
  </si>
  <si>
    <t>INTEGRADORA SERV.</t>
  </si>
  <si>
    <t>D2 CAPRICHOS</t>
  </si>
  <si>
    <t>PRESUPUESTOS GASTOS OPERATIVOS 2025</t>
  </si>
  <si>
    <t>Sem 1</t>
  </si>
  <si>
    <t>Sem 2</t>
  </si>
  <si>
    <t>Sem 3</t>
  </si>
  <si>
    <t>Sem 4</t>
  </si>
  <si>
    <t>Real FEB</t>
  </si>
  <si>
    <t>Difer FEB</t>
  </si>
  <si>
    <t>% Avance</t>
  </si>
  <si>
    <t>Sem 5</t>
  </si>
  <si>
    <t>Sem 6</t>
  </si>
  <si>
    <t>Sem 7</t>
  </si>
  <si>
    <t>Sem 8</t>
  </si>
  <si>
    <t>Sem 9</t>
  </si>
  <si>
    <t>Real MAR</t>
  </si>
  <si>
    <t>Difer MAR</t>
  </si>
  <si>
    <t>Sem 10</t>
  </si>
  <si>
    <t>Sem 11</t>
  </si>
  <si>
    <t>Sem 12</t>
  </si>
  <si>
    <t>Sem 13</t>
  </si>
  <si>
    <t>Real ABR</t>
  </si>
  <si>
    <t>Difer ABR</t>
  </si>
  <si>
    <t>Sem 14</t>
  </si>
  <si>
    <t>Sem 15</t>
  </si>
  <si>
    <t>Sem 16</t>
  </si>
  <si>
    <t>Sem 17</t>
  </si>
  <si>
    <t>Real MAY</t>
  </si>
  <si>
    <t>Difer MAY</t>
  </si>
  <si>
    <t>Sem 18</t>
  </si>
  <si>
    <t>Sem 19</t>
  </si>
  <si>
    <t>Sem 20</t>
  </si>
  <si>
    <t>Sem 21</t>
  </si>
  <si>
    <t>Sem 22</t>
  </si>
  <si>
    <t>Real JUN</t>
  </si>
  <si>
    <t>Difer JUN</t>
  </si>
  <si>
    <t>Sem 23</t>
  </si>
  <si>
    <t>Sem 24</t>
  </si>
  <si>
    <t>Sem 25</t>
  </si>
  <si>
    <t>Sem 26</t>
  </si>
  <si>
    <t>Real JUL</t>
  </si>
  <si>
    <t>Difer JUL</t>
  </si>
  <si>
    <t>Sem 27</t>
  </si>
  <si>
    <t>Sem 28</t>
  </si>
  <si>
    <t>Sem 29</t>
  </si>
  <si>
    <t>Sem 30</t>
  </si>
  <si>
    <t>Real AGO</t>
  </si>
  <si>
    <t>Difer AGO</t>
  </si>
  <si>
    <t>Sem 31</t>
  </si>
  <si>
    <t>Sem 32</t>
  </si>
  <si>
    <t>Sem 33</t>
  </si>
  <si>
    <t>Sem 34</t>
  </si>
  <si>
    <t>Sem 35</t>
  </si>
  <si>
    <t>Real SEP</t>
  </si>
  <si>
    <t>Difer SEP</t>
  </si>
  <si>
    <t>Sem 36</t>
  </si>
  <si>
    <t>Sem 37</t>
  </si>
  <si>
    <t>Sem 38</t>
  </si>
  <si>
    <t>Sem 39</t>
  </si>
  <si>
    <t>Real OCT</t>
  </si>
  <si>
    <t>Difer OCT</t>
  </si>
  <si>
    <t>Sem 40</t>
  </si>
  <si>
    <t>Sem 41</t>
  </si>
  <si>
    <t>Sem 42</t>
  </si>
  <si>
    <t>Sem 43</t>
  </si>
  <si>
    <t>Real NOV</t>
  </si>
  <si>
    <t>Difer NOV</t>
  </si>
  <si>
    <t>Sem 44</t>
  </si>
  <si>
    <t>Sem 45</t>
  </si>
  <si>
    <t>Sem 46</t>
  </si>
  <si>
    <t>Sem 47</t>
  </si>
  <si>
    <t>Sem 48</t>
  </si>
  <si>
    <t>Real DIC</t>
  </si>
  <si>
    <t>Difer DIC</t>
  </si>
  <si>
    <t>Sem 49</t>
  </si>
  <si>
    <t>Sem 50</t>
  </si>
  <si>
    <t>Sem 51</t>
  </si>
  <si>
    <t>Sem 52</t>
  </si>
  <si>
    <t>Real ENE</t>
  </si>
  <si>
    <t>Difer ENE</t>
  </si>
  <si>
    <t>Suma de SALIDAS</t>
  </si>
  <si>
    <t>NO Total</t>
  </si>
  <si>
    <t xml:space="preserve">compra cajo de dinero A14 </t>
  </si>
  <si>
    <t>mantenimiento de edificio de A9 (R)</t>
  </si>
  <si>
    <t>VACACIONES PENDIENTES DE PAGO</t>
  </si>
  <si>
    <t>DEPARTAMENTO</t>
  </si>
  <si>
    <t>MONTO</t>
  </si>
  <si>
    <t>BANCO</t>
  </si>
  <si>
    <t>CUENTA</t>
  </si>
  <si>
    <t>EMPRESA</t>
  </si>
  <si>
    <t>FECHA DE AUTORIZACIÓN</t>
  </si>
  <si>
    <t>FECHA DE AÑO LABORAL</t>
  </si>
  <si>
    <t>CRUZ IDALIA AMADO CHARRAMONATE</t>
  </si>
  <si>
    <t>DISTRITAL HR</t>
  </si>
  <si>
    <t>19210.71</t>
  </si>
  <si>
    <t> </t>
  </si>
  <si>
    <t xml:space="preserve">vacaciones al 6 de agosto </t>
  </si>
  <si>
    <t xml:space="preserve">ANA CERVANTES MADRID </t>
  </si>
  <si>
    <t>4560.00</t>
  </si>
  <si>
    <t>BOV EMERGENCIA</t>
  </si>
  <si>
    <t xml:space="preserve">retiro a bolsa de socios </t>
  </si>
  <si>
    <t xml:space="preserve">ingreso bolsa compras pago prestamo RUVADESA </t>
  </si>
  <si>
    <t>Prestamo de RUVADESA a GO</t>
  </si>
  <si>
    <t>prestamo a bolsa de reinversion</t>
  </si>
  <si>
    <t xml:space="preserve">prestamo a la bolsa de compras </t>
  </si>
  <si>
    <t xml:space="preserve">ingreso prestamo RUVADESA </t>
  </si>
  <si>
    <t xml:space="preserve">retiro para la bolsa de GO </t>
  </si>
  <si>
    <t>retiro a bovedad de reinversion</t>
  </si>
  <si>
    <t xml:space="preserve">retiro para bolsa de GO </t>
  </si>
  <si>
    <t>retiro a boveda de reinversion</t>
  </si>
  <si>
    <t xml:space="preserve">ingreso abono prestamo de compras a RUVADESA </t>
  </si>
  <si>
    <t xml:space="preserve">ingreso prestamo Alamos </t>
  </si>
  <si>
    <t>retiro a bolsa de CXP</t>
  </si>
  <si>
    <t>retiro a bolsa de Reinversion</t>
  </si>
  <si>
    <t xml:space="preserve">retiro a bolsa de GO </t>
  </si>
  <si>
    <t>PRIMA VACACIONAL</t>
  </si>
  <si>
    <t>OFFICE 365 (C1)</t>
  </si>
  <si>
    <t>OFFICE 365 (COMPRAS)</t>
  </si>
  <si>
    <t>NOMBRE</t>
  </si>
  <si>
    <t>SUC/DEPTO</t>
  </si>
  <si>
    <t>FECHA DE RENUNCIA</t>
  </si>
  <si>
    <t>FECHA PROGRAMADA PARA PAGO</t>
  </si>
  <si>
    <t xml:space="preserve"> FECHA DE RENUNCIA </t>
  </si>
  <si>
    <t xml:space="preserve"> STATUS </t>
  </si>
  <si>
    <t>GLORIA ESTEPHANIE CAMPOS REYES</t>
  </si>
  <si>
    <t>DALLANA LIZETH RODRIGUEZ AGUILAR</t>
  </si>
  <si>
    <t>ANDREA GUADALUPE SOLIS MARTINEZ</t>
  </si>
  <si>
    <t>MARLEN VIRIDIANA GARCIA SIMENTAL</t>
  </si>
  <si>
    <t>DIANA KARELY RIOS DÍAZ</t>
  </si>
  <si>
    <t>JUAN ARTURO RAMOS CASTAÑEDA</t>
  </si>
  <si>
    <t>ZULEMA GUADALUPE BLANCARTE JAIMES</t>
  </si>
  <si>
    <t>MAXIMILIANO RUIZ VELAZQUE</t>
  </si>
  <si>
    <t>VANESSA YAJAIRA GURROLA GARCIA</t>
  </si>
  <si>
    <t>MICHELLE DARIANA PEREA ACOSTA</t>
  </si>
  <si>
    <t>CARLA VALERIA ALAMILLO MATA</t>
  </si>
  <si>
    <t>SE DESPIDIÓ</t>
  </si>
  <si>
    <t>CLARISSA CRYSTAL ARCINIEGA GONZALEZ</t>
  </si>
  <si>
    <t>ANGELICA SERVIN SALCIDO</t>
  </si>
  <si>
    <t>SERGIO VILLAREAL DELGADO</t>
  </si>
  <si>
    <t>LUZ MARIA SILVA</t>
  </si>
  <si>
    <t>NOHEL FERNANDO CASTILLO GUZMAN</t>
  </si>
  <si>
    <t>A-5</t>
  </si>
  <si>
    <t>ALBA LUCERO AGUIRRE ARMENDARIZ</t>
  </si>
  <si>
    <t>DAVID ALBERTO CASTELLANOS VENEGAS</t>
  </si>
  <si>
    <t>JESSICA VALERIA LIMON RODRIGUEZ</t>
  </si>
  <si>
    <t>MARTHA ALEJANRA CANDIA ALVARADO</t>
  </si>
  <si>
    <t>STHEPANIE MARTINEZ GALINDO</t>
  </si>
  <si>
    <t>KORINA MARIBEL RODRIGUEZ ARTEAGA</t>
  </si>
  <si>
    <t>ALEJANDRA IBARRA OROZCO</t>
  </si>
  <si>
    <t>PREGUNTA</t>
  </si>
  <si>
    <t>LUIS ALFREDO CISNEROS CHAVEZ</t>
  </si>
  <si>
    <t>YASURI ARISAY MARQUEZ PRIETO</t>
  </si>
  <si>
    <t>DARIANA PATRICIA HERNANDEZ CHAPARO</t>
  </si>
  <si>
    <t>MAYRA LIZBETH SOSA RAMOS</t>
  </si>
  <si>
    <t>CLAUDIA ESTEFANIA RIVERA SALINAS</t>
  </si>
  <si>
    <t>ROSA MARIA SOTELO DOMINGUEZ</t>
  </si>
  <si>
    <t>RAUL ALFONZO ORDUÑO CIZCARRA</t>
  </si>
  <si>
    <t>MARTHA DIAZ LEON</t>
  </si>
  <si>
    <t>NOHELY FERNANDA CASTILLO GUZMAN</t>
  </si>
  <si>
    <t>VALERIA NICOLE ESTRADA ZAPATA</t>
  </si>
  <si>
    <t>GINA JASIVE MIRANDA DE LA CRUZ</t>
  </si>
  <si>
    <t>MARIA JOSÉ ROMERO PACHECO</t>
  </si>
  <si>
    <t>MATTEO YUQUI SANCHEZ</t>
  </si>
  <si>
    <t>LIZETH FERNANDA AGUILAR HERNANDEZ</t>
  </si>
  <si>
    <t>KARLA DANIELA ORTEGA GAMEZ</t>
  </si>
  <si>
    <t>JOSE ANGEL REY LUEVANO</t>
  </si>
  <si>
    <t>LARISSA HAYDEE ANGUIANO RODRIGUEZ</t>
  </si>
  <si>
    <t>GUADALUPE ANAHI ANCHONDO REY</t>
  </si>
  <si>
    <t>CINTHIA JANETH SANSABAS JIMENEZ</t>
  </si>
  <si>
    <t>KARLA EDWIGES CHAVEZ LEYVA</t>
  </si>
  <si>
    <t>BRYAN CASTRO NEVAREZ</t>
  </si>
  <si>
    <t>ROBERTO CARLOS MEDINA GUTIERREZ</t>
  </si>
  <si>
    <t>KARLA VALERIA ALVIDREZ REYNOSO</t>
  </si>
  <si>
    <t>DIVELI ESTEFANIA RODRIGUEZ MATA</t>
  </si>
  <si>
    <t>MYRNA ALEJANDRA VILLAREA</t>
  </si>
  <si>
    <t>DAYAMI GABRIELA SOTELO MARRUFO</t>
  </si>
  <si>
    <t>CINTHYA NAYELY DOMINGUEZ</t>
  </si>
  <si>
    <t>JOHANA VALERIA CRUCES OLVIAS</t>
  </si>
  <si>
    <t>CARLOS ALBERTO PINCENO</t>
  </si>
  <si>
    <t>NILDA VICTORIA GONZALEZ</t>
  </si>
  <si>
    <t>ADAN MARTINEZ</t>
  </si>
  <si>
    <t>PAMELA JUDITH HERNANDEZ</t>
  </si>
  <si>
    <t>ALMA ELIZABETH OLVERA PEREZ</t>
  </si>
  <si>
    <t>AYLIN KARIME CORONADO</t>
  </si>
  <si>
    <t>JULIA DANIELA SORIA</t>
  </si>
  <si>
    <t>SERGIO EDUARO HERNANDEZ HERNANDEZ</t>
  </si>
  <si>
    <t>VICTOR EMMANUEL REY OLIVAS</t>
  </si>
  <si>
    <t>ANGELICA ALVAREZ RODRIGUEZ</t>
  </si>
  <si>
    <t>FATIMA PEREZ CASTAÑEDA</t>
  </si>
  <si>
    <t>HECTOR RAMIREZ PORRAS</t>
  </si>
  <si>
    <t>RUTH JAHMI CHAVEZ HERNANDEZ</t>
  </si>
  <si>
    <t>ALEJANDRA NAYELI MORENO</t>
  </si>
  <si>
    <t>ROSA MARIA REGALADO SOTELO</t>
  </si>
  <si>
    <t>YAMILETH BETSAIDA MEJIA HERNANDEZ</t>
  </si>
  <si>
    <t>DOMINIC CHAEVZ CALZADILLA</t>
  </si>
  <si>
    <t>SANDRA MELISSA ACOSTA G</t>
  </si>
  <si>
    <t>IVAN ALEXIS LOYA ACOSTA</t>
  </si>
  <si>
    <t>Paola Astrid Campos Mata</t>
  </si>
  <si>
    <t>OYUKI YOSHIRA GONZALEZ SOSA</t>
  </si>
  <si>
    <t>JOSE ARMANDO GARCIA BLANCO</t>
  </si>
  <si>
    <t>LUIS ANGEL MEDRANO VILLANUEVA</t>
  </si>
  <si>
    <t>HUMBERTO ENRIQUEZ MISS</t>
  </si>
  <si>
    <t>TERESA ARACELY CERA MUÑOZ</t>
  </si>
  <si>
    <t>WENDY GUADALUPE SANCHEZ CERVANTES</t>
  </si>
  <si>
    <t>MARYLIN ESTEFANIA CARDONA RODRIGUEZ</t>
  </si>
  <si>
    <t>SILVIA LOPEZ GINER</t>
  </si>
  <si>
    <t>BRISA ADILENE VELAZQUEZ ROSALES</t>
  </si>
  <si>
    <t>ANA DANIELA SOLIS MEZA</t>
  </si>
  <si>
    <t>E-2</t>
  </si>
  <si>
    <t>MIGUEL ANGEL CONTRERAS OLIVAS</t>
  </si>
  <si>
    <t>ANGEL JOSUE CORONADO</t>
  </si>
  <si>
    <t>GUADALUPE VEGA VALENZUELA</t>
  </si>
  <si>
    <t>FRIDA GABRIELA ESTRADA AGUAYO</t>
  </si>
  <si>
    <t>OSCAR BRADLY OCHOA FUENTES</t>
  </si>
  <si>
    <t>HUGO ALEJANDRO MOLINA SALINA</t>
  </si>
  <si>
    <t>SENDY NOHEMI ESCARSEGA RODRIGUEZ</t>
  </si>
  <si>
    <t>DIANA RAQUEL HERNANDEZ GALARZA</t>
  </si>
  <si>
    <t>IVAN GERARDO ORTEGA TAPIA</t>
  </si>
  <si>
    <t>JUAN UZIEL MELENDEZ TELLEZ</t>
  </si>
  <si>
    <t>RENE ALEJANDRO ALVAREZ VILLA</t>
  </si>
  <si>
    <t>AIDA LIRA CHAVEZ</t>
  </si>
  <si>
    <t>MICHELLE ONTIVEROS TORRES</t>
  </si>
  <si>
    <t>PAOLA PEREZ MATA</t>
  </si>
  <si>
    <t>FRANCISCO DANIEL ZAPATA MORALES</t>
  </si>
  <si>
    <t>FECHA DE PAGO</t>
  </si>
  <si>
    <t>CAROL SAMANTHA CHAVEZ CUELLAR</t>
  </si>
  <si>
    <t>JOSE ANTONIO RAMIREZ REY</t>
  </si>
  <si>
    <t>ALEXA JAZMIN RAMIREZ MANCINAS</t>
  </si>
  <si>
    <t>BRENDA JUDIT CARRILLO MIGUEL</t>
  </si>
  <si>
    <t>DANIA JUDITH PRADO GRIJALVA</t>
  </si>
  <si>
    <t>PAOLA ITZEL ANAYA CARO</t>
  </si>
  <si>
    <t>ELSY DARLINE OVIEDO MATA</t>
  </si>
  <si>
    <t>LUIS JAISEL GONZALEZ ARMENDARIZ</t>
  </si>
  <si>
    <t>BRYAN ALEXIS SOTO PEINADO</t>
  </si>
  <si>
    <t>JORGE ALEXIS GUZMAN MUÑOZ</t>
  </si>
  <si>
    <t>CITLI DONAJI CASTILLO PEÑA</t>
  </si>
  <si>
    <t>GABRIELA SARAHI ACOSTA MANZANO</t>
  </si>
  <si>
    <t>DAPHNE MARIANA VALDEZ VALENCIA</t>
  </si>
  <si>
    <t>DANIELA CONCEPCION CASTILLO CAMPOS</t>
  </si>
  <si>
    <t>E-5</t>
  </si>
  <si>
    <t>SAMUEL SAID REYES AGUIRRE</t>
  </si>
  <si>
    <t>PERLA JANETH MENDEZ GALLEGOS</t>
  </si>
  <si>
    <t>ADRIAN CANO BUENO</t>
  </si>
  <si>
    <t>MARCIA ROCIO MARTINEZ MARTINEZ</t>
  </si>
  <si>
    <t>MILDUER MELISSA RAMIREZ</t>
  </si>
  <si>
    <t>ANA PAULINA MENDEZ MONTAÑEZ</t>
  </si>
  <si>
    <t>DEBORAH ANN CAMARGO GONZALEZ</t>
  </si>
  <si>
    <t>ANA LUISA GAMBOA PEINADO</t>
  </si>
  <si>
    <t>DAFNE DANIELA OLAVE ONTIVEROS</t>
  </si>
  <si>
    <t>A-15</t>
  </si>
  <si>
    <t>CYNTHIA MICHELLE MONREAL GAMBOA</t>
  </si>
  <si>
    <t>XOCHITL DAYANA MOLINA FLORES</t>
  </si>
  <si>
    <t>ANNA ROSA VEGA IRIGOYEN</t>
  </si>
  <si>
    <t>MARIANA LIZBETH OLIVAS NAVARRETE</t>
  </si>
  <si>
    <t>JAZMIN AGUILAR REYNOSO</t>
  </si>
  <si>
    <t>MARIANA HERNANDEZ ROBLES</t>
  </si>
  <si>
    <t>KARINA TERRAZAS JURADO</t>
  </si>
  <si>
    <t>DANNA PAOLA SOTO APODACA</t>
  </si>
  <si>
    <t>AMIE CRISTINA MENDIAZ MORALES</t>
  </si>
  <si>
    <t>CLAUDIA ARANZA ZARRAGA FLORES</t>
  </si>
  <si>
    <t>MICHELLE AHIRALY ZARRAGA MARTINEZ</t>
  </si>
  <si>
    <t>FERNANDA ITUARTE RUIZ</t>
  </si>
  <si>
    <t>KAREN MALENY QUINTANA RODRIGUEZ</t>
  </si>
  <si>
    <t>CECILIA XIMENA GAYTAN ROMERO</t>
  </si>
  <si>
    <t>E06</t>
  </si>
  <si>
    <t xml:space="preserve">STEPHANY PERALTA BUSTILLOS </t>
  </si>
  <si>
    <t>ERICK ARMANDO REYES SOTO</t>
  </si>
  <si>
    <t>KARLA IRENE CEDILLO AVALOS</t>
  </si>
  <si>
    <t>CARLOS JAVIER GARCIA ACEVEDO</t>
  </si>
  <si>
    <t>JAQUELINE MARQUEZ GARCIA</t>
  </si>
  <si>
    <t>BERTHA RODRIGUEZ GARZA</t>
  </si>
  <si>
    <t>SERGIO RODARTE BECERRA</t>
  </si>
  <si>
    <t>REYLI GAEL PEREZ ACEVEDO</t>
  </si>
  <si>
    <t xml:space="preserve">GERARDO RAMOS BARRADAS </t>
  </si>
  <si>
    <t>LAYSSA MARIEL PATRON PATRON</t>
  </si>
  <si>
    <t>DAVID EMMANUEL QUEZADA GABRIEL</t>
  </si>
  <si>
    <t>AMERICA JOHANA RODARTE</t>
  </si>
  <si>
    <t xml:space="preserve">EVELYN MARLENE ORTIZ GUERRA </t>
  </si>
  <si>
    <t xml:space="preserve">CARLOS ERNESTO HERRERA CARBAJAL </t>
  </si>
  <si>
    <t>CASSANDRA PEÑA CASTILLO</t>
  </si>
  <si>
    <t>LITZY MARIETH GARCIA ACOSTA</t>
  </si>
  <si>
    <t>TAMARA CASTAÑEDA FERNANDEZ</t>
  </si>
  <si>
    <t>SERGIO ALBERTO ARAIZA MANRIQUEZ</t>
  </si>
  <si>
    <t>A-9</t>
  </si>
  <si>
    <t>ANA BELEN FLORES OGAZ</t>
  </si>
  <si>
    <t>A-10</t>
  </si>
  <si>
    <t>ANTONIA EUNICE CASTRO GARZA</t>
  </si>
  <si>
    <t>NARITZY NAMURY RIVERA LUEVANO</t>
  </si>
  <si>
    <t>A-12</t>
  </si>
  <si>
    <t>EVELYN ALEXA AGUILERA ORTIZ</t>
  </si>
  <si>
    <t>FATIMA MONTSERRAT ROJAS ALVARADO</t>
  </si>
  <si>
    <t>DISTRITAL</t>
  </si>
  <si>
    <t>ANGEL ISAAC GUTIERREZ MALDONADO</t>
  </si>
  <si>
    <t>A-23</t>
  </si>
  <si>
    <t>ANGELICA GALLEGOS GOVEA</t>
  </si>
  <si>
    <t>A-18</t>
  </si>
  <si>
    <t>JOHAN JOSHEP PONCE PONCE</t>
  </si>
  <si>
    <t>A-8</t>
  </si>
  <si>
    <t>LUIS ANGEL CAMARENA REY</t>
  </si>
  <si>
    <t>FERNANDO BARAJAS PEREZ</t>
  </si>
  <si>
    <t>A-24</t>
  </si>
  <si>
    <t>MARIA PAMELA CHAVEZ MARQUEZ</t>
  </si>
  <si>
    <t>E-3</t>
  </si>
  <si>
    <t>MARIA ITZEL PONCE FERNANDEZ</t>
  </si>
  <si>
    <t>KARLA MARIELA RAMOS TORRES</t>
  </si>
  <si>
    <t>A-22</t>
  </si>
  <si>
    <t>BARBARA MIA ROMERO LIMONES</t>
  </si>
  <si>
    <t>E-6</t>
  </si>
  <si>
    <t>LELSY VANESSA CASTRO OLMOS</t>
  </si>
  <si>
    <t>E-8</t>
  </si>
  <si>
    <t>LUIS CARLOS RASON OLIVAS</t>
  </si>
  <si>
    <t>MAXIMO DIEGO AVALOS PORTILLO</t>
  </si>
  <si>
    <t>A-3</t>
  </si>
  <si>
    <t>ANDREA YOLANDA LUNA MENDOZA</t>
  </si>
  <si>
    <t>JUAN ANTONIO RUBIO ROBLES</t>
  </si>
  <si>
    <t>ANGEL OBED BARAY MARIN</t>
  </si>
  <si>
    <t>ALEXIA SANCHEZ ROBLEDO</t>
  </si>
  <si>
    <t>E-1</t>
  </si>
  <si>
    <t>SANDRA DENISSE URBINA VILLALBA</t>
  </si>
  <si>
    <t>MARIA ELVA CEPEDA MARQUEZ</t>
  </si>
  <si>
    <t>ARACELI CHAVEZ CHAVEZ</t>
  </si>
  <si>
    <t>ABIGAIL MARTINEZ NUÑEZ</t>
  </si>
  <si>
    <t>LESLY MABEL LOPEZ CHAVEZ</t>
  </si>
  <si>
    <t>DENITZA DOLORES RODRIGUEZ CASTRO</t>
  </si>
  <si>
    <t>RAUL MARTINEZ VAZQUEZ</t>
  </si>
  <si>
    <t>raul e-2 menos 3mil de zapatos</t>
  </si>
  <si>
    <t>NAYLET TOLENTINO TOLEDO</t>
  </si>
  <si>
    <t>FRANCISCO ENRIQUE LOPEZ LOPEZ</t>
  </si>
  <si>
    <t>JESUS MARTIN ZAMARRON CRUZ</t>
  </si>
  <si>
    <t>LUIS ANTONIO RIVAS LOPEZ</t>
  </si>
  <si>
    <t>NORMA IBETH RAMIREZ CRUZ</t>
  </si>
  <si>
    <t>A-6</t>
  </si>
  <si>
    <t>TANIA RAQUEL SALAS RODRIGUEZ</t>
  </si>
  <si>
    <t>CDS</t>
  </si>
  <si>
    <t xml:space="preserve">ANAYELY CALDERON ARREGUIN </t>
  </si>
  <si>
    <t>CAROLINA OROZCO LARA</t>
  </si>
  <si>
    <t xml:space="preserve">DANIELA DIAZ LOPEZ </t>
  </si>
  <si>
    <t>CINTHYA JANETH LERMA VIDAÑA</t>
  </si>
  <si>
    <t>ADRIANA ESTEFANIA NUÑEZ</t>
  </si>
  <si>
    <t xml:space="preserve">MARLEN ALEJANDRA LOPEZ SOLIS </t>
  </si>
  <si>
    <t>BERENICE IVETH CORRALES GUTIERREZ</t>
  </si>
  <si>
    <t>ANGEL DANIEL PAYAN CAZARES</t>
  </si>
  <si>
    <t xml:space="preserve">ZAYRA VANESSA RAMOS MARTINEZ </t>
  </si>
  <si>
    <t>JAIME ALBERTO CAMARILLO</t>
  </si>
  <si>
    <t>JATZIA SAMARA TORRES OLIVAS</t>
  </si>
  <si>
    <t>ADRIANA ITZEL DUARTE LOPEZ</t>
  </si>
  <si>
    <t xml:space="preserve">GISELLE ESTEFANIA RODRIGUEZ GOMEZ </t>
  </si>
  <si>
    <t xml:space="preserve">TANIA SOFIA DELGADO MACIAS </t>
  </si>
  <si>
    <t>KELLY SAMANTHA ALDAPE SOSA</t>
  </si>
  <si>
    <t xml:space="preserve">JOSE LUIS DE LA GARZA CARRASCO </t>
  </si>
  <si>
    <t xml:space="preserve">VANESSA GOMEZ VILLALOBOS </t>
  </si>
  <si>
    <t>FRANCISCA YAEL CAMACHO CHARRAMONATE</t>
  </si>
  <si>
    <t>BRENDA YASMIN DAVILA VILLANUEVA</t>
  </si>
  <si>
    <t>MARIELA ANETH GONZALEZ OCHOA</t>
  </si>
  <si>
    <t>ALONDRA CAMACHO CHARRAMONATE</t>
  </si>
  <si>
    <t xml:space="preserve">GUADALUPE QUEZADA ROSAS </t>
  </si>
  <si>
    <t>JUAN MANUEL CARAVEO CABRERA</t>
  </si>
  <si>
    <t>JOHANN JANZEN DELGADILLO</t>
  </si>
  <si>
    <t>RUT LILIANA DELGADO SANCHEZ</t>
  </si>
  <si>
    <t>GABRIELA RIAS ORDUÑO</t>
  </si>
  <si>
    <t>HEIDI JAQUELINE BARRAGAN BANDA</t>
  </si>
  <si>
    <t>HUGO ANTONIO ROSALES RIVAS</t>
  </si>
  <si>
    <t>INGRID AMAIRANY VARGAS</t>
  </si>
  <si>
    <t>EVELYN ANDREA RIVERA DELGADO</t>
  </si>
  <si>
    <t xml:space="preserve">DANYA ALEJANDRA BOTELLO DAVILA </t>
  </si>
  <si>
    <t>ILE NATZUMY SALAS LOPEZ</t>
  </si>
  <si>
    <t>LIZANIA HERNANDEZ TARANGO</t>
  </si>
  <si>
    <t>JOANETH VAZAQUEZ CASTILLO</t>
  </si>
  <si>
    <t>MARIELY ELIZABETH BERDIN BECERRA</t>
  </si>
  <si>
    <t xml:space="preserve">ALEXANDRA ELIZABETH HERNANDEZ NAVA </t>
  </si>
  <si>
    <t>VANESSA PEREIDA CONTRERAS</t>
  </si>
  <si>
    <t xml:space="preserve">MARIANA ACOSTA FRANCO </t>
  </si>
  <si>
    <t>ANDREA GUADALUPE LARGADA RICO</t>
  </si>
  <si>
    <t>DANA PAOLA PEREZ JIMENEZ</t>
  </si>
  <si>
    <t>ABRIL</t>
  </si>
  <si>
    <t>JOCELIN ARELY RAMIREZ OROZCO</t>
  </si>
  <si>
    <t>PAOLA CAROLINA MARTINEZ CALDERON</t>
  </si>
  <si>
    <t>LIZBETH ALONDRA GARCIA ZAMARRON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</si>
</sst>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_-;\-* #,##0_-;_-* &quot;-&quot;??_-;_-@_-"/>
    <numFmt numFmtId="166" formatCode="#,##0.00_ ;\-#,##0.00\ "/>
    <numFmt numFmtId="167" formatCode="_-[$$-80A]* #,##0.00_-;\-[$$-80A]* #,##0.00_-;_-[$$-80A]* &quot;-&quot;??_-;_-@_-"/>
    <numFmt numFmtId="168" formatCode="_-[$$-80A]* #,##0_-;\-[$$-80A]* #,##0_-;_-[$$-80A]* &quot;-&quot;??_-;_-@_-"/>
    <numFmt numFmtId="169" formatCode="_-[$$-409]* #,##0.00_ ;_-[$$-409]* \-#,##0.00\ ;_-[$$-409]* &quot;-&quot;??_ ;_-@_ "/>
    <numFmt numFmtId="170" formatCode="#,##0.00\ &quot;€&quot;"/>
  </numFmts>
  <fonts count="7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11"/>
      <color rgb="FF000000"/>
      <name val="Calibri"/>
    </font>
    <font>
      <sz val="11"/>
      <color theme="1"/>
      <name val="Arial"/>
    </font>
    <font>
      <sz val="11"/>
      <color rgb="FF000000"/>
      <name val="Arial"/>
    </font>
    <font>
      <b/>
      <sz val="11"/>
      <color theme="1"/>
      <name val="Arial"/>
    </font>
    <font>
      <b/>
      <sz val="11"/>
      <color theme="0"/>
      <name val="Arial"/>
    </font>
    <font>
      <b/>
      <sz val="11"/>
      <color rgb="FF000000"/>
      <name val="Arial"/>
    </font>
    <font>
      <sz val="10"/>
      <color theme="1"/>
      <name val="Arial"/>
    </font>
    <font>
      <b/>
      <sz val="10"/>
      <name val="Arial"/>
    </font>
    <font>
      <sz val="12"/>
      <color rgb="FF000000"/>
      <name val="Arial"/>
      <charset val="1"/>
    </font>
    <font>
      <b/>
      <sz val="10"/>
      <color rgb="FFFFFFFF"/>
      <name val="Tahoma"/>
      <family val="2"/>
      <charset val="1"/>
    </font>
    <font>
      <b/>
      <sz val="10"/>
      <color rgb="FFFFFF00"/>
      <name val="Tahoma"/>
      <family val="2"/>
      <charset val="1"/>
    </font>
    <font>
      <sz val="11"/>
      <color rgb="FF000000"/>
      <name val="Calibri"/>
      <charset val="1"/>
    </font>
    <font>
      <sz val="11"/>
      <color rgb="FFFF0000"/>
      <name val="Calibri"/>
    </font>
    <font>
      <b/>
      <sz val="11"/>
      <color theme="1"/>
      <name val="Calibri"/>
    </font>
    <font>
      <b/>
      <sz val="10"/>
      <color rgb="FFFFFFFF"/>
      <name val="Tahoma"/>
    </font>
    <font>
      <b/>
      <sz val="11"/>
      <color rgb="FF000000"/>
      <name val="Calibri"/>
    </font>
    <font>
      <b/>
      <sz val="11"/>
      <color rgb="FFFF0000"/>
      <name val="Calibri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MS Sans Serif"/>
      <family val="2"/>
    </font>
    <font>
      <b/>
      <sz val="10"/>
      <color theme="1"/>
      <name val="Arial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</font>
    <font>
      <b/>
      <sz val="11"/>
      <color theme="7" tint="-0.249977111117893"/>
      <name val="Arial"/>
    </font>
    <font>
      <sz val="11"/>
      <color theme="8"/>
      <name val="Arial"/>
    </font>
    <font>
      <sz val="11"/>
      <color theme="3" tint="0.249977111117893"/>
      <name val="Arial"/>
    </font>
    <font>
      <b/>
      <sz val="11"/>
      <color theme="3" tint="0.249977111117893"/>
      <name val="Arial"/>
    </font>
    <font>
      <b/>
      <sz val="11"/>
      <color rgb="FF7030A0"/>
      <name val="Arial"/>
    </font>
    <font>
      <sz val="11"/>
      <color rgb="FF7030A0"/>
      <name val="Arial"/>
    </font>
    <font>
      <sz val="10"/>
      <color rgb="FF000000"/>
      <name val="MS Sans Serif"/>
    </font>
    <font>
      <sz val="11"/>
      <color rgb="FF000000"/>
      <name val="Aptos Narrow"/>
      <family val="2"/>
    </font>
    <font>
      <sz val="11"/>
      <color rgb="FF000000"/>
      <name val="Aptos Narrow"/>
    </font>
    <font>
      <sz val="11"/>
      <color rgb="FF242424"/>
      <name val="Consolas"/>
      <charset val="1"/>
    </font>
    <font>
      <sz val="11"/>
      <color rgb="FF002060"/>
      <name val="Aptos Narrow"/>
      <family val="2"/>
      <scheme val="minor"/>
    </font>
    <font>
      <sz val="11"/>
      <color theme="1"/>
      <name val="Arial"/>
      <family val="2"/>
    </font>
    <font>
      <b/>
      <sz val="11"/>
      <color rgb="FFFFFFFF"/>
      <name val="Calibri"/>
      <family val="2"/>
    </font>
    <font>
      <b/>
      <sz val="9"/>
      <color rgb="FFFFFFFF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sz val="11"/>
      <color rgb="FF242424"/>
      <name val="Aptos Narrow"/>
      <charset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</font>
    <font>
      <b/>
      <sz val="11"/>
      <color rgb="FFFFFFFF"/>
      <name val="Calibri"/>
    </font>
    <font>
      <b/>
      <sz val="10"/>
      <color rgb="FF9C0006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sz val="10"/>
      <color rgb="FF000000"/>
      <name val="Calibri"/>
    </font>
    <font>
      <b/>
      <sz val="11"/>
      <color rgb="FF7030A0"/>
      <name val="Aptos Narrow"/>
      <family val="2"/>
      <scheme val="minor"/>
    </font>
    <font>
      <b/>
      <sz val="11"/>
      <color theme="9"/>
      <name val="Arial"/>
    </font>
    <font>
      <sz val="11"/>
      <color theme="9"/>
      <name val="Arial"/>
    </font>
    <font>
      <sz val="11"/>
      <color rgb="FF000000"/>
      <name val="Calibri"/>
      <family val="2"/>
      <scheme val="minor"/>
    </font>
    <font>
      <sz val="11"/>
      <name val="Aptos Narrow"/>
      <family val="2"/>
    </font>
    <font>
      <sz val="11"/>
      <color rgb="FF002465"/>
      <name val="Aptos Narrow"/>
    </font>
    <font>
      <sz val="11"/>
      <color rgb="FF002060"/>
      <name val="Aptos Narrow"/>
      <family val="2"/>
    </font>
    <font>
      <sz val="11"/>
      <color rgb="FF002465"/>
      <name val="Aptos Narrow"/>
      <family val="2"/>
    </font>
    <font>
      <sz val="11"/>
      <name val="Aptos Narrow"/>
    </font>
  </fonts>
  <fills count="39">
    <fill>
      <patternFill patternType="none"/>
    </fill>
    <fill>
      <patternFill patternType="gray125"/>
    </fill>
    <fill>
      <patternFill patternType="solid">
        <fgColor theme="4" tint="0.39997558519241921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1F497D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DA9694"/>
        <bgColor rgb="FF000000"/>
      </patternFill>
    </fill>
    <fill>
      <patternFill patternType="solid">
        <fgColor rgb="FF1F497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E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7FCC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5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FF0000"/>
      </right>
      <top style="medium">
        <color rgb="FF000000"/>
      </top>
      <bottom/>
      <diagonal/>
    </border>
    <border>
      <left style="medium">
        <color rgb="FFFF0000"/>
      </left>
      <right style="medium">
        <color rgb="FF000000"/>
      </right>
      <top style="medium">
        <color rgb="FF000000"/>
      </top>
      <bottom style="medium">
        <color rgb="FFFF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FF0000"/>
      </bottom>
      <diagonal/>
    </border>
    <border>
      <left style="medium">
        <color rgb="FF000000"/>
      </left>
      <right style="medium">
        <color rgb="FFFF0000"/>
      </right>
      <top style="medium">
        <color rgb="FF000000"/>
      </top>
      <bottom style="medium">
        <color rgb="FFFF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72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43" fontId="0" fillId="0" borderId="0" xfId="1" applyFont="1"/>
    <xf numFmtId="43" fontId="2" fillId="0" borderId="0" xfId="1" applyFont="1"/>
    <xf numFmtId="43" fontId="0" fillId="0" borderId="0" xfId="0" applyNumberForma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8" fillId="3" borderId="0" xfId="0" applyFont="1" applyFill="1"/>
    <xf numFmtId="0" fontId="0" fillId="3" borderId="0" xfId="0" applyFill="1"/>
    <xf numFmtId="0" fontId="7" fillId="2" borderId="3" xfId="0" applyFont="1" applyFill="1" applyBorder="1" applyAlignment="1">
      <alignment horizontal="center"/>
    </xf>
    <xf numFmtId="0" fontId="9" fillId="0" borderId="0" xfId="0" applyFont="1"/>
    <xf numFmtId="165" fontId="9" fillId="0" borderId="0" xfId="1" applyNumberFormat="1" applyFont="1" applyFill="1" applyBorder="1"/>
    <xf numFmtId="0" fontId="9" fillId="4" borderId="0" xfId="0" applyFont="1" applyFill="1"/>
    <xf numFmtId="3" fontId="0" fillId="0" borderId="0" xfId="0" applyNumberFormat="1"/>
    <xf numFmtId="165" fontId="7" fillId="2" borderId="2" xfId="0" applyNumberFormat="1" applyFont="1" applyFill="1" applyBorder="1"/>
    <xf numFmtId="165" fontId="0" fillId="0" borderId="0" xfId="0" applyNumberFormat="1"/>
    <xf numFmtId="0" fontId="10" fillId="0" borderId="0" xfId="0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0" fillId="0" borderId="0" xfId="0" pivotButton="1"/>
    <xf numFmtId="0" fontId="7" fillId="6" borderId="2" xfId="0" applyFont="1" applyFill="1" applyBorder="1"/>
    <xf numFmtId="0" fontId="0" fillId="7" borderId="4" xfId="0" applyFill="1" applyBorder="1"/>
    <xf numFmtId="0" fontId="8" fillId="7" borderId="0" xfId="0" applyFont="1" applyFill="1"/>
    <xf numFmtId="0" fontId="0" fillId="7" borderId="0" xfId="0" applyFill="1"/>
    <xf numFmtId="165" fontId="7" fillId="6" borderId="2" xfId="0" applyNumberFormat="1" applyFont="1" applyFill="1" applyBorder="1"/>
    <xf numFmtId="0" fontId="0" fillId="8" borderId="0" xfId="0" applyFill="1" applyAlignment="1">
      <alignment horizontal="center"/>
    </xf>
    <xf numFmtId="14" fontId="0" fillId="8" borderId="0" xfId="0" applyNumberFormat="1" applyFill="1" applyAlignment="1">
      <alignment horizontal="center"/>
    </xf>
    <xf numFmtId="0" fontId="0" fillId="0" borderId="0" xfId="0" applyAlignment="1">
      <alignment horizontal="right"/>
    </xf>
    <xf numFmtId="0" fontId="0" fillId="9" borderId="5" xfId="0" applyFill="1" applyBorder="1"/>
    <xf numFmtId="14" fontId="0" fillId="0" borderId="1" xfId="0" applyNumberFormat="1" applyBorder="1"/>
    <xf numFmtId="0" fontId="0" fillId="5" borderId="1" xfId="0" applyFill="1" applyBorder="1"/>
    <xf numFmtId="14" fontId="0" fillId="5" borderId="1" xfId="0" applyNumberFormat="1" applyFill="1" applyBorder="1"/>
    <xf numFmtId="0" fontId="0" fillId="0" borderId="6" xfId="0" applyBorder="1"/>
    <xf numFmtId="0" fontId="0" fillId="5" borderId="7" xfId="0" applyFill="1" applyBorder="1"/>
    <xf numFmtId="14" fontId="0" fillId="5" borderId="7" xfId="0" applyNumberFormat="1" applyFill="1" applyBorder="1"/>
    <xf numFmtId="0" fontId="0" fillId="9" borderId="8" xfId="0" applyFill="1" applyBorder="1"/>
    <xf numFmtId="0" fontId="0" fillId="9" borderId="9" xfId="0" applyFill="1" applyBorder="1"/>
    <xf numFmtId="0" fontId="0" fillId="0" borderId="10" xfId="0" applyBorder="1"/>
    <xf numFmtId="14" fontId="0" fillId="0" borderId="10" xfId="0" applyNumberFormat="1" applyBorder="1"/>
    <xf numFmtId="14" fontId="0" fillId="0" borderId="11" xfId="0" applyNumberFormat="1" applyBorder="1"/>
    <xf numFmtId="0" fontId="0" fillId="9" borderId="12" xfId="0" applyFill="1" applyBorder="1"/>
    <xf numFmtId="14" fontId="0" fillId="0" borderId="13" xfId="0" applyNumberFormat="1" applyBorder="1"/>
    <xf numFmtId="0" fontId="0" fillId="9" borderId="14" xfId="0" applyFill="1" applyBorder="1"/>
    <xf numFmtId="0" fontId="0" fillId="9" borderId="15" xfId="0" applyFill="1" applyBorder="1"/>
    <xf numFmtId="0" fontId="0" fillId="0" borderId="16" xfId="0" applyBorder="1"/>
    <xf numFmtId="14" fontId="0" fillId="0" borderId="16" xfId="0" applyNumberFormat="1" applyBorder="1"/>
    <xf numFmtId="14" fontId="0" fillId="0" borderId="17" xfId="0" applyNumberFormat="1" applyBorder="1"/>
    <xf numFmtId="14" fontId="0" fillId="10" borderId="0" xfId="0" applyNumberFormat="1" applyFill="1" applyAlignment="1">
      <alignment horizontal="center"/>
    </xf>
    <xf numFmtId="0" fontId="2" fillId="11" borderId="0" xfId="0" applyFont="1" applyFill="1" applyAlignment="1">
      <alignment horizontal="center"/>
    </xf>
    <xf numFmtId="0" fontId="2" fillId="11" borderId="0" xfId="0" applyFont="1" applyFill="1"/>
    <xf numFmtId="43" fontId="2" fillId="11" borderId="0" xfId="1" applyFont="1" applyFill="1"/>
    <xf numFmtId="0" fontId="0" fillId="11" borderId="0" xfId="0" applyFill="1"/>
    <xf numFmtId="0" fontId="4" fillId="7" borderId="0" xfId="0" applyFont="1" applyFill="1" applyAlignment="1">
      <alignment horizontal="center"/>
    </xf>
    <xf numFmtId="43" fontId="11" fillId="0" borderId="0" xfId="1" applyFont="1" applyBorder="1" applyAlignment="1">
      <alignment horizontal="right"/>
    </xf>
    <xf numFmtId="0" fontId="12" fillId="12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3" fillId="0" borderId="0" xfId="0" applyFont="1" applyAlignment="1">
      <alignment horizontal="left"/>
    </xf>
    <xf numFmtId="0" fontId="13" fillId="8" borderId="0" xfId="0" applyFont="1" applyFill="1" applyAlignment="1">
      <alignment horizontal="left"/>
    </xf>
    <xf numFmtId="0" fontId="0" fillId="8" borderId="0" xfId="0" applyFill="1"/>
    <xf numFmtId="0" fontId="6" fillId="7" borderId="0" xfId="0" applyFont="1" applyFill="1" applyAlignment="1">
      <alignment horizontal="center"/>
    </xf>
    <xf numFmtId="14" fontId="6" fillId="7" borderId="0" xfId="0" applyNumberFormat="1" applyFont="1" applyFill="1" applyAlignment="1">
      <alignment horizontal="center"/>
    </xf>
    <xf numFmtId="166" fontId="0" fillId="0" borderId="0" xfId="1" applyNumberFormat="1" applyFont="1"/>
    <xf numFmtId="166" fontId="2" fillId="11" borderId="0" xfId="1" applyNumberFormat="1" applyFont="1" applyFill="1"/>
    <xf numFmtId="0" fontId="0" fillId="3" borderId="0" xfId="0" applyFill="1" applyAlignment="1">
      <alignment horizontal="right"/>
    </xf>
    <xf numFmtId="3" fontId="10" fillId="0" borderId="0" xfId="0" applyNumberFormat="1" applyFont="1" applyAlignment="1">
      <alignment horizontal="center"/>
    </xf>
    <xf numFmtId="3" fontId="7" fillId="6" borderId="2" xfId="0" applyNumberFormat="1" applyFont="1" applyFill="1" applyBorder="1"/>
    <xf numFmtId="3" fontId="0" fillId="10" borderId="0" xfId="0" applyNumberFormat="1" applyFill="1" applyAlignment="1">
      <alignment horizontal="center"/>
    </xf>
    <xf numFmtId="3" fontId="9" fillId="0" borderId="0" xfId="1" applyNumberFormat="1" applyFont="1" applyFill="1" applyBorder="1"/>
    <xf numFmtId="166" fontId="15" fillId="0" borderId="0" xfId="1" applyNumberFormat="1" applyFont="1"/>
    <xf numFmtId="43" fontId="15" fillId="0" borderId="0" xfId="1" applyFont="1"/>
    <xf numFmtId="0" fontId="15" fillId="0" borderId="0" xfId="0" applyFont="1"/>
    <xf numFmtId="167" fontId="15" fillId="0" borderId="0" xfId="0" applyNumberFormat="1" applyFont="1"/>
    <xf numFmtId="0" fontId="16" fillId="0" borderId="0" xfId="0" applyFont="1"/>
    <xf numFmtId="0" fontId="15" fillId="8" borderId="0" xfId="0" applyFont="1" applyFill="1"/>
    <xf numFmtId="0" fontId="18" fillId="7" borderId="0" xfId="0" applyFont="1" applyFill="1" applyAlignment="1">
      <alignment horizontal="center"/>
    </xf>
    <xf numFmtId="0" fontId="17" fillId="0" borderId="0" xfId="0" applyFont="1"/>
    <xf numFmtId="43" fontId="15" fillId="0" borderId="0" xfId="1" applyFont="1" applyFill="1"/>
    <xf numFmtId="167" fontId="15" fillId="0" borderId="0" xfId="1" applyNumberFormat="1" applyFont="1"/>
    <xf numFmtId="167" fontId="2" fillId="0" borderId="0" xfId="1" applyNumberFormat="1" applyFont="1"/>
    <xf numFmtId="167" fontId="2" fillId="11" borderId="0" xfId="1" applyNumberFormat="1" applyFont="1" applyFill="1"/>
    <xf numFmtId="167" fontId="0" fillId="0" borderId="0" xfId="1" applyNumberFormat="1" applyFont="1"/>
    <xf numFmtId="0" fontId="20" fillId="8" borderId="0" xfId="0" applyFont="1" applyFill="1"/>
    <xf numFmtId="0" fontId="20" fillId="0" borderId="0" xfId="0" applyFont="1"/>
    <xf numFmtId="0" fontId="22" fillId="0" borderId="0" xfId="0" applyFont="1" applyAlignment="1">
      <alignment wrapText="1"/>
    </xf>
    <xf numFmtId="0" fontId="0" fillId="0" borderId="0" xfId="0" applyAlignment="1">
      <alignment wrapText="1"/>
    </xf>
    <xf numFmtId="0" fontId="23" fillId="18" borderId="23" xfId="0" applyFont="1" applyFill="1" applyBorder="1"/>
    <xf numFmtId="0" fontId="23" fillId="18" borderId="24" xfId="0" applyFont="1" applyFill="1" applyBorder="1"/>
    <xf numFmtId="0" fontId="24" fillId="18" borderId="24" xfId="0" applyFont="1" applyFill="1" applyBorder="1"/>
    <xf numFmtId="0" fontId="0" fillId="4" borderId="0" xfId="0" applyFill="1"/>
    <xf numFmtId="0" fontId="26" fillId="0" borderId="0" xfId="0" applyFont="1"/>
    <xf numFmtId="4" fontId="0" fillId="0" borderId="0" xfId="0" applyNumberFormat="1"/>
    <xf numFmtId="4" fontId="27" fillId="0" borderId="0" xfId="0" applyNumberFormat="1" applyFont="1"/>
    <xf numFmtId="0" fontId="28" fillId="14" borderId="1" xfId="0" applyFont="1" applyFill="1" applyBorder="1"/>
    <xf numFmtId="0" fontId="28" fillId="14" borderId="18" xfId="0" applyFont="1" applyFill="1" applyBorder="1"/>
    <xf numFmtId="0" fontId="14" fillId="15" borderId="19" xfId="0" applyFont="1" applyFill="1" applyBorder="1"/>
    <xf numFmtId="0" fontId="14" fillId="15" borderId="20" xfId="0" applyFont="1" applyFill="1" applyBorder="1"/>
    <xf numFmtId="14" fontId="14" fillId="15" borderId="20" xfId="0" applyNumberFormat="1" applyFont="1" applyFill="1" applyBorder="1"/>
    <xf numFmtId="0" fontId="14" fillId="0" borderId="0" xfId="0" applyFont="1"/>
    <xf numFmtId="0" fontId="14" fillId="15" borderId="0" xfId="0" applyFont="1" applyFill="1"/>
    <xf numFmtId="0" fontId="14" fillId="16" borderId="19" xfId="0" applyFont="1" applyFill="1" applyBorder="1"/>
    <xf numFmtId="0" fontId="14" fillId="16" borderId="20" xfId="0" applyFont="1" applyFill="1" applyBorder="1"/>
    <xf numFmtId="14" fontId="14" fillId="16" borderId="20" xfId="0" applyNumberFormat="1" applyFont="1" applyFill="1" applyBorder="1"/>
    <xf numFmtId="0" fontId="14" fillId="17" borderId="19" xfId="0" applyFont="1" applyFill="1" applyBorder="1"/>
    <xf numFmtId="0" fontId="14" fillId="17" borderId="20" xfId="0" applyFont="1" applyFill="1" applyBorder="1"/>
    <xf numFmtId="14" fontId="14" fillId="17" borderId="20" xfId="0" applyNumberFormat="1" applyFont="1" applyFill="1" applyBorder="1"/>
    <xf numFmtId="0" fontId="14" fillId="17" borderId="0" xfId="0" applyFont="1" applyFill="1"/>
    <xf numFmtId="14" fontId="29" fillId="16" borderId="20" xfId="0" applyNumberFormat="1" applyFont="1" applyFill="1" applyBorder="1"/>
    <xf numFmtId="0" fontId="14" fillId="4" borderId="19" xfId="0" applyFont="1" applyFill="1" applyBorder="1"/>
    <xf numFmtId="0" fontId="14" fillId="4" borderId="20" xfId="0" applyFont="1" applyFill="1" applyBorder="1"/>
    <xf numFmtId="14" fontId="14" fillId="4" borderId="20" xfId="0" applyNumberFormat="1" applyFont="1" applyFill="1" applyBorder="1"/>
    <xf numFmtId="0" fontId="14" fillId="4" borderId="0" xfId="0" applyFont="1" applyFill="1"/>
    <xf numFmtId="4" fontId="0" fillId="4" borderId="0" xfId="0" applyNumberFormat="1" applyFill="1"/>
    <xf numFmtId="0" fontId="14" fillId="4" borderId="1" xfId="0" applyFont="1" applyFill="1" applyBorder="1"/>
    <xf numFmtId="0" fontId="14" fillId="4" borderId="18" xfId="0" applyFont="1" applyFill="1" applyBorder="1"/>
    <xf numFmtId="14" fontId="14" fillId="4" borderId="18" xfId="0" applyNumberFormat="1" applyFont="1" applyFill="1" applyBorder="1"/>
    <xf numFmtId="14" fontId="14" fillId="0" borderId="0" xfId="0" applyNumberFormat="1" applyFont="1"/>
    <xf numFmtId="0" fontId="14" fillId="15" borderId="21" xfId="0" applyFont="1" applyFill="1" applyBorder="1"/>
    <xf numFmtId="0" fontId="14" fillId="15" borderId="22" xfId="0" applyFont="1" applyFill="1" applyBorder="1"/>
    <xf numFmtId="14" fontId="14" fillId="15" borderId="21" xfId="0" applyNumberFormat="1" applyFont="1" applyFill="1" applyBorder="1"/>
    <xf numFmtId="14" fontId="14" fillId="15" borderId="19" xfId="0" applyNumberFormat="1" applyFont="1" applyFill="1" applyBorder="1"/>
    <xf numFmtId="0" fontId="26" fillId="15" borderId="19" xfId="0" applyFont="1" applyFill="1" applyBorder="1"/>
    <xf numFmtId="0" fontId="26" fillId="15" borderId="20" xfId="0" applyFont="1" applyFill="1" applyBorder="1"/>
    <xf numFmtId="3" fontId="26" fillId="15" borderId="20" xfId="0" applyNumberFormat="1" applyFont="1" applyFill="1" applyBorder="1"/>
    <xf numFmtId="14" fontId="26" fillId="15" borderId="20" xfId="0" applyNumberFormat="1" applyFont="1" applyFill="1" applyBorder="1"/>
    <xf numFmtId="16" fontId="30" fillId="0" borderId="0" xfId="0" applyNumberFormat="1" applyFont="1"/>
    <xf numFmtId="4" fontId="26" fillId="0" borderId="0" xfId="0" applyNumberFormat="1" applyFont="1"/>
    <xf numFmtId="16" fontId="0" fillId="0" borderId="0" xfId="0" applyNumberFormat="1"/>
    <xf numFmtId="0" fontId="14" fillId="13" borderId="20" xfId="0" applyFont="1" applyFill="1" applyBorder="1"/>
    <xf numFmtId="16" fontId="14" fillId="0" borderId="0" xfId="0" applyNumberFormat="1" applyFont="1"/>
    <xf numFmtId="0" fontId="31" fillId="15" borderId="19" xfId="0" applyFont="1" applyFill="1" applyBorder="1"/>
    <xf numFmtId="0" fontId="31" fillId="15" borderId="20" xfId="0" applyFont="1" applyFill="1" applyBorder="1"/>
    <xf numFmtId="14" fontId="31" fillId="15" borderId="20" xfId="0" applyNumberFormat="1" applyFont="1" applyFill="1" applyBorder="1"/>
    <xf numFmtId="0" fontId="0" fillId="9" borderId="0" xfId="0" applyFill="1"/>
    <xf numFmtId="167" fontId="0" fillId="0" borderId="0" xfId="0" applyNumberFormat="1"/>
    <xf numFmtId="43" fontId="15" fillId="8" borderId="0" xfId="1" applyFont="1" applyFill="1" applyAlignment="1">
      <alignment horizontal="right"/>
    </xf>
    <xf numFmtId="43" fontId="15" fillId="0" borderId="0" xfId="1" applyFont="1" applyAlignment="1">
      <alignment horizontal="right"/>
    </xf>
    <xf numFmtId="43" fontId="11" fillId="0" borderId="0" xfId="1" applyFont="1" applyAlignment="1">
      <alignment horizontal="right"/>
    </xf>
    <xf numFmtId="43" fontId="20" fillId="0" borderId="0" xfId="1" applyFont="1"/>
    <xf numFmtId="16" fontId="14" fillId="4" borderId="0" xfId="0" applyNumberFormat="1" applyFont="1" applyFill="1"/>
    <xf numFmtId="0" fontId="31" fillId="4" borderId="19" xfId="0" applyFont="1" applyFill="1" applyBorder="1"/>
    <xf numFmtId="0" fontId="31" fillId="4" borderId="20" xfId="0" applyFont="1" applyFill="1" applyBorder="1"/>
    <xf numFmtId="14" fontId="31" fillId="4" borderId="20" xfId="0" applyNumberFormat="1" applyFont="1" applyFill="1" applyBorder="1"/>
    <xf numFmtId="43" fontId="15" fillId="0" borderId="0" xfId="1" applyFont="1" applyFill="1" applyBorder="1"/>
    <xf numFmtId="167" fontId="15" fillId="0" borderId="0" xfId="1" applyNumberFormat="1" applyFont="1" applyFill="1"/>
    <xf numFmtId="0" fontId="0" fillId="19" borderId="0" xfId="0" applyFill="1"/>
    <xf numFmtId="43" fontId="0" fillId="0" borderId="0" xfId="1" applyFont="1" applyFill="1" applyBorder="1"/>
    <xf numFmtId="14" fontId="14" fillId="15" borderId="22" xfId="0" applyNumberFormat="1" applyFont="1" applyFill="1" applyBorder="1"/>
    <xf numFmtId="0" fontId="25" fillId="0" borderId="25" xfId="0" applyFont="1" applyBorder="1"/>
    <xf numFmtId="0" fontId="25" fillId="0" borderId="26" xfId="0" applyFont="1" applyBorder="1" applyAlignment="1">
      <alignment horizontal="center"/>
    </xf>
    <xf numFmtId="3" fontId="25" fillId="0" borderId="26" xfId="0" applyNumberFormat="1" applyFont="1" applyBorder="1"/>
    <xf numFmtId="14" fontId="25" fillId="0" borderId="26" xfId="0" applyNumberFormat="1" applyFont="1" applyBorder="1"/>
    <xf numFmtId="14" fontId="25" fillId="0" borderId="27" xfId="0" applyNumberFormat="1" applyFont="1" applyBorder="1" applyAlignment="1">
      <alignment horizontal="center"/>
    </xf>
    <xf numFmtId="0" fontId="25" fillId="0" borderId="28" xfId="0" applyFont="1" applyBorder="1"/>
    <xf numFmtId="0" fontId="25" fillId="0" borderId="29" xfId="0" applyFont="1" applyBorder="1" applyAlignment="1">
      <alignment horizontal="center"/>
    </xf>
    <xf numFmtId="3" fontId="25" fillId="0" borderId="29" xfId="0" applyNumberFormat="1" applyFont="1" applyBorder="1"/>
    <xf numFmtId="14" fontId="25" fillId="0" borderId="29" xfId="0" applyNumberFormat="1" applyFont="1" applyBorder="1"/>
    <xf numFmtId="14" fontId="25" fillId="0" borderId="30" xfId="0" applyNumberFormat="1" applyFont="1" applyBorder="1" applyAlignment="1">
      <alignment horizontal="center"/>
    </xf>
    <xf numFmtId="43" fontId="0" fillId="0" borderId="0" xfId="1" applyFont="1" applyFill="1"/>
    <xf numFmtId="166" fontId="15" fillId="0" borderId="0" xfId="1" applyNumberFormat="1" applyFont="1" applyFill="1"/>
    <xf numFmtId="166" fontId="0" fillId="0" borderId="0" xfId="1" applyNumberFormat="1" applyFont="1" applyFill="1"/>
    <xf numFmtId="167" fontId="0" fillId="0" borderId="0" xfId="1" applyNumberFormat="1" applyFont="1" applyFill="1"/>
    <xf numFmtId="165" fontId="9" fillId="0" borderId="0" xfId="1" applyNumberFormat="1" applyFont="1"/>
    <xf numFmtId="43" fontId="15" fillId="0" borderId="0" xfId="1" applyFont="1" applyFill="1" applyAlignment="1">
      <alignment horizontal="right"/>
    </xf>
    <xf numFmtId="0" fontId="0" fillId="0" borderId="7" xfId="0" applyBorder="1"/>
    <xf numFmtId="14" fontId="31" fillId="15" borderId="19" xfId="0" applyNumberFormat="1" applyFont="1" applyFill="1" applyBorder="1"/>
    <xf numFmtId="0" fontId="14" fillId="15" borderId="1" xfId="0" applyFont="1" applyFill="1" applyBorder="1"/>
    <xf numFmtId="0" fontId="14" fillId="15" borderId="18" xfId="0" applyFont="1" applyFill="1" applyBorder="1"/>
    <xf numFmtId="14" fontId="14" fillId="15" borderId="18" xfId="0" applyNumberFormat="1" applyFont="1" applyFill="1" applyBorder="1"/>
    <xf numFmtId="43" fontId="20" fillId="0" borderId="0" xfId="1" applyFont="1" applyFill="1"/>
    <xf numFmtId="0" fontId="31" fillId="0" borderId="0" xfId="0" applyFont="1"/>
    <xf numFmtId="16" fontId="31" fillId="0" borderId="0" xfId="0" applyNumberFormat="1" applyFont="1"/>
    <xf numFmtId="43" fontId="20" fillId="0" borderId="0" xfId="1" applyFont="1" applyFill="1" applyBorder="1"/>
    <xf numFmtId="0" fontId="2" fillId="0" borderId="0" xfId="0" applyFont="1"/>
    <xf numFmtId="0" fontId="1" fillId="0" borderId="0" xfId="0" applyFont="1"/>
    <xf numFmtId="167" fontId="2" fillId="0" borderId="0" xfId="0" applyNumberFormat="1" applyFont="1"/>
    <xf numFmtId="0" fontId="32" fillId="0" borderId="0" xfId="0" applyFont="1"/>
    <xf numFmtId="43" fontId="15" fillId="0" borderId="0" xfId="1" applyFont="1" applyFill="1" applyBorder="1" applyAlignment="1">
      <alignment wrapText="1"/>
    </xf>
    <xf numFmtId="0" fontId="15" fillId="0" borderId="0" xfId="0" applyFont="1" applyAlignment="1">
      <alignment wrapText="1"/>
    </xf>
    <xf numFmtId="16" fontId="15" fillId="0" borderId="0" xfId="0" applyNumberFormat="1" applyFont="1"/>
    <xf numFmtId="43" fontId="15" fillId="0" borderId="0" xfId="0" applyNumberFormat="1" applyFont="1"/>
    <xf numFmtId="0" fontId="35" fillId="0" borderId="0" xfId="0" applyFont="1"/>
    <xf numFmtId="168" fontId="15" fillId="0" borderId="0" xfId="0" applyNumberFormat="1" applyFont="1" applyAlignment="1">
      <alignment wrapText="1"/>
    </xf>
    <xf numFmtId="0" fontId="19" fillId="0" borderId="0" xfId="0" applyFont="1"/>
    <xf numFmtId="0" fontId="21" fillId="12" borderId="0" xfId="0" applyFont="1" applyFill="1"/>
    <xf numFmtId="0" fontId="17" fillId="11" borderId="0" xfId="0" applyFont="1" applyFill="1" applyAlignment="1">
      <alignment horizontal="center" vertical="center"/>
    </xf>
    <xf numFmtId="43" fontId="17" fillId="11" borderId="0" xfId="1" applyFont="1" applyFill="1" applyAlignment="1">
      <alignment horizontal="center" vertical="center"/>
    </xf>
    <xf numFmtId="0" fontId="5" fillId="0" borderId="0" xfId="0" applyFont="1"/>
    <xf numFmtId="167" fontId="16" fillId="0" borderId="0" xfId="0" applyNumberFormat="1" applyFont="1" applyAlignment="1">
      <alignment horizontal="center"/>
    </xf>
    <xf numFmtId="43" fontId="11" fillId="0" borderId="0" xfId="1" applyFont="1" applyFill="1" applyBorder="1" applyAlignment="1">
      <alignment horizontal="right"/>
    </xf>
    <xf numFmtId="167" fontId="14" fillId="0" borderId="0" xfId="0" applyNumberFormat="1" applyFont="1"/>
    <xf numFmtId="0" fontId="33" fillId="0" borderId="0" xfId="0" applyFont="1"/>
    <xf numFmtId="4" fontId="44" fillId="0" borderId="0" xfId="0" applyNumberFormat="1" applyFont="1"/>
    <xf numFmtId="0" fontId="25" fillId="0" borderId="0" xfId="0" applyFont="1"/>
    <xf numFmtId="166" fontId="2" fillId="11" borderId="0" xfId="1" applyNumberFormat="1" applyFont="1" applyFill="1" applyAlignment="1">
      <alignment horizontal="center" vertical="center"/>
    </xf>
    <xf numFmtId="0" fontId="2" fillId="11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12" fillId="12" borderId="0" xfId="0" applyFont="1" applyFill="1" applyAlignment="1">
      <alignment horizontal="center" vertical="center"/>
    </xf>
    <xf numFmtId="167" fontId="2" fillId="11" borderId="0" xfId="1" applyNumberFormat="1" applyFont="1" applyFill="1" applyAlignment="1">
      <alignment horizontal="center" vertical="center"/>
    </xf>
    <xf numFmtId="0" fontId="7" fillId="2" borderId="31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/>
    </xf>
    <xf numFmtId="0" fontId="7" fillId="2" borderId="0" xfId="0" applyFont="1" applyFill="1"/>
    <xf numFmtId="0" fontId="7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0" fillId="0" borderId="21" xfId="0" applyBorder="1"/>
    <xf numFmtId="0" fontId="16" fillId="20" borderId="0" xfId="0" applyFont="1" applyFill="1"/>
    <xf numFmtId="43" fontId="16" fillId="20" borderId="0" xfId="0" applyNumberFormat="1" applyFont="1" applyFill="1"/>
    <xf numFmtId="43" fontId="20" fillId="0" borderId="0" xfId="1" applyFont="1" applyAlignment="1">
      <alignment wrapText="1"/>
    </xf>
    <xf numFmtId="167" fontId="15" fillId="4" borderId="0" xfId="1" applyNumberFormat="1" applyFont="1" applyFill="1"/>
    <xf numFmtId="43" fontId="15" fillId="0" borderId="0" xfId="1" applyFont="1" applyAlignment="1">
      <alignment wrapText="1"/>
    </xf>
    <xf numFmtId="0" fontId="45" fillId="0" borderId="0" xfId="0" applyFont="1"/>
    <xf numFmtId="0" fontId="46" fillId="0" borderId="0" xfId="0" applyFont="1"/>
    <xf numFmtId="43" fontId="0" fillId="0" borderId="0" xfId="1" applyFont="1" applyBorder="1" applyAlignment="1">
      <alignment wrapText="1"/>
    </xf>
    <xf numFmtId="43" fontId="0" fillId="0" borderId="0" xfId="1" applyFont="1" applyBorder="1"/>
    <xf numFmtId="14" fontId="0" fillId="0" borderId="0" xfId="0" applyNumberFormat="1" applyAlignment="1">
      <alignment wrapText="1"/>
    </xf>
    <xf numFmtId="0" fontId="31" fillId="0" borderId="0" xfId="0" quotePrefix="1" applyFont="1"/>
    <xf numFmtId="0" fontId="14" fillId="15" borderId="19" xfId="0" applyFont="1" applyFill="1" applyBorder="1" applyAlignment="1">
      <alignment wrapText="1"/>
    </xf>
    <xf numFmtId="43" fontId="15" fillId="0" borderId="0" xfId="1" applyFont="1" applyAlignment="1"/>
    <xf numFmtId="0" fontId="15" fillId="0" borderId="0" xfId="0" applyFont="1" applyAlignment="1"/>
    <xf numFmtId="43" fontId="0" fillId="0" borderId="0" xfId="1" applyFont="1" applyFill="1" applyAlignment="1"/>
    <xf numFmtId="0" fontId="0" fillId="0" borderId="0" xfId="0" applyBorder="1"/>
    <xf numFmtId="43" fontId="0" fillId="0" borderId="0" xfId="1" applyFont="1" applyFill="1" applyAlignment="1">
      <alignment wrapText="1"/>
    </xf>
    <xf numFmtId="0" fontId="0" fillId="0" borderId="0" xfId="0" applyAlignment="1"/>
    <xf numFmtId="14" fontId="14" fillId="15" borderId="33" xfId="0" applyNumberFormat="1" applyFont="1" applyFill="1" applyBorder="1"/>
    <xf numFmtId="0" fontId="14" fillId="15" borderId="4" xfId="0" applyFont="1" applyFill="1" applyBorder="1"/>
    <xf numFmtId="0" fontId="14" fillId="15" borderId="33" xfId="0" applyFont="1" applyFill="1" applyBorder="1"/>
    <xf numFmtId="0" fontId="31" fillId="15" borderId="33" xfId="0" applyFont="1" applyFill="1" applyBorder="1"/>
    <xf numFmtId="3" fontId="9" fillId="0" borderId="0" xfId="1" applyNumberFormat="1" applyFont="1"/>
    <xf numFmtId="0" fontId="31" fillId="0" borderId="0" xfId="0" applyFont="1" applyFill="1"/>
    <xf numFmtId="0" fontId="0" fillId="0" borderId="0" xfId="0" applyFill="1"/>
    <xf numFmtId="0" fontId="9" fillId="0" borderId="0" xfId="0" applyFont="1" applyFill="1"/>
    <xf numFmtId="165" fontId="9" fillId="0" borderId="0" xfId="1" applyNumberFormat="1" applyFont="1" applyFill="1" applyBorder="1" applyAlignment="1">
      <alignment wrapText="1"/>
    </xf>
    <xf numFmtId="0" fontId="15" fillId="0" borderId="0" xfId="0" applyFont="1" applyBorder="1"/>
    <xf numFmtId="0" fontId="16" fillId="0" borderId="0" xfId="0" applyFont="1" applyFill="1"/>
    <xf numFmtId="43" fontId="20" fillId="0" borderId="0" xfId="1" applyFont="1" applyFill="1" applyBorder="1" applyAlignment="1">
      <alignment wrapText="1"/>
    </xf>
    <xf numFmtId="14" fontId="0" fillId="4" borderId="0" xfId="0" applyNumberFormat="1" applyFill="1"/>
    <xf numFmtId="43" fontId="0" fillId="4" borderId="0" xfId="1" applyFont="1" applyFill="1" applyBorder="1"/>
    <xf numFmtId="167" fontId="0" fillId="4" borderId="0" xfId="1" applyNumberFormat="1" applyFont="1" applyFill="1"/>
    <xf numFmtId="166" fontId="15" fillId="4" borderId="0" xfId="1" applyNumberFormat="1" applyFont="1" applyFill="1"/>
    <xf numFmtId="0" fontId="0" fillId="0" borderId="0" xfId="0" applyAlignment="1">
      <alignment horizontal="left" wrapText="1"/>
    </xf>
    <xf numFmtId="0" fontId="0" fillId="0" borderId="33" xfId="0" applyBorder="1"/>
    <xf numFmtId="43" fontId="0" fillId="0" borderId="0" xfId="1" applyFont="1" applyAlignment="1">
      <alignment wrapText="1"/>
    </xf>
    <xf numFmtId="0" fontId="15" fillId="0" borderId="0" xfId="0" applyFont="1" applyFill="1"/>
    <xf numFmtId="0" fontId="17" fillId="0" borderId="0" xfId="0" applyFont="1" applyFill="1"/>
    <xf numFmtId="14" fontId="0" fillId="0" borderId="0" xfId="0" applyNumberFormat="1" applyFill="1"/>
    <xf numFmtId="167" fontId="0" fillId="4" borderId="0" xfId="0" applyNumberFormat="1" applyFill="1"/>
    <xf numFmtId="4" fontId="31" fillId="0" borderId="0" xfId="0" applyNumberFormat="1" applyFont="1" applyFill="1" applyBorder="1" applyAlignment="1"/>
    <xf numFmtId="167" fontId="0" fillId="0" borderId="0" xfId="0" applyNumberFormat="1" applyFill="1"/>
    <xf numFmtId="0" fontId="15" fillId="0" borderId="0" xfId="0" applyFont="1" applyAlignment="1">
      <alignment horizontal="left" wrapText="1"/>
    </xf>
    <xf numFmtId="43" fontId="15" fillId="0" borderId="0" xfId="1" applyFont="1" applyAlignment="1">
      <alignment horizontal="left"/>
    </xf>
    <xf numFmtId="10" fontId="0" fillId="0" borderId="0" xfId="0" applyNumberFormat="1"/>
    <xf numFmtId="10" fontId="10" fillId="0" borderId="0" xfId="0" applyNumberFormat="1" applyFont="1" applyAlignment="1">
      <alignment horizontal="center"/>
    </xf>
    <xf numFmtId="165" fontId="7" fillId="6" borderId="34" xfId="0" applyNumberFormat="1" applyFont="1" applyFill="1" applyBorder="1"/>
    <xf numFmtId="3" fontId="7" fillId="6" borderId="35" xfId="0" applyNumberFormat="1" applyFont="1" applyFill="1" applyBorder="1"/>
    <xf numFmtId="10" fontId="7" fillId="6" borderId="36" xfId="0" applyNumberFormat="1" applyFont="1" applyFill="1" applyBorder="1"/>
    <xf numFmtId="14" fontId="0" fillId="8" borderId="0" xfId="0" applyNumberFormat="1" applyFill="1" applyBorder="1" applyAlignment="1">
      <alignment horizontal="center"/>
    </xf>
    <xf numFmtId="14" fontId="0" fillId="10" borderId="0" xfId="0" applyNumberFormat="1" applyFill="1" applyBorder="1" applyAlignment="1">
      <alignment horizontal="center"/>
    </xf>
    <xf numFmtId="3" fontId="0" fillId="10" borderId="0" xfId="0" applyNumberFormat="1" applyFill="1" applyBorder="1" applyAlignment="1">
      <alignment horizontal="center"/>
    </xf>
    <xf numFmtId="10" fontId="0" fillId="10" borderId="38" xfId="0" applyNumberFormat="1" applyFill="1" applyBorder="1" applyAlignment="1">
      <alignment horizontal="center"/>
    </xf>
    <xf numFmtId="165" fontId="9" fillId="0" borderId="37" xfId="1" applyNumberFormat="1" applyFont="1" applyFill="1" applyBorder="1"/>
    <xf numFmtId="165" fontId="9" fillId="0" borderId="37" xfId="1" applyNumberFormat="1" applyFont="1" applyBorder="1"/>
    <xf numFmtId="165" fontId="9" fillId="0" borderId="0" xfId="1" applyNumberFormat="1" applyFont="1" applyBorder="1"/>
    <xf numFmtId="3" fontId="9" fillId="0" borderId="0" xfId="1" applyNumberFormat="1" applyFont="1" applyBorder="1"/>
    <xf numFmtId="0" fontId="0" fillId="0" borderId="37" xfId="0" applyBorder="1"/>
    <xf numFmtId="10" fontId="0" fillId="0" borderId="38" xfId="0" applyNumberFormat="1" applyBorder="1"/>
    <xf numFmtId="0" fontId="0" fillId="0" borderId="39" xfId="0" applyBorder="1"/>
    <xf numFmtId="0" fontId="0" fillId="0" borderId="40" xfId="0" applyBorder="1"/>
    <xf numFmtId="10" fontId="0" fillId="0" borderId="41" xfId="0" applyNumberFormat="1" applyBorder="1"/>
    <xf numFmtId="10" fontId="48" fillId="0" borderId="38" xfId="1" applyNumberFormat="1" applyFont="1" applyFill="1" applyBorder="1"/>
    <xf numFmtId="0" fontId="17" fillId="21" borderId="0" xfId="0" applyFont="1" applyFill="1"/>
    <xf numFmtId="0" fontId="15" fillId="23" borderId="0" xfId="0" applyFont="1" applyFill="1"/>
    <xf numFmtId="0" fontId="44" fillId="0" borderId="0" xfId="0" applyFont="1"/>
    <xf numFmtId="0" fontId="36" fillId="0" borderId="0" xfId="0" applyFont="1"/>
    <xf numFmtId="0" fontId="2" fillId="0" borderId="0" xfId="0" applyFont="1" applyAlignment="1">
      <alignment vertical="center"/>
    </xf>
    <xf numFmtId="17" fontId="0" fillId="0" borderId="0" xfId="0" applyNumberFormat="1" applyAlignment="1">
      <alignment wrapText="1"/>
    </xf>
    <xf numFmtId="0" fontId="49" fillId="0" borderId="0" xfId="0" applyFont="1"/>
    <xf numFmtId="0" fontId="50" fillId="14" borderId="1" xfId="0" applyFont="1" applyFill="1" applyBorder="1" applyAlignment="1">
      <alignment wrapText="1"/>
    </xf>
    <xf numFmtId="0" fontId="51" fillId="14" borderId="18" xfId="0" applyFont="1" applyFill="1" applyBorder="1" applyAlignment="1">
      <alignment wrapText="1"/>
    </xf>
    <xf numFmtId="0" fontId="52" fillId="14" borderId="18" xfId="0" applyFont="1" applyFill="1" applyBorder="1" applyAlignment="1">
      <alignment wrapText="1"/>
    </xf>
    <xf numFmtId="0" fontId="31" fillId="0" borderId="19" xfId="0" applyFont="1" applyFill="1" applyBorder="1" applyAlignment="1"/>
    <xf numFmtId="0" fontId="31" fillId="0" borderId="20" xfId="0" applyFont="1" applyFill="1" applyBorder="1" applyAlignment="1"/>
    <xf numFmtId="0" fontId="53" fillId="0" borderId="20" xfId="0" applyFont="1" applyFill="1" applyBorder="1" applyAlignment="1"/>
    <xf numFmtId="14" fontId="31" fillId="0" borderId="20" xfId="0" applyNumberFormat="1" applyFont="1" applyFill="1" applyBorder="1" applyAlignment="1"/>
    <xf numFmtId="0" fontId="9" fillId="0" borderId="0" xfId="0" applyFont="1" applyAlignment="1">
      <alignment wrapText="1"/>
    </xf>
    <xf numFmtId="0" fontId="54" fillId="0" borderId="0" xfId="0" applyFont="1"/>
    <xf numFmtId="43" fontId="20" fillId="0" borderId="0" xfId="1" applyFont="1" applyFill="1" applyAlignment="1">
      <alignment wrapText="1"/>
    </xf>
    <xf numFmtId="0" fontId="0" fillId="0" borderId="42" xfId="0" applyBorder="1"/>
    <xf numFmtId="0" fontId="0" fillId="0" borderId="43" xfId="0" applyBorder="1"/>
    <xf numFmtId="0" fontId="2" fillId="0" borderId="4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0" fillId="0" borderId="3" xfId="0" applyBorder="1"/>
    <xf numFmtId="0" fontId="2" fillId="0" borderId="4" xfId="0" applyFont="1" applyBorder="1"/>
    <xf numFmtId="14" fontId="7" fillId="2" borderId="3" xfId="0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wrapText="1"/>
    </xf>
    <xf numFmtId="14" fontId="7" fillId="2" borderId="3" xfId="0" applyNumberFormat="1" applyFont="1" applyFill="1" applyBorder="1" applyAlignment="1">
      <alignment horizontal="center" wrapText="1"/>
    </xf>
    <xf numFmtId="0" fontId="6" fillId="7" borderId="37" xfId="0" applyFont="1" applyFill="1" applyBorder="1" applyAlignment="1">
      <alignment horizontal="center" wrapText="1"/>
    </xf>
    <xf numFmtId="0" fontId="19" fillId="0" borderId="0" xfId="0" applyFont="1" applyBorder="1"/>
    <xf numFmtId="0" fontId="17" fillId="0" borderId="0" xfId="0" applyFont="1" applyBorder="1"/>
    <xf numFmtId="2" fontId="55" fillId="0" borderId="0" xfId="0" applyNumberFormat="1" applyFont="1" applyBorder="1" applyAlignment="1">
      <alignment horizontal="center"/>
    </xf>
    <xf numFmtId="8" fontId="0" fillId="0" borderId="0" xfId="1" applyNumberFormat="1" applyFont="1"/>
    <xf numFmtId="10" fontId="7" fillId="6" borderId="2" xfId="0" applyNumberFormat="1" applyFont="1" applyFill="1" applyBorder="1"/>
    <xf numFmtId="10" fontId="48" fillId="0" borderId="38" xfId="1" applyNumberFormat="1" applyFont="1" applyBorder="1"/>
    <xf numFmtId="8" fontId="44" fillId="0" borderId="0" xfId="0" applyNumberFormat="1" applyFont="1"/>
    <xf numFmtId="0" fontId="15" fillId="25" borderId="0" xfId="0" applyFont="1" applyFill="1"/>
    <xf numFmtId="0" fontId="31" fillId="0" borderId="0" xfId="0" applyFont="1" applyFill="1" applyBorder="1" applyAlignment="1"/>
    <xf numFmtId="0" fontId="53" fillId="0" borderId="0" xfId="0" applyFont="1" applyFill="1" applyBorder="1" applyAlignment="1"/>
    <xf numFmtId="0" fontId="31" fillId="0" borderId="0" xfId="0" applyFont="1" applyFill="1" applyBorder="1" applyAlignment="1">
      <alignment wrapText="1"/>
    </xf>
    <xf numFmtId="0" fontId="0" fillId="0" borderId="0" xfId="0" applyFill="1" applyBorder="1"/>
    <xf numFmtId="167" fontId="0" fillId="0" borderId="0" xfId="1" applyNumberFormat="1" applyFont="1" applyFill="1" applyBorder="1"/>
    <xf numFmtId="166" fontId="0" fillId="0" borderId="0" xfId="1" applyNumberFormat="1" applyFont="1" applyFill="1" applyBorder="1"/>
    <xf numFmtId="0" fontId="14" fillId="0" borderId="0" xfId="0" applyFont="1" applyFill="1" applyBorder="1"/>
    <xf numFmtId="167" fontId="0" fillId="0" borderId="0" xfId="0" applyNumberFormat="1" applyFill="1" applyBorder="1"/>
    <xf numFmtId="0" fontId="14" fillId="0" borderId="0" xfId="0" applyFont="1" applyFill="1" applyBorder="1" applyAlignment="1">
      <alignment wrapText="1"/>
    </xf>
    <xf numFmtId="167" fontId="0" fillId="0" borderId="0" xfId="0" applyNumberFormat="1" applyFill="1" applyBorder="1" applyAlignment="1">
      <alignment wrapText="1"/>
    </xf>
    <xf numFmtId="167" fontId="0" fillId="0" borderId="0" xfId="0" applyNumberFormat="1" applyFill="1" applyBorder="1" applyAlignment="1">
      <alignment horizontal="left" wrapText="1"/>
    </xf>
    <xf numFmtId="0" fontId="14" fillId="0" borderId="0" xfId="0" quotePrefix="1" applyFont="1" applyFill="1" applyBorder="1"/>
    <xf numFmtId="169" fontId="0" fillId="0" borderId="0" xfId="0" applyNumberFormat="1" applyFill="1" applyBorder="1"/>
    <xf numFmtId="0" fontId="0" fillId="26" borderId="0" xfId="0" applyFill="1" applyBorder="1" applyAlignment="1">
      <alignment wrapText="1"/>
    </xf>
    <xf numFmtId="0" fontId="0" fillId="26" borderId="0" xfId="0" applyFill="1" applyBorder="1"/>
    <xf numFmtId="43" fontId="17" fillId="8" borderId="0" xfId="1" applyNumberFormat="1" applyFont="1" applyFill="1"/>
    <xf numFmtId="43" fontId="17" fillId="11" borderId="0" xfId="1" applyNumberFormat="1" applyFont="1" applyFill="1" applyAlignment="1">
      <alignment horizontal="center" vertical="center"/>
    </xf>
    <xf numFmtId="43" fontId="15" fillId="0" borderId="0" xfId="1" applyNumberFormat="1" applyFont="1" applyFill="1"/>
    <xf numFmtId="43" fontId="17" fillId="0" borderId="0" xfId="0" applyNumberFormat="1" applyFont="1"/>
    <xf numFmtId="43" fontId="15" fillId="4" borderId="0" xfId="0" applyNumberFormat="1" applyFont="1" applyFill="1"/>
    <xf numFmtId="43" fontId="15" fillId="4" borderId="0" xfId="0" applyNumberFormat="1" applyFont="1" applyFill="1" applyAlignment="1">
      <alignment wrapText="1"/>
    </xf>
    <xf numFmtId="43" fontId="17" fillId="0" borderId="0" xfId="1" applyNumberFormat="1" applyFont="1"/>
    <xf numFmtId="43" fontId="15" fillId="4" borderId="0" xfId="1" applyNumberFormat="1" applyFont="1" applyFill="1"/>
    <xf numFmtId="43" fontId="17" fillId="4" borderId="0" xfId="0" applyNumberFormat="1" applyFont="1" applyFill="1"/>
    <xf numFmtId="43" fontId="19" fillId="0" borderId="0" xfId="0" applyNumberFormat="1" applyFont="1"/>
    <xf numFmtId="43" fontId="16" fillId="4" borderId="0" xfId="0" applyNumberFormat="1" applyFont="1" applyFill="1"/>
    <xf numFmtId="43" fontId="2" fillId="0" borderId="0" xfId="0" applyNumberFormat="1" applyFont="1"/>
    <xf numFmtId="43" fontId="17" fillId="4" borderId="0" xfId="1" applyNumberFormat="1" applyFont="1" applyFill="1"/>
    <xf numFmtId="43" fontId="17" fillId="0" borderId="0" xfId="1" applyNumberFormat="1" applyFont="1" applyFill="1"/>
    <xf numFmtId="43" fontId="0" fillId="4" borderId="0" xfId="0" applyNumberFormat="1" applyFill="1" applyBorder="1" applyAlignment="1">
      <alignment horizontal="left"/>
    </xf>
    <xf numFmtId="43" fontId="1" fillId="4" borderId="0" xfId="0" applyNumberFormat="1" applyFont="1" applyFill="1" applyAlignment="1">
      <alignment horizontal="left"/>
    </xf>
    <xf numFmtId="43" fontId="2" fillId="4" borderId="0" xfId="0" applyNumberFormat="1" applyFont="1" applyFill="1" applyAlignment="1">
      <alignment horizontal="left"/>
    </xf>
    <xf numFmtId="43" fontId="16" fillId="0" borderId="0" xfId="0" applyNumberFormat="1" applyFont="1"/>
    <xf numFmtId="43" fontId="15" fillId="4" borderId="0" xfId="1" applyNumberFormat="1" applyFont="1" applyFill="1" applyAlignment="1">
      <alignment wrapText="1"/>
    </xf>
    <xf numFmtId="43" fontId="15" fillId="0" borderId="0" xfId="1" applyNumberFormat="1" applyFont="1" applyFill="1" applyBorder="1"/>
    <xf numFmtId="43" fontId="17" fillId="0" borderId="0" xfId="1" applyNumberFormat="1" applyFont="1" applyFill="1" applyBorder="1"/>
    <xf numFmtId="43" fontId="17" fillId="22" borderId="0" xfId="1" applyNumberFormat="1" applyFont="1" applyFill="1" applyBorder="1"/>
    <xf numFmtId="43" fontId="47" fillId="4" borderId="0" xfId="0" applyNumberFormat="1" applyFont="1" applyFill="1"/>
    <xf numFmtId="43" fontId="15" fillId="22" borderId="0" xfId="1" applyNumberFormat="1" applyFont="1" applyFill="1"/>
    <xf numFmtId="43" fontId="16" fillId="0" borderId="0" xfId="0" applyNumberFormat="1" applyFont="1" applyFill="1"/>
    <xf numFmtId="43" fontId="15" fillId="4" borderId="0" xfId="1" applyNumberFormat="1" applyFont="1" applyFill="1" applyBorder="1"/>
    <xf numFmtId="43" fontId="17" fillId="22" borderId="0" xfId="0" applyNumberFormat="1" applyFont="1" applyFill="1"/>
    <xf numFmtId="43" fontId="17" fillId="22" borderId="0" xfId="1" applyNumberFormat="1" applyFont="1" applyFill="1"/>
    <xf numFmtId="43" fontId="17" fillId="4" borderId="0" xfId="1" applyNumberFormat="1" applyFont="1" applyFill="1" applyAlignment="1">
      <alignment wrapText="1"/>
    </xf>
    <xf numFmtId="43" fontId="17" fillId="22" borderId="0" xfId="1" applyNumberFormat="1" applyFont="1" applyFill="1" applyAlignment="1">
      <alignment wrapText="1"/>
    </xf>
    <xf numFmtId="43" fontId="0" fillId="4" borderId="0" xfId="0" applyNumberFormat="1" applyFill="1"/>
    <xf numFmtId="43" fontId="0" fillId="4" borderId="0" xfId="0" applyNumberFormat="1" applyFont="1" applyFill="1"/>
    <xf numFmtId="43" fontId="34" fillId="0" borderId="0" xfId="1" applyNumberFormat="1" applyFont="1" applyFill="1" applyBorder="1"/>
    <xf numFmtId="43" fontId="19" fillId="4" borderId="0" xfId="1" applyNumberFormat="1" applyFont="1" applyFill="1"/>
    <xf numFmtId="43" fontId="19" fillId="4" borderId="0" xfId="0" applyNumberFormat="1" applyFont="1" applyFill="1"/>
    <xf numFmtId="43" fontId="15" fillId="0" borderId="0" xfId="1" applyNumberFormat="1" applyFont="1"/>
    <xf numFmtId="43" fontId="0" fillId="4" borderId="0" xfId="0" applyNumberFormat="1" applyFill="1" applyAlignment="1">
      <alignment horizontal="left"/>
    </xf>
    <xf numFmtId="43" fontId="36" fillId="0" borderId="0" xfId="0" applyNumberFormat="1" applyFont="1"/>
    <xf numFmtId="43" fontId="35" fillId="0" borderId="0" xfId="0" applyNumberFormat="1" applyFont="1"/>
    <xf numFmtId="43" fontId="17" fillId="4" borderId="0" xfId="0" applyNumberFormat="1" applyFont="1" applyFill="1" applyAlignment="1">
      <alignment wrapText="1"/>
    </xf>
    <xf numFmtId="43" fontId="17" fillId="25" borderId="0" xfId="1" applyNumberFormat="1" applyFont="1" applyFill="1"/>
    <xf numFmtId="43" fontId="38" fillId="0" borderId="0" xfId="0" applyNumberFormat="1" applyFont="1"/>
    <xf numFmtId="43" fontId="37" fillId="0" borderId="0" xfId="1" applyNumberFormat="1" applyFont="1" applyFill="1"/>
    <xf numFmtId="43" fontId="17" fillId="24" borderId="0" xfId="0" applyNumberFormat="1" applyFont="1" applyFill="1"/>
    <xf numFmtId="43" fontId="39" fillId="0" borderId="0" xfId="0" applyNumberFormat="1" applyFont="1"/>
    <xf numFmtId="43" fontId="17" fillId="25" borderId="0" xfId="0" applyNumberFormat="1" applyFont="1" applyFill="1"/>
    <xf numFmtId="43" fontId="17" fillId="0" borderId="0" xfId="0" applyNumberFormat="1" applyFont="1" applyAlignment="1">
      <alignment wrapText="1"/>
    </xf>
    <xf numFmtId="43" fontId="54" fillId="0" borderId="0" xfId="0" applyNumberFormat="1" applyFont="1"/>
    <xf numFmtId="43" fontId="40" fillId="0" borderId="0" xfId="0" applyNumberFormat="1" applyFont="1"/>
    <xf numFmtId="43" fontId="41" fillId="0" borderId="0" xfId="0" applyNumberFormat="1" applyFont="1"/>
    <xf numFmtId="43" fontId="42" fillId="0" borderId="0" xfId="0" applyNumberFormat="1" applyFont="1"/>
    <xf numFmtId="43" fontId="43" fillId="0" borderId="0" xfId="0" applyNumberFormat="1" applyFont="1"/>
    <xf numFmtId="0" fontId="17" fillId="26" borderId="0" xfId="0" applyFont="1" applyFill="1"/>
    <xf numFmtId="43" fontId="2" fillId="0" borderId="0" xfId="1" applyFont="1" applyFill="1"/>
    <xf numFmtId="43" fontId="17" fillId="0" borderId="0" xfId="1" applyFont="1"/>
    <xf numFmtId="43" fontId="2" fillId="4" borderId="0" xfId="1" applyFont="1" applyFill="1"/>
    <xf numFmtId="43" fontId="15" fillId="4" borderId="0" xfId="1" applyFont="1" applyFill="1"/>
    <xf numFmtId="43" fontId="15" fillId="0" borderId="0" xfId="1" applyNumberFormat="1" applyFont="1" applyAlignment="1">
      <alignment wrapText="1"/>
    </xf>
    <xf numFmtId="0" fontId="56" fillId="0" borderId="7" xfId="0" applyFont="1" applyBorder="1"/>
    <xf numFmtId="167" fontId="0" fillId="0" borderId="0" xfId="1" applyNumberFormat="1" applyFont="1" applyFill="1" applyAlignment="1">
      <alignment wrapText="1"/>
    </xf>
    <xf numFmtId="43" fontId="0" fillId="0" borderId="0" xfId="1" applyFont="1" applyFill="1" applyBorder="1" applyAlignment="1">
      <alignment wrapText="1"/>
    </xf>
    <xf numFmtId="44" fontId="2" fillId="0" borderId="0" xfId="1" applyNumberFormat="1" applyFont="1"/>
    <xf numFmtId="44" fontId="2" fillId="11" borderId="0" xfId="1" applyNumberFormat="1" applyFont="1" applyFill="1" applyAlignment="1">
      <alignment horizontal="center" vertical="center"/>
    </xf>
    <xf numFmtId="44" fontId="15" fillId="0" borderId="0" xfId="1" applyNumberFormat="1" applyFont="1"/>
    <xf numFmtId="44" fontId="15" fillId="0" borderId="0" xfId="1" applyNumberFormat="1" applyFont="1" applyFill="1"/>
    <xf numFmtId="44" fontId="15" fillId="4" borderId="0" xfId="1" applyNumberFormat="1" applyFont="1" applyFill="1"/>
    <xf numFmtId="44" fontId="0" fillId="0" borderId="0" xfId="1" applyNumberFormat="1" applyFont="1"/>
    <xf numFmtId="44" fontId="0" fillId="0" borderId="0" xfId="0" applyNumberFormat="1" applyAlignment="1">
      <alignment horizontal="right"/>
    </xf>
    <xf numFmtId="0" fontId="15" fillId="4" borderId="0" xfId="0" applyFont="1" applyFill="1"/>
    <xf numFmtId="43" fontId="0" fillId="0" borderId="0" xfId="0" applyNumberFormat="1" applyAlignment="1">
      <alignment horizontal="right"/>
    </xf>
    <xf numFmtId="8" fontId="0" fillId="0" borderId="0" xfId="0" applyNumberFormat="1" applyAlignment="1">
      <alignment horizontal="right"/>
    </xf>
    <xf numFmtId="0" fontId="0" fillId="0" borderId="0" xfId="0" applyBorder="1" applyAlignment="1">
      <alignment horizontal="left"/>
    </xf>
    <xf numFmtId="169" fontId="0" fillId="0" borderId="0" xfId="1" applyNumberFormat="1" applyFont="1" applyBorder="1"/>
    <xf numFmtId="169" fontId="0" fillId="0" borderId="0" xfId="0" applyNumberFormat="1" applyBorder="1"/>
    <xf numFmtId="0" fontId="0" fillId="27" borderId="0" xfId="0" applyFill="1"/>
    <xf numFmtId="14" fontId="0" fillId="27" borderId="0" xfId="0" applyNumberFormat="1" applyFill="1"/>
    <xf numFmtId="0" fontId="15" fillId="27" borderId="0" xfId="0" applyFont="1" applyFill="1"/>
    <xf numFmtId="43" fontId="15" fillId="27" borderId="0" xfId="1" applyFont="1" applyFill="1"/>
    <xf numFmtId="0" fontId="20" fillId="27" borderId="0" xfId="0" applyFont="1" applyFill="1"/>
    <xf numFmtId="0" fontId="17" fillId="27" borderId="0" xfId="0" applyFont="1" applyFill="1"/>
    <xf numFmtId="43" fontId="17" fillId="27" borderId="0" xfId="1" applyNumberFormat="1" applyFont="1" applyFill="1"/>
    <xf numFmtId="0" fontId="20" fillId="4" borderId="0" xfId="0" applyFont="1" applyFill="1"/>
    <xf numFmtId="10" fontId="48" fillId="4" borderId="38" xfId="1" applyNumberFormat="1" applyFont="1" applyFill="1" applyBorder="1"/>
    <xf numFmtId="4" fontId="0" fillId="0" borderId="0" xfId="1" applyNumberFormat="1" applyFont="1"/>
    <xf numFmtId="0" fontId="0" fillId="28" borderId="0" xfId="0" applyFill="1" applyBorder="1"/>
    <xf numFmtId="0" fontId="9" fillId="26" borderId="0" xfId="0" applyFont="1" applyFill="1"/>
    <xf numFmtId="0" fontId="15" fillId="24" borderId="0" xfId="0" applyFont="1" applyFill="1"/>
    <xf numFmtId="0" fontId="16" fillId="24" borderId="0" xfId="0" applyFont="1" applyFill="1"/>
    <xf numFmtId="0" fontId="0" fillId="4" borderId="0" xfId="0" applyFill="1" applyBorder="1"/>
    <xf numFmtId="169" fontId="0" fillId="4" borderId="0" xfId="1" applyNumberFormat="1" applyFont="1" applyFill="1" applyBorder="1"/>
    <xf numFmtId="169" fontId="0" fillId="4" borderId="0" xfId="0" applyNumberFormat="1" applyFill="1" applyBorder="1"/>
    <xf numFmtId="44" fontId="0" fillId="4" borderId="0" xfId="1" applyNumberFormat="1" applyFont="1" applyFill="1"/>
    <xf numFmtId="0" fontId="15" fillId="29" borderId="0" xfId="0" applyFont="1" applyFill="1"/>
    <xf numFmtId="43" fontId="15" fillId="29" borderId="0" xfId="1" applyFont="1" applyFill="1"/>
    <xf numFmtId="0" fontId="20" fillId="29" borderId="0" xfId="0" applyFont="1" applyFill="1"/>
    <xf numFmtId="0" fontId="17" fillId="29" borderId="0" xfId="0" applyFont="1" applyFill="1"/>
    <xf numFmtId="17" fontId="0" fillId="4" borderId="0" xfId="0" applyNumberFormat="1" applyFill="1" applyAlignment="1">
      <alignment wrapText="1"/>
    </xf>
    <xf numFmtId="43" fontId="0" fillId="4" borderId="0" xfId="1" applyFont="1" applyFill="1"/>
    <xf numFmtId="167" fontId="15" fillId="4" borderId="0" xfId="0" applyNumberFormat="1" applyFont="1" applyFill="1"/>
    <xf numFmtId="0" fontId="14" fillId="4" borderId="0" xfId="0" applyFont="1" applyFill="1" applyBorder="1"/>
    <xf numFmtId="167" fontId="0" fillId="4" borderId="0" xfId="1" applyNumberFormat="1" applyFont="1" applyFill="1" applyBorder="1"/>
    <xf numFmtId="167" fontId="0" fillId="4" borderId="0" xfId="0" applyNumberFormat="1" applyFill="1" applyBorder="1"/>
    <xf numFmtId="166" fontId="0" fillId="4" borderId="0" xfId="1" applyNumberFormat="1" applyFont="1" applyFill="1"/>
    <xf numFmtId="0" fontId="17" fillId="4" borderId="0" xfId="0" applyFont="1" applyFill="1"/>
    <xf numFmtId="0" fontId="20" fillId="0" borderId="0" xfId="0" applyFont="1" applyFill="1"/>
    <xf numFmtId="43" fontId="17" fillId="0" borderId="0" xfId="1" applyFont="1" applyFill="1"/>
    <xf numFmtId="167" fontId="2" fillId="0" borderId="0" xfId="1" applyNumberFormat="1" applyFont="1" applyFill="1"/>
    <xf numFmtId="167" fontId="0" fillId="26" borderId="0" xfId="1" applyNumberFormat="1" applyFont="1" applyFill="1"/>
    <xf numFmtId="0" fontId="14" fillId="0" borderId="19" xfId="0" applyFont="1" applyBorder="1"/>
    <xf numFmtId="169" fontId="16" fillId="20" borderId="0" xfId="0" applyNumberFormat="1" applyFont="1" applyFill="1"/>
    <xf numFmtId="167" fontId="57" fillId="0" borderId="0" xfId="1" applyNumberFormat="1" applyFont="1"/>
    <xf numFmtId="0" fontId="25" fillId="0" borderId="0" xfId="0" applyFont="1" applyFill="1" applyBorder="1"/>
    <xf numFmtId="0" fontId="0" fillId="0" borderId="0" xfId="0" applyFill="1" applyBorder="1" applyAlignment="1">
      <alignment wrapText="1"/>
    </xf>
    <xf numFmtId="169" fontId="15" fillId="0" borderId="0" xfId="1" applyNumberFormat="1" applyFont="1"/>
    <xf numFmtId="169" fontId="15" fillId="4" borderId="0" xfId="1" applyNumberFormat="1" applyFont="1" applyFill="1"/>
    <xf numFmtId="169" fontId="17" fillId="4" borderId="0" xfId="1" applyNumberFormat="1" applyFont="1" applyFill="1"/>
    <xf numFmtId="169" fontId="17" fillId="27" borderId="0" xfId="1" applyNumberFormat="1" applyFont="1" applyFill="1"/>
    <xf numFmtId="169" fontId="15" fillId="0" borderId="0" xfId="1" applyNumberFormat="1" applyFont="1" applyFill="1"/>
    <xf numFmtId="169" fontId="15" fillId="0" borderId="0" xfId="1" applyNumberFormat="1" applyFont="1" applyFill="1" applyAlignment="1">
      <alignment horizontal="right"/>
    </xf>
    <xf numFmtId="169" fontId="15" fillId="4" borderId="0" xfId="1" applyNumberFormat="1" applyFont="1" applyFill="1" applyAlignment="1">
      <alignment wrapText="1"/>
    </xf>
    <xf numFmtId="169" fontId="15" fillId="4" borderId="0" xfId="1" applyNumberFormat="1" applyFont="1" applyFill="1" applyBorder="1"/>
    <xf numFmtId="169" fontId="17" fillId="4" borderId="0" xfId="1" applyNumberFormat="1" applyFont="1" applyFill="1" applyBorder="1"/>
    <xf numFmtId="167" fontId="57" fillId="0" borderId="0" xfId="0" applyNumberFormat="1" applyFont="1"/>
    <xf numFmtId="167" fontId="0" fillId="0" borderId="0" xfId="1" applyNumberFormat="1" applyFont="1" applyBorder="1"/>
    <xf numFmtId="169" fontId="0" fillId="0" borderId="0" xfId="1" applyNumberFormat="1" applyFont="1" applyFill="1" applyBorder="1"/>
    <xf numFmtId="0" fontId="14" fillId="0" borderId="1" xfId="0" applyFont="1" applyBorder="1"/>
    <xf numFmtId="0" fontId="47" fillId="0" borderId="0" xfId="0" applyFont="1"/>
    <xf numFmtId="169" fontId="16" fillId="4" borderId="0" xfId="0" applyNumberFormat="1" applyFont="1" applyFill="1"/>
    <xf numFmtId="2" fontId="0" fillId="0" borderId="0" xfId="1" applyNumberFormat="1" applyFont="1" applyFill="1"/>
    <xf numFmtId="169" fontId="0" fillId="0" borderId="0" xfId="1" applyNumberFormat="1" applyFont="1" applyFill="1"/>
    <xf numFmtId="167" fontId="0" fillId="22" borderId="0" xfId="1" applyNumberFormat="1" applyFont="1" applyFill="1"/>
    <xf numFmtId="0" fontId="19" fillId="0" borderId="0" xfId="0" applyFont="1" applyFill="1"/>
    <xf numFmtId="167" fontId="0" fillId="25" borderId="0" xfId="0" applyNumberFormat="1" applyFill="1" applyBorder="1"/>
    <xf numFmtId="169" fontId="0" fillId="25" borderId="0" xfId="0" applyNumberFormat="1" applyFill="1" applyBorder="1"/>
    <xf numFmtId="0" fontId="56" fillId="0" borderId="0" xfId="0" applyFont="1"/>
    <xf numFmtId="0" fontId="0" fillId="30" borderId="0" xfId="0" applyFill="1"/>
    <xf numFmtId="0" fontId="0" fillId="0" borderId="0" xfId="0" applyBorder="1" applyAlignment="1">
      <alignment wrapText="1"/>
    </xf>
    <xf numFmtId="167" fontId="17" fillId="8" borderId="0" xfId="1" applyNumberFormat="1" applyFont="1" applyFill="1"/>
    <xf numFmtId="167" fontId="17" fillId="11" borderId="0" xfId="1" applyNumberFormat="1" applyFont="1" applyFill="1" applyAlignment="1">
      <alignment horizontal="center" vertical="center"/>
    </xf>
    <xf numFmtId="0" fontId="15" fillId="31" borderId="0" xfId="0" applyFont="1" applyFill="1"/>
    <xf numFmtId="0" fontId="14" fillId="0" borderId="0" xfId="0" applyFont="1" applyBorder="1"/>
    <xf numFmtId="167" fontId="0" fillId="24" borderId="0" xfId="0" applyNumberFormat="1" applyFill="1" applyBorder="1"/>
    <xf numFmtId="0" fontId="25" fillId="0" borderId="0" xfId="0" applyFont="1" applyBorder="1"/>
    <xf numFmtId="0" fontId="14" fillId="0" borderId="0" xfId="0" applyFont="1" applyBorder="1" applyAlignment="1">
      <alignment wrapText="1"/>
    </xf>
    <xf numFmtId="169" fontId="0" fillId="24" borderId="0" xfId="0" applyNumberFormat="1" applyFill="1" applyBorder="1"/>
    <xf numFmtId="14" fontId="15" fillId="0" borderId="0" xfId="0" applyNumberFormat="1" applyFont="1"/>
    <xf numFmtId="0" fontId="0" fillId="12" borderId="0" xfId="0" applyFill="1"/>
    <xf numFmtId="43" fontId="0" fillId="12" borderId="0" xfId="1" applyFont="1" applyFill="1" applyBorder="1"/>
    <xf numFmtId="14" fontId="0" fillId="12" borderId="0" xfId="0" applyNumberFormat="1" applyFill="1"/>
    <xf numFmtId="43" fontId="0" fillId="12" borderId="0" xfId="1" applyFont="1" applyFill="1"/>
    <xf numFmtId="167" fontId="15" fillId="12" borderId="0" xfId="0" applyNumberFormat="1" applyFont="1" applyFill="1"/>
    <xf numFmtId="0" fontId="15" fillId="12" borderId="0" xfId="0" applyFont="1" applyFill="1"/>
    <xf numFmtId="43" fontId="15" fillId="12" borderId="0" xfId="1" applyFont="1" applyFill="1"/>
    <xf numFmtId="43" fontId="20" fillId="12" borderId="0" xfId="1" applyFont="1" applyFill="1"/>
    <xf numFmtId="0" fontId="49" fillId="12" borderId="0" xfId="0" applyFont="1" applyFill="1"/>
    <xf numFmtId="43" fontId="15" fillId="12" borderId="0" xfId="0" applyNumberFormat="1" applyFont="1" applyFill="1"/>
    <xf numFmtId="43" fontId="0" fillId="0" borderId="0" xfId="1" applyNumberFormat="1" applyFont="1"/>
    <xf numFmtId="167" fontId="17" fillId="4" borderId="0" xfId="1" applyNumberFormat="1" applyFont="1" applyFill="1"/>
    <xf numFmtId="0" fontId="44" fillId="0" borderId="0" xfId="0" applyFont="1" applyFill="1"/>
    <xf numFmtId="43" fontId="11" fillId="0" borderId="0" xfId="1" applyFont="1" applyFill="1" applyAlignment="1">
      <alignment horizontal="right"/>
    </xf>
    <xf numFmtId="8" fontId="0" fillId="0" borderId="0" xfId="0" applyNumberFormat="1" applyFill="1" applyAlignment="1">
      <alignment horizontal="right"/>
    </xf>
    <xf numFmtId="0" fontId="14" fillId="0" borderId="20" xfId="0" applyFont="1" applyBorder="1"/>
    <xf numFmtId="0" fontId="58" fillId="0" borderId="0" xfId="0" applyFont="1"/>
    <xf numFmtId="0" fontId="9" fillId="32" borderId="0" xfId="0" applyFont="1" applyFill="1"/>
    <xf numFmtId="0" fontId="0" fillId="32" borderId="0" xfId="0" applyFill="1"/>
    <xf numFmtId="17" fontId="0" fillId="0" borderId="0" xfId="0" applyNumberFormat="1" applyFill="1" applyAlignment="1">
      <alignment wrapText="1"/>
    </xf>
    <xf numFmtId="167" fontId="15" fillId="0" borderId="0" xfId="0" applyNumberFormat="1" applyFont="1" applyFill="1"/>
    <xf numFmtId="166" fontId="2" fillId="0" borderId="0" xfId="1" applyNumberFormat="1" applyFont="1" applyFill="1"/>
    <xf numFmtId="0" fontId="14" fillId="0" borderId="18" xfId="0" applyFont="1" applyBorder="1" applyAlignment="1">
      <alignment horizontal="left"/>
    </xf>
    <xf numFmtId="0" fontId="14" fillId="0" borderId="20" xfId="0" applyFont="1" applyBorder="1" applyAlignment="1">
      <alignment horizontal="left"/>
    </xf>
    <xf numFmtId="0" fontId="0" fillId="13" borderId="0" xfId="0" applyFill="1"/>
    <xf numFmtId="14" fontId="0" fillId="13" borderId="0" xfId="0" applyNumberFormat="1" applyFill="1"/>
    <xf numFmtId="0" fontId="18" fillId="0" borderId="0" xfId="0" applyFont="1" applyFill="1" applyAlignment="1">
      <alignment horizontal="center"/>
    </xf>
    <xf numFmtId="14" fontId="0" fillId="32" borderId="0" xfId="0" applyNumberFormat="1" applyFill="1"/>
    <xf numFmtId="0" fontId="15" fillId="32" borderId="0" xfId="0" applyFont="1" applyFill="1"/>
    <xf numFmtId="0" fontId="20" fillId="32" borderId="0" xfId="0" applyFont="1" applyFill="1"/>
    <xf numFmtId="43" fontId="17" fillId="32" borderId="0" xfId="1" applyNumberFormat="1" applyFont="1" applyFill="1"/>
    <xf numFmtId="169" fontId="15" fillId="32" borderId="0" xfId="1" applyNumberFormat="1" applyFont="1" applyFill="1"/>
    <xf numFmtId="169" fontId="16" fillId="0" borderId="0" xfId="0" applyNumberFormat="1" applyFont="1" applyFill="1"/>
    <xf numFmtId="44" fontId="0" fillId="0" borderId="0" xfId="1" applyNumberFormat="1" applyFont="1" applyFill="1"/>
    <xf numFmtId="0" fontId="0" fillId="33" borderId="0" xfId="0" applyFill="1"/>
    <xf numFmtId="14" fontId="0" fillId="33" borderId="0" xfId="0" applyNumberFormat="1" applyFill="1"/>
    <xf numFmtId="0" fontId="58" fillId="4" borderId="0" xfId="0" applyFont="1" applyFill="1"/>
    <xf numFmtId="0" fontId="0" fillId="34" borderId="0" xfId="0" applyFill="1"/>
    <xf numFmtId="14" fontId="0" fillId="34" borderId="0" xfId="0" applyNumberFormat="1" applyFill="1"/>
    <xf numFmtId="167" fontId="0" fillId="4" borderId="33" xfId="0" applyNumberFormat="1" applyFill="1" applyBorder="1"/>
    <xf numFmtId="170" fontId="0" fillId="0" borderId="0" xfId="1" applyNumberFormat="1" applyFont="1"/>
    <xf numFmtId="0" fontId="0" fillId="26" borderId="0" xfId="0" applyFill="1"/>
    <xf numFmtId="14" fontId="0" fillId="26" borderId="0" xfId="0" applyNumberFormat="1" applyFill="1"/>
    <xf numFmtId="0" fontId="59" fillId="35" borderId="1" xfId="0" applyFont="1" applyFill="1" applyBorder="1" applyAlignment="1">
      <alignment vertical="top"/>
    </xf>
    <xf numFmtId="0" fontId="59" fillId="35" borderId="18" xfId="0" applyFont="1" applyFill="1" applyBorder="1" applyAlignment="1">
      <alignment vertical="top"/>
    </xf>
    <xf numFmtId="0" fontId="14" fillId="0" borderId="19" xfId="0" applyFont="1" applyBorder="1" applyAlignment="1">
      <alignment vertical="center"/>
    </xf>
    <xf numFmtId="3" fontId="29" fillId="0" borderId="20" xfId="0" applyNumberFormat="1" applyFont="1" applyBorder="1" applyAlignment="1">
      <alignment vertical="top"/>
    </xf>
    <xf numFmtId="10" fontId="60" fillId="36" borderId="33" xfId="0" applyNumberFormat="1" applyFont="1" applyFill="1" applyBorder="1" applyAlignment="1">
      <alignment vertical="top"/>
    </xf>
    <xf numFmtId="0" fontId="0" fillId="0" borderId="0" xfId="0" applyAlignment="1">
      <alignment vertical="top"/>
    </xf>
    <xf numFmtId="0" fontId="62" fillId="35" borderId="44" xfId="0" applyFont="1" applyFill="1" applyBorder="1" applyAlignment="1">
      <alignment horizontal="center" vertical="top"/>
    </xf>
    <xf numFmtId="0" fontId="62" fillId="35" borderId="45" xfId="0" applyFont="1" applyFill="1" applyBorder="1" applyAlignment="1">
      <alignment horizontal="center" vertical="top"/>
    </xf>
    <xf numFmtId="0" fontId="63" fillId="0" borderId="33" xfId="0" applyFont="1" applyBorder="1" applyAlignment="1">
      <alignment vertical="top" wrapText="1"/>
    </xf>
    <xf numFmtId="3" fontId="61" fillId="0" borderId="33" xfId="0" applyNumberFormat="1" applyFont="1" applyBorder="1" applyAlignment="1">
      <alignment vertical="top"/>
    </xf>
    <xf numFmtId="0" fontId="63" fillId="0" borderId="3" xfId="0" applyFont="1" applyBorder="1" applyAlignment="1">
      <alignment vertical="top" wrapText="1"/>
    </xf>
    <xf numFmtId="3" fontId="61" fillId="0" borderId="3" xfId="0" applyNumberFormat="1" applyFont="1" applyBorder="1" applyAlignment="1">
      <alignment vertical="top"/>
    </xf>
    <xf numFmtId="10" fontId="60" fillId="36" borderId="3" xfId="0" applyNumberFormat="1" applyFont="1" applyFill="1" applyBorder="1" applyAlignment="1">
      <alignment vertical="top"/>
    </xf>
    <xf numFmtId="3" fontId="61" fillId="0" borderId="46" xfId="0" applyNumberFormat="1" applyFont="1" applyBorder="1" applyAlignment="1">
      <alignment vertical="top"/>
    </xf>
    <xf numFmtId="169" fontId="42" fillId="4" borderId="0" xfId="1" applyNumberFormat="1" applyFont="1" applyFill="1"/>
    <xf numFmtId="169" fontId="43" fillId="4" borderId="0" xfId="1" applyNumberFormat="1" applyFont="1" applyFill="1"/>
    <xf numFmtId="167" fontId="43" fillId="4" borderId="0" xfId="1" applyNumberFormat="1" applyFont="1" applyFill="1"/>
    <xf numFmtId="43" fontId="42" fillId="4" borderId="0" xfId="0" applyNumberFormat="1" applyFont="1" applyFill="1"/>
    <xf numFmtId="43" fontId="42" fillId="4" borderId="0" xfId="1" applyNumberFormat="1" applyFont="1" applyFill="1"/>
    <xf numFmtId="43" fontId="43" fillId="4" borderId="0" xfId="0" applyNumberFormat="1" applyFont="1" applyFill="1"/>
    <xf numFmtId="43" fontId="43" fillId="4" borderId="0" xfId="1" applyNumberFormat="1" applyFont="1" applyFill="1"/>
    <xf numFmtId="43" fontId="64" fillId="4" borderId="0" xfId="1" applyFont="1" applyFill="1"/>
    <xf numFmtId="43" fontId="64" fillId="4" borderId="0" xfId="0" applyNumberFormat="1" applyFont="1" applyFill="1" applyAlignment="1">
      <alignment horizontal="left"/>
    </xf>
    <xf numFmtId="167" fontId="42" fillId="4" borderId="0" xfId="1" applyNumberFormat="1" applyFont="1" applyFill="1"/>
    <xf numFmtId="167" fontId="64" fillId="4" borderId="0" xfId="0" applyNumberFormat="1" applyFont="1" applyFill="1"/>
    <xf numFmtId="169" fontId="43" fillId="0" borderId="0" xfId="1" applyNumberFormat="1" applyFont="1" applyFill="1"/>
    <xf numFmtId="169" fontId="42" fillId="4" borderId="0" xfId="1" applyNumberFormat="1" applyFont="1" applyFill="1" applyBorder="1"/>
    <xf numFmtId="169" fontId="65" fillId="4" borderId="0" xfId="1" applyNumberFormat="1" applyFont="1" applyFill="1"/>
    <xf numFmtId="169" fontId="66" fillId="4" borderId="0" xfId="1" applyNumberFormat="1" applyFont="1" applyFill="1"/>
    <xf numFmtId="43" fontId="65" fillId="4" borderId="0" xfId="0" applyNumberFormat="1" applyFont="1" applyFill="1"/>
    <xf numFmtId="43" fontId="65" fillId="4" borderId="0" xfId="1" applyNumberFormat="1" applyFont="1" applyFill="1"/>
    <xf numFmtId="43" fontId="66" fillId="4" borderId="0" xfId="1" applyNumberFormat="1" applyFont="1" applyFill="1"/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wrapText="1"/>
    </xf>
    <xf numFmtId="10" fontId="0" fillId="0" borderId="0" xfId="0" applyNumberFormat="1" applyAlignment="1">
      <alignment horizontal="center"/>
    </xf>
    <xf numFmtId="43" fontId="0" fillId="34" borderId="0" xfId="1" applyFont="1" applyFill="1"/>
    <xf numFmtId="43" fontId="0" fillId="34" borderId="0" xfId="1" applyFont="1" applyFill="1" applyBorder="1"/>
    <xf numFmtId="0" fontId="44" fillId="34" borderId="0" xfId="0" applyFont="1" applyFill="1"/>
    <xf numFmtId="169" fontId="0" fillId="0" borderId="0" xfId="1" applyNumberFormat="1" applyFont="1"/>
    <xf numFmtId="164" fontId="67" fillId="0" borderId="0" xfId="2" applyFont="1" applyFill="1" applyBorder="1"/>
    <xf numFmtId="169" fontId="67" fillId="0" borderId="0" xfId="2" applyNumberFormat="1" applyFont="1" applyFill="1" applyBorder="1"/>
    <xf numFmtId="169" fontId="0" fillId="0" borderId="0" xfId="2" applyNumberFormat="1" applyFont="1" applyFill="1" applyBorder="1"/>
    <xf numFmtId="0" fontId="67" fillId="0" borderId="0" xfId="0" applyFont="1" applyBorder="1"/>
    <xf numFmtId="0" fontId="67" fillId="0" borderId="0" xfId="0" applyFont="1" applyBorder="1" applyAlignment="1">
      <alignment wrapText="1"/>
    </xf>
    <xf numFmtId="0" fontId="68" fillId="0" borderId="0" xfId="0" applyFont="1" applyFill="1" applyBorder="1" applyAlignment="1"/>
    <xf numFmtId="0" fontId="6" fillId="7" borderId="0" xfId="0" applyFont="1" applyFill="1" applyAlignment="1">
      <alignment horizontal="center" wrapText="1"/>
    </xf>
    <xf numFmtId="3" fontId="69" fillId="0" borderId="0" xfId="0" applyNumberFormat="1" applyFont="1"/>
    <xf numFmtId="3" fontId="68" fillId="0" borderId="0" xfId="0" applyNumberFormat="1" applyFont="1"/>
    <xf numFmtId="3" fontId="45" fillId="0" borderId="0" xfId="0" applyNumberFormat="1" applyFont="1"/>
    <xf numFmtId="0" fontId="68" fillId="0" borderId="0" xfId="0" applyFont="1"/>
    <xf numFmtId="3" fontId="70" fillId="0" borderId="0" xfId="0" applyNumberFormat="1" applyFont="1"/>
    <xf numFmtId="3" fontId="68" fillId="37" borderId="0" xfId="0" applyNumberFormat="1" applyFont="1" applyFill="1"/>
    <xf numFmtId="3" fontId="71" fillId="0" borderId="0" xfId="0" applyNumberFormat="1" applyFont="1"/>
    <xf numFmtId="0" fontId="70" fillId="0" borderId="0" xfId="0" applyFont="1"/>
    <xf numFmtId="3" fontId="72" fillId="0" borderId="0" xfId="0" applyNumberFormat="1" applyFont="1"/>
    <xf numFmtId="0" fontId="69" fillId="0" borderId="0" xfId="0" applyFont="1"/>
    <xf numFmtId="3" fontId="70" fillId="37" borderId="0" xfId="0" applyNumberFormat="1" applyFont="1" applyFill="1"/>
    <xf numFmtId="0" fontId="0" fillId="38" borderId="0" xfId="0" applyFill="1"/>
    <xf numFmtId="3" fontId="0" fillId="38" borderId="0" xfId="0" applyNumberFormat="1" applyFill="1"/>
    <xf numFmtId="165" fontId="0" fillId="38" borderId="0" xfId="0" applyNumberFormat="1" applyFill="1"/>
    <xf numFmtId="10" fontId="60" fillId="0" borderId="3" xfId="0" applyNumberFormat="1" applyFont="1" applyFill="1" applyBorder="1" applyAlignment="1">
      <alignment vertical="top"/>
    </xf>
    <xf numFmtId="10" fontId="60" fillId="0" borderId="33" xfId="0" applyNumberFormat="1" applyFont="1" applyFill="1" applyBorder="1" applyAlignment="1">
      <alignment vertical="top"/>
    </xf>
    <xf numFmtId="0" fontId="61" fillId="0" borderId="2" xfId="0" applyFont="1" applyBorder="1" applyAlignment="1">
      <alignment horizontal="center" vertical="top"/>
    </xf>
    <xf numFmtId="0" fontId="27" fillId="3" borderId="4" xfId="0" applyFont="1" applyFill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32"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bottom" textRotation="0" wrapText="0" indent="0" justifyLastLine="0" shrinkToFit="0" readingOrder="0"/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bottom" textRotation="0" wrapText="0" indent="0" justifyLastLine="0" shrinkToFit="0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lonso Valenzuela" id="{53415757-F0FF-446E-BDFD-50D61A996E5F}" userId="2ff9087a1ee15582" providerId="Windows Live"/>
  <person displayName="Marcela Molina" id="{04049638-8E6E-4CF7-8C01-08C537397A6B}" userId="513d6d7d0ad53551" providerId="Windows Live"/>
  <person displayName="Mariela Ramos" id="{B48EB5EE-EC5B-450A-9EB2-5D3C3206D9F4}" userId="badb6d3d9c71445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6057.666116898145" createdVersion="8" refreshedVersion="8" minRefreshableVersion="3" recordCount="333" xr:uid="{45B11F29-38F0-435A-AAA5-543F4F11B23E}">
  <cacheSource type="worksheet">
    <worksheetSource ref="D6:CZ339" sheet="PRESUPUESTOvsBITACORA"/>
  </cacheSource>
  <cacheFields count="101">
    <cacheField name="PRESUPUESTO" numFmtId="0">
      <sharedItems count="46">
        <s v="NOMINA SUCURSAL"/>
        <s v="NOMINA ADMON"/>
        <s v="VACACIONES/FINIQUITOS"/>
        <s v="AGUINALDO"/>
        <s v="IMSS/INFONAVIT"/>
        <s v="RENTAS"/>
        <s v="DONATIVOS"/>
        <s v="GAS"/>
        <s v="TELEFONIA"/>
        <s v="ALARMA"/>
        <s v="ENERGIA ELECTRICA"/>
        <s v="JMAS"/>
        <s v="RECOLECCION DE BASURA"/>
        <s v="FUMIGACION"/>
        <s v="IMAGEN VISUAL"/>
        <s v="PUBLICIDAD"/>
        <s v="MKT"/>
        <s v="CAPACITACION"/>
        <s v="REDES"/>
        <s v="FONDO Y REPOSICION"/>
        <s v="VIATICOS"/>
        <s v="MTTO DE EDIFICIO"/>
        <s v="COMBUSTIBLE"/>
        <s v="SGM"/>
        <s v="INSUMOS"/>
        <s v="UBER"/>
        <s v="SEGURO"/>
        <s v="MTTO EQ DE TRANSPORTE"/>
        <s v="MTTO EQ DE COMPUTO"/>
        <s v="PAQUETERIA"/>
        <s v="CURSOS Y CAPACITACIONES"/>
        <s v="HONORARIOS"/>
        <s v="CUOTAS Y SUSCRIPCIONES"/>
        <s v="TELEPEAJE"/>
        <s v="COMISIONES BANCARIAS"/>
        <s v="SOLUONE"/>
        <s v="ADQ DE EQ TECNOLOGICO"/>
        <s v="SINETI"/>
        <s v="POSADAS"/>
        <s v="FALTANTES"/>
        <s v="GDNC"/>
        <s v="OTROS GASTOS"/>
        <s v="MTTO MOBILIARIO"/>
        <s v="OTROS GASTOS "/>
        <s v="ACTIVACION "/>
        <s v="SEGURIDAD"/>
      </sharedItems>
    </cacheField>
    <cacheField name="CONCEPTO" numFmtId="0">
      <sharedItems/>
    </cacheField>
    <cacheField name="Pres FEB" numFmtId="165">
      <sharedItems containsSemiMixedTypes="0" containsString="0" containsNumber="1" minValue="0" maxValue="400000"/>
    </cacheField>
    <cacheField name="Sem 1" numFmtId="165">
      <sharedItems containsSemiMixedTypes="0" containsString="0" containsNumber="1" minValue="0" maxValue="138305.91"/>
    </cacheField>
    <cacheField name="Sem 2" numFmtId="165">
      <sharedItems containsSemiMixedTypes="0" containsString="0" containsNumber="1" minValue="0" maxValue="136560.29"/>
    </cacheField>
    <cacheField name="Sem 3" numFmtId="165">
      <sharedItems containsSemiMixedTypes="0" containsString="0" containsNumber="1" minValue="0" maxValue="364002.13999999996"/>
    </cacheField>
    <cacheField name="Sem 4" numFmtId="165">
      <sharedItems containsSemiMixedTypes="0" containsString="0" containsNumber="1" minValue="0" maxValue="102040.58"/>
    </cacheField>
    <cacheField name="Real FEB" numFmtId="165">
      <sharedItems containsSemiMixedTypes="0" containsString="0" containsNumber="1" minValue="0" maxValue="371852.13999999996"/>
    </cacheField>
    <cacheField name="Difer FEB" numFmtId="3">
      <sharedItems containsSemiMixedTypes="0" containsString="0" containsNumber="1" minValue="-55836.429999999993" maxValue="143590"/>
    </cacheField>
    <cacheField name="% Avance" numFmtId="10">
      <sharedItems containsSemiMixedTypes="0" containsString="0" containsNumber="1" minValue="0" maxValue="18.880298245614036"/>
    </cacheField>
    <cacheField name="Pres MAR" numFmtId="165">
      <sharedItems containsSemiMixedTypes="0" containsString="0" containsNumber="1" minValue="0" maxValue="1300000"/>
    </cacheField>
    <cacheField name="Sem 5" numFmtId="165">
      <sharedItems containsSemiMixedTypes="0" containsString="0" containsNumber="1" minValue="0" maxValue="62496.71"/>
    </cacheField>
    <cacheField name="Sem 6" numFmtId="165">
      <sharedItems containsSemiMixedTypes="0" containsString="0" containsNumber="1" minValue="0" maxValue="137560.29"/>
    </cacheField>
    <cacheField name="Sem 7" numFmtId="165">
      <sharedItems containsSemiMixedTypes="0" containsString="0" containsNumber="1" minValue="0" maxValue="1106529.73"/>
    </cacheField>
    <cacheField name="Sem 8" numFmtId="165">
      <sharedItems containsSemiMixedTypes="0" containsString="0" containsNumber="1" minValue="0" maxValue="121354.11"/>
    </cacheField>
    <cacheField name="Sem 9" numFmtId="165">
      <sharedItems containsSemiMixedTypes="0" containsString="0" containsNumber="1" minValue="0" maxValue="105939.98999999999"/>
    </cacheField>
    <cacheField name="Real MAR" numFmtId="165">
      <sharedItems containsSemiMixedTypes="0" containsString="0" containsNumber="1" minValue="0" maxValue="1141615.26"/>
    </cacheField>
    <cacheField name="Difer MAR" numFmtId="3">
      <sharedItems containsSemiMixedTypes="0" containsString="0" containsNumber="1" minValue="-88344.75" maxValue="158384.74"/>
    </cacheField>
    <cacheField name="% Avance2" numFmtId="10">
      <sharedItems containsSemiMixedTypes="0" containsString="0" containsNumber="1" minValue="0" maxValue="36.050935550935549"/>
    </cacheField>
    <cacheField name="Pres ABR" numFmtId="165">
      <sharedItems containsSemiMixedTypes="0" containsString="0" containsNumber="1" minValue="0" maxValue="400000"/>
    </cacheField>
    <cacheField name="Sem 10" numFmtId="165">
      <sharedItems containsSemiMixedTypes="0" containsString="0" containsNumber="1" minValue="0" maxValue="204567.89"/>
    </cacheField>
    <cacheField name="Sem 11" numFmtId="165">
      <sharedItems containsSemiMixedTypes="0" containsString="0" containsNumber="1" minValue="0" maxValue="54230.52"/>
    </cacheField>
    <cacheField name="Sem 12" numFmtId="165">
      <sharedItems containsSemiMixedTypes="0" containsString="0" containsNumber="1" minValue="0" maxValue="362077.17000000004"/>
    </cacheField>
    <cacheField name="Sem 13" numFmtId="165">
      <sharedItems containsSemiMixedTypes="0" containsString="0" containsNumber="1" minValue="0" maxValue="121393.69"/>
    </cacheField>
    <cacheField name="Real ABR" numFmtId="165">
      <sharedItems containsSemiMixedTypes="0" containsString="0" containsNumber="1" minValue="0" maxValue="362077.17000000004"/>
    </cacheField>
    <cacheField name="Difer ABR" numFmtId="3">
      <sharedItems containsSemiMixedTypes="0" containsString="0" containsNumber="1" minValue="-222367.89" maxValue="143590"/>
    </cacheField>
    <cacheField name="% Avance3" numFmtId="10">
      <sharedItems containsSemiMixedTypes="0" containsString="0" containsNumber="1" minValue="0" maxValue="28.88453300124533"/>
    </cacheField>
    <cacheField name="Pres MAY" numFmtId="165">
      <sharedItems containsSemiMixedTypes="0" containsString="0" containsNumber="1" minValue="0" maxValue="1300000"/>
    </cacheField>
    <cacheField name="Sem 14" numFmtId="165">
      <sharedItems containsSemiMixedTypes="0" containsString="0" containsNumber="1" minValue="0" maxValue="137560.29"/>
    </cacheField>
    <cacheField name="Sem 15" numFmtId="165">
      <sharedItems containsSemiMixedTypes="0" containsString="0" containsNumber="1" minValue="0" maxValue="1183437.23"/>
    </cacheField>
    <cacheField name="Sem 16" numFmtId="165">
      <sharedItems containsSemiMixedTypes="0" containsString="0" containsNumber="1" minValue="0" maxValue="81319.3"/>
    </cacheField>
    <cacheField name="Sem 17" numFmtId="165">
      <sharedItems containsSemiMixedTypes="0" containsString="0" containsNumber="1" minValue="0" maxValue="93407.41"/>
    </cacheField>
    <cacheField name="Real MAY" numFmtId="165">
      <sharedItems containsSemiMixedTypes="0" containsString="0" containsNumber="1" minValue="0" maxValue="1183437.23"/>
    </cacheField>
    <cacheField name="Difer MAY" numFmtId="3">
      <sharedItems containsSemiMixedTypes="0" containsString="0" containsNumber="1" minValue="-154399.21000000002" maxValue="143590"/>
    </cacheField>
    <cacheField name="% Avance4" numFmtId="10">
      <sharedItems containsSemiMixedTypes="0" containsString="0" containsNumber="1" minValue="0" maxValue="56.887292817679558"/>
    </cacheField>
    <cacheField name="Pres JUN" numFmtId="165">
      <sharedItems containsSemiMixedTypes="0" containsString="0" containsNumber="1" minValue="0" maxValue="400000"/>
    </cacheField>
    <cacheField name="Sem 18" numFmtId="165">
      <sharedItems containsSemiMixedTypes="0" containsString="0" containsNumber="1" minValue="0" maxValue="88160"/>
    </cacheField>
    <cacheField name="Sem 19" numFmtId="165">
      <sharedItems containsSemiMixedTypes="0" containsString="0" containsNumber="1" minValue="0" maxValue="362939.30000000005"/>
    </cacheField>
    <cacheField name="Sem 20" numFmtId="165">
      <sharedItems containsSemiMixedTypes="0" containsString="0" containsNumber="1" minValue="0" maxValue="122967.34"/>
    </cacheField>
    <cacheField name="Sem 21" numFmtId="165">
      <sharedItems containsSemiMixedTypes="0" containsString="0" containsNumber="1" minValue="0" maxValue="76326.960000000006"/>
    </cacheField>
    <cacheField name="Sem 22" numFmtId="165">
      <sharedItems containsSemiMixedTypes="0" containsString="0" containsNumber="1" minValue="0" maxValue="134130"/>
    </cacheField>
    <cacheField name="Real JUN" numFmtId="165">
      <sharedItems containsSemiMixedTypes="0" containsString="0" containsNumber="1" minValue="0" maxValue="365719.30000000005"/>
    </cacheField>
    <cacheField name="Difer JUN" numFmtId="3">
      <sharedItems containsSemiMixedTypes="0" containsString="0" containsNumber="1" minValue="-129954.97" maxValue="143590"/>
    </cacheField>
    <cacheField name="% Avance5" numFmtId="10">
      <sharedItems containsSemiMixedTypes="0" containsString="0" containsNumber="1" minValue="0" maxValue="68.66"/>
    </cacheField>
    <cacheField name="Pres JUL" numFmtId="165">
      <sharedItems containsSemiMixedTypes="0" containsString="0" containsNumber="1" minValue="0" maxValue="1300000"/>
    </cacheField>
    <cacheField name="Sem 23" numFmtId="165">
      <sharedItems containsSemiMixedTypes="0" containsString="0" containsNumber="1" minValue="0" maxValue="142971"/>
    </cacheField>
    <cacheField name="Sem 24" numFmtId="165">
      <sharedItems containsSemiMixedTypes="0" containsString="0" containsNumber="1" minValue="0" maxValue="1183416.9700000002"/>
    </cacheField>
    <cacheField name="Sem 25" numFmtId="165">
      <sharedItems containsSemiMixedTypes="0" containsString="0" containsNumber="1" minValue="0" maxValue="71785.76999999999"/>
    </cacheField>
    <cacheField name="Sem 26" numFmtId="165">
      <sharedItems containsSemiMixedTypes="0" containsString="0" containsNumber="1" minValue="0" maxValue="129290"/>
    </cacheField>
    <cacheField name="Real JUL" numFmtId="165">
      <sharedItems containsSemiMixedTypes="0" containsString="0" containsNumber="1" minValue="0" maxValue="1191256.9700000002"/>
    </cacheField>
    <cacheField name="Difer JUL" numFmtId="3">
      <sharedItems containsSemiMixedTypes="0" containsString="0" containsNumber="1" minValue="-75844.579999999958" maxValue="143590"/>
    </cacheField>
    <cacheField name="% Avance6" numFmtId="10">
      <sharedItems containsSemiMixedTypes="0" containsString="0" containsNumber="1" minValue="0" maxValue="69.683333333333337"/>
    </cacheField>
    <cacheField name="Pres AGO" numFmtId="165">
      <sharedItems containsSemiMixedTypes="0" containsString="0" containsNumber="1" minValue="0" maxValue="400000"/>
    </cacheField>
    <cacheField name="Sem 27" numFmtId="165">
      <sharedItems containsSemiMixedTypes="0" containsString="0" containsNumber="1" minValue="0" maxValue="134130.88"/>
    </cacheField>
    <cacheField name="Sem 28" numFmtId="165">
      <sharedItems containsSemiMixedTypes="0" containsString="0" containsNumber="1" minValue="0" maxValue="390956.23000000004"/>
    </cacheField>
    <cacheField name="Sem 29" numFmtId="165">
      <sharedItems containsSemiMixedTypes="0" containsString="0" containsNumber="1" minValue="0" maxValue="89227.199999999997"/>
    </cacheField>
    <cacheField name="Sem 30" numFmtId="165">
      <sharedItems containsSemiMixedTypes="0" containsString="0" containsNumber="1" minValue="0" maxValue="89544.58"/>
    </cacheField>
    <cacheField name="Real AGO" numFmtId="165">
      <sharedItems containsSemiMixedTypes="0" containsString="0" containsNumber="1" minValue="0" maxValue="390956.23000000004"/>
    </cacheField>
    <cacheField name="Difer AGO" numFmtId="3">
      <sharedItems containsSemiMixedTypes="0" containsString="0" containsNumber="1" minValue="-111424.33000000002" maxValue="143590"/>
    </cacheField>
    <cacheField name="% Avance7" numFmtId="10">
      <sharedItems containsSemiMixedTypes="0" containsString="0" containsNumber="1" minValue="0" maxValue="30.3"/>
    </cacheField>
    <cacheField name="Pres SEP" numFmtId="165">
      <sharedItems containsSemiMixedTypes="0" containsString="0" containsNumber="1" minValue="0" maxValue="1300000"/>
    </cacheField>
    <cacheField name="Sem 31" numFmtId="165">
      <sharedItems containsSemiMixedTypes="0" containsString="0" containsNumber="1" minValue="0" maxValue="134130.88"/>
    </cacheField>
    <cacheField name="Sem 32" numFmtId="165">
      <sharedItems containsSemiMixedTypes="0" containsString="0" containsNumber="1" minValue="0" maxValue="72030.649999999994"/>
    </cacheField>
    <cacheField name="Sem 33" numFmtId="165">
      <sharedItems containsSemiMixedTypes="0" containsString="0" containsNumber="1" minValue="0" maxValue="1249623.0900000001"/>
    </cacheField>
    <cacheField name="Sem 34" numFmtId="165">
      <sharedItems containsSemiMixedTypes="0" containsString="0" containsNumber="1" minValue="0" maxValue="69692.649999999994"/>
    </cacheField>
    <cacheField name="Sem 35" numFmtId="165">
      <sharedItems containsSemiMixedTypes="0" containsString="0" containsNumber="1" minValue="0" maxValue="129999.07"/>
    </cacheField>
    <cacheField name="Real SEP" numFmtId="165">
      <sharedItems containsSemiMixedTypes="0" containsString="0" containsNumber="1" minValue="0" maxValue="1259463.0900000001"/>
    </cacheField>
    <cacheField name="Difer SEP" numFmtId="3">
      <sharedItems containsSemiMixedTypes="0" containsString="0" containsNumber="1" minValue="-113293.73999999999" maxValue="155000"/>
    </cacheField>
    <cacheField name="% Avance8" numFmtId="10">
      <sharedItems containsSemiMixedTypes="0" containsString="0" containsNumber="1" minValue="0" maxValue="11.8"/>
    </cacheField>
    <cacheField name="Pres OCT" numFmtId="165">
      <sharedItems containsSemiMixedTypes="0" containsString="0" containsNumber="1" minValue="0" maxValue="400000"/>
    </cacheField>
    <cacheField name="Sem 36" numFmtId="165">
      <sharedItems containsSemiMixedTypes="0" containsString="0" containsNumber="1" minValue="0" maxValue="134130.88"/>
    </cacheField>
    <cacheField name="Sem 37" numFmtId="165">
      <sharedItems containsSemiMixedTypes="0" containsString="0" containsNumber="1" minValue="0" maxValue="382817.19999999995"/>
    </cacheField>
    <cacheField name="Sem 38" numFmtId="165">
      <sharedItems containsSemiMixedTypes="0" containsString="0" containsNumber="1" minValue="0" maxValue="190766.61"/>
    </cacheField>
    <cacheField name="Sem 39" numFmtId="165">
      <sharedItems containsSemiMixedTypes="0" containsString="0" containsNumber="1" minValue="0" maxValue="89226.44"/>
    </cacheField>
    <cacheField name="Real OCT" numFmtId="165">
      <sharedItems containsSemiMixedTypes="0" containsString="0" containsNumber="1" minValue="0" maxValue="382817.19999999995"/>
    </cacheField>
    <cacheField name="Difer OCT" numFmtId="3">
      <sharedItems containsSemiMixedTypes="0" containsString="0" containsNumber="1" minValue="-155000" maxValue="143590"/>
    </cacheField>
    <cacheField name="% Avance9" numFmtId="10">
      <sharedItems containsSemiMixedTypes="0" containsString="0" containsNumber="1" minValue="0" maxValue="9.8155785714285724"/>
    </cacheField>
    <cacheField name="Pres NOV" numFmtId="165">
      <sharedItems containsSemiMixedTypes="0" containsString="0" containsNumber="1" minValue="0" maxValue="1300000"/>
    </cacheField>
    <cacheField name="Sem 40" numFmtId="165">
      <sharedItems containsSemiMixedTypes="0" containsString="0" containsNumber="1" minValue="0" maxValue="142971"/>
    </cacheField>
    <cacheField name="Sem 41" numFmtId="165">
      <sharedItems containsSemiMixedTypes="0" containsString="0" containsNumber="1" minValue="0" maxValue="1259983.0399999998"/>
    </cacheField>
    <cacheField name="Sem 42" numFmtId="165">
      <sharedItems containsSemiMixedTypes="0" containsString="0" containsNumber="1" minValue="0" maxValue="107072.64"/>
    </cacheField>
    <cacheField name="Sem 43" numFmtId="165">
      <sharedItems containsSemiMixedTypes="0" containsString="0" containsNumber="1" minValue="0" maxValue="104368.32000000001"/>
    </cacheField>
    <cacheField name="Real NOV" numFmtId="165">
      <sharedItems containsSemiMixedTypes="0" containsString="0" containsNumber="1" minValue="0" maxValue="1259983.0399999998"/>
    </cacheField>
    <cacheField name="Difer NOV" numFmtId="3">
      <sharedItems containsSemiMixedTypes="0" containsString="0" containsNumber="1" minValue="-208736.64000000001" maxValue="143590"/>
    </cacheField>
    <cacheField name="% Avance10" numFmtId="10">
      <sharedItems containsSemiMixedTypes="0" containsString="0" containsNumber="1" minValue="0" maxValue="10.438750000000001"/>
    </cacheField>
    <cacheField name="Pres DIC" numFmtId="165">
      <sharedItems containsSemiMixedTypes="0" containsString="0" containsNumber="1" minValue="0" maxValue="1679051"/>
    </cacheField>
    <cacheField name="Sem 44" numFmtId="165">
      <sharedItems containsSemiMixedTypes="0" containsString="0" containsNumber="1" minValue="0" maxValue="1275260.2"/>
    </cacheField>
    <cacheField name="Sem 45" numFmtId="165">
      <sharedItems containsSemiMixedTypes="0" containsString="0" containsNumber="1" minValue="0" maxValue="257330.38"/>
    </cacheField>
    <cacheField name="Sem 46" numFmtId="165">
      <sharedItems containsSemiMixedTypes="0" containsString="0" containsNumber="1" minValue="0" maxValue="1793505.6"/>
    </cacheField>
    <cacheField name="Sem 47" numFmtId="165">
      <sharedItems containsSemiMixedTypes="0" containsString="0" containsNumber="1" minValue="0" maxValue="360000"/>
    </cacheField>
    <cacheField name="Sem 48" numFmtId="165">
      <sharedItems containsSemiMixedTypes="0" containsString="0" containsNumber="1" minValue="0" maxValue="119387.25"/>
    </cacheField>
    <cacheField name="Real DIC" numFmtId="165">
      <sharedItems containsSemiMixedTypes="0" containsString="0" containsNumber="1" minValue="0" maxValue="1929323.6"/>
    </cacheField>
    <cacheField name="Difer DIC" numFmtId="3">
      <sharedItems containsSemiMixedTypes="0" containsString="0" containsNumber="1" minValue="-1785733.6" maxValue="403790.80000000005"/>
    </cacheField>
    <cacheField name="% Avance11" numFmtId="10">
      <sharedItems containsSemiMixedTypes="0" containsString="0" containsNumber="1" minValue="0" maxValue="19.447500000000002"/>
    </cacheField>
    <cacheField name="Pres ENE" numFmtId="3">
      <sharedItems containsSemiMixedTypes="0" containsString="0" containsNumber="1" containsInteger="1" minValue="0" maxValue="1500000"/>
    </cacheField>
    <cacheField name="Sem 49" numFmtId="165">
      <sharedItems containsSemiMixedTypes="0" containsString="0" containsNumber="1" minValue="0" maxValue="134130.88"/>
    </cacheField>
    <cacheField name="Sem 50" numFmtId="165">
      <sharedItems containsSemiMixedTypes="0" containsString="0" containsNumber="1" minValue="0" maxValue="223930"/>
    </cacheField>
    <cacheField name="Sem 51" numFmtId="165">
      <sharedItems containsSemiMixedTypes="0" containsString="0" containsNumber="1" minValue="0" maxValue="1421183.26"/>
    </cacheField>
    <cacheField name="Sem 52" numFmtId="165">
      <sharedItems containsSemiMixedTypes="0" containsString="0" containsNumber="1" minValue="0" maxValue="144643.83000000002"/>
    </cacheField>
    <cacheField name="Real ENE" numFmtId="165">
      <sharedItems containsSemiMixedTypes="0" containsString="0" containsNumber="1" minValue="0" maxValue="1429023.26"/>
    </cacheField>
    <cacheField name="Difer ENE" numFmtId="3">
      <sharedItems containsSemiMixedTypes="0" containsString="0" containsNumber="1" minValue="-223930" maxValue="22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3">
  <r>
    <x v="0"/>
    <s v="A1"/>
    <n v="49459"/>
    <n v="18017.73"/>
    <n v="11368.2"/>
    <n v="11329.4"/>
    <n v="13261"/>
    <n v="53976.33"/>
    <n v="-4517.3300000000017"/>
    <n v="1.0913348430012739"/>
    <n v="61823.75"/>
    <n v="12884.4"/>
    <n v="12887.4"/>
    <n v="15417"/>
    <n v="13240"/>
    <n v="12709.4"/>
    <n v="67138.2"/>
    <n v="-5314.4499999999971"/>
    <n v="1.0859613012798479"/>
    <n v="49459"/>
    <n v="12763.4"/>
    <n v="12146.4"/>
    <n v="12187.8"/>
    <n v="10209"/>
    <n v="47306.6"/>
    <n v="2152.4000000000015"/>
    <n v="0.9564811257809499"/>
    <n v="49459"/>
    <n v="12617"/>
    <n v="10660"/>
    <n v="8731.7999999999993"/>
    <n v="10934.6"/>
    <n v="42943.4"/>
    <n v="6515.5999999999985"/>
    <n v="0.86826260134656996"/>
    <n v="61823.75"/>
    <n v="10932"/>
    <n v="10632.8"/>
    <n v="10632.8"/>
    <n v="10929.2"/>
    <n v="10933.2"/>
    <n v="54060"/>
    <n v="7763.75"/>
    <n v="0.87442123779291936"/>
    <n v="49459"/>
    <n v="10931.8"/>
    <n v="10933"/>
    <n v="10882"/>
    <n v="11857"/>
    <n v="44603.8"/>
    <n v="4855.1999999999971"/>
    <n v="0.90183384217230445"/>
    <n v="49459"/>
    <n v="10857.2"/>
    <n v="11028.8"/>
    <n v="10933.8"/>
    <n v="10934"/>
    <n v="43753.8"/>
    <n v="5705.1999999999971"/>
    <n v="0.88464789017165735"/>
    <n v="61823.75"/>
    <n v="10933.8"/>
    <n v="10932.8"/>
    <n v="10933.6"/>
    <n v="14234.4"/>
    <n v="11274.8"/>
    <n v="58309.399999999994"/>
    <n v="3514.3500000000058"/>
    <n v="0.94315534078731866"/>
    <n v="49459"/>
    <n v="10943.4"/>
    <n v="11086.6"/>
    <n v="10942.2"/>
    <n v="11335.6"/>
    <n v="44307.799999999996"/>
    <n v="5151.2000000000044"/>
    <n v="0.8958490871226672"/>
    <n v="49459"/>
    <n v="11470"/>
    <n v="11164"/>
    <n v="13517"/>
    <n v="11439.15"/>
    <n v="47590.15"/>
    <n v="1868.8499999999985"/>
    <n v="0.96221415718069514"/>
    <n v="91810"/>
    <n v="11054.4"/>
    <n v="11481.2"/>
    <n v="16719.2"/>
    <n v="23986.2"/>
    <n v="15087.6"/>
    <n v="78328.600000000006"/>
    <n v="13481.399999999994"/>
    <n v="0.85315978651563018"/>
    <n v="50068"/>
    <n v="11561.4"/>
    <n v="10425.799999999999"/>
    <n v="10496"/>
    <n v="11593"/>
    <n v="44076.2"/>
    <n v="5991.8000000000029"/>
  </r>
  <r>
    <x v="0"/>
    <s v="A2"/>
    <n v="48256"/>
    <n v="17355.400000000001"/>
    <n v="13884.8"/>
    <n v="14429.2"/>
    <n v="13082.4"/>
    <n v="58751.8"/>
    <n v="-10495.800000000003"/>
    <n v="1.2175024867374007"/>
    <n v="60320"/>
    <n v="14593.8"/>
    <n v="13883.8"/>
    <n v="14246.4"/>
    <n v="13991.8"/>
    <n v="13484"/>
    <n v="70199.8"/>
    <n v="-9879.8000000000029"/>
    <n v="1.1637897877984085"/>
    <n v="48256"/>
    <n v="13985.8"/>
    <n v="13884.6"/>
    <n v="12857"/>
    <n v="13502.2"/>
    <n v="54229.600000000006"/>
    <n v="-5973.6000000000058"/>
    <n v="1.1237897877984087"/>
    <n v="48256"/>
    <n v="16814"/>
    <n v="14684.8"/>
    <n v="13767"/>
    <n v="13385.2"/>
    <n v="58651"/>
    <n v="-10395"/>
    <n v="1.2154136273209548"/>
    <n v="60320"/>
    <n v="14380.6"/>
    <n v="13958.2"/>
    <n v="13984.2"/>
    <n v="13385.2"/>
    <n v="12134"/>
    <n v="67842.2"/>
    <n v="-7522.1999999999971"/>
    <n v="1.1247049071618036"/>
    <n v="48256"/>
    <n v="11706.8"/>
    <n v="12360.4"/>
    <n v="13359"/>
    <n v="13607.6"/>
    <n v="51033.799999999996"/>
    <n v="-2777.7999999999956"/>
    <n v="1.0575638262599469"/>
    <n v="48256"/>
    <n v="13757.8"/>
    <n v="13359.4"/>
    <n v="12686.6"/>
    <n v="11858.2"/>
    <n v="51662"/>
    <n v="-3406"/>
    <n v="1.0705818965517242"/>
    <n v="60320"/>
    <n v="11857.4"/>
    <n v="11857.4"/>
    <n v="11626.2"/>
    <n v="14981.4"/>
    <n v="11856.4"/>
    <n v="62178.8"/>
    <n v="-1858.8000000000029"/>
    <n v="1.030815649867374"/>
    <n v="48256"/>
    <n v="11000.8"/>
    <n v="13545.8"/>
    <n v="14458"/>
    <n v="13764.33"/>
    <n v="52768.93"/>
    <n v="-4512.93"/>
    <n v="1.0935205984748011"/>
    <n v="48256"/>
    <n v="16216.2"/>
    <n v="14153.4"/>
    <n v="18348.400000000001"/>
    <n v="17592.2"/>
    <n v="66310.2"/>
    <n v="-18054.199999999997"/>
    <n v="1.3741337864721486"/>
    <n v="84102"/>
    <n v="17477.8"/>
    <n v="20778"/>
    <n v="33702"/>
    <n v="49287.4"/>
    <n v="24384"/>
    <n v="145629.20000000001"/>
    <n v="-61527.200000000012"/>
    <n v="1.7315783215619132"/>
    <n v="59629"/>
    <n v="16373.4"/>
    <n v="15049.8"/>
    <n v="15936"/>
    <n v="14988"/>
    <n v="62347.199999999997"/>
    <n v="-2718.1999999999971"/>
  </r>
  <r>
    <x v="0"/>
    <s v="A3"/>
    <n v="55526"/>
    <n v="10088.68"/>
    <n v="9887.68"/>
    <n v="9886.2000000000007"/>
    <n v="9566.2000000000007"/>
    <n v="39428.76"/>
    <n v="16097.239999999998"/>
    <n v="0.71009545077981495"/>
    <n v="55000"/>
    <n v="10453.6"/>
    <n v="9628"/>
    <n v="11082.05"/>
    <n v="8549.6"/>
    <n v="11092.6"/>
    <n v="50805.85"/>
    <n v="4194.1500000000015"/>
    <n v="0.92374272727272722"/>
    <n v="44000"/>
    <n v="10419.65"/>
    <n v="11366.8"/>
    <n v="10441.450000000001"/>
    <n v="10410.049999999999"/>
    <n v="42637.95"/>
    <n v="1362.0500000000029"/>
    <n v="0.96904431818181813"/>
    <n v="44000"/>
    <n v="9160.7999999999993"/>
    <n v="8467.4"/>
    <n v="8040.6"/>
    <n v="8081.6"/>
    <n v="33750.399999999994"/>
    <n v="10249.600000000006"/>
    <n v="0.76705454545454532"/>
    <n v="55000"/>
    <n v="8223.4"/>
    <n v="6813.6"/>
    <n v="9705.4"/>
    <n v="6032.2"/>
    <n v="5554.4"/>
    <n v="36329"/>
    <n v="18671"/>
    <n v="0.66052727272727274"/>
    <n v="44000"/>
    <n v="10928.6"/>
    <n v="11628.6"/>
    <n v="12152.4"/>
    <n v="11633.2"/>
    <n v="46342.8"/>
    <n v="-2342.8000000000029"/>
    <n v="1.0532454545454546"/>
    <n v="44000"/>
    <n v="12631"/>
    <n v="13431.4"/>
    <n v="11161.4"/>
    <n v="8175.8"/>
    <n v="45399.600000000006"/>
    <n v="-1399.6000000000058"/>
    <n v="1.0318090909090911"/>
    <n v="55000"/>
    <n v="6766.6"/>
    <n v="6040"/>
    <n v="8962.6"/>
    <n v="10342.4"/>
    <n v="8656.2000000000007"/>
    <n v="40767.800000000003"/>
    <n v="14232.199999999997"/>
    <n v="0.74123272727272738"/>
    <n v="44000"/>
    <n v="9690"/>
    <n v="11222.4"/>
    <n v="9573.7999999999993"/>
    <n v="8062.6"/>
    <n v="38548.800000000003"/>
    <n v="5451.1999999999971"/>
    <n v="0.87610909090909095"/>
    <n v="44000"/>
    <n v="9951"/>
    <n v="7219.4"/>
    <n v="8311.2000000000007"/>
    <n v="7767.4"/>
    <n v="33249"/>
    <n v="10751"/>
    <n v="0.75565909090909089"/>
    <n v="65720"/>
    <n v="10496.6"/>
    <n v="16615.8"/>
    <n v="24820.2"/>
    <n v="34339"/>
    <n v="15630.6"/>
    <n v="101902.20000000001"/>
    <n v="-36182.200000000012"/>
    <n v="1.5505508216676813"/>
    <n v="43560"/>
    <n v="12605.4"/>
    <n v="11653.4"/>
    <n v="10710"/>
    <n v="12245"/>
    <n v="47213.8"/>
    <n v="-3653.8000000000029"/>
  </r>
  <r>
    <x v="0"/>
    <s v="A4"/>
    <n v="38834"/>
    <n v="10861.8"/>
    <n v="9428.7999999999993"/>
    <n v="9428.7999999999993"/>
    <n v="9428.7999999999993"/>
    <n v="39148.199999999997"/>
    <n v="-314.19999999999709"/>
    <n v="1.0080908482257815"/>
    <n v="48542.5"/>
    <n v="9428.7999999999993"/>
    <n v="9428.7999999999993"/>
    <n v="11324"/>
    <n v="9428.7999999999993"/>
    <n v="9428.7999999999993"/>
    <n v="49039.199999999997"/>
    <n v="-496.69999999999709"/>
    <n v="1.0102322706906319"/>
    <n v="38834"/>
    <n v="9429"/>
    <n v="9428.7999999999993"/>
    <n v="9428.7999999999993"/>
    <n v="9428.7999999999993"/>
    <n v="37715.399999999994"/>
    <n v="1118.6000000000058"/>
    <n v="0.9711953442859349"/>
    <n v="38834"/>
    <n v="12150.8"/>
    <n v="9428.7999999999993"/>
    <n v="9429"/>
    <n v="9429.7999999999993"/>
    <n v="40438.399999999994"/>
    <n v="-1604.3999999999942"/>
    <n v="1.0413143122006487"/>
    <n v="48542.5"/>
    <n v="9429"/>
    <n v="9428.7999999999993"/>
    <n v="10846.8"/>
    <n v="9506.4"/>
    <n v="9556.2000000000007"/>
    <n v="48767.199999999997"/>
    <n v="-224.69999999999709"/>
    <n v="1.0046289334088685"/>
    <n v="38834"/>
    <n v="9355.4"/>
    <n v="13427.8"/>
    <n v="12085.4"/>
    <n v="11983"/>
    <n v="46851.6"/>
    <n v="-8017.5999999999985"/>
    <n v="1.2064582582273264"/>
    <n v="38834"/>
    <n v="9529.6"/>
    <n v="9730.4"/>
    <n v="8635"/>
    <n v="9729.7999999999993"/>
    <n v="37624.800000000003"/>
    <n v="1209.1999999999971"/>
    <n v="0.96886233712725967"/>
    <n v="48542.5"/>
    <n v="9729.6"/>
    <n v="9729.6"/>
    <n v="11857.6"/>
    <n v="14645.8"/>
    <n v="9920.7999999999993"/>
    <n v="55883.400000000009"/>
    <n v="-7340.9000000000087"/>
    <n v="1.1512262450430037"/>
    <n v="38834"/>
    <n v="9729.6"/>
    <n v="9730.4"/>
    <n v="10829.6"/>
    <n v="11254.33"/>
    <n v="41543.93"/>
    <n v="-2709.9300000000003"/>
    <n v="1.0697824071689757"/>
    <n v="38834"/>
    <n v="11939.8"/>
    <n v="11391"/>
    <n v="14555"/>
    <n v="11447"/>
    <n v="49332.800000000003"/>
    <n v="-10498.800000000003"/>
    <n v="1.270350723592728"/>
    <n v="65312"/>
    <n v="11894.4"/>
    <n v="12113.4"/>
    <n v="13506.6"/>
    <n v="19830"/>
    <n v="12337.6"/>
    <n v="69682"/>
    <n v="-4370"/>
    <n v="1.0669096031357177"/>
    <n v="46945"/>
    <n v="7723.4"/>
    <n v="10513.8"/>
    <n v="10496"/>
    <n v="10236"/>
    <n v="38969.199999999997"/>
    <n v="7975.8000000000029"/>
  </r>
  <r>
    <x v="0"/>
    <s v="A5"/>
    <n v="62002"/>
    <n v="12858.8"/>
    <n v="9931.2099999999991"/>
    <n v="10751.01"/>
    <n v="8633.61"/>
    <n v="42174.63"/>
    <n v="19827.370000000003"/>
    <n v="0.68021402535402076"/>
    <n v="55000"/>
    <n v="8959.41"/>
    <n v="9658.2099999999991"/>
    <n v="14887.01"/>
    <n v="10370.200000000001"/>
    <n v="12218.41"/>
    <n v="56093.240000000005"/>
    <n v="-1093.2400000000052"/>
    <n v="1.0198770909090911"/>
    <n v="44000"/>
    <n v="10640.21"/>
    <n v="11265.4"/>
    <n v="9307.81"/>
    <n v="8166.6"/>
    <n v="39380.019999999997"/>
    <n v="4619.9800000000032"/>
    <n v="0.89500045454545452"/>
    <n v="44000"/>
    <n v="9771.7999999999993"/>
    <n v="12840.4"/>
    <n v="10690.2"/>
    <n v="10198.799999999999"/>
    <n v="43501.2"/>
    <n v="498.80000000000291"/>
    <n v="0.9886636363636363"/>
    <n v="55000"/>
    <n v="10611"/>
    <n v="9734.7999999999993"/>
    <n v="10032.4"/>
    <n v="10525.2"/>
    <n v="10263.200000000001"/>
    <n v="51166.599999999991"/>
    <n v="3833.4000000000087"/>
    <n v="0.93030181818181801"/>
    <n v="44000"/>
    <n v="17134.8"/>
    <n v="11835.6"/>
    <n v="12943.8"/>
    <n v="13182"/>
    <n v="55096.2"/>
    <n v="-11096.199999999997"/>
    <n v="1.2521863636363635"/>
    <n v="44000"/>
    <n v="15782"/>
    <n v="10337.6"/>
    <n v="10537.8"/>
    <n v="11268.2"/>
    <n v="47925.599999999991"/>
    <n v="-3925.5999999999913"/>
    <n v="1.0892181818181816"/>
    <n v="55000"/>
    <n v="11134"/>
    <n v="12468"/>
    <n v="11313.4"/>
    <n v="15088.4"/>
    <n v="12368.8"/>
    <n v="62372.600000000006"/>
    <n v="-7372.6000000000058"/>
    <n v="1.1340472727272728"/>
    <n v="44000"/>
    <n v="12021.8"/>
    <n v="12064.8"/>
    <n v="12218.8"/>
    <n v="11403"/>
    <n v="47708.399999999994"/>
    <n v="-3708.3999999999942"/>
    <n v="1.0842818181818181"/>
    <n v="44000"/>
    <n v="13356.4"/>
    <n v="11979.2"/>
    <n v="15777"/>
    <n v="10689.8"/>
    <n v="51802.399999999994"/>
    <n v="-7802.3999999999942"/>
    <n v="1.1773272727272726"/>
    <n v="90104"/>
    <n v="14817.8"/>
    <n v="14724.4"/>
    <n v="20708.2"/>
    <n v="30465.200000000001"/>
    <n v="17645.599999999999"/>
    <n v="98361.199999999983"/>
    <n v="-8257.1999999999825"/>
    <n v="1.0916407706650091"/>
    <n v="53910"/>
    <n v="14655.6"/>
    <n v="14050.4"/>
    <n v="13760"/>
    <n v="13565"/>
    <n v="56031"/>
    <n v="-2121"/>
  </r>
  <r>
    <x v="0"/>
    <s v="A6"/>
    <n v="79738"/>
    <n v="16851.55"/>
    <n v="14276.55"/>
    <n v="13812.15"/>
    <n v="13884.15"/>
    <n v="58824.4"/>
    <n v="20913.599999999999"/>
    <n v="0.73772103639419095"/>
    <n v="80000"/>
    <n v="13885.55"/>
    <n v="14285.35"/>
    <n v="15904.95"/>
    <n v="11891.6"/>
    <n v="13805.75"/>
    <n v="69773.200000000012"/>
    <n v="10226.799999999988"/>
    <n v="0.87216500000000019"/>
    <n v="64000"/>
    <n v="13885.35"/>
    <n v="14971.6"/>
    <n v="14384.49"/>
    <n v="11945.4"/>
    <n v="55186.840000000004"/>
    <n v="8813.1599999999962"/>
    <n v="0.86229437500000006"/>
    <n v="64000"/>
    <n v="15255.89"/>
    <n v="12367.89"/>
    <n v="14910.29"/>
    <n v="14071.09"/>
    <n v="56605.16"/>
    <n v="7394.8399999999965"/>
    <n v="0.88445562500000008"/>
    <n v="80000"/>
    <n v="14619.49"/>
    <n v="13836.89"/>
    <n v="11677.69"/>
    <n v="13702.49"/>
    <n v="12257.09"/>
    <n v="66093.649999999994"/>
    <n v="13906.350000000006"/>
    <n v="0.82617062499999994"/>
    <n v="64000"/>
    <n v="13320.89"/>
    <n v="15976.29"/>
    <n v="12658.69"/>
    <n v="12330.09"/>
    <n v="54285.960000000006"/>
    <n v="9714.0399999999936"/>
    <n v="0.84821812500000004"/>
    <n v="64000"/>
    <n v="11947.09"/>
    <n v="13905.49"/>
    <n v="14223.49"/>
    <n v="13835.69"/>
    <n v="53911.76"/>
    <n v="10088.239999999998"/>
    <n v="0.84237125000000002"/>
    <n v="80000"/>
    <n v="14058.49"/>
    <n v="14386.09"/>
    <n v="15453.09"/>
    <n v="18210.689999999999"/>
    <n v="14404.29"/>
    <n v="76512.649999999994"/>
    <n v="3487.3500000000058"/>
    <n v="0.95640812499999994"/>
    <n v="64000"/>
    <n v="12658.89"/>
    <n v="12424.89"/>
    <n v="12153.09"/>
    <n v="14532.89"/>
    <n v="51769.759999999995"/>
    <n v="12230.240000000005"/>
    <n v="0.80890249999999997"/>
    <n v="64000"/>
    <n v="14619.29"/>
    <n v="15005.09"/>
    <n v="18138.09"/>
    <n v="13727.29"/>
    <n v="61489.760000000002"/>
    <n v="2510.239999999998"/>
    <n v="0.96077750000000006"/>
    <n v="93033"/>
    <n v="14854.49"/>
    <n v="16914.09"/>
    <n v="27397.09"/>
    <n v="36259.69"/>
    <n v="15387.49"/>
    <n v="110812.85"/>
    <n v="-17779.850000000006"/>
    <n v="1.1911133683746629"/>
    <n v="58500"/>
    <n v="11974.49"/>
    <n v="15171.69"/>
    <n v="16614.09"/>
    <n v="16092.09"/>
    <n v="59852.36"/>
    <n v="-1352.3600000000006"/>
  </r>
  <r>
    <x v="0"/>
    <s v="A8"/>
    <n v="75030"/>
    <n v="20057.2"/>
    <n v="16803.400000000001"/>
    <n v="13786.6"/>
    <n v="17105.2"/>
    <n v="67752.400000000009"/>
    <n v="7277.5999999999913"/>
    <n v="0.90300413168066118"/>
    <n v="93787.5"/>
    <n v="18413.8"/>
    <n v="17275.2"/>
    <n v="22623"/>
    <n v="17338"/>
    <n v="17042.8"/>
    <n v="92692.800000000003"/>
    <n v="1094.6999999999971"/>
    <n v="0.98832786885245905"/>
    <n v="75030"/>
    <n v="16786"/>
    <n v="17991.8"/>
    <n v="15884.4"/>
    <n v="16731.8"/>
    <n v="67394"/>
    <n v="7636"/>
    <n v="0.89822737571638012"/>
    <n v="75030"/>
    <n v="19644.400000000001"/>
    <n v="13411.4"/>
    <n v="13851.8"/>
    <n v="13434"/>
    <n v="60341.600000000006"/>
    <n v="14688.399999999994"/>
    <n v="0.80423297347727585"/>
    <n v="93787.5"/>
    <n v="14977"/>
    <n v="16077.6"/>
    <n v="19958.400000000001"/>
    <n v="22585.4"/>
    <n v="17308.2"/>
    <n v="90906.599999999991"/>
    <n v="2880.9000000000087"/>
    <n v="0.96928268692522979"/>
    <n v="75030"/>
    <n v="18634.8"/>
    <n v="17588.2"/>
    <n v="15495.6"/>
    <n v="13533.8"/>
    <n v="65252.399999999994"/>
    <n v="9777.6000000000058"/>
    <n v="0.86968412634946013"/>
    <n v="75030"/>
    <n v="14584.4"/>
    <n v="17557.8"/>
    <n v="17591"/>
    <n v="18814.400000000001"/>
    <n v="68547.600000000006"/>
    <n v="6482.3999999999942"/>
    <n v="0.91360255897640952"/>
    <n v="93787.5"/>
    <n v="15790.8"/>
    <n v="14537.6"/>
    <n v="13991.2"/>
    <n v="16868"/>
    <n v="13677.2"/>
    <n v="74864.800000000003"/>
    <n v="18922.699999999997"/>
    <n v="0.79823857123817143"/>
    <n v="75030"/>
    <n v="14294"/>
    <n v="14310.4"/>
    <n v="13623.2"/>
    <n v="15445"/>
    <n v="57672.600000000006"/>
    <n v="17357.399999999994"/>
    <n v="0.76866053578568583"/>
    <n v="75030"/>
    <n v="15490.4"/>
    <n v="15449.4"/>
    <n v="21289.200000000001"/>
    <n v="17308.2"/>
    <n v="69537.2"/>
    <n v="5492.8000000000029"/>
    <n v="0.92679194988671199"/>
    <n v="140522"/>
    <n v="23392.6"/>
    <n v="26745.599999999999"/>
    <n v="39552.199999999997"/>
    <n v="49062.6"/>
    <n v="34015"/>
    <n v="172768"/>
    <n v="-32246"/>
    <n v="1.2294729650873173"/>
    <n v="65170"/>
    <n v="22890"/>
    <n v="26495"/>
    <n v="25110"/>
    <n v="24295"/>
    <n v="98790"/>
    <n v="-33620"/>
  </r>
  <r>
    <x v="0"/>
    <s v="A9"/>
    <n v="61126"/>
    <n v="14975.09"/>
    <n v="12563.09"/>
    <n v="11756.29"/>
    <n v="11755.69"/>
    <n v="51050.16"/>
    <n v="10075.839999999997"/>
    <n v="0.83516277852305076"/>
    <n v="62500"/>
    <n v="9557.09"/>
    <n v="11556.09"/>
    <n v="14117.49"/>
    <n v="11701.6"/>
    <n v="10929.69"/>
    <n v="57861.96"/>
    <n v="4638.0400000000009"/>
    <n v="0.92579135999999995"/>
    <n v="50000"/>
    <n v="10721.09"/>
    <n v="10587"/>
    <n v="10933.49"/>
    <n v="12170.69"/>
    <n v="44412.270000000004"/>
    <n v="5587.7299999999959"/>
    <n v="0.88824540000000007"/>
    <n v="50000"/>
    <n v="13224.69"/>
    <n v="11342.09"/>
    <n v="10905.29"/>
    <n v="11035.09"/>
    <n v="46507.16"/>
    <n v="3492.8399999999965"/>
    <n v="0.93014320000000006"/>
    <n v="62500"/>
    <n v="9556.69"/>
    <n v="10986.89"/>
    <n v="10121.89"/>
    <n v="9730.49"/>
    <n v="12051.89"/>
    <n v="52447.85"/>
    <n v="10052.150000000001"/>
    <n v="0.83916559999999996"/>
    <n v="50000"/>
    <n v="11079.11"/>
    <n v="12857.91"/>
    <n v="11079.71"/>
    <n v="10979.71"/>
    <n v="45996.439999999995"/>
    <n v="4003.5600000000049"/>
    <n v="0.91992879999999988"/>
    <n v="50000"/>
    <n v="11087.51"/>
    <n v="10782.71"/>
    <n v="10160.51"/>
    <n v="11087.71"/>
    <n v="43118.44"/>
    <n v="6881.5599999999977"/>
    <n v="0.86236880000000005"/>
    <n v="62500"/>
    <n v="11571.31"/>
    <n v="9729.51"/>
    <n v="9730.31"/>
    <n v="11822.51"/>
    <n v="9730.31"/>
    <n v="52583.95"/>
    <n v="9916.0500000000029"/>
    <n v="0.84134319999999996"/>
    <n v="50000"/>
    <n v="9730.51"/>
    <n v="10080.91"/>
    <n v="9768.89"/>
    <n v="10538.93"/>
    <n v="40119.24"/>
    <n v="9880.760000000002"/>
    <n v="0.80238480000000001"/>
    <n v="50000"/>
    <n v="12742.91"/>
    <n v="12343.71"/>
    <n v="14776.31"/>
    <n v="12374.11"/>
    <n v="52237.04"/>
    <n v="-2237.0400000000009"/>
    <n v="1.0447408"/>
    <n v="92043"/>
    <n v="14832.11"/>
    <n v="13317.11"/>
    <n v="16815.02"/>
    <n v="28948.82"/>
    <n v="18525.02"/>
    <n v="92438.080000000002"/>
    <n v="-395.08000000000175"/>
    <n v="1.0042923416229372"/>
    <n v="45334"/>
    <n v="14131.22"/>
    <n v="12602.62"/>
    <n v="11848.02"/>
    <n v="12151.02"/>
    <n v="50732.880000000005"/>
    <n v="-5398.8800000000047"/>
  </r>
  <r>
    <x v="0"/>
    <s v="A10"/>
    <n v="89171"/>
    <n v="19724.8"/>
    <n v="17085.849999999999"/>
    <n v="18856.73"/>
    <n v="16202.32"/>
    <n v="71869.699999999983"/>
    <n v="17301.300000000017"/>
    <n v="0.80597615816801405"/>
    <n v="111463.75"/>
    <n v="16556.93"/>
    <n v="16414.400000000001"/>
    <n v="20613"/>
    <n v="16498.8"/>
    <n v="16491.2"/>
    <n v="86574.33"/>
    <n v="24889.42"/>
    <n v="0.77670390597840111"/>
    <n v="89171"/>
    <n v="16587.8"/>
    <n v="16512.599999999999"/>
    <n v="16266.8"/>
    <n v="13724"/>
    <n v="63091.199999999997"/>
    <n v="26079.800000000003"/>
    <n v="0.70753047515447842"/>
    <n v="72000"/>
    <n v="17359.599999999999"/>
    <n v="16793"/>
    <n v="15920"/>
    <n v="15144.2"/>
    <n v="65216.800000000003"/>
    <n v="6783.1999999999971"/>
    <n v="0.90578888888888898"/>
    <n v="90000"/>
    <n v="16947"/>
    <n v="15644.8"/>
    <n v="14757.6"/>
    <n v="16645"/>
    <n v="14134.2"/>
    <n v="78128.600000000006"/>
    <n v="11871.399999999994"/>
    <n v="0.86809555555555562"/>
    <n v="72000"/>
    <n v="20890.8"/>
    <n v="19982.400000000001"/>
    <n v="14784.6"/>
    <n v="15136.2"/>
    <n v="70794"/>
    <n v="1206"/>
    <n v="0.98324999999999996"/>
    <n v="72000"/>
    <n v="13860.6"/>
    <n v="14342.4"/>
    <n v="14834.6"/>
    <n v="16150.2"/>
    <n v="59187.8"/>
    <n v="12812.199999999997"/>
    <n v="0.82205277777777785"/>
    <n v="90000"/>
    <n v="16143.4"/>
    <n v="15614.8"/>
    <n v="17574.400000000001"/>
    <n v="20223.8"/>
    <n v="14922"/>
    <n v="84478.399999999994"/>
    <n v="5521.6000000000058"/>
    <n v="0.93864888888888887"/>
    <n v="72000"/>
    <n v="15532.8"/>
    <n v="18500.2"/>
    <n v="15049.86"/>
    <n v="16558.93"/>
    <n v="65641.790000000008"/>
    <n v="6358.2099999999919"/>
    <n v="0.91169152777777784"/>
    <n v="72000"/>
    <n v="22425.599999999999"/>
    <n v="17786.8"/>
    <n v="26240.400000000001"/>
    <n v="22893.599999999999"/>
    <n v="89346.4"/>
    <n v="-17346.399999999994"/>
    <n v="1.240922222222222"/>
    <n v="150602"/>
    <n v="26162.799999999999"/>
    <n v="37844.300000000003"/>
    <n v="46163.4"/>
    <n v="45554"/>
    <n v="33313.800000000003"/>
    <n v="189038.3"/>
    <n v="-38436.299999999988"/>
    <n v="1.2552177261922151"/>
    <n v="74175"/>
    <n v="25707.200000000001"/>
    <n v="23408.2"/>
    <n v="22383"/>
    <n v="20611"/>
    <n v="92109.4"/>
    <n v="-17934.399999999994"/>
  </r>
  <r>
    <x v="0"/>
    <s v="A11"/>
    <n v="57126"/>
    <n v="16045.8"/>
    <n v="13100.2"/>
    <n v="13100.2"/>
    <n v="13100.4"/>
    <n v="55346.6"/>
    <n v="1779.4000000000015"/>
    <n v="0.96885131113678535"/>
    <n v="71407.5"/>
    <n v="13100.2"/>
    <n v="13100"/>
    <n v="16010.6"/>
    <n v="13045.6"/>
    <n v="13100"/>
    <n v="68356.399999999994"/>
    <n v="3051.1000000000058"/>
    <n v="0.9572719952385953"/>
    <n v="57126"/>
    <n v="13093.4"/>
    <n v="13050.4"/>
    <n v="13099.8"/>
    <n v="13100.4"/>
    <n v="52344"/>
    <n v="4782"/>
    <n v="0.91629030564016389"/>
    <n v="57126"/>
    <n v="15727"/>
    <n v="13100"/>
    <n v="14026.4"/>
    <n v="13098.4"/>
    <n v="55951.8"/>
    <n v="1174.1999999999971"/>
    <n v="0.97944543640373916"/>
    <n v="71407.5"/>
    <n v="13096.8"/>
    <n v="13100.2"/>
    <n v="13291.2"/>
    <n v="13367.8"/>
    <n v="13099.6"/>
    <n v="65955.600000000006"/>
    <n v="5451.8999999999942"/>
    <n v="0.92365087700871762"/>
    <n v="57126"/>
    <n v="13096.6"/>
    <n v="13448.8"/>
    <n v="13097"/>
    <n v="13264"/>
    <n v="52906.400000000001"/>
    <n v="4219.5999999999985"/>
    <n v="0.92613520988691667"/>
    <n v="57126"/>
    <n v="11573"/>
    <n v="13844"/>
    <n v="13189.4"/>
    <n v="13196"/>
    <n v="51802.400000000001"/>
    <n v="5323.5999999999985"/>
    <n v="0.90680950880509748"/>
    <n v="71407.5"/>
    <n v="11268.6"/>
    <n v="14522"/>
    <n v="12370.6"/>
    <n v="16986.2"/>
    <n v="13567.6"/>
    <n v="68715"/>
    <n v="2692.5"/>
    <n v="0.96229387669362465"/>
    <n v="57126"/>
    <n v="13418"/>
    <n v="13295.4"/>
    <n v="13543.85"/>
    <n v="13396.2"/>
    <n v="53653.45"/>
    <n v="3472.5500000000029"/>
    <n v="0.93921244267058779"/>
    <n v="57126"/>
    <n v="13331.6"/>
    <n v="11711.6"/>
    <n v="17797.8"/>
    <n v="13824.8"/>
    <n v="56665.8"/>
    <n v="460.19999999999709"/>
    <n v="0.99194412351643735"/>
    <n v="84189"/>
    <n v="13542.45"/>
    <n v="15188"/>
    <n v="17617.8"/>
    <n v="26903.8"/>
    <n v="14926.8"/>
    <n v="88178.85"/>
    <n v="-3989.8500000000058"/>
    <n v="1.0473915832234615"/>
    <n v="60628"/>
    <n v="13890.2"/>
    <n v="14647.4"/>
    <n v="12370"/>
    <n v="14426"/>
    <n v="55333.599999999999"/>
    <n v="5294.4000000000015"/>
  </r>
  <r>
    <x v="0"/>
    <s v="A12"/>
    <n v="88929"/>
    <n v="26764.6"/>
    <n v="21977.599999999999"/>
    <n v="20345.2"/>
    <n v="21220.2"/>
    <n v="90307.599999999991"/>
    <n v="-1378.5999999999913"/>
    <n v="1.0155022546076082"/>
    <n v="111161.25"/>
    <n v="16804.599999999999"/>
    <n v="16344"/>
    <n v="24121.200000000001"/>
    <n v="16602.599999999999"/>
    <n v="18880.8"/>
    <n v="92753.2"/>
    <n v="18408.050000000003"/>
    <n v="0.83440227597296712"/>
    <n v="88929"/>
    <n v="18738.400000000001"/>
    <n v="17884.400000000001"/>
    <n v="18923.490000000002"/>
    <n v="15957.2"/>
    <n v="71503.490000000005"/>
    <n v="17425.509999999995"/>
    <n v="0.80405143429027659"/>
    <n v="76000"/>
    <n v="18181.490000000002"/>
    <n v="15428.29"/>
    <n v="12525.49"/>
    <n v="15745.49"/>
    <n v="61880.759999999995"/>
    <n v="14119.240000000005"/>
    <n v="0.81422052631578945"/>
    <n v="95000"/>
    <n v="16612.29"/>
    <n v="17812.29"/>
    <n v="20212.490000000002"/>
    <n v="21338.29"/>
    <n v="19021.8"/>
    <n v="94997.160000000018"/>
    <n v="2.8399999999819556"/>
    <n v="0.9999701052631581"/>
    <n v="76000"/>
    <n v="19988.2"/>
    <n v="16833.2"/>
    <n v="17086.8"/>
    <n v="17146.2"/>
    <n v="71054.399999999994"/>
    <n v="4945.6000000000058"/>
    <n v="0.93492631578947361"/>
    <n v="76000"/>
    <n v="16640.599999999999"/>
    <n v="17085.2"/>
    <n v="18591"/>
    <n v="13719.6"/>
    <n v="66036.400000000009"/>
    <n v="9963.5999999999913"/>
    <n v="0.86890000000000012"/>
    <n v="95000"/>
    <n v="14046.2"/>
    <n v="16098.4"/>
    <n v="15390.6"/>
    <n v="20440.599999999999"/>
    <n v="14689"/>
    <n v="80664.799999999988"/>
    <n v="14335.200000000012"/>
    <n v="0.84910315789473667"/>
    <n v="76000"/>
    <n v="14009.4"/>
    <n v="15950.8"/>
    <n v="15317.05"/>
    <n v="16442.400000000001"/>
    <n v="61719.65"/>
    <n v="14280.349999999999"/>
    <n v="0.81210065789473684"/>
    <n v="76000"/>
    <n v="17661.400000000001"/>
    <n v="17389"/>
    <n v="27560.2"/>
    <n v="22616.2"/>
    <n v="85226.8"/>
    <n v="-9226.8000000000029"/>
    <n v="1.1214052631578948"/>
    <n v="169461"/>
    <n v="24652.400000000001"/>
    <n v="33602.6"/>
    <n v="69441"/>
    <n v="57754.400000000001"/>
    <n v="28785.599999999999"/>
    <n v="214236"/>
    <n v="-44775"/>
    <n v="1.2642200860374952"/>
    <n v="69744"/>
    <n v="20125.8"/>
    <n v="21555.8"/>
    <n v="21006"/>
    <n v="20870"/>
    <n v="83557.600000000006"/>
    <n v="-13813.600000000006"/>
  </r>
  <r>
    <x v="0"/>
    <s v="A14"/>
    <n v="49780"/>
    <n v="17320.599999999999"/>
    <n v="12120.8"/>
    <n v="13205.2"/>
    <n v="14084.6"/>
    <n v="56731.199999999997"/>
    <n v="-6951.1999999999971"/>
    <n v="1.1396384089995981"/>
    <n v="62225"/>
    <n v="13266"/>
    <n v="13059.8"/>
    <n v="16023.4"/>
    <n v="12755.2"/>
    <n v="12795.2"/>
    <n v="67899.599999999991"/>
    <n v="-5674.5999999999913"/>
    <n v="1.0911948573724386"/>
    <n v="49780"/>
    <n v="12892.2"/>
    <n v="13613.8"/>
    <n v="8631.7999999999993"/>
    <n v="13003.8"/>
    <n v="48141.600000000006"/>
    <n v="1638.3999999999942"/>
    <n v="0.96708718360787471"/>
    <n v="49780"/>
    <n v="16017.8"/>
    <n v="12834.6"/>
    <n v="12168.8"/>
    <n v="10555.8"/>
    <n v="51577"/>
    <n v="-1797"/>
    <n v="1.0360988348734432"/>
    <n v="62225"/>
    <n v="10285.200000000001"/>
    <n v="13259.6"/>
    <n v="11695.4"/>
    <n v="13060.8"/>
    <n v="12968.6"/>
    <n v="61269.599999999999"/>
    <n v="955.40000000000146"/>
    <n v="0.98464604258738442"/>
    <n v="49780"/>
    <n v="14084.4"/>
    <n v="14085.2"/>
    <n v="12859.2"/>
    <n v="13258.4"/>
    <n v="54287.200000000004"/>
    <n v="-4507.2000000000044"/>
    <n v="1.0905423865006028"/>
    <n v="49780"/>
    <n v="12959.6"/>
    <n v="13057.6"/>
    <n v="13058.6"/>
    <n v="12959.6"/>
    <n v="52035.4"/>
    <n v="-2255.4000000000015"/>
    <n v="1.0453073523503416"/>
    <n v="62225"/>
    <n v="12926.4"/>
    <n v="13065.4"/>
    <n v="13058.4"/>
    <n v="18013.2"/>
    <n v="12726.4"/>
    <n v="69789.799999999988"/>
    <n v="-7564.7999999999884"/>
    <n v="1.1215717155484128"/>
    <n v="49780"/>
    <n v="13667"/>
    <n v="12729"/>
    <n v="14610.79"/>
    <n v="13083.8"/>
    <n v="54090.59"/>
    <n v="-4310.5899999999965"/>
    <n v="1.0865928083567697"/>
    <n v="49780"/>
    <n v="14935.4"/>
    <n v="15487.2"/>
    <n v="16703.2"/>
    <n v="13892.6"/>
    <n v="61018.400000000001"/>
    <n v="-11238.400000000001"/>
    <n v="1.2257613499397348"/>
    <n v="96862"/>
    <n v="13844.9"/>
    <n v="16131.8"/>
    <n v="28939"/>
    <n v="33402.800000000003"/>
    <n v="18031.400000000001"/>
    <n v="110349.9"/>
    <n v="-13487.899999999994"/>
    <n v="1.1392486217505315"/>
    <n v="61123"/>
    <n v="15472.2"/>
    <n v="15518.8"/>
    <n v="15178"/>
    <n v="15064"/>
    <n v="61233"/>
    <n v="-110"/>
  </r>
  <r>
    <x v="0"/>
    <s v="A15"/>
    <n v="54656"/>
    <n v="13273.2"/>
    <n v="11157.4"/>
    <n v="11255.6"/>
    <n v="11125.8"/>
    <n v="46812"/>
    <n v="7844"/>
    <n v="0.85648419203747073"/>
    <n v="68320"/>
    <n v="11205.2"/>
    <n v="11390.4"/>
    <n v="13470.6"/>
    <n v="11172.6"/>
    <n v="11907.4"/>
    <n v="59146.2"/>
    <n v="9173.8000000000029"/>
    <n v="0.86572306791569087"/>
    <n v="54656"/>
    <n v="11256.8"/>
    <n v="9926.7999999999993"/>
    <n v="10756"/>
    <n v="11255.8"/>
    <n v="43195.399999999994"/>
    <n v="11460.600000000006"/>
    <n v="0.7903139637002341"/>
    <n v="54656"/>
    <n v="13745.6"/>
    <n v="11656.6"/>
    <n v="10513.4"/>
    <n v="11972.6"/>
    <n v="47888.2"/>
    <n v="6767.8000000000029"/>
    <n v="0.87617461943793906"/>
    <n v="68320"/>
    <n v="11456.4"/>
    <n v="11411.6"/>
    <n v="11456.6"/>
    <n v="11455.8"/>
    <n v="11031.4"/>
    <n v="56811.799999999996"/>
    <n v="11508.200000000004"/>
    <n v="0.83155444964871184"/>
    <n v="54656"/>
    <n v="11456.8"/>
    <n v="11455.8"/>
    <n v="11456.4"/>
    <n v="11325.6"/>
    <n v="45694.6"/>
    <n v="8961.4000000000015"/>
    <n v="0.83603995901639339"/>
    <n v="54656"/>
    <n v="11996.2"/>
    <n v="12024.6"/>
    <n v="11556.6"/>
    <n v="11558"/>
    <n v="47135.4"/>
    <n v="7520.5999999999985"/>
    <n v="0.86240120023419209"/>
    <n v="68320"/>
    <n v="11555.6"/>
    <n v="11543.4"/>
    <n v="11325.8"/>
    <n v="13909.2"/>
    <n v="9859.2000000000007"/>
    <n v="58193.2"/>
    <n v="10126.800000000003"/>
    <n v="0.85177400468384068"/>
    <n v="54656"/>
    <n v="10005.200000000001"/>
    <n v="9355.7999999999993"/>
    <n v="11614"/>
    <n v="11558.2"/>
    <n v="42533.2"/>
    <n v="12122.800000000003"/>
    <n v="0.77819818501170956"/>
    <n v="54656"/>
    <n v="12121"/>
    <n v="11557.2"/>
    <n v="14901"/>
    <n v="11555.8"/>
    <n v="50135"/>
    <n v="4521"/>
    <n v="0.91728264051522246"/>
    <n v="69901"/>
    <n v="11556.4"/>
    <n v="11557.6"/>
    <n v="19949.400000000001"/>
    <n v="18937.400000000001"/>
    <n v="13033.2"/>
    <n v="75034"/>
    <n v="-5133"/>
    <n v="1.0734324258594297"/>
    <n v="48062"/>
    <n v="10787.6"/>
    <n v="11201.6"/>
    <n v="12916"/>
    <n v="12844"/>
    <n v="47749.2"/>
    <n v="312.80000000000291"/>
  </r>
  <r>
    <x v="0"/>
    <s v="A16"/>
    <n v="49504"/>
    <n v="17430.29"/>
    <n v="15112.09"/>
    <n v="13578.09"/>
    <n v="15428.29"/>
    <n v="61548.76"/>
    <n v="-12044.760000000002"/>
    <n v="1.2433088235294119"/>
    <n v="80000"/>
    <n v="13151.29"/>
    <n v="13263.29"/>
    <n v="19963.09"/>
    <n v="16452.599999999999"/>
    <n v="16565.09"/>
    <n v="79395.360000000001"/>
    <n v="604.63999999999942"/>
    <n v="0.99244200000000005"/>
    <n v="64000"/>
    <n v="16564.89"/>
    <n v="13577.2"/>
    <n v="14276.29"/>
    <n v="12548.69"/>
    <n v="56967.070000000007"/>
    <n v="7032.929999999993"/>
    <n v="0.89011046875000011"/>
    <n v="64000"/>
    <n v="17523.689999999999"/>
    <n v="17035.09"/>
    <n v="16109.29"/>
    <n v="14970.89"/>
    <n v="65638.959999999992"/>
    <n v="-1638.9599999999919"/>
    <n v="1.02560875"/>
    <n v="80000"/>
    <n v="16109.49"/>
    <n v="16564.89"/>
    <n v="16109.69"/>
    <n v="16109.29"/>
    <n v="16109.09"/>
    <n v="81002.45"/>
    <n v="-1002.4499999999971"/>
    <n v="1.0125306249999999"/>
    <n v="64000"/>
    <n v="15709.49"/>
    <n v="16564.09"/>
    <n v="14154.89"/>
    <n v="16392.490000000002"/>
    <n v="62820.960000000006"/>
    <n v="1179.0399999999936"/>
    <n v="0.9815775000000001"/>
    <n v="64000"/>
    <n v="15325.29"/>
    <n v="15677.69"/>
    <n v="14367.09"/>
    <n v="15018.29"/>
    <n v="60388.360000000008"/>
    <n v="3611.6399999999921"/>
    <n v="0.94356812500000009"/>
    <n v="80000"/>
    <n v="15496.09"/>
    <n v="15755.89"/>
    <n v="15877.29"/>
    <n v="19233.29"/>
    <n v="14020.89"/>
    <n v="80383.45"/>
    <n v="-383.44999999999709"/>
    <n v="1.004793125"/>
    <n v="64000"/>
    <n v="15496.09"/>
    <n v="15496.09"/>
    <n v="16565.490000000002"/>
    <n v="16383.49"/>
    <n v="63941.159999999996"/>
    <n v="58.840000000003783"/>
    <n v="0.99908062499999994"/>
    <n v="64000"/>
    <n v="16733.689999999999"/>
    <n v="16561.689999999999"/>
    <n v="21556.49"/>
    <n v="16718.29"/>
    <n v="71570.16"/>
    <n v="-7570.1600000000035"/>
    <n v="1.11828375"/>
    <n v="106047"/>
    <n v="17374.89"/>
    <n v="16809.29"/>
    <n v="26176.29"/>
    <n v="33756.089999999997"/>
    <n v="18678.89"/>
    <n v="112795.45"/>
    <n v="-6748.4499999999971"/>
    <n v="1.0636364064990051"/>
    <n v="72253"/>
    <n v="18520.89"/>
    <n v="16564.89"/>
    <n v="17262.96"/>
    <n v="17427.89"/>
    <n v="69776.63"/>
    <n v="2476.3699999999953"/>
  </r>
  <r>
    <x v="0"/>
    <s v="A17"/>
    <n v="66037"/>
    <n v="11494.6"/>
    <n v="11524.4"/>
    <n v="10235.4"/>
    <n v="10061.6"/>
    <n v="43316"/>
    <n v="22721"/>
    <n v="0.6559353089934431"/>
    <n v="60000"/>
    <n v="10494.8"/>
    <n v="9744.7999999999993"/>
    <n v="11895.6"/>
    <n v="10971.4"/>
    <n v="10456.6"/>
    <n v="53563.199999999997"/>
    <n v="6436.8000000000029"/>
    <n v="0.89271999999999996"/>
    <n v="48000"/>
    <n v="10790.2"/>
    <n v="10573"/>
    <n v="8403.6"/>
    <n v="12078.2"/>
    <n v="41845"/>
    <n v="6155"/>
    <n v="0.87177083333333338"/>
    <n v="48000"/>
    <n v="13314"/>
    <n v="11547"/>
    <n v="12552"/>
    <n v="11836.8"/>
    <n v="49249.8"/>
    <n v="-1249.8000000000029"/>
    <n v="1.0260375000000002"/>
    <n v="60000"/>
    <n v="12494.8"/>
    <n v="12323.6"/>
    <n v="10190.799999999999"/>
    <n v="3900.6"/>
    <n v="10764.69"/>
    <n v="49674.49"/>
    <n v="10325.510000000002"/>
    <n v="0.82790816666666667"/>
    <n v="48000"/>
    <n v="12338.49"/>
    <n v="11133.29"/>
    <n v="6028.2"/>
    <n v="8983.7999999999993"/>
    <n v="38483.78"/>
    <n v="9516.2200000000012"/>
    <n v="0.80174541666666665"/>
    <n v="48000"/>
    <n v="9540.6"/>
    <n v="7791"/>
    <n v="8883.7999999999993"/>
    <n v="7366.6"/>
    <n v="33582"/>
    <n v="14418"/>
    <n v="0.69962500000000005"/>
    <n v="60000"/>
    <n v="9577.4"/>
    <n v="10157.799999999999"/>
    <n v="10458.4"/>
    <n v="8660"/>
    <n v="10318.200000000001"/>
    <n v="49171.8"/>
    <n v="10828.199999999997"/>
    <n v="0.81953000000000009"/>
    <n v="48000"/>
    <n v="9832.6"/>
    <n v="8387.7999999999993"/>
    <n v="11420.6"/>
    <n v="13973.8"/>
    <n v="43614.8"/>
    <n v="4385.1999999999971"/>
    <n v="0.90864166666666668"/>
    <n v="48000"/>
    <n v="12016.6"/>
    <n v="11492.9"/>
    <n v="15272.8"/>
    <n v="11652.8"/>
    <n v="50435.100000000006"/>
    <n v="-2435.1000000000058"/>
    <n v="1.0507312500000001"/>
    <n v="86581"/>
    <n v="12333.6"/>
    <n v="16191"/>
    <n v="24764.799999999999"/>
    <n v="26925.599999999999"/>
    <n v="21480"/>
    <n v="101695"/>
    <n v="-15114"/>
    <n v="1.1745648583407444"/>
    <n v="49285"/>
    <n v="12525"/>
    <n v="12549"/>
    <n v="11445"/>
    <n v="13160"/>
    <n v="49679"/>
    <n v="-394"/>
  </r>
  <r>
    <x v="0"/>
    <s v="A18"/>
    <n v="45538"/>
    <n v="12876.8"/>
    <n v="11870.8"/>
    <n v="11691"/>
    <n v="11018.6"/>
    <n v="47457.2"/>
    <n v="-1919.1999999999971"/>
    <n v="1.0421450217400852"/>
    <n v="56922.5"/>
    <n v="12464.8"/>
    <n v="11376.6"/>
    <n v="15722.6"/>
    <n v="11193.6"/>
    <n v="12637"/>
    <n v="63394.6"/>
    <n v="-6472.0999999999985"/>
    <n v="1.1137002064210111"/>
    <n v="45538"/>
    <n v="12629.2"/>
    <n v="9925.6"/>
    <n v="10907.2"/>
    <n v="11894.4"/>
    <n v="45356.4"/>
    <n v="181.59999999999854"/>
    <n v="0.99601212174447717"/>
    <n v="45538"/>
    <n v="15390.4"/>
    <n v="13007.2"/>
    <n v="11805"/>
    <n v="11051.8"/>
    <n v="51254.399999999994"/>
    <n v="-5716.3999999999942"/>
    <n v="1.1255303263208747"/>
    <n v="56922.5"/>
    <n v="12622.4"/>
    <n v="14284.4"/>
    <n v="12938.8"/>
    <n v="15012.8"/>
    <n v="16184.8"/>
    <n v="71043.199999999997"/>
    <n v="-14120.699999999997"/>
    <n v="1.2480688655628267"/>
    <n v="45538"/>
    <n v="16631.599999999999"/>
    <n v="17905"/>
    <n v="15743.6"/>
    <n v="17033.8"/>
    <n v="67314"/>
    <n v="-21776"/>
    <n v="1.4781940357503622"/>
    <n v="45538"/>
    <n v="11960.4"/>
    <n v="11756.4"/>
    <n v="14150"/>
    <n v="12036"/>
    <n v="49902.8"/>
    <n v="-4364.8000000000029"/>
    <n v="1.095849620097501"/>
    <n v="56922.5"/>
    <n v="15058"/>
    <n v="14744.2"/>
    <n v="13042.4"/>
    <n v="18053.2"/>
    <n v="14435"/>
    <n v="75332.800000000003"/>
    <n v="-18410.300000000003"/>
    <n v="1.3234274671702755"/>
    <n v="45538"/>
    <n v="12259"/>
    <n v="13745.2"/>
    <n v="13662.93"/>
    <n v="13866.4"/>
    <n v="53533.530000000006"/>
    <n v="-7995.5300000000061"/>
    <n v="1.1755792964117882"/>
    <n v="45538"/>
    <n v="16309"/>
    <n v="16917.599999999999"/>
    <n v="20037.2"/>
    <n v="17171.8"/>
    <n v="70435.600000000006"/>
    <n v="-24897.600000000006"/>
    <n v="1.54674337915587"/>
    <n v="102021"/>
    <n v="17123.8"/>
    <n v="21771.8"/>
    <n v="30082.799999999999"/>
    <n v="43687.8"/>
    <n v="25797.4"/>
    <n v="138463.6"/>
    <n v="-36442.600000000006"/>
    <n v="1.3572068495701866"/>
    <n v="60493"/>
    <n v="17220"/>
    <n v="15405.8"/>
    <n v="19000"/>
    <n v="18315"/>
    <n v="69940.800000000003"/>
    <n v="-9447.8000000000029"/>
  </r>
  <r>
    <x v="0"/>
    <s v="A22"/>
    <n v="73267"/>
    <n v="15165.8"/>
    <n v="12056.6"/>
    <n v="12057.2"/>
    <n v="12056.6"/>
    <n v="51336.200000000004"/>
    <n v="21930.799999999996"/>
    <n v="0.70067288137906569"/>
    <n v="70000"/>
    <n v="12495"/>
    <n v="11862.8"/>
    <n v="11913"/>
    <n v="10483.4"/>
    <n v="12829.4"/>
    <n v="59583.600000000006"/>
    <n v="10416.399999999994"/>
    <n v="0.85119428571428579"/>
    <n v="56000"/>
    <n v="12245.2"/>
    <n v="14704.2"/>
    <n v="11185.2"/>
    <n v="12759.6"/>
    <n v="50894.200000000004"/>
    <n v="5105.7999999999956"/>
    <n v="0.9088250000000001"/>
    <n v="56000"/>
    <n v="17525.599999999999"/>
    <n v="12546.8"/>
    <n v="12257.4"/>
    <n v="12256.6"/>
    <n v="54586.399999999994"/>
    <n v="1413.6000000000058"/>
    <n v="0.97475714285714277"/>
    <n v="70000"/>
    <n v="13657.4"/>
    <n v="16512.2"/>
    <n v="16612.400000000001"/>
    <n v="16362.6"/>
    <n v="14045.4"/>
    <n v="77190"/>
    <n v="-7190"/>
    <n v="1.1027142857142858"/>
    <n v="56000"/>
    <n v="14456.6"/>
    <n v="15376.4"/>
    <n v="16513"/>
    <n v="16512.599999999999"/>
    <n v="62858.6"/>
    <n v="-6858.5999999999985"/>
    <n v="1.1224749999999999"/>
    <n v="56000"/>
    <n v="15123"/>
    <n v="15012.2"/>
    <n v="14939.8"/>
    <n v="17817.8"/>
    <n v="62892.800000000003"/>
    <n v="-6892.8000000000029"/>
    <n v="1.1230857142857142"/>
    <n v="70000"/>
    <n v="15169.4"/>
    <n v="11805.6"/>
    <n v="13151.4"/>
    <n v="14486.2"/>
    <n v="15635.4"/>
    <n v="70248"/>
    <n v="-248"/>
    <n v="1.0035428571428571"/>
    <n v="56000"/>
    <n v="16396.400000000001"/>
    <n v="15575"/>
    <n v="12564.2"/>
    <n v="15091.6"/>
    <n v="59627.200000000004"/>
    <n v="-3627.2000000000044"/>
    <n v="1.0647714285714287"/>
    <n v="56000"/>
    <n v="16251"/>
    <n v="16632.8"/>
    <n v="17842.8"/>
    <n v="15530.4"/>
    <n v="66257"/>
    <n v="-10257"/>
    <n v="1.1831607142857143"/>
    <n v="94189"/>
    <n v="14890.4"/>
    <n v="23026.799999999999"/>
    <n v="26100.799999999999"/>
    <n v="41100"/>
    <n v="16424"/>
    <n v="121542"/>
    <n v="-27353"/>
    <n v="1.2904054613596068"/>
    <n v="67379"/>
    <n v="15564.2"/>
    <n v="15298.8"/>
    <n v="17724"/>
    <n v="9252"/>
    <n v="57839"/>
    <n v="9540"/>
  </r>
  <r>
    <x v="0"/>
    <s v="A23"/>
    <n v="60002"/>
    <n v="14806"/>
    <n v="11097"/>
    <n v="11257.4"/>
    <n v="9185"/>
    <n v="46345.4"/>
    <n v="13656.599999999999"/>
    <n v="0.77239758674710846"/>
    <n v="65000"/>
    <n v="8829.2000000000007"/>
    <n v="8060.4"/>
    <n v="10770.2"/>
    <n v="9795.2000000000007"/>
    <n v="7888"/>
    <n v="45343"/>
    <n v="19657"/>
    <n v="0.69758461538461536"/>
    <n v="52000"/>
    <n v="10810.4"/>
    <n v="11492.6"/>
    <n v="11365.6"/>
    <n v="12766.6"/>
    <n v="46435.199999999997"/>
    <n v="5564.8000000000029"/>
    <n v="0.89298461538461538"/>
    <n v="52000"/>
    <n v="15057.6"/>
    <n v="13140.4"/>
    <n v="13734"/>
    <n v="13436"/>
    <n v="55368"/>
    <n v="-3368"/>
    <n v="1.0647692307692307"/>
    <n v="65000"/>
    <n v="14256.8"/>
    <n v="14258.4"/>
    <n v="14357.4"/>
    <n v="14587.8"/>
    <n v="14594.2"/>
    <n v="72054.599999999991"/>
    <n v="-7054.5999999999913"/>
    <n v="1.1085323076923075"/>
    <n v="52000"/>
    <n v="14280.8"/>
    <n v="14158.4"/>
    <n v="12742.4"/>
    <n v="12029.4"/>
    <n v="53211"/>
    <n v="-1211"/>
    <n v="1.0232884615384616"/>
    <n v="52000"/>
    <n v="12218"/>
    <n v="14578.2"/>
    <n v="13258.2"/>
    <n v="14457.2"/>
    <n v="54511.600000000006"/>
    <n v="-2511.6000000000058"/>
    <n v="1.0483"/>
    <n v="65000"/>
    <n v="13156.2"/>
    <n v="11227.2"/>
    <n v="11025.2"/>
    <n v="14297"/>
    <n v="11755.6"/>
    <n v="61461.200000000004"/>
    <n v="3538.7999999999956"/>
    <n v="0.94555692307692318"/>
    <n v="52000"/>
    <n v="10768"/>
    <n v="9229.4"/>
    <n v="11625.4"/>
    <n v="11557.2"/>
    <n v="43180"/>
    <n v="8820"/>
    <n v="0.83038461538461539"/>
    <n v="52000"/>
    <n v="14621.4"/>
    <n v="14736.2"/>
    <n v="16980.599999999999"/>
    <n v="12893.2"/>
    <n v="59231.399999999994"/>
    <n v="-7231.3999999999942"/>
    <n v="1.1390653846153844"/>
    <n v="90277"/>
    <n v="13846"/>
    <n v="16861.599999999999"/>
    <n v="24089.200000000001"/>
    <n v="31172.2"/>
    <n v="16845"/>
    <n v="102814"/>
    <n v="-12537"/>
    <n v="1.1388725810560829"/>
    <n v="48793"/>
    <n v="12020.6"/>
    <n v="10753.6"/>
    <n v="13535"/>
    <n v="12185"/>
    <n v="48494.2"/>
    <n v="298.80000000000291"/>
  </r>
  <r>
    <x v="0"/>
    <s v="A24"/>
    <n v="76112"/>
    <n v="21053.8"/>
    <n v="16259"/>
    <n v="17124.400000000001"/>
    <n v="16249.8"/>
    <n v="70687"/>
    <n v="5425"/>
    <n v="0.92872346016396889"/>
    <n v="95140"/>
    <n v="16292"/>
    <n v="15238.4"/>
    <n v="18917.599999999999"/>
    <n v="16270.4"/>
    <n v="15865.4"/>
    <n v="82583.799999999988"/>
    <n v="12556.200000000012"/>
    <n v="0.86802396468362397"/>
    <n v="76112"/>
    <n v="14814.8"/>
    <n v="12995.8"/>
    <n v="9522.7999999999993"/>
    <n v="13134.2"/>
    <n v="50467.599999999991"/>
    <n v="25644.400000000009"/>
    <n v="0.66307021231868812"/>
    <n v="64000"/>
    <n v="17269.599999999999"/>
    <n v="14985"/>
    <n v="15157.4"/>
    <n v="14980.6"/>
    <n v="62392.6"/>
    <n v="1607.4000000000015"/>
    <n v="0.97488437500000003"/>
    <n v="80000"/>
    <n v="13628.6"/>
    <n v="14509"/>
    <n v="13406"/>
    <n v="16785.8"/>
    <n v="17639"/>
    <n v="75968.399999999994"/>
    <n v="4031.6000000000058"/>
    <n v="0.94960499999999992"/>
    <n v="64000"/>
    <n v="17395.599999999999"/>
    <n v="17095.2"/>
    <n v="16258.8"/>
    <n v="17708.599999999999"/>
    <n v="68458.200000000012"/>
    <n v="-4458.2000000000116"/>
    <n v="1.0696593750000001"/>
    <n v="64000"/>
    <n v="17479.2"/>
    <n v="17467.8"/>
    <n v="16354.8"/>
    <n v="20894"/>
    <n v="72195.8"/>
    <n v="-8195.8000000000029"/>
    <n v="1.1280593750000001"/>
    <n v="80000"/>
    <n v="18631"/>
    <n v="16581.400000000001"/>
    <n v="20898.8"/>
    <n v="18834.8"/>
    <n v="15854.2"/>
    <n v="90800.2"/>
    <n v="-10800.199999999997"/>
    <n v="1.1350024999999999"/>
    <n v="64000"/>
    <n v="13523"/>
    <n v="14803.2"/>
    <n v="17145"/>
    <n v="17136"/>
    <n v="62607.199999999997"/>
    <n v="1392.8000000000029"/>
    <n v="0.97823749999999998"/>
    <n v="64000"/>
    <n v="16339.8"/>
    <n v="14884.4"/>
    <n v="21697.200000000001"/>
    <n v="23363.200000000001"/>
    <n v="76284.599999999991"/>
    <n v="-12284.599999999991"/>
    <n v="1.191946875"/>
    <n v="145475"/>
    <n v="25210.400000000001"/>
    <n v="30372.5"/>
    <n v="49713.8"/>
    <n v="57475.8"/>
    <n v="31200.799999999999"/>
    <n v="193973.3"/>
    <n v="-48498.299999999988"/>
    <n v="1.3333789310878157"/>
    <n v="70746"/>
    <n v="20460.400000000001"/>
    <n v="17438"/>
    <n v="19665"/>
    <n v="19345"/>
    <n v="76908.399999999994"/>
    <n v="-6162.3999999999942"/>
  </r>
  <r>
    <x v="0"/>
    <s v="E1"/>
    <n v="60256"/>
    <n v="17881.8"/>
    <n v="14490.2"/>
    <n v="14674.8"/>
    <n v="14111"/>
    <n v="61157.8"/>
    <n v="-901.80000000000291"/>
    <n v="1.0149661444503453"/>
    <n v="75320"/>
    <n v="14498.2"/>
    <n v="14472"/>
    <n v="17286.400000000001"/>
    <n v="14170.2"/>
    <n v="16079"/>
    <n v="76505.8"/>
    <n v="-1185.8000000000029"/>
    <n v="1.015743494423792"/>
    <n v="60256"/>
    <n v="14479.4"/>
    <n v="14147.4"/>
    <n v="12813.2"/>
    <n v="12722.8"/>
    <n v="54162.8"/>
    <n v="6093.1999999999971"/>
    <n v="0.89887812002124279"/>
    <n v="60256"/>
    <n v="15114.4"/>
    <n v="10438.4"/>
    <n v="11637.8"/>
    <n v="12448"/>
    <n v="49638.6"/>
    <n v="10617.400000000001"/>
    <n v="0.82379514073287308"/>
    <n v="75320"/>
    <n v="13624.6"/>
    <n v="13458.6"/>
    <n v="14445.8"/>
    <n v="12678.8"/>
    <n v="15533.2"/>
    <n v="69741"/>
    <n v="5579"/>
    <n v="0.9259293680297398"/>
    <n v="60256"/>
    <n v="19236.8"/>
    <n v="16236.6"/>
    <n v="15560.6"/>
    <n v="15579.4"/>
    <n v="66613.399999999994"/>
    <n v="-6357.3999999999942"/>
    <n v="1.1055065055762081"/>
    <n v="60256"/>
    <n v="15833.4"/>
    <n v="16887.2"/>
    <n v="17017.8"/>
    <n v="17233"/>
    <n v="66971.399999999994"/>
    <n v="-6715.3999999999942"/>
    <n v="1.1114478226234732"/>
    <n v="75320"/>
    <n v="13896"/>
    <n v="15922.4"/>
    <n v="15920"/>
    <n v="19138.400000000001"/>
    <n v="15851.6"/>
    <n v="80728.400000000009"/>
    <n v="-5408.4000000000087"/>
    <n v="1.0718056293149232"/>
    <n v="60256"/>
    <n v="16793.2"/>
    <n v="13454.48"/>
    <n v="14888.28"/>
    <n v="15868.48"/>
    <n v="61004.44"/>
    <n v="-748.44000000000233"/>
    <n v="1.0124210037174721"/>
    <n v="60256"/>
    <n v="15841.48"/>
    <n v="14040.08"/>
    <n v="16800.080000000002"/>
    <n v="14958.48"/>
    <n v="61640.119999999995"/>
    <n v="-1384.1199999999953"/>
    <n v="1.0229706585236324"/>
    <n v="111631"/>
    <n v="16189.68"/>
    <n v="22286.799999999999"/>
    <n v="21674.68"/>
    <n v="22413.88"/>
    <n v="27625.88"/>
    <n v="110190.92"/>
    <n v="1440.0800000000017"/>
    <n v="0.98709964078078671"/>
    <n v="68935"/>
    <n v="27349.08"/>
    <n v="17637.88"/>
    <n v="15493.88"/>
    <n v="16555.68"/>
    <n v="77036.52"/>
    <n v="-8101.5200000000041"/>
  </r>
  <r>
    <x v="0"/>
    <s v="E2"/>
    <n v="92000"/>
    <n v="33694.800000000003"/>
    <n v="25373.4"/>
    <n v="19329.8"/>
    <n v="17483"/>
    <n v="95881"/>
    <n v="-3881"/>
    <n v="1.0421847826086956"/>
    <n v="115000"/>
    <n v="16433"/>
    <n v="19156.8"/>
    <n v="16332.8"/>
    <n v="14606.4"/>
    <n v="15790.6"/>
    <n v="82319.600000000006"/>
    <n v="32680.399999999994"/>
    <n v="0.71582260869565217"/>
    <n v="92000"/>
    <n v="15123.6"/>
    <n v="14266.6"/>
    <n v="16461.599999999999"/>
    <n v="15760"/>
    <n v="61611.8"/>
    <n v="30388.199999999997"/>
    <n v="0.66969347826086956"/>
    <n v="64000"/>
    <n v="13954.2"/>
    <n v="16104.8"/>
    <n v="15592.4"/>
    <n v="14455"/>
    <n v="60106.400000000001"/>
    <n v="3893.5999999999985"/>
    <n v="0.93916250000000001"/>
    <n v="80000"/>
    <n v="13996"/>
    <n v="21889.200000000001"/>
    <n v="22663.599999999999"/>
    <n v="25975.8"/>
    <n v="25149.599999999999"/>
    <n v="109674.19999999998"/>
    <n v="-29674.199999999983"/>
    <n v="1.3709274999999999"/>
    <n v="64000"/>
    <n v="24339.200000000001"/>
    <n v="23837.599999999999"/>
    <n v="24292.6"/>
    <n v="20497.8"/>
    <n v="92967.2"/>
    <n v="-28967.199999999997"/>
    <n v="1.4526124999999999"/>
    <n v="64000"/>
    <n v="16547.2"/>
    <n v="16427.2"/>
    <n v="15710.6"/>
    <n v="18146.599999999999"/>
    <n v="66831.600000000006"/>
    <n v="-2831.6000000000058"/>
    <n v="1.0442437500000001"/>
    <n v="80000"/>
    <n v="18056"/>
    <n v="19261.8"/>
    <n v="31304.799999999999"/>
    <n v="30018.2"/>
    <n v="23799.200000000001"/>
    <n v="122440"/>
    <n v="-42440"/>
    <n v="1.5305"/>
    <n v="64000"/>
    <n v="22473"/>
    <n v="22722"/>
    <n v="25416.799999999999"/>
    <n v="24455.4"/>
    <n v="95067.200000000012"/>
    <n v="-31067.200000000012"/>
    <n v="1.4854250000000002"/>
    <n v="64000"/>
    <n v="30350.400000000001"/>
    <n v="27477.200000000001"/>
    <n v="35528.400000000001"/>
    <n v="30346.6"/>
    <n v="123702.6"/>
    <n v="-59702.600000000006"/>
    <n v="1.9328531250000001"/>
    <n v="188202"/>
    <n v="30500"/>
    <n v="34559.4"/>
    <n v="35228"/>
    <n v="43698.400000000001"/>
    <n v="45134"/>
    <n v="189119.8"/>
    <n v="-917.79999999998836"/>
    <n v="1.0048766750619016"/>
    <n v="107426"/>
    <n v="36695.199999999997"/>
    <n v="35624.800000000003"/>
    <n v="31953.599999999999"/>
    <n v="25373.8"/>
    <n v="129647.40000000001"/>
    <n v="-22221.400000000009"/>
  </r>
  <r>
    <x v="0"/>
    <s v="E3"/>
    <n v="59456"/>
    <n v="17887.8"/>
    <n v="15896.8"/>
    <n v="15889.4"/>
    <n v="14063.4"/>
    <n v="63737.4"/>
    <n v="-4281.4000000000015"/>
    <n v="1.0720095532831002"/>
    <n v="74320"/>
    <n v="13593.6"/>
    <n v="13588.8"/>
    <n v="16874.599999999999"/>
    <n v="13588.4"/>
    <n v="13588.8"/>
    <n v="71234.2"/>
    <n v="3085.8000000000029"/>
    <n v="0.95847954790096879"/>
    <n v="59456"/>
    <n v="13588.4"/>
    <n v="13588.8"/>
    <n v="13538.6"/>
    <n v="12316.2"/>
    <n v="53032"/>
    <n v="6424"/>
    <n v="0.8919537136706136"/>
    <n v="59456"/>
    <n v="13319.4"/>
    <n v="13714.6"/>
    <n v="14227.8"/>
    <n v="12185"/>
    <n v="53446.8"/>
    <n v="6009.1999999999971"/>
    <n v="0.89893030139935415"/>
    <n v="74320"/>
    <n v="12043.4"/>
    <n v="12184.4"/>
    <n v="11800.2"/>
    <n v="14204.4"/>
    <n v="13772.2"/>
    <n v="64004.600000000006"/>
    <n v="10315.399999999994"/>
    <n v="0.86120290635091501"/>
    <n v="59456"/>
    <n v="14208.4"/>
    <n v="13497"/>
    <n v="13497"/>
    <n v="14206.6"/>
    <n v="55409"/>
    <n v="4047"/>
    <n v="0.93193285791173308"/>
    <n v="59456"/>
    <n v="14207.6"/>
    <n v="14081.4"/>
    <n v="14757.8"/>
    <n v="13603.8"/>
    <n v="56650.600000000006"/>
    <n v="2805.3999999999942"/>
    <n v="0.95281552744886988"/>
    <n v="74320"/>
    <n v="15695.2"/>
    <n v="14052.2"/>
    <n v="13927.6"/>
    <n v="18608.8"/>
    <n v="11000.6"/>
    <n v="73284.400000000009"/>
    <n v="1035.5999999999913"/>
    <n v="0.98606566200215295"/>
    <n v="59456"/>
    <n v="14854.8"/>
    <n v="14842.6"/>
    <n v="13844.8"/>
    <n v="14494.2"/>
    <n v="58036.399999999994"/>
    <n v="1419.6000000000058"/>
    <n v="0.9761235199138858"/>
    <n v="59456"/>
    <n v="15121.4"/>
    <n v="14662"/>
    <n v="17901.8"/>
    <n v="14422.6"/>
    <n v="62107.799999999996"/>
    <n v="-2651.7999999999956"/>
    <n v="1.0446010495156082"/>
    <n v="84865"/>
    <n v="15824.8"/>
    <n v="19552.599999999999"/>
    <n v="25594.799999999999"/>
    <n v="29827.4"/>
    <n v="26776"/>
    <n v="117575.6"/>
    <n v="-32710.600000000006"/>
    <n v="1.3854427620338186"/>
    <n v="65581"/>
    <n v="18658.400000000001"/>
    <n v="16368.2"/>
    <n v="16793.599999999999"/>
    <n v="16757"/>
    <n v="68577.200000000012"/>
    <n v="-2996.2000000000116"/>
  </r>
  <r>
    <x v="0"/>
    <s v="E4"/>
    <n v="101560"/>
    <n v="22607"/>
    <n v="19833.599999999999"/>
    <n v="19591.400000000001"/>
    <n v="18384.400000000001"/>
    <n v="80416.399999999994"/>
    <n v="21143.600000000006"/>
    <n v="0.79181173690429296"/>
    <n v="126950"/>
    <n v="17054.400000000001"/>
    <n v="15830.8"/>
    <n v="19502.400000000001"/>
    <n v="15521.4"/>
    <n v="15880.8"/>
    <n v="83789.8"/>
    <n v="43160.2"/>
    <n v="0.66002205592753049"/>
    <n v="101560"/>
    <n v="19402.400000000001"/>
    <n v="18974.2"/>
    <n v="17398"/>
    <n v="14832.2"/>
    <n v="70606.8"/>
    <n v="30953.199999999997"/>
    <n v="0.69522252855454902"/>
    <n v="64000"/>
    <n v="18814.2"/>
    <n v="17631.599999999999"/>
    <n v="12890.6"/>
    <n v="16519"/>
    <n v="65855.399999999994"/>
    <n v="-1855.3999999999942"/>
    <n v="1.0289906249999998"/>
    <n v="80000"/>
    <n v="16747.400000000001"/>
    <n v="15326.4"/>
    <n v="22458.2"/>
    <n v="17995.599999999999"/>
    <n v="17578.599999999999"/>
    <n v="90106.200000000012"/>
    <n v="-10106.200000000012"/>
    <n v="1.1263275000000001"/>
    <n v="64000"/>
    <n v="19879.8"/>
    <n v="21220.2"/>
    <n v="20147.2"/>
    <n v="20843.400000000001"/>
    <n v="82090.600000000006"/>
    <n v="-18090.600000000006"/>
    <n v="1.2826656250000001"/>
    <n v="64000"/>
    <n v="20662.400000000001"/>
    <n v="24623.4"/>
    <n v="21427.8"/>
    <n v="22716"/>
    <n v="89429.6"/>
    <n v="-25429.600000000006"/>
    <n v="1.3973375000000001"/>
    <n v="80000"/>
    <n v="23169.8"/>
    <n v="19327.2"/>
    <n v="21060"/>
    <n v="25276.2"/>
    <n v="18435.400000000001"/>
    <n v="107268.6"/>
    <n v="-27268.600000000006"/>
    <n v="1.3408575"/>
    <n v="64000"/>
    <n v="17817.599999999999"/>
    <n v="17396.599999999999"/>
    <n v="16584.400000000001"/>
    <n v="17568.400000000001"/>
    <n v="69367"/>
    <n v="-5367"/>
    <n v="1.0838593750000001"/>
    <n v="64000"/>
    <n v="25498.400000000001"/>
    <n v="23582.6"/>
    <n v="29033.8"/>
    <n v="23670.6"/>
    <n v="101785.4"/>
    <n v="-37785.399999999994"/>
    <n v="1.5903968749999999"/>
    <n v="139885"/>
    <n v="27471.8"/>
    <n v="35405.599999999999"/>
    <n v="44234"/>
    <n v="51458.6"/>
    <n v="51432.2"/>
    <n v="210002.2"/>
    <n v="-70117.200000000012"/>
    <n v="1.5012488830110449"/>
    <n v="78385"/>
    <n v="46278.2"/>
    <n v="29546.799999999999"/>
    <n v="27803.8"/>
    <n v="28829.4"/>
    <n v="132458.20000000001"/>
    <n v="-54073.200000000012"/>
  </r>
  <r>
    <x v="0"/>
    <s v="E5"/>
    <n v="93172"/>
    <n v="19797.8"/>
    <n v="16159.4"/>
    <n v="18694.599999999999"/>
    <n v="17926.400000000001"/>
    <n v="72578.2"/>
    <n v="20593.800000000003"/>
    <n v="0.77897007684712138"/>
    <n v="116465"/>
    <n v="17159"/>
    <n v="20260.400000000001"/>
    <n v="24718.6"/>
    <n v="19650.8"/>
    <n v="19831.400000000001"/>
    <n v="101620.20000000001"/>
    <n v="14844.799999999988"/>
    <n v="0.87253853088910838"/>
    <n v="93172"/>
    <n v="19169.8"/>
    <n v="19634.2"/>
    <n v="18747.400000000001"/>
    <n v="20099.2"/>
    <n v="77650.600000000006"/>
    <n v="15521.399999999994"/>
    <n v="0.83341132529085993"/>
    <n v="84000"/>
    <n v="24488.6"/>
    <n v="20236"/>
    <n v="14816.6"/>
    <n v="16290"/>
    <n v="75831.199999999997"/>
    <n v="8168.8000000000029"/>
    <n v="0.90275238095238097"/>
    <n v="105000"/>
    <n v="16728"/>
    <n v="19401.8"/>
    <n v="18827.099999999999"/>
    <n v="16784.599999999999"/>
    <n v="23792.6"/>
    <n v="95534.1"/>
    <n v="9465.8999999999942"/>
    <n v="0.90984857142857145"/>
    <n v="84000"/>
    <n v="22179"/>
    <n v="21659.4"/>
    <n v="21434.400000000001"/>
    <n v="19760.599999999999"/>
    <n v="85033.4"/>
    <n v="-1033.3999999999942"/>
    <n v="1.0123023809523808"/>
    <n v="84000"/>
    <n v="18033.8"/>
    <n v="18106.8"/>
    <n v="16456"/>
    <n v="16785.599999999999"/>
    <n v="69382.2"/>
    <n v="14617.800000000003"/>
    <n v="0.82597857142857134"/>
    <n v="105000"/>
    <n v="17846.599999999999"/>
    <n v="17781.8"/>
    <n v="15329.8"/>
    <n v="18929"/>
    <n v="17067"/>
    <n v="86954.2"/>
    <n v="18045.800000000003"/>
    <n v="0.82813523809523804"/>
    <n v="84000"/>
    <n v="19051.400000000001"/>
    <n v="18865.400000000001"/>
    <n v="21299.8"/>
    <n v="23469.8"/>
    <n v="82686.400000000009"/>
    <n v="1313.5999999999913"/>
    <n v="0.98436190476190488"/>
    <n v="84000"/>
    <n v="23022.2"/>
    <n v="23650.6"/>
    <n v="32496.1"/>
    <n v="28377.4"/>
    <n v="107546.29999999999"/>
    <n v="-23546.299999999988"/>
    <n v="1.280313095238095"/>
    <n v="195834"/>
    <n v="35178.199999999997"/>
    <n v="52121.15"/>
    <n v="37981.800000000003"/>
    <n v="40555"/>
    <n v="38147.800000000003"/>
    <n v="203983.95"/>
    <n v="-8149.9500000000116"/>
    <n v="1.0416166242838323"/>
    <n v="93435"/>
    <n v="28817.599999999999"/>
    <n v="25040.2"/>
    <n v="27477.8"/>
    <n v="25574"/>
    <n v="106909.6"/>
    <n v="-13474.600000000006"/>
  </r>
  <r>
    <x v="0"/>
    <s v="E6"/>
    <n v="53932"/>
    <n v="18194"/>
    <n v="16088.4"/>
    <n v="14484.2"/>
    <n v="14484.8"/>
    <n v="63251.400000000009"/>
    <n v="-9319.4000000000087"/>
    <n v="1.1727990803233703"/>
    <n v="67415"/>
    <n v="14312"/>
    <n v="13067"/>
    <n v="17231.8"/>
    <n v="14495.4"/>
    <n v="14500"/>
    <n v="73606.200000000012"/>
    <n v="-6191.2000000000116"/>
    <n v="1.0918371282355561"/>
    <n v="53932"/>
    <n v="14486.2"/>
    <n v="13693"/>
    <n v="12948.6"/>
    <n v="13792.2"/>
    <n v="54920"/>
    <n v="-988"/>
    <n v="1.0183193651264555"/>
    <n v="53932"/>
    <n v="18012.2"/>
    <n v="13394.8"/>
    <n v="11508.8"/>
    <n v="10238"/>
    <n v="53153.8"/>
    <n v="778.19999999999709"/>
    <n v="0.98557071868278578"/>
    <n v="67415"/>
    <n v="15485.2"/>
    <n v="12766.4"/>
    <n v="13167.2"/>
    <n v="14492"/>
    <n v="16144.4"/>
    <n v="72055.199999999997"/>
    <n v="-4640.1999999999971"/>
    <n v="1.0688303789957725"/>
    <n v="53932"/>
    <n v="16691.8"/>
    <n v="16443"/>
    <n v="16443"/>
    <n v="13832.4"/>
    <n v="63410.200000000004"/>
    <n v="-9478.2000000000044"/>
    <n v="1.1757435288882296"/>
    <n v="53932"/>
    <n v="16406.400000000001"/>
    <n v="16054.8"/>
    <n v="15446.4"/>
    <n v="16563.400000000001"/>
    <n v="64471"/>
    <n v="-10539"/>
    <n v="1.1954127419713714"/>
    <n v="67415"/>
    <n v="16615.2"/>
    <n v="15220.6"/>
    <n v="14252.2"/>
    <n v="17975"/>
    <n v="13806.4"/>
    <n v="77869.399999999994"/>
    <n v="-10454.399999999994"/>
    <n v="1.1550752799821997"/>
    <n v="53932"/>
    <n v="14235"/>
    <n v="13787.6"/>
    <n v="16688.2"/>
    <n v="15955.4"/>
    <n v="60666.200000000004"/>
    <n v="-6734.2000000000044"/>
    <n v="1.1248646443669807"/>
    <n v="53932"/>
    <n v="13944.8"/>
    <n v="12582"/>
    <n v="18390"/>
    <n v="15220.2"/>
    <n v="60137"/>
    <n v="-6205"/>
    <n v="1.115052288066454"/>
    <n v="84888"/>
    <n v="15407.6"/>
    <n v="20083.8"/>
    <n v="19777.2"/>
    <n v="21651.4"/>
    <n v="24714"/>
    <n v="101634"/>
    <n v="-16746"/>
    <n v="1.197271699180096"/>
    <n v="68553"/>
    <n v="18003.8"/>
    <n v="15507.8"/>
    <n v="15468.4"/>
    <n v="15669"/>
    <n v="64649"/>
    <n v="3904"/>
  </r>
  <r>
    <x v="0"/>
    <s v="E7"/>
    <n v="67856"/>
    <n v="14293"/>
    <n v="11705.4"/>
    <n v="13761.4"/>
    <n v="11730.4"/>
    <n v="51490.200000000004"/>
    <n v="16365.799999999996"/>
    <n v="0.7588157274227777"/>
    <n v="84820"/>
    <n v="12531"/>
    <n v="11567.6"/>
    <n v="15319.8"/>
    <n v="12672.8"/>
    <n v="12593.4"/>
    <n v="64684.6"/>
    <n v="20135.400000000001"/>
    <n v="0.76261023343551049"/>
    <n v="67856"/>
    <n v="11543.8"/>
    <n v="11328.8"/>
    <n v="11836.6"/>
    <n v="12313.8"/>
    <n v="47023"/>
    <n v="20833"/>
    <n v="0.69298219759490687"/>
    <n v="52000"/>
    <n v="15143.4"/>
    <n v="13040"/>
    <n v="11760.4"/>
    <n v="13144.4"/>
    <n v="53088.200000000004"/>
    <n v="-1088.2000000000044"/>
    <n v="1.0209269230769231"/>
    <n v="65000"/>
    <n v="10771"/>
    <n v="13911.8"/>
    <n v="13460.4"/>
    <n v="12389.4"/>
    <n v="11080.4"/>
    <n v="61613"/>
    <n v="3387"/>
    <n v="0.9478923076923077"/>
    <n v="52000"/>
    <n v="12456.4"/>
    <n v="14671.2"/>
    <n v="12641.2"/>
    <n v="14272.6"/>
    <n v="54041.4"/>
    <n v="-2041.4000000000015"/>
    <n v="1.0392576923076924"/>
    <n v="52000"/>
    <n v="13494.2"/>
    <n v="14219"/>
    <n v="13725"/>
    <n v="14420.2"/>
    <n v="55858.399999999994"/>
    <n v="-3858.3999999999942"/>
    <n v="1.0741999999999998"/>
    <n v="65000"/>
    <n v="13111.6"/>
    <n v="11528"/>
    <n v="12935.8"/>
    <n v="14931.4"/>
    <n v="12149"/>
    <n v="64655.799999999996"/>
    <n v="344.20000000000437"/>
    <n v="0.9947046153846153"/>
    <n v="52000"/>
    <n v="13896.8"/>
    <n v="14137.4"/>
    <n v="13957"/>
    <n v="13798.4"/>
    <n v="55789.599999999999"/>
    <n v="-3789.5999999999985"/>
    <n v="1.0728769230769231"/>
    <n v="52000"/>
    <n v="13235.6"/>
    <n v="14387.4"/>
    <n v="19818.2"/>
    <n v="16103.8"/>
    <n v="63545"/>
    <n v="-11545"/>
    <n v="1.2220192307692308"/>
    <n v="85614"/>
    <n v="16206.6"/>
    <n v="15682.4"/>
    <n v="17669.400000000001"/>
    <n v="19510.599999999999"/>
    <n v="20271.2"/>
    <n v="89340.2"/>
    <n v="-3726.1999999999971"/>
    <n v="1.0435232555423177"/>
    <n v="63043"/>
    <n v="19749.599999999999"/>
    <n v="16844.599999999999"/>
    <n v="17453.8"/>
    <n v="16226.6"/>
    <n v="70274.600000000006"/>
    <n v="-7231.6000000000058"/>
  </r>
  <r>
    <x v="0"/>
    <s v="E8"/>
    <n v="82500"/>
    <n v="27051.8"/>
    <n v="18803"/>
    <n v="23100.799999999999"/>
    <n v="25940"/>
    <n v="94895.6"/>
    <n v="-12395.600000000006"/>
    <n v="1.1502496969696971"/>
    <n v="103125"/>
    <n v="25940.400000000001"/>
    <n v="25444.2"/>
    <n v="33347.199999999997"/>
    <n v="25761.599999999999"/>
    <n v="25440.2"/>
    <n v="135933.6"/>
    <n v="-32808.600000000006"/>
    <n v="1.318144"/>
    <n v="82500"/>
    <n v="25928"/>
    <n v="22443.599999999999"/>
    <n v="23353"/>
    <n v="25434"/>
    <n v="97158.6"/>
    <n v="-14658.600000000006"/>
    <n v="1.1776800000000001"/>
    <n v="82500"/>
    <n v="28239.4"/>
    <n v="28294.400000000001"/>
    <n v="25243.8"/>
    <n v="25939.200000000001"/>
    <n v="107716.8"/>
    <n v="-25216.800000000003"/>
    <n v="1.3056581818181818"/>
    <n v="103125"/>
    <n v="24950"/>
    <n v="28369.200000000001"/>
    <n v="23781.4"/>
    <n v="26466.6"/>
    <n v="23867.8"/>
    <n v="127435.00000000001"/>
    <n v="-24310.000000000015"/>
    <n v="1.2357333333333336"/>
    <n v="82500"/>
    <n v="22433.4"/>
    <n v="25940.400000000001"/>
    <n v="25443.4"/>
    <n v="25439.200000000001"/>
    <n v="99256.400000000009"/>
    <n v="-16756.400000000009"/>
    <n v="1.2031078787878788"/>
    <n v="82500"/>
    <n v="24802.400000000001"/>
    <n v="22498"/>
    <n v="24352"/>
    <n v="25485.599999999999"/>
    <n v="97138"/>
    <n v="-14638"/>
    <n v="1.177430303030303"/>
    <n v="103125"/>
    <n v="24923.4"/>
    <n v="24435.599999999999"/>
    <n v="23908"/>
    <n v="29644.400000000001"/>
    <n v="25438.799999999999"/>
    <n v="128350.2"/>
    <n v="-25225.199999999997"/>
    <n v="1.2446079999999999"/>
    <n v="82500"/>
    <n v="22432.2"/>
    <n v="29314.6"/>
    <n v="28883.4"/>
    <n v="29380.799999999999"/>
    <n v="110011.00000000001"/>
    <n v="-27511.000000000015"/>
    <n v="1.3334666666666668"/>
    <n v="82500"/>
    <n v="34039"/>
    <n v="29311.200000000001"/>
    <n v="39672.6"/>
    <n v="30437.599999999999"/>
    <n v="133460.4"/>
    <n v="-50960.399999999994"/>
    <n v="1.6177018181818181"/>
    <n v="105991"/>
    <n v="32329.4"/>
    <n v="33970.400000000001"/>
    <n v="37878"/>
    <n v="45257.599999999999"/>
    <n v="40649.599999999999"/>
    <n v="190085"/>
    <n v="-84094"/>
    <n v="1.7934069873857215"/>
    <n v="124312"/>
    <n v="42548.800000000003"/>
    <n v="25504.2"/>
    <n v="28751"/>
    <n v="29098"/>
    <n v="125902"/>
    <n v="-1590"/>
  </r>
  <r>
    <x v="0"/>
    <s v="E9"/>
    <n v="0"/>
    <n v="0"/>
    <n v="0"/>
    <n v="0"/>
    <n v="0"/>
    <n v="0"/>
    <n v="0"/>
    <n v="0"/>
    <n v="95700"/>
    <n v="0"/>
    <n v="4978"/>
    <n v="8461"/>
    <n v="8011"/>
    <n v="23399.200000000001"/>
    <n v="44849.2"/>
    <n v="50850.8"/>
    <n v="0.46864367816091951"/>
    <n v="82500"/>
    <n v="22917.200000000001"/>
    <n v="22045.8"/>
    <n v="21450.400000000001"/>
    <n v="35480.800000000003"/>
    <n v="101894.2"/>
    <n v="-19394.199999999997"/>
    <n v="1.235081212121212"/>
    <n v="82500"/>
    <n v="33153"/>
    <n v="31641.4"/>
    <n v="31680.6"/>
    <n v="30196.6"/>
    <n v="126671.6"/>
    <n v="-44171.600000000006"/>
    <n v="1.5354133333333333"/>
    <n v="103125"/>
    <n v="28728.6"/>
    <n v="31531.200000000001"/>
    <n v="33689.599999999999"/>
    <n v="32109.599999999999"/>
    <n v="28817.8"/>
    <n v="154876.79999999999"/>
    <n v="-51751.799999999988"/>
    <n v="1.5018356363636363"/>
    <n v="82500"/>
    <n v="25998.2"/>
    <n v="25741.4"/>
    <n v="25741.4"/>
    <n v="25740.799999999999"/>
    <n v="103221.8"/>
    <n v="-20721.800000000003"/>
    <n v="1.2511733333333335"/>
    <n v="82500"/>
    <n v="28729.200000000001"/>
    <n v="28728.2"/>
    <n v="28221.4"/>
    <n v="25676.400000000001"/>
    <n v="111355.20000000001"/>
    <n v="-28855.200000000012"/>
    <n v="1.3497600000000001"/>
    <n v="103125"/>
    <n v="22753"/>
    <n v="22550.2"/>
    <n v="22753.200000000001"/>
    <n v="27544"/>
    <n v="22733.200000000001"/>
    <n v="118333.59999999999"/>
    <n v="-15208.599999999991"/>
    <n v="1.1474773333333332"/>
    <n v="82500"/>
    <n v="23024.799999999999"/>
    <n v="22297.8"/>
    <n v="22681"/>
    <n v="22750.799999999999"/>
    <n v="90754.400000000009"/>
    <n v="-8254.4000000000087"/>
    <n v="1.1000533333333335"/>
    <n v="82500"/>
    <n v="22397.8"/>
    <n v="22948.799999999999"/>
    <n v="29455.8"/>
    <n v="22753.4"/>
    <n v="97555.799999999988"/>
    <n v="-15055.799999999988"/>
    <n v="1.1824945454545452"/>
    <n v="105992"/>
    <n v="22753.200000000001"/>
    <n v="27238"/>
    <n v="32180.2"/>
    <n v="36048.199999999997"/>
    <n v="37634.400000000001"/>
    <n v="155854"/>
    <n v="-49862"/>
    <n v="1.4704317306966563"/>
    <n v="102552"/>
    <n v="24693.200000000001"/>
    <n v="22954.2"/>
    <n v="23809.200000000001"/>
    <n v="23707.8"/>
    <n v="95164.400000000009"/>
    <n v="7387.5999999999913"/>
  </r>
  <r>
    <x v="1"/>
    <s v="HR"/>
    <n v="145405"/>
    <n v="37945.93"/>
    <n v="38945.33"/>
    <n v="37945.199999999997"/>
    <n v="34144.729999999996"/>
    <n v="148981.19"/>
    <n v="-3576.1900000000023"/>
    <n v="1.0245946838141742"/>
    <n v="187342"/>
    <n v="33544.53"/>
    <n v="33945.009999999995"/>
    <n v="33945.009999999995"/>
    <n v="36945.21"/>
    <n v="37344.81"/>
    <n v="175724.56999999998"/>
    <n v="11617.430000000022"/>
    <n v="0.93798811798742399"/>
    <n v="148016"/>
    <n v="37342.410000000003"/>
    <n v="36944.81"/>
    <n v="36905.21"/>
    <n v="36945.009999999995"/>
    <n v="148137.44"/>
    <n v="-121.44000000000233"/>
    <n v="1.0008204518430439"/>
    <n v="149814"/>
    <n v="40151.81"/>
    <n v="36948.81"/>
    <n v="36945.009999999995"/>
    <n v="34271.21"/>
    <n v="148316.84"/>
    <n v="1497.1600000000035"/>
    <n v="0.99000654144472477"/>
    <n v="184115"/>
    <n v="32857.21"/>
    <n v="33844.21"/>
    <n v="37562.009999999995"/>
    <n v="37739.21"/>
    <n v="37012.21"/>
    <n v="179014.84999999998"/>
    <n v="5100.1500000000233"/>
    <n v="0.97229910653667528"/>
    <n v="142895"/>
    <n v="38572.6"/>
    <n v="37344"/>
    <n v="30054.6"/>
    <n v="27052"/>
    <n v="133023.20000000001"/>
    <n v="9871.7999999999884"/>
    <n v="0.93091570733755558"/>
    <n v="140164"/>
    <n v="34144.199999999997"/>
    <n v="35244.800000000003"/>
    <n v="34043.199999999997"/>
    <n v="29742"/>
    <n v="133174.20000000001"/>
    <n v="6989.7999999999884"/>
    <n v="0.95013127479238613"/>
    <n v="154796"/>
    <n v="34343.800000000003"/>
    <n v="30644.2"/>
    <n v="30628.58"/>
    <n v="30643.8"/>
    <n v="30644"/>
    <n v="156904.38"/>
    <n v="-2108.3800000000047"/>
    <n v="1.0136203777875397"/>
    <n v="146180"/>
    <n v="30910.2"/>
    <n v="33983.199999999997"/>
    <n v="32597.4"/>
    <n v="31039.599999999999"/>
    <n v="128530.4"/>
    <n v="17649.600000000006"/>
    <n v="0.87926118484060745"/>
    <n v="163105"/>
    <n v="39232.6"/>
    <n v="35697"/>
    <n v="30926.799999999999"/>
    <n v="29109"/>
    <n v="134965.40000000002"/>
    <n v="28139.599999999977"/>
    <n v="0.82747555255816818"/>
    <n v="247975"/>
    <n v="28844.400000000001"/>
    <n v="32736.400000000001"/>
    <n v="44823.6"/>
    <n v="42802.400000000001"/>
    <n v="30703.8"/>
    <n v="179910.59999999998"/>
    <n v="68064.400000000023"/>
    <n v="0.72551910474846248"/>
    <n v="128000"/>
    <n v="31843.599999999999"/>
    <n v="33566.800000000003"/>
    <n v="37880"/>
    <n v="31790"/>
    <n v="135080.4"/>
    <n v="-7080.3999999999942"/>
  </r>
  <r>
    <x v="1"/>
    <s v="CAPRICHOS"/>
    <n v="118808"/>
    <n v="35704.97"/>
    <n v="33503.57"/>
    <n v="32303.57"/>
    <n v="31003.17"/>
    <n v="132515.28000000003"/>
    <n v="-13707.280000000028"/>
    <n v="1.1153733755302675"/>
    <n v="148510"/>
    <n v="32008.37"/>
    <n v="32508.91"/>
    <n v="33208.509999999995"/>
    <n v="31008.51"/>
    <n v="32508.81"/>
    <n v="161243.10999999999"/>
    <n v="-12733.109999999986"/>
    <n v="1.085739074809777"/>
    <n v="118808"/>
    <n v="33508.11"/>
    <n v="32614.51"/>
    <n v="30966.11"/>
    <n v="31002.11"/>
    <n v="128090.84"/>
    <n v="-9282.8399999999965"/>
    <n v="1.0781331223486634"/>
    <n v="118808"/>
    <n v="30915.71"/>
    <n v="32915.71"/>
    <n v="26743.51"/>
    <n v="31216.91"/>
    <n v="121791.84"/>
    <n v="-2983.8399999999965"/>
    <n v="1.025114807083698"/>
    <n v="148510"/>
    <n v="26917.599999999999"/>
    <n v="27416.6"/>
    <n v="30219.8"/>
    <n v="24405.200000000001"/>
    <n v="26513.200000000001"/>
    <n v="135472.4"/>
    <n v="13037.600000000006"/>
    <n v="0.91221062554710119"/>
    <n v="119285"/>
    <n v="30414.400000000001"/>
    <n v="30399.3"/>
    <n v="25771"/>
    <n v="24613.5"/>
    <n v="111198.2"/>
    <n v="8086.8000000000029"/>
    <n v="0.9322060611141384"/>
    <n v="118808"/>
    <n v="25305"/>
    <n v="25213.4"/>
    <n v="25213"/>
    <n v="25328"/>
    <n v="101059.4"/>
    <n v="17748.600000000006"/>
    <n v="0.85061106996161873"/>
    <n v="148510"/>
    <n v="26900.400000000001"/>
    <n v="30030.2"/>
    <n v="27410.2"/>
    <n v="26910.3"/>
    <n v="26909.9"/>
    <n v="138161"/>
    <n v="10349"/>
    <n v="0.93031445693892667"/>
    <n v="121194"/>
    <n v="27609.9"/>
    <n v="26902.1"/>
    <n v="28702.5"/>
    <n v="27527.9"/>
    <n v="110742.39999999999"/>
    <n v="10451.600000000006"/>
    <n v="0.91376140733039579"/>
    <n v="123100"/>
    <n v="27102.3"/>
    <n v="27427.1"/>
    <n v="27662.3"/>
    <n v="27120.9"/>
    <n v="109312.6"/>
    <n v="13787.399999999994"/>
    <n v="0.88799837530463044"/>
    <n v="193549"/>
    <n v="27399.9"/>
    <n v="31582.1"/>
    <n v="33183.300000000003"/>
    <n v="37991.699999999997"/>
    <n v="29487.9"/>
    <n v="159644.9"/>
    <n v="33904.100000000006"/>
    <n v="0.82482937137365731"/>
    <n v="110000"/>
    <n v="26002.3"/>
    <n v="27501.5"/>
    <n v="23302.3"/>
    <n v="24340.9"/>
    <n v="101147"/>
    <n v="8853"/>
  </r>
  <r>
    <x v="0"/>
    <s v="CEDIS"/>
    <n v="199435"/>
    <n v="61066.31"/>
    <n v="55891.71"/>
    <n v="60082.91"/>
    <n v="60057.71"/>
    <n v="237098.63999999998"/>
    <n v="-37663.639999999985"/>
    <n v="1.1888517060696466"/>
    <n v="249293.75"/>
    <n v="62496.71"/>
    <n v="54208.71"/>
    <n v="79080.210000000006"/>
    <n v="73374.38"/>
    <n v="68478.490000000005"/>
    <n v="337638.5"/>
    <n v="-88344.75"/>
    <n v="1.3543801238498758"/>
    <n v="199435"/>
    <n v="63924.49"/>
    <n v="54230.52"/>
    <n v="54864"/>
    <n v="52601.82"/>
    <n v="225620.83000000002"/>
    <n v="-26185.830000000016"/>
    <n v="1.1313000727053928"/>
    <n v="199435"/>
    <n v="55093.62"/>
    <n v="55721.02"/>
    <n v="61513.82"/>
    <n v="56352"/>
    <n v="228680.46"/>
    <n v="-29245.459999999992"/>
    <n v="1.1466415624138191"/>
    <n v="249293.75"/>
    <n v="60558.73"/>
    <n v="56132.13"/>
    <n v="56255.73"/>
    <n v="65298.97"/>
    <n v="58367.97"/>
    <n v="296613.53000000003"/>
    <n v="-47319.780000000028"/>
    <n v="1.1898153483591145"/>
    <n v="199435"/>
    <n v="72501.570000000007"/>
    <n v="64953.37"/>
    <n v="71785.76999999999"/>
    <n v="66038.87"/>
    <n v="275279.57999999996"/>
    <n v="-75844.579999999958"/>
    <n v="1.3802972397021585"/>
    <n v="199435"/>
    <n v="76593.87"/>
    <n v="75238.77"/>
    <n v="81517.69"/>
    <n v="77509"/>
    <n v="310859.33"/>
    <n v="-111424.33000000002"/>
    <n v="1.5586999774362575"/>
    <n v="249293.75"/>
    <n v="69422.490000000005"/>
    <n v="72030.649999999994"/>
    <n v="78479.05"/>
    <n v="69692.649999999994"/>
    <n v="72962.649999999994"/>
    <n v="362587.49"/>
    <n v="-113293.73999999999"/>
    <n v="1.4544588061273096"/>
    <n v="220121.04"/>
    <n v="80108.25"/>
    <n v="82035.850000000006"/>
    <n v="74731.73"/>
    <n v="82351.13"/>
    <n v="319226.96000000002"/>
    <n v="-99105.920000000013"/>
    <n v="1.4502337441255049"/>
    <n v="220121.04"/>
    <n v="92482.69"/>
    <n v="79664.289999999994"/>
    <n v="77098.69"/>
    <n v="76005.929999999993"/>
    <n v="325251.59999999998"/>
    <n v="-105130.55999999997"/>
    <n v="1.4776034131039903"/>
    <n v="249293.75"/>
    <n v="74129.33"/>
    <n v="75345.929999999993"/>
    <n v="79454.13"/>
    <n v="97298.13"/>
    <n v="68239.73"/>
    <n v="394467.25"/>
    <n v="-145173.5"/>
    <n v="1.5823391079800435"/>
    <n v="260000"/>
    <n v="68007.63"/>
    <n v="70292.929999999993"/>
    <n v="81144.33"/>
    <n v="71897.78"/>
    <n v="291342.67000000004"/>
    <n v="-31342.670000000042"/>
  </r>
  <r>
    <x v="1"/>
    <s v="INVENTARIOS"/>
    <n v="19200"/>
    <n v="2374"/>
    <n v="2374"/>
    <n v="2800"/>
    <n v="2800"/>
    <n v="10348"/>
    <n v="8852"/>
    <n v="0.53895833333333332"/>
    <n v="24000"/>
    <n v="2700"/>
    <n v="2700.2"/>
    <n v="2800"/>
    <n v="2800"/>
    <n v="2700"/>
    <n v="13700.2"/>
    <n v="10299.799999999999"/>
    <n v="0.57084166666666669"/>
    <n v="19200"/>
    <n v="2800"/>
    <n v="2706.6"/>
    <n v="1991"/>
    <n v="2800"/>
    <n v="10297.6"/>
    <n v="8902.4"/>
    <n v="0.53633333333333333"/>
    <n v="12000"/>
    <n v="2800"/>
    <n v="2700.2"/>
    <n v="2700"/>
    <n v="2700.6"/>
    <n v="10900.800000000001"/>
    <n v="1099.1999999999989"/>
    <n v="0.9084000000000001"/>
    <n v="15000"/>
    <n v="2800"/>
    <n v="2700"/>
    <n v="2410.6"/>
    <n v="2800"/>
    <n v="2700.2"/>
    <n v="13410.8"/>
    <n v="1589.2000000000007"/>
    <n v="0.89405333333333326"/>
    <n v="12000"/>
    <n v="2700"/>
    <n v="2750"/>
    <n v="2310.6"/>
    <n v="2800"/>
    <n v="10560.6"/>
    <n v="1439.3999999999996"/>
    <n v="0.88005"/>
    <n v="12000"/>
    <n v="2520.1999999999998"/>
    <n v="2800"/>
    <n v="2800"/>
    <n v="2800"/>
    <n v="10920.2"/>
    <n v="1079.7999999999993"/>
    <n v="0.9100166666666667"/>
    <n v="15000"/>
    <n v="2800.2"/>
    <n v="2800"/>
    <n v="2800"/>
    <n v="2800"/>
    <n v="2800"/>
    <n v="14000.2"/>
    <n v="999.79999999999927"/>
    <n v="0.93334666666666677"/>
    <n v="12000"/>
    <n v="2800.2"/>
    <n v="2800"/>
    <n v="2800"/>
    <n v="2403.4"/>
    <n v="10803.6"/>
    <n v="1196.3999999999996"/>
    <n v="0.90029999999999999"/>
    <n v="12000"/>
    <n v="2800.2"/>
    <n v="2802"/>
    <n v="2800"/>
    <n v="2993.6"/>
    <n v="11395.800000000001"/>
    <n v="604.19999999999891"/>
    <n v="0.94965000000000011"/>
    <n v="15000"/>
    <n v="2800"/>
    <n v="2800"/>
    <n v="2576.1999999999998"/>
    <n v="2576.6"/>
    <n v="2800"/>
    <n v="13552.8"/>
    <n v="1447.2000000000007"/>
    <n v="0.90351999999999999"/>
    <n v="11200"/>
    <n v="2828"/>
    <n v="2926"/>
    <n v="3316"/>
    <n v="3020"/>
    <n v="12090"/>
    <n v="-890"/>
  </r>
  <r>
    <x v="1"/>
    <s v="MANTENIMIENTO"/>
    <n v="37972"/>
    <n v="12019.43"/>
    <n v="5365.83"/>
    <n v="8246.23"/>
    <n v="5627.23"/>
    <n v="31258.720000000001"/>
    <n v="6713.2799999999988"/>
    <n v="0.82320446644896239"/>
    <n v="47465"/>
    <n v="6224.83"/>
    <n v="5994.03"/>
    <n v="8383.83"/>
    <n v="11486.83"/>
    <n v="12412.03"/>
    <n v="44501.55"/>
    <n v="2963.4499999999971"/>
    <n v="0.93756557463394086"/>
    <n v="37972"/>
    <n v="9891.83"/>
    <n v="8908.83"/>
    <n v="5295.63"/>
    <n v="5639.83"/>
    <n v="29736.120000000003"/>
    <n v="8235.8799999999974"/>
    <n v="0.78310649952596656"/>
    <n v="37972"/>
    <n v="6494.83"/>
    <n v="6705.83"/>
    <n v="5378.63"/>
    <n v="3513.03"/>
    <n v="22092.32"/>
    <n v="15879.68"/>
    <n v="0.58180554092489201"/>
    <n v="49465"/>
    <n v="3952.03"/>
    <n v="6680.83"/>
    <n v="9270.6299999999992"/>
    <n v="11122.43"/>
    <n v="11498.03"/>
    <n v="42523.95"/>
    <n v="6941.0500000000029"/>
    <n v="0.85967754978267452"/>
    <n v="39972"/>
    <n v="12609.03"/>
    <n v="13033.23"/>
    <n v="11990.43"/>
    <n v="13968.03"/>
    <n v="51600.72"/>
    <n v="-11628.720000000001"/>
    <n v="1.2909216451516061"/>
    <n v="39972"/>
    <n v="17085.43"/>
    <n v="12793.63"/>
    <n v="12796.63"/>
    <n v="14397"/>
    <n v="57072.689999999995"/>
    <n v="-17100.689999999995"/>
    <n v="1.4278167217051936"/>
    <n v="49965"/>
    <n v="15041.03"/>
    <n v="16618.03"/>
    <n v="14608.83"/>
    <n v="14714.82"/>
    <n v="17106.82"/>
    <n v="78089.53"/>
    <n v="-28124.53"/>
    <n v="1.5628846192334633"/>
    <n v="39972"/>
    <n v="16644.62"/>
    <n v="17817.22"/>
    <n v="19059.62"/>
    <n v="18699.82"/>
    <n v="72221.279999999999"/>
    <n v="-32249.279999999999"/>
    <n v="1.8067967577304112"/>
    <n v="39972"/>
    <n v="16863.02"/>
    <n v="19320.62"/>
    <n v="17369.62"/>
    <n v="22877.62"/>
    <n v="76430.87999999999"/>
    <n v="-36458.87999999999"/>
    <n v="1.9121104773341338"/>
    <n v="49965"/>
    <n v="22935.22"/>
    <n v="22767.62"/>
    <n v="19365.62"/>
    <n v="22005.42"/>
    <n v="16197.02"/>
    <n v="103270.9"/>
    <n v="-53305.899999999994"/>
    <n v="2.0668648053637546"/>
    <n v="60800"/>
    <n v="15895.22"/>
    <n v="23705.62"/>
    <n v="27512.82"/>
    <n v="18011.419999999998"/>
    <n v="85125.08"/>
    <n v="-24325.08"/>
  </r>
  <r>
    <x v="1"/>
    <s v="CADENA DE SUMINISTROS"/>
    <n v="88032"/>
    <n v="20955.2"/>
    <n v="22045"/>
    <n v="22045.200000000001"/>
    <n v="20237.599999999999"/>
    <n v="85283"/>
    <n v="2749"/>
    <n v="0.9687727190112686"/>
    <n v="110040"/>
    <n v="19418.599999999999"/>
    <n v="19418.400000000001"/>
    <n v="21992.400000000001"/>
    <n v="19418.2"/>
    <n v="19418.599999999999"/>
    <n v="99666.200000000012"/>
    <n v="10373.799999999988"/>
    <n v="0.90572700836059628"/>
    <n v="88032"/>
    <n v="19418.8"/>
    <n v="19418.400000000001"/>
    <n v="17658.2"/>
    <n v="19324.8"/>
    <n v="75820.2"/>
    <n v="12211.800000000003"/>
    <n v="0.86127998909487458"/>
    <n v="88032"/>
    <n v="19325.2"/>
    <n v="17828.400000000001"/>
    <n v="16268.2"/>
    <n v="15381.4"/>
    <n v="68803.199999999997"/>
    <n v="19228.800000000003"/>
    <n v="0.78157033805888765"/>
    <n v="110040"/>
    <n v="15863.4"/>
    <n v="15723.2"/>
    <n v="17444.2"/>
    <n v="20192.400000000001"/>
    <n v="20508.8"/>
    <n v="89732.000000000015"/>
    <n v="20307.999999999985"/>
    <n v="0.8154489276626683"/>
    <n v="88032"/>
    <n v="27905.599999999999"/>
    <n v="24025"/>
    <n v="21618.6"/>
    <n v="19234.2"/>
    <n v="92783.4"/>
    <n v="-4751.3999999999942"/>
    <n v="1.0539735550708833"/>
    <n v="88032"/>
    <n v="21618.400000000001"/>
    <n v="19244.599999999999"/>
    <n v="19244.2"/>
    <n v="22908"/>
    <n v="83015.199999999997"/>
    <n v="5016.8000000000029"/>
    <n v="0.94301163213376948"/>
    <n v="110040"/>
    <n v="25244.2"/>
    <n v="24904"/>
    <n v="26101.8"/>
    <n v="26895"/>
    <n v="27210.2"/>
    <n v="130355.2"/>
    <n v="-20315.199999999997"/>
    <n v="1.1846165030897855"/>
    <n v="88032"/>
    <n v="24673.200000000001"/>
    <n v="25648"/>
    <n v="24967"/>
    <n v="25355"/>
    <n v="100643.2"/>
    <n v="-12611.199999999997"/>
    <n v="1.1432569974554707"/>
    <n v="88032"/>
    <n v="26205.200000000001"/>
    <n v="24960.2"/>
    <n v="24676.2"/>
    <n v="24437"/>
    <n v="100278.6"/>
    <n v="-12246.600000000006"/>
    <n v="1.1391153217011996"/>
    <n v="110040"/>
    <n v="24921.4"/>
    <n v="25721.599999999999"/>
    <n v="25332.6"/>
    <n v="25396.6"/>
    <n v="21820"/>
    <n v="123192.20000000001"/>
    <n v="-13152.200000000012"/>
    <n v="1.119521992002908"/>
    <n v="111200"/>
    <n v="22110"/>
    <n v="22310"/>
    <n v="24126.2"/>
    <n v="23067.61"/>
    <n v="91613.81"/>
    <n v="19586.190000000002"/>
  </r>
  <r>
    <x v="1"/>
    <s v="SISTEMAS"/>
    <n v="44604"/>
    <n v="11291.15"/>
    <n v="11200.15"/>
    <n v="13080.15"/>
    <n v="10325.950000000001"/>
    <n v="45897.399999999994"/>
    <n v="-1293.3999999999942"/>
    <n v="1.0289973993363823"/>
    <n v="55755"/>
    <n v="12177.75"/>
    <n v="10147.49"/>
    <n v="12968.69"/>
    <n v="10147.49"/>
    <n v="11670.29"/>
    <n v="57111.71"/>
    <n v="-1356.7099999999991"/>
    <n v="1.0243334230113892"/>
    <n v="44604"/>
    <n v="13371.69"/>
    <n v="10147.49"/>
    <n v="8451.49"/>
    <n v="7772.09"/>
    <n v="39742.759999999995"/>
    <n v="4861.2400000000052"/>
    <n v="0.89101336203031112"/>
    <n v="44604"/>
    <n v="7917.27"/>
    <n v="10719.51"/>
    <n v="7646.89"/>
    <n v="11308"/>
    <n v="37591.67"/>
    <n v="7012.3300000000017"/>
    <n v="0.84278696977849521"/>
    <n v="55755"/>
    <n v="10146.290000000001"/>
    <n v="10146.09"/>
    <n v="10146.09"/>
    <n v="11131.09"/>
    <n v="10156.09"/>
    <n v="51725.649999999994"/>
    <n v="4029.3500000000058"/>
    <n v="0.9277311451887722"/>
    <n v="44604"/>
    <n v="10156.09"/>
    <n v="8837.89"/>
    <n v="8377.69"/>
    <n v="10156.49"/>
    <n v="37528.159999999996"/>
    <n v="7075.8400000000038"/>
    <n v="0.84136310644785217"/>
    <n v="44604"/>
    <n v="10157.09"/>
    <n v="11586.09"/>
    <n v="14408.69"/>
    <n v="13349"/>
    <n v="49500.87"/>
    <n v="-4896.8700000000026"/>
    <n v="1.109785445251547"/>
    <n v="55755"/>
    <n v="11678.49"/>
    <n v="11669.09"/>
    <n v="13768.29"/>
    <n v="11111.89"/>
    <n v="11109.89"/>
    <n v="59337.65"/>
    <n v="-3582.6500000000015"/>
    <n v="1.0642570173078647"/>
    <n v="44604"/>
    <n v="11019.79"/>
    <n v="11557.69"/>
    <n v="10574.09"/>
    <n v="11125.29"/>
    <n v="44276.860000000008"/>
    <n v="327.13999999999214"/>
    <n v="0.99266568020805324"/>
    <n v="44604"/>
    <n v="10774.49"/>
    <n v="10215.09"/>
    <n v="11607.89"/>
    <n v="13917.29"/>
    <n v="46514.76"/>
    <n v="-1910.760000000002"/>
    <n v="1.0428383104654291"/>
    <n v="55755"/>
    <n v="10729.49"/>
    <n v="13424.29"/>
    <n v="12694.49"/>
    <n v="19693.490000000002"/>
    <n v="10375.09"/>
    <n v="66916.849999999991"/>
    <n v="-11161.849999999991"/>
    <n v="1.2001946013810418"/>
    <n v="44604"/>
    <n v="10450.09"/>
    <n v="14816.09"/>
    <n v="18246.099999999999"/>
    <n v="10586.29"/>
    <n v="54098.57"/>
    <n v="-9494.57"/>
  </r>
  <r>
    <x v="1"/>
    <s v="COMPRAS"/>
    <n v="76000"/>
    <n v="21093.38"/>
    <n v="21094.18"/>
    <n v="21091.18"/>
    <n v="18293.169999999998"/>
    <n v="81571.91"/>
    <n v="-5571.9100000000035"/>
    <n v="1.0733146052631579"/>
    <n v="95000"/>
    <n v="20449.71"/>
    <n v="23523.51"/>
    <n v="23524.11"/>
    <n v="23523.11"/>
    <n v="20796.310000000001"/>
    <n v="111816.75"/>
    <n v="-16816.75"/>
    <n v="1.1770184210526315"/>
    <n v="76000"/>
    <n v="20253.509999999998"/>
    <n v="23470.11"/>
    <n v="17167.509999999998"/>
    <n v="16100.71"/>
    <n v="76991.839999999997"/>
    <n v="-991.83999999999651"/>
    <n v="1.0130505263157894"/>
    <n v="76000"/>
    <n v="23593.31"/>
    <n v="18338.11"/>
    <n v="19188.310000000001"/>
    <n v="40792.910000000003"/>
    <n v="101912.64"/>
    <n v="-25912.639999999999"/>
    <n v="1.3409557894736841"/>
    <n v="95000"/>
    <n v="20591.11"/>
    <n v="20591.11"/>
    <n v="20591.310000000001"/>
    <n v="20591.11"/>
    <n v="20601.509999999998"/>
    <n v="102966.15"/>
    <n v="-7966.1499999999942"/>
    <n v="1.0838542105263158"/>
    <n v="76000"/>
    <n v="19930.509999999998"/>
    <n v="20598.509999999998"/>
    <n v="20299.71"/>
    <n v="20598.509999999998"/>
    <n v="81427.239999999991"/>
    <n v="-5427.2399999999907"/>
    <n v="1.0714110526315788"/>
    <n v="76000"/>
    <n v="20599.71"/>
    <n v="23098.71"/>
    <n v="22746.51"/>
    <n v="22900"/>
    <n v="89344.93"/>
    <n v="-13344.929999999993"/>
    <n v="1.1755911842105262"/>
    <n v="95000"/>
    <n v="23097.91"/>
    <n v="23529.31"/>
    <n v="23529.11"/>
    <n v="23091.11"/>
    <n v="23091.91"/>
    <n v="116339.35"/>
    <n v="-21339.350000000006"/>
    <n v="1.2246247368421053"/>
    <n v="76000"/>
    <n v="25465.11"/>
    <n v="24621.71"/>
    <n v="21346.79"/>
    <n v="23715.11"/>
    <n v="95148.72"/>
    <n v="-19148.72"/>
    <n v="1.2519568421052631"/>
    <n v="76000"/>
    <n v="23472.91"/>
    <n v="23207.91"/>
    <n v="22674.91"/>
    <n v="22898.91"/>
    <n v="92254.64"/>
    <n v="-16254.64"/>
    <n v="1.2138768421052633"/>
    <n v="95000"/>
    <n v="23505.11"/>
    <n v="23915.51"/>
    <n v="23437.31"/>
    <n v="24496.41"/>
    <n v="31836.01"/>
    <n v="127190.34999999999"/>
    <n v="-32190.349999999991"/>
    <n v="1.338845789473684"/>
    <n v="79000"/>
    <n v="31741.81"/>
    <n v="31742.21"/>
    <n v="35762.410000000003"/>
    <n v="24494.21"/>
    <n v="123740.64000000001"/>
    <n v="-44740.640000000014"/>
  </r>
  <r>
    <x v="1"/>
    <s v="CONTABILIDAD"/>
    <n v="42008"/>
    <n v="13788.4"/>
    <n v="10399.6"/>
    <n v="10399.799999999999"/>
    <n v="10794.4"/>
    <n v="45382.200000000004"/>
    <n v="-3374.2000000000044"/>
    <n v="1.08032279565797"/>
    <n v="52510"/>
    <n v="14509.14"/>
    <n v="12773.4"/>
    <n v="12773.6"/>
    <n v="12773.8"/>
    <n v="11679.8"/>
    <n v="64509.740000000005"/>
    <n v="-11999.740000000005"/>
    <n v="1.2285229480099029"/>
    <n v="42008"/>
    <n v="12773.47"/>
    <n v="12773.47"/>
    <n v="12680.47"/>
    <n v="12773.47"/>
    <n v="51000.88"/>
    <n v="-8992.8799999999974"/>
    <n v="1.2140754142068177"/>
    <n v="42008"/>
    <n v="10399.469999999999"/>
    <n v="10399.27"/>
    <n v="10306.07"/>
    <n v="10400.27"/>
    <n v="41505.08"/>
    <n v="502.91999999999825"/>
    <n v="0.98802799466768243"/>
    <n v="52510"/>
    <n v="10399.27"/>
    <n v="10399.469999999999"/>
    <n v="10010.07"/>
    <n v="8979.27"/>
    <n v="8481.07"/>
    <n v="48269.15"/>
    <n v="4240.8499999999985"/>
    <n v="0.91923728813559324"/>
    <n v="42008"/>
    <n v="10759.17"/>
    <n v="10304.27"/>
    <n v="9262.67"/>
    <n v="8314.27"/>
    <n v="38640.380000000005"/>
    <n v="3367.6199999999953"/>
    <n v="0.91983384117310996"/>
    <n v="42008"/>
    <n v="10397.67"/>
    <n v="10398.07"/>
    <n v="9989.4699999999993"/>
    <n v="10002"/>
    <n v="40787.21"/>
    <n v="1220.7900000000009"/>
    <n v="0.97093910683679296"/>
    <n v="52510"/>
    <n v="9980.4699999999993"/>
    <n v="9283.65"/>
    <n v="13559.27"/>
    <n v="15147.27"/>
    <n v="15147.27"/>
    <n v="63117.930000000008"/>
    <n v="-10607.930000000008"/>
    <n v="1.2020173300323749"/>
    <n v="42008"/>
    <n v="14867.47"/>
    <n v="15147.87"/>
    <n v="16304.87"/>
    <n v="15394.07"/>
    <n v="61714.28"/>
    <n v="-19706.28"/>
    <n v="1.4691077889925728"/>
    <n v="42008"/>
    <n v="15147.27"/>
    <n v="15147.27"/>
    <n v="15237.27"/>
    <n v="16273.47"/>
    <n v="61805.279999999999"/>
    <n v="-19797.28"/>
    <n v="1.4712740430394211"/>
    <n v="52510"/>
    <n v="16273.27"/>
    <n v="16512.87"/>
    <n v="19011.07"/>
    <n v="21499.47"/>
    <n v="18582.8"/>
    <n v="91879.48"/>
    <n v="-39369.479999999996"/>
    <n v="1.7497520472290991"/>
    <n v="61000"/>
    <n v="18350.8"/>
    <n v="18692"/>
    <n v="18828"/>
    <n v="18479.810000000001"/>
    <n v="74350.61"/>
    <n v="-13350.61"/>
  </r>
  <r>
    <x v="1"/>
    <s v="FINANZAS/LEGAL"/>
    <n v="40000"/>
    <n v="9710.7900000000009"/>
    <n v="6510.39"/>
    <n v="12184.59"/>
    <n v="9565.59"/>
    <n v="37971.360000000001"/>
    <n v="2028.6399999999994"/>
    <n v="0.94928400000000002"/>
    <n v="50000"/>
    <n v="10457.99"/>
    <n v="10019.39"/>
    <n v="10018.99"/>
    <n v="9897.19"/>
    <n v="9896.99"/>
    <n v="50290.549999999996"/>
    <n v="-290.54999999999563"/>
    <n v="1.005811"/>
    <n v="40000"/>
    <n v="10019.19"/>
    <n v="10019.19"/>
    <n v="10428.790000000001"/>
    <n v="9357.99"/>
    <n v="39825.160000000003"/>
    <n v="174.83999999999651"/>
    <n v="0.9956290000000001"/>
    <n v="40000"/>
    <n v="6182.99"/>
    <n v="6845.79"/>
    <n v="7518.39"/>
    <n v="9205.7900000000009"/>
    <n v="29752.959999999999"/>
    <n v="10247.040000000001"/>
    <n v="0.74382399999999993"/>
    <n v="50000"/>
    <n v="9874.19"/>
    <n v="9892.59"/>
    <n v="9892.39"/>
    <n v="9892.19"/>
    <n v="9782.39"/>
    <n v="49333.75"/>
    <n v="666.25"/>
    <n v="0.98667499999999997"/>
    <n v="40000"/>
    <n v="6521.79"/>
    <n v="9897.39"/>
    <n v="9874.99"/>
    <n v="9874.99"/>
    <n v="36169.159999999996"/>
    <n v="3830.8400000000038"/>
    <n v="0.90422899999999995"/>
    <n v="40000"/>
    <n v="10388.19"/>
    <n v="9887.99"/>
    <n v="9888.19"/>
    <n v="11212"/>
    <n v="41376.370000000003"/>
    <n v="-1376.3700000000026"/>
    <n v="1.0344092500000002"/>
    <n v="50000"/>
    <n v="9874.2900000000009"/>
    <n v="9874.69"/>
    <n v="9874.89"/>
    <n v="9205"/>
    <n v="9874"/>
    <n v="48702.87"/>
    <n v="1297.1299999999974"/>
    <n v="0.97405740000000007"/>
    <n v="40000"/>
    <n v="9205.4"/>
    <n v="9205.4"/>
    <n v="10074"/>
    <n v="9875.2000000000007"/>
    <n v="38360"/>
    <n v="1640"/>
    <n v="0.95899999999999996"/>
    <n v="40000"/>
    <n v="9874.2000000000007"/>
    <n v="8874.4"/>
    <n v="6583.6"/>
    <n v="9874.2000000000007"/>
    <n v="35206.399999999994"/>
    <n v="4793.6000000000058"/>
    <n v="0.88015999999999983"/>
    <n v="50000"/>
    <n v="9874"/>
    <n v="10224"/>
    <n v="10436.799999999999"/>
    <n v="9635.2000000000007"/>
    <n v="10874"/>
    <n v="51044"/>
    <n v="-1044"/>
    <n v="1.02088"/>
    <n v="48000"/>
    <n v="9900"/>
    <n v="9900.2000000000007"/>
    <n v="10090"/>
    <n v="10090"/>
    <n v="39980.199999999997"/>
    <n v="8019.8000000000029"/>
  </r>
  <r>
    <x v="1"/>
    <s v="RECURSOS HUMANOS"/>
    <n v="43208"/>
    <n v="10623.2"/>
    <n v="9440.7999999999993"/>
    <n v="11149.2"/>
    <n v="13124.4"/>
    <n v="44337.599999999999"/>
    <n v="-1129.5999999999985"/>
    <n v="1.0261433067950378"/>
    <n v="54010"/>
    <n v="10360.379999999999"/>
    <n v="10749.78"/>
    <n v="10530.18"/>
    <n v="10931.76"/>
    <n v="10748.98"/>
    <n v="53321.08"/>
    <n v="688.91999999999825"/>
    <n v="0.98724458433623408"/>
    <n v="43208"/>
    <n v="10749.78"/>
    <n v="10749.58"/>
    <n v="9498.98"/>
    <n v="9578.7800000000007"/>
    <n v="40577.120000000003"/>
    <n v="2630.8799999999974"/>
    <n v="0.93911127568968711"/>
    <n v="43208"/>
    <n v="9578.7800000000007"/>
    <n v="9964.4"/>
    <n v="11049.18"/>
    <n v="10750.18"/>
    <n v="41342.54"/>
    <n v="1865.4599999999991"/>
    <n v="0.95682605073134608"/>
    <n v="54010"/>
    <n v="9956.7800000000007"/>
    <n v="11048.98"/>
    <n v="10458.98"/>
    <n v="10333.98"/>
    <n v="11715.78"/>
    <n v="53514.5"/>
    <n v="495.5"/>
    <n v="0.99082577300499908"/>
    <n v="43208"/>
    <n v="10759.18"/>
    <n v="10759.18"/>
    <n v="11059.18"/>
    <n v="10759.18"/>
    <n v="43336.72"/>
    <n v="-128.72000000000116"/>
    <n v="1.0029790779485281"/>
    <n v="43208"/>
    <n v="10375.98"/>
    <n v="10659.58"/>
    <n v="9769.7800000000007"/>
    <n v="10156"/>
    <n v="40961.339999999997"/>
    <n v="2246.6600000000035"/>
    <n v="0.94800361044251058"/>
    <n v="54010"/>
    <n v="9592.98"/>
    <n v="11348.78"/>
    <n v="9578.7800000000007"/>
    <n v="10278.58"/>
    <n v="10748.98"/>
    <n v="51548.100000000006"/>
    <n v="2461.8999999999942"/>
    <n v="0.95441770042584717"/>
    <n v="43208"/>
    <n v="10582.98"/>
    <n v="10731.38"/>
    <n v="12208.98"/>
    <n v="11151.38"/>
    <n v="44674.719999999994"/>
    <n v="-1466.7199999999939"/>
    <n v="1.0339455656359933"/>
    <n v="43208"/>
    <n v="11296.03"/>
    <n v="11500.85"/>
    <n v="11908.65"/>
    <n v="12001.05"/>
    <n v="46706.58"/>
    <n v="-3498.5800000000017"/>
    <n v="1.08097065358267"/>
    <n v="54010"/>
    <n v="12000.85"/>
    <n v="12001.25"/>
    <n v="12936.85"/>
    <n v="12757.03"/>
    <n v="17671.43"/>
    <n v="67367.41"/>
    <n v="-13357.410000000003"/>
    <n v="1.2473136456211813"/>
    <n v="44000"/>
    <n v="12381.43"/>
    <n v="12201.43"/>
    <n v="12321.63"/>
    <n v="10040.629999999999"/>
    <n v="46945.119999999995"/>
    <n v="-2945.1199999999953"/>
  </r>
  <r>
    <x v="1"/>
    <s v="TESORERIA"/>
    <n v="49196"/>
    <n v="12203"/>
    <n v="12050.8"/>
    <n v="11893"/>
    <n v="11946.8"/>
    <n v="48093.600000000006"/>
    <n v="1102.3999999999942"/>
    <n v="0.97759167411984726"/>
    <n v="61495"/>
    <n v="11825"/>
    <n v="12203"/>
    <n v="12123"/>
    <n v="12109.4"/>
    <n v="12122.8"/>
    <n v="60383.199999999997"/>
    <n v="1111.8000000000029"/>
    <n v="0.98192048133994625"/>
    <n v="49196"/>
    <n v="12123"/>
    <n v="10935.8"/>
    <n v="11916.8"/>
    <n v="11871.2"/>
    <n v="46846.8"/>
    <n v="2349.1999999999971"/>
    <n v="0.95224815025611842"/>
    <n v="49196"/>
    <n v="11931"/>
    <n v="15112.8"/>
    <n v="12886.62"/>
    <n v="14363.4"/>
    <n v="54293.82"/>
    <n v="-5097.82"/>
    <n v="1.1036226522481503"/>
    <n v="61495"/>
    <n v="12409.2"/>
    <n v="12153.2"/>
    <n v="12564.8"/>
    <n v="12248.8"/>
    <n v="12155.4"/>
    <n v="61531.4"/>
    <n v="-36.400000000001455"/>
    <n v="1.0005919180421172"/>
    <n v="49196"/>
    <n v="12249"/>
    <n v="12224"/>
    <n v="13086.81"/>
    <n v="11755.01"/>
    <n v="49314.82"/>
    <n v="-118.81999999999971"/>
    <n v="1.0024152370111392"/>
    <n v="49196"/>
    <n v="12408.2"/>
    <n v="12300.02"/>
    <n v="11851.2"/>
    <n v="12249"/>
    <n v="48808.42"/>
    <n v="387.58000000000175"/>
    <n v="0.99212171721278153"/>
    <n v="61495"/>
    <n v="13323.2"/>
    <n v="12388.4"/>
    <n v="12248"/>
    <n v="11538.58"/>
    <n v="11373.6"/>
    <n v="60871.78"/>
    <n v="623.22000000000116"/>
    <n v="0.98986551752174967"/>
    <n v="49196"/>
    <n v="15421.2"/>
    <n v="11830.2"/>
    <n v="12914.2"/>
    <n v="12975.8"/>
    <n v="53141.400000000009"/>
    <n v="-3945.4000000000087"/>
    <n v="1.0801975770387837"/>
    <n v="49196"/>
    <n v="12674"/>
    <n v="12674.2"/>
    <n v="12980.6"/>
    <n v="13174.2"/>
    <n v="51503"/>
    <n v="-2307"/>
    <n v="1.0468940564273519"/>
    <n v="61495"/>
    <n v="12674"/>
    <n v="14174.2"/>
    <n v="16585.8"/>
    <n v="14174.2"/>
    <n v="16199.2"/>
    <n v="73807.399999999994"/>
    <n v="-12312.399999999994"/>
    <n v="1.2002179038946255"/>
    <n v="49000"/>
    <n v="12825"/>
    <n v="12600.2"/>
    <n v="12790.6"/>
    <n v="12810.6"/>
    <n v="51026.400000000001"/>
    <n v="-2026.4000000000015"/>
  </r>
  <r>
    <x v="1"/>
    <s v="HBG FINANZAS"/>
    <n v="54000"/>
    <n v="16007"/>
    <n v="14507"/>
    <n v="14507"/>
    <n v="14506.8"/>
    <n v="59527.8"/>
    <n v="-5527.8000000000029"/>
    <n v="1.1023666666666667"/>
    <n v="67500"/>
    <n v="14007"/>
    <n v="14007"/>
    <n v="14007"/>
    <n v="14007"/>
    <n v="14007"/>
    <n v="70035"/>
    <n v="-2535"/>
    <n v="1.0375555555555556"/>
    <n v="54000"/>
    <n v="14007"/>
    <n v="13885.4"/>
    <n v="14007"/>
    <n v="14007"/>
    <n v="55906.400000000001"/>
    <n v="-1906.4000000000015"/>
    <n v="1.0353037037037038"/>
    <n v="54000"/>
    <n v="14007"/>
    <n v="13596"/>
    <n v="13512.2"/>
    <n v="14007"/>
    <n v="55122.2"/>
    <n v="-1122.1999999999971"/>
    <n v="1.0207814814814815"/>
    <n v="67500"/>
    <n v="13495.4"/>
    <n v="13504"/>
    <n v="14007"/>
    <n v="14007"/>
    <n v="14006.8"/>
    <n v="69020.200000000012"/>
    <n v="-1520.2000000000116"/>
    <n v="1.0225214814814816"/>
    <n v="54000"/>
    <n v="13499.8"/>
    <n v="14007"/>
    <n v="14007"/>
    <n v="14007"/>
    <n v="55520.800000000003"/>
    <n v="-1520.8000000000029"/>
    <n v="1.0281629629629629"/>
    <n v="54000"/>
    <n v="13507"/>
    <n v="13507"/>
    <n v="14007"/>
    <n v="16456"/>
    <n v="57477"/>
    <n v="-3477"/>
    <n v="1.0643888888888888"/>
    <n v="67500"/>
    <n v="14007"/>
    <n v="13496"/>
    <n v="14007"/>
    <n v="14007"/>
    <n v="14007"/>
    <n v="69524"/>
    <n v="-2024"/>
    <n v="1.0299851851851851"/>
    <n v="54000"/>
    <n v="14007"/>
    <n v="14007"/>
    <n v="14007"/>
    <n v="14007"/>
    <n v="56028"/>
    <n v="-2028"/>
    <n v="1.0375555555555556"/>
    <n v="54000"/>
    <n v="14007"/>
    <n v="14007"/>
    <n v="14007"/>
    <n v="14007"/>
    <n v="56028"/>
    <n v="-2028"/>
    <n v="1.0375555555555556"/>
    <n v="67500"/>
    <n v="14007"/>
    <n v="14007"/>
    <n v="14007"/>
    <n v="14007"/>
    <n v="14007"/>
    <n v="70035"/>
    <n v="-2535"/>
    <n v="1.0375555555555556"/>
    <n v="54000"/>
    <n v="14052.4"/>
    <n v="14052.4"/>
    <n v="14052.4"/>
    <n v="14052.8"/>
    <n v="56210"/>
    <n v="-2210"/>
  </r>
  <r>
    <x v="1"/>
    <s v="GESTION EMPRESARIAL"/>
    <n v="96816"/>
    <n v="22128.400000000001"/>
    <n v="24250.400000000001"/>
    <n v="25950.6"/>
    <n v="24251.200000000001"/>
    <n v="96580.599999999991"/>
    <n v="235.40000000000873"/>
    <n v="0.99756858370517265"/>
    <n v="121250"/>
    <n v="24251.4"/>
    <n v="21850.400000000001"/>
    <n v="24602.799999999999"/>
    <n v="24250.400000000001"/>
    <n v="24251.4"/>
    <n v="119206.39999999999"/>
    <n v="2043.6000000000058"/>
    <n v="0.9831455670103092"/>
    <n v="97000"/>
    <n v="21350.799999999999"/>
    <n v="24250.2"/>
    <n v="23260.799999999999"/>
    <n v="22900.799999999999"/>
    <n v="91762.6"/>
    <n v="5237.3999999999942"/>
    <n v="0.94600618556701033"/>
    <n v="97000"/>
    <n v="23150.7"/>
    <n v="24450.3"/>
    <n v="21650.9"/>
    <n v="22253.9"/>
    <n v="91505.799999999988"/>
    <n v="5494.2000000000116"/>
    <n v="0.94335876288659781"/>
    <n v="121250"/>
    <n v="24238.3"/>
    <n v="24325.1"/>
    <n v="22250.2"/>
    <n v="21050.6"/>
    <n v="22551.4"/>
    <n v="114415.59999999998"/>
    <n v="6834.4000000000233"/>
    <n v="0.94363381443298955"/>
    <n v="97000"/>
    <n v="22350"/>
    <n v="23851"/>
    <n v="24850.2"/>
    <n v="24450.400000000001"/>
    <n v="95501.6"/>
    <n v="1498.3999999999942"/>
    <n v="0.98455257731958767"/>
    <n v="97000"/>
    <n v="22501.39"/>
    <n v="19950"/>
    <n v="23850.400000000001"/>
    <n v="22553"/>
    <n v="88854.790000000008"/>
    <n v="8145.2099999999919"/>
    <n v="0.91602876288659807"/>
    <n v="121250"/>
    <n v="23332.2"/>
    <n v="25700.2"/>
    <n v="26000.400000000001"/>
    <n v="26218.7"/>
    <n v="25700.400000000001"/>
    <n v="126951.9"/>
    <n v="-5701.8999999999942"/>
    <n v="1.0470259793814432"/>
    <n v="97000"/>
    <n v="25700.2"/>
    <n v="25700.2"/>
    <n v="26308"/>
    <n v="26391.8"/>
    <n v="104100.2"/>
    <n v="-7100.1999999999971"/>
    <n v="1.07319793814433"/>
    <n v="97000"/>
    <n v="26601.200000000001"/>
    <n v="23707.4"/>
    <n v="27507.4"/>
    <n v="26602.799999999999"/>
    <n v="104418.8"/>
    <n v="-7418.8000000000029"/>
    <n v="1.0764824742268042"/>
    <n v="121250"/>
    <n v="26000.2"/>
    <n v="26801.4"/>
    <n v="28401.200000000001"/>
    <n v="26700.6"/>
    <n v="26700.6"/>
    <n v="134604"/>
    <n v="-13354"/>
    <n v="1.1101360824742268"/>
    <n v="102000"/>
    <n v="27300.799999999999"/>
    <n v="27300.400000000001"/>
    <n v="29202.6"/>
    <n v="28202.02"/>
    <n v="112005.81999999999"/>
    <n v="-10005.819999999992"/>
  </r>
  <r>
    <x v="1"/>
    <s v="DIRECCION"/>
    <n v="52000"/>
    <n v="26751"/>
    <n v="11751.2"/>
    <n v="11750"/>
    <n v="11750.6"/>
    <n v="62002.799999999996"/>
    <n v="-10002.799999999996"/>
    <n v="1.1923615384615385"/>
    <n v="65000"/>
    <n v="26750"/>
    <n v="11750.4"/>
    <n v="11750.4"/>
    <n v="26750.2"/>
    <n v="11750.4"/>
    <n v="88751.4"/>
    <n v="-23751.399999999994"/>
    <n v="1.3654061538461537"/>
    <n v="52000"/>
    <n v="16750.2"/>
    <n v="12164"/>
    <n v="11750.2"/>
    <n v="26750"/>
    <n v="67414.399999999994"/>
    <n v="-15414.399999999994"/>
    <n v="1.2964307692307691"/>
    <n v="67000"/>
    <n v="11750"/>
    <n v="11750"/>
    <n v="13830"/>
    <n v="5420.6"/>
    <n v="42750.6"/>
    <n v="24249.4"/>
    <n v="0.63806865671641788"/>
    <n v="105357"/>
    <n v="26750"/>
    <n v="11750.2"/>
    <n v="11750"/>
    <n v="27083"/>
    <n v="26750"/>
    <n v="104083.2"/>
    <n v="1273.8000000000029"/>
    <n v="0.98790967852159794"/>
    <n v="57750"/>
    <n v="11750"/>
    <n v="11750.2"/>
    <n v="11750"/>
    <n v="11750"/>
    <n v="47000.2"/>
    <n v="10749.800000000003"/>
    <n v="0.81385627705627706"/>
    <n v="40500"/>
    <n v="26750"/>
    <n v="11750"/>
    <n v="11750"/>
    <n v="26750"/>
    <n v="77000"/>
    <n v="-36500"/>
    <n v="1.9012345679012346"/>
    <n v="57053"/>
    <n v="11750.2"/>
    <n v="27750"/>
    <n v="12750"/>
    <n v="12750"/>
    <n v="12750"/>
    <n v="77750.2"/>
    <n v="-20697.199999999997"/>
    <n v="1.3627714581178902"/>
    <n v="58250"/>
    <n v="12750.2"/>
    <n v="27750"/>
    <n v="13100"/>
    <n v="12750.6"/>
    <n v="66350.799999999988"/>
    <n v="-8100.7999999999884"/>
    <n v="1.1390695278969956"/>
    <n v="82912"/>
    <n v="12750"/>
    <n v="12750"/>
    <n v="12750"/>
    <n v="27750.2"/>
    <n v="66000.2"/>
    <n v="16911.800000000003"/>
    <n v="0.7960271130837514"/>
    <n v="69500"/>
    <n v="13330"/>
    <n v="13370"/>
    <n v="16485.2"/>
    <n v="18651.2"/>
    <n v="12750"/>
    <n v="74586.399999999994"/>
    <n v="-5086.3999999999942"/>
    <n v="1.0731856115107914"/>
    <n v="62000"/>
    <n v="27870"/>
    <n v="14850"/>
    <n v="9250"/>
    <n v="24250"/>
    <n v="76220"/>
    <n v="-14220"/>
  </r>
  <r>
    <x v="1"/>
    <s v="MELISS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1"/>
    <n v="4191"/>
    <n v="-4191"/>
    <n v="0"/>
    <n v="0"/>
    <n v="4190.6000000000004"/>
    <n v="4255.6000000000004"/>
    <n v="3769.2"/>
    <n v="2578"/>
    <n v="3020.8"/>
    <n v="17814.2"/>
    <n v="-17814.2"/>
    <n v="0"/>
    <n v="0"/>
    <n v="4253.6000000000004"/>
    <n v="4549"/>
    <n v="4403.8"/>
    <n v="4402.8"/>
    <n v="17609.2"/>
    <n v="-17609.2"/>
    <n v="0"/>
    <n v="0"/>
    <n v="5900.4"/>
    <n v="5702.4"/>
    <n v="6903.8"/>
    <n v="5702.8"/>
    <n v="24209.399999999998"/>
    <n v="-24209.399999999998"/>
    <n v="0"/>
    <n v="0"/>
    <n v="5702"/>
    <n v="5062"/>
    <n v="5800.2"/>
    <n v="5500.4"/>
    <n v="5622.4"/>
    <n v="27687"/>
    <n v="-27687"/>
    <n v="0"/>
    <n v="26400"/>
    <n v="5801"/>
    <n v="5801"/>
    <n v="5807.8"/>
    <n v="6325"/>
    <n v="23734.799999999999"/>
    <n v="2665.2000000000007"/>
  </r>
  <r>
    <x v="1"/>
    <s v="MARKET MAX"/>
    <n v="0"/>
    <n v="2000"/>
    <n v="2000"/>
    <n v="2000"/>
    <n v="2000"/>
    <n v="8000"/>
    <n v="-8000"/>
    <n v="0"/>
    <n v="0"/>
    <n v="2000"/>
    <n v="2000"/>
    <n v="2000"/>
    <n v="2000"/>
    <n v="2000"/>
    <n v="10000"/>
    <n v="-10000"/>
    <n v="0"/>
    <n v="0"/>
    <n v="2000"/>
    <n v="2000"/>
    <n v="2000"/>
    <n v="0"/>
    <n v="6000"/>
    <n v="-6000"/>
    <n v="0"/>
    <n v="0"/>
    <n v="2000"/>
    <n v="2000"/>
    <n v="8000.94"/>
    <n v="7983.54"/>
    <n v="19984.48"/>
    <n v="-19984.48"/>
    <n v="0"/>
    <n v="0"/>
    <n v="8000.94"/>
    <n v="8000.94"/>
    <n v="8001.14"/>
    <n v="8000.94"/>
    <n v="8002.74"/>
    <n v="40006.699999999997"/>
    <n v="-40006.699999999997"/>
    <n v="0"/>
    <n v="0"/>
    <n v="8502.5400000000009"/>
    <n v="5502.74"/>
    <n v="5895.74"/>
    <n v="7876.54"/>
    <n v="27777.56"/>
    <n v="-27777.56"/>
    <n v="0"/>
    <n v="0"/>
    <n v="7876.54"/>
    <n v="7876.94"/>
    <n v="7876.74"/>
    <n v="7875"/>
    <n v="31505.22"/>
    <n v="-31505.22"/>
    <n v="0"/>
    <n v="0"/>
    <n v="8002.54"/>
    <n v="7874.94"/>
    <n v="7874.94"/>
    <n v="7874.94"/>
    <n v="7875.14"/>
    <n v="39502.5"/>
    <n v="-39502.5"/>
    <n v="0"/>
    <n v="0"/>
    <n v="10755.54"/>
    <n v="10435.540000000001"/>
    <n v="10594.94"/>
    <n v="10514.94"/>
    <n v="42300.960000000006"/>
    <n v="-42300.960000000006"/>
    <n v="0"/>
    <n v="0"/>
    <n v="10274.94"/>
    <n v="10835.14"/>
    <n v="11215.74"/>
    <n v="13615.14"/>
    <n v="45940.959999999999"/>
    <n v="-45940.959999999999"/>
    <n v="0"/>
    <n v="0"/>
    <n v="13295.14"/>
    <n v="15966.54"/>
    <n v="16537.34"/>
    <n v="17241.14"/>
    <n v="15441.14"/>
    <n v="78481.3"/>
    <n v="-78481.3"/>
    <n v="0"/>
    <n v="56000"/>
    <n v="15441.14"/>
    <n v="15560.54"/>
    <n v="17811.2"/>
    <n v="15645.54"/>
    <n v="64458.420000000006"/>
    <n v="-8458.4200000000055"/>
  </r>
  <r>
    <x v="0"/>
    <s v="L1"/>
    <n v="48000"/>
    <n v="11583"/>
    <n v="9483.7999999999993"/>
    <n v="8659.7999999999993"/>
    <n v="898"/>
    <n v="30624.6"/>
    <n v="17375.400000000001"/>
    <n v="0.63801249999999998"/>
    <n v="60000"/>
    <n v="5922"/>
    <n v="8928.7999999999993"/>
    <n v="10790"/>
    <n v="8546.4"/>
    <n v="7443"/>
    <n v="41630.199999999997"/>
    <n v="18369.800000000003"/>
    <n v="0.69383666666666666"/>
    <n v="48000"/>
    <n v="10658.6"/>
    <n v="11580.4"/>
    <n v="3245"/>
    <n v="11539"/>
    <n v="37023"/>
    <n v="10977"/>
    <n v="0.77131249999999996"/>
    <n v="48000"/>
    <n v="12422.8"/>
    <n v="9439.7999999999993"/>
    <n v="9998"/>
    <n v="9796.2000000000007"/>
    <n v="41656.800000000003"/>
    <n v="6343.1999999999971"/>
    <n v="0.86785000000000001"/>
    <n v="60000"/>
    <n v="9795.7999999999993"/>
    <n v="10087.799999999999"/>
    <n v="10232.6"/>
    <n v="10087"/>
    <n v="10088.799999999999"/>
    <n v="50292"/>
    <n v="9708"/>
    <n v="0.83819999999999995"/>
    <n v="48000"/>
    <n v="7025.2"/>
    <n v="9226.7999999999993"/>
    <n v="10087.200000000001"/>
    <n v="10211"/>
    <n v="36550.199999999997"/>
    <n v="11449.800000000003"/>
    <n v="0.76146249999999993"/>
    <n v="48000"/>
    <n v="10186.799999999999"/>
    <n v="10189"/>
    <n v="8494.7999999999993"/>
    <n v="7687"/>
    <n v="36557.599999999999"/>
    <n v="11442.400000000001"/>
    <n v="0.76161666666666661"/>
    <n v="60000"/>
    <n v="6030"/>
    <n v="8531.7999999999993"/>
    <n v="8148"/>
    <n v="11202.4"/>
    <n v="9938.4"/>
    <n v="43850.6"/>
    <n v="16149.400000000001"/>
    <n v="0.73084333333333329"/>
    <n v="48000"/>
    <n v="9990"/>
    <n v="10172.200000000001"/>
    <n v="10102.200000000001"/>
    <n v="10369"/>
    <n v="40633.4"/>
    <n v="7366.5999999999985"/>
    <n v="0.84652916666666667"/>
    <n v="48000"/>
    <n v="11207.2"/>
    <n v="11140.8"/>
    <n v="13328"/>
    <n v="12389.8"/>
    <n v="48065.8"/>
    <n v="-65.80000000000291"/>
    <n v="1.0013708333333333"/>
    <n v="60000"/>
    <n v="12392"/>
    <n v="12740.4"/>
    <n v="13300.8"/>
    <n v="15319.6"/>
    <n v="12577.4"/>
    <n v="66330.2"/>
    <n v="-6330.1999999999971"/>
    <n v="1.1055033333333333"/>
    <n v="50400"/>
    <n v="12651.6"/>
    <n v="12196.4"/>
    <n v="17671.2"/>
    <n v="24025.4"/>
    <n v="66544.600000000006"/>
    <n v="-16144.600000000006"/>
  </r>
  <r>
    <x v="0"/>
    <s v="INCREMENTO 20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HR"/>
    <n v="42875"/>
    <n v="20660"/>
    <n v="21428.57"/>
    <n v="30545.86"/>
    <n v="0"/>
    <n v="72634.429999999993"/>
    <n v="-29759.429999999993"/>
    <n v="1.6940974927113701"/>
    <n v="50072"/>
    <n v="11753"/>
    <n v="17280.43"/>
    <n v="17511"/>
    <n v="1789"/>
    <n v="17589"/>
    <n v="65922.429999999993"/>
    <n v="-15850.429999999993"/>
    <n v="1.3165527640198114"/>
    <n v="107936"/>
    <n v="33362"/>
    <n v="40205.43"/>
    <n v="0"/>
    <n v="24967"/>
    <n v="98534.43"/>
    <n v="9401.570000000007"/>
    <n v="0.9128968092202786"/>
    <n v="3335"/>
    <n v="16231"/>
    <n v="16836"/>
    <n v="14716"/>
    <n v="4221"/>
    <n v="52004"/>
    <n v="-48669"/>
    <n v="15.593403298350825"/>
    <n v="20657.8"/>
    <n v="22064.86"/>
    <n v="6700"/>
    <n v="18169"/>
    <n v="7840"/>
    <n v="30460"/>
    <n v="85233.86"/>
    <n v="-64576.06"/>
    <n v="4.1259892147276087"/>
    <n v="97066"/>
    <n v="29367.14"/>
    <n v="37114.14"/>
    <n v="10918"/>
    <n v="12238"/>
    <n v="89637.28"/>
    <n v="7428.7200000000012"/>
    <n v="0.9234673315063977"/>
    <n v="116272"/>
    <n v="2842"/>
    <n v="10441"/>
    <n v="23867"/>
    <n v="17194.47"/>
    <n v="54344.47"/>
    <n v="61927.53"/>
    <n v="0.46739085936424934"/>
    <n v="122912"/>
    <n v="6515"/>
    <n v="8462"/>
    <n v="24199"/>
    <n v="3321"/>
    <n v="16197"/>
    <n v="58694"/>
    <n v="64218"/>
    <n v="0.47752863837542309"/>
    <n v="94923"/>
    <n v="6679"/>
    <n v="8778.7099999999991"/>
    <n v="9507"/>
    <n v="912"/>
    <n v="25876.71"/>
    <n v="69046.290000000008"/>
    <n v="0.27260737650516731"/>
    <n v="65306"/>
    <n v="7172.29"/>
    <n v="1326"/>
    <n v="19014"/>
    <n v="0"/>
    <n v="27512.29"/>
    <n v="37793.71"/>
    <n v="0.42128273053011978"/>
    <n v="130533"/>
    <n v="34467.29"/>
    <n v="0"/>
    <n v="6030.71"/>
    <n v="14884"/>
    <n v="4858.8599999999997"/>
    <n v="60240.86"/>
    <n v="70292.14"/>
    <n v="0.46149908452268773"/>
    <n v="0"/>
    <n v="21997"/>
    <n v="7877"/>
    <n v="14108"/>
    <n v="12270"/>
    <n v="56252"/>
    <n v="-56252"/>
  </r>
  <r>
    <x v="2"/>
    <s v="CAPRICHOS"/>
    <n v="20178"/>
    <n v="15020"/>
    <n v="2357.14"/>
    <n v="1401"/>
    <n v="17310"/>
    <n v="36088.14"/>
    <n v="-15910.14"/>
    <n v="1.7884894439488552"/>
    <n v="32761"/>
    <n v="5761"/>
    <n v="14956"/>
    <n v="2864"/>
    <n v="22365"/>
    <n v="12964.29"/>
    <n v="58910.29"/>
    <n v="-26149.29"/>
    <n v="1.7981835108818411"/>
    <n v="34310"/>
    <n v="18046"/>
    <n v="26565.86"/>
    <n v="3100"/>
    <n v="0"/>
    <n v="47711.86"/>
    <n v="-13401.86"/>
    <n v="1.3906109006120664"/>
    <n v="6059.2"/>
    <n v="23962"/>
    <n v="912"/>
    <n v="5248"/>
    <n v="14899"/>
    <n v="45021"/>
    <n v="-38961.800000000003"/>
    <n v="7.4301888038024826"/>
    <n v="7281.4"/>
    <n v="3756"/>
    <n v="9775"/>
    <n v="2397"/>
    <n v="20412"/>
    <n v="1567"/>
    <n v="37907"/>
    <n v="-30625.599999999999"/>
    <n v="5.2060043398247595"/>
    <n v="19211"/>
    <n v="39273.21"/>
    <n v="7337"/>
    <n v="1071"/>
    <n v="5597"/>
    <n v="53278.21"/>
    <n v="-34067.21"/>
    <n v="2.7733178907917337"/>
    <n v="92716"/>
    <n v="5901"/>
    <n v="18048"/>
    <n v="13937"/>
    <n v="12296.71"/>
    <n v="50182.71"/>
    <n v="42533.29"/>
    <n v="0.54125188748436082"/>
    <n v="59540"/>
    <n v="33317"/>
    <n v="16077"/>
    <n v="7353"/>
    <n v="14329"/>
    <n v="18783"/>
    <n v="89859"/>
    <n v="-30319"/>
    <n v="1.5092206919717837"/>
    <n v="37815"/>
    <n v="10750"/>
    <n v="6856.5"/>
    <n v="13047.71"/>
    <n v="6179.4"/>
    <n v="36833.61"/>
    <n v="981.38999999999942"/>
    <n v="0.9740476001586672"/>
    <n v="35059"/>
    <n v="6293"/>
    <n v="17225.71"/>
    <n v="250"/>
    <n v="3777"/>
    <n v="27545.71"/>
    <n v="7513.2900000000009"/>
    <n v="0.78569582703442764"/>
    <n v="48402"/>
    <n v="1873"/>
    <n v="0"/>
    <n v="3684.29"/>
    <n v="0"/>
    <n v="0"/>
    <n v="5557.29"/>
    <n v="42844.71"/>
    <n v="0.11481529688855832"/>
    <n v="0"/>
    <n v="3630"/>
    <n v="3532"/>
    <n v="1414.29"/>
    <n v="0"/>
    <n v="8576.2900000000009"/>
    <n v="-8576.2900000000009"/>
  </r>
  <r>
    <x v="2"/>
    <s v="SERVICIOS"/>
    <n v="45424"/>
    <n v="13289.86"/>
    <n v="0"/>
    <n v="0"/>
    <n v="10000"/>
    <n v="23289.86"/>
    <n v="22134.14"/>
    <n v="0.51272146882705183"/>
    <n v="18742"/>
    <n v="10214.290000000001"/>
    <n v="23810"/>
    <n v="22053.57"/>
    <n v="6782.86"/>
    <n v="0"/>
    <n v="62860.72"/>
    <n v="-44118.720000000001"/>
    <n v="3.3540027745171272"/>
    <n v="25572"/>
    <n v="0"/>
    <n v="31178.71"/>
    <n v="11262.28"/>
    <n v="19285.71"/>
    <n v="61726.7"/>
    <n v="-36154.699999999997"/>
    <n v="2.4138393555451274"/>
    <n v="9887.2000000000007"/>
    <n v="50000"/>
    <n v="0"/>
    <n v="10017"/>
    <n v="0"/>
    <n v="60017"/>
    <n v="-50129.8"/>
    <n v="6.0701715349138272"/>
    <n v="12125.8"/>
    <n v="16951"/>
    <n v="2035"/>
    <n v="0"/>
    <n v="5142"/>
    <n v="3004"/>
    <n v="27132"/>
    <n v="-15006.2"/>
    <n v="2.2375430899404578"/>
    <n v="88631"/>
    <n v="0"/>
    <n v="4361"/>
    <n v="9398"/>
    <n v="1240"/>
    <n v="14999"/>
    <n v="73632"/>
    <n v="0.16922972774762782"/>
    <n v="3946"/>
    <n v="6422"/>
    <n v="5714"/>
    <n v="18778"/>
    <n v="12889"/>
    <n v="43803"/>
    <n v="-39857"/>
    <n v="11.100608210846426"/>
    <n v="35033"/>
    <n v="0"/>
    <n v="4315"/>
    <n v="2937"/>
    <n v="3937"/>
    <n v="1366"/>
    <n v="12555"/>
    <n v="22478"/>
    <n v="0.35837638797705024"/>
    <n v="11750"/>
    <n v="0"/>
    <n v="12045"/>
    <n v="1500"/>
    <n v="1017.43"/>
    <n v="14562.43"/>
    <n v="-2812.4300000000003"/>
    <n v="1.2393557446808512"/>
    <n v="5770"/>
    <n v="0"/>
    <n v="2566"/>
    <n v="21670"/>
    <n v="2510"/>
    <n v="26746"/>
    <n v="-20976"/>
    <n v="4.6353552859618716"/>
    <n v="25370"/>
    <n v="0"/>
    <n v="0"/>
    <n v="4160.29"/>
    <n v="8998"/>
    <n v="4910.71"/>
    <n v="18069"/>
    <n v="7301"/>
    <n v="0.71221915648403622"/>
    <n v="0"/>
    <n v="4085.14"/>
    <n v="1387"/>
    <n v="2357.14"/>
    <n v="0"/>
    <n v="7829.28"/>
    <n v="-7829.28"/>
  </r>
  <r>
    <x v="2"/>
    <s v="FINANZAS"/>
    <n v="10615"/>
    <n v="53240.43"/>
    <n v="0"/>
    <n v="0"/>
    <n v="13211"/>
    <n v="66451.429999999993"/>
    <n v="-55836.429999999993"/>
    <n v="6.2601441356570886"/>
    <n v="11962"/>
    <n v="0"/>
    <n v="0"/>
    <n v="5087.1400000000003"/>
    <n v="0"/>
    <n v="13750"/>
    <n v="18837.14"/>
    <n v="-6875.1399999999994"/>
    <n v="1.5747483698378197"/>
    <n v="9821"/>
    <n v="0"/>
    <n v="0"/>
    <n v="0"/>
    <n v="0"/>
    <n v="0"/>
    <n v="9821"/>
    <n v="0"/>
    <n v="3000"/>
    <n v="6943"/>
    <n v="0"/>
    <n v="3000"/>
    <n v="6557"/>
    <n v="16500"/>
    <n v="-13500"/>
    <n v="5.5"/>
    <n v="2966.4"/>
    <n v="0"/>
    <n v="0"/>
    <n v="0"/>
    <n v="0"/>
    <n v="0"/>
    <n v="0"/>
    <n v="2966.4"/>
    <n v="0"/>
    <n v="0"/>
    <n v="0"/>
    <n v="0"/>
    <n v="6460"/>
    <n v="0"/>
    <n v="6460"/>
    <n v="-6460"/>
    <n v="0"/>
    <n v="21128"/>
    <n v="0"/>
    <n v="0"/>
    <n v="0"/>
    <n v="0"/>
    <n v="0"/>
    <n v="21128"/>
    <n v="0"/>
    <n v="0"/>
    <n v="0"/>
    <n v="0"/>
    <n v="3929"/>
    <n v="1964"/>
    <n v="1071"/>
    <n v="6964"/>
    <n v="-6964"/>
    <n v="0"/>
    <n v="15000"/>
    <n v="14655"/>
    <n v="0"/>
    <n v="0"/>
    <n v="0"/>
    <n v="14655"/>
    <n v="345"/>
    <n v="0.97699999999999998"/>
    <n v="0"/>
    <n v="1071.43"/>
    <n v="0"/>
    <n v="0"/>
    <n v="0"/>
    <n v="1071.43"/>
    <n v="-1071.43"/>
    <n v="0"/>
    <n v="0"/>
    <n v="0"/>
    <n v="0"/>
    <n v="0"/>
    <n v="7285"/>
    <n v="0"/>
    <n v="7285"/>
    <n v="-7285"/>
    <n v="0"/>
    <n v="0"/>
    <n v="0"/>
    <n v="0"/>
    <n v="0"/>
    <n v="0"/>
    <n v="0"/>
    <n v="0"/>
  </r>
  <r>
    <x v="2"/>
    <s v="GESTION EMPRESARIAL"/>
    <n v="23595"/>
    <n v="0"/>
    <n v="0"/>
    <n v="5087.1400000000003"/>
    <n v="0"/>
    <n v="5087.1400000000003"/>
    <n v="18507.86"/>
    <n v="0.21560245814791271"/>
    <n v="0"/>
    <n v="0"/>
    <n v="0"/>
    <n v="0"/>
    <n v="0"/>
    <n v="0"/>
    <n v="0"/>
    <n v="0"/>
    <n v="0"/>
    <n v="803"/>
    <n v="5087.1400000000003"/>
    <n v="9428.57"/>
    <n v="0"/>
    <n v="8678.57"/>
    <n v="23194.28"/>
    <n v="-22391.279999999999"/>
    <n v="28.88453300124533"/>
    <n v="0"/>
    <n v="0"/>
    <n v="0"/>
    <n v="0"/>
    <n v="0"/>
    <n v="0"/>
    <n v="0"/>
    <n v="0"/>
    <n v="0"/>
    <n v="3724"/>
    <n v="0"/>
    <n v="0"/>
    <n v="0"/>
    <n v="0"/>
    <n v="3724"/>
    <n v="-3724"/>
    <n v="0"/>
    <n v="6729"/>
    <n v="0"/>
    <n v="0"/>
    <n v="0"/>
    <n v="5756"/>
    <n v="5756"/>
    <n v="973"/>
    <n v="0.85540199138059148"/>
    <n v="0"/>
    <n v="2036"/>
    <n v="0"/>
    <n v="0"/>
    <n v="6285"/>
    <n v="8321"/>
    <n v="-8321"/>
    <n v="0"/>
    <n v="13750"/>
    <n v="2034"/>
    <n v="0"/>
    <n v="0"/>
    <n v="5892"/>
    <n v="0"/>
    <n v="7926"/>
    <n v="5824"/>
    <n v="0.57643636363636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MELISS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"/>
    <n v="0"/>
    <n v="0"/>
    <n v="1102"/>
    <n v="0"/>
    <n v="1622"/>
    <n v="-1622"/>
    <n v="0"/>
    <n v="0"/>
    <n v="0"/>
    <n v="0"/>
    <n v="0"/>
    <n v="0"/>
    <n v="0"/>
    <n v="0"/>
  </r>
  <r>
    <x v="2"/>
    <s v="MARKET M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.68"/>
    <n v="4285.68"/>
    <n v="-4285.68"/>
    <n v="0"/>
    <n v="0"/>
    <n v="0"/>
    <n v="0"/>
    <n v="0"/>
    <n v="0"/>
    <n v="0"/>
    <n v="0"/>
    <n v="0"/>
    <n v="0"/>
    <n v="0"/>
    <n v="0"/>
    <n v="0"/>
    <n v="1028.57"/>
    <n v="0"/>
    <n v="1028.57"/>
    <n v="-102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DIRECCION"/>
    <n v="5500"/>
    <n v="0"/>
    <n v="0"/>
    <n v="0"/>
    <n v="0"/>
    <n v="0"/>
    <n v="5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0"/>
    <n v="0"/>
    <n v="0"/>
    <n v="0"/>
    <n v="0"/>
    <n v="0"/>
    <n v="0"/>
    <n v="3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50"/>
    <n v="0"/>
    <n v="3500"/>
    <n v="0"/>
    <n v="0"/>
    <n v="3500"/>
    <n v="12750"/>
    <n v="0.2153846153846154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AGUINALD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9051"/>
    <n v="1275260.2"/>
    <n v="0"/>
    <n v="0"/>
    <n v="0"/>
    <n v="0"/>
    <n v="1275260.2"/>
    <n v="403790.80000000005"/>
    <n v="0.75951248651768166"/>
    <n v="0"/>
    <n v="0"/>
    <n v="0"/>
    <n v="0"/>
    <n v="0"/>
    <n v="0"/>
    <n v="0"/>
  </r>
  <r>
    <x v="4"/>
    <s v="IMSS/INFONAVIT"/>
    <n v="400000"/>
    <n v="0"/>
    <n v="7850"/>
    <n v="364002.13999999996"/>
    <n v="0"/>
    <n v="371852.13999999996"/>
    <n v="28147.860000000044"/>
    <n v="0.92963034999999994"/>
    <n v="1300000"/>
    <n v="7840"/>
    <n v="14405.53"/>
    <n v="1106529.73"/>
    <n v="0"/>
    <n v="12840"/>
    <n v="1141615.26"/>
    <n v="158384.74"/>
    <n v="0.87816558461538463"/>
    <n v="400000"/>
    <n v="0"/>
    <n v="0"/>
    <n v="362077.17000000004"/>
    <n v="0"/>
    <n v="362077.17000000004"/>
    <n v="37922.829999999958"/>
    <n v="0.90519292500000015"/>
    <n v="1300000"/>
    <n v="0"/>
    <n v="1183437.23"/>
    <n v="0"/>
    <n v="0"/>
    <n v="1183437.23"/>
    <n v="116562.77000000002"/>
    <n v="0.91033633076923071"/>
    <n v="400000"/>
    <n v="0"/>
    <n v="362939.30000000005"/>
    <n v="0"/>
    <n v="2780"/>
    <n v="0"/>
    <n v="365719.30000000005"/>
    <n v="34280.699999999953"/>
    <n v="0.91429825000000009"/>
    <n v="1300000"/>
    <n v="7840"/>
    <n v="1183416.9700000002"/>
    <n v="0"/>
    <n v="0"/>
    <n v="1191256.9700000002"/>
    <n v="108743.0299999998"/>
    <n v="0.91635151538461557"/>
    <n v="400000"/>
    <n v="0"/>
    <n v="390956.23000000004"/>
    <n v="0"/>
    <n v="0"/>
    <n v="390956.23000000004"/>
    <n v="9043.7699999999604"/>
    <n v="0.97739057500000015"/>
    <n v="1300000"/>
    <n v="2000"/>
    <n v="7840"/>
    <n v="1249623.0900000001"/>
    <n v="0"/>
    <n v="0"/>
    <n v="1259463.0900000001"/>
    <n v="40536.909999999916"/>
    <n v="0.96881776153846155"/>
    <n v="400000"/>
    <n v="0"/>
    <n v="382817.19999999995"/>
    <n v="0"/>
    <n v="0"/>
    <n v="382817.19999999995"/>
    <n v="17182.800000000047"/>
    <n v="0.95704299999999987"/>
    <n v="1300000"/>
    <n v="0"/>
    <n v="1259983.0399999998"/>
    <n v="0"/>
    <n v="0"/>
    <n v="1259983.0399999998"/>
    <n v="40016.960000000196"/>
    <n v="0.96921772307692289"/>
    <n v="400000"/>
    <n v="0"/>
    <n v="257330.38"/>
    <n v="140827.57999999999"/>
    <n v="0"/>
    <n v="0"/>
    <n v="398157.95999999996"/>
    <n v="1842.0400000000373"/>
    <n v="0.99539489999999986"/>
    <n v="1500000"/>
    <n v="0"/>
    <n v="7840"/>
    <n v="1421183.26"/>
    <n v="0"/>
    <n v="1429023.26"/>
    <n v="70976.739999999991"/>
  </r>
  <r>
    <x v="5"/>
    <s v="A1"/>
    <n v="0"/>
    <n v="0"/>
    <n v="0"/>
    <n v="0"/>
    <n v="0"/>
    <n v="0"/>
    <n v="0"/>
    <n v="0"/>
    <n v="0"/>
    <n v="34789.440000000002"/>
    <n v="0"/>
    <n v="0"/>
    <n v="0"/>
    <n v="0"/>
    <n v="34789.440000000002"/>
    <n v="-34789.440000000002"/>
    <n v="0"/>
    <n v="0"/>
    <n v="34790"/>
    <n v="0"/>
    <n v="0"/>
    <n v="34789.440000000002"/>
    <n v="69579.44"/>
    <n v="-69579.44"/>
    <n v="0"/>
    <n v="0"/>
    <n v="0"/>
    <n v="0"/>
    <n v="0"/>
    <n v="34789.440000000002"/>
    <n v="34789.440000000002"/>
    <n v="-34789.440000000002"/>
    <n v="0"/>
    <n v="0"/>
    <n v="0"/>
    <n v="0"/>
    <n v="0"/>
    <n v="34789.440000000002"/>
    <n v="0"/>
    <n v="34789.440000000002"/>
    <n v="-34789.440000000002"/>
    <n v="0"/>
    <n v="0"/>
    <n v="0"/>
    <n v="0"/>
    <n v="0"/>
    <n v="10672.5"/>
    <n v="10672.5"/>
    <n v="-10672.5"/>
    <n v="0"/>
    <n v="0"/>
    <n v="34789.440000000002"/>
    <n v="0"/>
    <n v="0"/>
    <n v="0"/>
    <n v="34789.440000000002"/>
    <n v="-34789.440000000002"/>
    <n v="0"/>
    <n v="0"/>
    <n v="34789"/>
    <n v="0"/>
    <n v="0"/>
    <n v="0"/>
    <n v="0"/>
    <n v="34789"/>
    <n v="-34789"/>
    <n v="0"/>
    <n v="0"/>
    <n v="0"/>
    <n v="0"/>
    <n v="0"/>
    <n v="0"/>
    <n v="0"/>
    <n v="0"/>
    <n v="0"/>
    <n v="0"/>
    <n v="69578.880000000005"/>
    <n v="0"/>
    <n v="0"/>
    <n v="34789.440000000002"/>
    <n v="104368.32000000001"/>
    <n v="-104368.32000000001"/>
    <n v="0"/>
    <n v="0"/>
    <n v="0"/>
    <n v="0"/>
    <n v="0"/>
    <n v="0"/>
    <n v="0"/>
    <n v="0"/>
    <n v="0"/>
    <n v="0"/>
    <n v="36877"/>
    <n v="0"/>
    <n v="0"/>
    <n v="0"/>
    <n v="31884"/>
    <n v="31884"/>
    <n v="4993"/>
  </r>
  <r>
    <x v="5"/>
    <s v="A2"/>
    <n v="0"/>
    <n v="0"/>
    <n v="0"/>
    <n v="0"/>
    <n v="0"/>
    <n v="0"/>
    <n v="0"/>
    <n v="0"/>
    <n v="0"/>
    <n v="26459"/>
    <n v="0"/>
    <n v="0"/>
    <n v="0"/>
    <n v="0"/>
    <n v="26459"/>
    <n v="-26459"/>
    <n v="0"/>
    <n v="0"/>
    <n v="24354"/>
    <n v="0"/>
    <n v="0"/>
    <n v="26459"/>
    <n v="50813"/>
    <n v="-50813"/>
    <n v="0"/>
    <n v="0"/>
    <n v="0"/>
    <n v="0"/>
    <n v="0"/>
    <n v="26459"/>
    <n v="26459"/>
    <n v="-26459"/>
    <n v="0"/>
    <n v="0"/>
    <n v="0"/>
    <n v="0"/>
    <n v="0"/>
    <n v="8109"/>
    <n v="0"/>
    <n v="8109"/>
    <n v="-8109"/>
    <n v="0"/>
    <n v="0"/>
    <n v="0"/>
    <n v="0"/>
    <n v="0"/>
    <n v="0"/>
    <n v="0"/>
    <n v="0"/>
    <n v="0"/>
    <n v="0"/>
    <n v="0"/>
    <n v="52184.160000000003"/>
    <n v="0"/>
    <n v="0"/>
    <n v="52184.160000000003"/>
    <n v="-52184.160000000003"/>
    <n v="0"/>
    <n v="0"/>
    <n v="30600"/>
    <n v="0"/>
    <n v="0"/>
    <n v="0"/>
    <n v="0"/>
    <n v="30600"/>
    <n v="-30600"/>
    <n v="0"/>
    <n v="0"/>
    <n v="0"/>
    <n v="0"/>
    <n v="0"/>
    <n v="0"/>
    <n v="0"/>
    <n v="0"/>
    <n v="0"/>
    <n v="0"/>
    <n v="61200"/>
    <n v="0"/>
    <n v="0"/>
    <n v="58668.04"/>
    <n v="119868.04000000001"/>
    <n v="-119868.04000000001"/>
    <n v="0"/>
    <n v="0"/>
    <n v="0"/>
    <n v="0"/>
    <n v="0"/>
    <n v="0"/>
    <n v="0"/>
    <n v="0"/>
    <n v="0"/>
    <n v="0"/>
    <n v="32436"/>
    <n v="0"/>
    <n v="0"/>
    <n v="0"/>
    <n v="0"/>
    <n v="0"/>
    <n v="32436"/>
  </r>
  <r>
    <x v="5"/>
    <s v="A3"/>
    <n v="54203.54"/>
    <n v="0"/>
    <n v="0"/>
    <n v="0"/>
    <n v="59122.42"/>
    <n v="59122.42"/>
    <n v="-4918.8799999999974"/>
    <n v="1.0907483164383729"/>
    <n v="54203.54"/>
    <n v="0"/>
    <n v="0"/>
    <n v="0"/>
    <n v="0"/>
    <n v="76296.97"/>
    <n v="76296.97"/>
    <n v="-22093.43"/>
    <n v="1.4076012378527307"/>
    <n v="54203.54"/>
    <n v="0"/>
    <n v="0"/>
    <n v="0"/>
    <n v="58145.99"/>
    <n v="58145.99"/>
    <n v="-3942.4499999999971"/>
    <n v="1.0727341793543372"/>
    <n v="54203.54"/>
    <n v="0"/>
    <n v="0"/>
    <n v="0"/>
    <n v="53796.97"/>
    <n v="53796.97"/>
    <n v="406.56999999999971"/>
    <n v="0.99249919839183931"/>
    <n v="54203.54"/>
    <n v="0"/>
    <n v="0"/>
    <n v="0"/>
    <n v="58145.99"/>
    <n v="0"/>
    <n v="58145.99"/>
    <n v="-3942.4499999999971"/>
    <n v="1.0727341793543372"/>
    <n v="54203.54"/>
    <n v="0"/>
    <n v="0"/>
    <n v="0"/>
    <n v="58145.99"/>
    <n v="58145.99"/>
    <n v="-3942.4499999999971"/>
    <n v="1.0727341793543372"/>
    <n v="54203.54"/>
    <n v="0"/>
    <n v="0"/>
    <n v="0"/>
    <n v="0"/>
    <n v="0"/>
    <n v="54203.54"/>
    <n v="0"/>
    <n v="54203.54"/>
    <n v="58145.99"/>
    <n v="0"/>
    <n v="0"/>
    <n v="0"/>
    <n v="0"/>
    <n v="58145.99"/>
    <n v="-3942.4499999999971"/>
    <n v="1.0727341793543372"/>
    <n v="54203.54"/>
    <n v="0"/>
    <n v="0"/>
    <n v="0"/>
    <n v="58145.99"/>
    <n v="58145.99"/>
    <n v="-3942.4499999999971"/>
    <n v="1.0727341793543372"/>
    <n v="54203.54"/>
    <n v="0"/>
    <n v="0"/>
    <n v="0"/>
    <n v="58145.99"/>
    <n v="58145.99"/>
    <n v="-3942.4499999999971"/>
    <n v="1.0727341793543372"/>
    <n v="54203.54"/>
    <n v="0"/>
    <n v="58148.99"/>
    <n v="0"/>
    <n v="0"/>
    <n v="0"/>
    <n v="58148.99"/>
    <n v="-3945.4499999999971"/>
    <n v="1.0727895262929321"/>
    <n v="61000"/>
    <n v="0"/>
    <n v="0"/>
    <n v="0"/>
    <n v="58145.99"/>
    <n v="58145.99"/>
    <n v="2854.010000000002"/>
  </r>
  <r>
    <x v="5"/>
    <s v="A4"/>
    <n v="32800"/>
    <n v="0"/>
    <n v="0"/>
    <n v="0"/>
    <n v="58232"/>
    <n v="58232"/>
    <n v="-25432"/>
    <n v="1.7753658536585366"/>
    <n v="32800"/>
    <n v="0"/>
    <n v="0"/>
    <n v="0"/>
    <n v="0"/>
    <n v="37800"/>
    <n v="37800"/>
    <n v="-5000"/>
    <n v="1.1524390243902438"/>
    <n v="32800"/>
    <n v="23000"/>
    <n v="0"/>
    <n v="0"/>
    <n v="32800"/>
    <n v="55800"/>
    <n v="-23000"/>
    <n v="1.7012195121951219"/>
    <n v="32800"/>
    <n v="0"/>
    <n v="0"/>
    <n v="0"/>
    <n v="32800"/>
    <n v="32800"/>
    <n v="0"/>
    <n v="1"/>
    <n v="32800"/>
    <n v="30000"/>
    <n v="0"/>
    <n v="0"/>
    <n v="63800"/>
    <n v="0"/>
    <n v="93800"/>
    <n v="-61000"/>
    <n v="2.8597560975609757"/>
    <n v="32800"/>
    <n v="0"/>
    <n v="0"/>
    <n v="0"/>
    <n v="32800"/>
    <n v="32800"/>
    <n v="0"/>
    <n v="1"/>
    <n v="32800"/>
    <n v="0"/>
    <n v="0"/>
    <n v="0"/>
    <n v="32800"/>
    <n v="32800"/>
    <n v="0"/>
    <n v="1"/>
    <n v="32800"/>
    <n v="0"/>
    <n v="0"/>
    <n v="0"/>
    <n v="0"/>
    <n v="32800"/>
    <n v="32800"/>
    <n v="0"/>
    <n v="1"/>
    <n v="32800"/>
    <n v="0"/>
    <n v="0"/>
    <n v="0"/>
    <n v="47800"/>
    <n v="47800"/>
    <n v="-15000"/>
    <n v="1.4573170731707317"/>
    <n v="32800"/>
    <n v="0"/>
    <n v="0"/>
    <n v="0"/>
    <n v="47800"/>
    <n v="47800"/>
    <n v="-15000"/>
    <n v="1.4573170731707317"/>
    <n v="32800"/>
    <n v="0"/>
    <n v="32800"/>
    <n v="0"/>
    <n v="143000"/>
    <n v="0"/>
    <n v="175800"/>
    <n v="-143000"/>
    <n v="5.3597560975609753"/>
    <n v="34768"/>
    <n v="0"/>
    <n v="0"/>
    <n v="0"/>
    <n v="34500"/>
    <n v="34500"/>
    <n v="268"/>
  </r>
  <r>
    <x v="5"/>
    <s v="A5"/>
    <n v="0"/>
    <n v="0"/>
    <n v="0"/>
    <n v="0"/>
    <n v="0"/>
    <n v="0"/>
    <n v="0"/>
    <n v="0"/>
    <n v="0"/>
    <n v="52184.160000000003"/>
    <n v="0"/>
    <n v="0"/>
    <n v="0"/>
    <n v="0"/>
    <n v="52184.160000000003"/>
    <n v="-52184.160000000003"/>
    <n v="0"/>
    <n v="0"/>
    <n v="52185"/>
    <n v="0"/>
    <n v="0"/>
    <n v="52184.160000000003"/>
    <n v="104369.16"/>
    <n v="-104369.16"/>
    <n v="0"/>
    <n v="0"/>
    <n v="0"/>
    <n v="0"/>
    <n v="0"/>
    <n v="93407.41"/>
    <n v="93407.41"/>
    <n v="-93407.41"/>
    <n v="0"/>
    <n v="0"/>
    <n v="0"/>
    <n v="18350"/>
    <n v="0"/>
    <n v="0"/>
    <n v="0"/>
    <n v="18350"/>
    <n v="-18350"/>
    <n v="0"/>
    <n v="0"/>
    <n v="0"/>
    <n v="0"/>
    <n v="0"/>
    <n v="0"/>
    <n v="0"/>
    <n v="0"/>
    <n v="0"/>
    <n v="0"/>
    <n v="41611.699999999997"/>
    <n v="8109"/>
    <n v="0"/>
    <n v="0"/>
    <n v="49720.7"/>
    <n v="-49720.7"/>
    <n v="0"/>
    <n v="0"/>
    <n v="52184"/>
    <n v="0"/>
    <n v="0"/>
    <n v="0"/>
    <n v="0"/>
    <n v="52184"/>
    <n v="-52184"/>
    <n v="0"/>
    <n v="0"/>
    <n v="0"/>
    <n v="0"/>
    <n v="0"/>
    <n v="0"/>
    <n v="0"/>
    <n v="0"/>
    <n v="0"/>
    <n v="0"/>
    <n v="104368.32000000001"/>
    <n v="0"/>
    <n v="0"/>
    <n v="104368.32000000001"/>
    <n v="208736.64000000001"/>
    <n v="-208736.64000000001"/>
    <n v="0"/>
    <n v="0"/>
    <n v="0"/>
    <n v="0"/>
    <n v="0"/>
    <n v="0"/>
    <n v="0"/>
    <n v="0"/>
    <n v="0"/>
    <n v="0"/>
    <n v="55315"/>
    <n v="0"/>
    <n v="0"/>
    <n v="0"/>
    <n v="0"/>
    <n v="0"/>
    <n v="55315"/>
  </r>
  <r>
    <x v="5"/>
    <s v="A6"/>
    <n v="23100"/>
    <n v="0"/>
    <n v="0"/>
    <n v="0"/>
    <n v="0"/>
    <n v="0"/>
    <n v="23100"/>
    <n v="0"/>
    <n v="23100"/>
    <n v="0"/>
    <n v="0"/>
    <n v="24000"/>
    <n v="0"/>
    <n v="0"/>
    <n v="24000"/>
    <n v="-900"/>
    <n v="1.0389610389610389"/>
    <n v="23100"/>
    <n v="0"/>
    <n v="0"/>
    <n v="24000"/>
    <n v="0"/>
    <n v="24000"/>
    <n v="-900"/>
    <n v="1.0389610389610389"/>
    <n v="23100"/>
    <n v="0"/>
    <n v="0"/>
    <n v="24000"/>
    <n v="0"/>
    <n v="24000"/>
    <n v="-900"/>
    <n v="1.0389610389610389"/>
    <n v="23100"/>
    <n v="0"/>
    <n v="0"/>
    <n v="24000"/>
    <n v="0"/>
    <n v="0"/>
    <n v="24000"/>
    <n v="-900"/>
    <n v="1.0389610389610389"/>
    <n v="23100"/>
    <n v="0"/>
    <n v="24000"/>
    <n v="0"/>
    <n v="0"/>
    <n v="24000"/>
    <n v="-900"/>
    <n v="1.0389610389610389"/>
    <n v="23100"/>
    <n v="0"/>
    <n v="0"/>
    <n v="24000"/>
    <n v="0"/>
    <n v="24000"/>
    <n v="-900"/>
    <n v="1.0389610389610389"/>
    <n v="23100"/>
    <n v="0"/>
    <n v="0"/>
    <n v="24000"/>
    <n v="0"/>
    <n v="0"/>
    <n v="24000"/>
    <n v="-900"/>
    <n v="1.0389610389610389"/>
    <n v="23100"/>
    <n v="0"/>
    <n v="0"/>
    <n v="24000"/>
    <n v="0"/>
    <n v="24000"/>
    <n v="-900"/>
    <n v="1.0389610389610389"/>
    <n v="23100"/>
    <n v="0"/>
    <n v="0"/>
    <n v="0"/>
    <n v="0"/>
    <n v="0"/>
    <n v="23100"/>
    <n v="0"/>
    <n v="23100"/>
    <n v="0"/>
    <n v="24000"/>
    <n v="0"/>
    <n v="0"/>
    <n v="0"/>
    <n v="24000"/>
    <n v="-900"/>
    <n v="1.0389610389610389"/>
    <n v="24486"/>
    <n v="0"/>
    <n v="0"/>
    <n v="0"/>
    <n v="24000"/>
    <n v="24000"/>
    <n v="486"/>
  </r>
  <r>
    <x v="5"/>
    <s v="A8"/>
    <n v="127806.11"/>
    <n v="0"/>
    <n v="88160"/>
    <n v="0"/>
    <n v="93230.01"/>
    <n v="181390.01"/>
    <n v="-53583.900000000009"/>
    <n v="1.4192592983230614"/>
    <n v="127806.11"/>
    <n v="0"/>
    <n v="0"/>
    <n v="0"/>
    <n v="121354.11"/>
    <n v="0"/>
    <n v="121354.11"/>
    <n v="6452"/>
    <n v="0.9495172805118629"/>
    <n v="127806.11"/>
    <n v="0"/>
    <n v="0"/>
    <n v="0"/>
    <n v="121393.69"/>
    <n v="121393.69"/>
    <n v="6412.4199999999983"/>
    <n v="0.94982696836637936"/>
    <n v="127806.11"/>
    <n v="0"/>
    <n v="0"/>
    <n v="43827.88"/>
    <n v="78230.009999999995"/>
    <n v="122057.88999999998"/>
    <n v="5748.2200000000157"/>
    <n v="0.95502390300432416"/>
    <n v="127806.11"/>
    <n v="0"/>
    <n v="0"/>
    <n v="122967.34"/>
    <n v="0"/>
    <n v="12249.99"/>
    <n v="135217.32999999999"/>
    <n v="-7411.2199999999866"/>
    <n v="1.0579879944706867"/>
    <n v="127806.11"/>
    <n v="0"/>
    <n v="0"/>
    <n v="0"/>
    <n v="129290"/>
    <n v="129290"/>
    <n v="-1483.8899999999994"/>
    <n v="1.0116104777776274"/>
    <n v="127806.11"/>
    <n v="0"/>
    <n v="0"/>
    <n v="45425.440000000002"/>
    <n v="83706.100000000006"/>
    <n v="129131.54000000001"/>
    <n v="-1325.4300000000076"/>
    <n v="1.0103706309502731"/>
    <n v="127806.11"/>
    <n v="0"/>
    <n v="0"/>
    <n v="0"/>
    <n v="0"/>
    <n v="129999.07"/>
    <n v="129999.07"/>
    <n v="-2192.9600000000064"/>
    <n v="1.0171584910924838"/>
    <n v="127806.11"/>
    <n v="0"/>
    <n v="0"/>
    <n v="44335.56"/>
    <n v="83706.100000000006"/>
    <n v="128041.66"/>
    <n v="-235.55000000000291"/>
    <n v="1.0018430261276241"/>
    <n v="127806.11"/>
    <n v="0"/>
    <n v="0"/>
    <n v="45003.68"/>
    <n v="83706.100000000006"/>
    <n v="128709.78"/>
    <n v="-903.66999999999825"/>
    <n v="1.0070706322256424"/>
    <n v="127806.11"/>
    <n v="0"/>
    <n v="127640.40000000001"/>
    <n v="0"/>
    <n v="0"/>
    <n v="0"/>
    <n v="127640.40000000001"/>
    <n v="165.70999999999185"/>
    <n v="0.99870342662021405"/>
    <n v="136428"/>
    <n v="0"/>
    <n v="0"/>
    <n v="0"/>
    <n v="132763.53"/>
    <n v="132763.53"/>
    <n v="3664.4700000000012"/>
  </r>
  <r>
    <x v="5"/>
    <s v="A9"/>
    <n v="0"/>
    <n v="0"/>
    <n v="0"/>
    <n v="0"/>
    <n v="44119.93"/>
    <n v="44119.93"/>
    <n v="-44119.93"/>
    <n v="0"/>
    <n v="0"/>
    <n v="23193.68"/>
    <n v="0"/>
    <n v="0"/>
    <n v="0"/>
    <n v="0"/>
    <n v="23193.68"/>
    <n v="-23193.68"/>
    <n v="0"/>
    <n v="0"/>
    <n v="23194"/>
    <n v="0"/>
    <n v="0"/>
    <n v="23193.68"/>
    <n v="46387.68"/>
    <n v="-46387.68"/>
    <n v="0"/>
    <n v="0"/>
    <n v="0"/>
    <n v="0"/>
    <n v="0"/>
    <n v="12733.68"/>
    <n v="12733.68"/>
    <n v="-12733.68"/>
    <n v="0"/>
    <n v="0"/>
    <n v="0"/>
    <n v="0"/>
    <n v="0"/>
    <n v="23193.68"/>
    <n v="0"/>
    <n v="23193.68"/>
    <n v="-23193.68"/>
    <n v="0"/>
    <n v="0"/>
    <n v="0"/>
    <n v="0"/>
    <n v="0"/>
    <n v="0"/>
    <n v="0"/>
    <n v="0"/>
    <n v="0"/>
    <n v="0"/>
    <n v="23193.68"/>
    <n v="0"/>
    <n v="0"/>
    <n v="0"/>
    <n v="23193.68"/>
    <n v="-23193.68"/>
    <n v="0"/>
    <n v="0"/>
    <n v="23194"/>
    <n v="0"/>
    <n v="0"/>
    <n v="0"/>
    <n v="0"/>
    <n v="23194"/>
    <n v="-23194"/>
    <n v="0"/>
    <n v="0"/>
    <n v="0"/>
    <n v="0"/>
    <n v="0"/>
    <n v="0"/>
    <n v="0"/>
    <n v="0"/>
    <n v="0"/>
    <n v="0"/>
    <n v="46387.360000000001"/>
    <n v="0"/>
    <n v="0"/>
    <n v="23193.68"/>
    <n v="69581.040000000008"/>
    <n v="-69581.040000000008"/>
    <n v="0"/>
    <n v="0"/>
    <n v="0"/>
    <n v="0"/>
    <n v="0"/>
    <n v="0"/>
    <n v="0"/>
    <n v="0"/>
    <n v="0"/>
    <n v="0"/>
    <n v="24585"/>
    <n v="0"/>
    <n v="0"/>
    <n v="0"/>
    <n v="0"/>
    <n v="0"/>
    <n v="24585"/>
  </r>
  <r>
    <x v="5"/>
    <s v="A10"/>
    <n v="107036.99"/>
    <n v="31000"/>
    <n v="0"/>
    <n v="31225"/>
    <n v="43715.99"/>
    <n v="105940.98999999999"/>
    <n v="1096.0000000000146"/>
    <n v="0.9897605491335284"/>
    <n v="107036.99"/>
    <n v="31000"/>
    <n v="31225"/>
    <n v="0"/>
    <n v="0"/>
    <n v="105939.98999999999"/>
    <n v="168164.99"/>
    <n v="-61127.999999999985"/>
    <n v="1.5710922924869242"/>
    <n v="107036.99"/>
    <n v="0"/>
    <n v="0"/>
    <n v="0"/>
    <n v="105939.98999999999"/>
    <n v="105939.98999999999"/>
    <n v="1097.0000000000146"/>
    <n v="0.98975120656886917"/>
    <n v="107036.99"/>
    <n v="0"/>
    <n v="0"/>
    <n v="0"/>
    <n v="43714.99"/>
    <n v="43714.99"/>
    <n v="63322.000000000007"/>
    <n v="0.40841012065081422"/>
    <n v="107036.99"/>
    <n v="31000"/>
    <n v="31225"/>
    <n v="14000"/>
    <n v="43714.99"/>
    <n v="31000"/>
    <n v="150939.99"/>
    <n v="-43902.999999999985"/>
    <n v="1.4101666162323883"/>
    <n v="107036.99"/>
    <n v="0"/>
    <n v="0"/>
    <n v="0"/>
    <n v="74939.989999999991"/>
    <n v="74939.989999999991"/>
    <n v="32097.000000000015"/>
    <n v="0.70013170213400044"/>
    <n v="107036.99"/>
    <n v="31000"/>
    <n v="0"/>
    <n v="0"/>
    <n v="43714.99"/>
    <n v="74714.989999999991"/>
    <n v="32322.000000000015"/>
    <n v="0.69802962508568289"/>
    <n v="107036.99"/>
    <n v="62225"/>
    <n v="0"/>
    <n v="31225"/>
    <n v="0"/>
    <n v="74714.989999999991"/>
    <n v="168164.99"/>
    <n v="-61127.999999999985"/>
    <n v="1.5710922924869242"/>
    <n v="107036.99"/>
    <n v="0"/>
    <n v="0"/>
    <n v="31225"/>
    <n v="43714.99"/>
    <n v="74939.989999999991"/>
    <n v="32097.000000000015"/>
    <n v="0.70013170213400044"/>
    <n v="107036.99"/>
    <n v="62225"/>
    <n v="0"/>
    <n v="0"/>
    <n v="47878.31"/>
    <n v="110103.31"/>
    <n v="-3066.3199999999924"/>
    <n v="1.0286472928657653"/>
    <n v="107036.99"/>
    <n v="31000"/>
    <n v="77021.649999999994"/>
    <n v="0"/>
    <n v="0"/>
    <n v="0"/>
    <n v="108021.65"/>
    <n v="-984.65999999998894"/>
    <n v="1.0091992497173172"/>
    <n v="109503"/>
    <n v="0"/>
    <n v="0"/>
    <n v="0"/>
    <n v="79769.45"/>
    <n v="79769.45"/>
    <n v="29733.550000000003"/>
  </r>
  <r>
    <x v="5"/>
    <s v="A11"/>
    <n v="24934.04"/>
    <n v="0"/>
    <n v="0"/>
    <n v="23746.7"/>
    <n v="0"/>
    <n v="23746.7"/>
    <n v="1187.3400000000001"/>
    <n v="0.95238076140088013"/>
    <n v="24934.04"/>
    <n v="0"/>
    <n v="0"/>
    <n v="0"/>
    <n v="23746.7"/>
    <n v="0"/>
    <n v="23746.7"/>
    <n v="1187.3400000000001"/>
    <n v="0.95238076140088013"/>
    <n v="24934.04"/>
    <n v="0"/>
    <n v="0"/>
    <n v="30572.57"/>
    <n v="0"/>
    <n v="30572.57"/>
    <n v="-5638.5299999999988"/>
    <n v="1.2261378420825506"/>
    <n v="24934.04"/>
    <n v="0"/>
    <n v="0"/>
    <n v="25454.02"/>
    <n v="0"/>
    <n v="25454.02"/>
    <n v="-519.97999999999956"/>
    <n v="1.0208542217787411"/>
    <n v="24934.04"/>
    <n v="0"/>
    <n v="25454.02"/>
    <n v="0"/>
    <n v="0"/>
    <n v="0"/>
    <n v="25454.02"/>
    <n v="-519.97999999999956"/>
    <n v="1.0208542217787411"/>
    <n v="24934.04"/>
    <n v="0"/>
    <n v="25454.02"/>
    <n v="0"/>
    <n v="0"/>
    <n v="25454.02"/>
    <n v="-519.97999999999956"/>
    <n v="1.0208542217787411"/>
    <n v="24934.04"/>
    <n v="0"/>
    <n v="25454.02"/>
    <n v="0"/>
    <n v="0"/>
    <n v="25454.02"/>
    <n v="-519.97999999999956"/>
    <n v="1.0208542217787411"/>
    <n v="24934.04"/>
    <n v="0"/>
    <n v="0"/>
    <n v="25454.02"/>
    <n v="0"/>
    <n v="0"/>
    <n v="25454.02"/>
    <n v="-519.97999999999956"/>
    <n v="1.0208542217787411"/>
    <n v="24934.04"/>
    <n v="0"/>
    <n v="0"/>
    <n v="25454.02"/>
    <n v="0"/>
    <n v="25454.02"/>
    <n v="-519.97999999999956"/>
    <n v="1.0208542217787411"/>
    <n v="24934.04"/>
    <n v="25454.02"/>
    <n v="0"/>
    <n v="0"/>
    <n v="0"/>
    <n v="25454.02"/>
    <n v="-519.97999999999956"/>
    <n v="1.0208542217787411"/>
    <n v="24934.04"/>
    <n v="0"/>
    <n v="25454.02"/>
    <n v="0"/>
    <n v="0"/>
    <n v="0"/>
    <n v="25454.02"/>
    <n v="-519.97999999999956"/>
    <n v="1.0208542217787411"/>
    <n v="26430"/>
    <n v="0"/>
    <n v="0"/>
    <n v="0"/>
    <n v="26430.080000000002"/>
    <n v="26430.080000000002"/>
    <n v="-8.000000000174623E-2"/>
  </r>
  <r>
    <x v="5"/>
    <s v="A12"/>
    <n v="138016.13"/>
    <n v="0"/>
    <n v="136560.29"/>
    <n v="0"/>
    <n v="49286.080000000002"/>
    <n v="185846.37"/>
    <n v="-47830.239999999991"/>
    <n v="1.3465554352234046"/>
    <n v="138016.13"/>
    <n v="0"/>
    <n v="137560.29"/>
    <n v="0"/>
    <n v="0"/>
    <n v="0"/>
    <n v="137560.29"/>
    <n v="455.83999999999651"/>
    <n v="0.99669719763914555"/>
    <n v="138016.13"/>
    <n v="137560.29"/>
    <n v="0"/>
    <n v="0"/>
    <n v="0"/>
    <n v="137560.29"/>
    <n v="455.83999999999651"/>
    <n v="0.99669719763914555"/>
    <n v="138016.13"/>
    <n v="137560.29"/>
    <n v="5410.82"/>
    <n v="0"/>
    <n v="0"/>
    <n v="142971.11000000002"/>
    <n v="-4954.9800000000105"/>
    <n v="1.0359014558660644"/>
    <n v="138016.13"/>
    <n v="0"/>
    <n v="142970.82"/>
    <n v="0"/>
    <n v="0"/>
    <n v="0"/>
    <n v="142970.82"/>
    <n v="-4954.6900000000023"/>
    <n v="1.0358993546623863"/>
    <n v="138016.13"/>
    <n v="142971"/>
    <n v="0"/>
    <n v="0"/>
    <n v="0"/>
    <n v="142971"/>
    <n v="-4954.8699999999953"/>
    <n v="1.0359006588577726"/>
    <n v="138016.13"/>
    <n v="0"/>
    <n v="142971.10999999999"/>
    <n v="0"/>
    <n v="0"/>
    <n v="142971.10999999999"/>
    <n v="-4954.9799999999814"/>
    <n v="1.0359014558660642"/>
    <n v="138016.13"/>
    <n v="0"/>
    <n v="0"/>
    <n v="142971.10999999999"/>
    <n v="0"/>
    <n v="0"/>
    <n v="142971.10999999999"/>
    <n v="-4954.9799999999814"/>
    <n v="1.0359014558660642"/>
    <n v="138016.13"/>
    <n v="0"/>
    <n v="142971.10999999999"/>
    <n v="0"/>
    <n v="0"/>
    <n v="142971.10999999999"/>
    <n v="-4954.9799999999814"/>
    <n v="1.0359014558660642"/>
    <n v="138016.13"/>
    <n v="142971"/>
    <n v="0"/>
    <n v="0"/>
    <n v="0"/>
    <n v="142971"/>
    <n v="-4954.8699999999953"/>
    <n v="1.0359006588577726"/>
    <n v="138016.13"/>
    <n v="0"/>
    <n v="142971.10999999999"/>
    <n v="0"/>
    <n v="0"/>
    <n v="0"/>
    <n v="142971.10999999999"/>
    <n v="-4954.9799999999814"/>
    <n v="1.0359014558660642"/>
    <n v="151549"/>
    <n v="0"/>
    <n v="142971.10999999999"/>
    <n v="0"/>
    <n v="0"/>
    <n v="142971.10999999999"/>
    <n v="8577.890000000014"/>
  </r>
  <r>
    <x v="5"/>
    <s v="A14"/>
    <n v="57002.400000000001"/>
    <n v="0"/>
    <n v="0"/>
    <n v="54288"/>
    <n v="0"/>
    <n v="54288"/>
    <n v="2714.4000000000015"/>
    <n v="0.95238095238095233"/>
    <n v="57002.400000000001"/>
    <n v="0"/>
    <n v="0"/>
    <n v="54288"/>
    <n v="0"/>
    <n v="0"/>
    <n v="54288"/>
    <n v="2714.4000000000015"/>
    <n v="0.95238095238095233"/>
    <n v="57002.400000000001"/>
    <n v="0"/>
    <n v="0"/>
    <n v="54288"/>
    <n v="0"/>
    <n v="54288"/>
    <n v="2714.4000000000015"/>
    <n v="0.95238095238095233"/>
    <n v="57002.400000000001"/>
    <n v="0"/>
    <n v="0"/>
    <n v="54288"/>
    <n v="0"/>
    <n v="54288"/>
    <n v="2714.4000000000015"/>
    <n v="0.95238095238095233"/>
    <n v="57002.400000000001"/>
    <n v="0"/>
    <n v="0"/>
    <n v="54288"/>
    <n v="0"/>
    <n v="0"/>
    <n v="54288"/>
    <n v="2714.4000000000015"/>
    <n v="0.95238095238095233"/>
    <n v="57002.400000000001"/>
    <n v="0"/>
    <n v="54288"/>
    <n v="0"/>
    <n v="0"/>
    <n v="54288"/>
    <n v="2714.4000000000015"/>
    <n v="0.95238095238095233"/>
    <n v="57002.400000000001"/>
    <n v="0"/>
    <n v="0"/>
    <n v="54288"/>
    <n v="0"/>
    <n v="54288"/>
    <n v="2714.4000000000015"/>
    <n v="0.95238095238095233"/>
    <n v="57002.400000000001"/>
    <n v="0"/>
    <n v="0"/>
    <n v="54288"/>
    <n v="0"/>
    <n v="0"/>
    <n v="54288"/>
    <n v="2714.4000000000015"/>
    <n v="0.95238095238095233"/>
    <n v="57002.400000000001"/>
    <n v="0"/>
    <n v="0"/>
    <n v="54288"/>
    <n v="0"/>
    <n v="54288"/>
    <n v="2714.4000000000015"/>
    <n v="0.95238095238095233"/>
    <n v="57002.400000000001"/>
    <n v="0"/>
    <n v="54288"/>
    <n v="0"/>
    <n v="0"/>
    <n v="54288"/>
    <n v="2714.4000000000015"/>
    <n v="0.95238095238095233"/>
    <n v="57002.400000000001"/>
    <n v="0"/>
    <n v="54288"/>
    <n v="0"/>
    <n v="0"/>
    <n v="0"/>
    <n v="54288"/>
    <n v="2714.4000000000015"/>
    <n v="0.95238095238095233"/>
    <n v="60423"/>
    <n v="0"/>
    <n v="0"/>
    <n v="0"/>
    <n v="54288"/>
    <n v="54288"/>
    <n v="6135"/>
  </r>
  <r>
    <x v="5"/>
    <s v="A15"/>
    <n v="25823.75"/>
    <n v="0"/>
    <n v="0"/>
    <n v="0"/>
    <n v="24594.3"/>
    <n v="24594.3"/>
    <n v="1229.4500000000007"/>
    <n v="0.95239072559175175"/>
    <n v="25823.75"/>
    <n v="0"/>
    <n v="0"/>
    <n v="0"/>
    <n v="0"/>
    <n v="24594.3"/>
    <n v="24594.3"/>
    <n v="1229.4500000000007"/>
    <n v="0.95239072559175175"/>
    <n v="25823.75"/>
    <n v="0"/>
    <n v="21354"/>
    <n v="0"/>
    <n v="3240.3"/>
    <n v="24594.3"/>
    <n v="1229.4500000000007"/>
    <n v="0.95239072559175175"/>
    <n v="25823.75"/>
    <n v="0"/>
    <n v="42707.5"/>
    <n v="0"/>
    <n v="3240"/>
    <n v="45947.5"/>
    <n v="-20123.75"/>
    <n v="1.7792729560966165"/>
    <n v="25823.75"/>
    <n v="0"/>
    <n v="0"/>
    <n v="42594.3"/>
    <n v="0"/>
    <n v="0"/>
    <n v="42594.3"/>
    <n v="-16770.550000000003"/>
    <n v="1.649423495812963"/>
    <n v="25823.75"/>
    <n v="0"/>
    <n v="0"/>
    <n v="21354"/>
    <n v="0"/>
    <n v="21354"/>
    <n v="4469.75"/>
    <n v="0.82691320973909677"/>
    <n v="25823.75"/>
    <n v="3240.3"/>
    <n v="0"/>
    <n v="0"/>
    <n v="24594"/>
    <n v="27834.3"/>
    <n v="-2010.5499999999993"/>
    <n v="1.0778566242315697"/>
    <n v="25823.75"/>
    <n v="0"/>
    <n v="0"/>
    <n v="0"/>
    <n v="0"/>
    <n v="24594"/>
    <n v="24594"/>
    <n v="1229.75"/>
    <n v="0.95237910837891471"/>
    <n v="25823.75"/>
    <n v="0"/>
    <n v="0"/>
    <n v="0"/>
    <n v="24594"/>
    <n v="24594"/>
    <n v="1229.75"/>
    <n v="0.95237910837891471"/>
    <n v="25823.75"/>
    <n v="0"/>
    <n v="0"/>
    <n v="0"/>
    <n v="21354"/>
    <n v="21354"/>
    <n v="4469.75"/>
    <n v="0.82691320973909677"/>
    <n v="25823.75"/>
    <n v="3240"/>
    <n v="24594"/>
    <n v="0"/>
    <n v="0"/>
    <n v="0"/>
    <n v="27834"/>
    <n v="-2010.25"/>
    <n v="1.0778450070187326"/>
    <n v="27373"/>
    <n v="0"/>
    <n v="0"/>
    <n v="0"/>
    <n v="3498.12"/>
    <n v="3498.12"/>
    <n v="23874.880000000001"/>
  </r>
  <r>
    <x v="5"/>
    <s v="A16"/>
    <n v="17220"/>
    <n v="0"/>
    <n v="0"/>
    <n v="0"/>
    <n v="18000"/>
    <n v="18000"/>
    <n v="-780"/>
    <n v="1.0452961672473868"/>
    <n v="17220"/>
    <n v="0"/>
    <n v="0"/>
    <n v="0"/>
    <n v="18000"/>
    <n v="0"/>
    <n v="18000"/>
    <n v="-780"/>
    <n v="1.0452961672473868"/>
    <n v="17220"/>
    <n v="0"/>
    <n v="0"/>
    <n v="18000"/>
    <n v="0"/>
    <n v="18000"/>
    <n v="-780"/>
    <n v="1.0452961672473868"/>
    <n v="17220"/>
    <n v="0"/>
    <n v="0"/>
    <n v="18000"/>
    <n v="0"/>
    <n v="18000"/>
    <n v="-780"/>
    <n v="1.0452961672473868"/>
    <n v="17220"/>
    <n v="0"/>
    <n v="0"/>
    <n v="18000"/>
    <n v="0"/>
    <n v="0"/>
    <n v="18000"/>
    <n v="-780"/>
    <n v="1.0452961672473868"/>
    <n v="17220"/>
    <n v="0"/>
    <n v="0"/>
    <n v="18000"/>
    <n v="0"/>
    <n v="18000"/>
    <n v="-780"/>
    <n v="1.0452961672473868"/>
    <n v="17220"/>
    <n v="0"/>
    <n v="0"/>
    <n v="18000"/>
    <n v="0"/>
    <n v="18000"/>
    <n v="-780"/>
    <n v="1.0452961672473868"/>
    <n v="17220"/>
    <n v="0"/>
    <n v="0"/>
    <n v="0"/>
    <n v="0"/>
    <n v="0"/>
    <n v="0"/>
    <n v="17220"/>
    <n v="0"/>
    <n v="17220"/>
    <n v="0"/>
    <n v="0"/>
    <n v="0"/>
    <n v="0"/>
    <n v="0"/>
    <n v="17220"/>
    <n v="0"/>
    <n v="17220"/>
    <n v="0"/>
    <n v="35388.36"/>
    <n v="0"/>
    <n v="0"/>
    <n v="35388.36"/>
    <n v="-18168.36"/>
    <n v="2.0550731707317071"/>
    <n v="17220"/>
    <n v="0"/>
    <n v="0"/>
    <n v="0"/>
    <n v="0"/>
    <n v="0"/>
    <n v="0"/>
    <n v="17220"/>
    <n v="0"/>
    <n v="18253"/>
    <n v="0"/>
    <n v="0"/>
    <n v="0"/>
    <n v="0"/>
    <n v="0"/>
    <n v="18253"/>
  </r>
  <r>
    <x v="5"/>
    <s v="A17"/>
    <n v="76326.960000000006"/>
    <n v="0"/>
    <n v="0"/>
    <n v="0"/>
    <n v="81326.960000000006"/>
    <n v="81326.960000000006"/>
    <n v="-5000"/>
    <n v="1.0655076528660383"/>
    <n v="76326.960000000006"/>
    <n v="0"/>
    <n v="0"/>
    <n v="0"/>
    <n v="76326.960000000006"/>
    <n v="5000"/>
    <n v="81326.960000000006"/>
    <n v="-5000"/>
    <n v="1.0655076528660383"/>
    <n v="76326.960000000006"/>
    <n v="0"/>
    <n v="0"/>
    <n v="0"/>
    <n v="76326.960000000006"/>
    <n v="76326.960000000006"/>
    <n v="0"/>
    <n v="1"/>
    <n v="76326.960000000006"/>
    <n v="0"/>
    <n v="0"/>
    <n v="0"/>
    <n v="76326.960000000006"/>
    <n v="76326.960000000006"/>
    <n v="0"/>
    <n v="1"/>
    <n v="76326.960000000006"/>
    <n v="0"/>
    <n v="0"/>
    <n v="0"/>
    <n v="76326.960000000006"/>
    <n v="0"/>
    <n v="76326.960000000006"/>
    <n v="0"/>
    <n v="1"/>
    <n v="76326.960000000006"/>
    <n v="0"/>
    <n v="0"/>
    <n v="0"/>
    <n v="76326.960000000006"/>
    <n v="76326.960000000006"/>
    <n v="0"/>
    <n v="1"/>
    <n v="76326.960000000006"/>
    <n v="0"/>
    <n v="0"/>
    <n v="0"/>
    <n v="76326.960000000006"/>
    <n v="76326.960000000006"/>
    <n v="0"/>
    <n v="1"/>
    <n v="76326.960000000006"/>
    <n v="0"/>
    <n v="0"/>
    <n v="0"/>
    <n v="0"/>
    <n v="76326.960000000006"/>
    <n v="76326.960000000006"/>
    <n v="0"/>
    <n v="1"/>
    <n v="76326.960000000006"/>
    <n v="0"/>
    <n v="0"/>
    <n v="0"/>
    <n v="76326.960000000006"/>
    <n v="76326.960000000006"/>
    <n v="0"/>
    <n v="1"/>
    <n v="76326.960000000006"/>
    <n v="0"/>
    <n v="0"/>
    <n v="0"/>
    <n v="76326.960000000006"/>
    <n v="76326.960000000006"/>
    <n v="0"/>
    <n v="1"/>
    <n v="76326.960000000006"/>
    <n v="0"/>
    <n v="76326.960000000006"/>
    <n v="0"/>
    <n v="0"/>
    <n v="0"/>
    <n v="76326.960000000006"/>
    <n v="0"/>
    <n v="1"/>
    <n v="80907"/>
    <n v="0"/>
    <n v="0"/>
    <n v="0"/>
    <n v="76326.960000000006"/>
    <n v="76326.960000000006"/>
    <n v="4580.0399999999936"/>
  </r>
  <r>
    <x v="5"/>
    <s v="A18"/>
    <n v="90304.44"/>
    <n v="0"/>
    <n v="0"/>
    <n v="2042.32"/>
    <n v="0"/>
    <n v="2042.32"/>
    <n v="88262.12"/>
    <n v="2.261594225045856E-2"/>
    <n v="90304.44"/>
    <n v="0"/>
    <n v="88160"/>
    <n v="2042.32"/>
    <n v="0"/>
    <n v="0"/>
    <n v="90202.32"/>
    <n v="102.11999999999534"/>
    <n v="0.99886915859286662"/>
    <n v="90304.44"/>
    <n v="88160"/>
    <n v="0"/>
    <n v="2042.32"/>
    <n v="0"/>
    <n v="90202.32"/>
    <n v="102.11999999999534"/>
    <n v="0.99886915859286662"/>
    <n v="90304.44"/>
    <n v="0"/>
    <n v="90202.32"/>
    <n v="0"/>
    <n v="0"/>
    <n v="90202.32"/>
    <n v="102.11999999999534"/>
    <n v="0.99886915859286662"/>
    <n v="90304.44"/>
    <n v="88160"/>
    <n v="2042.32"/>
    <n v="0"/>
    <n v="0"/>
    <n v="0"/>
    <n v="90202.32"/>
    <n v="102.11999999999534"/>
    <n v="0.99886915859286662"/>
    <n v="90304.44"/>
    <n v="88160"/>
    <n v="2042.32"/>
    <n v="0"/>
    <n v="0"/>
    <n v="90202.32"/>
    <n v="102.11999999999534"/>
    <n v="0.99886915859286662"/>
    <n v="90304.44"/>
    <n v="0"/>
    <n v="2042.32"/>
    <n v="0"/>
    <n v="202.04"/>
    <n v="2244.36"/>
    <n v="88060.08"/>
    <n v="2.4853263028927482E-2"/>
    <n v="90304.44"/>
    <n v="90404.36"/>
    <n v="0"/>
    <n v="0"/>
    <n v="0"/>
    <n v="0"/>
    <n v="90404.36"/>
    <n v="-99.919999999998254"/>
    <n v="1.0011064793713353"/>
    <n v="90304.44"/>
    <n v="88160"/>
    <n v="2244.36"/>
    <n v="0"/>
    <n v="0"/>
    <n v="90404.36"/>
    <n v="-99.919999999998254"/>
    <n v="1.0011064793713353"/>
    <n v="90304.44"/>
    <n v="90404.36"/>
    <n v="0"/>
    <n v="0"/>
    <n v="0"/>
    <n v="90404.36"/>
    <n v="-99.919999999998254"/>
    <n v="1.0011064793713353"/>
    <n v="90304.44"/>
    <n v="0"/>
    <n v="88160"/>
    <n v="0"/>
    <n v="0"/>
    <n v="0"/>
    <n v="88160"/>
    <n v="2144.4400000000023"/>
    <n v="0.97625321634240791"/>
    <n v="95723"/>
    <n v="0"/>
    <n v="92800"/>
    <n v="0"/>
    <n v="4546.2"/>
    <n v="97346.2"/>
    <n v="-1623.1999999999971"/>
  </r>
  <r>
    <x v="5"/>
    <s v="A22"/>
    <n v="90145.37"/>
    <n v="0"/>
    <n v="0"/>
    <n v="0"/>
    <n v="94544.58"/>
    <n v="94544.58"/>
    <n v="-4399.2100000000064"/>
    <n v="1.0488012861891853"/>
    <n v="90145.37"/>
    <n v="0"/>
    <n v="0"/>
    <n v="94544.58"/>
    <n v="0"/>
    <n v="0"/>
    <n v="94544.58"/>
    <n v="-4399.2100000000064"/>
    <n v="1.0488012861891853"/>
    <n v="90145.37"/>
    <n v="0"/>
    <n v="50000"/>
    <n v="45000"/>
    <n v="44544.58"/>
    <n v="139544.58000000002"/>
    <n v="-49399.210000000021"/>
    <n v="1.5479949774458746"/>
    <n v="90145.37"/>
    <n v="0"/>
    <n v="200000"/>
    <n v="0"/>
    <n v="44544.58"/>
    <n v="244544.58000000002"/>
    <n v="-154399.21000000002"/>
    <n v="2.7127802570448156"/>
    <n v="90145.37"/>
    <n v="0"/>
    <n v="0"/>
    <n v="89544.58"/>
    <n v="0"/>
    <n v="0"/>
    <n v="89544.58"/>
    <n v="600.7899999999936"/>
    <n v="0.99333532049399775"/>
    <n v="90145.37"/>
    <n v="45000"/>
    <n v="0"/>
    <n v="45000"/>
    <n v="44544.58"/>
    <n v="134544.58000000002"/>
    <n v="-44399.210000000021"/>
    <n v="1.4925290117506869"/>
    <n v="90145.37"/>
    <n v="50000"/>
    <n v="0"/>
    <n v="0"/>
    <n v="89544.58"/>
    <n v="139544.58000000002"/>
    <n v="-49399.210000000021"/>
    <n v="1.5479949774458746"/>
    <n v="90145.37"/>
    <n v="0"/>
    <n v="0"/>
    <n v="0"/>
    <n v="0"/>
    <n v="89544.58"/>
    <n v="89544.58"/>
    <n v="600.7899999999936"/>
    <n v="0.99333532049399775"/>
    <n v="90145.37"/>
    <n v="50000"/>
    <n v="0"/>
    <n v="0"/>
    <n v="44594.58"/>
    <n v="94594.58"/>
    <n v="-4449.2100000000064"/>
    <n v="1.0493559458461372"/>
    <n v="90145.37"/>
    <n v="50000"/>
    <n v="0"/>
    <n v="0"/>
    <n v="44544.58"/>
    <n v="94544.58"/>
    <n v="-4399.2100000000064"/>
    <n v="1.0488012861891853"/>
    <n v="90145.37"/>
    <n v="0"/>
    <n v="94544.58"/>
    <n v="0"/>
    <n v="0"/>
    <n v="0"/>
    <n v="94544.58"/>
    <n v="-4399.2100000000064"/>
    <n v="1.0488012861891853"/>
    <n v="95554"/>
    <n v="0"/>
    <n v="0"/>
    <n v="0"/>
    <n v="92916.88"/>
    <n v="92916.88"/>
    <n v="2637.1199999999953"/>
  </r>
  <r>
    <x v="5"/>
    <s v="A23"/>
    <n v="9576.4"/>
    <n v="0"/>
    <n v="0"/>
    <n v="9120.3799999999992"/>
    <n v="0"/>
    <n v="9120.3799999999992"/>
    <n v="456.02000000000044"/>
    <n v="0.95238085293011987"/>
    <n v="9576.4"/>
    <n v="0"/>
    <n v="0"/>
    <n v="9120.3799999999992"/>
    <n v="0"/>
    <n v="0"/>
    <n v="9120.3799999999992"/>
    <n v="456.02000000000044"/>
    <n v="0.95238085293011987"/>
    <n v="9576.4"/>
    <n v="0"/>
    <n v="0"/>
    <n v="0"/>
    <n v="13768.28"/>
    <n v="13768.28"/>
    <n v="-4191.880000000001"/>
    <n v="1.4377302535399525"/>
    <n v="9576.4"/>
    <n v="0"/>
    <n v="10282.36"/>
    <n v="0"/>
    <n v="3072.48"/>
    <n v="13354.84"/>
    <n v="-3778.4400000000005"/>
    <n v="1.3945574537404453"/>
    <n v="9576.4"/>
    <n v="0"/>
    <n v="10282.36"/>
    <n v="0"/>
    <n v="0"/>
    <n v="0"/>
    <n v="10282.36"/>
    <n v="-705.96000000000095"/>
    <n v="1.0737187251994487"/>
    <n v="9576.4"/>
    <n v="0"/>
    <n v="10282.36"/>
    <n v="0"/>
    <n v="0"/>
    <n v="10282.36"/>
    <n v="-705.96000000000095"/>
    <n v="1.0737187251994487"/>
    <n v="9576.4"/>
    <n v="0"/>
    <n v="10282.36"/>
    <n v="0"/>
    <n v="0"/>
    <n v="10282.36"/>
    <n v="-705.96000000000095"/>
    <n v="1.0737187251994487"/>
    <n v="9576.4"/>
    <n v="0"/>
    <n v="0"/>
    <n v="0"/>
    <n v="0"/>
    <n v="10282.36"/>
    <n v="10282.36"/>
    <n v="-705.96000000000095"/>
    <n v="1.0737187251994487"/>
    <n v="9576.4"/>
    <n v="0"/>
    <n v="10282.36"/>
    <n v="0"/>
    <n v="0"/>
    <n v="10282.36"/>
    <n v="-705.96000000000095"/>
    <n v="1.0737187251994487"/>
    <n v="9576.4"/>
    <n v="10282.36"/>
    <n v="0"/>
    <n v="0"/>
    <n v="0"/>
    <n v="10282.36"/>
    <n v="-705.96000000000095"/>
    <n v="1.0737187251994487"/>
    <n v="9576.4"/>
    <n v="0"/>
    <n v="10282.36"/>
    <n v="0"/>
    <n v="0"/>
    <n v="0"/>
    <n v="10282.36"/>
    <n v="-705.96000000000095"/>
    <n v="1.0737187251994487"/>
    <n v="10282"/>
    <n v="0"/>
    <n v="0"/>
    <n v="0"/>
    <n v="10282.36"/>
    <n v="10282.36"/>
    <n v="-0.36000000000058208"/>
  </r>
  <r>
    <x v="5"/>
    <s v="A24"/>
    <n v="81331.3"/>
    <n v="0"/>
    <n v="0"/>
    <n v="24000"/>
    <n v="81331.3"/>
    <n v="105331.3"/>
    <n v="-24000"/>
    <n v="1.295089344446726"/>
    <n v="81331.3"/>
    <n v="0"/>
    <n v="0"/>
    <n v="0"/>
    <n v="81331.3"/>
    <n v="0"/>
    <n v="81331.3"/>
    <n v="0"/>
    <n v="1"/>
    <n v="81331.3"/>
    <n v="0"/>
    <n v="0"/>
    <n v="0"/>
    <n v="81319.3"/>
    <n v="81319.3"/>
    <n v="12"/>
    <n v="0.99985245532777667"/>
    <n v="81331.3"/>
    <n v="0"/>
    <n v="0"/>
    <n v="81319.3"/>
    <n v="0"/>
    <n v="81319.3"/>
    <n v="12"/>
    <n v="0.99985245532777667"/>
    <n v="81331.3"/>
    <n v="0"/>
    <n v="0"/>
    <n v="81319.3"/>
    <n v="0"/>
    <n v="0"/>
    <n v="81319.3"/>
    <n v="12"/>
    <n v="0.99985245532777667"/>
    <n v="81331.3"/>
    <n v="0"/>
    <n v="0"/>
    <n v="0"/>
    <n v="81319.3"/>
    <n v="81319.3"/>
    <n v="12"/>
    <n v="0.99985245532777667"/>
    <n v="81331.3"/>
    <n v="0"/>
    <n v="0"/>
    <n v="0"/>
    <n v="81319.3"/>
    <n v="81319.3"/>
    <n v="12"/>
    <n v="0.99985245532777667"/>
    <n v="81331.3"/>
    <n v="0"/>
    <n v="0"/>
    <n v="0"/>
    <n v="0"/>
    <n v="81319.3"/>
    <n v="81319.3"/>
    <n v="12"/>
    <n v="0.99985245532777667"/>
    <n v="81331.3"/>
    <n v="0"/>
    <n v="0"/>
    <n v="0"/>
    <n v="0"/>
    <n v="0"/>
    <n v="81331.3"/>
    <n v="0"/>
    <n v="81331.3"/>
    <n v="81319.3"/>
    <n v="0"/>
    <n v="0"/>
    <n v="81319.3"/>
    <n v="162638.6"/>
    <n v="-81307.3"/>
    <n v="1.9997049106555533"/>
    <n v="81331.3"/>
    <n v="0"/>
    <n v="81319.3"/>
    <n v="0"/>
    <n v="0"/>
    <n v="0"/>
    <n v="81319.3"/>
    <n v="12"/>
    <n v="0.99985245532777667"/>
    <n v="86211"/>
    <n v="0"/>
    <n v="0"/>
    <n v="0"/>
    <n v="89659.63"/>
    <n v="89659.63"/>
    <n v="-3448.6300000000047"/>
  </r>
  <r>
    <x v="5"/>
    <s v="E1"/>
    <n v="55560.53"/>
    <n v="52914.79"/>
    <n v="0"/>
    <n v="0"/>
    <n v="0"/>
    <n v="52914.79"/>
    <n v="2645.739999999998"/>
    <n v="0.95238094381029126"/>
    <n v="55560.53"/>
    <n v="52914.79"/>
    <n v="0"/>
    <n v="0"/>
    <n v="0"/>
    <n v="0"/>
    <n v="52914.79"/>
    <n v="2645.739999999998"/>
    <n v="0.95238094381029126"/>
    <n v="55560.53"/>
    <n v="52914.79"/>
    <n v="0"/>
    <n v="0"/>
    <n v="0"/>
    <n v="52914.79"/>
    <n v="2645.739999999998"/>
    <n v="0.95238094381029126"/>
    <n v="55560.53"/>
    <n v="52914.79"/>
    <n v="0"/>
    <n v="0"/>
    <n v="0"/>
    <n v="52914.79"/>
    <n v="2645.739999999998"/>
    <n v="0.95238094381029126"/>
    <n v="55560.53"/>
    <n v="52914.79"/>
    <n v="0"/>
    <n v="0"/>
    <n v="0"/>
    <n v="0"/>
    <n v="52914.79"/>
    <n v="2645.739999999998"/>
    <n v="0.95238094381029126"/>
    <n v="55560.53"/>
    <n v="52914.79"/>
    <n v="0"/>
    <n v="0"/>
    <n v="0"/>
    <n v="52914.79"/>
    <n v="2645.739999999998"/>
    <n v="0.95238094381029126"/>
    <n v="55560.53"/>
    <n v="52914.79"/>
    <n v="0"/>
    <n v="0"/>
    <n v="0"/>
    <n v="52914.79"/>
    <n v="2645.739999999998"/>
    <n v="0.95238094381029126"/>
    <n v="55560.53"/>
    <n v="52914.79"/>
    <n v="0"/>
    <n v="0"/>
    <n v="0"/>
    <n v="0"/>
    <n v="52914.79"/>
    <n v="2645.739999999998"/>
    <n v="0.95238094381029126"/>
    <n v="55560.53"/>
    <n v="55560.53"/>
    <n v="0"/>
    <n v="0"/>
    <n v="0"/>
    <n v="55560.53"/>
    <n v="0"/>
    <n v="1"/>
    <n v="55560.53"/>
    <n v="55560.53"/>
    <n v="0"/>
    <n v="0"/>
    <n v="0"/>
    <n v="55560.53"/>
    <n v="0"/>
    <n v="1"/>
    <n v="55560.53"/>
    <n v="0"/>
    <n v="55560.53"/>
    <n v="0"/>
    <n v="0"/>
    <n v="0"/>
    <n v="55560.53"/>
    <n v="0"/>
    <n v="1"/>
    <n v="58894"/>
    <n v="55560.53"/>
    <n v="0"/>
    <n v="0"/>
    <n v="0"/>
    <n v="55560.53"/>
    <n v="3333.4700000000012"/>
  </r>
  <r>
    <x v="5"/>
    <s v="E2"/>
    <n v="138305.91"/>
    <n v="138305.91"/>
    <n v="0"/>
    <n v="0"/>
    <n v="0"/>
    <n v="138305.91"/>
    <n v="0"/>
    <n v="1"/>
    <n v="138305.91"/>
    <n v="0"/>
    <n v="129257.86"/>
    <n v="0"/>
    <n v="0"/>
    <n v="0"/>
    <n v="129257.86"/>
    <n v="9048.0500000000029"/>
    <n v="0.93457944060380349"/>
    <n v="138305.91"/>
    <n v="139003.9"/>
    <n v="0"/>
    <n v="0"/>
    <n v="0"/>
    <n v="139003.9"/>
    <n v="-697.98999999999069"/>
    <n v="1.0050467113082875"/>
    <n v="138305.91"/>
    <n v="134130.88"/>
    <n v="0"/>
    <n v="0"/>
    <n v="0"/>
    <n v="134130.88"/>
    <n v="4175.0299999999988"/>
    <n v="0.9698130759560456"/>
    <n v="138305.91"/>
    <n v="0"/>
    <n v="134130.88"/>
    <n v="0"/>
    <n v="0"/>
    <n v="134130"/>
    <n v="268260.88"/>
    <n v="-129954.97"/>
    <n v="1.9396197892049587"/>
    <n v="138305.91"/>
    <n v="0"/>
    <n v="0"/>
    <n v="0"/>
    <n v="0"/>
    <n v="0"/>
    <n v="138305.91"/>
    <n v="0"/>
    <n v="138305.91"/>
    <n v="134130.88"/>
    <n v="0"/>
    <n v="0"/>
    <n v="0"/>
    <n v="134130.88"/>
    <n v="4175.0299999999988"/>
    <n v="0.9698130759560456"/>
    <n v="138305.91"/>
    <n v="134130.88"/>
    <n v="0"/>
    <n v="0"/>
    <n v="0"/>
    <n v="0"/>
    <n v="134130.88"/>
    <n v="4175.0299999999988"/>
    <n v="0.9698130759560456"/>
    <n v="138305.91"/>
    <n v="134130.88"/>
    <n v="0"/>
    <n v="0"/>
    <n v="0"/>
    <n v="134130.88"/>
    <n v="4175.0299999999988"/>
    <n v="0.9698130759560456"/>
    <n v="138305.91"/>
    <n v="134130.88"/>
    <n v="0"/>
    <n v="0"/>
    <n v="0"/>
    <n v="134130.88"/>
    <n v="4175.0299999999988"/>
    <n v="0.9698130759560456"/>
    <n v="138305.91"/>
    <n v="134130.88"/>
    <n v="0"/>
    <n v="0"/>
    <n v="0"/>
    <n v="0"/>
    <n v="134130.88"/>
    <n v="4175.0299999999988"/>
    <n v="0.9698130759560456"/>
    <n v="142179"/>
    <n v="134130.88"/>
    <n v="0"/>
    <n v="0"/>
    <n v="0"/>
    <n v="134130.88"/>
    <n v="8048.1199999999953"/>
  </r>
  <r>
    <x v="5"/>
    <s v="E3"/>
    <n v="43081.5"/>
    <n v="0"/>
    <n v="0"/>
    <n v="0"/>
    <n v="0"/>
    <n v="0"/>
    <n v="43081.5"/>
    <n v="0"/>
    <n v="43081.5"/>
    <n v="0"/>
    <n v="0"/>
    <n v="43326.12"/>
    <n v="0"/>
    <n v="0"/>
    <n v="43326.12"/>
    <n v="-244.62000000000262"/>
    <n v="1.0056780752759307"/>
    <n v="43081.5"/>
    <n v="0"/>
    <n v="43326.12"/>
    <n v="0"/>
    <n v="0"/>
    <n v="43326.12"/>
    <n v="-244.62000000000262"/>
    <n v="1.0056780752759307"/>
    <n v="43081.5"/>
    <n v="0"/>
    <n v="43326.12"/>
    <n v="0"/>
    <n v="0"/>
    <n v="43326.12"/>
    <n v="-244.62000000000262"/>
    <n v="1.0056780752759307"/>
    <n v="43081.5"/>
    <n v="0"/>
    <n v="43326.12"/>
    <n v="0"/>
    <n v="0"/>
    <n v="0"/>
    <n v="43326.12"/>
    <n v="-244.62000000000262"/>
    <n v="1.0056780752759307"/>
    <n v="43081.5"/>
    <n v="0"/>
    <n v="43326.12"/>
    <n v="0"/>
    <n v="0"/>
    <n v="43326.12"/>
    <n v="-244.62000000000262"/>
    <n v="1.0056780752759307"/>
    <n v="43081.5"/>
    <n v="0"/>
    <n v="43326.12"/>
    <n v="0"/>
    <n v="0"/>
    <n v="43326.12"/>
    <n v="-244.62000000000262"/>
    <n v="1.0056780752759307"/>
    <n v="43081.5"/>
    <n v="0"/>
    <n v="0"/>
    <n v="43326.12"/>
    <n v="0"/>
    <n v="58145.99"/>
    <n v="101472.11"/>
    <n v="-58390.61"/>
    <n v="2.3553522973898309"/>
    <n v="43081.5"/>
    <n v="0"/>
    <n v="43326.12"/>
    <n v="0"/>
    <n v="0"/>
    <n v="43326.12"/>
    <n v="-244.62000000000262"/>
    <n v="1.0056780752759307"/>
    <n v="43081.5"/>
    <n v="43326.12"/>
    <n v="0"/>
    <n v="0"/>
    <n v="0"/>
    <n v="43326.12"/>
    <n v="-244.62000000000262"/>
    <n v="1.0056780752759307"/>
    <n v="43081.5"/>
    <n v="0"/>
    <n v="0"/>
    <n v="43326.12"/>
    <n v="0"/>
    <n v="0"/>
    <n v="43326.12"/>
    <n v="-244.62000000000262"/>
    <n v="1.0056780752759307"/>
    <n v="45666"/>
    <n v="0"/>
    <n v="0"/>
    <n v="0"/>
    <n v="0"/>
    <n v="0"/>
    <n v="45666"/>
  </r>
  <r>
    <x v="5"/>
    <s v="E4"/>
    <n v="108007.3"/>
    <n v="0"/>
    <n v="0"/>
    <n v="0"/>
    <n v="102040.58"/>
    <n v="102040.58"/>
    <n v="5966.7200000000012"/>
    <n v="0.94475632665569831"/>
    <n v="108007.3"/>
    <n v="0"/>
    <n v="0"/>
    <n v="0"/>
    <n v="101521.82"/>
    <n v="0"/>
    <n v="101521.82"/>
    <n v="6485.4799999999959"/>
    <n v="0.93995331797017423"/>
    <n v="108007.3"/>
    <n v="0"/>
    <n v="0"/>
    <n v="0"/>
    <n v="101594.34"/>
    <n v="101594.34"/>
    <n v="6412.9600000000064"/>
    <n v="0.94062475406754908"/>
    <n v="108007.3"/>
    <n v="0"/>
    <n v="0"/>
    <n v="24514.25"/>
    <n v="77390"/>
    <n v="101904.25"/>
    <n v="6103.0500000000029"/>
    <n v="0.94349409715824761"/>
    <n v="108007.3"/>
    <n v="0"/>
    <n v="0"/>
    <n v="102328.7"/>
    <n v="0"/>
    <n v="0"/>
    <n v="102328.7"/>
    <n v="5678.6000000000058"/>
    <n v="0.94742392412364718"/>
    <n v="108007.3"/>
    <n v="0"/>
    <n v="0"/>
    <n v="0"/>
    <n v="102723.75"/>
    <n v="102723.75"/>
    <n v="5283.5500000000029"/>
    <n v="0.95108154726578664"/>
    <n v="108007.3"/>
    <n v="0"/>
    <n v="0"/>
    <n v="25259.81"/>
    <n v="77390"/>
    <n v="102649.81"/>
    <n v="5357.4900000000052"/>
    <n v="0.95039696390892092"/>
    <n v="108007.3"/>
    <n v="0"/>
    <n v="0"/>
    <n v="0"/>
    <n v="0"/>
    <n v="103054.67"/>
    <n v="103054.67"/>
    <n v="4952.6300000000047"/>
    <n v="0.9541454142451482"/>
    <n v="108007.3"/>
    <n v="0"/>
    <n v="0"/>
    <n v="24751.21"/>
    <n v="87477.57"/>
    <n v="112228.78"/>
    <n v="-4221.4799999999959"/>
    <n v="1.0390851359121096"/>
    <n v="108007.3"/>
    <n v="0"/>
    <n v="0"/>
    <n v="25063.02"/>
    <n v="82807.3"/>
    <n v="107870.32"/>
    <n v="136.97999999999593"/>
    <n v="0.99873175239081069"/>
    <n v="108007.3"/>
    <n v="0"/>
    <n v="110384.32000000001"/>
    <n v="0"/>
    <n v="0"/>
    <n v="0"/>
    <n v="110384.32000000001"/>
    <n v="-2377.0200000000041"/>
    <n v="1.0220079568695819"/>
    <n v="121077"/>
    <n v="0"/>
    <n v="0"/>
    <n v="0"/>
    <n v="137976.32000000001"/>
    <n v="137976.32000000001"/>
    <n v="-16899.320000000007"/>
  </r>
  <r>
    <x v="5"/>
    <s v="E5"/>
    <n v="43284.41"/>
    <n v="0"/>
    <n v="0"/>
    <n v="0"/>
    <n v="41223.25"/>
    <n v="41223.25"/>
    <n v="2061.1600000000035"/>
    <n v="0.95238100738811038"/>
    <n v="43284.41"/>
    <n v="0"/>
    <n v="0"/>
    <n v="0"/>
    <n v="0"/>
    <n v="41223.25"/>
    <n v="41223.25"/>
    <n v="2061.1600000000035"/>
    <n v="0.95238100738811038"/>
    <n v="43284.41"/>
    <n v="0"/>
    <n v="0"/>
    <n v="0"/>
    <n v="41223.25"/>
    <n v="41223.25"/>
    <n v="2061.1600000000035"/>
    <n v="0.95238100738811038"/>
    <n v="43284.41"/>
    <n v="0"/>
    <n v="0"/>
    <n v="0"/>
    <n v="0"/>
    <n v="0"/>
    <n v="43284.41"/>
    <n v="0"/>
    <n v="43284.41"/>
    <n v="0"/>
    <n v="0"/>
    <n v="0"/>
    <n v="41223.25"/>
    <n v="0"/>
    <n v="41223.25"/>
    <n v="2061.1600000000035"/>
    <n v="0.95238100738811038"/>
    <n v="43284.41"/>
    <n v="0"/>
    <n v="0"/>
    <n v="0"/>
    <n v="41223.25"/>
    <n v="41223.25"/>
    <n v="2061.1600000000035"/>
    <n v="0.95238100738811038"/>
    <n v="43284.41"/>
    <n v="0"/>
    <n v="0"/>
    <n v="0"/>
    <n v="41223.25"/>
    <n v="41223.25"/>
    <n v="2061.1600000000035"/>
    <n v="0.95238100738811038"/>
    <n v="43284.41"/>
    <n v="0"/>
    <n v="0"/>
    <n v="0"/>
    <n v="0"/>
    <n v="41223.25"/>
    <n v="41223.25"/>
    <n v="2061.1600000000035"/>
    <n v="0.95238100738811038"/>
    <n v="43284.41"/>
    <n v="0"/>
    <n v="0"/>
    <n v="0"/>
    <n v="41223.25"/>
    <n v="41223.25"/>
    <n v="2061.1600000000035"/>
    <n v="0.95238100738811038"/>
    <n v="43284.41"/>
    <n v="0"/>
    <n v="0"/>
    <n v="0"/>
    <n v="41225.25"/>
    <n v="41225.25"/>
    <n v="2059.1600000000035"/>
    <n v="0.95242721340085257"/>
    <n v="43284.41"/>
    <n v="0"/>
    <n v="41223.25"/>
    <n v="0"/>
    <n v="0"/>
    <n v="0"/>
    <n v="41223.25"/>
    <n v="2061.1600000000035"/>
    <n v="0.95238100738811038"/>
    <n v="43697"/>
    <n v="0"/>
    <n v="0"/>
    <n v="0"/>
    <n v="41223.25"/>
    <n v="41223.25"/>
    <n v="2473.75"/>
  </r>
  <r>
    <x v="5"/>
    <s v="E6"/>
    <n v="43982.78"/>
    <n v="6500"/>
    <n v="0"/>
    <n v="35388"/>
    <n v="0"/>
    <n v="41888"/>
    <n v="2094.7799999999988"/>
    <n v="0.95237272405245876"/>
    <n v="43982.78"/>
    <n v="6500"/>
    <n v="0"/>
    <n v="0"/>
    <n v="35388.36"/>
    <n v="0"/>
    <n v="41888.36"/>
    <n v="2094.4199999999983"/>
    <n v="0.95238090907396034"/>
    <n v="43982.78"/>
    <n v="6500"/>
    <n v="0"/>
    <n v="35388.36"/>
    <n v="0"/>
    <n v="41888.36"/>
    <n v="2094.4199999999983"/>
    <n v="0.95238090907396034"/>
    <n v="43982.78"/>
    <n v="0"/>
    <n v="6500"/>
    <n v="35388.36"/>
    <n v="0"/>
    <n v="41888.36"/>
    <n v="2094.4199999999983"/>
    <n v="0.95238090907396034"/>
    <n v="43982.78"/>
    <n v="6500"/>
    <n v="0"/>
    <n v="35388.36"/>
    <n v="0"/>
    <n v="0"/>
    <n v="41888.36"/>
    <n v="2094.4199999999983"/>
    <n v="0.95238090907396034"/>
    <n v="43982.78"/>
    <n v="6500"/>
    <n v="35388.36"/>
    <n v="0"/>
    <n v="0"/>
    <n v="41888.36"/>
    <n v="2094.4199999999983"/>
    <n v="0.95238090907396034"/>
    <n v="43982.78"/>
    <n v="6500"/>
    <n v="0"/>
    <n v="35388.36"/>
    <n v="0"/>
    <n v="41888.36"/>
    <n v="2094.4199999999983"/>
    <n v="0.95238090907396034"/>
    <n v="43982.78"/>
    <n v="6500"/>
    <n v="0"/>
    <n v="0"/>
    <n v="0"/>
    <n v="35388.36"/>
    <n v="41888.36"/>
    <n v="2094.4199999999983"/>
    <n v="0.95238090907396034"/>
    <n v="43982.78"/>
    <n v="0"/>
    <n v="6500"/>
    <n v="35388.36"/>
    <n v="0"/>
    <n v="41888.36"/>
    <n v="2094.4199999999983"/>
    <n v="0.95238090907396034"/>
    <n v="43982.78"/>
    <n v="6500"/>
    <n v="24000"/>
    <n v="0"/>
    <n v="4080"/>
    <n v="34580"/>
    <n v="9402.7799999999988"/>
    <n v="0.78621678757004443"/>
    <n v="43982.78"/>
    <n v="0"/>
    <n v="42619.199999999997"/>
    <n v="0"/>
    <n v="0"/>
    <n v="0"/>
    <n v="42619.199999999997"/>
    <n v="1363.5800000000017"/>
    <n v="0.96899741216903523"/>
    <n v="46622"/>
    <n v="6700"/>
    <n v="0"/>
    <n v="0"/>
    <n v="35919.199999999997"/>
    <n v="42619.199999999997"/>
    <n v="4002.8000000000029"/>
  </r>
  <r>
    <x v="5"/>
    <s v="E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E8"/>
    <n v="91774.97"/>
    <n v="0"/>
    <n v="48526.93"/>
    <n v="37619.519999999997"/>
    <n v="0"/>
    <n v="86146.45"/>
    <n v="5628.5200000000041"/>
    <n v="0.93867042397289802"/>
    <n v="91774.97"/>
    <n v="0"/>
    <n v="0"/>
    <n v="48466.06"/>
    <n v="0"/>
    <n v="0"/>
    <n v="48466.06"/>
    <n v="43308.91"/>
    <n v="0.52809671307982986"/>
    <n v="91774.97"/>
    <n v="0"/>
    <n v="0"/>
    <n v="48526.91"/>
    <n v="0"/>
    <n v="48526.91"/>
    <n v="43248.06"/>
    <n v="0.52875974789204505"/>
    <n v="91774.97"/>
    <n v="4801.5"/>
    <n v="48527.01"/>
    <n v="0"/>
    <n v="22795.72"/>
    <n v="76124.23000000001"/>
    <n v="15650.739999999991"/>
    <n v="0.82946613875221109"/>
    <n v="93974.97"/>
    <n v="0"/>
    <n v="16278"/>
    <n v="73994.679999999993"/>
    <n v="0"/>
    <n v="0"/>
    <n v="90272.68"/>
    <n v="3702.2900000000081"/>
    <n v="0.96060344578987356"/>
    <n v="92374.97"/>
    <n v="0"/>
    <n v="0"/>
    <n v="0"/>
    <n v="101580.63"/>
    <n v="101580.63"/>
    <n v="-9205.6600000000035"/>
    <n v="1.0996553503616835"/>
    <n v="93574.97"/>
    <n v="0"/>
    <n v="90273.5"/>
    <n v="0"/>
    <n v="15125.9"/>
    <n v="105399.4"/>
    <n v="-11824.429999999993"/>
    <n v="1.1263631716900362"/>
    <n v="96474.97"/>
    <n v="0"/>
    <n v="0"/>
    <n v="0"/>
    <n v="0"/>
    <n v="101761.41"/>
    <n v="101761.41"/>
    <n v="-5286.4400000000023"/>
    <n v="1.054795974541376"/>
    <n v="91774.97"/>
    <n v="0"/>
    <n v="0"/>
    <n v="16278.82"/>
    <n v="73994"/>
    <n v="90272.82"/>
    <n v="1502.1499999999942"/>
    <n v="0.98363224744175892"/>
    <n v="96474.97"/>
    <n v="0"/>
    <n v="0"/>
    <n v="90273.5"/>
    <n v="6173.97"/>
    <n v="96447.47"/>
    <n v="27.5"/>
    <n v="0.9997149519714803"/>
    <n v="103174.97"/>
    <n v="0"/>
    <n v="90272.82"/>
    <n v="0"/>
    <n v="13150.49"/>
    <n v="0"/>
    <n v="103423.31000000001"/>
    <n v="-248.34000000001106"/>
    <n v="1.0024069791345711"/>
    <n v="95690"/>
    <n v="0"/>
    <n v="0"/>
    <n v="0"/>
    <n v="90273.5"/>
    <n v="90273.5"/>
    <n v="5416.5"/>
  </r>
  <r>
    <x v="5"/>
    <s v="E9"/>
    <n v="0"/>
    <n v="0"/>
    <n v="0"/>
    <n v="0"/>
    <n v="0"/>
    <n v="0"/>
    <n v="0"/>
    <n v="0"/>
    <n v="0"/>
    <n v="0"/>
    <n v="0"/>
    <n v="32504.199999999997"/>
    <n v="0"/>
    <n v="0"/>
    <n v="32504.199999999997"/>
    <n v="-32504.199999999997"/>
    <n v="0"/>
    <n v="100000"/>
    <n v="0"/>
    <n v="0"/>
    <n v="17845.439999999999"/>
    <n v="0"/>
    <n v="17845.439999999999"/>
    <n v="82154.559999999998"/>
    <n v="0.17845439999999999"/>
    <n v="100000"/>
    <n v="0"/>
    <n v="92681.16"/>
    <n v="0"/>
    <n v="0"/>
    <n v="92681.16"/>
    <n v="7318.8399999999965"/>
    <n v="0.92681160000000007"/>
    <n v="100000"/>
    <n v="0"/>
    <n v="0"/>
    <n v="107072.64"/>
    <n v="0"/>
    <n v="0"/>
    <n v="107072.64"/>
    <n v="-7072.6399999999994"/>
    <n v="1.0707264000000001"/>
    <n v="100000"/>
    <n v="0"/>
    <n v="0"/>
    <n v="0"/>
    <n v="107072.64"/>
    <n v="107072.64"/>
    <n v="-7072.6399999999994"/>
    <n v="1.0707264000000001"/>
    <n v="100000"/>
    <n v="0"/>
    <n v="17845.439999999999"/>
    <n v="89227.199999999997"/>
    <n v="0"/>
    <n v="107072.64"/>
    <n v="-7072.6399999999994"/>
    <n v="1.0707264000000001"/>
    <n v="100000"/>
    <n v="0"/>
    <n v="0"/>
    <n v="0"/>
    <n v="0"/>
    <n v="107072.64"/>
    <n v="107072.64"/>
    <n v="-7072.6399999999994"/>
    <n v="1.0707264000000001"/>
    <n v="100000"/>
    <n v="0"/>
    <n v="0"/>
    <n v="17845.439999999999"/>
    <n v="89226.44"/>
    <n v="107071.88"/>
    <n v="-7071.8800000000047"/>
    <n v="1.0707188000000001"/>
    <n v="100000"/>
    <n v="0"/>
    <n v="0"/>
    <n v="107072.64"/>
    <n v="0"/>
    <n v="107072.64"/>
    <n v="-7072.6399999999994"/>
    <n v="1.0707264000000001"/>
    <n v="100000"/>
    <n v="0"/>
    <n v="107072.64"/>
    <n v="0"/>
    <n v="0"/>
    <n v="0"/>
    <n v="107072.64"/>
    <n v="-7072.6399999999994"/>
    <n v="1.0707264000000001"/>
    <n v="113497"/>
    <n v="0"/>
    <n v="0"/>
    <n v="0"/>
    <n v="111140.54000000001"/>
    <n v="111140.54000000001"/>
    <n v="2356.4599999999919"/>
  </r>
  <r>
    <x v="5"/>
    <s v="CEDIS"/>
    <n v="143590"/>
    <n v="0"/>
    <n v="0"/>
    <n v="0"/>
    <n v="0"/>
    <n v="0"/>
    <n v="143590"/>
    <n v="0"/>
    <n v="143590"/>
    <n v="0"/>
    <n v="0"/>
    <n v="0"/>
    <n v="0"/>
    <n v="0"/>
    <n v="0"/>
    <n v="143590"/>
    <n v="0"/>
    <n v="143590"/>
    <n v="0"/>
    <n v="0"/>
    <n v="0"/>
    <n v="0"/>
    <n v="0"/>
    <n v="143590"/>
    <n v="0"/>
    <n v="143590"/>
    <n v="0"/>
    <n v="0"/>
    <n v="0"/>
    <n v="0"/>
    <n v="0"/>
    <n v="143590"/>
    <n v="0"/>
    <n v="143590"/>
    <n v="0"/>
    <n v="0"/>
    <n v="0"/>
    <n v="0"/>
    <n v="0"/>
    <n v="0"/>
    <n v="143590"/>
    <n v="0"/>
    <n v="143590"/>
    <n v="0"/>
    <n v="0"/>
    <n v="0"/>
    <n v="0"/>
    <n v="0"/>
    <n v="143590"/>
    <n v="0"/>
    <n v="143590"/>
    <n v="0"/>
    <n v="0"/>
    <n v="0"/>
    <n v="0"/>
    <n v="0"/>
    <n v="143590"/>
    <n v="0"/>
    <n v="143590"/>
    <n v="0"/>
    <n v="0"/>
    <n v="0"/>
    <n v="0"/>
    <n v="0"/>
    <n v="0"/>
    <n v="143590"/>
    <n v="0"/>
    <n v="143590"/>
    <n v="0"/>
    <n v="0"/>
    <n v="0"/>
    <n v="0"/>
    <n v="0"/>
    <n v="143590"/>
    <n v="0"/>
    <n v="143590"/>
    <n v="0"/>
    <n v="0"/>
    <n v="0"/>
    <n v="0"/>
    <n v="0"/>
    <n v="143590"/>
    <n v="0"/>
    <n v="143590"/>
    <n v="0"/>
    <n v="0"/>
    <n v="1793505.6"/>
    <n v="61011"/>
    <n v="74807"/>
    <n v="1929323.6"/>
    <n v="-1785733.6"/>
    <n v="13.436336792255728"/>
    <n v="0"/>
    <n v="98778.33"/>
    <n v="0"/>
    <n v="0"/>
    <n v="0"/>
    <n v="98778.33"/>
    <n v="-98778.33"/>
  </r>
  <r>
    <x v="5"/>
    <s v="DOMICILIO FISCAL"/>
    <n v="3900"/>
    <n v="0"/>
    <n v="0"/>
    <n v="0"/>
    <n v="0"/>
    <n v="0"/>
    <n v="3900"/>
    <n v="0"/>
    <n v="3900"/>
    <n v="0"/>
    <n v="0"/>
    <n v="0"/>
    <n v="0"/>
    <n v="0"/>
    <n v="0"/>
    <n v="3900"/>
    <n v="0"/>
    <n v="3900"/>
    <n v="0"/>
    <n v="0"/>
    <n v="0"/>
    <n v="0"/>
    <n v="0"/>
    <n v="3900"/>
    <n v="0"/>
    <n v="3900"/>
    <n v="0"/>
    <n v="0"/>
    <n v="0"/>
    <n v="0"/>
    <n v="0"/>
    <n v="3900"/>
    <n v="0"/>
    <n v="3900"/>
    <n v="0"/>
    <n v="0"/>
    <n v="0"/>
    <n v="0"/>
    <n v="0"/>
    <n v="0"/>
    <n v="3900"/>
    <n v="0"/>
    <n v="3900"/>
    <n v="0"/>
    <n v="0"/>
    <n v="0"/>
    <n v="0"/>
    <n v="0"/>
    <n v="3900"/>
    <n v="0"/>
    <n v="3900"/>
    <n v="0"/>
    <n v="0"/>
    <n v="0"/>
    <n v="0"/>
    <n v="0"/>
    <n v="3900"/>
    <n v="0"/>
    <n v="3900"/>
    <n v="0"/>
    <n v="0"/>
    <n v="0"/>
    <n v="0"/>
    <n v="0"/>
    <n v="0"/>
    <n v="3900"/>
    <n v="0"/>
    <n v="3900"/>
    <n v="0"/>
    <n v="0"/>
    <n v="0"/>
    <n v="0"/>
    <n v="0"/>
    <n v="3900"/>
    <n v="0"/>
    <n v="3900"/>
    <n v="0"/>
    <n v="0"/>
    <n v="0"/>
    <n v="0"/>
    <n v="0"/>
    <n v="3900"/>
    <n v="0"/>
    <n v="3900"/>
    <n v="0"/>
    <n v="0"/>
    <n v="0"/>
    <n v="0"/>
    <n v="0"/>
    <n v="0"/>
    <n v="3900"/>
    <n v="0"/>
    <n v="4002"/>
    <n v="0"/>
    <n v="0"/>
    <n v="0"/>
    <n v="0"/>
    <n v="0"/>
    <n v="4002"/>
  </r>
  <r>
    <x v="5"/>
    <s v="CONTABILIDAD (WT)"/>
    <n v="8000"/>
    <n v="0"/>
    <n v="0"/>
    <n v="0"/>
    <n v="1659.18"/>
    <n v="1659.18"/>
    <n v="6340.82"/>
    <n v="0.20739750000000001"/>
    <n v="8000"/>
    <n v="0"/>
    <n v="0"/>
    <n v="0"/>
    <n v="4838.92"/>
    <n v="0"/>
    <n v="4838.92"/>
    <n v="3161.08"/>
    <n v="0.60486499999999999"/>
    <n v="8000"/>
    <n v="0"/>
    <n v="0"/>
    <n v="0"/>
    <n v="4570.5200000000004"/>
    <n v="4570.5200000000004"/>
    <n v="3429.4799999999996"/>
    <n v="0.57131500000000002"/>
    <n v="8000"/>
    <n v="0"/>
    <n v="0"/>
    <n v="0"/>
    <n v="0"/>
    <n v="0"/>
    <n v="8000"/>
    <n v="0"/>
    <n v="8000"/>
    <n v="15620"/>
    <n v="0"/>
    <n v="0"/>
    <n v="0"/>
    <n v="0"/>
    <n v="15620"/>
    <n v="-7620"/>
    <n v="1.9524999999999999"/>
    <n v="8000"/>
    <n v="0"/>
    <n v="0"/>
    <n v="0"/>
    <n v="6268.42"/>
    <n v="6268.42"/>
    <n v="1731.58"/>
    <n v="0.78355249999999999"/>
    <n v="8000"/>
    <n v="0"/>
    <n v="0"/>
    <n v="0"/>
    <n v="3090.54"/>
    <n v="3090.54"/>
    <n v="4909.46"/>
    <n v="0.38631749999999998"/>
    <n v="8000"/>
    <n v="10253.17"/>
    <n v="0"/>
    <n v="0"/>
    <n v="1844.09"/>
    <n v="0"/>
    <n v="12097.26"/>
    <n v="-4097.26"/>
    <n v="1.5121575"/>
    <n v="8000"/>
    <n v="0"/>
    <n v="0"/>
    <n v="0"/>
    <n v="4761.9799999999996"/>
    <n v="4761.9799999999996"/>
    <n v="3238.0200000000004"/>
    <n v="0.59524749999999993"/>
    <n v="8000"/>
    <n v="0"/>
    <n v="0"/>
    <n v="0"/>
    <n v="2237.37"/>
    <n v="2237.37"/>
    <n v="5762.63"/>
    <n v="0.27967124999999998"/>
    <n v="8000"/>
    <n v="0"/>
    <n v="0"/>
    <n v="0"/>
    <n v="0"/>
    <n v="0"/>
    <n v="0"/>
    <n v="8000"/>
    <n v="0"/>
    <n v="6671"/>
    <n v="0"/>
    <n v="0"/>
    <n v="0"/>
    <n v="0"/>
    <n v="0"/>
    <n v="6671"/>
  </r>
  <r>
    <x v="6"/>
    <s v="DONATIV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"/>
    <n v="6000"/>
    <n v="-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8000"/>
    <n v="-8000"/>
    <n v="0"/>
    <n v="0"/>
    <n v="0"/>
    <n v="0"/>
    <n v="0"/>
    <n v="4000"/>
    <n v="4000"/>
    <n v="-4000"/>
    <n v="0"/>
    <n v="0"/>
    <n v="0"/>
    <n v="6000"/>
    <n v="0"/>
    <n v="0"/>
    <n v="6000"/>
    <n v="-6000"/>
    <n v="0"/>
    <n v="0"/>
    <n v="0"/>
    <n v="0"/>
    <n v="0"/>
    <n v="0"/>
    <n v="0"/>
    <n v="0"/>
    <n v="0"/>
    <n v="0"/>
    <n v="0"/>
    <n v="0"/>
    <n v="0"/>
    <n v="0"/>
    <n v="6000"/>
    <n v="6000"/>
    <n v="-6000"/>
  </r>
  <r>
    <x v="7"/>
    <s v="HR"/>
    <n v="12000"/>
    <n v="2000"/>
    <n v="0"/>
    <n v="0"/>
    <n v="0"/>
    <n v="2000"/>
    <n v="10000"/>
    <n v="0.16666666666666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  <n v="0"/>
    <n v="0"/>
    <n v="0"/>
    <n v="0"/>
    <n v="0"/>
    <n v="12000"/>
    <n v="0"/>
    <n v="12000"/>
    <n v="0"/>
    <n v="0"/>
    <n v="0"/>
    <n v="0"/>
    <n v="2000"/>
    <n v="2000"/>
    <n v="10000"/>
    <n v="0.16666666666666666"/>
    <n v="12000"/>
    <n v="0"/>
    <n v="0"/>
    <n v="0"/>
    <n v="0"/>
    <n v="0"/>
    <n v="12000"/>
  </r>
  <r>
    <x v="7"/>
    <s v="CAPRICH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CEDIS"/>
    <n v="1200"/>
    <n v="0"/>
    <n v="0"/>
    <n v="0"/>
    <n v="0"/>
    <n v="0"/>
    <n v="1200"/>
    <n v="0"/>
    <n v="1500"/>
    <n v="0"/>
    <n v="0"/>
    <n v="0"/>
    <n v="0"/>
    <n v="0"/>
    <n v="0"/>
    <n v="1500"/>
    <n v="0"/>
    <n v="1200"/>
    <n v="0"/>
    <n v="0"/>
    <n v="0"/>
    <n v="0"/>
    <n v="0"/>
    <n v="1200"/>
    <n v="0"/>
    <n v="1200"/>
    <n v="0"/>
    <n v="0"/>
    <n v="0"/>
    <n v="0"/>
    <n v="0"/>
    <n v="1200"/>
    <n v="0"/>
    <n v="1500"/>
    <n v="300"/>
    <n v="0"/>
    <n v="0"/>
    <n v="0"/>
    <n v="0"/>
    <n v="300"/>
    <n v="1200"/>
    <n v="0.2"/>
    <n v="1200"/>
    <n v="300"/>
    <n v="0"/>
    <n v="300"/>
    <n v="300"/>
    <n v="900"/>
    <n v="300"/>
    <n v="0.75"/>
    <n v="1200"/>
    <n v="300"/>
    <n v="0"/>
    <n v="600"/>
    <n v="300"/>
    <n v="1200"/>
    <n v="0"/>
    <n v="1"/>
    <n v="1500"/>
    <n v="300"/>
    <n v="300"/>
    <n v="0"/>
    <n v="0"/>
    <n v="300"/>
    <n v="900"/>
    <n v="600"/>
    <n v="0.6"/>
    <n v="1200"/>
    <n v="300"/>
    <n v="0"/>
    <n v="300"/>
    <n v="0"/>
    <n v="600"/>
    <n v="600"/>
    <n v="0.5"/>
    <n v="1200"/>
    <n v="600"/>
    <n v="603"/>
    <n v="300"/>
    <n v="0"/>
    <n v="1503"/>
    <n v="-303"/>
    <n v="1.2524999999999999"/>
    <n v="1500"/>
    <n v="300"/>
    <n v="0"/>
    <n v="600"/>
    <n v="0"/>
    <n v="600"/>
    <n v="1500"/>
    <n v="0"/>
    <n v="1"/>
    <n v="1200"/>
    <n v="300"/>
    <n v="0"/>
    <n v="300"/>
    <n v="300"/>
    <n v="900"/>
    <n v="300"/>
  </r>
  <r>
    <x v="8"/>
    <s v="TELMEX"/>
    <n v="0"/>
    <n v="0"/>
    <n v="0"/>
    <n v="0"/>
    <n v="0"/>
    <n v="0"/>
    <n v="0"/>
    <n v="0"/>
    <n v="0"/>
    <n v="0"/>
    <n v="0"/>
    <n v="0"/>
    <n v="0"/>
    <n v="22908"/>
    <n v="22908"/>
    <n v="-22908"/>
    <n v="0"/>
    <n v="0"/>
    <n v="0"/>
    <n v="0"/>
    <n v="0"/>
    <n v="24700.73"/>
    <n v="24700.73"/>
    <n v="-24700.73"/>
    <n v="0"/>
    <n v="0"/>
    <n v="0"/>
    <n v="0"/>
    <n v="0"/>
    <n v="0"/>
    <n v="0"/>
    <n v="0"/>
    <n v="0"/>
    <n v="0"/>
    <n v="0"/>
    <n v="0"/>
    <n v="0"/>
    <n v="0"/>
    <n v="24535"/>
    <n v="24535"/>
    <n v="-24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8"/>
    <n v="24358"/>
    <n v="-24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61"/>
    <n v="0"/>
    <n v="0"/>
    <n v="0"/>
    <n v="0"/>
    <n v="26261"/>
    <n v="-26261"/>
    <n v="0"/>
    <n v="28000"/>
    <n v="0"/>
    <n v="0"/>
    <n v="0"/>
    <n v="0"/>
    <n v="0"/>
    <n v="28000"/>
  </r>
  <r>
    <x v="8"/>
    <s v="TELCEL"/>
    <n v="0"/>
    <n v="0"/>
    <n v="0"/>
    <n v="0"/>
    <n v="11699.59"/>
    <n v="11699.59"/>
    <n v="-11699.59"/>
    <n v="0"/>
    <n v="0"/>
    <n v="17011.940000000002"/>
    <n v="0"/>
    <n v="269"/>
    <n v="12956.89"/>
    <n v="20"/>
    <n v="30257.83"/>
    <n v="-30257.83"/>
    <n v="0"/>
    <n v="0"/>
    <n v="8399.0400000000009"/>
    <n v="0"/>
    <n v="0"/>
    <n v="269"/>
    <n v="8668.0400000000009"/>
    <n v="-8668.0400000000009"/>
    <n v="0"/>
    <n v="0"/>
    <n v="5511.02"/>
    <n v="0"/>
    <n v="0"/>
    <n v="349"/>
    <n v="5860.02"/>
    <n v="-5860.02"/>
    <n v="0"/>
    <n v="0"/>
    <n v="0"/>
    <n v="5891.11"/>
    <n v="80"/>
    <n v="11457.01"/>
    <n v="0"/>
    <n v="17428.12"/>
    <n v="-17428.12"/>
    <n v="0"/>
    <n v="0"/>
    <n v="0"/>
    <n v="0"/>
    <n v="0"/>
    <n v="0"/>
    <n v="0"/>
    <n v="0"/>
    <n v="0"/>
    <n v="0"/>
    <n v="0"/>
    <n v="0"/>
    <n v="0"/>
    <n v="3183.99"/>
    <n v="3183.99"/>
    <n v="-3183.99"/>
    <n v="0"/>
    <n v="0"/>
    <n v="0"/>
    <n v="0"/>
    <n v="0"/>
    <n v="6664.11"/>
    <n v="0"/>
    <n v="6664.11"/>
    <n v="-6664.11"/>
    <n v="0"/>
    <n v="0"/>
    <n v="0"/>
    <n v="0"/>
    <n v="269"/>
    <n v="0"/>
    <n v="269"/>
    <n v="-269"/>
    <n v="0"/>
    <n v="0"/>
    <n v="0"/>
    <n v="8299.07"/>
    <n v="0"/>
    <n v="0"/>
    <n v="8299.07"/>
    <n v="-8299.07"/>
    <n v="0"/>
    <n v="0"/>
    <n v="9775.9700000000012"/>
    <n v="0"/>
    <n v="0"/>
    <n v="242712.02"/>
    <n v="270"/>
    <n v="252757.99"/>
    <n v="-252757.99"/>
    <n v="0"/>
    <n v="10000"/>
    <n v="8731.0400000000009"/>
    <n v="0"/>
    <n v="0"/>
    <n v="13383.02"/>
    <n v="22114.06"/>
    <n v="-12114.060000000001"/>
  </r>
  <r>
    <x v="8"/>
    <s v="STARLINK"/>
    <n v="0"/>
    <n v="0"/>
    <n v="0"/>
    <n v="0"/>
    <n v="8470"/>
    <n v="8470"/>
    <n v="-8470"/>
    <n v="0"/>
    <n v="0"/>
    <n v="0"/>
    <n v="0"/>
    <n v="0"/>
    <n v="8470"/>
    <n v="0"/>
    <n v="8470"/>
    <n v="-8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0"/>
    <n v="0"/>
    <n v="8470"/>
    <n v="-8470"/>
    <n v="0"/>
    <n v="0"/>
    <n v="0"/>
    <n v="0"/>
    <n v="0"/>
    <n v="8470"/>
    <n v="8470"/>
    <n v="-8470"/>
    <n v="0"/>
    <n v="0"/>
    <n v="0"/>
    <n v="0"/>
    <n v="0"/>
    <n v="16544"/>
    <n v="16544"/>
    <n v="-16544"/>
    <n v="0"/>
    <n v="0"/>
    <n v="0"/>
    <n v="0"/>
    <n v="0"/>
    <n v="9849.68"/>
    <n v="0"/>
    <n v="9849.68"/>
    <n v="-9849.68"/>
    <n v="0"/>
    <n v="0"/>
    <n v="0"/>
    <n v="0"/>
    <n v="0"/>
    <n v="0"/>
    <n v="0"/>
    <n v="0"/>
    <n v="0"/>
    <n v="0"/>
    <n v="0"/>
    <n v="0"/>
    <n v="0"/>
    <n v="9570"/>
    <n v="9570"/>
    <n v="-9570"/>
    <n v="0"/>
    <n v="0"/>
    <n v="0"/>
    <n v="0"/>
    <n v="0"/>
    <n v="9570"/>
    <n v="0"/>
    <n v="9570"/>
    <n v="-9570"/>
    <n v="0"/>
    <n v="8470"/>
    <n v="0"/>
    <n v="0"/>
    <n v="0"/>
    <n v="9570"/>
    <n v="9570"/>
    <n v="-1100"/>
  </r>
  <r>
    <x v="8"/>
    <s v="TOTAL PLAY (CONTA)"/>
    <n v="610"/>
    <n v="0"/>
    <n v="0"/>
    <n v="0"/>
    <n v="0"/>
    <n v="0"/>
    <n v="610"/>
    <n v="0"/>
    <n v="610"/>
    <n v="602"/>
    <n v="0"/>
    <n v="0"/>
    <n v="0"/>
    <n v="603"/>
    <n v="1205"/>
    <n v="-595"/>
    <n v="1.9754098360655739"/>
    <n v="610"/>
    <n v="0"/>
    <n v="0"/>
    <n v="0"/>
    <n v="602"/>
    <n v="602"/>
    <n v="8"/>
    <n v="0.9868852459016394"/>
    <n v="610"/>
    <n v="0"/>
    <n v="0"/>
    <n v="0"/>
    <n v="0"/>
    <n v="0"/>
    <n v="610"/>
    <n v="0"/>
    <n v="610"/>
    <n v="0"/>
    <n v="0"/>
    <n v="0"/>
    <n v="0"/>
    <n v="602"/>
    <n v="602"/>
    <n v="8"/>
    <n v="0.9868852459016394"/>
    <n v="610"/>
    <n v="0"/>
    <n v="0"/>
    <n v="0"/>
    <n v="0"/>
    <n v="0"/>
    <n v="610"/>
    <n v="0"/>
    <n v="610"/>
    <n v="0"/>
    <n v="0"/>
    <n v="0"/>
    <n v="0"/>
    <n v="0"/>
    <n v="610"/>
    <n v="0"/>
    <n v="610"/>
    <n v="0"/>
    <n v="0"/>
    <n v="0"/>
    <n v="0"/>
    <n v="0"/>
    <n v="0"/>
    <n v="610"/>
    <n v="0"/>
    <n v="610"/>
    <n v="0"/>
    <n v="0"/>
    <n v="0"/>
    <n v="0"/>
    <n v="0"/>
    <n v="610"/>
    <n v="0"/>
    <n v="610"/>
    <n v="0"/>
    <n v="0"/>
    <n v="0"/>
    <n v="0"/>
    <n v="0"/>
    <n v="610"/>
    <n v="0"/>
    <n v="610"/>
    <n v="0"/>
    <n v="0"/>
    <n v="680"/>
    <n v="603.04"/>
    <n v="0"/>
    <n v="1283.04"/>
    <n v="-673.04"/>
    <n v="2.103344262295082"/>
    <n v="660"/>
    <n v="681"/>
    <n v="0"/>
    <n v="0"/>
    <n v="603.03"/>
    <n v="1284.03"/>
    <n v="-624.03"/>
  </r>
  <r>
    <x v="8"/>
    <s v="TELEFONIA"/>
    <n v="55574"/>
    <n v="9069"/>
    <n v="0"/>
    <n v="0"/>
    <n v="24433.03"/>
    <n v="33502.03"/>
    <n v="22071.97"/>
    <n v="0.60283639831575919"/>
    <n v="45875"/>
    <n v="0"/>
    <n v="0"/>
    <n v="0"/>
    <n v="1202.04"/>
    <n v="0"/>
    <n v="1202.04"/>
    <n v="44672.959999999999"/>
    <n v="2.6202506811989101E-2"/>
    <n v="46431"/>
    <n v="0"/>
    <n v="0"/>
    <n v="0"/>
    <n v="19661.060000000001"/>
    <n v="19661.060000000001"/>
    <n v="26769.94"/>
    <n v="0.42344683508862618"/>
    <n v="26244"/>
    <n v="0"/>
    <n v="0"/>
    <n v="0"/>
    <n v="41360.589999999997"/>
    <n v="41360.589999999997"/>
    <n v="-15116.589999999997"/>
    <n v="1.5760017527815879"/>
    <n v="35511"/>
    <n v="0"/>
    <n v="0"/>
    <n v="0"/>
    <n v="603.04"/>
    <n v="0"/>
    <n v="603.04"/>
    <n v="34907.96"/>
    <n v="1.6981780293430202E-2"/>
    <n v="35511"/>
    <n v="8499.07"/>
    <n v="0"/>
    <n v="269"/>
    <n v="35975.07"/>
    <n v="44743.14"/>
    <n v="-9232.14"/>
    <n v="1.2599797245923798"/>
    <n v="35511"/>
    <n v="8699.0600000000013"/>
    <n v="681.14"/>
    <n v="469"/>
    <n v="7738.09"/>
    <n v="17587.29"/>
    <n v="17923.71"/>
    <n v="0.49526315789473685"/>
    <n v="54252"/>
    <n v="24359"/>
    <n v="9180.07"/>
    <n v="0"/>
    <n v="8338.09"/>
    <n v="0"/>
    <n v="41877.160000000003"/>
    <n v="12374.839999999997"/>
    <n v="0.77190075941900771"/>
    <n v="21592"/>
    <n v="9502.0400000000009"/>
    <n v="0"/>
    <n v="0"/>
    <n v="47945.5"/>
    <n v="57447.539999999994"/>
    <n v="-35855.539999999994"/>
    <n v="2.6605937384216372"/>
    <n v="38288"/>
    <n v="0"/>
    <n v="681"/>
    <n v="0"/>
    <n v="12805.779999999999"/>
    <n v="13486.779999999999"/>
    <n v="24801.22"/>
    <n v="0.35224561220225653"/>
    <n v="29200"/>
    <n v="0"/>
    <n v="0"/>
    <n v="0"/>
    <n v="0"/>
    <n v="27940"/>
    <n v="27940"/>
    <n v="1260"/>
    <n v="0.95684931506849313"/>
    <n v="30000"/>
    <n v="0"/>
    <n v="0"/>
    <n v="0"/>
    <n v="0"/>
    <n v="0"/>
    <n v="30000"/>
  </r>
  <r>
    <x v="9"/>
    <s v="SUCURSALES HR"/>
    <n v="5600"/>
    <n v="0"/>
    <n v="0"/>
    <n v="0"/>
    <n v="2850"/>
    <n v="2850"/>
    <n v="2750"/>
    <n v="0.5089285714285714"/>
    <n v="5600"/>
    <n v="0"/>
    <n v="9950"/>
    <n v="0"/>
    <n v="0"/>
    <n v="0"/>
    <n v="9950"/>
    <n v="-4350"/>
    <n v="1.7767857142857142"/>
    <n v="5600"/>
    <n v="5600"/>
    <n v="0"/>
    <n v="0"/>
    <n v="0"/>
    <n v="5600"/>
    <n v="0"/>
    <n v="1"/>
    <n v="5600"/>
    <n v="0"/>
    <n v="0"/>
    <n v="0"/>
    <n v="5600.02"/>
    <n v="5600.02"/>
    <n v="-2.0000000000436557E-2"/>
    <n v="1.0000035714285715"/>
    <n v="5600"/>
    <n v="0"/>
    <n v="0"/>
    <n v="0"/>
    <n v="0"/>
    <n v="5600"/>
    <n v="5600"/>
    <n v="0"/>
    <n v="1"/>
    <n v="5600"/>
    <n v="0"/>
    <n v="6410.01"/>
    <n v="0"/>
    <n v="0"/>
    <n v="6410.01"/>
    <n v="-810.01000000000022"/>
    <n v="1.1446446428571428"/>
    <n v="5600"/>
    <n v="5600"/>
    <n v="5600"/>
    <n v="0"/>
    <n v="0"/>
    <n v="11200"/>
    <n v="-5600"/>
    <n v="2"/>
    <n v="5600"/>
    <n v="0"/>
    <n v="0"/>
    <n v="6200"/>
    <n v="0"/>
    <n v="0"/>
    <n v="6200"/>
    <n v="-600"/>
    <n v="1.1071428571428572"/>
    <n v="5600"/>
    <n v="0"/>
    <n v="0"/>
    <n v="5889.67"/>
    <n v="0"/>
    <n v="5889.67"/>
    <n v="-289.67000000000007"/>
    <n v="1.0517267857142858"/>
    <n v="5600"/>
    <n v="5885.9"/>
    <n v="0"/>
    <n v="0"/>
    <n v="0"/>
    <n v="5885.9"/>
    <n v="-285.89999999999964"/>
    <n v="1.0510535714285714"/>
    <n v="5600"/>
    <n v="0"/>
    <n v="0"/>
    <n v="0"/>
    <n v="0"/>
    <n v="5539.67"/>
    <n v="5539.67"/>
    <n v="60.329999999999927"/>
    <n v="0.98922678571428568"/>
    <n v="5600"/>
    <n v="0"/>
    <n v="5539.67"/>
    <n v="0"/>
    <n v="0"/>
    <n v="5539.67"/>
    <n v="60.329999999999927"/>
  </r>
  <r>
    <x v="9"/>
    <s v="SUCURSALES CAPRICHOS"/>
    <n v="1250"/>
    <n v="386.4"/>
    <n v="0"/>
    <n v="0"/>
    <n v="840"/>
    <n v="1226.4000000000001"/>
    <n v="23.599999999999909"/>
    <n v="0.9811200000000001"/>
    <n v="1250"/>
    <n v="386.4"/>
    <n v="0"/>
    <n v="0"/>
    <n v="0"/>
    <n v="0"/>
    <n v="386.4"/>
    <n v="863.6"/>
    <n v="0.30912000000000001"/>
    <n v="1250"/>
    <n v="386.4"/>
    <n v="0"/>
    <n v="0"/>
    <n v="0"/>
    <n v="386.4"/>
    <n v="863.6"/>
    <n v="0.30912000000000001"/>
    <n v="1250"/>
    <n v="0"/>
    <n v="0"/>
    <n v="0"/>
    <n v="2520"/>
    <n v="2520"/>
    <n v="-1270"/>
    <n v="2.016"/>
    <n v="1250"/>
    <n v="386.4"/>
    <n v="450"/>
    <n v="386.4"/>
    <n v="0"/>
    <n v="0"/>
    <n v="1222.8"/>
    <n v="27.200000000000045"/>
    <n v="0.97824"/>
    <n v="1250"/>
    <n v="386.4"/>
    <n v="840"/>
    <n v="0"/>
    <n v="840"/>
    <n v="2066.4"/>
    <n v="-816.40000000000009"/>
    <n v="1.6531200000000001"/>
    <n v="1250"/>
    <n v="0"/>
    <n v="1226.4000000000001"/>
    <n v="0"/>
    <n v="0"/>
    <n v="1226.4000000000001"/>
    <n v="23.599999999999909"/>
    <n v="0.9811200000000001"/>
    <n v="1250"/>
    <n v="386.4"/>
    <n v="0"/>
    <n v="840"/>
    <n v="0"/>
    <n v="0"/>
    <n v="1226.4000000000001"/>
    <n v="23.599999999999909"/>
    <n v="0.9811200000000001"/>
    <n v="1250"/>
    <n v="386.4"/>
    <n v="0"/>
    <n v="830.95"/>
    <n v="0"/>
    <n v="1217.3499999999999"/>
    <n v="32.650000000000091"/>
    <n v="0.97387999999999997"/>
    <n v="1250"/>
    <n v="386.4"/>
    <n v="0"/>
    <n v="0"/>
    <n v="0"/>
    <n v="386.4"/>
    <n v="863.6"/>
    <n v="0.30912000000000001"/>
    <n v="1250"/>
    <n v="835"/>
    <n v="386.4"/>
    <n v="0"/>
    <n v="0"/>
    <n v="2215.86"/>
    <n v="3437.26"/>
    <n v="-2187.2600000000002"/>
    <n v="2.7498080000000003"/>
    <n v="1250"/>
    <n v="386.4"/>
    <n v="0"/>
    <n v="0"/>
    <n v="0"/>
    <n v="386.4"/>
    <n v="863.6"/>
  </r>
  <r>
    <x v="9"/>
    <s v="CEDIS"/>
    <n v="380"/>
    <n v="0"/>
    <n v="0"/>
    <n v="0"/>
    <n v="560"/>
    <n v="560"/>
    <n v="-180"/>
    <n v="1.4736842105263157"/>
    <n v="380"/>
    <n v="0"/>
    <n v="0"/>
    <n v="0"/>
    <n v="0"/>
    <n v="0"/>
    <n v="0"/>
    <n v="380"/>
    <n v="0"/>
    <n v="380"/>
    <n v="5700"/>
    <n v="0"/>
    <n v="0"/>
    <n v="0"/>
    <n v="5700"/>
    <n v="-5320"/>
    <n v="15"/>
    <n v="380"/>
    <n v="0"/>
    <n v="0"/>
    <n v="0"/>
    <n v="1120"/>
    <n v="1120"/>
    <n v="-740"/>
    <n v="2.9473684210526314"/>
    <n v="380"/>
    <n v="560"/>
    <n v="0"/>
    <n v="0"/>
    <n v="0"/>
    <n v="0"/>
    <n v="560"/>
    <n v="-180"/>
    <n v="1.4736842105263157"/>
    <n v="380"/>
    <n v="0"/>
    <n v="1120"/>
    <n v="0"/>
    <n v="0"/>
    <n v="1120"/>
    <n v="-740"/>
    <n v="2.9473684210526314"/>
    <n v="380"/>
    <n v="0"/>
    <n v="560"/>
    <n v="0"/>
    <n v="0"/>
    <n v="560"/>
    <n v="-180"/>
    <n v="1.4736842105263157"/>
    <n v="380"/>
    <n v="0"/>
    <n v="0"/>
    <n v="0"/>
    <n v="0"/>
    <n v="0"/>
    <n v="0"/>
    <n v="380"/>
    <n v="0"/>
    <n v="380"/>
    <n v="0"/>
    <n v="0"/>
    <n v="1113.97"/>
    <n v="0"/>
    <n v="1113.97"/>
    <n v="-733.97"/>
    <n v="2.9315000000000002"/>
    <n v="380"/>
    <n v="0"/>
    <n v="0"/>
    <n v="0"/>
    <n v="0"/>
    <n v="0"/>
    <n v="380"/>
    <n v="0"/>
    <n v="380"/>
    <n v="553.97"/>
    <n v="0"/>
    <n v="0"/>
    <n v="0"/>
    <n v="1107.94"/>
    <n v="1661.91"/>
    <n v="-1281.9100000000001"/>
    <n v="4.3734473684210524"/>
    <n v="560"/>
    <n v="0"/>
    <n v="0"/>
    <n v="0"/>
    <n v="0"/>
    <n v="0"/>
    <n v="560"/>
  </r>
  <r>
    <x v="9"/>
    <s v="ALARMA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</r>
  <r>
    <x v="10"/>
    <s v="A1"/>
    <n v="7104"/>
    <n v="0"/>
    <n v="5917"/>
    <n v="0"/>
    <n v="0"/>
    <n v="5917"/>
    <n v="1187"/>
    <n v="0.832911036036036"/>
    <n v="5920"/>
    <n v="0"/>
    <n v="6267"/>
    <n v="0"/>
    <n v="0"/>
    <n v="0"/>
    <n v="6267"/>
    <n v="-347"/>
    <n v="1.0586148648648648"/>
    <n v="5235"/>
    <n v="5587"/>
    <n v="0"/>
    <n v="0"/>
    <n v="0"/>
    <n v="5587"/>
    <n v="-352"/>
    <n v="1.0672397325692455"/>
    <n v="0"/>
    <n v="5953"/>
    <n v="0"/>
    <n v="0"/>
    <n v="0"/>
    <n v="5953"/>
    <n v="-5953"/>
    <n v="0"/>
    <n v="6674"/>
    <n v="0"/>
    <n v="7323"/>
    <n v="0"/>
    <n v="0"/>
    <n v="0"/>
    <n v="7323"/>
    <n v="-649"/>
    <n v="1.0972430326640694"/>
    <n v="7273"/>
    <n v="7209"/>
    <n v="0"/>
    <n v="0"/>
    <n v="0"/>
    <n v="7209"/>
    <n v="64"/>
    <n v="0.99120032998762542"/>
    <n v="6924"/>
    <n v="7570"/>
    <n v="0"/>
    <n v="0"/>
    <n v="0"/>
    <n v="7570"/>
    <n v="-646"/>
    <n v="1.0932986712882726"/>
    <n v="31531"/>
    <n v="0"/>
    <n v="7463"/>
    <n v="0"/>
    <n v="0"/>
    <n v="0"/>
    <n v="7463"/>
    <n v="24068"/>
    <n v="0.23668770416415591"/>
    <n v="8572"/>
    <n v="7197"/>
    <n v="0"/>
    <n v="0"/>
    <n v="0"/>
    <n v="7197"/>
    <n v="1375"/>
    <n v="0.8395940270648623"/>
    <n v="8500"/>
    <n v="0"/>
    <n v="6890"/>
    <n v="0"/>
    <n v="0"/>
    <n v="6890"/>
    <n v="1610"/>
    <n v="0.81058823529411761"/>
    <n v="9000"/>
    <n v="0"/>
    <n v="0"/>
    <n v="0"/>
    <n v="0"/>
    <n v="0"/>
    <n v="0"/>
    <n v="9000"/>
    <n v="0"/>
    <n v="6500"/>
    <n v="4407"/>
    <n v="0"/>
    <n v="0"/>
    <n v="0"/>
    <n v="4407"/>
    <n v="2093"/>
  </r>
  <r>
    <x v="10"/>
    <s v="A2"/>
    <n v="0"/>
    <n v="0"/>
    <n v="0"/>
    <n v="0"/>
    <n v="0"/>
    <n v="0"/>
    <n v="0"/>
    <n v="0"/>
    <n v="6099"/>
    <n v="10728"/>
    <n v="0"/>
    <n v="0"/>
    <n v="2062"/>
    <n v="5695"/>
    <n v="18485"/>
    <n v="-12386"/>
    <n v="3.030824725364814"/>
    <n v="0"/>
    <n v="0"/>
    <n v="0"/>
    <n v="0"/>
    <n v="14056"/>
    <n v="14056"/>
    <n v="-14056"/>
    <n v="0"/>
    <n v="6491"/>
    <n v="0"/>
    <n v="2167"/>
    <n v="0"/>
    <n v="0"/>
    <n v="2167"/>
    <n v="4324"/>
    <n v="0.33384686488984749"/>
    <n v="10627"/>
    <n v="0"/>
    <n v="0"/>
    <n v="0"/>
    <n v="0"/>
    <n v="0"/>
    <n v="0"/>
    <n v="10627"/>
    <n v="0"/>
    <n v="0"/>
    <n v="34680"/>
    <n v="0"/>
    <n v="0"/>
    <n v="0"/>
    <n v="34680"/>
    <n v="-34680"/>
    <n v="0"/>
    <n v="0"/>
    <n v="0"/>
    <n v="0"/>
    <n v="0"/>
    <n v="0"/>
    <n v="0"/>
    <n v="0"/>
    <n v="0"/>
    <n v="0"/>
    <n v="43187"/>
    <n v="0"/>
    <n v="0"/>
    <n v="0"/>
    <n v="0"/>
    <n v="43187"/>
    <n v="-43187"/>
    <n v="0"/>
    <n v="0"/>
    <n v="0"/>
    <n v="0"/>
    <n v="0"/>
    <n v="0"/>
    <n v="0"/>
    <n v="0"/>
    <n v="0"/>
    <n v="7919"/>
    <n v="32701"/>
    <n v="0"/>
    <n v="0"/>
    <n v="0"/>
    <n v="32701"/>
    <n v="-24782"/>
    <n v="4.1294355347897458"/>
    <n v="0"/>
    <n v="0"/>
    <n v="0"/>
    <n v="0"/>
    <n v="0"/>
    <n v="0"/>
    <n v="0"/>
    <n v="0"/>
    <n v="0"/>
    <n v="26000"/>
    <n v="15387"/>
    <n v="0"/>
    <n v="0"/>
    <n v="0"/>
    <n v="15387"/>
    <n v="10613"/>
  </r>
  <r>
    <x v="10"/>
    <s v="A3"/>
    <n v="0"/>
    <n v="0"/>
    <n v="0"/>
    <n v="0"/>
    <n v="0"/>
    <n v="0"/>
    <n v="0"/>
    <n v="0"/>
    <n v="8808"/>
    <n v="9812"/>
    <n v="0"/>
    <n v="0"/>
    <n v="0"/>
    <n v="0"/>
    <n v="9812"/>
    <n v="-1004"/>
    <n v="1.1139872842870118"/>
    <n v="0"/>
    <n v="0"/>
    <n v="0"/>
    <n v="0"/>
    <n v="10512"/>
    <n v="10512"/>
    <n v="-10512"/>
    <n v="0"/>
    <n v="9654"/>
    <n v="0"/>
    <n v="0"/>
    <n v="0"/>
    <n v="0"/>
    <n v="0"/>
    <n v="9654"/>
    <n v="0"/>
    <n v="10854"/>
    <n v="0"/>
    <n v="0"/>
    <n v="0"/>
    <n v="0"/>
    <n v="0"/>
    <n v="0"/>
    <n v="10854"/>
    <n v="0"/>
    <n v="0"/>
    <n v="11602"/>
    <n v="0"/>
    <n v="0"/>
    <n v="0"/>
    <n v="11602"/>
    <n v="-11602"/>
    <n v="0"/>
    <n v="0"/>
    <n v="0"/>
    <n v="0"/>
    <n v="0"/>
    <n v="0"/>
    <n v="0"/>
    <n v="0"/>
    <n v="0"/>
    <n v="0"/>
    <n v="12121"/>
    <n v="0"/>
    <n v="0"/>
    <n v="0"/>
    <n v="0"/>
    <n v="12121"/>
    <n v="-12121"/>
    <n v="0"/>
    <n v="0"/>
    <n v="0"/>
    <n v="0"/>
    <n v="0"/>
    <n v="0"/>
    <n v="0"/>
    <n v="0"/>
    <n v="0"/>
    <n v="8227"/>
    <n v="12086"/>
    <n v="0"/>
    <n v="0"/>
    <n v="0"/>
    <n v="12086"/>
    <n v="-3859"/>
    <n v="1.469065272881974"/>
    <n v="0"/>
    <n v="0"/>
    <n v="0"/>
    <n v="0"/>
    <n v="0"/>
    <n v="0"/>
    <n v="0"/>
    <n v="0"/>
    <n v="0"/>
    <n v="11774"/>
    <n v="9205"/>
    <n v="0"/>
    <n v="0"/>
    <n v="0"/>
    <n v="9205"/>
    <n v="2569"/>
  </r>
  <r>
    <x v="10"/>
    <s v="A4"/>
    <n v="5220"/>
    <n v="0"/>
    <n v="0"/>
    <n v="5534"/>
    <n v="0"/>
    <n v="5534"/>
    <n v="-314"/>
    <n v="1.060153256704981"/>
    <n v="0"/>
    <n v="0"/>
    <n v="0"/>
    <n v="0"/>
    <n v="0"/>
    <n v="0"/>
    <n v="0"/>
    <n v="0"/>
    <n v="0"/>
    <n v="5683"/>
    <n v="0"/>
    <n v="0"/>
    <n v="5926"/>
    <n v="0"/>
    <n v="5926"/>
    <n v="-243"/>
    <n v="1.04275910610593"/>
    <n v="0"/>
    <n v="0"/>
    <n v="0"/>
    <n v="0"/>
    <n v="0"/>
    <n v="0"/>
    <n v="0"/>
    <n v="0"/>
    <n v="6187"/>
    <n v="0"/>
    <n v="0"/>
    <n v="8706"/>
    <n v="0"/>
    <n v="0"/>
    <n v="8706"/>
    <n v="-2519"/>
    <n v="1.407144011637304"/>
    <n v="0"/>
    <n v="0"/>
    <n v="0"/>
    <n v="0"/>
    <n v="0"/>
    <n v="0"/>
    <n v="0"/>
    <n v="0"/>
    <n v="10018"/>
    <n v="0"/>
    <n v="0"/>
    <n v="14234"/>
    <n v="0"/>
    <n v="14234"/>
    <n v="-4216"/>
    <n v="1.4208424835296467"/>
    <n v="0"/>
    <n v="0"/>
    <n v="0"/>
    <n v="0"/>
    <n v="0"/>
    <n v="0"/>
    <n v="0"/>
    <n v="0"/>
    <n v="0"/>
    <n v="6757"/>
    <n v="0"/>
    <n v="0"/>
    <n v="12013"/>
    <n v="0"/>
    <n v="12013"/>
    <n v="-5256"/>
    <n v="1.7778599970401066"/>
    <n v="0"/>
    <n v="0"/>
    <n v="0"/>
    <n v="0"/>
    <n v="0"/>
    <n v="0"/>
    <n v="0"/>
    <n v="0"/>
    <n v="7162"/>
    <n v="0"/>
    <n v="0"/>
    <n v="7254"/>
    <n v="0"/>
    <n v="0"/>
    <n v="7254"/>
    <n v="-92"/>
    <n v="1.0128455738620497"/>
    <n v="0"/>
    <n v="0"/>
    <n v="0"/>
    <n v="0"/>
    <n v="0"/>
    <n v="0"/>
    <n v="0"/>
  </r>
  <r>
    <x v="10"/>
    <s v="A5"/>
    <n v="13845"/>
    <n v="0"/>
    <n v="0"/>
    <n v="16291"/>
    <n v="0"/>
    <n v="16291"/>
    <n v="-2446"/>
    <n v="1.1766702780787288"/>
    <n v="0"/>
    <n v="0"/>
    <n v="0"/>
    <n v="0"/>
    <n v="0"/>
    <n v="0"/>
    <n v="0"/>
    <n v="0"/>
    <n v="0"/>
    <n v="13645"/>
    <n v="0"/>
    <n v="15620"/>
    <n v="0"/>
    <n v="0"/>
    <n v="15620"/>
    <n v="-1975"/>
    <n v="1.144741663613045"/>
    <n v="0"/>
    <n v="0"/>
    <n v="0"/>
    <n v="0"/>
    <n v="0"/>
    <n v="0"/>
    <n v="0"/>
    <n v="0"/>
    <n v="16033"/>
    <n v="0"/>
    <n v="0"/>
    <n v="13829"/>
    <n v="0"/>
    <n v="0"/>
    <n v="13829"/>
    <n v="2204"/>
    <n v="0.86253352460550115"/>
    <n v="0"/>
    <n v="0"/>
    <n v="0"/>
    <n v="0"/>
    <n v="0"/>
    <n v="0"/>
    <n v="0"/>
    <n v="0"/>
    <n v="20288"/>
    <n v="0"/>
    <n v="0"/>
    <n v="17777"/>
    <n v="0"/>
    <n v="17777"/>
    <n v="2511"/>
    <n v="0.87623225552050477"/>
    <n v="0"/>
    <n v="0"/>
    <n v="0"/>
    <n v="0"/>
    <n v="0"/>
    <n v="0"/>
    <n v="0"/>
    <n v="0"/>
    <n v="0"/>
    <n v="7746"/>
    <n v="0"/>
    <n v="0"/>
    <n v="17929"/>
    <n v="0"/>
    <n v="17929"/>
    <n v="-10183"/>
    <n v="2.3146139943196489"/>
    <n v="0"/>
    <n v="0"/>
    <n v="0"/>
    <n v="0"/>
    <n v="0"/>
    <n v="0"/>
    <n v="0"/>
    <n v="0"/>
    <n v="7748"/>
    <n v="0"/>
    <n v="0"/>
    <n v="13461"/>
    <n v="0"/>
    <n v="0"/>
    <n v="13461"/>
    <n v="-5713"/>
    <n v="1.7373515745998966"/>
    <n v="0"/>
    <n v="0"/>
    <n v="0"/>
    <n v="0"/>
    <n v="0"/>
    <n v="0"/>
    <n v="0"/>
  </r>
  <r>
    <x v="10"/>
    <s v="A6"/>
    <n v="17056"/>
    <n v="0"/>
    <n v="0"/>
    <n v="0"/>
    <n v="7779"/>
    <n v="7779"/>
    <n v="9277"/>
    <n v="0.45608583489681048"/>
    <n v="0"/>
    <n v="0"/>
    <n v="0"/>
    <n v="0"/>
    <n v="0"/>
    <n v="0"/>
    <n v="0"/>
    <n v="0"/>
    <n v="0"/>
    <n v="7385"/>
    <n v="0"/>
    <n v="0"/>
    <n v="0"/>
    <n v="0"/>
    <n v="0"/>
    <n v="7385"/>
    <n v="0"/>
    <n v="0"/>
    <n v="0"/>
    <n v="0"/>
    <n v="0"/>
    <n v="287"/>
    <n v="287"/>
    <n v="-287"/>
    <n v="0"/>
    <n v="11162"/>
    <n v="0"/>
    <n v="0"/>
    <n v="0"/>
    <n v="13106"/>
    <n v="0"/>
    <n v="13106"/>
    <n v="-1944"/>
    <n v="1.1741623364988354"/>
    <n v="0"/>
    <n v="0"/>
    <n v="0"/>
    <n v="0"/>
    <n v="0"/>
    <n v="0"/>
    <n v="0"/>
    <n v="0"/>
    <n v="12958"/>
    <n v="0"/>
    <n v="0"/>
    <n v="0"/>
    <n v="14281"/>
    <n v="14281"/>
    <n v="-1323"/>
    <n v="1.1020990893656428"/>
    <n v="10551"/>
    <n v="0"/>
    <n v="0"/>
    <n v="0"/>
    <n v="0"/>
    <n v="0"/>
    <n v="0"/>
    <n v="10551"/>
    <n v="0"/>
    <n v="12556"/>
    <n v="0"/>
    <n v="0"/>
    <n v="0"/>
    <n v="12554"/>
    <n v="12554"/>
    <n v="2"/>
    <n v="0.99984071360305826"/>
    <n v="0"/>
    <n v="0"/>
    <n v="0"/>
    <n v="0"/>
    <n v="0"/>
    <n v="0"/>
    <n v="0"/>
    <n v="0"/>
    <n v="8318"/>
    <n v="0"/>
    <n v="0"/>
    <n v="0"/>
    <n v="0"/>
    <n v="0"/>
    <n v="0"/>
    <n v="8318"/>
    <n v="0"/>
    <n v="0"/>
    <n v="0"/>
    <n v="0"/>
    <n v="0"/>
    <n v="0"/>
    <n v="0"/>
    <n v="0"/>
  </r>
  <r>
    <x v="10"/>
    <s v="A8"/>
    <n v="8413"/>
    <n v="0"/>
    <n v="0"/>
    <n v="0"/>
    <n v="0"/>
    <n v="0"/>
    <n v="8413"/>
    <n v="0"/>
    <n v="0"/>
    <n v="0"/>
    <n v="0"/>
    <n v="0"/>
    <n v="0"/>
    <n v="0"/>
    <n v="0"/>
    <n v="0"/>
    <n v="0"/>
    <n v="8883"/>
    <n v="0"/>
    <n v="9759"/>
    <n v="0"/>
    <n v="0"/>
    <n v="9759"/>
    <n v="-876"/>
    <n v="1.0986153326578858"/>
    <n v="0"/>
    <n v="0"/>
    <n v="0"/>
    <n v="0"/>
    <n v="0"/>
    <n v="0"/>
    <n v="0"/>
    <n v="0"/>
    <n v="9825"/>
    <n v="0"/>
    <n v="0"/>
    <n v="10118"/>
    <n v="0"/>
    <n v="0"/>
    <n v="10118"/>
    <n v="-293"/>
    <n v="1.0298218829516539"/>
    <n v="0"/>
    <n v="0"/>
    <n v="0"/>
    <n v="0"/>
    <n v="0"/>
    <n v="0"/>
    <n v="0"/>
    <n v="0"/>
    <n v="11902"/>
    <n v="0"/>
    <n v="0"/>
    <n v="9945"/>
    <n v="0"/>
    <n v="9945"/>
    <n v="1957"/>
    <n v="0.83557385313392707"/>
    <n v="0"/>
    <n v="0"/>
    <n v="0"/>
    <n v="0"/>
    <n v="0"/>
    <n v="0"/>
    <n v="0"/>
    <n v="0"/>
    <n v="0"/>
    <n v="7790"/>
    <n v="0"/>
    <n v="0"/>
    <n v="9767"/>
    <n v="0"/>
    <n v="9767"/>
    <n v="-1977"/>
    <n v="1.2537869062901155"/>
    <n v="0"/>
    <n v="0"/>
    <n v="0"/>
    <n v="0"/>
    <n v="0"/>
    <n v="0"/>
    <n v="0"/>
    <n v="0"/>
    <n v="9275"/>
    <n v="0"/>
    <n v="0"/>
    <n v="8770"/>
    <n v="0"/>
    <n v="0"/>
    <n v="8770"/>
    <n v="505"/>
    <n v="0.9455525606469003"/>
    <n v="0"/>
    <n v="0"/>
    <n v="0"/>
    <n v="0"/>
    <n v="0"/>
    <n v="0"/>
    <n v="0"/>
  </r>
  <r>
    <x v="10"/>
    <s v="A9"/>
    <n v="0"/>
    <n v="0"/>
    <n v="0"/>
    <n v="0"/>
    <n v="0"/>
    <n v="0"/>
    <n v="0"/>
    <n v="0"/>
    <n v="3307"/>
    <n v="0"/>
    <n v="11955"/>
    <n v="0"/>
    <n v="0"/>
    <n v="0"/>
    <n v="11955"/>
    <n v="-8648"/>
    <n v="3.6150589658300576"/>
    <n v="0"/>
    <n v="0"/>
    <n v="0"/>
    <n v="0"/>
    <n v="0"/>
    <n v="0"/>
    <n v="0"/>
    <n v="0"/>
    <n v="11648"/>
    <n v="18256"/>
    <n v="0"/>
    <n v="0"/>
    <n v="0"/>
    <n v="18256"/>
    <n v="-6608"/>
    <n v="1.5673076923076923"/>
    <n v="21168"/>
    <n v="0"/>
    <n v="0"/>
    <n v="0"/>
    <n v="0"/>
    <n v="0"/>
    <n v="0"/>
    <n v="21168"/>
    <n v="0"/>
    <n v="0"/>
    <n v="17015"/>
    <n v="0"/>
    <n v="0"/>
    <n v="0"/>
    <n v="17015"/>
    <n v="-17015"/>
    <n v="0"/>
    <n v="0"/>
    <n v="0"/>
    <n v="0"/>
    <n v="0"/>
    <n v="0"/>
    <n v="0"/>
    <n v="0"/>
    <n v="0"/>
    <n v="22228"/>
    <n v="0"/>
    <n v="22526"/>
    <n v="0"/>
    <n v="0"/>
    <n v="0"/>
    <n v="22526"/>
    <n v="-298"/>
    <n v="1.0134065143062803"/>
    <n v="0"/>
    <n v="0"/>
    <n v="0"/>
    <n v="0"/>
    <n v="0"/>
    <n v="0"/>
    <n v="0"/>
    <n v="0"/>
    <n v="16409"/>
    <n v="0"/>
    <n v="4362"/>
    <n v="0"/>
    <n v="0"/>
    <n v="4362"/>
    <n v="12047"/>
    <n v="0.26582972758851847"/>
    <n v="0"/>
    <n v="0"/>
    <n v="0"/>
    <n v="0"/>
    <n v="0"/>
    <n v="0"/>
    <n v="0"/>
    <n v="0"/>
    <n v="0"/>
    <n v="15049"/>
    <n v="13589"/>
    <n v="0"/>
    <n v="0"/>
    <n v="0"/>
    <n v="13589"/>
    <n v="1460"/>
  </r>
  <r>
    <x v="10"/>
    <s v="A10"/>
    <n v="0"/>
    <n v="0"/>
    <n v="0"/>
    <n v="0"/>
    <n v="0"/>
    <n v="0"/>
    <n v="0"/>
    <n v="0"/>
    <n v="23337"/>
    <n v="0"/>
    <n v="0"/>
    <n v="28555"/>
    <n v="0"/>
    <n v="0"/>
    <n v="28555"/>
    <n v="-5218"/>
    <n v="1.2235934353173072"/>
    <n v="0"/>
    <n v="0"/>
    <n v="0"/>
    <n v="0"/>
    <n v="0"/>
    <n v="0"/>
    <n v="0"/>
    <n v="0"/>
    <n v="26716"/>
    <n v="0"/>
    <n v="0"/>
    <n v="32889"/>
    <n v="0"/>
    <n v="32889"/>
    <n v="-6173"/>
    <n v="1.2310600389279833"/>
    <n v="0"/>
    <n v="0"/>
    <n v="0"/>
    <n v="0"/>
    <n v="0"/>
    <n v="0"/>
    <n v="0"/>
    <n v="0"/>
    <n v="0"/>
    <n v="33456"/>
    <n v="0"/>
    <n v="0"/>
    <n v="36947"/>
    <n v="0"/>
    <n v="36947"/>
    <n v="-3491"/>
    <n v="1.104346006695361"/>
    <n v="0"/>
    <n v="0"/>
    <n v="0"/>
    <n v="0"/>
    <n v="0"/>
    <n v="0"/>
    <n v="0"/>
    <n v="0"/>
    <n v="7714"/>
    <n v="0"/>
    <n v="0"/>
    <n v="37038"/>
    <n v="0"/>
    <n v="0"/>
    <n v="37038"/>
    <n v="-29324"/>
    <n v="4.8014000518537721"/>
    <n v="0"/>
    <n v="0"/>
    <n v="0"/>
    <n v="0"/>
    <n v="0"/>
    <n v="0"/>
    <n v="0"/>
    <n v="0"/>
    <n v="22311"/>
    <n v="0"/>
    <n v="0"/>
    <n v="35834"/>
    <n v="0"/>
    <n v="35834"/>
    <n v="-13523"/>
    <n v="1.60611357626283"/>
    <n v="0"/>
    <n v="0"/>
    <n v="0"/>
    <n v="0"/>
    <n v="0"/>
    <n v="0"/>
    <n v="0"/>
    <n v="0"/>
    <n v="0"/>
    <n v="36856"/>
    <n v="0"/>
    <n v="0"/>
    <n v="30227"/>
    <n v="0"/>
    <n v="30227"/>
    <n v="6629"/>
  </r>
  <r>
    <x v="10"/>
    <s v="A11"/>
    <n v="0"/>
    <n v="0"/>
    <n v="0"/>
    <n v="0"/>
    <n v="0"/>
    <n v="0"/>
    <n v="0"/>
    <n v="0"/>
    <n v="14059"/>
    <n v="16870"/>
    <n v="0"/>
    <n v="0"/>
    <n v="0"/>
    <n v="0"/>
    <n v="16870"/>
    <n v="-2811"/>
    <n v="1.1999430969485738"/>
    <n v="0"/>
    <n v="0"/>
    <n v="0"/>
    <n v="0"/>
    <n v="18559"/>
    <n v="18559"/>
    <n v="-18559"/>
    <n v="0"/>
    <n v="15232"/>
    <n v="0"/>
    <n v="0"/>
    <n v="0"/>
    <n v="0"/>
    <n v="0"/>
    <n v="15232"/>
    <n v="0"/>
    <n v="21808"/>
    <n v="0"/>
    <n v="0"/>
    <n v="0"/>
    <n v="0"/>
    <n v="0"/>
    <n v="0"/>
    <n v="21808"/>
    <n v="0"/>
    <n v="0"/>
    <n v="25653"/>
    <n v="0"/>
    <n v="0"/>
    <n v="0"/>
    <n v="25653"/>
    <n v="-25653"/>
    <n v="0"/>
    <n v="0"/>
    <n v="0"/>
    <n v="0"/>
    <n v="0"/>
    <n v="0"/>
    <n v="0"/>
    <n v="0"/>
    <n v="0"/>
    <n v="11226"/>
    <n v="26822"/>
    <n v="0"/>
    <n v="0"/>
    <n v="0"/>
    <n v="0"/>
    <n v="26822"/>
    <n v="-15596"/>
    <n v="2.3892748975592375"/>
    <n v="18605"/>
    <n v="0"/>
    <n v="0"/>
    <n v="0"/>
    <n v="0"/>
    <n v="0"/>
    <n v="18605"/>
    <n v="0"/>
    <n v="0"/>
    <n v="23657"/>
    <n v="0"/>
    <n v="0"/>
    <n v="0"/>
    <n v="23657"/>
    <n v="-23657"/>
    <n v="0"/>
    <n v="13441"/>
    <n v="0"/>
    <n v="0"/>
    <n v="0"/>
    <n v="0"/>
    <n v="0"/>
    <n v="0"/>
    <n v="13441"/>
    <n v="0"/>
    <n v="6598"/>
    <n v="16115"/>
    <n v="0"/>
    <n v="0"/>
    <n v="0"/>
    <n v="16115"/>
    <n v="-9517"/>
  </r>
  <r>
    <x v="10"/>
    <s v="A12"/>
    <n v="10173"/>
    <n v="0"/>
    <n v="0"/>
    <n v="12075"/>
    <n v="0"/>
    <n v="12075"/>
    <n v="-1902"/>
    <n v="1.1869654969035683"/>
    <n v="0"/>
    <n v="0"/>
    <n v="0"/>
    <n v="0"/>
    <n v="0"/>
    <n v="0"/>
    <n v="0"/>
    <n v="0"/>
    <n v="0"/>
    <n v="9553"/>
    <n v="0"/>
    <n v="0"/>
    <n v="12920"/>
    <n v="0"/>
    <n v="12920"/>
    <n v="-3367"/>
    <n v="1.3524547262640008"/>
    <n v="0"/>
    <n v="0"/>
    <n v="0"/>
    <n v="0"/>
    <n v="0"/>
    <n v="0"/>
    <n v="0"/>
    <n v="0"/>
    <n v="14438"/>
    <n v="0"/>
    <n v="0"/>
    <n v="17247"/>
    <n v="0"/>
    <n v="0"/>
    <n v="17247"/>
    <n v="-2809"/>
    <n v="1.1945560326915086"/>
    <n v="0"/>
    <n v="0"/>
    <n v="0"/>
    <n v="0"/>
    <n v="0"/>
    <n v="0"/>
    <n v="0"/>
    <n v="0"/>
    <n v="18408"/>
    <n v="0"/>
    <n v="0"/>
    <n v="20397"/>
    <n v="0"/>
    <n v="20397"/>
    <n v="-1989"/>
    <n v="1.1080508474576272"/>
    <n v="11577"/>
    <n v="0"/>
    <n v="0"/>
    <n v="0"/>
    <n v="0"/>
    <n v="0"/>
    <n v="0"/>
    <n v="11577"/>
    <n v="0"/>
    <n v="13613"/>
    <n v="0"/>
    <n v="0"/>
    <n v="19504"/>
    <n v="0"/>
    <n v="19504"/>
    <n v="-5891"/>
    <n v="1.4327481084257694"/>
    <n v="0"/>
    <n v="0"/>
    <n v="0"/>
    <n v="0"/>
    <n v="0"/>
    <n v="0"/>
    <n v="0"/>
    <n v="0"/>
    <n v="10116"/>
    <n v="0"/>
    <n v="0"/>
    <n v="0"/>
    <n v="15541"/>
    <n v="0"/>
    <n v="15541"/>
    <n v="-5425"/>
    <n v="1.5362791617240015"/>
    <n v="0"/>
    <n v="0"/>
    <n v="0"/>
    <n v="0"/>
    <n v="0"/>
    <n v="0"/>
    <n v="0"/>
  </r>
  <r>
    <x v="10"/>
    <s v="A14"/>
    <n v="0"/>
    <n v="0"/>
    <n v="0"/>
    <n v="0"/>
    <n v="0"/>
    <n v="0"/>
    <n v="0"/>
    <n v="0"/>
    <n v="6358"/>
    <n v="0"/>
    <n v="0"/>
    <n v="13562"/>
    <n v="0"/>
    <n v="0"/>
    <n v="13562"/>
    <n v="-7204"/>
    <n v="2.1330607109153821"/>
    <n v="0"/>
    <n v="0"/>
    <n v="0"/>
    <n v="0"/>
    <n v="0"/>
    <n v="0"/>
    <n v="0"/>
    <n v="0"/>
    <n v="7390"/>
    <n v="0"/>
    <n v="0"/>
    <n v="8534"/>
    <n v="0"/>
    <n v="8534"/>
    <n v="-1144"/>
    <n v="1.1548037889039242"/>
    <n v="9234"/>
    <n v="0"/>
    <n v="0"/>
    <n v="0"/>
    <n v="0"/>
    <n v="0"/>
    <n v="0"/>
    <n v="9234"/>
    <n v="0"/>
    <n v="10044"/>
    <n v="0"/>
    <n v="0"/>
    <n v="10824"/>
    <n v="0"/>
    <n v="10824"/>
    <n v="-780"/>
    <n v="1.0776583034647551"/>
    <n v="0"/>
    <n v="0"/>
    <n v="0"/>
    <n v="0"/>
    <n v="0"/>
    <n v="0"/>
    <n v="0"/>
    <n v="0"/>
    <n v="0"/>
    <n v="0"/>
    <n v="0"/>
    <n v="10524"/>
    <n v="0"/>
    <n v="0"/>
    <n v="10524"/>
    <n v="-10524"/>
    <n v="0"/>
    <n v="0"/>
    <n v="0"/>
    <n v="0"/>
    <n v="0"/>
    <n v="0"/>
    <n v="0"/>
    <n v="0"/>
    <n v="0"/>
    <n v="8177"/>
    <n v="0"/>
    <n v="0"/>
    <n v="8775"/>
    <n v="0"/>
    <n v="8775"/>
    <n v="-598"/>
    <n v="1.0731319554848966"/>
    <n v="0"/>
    <n v="0"/>
    <n v="0"/>
    <n v="0"/>
    <n v="0"/>
    <n v="0"/>
    <n v="0"/>
    <n v="0"/>
    <n v="0"/>
    <n v="6778"/>
    <n v="0"/>
    <n v="0"/>
    <n v="6458"/>
    <n v="0"/>
    <n v="6458"/>
    <n v="320"/>
  </r>
  <r>
    <x v="10"/>
    <s v="A15"/>
    <n v="5971"/>
    <n v="0"/>
    <n v="0"/>
    <n v="15285"/>
    <n v="0"/>
    <n v="15285"/>
    <n v="-9314"/>
    <n v="2.5598727181376653"/>
    <n v="0"/>
    <n v="0"/>
    <n v="0"/>
    <n v="0"/>
    <n v="0"/>
    <n v="0"/>
    <n v="0"/>
    <n v="0"/>
    <n v="0"/>
    <n v="7659"/>
    <n v="0"/>
    <n v="0"/>
    <n v="8763"/>
    <n v="0"/>
    <n v="8763"/>
    <n v="-1104"/>
    <n v="1.1441441441441442"/>
    <n v="0"/>
    <n v="0"/>
    <n v="0"/>
    <n v="0"/>
    <n v="0"/>
    <n v="0"/>
    <n v="0"/>
    <n v="0"/>
    <n v="11715"/>
    <n v="0"/>
    <n v="0"/>
    <n v="10323"/>
    <n v="0"/>
    <n v="0"/>
    <n v="10323"/>
    <n v="1392"/>
    <n v="0.88117797695262479"/>
    <n v="0"/>
    <n v="0"/>
    <n v="0"/>
    <n v="0"/>
    <n v="0"/>
    <n v="0"/>
    <n v="0"/>
    <n v="0"/>
    <n v="14717"/>
    <n v="0"/>
    <n v="0"/>
    <n v="11415"/>
    <n v="0"/>
    <n v="11415"/>
    <n v="3302"/>
    <n v="0.77563362098253719"/>
    <n v="0"/>
    <n v="0"/>
    <n v="0"/>
    <n v="0"/>
    <n v="0"/>
    <n v="0"/>
    <n v="0"/>
    <n v="0"/>
    <n v="0"/>
    <n v="9039"/>
    <n v="0"/>
    <n v="0"/>
    <n v="12563"/>
    <n v="0"/>
    <n v="12563"/>
    <n v="-3524"/>
    <n v="1.3898661356344728"/>
    <n v="0"/>
    <n v="0"/>
    <n v="0"/>
    <n v="0"/>
    <n v="0"/>
    <n v="0"/>
    <n v="0"/>
    <n v="0"/>
    <n v="8276"/>
    <n v="0"/>
    <n v="0"/>
    <n v="10350"/>
    <n v="0"/>
    <n v="0"/>
    <n v="10350"/>
    <n v="-2074"/>
    <n v="1.25060415659739"/>
    <n v="0"/>
    <n v="0"/>
    <n v="0"/>
    <n v="0"/>
    <n v="0"/>
    <n v="0"/>
    <n v="0"/>
  </r>
  <r>
    <x v="10"/>
    <s v="A16"/>
    <n v="0"/>
    <n v="0"/>
    <n v="0"/>
    <n v="0"/>
    <n v="0"/>
    <n v="0"/>
    <n v="0"/>
    <n v="0"/>
    <n v="2758"/>
    <n v="0"/>
    <n v="0"/>
    <n v="0"/>
    <n v="0"/>
    <n v="0"/>
    <n v="0"/>
    <n v="27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4738"/>
    <n v="4738"/>
    <n v="-4480"/>
    <n v="18.3643410852713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1"/>
    <n v="10550"/>
    <n v="0"/>
    <n v="0"/>
    <n v="0"/>
    <n v="0"/>
    <n v="10550"/>
    <n v="-4209"/>
    <n v="1.6637754297429428"/>
    <n v="7045"/>
    <n v="0"/>
    <n v="0"/>
    <n v="0"/>
    <n v="0"/>
    <n v="0"/>
    <n v="7045"/>
  </r>
  <r>
    <x v="10"/>
    <s v="A17"/>
    <n v="0"/>
    <n v="0"/>
    <n v="8556"/>
    <n v="0"/>
    <n v="0"/>
    <n v="8556"/>
    <n v="-8556"/>
    <n v="0"/>
    <n v="10648"/>
    <n v="0"/>
    <n v="0"/>
    <n v="0"/>
    <n v="0"/>
    <n v="0"/>
    <n v="0"/>
    <n v="10648"/>
    <n v="0"/>
    <n v="8073"/>
    <n v="10827"/>
    <n v="0"/>
    <n v="0"/>
    <n v="0"/>
    <n v="10827"/>
    <n v="-2754"/>
    <n v="1.3411371237458194"/>
    <n v="0"/>
    <n v="0"/>
    <n v="0"/>
    <n v="0"/>
    <n v="0"/>
    <n v="0"/>
    <n v="0"/>
    <n v="0"/>
    <n v="20113"/>
    <n v="0"/>
    <n v="14678"/>
    <n v="0"/>
    <n v="0"/>
    <n v="0"/>
    <n v="14678"/>
    <n v="5435"/>
    <n v="0.72977676129866254"/>
    <n v="0"/>
    <n v="0"/>
    <n v="0"/>
    <n v="0"/>
    <n v="0"/>
    <n v="0"/>
    <n v="0"/>
    <n v="0"/>
    <n v="10175"/>
    <n v="0"/>
    <n v="14655"/>
    <n v="0"/>
    <n v="0"/>
    <n v="14655"/>
    <n v="-4480"/>
    <n v="1.4402948402948403"/>
    <n v="0"/>
    <n v="0"/>
    <n v="0"/>
    <n v="0"/>
    <n v="0"/>
    <n v="0"/>
    <n v="0"/>
    <n v="0"/>
    <n v="0"/>
    <n v="12979"/>
    <n v="15594"/>
    <n v="0"/>
    <n v="0"/>
    <n v="0"/>
    <n v="15594"/>
    <n v="-2615"/>
    <n v="1.201479312735958"/>
    <n v="0"/>
    <n v="0"/>
    <n v="0"/>
    <n v="0"/>
    <n v="0"/>
    <n v="0"/>
    <n v="0"/>
    <n v="0"/>
    <n v="6417"/>
    <n v="0"/>
    <n v="13402"/>
    <n v="0"/>
    <n v="0"/>
    <n v="0"/>
    <n v="13402"/>
    <n v="-6985"/>
    <n v="2.0885148823437745"/>
    <n v="0"/>
    <n v="0"/>
    <n v="0"/>
    <n v="0"/>
    <n v="0"/>
    <n v="0"/>
    <n v="0"/>
  </r>
  <r>
    <x v="10"/>
    <s v="A18"/>
    <n v="2858"/>
    <n v="5116"/>
    <n v="0"/>
    <n v="0"/>
    <n v="0"/>
    <n v="5116"/>
    <n v="-2258"/>
    <n v="1.7900629811056683"/>
    <n v="2584"/>
    <n v="4625"/>
    <n v="0"/>
    <n v="0"/>
    <n v="0"/>
    <n v="3768"/>
    <n v="8393"/>
    <n v="-5809"/>
    <n v="3.248065015479876"/>
    <n v="2539"/>
    <n v="0"/>
    <n v="0"/>
    <n v="0"/>
    <n v="0"/>
    <n v="0"/>
    <n v="2539"/>
    <n v="0"/>
    <n v="2799"/>
    <n v="6024"/>
    <n v="0"/>
    <n v="0"/>
    <n v="0"/>
    <n v="6024"/>
    <n v="-3225"/>
    <n v="2.152197213290461"/>
    <n v="9700"/>
    <n v="7153"/>
    <n v="0"/>
    <n v="0"/>
    <n v="0"/>
    <n v="0"/>
    <n v="7153"/>
    <n v="2547"/>
    <n v="0.73742268041237113"/>
    <n v="0"/>
    <n v="8767"/>
    <n v="0"/>
    <n v="0"/>
    <n v="0"/>
    <n v="8767"/>
    <n v="-8767"/>
    <n v="0"/>
    <n v="5240"/>
    <n v="9280"/>
    <n v="0"/>
    <n v="0"/>
    <n v="0"/>
    <n v="9280"/>
    <n v="-4040"/>
    <n v="1.7709923664122138"/>
    <n v="21758"/>
    <n v="0"/>
    <n v="9703"/>
    <n v="0"/>
    <n v="0"/>
    <n v="0"/>
    <n v="9703"/>
    <n v="12055"/>
    <n v="0.44595091460612191"/>
    <n v="3940"/>
    <n v="9909"/>
    <n v="0"/>
    <n v="0"/>
    <n v="0"/>
    <n v="9909"/>
    <n v="-5969"/>
    <n v="2.5149746192893403"/>
    <n v="3569"/>
    <n v="0"/>
    <n v="0"/>
    <n v="0"/>
    <n v="0"/>
    <n v="0"/>
    <n v="3569"/>
    <n v="0"/>
    <n v="4394"/>
    <n v="4970"/>
    <n v="0"/>
    <n v="0"/>
    <n v="0"/>
    <n v="0"/>
    <n v="4970"/>
    <n v="-576"/>
    <n v="1.1310878470641785"/>
    <n v="4603"/>
    <n v="3447"/>
    <n v="0"/>
    <n v="0"/>
    <n v="0"/>
    <n v="3447"/>
    <n v="1156"/>
  </r>
  <r>
    <x v="10"/>
    <s v="A22"/>
    <n v="6870"/>
    <n v="0"/>
    <n v="0"/>
    <n v="9007"/>
    <n v="0"/>
    <n v="9007"/>
    <n v="-2137"/>
    <n v="1.3110625909752547"/>
    <n v="0"/>
    <n v="0"/>
    <n v="0"/>
    <n v="0"/>
    <n v="0"/>
    <n v="0"/>
    <n v="0"/>
    <n v="0"/>
    <n v="0"/>
    <n v="6837"/>
    <n v="0"/>
    <n v="6115"/>
    <n v="0"/>
    <n v="0"/>
    <n v="6115"/>
    <n v="722"/>
    <n v="0.8943981278338452"/>
    <n v="0"/>
    <n v="0"/>
    <n v="0"/>
    <n v="0"/>
    <n v="0"/>
    <n v="0"/>
    <n v="0"/>
    <n v="0"/>
    <n v="7179"/>
    <n v="0"/>
    <n v="0"/>
    <n v="6443"/>
    <n v="0"/>
    <n v="0"/>
    <n v="6443"/>
    <n v="736"/>
    <n v="0.89747875748711514"/>
    <n v="0"/>
    <n v="0"/>
    <n v="0"/>
    <n v="0"/>
    <n v="0"/>
    <n v="0"/>
    <n v="0"/>
    <n v="0"/>
    <n v="8370"/>
    <n v="0"/>
    <n v="0"/>
    <n v="6470"/>
    <n v="0"/>
    <n v="6470"/>
    <n v="1900"/>
    <n v="0.77299880525686981"/>
    <n v="35987"/>
    <n v="0"/>
    <n v="0"/>
    <n v="0"/>
    <n v="0"/>
    <n v="0"/>
    <n v="0"/>
    <n v="35987"/>
    <n v="0"/>
    <n v="8143"/>
    <n v="0"/>
    <n v="0"/>
    <n v="7225"/>
    <n v="0"/>
    <n v="7225"/>
    <n v="918"/>
    <n v="0.88726513569937371"/>
    <n v="0"/>
    <n v="0"/>
    <n v="0"/>
    <n v="0"/>
    <n v="0"/>
    <n v="0"/>
    <n v="0"/>
    <n v="0"/>
    <n v="6263"/>
    <n v="0"/>
    <n v="0"/>
    <n v="5719"/>
    <n v="0"/>
    <n v="0"/>
    <n v="5719"/>
    <n v="544"/>
    <n v="0.91314066741178346"/>
    <n v="0"/>
    <n v="0"/>
    <n v="0"/>
    <n v="0"/>
    <n v="0"/>
    <n v="0"/>
    <n v="0"/>
  </r>
  <r>
    <x v="10"/>
    <s v="A23"/>
    <n v="2582"/>
    <n v="3626"/>
    <n v="0"/>
    <n v="0"/>
    <n v="0"/>
    <n v="3626"/>
    <n v="-1044"/>
    <n v="1.4043377226955849"/>
    <n v="2314"/>
    <n v="3603"/>
    <n v="0"/>
    <n v="0"/>
    <n v="0"/>
    <n v="0"/>
    <n v="3603"/>
    <n v="-1289"/>
    <n v="1.5570440795159897"/>
    <n v="2337"/>
    <n v="3195"/>
    <n v="0"/>
    <n v="0"/>
    <n v="0"/>
    <n v="3195"/>
    <n v="-858"/>
    <n v="1.3671373555840822"/>
    <n v="2613"/>
    <n v="2814"/>
    <n v="0"/>
    <n v="0"/>
    <n v="0"/>
    <n v="2814"/>
    <n v="-201"/>
    <n v="1.0769230769230769"/>
    <n v="6795"/>
    <n v="0"/>
    <n v="4170"/>
    <n v="0"/>
    <n v="0"/>
    <n v="0"/>
    <n v="4170"/>
    <n v="2625"/>
    <n v="0.61368653421633557"/>
    <n v="0"/>
    <n v="4187"/>
    <n v="0"/>
    <n v="0"/>
    <n v="0"/>
    <n v="4187"/>
    <n v="-4187"/>
    <n v="0"/>
    <n v="4222"/>
    <n v="5916"/>
    <n v="0"/>
    <n v="0"/>
    <n v="0"/>
    <n v="5916"/>
    <n v="-1694"/>
    <n v="1.4012316437707248"/>
    <n v="23297"/>
    <n v="0"/>
    <n v="5661"/>
    <n v="0"/>
    <n v="0"/>
    <n v="0"/>
    <n v="5661"/>
    <n v="17636"/>
    <n v="0.24299265999914152"/>
    <n v="4040"/>
    <n v="5893"/>
    <n v="0"/>
    <n v="0"/>
    <n v="0"/>
    <n v="5893"/>
    <n v="-1853"/>
    <n v="1.4586633663366337"/>
    <n v="3701"/>
    <n v="0"/>
    <n v="22131"/>
    <n v="0"/>
    <n v="0"/>
    <n v="22131"/>
    <n v="-18430"/>
    <n v="5.9797352067008918"/>
    <n v="4090"/>
    <n v="2756"/>
    <n v="0"/>
    <n v="0"/>
    <n v="0"/>
    <n v="0"/>
    <n v="2756"/>
    <n v="1334"/>
    <n v="0.67383863080684592"/>
    <n v="4000"/>
    <n v="2815"/>
    <n v="0"/>
    <n v="0"/>
    <n v="0"/>
    <n v="2815"/>
    <n v="1185"/>
  </r>
  <r>
    <x v="10"/>
    <s v="A24"/>
    <n v="6072"/>
    <n v="0"/>
    <n v="0"/>
    <n v="8685"/>
    <n v="0"/>
    <n v="8685"/>
    <n v="-2613"/>
    <n v="1.4303359683794465"/>
    <n v="0"/>
    <n v="0"/>
    <n v="0"/>
    <n v="0"/>
    <n v="0"/>
    <n v="0"/>
    <n v="0"/>
    <n v="0"/>
    <n v="0"/>
    <n v="5965"/>
    <n v="0"/>
    <n v="0"/>
    <n v="8997"/>
    <n v="0"/>
    <n v="8997"/>
    <n v="-3032"/>
    <n v="1.5082984073763621"/>
    <n v="0"/>
    <n v="0"/>
    <n v="0"/>
    <n v="0"/>
    <n v="0"/>
    <n v="0"/>
    <n v="0"/>
    <n v="0"/>
    <n v="0"/>
    <n v="0"/>
    <n v="0"/>
    <n v="12651"/>
    <n v="0"/>
    <n v="0"/>
    <n v="12651"/>
    <n v="-12651"/>
    <n v="0"/>
    <n v="0"/>
    <n v="0"/>
    <n v="0"/>
    <n v="0"/>
    <n v="0"/>
    <n v="0"/>
    <n v="0"/>
    <n v="0"/>
    <n v="10895"/>
    <n v="0"/>
    <n v="0"/>
    <n v="16716"/>
    <n v="0"/>
    <n v="16716"/>
    <n v="-5821"/>
    <n v="1.534281780633318"/>
    <n v="0"/>
    <n v="0"/>
    <n v="0"/>
    <n v="0"/>
    <n v="0"/>
    <n v="0"/>
    <n v="0"/>
    <n v="0"/>
    <n v="0"/>
    <n v="11827"/>
    <n v="0"/>
    <n v="0"/>
    <n v="15036"/>
    <n v="0"/>
    <n v="15036"/>
    <n v="-3209"/>
    <n v="1.2713283165637947"/>
    <n v="0"/>
    <n v="0"/>
    <n v="0"/>
    <n v="0"/>
    <n v="0"/>
    <n v="0"/>
    <n v="0"/>
    <n v="0"/>
    <n v="11814"/>
    <n v="0"/>
    <n v="0"/>
    <n v="0"/>
    <n v="12007"/>
    <n v="0"/>
    <n v="12007"/>
    <n v="-193"/>
    <n v="1.016336549856103"/>
    <n v="0"/>
    <n v="0"/>
    <n v="0"/>
    <n v="0"/>
    <n v="0"/>
    <n v="0"/>
    <n v="0"/>
  </r>
  <r>
    <x v="10"/>
    <s v="E1"/>
    <n v="0"/>
    <n v="0"/>
    <n v="0"/>
    <n v="0"/>
    <n v="0"/>
    <n v="0"/>
    <n v="0"/>
    <n v="0"/>
    <n v="13739"/>
    <n v="0"/>
    <n v="0"/>
    <n v="6317"/>
    <n v="0"/>
    <n v="0"/>
    <n v="6317"/>
    <n v="7422"/>
    <n v="0.45978601062668317"/>
    <n v="0"/>
    <n v="0"/>
    <n v="0"/>
    <n v="0"/>
    <n v="0"/>
    <n v="0"/>
    <n v="0"/>
    <n v="0"/>
    <n v="12979"/>
    <n v="0"/>
    <n v="0"/>
    <n v="15302"/>
    <n v="0"/>
    <n v="15302"/>
    <n v="-2323"/>
    <n v="1.1789814315432623"/>
    <n v="0"/>
    <n v="0"/>
    <n v="0"/>
    <n v="0"/>
    <n v="0"/>
    <n v="0"/>
    <n v="0"/>
    <n v="0"/>
    <n v="0"/>
    <n v="13409"/>
    <n v="0"/>
    <n v="0"/>
    <n v="24980"/>
    <n v="0"/>
    <n v="24980"/>
    <n v="-11571"/>
    <n v="1.8629278842568424"/>
    <n v="0"/>
    <n v="0"/>
    <n v="0"/>
    <n v="0"/>
    <n v="0"/>
    <n v="0"/>
    <n v="0"/>
    <n v="0"/>
    <n v="9158"/>
    <n v="0"/>
    <n v="0"/>
    <n v="25382"/>
    <n v="0"/>
    <n v="0"/>
    <n v="25382"/>
    <n v="-16224"/>
    <n v="2.771565844070758"/>
    <n v="0"/>
    <n v="0"/>
    <n v="0"/>
    <n v="0"/>
    <n v="0"/>
    <n v="0"/>
    <n v="0"/>
    <n v="0"/>
    <n v="9212"/>
    <n v="0"/>
    <n v="0"/>
    <n v="19507"/>
    <n v="0"/>
    <n v="19507"/>
    <n v="-10295"/>
    <n v="2.117564046895354"/>
    <n v="0"/>
    <n v="0"/>
    <n v="4817"/>
    <n v="0"/>
    <n v="0"/>
    <n v="0"/>
    <n v="4817"/>
    <n v="-4817"/>
    <n v="0"/>
    <n v="15866"/>
    <n v="0"/>
    <n v="0"/>
    <n v="13187"/>
    <n v="0"/>
    <n v="13187"/>
    <n v="2679"/>
  </r>
  <r>
    <x v="10"/>
    <s v="E2"/>
    <n v="0"/>
    <n v="0"/>
    <n v="0"/>
    <n v="0"/>
    <n v="4831.74"/>
    <n v="4831.74"/>
    <n v="-4831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0"/>
    <n v="0"/>
    <n v="7309.67"/>
    <n v="0"/>
    <n v="12029.67"/>
    <n v="-12029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"/>
    <n v="0"/>
    <n v="0"/>
    <n v="0"/>
    <n v="0"/>
    <n v="0"/>
    <n v="6600"/>
    <n v="0"/>
    <n v="5500"/>
    <n v="0"/>
    <n v="0"/>
    <n v="0"/>
    <n v="0"/>
    <n v="0"/>
    <n v="5500"/>
    <n v="0"/>
    <n v="5900"/>
    <n v="0"/>
    <n v="0"/>
    <n v="0"/>
    <n v="0"/>
    <n v="0"/>
    <n v="0"/>
    <n v="5900"/>
    <n v="0"/>
    <n v="12000"/>
    <n v="0"/>
    <n v="0"/>
    <n v="0"/>
    <n v="0"/>
    <n v="0"/>
    <n v="12000"/>
  </r>
  <r>
    <x v="10"/>
    <s v="E3"/>
    <n v="5266"/>
    <n v="0"/>
    <n v="0"/>
    <n v="5454"/>
    <n v="0"/>
    <n v="5454"/>
    <n v="-188"/>
    <n v="1.0357007216103304"/>
    <n v="0"/>
    <n v="0"/>
    <n v="0"/>
    <n v="0"/>
    <n v="0"/>
    <n v="0"/>
    <n v="0"/>
    <n v="0"/>
    <n v="0"/>
    <n v="5882"/>
    <n v="0"/>
    <n v="6350"/>
    <n v="0"/>
    <n v="0"/>
    <n v="6350"/>
    <n v="-468"/>
    <n v="1.0795647738864331"/>
    <n v="0"/>
    <n v="0"/>
    <n v="0"/>
    <n v="0"/>
    <n v="0"/>
    <n v="0"/>
    <n v="0"/>
    <n v="0"/>
    <n v="6465"/>
    <n v="0"/>
    <n v="0"/>
    <n v="6856"/>
    <n v="0"/>
    <n v="0"/>
    <n v="6856"/>
    <n v="-391"/>
    <n v="1.0604795050270688"/>
    <n v="0"/>
    <n v="0"/>
    <n v="0"/>
    <n v="0"/>
    <n v="0"/>
    <n v="0"/>
    <n v="0"/>
    <n v="0"/>
    <n v="7565"/>
    <n v="0"/>
    <n v="0"/>
    <n v="7558"/>
    <n v="0"/>
    <n v="7558"/>
    <n v="7"/>
    <n v="0.99907468605419691"/>
    <n v="0"/>
    <n v="0"/>
    <n v="0"/>
    <n v="0"/>
    <n v="0"/>
    <n v="0"/>
    <n v="0"/>
    <n v="0"/>
    <n v="0"/>
    <n v="6299"/>
    <n v="0"/>
    <n v="0"/>
    <n v="7131"/>
    <n v="0"/>
    <n v="7131"/>
    <n v="-832"/>
    <n v="1.1320844578504525"/>
    <n v="0"/>
    <n v="0"/>
    <n v="0"/>
    <n v="0"/>
    <n v="0"/>
    <n v="0"/>
    <n v="0"/>
    <n v="0"/>
    <n v="5921"/>
    <n v="0"/>
    <n v="0"/>
    <n v="5927"/>
    <n v="0"/>
    <n v="0"/>
    <n v="5927"/>
    <n v="-6"/>
    <n v="1.0010133423408207"/>
    <n v="0"/>
    <n v="0"/>
    <n v="0"/>
    <n v="0"/>
    <n v="0"/>
    <n v="0"/>
    <n v="0"/>
  </r>
  <r>
    <x v="10"/>
    <s v="E4"/>
    <n v="9210"/>
    <n v="0"/>
    <n v="0"/>
    <n v="7748"/>
    <n v="0"/>
    <n v="7748"/>
    <n v="1462"/>
    <n v="0.84125950054288812"/>
    <n v="0"/>
    <n v="0"/>
    <n v="0"/>
    <n v="0"/>
    <n v="0"/>
    <n v="0"/>
    <n v="0"/>
    <n v="0"/>
    <n v="0"/>
    <n v="9510"/>
    <n v="0"/>
    <n v="8432"/>
    <n v="0"/>
    <n v="0"/>
    <n v="8432"/>
    <n v="1078"/>
    <n v="0.88664563617245007"/>
    <n v="0"/>
    <n v="0"/>
    <n v="0"/>
    <n v="0"/>
    <n v="0"/>
    <n v="0"/>
    <n v="0"/>
    <n v="0"/>
    <n v="8401"/>
    <n v="0"/>
    <n v="0"/>
    <n v="7916"/>
    <n v="0"/>
    <n v="0"/>
    <n v="7916"/>
    <n v="485"/>
    <n v="0.94226877752648497"/>
    <n v="0"/>
    <n v="0"/>
    <n v="0"/>
    <n v="0"/>
    <n v="0"/>
    <n v="0"/>
    <n v="0"/>
    <n v="0"/>
    <n v="8828"/>
    <n v="0"/>
    <n v="0"/>
    <n v="8215"/>
    <n v="0"/>
    <n v="8215"/>
    <n v="613"/>
    <n v="0.9305618486633439"/>
    <n v="0"/>
    <n v="0"/>
    <n v="0"/>
    <n v="0"/>
    <n v="0"/>
    <n v="0"/>
    <n v="0"/>
    <n v="0"/>
    <n v="0"/>
    <n v="6032"/>
    <n v="0"/>
    <n v="0"/>
    <n v="8811"/>
    <n v="0"/>
    <n v="8811"/>
    <n v="-2779"/>
    <n v="1.460709549071618"/>
    <n v="0"/>
    <n v="0"/>
    <n v="0"/>
    <n v="0"/>
    <n v="0"/>
    <n v="0"/>
    <n v="0"/>
    <n v="0"/>
    <n v="7343"/>
    <n v="0"/>
    <n v="0"/>
    <n v="8595"/>
    <n v="0"/>
    <n v="0"/>
    <n v="8595"/>
    <n v="-1252"/>
    <n v="1.1705025194062373"/>
    <n v="0"/>
    <n v="0"/>
    <n v="0"/>
    <n v="0"/>
    <n v="0"/>
    <n v="0"/>
    <n v="0"/>
  </r>
  <r>
    <x v="10"/>
    <s v="E5"/>
    <n v="26903"/>
    <n v="0"/>
    <n v="0"/>
    <n v="22165"/>
    <n v="0"/>
    <n v="22165"/>
    <n v="4738"/>
    <n v="0.82388581199122779"/>
    <n v="0"/>
    <n v="0"/>
    <n v="0"/>
    <n v="0"/>
    <n v="0"/>
    <n v="0"/>
    <n v="0"/>
    <n v="0"/>
    <n v="0"/>
    <n v="21129"/>
    <n v="0"/>
    <n v="0"/>
    <n v="15036"/>
    <n v="0"/>
    <n v="15036"/>
    <n v="6093"/>
    <n v="0.71162856737185853"/>
    <n v="0"/>
    <n v="0"/>
    <n v="0"/>
    <n v="0"/>
    <n v="0"/>
    <n v="0"/>
    <n v="0"/>
    <n v="0"/>
    <n v="22408"/>
    <n v="0"/>
    <n v="0"/>
    <n v="18166"/>
    <n v="0"/>
    <n v="0"/>
    <n v="18166"/>
    <n v="4242"/>
    <n v="0.81069260978222069"/>
    <n v="0"/>
    <n v="0"/>
    <n v="0"/>
    <n v="0"/>
    <n v="0"/>
    <n v="0"/>
    <n v="0"/>
    <n v="0"/>
    <n v="27911"/>
    <n v="0"/>
    <n v="0"/>
    <n v="14338"/>
    <n v="0"/>
    <n v="14338"/>
    <n v="13573"/>
    <n v="0.51370427430045507"/>
    <n v="13970"/>
    <n v="0"/>
    <n v="0"/>
    <n v="0"/>
    <n v="0"/>
    <n v="0"/>
    <n v="0"/>
    <n v="13970"/>
    <n v="0"/>
    <n v="13910"/>
    <n v="0"/>
    <n v="0"/>
    <n v="23464"/>
    <n v="0"/>
    <n v="23464"/>
    <n v="-9554"/>
    <n v="1.6868439971243709"/>
    <n v="0"/>
    <n v="0"/>
    <n v="0"/>
    <n v="0"/>
    <n v="0"/>
    <n v="0"/>
    <n v="0"/>
    <n v="0"/>
    <n v="10409"/>
    <n v="0"/>
    <n v="0"/>
    <n v="0"/>
    <n v="0"/>
    <n v="15419"/>
    <n v="15419"/>
    <n v="-5010"/>
    <n v="1.4813142472860026"/>
    <n v="0"/>
    <n v="0"/>
    <n v="0"/>
    <n v="0"/>
    <n v="0"/>
    <n v="0"/>
    <n v="0"/>
  </r>
  <r>
    <x v="10"/>
    <s v="E6"/>
    <n v="0"/>
    <n v="0"/>
    <n v="0"/>
    <n v="0"/>
    <n v="0"/>
    <n v="0"/>
    <n v="0"/>
    <n v="0"/>
    <n v="7723"/>
    <n v="0"/>
    <n v="0"/>
    <n v="0"/>
    <n v="5849"/>
    <n v="0"/>
    <n v="5849"/>
    <n v="1874"/>
    <n v="0.75734818075877253"/>
    <n v="0"/>
    <n v="0"/>
    <n v="0"/>
    <n v="0"/>
    <n v="0"/>
    <n v="0"/>
    <n v="0"/>
    <n v="0"/>
    <n v="10371"/>
    <n v="0"/>
    <n v="0"/>
    <n v="0"/>
    <n v="9151"/>
    <n v="9151"/>
    <n v="1220"/>
    <n v="0.88236428502555198"/>
    <n v="2220"/>
    <n v="0"/>
    <n v="0"/>
    <n v="0"/>
    <n v="0"/>
    <n v="0"/>
    <n v="0"/>
    <n v="2220"/>
    <n v="0"/>
    <n v="11031"/>
    <n v="0"/>
    <n v="0"/>
    <n v="0"/>
    <n v="9937"/>
    <n v="9937"/>
    <n v="1094"/>
    <n v="0.90082494787417278"/>
    <n v="608"/>
    <n v="0"/>
    <n v="0"/>
    <n v="1564"/>
    <n v="0"/>
    <n v="1564"/>
    <n v="-956"/>
    <n v="2.5723684210526314"/>
    <n v="0"/>
    <n v="0"/>
    <n v="0"/>
    <n v="0"/>
    <n v="0"/>
    <n v="8242"/>
    <n v="8242"/>
    <n v="-8242"/>
    <n v="0"/>
    <n v="0"/>
    <n v="0"/>
    <n v="0"/>
    <n v="0"/>
    <n v="0"/>
    <n v="0"/>
    <n v="0"/>
    <n v="0"/>
    <n v="18223"/>
    <n v="0"/>
    <n v="0"/>
    <n v="0"/>
    <n v="8341"/>
    <n v="8341"/>
    <n v="9882"/>
    <n v="0.45771826812270205"/>
    <n v="0"/>
    <n v="0"/>
    <n v="0"/>
    <n v="0"/>
    <n v="0"/>
    <n v="0"/>
    <n v="0"/>
    <n v="0"/>
    <n v="0"/>
    <n v="8299"/>
    <n v="0"/>
    <n v="0"/>
    <n v="0"/>
    <n v="6787"/>
    <n v="6787"/>
    <n v="1512"/>
  </r>
  <r>
    <x v="10"/>
    <s v="E7"/>
    <n v="9487"/>
    <n v="0"/>
    <n v="0"/>
    <n v="8792"/>
    <n v="0"/>
    <n v="8792"/>
    <n v="695"/>
    <n v="0.92674185727838099"/>
    <n v="0"/>
    <n v="0"/>
    <n v="0"/>
    <n v="0"/>
    <n v="0"/>
    <n v="0"/>
    <n v="0"/>
    <n v="0"/>
    <n v="0"/>
    <n v="8309"/>
    <n v="0"/>
    <n v="8389"/>
    <n v="0"/>
    <n v="0"/>
    <n v="8389"/>
    <n v="-80"/>
    <n v="1.009628114093152"/>
    <n v="0"/>
    <n v="0"/>
    <n v="0"/>
    <n v="0"/>
    <n v="0"/>
    <n v="0"/>
    <n v="0"/>
    <n v="0"/>
    <n v="0"/>
    <n v="0"/>
    <n v="0"/>
    <n v="9778"/>
    <n v="0"/>
    <n v="0"/>
    <n v="9778"/>
    <n v="-9778"/>
    <n v="0"/>
    <n v="0"/>
    <n v="0"/>
    <n v="0"/>
    <n v="0"/>
    <n v="0"/>
    <n v="0"/>
    <n v="0"/>
    <n v="0"/>
    <n v="14546"/>
    <n v="0"/>
    <n v="0"/>
    <n v="14201"/>
    <n v="0"/>
    <n v="14201"/>
    <n v="345"/>
    <n v="0.97628213941977171"/>
    <n v="4716"/>
    <n v="0"/>
    <n v="0"/>
    <n v="0"/>
    <n v="0"/>
    <n v="0"/>
    <n v="0"/>
    <n v="4716"/>
    <n v="0"/>
    <n v="12000"/>
    <n v="0"/>
    <n v="0"/>
    <n v="12955"/>
    <n v="0"/>
    <n v="12955"/>
    <n v="-955"/>
    <n v="1.0795833333333333"/>
    <n v="0"/>
    <n v="0"/>
    <n v="0"/>
    <n v="0"/>
    <n v="0"/>
    <n v="0"/>
    <n v="0"/>
    <n v="0"/>
    <n v="13100"/>
    <n v="0"/>
    <n v="0"/>
    <n v="9077"/>
    <n v="0"/>
    <n v="0"/>
    <n v="9077"/>
    <n v="4023"/>
    <n v="0.69290076335877859"/>
    <n v="0"/>
    <n v="0"/>
    <n v="0"/>
    <n v="0"/>
    <n v="0"/>
    <n v="0"/>
    <n v="0"/>
  </r>
  <r>
    <x v="10"/>
    <s v="E8"/>
    <n v="14994"/>
    <n v="13878"/>
    <n v="0"/>
    <n v="0"/>
    <n v="0"/>
    <n v="13878"/>
    <n v="1116"/>
    <n v="0.92557022809123646"/>
    <n v="0"/>
    <n v="0"/>
    <n v="0"/>
    <n v="0"/>
    <n v="0"/>
    <n v="13002"/>
    <n v="13002"/>
    <n v="-13002"/>
    <n v="0"/>
    <n v="12470"/>
    <n v="0"/>
    <n v="0"/>
    <n v="0"/>
    <n v="0"/>
    <n v="0"/>
    <n v="12470"/>
    <n v="0"/>
    <n v="0"/>
    <n v="0"/>
    <n v="0"/>
    <n v="0"/>
    <n v="0"/>
    <n v="0"/>
    <n v="0"/>
    <n v="0"/>
    <n v="24015"/>
    <n v="19871"/>
    <n v="0"/>
    <n v="0"/>
    <n v="0"/>
    <n v="0"/>
    <n v="19871"/>
    <n v="4144"/>
    <n v="0.82744118259421195"/>
    <n v="0"/>
    <n v="0"/>
    <n v="0"/>
    <n v="0"/>
    <n v="0"/>
    <n v="0"/>
    <n v="0"/>
    <n v="0"/>
    <n v="21163"/>
    <n v="27469"/>
    <n v="0"/>
    <n v="0"/>
    <n v="0"/>
    <n v="27469"/>
    <n v="-6306"/>
    <n v="1.2979728771913246"/>
    <n v="0"/>
    <n v="0"/>
    <n v="0"/>
    <n v="0"/>
    <n v="0"/>
    <n v="0"/>
    <n v="0"/>
    <n v="0"/>
    <n v="0"/>
    <n v="9000"/>
    <n v="26277"/>
    <n v="0"/>
    <n v="0"/>
    <n v="0"/>
    <n v="26277"/>
    <n v="-17277"/>
    <n v="2.9196666666666666"/>
    <n v="0"/>
    <n v="0"/>
    <n v="0"/>
    <n v="0"/>
    <n v="0"/>
    <n v="0"/>
    <n v="0"/>
    <n v="0"/>
    <n v="8000"/>
    <n v="0"/>
    <n v="21181"/>
    <n v="0"/>
    <n v="0"/>
    <n v="0"/>
    <n v="21181"/>
    <n v="-13181"/>
    <n v="2.6476250000000001"/>
    <n v="0"/>
    <n v="0"/>
    <n v="0"/>
    <n v="0"/>
    <n v="0"/>
    <n v="0"/>
    <n v="0"/>
  </r>
  <r>
    <x v="10"/>
    <s v="CEDIS"/>
    <n v="5196"/>
    <n v="0"/>
    <n v="0"/>
    <n v="519"/>
    <n v="0"/>
    <n v="519"/>
    <n v="4677"/>
    <n v="9.9884526558891448E-2"/>
    <n v="3885"/>
    <n v="0"/>
    <n v="0"/>
    <n v="427"/>
    <n v="16193"/>
    <n v="0"/>
    <n v="16620"/>
    <n v="-12735"/>
    <n v="4.2779922779922783"/>
    <n v="558"/>
    <n v="0"/>
    <n v="0"/>
    <n v="508"/>
    <n v="0"/>
    <n v="508"/>
    <n v="50"/>
    <n v="0.91039426523297495"/>
    <n v="3626"/>
    <n v="0"/>
    <n v="0"/>
    <n v="374"/>
    <n v="1124"/>
    <n v="1498"/>
    <n v="2128"/>
    <n v="0.41312741312741313"/>
    <n v="0"/>
    <n v="0"/>
    <n v="0"/>
    <n v="158"/>
    <n v="0"/>
    <n v="0"/>
    <n v="158"/>
    <n v="-158"/>
    <n v="0"/>
    <n v="6203"/>
    <n v="0"/>
    <n v="0"/>
    <n v="332"/>
    <n v="9420"/>
    <n v="9752"/>
    <n v="-3549"/>
    <n v="1.5721425116878929"/>
    <n v="297"/>
    <n v="0"/>
    <n v="0"/>
    <n v="484"/>
    <n v="0"/>
    <n v="484"/>
    <n v="-187"/>
    <n v="1.6296296296296295"/>
    <n v="5687"/>
    <n v="0"/>
    <n v="0"/>
    <n v="0"/>
    <n v="518"/>
    <n v="33684"/>
    <n v="34202"/>
    <n v="-28515"/>
    <n v="6.0140671707402849"/>
    <n v="500"/>
    <n v="0"/>
    <n v="0"/>
    <n v="254"/>
    <n v="0"/>
    <n v="254"/>
    <n v="246"/>
    <n v="0.50800000000000001"/>
    <n v="3700"/>
    <n v="0"/>
    <n v="0"/>
    <n v="0"/>
    <n v="10830"/>
    <n v="10830"/>
    <n v="-7130"/>
    <n v="2.9270270270270271"/>
    <n v="500"/>
    <n v="285"/>
    <n v="0"/>
    <n v="0"/>
    <n v="702"/>
    <n v="0"/>
    <n v="987"/>
    <n v="-487"/>
    <n v="1.974"/>
    <n v="1000"/>
    <n v="0"/>
    <n v="0"/>
    <n v="636"/>
    <n v="0"/>
    <n v="636"/>
    <n v="364"/>
  </r>
  <r>
    <x v="10"/>
    <s v="CONTABILIDAD"/>
    <n v="1500"/>
    <n v="0"/>
    <n v="0"/>
    <n v="0"/>
    <n v="0"/>
    <n v="0"/>
    <n v="1500"/>
    <n v="0"/>
    <n v="0"/>
    <n v="0"/>
    <n v="0"/>
    <n v="0"/>
    <n v="0"/>
    <n v="0"/>
    <n v="0"/>
    <n v="0"/>
    <n v="0"/>
    <n v="1500"/>
    <n v="0"/>
    <n v="0"/>
    <n v="0"/>
    <n v="0"/>
    <n v="0"/>
    <n v="1500"/>
    <n v="0"/>
    <n v="0"/>
    <n v="0"/>
    <n v="0"/>
    <n v="0"/>
    <n v="0"/>
    <n v="0"/>
    <n v="0"/>
    <n v="0"/>
    <n v="1500"/>
    <n v="0"/>
    <n v="0"/>
    <n v="0"/>
    <n v="0"/>
    <n v="0"/>
    <n v="0"/>
    <n v="1500"/>
    <n v="0"/>
    <n v="0"/>
    <n v="0"/>
    <n v="0"/>
    <n v="0"/>
    <n v="0"/>
    <n v="0"/>
    <n v="0"/>
    <n v="0"/>
    <n v="1500"/>
    <n v="0"/>
    <n v="0"/>
    <n v="0"/>
    <n v="0"/>
    <n v="0"/>
    <n v="1500"/>
    <n v="0"/>
    <n v="0"/>
    <n v="0"/>
    <n v="0"/>
    <n v="0"/>
    <n v="0"/>
    <n v="0"/>
    <n v="0"/>
    <n v="0"/>
    <n v="0"/>
    <n v="1500"/>
    <n v="0"/>
    <n v="0"/>
    <n v="0"/>
    <n v="0"/>
    <n v="0"/>
    <n v="1500"/>
    <n v="0"/>
    <n v="0"/>
    <n v="0"/>
    <n v="0"/>
    <n v="0"/>
    <n v="0"/>
    <n v="0"/>
    <n v="0"/>
    <n v="0"/>
    <n v="1500"/>
    <n v="0"/>
    <n v="0"/>
    <n v="0"/>
    <n v="0"/>
    <n v="0"/>
    <n v="0"/>
    <n v="1500"/>
    <n v="0"/>
    <n v="0"/>
    <n v="0"/>
    <n v="0"/>
    <n v="0"/>
    <n v="0"/>
    <n v="0"/>
    <n v="0"/>
  </r>
  <r>
    <x v="10"/>
    <s v="INCREMENTO 2025"/>
    <n v="15722"/>
    <n v="0"/>
    <n v="0"/>
    <n v="0"/>
    <n v="0"/>
    <n v="0"/>
    <n v="15722"/>
    <n v="0"/>
    <n v="11304"/>
    <n v="0"/>
    <n v="0"/>
    <n v="0"/>
    <n v="0"/>
    <n v="0"/>
    <n v="0"/>
    <n v="11304"/>
    <n v="0"/>
    <n v="14165"/>
    <n v="0"/>
    <n v="0"/>
    <n v="0"/>
    <n v="0"/>
    <n v="0"/>
    <n v="14165"/>
    <n v="0"/>
    <n v="11102"/>
    <n v="0"/>
    <n v="0"/>
    <n v="0"/>
    <n v="0"/>
    <n v="0"/>
    <n v="11102"/>
    <n v="0"/>
    <n v="25702"/>
    <n v="0"/>
    <n v="0"/>
    <n v="0"/>
    <n v="0"/>
    <n v="0"/>
    <n v="0"/>
    <n v="25702"/>
    <n v="0"/>
    <n v="8317"/>
    <n v="0"/>
    <n v="0"/>
    <n v="0"/>
    <n v="0"/>
    <n v="0"/>
    <n v="8317"/>
    <n v="0"/>
    <n v="21504"/>
    <n v="0"/>
    <n v="0"/>
    <n v="0"/>
    <n v="0"/>
    <n v="0"/>
    <n v="21504"/>
    <n v="0"/>
    <n v="21090"/>
    <n v="0"/>
    <n v="0"/>
    <n v="0"/>
    <n v="0"/>
    <n v="0"/>
    <n v="0"/>
    <n v="21090"/>
    <n v="0"/>
    <n v="17995"/>
    <n v="0"/>
    <n v="0"/>
    <n v="0"/>
    <n v="0"/>
    <n v="0"/>
    <n v="17995"/>
    <n v="0"/>
    <n v="11695"/>
    <n v="0"/>
    <n v="0"/>
    <n v="0"/>
    <n v="0"/>
    <n v="0"/>
    <n v="11695"/>
    <n v="0"/>
    <n v="16383"/>
    <n v="0"/>
    <n v="0"/>
    <n v="0"/>
    <n v="0"/>
    <n v="0"/>
    <n v="0"/>
    <n v="16383"/>
    <n v="0"/>
    <n v="0"/>
    <n v="0"/>
    <n v="0"/>
    <n v="0"/>
    <n v="0"/>
    <n v="0"/>
    <n v="0"/>
  </r>
  <r>
    <x v="11"/>
    <s v="A1"/>
    <n v="1022"/>
    <n v="931"/>
    <n v="0"/>
    <n v="0"/>
    <n v="0"/>
    <n v="931"/>
    <n v="91"/>
    <n v="0.91095890410958902"/>
    <n v="0"/>
    <n v="0"/>
    <n v="0"/>
    <n v="0"/>
    <n v="0"/>
    <n v="0"/>
    <n v="0"/>
    <n v="0"/>
    <n v="0"/>
    <n v="0"/>
    <n v="5175"/>
    <n v="0"/>
    <n v="0"/>
    <n v="0"/>
    <n v="5175"/>
    <n v="-5175"/>
    <n v="0"/>
    <n v="2372"/>
    <n v="0"/>
    <n v="5399"/>
    <n v="0"/>
    <n v="3155"/>
    <n v="8554"/>
    <n v="-6182"/>
    <n v="3.6062394603709951"/>
    <n v="989"/>
    <n v="0"/>
    <n v="0"/>
    <n v="0"/>
    <n v="0"/>
    <n v="1229"/>
    <n v="1229"/>
    <n v="-240"/>
    <n v="1.2426693629929222"/>
    <n v="339"/>
    <n v="0"/>
    <n v="0"/>
    <n v="1189"/>
    <n v="0"/>
    <n v="1189"/>
    <n v="-850"/>
    <n v="3.5073746312684366"/>
    <n v="2923"/>
    <n v="0"/>
    <n v="0"/>
    <n v="0"/>
    <n v="0"/>
    <n v="0"/>
    <n v="2923"/>
    <n v="0"/>
    <n v="0"/>
    <n v="1108"/>
    <n v="0"/>
    <n v="0"/>
    <n v="0"/>
    <n v="1003"/>
    <n v="2111"/>
    <n v="-2111"/>
    <n v="0"/>
    <n v="750"/>
    <n v="0"/>
    <n v="0"/>
    <n v="0"/>
    <n v="0"/>
    <n v="0"/>
    <n v="750"/>
    <n v="0"/>
    <n v="750"/>
    <n v="865"/>
    <n v="0"/>
    <n v="0"/>
    <n v="0"/>
    <n v="865"/>
    <n v="-115"/>
    <n v="1.1533333333333333"/>
    <n v="750"/>
    <n v="2231"/>
    <n v="0"/>
    <n v="0"/>
    <n v="0"/>
    <n v="0"/>
    <n v="2231"/>
    <n v="-1481"/>
    <n v="2.9746666666666668"/>
    <n v="1200"/>
    <n v="1913"/>
    <n v="0"/>
    <n v="0"/>
    <n v="0"/>
    <n v="1913"/>
    <n v="-713"/>
  </r>
  <r>
    <x v="11"/>
    <s v="A2"/>
    <n v="0"/>
    <n v="384"/>
    <n v="0"/>
    <n v="0"/>
    <n v="0"/>
    <n v="384"/>
    <n v="-384"/>
    <n v="0"/>
    <n v="336"/>
    <n v="0"/>
    <n v="0"/>
    <n v="0"/>
    <n v="0"/>
    <n v="0"/>
    <n v="0"/>
    <n v="336"/>
    <n v="0"/>
    <n v="342"/>
    <n v="3548"/>
    <n v="0"/>
    <n v="0"/>
    <n v="0"/>
    <n v="3548"/>
    <n v="-3206"/>
    <n v="10.374269005847953"/>
    <n v="360"/>
    <n v="0"/>
    <n v="403"/>
    <n v="0"/>
    <n v="0"/>
    <n v="403"/>
    <n v="-43"/>
    <n v="1.1194444444444445"/>
    <n v="684"/>
    <n v="818"/>
    <n v="0"/>
    <n v="0"/>
    <n v="0"/>
    <n v="0"/>
    <n v="818"/>
    <n v="-134"/>
    <n v="1.195906432748538"/>
    <n v="0"/>
    <n v="829"/>
    <n v="0"/>
    <n v="0"/>
    <n v="0"/>
    <n v="829"/>
    <n v="-829"/>
    <n v="0"/>
    <n v="0"/>
    <n v="0"/>
    <n v="0"/>
    <n v="0"/>
    <n v="0"/>
    <n v="0"/>
    <n v="0"/>
    <n v="0"/>
    <n v="0"/>
    <n v="1859"/>
    <n v="0"/>
    <n v="0"/>
    <n v="0"/>
    <n v="866"/>
    <n v="2725"/>
    <n v="-2725"/>
    <n v="0"/>
    <n v="350"/>
    <n v="0"/>
    <n v="0"/>
    <n v="0"/>
    <n v="0"/>
    <n v="0"/>
    <n v="350"/>
    <n v="0"/>
    <n v="350"/>
    <n v="878"/>
    <n v="0"/>
    <n v="0"/>
    <n v="0"/>
    <n v="878"/>
    <n v="-528"/>
    <n v="2.5085714285714285"/>
    <n v="350"/>
    <n v="891"/>
    <n v="0"/>
    <n v="0"/>
    <n v="0"/>
    <n v="0"/>
    <n v="891"/>
    <n v="-541"/>
    <n v="2.5457142857142858"/>
    <n v="900"/>
    <n v="904"/>
    <n v="0"/>
    <n v="0"/>
    <n v="0"/>
    <n v="904"/>
    <n v="-4"/>
  </r>
  <r>
    <x v="11"/>
    <s v="A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"/>
    <n v="0"/>
    <n v="0"/>
    <n v="402"/>
    <n v="-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n v="400"/>
    <n v="0"/>
    <n v="400"/>
    <n v="0"/>
    <n v="0"/>
    <n v="0"/>
    <n v="0"/>
    <n v="0"/>
    <n v="400"/>
    <n v="0"/>
    <n v="400"/>
    <n v="0"/>
    <n v="0"/>
    <n v="0"/>
    <n v="0"/>
    <n v="0"/>
    <n v="0"/>
    <n v="400"/>
    <n v="0"/>
    <n v="600"/>
    <n v="0"/>
    <n v="0"/>
    <n v="0"/>
    <n v="0"/>
    <n v="0"/>
    <n v="600"/>
  </r>
  <r>
    <x v="11"/>
    <s v="A4"/>
    <n v="482"/>
    <n v="0"/>
    <n v="522"/>
    <n v="0"/>
    <n v="0"/>
    <n v="522"/>
    <n v="-40"/>
    <n v="1.0829875518672198"/>
    <n v="461"/>
    <n v="0"/>
    <n v="529"/>
    <n v="0"/>
    <n v="0"/>
    <n v="0"/>
    <n v="529"/>
    <n v="-68"/>
    <n v="1.1475054229934925"/>
    <n v="0"/>
    <n v="0"/>
    <n v="0"/>
    <n v="0"/>
    <n v="0"/>
    <n v="0"/>
    <n v="0"/>
    <n v="0"/>
    <n v="461"/>
    <n v="0"/>
    <n v="547"/>
    <n v="0"/>
    <n v="0"/>
    <n v="547"/>
    <n v="-86"/>
    <n v="1.1865509761388287"/>
    <n v="504"/>
    <n v="0"/>
    <n v="560"/>
    <n v="0"/>
    <n v="0"/>
    <n v="0"/>
    <n v="560"/>
    <n v="-56"/>
    <n v="1.1111111111111112"/>
    <n v="464"/>
    <n v="787"/>
    <n v="0"/>
    <n v="0"/>
    <n v="0"/>
    <n v="787"/>
    <n v="-323"/>
    <n v="1.6961206896551724"/>
    <n v="481"/>
    <n v="0"/>
    <n v="576"/>
    <n v="0"/>
    <n v="0"/>
    <n v="576"/>
    <n v="-95"/>
    <n v="1.1975051975051976"/>
    <n v="489"/>
    <n v="0"/>
    <n v="0"/>
    <n v="0"/>
    <n v="0"/>
    <n v="0"/>
    <n v="0"/>
    <n v="489"/>
    <n v="0"/>
    <n v="500"/>
    <n v="0"/>
    <n v="593"/>
    <n v="0"/>
    <n v="0"/>
    <n v="593"/>
    <n v="-93"/>
    <n v="1.1859999999999999"/>
    <n v="500"/>
    <n v="0"/>
    <n v="597"/>
    <n v="0"/>
    <n v="0"/>
    <n v="597"/>
    <n v="-97"/>
    <n v="1.194"/>
    <n v="500"/>
    <n v="0"/>
    <n v="604"/>
    <n v="0"/>
    <n v="0"/>
    <n v="0"/>
    <n v="604"/>
    <n v="-104"/>
    <n v="1.208"/>
    <n v="600"/>
    <n v="0"/>
    <n v="0"/>
    <n v="613"/>
    <n v="0"/>
    <n v="613"/>
    <n v="-13"/>
  </r>
  <r>
    <x v="11"/>
    <s v="A5"/>
    <n v="546"/>
    <n v="0"/>
    <n v="0"/>
    <n v="0"/>
    <n v="0"/>
    <n v="0"/>
    <n v="546"/>
    <n v="0"/>
    <n v="651"/>
    <n v="550"/>
    <n v="0"/>
    <n v="68"/>
    <n v="0"/>
    <n v="655"/>
    <n v="1273"/>
    <n v="-622"/>
    <n v="1.9554531490015361"/>
    <n v="543"/>
    <n v="0"/>
    <n v="0"/>
    <n v="0"/>
    <n v="0"/>
    <n v="0"/>
    <n v="543"/>
    <n v="0"/>
    <n v="543"/>
    <n v="0"/>
    <n v="600"/>
    <n v="0"/>
    <n v="600"/>
    <n v="1200"/>
    <n v="-657"/>
    <n v="2.2099447513812156"/>
    <n v="543"/>
    <n v="0"/>
    <n v="0"/>
    <n v="0"/>
    <n v="0"/>
    <n v="570"/>
    <n v="570"/>
    <n v="-27"/>
    <n v="1.0497237569060773"/>
    <n v="544"/>
    <n v="0"/>
    <n v="0"/>
    <n v="0"/>
    <n v="0"/>
    <n v="0"/>
    <n v="544"/>
    <n v="0"/>
    <n v="531"/>
    <n v="0"/>
    <n v="570"/>
    <n v="0"/>
    <n v="0"/>
    <n v="570"/>
    <n v="-39"/>
    <n v="1.0734463276836159"/>
    <n v="543"/>
    <n v="0"/>
    <n v="0"/>
    <n v="0"/>
    <n v="0"/>
    <n v="0"/>
    <n v="0"/>
    <n v="543"/>
    <n v="0"/>
    <n v="700"/>
    <n v="0"/>
    <n v="600"/>
    <n v="0"/>
    <n v="0"/>
    <n v="600"/>
    <n v="100"/>
    <n v="0.8571428571428571"/>
    <n v="700"/>
    <n v="0"/>
    <n v="0"/>
    <n v="0"/>
    <n v="1400"/>
    <n v="1400"/>
    <n v="-700"/>
    <n v="2"/>
    <n v="700"/>
    <n v="0"/>
    <n v="0"/>
    <n v="0"/>
    <n v="0"/>
    <n v="0"/>
    <n v="0"/>
    <n v="700"/>
    <n v="0"/>
    <n v="600"/>
    <n v="0"/>
    <n v="0"/>
    <n v="0"/>
    <n v="0"/>
    <n v="0"/>
    <n v="600"/>
  </r>
  <r>
    <x v="11"/>
    <s v="A6"/>
    <n v="421"/>
    <n v="0"/>
    <n v="0"/>
    <n v="467"/>
    <n v="0"/>
    <n v="467"/>
    <n v="-46"/>
    <n v="1.1092636579572446"/>
    <n v="420"/>
    <n v="0"/>
    <n v="0"/>
    <n v="0"/>
    <n v="0"/>
    <n v="963"/>
    <n v="963"/>
    <n v="-543"/>
    <n v="2.2928571428571427"/>
    <n v="841"/>
    <n v="0"/>
    <n v="0"/>
    <n v="0"/>
    <n v="0"/>
    <n v="0"/>
    <n v="841"/>
    <n v="0"/>
    <n v="0"/>
    <n v="0"/>
    <n v="493"/>
    <n v="0"/>
    <n v="0"/>
    <n v="493"/>
    <n v="-493"/>
    <n v="0"/>
    <n v="428"/>
    <n v="0"/>
    <n v="502"/>
    <n v="0"/>
    <n v="0"/>
    <n v="0"/>
    <n v="502"/>
    <n v="-74"/>
    <n v="1.1728971962616823"/>
    <n v="425"/>
    <n v="0"/>
    <n v="511"/>
    <n v="0"/>
    <n v="0"/>
    <n v="511"/>
    <n v="-86"/>
    <n v="1.2023529411764706"/>
    <n v="433"/>
    <n v="0"/>
    <n v="781"/>
    <n v="0"/>
    <n v="0"/>
    <n v="781"/>
    <n v="-348"/>
    <n v="1.8036951501154734"/>
    <n v="439"/>
    <n v="0"/>
    <n v="0"/>
    <n v="0"/>
    <n v="792"/>
    <n v="0"/>
    <n v="792"/>
    <n v="-353"/>
    <n v="1.8041002277904328"/>
    <n v="400"/>
    <n v="0"/>
    <n v="0"/>
    <n v="532"/>
    <n v="0"/>
    <n v="532"/>
    <n v="-132"/>
    <n v="1.33"/>
    <n v="400"/>
    <n v="0"/>
    <n v="0"/>
    <n v="0"/>
    <n v="542"/>
    <n v="542"/>
    <n v="-142"/>
    <n v="1.355"/>
    <n v="400"/>
    <n v="0"/>
    <n v="0"/>
    <n v="0"/>
    <n v="544"/>
    <n v="0"/>
    <n v="544"/>
    <n v="-144"/>
    <n v="1.36"/>
    <n v="700"/>
    <n v="0"/>
    <n v="0"/>
    <n v="0"/>
    <n v="0"/>
    <n v="0"/>
    <n v="700"/>
  </r>
  <r>
    <x v="11"/>
    <s v="A8"/>
    <n v="0"/>
    <n v="0"/>
    <n v="0"/>
    <n v="0"/>
    <n v="0"/>
    <n v="0"/>
    <n v="0"/>
    <n v="0"/>
    <n v="1144"/>
    <n v="0"/>
    <n v="0"/>
    <n v="0"/>
    <n v="0"/>
    <n v="0"/>
    <n v="0"/>
    <n v="1144"/>
    <n v="0"/>
    <n v="150"/>
    <n v="0"/>
    <n v="0"/>
    <n v="0"/>
    <n v="0"/>
    <n v="0"/>
    <n v="150"/>
    <n v="0"/>
    <n v="212"/>
    <n v="0"/>
    <n v="0"/>
    <n v="0"/>
    <n v="277.63"/>
    <n v="277.63"/>
    <n v="-65.63"/>
    <n v="1.3095754716981132"/>
    <n v="0"/>
    <n v="0"/>
    <n v="0"/>
    <n v="356.07"/>
    <n v="0"/>
    <n v="0"/>
    <n v="356.07"/>
    <n v="-356.07"/>
    <n v="0"/>
    <n v="206"/>
    <n v="0"/>
    <n v="0"/>
    <n v="0"/>
    <n v="369.2"/>
    <n v="369.2"/>
    <n v="-163.19999999999999"/>
    <n v="1.7922330097087378"/>
    <n v="0"/>
    <n v="0"/>
    <n v="0"/>
    <n v="0"/>
    <n v="185.58"/>
    <n v="185.58"/>
    <n v="-185.58"/>
    <n v="0"/>
    <n v="0"/>
    <n v="0"/>
    <n v="0"/>
    <n v="0"/>
    <n v="0"/>
    <n v="182.56"/>
    <n v="182.56"/>
    <n v="-18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"/>
    <n v="0"/>
    <n v="375.61"/>
    <n v="0"/>
    <n v="0"/>
    <n v="375.61"/>
    <n v="-25.610000000000014"/>
  </r>
  <r>
    <x v="11"/>
    <s v="A9"/>
    <n v="339"/>
    <n v="377"/>
    <n v="0"/>
    <n v="0"/>
    <n v="0"/>
    <n v="377"/>
    <n v="-38"/>
    <n v="1.112094395280236"/>
    <n v="0"/>
    <n v="0"/>
    <n v="0"/>
    <n v="0"/>
    <n v="0"/>
    <n v="0"/>
    <n v="0"/>
    <n v="0"/>
    <n v="0"/>
    <n v="0"/>
    <n v="774"/>
    <n v="0"/>
    <n v="0"/>
    <n v="0"/>
    <n v="774"/>
    <n v="-774"/>
    <n v="0"/>
    <n v="338"/>
    <n v="0"/>
    <n v="392"/>
    <n v="0"/>
    <n v="0"/>
    <n v="392"/>
    <n v="-54"/>
    <n v="1.1597633136094674"/>
    <n v="2095"/>
    <n v="547"/>
    <n v="0"/>
    <n v="0"/>
    <n v="0"/>
    <n v="1207"/>
    <n v="1754"/>
    <n v="341"/>
    <n v="0.83723150357995224"/>
    <n v="686"/>
    <n v="0"/>
    <n v="0"/>
    <n v="2607"/>
    <n v="0"/>
    <n v="2607"/>
    <n v="-1921"/>
    <n v="3.8002915451895043"/>
    <n v="516"/>
    <n v="0"/>
    <n v="0"/>
    <n v="0"/>
    <n v="0"/>
    <n v="0"/>
    <n v="516"/>
    <n v="0"/>
    <n v="0"/>
    <n v="1772"/>
    <n v="0"/>
    <n v="0"/>
    <n v="0"/>
    <n v="1455"/>
    <n v="3227"/>
    <n v="-3227"/>
    <n v="0"/>
    <n v="350"/>
    <n v="0"/>
    <n v="0"/>
    <n v="0"/>
    <n v="0"/>
    <n v="0"/>
    <n v="350"/>
    <n v="0"/>
    <n v="350"/>
    <n v="999"/>
    <n v="0"/>
    <n v="0"/>
    <n v="0"/>
    <n v="999"/>
    <n v="-649"/>
    <n v="2.8542857142857141"/>
    <n v="350"/>
    <n v="689"/>
    <n v="0"/>
    <n v="0"/>
    <n v="0"/>
    <n v="0"/>
    <n v="689"/>
    <n v="-339"/>
    <n v="1.9685714285714286"/>
    <n v="700"/>
    <n v="445"/>
    <n v="0"/>
    <n v="0"/>
    <n v="0"/>
    <n v="445"/>
    <n v="255"/>
  </r>
  <r>
    <x v="11"/>
    <s v="A10"/>
    <n v="1377"/>
    <n v="4959"/>
    <n v="0"/>
    <n v="0"/>
    <n v="0"/>
    <n v="4959"/>
    <n v="-3582"/>
    <n v="3.6013071895424837"/>
    <n v="0"/>
    <n v="0"/>
    <n v="0"/>
    <n v="0"/>
    <n v="0"/>
    <n v="0"/>
    <n v="0"/>
    <n v="0"/>
    <n v="0"/>
    <n v="806"/>
    <n v="9420"/>
    <n v="0"/>
    <n v="0"/>
    <n v="0"/>
    <n v="9420"/>
    <n v="-8614"/>
    <n v="11.687344913151366"/>
    <n v="823"/>
    <n v="0"/>
    <n v="5000"/>
    <n v="0"/>
    <n v="2000"/>
    <n v="7000"/>
    <n v="-6177"/>
    <n v="8.5054678007290399"/>
    <n v="2194"/>
    <n v="0"/>
    <n v="0"/>
    <n v="0"/>
    <n v="0"/>
    <n v="7785"/>
    <n v="7785"/>
    <n v="-5591"/>
    <n v="3.548313582497721"/>
    <n v="1522"/>
    <n v="0"/>
    <n v="0"/>
    <n v="0"/>
    <n v="5088"/>
    <n v="5088"/>
    <n v="-3566"/>
    <n v="3.3429697766097242"/>
    <n v="2596"/>
    <n v="0"/>
    <n v="0"/>
    <n v="0"/>
    <n v="0"/>
    <n v="0"/>
    <n v="2596"/>
    <n v="0"/>
    <n v="0"/>
    <n v="6110"/>
    <n v="0"/>
    <n v="0"/>
    <n v="0"/>
    <n v="5580"/>
    <n v="11690"/>
    <n v="-11690"/>
    <n v="0"/>
    <n v="800"/>
    <n v="0"/>
    <n v="0"/>
    <n v="0"/>
    <n v="0"/>
    <n v="0"/>
    <n v="800"/>
    <n v="0"/>
    <n v="800"/>
    <n v="8351"/>
    <n v="0"/>
    <n v="0"/>
    <n v="0"/>
    <n v="8351"/>
    <n v="-7551"/>
    <n v="10.438750000000001"/>
    <n v="800"/>
    <n v="15558"/>
    <n v="0"/>
    <n v="0"/>
    <n v="0"/>
    <n v="0"/>
    <n v="15558"/>
    <n v="-14758"/>
    <n v="19.447500000000002"/>
    <n v="6000"/>
    <n v="8513"/>
    <n v="0"/>
    <n v="0"/>
    <n v="0"/>
    <n v="8513"/>
    <n v="-2513"/>
  </r>
  <r>
    <x v="11"/>
    <s v="A11"/>
    <n v="534"/>
    <n v="0"/>
    <n v="0"/>
    <n v="531"/>
    <n v="0"/>
    <n v="531"/>
    <n v="3"/>
    <n v="0.9943820224719101"/>
    <n v="535"/>
    <n v="0"/>
    <n v="0"/>
    <n v="540"/>
    <n v="0"/>
    <n v="0"/>
    <n v="540"/>
    <n v="-5"/>
    <n v="1.0093457943925233"/>
    <n v="528"/>
    <n v="547"/>
    <n v="0"/>
    <n v="0"/>
    <n v="555"/>
    <n v="1102"/>
    <n v="-574"/>
    <n v="2.0871212121212119"/>
    <n v="589"/>
    <n v="0"/>
    <n v="0"/>
    <n v="0"/>
    <n v="0"/>
    <n v="0"/>
    <n v="589"/>
    <n v="0"/>
    <n v="588"/>
    <n v="563"/>
    <n v="0"/>
    <n v="0"/>
    <n v="0"/>
    <n v="0"/>
    <n v="563"/>
    <n v="25"/>
    <n v="0.95748299319727892"/>
    <n v="1128"/>
    <n v="0"/>
    <n v="0"/>
    <n v="0"/>
    <n v="0"/>
    <n v="0"/>
    <n v="1128"/>
    <n v="0"/>
    <n v="60"/>
    <n v="0"/>
    <n v="1222"/>
    <n v="0"/>
    <n v="0"/>
    <n v="1222"/>
    <n v="-1162"/>
    <n v="20.366666666666667"/>
    <n v="1102"/>
    <n v="588"/>
    <n v="0"/>
    <n v="0"/>
    <n v="0"/>
    <n v="0"/>
    <n v="588"/>
    <n v="514"/>
    <n v="0.53357531760435573"/>
    <n v="500"/>
    <n v="0"/>
    <n v="598"/>
    <n v="0"/>
    <n v="0"/>
    <n v="598"/>
    <n v="-98"/>
    <n v="1.196"/>
    <n v="500"/>
    <n v="0"/>
    <n v="402"/>
    <n v="0"/>
    <n v="0"/>
    <n v="402"/>
    <n v="98"/>
    <n v="0.80400000000000005"/>
    <n v="500"/>
    <n v="0"/>
    <n v="615"/>
    <n v="0"/>
    <n v="0"/>
    <n v="0"/>
    <n v="615"/>
    <n v="-115"/>
    <n v="1.23"/>
    <n v="600"/>
    <n v="413"/>
    <n v="0"/>
    <n v="0"/>
    <n v="0"/>
    <n v="413"/>
    <n v="187"/>
  </r>
  <r>
    <x v="11"/>
    <s v="A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500"/>
    <n v="0"/>
    <n v="500"/>
    <n v="0"/>
    <n v="0"/>
    <n v="0"/>
    <n v="0"/>
    <n v="0"/>
    <n v="500"/>
    <n v="0"/>
    <n v="500"/>
    <n v="0"/>
    <n v="0"/>
    <n v="0"/>
    <n v="0"/>
    <n v="0"/>
    <n v="0"/>
    <n v="500"/>
    <n v="0"/>
    <n v="600"/>
    <n v="0"/>
    <n v="0"/>
    <n v="0"/>
    <n v="0"/>
    <n v="0"/>
    <n v="600"/>
  </r>
  <r>
    <x v="11"/>
    <s v="A14"/>
    <n v="984"/>
    <n v="0"/>
    <n v="417"/>
    <n v="0"/>
    <n v="0"/>
    <n v="417"/>
    <n v="567"/>
    <n v="0.42378048780487804"/>
    <n v="751"/>
    <n v="0"/>
    <n v="0"/>
    <n v="1251"/>
    <n v="0"/>
    <n v="370"/>
    <n v="1621"/>
    <n v="-870"/>
    <n v="2.1584553928095871"/>
    <n v="0"/>
    <n v="0"/>
    <n v="0"/>
    <n v="0"/>
    <n v="0"/>
    <n v="0"/>
    <n v="0"/>
    <n v="0"/>
    <n v="854"/>
    <n v="0"/>
    <n v="399"/>
    <n v="0"/>
    <n v="0"/>
    <n v="399"/>
    <n v="455"/>
    <n v="0.46721311475409838"/>
    <n v="0"/>
    <n v="0"/>
    <n v="0"/>
    <n v="1376"/>
    <n v="0"/>
    <n v="0"/>
    <n v="1376"/>
    <n v="-1376"/>
    <n v="0"/>
    <n v="0"/>
    <n v="970"/>
    <n v="0"/>
    <n v="0"/>
    <n v="0"/>
    <n v="970"/>
    <n v="-970"/>
    <n v="0"/>
    <n v="341"/>
    <n v="0"/>
    <n v="455"/>
    <n v="0"/>
    <n v="0"/>
    <n v="455"/>
    <n v="-114"/>
    <n v="1.3343108504398826"/>
    <n v="0"/>
    <n v="0"/>
    <n v="389"/>
    <n v="0"/>
    <n v="0"/>
    <n v="0"/>
    <n v="389"/>
    <n v="-389"/>
    <n v="0"/>
    <n v="500"/>
    <n v="340"/>
    <n v="0"/>
    <n v="0"/>
    <n v="0"/>
    <n v="340"/>
    <n v="160"/>
    <n v="0.68"/>
    <n v="500"/>
    <n v="0"/>
    <n v="396"/>
    <n v="0"/>
    <n v="0"/>
    <n v="396"/>
    <n v="104"/>
    <n v="0.79200000000000004"/>
    <n v="500"/>
    <n v="0"/>
    <n v="0"/>
    <n v="535"/>
    <n v="0"/>
    <n v="0"/>
    <n v="535"/>
    <n v="-35"/>
    <n v="1.07"/>
    <n v="600"/>
    <n v="0"/>
    <n v="0"/>
    <n v="0"/>
    <n v="0"/>
    <n v="0"/>
    <n v="600"/>
  </r>
  <r>
    <x v="11"/>
    <s v="A15"/>
    <n v="370"/>
    <n v="0"/>
    <n v="0"/>
    <n v="0"/>
    <n v="0"/>
    <n v="0"/>
    <n v="370"/>
    <n v="0"/>
    <n v="375"/>
    <n v="0"/>
    <n v="0"/>
    <n v="0"/>
    <n v="0"/>
    <n v="0"/>
    <n v="0"/>
    <n v="375"/>
    <n v="0"/>
    <n v="572"/>
    <n v="0"/>
    <n v="0"/>
    <n v="0"/>
    <n v="2000"/>
    <n v="2000"/>
    <n v="-1428"/>
    <n v="3.4965034965034967"/>
    <n v="0"/>
    <n v="0"/>
    <n v="2000"/>
    <n v="0"/>
    <n v="0"/>
    <n v="2000"/>
    <n v="-2000"/>
    <n v="0"/>
    <n v="0"/>
    <n v="0"/>
    <n v="0"/>
    <n v="0"/>
    <n v="0"/>
    <n v="0"/>
    <n v="0"/>
    <n v="0"/>
    <n v="0"/>
    <n v="5096"/>
    <n v="0"/>
    <n v="0"/>
    <n v="0"/>
    <n v="0"/>
    <n v="0"/>
    <n v="5096"/>
    <n v="0"/>
    <n v="379"/>
    <n v="0"/>
    <n v="0"/>
    <n v="0"/>
    <n v="0"/>
    <n v="0"/>
    <n v="379"/>
    <n v="0"/>
    <n v="0"/>
    <n v="0"/>
    <n v="8174"/>
    <n v="0"/>
    <n v="0"/>
    <n v="0"/>
    <n v="8174"/>
    <n v="-8174"/>
    <n v="0"/>
    <n v="350"/>
    <n v="0"/>
    <n v="475"/>
    <n v="0"/>
    <n v="0"/>
    <n v="475"/>
    <n v="-125"/>
    <n v="1.3571428571428572"/>
    <n v="350"/>
    <n v="0"/>
    <n v="0"/>
    <n v="0"/>
    <n v="0"/>
    <n v="0"/>
    <n v="350"/>
    <n v="0"/>
    <n v="350"/>
    <n v="0"/>
    <n v="957"/>
    <n v="0"/>
    <n v="0"/>
    <n v="0"/>
    <n v="957"/>
    <n v="-607"/>
    <n v="2.7342857142857144"/>
    <n v="1500"/>
    <n v="0"/>
    <n v="0"/>
    <n v="0"/>
    <n v="0"/>
    <n v="0"/>
    <n v="1500"/>
  </r>
  <r>
    <x v="11"/>
    <s v="A16"/>
    <n v="0"/>
    <n v="0"/>
    <n v="0"/>
    <n v="0"/>
    <n v="1336"/>
    <n v="1336"/>
    <n v="-1336"/>
    <n v="0"/>
    <n v="652"/>
    <n v="0"/>
    <n v="0"/>
    <n v="0"/>
    <n v="373"/>
    <n v="0"/>
    <n v="373"/>
    <n v="279"/>
    <n v="0.57208588957055218"/>
    <n v="324"/>
    <n v="0"/>
    <n v="0"/>
    <n v="0"/>
    <n v="379"/>
    <n v="379"/>
    <n v="-55"/>
    <n v="1.1697530864197532"/>
    <n v="0"/>
    <n v="0"/>
    <n v="0"/>
    <n v="0"/>
    <n v="0"/>
    <n v="0"/>
    <n v="0"/>
    <n v="0"/>
    <n v="652"/>
    <n v="1958"/>
    <n v="0"/>
    <n v="0"/>
    <n v="151"/>
    <n v="0"/>
    <n v="2109"/>
    <n v="-1457"/>
    <n v="3.2346625766871164"/>
    <n v="324"/>
    <n v="0"/>
    <n v="0"/>
    <n v="0"/>
    <n v="0"/>
    <n v="0"/>
    <n v="324"/>
    <n v="0"/>
    <n v="335"/>
    <n v="0"/>
    <n v="0"/>
    <n v="0"/>
    <n v="7072"/>
    <n v="7072"/>
    <n v="-6737"/>
    <n v="21.110447761194031"/>
    <n v="0"/>
    <n v="0"/>
    <n v="0"/>
    <n v="0"/>
    <n v="903"/>
    <n v="0"/>
    <n v="903"/>
    <n v="-903"/>
    <n v="0"/>
    <n v="320"/>
    <n v="0"/>
    <n v="0"/>
    <n v="0"/>
    <n v="0"/>
    <n v="0"/>
    <n v="320"/>
    <n v="0"/>
    <n v="320"/>
    <n v="0"/>
    <n v="0"/>
    <n v="0"/>
    <n v="0"/>
    <n v="0"/>
    <n v="320"/>
    <n v="0"/>
    <n v="320"/>
    <n v="0"/>
    <n v="0"/>
    <n v="0"/>
    <n v="1601"/>
    <n v="0"/>
    <n v="1601"/>
    <n v="-1281"/>
    <n v="5.0031249999999998"/>
    <n v="1000"/>
    <n v="0"/>
    <n v="0"/>
    <n v="0"/>
    <n v="0"/>
    <n v="0"/>
    <n v="1000"/>
  </r>
  <r>
    <x v="11"/>
    <s v="A17"/>
    <n v="531"/>
    <n v="0"/>
    <n v="0"/>
    <n v="0"/>
    <n v="0"/>
    <n v="0"/>
    <n v="531"/>
    <n v="0"/>
    <n v="625"/>
    <n v="0"/>
    <n v="0"/>
    <n v="1705"/>
    <n v="0"/>
    <n v="0"/>
    <n v="1705"/>
    <n v="-1080"/>
    <n v="2.7280000000000002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3433"/>
    <n v="0"/>
    <n v="0"/>
    <n v="3433"/>
    <n v="-3383"/>
    <n v="68.66"/>
    <n v="0"/>
    <n v="0"/>
    <n v="0"/>
    <n v="0"/>
    <n v="0"/>
    <n v="0"/>
    <n v="0"/>
    <n v="0"/>
    <n v="40"/>
    <n v="0"/>
    <n v="1157"/>
    <n v="55"/>
    <n v="0"/>
    <n v="1212"/>
    <n v="-1172"/>
    <n v="30.3"/>
    <n v="1250"/>
    <n v="562"/>
    <n v="0"/>
    <n v="0"/>
    <n v="0"/>
    <n v="0"/>
    <n v="562"/>
    <n v="688"/>
    <n v="0.4496"/>
    <n v="500"/>
    <n v="0"/>
    <n v="0"/>
    <n v="0"/>
    <n v="0"/>
    <n v="0"/>
    <n v="500"/>
    <n v="0"/>
    <n v="500"/>
    <n v="0"/>
    <n v="0"/>
    <n v="1150"/>
    <n v="0"/>
    <n v="1150"/>
    <n v="-650"/>
    <n v="2.2999999999999998"/>
    <n v="500"/>
    <n v="0"/>
    <n v="0"/>
    <n v="0"/>
    <n v="0"/>
    <n v="0"/>
    <n v="0"/>
    <n v="500"/>
    <n v="0"/>
    <n v="1000"/>
    <n v="0"/>
    <n v="0"/>
    <n v="1752"/>
    <n v="0"/>
    <n v="1752"/>
    <n v="-752"/>
  </r>
  <r>
    <x v="11"/>
    <s v="A18"/>
    <n v="1258"/>
    <n v="0"/>
    <n v="0"/>
    <n v="0"/>
    <n v="1293"/>
    <n v="1293"/>
    <n v="-35"/>
    <n v="1.0278219395866455"/>
    <n v="2515"/>
    <n v="0"/>
    <n v="0"/>
    <n v="412"/>
    <n v="0"/>
    <n v="0"/>
    <n v="412"/>
    <n v="2103"/>
    <n v="0.16381709741550696"/>
    <n v="1258"/>
    <n v="0"/>
    <n v="1319"/>
    <n v="0"/>
    <n v="0"/>
    <n v="1319"/>
    <n v="-61"/>
    <n v="1.0484896661367249"/>
    <n v="0"/>
    <n v="0"/>
    <n v="1294"/>
    <n v="0"/>
    <n v="0"/>
    <n v="1294"/>
    <n v="-1294"/>
    <n v="0"/>
    <n v="0"/>
    <n v="0"/>
    <n v="0"/>
    <n v="0"/>
    <n v="0"/>
    <n v="0"/>
    <n v="0"/>
    <n v="0"/>
    <n v="0"/>
    <n v="0"/>
    <n v="0"/>
    <n v="0"/>
    <n v="0"/>
    <n v="2651"/>
    <n v="2651"/>
    <n v="-2651"/>
    <n v="0"/>
    <n v="1258"/>
    <n v="0"/>
    <n v="0"/>
    <n v="0"/>
    <n v="0"/>
    <n v="0"/>
    <n v="1258"/>
    <n v="0"/>
    <n v="1258"/>
    <n v="1331"/>
    <n v="0"/>
    <n v="0"/>
    <n v="1341"/>
    <n v="0"/>
    <n v="2672"/>
    <n v="-1414"/>
    <n v="2.124006359300477"/>
    <n v="500"/>
    <n v="0"/>
    <n v="0"/>
    <n v="0"/>
    <n v="0"/>
    <n v="0"/>
    <n v="500"/>
    <n v="0"/>
    <n v="500"/>
    <n v="0"/>
    <n v="0"/>
    <n v="0"/>
    <n v="0"/>
    <n v="0"/>
    <n v="500"/>
    <n v="0"/>
    <n v="500"/>
    <n v="0"/>
    <n v="0"/>
    <n v="0"/>
    <n v="0"/>
    <n v="0"/>
    <n v="0"/>
    <n v="500"/>
    <n v="0"/>
    <n v="1100"/>
    <n v="0"/>
    <n v="0"/>
    <n v="0"/>
    <n v="0"/>
    <n v="0"/>
    <n v="1100"/>
  </r>
  <r>
    <x v="11"/>
    <s v="A22"/>
    <n v="343"/>
    <n v="0"/>
    <n v="0"/>
    <n v="0"/>
    <n v="0"/>
    <n v="0"/>
    <n v="343"/>
    <n v="0"/>
    <n v="343"/>
    <n v="0"/>
    <n v="897"/>
    <n v="0"/>
    <n v="0"/>
    <n v="0"/>
    <n v="897"/>
    <n v="-554"/>
    <n v="2.6151603498542273"/>
    <n v="343"/>
    <n v="0"/>
    <n v="0"/>
    <n v="0"/>
    <n v="0"/>
    <n v="0"/>
    <n v="343"/>
    <n v="0"/>
    <n v="343"/>
    <n v="0"/>
    <n v="1475"/>
    <n v="0"/>
    <n v="0"/>
    <n v="1475"/>
    <n v="-1132"/>
    <n v="4.3002915451895047"/>
    <n v="0"/>
    <n v="0"/>
    <n v="667"/>
    <n v="0"/>
    <n v="0"/>
    <n v="0"/>
    <n v="667"/>
    <n v="-667"/>
    <n v="0"/>
    <n v="125"/>
    <n v="0"/>
    <n v="0"/>
    <n v="0"/>
    <n v="0"/>
    <n v="0"/>
    <n v="125"/>
    <n v="0"/>
    <n v="19690"/>
    <n v="0"/>
    <n v="0"/>
    <n v="0"/>
    <n v="2604"/>
    <n v="2604"/>
    <n v="17086"/>
    <n v="0.13224987303199592"/>
    <n v="0"/>
    <n v="0"/>
    <n v="0"/>
    <n v="0"/>
    <n v="0"/>
    <n v="0"/>
    <n v="0"/>
    <n v="0"/>
    <n v="0"/>
    <n v="450"/>
    <n v="0"/>
    <n v="825"/>
    <n v="0"/>
    <n v="0"/>
    <n v="825"/>
    <n v="-375"/>
    <n v="1.8333333333333333"/>
    <n v="450"/>
    <n v="0"/>
    <n v="0"/>
    <n v="766"/>
    <n v="1972"/>
    <n v="2738"/>
    <n v="-2288"/>
    <n v="6.0844444444444443"/>
    <n v="450"/>
    <n v="0"/>
    <n v="0"/>
    <n v="0"/>
    <n v="0"/>
    <n v="0"/>
    <n v="0"/>
    <n v="450"/>
    <n v="0"/>
    <n v="900"/>
    <n v="790"/>
    <n v="0"/>
    <n v="0"/>
    <n v="0"/>
    <n v="790"/>
    <n v="110"/>
  </r>
  <r>
    <x v="11"/>
    <s v="A23"/>
    <n v="0"/>
    <n v="0"/>
    <n v="1954"/>
    <n v="0"/>
    <n v="0"/>
    <n v="1954"/>
    <n v="-1954"/>
    <n v="0"/>
    <n v="1946"/>
    <n v="0"/>
    <n v="0"/>
    <n v="974"/>
    <n v="0"/>
    <n v="100"/>
    <n v="1074"/>
    <n v="872"/>
    <n v="0.55190133607399794"/>
    <n v="961"/>
    <n v="0"/>
    <n v="0"/>
    <n v="0"/>
    <n v="982"/>
    <n v="982"/>
    <n v="-21"/>
    <n v="1.0218522372528616"/>
    <n v="0"/>
    <n v="0"/>
    <n v="0"/>
    <n v="0"/>
    <n v="0"/>
    <n v="0"/>
    <n v="0"/>
    <n v="0"/>
    <n v="0"/>
    <n v="0"/>
    <n v="0"/>
    <n v="1001"/>
    <n v="0"/>
    <n v="2018"/>
    <n v="3019"/>
    <n v="-3019"/>
    <n v="0"/>
    <n v="350"/>
    <n v="0"/>
    <n v="0"/>
    <n v="1015"/>
    <n v="0"/>
    <n v="1015"/>
    <n v="-665"/>
    <n v="2.9"/>
    <n v="963"/>
    <n v="0"/>
    <n v="0"/>
    <n v="0"/>
    <n v="0"/>
    <n v="0"/>
    <n v="963"/>
    <n v="0"/>
    <n v="1934"/>
    <n v="101"/>
    <n v="0"/>
    <n v="0"/>
    <n v="1017"/>
    <n v="0"/>
    <n v="1118"/>
    <n v="816"/>
    <n v="0.578076525336091"/>
    <n v="400"/>
    <n v="0"/>
    <n v="0"/>
    <n v="0"/>
    <n v="0"/>
    <n v="0"/>
    <n v="400"/>
    <n v="0"/>
    <n v="400"/>
    <n v="0"/>
    <n v="1017"/>
    <n v="0"/>
    <n v="0"/>
    <n v="1017"/>
    <n v="-617"/>
    <n v="2.5425"/>
    <n v="400"/>
    <n v="0"/>
    <n v="0"/>
    <n v="0"/>
    <n v="0"/>
    <n v="0"/>
    <n v="0"/>
    <n v="400"/>
    <n v="0"/>
    <n v="1100"/>
    <n v="0"/>
    <n v="0"/>
    <n v="0"/>
    <n v="1046"/>
    <n v="1046"/>
    <n v="54"/>
  </r>
  <r>
    <x v="11"/>
    <s v="A24"/>
    <n v="0"/>
    <n v="0"/>
    <n v="0"/>
    <n v="0"/>
    <n v="0"/>
    <n v="0"/>
    <n v="0"/>
    <n v="0"/>
    <n v="0"/>
    <n v="0"/>
    <n v="0"/>
    <n v="1088"/>
    <n v="0"/>
    <n v="0"/>
    <n v="1088"/>
    <n v="-1088"/>
    <n v="0"/>
    <n v="532"/>
    <n v="0"/>
    <n v="0"/>
    <n v="0"/>
    <n v="0"/>
    <n v="0"/>
    <n v="532"/>
    <n v="0"/>
    <n v="0"/>
    <n v="547"/>
    <n v="0"/>
    <n v="0"/>
    <n v="0"/>
    <n v="547"/>
    <n v="-547"/>
    <n v="0"/>
    <n v="228"/>
    <n v="550"/>
    <n v="0"/>
    <n v="0"/>
    <n v="0"/>
    <n v="0"/>
    <n v="550"/>
    <n v="-322"/>
    <n v="2.4122807017543861"/>
    <n v="0"/>
    <n v="0"/>
    <n v="0"/>
    <n v="1119"/>
    <n v="0"/>
    <n v="1119"/>
    <n v="-1119"/>
    <n v="0"/>
    <n v="531"/>
    <n v="0"/>
    <n v="0"/>
    <n v="0"/>
    <n v="0"/>
    <n v="0"/>
    <n v="531"/>
    <n v="0"/>
    <n v="813"/>
    <n v="562"/>
    <n v="0"/>
    <n v="0"/>
    <n v="0"/>
    <n v="0"/>
    <n v="562"/>
    <n v="251"/>
    <n v="0.69126691266912665"/>
    <n v="500"/>
    <n v="600"/>
    <n v="0"/>
    <n v="0"/>
    <n v="0"/>
    <n v="600"/>
    <n v="-100"/>
    <n v="1.2"/>
    <n v="500"/>
    <n v="0"/>
    <n v="0"/>
    <n v="570"/>
    <n v="0"/>
    <n v="570"/>
    <n v="-70"/>
    <n v="1.1399999999999999"/>
    <n v="500"/>
    <n v="0"/>
    <n v="1167"/>
    <n v="0"/>
    <n v="0"/>
    <n v="0"/>
    <n v="1167"/>
    <n v="-667"/>
    <n v="2.3340000000000001"/>
    <n v="600"/>
    <n v="0"/>
    <n v="0"/>
    <n v="0"/>
    <n v="578"/>
    <n v="578"/>
    <n v="22"/>
  </r>
  <r>
    <x v="11"/>
    <s v="E1"/>
    <n v="342"/>
    <n v="917"/>
    <n v="0"/>
    <n v="0"/>
    <n v="0"/>
    <n v="917"/>
    <n v="-575"/>
    <n v="2.6812865497076022"/>
    <n v="0"/>
    <n v="0"/>
    <n v="0"/>
    <n v="0"/>
    <n v="0"/>
    <n v="0"/>
    <n v="0"/>
    <n v="0"/>
    <n v="0"/>
    <n v="0"/>
    <n v="2310"/>
    <n v="0"/>
    <n v="0"/>
    <n v="0"/>
    <n v="2310"/>
    <n v="-2310"/>
    <n v="0"/>
    <n v="681"/>
    <n v="0"/>
    <n v="4640"/>
    <n v="0"/>
    <n v="0"/>
    <n v="4640"/>
    <n v="-3959"/>
    <n v="6.8135095447870775"/>
    <n v="339"/>
    <n v="0"/>
    <n v="0"/>
    <n v="0"/>
    <n v="0"/>
    <n v="406"/>
    <n v="406"/>
    <n v="-67"/>
    <n v="1.1976401179941003"/>
    <n v="0"/>
    <n v="0"/>
    <n v="0"/>
    <n v="412"/>
    <n v="0"/>
    <n v="412"/>
    <n v="-412"/>
    <n v="0"/>
    <n v="350"/>
    <n v="0"/>
    <n v="0"/>
    <n v="0"/>
    <n v="0"/>
    <n v="0"/>
    <n v="350"/>
    <n v="0"/>
    <n v="0"/>
    <n v="0"/>
    <n v="0"/>
    <n v="0"/>
    <n v="0"/>
    <n v="849"/>
    <n v="849"/>
    <n v="-849"/>
    <n v="0"/>
    <n v="329"/>
    <n v="0"/>
    <n v="0"/>
    <n v="0"/>
    <n v="0"/>
    <n v="0"/>
    <n v="329"/>
    <n v="0"/>
    <n v="329"/>
    <n v="430"/>
    <n v="0"/>
    <n v="0"/>
    <n v="0"/>
    <n v="430"/>
    <n v="-101"/>
    <n v="1.3069908814589666"/>
    <n v="329"/>
    <n v="439"/>
    <n v="0"/>
    <n v="0"/>
    <n v="0"/>
    <n v="0"/>
    <n v="439"/>
    <n v="-110"/>
    <n v="1.3343465045592706"/>
    <n v="600"/>
    <n v="443"/>
    <n v="0"/>
    <n v="0"/>
    <n v="0"/>
    <n v="443"/>
    <n v="157"/>
  </r>
  <r>
    <x v="11"/>
    <s v="E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3"/>
    <n v="0"/>
    <n v="2091"/>
    <n v="0"/>
    <n v="0"/>
    <n v="0"/>
    <n v="2091"/>
    <n v="-2091"/>
    <n v="0"/>
    <n v="509"/>
    <n v="0"/>
    <n v="360"/>
    <n v="0"/>
    <n v="0"/>
    <n v="0"/>
    <n v="360"/>
    <n v="149"/>
    <n v="0.70726915520628686"/>
    <n v="340"/>
    <n v="355"/>
    <n v="0"/>
    <n v="0"/>
    <n v="0"/>
    <n v="355"/>
    <n v="-15"/>
    <n v="1.0441176470588236"/>
    <n v="340"/>
    <n v="361"/>
    <n v="0"/>
    <n v="0"/>
    <n v="0"/>
    <n v="361"/>
    <n v="-21"/>
    <n v="1.0617647058823529"/>
    <n v="341"/>
    <n v="367"/>
    <n v="0"/>
    <n v="0"/>
    <n v="0"/>
    <n v="0"/>
    <n v="367"/>
    <n v="-26"/>
    <n v="1.0762463343108504"/>
    <n v="341"/>
    <n v="0"/>
    <n v="0"/>
    <n v="0"/>
    <n v="0"/>
    <n v="0"/>
    <n v="341"/>
    <n v="0"/>
    <n v="0"/>
    <n v="378"/>
    <n v="0"/>
    <n v="0"/>
    <n v="0"/>
    <n v="378"/>
    <n v="-378"/>
    <n v="0"/>
    <n v="340"/>
    <n v="0"/>
    <n v="384"/>
    <n v="0"/>
    <n v="0"/>
    <n v="0"/>
    <n v="384"/>
    <n v="-44"/>
    <n v="1.1294117647058823"/>
    <n v="321"/>
    <n v="389"/>
    <n v="0"/>
    <n v="0"/>
    <n v="0"/>
    <n v="389"/>
    <n v="-68"/>
    <n v="1.2118380062305296"/>
    <n v="321"/>
    <n v="0"/>
    <n v="385"/>
    <n v="0"/>
    <n v="0"/>
    <n v="385"/>
    <n v="-64"/>
    <n v="1.1993769470404985"/>
    <n v="321"/>
    <n v="401"/>
    <n v="0"/>
    <n v="0"/>
    <n v="0"/>
    <n v="0"/>
    <n v="401"/>
    <n v="-80"/>
    <n v="1.2492211838006231"/>
    <n v="400"/>
    <n v="0"/>
    <n v="0"/>
    <n v="0"/>
    <n v="0"/>
    <n v="0"/>
    <n v="400"/>
  </r>
  <r>
    <x v="11"/>
    <s v="E4"/>
    <n v="0"/>
    <n v="0"/>
    <n v="0"/>
    <n v="0"/>
    <n v="176.53"/>
    <n v="176.53"/>
    <n v="-17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"/>
    <n v="0"/>
    <n v="0"/>
    <n v="0"/>
    <n v="54"/>
    <n v="54"/>
    <n v="575"/>
    <n v="8.5850556438791734E-2"/>
    <n v="194"/>
    <n v="0"/>
    <n v="0"/>
    <n v="0"/>
    <n v="0"/>
    <n v="0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n v="300"/>
  </r>
  <r>
    <x v="11"/>
    <s v="E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3"/>
    <n v="5903"/>
    <n v="-5903"/>
    <n v="0"/>
    <n v="0"/>
    <n v="0"/>
    <n v="0"/>
    <n v="566"/>
    <n v="0"/>
    <n v="0"/>
    <n v="566"/>
    <n v="-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"/>
    <n v="0"/>
    <n v="1732"/>
    <n v="-1732"/>
    <n v="0"/>
    <n v="0"/>
    <n v="0"/>
    <n v="0"/>
    <n v="0"/>
    <n v="0"/>
    <n v="0"/>
    <n v="0"/>
    <n v="0"/>
    <n v="0"/>
    <n v="600"/>
    <n v="0"/>
    <n v="1178"/>
    <n v="0"/>
    <n v="0"/>
    <n v="1178"/>
    <n v="-578"/>
  </r>
  <r>
    <x v="11"/>
    <s v="E6"/>
    <n v="0"/>
    <n v="0"/>
    <n v="732"/>
    <n v="0"/>
    <n v="0"/>
    <n v="732"/>
    <n v="-732"/>
    <n v="0"/>
    <n v="0"/>
    <n v="0"/>
    <n v="770"/>
    <n v="0"/>
    <n v="0"/>
    <n v="0"/>
    <n v="770"/>
    <n v="-770"/>
    <n v="0"/>
    <n v="1785"/>
    <n v="0"/>
    <n v="0"/>
    <n v="0"/>
    <n v="0"/>
    <n v="0"/>
    <n v="1785"/>
    <n v="0"/>
    <n v="186"/>
    <n v="0"/>
    <n v="0"/>
    <n v="88"/>
    <n v="0"/>
    <n v="88"/>
    <n v="98"/>
    <n v="0.4731182795698925"/>
    <n v="0"/>
    <n v="0"/>
    <n v="0"/>
    <n v="0"/>
    <n v="87.5"/>
    <n v="0"/>
    <n v="87.5"/>
    <n v="-87.5"/>
    <n v="0"/>
    <n v="0"/>
    <n v="0"/>
    <n v="0"/>
    <n v="0"/>
    <n v="0"/>
    <n v="0"/>
    <n v="0"/>
    <n v="0"/>
    <n v="5136"/>
    <n v="0"/>
    <n v="0"/>
    <n v="257"/>
    <n v="0"/>
    <n v="257"/>
    <n v="4879"/>
    <n v="5.0038940809968846E-2"/>
    <n v="0"/>
    <n v="0"/>
    <n v="0"/>
    <n v="0"/>
    <n v="257"/>
    <n v="0"/>
    <n v="257"/>
    <n v="-257"/>
    <n v="0"/>
    <n v="348"/>
    <n v="2305"/>
    <n v="0"/>
    <n v="257"/>
    <n v="0"/>
    <n v="2562"/>
    <n v="-2214"/>
    <n v="7.3620689655172411"/>
    <n v="348"/>
    <n v="0"/>
    <n v="0"/>
    <n v="257"/>
    <n v="0"/>
    <n v="257"/>
    <n v="91"/>
    <n v="0.7385057471264368"/>
    <n v="348"/>
    <n v="0"/>
    <n v="0"/>
    <n v="277"/>
    <n v="387"/>
    <n v="0"/>
    <n v="664"/>
    <n v="-316"/>
    <n v="1.9080459770114941"/>
    <n v="400"/>
    <n v="0"/>
    <n v="0"/>
    <n v="100"/>
    <n v="0"/>
    <n v="100"/>
    <n v="300"/>
  </r>
  <r>
    <x v="11"/>
    <s v="E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s v="E8"/>
    <n v="695"/>
    <n v="0"/>
    <n v="1390.58"/>
    <n v="0"/>
    <n v="176.53"/>
    <n v="1567.11"/>
    <n v="-872.1099999999999"/>
    <n v="2.254834532374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.07"/>
    <n v="0"/>
    <n v="0"/>
    <n v="290.83999999999997"/>
    <n v="1799.9099999999999"/>
    <n v="-1799.9099999999999"/>
    <n v="0"/>
    <n v="695"/>
    <n v="0"/>
    <n v="0"/>
    <n v="1397.29"/>
    <n v="0"/>
    <n v="0"/>
    <n v="1397.29"/>
    <n v="-702.29"/>
    <n v="2.0104892086330937"/>
    <n v="695"/>
    <n v="0"/>
    <n v="0"/>
    <n v="0"/>
    <n v="1509.07"/>
    <n v="1509.07"/>
    <n v="-814.06999999999994"/>
    <n v="2.1713237410071939"/>
    <n v="0"/>
    <n v="0"/>
    <n v="0"/>
    <n v="0"/>
    <n v="1509.07"/>
    <n v="1509.07"/>
    <n v="-150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.07"/>
    <n v="1509.64"/>
    <n v="0"/>
    <n v="3018.71"/>
    <n v="-3018.71"/>
    <n v="0"/>
    <n v="0"/>
    <n v="0"/>
    <n v="1509.7"/>
    <n v="0"/>
    <n v="0"/>
    <n v="157"/>
    <n v="1666.7"/>
    <n v="-1666.7"/>
    <n v="0"/>
    <n v="1500"/>
    <n v="0"/>
    <n v="0"/>
    <n v="0"/>
    <n v="0"/>
    <n v="0"/>
    <n v="1500"/>
  </r>
  <r>
    <x v="11"/>
    <s v="CEDIS"/>
    <n v="2326"/>
    <n v="5952"/>
    <n v="0"/>
    <n v="0"/>
    <n v="0"/>
    <n v="5952"/>
    <n v="-3626"/>
    <n v="2.5588993981083403"/>
    <n v="0"/>
    <n v="0"/>
    <n v="0"/>
    <n v="0"/>
    <n v="0"/>
    <n v="0"/>
    <n v="0"/>
    <n v="0"/>
    <n v="0"/>
    <n v="687"/>
    <n v="4461"/>
    <n v="0"/>
    <n v="0"/>
    <n v="0"/>
    <n v="4461"/>
    <n v="-3774"/>
    <n v="6.4934497816593888"/>
    <n v="2376"/>
    <n v="0"/>
    <n v="3586"/>
    <n v="0"/>
    <n v="0"/>
    <n v="3586"/>
    <n v="-1210"/>
    <n v="1.5092592592592593"/>
    <n v="2805"/>
    <n v="0"/>
    <n v="0"/>
    <n v="0"/>
    <n v="0"/>
    <n v="6559"/>
    <n v="6559"/>
    <n v="-3754"/>
    <n v="2.3383244206773619"/>
    <n v="1184"/>
    <n v="0"/>
    <n v="0"/>
    <n v="5942"/>
    <n v="0"/>
    <n v="5942"/>
    <n v="-4758"/>
    <n v="5.0185810810810807"/>
    <n v="6533"/>
    <n v="0"/>
    <n v="0"/>
    <n v="1892"/>
    <n v="0"/>
    <n v="1892"/>
    <n v="4641"/>
    <n v="0.2896066125822746"/>
    <n v="0"/>
    <n v="0"/>
    <n v="0"/>
    <n v="0"/>
    <n v="0"/>
    <n v="0"/>
    <n v="0"/>
    <n v="0"/>
    <n v="0"/>
    <n v="2000"/>
    <n v="0"/>
    <n v="0"/>
    <n v="0"/>
    <n v="0"/>
    <n v="0"/>
    <n v="2000"/>
    <n v="0"/>
    <n v="2000"/>
    <n v="3265"/>
    <n v="0"/>
    <n v="0"/>
    <n v="0"/>
    <n v="3265"/>
    <n v="-1265"/>
    <n v="1.6325000000000001"/>
    <n v="2000"/>
    <n v="3343"/>
    <n v="0"/>
    <n v="0"/>
    <n v="0"/>
    <n v="0"/>
    <n v="3343"/>
    <n v="-1343"/>
    <n v="1.6715"/>
    <n v="0"/>
    <n v="2066"/>
    <n v="0"/>
    <n v="0"/>
    <n v="0"/>
    <n v="2066"/>
    <n v="-2066"/>
  </r>
  <r>
    <x v="11"/>
    <s v="CONTABILID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s v="HR"/>
    <n v="0"/>
    <n v="0"/>
    <n v="3000"/>
    <n v="0"/>
    <n v="0"/>
    <n v="3000"/>
    <n v="-3000"/>
    <n v="0"/>
    <n v="0"/>
    <n v="0"/>
    <n v="0"/>
    <n v="0"/>
    <n v="3299.76"/>
    <n v="0"/>
    <n v="3299.76"/>
    <n v="-3299.76"/>
    <n v="0"/>
    <n v="3055"/>
    <n v="0"/>
    <n v="0"/>
    <n v="3299.76"/>
    <n v="0"/>
    <n v="3299.76"/>
    <n v="-244.76000000000022"/>
    <n v="1.0801178396072013"/>
    <n v="3055"/>
    <n v="0"/>
    <n v="0"/>
    <n v="0"/>
    <n v="3299.76"/>
    <n v="3299.76"/>
    <n v="-244.76000000000022"/>
    <n v="1.0801178396072013"/>
    <n v="3055"/>
    <n v="0"/>
    <n v="0"/>
    <n v="0"/>
    <n v="3299"/>
    <n v="0"/>
    <n v="3299"/>
    <n v="-244"/>
    <n v="1.0798690671031097"/>
    <n v="3055"/>
    <n v="0"/>
    <n v="459"/>
    <n v="3299.76"/>
    <n v="0"/>
    <n v="3758.76"/>
    <n v="-703.76000000000022"/>
    <n v="1.2303633387888708"/>
    <n v="3055"/>
    <n v="0"/>
    <n v="0"/>
    <n v="0"/>
    <n v="3299.76"/>
    <n v="3299.76"/>
    <n v="-244.76000000000022"/>
    <n v="1.0801178396072013"/>
    <n v="3055"/>
    <n v="0"/>
    <n v="0"/>
    <n v="0"/>
    <n v="3299.76"/>
    <n v="0"/>
    <n v="3299.76"/>
    <n v="-244.76000000000022"/>
    <n v="1.0801178396072013"/>
    <n v="3055"/>
    <n v="0"/>
    <n v="0"/>
    <n v="3299.76"/>
    <n v="0"/>
    <n v="3299.76"/>
    <n v="-244.76000000000022"/>
    <n v="1.0801178396072013"/>
    <n v="3055"/>
    <n v="0"/>
    <n v="0"/>
    <n v="600"/>
    <n v="3999.76"/>
    <n v="4599.76"/>
    <n v="-1544.7600000000002"/>
    <n v="1.5056497545008185"/>
    <n v="3055"/>
    <n v="600"/>
    <n v="0"/>
    <n v="1300"/>
    <n v="3299.76"/>
    <n v="600"/>
    <n v="5799.76"/>
    <n v="-2744.76"/>
    <n v="1.8984484451718495"/>
    <n v="3500"/>
    <n v="0"/>
    <n v="0"/>
    <n v="510"/>
    <n v="5261.67"/>
    <n v="5771.67"/>
    <n v="-2271.67"/>
  </r>
  <r>
    <x v="12"/>
    <s v="CAPRICHOS"/>
    <n v="0"/>
    <n v="0"/>
    <n v="306"/>
    <n v="0"/>
    <n v="0"/>
    <n v="306"/>
    <n v="-306"/>
    <n v="0"/>
    <n v="283"/>
    <n v="0"/>
    <n v="0"/>
    <n v="0"/>
    <n v="306"/>
    <n v="0"/>
    <n v="306"/>
    <n v="-23"/>
    <n v="1.0812720848056536"/>
    <n v="285"/>
    <n v="0"/>
    <n v="0"/>
    <n v="306"/>
    <n v="0"/>
    <n v="306"/>
    <n v="-21"/>
    <n v="1.0736842105263158"/>
    <n v="0"/>
    <n v="0"/>
    <n v="0"/>
    <n v="305"/>
    <n v="0"/>
    <n v="305"/>
    <n v="-305"/>
    <n v="0"/>
    <n v="0"/>
    <n v="0"/>
    <n v="0"/>
    <n v="0"/>
    <n v="305"/>
    <n v="0"/>
    <n v="305"/>
    <n v="-305"/>
    <n v="0"/>
    <n v="0"/>
    <n v="0"/>
    <n v="0"/>
    <n v="356"/>
    <n v="0"/>
    <n v="356"/>
    <n v="-356"/>
    <n v="0"/>
    <n v="285"/>
    <n v="0"/>
    <n v="306"/>
    <n v="0"/>
    <n v="0"/>
    <n v="306"/>
    <n v="-21"/>
    <n v="1.0736842105263158"/>
    <n v="285"/>
    <n v="0"/>
    <n v="0"/>
    <n v="0"/>
    <n v="306"/>
    <n v="0"/>
    <n v="306"/>
    <n v="-21"/>
    <n v="1.0736842105263158"/>
    <n v="285"/>
    <n v="0"/>
    <n v="0"/>
    <n v="0"/>
    <n v="0"/>
    <n v="0"/>
    <n v="285"/>
    <n v="0"/>
    <n v="285"/>
    <n v="0"/>
    <n v="306"/>
    <n v="0"/>
    <n v="0"/>
    <n v="306"/>
    <n v="-21"/>
    <n v="1.0736842105263158"/>
    <n v="285"/>
    <n v="0"/>
    <n v="800"/>
    <n v="400"/>
    <n v="0"/>
    <n v="0"/>
    <n v="1200"/>
    <n v="-915"/>
    <n v="4.2105263157894735"/>
    <n v="500"/>
    <n v="0"/>
    <n v="943"/>
    <n v="0"/>
    <n v="0"/>
    <n v="943"/>
    <n v="-443"/>
  </r>
  <r>
    <x v="12"/>
    <s v="CEDIS"/>
    <n v="0"/>
    <n v="0"/>
    <n v="0"/>
    <n v="0"/>
    <n v="0"/>
    <n v="0"/>
    <n v="0"/>
    <n v="0"/>
    <n v="0"/>
    <n v="0"/>
    <n v="2607.75"/>
    <n v="0"/>
    <n v="0"/>
    <n v="120"/>
    <n v="2727.75"/>
    <n v="-2727.75"/>
    <n v="0"/>
    <n v="0"/>
    <n v="0"/>
    <n v="0"/>
    <n v="0"/>
    <n v="5190.6499999999996"/>
    <n v="5190.6499999999996"/>
    <n v="-5190.6499999999996"/>
    <n v="0"/>
    <n v="0"/>
    <n v="0"/>
    <n v="0"/>
    <n v="0"/>
    <n v="0"/>
    <n v="0"/>
    <n v="0"/>
    <n v="0"/>
    <n v="0"/>
    <n v="0"/>
    <n v="4953.22"/>
    <n v="8759.16"/>
    <n v="0"/>
    <n v="5839.44"/>
    <n v="19551.82"/>
    <n v="-19551.82"/>
    <n v="0"/>
    <n v="0"/>
    <n v="0"/>
    <n v="2919.72"/>
    <n v="0"/>
    <n v="0"/>
    <n v="2919.72"/>
    <n v="-2919.72"/>
    <n v="0"/>
    <n v="0"/>
    <n v="0"/>
    <n v="5839.44"/>
    <n v="0"/>
    <n v="0"/>
    <n v="5839.44"/>
    <n v="-5839.44"/>
    <n v="0"/>
    <n v="0"/>
    <n v="0"/>
    <n v="2919.72"/>
    <n v="0"/>
    <n v="2919.72"/>
    <n v="0"/>
    <n v="5839.44"/>
    <n v="-5839.44"/>
    <n v="0"/>
    <n v="1392"/>
    <n v="0"/>
    <n v="0"/>
    <n v="0"/>
    <n v="0"/>
    <n v="0"/>
    <n v="1392"/>
    <n v="0"/>
    <n v="1392"/>
    <n v="2919.72"/>
    <n v="0"/>
    <n v="0"/>
    <n v="0"/>
    <n v="2919.72"/>
    <n v="-1527.7199999999998"/>
    <n v="2.0974999999999997"/>
    <n v="1392"/>
    <n v="2922.72"/>
    <n v="2408.16"/>
    <n v="0"/>
    <n v="0"/>
    <n v="2408.16"/>
    <n v="7739.0399999999991"/>
    <n v="-6347.0399999999991"/>
    <n v="5.5596551724137928"/>
    <n v="3000"/>
    <n v="0"/>
    <n v="0"/>
    <n v="0"/>
    <n v="0"/>
    <n v="0"/>
    <n v="3000"/>
  </r>
  <r>
    <x v="13"/>
    <s v="CEDIS"/>
    <n v="0"/>
    <n v="0"/>
    <n v="0"/>
    <n v="0"/>
    <n v="0"/>
    <n v="0"/>
    <n v="0"/>
    <n v="0"/>
    <n v="0"/>
    <n v="0"/>
    <n v="0"/>
    <n v="0"/>
    <n v="0"/>
    <n v="0"/>
    <n v="0"/>
    <n v="0"/>
    <n v="0"/>
    <n v="8500"/>
    <n v="0"/>
    <n v="0"/>
    <n v="0"/>
    <n v="0"/>
    <n v="0"/>
    <n v="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0"/>
    <n v="0"/>
    <n v="0"/>
    <n v="0"/>
    <n v="0"/>
    <n v="0"/>
    <n v="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IMAGEN VISUAL HR"/>
    <n v="17000"/>
    <n v="0"/>
    <n v="0"/>
    <n v="0"/>
    <n v="3703.88"/>
    <n v="3703.88"/>
    <n v="13296.119999999999"/>
    <n v="0.21787529411764706"/>
    <n v="48000"/>
    <n v="10618.24"/>
    <n v="0"/>
    <n v="28137.87"/>
    <n v="9604.2800000000007"/>
    <n v="6045.2"/>
    <n v="54405.59"/>
    <n v="-6405.5899999999965"/>
    <n v="1.1334497916666666"/>
    <n v="48000"/>
    <n v="16765.849999999999"/>
    <n v="0"/>
    <n v="0"/>
    <n v="0"/>
    <n v="16765.849999999999"/>
    <n v="31234.15"/>
    <n v="0.34928854166666662"/>
    <n v="36000"/>
    <n v="13399.62"/>
    <n v="0"/>
    <n v="0"/>
    <n v="6689.49"/>
    <n v="20089.11"/>
    <n v="15910.89"/>
    <n v="0.55803083333333336"/>
    <n v="48000"/>
    <n v="13152.25"/>
    <n v="0"/>
    <n v="0"/>
    <n v="17762.18"/>
    <n v="6403.2"/>
    <n v="37317.629999999997"/>
    <n v="10682.370000000003"/>
    <n v="0.77745062499999995"/>
    <n v="46000"/>
    <n v="0"/>
    <n v="0"/>
    <n v="3000"/>
    <n v="0"/>
    <n v="3000"/>
    <n v="43000"/>
    <n v="6.5217391304347824E-2"/>
    <n v="46000"/>
    <n v="20400.22"/>
    <n v="0"/>
    <n v="10564.119999999999"/>
    <n v="0"/>
    <n v="30964.340000000004"/>
    <n v="15035.659999999996"/>
    <n v="0.6731378260869566"/>
    <n v="58000"/>
    <n v="9284.64"/>
    <n v="0"/>
    <n v="0"/>
    <n v="14248.28"/>
    <n v="0"/>
    <n v="23532.92"/>
    <n v="34467.08"/>
    <n v="0.40573999999999999"/>
    <n v="46000"/>
    <n v="0"/>
    <n v="0"/>
    <n v="16999.8"/>
    <n v="7891"/>
    <n v="24890.799999999999"/>
    <n v="21109.200000000001"/>
    <n v="0.54110434782608696"/>
    <n v="58000"/>
    <n v="21284.000000000004"/>
    <n v="54005.86"/>
    <n v="34467"/>
    <n v="0"/>
    <n v="109756.86"/>
    <n v="-51756.86"/>
    <n v="1.8923596551724138"/>
    <n v="56000"/>
    <n v="35996.480000000003"/>
    <n v="0"/>
    <n v="2700"/>
    <n v="15000"/>
    <n v="4804.92"/>
    <n v="58501.4"/>
    <n v="-2501.4000000000015"/>
    <n v="1.0446678571428571"/>
    <n v="18000"/>
    <n v="3248"/>
    <n v="27567.71"/>
    <n v="2828"/>
    <n v="0"/>
    <n v="33643.71"/>
    <n v="-15643.71"/>
  </r>
  <r>
    <x v="15"/>
    <s v="BASEBAL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9.2999999999993"/>
    <n v="0"/>
    <n v="9569.2999999999993"/>
    <n v="-9569.2999999999993"/>
    <n v="0"/>
    <n v="0"/>
    <n v="0"/>
    <n v="0"/>
    <n v="0"/>
    <n v="0"/>
    <n v="0"/>
    <n v="0"/>
    <n v="0"/>
    <n v="50000"/>
    <n v="0"/>
    <n v="25000"/>
    <n v="25000"/>
    <n v="0"/>
    <n v="0"/>
    <n v="50000"/>
    <n v="0"/>
    <n v="1"/>
    <n v="0"/>
    <n v="0"/>
    <n v="1000"/>
    <n v="0"/>
    <n v="0"/>
    <n v="1000"/>
    <n v="-1000"/>
    <n v="0"/>
    <n v="144500"/>
    <n v="94500"/>
    <n v="0"/>
    <n v="50000"/>
    <n v="0"/>
    <n v="14450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s v="MKT HR"/>
    <n v="20000"/>
    <n v="1600"/>
    <n v="6450"/>
    <n v="2300"/>
    <n v="3400"/>
    <n v="13750"/>
    <n v="6250"/>
    <n v="0.6875"/>
    <n v="40000"/>
    <n v="2400"/>
    <n v="5650"/>
    <n v="5200"/>
    <n v="0"/>
    <n v="5936"/>
    <n v="19186"/>
    <n v="20814"/>
    <n v="0.47965000000000002"/>
    <n v="18000"/>
    <n v="3832"/>
    <n v="2200"/>
    <n v="1300"/>
    <n v="1550"/>
    <n v="8882"/>
    <n v="9118"/>
    <n v="0.49344444444444446"/>
    <n v="50000"/>
    <n v="2200"/>
    <n v="1600"/>
    <n v="2358"/>
    <n v="3800"/>
    <n v="9958"/>
    <n v="40042"/>
    <n v="0.19916"/>
    <n v="26000"/>
    <n v="800"/>
    <n v="3200"/>
    <n v="4800"/>
    <n v="5000"/>
    <n v="10420"/>
    <n v="24220"/>
    <n v="1780"/>
    <n v="0.93153846153846154"/>
    <n v="30000"/>
    <n v="800"/>
    <n v="3180.72"/>
    <n v="3000"/>
    <n v="0"/>
    <n v="6980.7199999999993"/>
    <n v="23019.279999999999"/>
    <n v="0.23269066666666666"/>
    <n v="44000"/>
    <n v="20490.16"/>
    <n v="4650"/>
    <n v="0"/>
    <n v="0"/>
    <n v="25140.16"/>
    <n v="18859.84"/>
    <n v="0.57136727272727272"/>
    <n v="36000"/>
    <n v="1700"/>
    <n v="800"/>
    <n v="0"/>
    <n v="0"/>
    <n v="0"/>
    <n v="2500"/>
    <n v="33500"/>
    <n v="6.9444444444444448E-2"/>
    <n v="26000"/>
    <n v="0"/>
    <n v="0"/>
    <n v="0"/>
    <n v="6000"/>
    <n v="6000"/>
    <n v="20000"/>
    <n v="0.23076923076923078"/>
    <n v="56000"/>
    <n v="0"/>
    <n v="0"/>
    <n v="0"/>
    <n v="13200"/>
    <n v="13200"/>
    <n v="42800"/>
    <n v="0.23571428571428571"/>
    <n v="26000"/>
    <n v="9800"/>
    <n v="0"/>
    <n v="0"/>
    <n v="0"/>
    <n v="0"/>
    <n v="9800"/>
    <n v="16200"/>
    <n v="0.37692307692307692"/>
    <n v="0"/>
    <n v="0"/>
    <n v="0"/>
    <n v="0"/>
    <n v="0"/>
    <n v="0"/>
    <n v="0"/>
  </r>
  <r>
    <x v="17"/>
    <s v="CAPACITACION"/>
    <n v="0"/>
    <n v="0"/>
    <n v="0"/>
    <n v="626"/>
    <n v="0"/>
    <n v="626"/>
    <n v="-626"/>
    <n v="0"/>
    <n v="28000"/>
    <n v="0"/>
    <n v="0"/>
    <n v="0"/>
    <n v="0"/>
    <n v="0"/>
    <n v="0"/>
    <n v="28000"/>
    <n v="0"/>
    <n v="12000"/>
    <n v="0"/>
    <n v="0"/>
    <n v="0"/>
    <n v="0"/>
    <n v="0"/>
    <n v="1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  <n v="0"/>
    <n v="0"/>
    <n v="6612"/>
    <n v="0"/>
    <n v="6612"/>
    <n v="5388"/>
    <n v="0.55100000000000005"/>
    <n v="0"/>
    <n v="0"/>
    <n v="1071.8399999999999"/>
    <n v="0"/>
    <n v="0"/>
    <n v="1071.8399999999999"/>
    <n v="-1071.8399999999999"/>
    <n v="0"/>
    <n v="0"/>
    <n v="0"/>
    <n v="0"/>
    <n v="0"/>
    <n v="0"/>
    <n v="0"/>
    <n v="0"/>
    <n v="0"/>
    <n v="0"/>
    <n v="40000"/>
    <n v="13920"/>
    <n v="0"/>
    <n v="13920"/>
    <n v="1600"/>
    <n v="29440"/>
    <n v="10560"/>
    <n v="0.73599999999999999"/>
    <n v="0"/>
    <n v="2500"/>
    <n v="0"/>
    <n v="0"/>
    <n v="0"/>
    <n v="2500"/>
    <n v="-2500"/>
    <n v="0"/>
    <n v="0"/>
    <n v="0"/>
    <n v="0"/>
    <n v="0"/>
    <n v="0"/>
    <n v="0"/>
    <n v="0"/>
    <n v="0"/>
    <n v="0"/>
    <n v="4600"/>
    <n v="0"/>
    <n v="0"/>
    <n v="0"/>
    <n v="0"/>
    <n v="0"/>
    <n v="4600"/>
  </r>
  <r>
    <x v="14"/>
    <s v="IMAGEN VISUAL CAP"/>
    <n v="9044"/>
    <n v="0"/>
    <n v="1014.42"/>
    <n v="0"/>
    <n v="0"/>
    <n v="1014.42"/>
    <n v="8029.58"/>
    <n v="0.11216497125165856"/>
    <n v="36776"/>
    <n v="8520.2000000000007"/>
    <n v="0"/>
    <n v="0"/>
    <n v="0"/>
    <n v="0"/>
    <n v="8520.2000000000007"/>
    <n v="28255.8"/>
    <n v="0.2316782684359365"/>
    <n v="14327"/>
    <n v="0"/>
    <n v="0"/>
    <n v="0"/>
    <n v="3509"/>
    <n v="3509"/>
    <n v="10818"/>
    <n v="0.24492217491449711"/>
    <n v="9030"/>
    <n v="0"/>
    <n v="0"/>
    <n v="0"/>
    <n v="1740"/>
    <n v="1740"/>
    <n v="7290"/>
    <n v="0.19269102990033224"/>
    <n v="26807"/>
    <n v="0"/>
    <n v="0"/>
    <n v="3967.2"/>
    <n v="11306.86"/>
    <n v="0"/>
    <n v="15274.060000000001"/>
    <n v="11532.939999999999"/>
    <n v="0.56977878912224422"/>
    <n v="762"/>
    <n v="0"/>
    <n v="0"/>
    <n v="0"/>
    <n v="7440"/>
    <n v="7440"/>
    <n v="-6678"/>
    <n v="9.7637795275590555"/>
    <n v="538"/>
    <n v="0"/>
    <n v="0"/>
    <n v="0"/>
    <n v="0"/>
    <n v="0"/>
    <n v="538"/>
    <n v="0"/>
    <n v="3763"/>
    <n v="0"/>
    <n v="0"/>
    <n v="0"/>
    <n v="0"/>
    <n v="0"/>
    <n v="0"/>
    <n v="3763"/>
    <n v="0"/>
    <n v="14700"/>
    <n v="10440"/>
    <n v="0"/>
    <n v="0"/>
    <n v="0"/>
    <n v="10440"/>
    <n v="4260"/>
    <n v="0.71020408163265303"/>
    <n v="46200"/>
    <n v="0"/>
    <n v="0"/>
    <n v="0"/>
    <n v="0"/>
    <n v="0"/>
    <n v="46200"/>
    <n v="0"/>
    <n v="18900"/>
    <n v="0"/>
    <n v="0"/>
    <n v="0"/>
    <n v="0"/>
    <n v="4640"/>
    <n v="4640"/>
    <n v="14260"/>
    <n v="0.2455026455026455"/>
    <n v="9000"/>
    <n v="16042.8"/>
    <n v="0"/>
    <n v="0"/>
    <n v="0"/>
    <n v="16042.8"/>
    <n v="-7042.7999999999993"/>
  </r>
  <r>
    <x v="16"/>
    <s v="MKT CAP"/>
    <n v="9594"/>
    <n v="12409"/>
    <n v="0"/>
    <n v="0"/>
    <n v="0"/>
    <n v="12409"/>
    <n v="-2815"/>
    <n v="1.2934125495101105"/>
    <n v="0"/>
    <n v="0"/>
    <n v="504"/>
    <n v="0"/>
    <n v="0"/>
    <n v="0"/>
    <n v="504"/>
    <n v="-504"/>
    <n v="0"/>
    <n v="11879"/>
    <n v="0"/>
    <n v="0"/>
    <n v="3541"/>
    <n v="0"/>
    <n v="3541"/>
    <n v="8338"/>
    <n v="0.29808906473608887"/>
    <n v="0"/>
    <n v="0"/>
    <n v="13750"/>
    <n v="350"/>
    <n v="500"/>
    <n v="14600"/>
    <n v="-14600"/>
    <n v="0"/>
    <n v="31469"/>
    <n v="0"/>
    <n v="0"/>
    <n v="3566.42"/>
    <n v="3000"/>
    <n v="21800"/>
    <n v="28366.42"/>
    <n v="3102.5800000000017"/>
    <n v="0.90140837014204445"/>
    <n v="0"/>
    <n v="0"/>
    <n v="0"/>
    <n v="4000"/>
    <n v="3318.08"/>
    <n v="7318.08"/>
    <n v="-7318.08"/>
    <n v="0"/>
    <n v="2000"/>
    <n v="0"/>
    <n v="2500"/>
    <n v="0"/>
    <n v="0"/>
    <n v="2500"/>
    <n v="-500"/>
    <n v="1.25"/>
    <n v="4538"/>
    <n v="5400"/>
    <n v="0"/>
    <n v="1800"/>
    <n v="0"/>
    <n v="0"/>
    <n v="7200"/>
    <n v="-2662"/>
    <n v="1.5866020273248127"/>
    <n v="4000"/>
    <n v="0"/>
    <n v="0"/>
    <n v="1000"/>
    <n v="0"/>
    <n v="1000"/>
    <n v="3000"/>
    <n v="0.25"/>
    <n v="4000"/>
    <n v="0"/>
    <n v="0"/>
    <n v="0"/>
    <n v="1200"/>
    <n v="1200"/>
    <n v="2800"/>
    <n v="0.3"/>
    <n v="4000"/>
    <n v="10525.43"/>
    <n v="0"/>
    <n v="0"/>
    <n v="0"/>
    <n v="0"/>
    <n v="10525.43"/>
    <n v="-6525.43"/>
    <n v="2.6313575"/>
    <n v="0"/>
    <n v="0"/>
    <n v="0"/>
    <n v="0"/>
    <n v="0"/>
    <n v="0"/>
    <n v="0"/>
  </r>
  <r>
    <x v="17"/>
    <s v="CAPACITACION"/>
    <n v="1650"/>
    <n v="0"/>
    <n v="0"/>
    <n v="0"/>
    <n v="0"/>
    <n v="0"/>
    <n v="1650"/>
    <n v="0"/>
    <n v="1650"/>
    <n v="0"/>
    <n v="0"/>
    <n v="0"/>
    <n v="0"/>
    <n v="0"/>
    <n v="0"/>
    <n v="1650"/>
    <n v="0"/>
    <n v="1650"/>
    <n v="0"/>
    <n v="0"/>
    <n v="0"/>
    <n v="0"/>
    <n v="0"/>
    <n v="1650"/>
    <n v="0"/>
    <n v="450"/>
    <n v="0"/>
    <n v="0"/>
    <n v="0"/>
    <n v="0"/>
    <n v="0"/>
    <n v="450"/>
    <n v="0"/>
    <n v="450"/>
    <n v="0"/>
    <n v="0"/>
    <n v="0"/>
    <n v="0"/>
    <n v="0"/>
    <n v="0"/>
    <n v="450"/>
    <n v="0"/>
    <n v="450"/>
    <n v="0"/>
    <n v="0"/>
    <n v="0"/>
    <n v="0"/>
    <n v="0"/>
    <n v="450"/>
    <n v="0"/>
    <n v="2800"/>
    <n v="0"/>
    <n v="0"/>
    <n v="0"/>
    <n v="1063"/>
    <n v="1063"/>
    <n v="1737"/>
    <n v="0.37964285714285712"/>
    <n v="2800"/>
    <n v="0"/>
    <n v="0"/>
    <n v="0"/>
    <n v="0"/>
    <n v="0"/>
    <n v="0"/>
    <n v="2800"/>
    <n v="0"/>
    <n v="2800"/>
    <n v="0"/>
    <n v="0"/>
    <n v="0"/>
    <n v="0"/>
    <n v="0"/>
    <n v="2800"/>
    <n v="0"/>
    <n v="2800"/>
    <n v="0"/>
    <n v="3712"/>
    <n v="0"/>
    <n v="3335.58"/>
    <n v="7047.58"/>
    <n v="-4247.58"/>
    <n v="2.5169928571428573"/>
    <n v="2800"/>
    <n v="0"/>
    <n v="0"/>
    <n v="0"/>
    <n v="0"/>
    <n v="0"/>
    <n v="0"/>
    <n v="2800"/>
    <n v="0"/>
    <n v="0"/>
    <n v="0"/>
    <n v="0"/>
    <n v="0"/>
    <n v="0"/>
    <n v="0"/>
    <n v="0"/>
  </r>
  <r>
    <x v="14"/>
    <s v="MELISS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450"/>
    <n v="-450"/>
    <n v="0"/>
    <n v="0"/>
    <n v="0"/>
    <n v="0"/>
    <n v="0"/>
    <n v="0"/>
    <n v="0"/>
    <n v="0"/>
  </r>
  <r>
    <x v="18"/>
    <s v="CAPRICHOS"/>
    <n v="6000"/>
    <n v="0"/>
    <n v="0"/>
    <n v="0"/>
    <n v="2756.87"/>
    <n v="2756.87"/>
    <n v="3243.13"/>
    <n v="0.45947833333333332"/>
    <n v="6000"/>
    <n v="0"/>
    <n v="0"/>
    <n v="0"/>
    <n v="6897.4299999999994"/>
    <n v="0"/>
    <n v="6897.4299999999994"/>
    <n v="-897.42999999999938"/>
    <n v="1.1495716666666667"/>
    <n v="6000"/>
    <n v="0"/>
    <n v="0"/>
    <n v="0"/>
    <n v="3765.3"/>
    <n v="3765.3"/>
    <n v="2234.6999999999998"/>
    <n v="0.62755000000000005"/>
    <n v="6000"/>
    <n v="0"/>
    <n v="0"/>
    <n v="0"/>
    <n v="6415.96"/>
    <n v="6415.96"/>
    <n v="-415.96000000000004"/>
    <n v="1.0693266666666668"/>
    <n v="6000"/>
    <n v="0"/>
    <n v="0"/>
    <n v="0"/>
    <n v="6648.0099999999993"/>
    <n v="0"/>
    <n v="6648.0099999999993"/>
    <n v="-648.00999999999931"/>
    <n v="1.1080016666666666"/>
    <n v="6000"/>
    <n v="0"/>
    <n v="0"/>
    <n v="0"/>
    <n v="2893.74"/>
    <n v="2893.74"/>
    <n v="3106.26"/>
    <n v="0.48228999999999994"/>
    <n v="6000"/>
    <n v="0"/>
    <n v="0"/>
    <n v="0"/>
    <n v="1643.29"/>
    <n v="1643.29"/>
    <n v="4356.71"/>
    <n v="0.27388166666666663"/>
    <n v="6000"/>
    <n v="0"/>
    <n v="0"/>
    <n v="0"/>
    <n v="2292.39"/>
    <n v="0"/>
    <n v="2292.39"/>
    <n v="3707.61"/>
    <n v="0.38206499999999999"/>
    <n v="6000"/>
    <n v="398"/>
    <n v="0"/>
    <n v="0"/>
    <n v="2971.81"/>
    <n v="3369.81"/>
    <n v="2630.19"/>
    <n v="0.561635"/>
    <n v="6000"/>
    <n v="0"/>
    <n v="0"/>
    <n v="0"/>
    <n v="3464.09"/>
    <n v="3464.09"/>
    <n v="2535.91"/>
    <n v="0.57734833333333335"/>
    <n v="6000"/>
    <n v="0"/>
    <n v="0"/>
    <n v="0"/>
    <n v="7186.15"/>
    <n v="0"/>
    <n v="7186.15"/>
    <n v="-1186.1499999999996"/>
    <n v="1.1976916666666666"/>
    <n v="5500"/>
    <n v="0"/>
    <n v="0"/>
    <n v="0"/>
    <n v="6985.08"/>
    <n v="6985.08"/>
    <n v="-1485.08"/>
  </r>
  <r>
    <x v="18"/>
    <s v="HONORARIOS"/>
    <n v="10000"/>
    <n v="0"/>
    <n v="0"/>
    <n v="0"/>
    <n v="0"/>
    <n v="0"/>
    <n v="10000"/>
    <n v="0"/>
    <n v="10000"/>
    <n v="0"/>
    <n v="0"/>
    <n v="0"/>
    <n v="0"/>
    <n v="10000"/>
    <n v="10000"/>
    <n v="0"/>
    <n v="1"/>
    <n v="10000"/>
    <n v="0"/>
    <n v="0"/>
    <n v="0"/>
    <n v="10000"/>
    <n v="10000"/>
    <n v="0"/>
    <n v="1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s v="HR"/>
    <n v="30000"/>
    <n v="8000"/>
    <n v="13376"/>
    <n v="5554"/>
    <n v="1355"/>
    <n v="28285"/>
    <n v="1715"/>
    <n v="0.9428333333333333"/>
    <n v="37500"/>
    <n v="7377"/>
    <n v="6799"/>
    <n v="4248"/>
    <n v="2432"/>
    <n v="3560"/>
    <n v="24416"/>
    <n v="13084"/>
    <n v="0.6510933333333333"/>
    <n v="30000"/>
    <n v="8700"/>
    <n v="8847"/>
    <n v="8500"/>
    <n v="3465"/>
    <n v="29512"/>
    <n v="488"/>
    <n v="0.98373333333333335"/>
    <n v="36000"/>
    <n v="12145"/>
    <n v="7703"/>
    <n v="3720"/>
    <n v="3457"/>
    <n v="27025"/>
    <n v="8975"/>
    <n v="0.75069444444444444"/>
    <n v="37500"/>
    <n v="20"/>
    <n v="6500"/>
    <n v="7867"/>
    <n v="9000"/>
    <n v="9345"/>
    <n v="32732"/>
    <n v="4768"/>
    <n v="0.87285333333333337"/>
    <n v="30000"/>
    <n v="9771"/>
    <n v="9000"/>
    <n v="7210"/>
    <n v="4584"/>
    <n v="30565"/>
    <n v="-565"/>
    <n v="1.0188333333333333"/>
    <n v="36000"/>
    <n v="9969"/>
    <n v="8441"/>
    <n v="9264"/>
    <n v="6897"/>
    <n v="34571"/>
    <n v="1429"/>
    <n v="0.96030555555555552"/>
    <n v="45000"/>
    <n v="10448"/>
    <n v="7675"/>
    <n v="8294"/>
    <n v="9927"/>
    <n v="8772"/>
    <n v="45116"/>
    <n v="-116"/>
    <n v="1.0025777777777778"/>
    <n v="48000"/>
    <n v="6199"/>
    <n v="5990"/>
    <n v="5519"/>
    <n v="7973"/>
    <n v="25681"/>
    <n v="22319"/>
    <n v="0.53502083333333328"/>
    <n v="48000"/>
    <n v="11195"/>
    <n v="7761"/>
    <n v="11162"/>
    <n v="7621"/>
    <n v="37739"/>
    <n v="10261"/>
    <n v="0.78622916666666665"/>
    <n v="60000"/>
    <n v="6598"/>
    <n v="10624"/>
    <n v="20442"/>
    <n v="15996"/>
    <n v="11452"/>
    <n v="65112"/>
    <n v="-5112"/>
    <n v="1.0851999999999999"/>
    <n v="32000"/>
    <n v="9931"/>
    <n v="12225"/>
    <n v="7500"/>
    <n v="4400"/>
    <n v="34056"/>
    <n v="-2056"/>
  </r>
  <r>
    <x v="19"/>
    <s v="CAPRICHOS"/>
    <n v="12140"/>
    <n v="11649"/>
    <n v="2385"/>
    <n v="2799"/>
    <n v="0"/>
    <n v="16833"/>
    <n v="-4693"/>
    <n v="1.3865733113673806"/>
    <n v="9918"/>
    <n v="0"/>
    <n v="4930"/>
    <n v="0"/>
    <n v="4087"/>
    <n v="9000"/>
    <n v="18017"/>
    <n v="-8099"/>
    <n v="1.8165960879209517"/>
    <n v="8650"/>
    <n v="6616"/>
    <n v="0"/>
    <n v="4827"/>
    <n v="1952"/>
    <n v="13395"/>
    <n v="-4745"/>
    <n v="1.5485549132947978"/>
    <n v="7500"/>
    <n v="1839"/>
    <n v="2167"/>
    <n v="1345"/>
    <n v="4453"/>
    <n v="9804"/>
    <n v="-2304"/>
    <n v="1.3071999999999999"/>
    <n v="9300"/>
    <n v="0"/>
    <n v="3113"/>
    <n v="3857"/>
    <n v="0"/>
    <n v="0"/>
    <n v="6970"/>
    <n v="2330"/>
    <n v="0.74946236559139789"/>
    <n v="11421"/>
    <n v="4995"/>
    <n v="3417"/>
    <n v="4242"/>
    <n v="0"/>
    <n v="12654"/>
    <n v="-1233"/>
    <n v="1.1079590228526399"/>
    <n v="4282"/>
    <n v="1920"/>
    <n v="0"/>
    <n v="2436"/>
    <n v="700"/>
    <n v="5056"/>
    <n v="-774"/>
    <n v="1.1807566557683327"/>
    <n v="0"/>
    <n v="2175"/>
    <n v="1300"/>
    <n v="0"/>
    <n v="0"/>
    <n v="3029"/>
    <n v="6504"/>
    <n v="-6504"/>
    <n v="0"/>
    <n v="12000"/>
    <n v="5071"/>
    <n v="1542"/>
    <n v="2982"/>
    <n v="4062"/>
    <n v="13657"/>
    <n v="-1657"/>
    <n v="1.1380833333333333"/>
    <n v="12000"/>
    <n v="6935"/>
    <n v="2393"/>
    <n v="6499.55"/>
    <n v="2450"/>
    <n v="18277.55"/>
    <n v="-6277.5499999999993"/>
    <n v="1.5231291666666666"/>
    <n v="15000"/>
    <n v="800"/>
    <n v="6848"/>
    <n v="4043"/>
    <n v="7090"/>
    <n v="7154"/>
    <n v="25935"/>
    <n v="-10935"/>
    <n v="1.7290000000000001"/>
    <n v="14000"/>
    <n v="100"/>
    <n v="6454"/>
    <n v="680"/>
    <n v="130"/>
    <n v="7364"/>
    <n v="6636"/>
  </r>
  <r>
    <x v="19"/>
    <s v="SERVICIOS"/>
    <n v="6000"/>
    <n v="4100"/>
    <n v="2000"/>
    <n v="3000"/>
    <n v="0"/>
    <n v="9100"/>
    <n v="-3100"/>
    <n v="1.5166666666666666"/>
    <n v="6000"/>
    <n v="2150"/>
    <n v="2000"/>
    <n v="2000"/>
    <n v="2730"/>
    <n v="0"/>
    <n v="8880"/>
    <n v="-2880"/>
    <n v="1.48"/>
    <n v="6000"/>
    <n v="2000"/>
    <n v="2000"/>
    <n v="2000"/>
    <n v="0"/>
    <n v="6000"/>
    <n v="0"/>
    <n v="1"/>
    <n v="6000"/>
    <n v="5000"/>
    <n v="0"/>
    <n v="702"/>
    <n v="4000"/>
    <n v="9702"/>
    <n v="-3702"/>
    <n v="1.617"/>
    <n v="6000"/>
    <n v="0"/>
    <n v="2000"/>
    <n v="0"/>
    <n v="2000"/>
    <n v="416"/>
    <n v="4416"/>
    <n v="1584"/>
    <n v="0.73599999999999999"/>
    <n v="6000"/>
    <n v="2000"/>
    <n v="8062"/>
    <n v="2875"/>
    <n v="0"/>
    <n v="12937"/>
    <n v="-6937"/>
    <n v="2.1561666666666666"/>
    <n v="6000"/>
    <n v="5000"/>
    <n v="2000"/>
    <n v="2000"/>
    <n v="500"/>
    <n v="9500"/>
    <n v="-3500"/>
    <n v="1.5833333333333333"/>
    <n v="6000"/>
    <n v="0"/>
    <n v="2000"/>
    <n v="120"/>
    <n v="2000"/>
    <n v="0"/>
    <n v="4120"/>
    <n v="1880"/>
    <n v="0.68666666666666665"/>
    <n v="6000"/>
    <n v="2000"/>
    <n v="0"/>
    <n v="2000"/>
    <n v="1500"/>
    <n v="5500"/>
    <n v="500"/>
    <n v="0.91666666666666663"/>
    <n v="9000"/>
    <n v="2000"/>
    <n v="0"/>
    <n v="2000"/>
    <n v="4043"/>
    <n v="8043"/>
    <n v="957"/>
    <n v="0.89366666666666672"/>
    <n v="9000"/>
    <n v="2000"/>
    <n v="0"/>
    <n v="0"/>
    <n v="2000"/>
    <n v="0"/>
    <n v="4000"/>
    <n v="5000"/>
    <n v="0.44444444444444442"/>
    <n v="2000"/>
    <n v="450"/>
    <n v="0"/>
    <n v="2000"/>
    <n v="0"/>
    <n v="2450"/>
    <n v="-450"/>
  </r>
  <r>
    <x v="19"/>
    <s v="FINANZAS"/>
    <n v="3887"/>
    <n v="678"/>
    <n v="2270"/>
    <n v="630"/>
    <n v="3674"/>
    <n v="7252"/>
    <n v="-3365"/>
    <n v="1.8657062001543607"/>
    <n v="250"/>
    <n v="350"/>
    <n v="1594"/>
    <n v="300"/>
    <n v="2257"/>
    <n v="350"/>
    <n v="4851"/>
    <n v="-4601"/>
    <n v="19.404"/>
    <n v="1214"/>
    <n v="835"/>
    <n v="350"/>
    <n v="350"/>
    <n v="1100"/>
    <n v="2635"/>
    <n v="-1421"/>
    <n v="2.1705107084019768"/>
    <n v="5538"/>
    <n v="1050"/>
    <n v="400"/>
    <n v="835"/>
    <n v="350"/>
    <n v="2635"/>
    <n v="2903"/>
    <n v="0.4758035391838209"/>
    <n v="266"/>
    <n v="350"/>
    <n v="350"/>
    <n v="50"/>
    <n v="300"/>
    <n v="650"/>
    <n v="1700"/>
    <n v="-1434"/>
    <n v="6.3909774436090228"/>
    <n v="360"/>
    <n v="50"/>
    <n v="4250"/>
    <n v="300"/>
    <n v="20486"/>
    <n v="25086"/>
    <n v="-24726"/>
    <n v="69.683333333333337"/>
    <n v="7934"/>
    <n v="350"/>
    <n v="0"/>
    <n v="350"/>
    <n v="7385"/>
    <n v="8085"/>
    <n v="-151"/>
    <n v="1.0190320141164608"/>
    <n v="6920"/>
    <n v="1478"/>
    <n v="350"/>
    <n v="5350"/>
    <n v="650"/>
    <n v="4425"/>
    <n v="12253"/>
    <n v="-5333"/>
    <n v="1.7706647398843931"/>
    <n v="1300"/>
    <n v="0"/>
    <n v="2418"/>
    <n v="300"/>
    <n v="3100"/>
    <n v="5818"/>
    <n v="-4518"/>
    <n v="4.4753846153846153"/>
    <n v="1300"/>
    <n v="5907"/>
    <n v="50"/>
    <n v="300"/>
    <n v="1590"/>
    <n v="7847"/>
    <n v="-6547"/>
    <n v="6.0361538461538462"/>
    <n v="1300"/>
    <n v="2090"/>
    <n v="350"/>
    <n v="6600"/>
    <n v="5098"/>
    <n v="2122"/>
    <n v="16260"/>
    <n v="-14960"/>
    <n v="12.507692307692308"/>
    <n v="8000"/>
    <n v="350"/>
    <n v="2310"/>
    <n v="3055"/>
    <n v="1100"/>
    <n v="6815"/>
    <n v="1185"/>
  </r>
  <r>
    <x v="19"/>
    <s v="GESTION EMPRESARIAL"/>
    <n v="0"/>
    <n v="0"/>
    <n v="598"/>
    <n v="0"/>
    <n v="0"/>
    <n v="598"/>
    <n v="-598"/>
    <n v="0"/>
    <n v="0"/>
    <n v="0"/>
    <n v="0"/>
    <n v="0"/>
    <n v="0"/>
    <n v="0"/>
    <n v="0"/>
    <n v="0"/>
    <n v="0"/>
    <n v="0"/>
    <n v="0"/>
    <n v="0"/>
    <n v="0"/>
    <n v="3306"/>
    <n v="3306"/>
    <n v="-3306"/>
    <n v="0"/>
    <n v="0"/>
    <n v="0"/>
    <n v="0"/>
    <n v="0"/>
    <n v="0"/>
    <n v="0"/>
    <n v="0"/>
    <n v="0"/>
    <n v="0"/>
    <n v="0"/>
    <n v="178"/>
    <n v="0"/>
    <n v="0"/>
    <n v="0"/>
    <n v="178"/>
    <n v="-178"/>
    <n v="0"/>
    <n v="0"/>
    <n v="0"/>
    <n v="0"/>
    <n v="0"/>
    <n v="0"/>
    <n v="0"/>
    <n v="0"/>
    <n v="0"/>
    <n v="0"/>
    <n v="0"/>
    <n v="540"/>
    <n v="0"/>
    <n v="0"/>
    <n v="540"/>
    <n v="-540"/>
    <n v="0"/>
    <n v="0"/>
    <n v="0"/>
    <n v="0"/>
    <n v="0"/>
    <n v="0"/>
    <n v="2795"/>
    <n v="2795"/>
    <n v="-2795"/>
    <n v="0"/>
    <n v="0"/>
    <n v="0"/>
    <n v="0"/>
    <n v="0"/>
    <n v="0"/>
    <n v="0"/>
    <n v="0"/>
    <n v="0"/>
    <n v="0"/>
    <n v="0"/>
    <n v="0"/>
    <n v="0"/>
    <n v="1350"/>
    <n v="1350"/>
    <n v="-1350"/>
    <n v="0"/>
    <n v="0"/>
    <n v="0"/>
    <n v="0"/>
    <n v="0"/>
    <n v="0"/>
    <n v="0"/>
    <n v="0"/>
    <n v="0"/>
    <n v="0"/>
    <n v="0"/>
    <n v="299"/>
    <n v="0"/>
    <n v="0"/>
    <n v="0"/>
    <n v="299"/>
    <n v="-299"/>
  </r>
  <r>
    <x v="19"/>
    <s v="DIRECCION"/>
    <n v="0"/>
    <n v="0"/>
    <n v="500"/>
    <n v="0"/>
    <n v="0"/>
    <n v="500"/>
    <n v="-500"/>
    <n v="0"/>
    <n v="0"/>
    <n v="0"/>
    <n v="0"/>
    <n v="0"/>
    <n v="0"/>
    <n v="0"/>
    <n v="0"/>
    <n v="0"/>
    <n v="0"/>
    <n v="0"/>
    <n v="0"/>
    <n v="5607"/>
    <n v="0"/>
    <n v="0"/>
    <n v="5607"/>
    <n v="-5607"/>
    <n v="0"/>
    <n v="0"/>
    <n v="0"/>
    <n v="0"/>
    <n v="0"/>
    <n v="0"/>
    <n v="0"/>
    <n v="0"/>
    <n v="0"/>
    <n v="4510"/>
    <n v="0"/>
    <n v="0"/>
    <n v="0"/>
    <n v="0"/>
    <n v="0"/>
    <n v="0"/>
    <n v="4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"/>
    <n v="0"/>
    <n v="479"/>
    <n v="-479"/>
    <n v="0"/>
    <n v="0"/>
    <n v="700"/>
    <n v="0"/>
    <n v="0"/>
    <n v="0"/>
    <n v="700"/>
    <n v="-700"/>
    <n v="0"/>
    <n v="0"/>
    <n v="0"/>
    <n v="423"/>
    <n v="0"/>
    <n v="0"/>
    <n v="423"/>
    <n v="-423"/>
    <n v="0"/>
    <n v="0"/>
    <n v="0"/>
    <n v="0"/>
    <n v="0"/>
    <n v="0"/>
    <n v="0"/>
    <n v="0"/>
    <n v="0"/>
    <n v="0"/>
    <n v="0"/>
    <n v="1200"/>
    <n v="0"/>
    <n v="0"/>
    <n v="0"/>
    <n v="1200"/>
    <n v="-1200"/>
  </r>
  <r>
    <x v="19"/>
    <s v="MARKET M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.25"/>
    <n v="395.25"/>
    <n v="-3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s v="MELISS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600"/>
    <n v="-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s v="HR"/>
    <n v="24000"/>
    <n v="1800"/>
    <n v="2400"/>
    <n v="1800"/>
    <n v="4200"/>
    <n v="10200"/>
    <n v="13800"/>
    <n v="0.42499999999999999"/>
    <n v="30000"/>
    <n v="0"/>
    <n v="3405"/>
    <n v="3600"/>
    <n v="2600"/>
    <n v="1620"/>
    <n v="11225"/>
    <n v="18775"/>
    <n v="0.37416666666666665"/>
    <n v="32000"/>
    <n v="1200"/>
    <n v="0"/>
    <n v="4850"/>
    <n v="2800"/>
    <n v="8850"/>
    <n v="23150"/>
    <n v="0.27656249999999999"/>
    <n v="32000"/>
    <n v="2800"/>
    <n v="1200"/>
    <n v="7727"/>
    <n v="9200"/>
    <n v="20927"/>
    <n v="11073"/>
    <n v="0.65396874999999999"/>
    <n v="30000"/>
    <n v="1825"/>
    <n v="4200"/>
    <n v="11400"/>
    <n v="3000"/>
    <n v="9265"/>
    <n v="29690"/>
    <n v="310"/>
    <n v="0.98966666666666669"/>
    <n v="24000"/>
    <n v="10650"/>
    <n v="5820"/>
    <n v="2200"/>
    <n v="4200"/>
    <n v="22870"/>
    <n v="1130"/>
    <n v="0.95291666666666663"/>
    <n v="32000"/>
    <n v="5500"/>
    <n v="5215"/>
    <n v="4800"/>
    <n v="5200"/>
    <n v="20715"/>
    <n v="11285"/>
    <n v="0.64734375"/>
    <n v="40000"/>
    <n v="5600"/>
    <n v="7400"/>
    <n v="6800"/>
    <n v="5800"/>
    <n v="5600"/>
    <n v="31200"/>
    <n v="8800"/>
    <n v="0.78"/>
    <n v="48000"/>
    <n v="7400"/>
    <n v="7400"/>
    <n v="7400"/>
    <n v="6800"/>
    <n v="29000"/>
    <n v="19000"/>
    <n v="0.60416666666666663"/>
    <n v="48000"/>
    <n v="7800"/>
    <n v="7200"/>
    <n v="13300"/>
    <n v="5200"/>
    <n v="33500"/>
    <n v="14500"/>
    <n v="0.69791666666666663"/>
    <n v="50000"/>
    <n v="9300"/>
    <n v="11000"/>
    <n v="14600"/>
    <n v="7770"/>
    <n v="9800"/>
    <n v="52470"/>
    <n v="-2470"/>
    <n v="1.0494000000000001"/>
    <n v="12000"/>
    <n v="4200"/>
    <n v="2600"/>
    <n v="6800"/>
    <n v="0"/>
    <n v="13600"/>
    <n v="-1600"/>
  </r>
  <r>
    <x v="20"/>
    <s v="CAPRICHOS"/>
    <n v="9350"/>
    <n v="1000"/>
    <n v="1000"/>
    <n v="1700"/>
    <n v="1000"/>
    <n v="4700"/>
    <n v="4650"/>
    <n v="0.50267379679144386"/>
    <n v="37126"/>
    <n v="700"/>
    <n v="0"/>
    <n v="0"/>
    <n v="0"/>
    <n v="0"/>
    <n v="700"/>
    <n v="36426"/>
    <n v="1.8854710984215914E-2"/>
    <n v="8800"/>
    <n v="26200"/>
    <n v="0"/>
    <n v="2500"/>
    <n v="0"/>
    <n v="28700"/>
    <n v="-19900"/>
    <n v="3.2613636363636362"/>
    <n v="4800"/>
    <n v="1200"/>
    <n v="800"/>
    <n v="1300"/>
    <n v="14100"/>
    <n v="17400"/>
    <n v="-12600"/>
    <n v="3.625"/>
    <n v="5450"/>
    <n v="1015"/>
    <n v="23900"/>
    <n v="1650"/>
    <n v="2860"/>
    <n v="18100"/>
    <n v="47525"/>
    <n v="-42075"/>
    <n v="8.7201834862385326"/>
    <n v="17550"/>
    <n v="3740"/>
    <n v="12700"/>
    <n v="1200"/>
    <n v="1200"/>
    <n v="18840"/>
    <n v="-1290"/>
    <n v="1.0735042735042735"/>
    <n v="26000"/>
    <n v="1200"/>
    <n v="0"/>
    <n v="1200"/>
    <n v="1400"/>
    <n v="3800"/>
    <n v="22200"/>
    <n v="0.14615384615384616"/>
    <n v="27700"/>
    <n v="4000"/>
    <n v="2700"/>
    <n v="2000"/>
    <n v="13500"/>
    <n v="3500"/>
    <n v="25700"/>
    <n v="2000"/>
    <n v="0.92779783393501802"/>
    <n v="18000"/>
    <n v="25"/>
    <n v="2000"/>
    <n v="5600"/>
    <n v="2500"/>
    <n v="10125"/>
    <n v="7875"/>
    <n v="0.5625"/>
    <n v="18000"/>
    <n v="2600"/>
    <n v="13500"/>
    <n v="5700"/>
    <n v="2500"/>
    <n v="24300"/>
    <n v="-6300"/>
    <n v="1.35"/>
    <n v="18000"/>
    <n v="3000"/>
    <n v="9500"/>
    <n v="4700"/>
    <n v="3000"/>
    <n v="2000"/>
    <n v="22200"/>
    <n v="-4200"/>
    <n v="1.2333333333333334"/>
    <n v="10000"/>
    <n v="0"/>
    <n v="0"/>
    <n v="1500"/>
    <n v="0"/>
    <n v="1500"/>
    <n v="8500"/>
  </r>
  <r>
    <x v="20"/>
    <s v="CEDIS"/>
    <n v="10000"/>
    <n v="2650"/>
    <n v="3350"/>
    <n v="2050"/>
    <n v="3350"/>
    <n v="11400"/>
    <n v="-1400"/>
    <n v="1.1399999999999999"/>
    <n v="10000"/>
    <n v="2050"/>
    <n v="2050"/>
    <n v="3550"/>
    <n v="2750"/>
    <n v="700"/>
    <n v="11100"/>
    <n v="-1100"/>
    <n v="1.1100000000000001"/>
    <n v="10000"/>
    <n v="2050"/>
    <n v="2750"/>
    <n v="2050"/>
    <n v="4850"/>
    <n v="11700"/>
    <n v="-1700"/>
    <n v="1.17"/>
    <n v="13000"/>
    <n v="2750"/>
    <n v="1100"/>
    <n v="2050"/>
    <n v="5200"/>
    <n v="11100"/>
    <n v="1900"/>
    <n v="0.85384615384615381"/>
    <n v="13000"/>
    <n v="2050"/>
    <n v="3150"/>
    <n v="0"/>
    <n v="2050"/>
    <n v="2050"/>
    <n v="9300"/>
    <n v="3700"/>
    <n v="0.7153846153846154"/>
    <n v="13000"/>
    <n v="1000"/>
    <n v="2050"/>
    <n v="5200"/>
    <n v="0"/>
    <n v="8250"/>
    <n v="4750"/>
    <n v="0.63461538461538458"/>
    <n v="13000"/>
    <n v="4150"/>
    <n v="2050"/>
    <n v="3550"/>
    <n v="0"/>
    <n v="9750"/>
    <n v="3250"/>
    <n v="0.75"/>
    <n v="13000"/>
    <n v="5150"/>
    <n v="2050"/>
    <n v="3150"/>
    <n v="4528"/>
    <n v="2050"/>
    <n v="16928"/>
    <n v="-3928"/>
    <n v="1.3021538461538462"/>
    <n v="15000"/>
    <n v="5000"/>
    <n v="5200"/>
    <n v="4100"/>
    <n v="1100"/>
    <n v="15400"/>
    <n v="-400"/>
    <n v="1.0266666666666666"/>
    <n v="15000"/>
    <n v="15500"/>
    <n v="1100"/>
    <n v="4690"/>
    <n v="1100"/>
    <n v="22390"/>
    <n v="-7390"/>
    <n v="1.4926666666666666"/>
    <n v="15000"/>
    <n v="7550"/>
    <n v="1100"/>
    <n v="4450"/>
    <n v="8750"/>
    <n v="8450"/>
    <n v="30300"/>
    <n v="-15300"/>
    <n v="2.02"/>
    <n v="12800"/>
    <n v="1100"/>
    <n v="5050"/>
    <n v="6550"/>
    <n v="2450"/>
    <n v="15150"/>
    <n v="-2350"/>
  </r>
  <r>
    <x v="20"/>
    <s v="INVENTARIOS"/>
    <n v="8000"/>
    <n v="600"/>
    <n v="0"/>
    <n v="900"/>
    <n v="900"/>
    <n v="2400"/>
    <n v="5600"/>
    <n v="0.3"/>
    <n v="5000"/>
    <n v="900"/>
    <n v="600"/>
    <n v="400"/>
    <n v="600"/>
    <n v="600"/>
    <n v="3100"/>
    <n v="1900"/>
    <n v="0.62"/>
    <n v="2000"/>
    <n v="0"/>
    <n v="0"/>
    <n v="0"/>
    <n v="600"/>
    <n v="600"/>
    <n v="1400"/>
    <n v="0.3"/>
    <n v="2000"/>
    <n v="600"/>
    <n v="0"/>
    <n v="400"/>
    <n v="0"/>
    <n v="1000"/>
    <n v="1000"/>
    <n v="0.5"/>
    <n v="2000"/>
    <n v="0"/>
    <n v="400"/>
    <n v="0"/>
    <n v="0"/>
    <n v="0"/>
    <n v="400"/>
    <n v="1600"/>
    <n v="0.2"/>
    <n v="2000"/>
    <n v="400"/>
    <n v="0"/>
    <n v="0"/>
    <n v="0"/>
    <n v="400"/>
    <n v="1600"/>
    <n v="0.2"/>
    <n v="2000"/>
    <n v="0"/>
    <n v="0"/>
    <n v="0"/>
    <n v="0"/>
    <n v="0"/>
    <n v="2000"/>
    <n v="0"/>
    <n v="2000"/>
    <n v="0"/>
    <n v="0"/>
    <n v="0"/>
    <n v="0"/>
    <n v="0"/>
    <n v="0"/>
    <n v="2000"/>
    <n v="0"/>
    <n v="2000"/>
    <n v="0"/>
    <n v="0"/>
    <n v="0"/>
    <n v="0"/>
    <n v="0"/>
    <n v="2000"/>
    <n v="0"/>
    <n v="2000"/>
    <n v="0"/>
    <n v="0"/>
    <n v="300"/>
    <n v="0"/>
    <n v="300"/>
    <n v="1700"/>
    <n v="0.15"/>
    <n v="1000"/>
    <n v="900"/>
    <n v="300"/>
    <n v="0"/>
    <n v="0"/>
    <n v="0"/>
    <n v="1200"/>
    <n v="-200"/>
    <n v="1.2"/>
    <n v="3000"/>
    <n v="0"/>
    <n v="0"/>
    <n v="700"/>
    <n v="0"/>
    <n v="700"/>
    <n v="2300"/>
  </r>
  <r>
    <x v="20"/>
    <s v="MANTENIMIENT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"/>
    <n v="0"/>
    <n v="1800"/>
    <n v="4900"/>
    <n v="-4900"/>
    <n v="0"/>
    <n v="0"/>
    <n v="1100"/>
    <n v="0"/>
    <n v="0"/>
    <n v="0"/>
    <n v="1100"/>
    <n v="-1100"/>
    <n v="0"/>
    <n v="0"/>
    <n v="500"/>
    <n v="0"/>
    <n v="0"/>
    <n v="0"/>
    <n v="1100"/>
    <n v="1600"/>
    <n v="-1600"/>
    <n v="0"/>
    <n v="0"/>
    <n v="800"/>
    <n v="0"/>
    <n v="0"/>
    <n v="0"/>
    <n v="800"/>
    <n v="-800"/>
    <n v="0"/>
    <n v="0"/>
    <n v="0"/>
    <n v="2600"/>
    <n v="0"/>
    <n v="1200"/>
    <n v="3800"/>
    <n v="-3800"/>
    <n v="0"/>
    <n v="0"/>
    <n v="2800"/>
    <n v="0"/>
    <n v="0"/>
    <n v="0"/>
    <n v="0"/>
    <n v="2800"/>
    <n v="-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0"/>
    <n v="700"/>
    <n v="0"/>
    <n v="1400"/>
    <n v="9900"/>
    <n v="-9900"/>
    <n v="0"/>
    <n v="3200"/>
    <n v="900"/>
    <n v="0"/>
    <n v="300"/>
    <n v="0"/>
    <n v="1200"/>
    <n v="2000"/>
  </r>
  <r>
    <x v="20"/>
    <s v="COMPRAS"/>
    <n v="5000"/>
    <n v="500"/>
    <n v="1800"/>
    <n v="0"/>
    <n v="0"/>
    <n v="2300"/>
    <n v="2700"/>
    <n v="0.46"/>
    <n v="5000"/>
    <n v="0"/>
    <n v="0"/>
    <n v="0"/>
    <n v="0"/>
    <n v="0"/>
    <n v="0"/>
    <n v="5000"/>
    <n v="0"/>
    <n v="5000"/>
    <n v="0"/>
    <n v="0"/>
    <n v="0"/>
    <n v="400"/>
    <n v="400"/>
    <n v="4600"/>
    <n v="0.08"/>
    <n v="5000"/>
    <n v="600"/>
    <n v="0"/>
    <n v="0"/>
    <n v="0"/>
    <n v="600"/>
    <n v="4400"/>
    <n v="0.12"/>
    <n v="6000"/>
    <n v="1200"/>
    <n v="0"/>
    <n v="0"/>
    <n v="0"/>
    <n v="0"/>
    <n v="1200"/>
    <n v="4800"/>
    <n v="0.2"/>
    <n v="5000"/>
    <n v="2450"/>
    <n v="0"/>
    <n v="500"/>
    <n v="0"/>
    <n v="2950"/>
    <n v="2050"/>
    <n v="0.59"/>
    <n v="5000"/>
    <n v="0"/>
    <n v="0"/>
    <n v="0"/>
    <n v="900"/>
    <n v="900"/>
    <n v="4100"/>
    <n v="0.18"/>
    <n v="4000"/>
    <n v="0"/>
    <n v="0"/>
    <n v="0"/>
    <n v="0"/>
    <n v="0"/>
    <n v="0"/>
    <n v="4000"/>
    <n v="0"/>
    <n v="8000"/>
    <n v="0"/>
    <n v="0"/>
    <n v="2000"/>
    <n v="4000"/>
    <n v="6000"/>
    <n v="2000"/>
    <n v="0.75"/>
    <n v="8000"/>
    <n v="1150"/>
    <n v="0"/>
    <n v="0"/>
    <n v="9673"/>
    <n v="10823"/>
    <n v="-2823"/>
    <n v="1.352875"/>
    <n v="10000"/>
    <n v="0"/>
    <n v="500"/>
    <n v="0"/>
    <n v="1800"/>
    <n v="0"/>
    <n v="2300"/>
    <n v="7700"/>
    <n v="0.23"/>
    <n v="3000"/>
    <n v="500"/>
    <n v="500"/>
    <n v="0"/>
    <n v="0"/>
    <n v="1000"/>
    <n v="2000"/>
  </r>
  <r>
    <x v="20"/>
    <s v="SISTEMAS"/>
    <n v="1000"/>
    <n v="0"/>
    <n v="0"/>
    <n v="0"/>
    <n v="1200"/>
    <n v="1200"/>
    <n v="-200"/>
    <n v="1.2"/>
    <n v="1000"/>
    <n v="0"/>
    <n v="0"/>
    <n v="0"/>
    <n v="3300"/>
    <n v="0"/>
    <n v="3300"/>
    <n v="-2300"/>
    <n v="3.3"/>
    <n v="1000"/>
    <n v="0"/>
    <n v="400"/>
    <n v="0"/>
    <n v="0"/>
    <n v="400"/>
    <n v="600"/>
    <n v="0.4"/>
    <n v="1000"/>
    <n v="800"/>
    <n v="0"/>
    <n v="450"/>
    <n v="500"/>
    <n v="1750"/>
    <n v="-750"/>
    <n v="1.75"/>
    <n v="1000"/>
    <n v="0"/>
    <n v="0"/>
    <n v="400"/>
    <n v="0"/>
    <n v="0"/>
    <n v="400"/>
    <n v="600"/>
    <n v="0.4"/>
    <n v="1000"/>
    <n v="1200"/>
    <n v="0"/>
    <n v="0"/>
    <n v="400"/>
    <n v="1600"/>
    <n v="-600"/>
    <n v="1.6"/>
    <n v="1000"/>
    <n v="2550"/>
    <n v="2400"/>
    <n v="2400"/>
    <n v="1200"/>
    <n v="8550"/>
    <n v="-7550"/>
    <n v="8.5500000000000007"/>
    <n v="1000"/>
    <n v="1350"/>
    <n v="6900"/>
    <n v="1400"/>
    <n v="400"/>
    <n v="1750"/>
    <n v="11800"/>
    <n v="-10800"/>
    <n v="11.8"/>
    <n v="1000"/>
    <n v="1300"/>
    <n v="600"/>
    <n v="0"/>
    <n v="0"/>
    <n v="1900"/>
    <n v="-900"/>
    <n v="1.9"/>
    <n v="1000"/>
    <n v="0"/>
    <n v="2800"/>
    <n v="0"/>
    <n v="4200"/>
    <n v="7000"/>
    <n v="-6000"/>
    <n v="7"/>
    <n v="1000"/>
    <n v="5200"/>
    <n v="6775.7739999999994"/>
    <n v="5600"/>
    <n v="0"/>
    <n v="0"/>
    <n v="17575.774000000001"/>
    <n v="-16575.774000000001"/>
    <n v="17.575774000000003"/>
    <n v="3000"/>
    <n v="3600"/>
    <n v="0"/>
    <n v="300"/>
    <n v="5000"/>
    <n v="8900"/>
    <n v="-5900"/>
  </r>
  <r>
    <x v="20"/>
    <s v="FINANZAS"/>
    <n v="3000"/>
    <n v="0"/>
    <n v="1500"/>
    <n v="0"/>
    <n v="2400"/>
    <n v="3900"/>
    <n v="-900"/>
    <n v="1.3"/>
    <n v="3000"/>
    <n v="0"/>
    <n v="700"/>
    <n v="2700"/>
    <n v="700"/>
    <n v="700"/>
    <n v="4800"/>
    <n v="-1800"/>
    <n v="1.6"/>
    <n v="3000"/>
    <n v="700"/>
    <n v="0"/>
    <n v="5000"/>
    <n v="640"/>
    <n v="6340"/>
    <n v="-3340"/>
    <n v="2.1133333333333333"/>
    <n v="3000"/>
    <n v="0"/>
    <n v="1300"/>
    <n v="2100"/>
    <n v="0"/>
    <n v="3400"/>
    <n v="-400"/>
    <n v="1.1333333333333333"/>
    <n v="3000"/>
    <n v="700"/>
    <n v="0"/>
    <n v="700"/>
    <n v="450"/>
    <n v="0"/>
    <n v="1850"/>
    <n v="1150"/>
    <n v="0.6166666666666667"/>
    <n v="3000"/>
    <n v="1140"/>
    <n v="373"/>
    <n v="800"/>
    <n v="3500"/>
    <n v="5813"/>
    <n v="-2813"/>
    <n v="1.9376666666666666"/>
    <n v="3000"/>
    <n v="1100"/>
    <n v="1300"/>
    <n v="2800"/>
    <n v="2717"/>
    <n v="7917"/>
    <n v="-4917"/>
    <n v="2.6389999999999998"/>
    <n v="3000"/>
    <n v="2800"/>
    <n v="0"/>
    <n v="800"/>
    <n v="0"/>
    <n v="800"/>
    <n v="4400"/>
    <n v="-1400"/>
    <n v="1.4666666666666666"/>
    <n v="3000"/>
    <n v="800"/>
    <n v="800"/>
    <n v="1850"/>
    <n v="8000"/>
    <n v="11450"/>
    <n v="-8450"/>
    <n v="3.8166666666666669"/>
    <n v="3000"/>
    <n v="800"/>
    <n v="0"/>
    <n v="0"/>
    <n v="200"/>
    <n v="1000"/>
    <n v="2000"/>
    <n v="0.33333333333333331"/>
    <n v="3000"/>
    <n v="300"/>
    <n v="1735"/>
    <n v="1200"/>
    <n v="2650"/>
    <n v="1110"/>
    <n v="6995"/>
    <n v="-3995"/>
    <n v="2.3316666666666666"/>
    <n v="4000"/>
    <n v="0"/>
    <n v="1600"/>
    <n v="2490"/>
    <n v="950"/>
    <n v="5040"/>
    <n v="-1040"/>
  </r>
  <r>
    <x v="20"/>
    <s v="GESTION EMPRESARIAL"/>
    <n v="8000"/>
    <n v="0"/>
    <n v="3800"/>
    <n v="2000"/>
    <n v="2200"/>
    <n v="8000"/>
    <n v="0"/>
    <n v="1"/>
    <n v="8000"/>
    <n v="0"/>
    <n v="2200"/>
    <n v="0"/>
    <n v="2800"/>
    <n v="2200"/>
    <n v="7200"/>
    <n v="800"/>
    <n v="0.9"/>
    <n v="8000"/>
    <n v="800"/>
    <n v="0"/>
    <n v="2800"/>
    <n v="880"/>
    <n v="4480"/>
    <n v="3520"/>
    <n v="0.56000000000000005"/>
    <n v="8000"/>
    <n v="3800"/>
    <n v="0"/>
    <n v="2800"/>
    <n v="0"/>
    <n v="6600"/>
    <n v="1400"/>
    <n v="0.82499999999999996"/>
    <n v="8000"/>
    <n v="0"/>
    <n v="1800"/>
    <n v="2900"/>
    <n v="2400"/>
    <n v="0"/>
    <n v="7100"/>
    <n v="900"/>
    <n v="0.88749999999999996"/>
    <n v="8000"/>
    <n v="600"/>
    <n v="2800"/>
    <n v="0"/>
    <n v="0"/>
    <n v="3400"/>
    <n v="4600"/>
    <n v="0.42499999999999999"/>
    <n v="8000"/>
    <n v="0"/>
    <n v="7000"/>
    <n v="0"/>
    <n v="3900"/>
    <n v="10900"/>
    <n v="-2900"/>
    <n v="1.3625"/>
    <n v="8000"/>
    <n v="0"/>
    <n v="1900"/>
    <n v="0"/>
    <n v="26821.340000000004"/>
    <n v="0"/>
    <n v="28721.340000000004"/>
    <n v="-20721.340000000004"/>
    <n v="3.5901675000000006"/>
    <n v="8000"/>
    <n v="0"/>
    <n v="2900"/>
    <n v="0"/>
    <n v="0"/>
    <n v="2900"/>
    <n v="5100"/>
    <n v="0.36249999999999999"/>
    <n v="10500"/>
    <n v="0"/>
    <n v="0"/>
    <n v="2900"/>
    <n v="3000"/>
    <n v="5900"/>
    <n v="4600"/>
    <n v="0.56190476190476191"/>
    <n v="20000"/>
    <n v="3000"/>
    <n v="3000"/>
    <n v="0"/>
    <n v="4200"/>
    <n v="3300"/>
    <n v="13500"/>
    <n v="6500"/>
    <n v="0.67500000000000004"/>
    <n v="8000"/>
    <n v="2400"/>
    <n v="2400"/>
    <n v="1800"/>
    <n v="0"/>
    <n v="6600"/>
    <n v="1400"/>
  </r>
  <r>
    <x v="20"/>
    <s v="DIRECCION"/>
    <n v="2500"/>
    <n v="0"/>
    <n v="0"/>
    <n v="0"/>
    <n v="0"/>
    <n v="0"/>
    <n v="2500"/>
    <n v="0"/>
    <n v="3835"/>
    <n v="0"/>
    <n v="1000"/>
    <n v="1000"/>
    <n v="0"/>
    <n v="0"/>
    <n v="2000"/>
    <n v="1835"/>
    <n v="0.5215123859191656"/>
    <n v="3000"/>
    <n v="3000"/>
    <n v="0"/>
    <n v="0"/>
    <n v="0"/>
    <n v="3000"/>
    <n v="0"/>
    <n v="1"/>
    <n v="1500"/>
    <n v="0"/>
    <n v="0"/>
    <n v="0"/>
    <n v="0"/>
    <n v="0"/>
    <n v="1500"/>
    <n v="0"/>
    <n v="0"/>
    <n v="0"/>
    <n v="0"/>
    <n v="0"/>
    <n v="500"/>
    <n v="0"/>
    <n v="500"/>
    <n v="-500"/>
    <n v="0"/>
    <n v="3000"/>
    <n v="0"/>
    <n v="1000"/>
    <n v="0"/>
    <n v="1000"/>
    <n v="2000"/>
    <n v="1000"/>
    <n v="0.66666666666666663"/>
    <n v="5389"/>
    <n v="1000"/>
    <n v="0"/>
    <n v="5000"/>
    <n v="1000"/>
    <n v="7000"/>
    <n v="-1611"/>
    <n v="1.2989422898496938"/>
    <n v="0"/>
    <n v="1000"/>
    <n v="7099.76"/>
    <n v="0"/>
    <n v="1000"/>
    <n v="1000"/>
    <n v="10099.76"/>
    <n v="-10099.76"/>
    <n v="0"/>
    <n v="4000"/>
    <n v="1000"/>
    <n v="1000"/>
    <n v="0"/>
    <n v="1000"/>
    <n v="3000"/>
    <n v="1000"/>
    <n v="0.75"/>
    <n v="4000"/>
    <n v="0"/>
    <n v="0"/>
    <n v="1000"/>
    <n v="0"/>
    <n v="1000"/>
    <n v="3000"/>
    <n v="0.25"/>
    <n v="5000"/>
    <n v="1000"/>
    <n v="1000"/>
    <n v="0"/>
    <n v="1956"/>
    <n v="0"/>
    <n v="3956"/>
    <n v="1044"/>
    <n v="0.79120000000000001"/>
    <n v="2000"/>
    <n v="0"/>
    <n v="0"/>
    <n v="0"/>
    <n v="3000"/>
    <n v="3000"/>
    <n v="-1000"/>
  </r>
  <r>
    <x v="20"/>
    <s v="MARKET M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"/>
    <n v="420"/>
    <n v="-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s v="MANTENIMIENTO"/>
    <n v="31344"/>
    <n v="2730"/>
    <n v="4500"/>
    <n v="24950.959999999999"/>
    <n v="1947.57"/>
    <n v="34128.53"/>
    <n v="-2784.5299999999988"/>
    <n v="1.0888377360898418"/>
    <n v="20516"/>
    <n v="14312.3"/>
    <n v="28904"/>
    <n v="16728.62"/>
    <n v="18733.36"/>
    <n v="500"/>
    <n v="79178.28"/>
    <n v="-58662.28"/>
    <n v="3.8593429518424642"/>
    <n v="35507"/>
    <n v="27361.63"/>
    <n v="12025.28"/>
    <n v="28171.32"/>
    <n v="3713"/>
    <n v="71271.23000000001"/>
    <n v="-35764.23000000001"/>
    <n v="2.0072444870025632"/>
    <n v="53649"/>
    <n v="19539.66"/>
    <n v="174"/>
    <n v="4404.3599999999997"/>
    <n v="45316.3"/>
    <n v="69434.320000000007"/>
    <n v="-15785.320000000007"/>
    <n v="1.2942332569106603"/>
    <n v="62642"/>
    <n v="15113.220000000001"/>
    <n v="21410"/>
    <n v="4855"/>
    <n v="21457"/>
    <n v="24144.12"/>
    <n v="86979.340000000011"/>
    <n v="-24337.340000000011"/>
    <n v="1.3885147345231637"/>
    <n v="33737"/>
    <n v="22355.260000000002"/>
    <n v="14100"/>
    <n v="30086.35"/>
    <n v="10977"/>
    <n v="77518.610000000015"/>
    <n v="-43781.610000000015"/>
    <n v="2.2977327563209538"/>
    <n v="52363"/>
    <n v="45688.750000000007"/>
    <n v="15003.9"/>
    <n v="15150"/>
    <n v="2080.5"/>
    <n v="77923.149999999994"/>
    <n v="-25560.149999999994"/>
    <n v="1.4881337967648911"/>
    <n v="23951"/>
    <n v="13214.75"/>
    <n v="23446.26"/>
    <n v="15433.880000000001"/>
    <n v="1500"/>
    <n v="22804"/>
    <n v="76398.89"/>
    <n v="-52447.89"/>
    <n v="3.1897995908312806"/>
    <n v="20000"/>
    <n v="200"/>
    <n v="23960.16"/>
    <n v="514"/>
    <n v="12700"/>
    <n v="37374.160000000003"/>
    <n v="-17374.160000000003"/>
    <n v="1.8687080000000003"/>
    <n v="20000"/>
    <n v="37582.829999999994"/>
    <n v="35877.31"/>
    <n v="1345.6"/>
    <n v="55826.450000000004"/>
    <n v="130632.19"/>
    <n v="-110632.19"/>
    <n v="6.5316095000000001"/>
    <n v="20000"/>
    <n v="7384"/>
    <n v="56506.89"/>
    <n v="26819.69"/>
    <n v="57726.09"/>
    <n v="15550.8"/>
    <n v="163987.47000000003"/>
    <n v="-143987.47000000003"/>
    <n v="8.1993735000000019"/>
    <n v="14261"/>
    <n v="2156"/>
    <n v="17327.169999999998"/>
    <n v="10436"/>
    <n v="8000"/>
    <n v="37919.17"/>
    <n v="-23658.17"/>
  </r>
  <r>
    <x v="22"/>
    <s v="HR"/>
    <n v="12400"/>
    <n v="2750"/>
    <n v="3050"/>
    <n v="1750"/>
    <n v="2200"/>
    <n v="9750"/>
    <n v="2650"/>
    <n v="0.78629032258064513"/>
    <n v="15500"/>
    <n v="3100"/>
    <n v="2000"/>
    <n v="2150"/>
    <n v="6100"/>
    <n v="2900"/>
    <n v="16250"/>
    <n v="-750"/>
    <n v="1.0483870967741935"/>
    <n v="12400"/>
    <n v="3100"/>
    <n v="1750"/>
    <n v="3400"/>
    <n v="2300"/>
    <n v="10550"/>
    <n v="1850"/>
    <n v="0.85080645161290325"/>
    <n v="12400"/>
    <n v="2300"/>
    <n v="3400"/>
    <n v="0"/>
    <n v="3400"/>
    <n v="9100"/>
    <n v="3300"/>
    <n v="0.7338709677419355"/>
    <n v="15500"/>
    <n v="3300"/>
    <n v="3900"/>
    <n v="4150"/>
    <n v="1750"/>
    <n v="3150"/>
    <n v="16250"/>
    <n v="-750"/>
    <n v="1.0483870967741935"/>
    <n v="12400"/>
    <n v="4600"/>
    <n v="5300"/>
    <n v="750"/>
    <n v="2500"/>
    <n v="13150"/>
    <n v="-750"/>
    <n v="1.060483870967742"/>
    <n v="12400"/>
    <n v="4900"/>
    <n v="3900"/>
    <n v="2300"/>
    <n v="4050"/>
    <n v="15150"/>
    <n v="-2750"/>
    <n v="1.221774193548387"/>
    <n v="17500"/>
    <n v="5100"/>
    <n v="3300"/>
    <n v="3100"/>
    <n v="3600"/>
    <n v="3500"/>
    <n v="18600"/>
    <n v="-1100"/>
    <n v="1.0628571428571429"/>
    <n v="19000"/>
    <n v="5450"/>
    <n v="4900"/>
    <n v="4800"/>
    <n v="4100"/>
    <n v="19250"/>
    <n v="-250"/>
    <n v="1.013157894736842"/>
    <n v="21000"/>
    <n v="4700"/>
    <n v="4000"/>
    <n v="2400"/>
    <n v="1450"/>
    <n v="12550"/>
    <n v="8450"/>
    <n v="0.59761904761904761"/>
    <n v="22000"/>
    <n v="4200"/>
    <n v="3500"/>
    <n v="6400"/>
    <n v="2300"/>
    <n v="3100"/>
    <n v="19500"/>
    <n v="2500"/>
    <n v="0.88636363636363635"/>
    <n v="14000"/>
    <n v="600"/>
    <n v="0"/>
    <n v="0"/>
    <n v="0"/>
    <n v="600"/>
    <n v="13400"/>
  </r>
  <r>
    <x v="22"/>
    <s v="CAPRICHOS"/>
    <n v="12500"/>
    <n v="2000"/>
    <n v="2000"/>
    <n v="1700"/>
    <n v="1300"/>
    <n v="7000"/>
    <n v="5500"/>
    <n v="0.56000000000000005"/>
    <n v="12500"/>
    <n v="1700"/>
    <n v="1500"/>
    <n v="2200"/>
    <n v="5000"/>
    <n v="1000"/>
    <n v="11400"/>
    <n v="1100"/>
    <n v="0.91200000000000003"/>
    <n v="12500"/>
    <n v="1000"/>
    <n v="2300"/>
    <n v="2800"/>
    <n v="2000"/>
    <n v="8100"/>
    <n v="4400"/>
    <n v="0.64800000000000002"/>
    <n v="12500"/>
    <n v="1600"/>
    <n v="3700"/>
    <n v="2900"/>
    <n v="1000"/>
    <n v="9200"/>
    <n v="3300"/>
    <n v="0.73599999999999999"/>
    <n v="12500"/>
    <n v="2300"/>
    <n v="4300"/>
    <n v="2300"/>
    <n v="2000"/>
    <n v="2300"/>
    <n v="13200"/>
    <n v="-700"/>
    <n v="1.056"/>
    <n v="12500"/>
    <n v="3800"/>
    <n v="2300"/>
    <n v="2300"/>
    <n v="1650"/>
    <n v="10050"/>
    <n v="2450"/>
    <n v="0.80400000000000005"/>
    <n v="12500"/>
    <n v="3800"/>
    <n v="1500"/>
    <n v="1300"/>
    <n v="2700"/>
    <n v="9300"/>
    <n v="3200"/>
    <n v="0.74399999999999999"/>
    <n v="12500"/>
    <n v="2300"/>
    <n v="2200"/>
    <n v="2300"/>
    <n v="2300"/>
    <n v="3800"/>
    <n v="12900"/>
    <n v="-400"/>
    <n v="1.032"/>
    <n v="12500"/>
    <n v="1300"/>
    <n v="2300"/>
    <n v="2300"/>
    <n v="3800"/>
    <n v="9700"/>
    <n v="2800"/>
    <n v="0.77600000000000002"/>
    <n v="12500"/>
    <n v="1300"/>
    <n v="1300"/>
    <n v="3800"/>
    <n v="1300"/>
    <n v="7700"/>
    <n v="4800"/>
    <n v="0.61599999999999999"/>
    <n v="12500"/>
    <n v="1300"/>
    <n v="3100"/>
    <n v="2000"/>
    <n v="4500"/>
    <n v="3600"/>
    <n v="14500"/>
    <n v="-2000"/>
    <n v="1.1599999999999999"/>
    <n v="14000"/>
    <n v="1300"/>
    <n v="0"/>
    <n v="0"/>
    <n v="0"/>
    <n v="1300"/>
    <n v="12700"/>
  </r>
  <r>
    <x v="22"/>
    <s v="CEDIS"/>
    <n v="56000"/>
    <n v="15500"/>
    <n v="16500"/>
    <n v="15500"/>
    <n v="16300"/>
    <n v="63800"/>
    <n v="-7800"/>
    <n v="1.1392857142857142"/>
    <n v="69000"/>
    <n v="15500"/>
    <n v="23500"/>
    <n v="22500"/>
    <n v="43000"/>
    <n v="20300"/>
    <n v="124800"/>
    <n v="-55800"/>
    <n v="1.808695652173913"/>
    <n v="56000"/>
    <n v="21500"/>
    <n v="17500"/>
    <n v="15500"/>
    <n v="19500"/>
    <n v="74000"/>
    <n v="-18000"/>
    <n v="1.3214285714285714"/>
    <n v="56000"/>
    <n v="11500"/>
    <n v="17500"/>
    <n v="13800"/>
    <n v="17500"/>
    <n v="60300"/>
    <n v="-4300"/>
    <n v="1.0767857142857142"/>
    <n v="69000"/>
    <n v="13700"/>
    <n v="17500"/>
    <n v="18700"/>
    <n v="15700"/>
    <n v="13800"/>
    <n v="79400"/>
    <n v="-10400"/>
    <n v="1.1507246376811595"/>
    <n v="56000"/>
    <n v="17700"/>
    <n v="15800"/>
    <n v="20800"/>
    <n v="18700"/>
    <n v="73000"/>
    <n v="-17000"/>
    <n v="1.3035714285714286"/>
    <n v="56000"/>
    <n v="20500"/>
    <n v="14500"/>
    <n v="18000"/>
    <n v="14500"/>
    <n v="67500"/>
    <n v="-11500"/>
    <n v="1.2053571428571428"/>
    <n v="89000"/>
    <n v="19500"/>
    <n v="18700"/>
    <n v="20500"/>
    <n v="21700"/>
    <n v="18500"/>
    <n v="98900"/>
    <n v="-9900"/>
    <n v="1.1112359550561797"/>
    <n v="72000"/>
    <n v="22700"/>
    <n v="29500"/>
    <n v="17200"/>
    <n v="19000"/>
    <n v="88400"/>
    <n v="-16400"/>
    <n v="1.2277777777777779"/>
    <n v="72000"/>
    <n v="34000"/>
    <n v="11000"/>
    <n v="11500"/>
    <n v="18000"/>
    <n v="74500"/>
    <n v="-2500"/>
    <n v="1.0347222222222223"/>
    <n v="69000"/>
    <n v="22200"/>
    <n v="21700"/>
    <n v="33000"/>
    <n v="18500"/>
    <n v="20500"/>
    <n v="115900"/>
    <n v="-46900"/>
    <n v="1.6797101449275362"/>
    <n v="70000"/>
    <n v="24500"/>
    <n v="23000"/>
    <n v="0"/>
    <n v="0"/>
    <n v="47500"/>
    <n v="22500"/>
  </r>
  <r>
    <x v="22"/>
    <s v="INVENTARIOS"/>
    <n v="8000"/>
    <n v="0"/>
    <n v="0"/>
    <n v="0"/>
    <n v="2500"/>
    <n v="2500"/>
    <n v="5500"/>
    <n v="0.3125"/>
    <n v="5000"/>
    <n v="1500"/>
    <n v="2500"/>
    <n v="1000"/>
    <n v="1500"/>
    <n v="2500"/>
    <n v="9000"/>
    <n v="-4000"/>
    <n v="1.8"/>
    <n v="2000"/>
    <n v="1500"/>
    <n v="1000"/>
    <n v="0"/>
    <n v="1500"/>
    <n v="4000"/>
    <n v="-2000"/>
    <n v="2"/>
    <n v="2000"/>
    <n v="1500"/>
    <n v="0"/>
    <n v="0"/>
    <n v="0"/>
    <n v="1500"/>
    <n v="500"/>
    <n v="0.75"/>
    <n v="2500"/>
    <n v="0"/>
    <n v="500"/>
    <n v="500"/>
    <n v="200"/>
    <n v="0"/>
    <n v="1200"/>
    <n v="1300"/>
    <n v="0.48"/>
    <n v="2000"/>
    <n v="1000"/>
    <n v="500"/>
    <n v="500"/>
    <n v="500"/>
    <n v="2500"/>
    <n v="-500"/>
    <n v="1.25"/>
    <n v="2000"/>
    <n v="0"/>
    <n v="1000"/>
    <n v="700"/>
    <n v="2000"/>
    <n v="3700"/>
    <n v="-1700"/>
    <n v="1.85"/>
    <n v="2500"/>
    <n v="1500"/>
    <n v="0"/>
    <n v="500"/>
    <n v="500"/>
    <n v="1000"/>
    <n v="3500"/>
    <n v="-1000"/>
    <n v="1.4"/>
    <n v="2000"/>
    <n v="1700"/>
    <n v="900"/>
    <n v="0"/>
    <n v="0"/>
    <n v="2600"/>
    <n v="-600"/>
    <n v="1.3"/>
    <n v="2000"/>
    <n v="0"/>
    <n v="1500"/>
    <n v="0"/>
    <n v="0"/>
    <n v="1500"/>
    <n v="500"/>
    <n v="0.75"/>
    <n v="1000"/>
    <n v="4200"/>
    <n v="1750"/>
    <n v="1250"/>
    <n v="0"/>
    <n v="0"/>
    <n v="7200"/>
    <n v="-6200"/>
    <n v="7.2"/>
    <n v="4000"/>
    <n v="2700"/>
    <n v="2700"/>
    <n v="0"/>
    <n v="0"/>
    <n v="5400"/>
    <n v="-1400"/>
  </r>
  <r>
    <x v="22"/>
    <s v="MANTENIMIENTO"/>
    <n v="0"/>
    <n v="1000"/>
    <n v="0"/>
    <n v="2000"/>
    <n v="500"/>
    <n v="3500"/>
    <n v="-3500"/>
    <n v="0"/>
    <n v="0"/>
    <n v="0"/>
    <n v="0"/>
    <n v="0"/>
    <n v="1000"/>
    <n v="0"/>
    <n v="1000"/>
    <n v="-1000"/>
    <n v="0"/>
    <n v="0"/>
    <n v="2000"/>
    <n v="500"/>
    <n v="1000"/>
    <n v="1500"/>
    <n v="5000"/>
    <n v="-5000"/>
    <n v="0"/>
    <n v="0"/>
    <n v="1000"/>
    <n v="0"/>
    <n v="0"/>
    <n v="0"/>
    <n v="1000"/>
    <n v="-1000"/>
    <n v="0"/>
    <n v="0"/>
    <n v="500"/>
    <n v="500"/>
    <n v="0"/>
    <n v="0"/>
    <n v="500"/>
    <n v="1500"/>
    <n v="-1500"/>
    <n v="0"/>
    <n v="0"/>
    <n v="1000"/>
    <n v="0"/>
    <n v="0"/>
    <n v="700"/>
    <n v="1700"/>
    <n v="-1700"/>
    <n v="0"/>
    <n v="0"/>
    <n v="1420.28"/>
    <n v="500"/>
    <n v="1000"/>
    <n v="300"/>
    <n v="3220.2799999999997"/>
    <n v="-3220.2799999999997"/>
    <n v="0"/>
    <n v="0"/>
    <n v="2000"/>
    <n v="1949"/>
    <n v="1500"/>
    <n v="0"/>
    <n v="200"/>
    <n v="5649"/>
    <n v="-56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4000"/>
    <n v="400"/>
    <n v="0"/>
    <n v="4600"/>
    <n v="-4600"/>
    <n v="0"/>
    <n v="5000"/>
    <n v="4450"/>
    <n v="1500"/>
    <n v="0"/>
    <n v="0"/>
    <n v="5950"/>
    <n v="-950"/>
  </r>
  <r>
    <x v="22"/>
    <s v="SERVICIOS"/>
    <n v="3200"/>
    <n v="400"/>
    <n v="500"/>
    <n v="0"/>
    <n v="900"/>
    <n v="1800"/>
    <n v="1400"/>
    <n v="0.5625"/>
    <n v="4200"/>
    <n v="400"/>
    <n v="0"/>
    <n v="2500"/>
    <n v="2500"/>
    <n v="300"/>
    <n v="5700"/>
    <n v="-1500"/>
    <n v="1.3571428571428572"/>
    <n v="3200"/>
    <n v="900"/>
    <n v="0"/>
    <n v="400"/>
    <n v="400"/>
    <n v="1700"/>
    <n v="1500"/>
    <n v="0.53125"/>
    <n v="4200"/>
    <n v="1500"/>
    <n v="0"/>
    <n v="400"/>
    <n v="1400"/>
    <n v="3300"/>
    <n v="900"/>
    <n v="0.7857142857142857"/>
    <n v="4200"/>
    <n v="1900"/>
    <n v="400"/>
    <n v="900"/>
    <n v="400"/>
    <n v="0"/>
    <n v="3600"/>
    <n v="600"/>
    <n v="0.8571428571428571"/>
    <n v="3200"/>
    <n v="1500"/>
    <n v="400"/>
    <n v="0"/>
    <n v="0"/>
    <n v="1900"/>
    <n v="1300"/>
    <n v="0.59375"/>
    <n v="3200"/>
    <n v="400"/>
    <n v="2000"/>
    <n v="0"/>
    <n v="500"/>
    <n v="2900"/>
    <n v="300"/>
    <n v="0.90625"/>
    <n v="4200"/>
    <n v="400"/>
    <n v="1400"/>
    <n v="400"/>
    <n v="1900"/>
    <n v="0"/>
    <n v="4100"/>
    <n v="100"/>
    <n v="0.97619047619047616"/>
    <n v="5200"/>
    <n v="400"/>
    <n v="400"/>
    <n v="1900"/>
    <n v="1000"/>
    <n v="3700"/>
    <n v="1500"/>
    <n v="0.71153846153846156"/>
    <n v="5200"/>
    <n v="500"/>
    <n v="400"/>
    <n v="700"/>
    <n v="0"/>
    <n v="1600"/>
    <n v="3600"/>
    <n v="0.30769230769230771"/>
    <n v="6200"/>
    <n v="300"/>
    <n v="15800"/>
    <n v="900"/>
    <n v="1200"/>
    <n v="400"/>
    <n v="18600"/>
    <n v="-12400"/>
    <n v="3"/>
    <n v="1600"/>
    <n v="1400"/>
    <n v="400"/>
    <n v="0"/>
    <n v="0"/>
    <n v="1800"/>
    <n v="-200"/>
  </r>
  <r>
    <x v="22"/>
    <s v="SISTEMAS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1000"/>
    <n v="0"/>
    <n v="1000"/>
    <n v="0"/>
    <n v="0"/>
    <n v="0"/>
    <n v="0"/>
    <n v="0"/>
    <n v="0"/>
    <n v="1000"/>
    <n v="0"/>
    <n v="1000"/>
    <n v="0"/>
    <n v="0"/>
    <n v="0"/>
    <n v="0"/>
    <n v="0"/>
    <n v="1000"/>
    <n v="0"/>
    <n v="1000"/>
    <n v="1700"/>
    <n v="0"/>
    <n v="0"/>
    <n v="0"/>
    <n v="1700"/>
    <n v="-700"/>
    <n v="1.7"/>
    <n v="1000"/>
    <n v="0"/>
    <n v="3700"/>
    <n v="0"/>
    <n v="0"/>
    <n v="0"/>
    <n v="3700"/>
    <n v="-2700"/>
    <n v="3.7"/>
    <n v="2000"/>
    <n v="0"/>
    <n v="0"/>
    <n v="1000"/>
    <n v="0"/>
    <n v="1000"/>
    <n v="1000"/>
    <n v="0.5"/>
    <n v="1000"/>
    <n v="500"/>
    <n v="0"/>
    <n v="0"/>
    <n v="0"/>
    <n v="500"/>
    <n v="500"/>
    <n v="0.5"/>
    <n v="1000"/>
    <n v="0"/>
    <n v="0"/>
    <n v="0"/>
    <n v="0"/>
    <n v="0"/>
    <n v="0"/>
    <n v="1000"/>
    <n v="0"/>
    <n v="2000"/>
    <n v="0"/>
    <n v="0"/>
    <n v="0"/>
    <n v="0"/>
    <n v="0"/>
    <n v="2000"/>
  </r>
  <r>
    <x v="22"/>
    <s v="CONTABILIDAD"/>
    <n v="2800"/>
    <n v="2000"/>
    <n v="0"/>
    <n v="0"/>
    <n v="1000"/>
    <n v="3000"/>
    <n v="-200"/>
    <n v="1.0714285714285714"/>
    <n v="3500"/>
    <n v="3000"/>
    <n v="1100"/>
    <n v="0"/>
    <n v="0"/>
    <n v="1500"/>
    <n v="5600"/>
    <n v="-2100"/>
    <n v="1.6"/>
    <n v="2800"/>
    <n v="1500"/>
    <n v="1500"/>
    <n v="1500"/>
    <n v="1400"/>
    <n v="5900"/>
    <n v="-3100"/>
    <n v="2.1071428571428572"/>
    <n v="2800"/>
    <n v="0"/>
    <n v="900"/>
    <n v="0"/>
    <n v="0"/>
    <n v="900"/>
    <n v="1900"/>
    <n v="0.32142857142857145"/>
    <n v="3500"/>
    <n v="0"/>
    <n v="0"/>
    <n v="500"/>
    <n v="0"/>
    <n v="0"/>
    <n v="500"/>
    <n v="3000"/>
    <n v="0.14285714285714285"/>
    <n v="2800"/>
    <n v="1400"/>
    <n v="0"/>
    <n v="1000"/>
    <n v="0"/>
    <n v="2400"/>
    <n v="400"/>
    <n v="0.8571428571428571"/>
    <n v="2800"/>
    <n v="0"/>
    <n v="0"/>
    <n v="0"/>
    <n v="900"/>
    <n v="900"/>
    <n v="1900"/>
    <n v="0.32142857142857145"/>
    <n v="3500"/>
    <n v="500"/>
    <n v="0"/>
    <n v="500"/>
    <n v="500"/>
    <n v="0"/>
    <n v="1500"/>
    <n v="2000"/>
    <n v="0.42857142857142855"/>
    <n v="2800"/>
    <n v="0"/>
    <n v="500"/>
    <n v="500"/>
    <n v="0"/>
    <n v="1000"/>
    <n v="1800"/>
    <n v="0.35714285714285715"/>
    <n v="2800"/>
    <n v="0"/>
    <n v="950"/>
    <n v="0"/>
    <n v="0"/>
    <n v="950"/>
    <n v="1850"/>
    <n v="0.3392857142857143"/>
    <n v="3500"/>
    <n v="0"/>
    <n v="0"/>
    <n v="0"/>
    <n v="500"/>
    <n v="500"/>
    <n v="1000"/>
    <n v="2500"/>
    <n v="0.2857142857142857"/>
    <n v="3200"/>
    <n v="0"/>
    <n v="1000"/>
    <n v="0"/>
    <n v="0"/>
    <n v="1000"/>
    <n v="2200"/>
  </r>
  <r>
    <x v="22"/>
    <s v="TESORERIA"/>
    <n v="8800"/>
    <n v="1500"/>
    <n v="0"/>
    <n v="2900"/>
    <n v="2200"/>
    <n v="6600"/>
    <n v="2200"/>
    <n v="0.75"/>
    <n v="11000"/>
    <n v="2200"/>
    <n v="2200"/>
    <n v="2200"/>
    <n v="4400"/>
    <n v="2200"/>
    <n v="13200"/>
    <n v="-2200"/>
    <n v="1.2"/>
    <n v="8800"/>
    <n v="2200"/>
    <n v="0"/>
    <n v="2200"/>
    <n v="2200"/>
    <n v="6600"/>
    <n v="2200"/>
    <n v="0.75"/>
    <n v="8800"/>
    <n v="1500"/>
    <n v="2200"/>
    <n v="2700"/>
    <n v="2700"/>
    <n v="9100"/>
    <n v="-300"/>
    <n v="1.0340909090909092"/>
    <n v="11000"/>
    <n v="2850"/>
    <n v="2700"/>
    <n v="2200"/>
    <n v="2200"/>
    <n v="2152"/>
    <n v="12102"/>
    <n v="-1102"/>
    <n v="1.1001818181818181"/>
    <n v="8800"/>
    <n v="2200"/>
    <n v="2200"/>
    <n v="2200"/>
    <n v="2200"/>
    <n v="8800"/>
    <n v="0"/>
    <n v="1"/>
    <n v="8800"/>
    <n v="2200"/>
    <n v="2200"/>
    <n v="2700"/>
    <n v="2200"/>
    <n v="9300"/>
    <n v="-500"/>
    <n v="1.0568181818181819"/>
    <n v="11000"/>
    <n v="1700"/>
    <n v="2200"/>
    <n v="2200"/>
    <n v="2200"/>
    <n v="2200"/>
    <n v="10500"/>
    <n v="500"/>
    <n v="0.95454545454545459"/>
    <n v="8800"/>
    <n v="2200"/>
    <n v="2200"/>
    <n v="2200"/>
    <n v="2200"/>
    <n v="8800"/>
    <n v="0"/>
    <n v="1"/>
    <n v="10000"/>
    <n v="2200"/>
    <n v="2200"/>
    <n v="2200"/>
    <n v="2200"/>
    <n v="8800"/>
    <n v="1200"/>
    <n v="0.88"/>
    <n v="15000"/>
    <n v="2200"/>
    <n v="2200"/>
    <n v="2200"/>
    <n v="1400"/>
    <n v="700"/>
    <n v="8700"/>
    <n v="6300"/>
    <n v="0.57999999999999996"/>
    <n v="10000"/>
    <n v="700"/>
    <n v="0"/>
    <n v="0"/>
    <n v="0"/>
    <n v="700"/>
    <n v="9300"/>
  </r>
  <r>
    <x v="22"/>
    <s v="FINANZAS"/>
    <n v="2800"/>
    <n v="700"/>
    <n v="200"/>
    <n v="0"/>
    <n v="0"/>
    <n v="900"/>
    <n v="1900"/>
    <n v="0.32142857142857145"/>
    <n v="3500"/>
    <n v="0"/>
    <n v="700"/>
    <n v="700"/>
    <n v="0"/>
    <n v="1620"/>
    <n v="3020"/>
    <n v="480"/>
    <n v="0.86285714285714288"/>
    <n v="2800"/>
    <n v="0"/>
    <n v="0"/>
    <n v="1400"/>
    <n v="700"/>
    <n v="2100"/>
    <n v="700"/>
    <n v="0.75"/>
    <n v="2800"/>
    <n v="0"/>
    <n v="700"/>
    <n v="0"/>
    <n v="700"/>
    <n v="1400"/>
    <n v="1400"/>
    <n v="0.5"/>
    <n v="3500"/>
    <n v="700"/>
    <n v="700"/>
    <n v="700"/>
    <n v="300"/>
    <n v="700"/>
    <n v="3100"/>
    <n v="400"/>
    <n v="0.88571428571428568"/>
    <n v="2800"/>
    <n v="700"/>
    <n v="0"/>
    <n v="700"/>
    <n v="700"/>
    <n v="2100"/>
    <n v="700"/>
    <n v="0.75"/>
    <n v="2800"/>
    <n v="700"/>
    <n v="0"/>
    <n v="0"/>
    <n v="0"/>
    <n v="700"/>
    <n v="2100"/>
    <n v="0.25"/>
    <n v="3500"/>
    <n v="700"/>
    <n v="700"/>
    <n v="700"/>
    <n v="700"/>
    <n v="0"/>
    <n v="2800"/>
    <n v="700"/>
    <n v="0.8"/>
    <n v="2800"/>
    <n v="0"/>
    <n v="700"/>
    <n v="700"/>
    <n v="0"/>
    <n v="1400"/>
    <n v="1400"/>
    <n v="0.5"/>
    <n v="2800"/>
    <n v="0"/>
    <n v="700"/>
    <n v="700"/>
    <n v="0"/>
    <n v="1400"/>
    <n v="1400"/>
    <n v="0.5"/>
    <n v="3500"/>
    <n v="700"/>
    <n v="700"/>
    <n v="1900"/>
    <n v="2200"/>
    <n v="1500"/>
    <n v="7000"/>
    <n v="-3500"/>
    <n v="2"/>
    <n v="3200"/>
    <n v="2200"/>
    <n v="0"/>
    <n v="17894.900000000001"/>
    <n v="0"/>
    <n v="20094.900000000001"/>
    <n v="-16894.900000000001"/>
  </r>
  <r>
    <x v="22"/>
    <s v="GESTION EMPRESARIAL"/>
    <n v="4000"/>
    <n v="500"/>
    <n v="0"/>
    <n v="500"/>
    <n v="500"/>
    <n v="1500"/>
    <n v="2500"/>
    <n v="0.375"/>
    <n v="4000"/>
    <n v="0"/>
    <n v="1000"/>
    <n v="0"/>
    <n v="1000"/>
    <n v="0"/>
    <n v="2000"/>
    <n v="2000"/>
    <n v="0.5"/>
    <n v="4000"/>
    <n v="500"/>
    <n v="0"/>
    <n v="1000"/>
    <n v="600"/>
    <n v="2100"/>
    <n v="1900"/>
    <n v="0.52500000000000002"/>
    <n v="4000"/>
    <n v="1000"/>
    <n v="0"/>
    <n v="0"/>
    <n v="0"/>
    <n v="1000"/>
    <n v="3000"/>
    <n v="0.25"/>
    <n v="4000"/>
    <n v="0"/>
    <n v="800"/>
    <n v="1000"/>
    <n v="1000"/>
    <n v="0"/>
    <n v="2800"/>
    <n v="1200"/>
    <n v="0.7"/>
    <n v="4000"/>
    <n v="0"/>
    <n v="1000"/>
    <n v="0"/>
    <n v="0"/>
    <n v="1000"/>
    <n v="3000"/>
    <n v="0.25"/>
    <n v="4000"/>
    <n v="0"/>
    <n v="1000"/>
    <n v="1000"/>
    <n v="1000"/>
    <n v="3000"/>
    <n v="1000"/>
    <n v="0.75"/>
    <n v="4000"/>
    <n v="0"/>
    <n v="1000"/>
    <n v="500"/>
    <n v="800"/>
    <n v="0"/>
    <n v="2300"/>
    <n v="1700"/>
    <n v="0.57499999999999996"/>
    <n v="4000"/>
    <n v="1000"/>
    <n v="1000"/>
    <n v="0"/>
    <n v="0"/>
    <n v="2000"/>
    <n v="2000"/>
    <n v="0.5"/>
    <n v="5000"/>
    <n v="0"/>
    <n v="800"/>
    <n v="0"/>
    <n v="0"/>
    <n v="800"/>
    <n v="4200"/>
    <n v="0.16"/>
    <n v="6000"/>
    <n v="0"/>
    <n v="0"/>
    <n v="0"/>
    <n v="800"/>
    <n v="0"/>
    <n v="800"/>
    <n v="5200"/>
    <n v="0.13333333333333333"/>
    <n v="3000"/>
    <n v="0"/>
    <n v="1300"/>
    <n v="0"/>
    <n v="0"/>
    <n v="1300"/>
    <n v="1700"/>
  </r>
  <r>
    <x v="22"/>
    <s v="DIRECCION"/>
    <n v="4400"/>
    <n v="1000"/>
    <n v="0"/>
    <n v="3200"/>
    <n v="1000"/>
    <n v="5200"/>
    <n v="-800"/>
    <n v="1.1818181818181819"/>
    <n v="4500"/>
    <n v="0"/>
    <n v="1000"/>
    <n v="2000"/>
    <n v="0"/>
    <n v="1000"/>
    <n v="4000"/>
    <n v="500"/>
    <n v="0.88888888888888884"/>
    <n v="5000"/>
    <n v="2000"/>
    <n v="0"/>
    <n v="1000"/>
    <n v="1000"/>
    <n v="4000"/>
    <n v="1000"/>
    <n v="0.8"/>
    <n v="3500"/>
    <n v="1000"/>
    <n v="0"/>
    <n v="0"/>
    <n v="1000"/>
    <n v="2000"/>
    <n v="1500"/>
    <n v="0.5714285714285714"/>
    <n v="1000"/>
    <n v="1000"/>
    <n v="1000"/>
    <n v="0"/>
    <n v="1000"/>
    <n v="1500"/>
    <n v="4500"/>
    <n v="-3500"/>
    <n v="4.5"/>
    <n v="1500"/>
    <n v="0"/>
    <n v="2000"/>
    <n v="0"/>
    <n v="1000"/>
    <n v="3000"/>
    <n v="-1500"/>
    <n v="2"/>
    <n v="500"/>
    <n v="1000"/>
    <n v="1500"/>
    <n v="4000"/>
    <n v="1000"/>
    <n v="7500"/>
    <n v="-7000"/>
    <n v="15"/>
    <n v="1300"/>
    <n v="1000"/>
    <n v="1000"/>
    <n v="1000"/>
    <n v="1021"/>
    <n v="1000"/>
    <n v="5021"/>
    <n v="-3721"/>
    <n v="3.8623076923076924"/>
    <n v="5000"/>
    <n v="1500"/>
    <n v="1000"/>
    <n v="1000"/>
    <n v="1600"/>
    <n v="5100"/>
    <n v="-100"/>
    <n v="1.02"/>
    <n v="5000"/>
    <n v="1000"/>
    <n v="1000"/>
    <n v="1000"/>
    <n v="0"/>
    <n v="3000"/>
    <n v="2000"/>
    <n v="0.6"/>
    <n v="6002"/>
    <n v="0"/>
    <n v="3000"/>
    <n v="1500"/>
    <n v="1500"/>
    <n v="0"/>
    <n v="6000"/>
    <n v="2"/>
    <n v="0.99966677774075308"/>
    <n v="4000"/>
    <n v="1000"/>
    <n v="1000"/>
    <n v="0"/>
    <n v="0"/>
    <n v="2000"/>
    <n v="2000"/>
  </r>
  <r>
    <x v="22"/>
    <s v="MELISSA"/>
    <n v="500"/>
    <n v="1000"/>
    <n v="0"/>
    <n v="0"/>
    <n v="1500"/>
    <n v="2500"/>
    <n v="-2000"/>
    <n v="5"/>
    <n v="3500"/>
    <n v="1500"/>
    <n v="1600"/>
    <n v="1000"/>
    <n v="3500"/>
    <n v="700"/>
    <n v="8300"/>
    <n v="-4800"/>
    <n v="2.3714285714285714"/>
    <n v="2800"/>
    <n v="0"/>
    <n v="0"/>
    <n v="1000"/>
    <n v="1000"/>
    <n v="2000"/>
    <n v="800"/>
    <n v="0.7142857142857143"/>
    <n v="2800"/>
    <n v="1000"/>
    <n v="1000"/>
    <n v="0"/>
    <n v="1000"/>
    <n v="3000"/>
    <n v="-200"/>
    <n v="1.0714285714285714"/>
    <n v="1700"/>
    <n v="1000"/>
    <n v="1000"/>
    <n v="1000"/>
    <n v="1000"/>
    <n v="1000"/>
    <n v="5000"/>
    <n v="-3300"/>
    <n v="2.9411764705882355"/>
    <n v="1700"/>
    <n v="0"/>
    <n v="2000"/>
    <n v="1000"/>
    <n v="1000"/>
    <n v="4000"/>
    <n v="-2300"/>
    <n v="2.3529411764705883"/>
    <n v="2300"/>
    <n v="1000"/>
    <n v="1000"/>
    <n v="0"/>
    <n v="0"/>
    <n v="2000"/>
    <n v="300"/>
    <n v="0.86956521739130432"/>
    <n v="4000"/>
    <n v="1000"/>
    <n v="1400"/>
    <n v="1000"/>
    <n v="1300"/>
    <n v="1200"/>
    <n v="5900"/>
    <n v="-1900"/>
    <n v="1.4750000000000001"/>
    <n v="0"/>
    <n v="1000"/>
    <n v="1000"/>
    <n v="1000"/>
    <n v="1000"/>
    <n v="4000"/>
    <n v="-4000"/>
    <n v="0"/>
    <n v="0"/>
    <n v="1200"/>
    <n v="1200"/>
    <n v="0"/>
    <n v="0"/>
    <n v="2400"/>
    <n v="-2400"/>
    <n v="0"/>
    <n v="0"/>
    <n v="1000"/>
    <n v="1200"/>
    <n v="1400"/>
    <n v="1400"/>
    <n v="0"/>
    <n v="5000"/>
    <n v="-5000"/>
    <n v="0"/>
    <n v="0"/>
    <n v="1200"/>
    <n v="0"/>
    <n v="0"/>
    <n v="0"/>
    <n v="1200"/>
    <n v="-1200"/>
  </r>
  <r>
    <x v="22"/>
    <s v="MARKET MAX"/>
    <n v="2800"/>
    <n v="700"/>
    <n v="0"/>
    <n v="1400"/>
    <n v="700"/>
    <n v="2800"/>
    <n v="0"/>
    <n v="1"/>
    <n v="300"/>
    <n v="700"/>
    <n v="700"/>
    <n v="700"/>
    <n v="700"/>
    <n v="0"/>
    <n v="2800"/>
    <n v="-2500"/>
    <n v="9.3333333333333339"/>
    <n v="800"/>
    <n v="700"/>
    <n v="700"/>
    <n v="700"/>
    <n v="700"/>
    <n v="2800"/>
    <n v="-2000"/>
    <n v="3.5"/>
    <n v="1000"/>
    <n v="700"/>
    <n v="700"/>
    <n v="700"/>
    <n v="700"/>
    <n v="2800"/>
    <n v="-1800"/>
    <n v="2.8"/>
    <n v="2800"/>
    <n v="700"/>
    <n v="700"/>
    <n v="700"/>
    <n v="700"/>
    <n v="700"/>
    <n v="3500"/>
    <n v="-700"/>
    <n v="1.25"/>
    <n v="0"/>
    <n v="700"/>
    <n v="700"/>
    <n v="700"/>
    <n v="700"/>
    <n v="2800"/>
    <n v="-2800"/>
    <n v="0"/>
    <n v="0"/>
    <n v="700"/>
    <n v="700"/>
    <n v="700"/>
    <n v="0"/>
    <n v="2100"/>
    <n v="-2100"/>
    <n v="0"/>
    <n v="3500"/>
    <n v="700"/>
    <n v="750"/>
    <n v="700"/>
    <n v="700"/>
    <n v="700"/>
    <n v="3550"/>
    <n v="-50"/>
    <n v="1.0142857142857142"/>
    <n v="0"/>
    <n v="700"/>
    <n v="700"/>
    <n v="700"/>
    <n v="700"/>
    <n v="2800"/>
    <n v="-2800"/>
    <n v="0"/>
    <n v="0"/>
    <n v="700"/>
    <n v="700"/>
    <n v="700"/>
    <n v="0"/>
    <n v="2100"/>
    <n v="-2100"/>
    <n v="0"/>
    <n v="0"/>
    <n v="700"/>
    <n v="700"/>
    <n v="700"/>
    <n v="700"/>
    <n v="700"/>
    <n v="3500"/>
    <n v="-3500"/>
    <n v="0"/>
    <n v="40000"/>
    <n v="700"/>
    <n v="1200"/>
    <n v="0"/>
    <n v="0"/>
    <n v="1900"/>
    <n v="38100"/>
  </r>
  <r>
    <x v="22"/>
    <s v="COMISION SI VALE"/>
    <n v="6264"/>
    <n v="0"/>
    <n v="1566"/>
    <n v="2766.2"/>
    <n v="1670.4"/>
    <n v="6002.6"/>
    <n v="261.39999999999964"/>
    <n v="0.9582694763729247"/>
    <n v="0"/>
    <n v="1618.2"/>
    <n v="1566"/>
    <n v="1044"/>
    <n v="2281.5"/>
    <n v="1566"/>
    <n v="8075.7"/>
    <n v="-8075.7"/>
    <n v="0"/>
    <n v="4803"/>
    <n v="1566"/>
    <n v="1566"/>
    <n v="1566"/>
    <n v="0"/>
    <n v="4698"/>
    <n v="105"/>
    <n v="0.97813866333541533"/>
    <n v="4384"/>
    <n v="4854.6000000000004"/>
    <n v="0"/>
    <n v="0"/>
    <n v="0"/>
    <n v="4854.6000000000004"/>
    <n v="-470.60000000000036"/>
    <n v="1.1073448905109491"/>
    <n v="6531"/>
    <n v="0"/>
    <n v="0"/>
    <n v="0"/>
    <n v="0"/>
    <n v="0"/>
    <n v="0"/>
    <n v="6531"/>
    <n v="0"/>
    <n v="4855"/>
    <n v="0"/>
    <n v="0"/>
    <n v="0"/>
    <n v="0"/>
    <n v="0"/>
    <n v="4855"/>
    <n v="0"/>
    <n v="5046"/>
    <n v="0"/>
    <n v="0"/>
    <n v="0"/>
    <n v="0"/>
    <n v="0"/>
    <n v="5046"/>
    <n v="0"/>
    <n v="6629"/>
    <n v="0"/>
    <n v="0"/>
    <n v="0"/>
    <n v="0"/>
    <n v="0"/>
    <n v="0"/>
    <n v="6629"/>
    <n v="0"/>
    <n v="0"/>
    <n v="0"/>
    <n v="0"/>
    <n v="0"/>
    <n v="0"/>
    <n v="0"/>
    <n v="0"/>
    <n v="0"/>
    <n v="0"/>
    <n v="1957.5"/>
    <n v="1404.18"/>
    <n v="1461.6"/>
    <n v="1827"/>
    <n v="6650.2800000000007"/>
    <n v="-6650.2800000000007"/>
    <n v="0"/>
    <n v="0"/>
    <n v="0"/>
    <n v="0"/>
    <n v="0"/>
    <n v="0"/>
    <n v="0"/>
    <n v="0"/>
    <n v="0"/>
    <n v="0"/>
    <n v="5202"/>
    <n v="0"/>
    <n v="0"/>
    <n v="0"/>
    <n v="0"/>
    <n v="0"/>
    <n v="5202"/>
  </r>
  <r>
    <x v="23"/>
    <s v="H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51.37"/>
    <n v="0"/>
    <n v="0"/>
    <n v="17351.37"/>
    <n v="-1735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58.57"/>
    <n v="0"/>
    <n v="0"/>
    <n v="16258.57"/>
    <n v="-16258.57"/>
    <n v="0"/>
    <n v="27557"/>
    <n v="0"/>
    <n v="0"/>
    <n v="0"/>
    <n v="0"/>
    <n v="0"/>
    <n v="2755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SERVICI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51.37"/>
    <n v="0"/>
    <n v="0"/>
    <n v="17351.37"/>
    <n v="-17351.37"/>
    <n v="0"/>
    <n v="0"/>
    <n v="0"/>
    <n v="0"/>
    <n v="2000"/>
    <n v="0"/>
    <n v="2000"/>
    <n v="-2000"/>
    <n v="0"/>
    <n v="0"/>
    <n v="0"/>
    <n v="0"/>
    <n v="0"/>
    <n v="0"/>
    <n v="0"/>
    <n v="0"/>
    <n v="0"/>
    <n v="0"/>
    <n v="0"/>
    <n v="1683"/>
    <n v="0"/>
    <n v="0"/>
    <n v="0"/>
    <n v="1683"/>
    <n v="-1683"/>
    <n v="0"/>
    <n v="0"/>
    <n v="0"/>
    <n v="1500"/>
    <n v="0"/>
    <n v="0"/>
    <n v="1500"/>
    <n v="-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"/>
    <n v="0"/>
    <n v="0"/>
    <n v="0"/>
    <n v="0"/>
    <n v="0"/>
    <n v="0"/>
    <n v="40000"/>
    <n v="0"/>
    <n v="2000"/>
    <n v="0"/>
    <n v="0"/>
    <n v="0"/>
    <n v="0"/>
    <n v="0"/>
    <n v="2000"/>
  </r>
  <r>
    <x v="23"/>
    <s v="FINANZAS"/>
    <n v="0"/>
    <n v="0"/>
    <n v="0"/>
    <n v="0"/>
    <n v="0"/>
    <n v="0"/>
    <n v="0"/>
    <n v="0"/>
    <n v="41929"/>
    <n v="0"/>
    <n v="0"/>
    <n v="0"/>
    <n v="4390"/>
    <n v="0"/>
    <n v="4390"/>
    <n v="37539"/>
    <n v="0.10470080373965514"/>
    <n v="0"/>
    <n v="0"/>
    <n v="34702.74"/>
    <n v="0"/>
    <n v="0"/>
    <n v="34702.74"/>
    <n v="-3470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GESTION EMPRESARIAL"/>
    <n v="0"/>
    <n v="0"/>
    <n v="0"/>
    <n v="0"/>
    <n v="0"/>
    <n v="0"/>
    <n v="0"/>
    <n v="0"/>
    <n v="0"/>
    <n v="0"/>
    <n v="0"/>
    <n v="0"/>
    <n v="0"/>
    <n v="0"/>
    <n v="0"/>
    <n v="0"/>
    <n v="0"/>
    <n v="3707"/>
    <n v="1750"/>
    <n v="17351.37"/>
    <n v="0"/>
    <n v="0"/>
    <n v="19101.37"/>
    <n v="-15394.369999999999"/>
    <n v="5.1527839223091449"/>
    <n v="0"/>
    <n v="0"/>
    <n v="0"/>
    <n v="0"/>
    <n v="0"/>
    <n v="0"/>
    <n v="0"/>
    <n v="0"/>
    <n v="0"/>
    <n v="0"/>
    <n v="0"/>
    <n v="0"/>
    <n v="0"/>
    <n v="0"/>
    <n v="0"/>
    <n v="0"/>
    <n v="0"/>
    <n v="25918"/>
    <n v="0"/>
    <n v="0"/>
    <n v="0"/>
    <n v="0"/>
    <n v="0"/>
    <n v="25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s v="DIRECCION"/>
    <n v="0"/>
    <n v="0"/>
    <n v="0"/>
    <n v="0"/>
    <n v="0"/>
    <n v="0"/>
    <n v="0"/>
    <n v="0"/>
    <n v="52150"/>
    <n v="0"/>
    <n v="0"/>
    <n v="0"/>
    <n v="0"/>
    <n v="0"/>
    <n v="0"/>
    <n v="52150"/>
    <n v="0"/>
    <n v="0"/>
    <n v="204567.89"/>
    <n v="0"/>
    <n v="0"/>
    <n v="17800"/>
    <n v="222367.89"/>
    <n v="-222367.89"/>
    <n v="0"/>
    <n v="0"/>
    <n v="0"/>
    <n v="0"/>
    <n v="24870"/>
    <n v="0"/>
    <n v="24870"/>
    <n v="-24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"/>
    <n v="0"/>
    <n v="0"/>
    <n v="0"/>
    <n v="0"/>
    <n v="0"/>
    <n v="24000"/>
  </r>
  <r>
    <x v="24"/>
    <s v="HR"/>
    <n v="4000"/>
    <n v="620"/>
    <n v="406"/>
    <n v="809"/>
    <n v="180"/>
    <n v="2015"/>
    <n v="1985"/>
    <n v="0.50375000000000003"/>
    <n v="6000"/>
    <n v="558"/>
    <n v="60"/>
    <n v="69"/>
    <n v="1505"/>
    <n v="0"/>
    <n v="2192"/>
    <n v="3808"/>
    <n v="0.36533333333333334"/>
    <n v="6000"/>
    <n v="60"/>
    <n v="15"/>
    <n v="11370"/>
    <n v="0"/>
    <n v="11445"/>
    <n v="-5445"/>
    <n v="1.9075"/>
    <n v="14000"/>
    <n v="89"/>
    <n v="0"/>
    <n v="64"/>
    <n v="64"/>
    <n v="217"/>
    <n v="13783"/>
    <n v="1.55E-2"/>
    <n v="8000"/>
    <n v="1303"/>
    <n v="64"/>
    <n v="119"/>
    <n v="2339"/>
    <n v="577"/>
    <n v="4402"/>
    <n v="3598"/>
    <n v="0.55025000000000002"/>
    <n v="4000"/>
    <n v="621"/>
    <n v="309"/>
    <n v="119"/>
    <n v="0"/>
    <n v="1049"/>
    <n v="2951"/>
    <n v="0.26224999999999998"/>
    <n v="10000"/>
    <n v="119"/>
    <n v="315"/>
    <n v="0"/>
    <n v="2775"/>
    <n v="3209"/>
    <n v="6791"/>
    <n v="0.32090000000000002"/>
    <n v="6000"/>
    <n v="94"/>
    <n v="271"/>
    <n v="464"/>
    <n v="162"/>
    <n v="544"/>
    <n v="1535"/>
    <n v="4465"/>
    <n v="0.25583333333333336"/>
    <n v="12000"/>
    <n v="724"/>
    <n v="261"/>
    <n v="66"/>
    <n v="382"/>
    <n v="1433"/>
    <n v="10567"/>
    <n v="0.11941666666666667"/>
    <n v="12000"/>
    <n v="2766"/>
    <n v="7205"/>
    <n v="170"/>
    <n v="8349"/>
    <n v="18490"/>
    <n v="-6490"/>
    <n v="1.5408333333333333"/>
    <n v="8000"/>
    <n v="4172"/>
    <n v="5532"/>
    <n v="6188.98"/>
    <n v="3709"/>
    <n v="479"/>
    <n v="20080.98"/>
    <n v="-12080.98"/>
    <n v="2.5101225"/>
    <n v="5600"/>
    <n v="1154"/>
    <n v="141"/>
    <n v="0"/>
    <n v="178"/>
    <n v="1473"/>
    <n v="4127"/>
  </r>
  <r>
    <x v="24"/>
    <s v="CAPRICHOS"/>
    <n v="2913"/>
    <n v="180"/>
    <n v="775"/>
    <n v="766"/>
    <n v="4320"/>
    <n v="6041"/>
    <n v="-3128"/>
    <n v="2.0738070717473396"/>
    <n v="481"/>
    <n v="265"/>
    <n v="172"/>
    <n v="0"/>
    <n v="16867.5"/>
    <n v="36"/>
    <n v="17340.5"/>
    <n v="-16859.5"/>
    <n v="36.050935550935549"/>
    <n v="89"/>
    <n v="448"/>
    <n v="74.97"/>
    <n v="1322.39"/>
    <n v="240.9"/>
    <n v="2086.2599999999998"/>
    <n v="-1997.2599999999998"/>
    <n v="23.441123595505616"/>
    <n v="2677"/>
    <n v="970"/>
    <n v="36"/>
    <n v="285"/>
    <n v="2329.04"/>
    <n v="3620.04"/>
    <n v="-943.04"/>
    <n v="1.3522749346283152"/>
    <n v="14420"/>
    <n v="1949.64"/>
    <n v="803"/>
    <n v="1209"/>
    <n v="97"/>
    <n v="434"/>
    <n v="4492.6400000000003"/>
    <n v="9927.36"/>
    <n v="0.31155617198335644"/>
    <n v="5294"/>
    <n v="609"/>
    <n v="177"/>
    <n v="111"/>
    <n v="230"/>
    <n v="1127"/>
    <n v="4167"/>
    <n v="0.21288250850018889"/>
    <n v="0"/>
    <n v="3334"/>
    <n v="569"/>
    <n v="671"/>
    <n v="8351.4599999999991"/>
    <n v="12925.46"/>
    <n v="-12925.46"/>
    <n v="0"/>
    <n v="3979"/>
    <n v="603"/>
    <n v="200"/>
    <n v="446"/>
    <n v="420"/>
    <n v="165"/>
    <n v="1834"/>
    <n v="2145"/>
    <n v="0.46091982910278967"/>
    <n v="0"/>
    <n v="692"/>
    <n v="454.9"/>
    <n v="928.32"/>
    <n v="5105"/>
    <n v="7180.22"/>
    <n v="-7180.22"/>
    <n v="0"/>
    <n v="0"/>
    <n v="1365.64"/>
    <n v="21570"/>
    <n v="557"/>
    <n v="7500"/>
    <n v="30992.639999999999"/>
    <n v="-30992.639999999999"/>
    <n v="0"/>
    <n v="5000"/>
    <n v="604"/>
    <n v="617.99"/>
    <n v="645"/>
    <n v="339"/>
    <n v="710"/>
    <n v="2915.99"/>
    <n v="2084.0100000000002"/>
    <n v="0.58319799999999999"/>
    <n v="5000"/>
    <n v="506"/>
    <n v="829"/>
    <n v="1121"/>
    <n v="304"/>
    <n v="2760"/>
    <n v="2240"/>
  </r>
  <r>
    <x v="24"/>
    <s v="E6"/>
    <n v="0"/>
    <n v="0"/>
    <n v="0"/>
    <n v="0"/>
    <n v="0"/>
    <n v="0"/>
    <n v="0"/>
    <n v="0"/>
    <n v="4705"/>
    <n v="0"/>
    <n v="0"/>
    <n v="0"/>
    <n v="0"/>
    <n v="0"/>
    <n v="0"/>
    <n v="4705"/>
    <n v="0"/>
    <n v="100"/>
    <n v="0"/>
    <n v="0"/>
    <n v="0"/>
    <n v="0"/>
    <n v="0"/>
    <n v="100"/>
    <n v="0"/>
    <n v="174"/>
    <n v="0"/>
    <n v="0"/>
    <n v="0"/>
    <n v="0"/>
    <n v="0"/>
    <n v="174"/>
    <n v="0"/>
    <n v="431"/>
    <n v="0"/>
    <n v="0"/>
    <n v="0"/>
    <n v="0"/>
    <n v="0"/>
    <n v="0"/>
    <n v="431"/>
    <n v="0"/>
    <n v="352"/>
    <n v="0"/>
    <n v="0"/>
    <n v="0"/>
    <n v="0"/>
    <n v="0"/>
    <n v="352"/>
    <n v="0"/>
    <n v="361"/>
    <n v="0"/>
    <n v="0"/>
    <n v="0"/>
    <n v="0"/>
    <n v="0"/>
    <n v="361"/>
    <n v="0"/>
    <n v="0"/>
    <n v="0"/>
    <n v="0"/>
    <n v="0"/>
    <n v="0"/>
    <n v="0"/>
    <n v="0"/>
    <n v="0"/>
    <n v="0"/>
    <n v="500"/>
    <n v="0"/>
    <n v="0"/>
    <n v="0"/>
    <n v="0"/>
    <n v="0"/>
    <n v="500"/>
    <n v="0"/>
    <n v="1000"/>
    <n v="0"/>
    <n v="800"/>
    <n v="0"/>
    <n v="0"/>
    <n v="800"/>
    <n v="200"/>
    <n v="0.8"/>
    <n v="1000"/>
    <n v="0"/>
    <n v="0"/>
    <n v="0"/>
    <n v="294"/>
    <n v="0"/>
    <n v="294"/>
    <n v="706"/>
    <n v="0.29399999999999998"/>
    <n v="0"/>
    <n v="0"/>
    <n v="0"/>
    <n v="0"/>
    <n v="0"/>
    <n v="0"/>
    <n v="0"/>
  </r>
  <r>
    <x v="24"/>
    <s v="CEDIS"/>
    <n v="0"/>
    <n v="0"/>
    <n v="0"/>
    <n v="13374.8"/>
    <n v="0"/>
    <n v="13374.8"/>
    <n v="-1337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"/>
    <n v="0"/>
    <n v="0"/>
    <n v="4176"/>
    <n v="-4176"/>
    <n v="0"/>
    <n v="15000"/>
    <n v="0"/>
    <n v="2324"/>
    <n v="14964.93"/>
    <n v="0"/>
    <n v="0"/>
    <n v="17288.93"/>
    <n v="-2288.9300000000003"/>
    <n v="1.1525953333333334"/>
    <n v="0"/>
    <n v="0"/>
    <n v="0"/>
    <n v="0"/>
    <n v="0"/>
    <n v="0"/>
    <n v="0"/>
    <n v="0"/>
    <n v="0"/>
    <n v="0"/>
    <n v="6148"/>
    <n v="0"/>
    <n v="0"/>
    <n v="6148"/>
    <n v="-6148"/>
    <n v="0"/>
    <n v="0"/>
    <n v="0"/>
    <n v="1300"/>
    <n v="0"/>
    <n v="1700"/>
    <n v="0"/>
    <n v="3000"/>
    <n v="-3000"/>
    <n v="0"/>
    <n v="0"/>
    <n v="0"/>
    <n v="0"/>
    <n v="0"/>
    <n v="186"/>
    <n v="186"/>
    <n v="-186"/>
    <n v="0"/>
    <n v="0"/>
    <n v="2425"/>
    <n v="0"/>
    <n v="8268"/>
    <n v="0"/>
    <n v="10693"/>
    <n v="-10693"/>
    <n v="0"/>
    <n v="0"/>
    <n v="2192.4"/>
    <n v="0"/>
    <n v="3021.8"/>
    <n v="0"/>
    <n v="0"/>
    <n v="5214.2000000000007"/>
    <n v="-5214.2000000000007"/>
    <n v="0"/>
    <n v="0"/>
    <n v="0"/>
    <n v="0"/>
    <n v="0"/>
    <n v="0"/>
    <n v="0"/>
    <n v="0"/>
  </r>
  <r>
    <x v="24"/>
    <s v="MARKET MAX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4000"/>
    <n v="0"/>
    <n v="4000"/>
    <n v="0"/>
    <n v="0"/>
    <n v="0"/>
    <n v="0"/>
    <n v="0"/>
    <n v="0"/>
    <n v="4000"/>
    <n v="0"/>
    <n v="0"/>
    <n v="0"/>
    <n v="0"/>
    <n v="0"/>
    <n v="0"/>
    <n v="0"/>
    <n v="0"/>
  </r>
  <r>
    <x v="24"/>
    <s v="INVENTARI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s v="CADENA DE SUMINISTROS"/>
    <n v="40000"/>
    <n v="0"/>
    <n v="0"/>
    <n v="30150.54"/>
    <n v="4817"/>
    <n v="34967.54"/>
    <n v="5032.4599999999991"/>
    <n v="0.87418850000000003"/>
    <n v="40000"/>
    <n v="6016.35"/>
    <n v="19723.2"/>
    <n v="5846.32"/>
    <n v="7656"/>
    <n v="0"/>
    <n v="39241.870000000003"/>
    <n v="758.12999999999738"/>
    <n v="0.98104675000000008"/>
    <n v="40000"/>
    <n v="10592.25"/>
    <n v="20298.830000000002"/>
    <n v="12900.36"/>
    <n v="0"/>
    <n v="43791.44"/>
    <n v="-3791.4400000000023"/>
    <n v="1.094786"/>
    <n v="40000"/>
    <n v="36409.54"/>
    <n v="2158.6999999999998"/>
    <n v="0"/>
    <n v="22644"/>
    <n v="61212.24"/>
    <n v="-21212.239999999998"/>
    <n v="1.5303059999999999"/>
    <n v="40000"/>
    <n v="19236.02"/>
    <n v="15585.6"/>
    <n v="35361.78"/>
    <n v="10590.8"/>
    <n v="1508.14"/>
    <n v="82282.34"/>
    <n v="-42282.34"/>
    <n v="2.0570585000000001"/>
    <n v="40000"/>
    <n v="0"/>
    <n v="5055.95"/>
    <n v="0"/>
    <n v="64498.06"/>
    <n v="69554.009999999995"/>
    <n v="-29554.009999999995"/>
    <n v="1.7388502499999998"/>
    <n v="40000"/>
    <n v="26999.360000000001"/>
    <n v="7776.64"/>
    <n v="4525"/>
    <n v="10627.83"/>
    <n v="49928.829999999994"/>
    <n v="-9928.8299999999945"/>
    <n v="1.2482207499999998"/>
    <n v="40000"/>
    <n v="0"/>
    <n v="7244.2"/>
    <n v="11616"/>
    <n v="22446"/>
    <n v="9883.2000000000007"/>
    <n v="51189.399999999994"/>
    <n v="-11189.399999999994"/>
    <n v="1.2797349999999998"/>
    <n v="40000"/>
    <n v="36727.729999999996"/>
    <n v="23328.22"/>
    <n v="0"/>
    <n v="16843.2"/>
    <n v="76899.149999999994"/>
    <n v="-36899.149999999994"/>
    <n v="1.9224787499999998"/>
    <n v="40000"/>
    <n v="41544.32"/>
    <n v="11407.14"/>
    <n v="0"/>
    <n v="0"/>
    <n v="52951.46"/>
    <n v="-12951.46"/>
    <n v="1.3237865"/>
    <n v="40000"/>
    <n v="8368.2099999999991"/>
    <n v="35048.6"/>
    <n v="31329.360000000001"/>
    <n v="0"/>
    <n v="119387.25"/>
    <n v="194133.41999999998"/>
    <n v="-154133.41999999998"/>
    <n v="4.8533355"/>
    <n v="40000"/>
    <n v="0"/>
    <n v="0"/>
    <n v="10874.83"/>
    <n v="0"/>
    <n v="10874.83"/>
    <n v="29125.17"/>
  </r>
  <r>
    <x v="24"/>
    <s v="SISTEMAS"/>
    <n v="4346"/>
    <n v="0"/>
    <n v="0"/>
    <n v="0"/>
    <n v="7391.52"/>
    <n v="7391.52"/>
    <n v="-3045.5200000000004"/>
    <n v="1.7007639208467558"/>
    <n v="0"/>
    <n v="0"/>
    <n v="0"/>
    <n v="0"/>
    <n v="0"/>
    <n v="10975.68"/>
    <n v="10975.68"/>
    <n v="-10975.68"/>
    <n v="0"/>
    <n v="3736"/>
    <n v="0"/>
    <n v="3712"/>
    <n v="0"/>
    <n v="1222.48"/>
    <n v="4934.4799999999996"/>
    <n v="-1198.4799999999996"/>
    <n v="1.3207922912205565"/>
    <n v="362"/>
    <n v="3750"/>
    <n v="0"/>
    <n v="16843.2"/>
    <n v="0"/>
    <n v="20593.2"/>
    <n v="-20231.2"/>
    <n v="56.887292817679558"/>
    <n v="15761"/>
    <n v="9309.16"/>
    <n v="0"/>
    <n v="0"/>
    <n v="0"/>
    <n v="0"/>
    <n v="9309.16"/>
    <n v="6451.84"/>
    <n v="0.59064526362540448"/>
    <n v="6172"/>
    <n v="0"/>
    <n v="0"/>
    <n v="0"/>
    <n v="0"/>
    <n v="0"/>
    <n v="6172"/>
    <n v="0"/>
    <n v="0"/>
    <n v="0"/>
    <n v="0"/>
    <n v="0"/>
    <n v="0"/>
    <n v="0"/>
    <n v="0"/>
    <n v="0"/>
    <n v="700"/>
    <n v="0"/>
    <n v="0"/>
    <n v="0"/>
    <n v="1728.4"/>
    <n v="0"/>
    <n v="1728.4"/>
    <n v="-1028.4000000000001"/>
    <n v="2.4691428571428573"/>
    <n v="19500"/>
    <n v="0"/>
    <n v="0"/>
    <n v="0"/>
    <n v="3944"/>
    <n v="3944"/>
    <n v="15556"/>
    <n v="0.20225641025641025"/>
    <n v="0"/>
    <n v="0"/>
    <n v="0"/>
    <n v="0"/>
    <n v="10440"/>
    <n v="10440"/>
    <n v="-10440"/>
    <n v="0"/>
    <n v="0"/>
    <n v="0"/>
    <n v="14360"/>
    <n v="5543.64"/>
    <n v="0"/>
    <n v="0"/>
    <n v="19903.64"/>
    <n v="-19903.64"/>
    <n v="0"/>
    <n v="8000"/>
    <n v="0"/>
    <n v="0"/>
    <n v="0"/>
    <n v="0"/>
    <n v="0"/>
    <n v="8000"/>
  </r>
  <r>
    <x v="24"/>
    <s v="GESTION EMPRESARIAL"/>
    <n v="0"/>
    <n v="0"/>
    <n v="0"/>
    <n v="0"/>
    <n v="90"/>
    <n v="90"/>
    <n v="-90"/>
    <n v="0"/>
    <n v="0"/>
    <n v="0"/>
    <n v="0"/>
    <n v="0"/>
    <n v="0"/>
    <n v="0"/>
    <n v="0"/>
    <n v="0"/>
    <n v="0"/>
    <n v="11000"/>
    <n v="11214"/>
    <n v="0"/>
    <n v="0"/>
    <n v="0"/>
    <n v="11214"/>
    <n v="-214"/>
    <n v="1.0194545454545454"/>
    <n v="0"/>
    <n v="0"/>
    <n v="0"/>
    <n v="0"/>
    <n v="0"/>
    <n v="0"/>
    <n v="0"/>
    <n v="0"/>
    <n v="11000"/>
    <n v="0"/>
    <n v="0"/>
    <n v="0"/>
    <n v="0"/>
    <n v="10914"/>
    <n v="10914"/>
    <n v="86"/>
    <n v="0.99218181818181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0"/>
    <n v="0"/>
    <n v="10914"/>
    <n v="0"/>
    <n v="0"/>
    <n v="10914"/>
    <n v="86"/>
    <n v="0.99218181818181816"/>
    <n v="0"/>
    <n v="0"/>
    <n v="0"/>
    <n v="0"/>
    <n v="0"/>
    <n v="0"/>
    <n v="0"/>
    <n v="0"/>
    <n v="11000"/>
    <n v="0"/>
    <n v="0"/>
    <n v="0"/>
    <n v="0"/>
    <n v="0"/>
    <n v="0"/>
    <n v="11000"/>
    <n v="0"/>
    <n v="0"/>
    <n v="10914"/>
    <n v="0"/>
    <n v="0"/>
    <n v="0"/>
    <n v="10914"/>
    <n v="-10914"/>
  </r>
  <r>
    <x v="24"/>
    <s v="FINANZAS"/>
    <n v="800"/>
    <n v="0"/>
    <n v="872"/>
    <n v="40"/>
    <n v="0"/>
    <n v="912"/>
    <n v="-112"/>
    <n v="1.1399999999999999"/>
    <n v="800"/>
    <n v="0"/>
    <n v="0"/>
    <n v="0"/>
    <n v="492"/>
    <n v="0"/>
    <n v="492"/>
    <n v="308"/>
    <n v="0.61499999999999999"/>
    <n v="800"/>
    <n v="0"/>
    <n v="1339"/>
    <n v="84"/>
    <n v="0"/>
    <n v="1423"/>
    <n v="-623"/>
    <n v="1.7787500000000001"/>
    <n v="800"/>
    <n v="965"/>
    <n v="37"/>
    <n v="0"/>
    <n v="2500"/>
    <n v="3502"/>
    <n v="-2702"/>
    <n v="4.3775000000000004"/>
    <n v="800"/>
    <n v="1120"/>
    <n v="0"/>
    <n v="0"/>
    <n v="2500"/>
    <n v="578"/>
    <n v="4198"/>
    <n v="-3398"/>
    <n v="5.2474999999999996"/>
    <n v="800"/>
    <n v="410"/>
    <n v="0"/>
    <n v="1000"/>
    <n v="0"/>
    <n v="1410"/>
    <n v="-610"/>
    <n v="1.7625"/>
    <n v="800"/>
    <n v="79"/>
    <n v="1890"/>
    <n v="0"/>
    <n v="116"/>
    <n v="2085"/>
    <n v="-1285"/>
    <n v="2.6062500000000002"/>
    <n v="800"/>
    <n v="0"/>
    <n v="0"/>
    <n v="511"/>
    <n v="79"/>
    <n v="0"/>
    <n v="590"/>
    <n v="210"/>
    <n v="0.73750000000000004"/>
    <n v="800"/>
    <n v="550"/>
    <n v="0"/>
    <n v="116"/>
    <n v="3000"/>
    <n v="3666"/>
    <n v="-2866"/>
    <n v="4.5824999999999996"/>
    <n v="800"/>
    <n v="699"/>
    <n v="0"/>
    <n v="57"/>
    <n v="0"/>
    <n v="756"/>
    <n v="44"/>
    <n v="0.94499999999999995"/>
    <n v="800"/>
    <n v="666"/>
    <n v="2366"/>
    <n v="0"/>
    <n v="0"/>
    <n v="0"/>
    <n v="3032"/>
    <n v="-2232"/>
    <n v="3.79"/>
    <n v="1500"/>
    <n v="0"/>
    <n v="0"/>
    <n v="1500"/>
    <n v="0"/>
    <n v="1500"/>
    <n v="0"/>
  </r>
  <r>
    <x v="24"/>
    <s v="COFFE"/>
    <n v="4000"/>
    <n v="0"/>
    <n v="0"/>
    <n v="3865"/>
    <n v="3728.7799999999997"/>
    <n v="7593.78"/>
    <n v="-3593.7799999999997"/>
    <n v="1.8984449999999999"/>
    <n v="4000"/>
    <n v="0"/>
    <n v="0"/>
    <n v="2500"/>
    <n v="4026.41"/>
    <n v="0"/>
    <n v="6526.41"/>
    <n v="-2526.41"/>
    <n v="1.6316025000000001"/>
    <n v="4000"/>
    <n v="0"/>
    <n v="1100"/>
    <n v="0"/>
    <n v="2500"/>
    <n v="3600"/>
    <n v="400"/>
    <n v="0.9"/>
    <n v="4000"/>
    <n v="2725"/>
    <n v="0"/>
    <n v="0"/>
    <n v="2000"/>
    <n v="4725"/>
    <n v="-725"/>
    <n v="1.1812499999999999"/>
    <n v="4000"/>
    <n v="0"/>
    <n v="0"/>
    <n v="0"/>
    <n v="0"/>
    <n v="0"/>
    <n v="0"/>
    <n v="4000"/>
    <n v="0"/>
    <n v="4000"/>
    <n v="2500"/>
    <n v="1200"/>
    <n v="0"/>
    <n v="1197"/>
    <n v="4897"/>
    <n v="-897"/>
    <n v="1.2242500000000001"/>
    <n v="4000"/>
    <n v="0"/>
    <n v="2500"/>
    <n v="0"/>
    <n v="0"/>
    <n v="2500"/>
    <n v="1500"/>
    <n v="0.625"/>
    <n v="4000"/>
    <n v="0"/>
    <n v="0"/>
    <n v="2500"/>
    <n v="0"/>
    <n v="0"/>
    <n v="2500"/>
    <n v="1500"/>
    <n v="0.625"/>
    <n v="4000"/>
    <n v="1600"/>
    <n v="0"/>
    <n v="2500"/>
    <n v="0"/>
    <n v="4100"/>
    <n v="-100"/>
    <n v="1.0249999999999999"/>
    <n v="5500"/>
    <n v="2500"/>
    <n v="500"/>
    <n v="1750"/>
    <n v="0"/>
    <n v="4750"/>
    <n v="750"/>
    <n v="0.86363636363636365"/>
    <n v="5500"/>
    <n v="0"/>
    <n v="3784.84"/>
    <n v="0"/>
    <n v="384.65"/>
    <n v="0"/>
    <n v="4169.49"/>
    <n v="1330.5100000000002"/>
    <n v="0.75808909090909082"/>
    <n v="4750"/>
    <n v="2500"/>
    <n v="1750"/>
    <n v="2000"/>
    <n v="2111.48"/>
    <n v="8361.48"/>
    <n v="-3611.4799999999996"/>
  </r>
  <r>
    <x v="25"/>
    <s v="HR"/>
    <n v="6000"/>
    <n v="1468"/>
    <n v="852"/>
    <n v="1172"/>
    <n v="2540"/>
    <n v="6032"/>
    <n v="-32"/>
    <n v="1.0053333333333334"/>
    <n v="6000"/>
    <n v="2557"/>
    <n v="3654"/>
    <n v="1658"/>
    <n v="1919"/>
    <n v="1251"/>
    <n v="11039"/>
    <n v="-5039"/>
    <n v="1.8398333333333334"/>
    <n v="8000"/>
    <n v="1892"/>
    <n v="160"/>
    <n v="3002"/>
    <n v="878"/>
    <n v="5932"/>
    <n v="2068"/>
    <n v="0.74150000000000005"/>
    <n v="8000"/>
    <n v="2242"/>
    <n v="2191"/>
    <n v="2797"/>
    <n v="2914"/>
    <n v="10144"/>
    <n v="-2144"/>
    <n v="1.268"/>
    <n v="8000"/>
    <n v="1874"/>
    <n v="3730"/>
    <n v="4667"/>
    <n v="4299.7666666666664"/>
    <n v="1288"/>
    <n v="15858.766666666666"/>
    <n v="-7858.7666666666664"/>
    <n v="1.9823458333333333"/>
    <n v="6000"/>
    <n v="1400"/>
    <n v="1261"/>
    <n v="2395"/>
    <n v="973"/>
    <n v="6029"/>
    <n v="-29"/>
    <n v="1.0048333333333332"/>
    <n v="12000"/>
    <n v="417"/>
    <n v="697"/>
    <n v="583"/>
    <n v="523"/>
    <n v="2220"/>
    <n v="9780"/>
    <n v="0.185"/>
    <n v="12000"/>
    <n v="2318"/>
    <n v="1641"/>
    <n v="420"/>
    <n v="295"/>
    <n v="90"/>
    <n v="4764"/>
    <n v="7236"/>
    <n v="0.39700000000000002"/>
    <n v="12000"/>
    <n v="713"/>
    <n v="2724"/>
    <n v="1838"/>
    <n v="4370"/>
    <n v="9645"/>
    <n v="2355"/>
    <n v="0.80374999999999996"/>
    <n v="15000"/>
    <n v="3678"/>
    <n v="3859"/>
    <n v="10261"/>
    <n v="3267"/>
    <n v="21065"/>
    <n v="-6065"/>
    <n v="1.4043333333333334"/>
    <n v="15000"/>
    <n v="8063"/>
    <n v="11094"/>
    <n v="27016"/>
    <n v="29724.799999999999"/>
    <n v="560"/>
    <n v="76457.8"/>
    <n v="-61457.8"/>
    <n v="5.0971866666666665"/>
    <n v="0"/>
    <n v="1596"/>
    <n v="1304"/>
    <n v="1707"/>
    <n v="1258"/>
    <n v="5865"/>
    <n v="-5865"/>
  </r>
  <r>
    <x v="25"/>
    <s v="CAP"/>
    <n v="12836"/>
    <n v="4539"/>
    <n v="5373"/>
    <n v="4520"/>
    <n v="2540"/>
    <n v="16972"/>
    <n v="-4136"/>
    <n v="1.3222187597382362"/>
    <n v="17289"/>
    <n v="5448"/>
    <n v="3903"/>
    <n v="4129"/>
    <n v="4455"/>
    <n v="4248"/>
    <n v="22183"/>
    <n v="-4894"/>
    <n v="1.2830701602174792"/>
    <n v="15083"/>
    <n v="4181"/>
    <n v="2263"/>
    <n v="4590"/>
    <n v="3773"/>
    <n v="14807"/>
    <n v="276"/>
    <n v="0.98170125306636613"/>
    <n v="11536"/>
    <n v="3428"/>
    <n v="4658"/>
    <n v="4391.5"/>
    <n v="5672"/>
    <n v="18149.5"/>
    <n v="-6613.5"/>
    <n v="1.5732923023578362"/>
    <n v="10130"/>
    <n v="3663"/>
    <n v="4714"/>
    <n v="5460"/>
    <n v="3153"/>
    <n v="5832"/>
    <n v="22822"/>
    <n v="-12692"/>
    <n v="2.2529121421520237"/>
    <n v="12171"/>
    <n v="4538"/>
    <n v="4295"/>
    <n v="2278"/>
    <n v="2685"/>
    <n v="13796"/>
    <n v="-1625"/>
    <n v="1.1335140908717443"/>
    <n v="15413"/>
    <n v="3721"/>
    <n v="2895"/>
    <n v="2523"/>
    <n v="1971"/>
    <n v="11110"/>
    <n v="4303"/>
    <n v="0.72082008693959643"/>
    <n v="17328"/>
    <n v="1365"/>
    <n v="1754"/>
    <n v="2553"/>
    <n v="2502"/>
    <n v="3133"/>
    <n v="11307"/>
    <n v="6021"/>
    <n v="0.65252770083102496"/>
    <n v="16000"/>
    <n v="2397"/>
    <n v="2249"/>
    <n v="2364"/>
    <n v="4170"/>
    <n v="11180"/>
    <n v="4820"/>
    <n v="0.69874999999999998"/>
    <n v="16000"/>
    <n v="2401"/>
    <n v="1971"/>
    <n v="1690"/>
    <n v="2909"/>
    <n v="8971"/>
    <n v="7029"/>
    <n v="0.56068750000000001"/>
    <n v="20000"/>
    <n v="3191"/>
    <n v="5366"/>
    <n v="10702"/>
    <n v="14260"/>
    <n v="5707"/>
    <n v="39226"/>
    <n v="-19226"/>
    <n v="1.9613"/>
    <n v="2000"/>
    <n v="4341"/>
    <n v="3959"/>
    <n v="3870"/>
    <n v="2917"/>
    <n v="15087"/>
    <n v="-13087"/>
  </r>
  <r>
    <x v="26"/>
    <s v="EDIFICIO"/>
    <n v="0"/>
    <n v="0"/>
    <n v="0"/>
    <n v="0"/>
    <n v="0"/>
    <n v="0"/>
    <n v="0"/>
    <n v="0"/>
    <n v="0"/>
    <n v="0"/>
    <n v="0"/>
    <n v="0"/>
    <n v="0"/>
    <n v="0"/>
    <n v="0"/>
    <n v="0"/>
    <n v="0"/>
    <n v="25000"/>
    <n v="0"/>
    <n v="0"/>
    <n v="0"/>
    <n v="0"/>
    <n v="0"/>
    <n v="25000"/>
    <n v="0"/>
    <n v="0"/>
    <n v="22131.95"/>
    <n v="0"/>
    <n v="0"/>
    <n v="0"/>
    <n v="22131.95"/>
    <n v="-22131.95"/>
    <n v="0"/>
    <n v="0"/>
    <n v="0"/>
    <n v="0"/>
    <n v="0"/>
    <n v="0"/>
    <n v="0"/>
    <n v="0"/>
    <n v="0"/>
    <n v="0"/>
    <n v="25000"/>
    <n v="0"/>
    <n v="0"/>
    <n v="0"/>
    <n v="0"/>
    <n v="0"/>
    <n v="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"/>
    <n v="0"/>
    <n v="67724.600000000006"/>
    <n v="0"/>
    <n v="0"/>
    <n v="67724.600000000006"/>
    <n v="-42724.600000000006"/>
    <n v="2.7089840000000001"/>
    <n v="0"/>
    <n v="0"/>
    <n v="0"/>
    <n v="0"/>
    <n v="66509.039999999994"/>
    <n v="66509.039999999994"/>
    <n v="-66509.03999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6"/>
    <s v="EQ. DE TRANSPORTE"/>
    <n v="40000"/>
    <n v="0"/>
    <n v="42766"/>
    <n v="5657"/>
    <n v="0"/>
    <n v="48423"/>
    <n v="-8423"/>
    <n v="1.210575"/>
    <n v="10000"/>
    <n v="0"/>
    <n v="9706"/>
    <n v="0"/>
    <n v="0"/>
    <n v="0"/>
    <n v="9706"/>
    <n v="294"/>
    <n v="0.97060000000000002"/>
    <n v="0"/>
    <n v="0"/>
    <n v="0"/>
    <n v="0"/>
    <n v="0"/>
    <n v="0"/>
    <n v="0"/>
    <n v="0"/>
    <n v="25000"/>
    <n v="0"/>
    <n v="0"/>
    <n v="8871.76"/>
    <n v="0"/>
    <n v="8871.76"/>
    <n v="16128.24"/>
    <n v="0.35487040000000003"/>
    <n v="0"/>
    <n v="0"/>
    <n v="0"/>
    <n v="0"/>
    <n v="0"/>
    <n v="4749"/>
    <n v="4749"/>
    <n v="-4749"/>
    <n v="0"/>
    <n v="56000"/>
    <n v="61891"/>
    <n v="0"/>
    <n v="0"/>
    <n v="0"/>
    <n v="61891"/>
    <n v="-5891"/>
    <n v="1.1051964285714286"/>
    <n v="0"/>
    <n v="0"/>
    <n v="0"/>
    <n v="0"/>
    <n v="5657"/>
    <n v="5657"/>
    <n v="-5657"/>
    <n v="0"/>
    <n v="0"/>
    <n v="0"/>
    <n v="0"/>
    <n v="0"/>
    <n v="0"/>
    <n v="0"/>
    <n v="0"/>
    <n v="0"/>
    <n v="0"/>
    <n v="20000"/>
    <n v="0"/>
    <n v="9237"/>
    <n v="0"/>
    <n v="4246.16"/>
    <n v="13483.16"/>
    <n v="6516.84"/>
    <n v="0.67415800000000004"/>
    <n v="27000"/>
    <n v="0"/>
    <n v="16632.27"/>
    <n v="0"/>
    <n v="0"/>
    <n v="16632.27"/>
    <n v="10367.73"/>
    <n v="0.61601000000000006"/>
    <n v="0"/>
    <n v="5500"/>
    <n v="0"/>
    <n v="0"/>
    <n v="0"/>
    <n v="0"/>
    <n v="5500"/>
    <n v="-5500"/>
    <n v="0"/>
    <n v="0"/>
    <n v="0"/>
    <n v="36468"/>
    <n v="0"/>
    <n v="0"/>
    <n v="36468"/>
    <n v="-36468"/>
  </r>
  <r>
    <x v="27"/>
    <s v="HR"/>
    <n v="0"/>
    <n v="0"/>
    <n v="0"/>
    <n v="0"/>
    <n v="0"/>
    <n v="0"/>
    <n v="0"/>
    <n v="0"/>
    <n v="0"/>
    <n v="0"/>
    <n v="0"/>
    <n v="0"/>
    <n v="0"/>
    <n v="0"/>
    <n v="0"/>
    <n v="0"/>
    <n v="0"/>
    <n v="18800"/>
    <n v="5684"/>
    <n v="0"/>
    <n v="0"/>
    <n v="0"/>
    <n v="5684"/>
    <n v="13116"/>
    <n v="0.30234042553191487"/>
    <n v="0"/>
    <n v="0"/>
    <n v="0"/>
    <n v="0"/>
    <n v="0"/>
    <n v="0"/>
    <n v="0"/>
    <n v="0"/>
    <n v="0"/>
    <n v="0"/>
    <n v="3654"/>
    <n v="0"/>
    <n v="0"/>
    <n v="0"/>
    <n v="3654"/>
    <n v="-3654"/>
    <n v="0"/>
    <n v="18800"/>
    <n v="0"/>
    <n v="0"/>
    <n v="0"/>
    <n v="2450"/>
    <n v="2450"/>
    <n v="16350"/>
    <n v="0.13031914893617022"/>
    <n v="0"/>
    <n v="0"/>
    <n v="0"/>
    <n v="0"/>
    <n v="0"/>
    <n v="0"/>
    <n v="0"/>
    <n v="0"/>
    <n v="0"/>
    <n v="0"/>
    <n v="0"/>
    <n v="0"/>
    <n v="3248"/>
    <n v="0"/>
    <n v="3248"/>
    <n v="-3248"/>
    <n v="0"/>
    <n v="30000"/>
    <n v="2900"/>
    <n v="0"/>
    <n v="0"/>
    <n v="0"/>
    <n v="2900"/>
    <n v="27100"/>
    <n v="9.666666666666666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4"/>
    <n v="0"/>
    <n v="0"/>
    <n v="0"/>
    <n v="3364"/>
    <n v="-3364"/>
  </r>
  <r>
    <x v="27"/>
    <s v="CAPRICHOS"/>
    <n v="0"/>
    <n v="0"/>
    <n v="0"/>
    <n v="0"/>
    <n v="0"/>
    <n v="0"/>
    <n v="0"/>
    <n v="0"/>
    <n v="0"/>
    <n v="0"/>
    <n v="0"/>
    <n v="0"/>
    <n v="4819.5"/>
    <n v="0"/>
    <n v="4819.5"/>
    <n v="-4819.5"/>
    <n v="0"/>
    <n v="0"/>
    <n v="0"/>
    <n v="0"/>
    <n v="1900"/>
    <n v="0"/>
    <n v="1900"/>
    <n v="-1900"/>
    <n v="0"/>
    <n v="0"/>
    <n v="6403.2"/>
    <n v="2850"/>
    <n v="0"/>
    <n v="0"/>
    <n v="9253.2000000000007"/>
    <n v="-9253.2000000000007"/>
    <n v="0"/>
    <n v="6985"/>
    <n v="2720"/>
    <n v="0"/>
    <n v="0"/>
    <n v="0"/>
    <n v="0"/>
    <n v="2720"/>
    <n v="4265"/>
    <n v="0.38940586972083036"/>
    <n v="2920"/>
    <n v="0"/>
    <n v="3132"/>
    <n v="0"/>
    <n v="0"/>
    <n v="3132"/>
    <n v="-212"/>
    <n v="1.0726027397260274"/>
    <n v="4280"/>
    <n v="0"/>
    <n v="0"/>
    <n v="4016.25"/>
    <n v="0"/>
    <n v="4016.25"/>
    <n v="263.75"/>
    <n v="0.93837616822429903"/>
    <n v="4303"/>
    <n v="3145"/>
    <n v="0"/>
    <n v="0"/>
    <n v="0"/>
    <n v="0"/>
    <n v="3145"/>
    <n v="1158"/>
    <n v="0.73088542877062512"/>
    <n v="3900"/>
    <n v="0"/>
    <n v="0"/>
    <n v="0"/>
    <n v="3132"/>
    <n v="3132"/>
    <n v="768"/>
    <n v="0.80307692307692302"/>
    <n v="0"/>
    <n v="0"/>
    <n v="2136"/>
    <n v="0"/>
    <n v="0"/>
    <n v="2136"/>
    <n v="-2136"/>
    <n v="0"/>
    <n v="8900"/>
    <n v="0"/>
    <n v="0"/>
    <n v="0"/>
    <n v="0"/>
    <n v="0"/>
    <n v="0"/>
    <n v="8900"/>
    <n v="0"/>
    <n v="4000"/>
    <n v="3132"/>
    <n v="0"/>
    <n v="0"/>
    <n v="0"/>
    <n v="3132"/>
    <n v="868"/>
  </r>
  <r>
    <x v="27"/>
    <s v="CEDIS"/>
    <n v="7000"/>
    <n v="10297.5"/>
    <n v="4476"/>
    <n v="3300"/>
    <n v="4724.1400000000003"/>
    <n v="22797.64"/>
    <n v="-15797.64"/>
    <n v="3.2568057142857141"/>
    <n v="7000"/>
    <n v="10000"/>
    <n v="4750"/>
    <n v="4000"/>
    <n v="6024.09"/>
    <n v="7766"/>
    <n v="32540.09"/>
    <n v="-25540.09"/>
    <n v="4.6485842857142856"/>
    <n v="7000"/>
    <n v="7505"/>
    <n v="0"/>
    <n v="7805"/>
    <n v="0"/>
    <n v="15310"/>
    <n v="-8310"/>
    <n v="2.1871428571428573"/>
    <n v="7000"/>
    <n v="12832"/>
    <n v="0"/>
    <n v="3300"/>
    <n v="425"/>
    <n v="16557"/>
    <n v="-9557"/>
    <n v="2.3652857142857142"/>
    <n v="7000"/>
    <n v="0"/>
    <n v="9200"/>
    <n v="0"/>
    <n v="16163"/>
    <n v="980"/>
    <n v="26343"/>
    <n v="-19343"/>
    <n v="3.7632857142857143"/>
    <n v="7000"/>
    <n v="40747.97"/>
    <n v="2200"/>
    <n v="7621"/>
    <n v="0"/>
    <n v="50568.97"/>
    <n v="-43568.97"/>
    <n v="7.224138571428572"/>
    <n v="7000"/>
    <n v="0"/>
    <n v="2450"/>
    <n v="5000"/>
    <n v="6072.95"/>
    <n v="13522.95"/>
    <n v="-6522.9500000000007"/>
    <n v="1.9318500000000001"/>
    <n v="7000"/>
    <n v="500"/>
    <n v="4158.8999999999996"/>
    <n v="5104"/>
    <n v="0"/>
    <n v="0"/>
    <n v="9762.9"/>
    <n v="-2762.8999999999996"/>
    <n v="1.3947000000000001"/>
    <n v="7000"/>
    <n v="0"/>
    <n v="50200"/>
    <n v="6287"/>
    <n v="12222.05"/>
    <n v="68709.05"/>
    <n v="-61709.05"/>
    <n v="9.8155785714285724"/>
    <n v="7000"/>
    <n v="7228.33"/>
    <n v="12434.02"/>
    <n v="0"/>
    <n v="5903.99"/>
    <n v="25566.34"/>
    <n v="-18566.34"/>
    <n v="3.6523342857142858"/>
    <n v="7000"/>
    <n v="0"/>
    <n v="35966.44"/>
    <n v="11000"/>
    <n v="4182"/>
    <n v="0"/>
    <n v="51148.44"/>
    <n v="-44148.44"/>
    <n v="7.3069200000000007"/>
    <n v="10000"/>
    <n v="0"/>
    <n v="4649.42"/>
    <n v="11126.5"/>
    <n v="0"/>
    <n v="15775.92"/>
    <n v="-5775.92"/>
  </r>
  <r>
    <x v="27"/>
    <s v="SERVICIOS"/>
    <n v="0"/>
    <n v="6430"/>
    <n v="0"/>
    <n v="0"/>
    <n v="0"/>
    <n v="6430"/>
    <n v="-6430"/>
    <n v="0"/>
    <n v="18000"/>
    <n v="0"/>
    <n v="0"/>
    <n v="0"/>
    <n v="7460"/>
    <n v="7460"/>
    <n v="14920"/>
    <n v="3080"/>
    <n v="0.8288888888888889"/>
    <n v="0"/>
    <n v="7460"/>
    <n v="0"/>
    <n v="0"/>
    <n v="0"/>
    <n v="7460"/>
    <n v="-7460"/>
    <n v="0"/>
    <n v="18000"/>
    <n v="0"/>
    <n v="0"/>
    <n v="0"/>
    <n v="0"/>
    <n v="0"/>
    <n v="18000"/>
    <n v="0"/>
    <n v="0"/>
    <n v="1700"/>
    <n v="0"/>
    <n v="150"/>
    <n v="0"/>
    <n v="0"/>
    <n v="1850"/>
    <n v="-1850"/>
    <n v="0"/>
    <n v="25000"/>
    <n v="0"/>
    <n v="0"/>
    <n v="0"/>
    <n v="4002"/>
    <n v="4002"/>
    <n v="20998"/>
    <n v="0.16008"/>
    <n v="0"/>
    <n v="0"/>
    <n v="0"/>
    <n v="0"/>
    <n v="0"/>
    <n v="0"/>
    <n v="0"/>
    <n v="0"/>
    <n v="1800"/>
    <n v="0"/>
    <n v="0"/>
    <n v="0"/>
    <n v="0"/>
    <n v="0"/>
    <n v="0"/>
    <n v="1800"/>
    <n v="0"/>
    <n v="0"/>
    <n v="0"/>
    <n v="3364"/>
    <n v="0"/>
    <n v="0"/>
    <n v="3364"/>
    <n v="-3364"/>
    <n v="0"/>
    <n v="18000"/>
    <n v="0"/>
    <n v="4002"/>
    <n v="0"/>
    <n v="0"/>
    <n v="4002"/>
    <n v="13998"/>
    <n v="0.22233333333333333"/>
    <n v="0"/>
    <n v="450"/>
    <n v="0"/>
    <n v="0"/>
    <n v="0"/>
    <n v="0"/>
    <n v="450"/>
    <n v="-450"/>
    <n v="0"/>
    <n v="12000"/>
    <n v="0"/>
    <n v="0"/>
    <n v="0"/>
    <n v="0"/>
    <n v="0"/>
    <n v="12000"/>
  </r>
  <r>
    <x v="27"/>
    <s v="CONTABILID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5000"/>
    <n v="0"/>
    <n v="0"/>
    <n v="0"/>
    <n v="0"/>
    <n v="0"/>
    <n v="0"/>
    <n v="0"/>
    <n v="0"/>
  </r>
  <r>
    <x v="27"/>
    <s v="TESORERIA"/>
    <n v="0"/>
    <n v="0"/>
    <n v="0"/>
    <n v="0"/>
    <n v="8032.5"/>
    <n v="8032.5"/>
    <n v="-8032.5"/>
    <n v="0"/>
    <n v="10416"/>
    <n v="0"/>
    <n v="4690"/>
    <n v="0"/>
    <n v="0"/>
    <n v="0"/>
    <n v="4690"/>
    <n v="5726"/>
    <n v="0.45026881720430106"/>
    <n v="0"/>
    <n v="0"/>
    <n v="2500"/>
    <n v="0"/>
    <n v="0"/>
    <n v="2500"/>
    <n v="-2500"/>
    <n v="0"/>
    <n v="2845"/>
    <n v="0"/>
    <n v="679"/>
    <n v="3297.75"/>
    <n v="2000"/>
    <n v="5976.75"/>
    <n v="-3131.75"/>
    <n v="2.1007908611599295"/>
    <n v="3480"/>
    <n v="0"/>
    <n v="0"/>
    <n v="4721"/>
    <n v="0"/>
    <n v="357"/>
    <n v="5078"/>
    <n v="-1598"/>
    <n v="1.4591954022988505"/>
    <n v="0"/>
    <n v="0"/>
    <n v="0"/>
    <n v="0"/>
    <n v="6770"/>
    <n v="6770"/>
    <n v="-6770"/>
    <n v="0"/>
    <n v="6030"/>
    <n v="0"/>
    <n v="0"/>
    <n v="1200"/>
    <n v="9460"/>
    <n v="10660"/>
    <n v="-4630"/>
    <n v="1.7678275290215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10000"/>
    <n v="0"/>
    <n v="0"/>
    <n v="0"/>
    <n v="0"/>
    <n v="0"/>
    <n v="0"/>
    <n v="0"/>
    <n v="0"/>
  </r>
  <r>
    <x v="27"/>
    <s v="FINANZAS"/>
    <n v="0"/>
    <n v="0"/>
    <n v="0"/>
    <n v="0"/>
    <n v="0"/>
    <n v="0"/>
    <n v="0"/>
    <n v="0"/>
    <n v="6000"/>
    <n v="0"/>
    <n v="0"/>
    <n v="0"/>
    <n v="0"/>
    <n v="0"/>
    <n v="0"/>
    <n v="6000"/>
    <n v="0"/>
    <n v="5000"/>
    <n v="0"/>
    <n v="0"/>
    <n v="0"/>
    <n v="650"/>
    <n v="650"/>
    <n v="4350"/>
    <n v="0.13"/>
    <n v="6000"/>
    <n v="0"/>
    <n v="0"/>
    <n v="0"/>
    <n v="0"/>
    <n v="0"/>
    <n v="6000"/>
    <n v="0"/>
    <n v="10000"/>
    <n v="0"/>
    <n v="0"/>
    <n v="0"/>
    <n v="0"/>
    <n v="0"/>
    <n v="0"/>
    <n v="10000"/>
    <n v="0"/>
    <n v="11000"/>
    <n v="0"/>
    <n v="0"/>
    <n v="0"/>
    <n v="3200"/>
    <n v="3200"/>
    <n v="7800"/>
    <n v="0.29090909090909089"/>
    <n v="10000"/>
    <n v="0"/>
    <n v="0"/>
    <n v="0"/>
    <n v="0"/>
    <n v="0"/>
    <n v="10000"/>
    <n v="0"/>
    <n v="6000"/>
    <n v="0"/>
    <n v="7888"/>
    <n v="0"/>
    <n v="5579.24"/>
    <n v="0"/>
    <n v="13467.24"/>
    <n v="-7467.24"/>
    <n v="2.2445399999999998"/>
    <n v="5000"/>
    <n v="0"/>
    <n v="0"/>
    <n v="0"/>
    <n v="0"/>
    <n v="0"/>
    <n v="5000"/>
    <n v="0"/>
    <n v="6000"/>
    <n v="0"/>
    <n v="0"/>
    <n v="0"/>
    <n v="0"/>
    <n v="0"/>
    <n v="6000"/>
    <n v="0"/>
    <n v="10000"/>
    <n v="0"/>
    <n v="0"/>
    <n v="0"/>
    <n v="4028"/>
    <n v="0"/>
    <n v="4028"/>
    <n v="5972"/>
    <n v="0.40279999999999999"/>
    <n v="0"/>
    <n v="0"/>
    <n v="0"/>
    <n v="0"/>
    <n v="0"/>
    <n v="0"/>
    <n v="0"/>
  </r>
  <r>
    <x v="27"/>
    <s v="DIRECCION"/>
    <n v="0"/>
    <n v="0"/>
    <n v="0"/>
    <n v="0"/>
    <n v="508"/>
    <n v="508"/>
    <n v="-508"/>
    <n v="0"/>
    <n v="1715"/>
    <n v="0"/>
    <n v="0"/>
    <n v="0"/>
    <n v="0"/>
    <n v="0"/>
    <n v="0"/>
    <n v="1715"/>
    <n v="0"/>
    <n v="0"/>
    <n v="0"/>
    <n v="0"/>
    <n v="11436.3"/>
    <n v="0"/>
    <n v="11436.3"/>
    <n v="-11436.3"/>
    <n v="0"/>
    <n v="0"/>
    <n v="0"/>
    <n v="0"/>
    <n v="0"/>
    <n v="0"/>
    <n v="0"/>
    <n v="0"/>
    <n v="0"/>
    <n v="0"/>
    <n v="0"/>
    <n v="0"/>
    <n v="765.6"/>
    <n v="0"/>
    <n v="0"/>
    <n v="765.6"/>
    <n v="-76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3.2"/>
    <n v="0"/>
    <n v="0"/>
    <n v="0"/>
    <n v="4083.2"/>
    <n v="-4083.2"/>
    <n v="0"/>
    <n v="2500"/>
    <n v="0"/>
    <n v="0"/>
    <n v="0"/>
    <n v="0"/>
    <n v="0"/>
    <n v="2500"/>
    <n v="0"/>
    <n v="0"/>
    <n v="0"/>
    <n v="0"/>
    <n v="800"/>
    <n v="0"/>
    <n v="800"/>
    <n v="-80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8"/>
    <s v="MTTO EQ DE COMPUTO"/>
    <n v="1400"/>
    <n v="0"/>
    <n v="0"/>
    <n v="0"/>
    <n v="0"/>
    <n v="0"/>
    <n v="1400"/>
    <n v="0"/>
    <n v="6693"/>
    <n v="522"/>
    <n v="1914"/>
    <n v="0"/>
    <n v="0"/>
    <n v="0"/>
    <n v="2436"/>
    <n v="4257"/>
    <n v="0.36396234872254596"/>
    <n v="3389"/>
    <n v="0"/>
    <n v="0"/>
    <n v="0"/>
    <n v="9270.7199999999993"/>
    <n v="9270.7199999999993"/>
    <n v="-5881.7199999999993"/>
    <n v="2.7355326054883444"/>
    <n v="9368"/>
    <n v="0"/>
    <n v="0"/>
    <n v="0"/>
    <n v="1040"/>
    <n v="1040"/>
    <n v="8328"/>
    <n v="0.11101622544833475"/>
    <n v="4814"/>
    <n v="0"/>
    <n v="0"/>
    <n v="0"/>
    <n v="0"/>
    <n v="0"/>
    <n v="0"/>
    <n v="4814"/>
    <n v="0"/>
    <n v="1561"/>
    <n v="0"/>
    <n v="0"/>
    <n v="0"/>
    <n v="0"/>
    <n v="0"/>
    <n v="1561"/>
    <n v="0"/>
    <n v="980"/>
    <n v="0"/>
    <n v="0"/>
    <n v="0"/>
    <n v="0"/>
    <n v="0"/>
    <n v="980"/>
    <n v="0"/>
    <n v="27243"/>
    <n v="0"/>
    <n v="10951.98"/>
    <n v="0"/>
    <n v="0"/>
    <n v="0"/>
    <n v="10951.98"/>
    <n v="16291.02"/>
    <n v="0.40201079176302168"/>
    <n v="4500"/>
    <n v="0"/>
    <n v="0"/>
    <n v="1334"/>
    <n v="0"/>
    <n v="1334"/>
    <n v="3166"/>
    <n v="0.29644444444444445"/>
    <n v="4500"/>
    <n v="979"/>
    <n v="0"/>
    <n v="0"/>
    <n v="0"/>
    <n v="979"/>
    <n v="3521"/>
    <n v="0.21755555555555556"/>
    <n v="4500"/>
    <n v="2192"/>
    <n v="0"/>
    <n v="0"/>
    <n v="0"/>
    <n v="0"/>
    <n v="2192"/>
    <n v="2308"/>
    <n v="0.48711111111111111"/>
    <n v="1000"/>
    <n v="0"/>
    <n v="812"/>
    <n v="0"/>
    <n v="0"/>
    <n v="812"/>
    <n v="188"/>
  </r>
  <r>
    <x v="29"/>
    <s v="CEDIS (E6)"/>
    <n v="5000"/>
    <n v="2149.3000000000002"/>
    <n v="2496.92"/>
    <n v="0"/>
    <n v="4102.96"/>
    <n v="8749.18"/>
    <n v="-3749.1800000000003"/>
    <n v="1.7498360000000002"/>
    <n v="5000"/>
    <n v="2365.7600000000002"/>
    <n v="1889.01"/>
    <n v="2794.93"/>
    <n v="2922.9"/>
    <n v="1969.43"/>
    <n v="11942.03"/>
    <n v="-6942.0300000000007"/>
    <n v="2.3884060000000003"/>
    <n v="5000"/>
    <n v="2203.4900000000002"/>
    <n v="1974"/>
    <n v="2587.98"/>
    <n v="3572.59"/>
    <n v="10338.06"/>
    <n v="-5338.0599999999995"/>
    <n v="2.067612"/>
    <n v="5000"/>
    <n v="1074.92"/>
    <n v="4790.12"/>
    <n v="2901.09"/>
    <n v="0"/>
    <n v="8766.130000000001"/>
    <n v="-3766.130000000001"/>
    <n v="1.7532260000000002"/>
    <n v="5000"/>
    <n v="2142.54"/>
    <n v="2017.97"/>
    <n v="2279.4699999999998"/>
    <n v="2498.19"/>
    <n v="0"/>
    <n v="8938.17"/>
    <n v="-3938.17"/>
    <n v="1.7876339999999999"/>
    <n v="5000"/>
    <n v="3069.78"/>
    <n v="2260.08"/>
    <n v="2057.6799999999998"/>
    <n v="1697.23"/>
    <n v="9084.77"/>
    <n v="-4084.7700000000004"/>
    <n v="1.8169540000000002"/>
    <n v="5000"/>
    <n v="1873.33"/>
    <n v="1450.45"/>
    <n v="2223.2600000000002"/>
    <n v="2563.34"/>
    <n v="8110.38"/>
    <n v="-3110.38"/>
    <n v="1.6220760000000001"/>
    <n v="5000"/>
    <n v="2408.31"/>
    <n v="0"/>
    <n v="3879.41"/>
    <n v="2395.06"/>
    <n v="3587.91"/>
    <n v="12270.689999999999"/>
    <n v="-7270.6899999999987"/>
    <n v="2.4541379999999999"/>
    <n v="5000"/>
    <n v="1688"/>
    <n v="702.38"/>
    <n v="2631.21"/>
    <n v="1480.7"/>
    <n v="6502.29"/>
    <n v="-1502.29"/>
    <n v="1.3004579999999999"/>
    <n v="5000"/>
    <n v="7712.88"/>
    <n v="1833.92"/>
    <n v="2445.65"/>
    <n v="2188.42"/>
    <n v="14180.869999999999"/>
    <n v="-9180.869999999999"/>
    <n v="2.8361739999999998"/>
    <n v="5000"/>
    <n v="6210.04"/>
    <n v="971.46"/>
    <n v="2779.92"/>
    <n v="0"/>
    <n v="0"/>
    <n v="9961.42"/>
    <n v="-4961.42"/>
    <n v="1.9922839999999999"/>
    <n v="10000"/>
    <n v="0"/>
    <n v="1629.03"/>
    <n v="4485.38"/>
    <n v="0"/>
    <n v="6114.41"/>
    <n v="3885.59"/>
  </r>
  <r>
    <x v="29"/>
    <s v="CT INTERNACIONAL"/>
    <n v="240"/>
    <n v="280"/>
    <n v="140"/>
    <n v="140"/>
    <n v="0"/>
    <n v="560"/>
    <n v="-320"/>
    <n v="2.3333333333333335"/>
    <n v="240"/>
    <n v="0"/>
    <n v="0"/>
    <n v="0"/>
    <n v="0"/>
    <n v="0"/>
    <n v="0"/>
    <n v="240"/>
    <n v="0"/>
    <n v="240"/>
    <n v="0"/>
    <n v="0"/>
    <n v="0"/>
    <n v="0"/>
    <n v="0"/>
    <n v="240"/>
    <n v="0"/>
    <n v="240"/>
    <n v="0"/>
    <n v="0"/>
    <n v="0"/>
    <n v="0"/>
    <n v="0"/>
    <n v="240"/>
    <n v="0"/>
    <n v="240"/>
    <n v="160"/>
    <n v="140"/>
    <n v="160"/>
    <n v="0"/>
    <n v="0"/>
    <n v="460"/>
    <n v="-220"/>
    <n v="1.9166666666666667"/>
    <n v="240"/>
    <n v="140"/>
    <n v="0"/>
    <n v="140"/>
    <n v="150"/>
    <n v="430"/>
    <n v="-190"/>
    <n v="1.7916666666666667"/>
    <n v="240"/>
    <n v="0"/>
    <n v="0"/>
    <n v="0"/>
    <n v="140"/>
    <n v="140"/>
    <n v="100"/>
    <n v="0.58333333333333337"/>
    <n v="240"/>
    <n v="0"/>
    <n v="0"/>
    <n v="0"/>
    <n v="140"/>
    <n v="450"/>
    <n v="590"/>
    <n v="-350"/>
    <n v="2.4583333333333335"/>
    <n v="240"/>
    <n v="0"/>
    <n v="560"/>
    <n v="140"/>
    <n v="0"/>
    <n v="700"/>
    <n v="-460"/>
    <n v="2.9166666666666665"/>
    <n v="240"/>
    <n v="0"/>
    <n v="0"/>
    <n v="0"/>
    <n v="0"/>
    <n v="0"/>
    <n v="240"/>
    <n v="0"/>
    <n v="240"/>
    <n v="0"/>
    <n v="0"/>
    <n v="0"/>
    <n v="0"/>
    <n v="0"/>
    <n v="0"/>
    <n v="240"/>
    <n v="0"/>
    <n v="0"/>
    <n v="0"/>
    <n v="140"/>
    <n v="0"/>
    <n v="0"/>
    <n v="140"/>
    <n v="-140"/>
  </r>
  <r>
    <x v="30"/>
    <s v="CONTABILIDAD"/>
    <n v="1102"/>
    <n v="0"/>
    <n v="0"/>
    <n v="0"/>
    <n v="0"/>
    <n v="0"/>
    <n v="1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1000"/>
    <n v="-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98"/>
    <n v="0"/>
    <n v="0"/>
    <n v="0"/>
    <n v="0"/>
    <n v="0"/>
    <n v="0"/>
    <n v="18898"/>
    <n v="0"/>
    <n v="2500"/>
    <n v="0"/>
    <n v="0"/>
    <n v="0"/>
    <n v="0"/>
    <n v="0"/>
    <n v="2500"/>
  </r>
  <r>
    <x v="31"/>
    <s v="RECURSOS HUMAN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"/>
    <n v="0"/>
    <n v="132000"/>
    <n v="0"/>
    <n v="0"/>
    <n v="0"/>
    <n v="132000"/>
    <n v="-12000"/>
    <n v="1.1000000000000001"/>
    <n v="0"/>
    <n v="0"/>
    <n v="0"/>
    <n v="0"/>
    <n v="0"/>
    <n v="0"/>
    <n v="0"/>
  </r>
  <r>
    <x v="31"/>
    <s v="FINANZAS"/>
    <n v="10000"/>
    <n v="0"/>
    <n v="0"/>
    <n v="0"/>
    <n v="0"/>
    <n v="0"/>
    <n v="10000"/>
    <n v="0"/>
    <n v="10000"/>
    <n v="0"/>
    <n v="0"/>
    <n v="0"/>
    <n v="10000"/>
    <n v="0"/>
    <n v="10000"/>
    <n v="0"/>
    <n v="1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0"/>
    <n v="0"/>
    <n v="0"/>
    <n v="0"/>
    <n v="10000"/>
    <n v="0"/>
    <n v="10000"/>
    <n v="0"/>
    <n v="6400"/>
    <n v="0"/>
    <n v="0"/>
    <n v="0"/>
    <n v="6400"/>
    <n v="3600"/>
    <n v="0.64"/>
    <n v="0"/>
    <n v="0"/>
    <n v="0"/>
    <n v="0"/>
    <n v="0"/>
    <n v="0"/>
    <n v="0"/>
  </r>
  <r>
    <x v="31"/>
    <s v="LEG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000"/>
    <n v="0"/>
    <n v="0"/>
    <n v="0"/>
    <n v="360000"/>
    <n v="0"/>
    <n v="360000"/>
    <n v="0"/>
    <n v="1"/>
    <n v="0"/>
    <n v="0"/>
    <n v="0"/>
    <n v="0"/>
    <n v="0"/>
    <n v="0"/>
    <n v="0"/>
  </r>
  <r>
    <x v="32"/>
    <s v="OFFICE 365(DE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.41"/>
    <n v="0"/>
    <n v="200.41"/>
    <n v="-20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0"/>
    <n v="0"/>
    <n v="0"/>
    <n v="0"/>
    <n v="0"/>
    <n v="180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OFFICE 365(C1)"/>
    <n v="0"/>
    <n v="0"/>
    <n v="0"/>
    <n v="0"/>
    <n v="211.93"/>
    <n v="211.93"/>
    <n v="-211.93"/>
    <n v="0"/>
    <n v="0"/>
    <n v="0"/>
    <n v="0"/>
    <n v="0"/>
    <n v="0"/>
    <n v="0"/>
    <n v="0"/>
    <n v="0"/>
    <n v="0"/>
    <n v="1800"/>
    <n v="0"/>
    <n v="0"/>
    <n v="0"/>
    <n v="2299"/>
    <n v="2299"/>
    <n v="-499"/>
    <n v="1.2772222222222223"/>
    <n v="0"/>
    <n v="0"/>
    <n v="0"/>
    <n v="0"/>
    <n v="205.13"/>
    <n v="205.13"/>
    <n v="-205.13"/>
    <n v="0"/>
    <n v="0"/>
    <n v="0"/>
    <n v="0"/>
    <n v="0"/>
    <n v="0"/>
    <n v="0"/>
    <n v="0"/>
    <n v="0"/>
    <n v="0"/>
    <n v="0"/>
    <n v="0"/>
    <n v="0"/>
    <n v="0"/>
    <n v="594.17000000000007"/>
    <n v="594.17000000000007"/>
    <n v="-594.17000000000007"/>
    <n v="0"/>
    <n v="0"/>
    <n v="0"/>
    <n v="0"/>
    <n v="0"/>
    <n v="192.23"/>
    <n v="192.23"/>
    <n v="-192.23"/>
    <n v="0"/>
    <n v="0"/>
    <n v="0"/>
    <n v="0"/>
    <n v="0"/>
    <n v="192.35"/>
    <n v="0"/>
    <n v="192.35"/>
    <n v="-192.35"/>
    <n v="0"/>
    <n v="0"/>
    <n v="0"/>
    <n v="0"/>
    <n v="0"/>
    <n v="188.59"/>
    <n v="188.59"/>
    <n v="-188.59"/>
    <n v="0"/>
    <n v="0"/>
    <n v="0"/>
    <n v="0"/>
    <n v="0"/>
    <n v="189.08"/>
    <n v="189.08"/>
    <n v="-189.08"/>
    <n v="0"/>
    <n v="0"/>
    <n v="0"/>
    <n v="0"/>
    <n v="0"/>
    <n v="2299"/>
    <n v="0"/>
    <n v="2299"/>
    <n v="-2299"/>
    <n v="0"/>
    <n v="0"/>
    <n v="0"/>
    <n v="0"/>
    <n v="0"/>
    <n v="0"/>
    <n v="0"/>
    <n v="0"/>
  </r>
  <r>
    <x v="32"/>
    <s v="OFFICE 365(GCOMPRAS)"/>
    <n v="0"/>
    <n v="0"/>
    <n v="0"/>
    <n v="0"/>
    <n v="0"/>
    <n v="0"/>
    <n v="0"/>
    <n v="0"/>
    <n v="1800"/>
    <n v="0"/>
    <n v="0"/>
    <n v="0"/>
    <n v="208.56"/>
    <n v="0"/>
    <n v="208.56"/>
    <n v="1591.44"/>
    <n v="0.11586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.99"/>
    <n v="399.99"/>
    <n v="-39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ASANA"/>
    <n v="13000"/>
    <n v="0"/>
    <n v="0"/>
    <n v="0"/>
    <n v="0"/>
    <n v="0"/>
    <n v="13000"/>
    <n v="0"/>
    <n v="0"/>
    <n v="0"/>
    <n v="0"/>
    <n v="0"/>
    <n v="12631.97"/>
    <n v="0"/>
    <n v="12631.97"/>
    <n v="-12631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ZOOM"/>
    <n v="2000"/>
    <n v="0"/>
    <n v="0"/>
    <n v="0"/>
    <n v="1942.43"/>
    <n v="1942.43"/>
    <n v="57.569999999999936"/>
    <n v="0.97121500000000005"/>
    <n v="2000"/>
    <n v="0"/>
    <n v="0"/>
    <n v="0"/>
    <n v="1937.72"/>
    <n v="0"/>
    <n v="1937.72"/>
    <n v="62.279999999999973"/>
    <n v="0.96886000000000005"/>
    <n v="2000"/>
    <n v="0"/>
    <n v="0"/>
    <n v="0"/>
    <n v="1925.48"/>
    <n v="1925.48"/>
    <n v="74.519999999999982"/>
    <n v="0.96274000000000004"/>
    <n v="2000"/>
    <n v="0"/>
    <n v="0"/>
    <n v="0"/>
    <n v="1869.42"/>
    <n v="1869.42"/>
    <n v="130.57999999999993"/>
    <n v="0.93471000000000004"/>
    <n v="2000"/>
    <n v="0"/>
    <n v="0"/>
    <n v="0"/>
    <n v="1835.81"/>
    <n v="0"/>
    <n v="1835.81"/>
    <n v="164.19000000000005"/>
    <n v="0.91790499999999997"/>
    <n v="2000"/>
    <n v="0"/>
    <n v="0"/>
    <n v="0"/>
    <n v="1938.26"/>
    <n v="1938.26"/>
    <n v="61.740000000000009"/>
    <n v="0.96913000000000005"/>
    <n v="2000"/>
    <n v="0"/>
    <n v="0"/>
    <n v="0"/>
    <n v="1879.64"/>
    <n v="1879.64"/>
    <n v="120.3599999999999"/>
    <n v="0.9398200000000001"/>
    <n v="2000"/>
    <n v="0"/>
    <n v="0"/>
    <n v="0"/>
    <n v="1881.82"/>
    <n v="0"/>
    <n v="1881.82"/>
    <n v="118.18000000000006"/>
    <n v="0.94090999999999991"/>
    <n v="2000"/>
    <n v="0"/>
    <n v="0"/>
    <n v="0"/>
    <n v="1854.32"/>
    <n v="1854.32"/>
    <n v="145.68000000000006"/>
    <n v="0.92715999999999998"/>
    <n v="2000"/>
    <n v="0"/>
    <n v="0"/>
    <n v="0"/>
    <n v="1892.42"/>
    <n v="1892.42"/>
    <n v="107.57999999999993"/>
    <n v="0.94621"/>
    <n v="2000"/>
    <n v="0"/>
    <n v="0"/>
    <n v="0"/>
    <n v="1871.86"/>
    <n v="0"/>
    <n v="1871.86"/>
    <n v="128.1400000000001"/>
    <n v="0.93592999999999993"/>
    <n v="1701"/>
    <n v="0"/>
    <n v="0"/>
    <n v="0"/>
    <n v="0"/>
    <n v="0"/>
    <n v="1701"/>
  </r>
  <r>
    <x v="32"/>
    <s v="FROGMI"/>
    <n v="40000"/>
    <n v="0"/>
    <n v="0"/>
    <n v="41120.93"/>
    <n v="0"/>
    <n v="41120.93"/>
    <n v="-1120.9300000000003"/>
    <n v="1.0280232499999999"/>
    <n v="40000"/>
    <n v="0"/>
    <n v="0"/>
    <n v="40679.22"/>
    <n v="0"/>
    <n v="0"/>
    <n v="40679.22"/>
    <n v="-679.22000000000116"/>
    <n v="1.0169805000000001"/>
    <n v="40000"/>
    <n v="0"/>
    <n v="0"/>
    <n v="39832.43"/>
    <n v="0"/>
    <n v="39832.43"/>
    <n v="167.56999999999971"/>
    <n v="0.99581074999999997"/>
    <n v="40000"/>
    <n v="0"/>
    <n v="0"/>
    <n v="39141.81"/>
    <n v="0"/>
    <n v="39141.81"/>
    <n v="858.19000000000233"/>
    <n v="0.97854524999999992"/>
    <n v="40000"/>
    <n v="0"/>
    <n v="0"/>
    <n v="38680.339999999997"/>
    <n v="0"/>
    <n v="0"/>
    <n v="38680.339999999997"/>
    <n v="1319.6600000000035"/>
    <n v="0.96700849999999994"/>
    <n v="40000"/>
    <n v="0"/>
    <n v="0"/>
    <n v="31714.06"/>
    <n v="0"/>
    <n v="31714.06"/>
    <n v="8285.9399999999987"/>
    <n v="0.79285150000000004"/>
    <n v="40000"/>
    <n v="0"/>
    <n v="0"/>
    <n v="37909.9"/>
    <n v="0"/>
    <n v="37909.9"/>
    <n v="2090.0999999999985"/>
    <n v="0.94774750000000008"/>
    <n v="40000"/>
    <n v="0"/>
    <n v="0"/>
    <n v="0"/>
    <n v="37253.26"/>
    <n v="0"/>
    <n v="37253.26"/>
    <n v="2746.739999999998"/>
    <n v="0.93133150000000009"/>
    <n v="40000"/>
    <n v="0"/>
    <n v="0"/>
    <n v="34266.71"/>
    <n v="0"/>
    <n v="34266.71"/>
    <n v="5733.2900000000009"/>
    <n v="0.85666774999999995"/>
    <n v="40000"/>
    <n v="0"/>
    <n v="0"/>
    <n v="0"/>
    <n v="0"/>
    <n v="0"/>
    <n v="40000"/>
    <n v="0"/>
    <n v="40000"/>
    <n v="0"/>
    <n v="0"/>
    <n v="58139.16"/>
    <n v="0"/>
    <n v="0"/>
    <n v="58139.16"/>
    <n v="-18139.160000000003"/>
    <n v="1.4534790000000002"/>
    <n v="0"/>
    <n v="0"/>
    <n v="0"/>
    <n v="0"/>
    <n v="0"/>
    <n v="0"/>
    <n v="0"/>
  </r>
  <r>
    <x v="32"/>
    <s v="SIEM"/>
    <n v="0"/>
    <n v="0"/>
    <n v="0"/>
    <n v="0"/>
    <n v="0"/>
    <n v="0"/>
    <n v="0"/>
    <n v="0"/>
    <n v="0"/>
    <n v="0"/>
    <n v="0"/>
    <n v="0"/>
    <n v="640"/>
    <n v="0"/>
    <n v="640"/>
    <n v="-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0"/>
    <n v="0"/>
    <n v="0"/>
    <n v="0"/>
    <n v="0"/>
    <n v="0"/>
    <n v="2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CHATGPT"/>
    <n v="3000"/>
    <n v="0"/>
    <n v="0"/>
    <n v="0"/>
    <n v="1668.17"/>
    <n v="1668.17"/>
    <n v="1331.83"/>
    <n v="0.55605666666666664"/>
    <n v="3000"/>
    <n v="0"/>
    <n v="0"/>
    <n v="0"/>
    <n v="4190.1100000000006"/>
    <n v="0"/>
    <n v="4190.1100000000006"/>
    <n v="-1190.1100000000006"/>
    <n v="1.3967033333333336"/>
    <n v="3000"/>
    <n v="0"/>
    <n v="0"/>
    <n v="0"/>
    <n v="828.02"/>
    <n v="828.02"/>
    <n v="2171.98"/>
    <n v="0.27600666666666668"/>
    <n v="3000"/>
    <n v="0"/>
    <n v="0"/>
    <n v="0"/>
    <n v="2066.7200000000003"/>
    <n v="2066.7200000000003"/>
    <n v="933.27999999999975"/>
    <n v="0.68890666666666678"/>
    <n v="3000"/>
    <n v="402.81"/>
    <n v="0"/>
    <n v="0"/>
    <n v="1607.33"/>
    <n v="0"/>
    <n v="2010.1399999999999"/>
    <n v="989.86000000000013"/>
    <n v="0.67004666666666668"/>
    <n v="3000"/>
    <n v="399.19"/>
    <n v="0"/>
    <n v="0"/>
    <n v="1566.95"/>
    <n v="1966.14"/>
    <n v="1033.8599999999999"/>
    <n v="0.65538000000000007"/>
    <n v="3000"/>
    <n v="537.75"/>
    <n v="0"/>
    <n v="0"/>
    <n v="1529.3000000000002"/>
    <n v="2067.0500000000002"/>
    <n v="932.94999999999982"/>
    <n v="0.68901666666666672"/>
    <n v="3000"/>
    <n v="0"/>
    <n v="393.12"/>
    <n v="0"/>
    <n v="1914.85"/>
    <n v="0"/>
    <n v="2307.9699999999998"/>
    <n v="692.0300000000002"/>
    <n v="0.76932333333333325"/>
    <n v="3000"/>
    <n v="385.07"/>
    <n v="0"/>
    <n v="0"/>
    <n v="1906.31"/>
    <n v="2291.38"/>
    <n v="708.61999999999989"/>
    <n v="0.76379333333333332"/>
    <n v="3000"/>
    <n v="385.82"/>
    <n v="0"/>
    <n v="0"/>
    <n v="3326.35"/>
    <n v="3712.1699999999996"/>
    <n v="-712.16999999999962"/>
    <n v="1.2373899999999998"/>
    <n v="3000"/>
    <n v="0"/>
    <n v="387.32"/>
    <n v="0"/>
    <n v="2252.7799999999997"/>
    <n v="0"/>
    <n v="2640.1"/>
    <n v="359.90000000000009"/>
    <n v="0.88003333333333333"/>
    <n v="3108"/>
    <n v="0"/>
    <n v="0"/>
    <n v="0"/>
    <n v="1520.97"/>
    <n v="1520.97"/>
    <n v="1587.03"/>
  </r>
  <r>
    <x v="32"/>
    <s v="CANVA"/>
    <n v="150"/>
    <n v="0"/>
    <n v="0"/>
    <n v="0"/>
    <n v="75"/>
    <n v="75"/>
    <n v="75"/>
    <n v="0.5"/>
    <n v="1400"/>
    <n v="298"/>
    <n v="0"/>
    <n v="0"/>
    <n v="0"/>
    <n v="0"/>
    <n v="298"/>
    <n v="1102"/>
    <n v="0.21285714285714286"/>
    <n v="2600"/>
    <n v="1358"/>
    <n v="0"/>
    <n v="0"/>
    <n v="225"/>
    <n v="1583"/>
    <n v="1017"/>
    <n v="0.60884615384615381"/>
    <n v="150"/>
    <n v="1358"/>
    <n v="0"/>
    <n v="0"/>
    <n v="1359"/>
    <n v="2717"/>
    <n v="-2567"/>
    <n v="18.113333333333333"/>
    <n v="150"/>
    <n v="0"/>
    <n v="0"/>
    <n v="0"/>
    <n v="0"/>
    <n v="0"/>
    <n v="0"/>
    <n v="150"/>
    <n v="0"/>
    <n v="150"/>
    <n v="0"/>
    <n v="0"/>
    <n v="0"/>
    <n v="0"/>
    <n v="0"/>
    <n v="150"/>
    <n v="0"/>
    <n v="150"/>
    <n v="0"/>
    <n v="0"/>
    <n v="0"/>
    <n v="0"/>
    <n v="0"/>
    <n v="150"/>
    <n v="0"/>
    <n v="150"/>
    <n v="0"/>
    <n v="149"/>
    <n v="0"/>
    <n v="0"/>
    <n v="0"/>
    <n v="149"/>
    <n v="1"/>
    <n v="0.99333333333333329"/>
    <n v="150"/>
    <n v="0"/>
    <n v="0"/>
    <n v="0"/>
    <n v="0"/>
    <n v="0"/>
    <n v="150"/>
    <n v="0"/>
    <n v="150"/>
    <n v="149"/>
    <n v="0"/>
    <n v="0"/>
    <n v="0"/>
    <n v="149"/>
    <n v="1"/>
    <n v="0.99333333333333329"/>
    <n v="150"/>
    <n v="0"/>
    <n v="0"/>
    <n v="0"/>
    <n v="59"/>
    <n v="0"/>
    <n v="59"/>
    <n v="91"/>
    <n v="0.39333333333333331"/>
    <n v="149"/>
    <n v="0"/>
    <n v="0"/>
    <n v="0"/>
    <n v="300"/>
    <n v="300"/>
    <n v="-151"/>
  </r>
  <r>
    <x v="32"/>
    <s v="SHUTTER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5000"/>
    <n v="0"/>
    <n v="5000"/>
    <n v="0"/>
    <n v="0"/>
    <n v="0"/>
    <n v="0"/>
    <n v="0"/>
    <n v="0"/>
    <n v="5000"/>
    <n v="0"/>
    <n v="0"/>
    <n v="0"/>
    <n v="0"/>
    <n v="0"/>
    <n v="0"/>
    <n v="0"/>
    <n v="0"/>
  </r>
  <r>
    <x v="32"/>
    <s v="DOMINIOS DE PAGINAS"/>
    <n v="640"/>
    <n v="0"/>
    <n v="0"/>
    <n v="0"/>
    <n v="0"/>
    <n v="0"/>
    <n v="640"/>
    <n v="0"/>
    <n v="0"/>
    <n v="0"/>
    <n v="0"/>
    <n v="0"/>
    <n v="1799.97"/>
    <n v="0"/>
    <n v="1799.97"/>
    <n v="-1799.97"/>
    <n v="0"/>
    <n v="0"/>
    <n v="0"/>
    <n v="0"/>
    <n v="0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0"/>
    <n v="6000"/>
    <n v="0"/>
    <n v="8352"/>
    <n v="0"/>
    <n v="7795.2"/>
    <n v="1519.6"/>
    <n v="0"/>
    <n v="9314.7999999999993"/>
    <n v="-962.79999999999927"/>
    <n v="1.1152777777777776"/>
    <n v="0"/>
    <n v="0"/>
    <n v="0"/>
    <n v="0"/>
    <n v="0"/>
    <n v="0"/>
    <n v="0"/>
    <n v="0"/>
    <n v="2423"/>
    <n v="0"/>
    <n v="0"/>
    <n v="0"/>
    <n v="0"/>
    <n v="0"/>
    <n v="0"/>
    <n v="2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TIMBRES P/FACTURACION"/>
    <n v="0"/>
    <n v="0"/>
    <n v="0"/>
    <n v="0"/>
    <n v="0"/>
    <n v="0"/>
    <n v="0"/>
    <n v="0"/>
    <n v="1280"/>
    <n v="0"/>
    <n v="0"/>
    <n v="0"/>
    <n v="0"/>
    <n v="0"/>
    <n v="0"/>
    <n v="1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0"/>
    <n v="0"/>
    <n v="0"/>
    <n v="0"/>
    <n v="0"/>
    <n v="0"/>
    <n v="4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0"/>
    <n v="4640"/>
    <n v="-4640"/>
    <n v="0"/>
    <n v="0"/>
    <n v="0"/>
    <n v="4640"/>
    <n v="0"/>
    <n v="0"/>
    <n v="4640"/>
    <n v="-4640"/>
    <n v="0"/>
    <n v="0"/>
    <n v="0"/>
    <n v="0"/>
    <n v="0"/>
    <n v="0"/>
    <n v="0"/>
    <n v="0"/>
    <n v="0"/>
    <n v="0"/>
    <n v="0"/>
    <n v="0"/>
    <n v="0"/>
    <n v="2691.2000000000003"/>
    <n v="0"/>
    <n v="2691.2000000000003"/>
    <n v="-2691.2000000000003"/>
  </r>
  <r>
    <x v="32"/>
    <s v="REVALIDACION"/>
    <n v="66500"/>
    <n v="4996"/>
    <n v="0"/>
    <n v="36640"/>
    <n v="10513"/>
    <n v="52149"/>
    <n v="14351"/>
    <n v="0.78419548872180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1"/>
    <n v="0"/>
    <n v="0"/>
    <n v="1761"/>
    <n v="-17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97"/>
    <n v="0"/>
    <n v="70797"/>
    <n v="-7079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ACTAS"/>
    <n v="11514"/>
    <n v="0"/>
    <n v="0"/>
    <n v="0"/>
    <n v="0"/>
    <n v="0"/>
    <n v="11514"/>
    <n v="0"/>
    <n v="0"/>
    <n v="0"/>
    <n v="0"/>
    <n v="0"/>
    <n v="9800"/>
    <n v="0"/>
    <n v="9800"/>
    <n v="-9800"/>
    <n v="0"/>
    <n v="0"/>
    <n v="0"/>
    <n v="0"/>
    <n v="300"/>
    <n v="0"/>
    <n v="300"/>
    <n v="-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PREDIA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CANAC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  <n v="0"/>
    <n v="650"/>
    <n v="-650"/>
    <n v="0"/>
    <n v="0"/>
    <n v="4800"/>
    <n v="0"/>
    <n v="0"/>
    <n v="0"/>
    <n v="0"/>
    <n v="4800"/>
    <n v="-4800"/>
    <n v="0"/>
    <n v="0"/>
    <n v="0"/>
    <n v="0"/>
    <n v="0"/>
    <n v="350"/>
    <n v="350"/>
    <n v="-350"/>
    <n v="0"/>
    <n v="0"/>
    <n v="0"/>
    <n v="0"/>
    <n v="0"/>
    <n v="0"/>
    <n v="0"/>
    <n v="0"/>
    <n v="0"/>
    <n v="0"/>
    <n v="640"/>
    <n v="3480"/>
    <n v="0"/>
    <n v="0"/>
    <n v="0"/>
    <n v="4120"/>
    <n v="-4120"/>
    <n v="0"/>
    <n v="0"/>
    <n v="0"/>
    <n v="0"/>
    <n v="0"/>
    <n v="0"/>
    <n v="0"/>
    <n v="0"/>
    <n v="0"/>
    <n v="0"/>
    <n v="0"/>
    <n v="0"/>
    <n v="0"/>
    <n v="2560"/>
    <n v="2560"/>
    <n v="-2560"/>
    <n v="0"/>
    <n v="0"/>
    <n v="640"/>
    <n v="0"/>
    <n v="0"/>
    <n v="0"/>
    <n v="0"/>
    <n v="640"/>
    <n v="-640"/>
    <n v="0"/>
    <n v="0"/>
    <n v="0"/>
    <n v="1920"/>
    <n v="640"/>
    <n v="0"/>
    <n v="2560"/>
    <n v="-2560"/>
  </r>
  <r>
    <x v="32"/>
    <s v="ESTACIONAMIENTO A1"/>
    <n v="0"/>
    <n v="0"/>
    <n v="0"/>
    <n v="0"/>
    <n v="0"/>
    <n v="0"/>
    <n v="0"/>
    <n v="0"/>
    <n v="0"/>
    <n v="0"/>
    <n v="0"/>
    <n v="0"/>
    <n v="0"/>
    <n v="0"/>
    <n v="0"/>
    <n v="0"/>
    <n v="0"/>
    <n v="9800"/>
    <n v="0"/>
    <n v="0"/>
    <n v="0"/>
    <n v="0"/>
    <n v="0"/>
    <n v="9800"/>
    <n v="0"/>
    <n v="2450"/>
    <n v="0"/>
    <n v="0"/>
    <n v="0"/>
    <n v="0"/>
    <n v="0"/>
    <n v="2450"/>
    <n v="0"/>
    <n v="4900"/>
    <n v="0"/>
    <n v="0"/>
    <n v="0"/>
    <n v="0"/>
    <n v="0"/>
    <n v="0"/>
    <n v="4900"/>
    <n v="0"/>
    <n v="5298"/>
    <n v="0"/>
    <n v="0"/>
    <n v="0"/>
    <n v="0"/>
    <n v="0"/>
    <n v="5298"/>
    <n v="0"/>
    <n v="2450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"/>
    <n v="0"/>
    <n v="0"/>
    <n v="0"/>
    <n v="0"/>
    <n v="0"/>
    <n v="30000"/>
  </r>
  <r>
    <x v="32"/>
    <s v="KOLBEE"/>
    <n v="0"/>
    <n v="1050"/>
    <n v="0"/>
    <n v="0"/>
    <n v="0"/>
    <n v="1050"/>
    <n v="-1050"/>
    <n v="0"/>
    <n v="0"/>
    <n v="0"/>
    <n v="0"/>
    <n v="0"/>
    <n v="0"/>
    <n v="0"/>
    <n v="0"/>
    <n v="0"/>
    <n v="0"/>
    <n v="2700"/>
    <n v="0"/>
    <n v="0"/>
    <n v="1050"/>
    <n v="0"/>
    <n v="1050"/>
    <n v="1650"/>
    <n v="0.3888888888888889"/>
    <n v="0"/>
    <n v="0"/>
    <n v="0"/>
    <n v="0"/>
    <n v="0"/>
    <n v="0"/>
    <n v="0"/>
    <n v="0"/>
    <n v="0"/>
    <n v="0"/>
    <n v="0"/>
    <n v="2100"/>
    <n v="0"/>
    <n v="0"/>
    <n v="2100"/>
    <n v="-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"/>
    <n v="1050"/>
    <n v="2100"/>
    <n v="-2100"/>
    <n v="0"/>
    <n v="0"/>
    <n v="0"/>
    <n v="0"/>
    <n v="0"/>
    <n v="1050"/>
    <n v="0"/>
    <n v="1050"/>
    <n v="-1050"/>
    <n v="0"/>
    <n v="1050"/>
    <n v="0"/>
    <n v="0"/>
    <n v="0"/>
    <n v="0"/>
    <n v="0"/>
    <n v="1050"/>
  </r>
  <r>
    <x v="32"/>
    <s v="APP"/>
    <n v="0"/>
    <n v="0"/>
    <n v="0"/>
    <n v="0"/>
    <n v="2470.08"/>
    <n v="2470.08"/>
    <n v="-247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8"/>
    <n v="0"/>
    <n v="0"/>
    <n v="0"/>
    <n v="0"/>
    <n v="0"/>
    <n v="0"/>
    <n v="1888"/>
    <n v="0"/>
    <n v="0"/>
    <n v="0"/>
    <n v="0"/>
    <n v="0"/>
    <n v="845.71999999999991"/>
    <n v="845.71999999999991"/>
    <n v="-845.71999999999991"/>
    <n v="0"/>
    <n v="0"/>
    <n v="0"/>
    <n v="0"/>
    <n v="0"/>
    <n v="0"/>
    <n v="0"/>
    <n v="0"/>
    <n v="0"/>
    <n v="0"/>
    <n v="0"/>
    <n v="199"/>
    <n v="0"/>
    <n v="0"/>
    <n v="0"/>
    <n v="199"/>
    <n v="-199"/>
    <n v="0"/>
    <n v="0"/>
    <n v="348"/>
    <n v="0"/>
    <n v="0"/>
    <n v="0"/>
    <n v="348"/>
    <n v="-348"/>
    <n v="0"/>
    <n v="0"/>
    <n v="239"/>
    <n v="0"/>
    <n v="0"/>
    <n v="18321.59"/>
    <n v="18560.59"/>
    <n v="-18560.59"/>
    <n v="0"/>
    <n v="0"/>
    <n v="0"/>
    <n v="149"/>
    <n v="0"/>
    <n v="2829"/>
    <n v="0"/>
    <n v="2978"/>
    <n v="-2978"/>
    <n v="0"/>
    <n v="0"/>
    <n v="0"/>
    <n v="0"/>
    <n v="0"/>
    <n v="8727.99"/>
    <n v="8727.99"/>
    <n v="-8727.99"/>
  </r>
  <r>
    <x v="32"/>
    <s v="BITAM"/>
    <n v="3600"/>
    <n v="0"/>
    <n v="0"/>
    <n v="0"/>
    <n v="0"/>
    <n v="0"/>
    <n v="3600"/>
    <n v="0"/>
    <n v="3600"/>
    <n v="0"/>
    <n v="0"/>
    <n v="0"/>
    <n v="0"/>
    <n v="0"/>
    <n v="0"/>
    <n v="3600"/>
    <n v="0"/>
    <n v="3600"/>
    <n v="0"/>
    <n v="0"/>
    <n v="0"/>
    <n v="0"/>
    <n v="0"/>
    <n v="3600"/>
    <n v="0"/>
    <n v="3600"/>
    <n v="0"/>
    <n v="0"/>
    <n v="0"/>
    <n v="0"/>
    <n v="0"/>
    <n v="3600"/>
    <n v="0"/>
    <n v="3600"/>
    <n v="0"/>
    <n v="0"/>
    <n v="0"/>
    <n v="0"/>
    <n v="0"/>
    <n v="0"/>
    <n v="3600"/>
    <n v="0"/>
    <n v="3600"/>
    <n v="0"/>
    <n v="0"/>
    <n v="0"/>
    <n v="0"/>
    <n v="0"/>
    <n v="3600"/>
    <n v="0"/>
    <n v="3600"/>
    <n v="0"/>
    <n v="0"/>
    <n v="0"/>
    <n v="0"/>
    <n v="0"/>
    <n v="3600"/>
    <n v="0"/>
    <n v="3600"/>
    <n v="0"/>
    <n v="0"/>
    <n v="0"/>
    <n v="0"/>
    <n v="0"/>
    <n v="0"/>
    <n v="3600"/>
    <n v="0"/>
    <n v="3600"/>
    <n v="0"/>
    <n v="0"/>
    <n v="0"/>
    <n v="0"/>
    <n v="0"/>
    <n v="3600"/>
    <n v="0"/>
    <n v="3600"/>
    <n v="0"/>
    <n v="0"/>
    <n v="0"/>
    <n v="8590.9599999999991"/>
    <n v="8590.9599999999991"/>
    <n v="-4990.9599999999991"/>
    <n v="2.3863777777777777"/>
    <n v="3600"/>
    <n v="0"/>
    <n v="0"/>
    <n v="0"/>
    <n v="0"/>
    <n v="0"/>
    <n v="0"/>
    <n v="3600"/>
    <n v="0"/>
    <n v="8500"/>
    <n v="12149.84"/>
    <n v="0"/>
    <n v="0"/>
    <n v="0"/>
    <n v="12149.84"/>
    <n v="-3649.84"/>
  </r>
  <r>
    <x v="32"/>
    <s v="XML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0"/>
    <n v="5000"/>
    <n v="0"/>
    <n v="4699"/>
    <n v="0"/>
    <n v="0"/>
    <n v="0"/>
    <n v="0"/>
    <n v="0"/>
    <n v="4699"/>
  </r>
  <r>
    <x v="32"/>
    <s v="CONTPAQ"/>
    <n v="0"/>
    <n v="0"/>
    <n v="0"/>
    <n v="0"/>
    <n v="0"/>
    <n v="0"/>
    <n v="0"/>
    <n v="0"/>
    <n v="0"/>
    <n v="7528.4"/>
    <n v="0"/>
    <n v="0"/>
    <n v="0"/>
    <n v="0"/>
    <n v="7528.4"/>
    <n v="-752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8"/>
    <n v="3888"/>
    <n v="-3888"/>
    <n v="0"/>
    <n v="0"/>
    <n v="0"/>
    <n v="0"/>
    <n v="0"/>
    <n v="0"/>
    <n v="0"/>
    <n v="0"/>
    <n v="0"/>
    <n v="8000"/>
    <n v="0"/>
    <n v="0"/>
    <n v="7134"/>
    <n v="0"/>
    <n v="0"/>
    <n v="7134"/>
    <n v="866"/>
    <n v="0.89175000000000004"/>
    <n v="0"/>
    <n v="0"/>
    <n v="0"/>
    <n v="6380"/>
    <n v="0"/>
    <n v="6380"/>
    <n v="-6380"/>
    <n v="0"/>
    <n v="0"/>
    <n v="0"/>
    <n v="0"/>
    <n v="0"/>
    <n v="0"/>
    <n v="0"/>
    <n v="0"/>
    <n v="0"/>
    <n v="0"/>
    <n v="2445.7200000000003"/>
    <n v="0"/>
    <n v="2445"/>
    <n v="0"/>
    <n v="0"/>
    <n v="4890.72"/>
    <n v="-4890.72"/>
    <n v="0"/>
    <n v="0"/>
    <n v="0"/>
    <n v="0"/>
    <n v="0"/>
    <n v="0"/>
    <n v="0"/>
    <n v="0"/>
  </r>
  <r>
    <x v="32"/>
    <s v="MULTAS"/>
    <n v="0"/>
    <n v="0"/>
    <n v="0"/>
    <n v="0"/>
    <n v="0"/>
    <n v="0"/>
    <n v="0"/>
    <n v="0"/>
    <n v="12447"/>
    <n v="0"/>
    <n v="11836"/>
    <n v="0"/>
    <n v="100"/>
    <n v="0"/>
    <n v="11936"/>
    <n v="511"/>
    <n v="0.95894593074636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92"/>
    <n v="16892"/>
    <n v="-1689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ANUALIDAD TC"/>
    <n v="0"/>
    <n v="0"/>
    <n v="0"/>
    <n v="0"/>
    <n v="3371.25"/>
    <n v="3371.25"/>
    <n v="-33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5"/>
    <n v="0"/>
    <n v="0"/>
    <n v="0"/>
    <n v="0"/>
    <n v="0"/>
    <n v="0"/>
    <n v="6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  <n v="0"/>
    <n v="0"/>
    <n v="0"/>
    <n v="0"/>
    <n v="0"/>
    <n v="12000"/>
  </r>
  <r>
    <x v="32"/>
    <s v="PROTECCION CIVIL"/>
    <n v="4695"/>
    <n v="0"/>
    <n v="0"/>
    <n v="0"/>
    <n v="4838"/>
    <n v="4838"/>
    <n v="-143"/>
    <n v="1.030457933972311"/>
    <n v="0"/>
    <n v="0"/>
    <n v="0"/>
    <n v="5177"/>
    <n v="0"/>
    <n v="0"/>
    <n v="5177"/>
    <n v="-5177"/>
    <n v="0"/>
    <n v="0"/>
    <n v="0"/>
    <n v="0"/>
    <n v="0"/>
    <n v="0"/>
    <n v="0"/>
    <n v="0"/>
    <n v="0"/>
    <n v="0"/>
    <n v="13688"/>
    <n v="0"/>
    <n v="0"/>
    <n v="0"/>
    <n v="13688"/>
    <n v="-13688"/>
    <n v="0"/>
    <n v="742"/>
    <n v="0"/>
    <n v="0"/>
    <n v="0"/>
    <n v="1500"/>
    <n v="0"/>
    <n v="1500"/>
    <n v="-758"/>
    <n v="2.0215633423180592"/>
    <n v="0"/>
    <n v="0"/>
    <n v="0"/>
    <n v="0"/>
    <n v="0"/>
    <n v="0"/>
    <n v="0"/>
    <n v="0"/>
    <n v="1453"/>
    <n v="0"/>
    <n v="0"/>
    <n v="0"/>
    <n v="0"/>
    <n v="0"/>
    <n v="1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"/>
    <n v="0"/>
    <n v="0"/>
    <n v="0"/>
    <n v="1245"/>
    <n v="-1245"/>
  </r>
  <r>
    <x v="33"/>
    <s v="OP HR"/>
    <n v="2190"/>
    <n v="1034"/>
    <n v="356"/>
    <n v="0"/>
    <n v="712"/>
    <n v="2102"/>
    <n v="88"/>
    <n v="0.9598173515981735"/>
    <n v="2668"/>
    <n v="893"/>
    <n v="1545"/>
    <n v="0"/>
    <n v="596"/>
    <n v="1575"/>
    <n v="4609"/>
    <n v="-1941"/>
    <n v="1.7275112443778111"/>
    <n v="708"/>
    <n v="0"/>
    <n v="770"/>
    <n v="894"/>
    <n v="0"/>
    <n v="1664"/>
    <n v="-956"/>
    <n v="2.3502824858757063"/>
    <n v="2348"/>
    <n v="1246"/>
    <n v="596"/>
    <n v="0"/>
    <n v="650"/>
    <n v="2492"/>
    <n v="-144"/>
    <n v="1.061328790459966"/>
    <n v="1190"/>
    <n v="0"/>
    <n v="890"/>
    <n v="0"/>
    <n v="1918"/>
    <n v="513"/>
    <n v="3321"/>
    <n v="-2131"/>
    <n v="2.7907563025210083"/>
    <n v="1875"/>
    <n v="0"/>
    <n v="294"/>
    <n v="2582"/>
    <n v="0"/>
    <n v="2876"/>
    <n v="-1001"/>
    <n v="1.5338666666666667"/>
    <n v="1728"/>
    <n v="712"/>
    <n v="472"/>
    <n v="0"/>
    <n v="596"/>
    <n v="1780"/>
    <n v="-52"/>
    <n v="1.0300925925925926"/>
    <n v="2398"/>
    <n v="1157"/>
    <n v="0"/>
    <n v="1848"/>
    <n v="1554"/>
    <n v="1246"/>
    <n v="5805"/>
    <n v="-3407"/>
    <n v="2.4207673060884072"/>
    <n v="3000"/>
    <n v="0"/>
    <n v="2082"/>
    <n v="2666"/>
    <n v="0"/>
    <n v="4748"/>
    <n v="-1748"/>
    <n v="1.5826666666666667"/>
    <n v="3000"/>
    <n v="1691"/>
    <n v="739"/>
    <n v="0"/>
    <n v="623"/>
    <n v="3053"/>
    <n v="-53"/>
    <n v="1.0176666666666667"/>
    <n v="3000"/>
    <n v="0"/>
    <n v="1897"/>
    <n v="0"/>
    <n v="2876"/>
    <n v="0"/>
    <n v="4773"/>
    <n v="-1773"/>
    <n v="1.591"/>
    <n v="2000"/>
    <n v="0"/>
    <n v="294"/>
    <n v="0"/>
    <n v="1642"/>
    <n v="1936"/>
    <n v="64"/>
  </r>
  <r>
    <x v="33"/>
    <s v="OP CAPRICHOS"/>
    <n v="2768"/>
    <n v="722"/>
    <n v="987"/>
    <n v="0"/>
    <n v="658"/>
    <n v="2367"/>
    <n v="401"/>
    <n v="0.85513005780346818"/>
    <n v="968"/>
    <n v="89"/>
    <n v="0"/>
    <n v="0"/>
    <n v="0"/>
    <n v="685"/>
    <n v="774"/>
    <n v="194"/>
    <n v="0.79958677685950408"/>
    <n v="628"/>
    <n v="0"/>
    <n v="356"/>
    <n v="329"/>
    <n v="0"/>
    <n v="685"/>
    <n v="-57"/>
    <n v="1.0907643312101911"/>
    <n v="960"/>
    <n v="1316"/>
    <n v="89"/>
    <n v="0"/>
    <n v="0"/>
    <n v="1405"/>
    <n v="-445"/>
    <n v="1.4635416666666667"/>
    <n v="628"/>
    <n v="0"/>
    <n v="329"/>
    <n v="0"/>
    <n v="774"/>
    <n v="786"/>
    <n v="1889"/>
    <n v="-1261"/>
    <n v="3.0079617834394905"/>
    <n v="1322"/>
    <n v="0"/>
    <n v="0"/>
    <n v="0"/>
    <n v="0"/>
    <n v="0"/>
    <n v="1322"/>
    <n v="0"/>
    <n v="730"/>
    <n v="596"/>
    <n v="952"/>
    <n v="0"/>
    <n v="0"/>
    <n v="1548"/>
    <n v="-818"/>
    <n v="2.1205479452054794"/>
    <n v="680"/>
    <n v="329"/>
    <n v="0"/>
    <n v="0"/>
    <n v="952"/>
    <n v="178"/>
    <n v="1459"/>
    <n v="-779"/>
    <n v="2.1455882352941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0"/>
    <n v="0"/>
    <n v="329"/>
    <n v="0"/>
    <n v="329"/>
    <n v="658"/>
    <n v="1642"/>
  </r>
  <r>
    <x v="33"/>
    <s v="CEDIS"/>
    <n v="10683"/>
    <n v="7536"/>
    <n v="5053"/>
    <n v="0"/>
    <n v="7193"/>
    <n v="19782"/>
    <n v="-9099"/>
    <n v="1.8517270429654591"/>
    <n v="14022"/>
    <n v="4381"/>
    <n v="3198"/>
    <n v="0"/>
    <n v="5767"/>
    <n v="9761"/>
    <n v="23107"/>
    <n v="-9085"/>
    <n v="1.6479104264726858"/>
    <n v="5625"/>
    <n v="0"/>
    <n v="8163"/>
    <n v="3621"/>
    <n v="0"/>
    <n v="11784"/>
    <n v="-6159"/>
    <n v="2.0949333333333335"/>
    <n v="12790"/>
    <n v="5575"/>
    <n v="4656"/>
    <n v="0"/>
    <n v="4124"/>
    <n v="14355"/>
    <n v="-1565"/>
    <n v="1.1223612197028929"/>
    <n v="13914"/>
    <n v="0"/>
    <n v="2835"/>
    <n v="0"/>
    <n v="3971"/>
    <n v="2576"/>
    <n v="9382"/>
    <n v="4532"/>
    <n v="0.67428489291361215"/>
    <n v="6115"/>
    <n v="0"/>
    <n v="4389"/>
    <n v="3601"/>
    <n v="0"/>
    <n v="7990"/>
    <n v="-1875"/>
    <n v="1.3066230580539657"/>
    <n v="12237"/>
    <n v="5514"/>
    <n v="3705"/>
    <n v="0"/>
    <n v="6518"/>
    <n v="15737"/>
    <n v="-3500"/>
    <n v="1.2860178148238948"/>
    <n v="8943"/>
    <n v="3842"/>
    <n v="0"/>
    <n v="5234"/>
    <n v="3878"/>
    <n v="4711"/>
    <n v="17665"/>
    <n v="-8722"/>
    <n v="1.9752879346975287"/>
    <n v="15000"/>
    <n v="0"/>
    <n v="5454"/>
    <n v="2790"/>
    <n v="0"/>
    <n v="8244"/>
    <n v="6756"/>
    <n v="0.54959999999999998"/>
    <n v="15000"/>
    <n v="6925"/>
    <n v="6731"/>
    <n v="0"/>
    <n v="5731"/>
    <n v="19387"/>
    <n v="-4387"/>
    <n v="1.2924666666666667"/>
    <n v="15000"/>
    <n v="0"/>
    <n v="4283"/>
    <n v="0"/>
    <n v="6707"/>
    <n v="0"/>
    <n v="10990"/>
    <n v="4010"/>
    <n v="0.73266666666666669"/>
    <n v="20000"/>
    <n v="6394"/>
    <n v="5808"/>
    <n v="0"/>
    <n v="8134"/>
    <n v="20336"/>
    <n v="-336"/>
  </r>
  <r>
    <x v="33"/>
    <s v="MANTENIMIENT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0"/>
    <n v="0"/>
    <n v="0"/>
    <n v="140"/>
    <n v="0"/>
    <n v="665"/>
    <n v="0"/>
    <n v="0"/>
    <n v="0"/>
    <n v="0"/>
    <n v="0"/>
    <n v="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200"/>
  </r>
  <r>
    <x v="33"/>
    <s v="INVENTARIOS"/>
    <n v="340"/>
    <n v="0"/>
    <n v="0"/>
    <n v="0"/>
    <n v="0"/>
    <n v="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"/>
    <n v="0"/>
    <n v="0"/>
    <n v="0"/>
    <n v="0"/>
    <n v="0"/>
    <n v="595"/>
    <n v="0"/>
    <n v="255"/>
    <n v="0"/>
    <n v="0"/>
    <n v="0"/>
    <n v="0"/>
    <n v="0"/>
    <n v="0"/>
    <n v="255"/>
    <n v="0"/>
    <n v="0"/>
    <n v="0"/>
    <n v="0"/>
    <n v="0"/>
    <n v="0"/>
    <n v="0"/>
    <n v="0"/>
    <n v="0"/>
    <n v="620"/>
    <n v="0"/>
    <n v="0"/>
    <n v="0"/>
    <n v="0"/>
    <n v="0"/>
    <n v="620"/>
    <n v="0"/>
    <n v="740"/>
    <n v="596"/>
    <n v="0"/>
    <n v="0"/>
    <n v="0"/>
    <n v="0"/>
    <n v="596"/>
    <n v="144"/>
    <n v="0.805405405405405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200"/>
  </r>
  <r>
    <x v="33"/>
    <s v="FINANZAS"/>
    <n v="0"/>
    <n v="0"/>
    <n v="658"/>
    <n v="0"/>
    <n v="596"/>
    <n v="1254"/>
    <n v="-1254"/>
    <n v="0"/>
    <n v="974"/>
    <n v="0"/>
    <n v="0"/>
    <n v="0"/>
    <n v="1366"/>
    <n v="0"/>
    <n v="1366"/>
    <n v="-392"/>
    <n v="1.4024640657084189"/>
    <n v="170"/>
    <n v="0"/>
    <n v="1014"/>
    <n v="658"/>
    <n v="0"/>
    <n v="1672"/>
    <n v="-1502"/>
    <n v="9.8352941176470594"/>
    <n v="170"/>
    <n v="0"/>
    <n v="294"/>
    <n v="0"/>
    <n v="0"/>
    <n v="294"/>
    <n v="-124"/>
    <n v="1.7294117647058824"/>
    <n v="628"/>
    <n v="0"/>
    <n v="178"/>
    <n v="0"/>
    <n v="836"/>
    <n v="0"/>
    <n v="1014"/>
    <n v="-386"/>
    <n v="1.6146496815286624"/>
    <n v="0"/>
    <n v="0"/>
    <n v="658"/>
    <n v="836"/>
    <n v="0"/>
    <n v="1494"/>
    <n v="-1494"/>
    <n v="0"/>
    <n v="2651"/>
    <n v="0"/>
    <n v="0"/>
    <n v="0"/>
    <n v="472"/>
    <n v="472"/>
    <n v="2179"/>
    <n v="0.17804602036967182"/>
    <n v="968"/>
    <n v="786"/>
    <n v="0"/>
    <n v="294"/>
    <n v="0"/>
    <n v="0"/>
    <n v="1080"/>
    <n v="-112"/>
    <n v="1.115702479338843"/>
    <n v="0"/>
    <n v="0"/>
    <n v="786"/>
    <n v="0"/>
    <n v="0"/>
    <n v="786"/>
    <n v="-7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78"/>
    <n v="329"/>
    <n v="0"/>
    <n v="1165"/>
    <n v="1672"/>
    <n v="-172"/>
  </r>
  <r>
    <x v="33"/>
    <s v="DIRECCION"/>
    <n v="1167"/>
    <n v="0"/>
    <n v="0"/>
    <n v="0"/>
    <n v="0"/>
    <n v="0"/>
    <n v="1167"/>
    <n v="0"/>
    <n v="12610"/>
    <n v="0"/>
    <n v="0"/>
    <n v="0"/>
    <n v="0"/>
    <n v="0"/>
    <n v="0"/>
    <n v="12610"/>
    <n v="0"/>
    <n v="355"/>
    <n v="0"/>
    <n v="0"/>
    <n v="0"/>
    <n v="0"/>
    <n v="0"/>
    <n v="355"/>
    <n v="0"/>
    <n v="1080"/>
    <n v="0"/>
    <n v="0"/>
    <n v="0"/>
    <n v="0"/>
    <n v="0"/>
    <n v="1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4"/>
    <s v="MANEJO DE CUENTA"/>
    <n v="1140"/>
    <n v="12925.46"/>
    <n v="1083.5999999999999"/>
    <n v="0"/>
    <n v="7514.48"/>
    <n v="21523.54"/>
    <n v="-20383.54"/>
    <n v="18.880298245614036"/>
    <n v="5000"/>
    <n v="5961.5499999999993"/>
    <n v="20260"/>
    <n v="0"/>
    <n v="0"/>
    <n v="8979.41"/>
    <n v="35200.959999999999"/>
    <n v="-30200.959999999999"/>
    <n v="7.0401920000000002"/>
    <n v="5000"/>
    <n v="0"/>
    <n v="0"/>
    <n v="0"/>
    <n v="524.32000000000005"/>
    <n v="524.32000000000005"/>
    <n v="4475.68"/>
    <n v="0.10486400000000001"/>
    <n v="5000"/>
    <n v="5131.6299999999992"/>
    <n v="0"/>
    <n v="0"/>
    <n v="0"/>
    <n v="5131.6299999999992"/>
    <n v="-131.6299999999992"/>
    <n v="1.0263259999999998"/>
    <n v="5121"/>
    <n v="20514.599999999999"/>
    <n v="0"/>
    <n v="0"/>
    <n v="0"/>
    <n v="17239.34"/>
    <n v="37753.939999999995"/>
    <n v="-32632.939999999995"/>
    <n v="7.3723764889669976"/>
    <n v="5000"/>
    <n v="0"/>
    <n v="0"/>
    <n v="0"/>
    <n v="15629.24"/>
    <n v="15629.24"/>
    <n v="-10629.24"/>
    <n v="3.125848"/>
    <n v="2932"/>
    <n v="999.33999999999992"/>
    <n v="0"/>
    <n v="0"/>
    <n v="4388.9799999999996"/>
    <n v="5388.32"/>
    <n v="-2456.3199999999997"/>
    <n v="1.8377626193724419"/>
    <n v="13269"/>
    <n v="3140.12"/>
    <n v="0"/>
    <n v="6264.67"/>
    <n v="16.2"/>
    <n v="464"/>
    <n v="9884.9900000000016"/>
    <n v="3384.0099999999984"/>
    <n v="0.74496872409375248"/>
    <n v="7000"/>
    <n v="2121.42"/>
    <n v="0"/>
    <n v="0"/>
    <n v="11254.38"/>
    <n v="13375.8"/>
    <n v="-6375.7999999999993"/>
    <n v="1.9108285714285713"/>
    <n v="7000"/>
    <n v="7383.09"/>
    <n v="722.38"/>
    <n v="0"/>
    <n v="928"/>
    <n v="9033.4700000000012"/>
    <n v="-2033.4700000000012"/>
    <n v="1.2904957142857145"/>
    <n v="7000"/>
    <n v="8849.48"/>
    <n v="0"/>
    <n v="2204.23"/>
    <n v="0"/>
    <n v="2412.8000000000002"/>
    <n v="13466.509999999998"/>
    <n v="-6466.5099999999984"/>
    <n v="1.9237871428571427"/>
    <n v="20000"/>
    <n v="403.1"/>
    <n v="0"/>
    <n v="0"/>
    <n v="0"/>
    <n v="403.1"/>
    <n v="19596.900000000001"/>
  </r>
  <r>
    <x v="34"/>
    <s v="TPV"/>
    <n v="93308"/>
    <n v="22726.79"/>
    <n v="30631.049999999996"/>
    <n v="31332.434999999998"/>
    <n v="25304.74"/>
    <n v="109995.01499999998"/>
    <n v="-16687.014999999985"/>
    <n v="1.1788379881682169"/>
    <n v="120924"/>
    <n v="21478.12"/>
    <n v="28769.909999999996"/>
    <n v="32558.81"/>
    <n v="28025.310000000005"/>
    <n v="28426.12"/>
    <n v="139258.27000000002"/>
    <n v="-18334.270000000019"/>
    <n v="1.1516181237802257"/>
    <n v="110404"/>
    <n v="36341.01"/>
    <n v="28607.17"/>
    <n v="40500.94"/>
    <n v="41286.420000000006"/>
    <n v="146735.54"/>
    <n v="-36331.540000000008"/>
    <n v="1.3290781131118439"/>
    <n v="119815"/>
    <n v="37520.03"/>
    <n v="18990.850000000002"/>
    <n v="29861.9"/>
    <n v="32218.630000000005"/>
    <n v="118591.41000000002"/>
    <n v="1223.589999999982"/>
    <n v="0.98978767266202072"/>
    <n v="161811"/>
    <n v="35852.83"/>
    <n v="35371.64"/>
    <n v="42331.32"/>
    <n v="36328.699999999997"/>
    <n v="40546.950000000004"/>
    <n v="190431.43999999997"/>
    <n v="-28620.439999999973"/>
    <n v="1.1768757377434165"/>
    <n v="121968"/>
    <n v="38871.869999999995"/>
    <n v="37985.082999999999"/>
    <n v="36535.549999999996"/>
    <n v="35698.620000000003"/>
    <n v="149091.12299999999"/>
    <n v="-27123.122999999992"/>
    <n v="1.2223790092483273"/>
    <n v="114929"/>
    <n v="39247.43"/>
    <n v="38513.569999999992"/>
    <n v="44980.409999999989"/>
    <n v="47659.539999999994"/>
    <n v="170400.95"/>
    <n v="-55471.950000000012"/>
    <n v="1.4826627744085479"/>
    <n v="135234"/>
    <n v="41223.82"/>
    <n v="34900.519999999997"/>
    <n v="32939.21"/>
    <n v="30268.550000000003"/>
    <n v="30859.58"/>
    <n v="170191.68"/>
    <n v="-34957.679999999993"/>
    <n v="1.2584977150716534"/>
    <n v="136549"/>
    <n v="37295.039999999994"/>
    <n v="40728.224999999999"/>
    <n v="25915.07"/>
    <n v="25854.050000000003"/>
    <n v="129792.38499999999"/>
    <n v="6756.6150000000052"/>
    <n v="0.95051875151044674"/>
    <n v="134399"/>
    <n v="15657.07"/>
    <n v="26396.14"/>
    <n v="35860.579999999994"/>
    <n v="67678.109999999986"/>
    <n v="145591.9"/>
    <n v="-11192.899999999994"/>
    <n v="1.083281125603613"/>
    <n v="319477"/>
    <n v="77228.806999999986"/>
    <n v="92138.819999999992"/>
    <n v="127037.04"/>
    <n v="129933.93"/>
    <n v="50570.045599999998"/>
    <n v="476908.64260000002"/>
    <n v="-157431.64260000002"/>
    <n v="1.4927792692431694"/>
    <n v="225773"/>
    <n v="36399.210000000006"/>
    <n v="38153.649999999994"/>
    <n v="57847.479999999996"/>
    <n v="21503.440000000002"/>
    <n v="153903.78000000003"/>
    <n v="71869.219999999972"/>
  </r>
  <r>
    <x v="35"/>
    <s v="SOLUONE (RETAIL)"/>
    <n v="0"/>
    <n v="0"/>
    <n v="0"/>
    <n v="0"/>
    <n v="31983.09"/>
    <n v="31983.09"/>
    <n v="-31983.09"/>
    <n v="0"/>
    <n v="40000"/>
    <n v="0"/>
    <n v="0"/>
    <n v="0"/>
    <n v="0"/>
    <n v="40551.22"/>
    <n v="40551.22"/>
    <n v="-551.22000000000116"/>
    <n v="1.0137805"/>
    <n v="40000"/>
    <n v="0"/>
    <n v="0"/>
    <n v="0"/>
    <n v="0"/>
    <n v="0"/>
    <n v="40000"/>
    <n v="0"/>
    <n v="40000"/>
    <n v="0"/>
    <n v="79858.7"/>
    <n v="0"/>
    <n v="0"/>
    <n v="79858.7"/>
    <n v="-39858.699999999997"/>
    <n v="1.9964674999999998"/>
    <n v="40000"/>
    <n v="0"/>
    <n v="38151.79"/>
    <n v="0"/>
    <n v="8886.5"/>
    <n v="0"/>
    <n v="47038.29"/>
    <n v="-7038.2900000000009"/>
    <n v="1.17595725"/>
    <n v="40000"/>
    <n v="0"/>
    <n v="0"/>
    <n v="0"/>
    <n v="37272.78"/>
    <n v="37272.78"/>
    <n v="2727.2200000000012"/>
    <n v="0.9318195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2.45"/>
    <n v="0"/>
    <n v="0"/>
    <n v="220321.81"/>
    <n v="0"/>
    <n v="237594.26"/>
    <n v="-237594.26"/>
    <n v="0"/>
    <n v="0"/>
    <n v="0"/>
    <n v="0"/>
    <n v="0"/>
    <n v="0"/>
    <n v="0"/>
    <n v="0"/>
  </r>
  <r>
    <x v="36"/>
    <s v="ADQ DE EQ TECNOLOGICO"/>
    <n v="13380"/>
    <n v="0"/>
    <n v="2869.15"/>
    <n v="0"/>
    <n v="7319"/>
    <n v="10188.15"/>
    <n v="3191.8500000000004"/>
    <n v="0.76144618834080713"/>
    <n v="26859"/>
    <n v="2147"/>
    <n v="42799"/>
    <n v="299"/>
    <n v="3687.02"/>
    <n v="0"/>
    <n v="48932.02"/>
    <n v="-22073.019999999997"/>
    <n v="1.8218109386053092"/>
    <n v="50132"/>
    <n v="0"/>
    <n v="0"/>
    <n v="399"/>
    <n v="16955.96"/>
    <n v="17354.96"/>
    <n v="32777.040000000001"/>
    <n v="0.34618527088486395"/>
    <n v="15657"/>
    <n v="566.37"/>
    <n v="397"/>
    <n v="3298"/>
    <n v="40592"/>
    <n v="44853.37"/>
    <n v="-29196.370000000003"/>
    <n v="2.8647486747141855"/>
    <n v="27649"/>
    <n v="4608"/>
    <n v="10250.9"/>
    <n v="5438.75"/>
    <n v="13944"/>
    <n v="9000.02"/>
    <n v="43241.67"/>
    <n v="-15592.669999999998"/>
    <n v="1.5639505949582262"/>
    <n v="7572"/>
    <n v="3382.68"/>
    <n v="0"/>
    <n v="0"/>
    <n v="14015.45"/>
    <n v="17398.129999999997"/>
    <n v="-9826.1299999999974"/>
    <n v="2.2976928156365553"/>
    <n v="0"/>
    <n v="2431"/>
    <n v="8588"/>
    <n v="19681.800000000003"/>
    <n v="35160.89"/>
    <n v="65861.69"/>
    <n v="-65861.69"/>
    <n v="0"/>
    <n v="28882"/>
    <n v="0"/>
    <n v="0"/>
    <n v="25305.82"/>
    <n v="23267.88"/>
    <n v="24144.21"/>
    <n v="72717.91"/>
    <n v="-43835.91"/>
    <n v="2.5177588117166403"/>
    <n v="10000"/>
    <n v="0"/>
    <n v="4181.0600000000004"/>
    <n v="0"/>
    <n v="10076.220000000001"/>
    <n v="14257.28"/>
    <n v="-4257.2800000000007"/>
    <n v="1.4257280000000001"/>
    <n v="10000"/>
    <n v="0"/>
    <n v="0"/>
    <n v="0"/>
    <n v="816.62"/>
    <n v="816.62"/>
    <n v="9183.3799999999992"/>
    <n v="8.1661999999999998E-2"/>
    <n v="10000"/>
    <n v="1549.01"/>
    <n v="18366.899999999998"/>
    <n v="37463.99"/>
    <n v="42232.95"/>
    <n v="1549.01"/>
    <n v="101161.85999999999"/>
    <n v="-91161.859999999986"/>
    <n v="10.116185999999999"/>
    <n v="15000"/>
    <n v="0"/>
    <n v="27312.52"/>
    <n v="13800.01"/>
    <n v="11064"/>
    <n v="52176.53"/>
    <n v="-37176.53"/>
  </r>
  <r>
    <x v="37"/>
    <s v="SINETI (SAP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"/>
    <n v="0"/>
    <n v="0"/>
    <n v="129496.27"/>
    <n v="0"/>
    <n v="0"/>
    <n v="129496.27"/>
    <n v="10503.729999999996"/>
    <n v="0.92497335714285722"/>
    <n v="0"/>
    <n v="0"/>
    <n v="0"/>
    <n v="0"/>
    <n v="0"/>
    <n v="0"/>
    <n v="0"/>
  </r>
  <r>
    <x v="38"/>
    <s v="POSADAS"/>
    <n v="2467"/>
    <n v="0"/>
    <n v="0"/>
    <n v="0"/>
    <n v="0"/>
    <n v="0"/>
    <n v="2467"/>
    <n v="0"/>
    <n v="1907"/>
    <n v="0"/>
    <n v="0"/>
    <n v="0"/>
    <n v="0"/>
    <n v="0"/>
    <n v="0"/>
    <n v="1907"/>
    <n v="0"/>
    <n v="0"/>
    <n v="0"/>
    <n v="0"/>
    <n v="0"/>
    <n v="0"/>
    <n v="0"/>
    <n v="0"/>
    <n v="0"/>
    <n v="1970"/>
    <n v="0"/>
    <n v="0"/>
    <n v="0"/>
    <n v="0"/>
    <n v="0"/>
    <n v="19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0"/>
    <n v="7000"/>
    <n v="232305.79"/>
    <n v="13900"/>
    <n v="253205.79"/>
    <n v="-103205.79000000001"/>
    <n v="1.6880386000000001"/>
    <n v="0"/>
    <n v="43575"/>
    <n v="0"/>
    <n v="0"/>
    <n v="9333"/>
    <n v="52908"/>
    <n v="-52908"/>
  </r>
  <r>
    <x v="39"/>
    <s v="FALTANTES"/>
    <n v="0"/>
    <n v="12811.51"/>
    <n v="14115.85"/>
    <n v="6829.37"/>
    <n v="8002.9"/>
    <n v="41759.629999999997"/>
    <n v="-41759.629999999997"/>
    <n v="0"/>
    <n v="0"/>
    <n v="24818.789999999997"/>
    <n v="5575.71"/>
    <n v="24546.859999999997"/>
    <n v="6055.4"/>
    <n v="18199.330000000002"/>
    <n v="79196.09"/>
    <n v="-79196.09"/>
    <n v="0"/>
    <n v="0"/>
    <n v="29061.39"/>
    <n v="14492.14"/>
    <n v="18624.489999999998"/>
    <n v="21492.67"/>
    <n v="83670.69"/>
    <n v="-83670.69"/>
    <n v="0"/>
    <n v="48351"/>
    <n v="0"/>
    <n v="678"/>
    <n v="0"/>
    <n v="363"/>
    <n v="1041"/>
    <n v="47310"/>
    <n v="2.1530061425823664E-2"/>
    <n v="0"/>
    <n v="0"/>
    <n v="0"/>
    <n v="0"/>
    <n v="80"/>
    <n v="0"/>
    <n v="80"/>
    <n v="-80"/>
    <n v="0"/>
    <n v="0"/>
    <n v="196"/>
    <n v="0"/>
    <n v="0"/>
    <n v="0"/>
    <n v="196"/>
    <n v="-196"/>
    <n v="0"/>
    <n v="0"/>
    <n v="0"/>
    <n v="0"/>
    <n v="0"/>
    <n v="0"/>
    <n v="0"/>
    <n v="0"/>
    <n v="0"/>
    <n v="0"/>
    <n v="0"/>
    <n v="0"/>
    <n v="578.5"/>
    <n v="0"/>
    <n v="0"/>
    <n v="578.5"/>
    <n v="-57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HR"/>
    <n v="10000"/>
    <n v="0"/>
    <n v="0"/>
    <n v="0"/>
    <n v="9540.74"/>
    <n v="9540.74"/>
    <n v="459.26000000000022"/>
    <n v="0.95407399999999998"/>
    <n v="10000"/>
    <n v="597"/>
    <n v="0"/>
    <n v="0"/>
    <n v="12446.67"/>
    <n v="0"/>
    <n v="13043.67"/>
    <n v="-3043.67"/>
    <n v="1.3043670000000001"/>
    <n v="16000"/>
    <n v="398"/>
    <n v="0"/>
    <n v="0"/>
    <n v="9636.76"/>
    <n v="10034.76"/>
    <n v="5965.24"/>
    <n v="0.62717250000000002"/>
    <n v="10000"/>
    <n v="398"/>
    <n v="0"/>
    <n v="0"/>
    <n v="13791.83"/>
    <n v="14189.830000000002"/>
    <n v="-4189.8300000000017"/>
    <n v="1.4189830000000001"/>
    <n v="10000"/>
    <n v="398"/>
    <n v="0"/>
    <n v="0"/>
    <n v="13090.06"/>
    <n v="0"/>
    <n v="13488.06"/>
    <n v="-3488.0599999999995"/>
    <n v="1.3488059999999999"/>
    <n v="10000"/>
    <n v="398"/>
    <n v="0"/>
    <n v="0"/>
    <n v="11777.7"/>
    <n v="12175.7"/>
    <n v="-2175.7000000000007"/>
    <n v="1.21757"/>
    <n v="10000"/>
    <n v="597"/>
    <n v="0"/>
    <n v="0"/>
    <n v="10318.799999999999"/>
    <n v="10915.8"/>
    <n v="-915.79999999999927"/>
    <n v="1.09158"/>
    <n v="10000"/>
    <n v="0"/>
    <n v="398"/>
    <n v="0"/>
    <n v="8289.0299999999988"/>
    <n v="0"/>
    <n v="8687.0299999999988"/>
    <n v="1312.9700000000012"/>
    <n v="0.86870299999999989"/>
    <n v="16000"/>
    <n v="0"/>
    <n v="0"/>
    <n v="0"/>
    <n v="4187.3999999999996"/>
    <n v="4187.3999999999996"/>
    <n v="11812.6"/>
    <n v="0.26171249999999996"/>
    <n v="16000"/>
    <n v="478"/>
    <n v="0"/>
    <n v="0"/>
    <n v="12151.11"/>
    <n v="12629.11"/>
    <n v="3370.8899999999994"/>
    <n v="0.78931937500000005"/>
    <n v="16000"/>
    <n v="0"/>
    <n v="717"/>
    <n v="0"/>
    <n v="2895.08"/>
    <n v="0"/>
    <n v="3612.08"/>
    <n v="12387.92"/>
    <n v="0.22575499999999998"/>
    <n v="10000"/>
    <n v="0"/>
    <n v="0"/>
    <n v="0"/>
    <n v="7646.5"/>
    <n v="7646.5"/>
    <n v="2353.5"/>
  </r>
  <r>
    <x v="32"/>
    <s v="PREDIAL/REVALIDACION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70"/>
    <n v="0"/>
    <n v="0"/>
    <n v="0"/>
    <n v="12070"/>
    <n v="-120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"/>
    <n v="0"/>
    <n v="0"/>
    <n v="0"/>
    <n v="0"/>
    <n v="0"/>
    <n v="220000"/>
  </r>
  <r>
    <x v="1"/>
    <s v="REPRESENTANTE LEGAL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8000"/>
    <n v="0"/>
    <n v="8000"/>
    <n v="0"/>
    <n v="0"/>
    <n v="0"/>
    <n v="0"/>
    <n v="0"/>
    <n v="0"/>
    <n v="8000"/>
    <n v="0"/>
    <n v="8000"/>
    <n v="0"/>
    <n v="0"/>
    <n v="0"/>
    <n v="0"/>
    <n v="0"/>
    <n v="8000"/>
  </r>
  <r>
    <x v="40"/>
    <s v="GDN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5000"/>
    <n v="-5000"/>
    <n v="0"/>
    <n v="0"/>
    <n v="0"/>
    <n v="5000"/>
    <n v="0"/>
    <n v="0"/>
    <n v="5000"/>
    <n v="-5000"/>
    <n v="0"/>
    <n v="0"/>
    <n v="0"/>
    <n v="0"/>
    <n v="5000"/>
    <n v="0"/>
    <n v="5000"/>
    <n v="-5000"/>
    <n v="0"/>
    <n v="450000"/>
    <n v="215000"/>
    <n v="3950"/>
    <n v="223729"/>
    <n v="60000"/>
    <n v="0"/>
    <n v="502679"/>
    <n v="-52679"/>
    <n v="1.1170644444444444"/>
    <n v="0"/>
    <n v="0"/>
    <n v="0"/>
    <n v="5000"/>
    <n v="0"/>
    <n v="5000"/>
    <n v="-5000"/>
  </r>
  <r>
    <x v="24"/>
    <s v="L1"/>
    <n v="0"/>
    <n v="0"/>
    <n v="0"/>
    <n v="290"/>
    <n v="0"/>
    <n v="290"/>
    <n v="-290"/>
    <n v="0"/>
    <n v="0"/>
    <n v="0"/>
    <n v="0"/>
    <n v="0"/>
    <n v="0"/>
    <n v="0"/>
    <n v="0"/>
    <n v="0"/>
    <n v="0"/>
    <n v="0"/>
    <n v="0"/>
    <n v="1000"/>
    <n v="0"/>
    <n v="0"/>
    <n v="1000"/>
    <n v="-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"/>
    <n v="0"/>
    <n v="2350"/>
    <n v="0"/>
    <n v="2819"/>
    <n v="-2819"/>
    <n v="0"/>
    <n v="0"/>
    <n v="0"/>
    <n v="0"/>
    <n v="0"/>
    <n v="0"/>
    <n v="0"/>
    <n v="0"/>
    <n v="0"/>
    <n v="0"/>
    <n v="0"/>
    <n v="0"/>
    <n v="910"/>
    <n v="0"/>
    <n v="0"/>
    <n v="910"/>
    <n v="-910"/>
    <n v="0"/>
    <n v="1000"/>
    <n v="0"/>
    <n v="0"/>
    <n v="0"/>
    <n v="1583"/>
    <n v="1583"/>
    <n v="-583"/>
  </r>
  <r>
    <x v="33"/>
    <s v="L1"/>
    <n v="0"/>
    <n v="596"/>
    <n v="534"/>
    <n v="0"/>
    <n v="0"/>
    <n v="1130"/>
    <n v="-1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s v="L1"/>
    <n v="0"/>
    <n v="0"/>
    <n v="0"/>
    <n v="1000"/>
    <n v="0"/>
    <n v="1000"/>
    <n v="-1000"/>
    <n v="0"/>
    <n v="0"/>
    <n v="1500"/>
    <n v="1000"/>
    <n v="1000"/>
    <n v="1000"/>
    <n v="0"/>
    <n v="4500"/>
    <n v="-4500"/>
    <n v="0"/>
    <n v="0"/>
    <n v="1000"/>
    <n v="0"/>
    <n v="1000"/>
    <n v="2000"/>
    <n v="4000"/>
    <n v="-4000"/>
    <n v="0"/>
    <n v="0"/>
    <n v="1000"/>
    <n v="1000"/>
    <n v="1000"/>
    <n v="1000"/>
    <n v="4000"/>
    <n v="-4000"/>
    <n v="0"/>
    <n v="0"/>
    <n v="1000"/>
    <n v="1000"/>
    <n v="1000"/>
    <n v="0"/>
    <n v="1000"/>
    <n v="4000"/>
    <n v="-4000"/>
    <n v="0"/>
    <n v="0"/>
    <n v="300"/>
    <n v="2000"/>
    <n v="1000"/>
    <n v="1000"/>
    <n v="4300"/>
    <n v="-4300"/>
    <n v="0"/>
    <n v="0"/>
    <n v="1000"/>
    <n v="1000"/>
    <n v="1300"/>
    <n v="0"/>
    <n v="3300"/>
    <n v="-3300"/>
    <n v="0"/>
    <n v="0"/>
    <n v="1300"/>
    <n v="1800"/>
    <n v="1000"/>
    <n v="1000"/>
    <n v="1000"/>
    <n v="6100"/>
    <n v="-6100"/>
    <n v="0"/>
    <n v="0"/>
    <n v="1000"/>
    <n v="1000"/>
    <n v="1000"/>
    <n v="1000"/>
    <n v="4000"/>
    <n v="-4000"/>
    <n v="0"/>
    <n v="0"/>
    <n v="1800"/>
    <n v="1000"/>
    <n v="1000"/>
    <n v="0"/>
    <n v="3800"/>
    <n v="-3800"/>
    <n v="0"/>
    <n v="0"/>
    <n v="1000"/>
    <n v="2500"/>
    <n v="1900"/>
    <n v="1500"/>
    <n v="0"/>
    <n v="6900"/>
    <n v="-6900"/>
    <n v="0"/>
    <n v="8000"/>
    <n v="0"/>
    <n v="0"/>
    <n v="0"/>
    <n v="0"/>
    <n v="0"/>
    <n v="8000"/>
  </r>
  <r>
    <x v="2"/>
    <s v="L1"/>
    <n v="0"/>
    <n v="337"/>
    <n v="0"/>
    <n v="0"/>
    <n v="0"/>
    <n v="337"/>
    <n v="-337"/>
    <n v="0"/>
    <n v="0"/>
    <n v="0"/>
    <n v="5517"/>
    <n v="1401"/>
    <n v="0"/>
    <n v="0"/>
    <n v="6918"/>
    <n v="-6918"/>
    <n v="0"/>
    <n v="0"/>
    <n v="0"/>
    <n v="0"/>
    <n v="22028.573"/>
    <n v="15000"/>
    <n v="37028.573000000004"/>
    <n v="-37028.573000000004"/>
    <n v="0"/>
    <n v="0"/>
    <n v="0"/>
    <n v="15000"/>
    <n v="0"/>
    <n v="0"/>
    <n v="15000"/>
    <n v="-1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7"/>
    <n v="5227"/>
    <n v="-5227"/>
    <n v="0"/>
    <n v="0"/>
    <n v="1936"/>
    <n v="400"/>
    <n v="0"/>
    <n v="0"/>
    <n v="0"/>
    <n v="2336"/>
    <n v="-2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ERVICIOS"/>
    <n v="19000"/>
    <n v="4750"/>
    <n v="4750"/>
    <n v="4750"/>
    <n v="4750"/>
    <n v="19000"/>
    <n v="0"/>
    <n v="1"/>
    <n v="23750"/>
    <n v="4750"/>
    <n v="4750"/>
    <n v="4750"/>
    <n v="4750"/>
    <n v="4750"/>
    <n v="23750"/>
    <n v="0"/>
    <n v="1"/>
    <n v="19000"/>
    <n v="4750"/>
    <n v="4750"/>
    <n v="4750"/>
    <n v="4750"/>
    <n v="19000"/>
    <n v="0"/>
    <n v="1"/>
    <n v="19000"/>
    <n v="4750"/>
    <n v="4750"/>
    <n v="4750"/>
    <n v="4750"/>
    <n v="19000"/>
    <n v="0"/>
    <n v="1"/>
    <n v="23750"/>
    <n v="4750"/>
    <n v="4750"/>
    <n v="4750"/>
    <n v="4750"/>
    <n v="6214"/>
    <n v="25214"/>
    <n v="-1464"/>
    <n v="1.0616421052631579"/>
    <n v="19000"/>
    <n v="4750"/>
    <n v="4750"/>
    <n v="4750"/>
    <n v="4750"/>
    <n v="19000"/>
    <n v="0"/>
    <n v="1"/>
    <n v="19000"/>
    <n v="4750"/>
    <n v="4750"/>
    <n v="4750"/>
    <n v="4750"/>
    <n v="19000"/>
    <n v="0"/>
    <n v="1"/>
    <n v="23750"/>
    <n v="4750"/>
    <n v="4750"/>
    <n v="4750"/>
    <n v="4750"/>
    <n v="4750"/>
    <n v="23750"/>
    <n v="0"/>
    <n v="1"/>
    <n v="19000"/>
    <n v="4750"/>
    <n v="4750"/>
    <n v="4750"/>
    <n v="4750"/>
    <n v="19000"/>
    <n v="0"/>
    <n v="1"/>
    <n v="19000"/>
    <n v="4750"/>
    <n v="4750"/>
    <n v="4750"/>
    <n v="4750"/>
    <n v="19000"/>
    <n v="0"/>
    <n v="1"/>
    <n v="23750"/>
    <n v="8148"/>
    <n v="4750"/>
    <n v="6300"/>
    <n v="4750"/>
    <n v="4750"/>
    <n v="28698"/>
    <n v="-4948"/>
    <n v="1.2083368421052632"/>
    <n v="19000"/>
    <n v="4750"/>
    <n v="4750"/>
    <n v="5850"/>
    <n v="4750"/>
    <n v="20100"/>
    <n v="-1100"/>
  </r>
  <r>
    <x v="13"/>
    <s v="CAPRICHOS"/>
    <n v="0"/>
    <n v="0"/>
    <n v="650"/>
    <n v="471"/>
    <n v="0"/>
    <n v="1121"/>
    <n v="-1121"/>
    <n v="0"/>
    <n v="0"/>
    <n v="0"/>
    <n v="650"/>
    <n v="471"/>
    <n v="0"/>
    <n v="0"/>
    <n v="1121"/>
    <n v="-1121"/>
    <n v="0"/>
    <n v="0"/>
    <n v="0"/>
    <n v="650"/>
    <n v="471"/>
    <n v="0"/>
    <n v="1121"/>
    <n v="-1121"/>
    <n v="0"/>
    <n v="0"/>
    <n v="0"/>
    <n v="650"/>
    <n v="471"/>
    <n v="0"/>
    <n v="1121"/>
    <n v="-1121"/>
    <n v="0"/>
    <n v="0"/>
    <n v="0"/>
    <n v="1650"/>
    <n v="471"/>
    <n v="0"/>
    <n v="0"/>
    <n v="2121"/>
    <n v="-2121"/>
    <n v="0"/>
    <n v="0"/>
    <n v="650"/>
    <n v="0"/>
    <n v="471"/>
    <n v="0"/>
    <n v="1121"/>
    <n v="-1121"/>
    <n v="0"/>
    <n v="0"/>
    <n v="0"/>
    <n v="1650"/>
    <n v="471"/>
    <n v="0"/>
    <n v="2121"/>
    <n v="-2121"/>
    <n v="0"/>
    <n v="0"/>
    <n v="0"/>
    <n v="650"/>
    <n v="471"/>
    <n v="0"/>
    <n v="0"/>
    <n v="1121"/>
    <n v="-1121"/>
    <n v="0"/>
    <n v="0"/>
    <n v="0"/>
    <n v="0"/>
    <n v="471"/>
    <n v="0"/>
    <n v="471"/>
    <n v="-471"/>
    <n v="0"/>
    <n v="0"/>
    <n v="0"/>
    <n v="0"/>
    <n v="471"/>
    <n v="0"/>
    <n v="471"/>
    <n v="-471"/>
    <n v="0"/>
    <n v="0"/>
    <n v="0"/>
    <n v="0"/>
    <n v="471"/>
    <n v="0"/>
    <n v="0"/>
    <n v="471"/>
    <n v="-471"/>
    <n v="0"/>
    <n v="2500"/>
    <n v="0"/>
    <n v="0"/>
    <n v="0"/>
    <n v="0"/>
    <n v="0"/>
    <n v="2500"/>
  </r>
  <r>
    <x v="14"/>
    <s v="IMAGEN VISUAL ELILU"/>
    <n v="0"/>
    <n v="0"/>
    <n v="0"/>
    <n v="1009"/>
    <n v="0"/>
    <n v="1009"/>
    <n v="-1009"/>
    <n v="0"/>
    <n v="0"/>
    <n v="0"/>
    <n v="0"/>
    <n v="0"/>
    <n v="489.26"/>
    <n v="0"/>
    <n v="489.26"/>
    <n v="-48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150"/>
    <n v="-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.8"/>
    <n v="672.8"/>
    <n v="-672.8"/>
    <n v="0"/>
    <n v="0"/>
    <n v="0"/>
    <n v="0"/>
    <n v="0"/>
    <n v="0"/>
    <n v="0"/>
    <n v="0"/>
    <n v="0"/>
    <n v="0"/>
    <n v="1000"/>
    <n v="0"/>
    <n v="0"/>
    <n v="0"/>
    <n v="0"/>
    <n v="0"/>
    <n v="1000"/>
  </r>
  <r>
    <x v="33"/>
    <s v="SERVICIOS"/>
    <n v="0"/>
    <n v="329"/>
    <n v="623"/>
    <n v="0"/>
    <n v="0"/>
    <n v="952"/>
    <n v="-952"/>
    <n v="0"/>
    <n v="0"/>
    <n v="0"/>
    <n v="0"/>
    <n v="0"/>
    <n v="1316"/>
    <n v="0"/>
    <n v="1316"/>
    <n v="-1316"/>
    <n v="0"/>
    <n v="0"/>
    <n v="0"/>
    <n v="623"/>
    <n v="564"/>
    <n v="0"/>
    <n v="1187"/>
    <n v="-1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302"/>
    <n v="-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0"/>
    <n v="0"/>
    <n v="0"/>
    <n v="0"/>
    <n v="0"/>
    <n v="1000"/>
  </r>
  <r>
    <x v="18"/>
    <s v="MELISSA"/>
    <n v="0"/>
    <n v="0"/>
    <n v="0"/>
    <n v="0"/>
    <n v="12299.8"/>
    <n v="12299.8"/>
    <n v="-12299.8"/>
    <n v="0"/>
    <n v="0"/>
    <n v="0"/>
    <n v="0"/>
    <n v="0"/>
    <n v="0"/>
    <n v="0"/>
    <n v="0"/>
    <n v="0"/>
    <n v="0"/>
    <n v="0"/>
    <n v="0"/>
    <n v="0"/>
    <n v="0"/>
    <n v="2567.5500000000002"/>
    <n v="2567.5500000000002"/>
    <n v="-2567.5500000000002"/>
    <n v="0"/>
    <n v="0"/>
    <n v="0"/>
    <n v="0"/>
    <n v="0"/>
    <n v="1808.15"/>
    <n v="1808.15"/>
    <n v="-1808.15"/>
    <n v="0"/>
    <n v="0"/>
    <n v="0"/>
    <n v="0"/>
    <n v="0"/>
    <n v="5406.68"/>
    <n v="0"/>
    <n v="5406.68"/>
    <n v="-5406.68"/>
    <n v="0"/>
    <n v="0"/>
    <n v="0"/>
    <n v="0"/>
    <n v="0"/>
    <n v="1503.23"/>
    <n v="1503.23"/>
    <n v="-1503.23"/>
    <n v="0"/>
    <n v="0"/>
    <n v="0"/>
    <n v="0"/>
    <n v="0"/>
    <n v="1108.46"/>
    <n v="1108.46"/>
    <n v="-1108.46"/>
    <n v="0"/>
    <n v="0"/>
    <n v="0"/>
    <n v="0"/>
    <n v="0"/>
    <n v="3405.64"/>
    <n v="0"/>
    <n v="3405.64"/>
    <n v="-3405.64"/>
    <n v="0"/>
    <n v="0"/>
    <n v="0"/>
    <n v="0"/>
    <n v="0"/>
    <n v="936.52"/>
    <n v="936.52"/>
    <n v="-936.52"/>
    <n v="0"/>
    <n v="0"/>
    <n v="0"/>
    <n v="0"/>
    <n v="0"/>
    <n v="1089.04"/>
    <n v="1089.04"/>
    <n v="-1089.04"/>
    <n v="0"/>
    <n v="0"/>
    <n v="0"/>
    <n v="0"/>
    <n v="0"/>
    <n v="1618.95"/>
    <n v="0"/>
    <n v="1618.95"/>
    <n v="-1618.95"/>
    <n v="0"/>
    <n v="3500"/>
    <n v="0"/>
    <n v="0"/>
    <n v="0"/>
    <n v="5792.71"/>
    <n v="5792.71"/>
    <n v="-2292.71"/>
  </r>
  <r>
    <x v="18"/>
    <s v="L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62.5"/>
    <n v="12462.5"/>
    <n v="-124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3.1099999999988"/>
    <n v="8763.1099999999988"/>
    <n v="-8763.1099999999988"/>
  </r>
  <r>
    <x v="19"/>
    <s v="MANTENIMIENT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5000"/>
    <n v="-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5000"/>
    <n v="-5000"/>
    <n v="0"/>
    <n v="0"/>
    <n v="2000"/>
    <n v="0"/>
    <n v="0"/>
    <n v="0"/>
    <n v="2000"/>
    <n v="-2000"/>
    <n v="0"/>
    <n v="0"/>
    <n v="10568.96"/>
    <n v="0"/>
    <n v="0"/>
    <n v="0"/>
    <n v="10568.96"/>
    <n v="-10568.96"/>
    <n v="0"/>
    <n v="0"/>
    <n v="0"/>
    <n v="0"/>
    <n v="2000"/>
    <n v="0"/>
    <n v="0"/>
    <n v="2000"/>
    <n v="-2000"/>
    <n v="0"/>
    <n v="5000"/>
    <n v="0"/>
    <n v="300"/>
    <n v="0"/>
    <n v="0"/>
    <n v="300"/>
    <n v="4700"/>
  </r>
  <r>
    <x v="25"/>
    <s v="L1"/>
    <n v="0"/>
    <n v="0"/>
    <n v="0"/>
    <n v="0"/>
    <n v="200"/>
    <n v="200"/>
    <n v="-200"/>
    <n v="0"/>
    <n v="0"/>
    <n v="130"/>
    <n v="0"/>
    <n v="0"/>
    <n v="330"/>
    <n v="180"/>
    <n v="640"/>
    <n v="-640"/>
    <n v="0"/>
    <n v="0"/>
    <n v="0"/>
    <n v="0"/>
    <n v="0"/>
    <n v="0"/>
    <n v="0"/>
    <n v="0"/>
    <n v="0"/>
    <n v="0"/>
    <n v="0"/>
    <n v="0"/>
    <n v="0"/>
    <n v="200"/>
    <n v="200"/>
    <n v="-200"/>
    <n v="0"/>
    <n v="0"/>
    <n v="0"/>
    <n v="0"/>
    <n v="300"/>
    <n v="0"/>
    <n v="300"/>
    <n v="600"/>
    <n v="-600"/>
    <n v="0"/>
    <n v="0"/>
    <n v="0"/>
    <n v="0"/>
    <n v="0"/>
    <n v="0"/>
    <n v="0"/>
    <n v="0"/>
    <n v="0"/>
    <n v="0"/>
    <n v="0"/>
    <n v="0"/>
    <n v="306"/>
    <n v="0"/>
    <n v="306"/>
    <n v="-306"/>
    <n v="0"/>
    <n v="0"/>
    <n v="0"/>
    <n v="43"/>
    <n v="257"/>
    <n v="0"/>
    <n v="0"/>
    <n v="300"/>
    <n v="-300"/>
    <n v="0"/>
    <n v="0"/>
    <n v="250"/>
    <n v="0"/>
    <n v="400"/>
    <n v="400"/>
    <n v="1050"/>
    <n v="-1050"/>
    <n v="0"/>
    <n v="0"/>
    <n v="0"/>
    <n v="0"/>
    <n v="0"/>
    <n v="0"/>
    <n v="0"/>
    <n v="0"/>
    <n v="0"/>
    <n v="0"/>
    <n v="0"/>
    <n v="650"/>
    <n v="2150"/>
    <n v="1263"/>
    <n v="0"/>
    <n v="4063"/>
    <n v="-4063"/>
    <n v="0"/>
    <n v="1500"/>
    <n v="0"/>
    <n v="0"/>
    <n v="0"/>
    <n v="0"/>
    <n v="0"/>
    <n v="1500"/>
  </r>
  <r>
    <x v="41"/>
    <s v="PRESTAMO"/>
    <n v="0"/>
    <n v="0"/>
    <n v="0"/>
    <n v="0"/>
    <n v="0"/>
    <n v="0"/>
    <n v="0"/>
    <n v="0"/>
    <n v="0"/>
    <n v="0"/>
    <n v="5000"/>
    <n v="1355"/>
    <n v="0"/>
    <n v="0"/>
    <n v="6355"/>
    <n v="-6355"/>
    <n v="0"/>
    <n v="0"/>
    <n v="0"/>
    <n v="0"/>
    <n v="0"/>
    <n v="0"/>
    <n v="0"/>
    <n v="0"/>
    <n v="0"/>
    <n v="0"/>
    <n v="0"/>
    <n v="0"/>
    <n v="3000"/>
    <n v="37000"/>
    <n v="40000"/>
    <n v="-40000"/>
    <n v="0"/>
    <n v="0"/>
    <n v="7000"/>
    <n v="0"/>
    <n v="0"/>
    <n v="5000"/>
    <n v="0"/>
    <n v="12000"/>
    <n v="-12000"/>
    <n v="0"/>
    <n v="0"/>
    <n v="0"/>
    <n v="15000"/>
    <n v="0"/>
    <n v="25000"/>
    <n v="40000"/>
    <n v="-40000"/>
    <n v="0"/>
    <n v="0"/>
    <n v="1200"/>
    <n v="0"/>
    <n v="0"/>
    <n v="0"/>
    <n v="1200"/>
    <n v="-1200"/>
    <n v="0"/>
    <n v="0"/>
    <n v="0"/>
    <n v="0"/>
    <n v="2500"/>
    <n v="1500"/>
    <n v="12000"/>
    <n v="16000"/>
    <n v="-16000"/>
    <n v="0"/>
    <n v="0"/>
    <n v="10000"/>
    <n v="0"/>
    <n v="8000"/>
    <n v="0"/>
    <n v="18000"/>
    <n v="-18000"/>
    <n v="0"/>
    <n v="0"/>
    <n v="0"/>
    <n v="0"/>
    <n v="0"/>
    <n v="0"/>
    <n v="0"/>
    <n v="0"/>
    <n v="0"/>
    <n v="0"/>
    <n v="10000"/>
    <n v="0"/>
    <n v="0"/>
    <n v="0"/>
    <n v="0"/>
    <n v="10000"/>
    <n v="-10000"/>
    <n v="0"/>
    <n v="0"/>
    <n v="0"/>
    <n v="10000"/>
    <n v="0"/>
    <n v="0"/>
    <n v="10000"/>
    <n v="-10000"/>
  </r>
  <r>
    <x v="18"/>
    <s v="MARKET MAX"/>
    <n v="0"/>
    <n v="0"/>
    <n v="0"/>
    <n v="0"/>
    <n v="6044.16"/>
    <n v="6044.16"/>
    <n v="-6044.16"/>
    <n v="0"/>
    <n v="0"/>
    <n v="0"/>
    <n v="0"/>
    <n v="0"/>
    <n v="8881.73"/>
    <n v="0"/>
    <n v="8881.73"/>
    <n v="-8881.73"/>
    <n v="0"/>
    <n v="0"/>
    <n v="199"/>
    <n v="0"/>
    <n v="0"/>
    <n v="212.11"/>
    <n v="411.11"/>
    <n v="-411.11"/>
    <n v="0"/>
    <n v="0"/>
    <n v="199"/>
    <n v="0"/>
    <n v="0"/>
    <n v="7659.85"/>
    <n v="7858.85"/>
    <n v="-7858.85"/>
    <n v="0"/>
    <n v="0"/>
    <n v="348"/>
    <n v="0"/>
    <n v="0"/>
    <n v="1800.36"/>
    <n v="0"/>
    <n v="2148.36"/>
    <n v="-2148.36"/>
    <n v="0"/>
    <n v="0"/>
    <n v="348"/>
    <n v="0"/>
    <n v="0"/>
    <n v="2535.73"/>
    <n v="2883.73"/>
    <n v="-2883.73"/>
    <n v="0"/>
    <n v="0"/>
    <n v="0"/>
    <n v="0"/>
    <n v="0"/>
    <n v="1799.65"/>
    <n v="1799.65"/>
    <n v="-1799.65"/>
    <n v="0"/>
    <n v="0"/>
    <n v="0"/>
    <n v="0"/>
    <n v="0"/>
    <n v="4176.0400000000009"/>
    <n v="0"/>
    <n v="4176.0400000000009"/>
    <n v="-4176.0400000000009"/>
    <n v="0"/>
    <n v="0"/>
    <n v="0"/>
    <n v="0"/>
    <n v="0"/>
    <n v="3921.55"/>
    <n v="3921.55"/>
    <n v="-3921.55"/>
    <n v="0"/>
    <n v="0"/>
    <n v="0"/>
    <n v="0"/>
    <n v="0"/>
    <n v="1214.71"/>
    <n v="1214.71"/>
    <n v="-1214.71"/>
    <n v="0"/>
    <n v="0"/>
    <n v="0"/>
    <n v="0"/>
    <n v="0"/>
    <n v="2437.1999999999998"/>
    <n v="0"/>
    <n v="2437.1999999999998"/>
    <n v="-2437.1999999999998"/>
    <n v="0"/>
    <n v="3630"/>
    <n v="0"/>
    <n v="0"/>
    <n v="0"/>
    <n v="2951"/>
    <n v="2951"/>
    <n v="679"/>
  </r>
  <r>
    <x v="18"/>
    <s v="ELILU"/>
    <n v="0"/>
    <n v="0"/>
    <n v="0"/>
    <n v="0"/>
    <n v="4424.87"/>
    <n v="4424.87"/>
    <n v="-4424.87"/>
    <n v="0"/>
    <n v="0"/>
    <n v="0"/>
    <n v="0"/>
    <n v="0"/>
    <n v="3986.7799999999997"/>
    <n v="0"/>
    <n v="3986.7799999999997"/>
    <n v="-3986.7799999999997"/>
    <n v="0"/>
    <n v="0"/>
    <n v="0"/>
    <n v="0"/>
    <n v="0"/>
    <n v="5580.15"/>
    <n v="5580.15"/>
    <n v="-5580.15"/>
    <n v="0"/>
    <n v="0"/>
    <n v="0"/>
    <n v="0"/>
    <n v="0"/>
    <n v="2693.92"/>
    <n v="2693.92"/>
    <n v="-2693.92"/>
    <n v="0"/>
    <n v="0"/>
    <n v="0"/>
    <n v="0"/>
    <n v="0"/>
    <n v="4973.93"/>
    <n v="0"/>
    <n v="4973.93"/>
    <n v="-4973.93"/>
    <n v="0"/>
    <n v="0"/>
    <n v="0"/>
    <n v="0"/>
    <n v="0"/>
    <n v="0"/>
    <n v="0"/>
    <n v="0"/>
    <n v="0"/>
    <n v="0"/>
    <n v="0"/>
    <n v="0"/>
    <n v="0"/>
    <n v="1101"/>
    <n v="1101"/>
    <n v="-1101"/>
    <n v="0"/>
    <n v="0"/>
    <n v="0"/>
    <n v="0"/>
    <n v="0"/>
    <n v="3193.06"/>
    <n v="0"/>
    <n v="3193.06"/>
    <n v="-3193.06"/>
    <n v="0"/>
    <n v="0"/>
    <n v="0"/>
    <n v="0"/>
    <n v="0"/>
    <n v="2759.5099999999998"/>
    <n v="2759.5099999999998"/>
    <n v="-2759.5099999999998"/>
    <n v="0"/>
    <n v="0"/>
    <n v="0"/>
    <n v="0"/>
    <n v="0"/>
    <n v="3122.07"/>
    <n v="3122.07"/>
    <n v="-3122.07"/>
    <n v="0"/>
    <n v="0"/>
    <n v="0"/>
    <n v="0"/>
    <n v="0"/>
    <n v="0"/>
    <n v="0"/>
    <n v="0"/>
    <n v="0"/>
    <n v="0"/>
    <n v="5000"/>
    <n v="0"/>
    <n v="0"/>
    <n v="0"/>
    <n v="0"/>
    <n v="0"/>
    <n v="5000"/>
  </r>
  <r>
    <x v="32"/>
    <s v="REGISTRO DE MARCA"/>
    <n v="0"/>
    <n v="0"/>
    <n v="0"/>
    <n v="0"/>
    <n v="0"/>
    <n v="0"/>
    <n v="0"/>
    <n v="0"/>
    <n v="0"/>
    <n v="0"/>
    <n v="0"/>
    <n v="0"/>
    <n v="4157"/>
    <n v="2814"/>
    <n v="6971"/>
    <n v="-69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4"/>
    <n v="0"/>
    <n v="0"/>
    <n v="0"/>
    <n v="2814"/>
    <n v="-2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s v="E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"/>
    <n v="0"/>
    <n v="6378"/>
    <n v="0"/>
    <n v="0"/>
    <n v="6378"/>
    <n v="622"/>
    <n v="0.91114285714285714"/>
    <n v="0"/>
    <n v="0"/>
    <n v="14177"/>
    <n v="0"/>
    <n v="0"/>
    <n v="0"/>
    <n v="14177"/>
    <n v="-14177"/>
    <n v="0"/>
    <n v="12000"/>
    <n v="15726"/>
    <n v="0"/>
    <n v="0"/>
    <n v="0"/>
    <n v="15726"/>
    <n v="-3726"/>
    <n v="1.3105"/>
    <n v="0"/>
    <n v="20556"/>
    <n v="0"/>
    <n v="0"/>
    <n v="0"/>
    <n v="20556"/>
    <n v="-20556"/>
    <n v="0"/>
    <n v="12000"/>
    <n v="0"/>
    <n v="17914"/>
    <n v="0"/>
    <n v="0"/>
    <n v="0"/>
    <n v="17914"/>
    <n v="-5914"/>
    <n v="1.4928333333333332"/>
    <n v="0"/>
    <n v="18566"/>
    <n v="0"/>
    <n v="0"/>
    <n v="0"/>
    <n v="18566"/>
    <n v="-18566"/>
    <n v="0"/>
    <n v="15000"/>
    <n v="0"/>
    <n v="0"/>
    <n v="0"/>
    <n v="0"/>
    <n v="0"/>
    <n v="15000"/>
    <n v="0"/>
    <n v="0"/>
    <n v="0"/>
    <n v="10185"/>
    <n v="0"/>
    <n v="0"/>
    <n v="0"/>
    <n v="10185"/>
    <n v="-10185"/>
    <n v="0"/>
    <n v="13200"/>
    <n v="8362"/>
    <n v="0"/>
    <n v="0"/>
    <n v="0"/>
    <n v="8362"/>
    <n v="4838"/>
  </r>
  <r>
    <x v="32"/>
    <s v="WORKFOR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6.81"/>
    <n v="0"/>
    <n v="0"/>
    <n v="0"/>
    <n v="0"/>
    <n v="3776.81"/>
    <n v="-3776.81"/>
    <n v="0"/>
    <n v="0"/>
    <n v="12057.48"/>
    <n v="0"/>
    <n v="0"/>
    <n v="0"/>
    <n v="12057.48"/>
    <n v="-12057.48"/>
    <n v="0"/>
    <n v="0"/>
    <n v="7856"/>
    <n v="0"/>
    <n v="0"/>
    <n v="0"/>
    <n v="7856"/>
    <n v="-7856"/>
    <n v="0"/>
    <n v="0"/>
    <n v="0"/>
    <n v="13131.04"/>
    <n v="0"/>
    <n v="0"/>
    <n v="0"/>
    <n v="13131.04"/>
    <n v="-13131.04"/>
    <n v="0"/>
    <n v="0"/>
    <n v="36915.040000000001"/>
    <n v="0"/>
    <n v="0"/>
    <n v="0"/>
    <n v="36915.040000000001"/>
    <n v="-36915.040000000001"/>
    <n v="0"/>
    <n v="0"/>
    <n v="54952.29"/>
    <n v="0"/>
    <n v="0"/>
    <n v="0"/>
    <n v="54952.29"/>
    <n v="-54952.29"/>
    <n v="0"/>
    <n v="0"/>
    <n v="0"/>
    <n v="57562.6"/>
    <n v="0"/>
    <n v="0"/>
    <n v="0"/>
    <n v="57562.6"/>
    <n v="-57562.6"/>
    <n v="0"/>
    <n v="60000"/>
    <n v="0"/>
    <n v="0"/>
    <n v="0"/>
    <n v="0"/>
    <n v="0"/>
    <n v="60000"/>
  </r>
  <r>
    <x v="32"/>
    <s v="GOOGLE CAPCU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500"/>
    <n v="-1500"/>
    <n v="0"/>
    <n v="0"/>
    <n v="1499"/>
    <n v="0"/>
    <n v="0"/>
    <n v="0"/>
    <n v="0"/>
    <n v="1499"/>
    <n v="-1499"/>
    <n v="0"/>
    <n v="0"/>
    <n v="0"/>
    <n v="0"/>
    <n v="0"/>
    <n v="0"/>
    <n v="0"/>
    <n v="0"/>
    <n v="0"/>
    <n v="0"/>
    <n v="0"/>
    <n v="0"/>
    <n v="0"/>
    <n v="350"/>
    <n v="350"/>
    <n v="-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3000"/>
  </r>
  <r>
    <x v="32"/>
    <s v="TRAMIT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"/>
    <n v="0"/>
    <n v="4500"/>
    <n v="-4500"/>
    <n v="0"/>
    <n v="0"/>
    <n v="0"/>
    <n v="37468"/>
    <n v="23879"/>
    <n v="13000"/>
    <n v="74347"/>
    <n v="-74347"/>
    <n v="0"/>
    <n v="0"/>
    <n v="0"/>
    <n v="0"/>
    <n v="0"/>
    <n v="0"/>
    <n v="0"/>
    <n v="0"/>
    <n v="0"/>
    <n v="0"/>
    <n v="0"/>
    <n v="6000"/>
    <n v="0"/>
    <n v="0"/>
    <n v="0"/>
    <n v="6000"/>
    <n v="-6000"/>
    <n v="0"/>
    <n v="0"/>
    <n v="0"/>
    <n v="0"/>
    <n v="0"/>
    <n v="16000"/>
    <n v="16000"/>
    <n v="-16000"/>
    <n v="0"/>
    <n v="0"/>
    <n v="0"/>
    <n v="2518"/>
    <n v="0"/>
    <n v="29500"/>
    <n v="32018"/>
    <n v="-32018"/>
    <n v="0"/>
    <n v="0"/>
    <n v="0"/>
    <n v="9443"/>
    <n v="1500"/>
    <n v="0"/>
    <n v="447"/>
    <n v="11390"/>
    <n v="-11390"/>
    <n v="0"/>
    <n v="0"/>
    <n v="0"/>
    <n v="223930"/>
    <n v="0"/>
    <n v="0"/>
    <n v="223930"/>
    <n v="-223930"/>
  </r>
  <r>
    <x v="32"/>
    <s v="TRASLADO DE VALOR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3.94"/>
    <n v="0"/>
    <n v="0"/>
    <n v="0"/>
    <n v="5893.94"/>
    <n v="-5893.94"/>
    <n v="0"/>
    <n v="0"/>
    <n v="0"/>
    <n v="0"/>
    <n v="3339.44"/>
    <n v="0"/>
    <n v="3339.44"/>
    <n v="-3339.44"/>
    <n v="0"/>
    <n v="0"/>
    <n v="0"/>
    <n v="0"/>
    <n v="3078.88"/>
    <n v="0"/>
    <n v="0"/>
    <n v="3078.88"/>
    <n v="-3078.88"/>
    <n v="0"/>
    <n v="0"/>
    <n v="0"/>
    <n v="0"/>
    <n v="3633.76"/>
    <n v="0"/>
    <n v="3633.76"/>
    <n v="-363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0"/>
    <n v="0"/>
    <n v="0"/>
    <n v="0"/>
    <n v="0"/>
    <n v="5000"/>
  </r>
  <r>
    <x v="42"/>
    <s v="REPARAC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0"/>
    <n v="0"/>
    <n v="7800"/>
    <n v="-7800"/>
    <n v="0"/>
    <n v="0"/>
    <n v="0"/>
    <n v="0"/>
    <n v="0"/>
    <n v="0"/>
    <n v="0"/>
    <n v="0"/>
    <n v="0"/>
    <n v="0"/>
    <n v="0"/>
    <n v="12090.87"/>
    <n v="0"/>
    <n v="5400"/>
    <n v="0"/>
    <n v="17490.870000000003"/>
    <n v="-17490.870000000003"/>
    <n v="0"/>
    <n v="0"/>
    <n v="0"/>
    <n v="0"/>
    <n v="0"/>
    <n v="6000"/>
    <n v="6000"/>
    <n v="-6000"/>
    <n v="0"/>
    <n v="0"/>
    <n v="5982"/>
    <n v="0"/>
    <n v="0"/>
    <n v="0"/>
    <n v="5982"/>
    <n v="-5982"/>
    <n v="0"/>
    <n v="0"/>
    <n v="0"/>
    <n v="43876.7"/>
    <n v="0"/>
    <n v="0"/>
    <n v="0"/>
    <n v="43876.7"/>
    <n v="-43876.7"/>
    <n v="0"/>
    <n v="0"/>
    <n v="0"/>
    <n v="0"/>
    <n v="0"/>
    <n v="0"/>
    <n v="0"/>
    <n v="0"/>
  </r>
  <r>
    <x v="24"/>
    <s v="INSUM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0"/>
    <n v="2000"/>
    <n v="2550"/>
    <n v="550"/>
    <n v="5100"/>
    <n v="4900"/>
    <n v="0.51"/>
    <n v="10000"/>
    <n v="5500"/>
    <n v="2250"/>
    <n v="1500"/>
    <n v="1021.2"/>
    <n v="10271.200000000001"/>
    <n v="-271.20000000000073"/>
    <n v="1.02712"/>
    <n v="10000"/>
    <n v="0"/>
    <n v="0"/>
    <n v="500"/>
    <n v="1756"/>
    <n v="3050"/>
    <n v="5306"/>
    <n v="4694"/>
    <n v="0.53059999999999996"/>
    <n v="10000"/>
    <n v="14295"/>
    <n v="45490"/>
    <n v="0"/>
    <n v="2463.1999999999998"/>
    <n v="62248.2"/>
    <n v="-52248.2"/>
    <n v="6.2248199999999994"/>
    <n v="10000"/>
    <n v="1700"/>
    <n v="4319"/>
    <n v="11177"/>
    <n v="1292.93"/>
    <n v="18488.93"/>
    <n v="-8488.93"/>
    <n v="1.8488930000000001"/>
    <n v="10000"/>
    <n v="1665"/>
    <n v="0"/>
    <n v="3050"/>
    <n v="3161.06"/>
    <n v="0"/>
    <n v="7876.0599999999995"/>
    <n v="2123.9400000000005"/>
    <n v="0.78760599999999992"/>
    <n v="5000"/>
    <n v="3152"/>
    <n v="2889.99"/>
    <n v="13350"/>
    <n v="3210.35"/>
    <n v="22602.339999999997"/>
    <n v="-17602.339999999997"/>
  </r>
  <r>
    <x v="32"/>
    <s v="MOKKER A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0.5"/>
    <n v="0"/>
    <n v="0"/>
    <n v="0"/>
    <n v="1030.5"/>
    <n v="-1030.5"/>
    <n v="0"/>
    <n v="0"/>
    <n v="1030.45"/>
    <n v="0"/>
    <n v="0"/>
    <n v="0"/>
    <n v="1030.45"/>
    <n v="-103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2"/>
    <s v="MIDJOURNEY A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.82"/>
    <n v="0"/>
    <n v="0"/>
    <n v="0"/>
    <n v="231.82"/>
    <n v="-231.82"/>
    <n v="0"/>
    <n v="0"/>
    <n v="225.32"/>
    <n v="0"/>
    <n v="0"/>
    <n v="0"/>
    <n v="225.32"/>
    <n v="-225.32"/>
    <n v="0"/>
    <n v="0"/>
    <n v="0"/>
    <n v="227.74"/>
    <n v="0"/>
    <n v="0"/>
    <n v="0"/>
    <n v="227.74"/>
    <n v="-227.74"/>
    <n v="0"/>
    <n v="0"/>
    <n v="226.86"/>
    <n v="0"/>
    <n v="0"/>
    <n v="0"/>
    <n v="226.86"/>
    <n v="-226.86"/>
    <n v="0"/>
    <n v="0"/>
    <n v="223.36"/>
    <n v="0"/>
    <n v="0"/>
    <n v="0"/>
    <n v="223.36"/>
    <n v="-223.36"/>
    <n v="0"/>
    <n v="0"/>
    <n v="0"/>
    <n v="225.84"/>
    <n v="0"/>
    <n v="0"/>
    <n v="0"/>
    <n v="225.84"/>
    <n v="-225.84"/>
    <n v="0"/>
    <n v="0"/>
    <n v="0"/>
    <n v="0"/>
    <n v="0"/>
    <n v="0"/>
    <n v="0"/>
    <n v="0"/>
  </r>
  <r>
    <x v="16"/>
    <s v="MELISSA/ELILU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700"/>
    <n v="-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s v="MK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0"/>
    <n v="2650"/>
    <n v="-2650"/>
    <n v="0"/>
    <n v="0"/>
    <n v="800"/>
    <n v="0"/>
    <n v="450"/>
    <n v="500"/>
    <n v="1750"/>
    <n v="-1750"/>
    <n v="0"/>
    <n v="0"/>
    <n v="2000"/>
    <n v="0"/>
    <n v="0"/>
    <n v="1750"/>
    <n v="0"/>
    <n v="3750"/>
    <n v="-3750"/>
    <n v="0"/>
    <n v="0"/>
    <n v="0"/>
    <n v="1550"/>
    <n v="0"/>
    <n v="3128"/>
    <n v="4678"/>
    <n v="-4678"/>
    <n v="0"/>
    <n v="0"/>
    <n v="0"/>
    <n v="1700"/>
    <n v="250"/>
    <n v="20"/>
    <n v="1970"/>
    <n v="-1970"/>
    <n v="0"/>
    <n v="0"/>
    <n v="0"/>
    <n v="1690"/>
    <n v="2050"/>
    <n v="0"/>
    <n v="0"/>
    <n v="3740"/>
    <n v="-3740"/>
    <n v="0"/>
    <n v="4000"/>
    <n v="500"/>
    <n v="1800"/>
    <n v="1900"/>
    <n v="0"/>
    <n v="4200"/>
    <n v="-200"/>
  </r>
  <r>
    <x v="43"/>
    <s v="UNIFOR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.1"/>
    <n v="0"/>
    <n v="0"/>
    <n v="0"/>
    <n v="542.1"/>
    <n v="-54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K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21301.599999999999"/>
    <n v="17301.2"/>
    <n v="17303"/>
    <n v="57905.8"/>
    <n v="-57905.8"/>
    <n v="0"/>
    <n v="0"/>
    <n v="19318.8"/>
    <n v="21001.4"/>
    <n v="21000.400000000001"/>
    <n v="21001.599999999999"/>
    <n v="23501.8"/>
    <n v="105824"/>
    <n v="-105824"/>
    <n v="0"/>
    <n v="0"/>
    <n v="23501.8"/>
    <n v="23314.400000000001"/>
    <n v="26003"/>
    <n v="26003.599999999999"/>
    <n v="98822.799999999988"/>
    <n v="-98822.799999999988"/>
    <n v="0"/>
    <n v="0"/>
    <n v="26001.4"/>
    <n v="26002"/>
    <n v="26001.8"/>
    <n v="23289.4"/>
    <n v="101294.6"/>
    <n v="-101294.6"/>
    <n v="0"/>
    <n v="0"/>
    <n v="24779.200000000001"/>
    <n v="25231.4"/>
    <n v="25311.599999999999"/>
    <n v="25591.599999999999"/>
    <n v="25126.400000000001"/>
    <n v="126040.20000000001"/>
    <n v="-126040.20000000001"/>
    <n v="0"/>
    <n v="100000"/>
    <n v="25126.2"/>
    <n v="25126.400000000001"/>
    <n v="25501.8"/>
    <n v="26957"/>
    <n v="102711.40000000001"/>
    <n v="-2711.4000000000087"/>
  </r>
  <r>
    <x v="1"/>
    <s v="ANALISIS DE DATOS"/>
    <n v="20000"/>
    <n v="0"/>
    <n v="0"/>
    <n v="0"/>
    <n v="0"/>
    <n v="0"/>
    <n v="20000"/>
    <n v="0"/>
    <n v="25000"/>
    <n v="0"/>
    <n v="0"/>
    <n v="0"/>
    <n v="0"/>
    <n v="0"/>
    <n v="0"/>
    <n v="25000"/>
    <n v="0"/>
    <n v="20000"/>
    <n v="0"/>
    <n v="0"/>
    <n v="0"/>
    <n v="0"/>
    <n v="0"/>
    <n v="20000"/>
    <n v="0"/>
    <n v="20000"/>
    <n v="0"/>
    <n v="0"/>
    <n v="0"/>
    <n v="0"/>
    <n v="0"/>
    <n v="20000"/>
    <n v="0"/>
    <n v="25000"/>
    <n v="0"/>
    <n v="0"/>
    <n v="0"/>
    <n v="0"/>
    <n v="0"/>
    <n v="0"/>
    <n v="25000"/>
    <n v="0"/>
    <n v="20000"/>
    <n v="0"/>
    <n v="0"/>
    <n v="0"/>
    <n v="0"/>
    <n v="0"/>
    <n v="20000"/>
    <n v="0"/>
    <n v="20000"/>
    <n v="0"/>
    <n v="5000.2"/>
    <n v="2200"/>
    <n v="3800"/>
    <n v="11000.2"/>
    <n v="8999.7999999999993"/>
    <n v="0.55001"/>
    <n v="25000"/>
    <n v="3800"/>
    <n v="3800"/>
    <n v="2332"/>
    <n v="3800"/>
    <n v="2864.2"/>
    <n v="16596.2"/>
    <n v="8403.7999999999993"/>
    <n v="0.66384799999999999"/>
    <n v="20000"/>
    <n v="1464.6"/>
    <n v="3800"/>
    <n v="3893.8"/>
    <n v="3800"/>
    <n v="12958.400000000001"/>
    <n v="7041.5999999999985"/>
    <n v="0.64792000000000005"/>
    <n v="20000"/>
    <n v="5410.4"/>
    <n v="3893"/>
    <n v="3894"/>
    <n v="4287.05"/>
    <n v="17484.45"/>
    <n v="2515.5499999999993"/>
    <n v="0.87422250000000001"/>
    <n v="25000"/>
    <n v="4175.3999999999996"/>
    <n v="5366"/>
    <n v="5100"/>
    <n v="5980"/>
    <n v="5150"/>
    <n v="25771.4"/>
    <n v="-771.40000000000146"/>
    <n v="1.030856"/>
    <n v="20000"/>
    <n v="5150.2"/>
    <n v="5150"/>
    <n v="6205.6"/>
    <n v="7000.6"/>
    <n v="23506.400000000001"/>
    <n v="-3506.4000000000015"/>
  </r>
  <r>
    <x v="16"/>
    <s v="INFLUENC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0"/>
    <n v="0"/>
    <n v="8150"/>
    <n v="8150"/>
    <n v="7850"/>
    <n v="0.50937500000000002"/>
    <n v="15000"/>
    <n v="0"/>
    <n v="0"/>
    <n v="6000"/>
    <n v="0"/>
    <n v="0"/>
    <n v="6000"/>
    <n v="9000"/>
    <n v="0.4"/>
    <n v="15000"/>
    <n v="0"/>
    <n v="2500"/>
    <n v="0"/>
    <n v="500"/>
    <n v="3000"/>
    <n v="12000"/>
    <n v="0.2"/>
    <n v="15000"/>
    <n v="3000"/>
    <n v="0"/>
    <n v="5000"/>
    <n v="0"/>
    <n v="8000"/>
    <n v="7000"/>
    <n v="0.53333333333333333"/>
    <n v="15000"/>
    <n v="5500"/>
    <n v="450"/>
    <n v="0"/>
    <n v="0"/>
    <n v="0"/>
    <n v="5950"/>
    <n v="9050"/>
    <n v="0.39666666666666667"/>
    <n v="8000"/>
    <n v="0"/>
    <n v="9500"/>
    <n v="950"/>
    <n v="0"/>
    <n v="10450"/>
    <n v="-2450"/>
  </r>
  <r>
    <x v="23"/>
    <s v="CAPRICHO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224"/>
    <n v="-224"/>
    <n v="0"/>
    <n v="0"/>
    <n v="0"/>
    <n v="0"/>
    <n v="450"/>
    <n v="0"/>
    <n v="450"/>
    <n v="-450"/>
    <n v="0"/>
    <n v="0"/>
    <n v="0"/>
    <n v="0"/>
    <n v="0"/>
    <n v="0"/>
    <n v="0"/>
    <n v="0"/>
    <n v="0"/>
    <n v="0"/>
    <n v="0"/>
    <n v="0"/>
    <n v="4600"/>
    <n v="0"/>
    <n v="0"/>
    <n v="4600"/>
    <n v="-4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11.57"/>
    <n v="0"/>
    <n v="0"/>
    <n v="24411.57"/>
    <n v="-24411.57"/>
  </r>
  <r>
    <x v="44"/>
    <s v="MK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500"/>
    <n v="-1500"/>
    <n v="0"/>
    <n v="20000"/>
    <n v="800"/>
    <n v="0"/>
    <n v="750"/>
    <n v="0"/>
    <n v="0"/>
    <n v="1550"/>
    <n v="18450"/>
    <n v="7.7499999999999999E-2"/>
    <n v="20000"/>
    <n v="0"/>
    <n v="9805"/>
    <n v="2318"/>
    <n v="1160"/>
    <n v="13283"/>
    <n v="6717"/>
    <n v="0.66415000000000002"/>
    <n v="20000"/>
    <n v="4500"/>
    <n v="1150"/>
    <n v="6108"/>
    <n v="600"/>
    <n v="12358"/>
    <n v="7642"/>
    <n v="0.6179"/>
    <n v="20000"/>
    <n v="15519"/>
    <n v="0"/>
    <n v="0"/>
    <n v="0"/>
    <n v="0"/>
    <n v="15519"/>
    <n v="4481"/>
    <n v="0.77595000000000003"/>
    <n v="20000"/>
    <n v="0"/>
    <n v="0"/>
    <n v="0"/>
    <n v="0"/>
    <n v="0"/>
    <n v="20000"/>
  </r>
  <r>
    <x v="2"/>
    <s v="MK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7"/>
    <n v="0"/>
    <n v="0"/>
    <n v="0"/>
    <n v="0"/>
    <n v="4557"/>
    <n v="-4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s v="MK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650"/>
    <n v="0"/>
    <n v="1150"/>
    <n v="-1150"/>
    <n v="0"/>
    <n v="0"/>
    <n v="0"/>
    <n v="0"/>
    <n v="0"/>
    <n v="400"/>
    <n v="400"/>
    <n v="-400"/>
    <n v="0"/>
    <n v="0"/>
    <n v="0"/>
    <n v="200"/>
    <n v="0"/>
    <n v="0"/>
    <n v="200"/>
    <n v="-200"/>
    <n v="0"/>
    <n v="0"/>
    <n v="0"/>
    <n v="0"/>
    <n v="0"/>
    <n v="0"/>
    <n v="0"/>
    <n v="0"/>
    <n v="0"/>
    <n v="0"/>
    <n v="3000"/>
    <n v="0"/>
    <n v="0"/>
    <n v="0"/>
    <n v="0"/>
    <n v="0"/>
    <n v="3000"/>
  </r>
  <r>
    <x v="32"/>
    <s v="A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3.8399999999997"/>
    <n v="2843.8399999999997"/>
    <n v="-2843.8399999999997"/>
    <n v="0"/>
    <n v="0"/>
    <n v="0"/>
    <n v="0"/>
    <n v="0"/>
    <n v="3521.34"/>
    <n v="0"/>
    <n v="3521.34"/>
    <n v="-3521.34"/>
    <n v="0"/>
    <n v="0"/>
    <n v="0"/>
    <n v="0"/>
    <n v="0"/>
    <n v="20334.030000000002"/>
    <n v="20334.030000000002"/>
    <n v="-20334.030000000002"/>
    <n v="0"/>
    <n v="0"/>
    <n v="0"/>
    <n v="0"/>
    <n v="0"/>
    <n v="20334.04"/>
    <n v="20334.04"/>
    <n v="-20334.04"/>
    <n v="0"/>
    <n v="0"/>
    <n v="0"/>
    <n v="900"/>
    <n v="0"/>
    <n v="11921.09"/>
    <n v="0"/>
    <n v="12821.09"/>
    <n v="-12821.09"/>
    <n v="0"/>
    <n v="1000"/>
    <n v="0"/>
    <n v="0"/>
    <n v="0"/>
    <n v="12550.79"/>
    <n v="12550.79"/>
    <n v="-11550.79"/>
  </r>
  <r>
    <x v="5"/>
    <s v="E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0"/>
    <n v="0"/>
    <n v="0"/>
    <n v="0"/>
    <n v="0"/>
    <n v="155000"/>
    <n v="0"/>
    <n v="147766.60999999999"/>
    <n v="0"/>
    <n v="112000"/>
    <n v="190766.61"/>
    <n v="0"/>
    <n v="302766.61"/>
    <n v="-155000"/>
    <n v="2.0489514512107978"/>
    <n v="147766.60999999999"/>
    <n v="0"/>
    <n v="147766.60999999999"/>
    <n v="0"/>
    <n v="0"/>
    <n v="147766.60999999999"/>
    <n v="0"/>
    <n v="1"/>
    <n v="147766.60999999999"/>
    <n v="0"/>
    <n v="0"/>
    <n v="147766.60999999999"/>
    <n v="0"/>
    <n v="0"/>
    <n v="147766.60999999999"/>
    <n v="0"/>
    <n v="1"/>
    <n v="147767"/>
    <n v="0"/>
    <n v="147766.60999999999"/>
    <n v="0"/>
    <n v="122579.52"/>
    <n v="270346.13"/>
    <n v="-122579.13"/>
  </r>
  <r>
    <x v="5"/>
    <s v="E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287.65999999997"/>
    <n v="0"/>
    <n v="0"/>
    <n v="0"/>
    <n v="60657.08"/>
    <n v="0"/>
    <n v="60657.08"/>
    <n v="228630.57999999996"/>
    <n v="0.20967738478716999"/>
    <n v="156633"/>
    <n v="0"/>
    <n v="0"/>
    <n v="0"/>
    <n v="144643.83000000002"/>
    <n v="144643.83000000002"/>
    <n v="11989.169999999984"/>
  </r>
  <r>
    <x v="0"/>
    <s v="E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800"/>
    <n v="0"/>
    <n v="0"/>
    <n v="0"/>
    <n v="0"/>
    <n v="0"/>
    <n v="100800"/>
    <n v="0"/>
    <n v="126000"/>
    <n v="0"/>
    <n v="0"/>
    <n v="0"/>
    <n v="0"/>
    <n v="0"/>
    <n v="0"/>
    <n v="126000"/>
    <n v="0"/>
    <n v="124312"/>
    <n v="0"/>
    <n v="9692.6"/>
    <n v="10476"/>
    <n v="10178.200000000001"/>
    <n v="30346.799999999999"/>
    <n v="93965.2"/>
  </r>
  <r>
    <x v="0"/>
    <s v="E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00"/>
    <n v="0"/>
    <n v="0"/>
    <n v="0"/>
    <n v="0"/>
    <n v="0"/>
    <n v="110000"/>
    <n v="0"/>
    <n v="137500"/>
    <n v="0"/>
    <n v="0"/>
    <n v="24248.400000000001"/>
    <n v="46722"/>
    <n v="35727"/>
    <n v="106697.4"/>
    <n v="30802.600000000006"/>
    <n v="0.77598109090909084"/>
    <n v="112122"/>
    <n v="27857.4"/>
    <n v="33535.4"/>
    <n v="41468.400000000001"/>
    <n v="40059.199999999997"/>
    <n v="142920.40000000002"/>
    <n v="-30798.400000000023"/>
  </r>
  <r>
    <x v="45"/>
    <s v="SEGURID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300"/>
    <n v="-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0"/>
    <n v="0"/>
    <n v="0"/>
    <n v="0"/>
    <n v="0"/>
    <n v="3000"/>
  </r>
  <r>
    <x v="10"/>
    <s v="E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0"/>
    <n v="0"/>
    <n v="0"/>
    <n v="0"/>
    <n v="0"/>
    <n v="0"/>
    <n v="13200"/>
  </r>
  <r>
    <x v="10"/>
    <s v="E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9"/>
    <n v="1279"/>
    <n v="-1279"/>
    <n v="0"/>
    <n v="0"/>
    <n v="0"/>
    <n v="0"/>
    <n v="0"/>
    <n v="0"/>
    <n v="0"/>
    <n v="0"/>
    <n v="0"/>
    <n v="0"/>
    <n v="0"/>
    <n v="0"/>
    <n v="0"/>
    <n v="1987"/>
    <n v="0"/>
    <n v="1987"/>
    <n v="-1987"/>
    <n v="0"/>
    <n v="26598"/>
    <n v="0"/>
    <n v="0"/>
    <n v="0"/>
    <n v="0"/>
    <n v="0"/>
    <n v="26598"/>
  </r>
  <r>
    <x v="11"/>
    <s v="E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.77"/>
    <n v="69.77"/>
    <n v="-69.77"/>
    <n v="0"/>
    <n v="0"/>
    <n v="0"/>
    <n v="0"/>
    <n v="0"/>
    <n v="69.77"/>
    <n v="69.77"/>
    <n v="-69.77"/>
    <n v="0"/>
    <n v="0"/>
    <n v="0"/>
    <n v="0"/>
    <n v="0"/>
    <n v="0"/>
    <n v="69.77"/>
    <n v="69.77"/>
    <n v="-69.77"/>
    <n v="0"/>
    <n v="0"/>
    <n v="0"/>
    <n v="0"/>
    <n v="0"/>
    <n v="0"/>
    <n v="0"/>
    <n v="0"/>
    <n v="0"/>
    <n v="0"/>
    <n v="1509.07"/>
    <n v="0"/>
    <n v="0"/>
    <n v="0"/>
    <n v="1509.07"/>
    <n v="-1509.07"/>
    <n v="0"/>
    <n v="0"/>
    <n v="0"/>
    <n v="0"/>
    <n v="0"/>
    <n v="0"/>
    <n v="0"/>
    <n v="0"/>
    <n v="0"/>
    <n v="0"/>
    <n v="1500"/>
    <n v="0"/>
    <n v="0"/>
    <n v="0"/>
    <n v="0"/>
    <n v="0"/>
    <n v="1500"/>
  </r>
  <r>
    <x v="19"/>
    <s v="MK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"/>
    <n v="527"/>
    <n v="0"/>
    <n v="1347"/>
    <n v="-1347"/>
    <n v="0"/>
    <n v="0"/>
    <n v="4776"/>
    <n v="235"/>
    <n v="0"/>
    <n v="250"/>
    <n v="0"/>
    <n v="5261"/>
    <n v="-5261"/>
    <n v="0"/>
    <n v="1500"/>
    <n v="0"/>
    <n v="0"/>
    <n v="858"/>
    <n v="0"/>
    <n v="858"/>
    <n v="642"/>
  </r>
  <r>
    <x v="20"/>
    <s v="ASESOR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6.7"/>
    <n v="0"/>
    <n v="4436.7"/>
    <n v="-4436.7"/>
    <n v="0"/>
    <n v="0"/>
    <n v="0"/>
    <n v="0"/>
    <n v="0"/>
    <n v="0"/>
    <n v="0"/>
    <n v="0"/>
    <n v="0"/>
    <n v="0"/>
    <n v="0"/>
    <n v="0"/>
    <n v="0"/>
    <n v="6801.5"/>
    <n v="6801.5"/>
    <n v="-6801.5"/>
    <n v="0"/>
    <n v="0"/>
    <n v="1085"/>
    <n v="1475"/>
    <n v="1122"/>
    <n v="1608"/>
    <n v="0"/>
    <n v="5290"/>
    <n v="-5290"/>
    <n v="0"/>
    <n v="0"/>
    <n v="0"/>
    <n v="0"/>
    <n v="5800"/>
    <n v="825"/>
    <n v="6625"/>
    <n v="-66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4824E9-014F-4A62-BC5F-DF0FC679219D}" name="Tabla dinámica1" cacheId="5952" applyNumberFormats="0" applyBorderFormats="0" applyFontFormats="0" applyPatternFormats="0" applyAlignmentFormats="0" applyWidthHeightFormats="1" dataCaption="Valores" updatedVersion="8" minRefreshableVersion="3" showDrill="0" useAutoFormatting="1" itemPrintTitles="1" createdVersion="8" indent="0" compact="0" compactData="0" multipleFieldFilters="0">
  <location ref="A1:D48" firstHeaderRow="0" firstDataRow="1" firstDataCol="1"/>
  <pivotFields count="101">
    <pivotField axis="axisRow" compact="0" outline="0" showAll="0" sortType="descending">
      <items count="47">
        <item x="20"/>
        <item x="2"/>
        <item x="25"/>
        <item x="33"/>
        <item x="8"/>
        <item x="35"/>
        <item x="37"/>
        <item x="23"/>
        <item x="26"/>
        <item x="45"/>
        <item x="5"/>
        <item x="18"/>
        <item x="12"/>
        <item x="15"/>
        <item x="38"/>
        <item x="29"/>
        <item x="43"/>
        <item x="41"/>
        <item x="0"/>
        <item x="1"/>
        <item x="42"/>
        <item x="27"/>
        <item x="28"/>
        <item x="21"/>
        <item x="16"/>
        <item x="11"/>
        <item x="24"/>
        <item x="4"/>
        <item x="14"/>
        <item x="31"/>
        <item x="40"/>
        <item x="7"/>
        <item x="13"/>
        <item x="19"/>
        <item x="39"/>
        <item x="10"/>
        <item x="6"/>
        <item x="30"/>
        <item x="32"/>
        <item x="34"/>
        <item x="22"/>
        <item x="17"/>
        <item x="9"/>
        <item x="3"/>
        <item x="36"/>
        <item x="44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1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compact="0" numFmtId="3" outline="0" showAll="0"/>
    <pivotField compact="0" numFmtId="10" outline="0" showAll="0"/>
    <pivotField dataField="1" compact="0" numFmtId="3" outline="0" showAll="0"/>
    <pivotField compact="0" numFmtId="165" outline="0" showAll="0"/>
    <pivotField compact="0" numFmtId="165" outline="0" showAll="0"/>
    <pivotField compact="0" numFmtId="165" outline="0" showAll="0"/>
    <pivotField compact="0" numFmtId="165" outline="0" showAll="0"/>
    <pivotField dataField="1" compact="0" numFmtId="165" outline="0" showAll="0"/>
    <pivotField dataField="1" compact="0" numFmtId="3" outline="0" showAll="0"/>
  </pivotFields>
  <rowFields count="1">
    <field x="0"/>
  </rowFields>
  <rowItems count="47">
    <i>
      <x v="39"/>
    </i>
    <i>
      <x v="40"/>
    </i>
    <i>
      <x v="35"/>
    </i>
    <i>
      <x v="38"/>
    </i>
    <i>
      <x v="27"/>
    </i>
    <i>
      <x v="10"/>
    </i>
    <i>
      <x v="4"/>
    </i>
    <i>
      <x v="45"/>
    </i>
    <i>
      <x v="31"/>
    </i>
    <i>
      <x v="26"/>
    </i>
    <i>
      <x v="33"/>
    </i>
    <i>
      <x/>
    </i>
    <i>
      <x v="25"/>
    </i>
    <i>
      <x v="41"/>
    </i>
    <i>
      <x v="15"/>
    </i>
    <i>
      <x v="21"/>
    </i>
    <i>
      <x v="42"/>
    </i>
    <i>
      <x v="9"/>
    </i>
    <i>
      <x v="3"/>
    </i>
    <i>
      <x v="32"/>
    </i>
    <i>
      <x v="37"/>
    </i>
    <i>
      <x v="7"/>
    </i>
    <i>
      <x v="12"/>
    </i>
    <i>
      <x v="22"/>
    </i>
    <i>
      <x v="43"/>
    </i>
    <i>
      <x v="16"/>
    </i>
    <i>
      <x v="13"/>
    </i>
    <i>
      <x v="5"/>
    </i>
    <i>
      <x v="20"/>
    </i>
    <i>
      <x v="6"/>
    </i>
    <i>
      <x v="29"/>
    </i>
    <i>
      <x v="34"/>
    </i>
    <i>
      <x v="24"/>
    </i>
    <i>
      <x v="11"/>
    </i>
    <i>
      <x v="30"/>
    </i>
    <i>
      <x v="36"/>
    </i>
    <i>
      <x v="17"/>
    </i>
    <i>
      <x v="2"/>
    </i>
    <i>
      <x v="28"/>
    </i>
    <i>
      <x v="23"/>
    </i>
    <i>
      <x v="8"/>
    </i>
    <i>
      <x v="44"/>
    </i>
    <i>
      <x v="14"/>
    </i>
    <i>
      <x v="1"/>
    </i>
    <i>
      <x v="19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s ENE" fld="94" baseField="0" baseItem="0" numFmtId="3"/>
    <dataField name="Suma de Real ENE" fld="99" baseField="0" baseItem="0" numFmtId="165"/>
    <dataField name="Suma de Difer ENE" fld="100" baseField="0" baseItem="0" numFmtId="3"/>
  </dataFields>
  <formats count="10">
    <format dxfId="22">
      <pivotArea outline="0" fieldPosition="0">
        <references count="1">
          <reference field="0" count="2" selected="0">
            <x v="18"/>
            <x v="19"/>
          </reference>
        </references>
      </pivotArea>
    </format>
    <format dxfId="23">
      <pivotArea dataOnly="0" labelOnly="1" outline="0" fieldPosition="0">
        <references count="1">
          <reference field="0" count="2">
            <x v="18"/>
            <x v="19"/>
          </reference>
        </references>
      </pivotArea>
    </format>
    <format dxfId="24">
      <pivotArea outline="0" fieldPosition="0">
        <references count="1">
          <reference field="0" count="1" selected="0">
            <x v="44"/>
          </reference>
        </references>
      </pivotArea>
    </format>
    <format dxfId="25">
      <pivotArea dataOnly="0" labelOnly="1" outline="0" fieldPosition="0">
        <references count="1">
          <reference field="0" count="1">
            <x v="44"/>
          </reference>
        </references>
      </pivotArea>
    </format>
    <format dxfId="26">
      <pivotArea outline="0" fieldPosition="0">
        <references count="1">
          <reference field="0" count="1" selected="0">
            <x v="23"/>
          </reference>
        </references>
      </pivotArea>
    </format>
    <format dxfId="27">
      <pivotArea dataOnly="0" labelOnly="1" outline="0" fieldPosition="0">
        <references count="1">
          <reference field="0" count="1">
            <x v="23"/>
          </reference>
        </references>
      </pivotArea>
    </format>
    <format dxfId="28">
      <pivotArea outline="0" fieldPosition="0">
        <references count="1">
          <reference field="0" count="1" selected="0">
            <x v="28"/>
          </reference>
        </references>
      </pivotArea>
    </format>
    <format dxfId="29">
      <pivotArea dataOnly="0" labelOnly="1" outline="0" fieldPosition="0">
        <references count="1">
          <reference field="0" count="1">
            <x v="28"/>
          </reference>
        </references>
      </pivotArea>
    </format>
    <format dxfId="30">
      <pivotArea outline="0" fieldPosition="0">
        <references count="1">
          <reference field="0" count="1" selected="0">
            <x v="2"/>
          </reference>
        </references>
      </pivotArea>
    </format>
    <format dxfId="31">
      <pivotArea dataOnly="0" labelOnly="1" outline="0" fieldPosition="0">
        <references count="1">
          <reference field="0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1A61E3-5F3B-4189-A7D4-B40A1E19E839}" name="Tabla1" displayName="Tabla1" ref="A1:A12" totalsRowShown="0" headerRowDxfId="17" headerRowBorderDxfId="15" tableBorderDxfId="16" totalsRowBorderDxfId="14">
  <autoFilter ref="A1:A12" xr:uid="{E21A61E3-5F3B-4189-A7D4-B40A1E19E839}"/>
  <tableColumns count="1">
    <tableColumn id="1" xr3:uid="{D29C28F0-4645-4AE3-9C58-615FE8F18269}" name="MARCA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40FC026-6855-4922-B386-0478EC6F96F2}" name="Tabla2" displayName="Tabla2" ref="C1:C48" totalsRowShown="0" headerRowDxfId="12" headerRowBorderDxfId="10" tableBorderDxfId="11">
  <autoFilter ref="C1:C48" xr:uid="{340FC026-6855-4922-B386-0478EC6F96F2}"/>
  <tableColumns count="1">
    <tableColumn id="1" xr3:uid="{2B191ACE-7FB3-4983-B66A-F50B44EA56C9}" name="PRESUPUESTO" dataDxfId="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8820944-33DA-4DF6-BAA0-F9C3EFB54E74}" name="Tabla3" displayName="Tabla3" ref="E1:E138" totalsRowShown="0" headerRowDxfId="8" headerRowBorderDxfId="6" tableBorderDxfId="7">
  <autoFilter ref="E1:E138" xr:uid="{58820944-33DA-4DF6-BAA0-F9C3EFB54E74}"/>
  <tableColumns count="1">
    <tableColumn id="1" xr3:uid="{4188A017-959F-41E8-A09A-5CF9DA462E86}" name="CONCEPTO" dataDxf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6C4A7C0-C4A6-41DD-9A7F-26E121311D8D}" name="Tabla4" displayName="Tabla4" ref="G1:G17" totalsRowShown="0" headerRowDxfId="4" headerRowBorderDxfId="2" tableBorderDxfId="3" totalsRowBorderDxfId="1">
  <autoFilter ref="G1:G17" xr:uid="{86C4A7C0-C4A6-41DD-9A7F-26E121311D8D}"/>
  <tableColumns count="1">
    <tableColumn id="1" xr3:uid="{6CAC2652-6E67-4BA7-8224-9D27420DA0EA}" name="APARTAD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72" dT="2025-04-16T19:02:37.00" personId="{04049638-8E6E-4CF7-8C01-08C537397A6B}" id="{4A79AEFB-88D0-4D23-8BA4-04D3CBB3E354}">
    <text>SE CONTEMPLA PAGO DE BOTARGA POR $ 18,000
pago para 5 de julio 2025</text>
  </threadedComment>
  <threadedComment ref="K190" dT="2025-08-14T22:02:01.81" personId="{04049638-8E6E-4CF7-8C01-08C537397A6B}" id="{69B5B168-E8B0-4029-A471-2EB42F9A0EE8}">
    <text>Incremento de sueldo a 1 persona del dpto $ 500 a partir del 5 de Junio 25</text>
  </threadedComment>
  <threadedComment ref="K245" dT="2025-04-16T19:00:38.09" personId="{04049638-8E6E-4CF7-8C01-08C537397A6B}" id="{EAF00EC3-4CB0-41FB-9F82-04CBFD3E5AB2}">
    <text>94,500 INSUMOS BASEBALL(PELOTAS)
pago para el 05 de julio 2025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336" dT="2025-02-26T16:30:17.53" personId="{B48EB5EE-EC5B-450A-9EB2-5D3C3206D9F4}" id="{A0E65A66-7407-4E4E-BF01-75791C1D656F}">
    <text>desc . por faltante de ingreso de terminales de CODARE por cuenta bloqueada</text>
  </threadedComment>
  <threadedComment ref="K627" dT="2025-03-19T19:54:18.31" personId="{B48EB5EE-EC5B-450A-9EB2-5D3C3206D9F4}" id="{27BF4879-AD84-40B5-B42F-3579517ADAAD}">
    <text>falto depositar dia 18 la recoleccion de E2</text>
  </threadedComment>
  <threadedComment ref="K1118" dT="2025-04-17T17:12:50.09" personId="{B48EB5EE-EC5B-450A-9EB2-5D3C3206D9F4}" id="{491A2609-C2B4-4A22-8161-1BB279B97EAA}">
    <text>E9  no deposito ( 7894)</text>
  </threadedComment>
  <threadedComment ref="K1139" dT="2025-04-23T22:34:55.40" personId="{B48EB5EE-EC5B-450A-9EB2-5D3C3206D9F4}" id="{A887D6FD-6E9B-4924-B398-DC0DB86C52DB}">
    <text>desc por falta de ingreso de E9 y E6</text>
  </threadedComment>
  <threadedComment ref="K1178" dT="2025-04-24T18:28:09.60" personId="{B48EB5EE-EC5B-450A-9EB2-5D3C3206D9F4}" id="{C7F5FB50-1AFD-40F1-B1C6-1E4D25DD5E1E}">
    <text>no deposito E9 $ 8906</text>
  </threadedComment>
  <threadedComment ref="K1194" dT="2025-04-25T14:27:57.17" personId="{B48EB5EE-EC5B-450A-9EB2-5D3C3206D9F4}" id="{F81C2FE3-4550-42CD-B013-92DEF78FABC3}">
    <text>No deposito E9 6921</text>
  </threadedComment>
  <threadedComment ref="K1231" dT="2025-04-26T17:22:57.39" personId="{B48EB5EE-EC5B-450A-9EB2-5D3C3206D9F4}" id="{AE20A9E5-17A7-4B23-A927-F02264AF3DE3}">
    <text>falto depositar E9 día 22</text>
  </threadedComment>
  <threadedComment ref="K1249" dT="2025-04-26T17:44:10.10" personId="{B48EB5EE-EC5B-450A-9EB2-5D3C3206D9F4}" id="{1331177B-4BB0-4B87-A116-2EBD6117CFA8}">
    <text>falta depositar E9 12631</text>
  </threadedComment>
  <threadedComment ref="K1266" dT="2025-06-20T21:56:58.78" personId="{B48EB5EE-EC5B-450A-9EB2-5D3C3206D9F4}" id="{6030262F-3A87-490E-8377-ED4E8265D9E3}">
    <text xml:space="preserve">ingreso de la venta de E9 del 21 22 ,24 y 23 de baril </text>
  </threadedComment>
  <threadedComment ref="K1290" dT="2025-05-01T14:53:47.77" personId="{B48EB5EE-EC5B-450A-9EB2-5D3C3206D9F4}" id="{11D94D5C-A471-4E4E-BA1E-30BBAE680837}">
    <text>falta de deposito de E9 $ 5328</text>
  </threadedComment>
  <threadedComment ref="K1309" dT="2025-05-01T14:54:04.54" personId="{B48EB5EE-EC5B-450A-9EB2-5D3C3206D9F4}" id="{87959DFD-4CB8-47D5-A6D3-AA53301E2ABD}">
    <text>falta de deposito de E9 $ 8780</text>
  </threadedComment>
  <threadedComment ref="K1336" dT="2025-05-27T17:37:20.41" personId="{04049638-8E6E-4CF7-8C01-08C537397A6B}" id="{866F84FC-1547-4C55-BDB1-2FB815BAF46E}">
    <text>faltan depositos de: 
a15 (17,318 30/abr y 5,650 1/Mayo)
e9 (10,503 30/abr y 16,608 1/Mayo)</text>
  </threadedComment>
  <threadedComment ref="K1363" dT="2025-05-27T17:39:14.89" personId="{04049638-8E6E-4CF7-8C01-08C537397A6B}" id="{6D223FB7-98BD-40B0-813F-28E7FCEFC635}">
    <text>Faltan depositos de;
A15 (16,272 3/Mayo y 8,204.50 4/Mayo)
E9 (22,735 2/May, 36,731 3/Mayo, 35,722 4/mayo)</text>
  </threadedComment>
  <threadedComment ref="K1397" dT="2025-06-20T18:34:39.07" personId="{B48EB5EE-EC5B-450A-9EB2-5D3C3206D9F4}" id="{D4D19DE1-BBC1-4F05-8FCA-124E46EFA328}">
    <text>A15 4885</text>
  </threadedComment>
  <threadedComment ref="K1419" dT="2025-05-12T22:16:30.40" personId="{B48EB5EE-EC5B-450A-9EB2-5D3C3206D9F4}" id="{DAFDD7B2-6905-4298-9EC6-28CAB70ACB12}">
    <text>falto depositar A15, E4 y E9</text>
  </threadedComment>
  <threadedComment ref="K1463" dT="2025-06-20T19:50:11.21" personId="{B48EB5EE-EC5B-450A-9EB2-5D3C3206D9F4}" id="{6FFF9DAD-FD2D-4B41-9776-3EAD054E8A23}">
    <text>ingreso por venta de A15 6855</text>
  </threadedComment>
  <threadedComment ref="K1514" dT="2025-06-20T19:52:13.73" personId="{B48EB5EE-EC5B-450A-9EB2-5D3C3206D9F4}" id="{894AC564-9666-4EF9-93FB-A0E905F21F4A}">
    <text>ingreso de la venta del dia 10 y 11 de may de A15 
se desconto de la venta del 12 de A15 7038</text>
  </threadedComment>
  <threadedComment ref="K1536" dT="2025-06-20T19:54:53.17" personId="{B48EB5EE-EC5B-450A-9EB2-5D3C3206D9F4}" id="{4E8C8A0F-5B77-4FAC-8A3C-807457FA5242}">
    <text>ingreso venta de A15 del 12 de mayo y se desconto la venta de E9 del dia 13 10771</text>
  </threadedComment>
  <threadedComment ref="K1555" dT="2025-06-20T19:55:57.47" personId="{B48EB5EE-EC5B-450A-9EB2-5D3C3206D9F4}" id="{C6AF3749-81DC-4CAF-BC7C-054FC247D14B}">
    <text xml:space="preserve">se desconto venta de E6 no deposito y los 12252 de la venta de e9 que no se deposito </text>
  </threadedComment>
  <threadedComment ref="K1573" dT="2025-06-20T19:57:20.65" personId="{B48EB5EE-EC5B-450A-9EB2-5D3C3206D9F4}" id="{C2A0D391-177C-43E9-A259-264471FA626B}">
    <text xml:space="preserve">se desconto venta de A15 $14273.50 venta del 15 de mayo y los 13648 de E9 
ingreso la venta de e6 del 14 de mayo 6076
</text>
  </threadedComment>
  <threadedComment ref="K1589" dT="2025-06-20T20:00:35.51" personId="{B48EB5EE-EC5B-450A-9EB2-5D3C3206D9F4}" id="{E2A29FF1-BCE4-4993-AB72-53B240A88ACD}">
    <text>se desconto las ventas del 16 de mayo de E9 que son : 15704, 
ventas del 17 de mayo E9 :33328
del 18 de mayo de E9: 29250
17 de mayo de A15 se desconto :15214 y 18 de mayo de a15: 9078</text>
  </threadedComment>
  <threadedComment ref="K1644" dT="2025-06-20T21:27:02.40" personId="{B48EB5EE-EC5B-450A-9EB2-5D3C3206D9F4}" id="{E0DF3E30-32A4-41A9-B3AC-039B19C5E48D}">
    <text xml:space="preserve">descuento del venta del 10 de mayo de E9,7674
</text>
  </threadedComment>
  <threadedComment ref="K1671" dT="2025-06-20T21:27:28.80" personId="{B48EB5EE-EC5B-450A-9EB2-5D3C3206D9F4}" id="{48F670D0-581E-4E92-A1AB-784D76A89C1B}">
    <text>descuento de la venta del 21 de mayo de E9 10878</text>
  </threadedComment>
  <threadedComment ref="K1686" dT="2025-06-20T21:27:54.04" personId="{B48EB5EE-EC5B-450A-9EB2-5D3C3206D9F4}" id="{F8BDFFEF-F8E0-4D98-8E1B-8AAEDCDDEE13}">
    <text>descuento de la venta del 22 de mayo de E9 14253</text>
  </threadedComment>
  <threadedComment ref="K1703" dT="2025-05-28T18:07:19.77" personId="{B48EB5EE-EC5B-450A-9EB2-5D3C3206D9F4}" id="{48100B51-D68F-44F0-8A74-C922AC17DC56}">
    <text>no deposito A15 de fin de semana  venta del dia 24 y 25 16285
y 8160</text>
  </threadedComment>
  <threadedComment ref="K1741" dT="2025-05-29T16:18:43.87" personId="{B48EB5EE-EC5B-450A-9EB2-5D3C3206D9F4}" id="{1EF8A4A6-D350-4643-9DA0-46CC8EA30975}">
    <text xml:space="preserve">desc de ventas de E9 $9783
</text>
  </threadedComment>
  <threadedComment ref="K1769" dT="2025-05-29T16:18:03.25" personId="{B48EB5EE-EC5B-450A-9EB2-5D3C3206D9F4}" id="{ABD01BEC-9699-408E-9C4A-71293DE9F4D6}">
    <text>Descuento de la venta de E9 $9859</text>
  </threadedComment>
  <threadedComment ref="K1790" dT="2025-06-02T14:57:11.23" personId="{B48EB5EE-EC5B-450A-9EB2-5D3C3206D9F4}" id="{8A0D1764-9A8F-4ACD-A4DB-9A13B60F6ABC}">
    <text xml:space="preserve">Descuento de la venta de E9 </text>
  </threadedComment>
  <threadedComment ref="K1805" dT="2025-06-02T14:56:11.15" personId="{B48EB5EE-EC5B-450A-9EB2-5D3C3206D9F4}" id="{F4A2CFAC-7032-4C20-89AD-58AE0DFEE1DF}">
    <text>Descuento de la venta de  E9</text>
  </threadedComment>
  <threadedComment ref="K1830" dT="2025-06-03T23:35:22.69" personId="{B48EB5EE-EC5B-450A-9EB2-5D3C3206D9F4}" id="{1BA7CA2D-8461-4D54-9222-46A1FA395600}">
    <text>se descontó venta de A15 del sabado y domingo por $ 21183</text>
  </threadedComment>
  <threadedComment ref="K1831" dT="2025-06-20T21:37:44.86" personId="{B48EB5EE-EC5B-450A-9EB2-5D3C3206D9F4}" id="{60EABF20-D79D-40BB-BD80-29924099CD59}">
    <text>ingreso la veta de E9 de $ 9783+9859+10315+11948</text>
  </threadedComment>
  <threadedComment ref="K1857" dT="2025-06-07T17:28:34.49" personId="{B48EB5EE-EC5B-450A-9EB2-5D3C3206D9F4}" id="{12AA9DC5-F76E-4757-9559-0188FF17516E}">
    <text>venta de E9 por $11535</text>
  </threadedComment>
  <threadedComment ref="K1876" dT="2025-06-07T17:29:03.81" personId="{B48EB5EE-EC5B-450A-9EB2-5D3C3206D9F4}" id="{CAD806AF-790F-4E0F-B9F2-47AC84E45028}">
    <text>venta de E9 $ 7662</text>
  </threadedComment>
  <threadedComment ref="K1893" dT="2025-06-07T17:29:49.37" personId="{B48EB5EE-EC5B-450A-9EB2-5D3C3206D9F4}" id="{8AA7D051-1F60-4960-BAC4-AC259BBF2363}">
    <text>venta de E9 $8523</text>
  </threadedComment>
  <threadedComment ref="K1911" dT="2025-06-07T17:30:20.90" personId="{B48EB5EE-EC5B-450A-9EB2-5D3C3206D9F4}" id="{6197BB3C-9DB6-4B8A-A7F7-E2CA5D6D164D}">
    <text>venta de E9 $ 13280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5-02-20T18:33:03.87" personId="{53415757-F0FF-446E-BDFD-50D61A996E5F}" id="{0F8A6F2D-6C22-42E7-A32B-5FD75FB80351}">
    <text>todo se depositó en bajio thr y codare</text>
  </threadedComment>
  <threadedComment ref="H10" dT="2025-02-20T18:33:22.95" personId="{53415757-F0FF-446E-BDFD-50D61A996E5F}" id="{C101A0CD-1A22-4840-851F-D1D54829F3F0}">
    <text>todo se depositó en bajio thr y codare</text>
  </threadedComment>
  <threadedComment ref="G11" dT="2025-02-20T18:33:47.82" personId="{53415757-F0FF-446E-BDFD-50D61A996E5F}" id="{A30CD91D-3595-4B50-B287-79D5ABB60A80}">
    <text>este se quedó en caja fuerte no se depositó</text>
  </threadedComment>
  <threadedComment ref="F21" dT="2025-04-01T14:38:17.79" personId="{B48EB5EE-EC5B-450A-9EB2-5D3C3206D9F4}" id="{1F0223DE-5E1A-4B2C-989F-F1343DD80AFD}">
    <text>ingreso cuenta bajio CODARE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1" width="350" row="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31DCCE4-E791-48F6-986A-2739A7BFB114}">
  <we:reference id="wa200005502" version="1.0.0.11" store="en-US" storeType="omex"/>
  <we:alternateReferences>
    <we:reference id="wa200005502" version="1.0.0.11" store="en-US" storeType="omex"/>
  </we:alternateReferences>
  <we:properties>
    <we:property name="docId" value="&quot;VkMdgE6Cgzfg8rJTDs0un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8658-492B-4598-8812-2894490E021E}">
  <sheetPr filterMode="1">
    <tabColor rgb="FF002060"/>
    <pageSetUpPr fitToPage="1"/>
  </sheetPr>
  <dimension ref="A1:T342"/>
  <sheetViews>
    <sheetView workbookViewId="0">
      <pane xSplit="5" ySplit="7" topLeftCell="F105" activePane="bottomRight" state="frozen"/>
      <selection pane="bottomRight" activeCell="D146" sqref="D146"/>
      <selection pane="bottomLeft" activeCell="F22" sqref="F22"/>
      <selection pane="topRight" activeCell="F22" sqref="F22"/>
    </sheetView>
  </sheetViews>
  <sheetFormatPr defaultColWidth="11.42578125" defaultRowHeight="15" customHeight="1" outlineLevelCol="1"/>
  <cols>
    <col min="1" max="1" width="54.28515625" customWidth="1" outlineLevel="1"/>
    <col min="2" max="2" width="5" bestFit="1" customWidth="1"/>
    <col min="4" max="4" width="27.7109375" bestFit="1" customWidth="1"/>
    <col min="5" max="5" width="27" customWidth="1"/>
    <col min="6" max="11" width="13.140625" customWidth="1"/>
    <col min="12" max="17" width="13.28515625" bestFit="1" customWidth="1"/>
  </cols>
  <sheetData>
    <row r="1" spans="1:20" hidden="1"/>
    <row r="2" spans="1:20" hidden="1"/>
    <row r="3" spans="1:20" hidden="1"/>
    <row r="4" spans="1:20" hidden="1"/>
    <row r="5" spans="1:20">
      <c r="A5" s="10"/>
      <c r="B5" s="10"/>
      <c r="C5" s="201" t="s">
        <v>0</v>
      </c>
      <c r="D5" s="9"/>
      <c r="E5" s="10"/>
      <c r="F5" s="16">
        <f>SUM(F8:F1048576)</f>
        <v>7611959.8300000019</v>
      </c>
      <c r="G5" s="16">
        <f>SUM(G8:G1048576)</f>
        <v>6224588.8300000019</v>
      </c>
      <c r="H5" s="16">
        <f>SUM(H8:H1048576)</f>
        <v>8017853.3300000019</v>
      </c>
      <c r="I5" s="16">
        <f>SUM(I8:I1048576)</f>
        <v>6408194.8300000019</v>
      </c>
      <c r="J5" s="16">
        <f>SUM(J8:J1048576)</f>
        <v>6998452.2300000023</v>
      </c>
      <c r="K5" s="16">
        <f>SUM(K8:K1048576)</f>
        <v>7170060.7300000023</v>
      </c>
      <c r="L5" s="16">
        <f>SUM(L8:L1048576)</f>
        <v>7158264.8300000019</v>
      </c>
      <c r="M5" s="16">
        <f>SUM(M8:M1048576)</f>
        <v>6422477.8300000019</v>
      </c>
      <c r="N5" s="16">
        <f>SUM(N8:N1048576)</f>
        <v>8197027.3300000019</v>
      </c>
      <c r="O5" s="16">
        <f>SUM(O8:O1048576)</f>
        <v>6562171.4800000023</v>
      </c>
      <c r="P5" s="16">
        <f>SUM(P8:P1048576)</f>
        <v>7663964.4800000023</v>
      </c>
      <c r="Q5" s="16">
        <f>SUM(Q8:Q1048576)</f>
        <v>12023688.85</v>
      </c>
      <c r="R5" s="16">
        <f>SUM(R8:R1048576)</f>
        <v>8821894</v>
      </c>
      <c r="T5" s="17"/>
    </row>
    <row r="6" spans="1:20" ht="29.25">
      <c r="A6" s="10"/>
      <c r="B6" s="10"/>
      <c r="C6" s="201"/>
      <c r="D6" s="9"/>
      <c r="E6" s="10"/>
      <c r="F6" s="293" t="s">
        <v>1</v>
      </c>
      <c r="G6" s="11" t="s">
        <v>2</v>
      </c>
      <c r="H6" s="11" t="s">
        <v>3</v>
      </c>
      <c r="I6" s="11" t="s">
        <v>4</v>
      </c>
      <c r="J6" s="11" t="s">
        <v>5</v>
      </c>
      <c r="K6" s="11" t="s">
        <v>6</v>
      </c>
      <c r="L6" s="11" t="s">
        <v>7</v>
      </c>
      <c r="M6" s="11" t="s">
        <v>8</v>
      </c>
      <c r="N6" s="11" t="s">
        <v>9</v>
      </c>
      <c r="O6" s="11" t="s">
        <v>10</v>
      </c>
      <c r="P6" s="11" t="s">
        <v>11</v>
      </c>
      <c r="Q6" s="11" t="s">
        <v>12</v>
      </c>
      <c r="R6" s="11" t="s">
        <v>13</v>
      </c>
      <c r="T6" s="17"/>
    </row>
    <row r="7" spans="1:20">
      <c r="A7" s="199" t="s">
        <v>14</v>
      </c>
      <c r="B7" s="202" t="s">
        <v>15</v>
      </c>
      <c r="C7" s="203" t="s">
        <v>16</v>
      </c>
      <c r="D7" s="203" t="s">
        <v>17</v>
      </c>
      <c r="E7" s="200" t="s">
        <v>18</v>
      </c>
      <c r="F7" s="294">
        <v>45662</v>
      </c>
      <c r="G7" s="292">
        <v>45690</v>
      </c>
      <c r="H7" s="292">
        <v>45718</v>
      </c>
      <c r="I7" s="292">
        <v>45753</v>
      </c>
      <c r="J7" s="292">
        <v>45781</v>
      </c>
      <c r="K7" s="292">
        <v>45809</v>
      </c>
      <c r="L7" s="292">
        <v>45844</v>
      </c>
      <c r="M7" s="292">
        <v>45872</v>
      </c>
      <c r="N7" s="292">
        <v>45900</v>
      </c>
      <c r="O7" s="292">
        <v>45935</v>
      </c>
      <c r="P7" s="292">
        <v>45963</v>
      </c>
      <c r="Q7" s="292">
        <v>45991</v>
      </c>
      <c r="R7" s="292">
        <v>45992</v>
      </c>
    </row>
    <row r="8" spans="1:20" hidden="1">
      <c r="A8" s="12" t="str">
        <f>C8&amp;D8&amp;E8</f>
        <v>MKTACTIVACION MKT</v>
      </c>
      <c r="B8" s="12">
        <v>1</v>
      </c>
      <c r="C8" t="s">
        <v>19</v>
      </c>
      <c r="D8" t="s">
        <v>20</v>
      </c>
      <c r="E8" t="s">
        <v>19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20000</v>
      </c>
      <c r="O8">
        <v>20000</v>
      </c>
      <c r="P8">
        <v>20000</v>
      </c>
      <c r="Q8">
        <v>20000</v>
      </c>
      <c r="R8" s="556">
        <v>20000</v>
      </c>
    </row>
    <row r="9" spans="1:20" hidden="1">
      <c r="A9" s="12" t="str">
        <f t="shared" ref="A9:A72" si="0">C9&amp;D9&amp;E9</f>
        <v>SERVICIOSADQ DE EQ TECNOLOGICOADQ DE EQ TECNOLOGICO</v>
      </c>
      <c r="B9" s="12">
        <v>2</v>
      </c>
      <c r="C9" t="s">
        <v>21</v>
      </c>
      <c r="D9" t="s">
        <v>22</v>
      </c>
      <c r="E9" t="s">
        <v>22</v>
      </c>
      <c r="F9" s="15">
        <v>1740</v>
      </c>
      <c r="G9" s="15">
        <v>13380</v>
      </c>
      <c r="H9" s="15">
        <v>26859</v>
      </c>
      <c r="I9" s="15">
        <v>50132</v>
      </c>
      <c r="J9" s="15">
        <v>15657</v>
      </c>
      <c r="K9" s="15">
        <v>27649</v>
      </c>
      <c r="L9" s="15">
        <v>7572</v>
      </c>
      <c r="M9">
        <v>0</v>
      </c>
      <c r="N9" s="15">
        <v>28882</v>
      </c>
      <c r="O9" s="15">
        <v>10000</v>
      </c>
      <c r="P9" s="15">
        <v>10000</v>
      </c>
      <c r="Q9" s="15">
        <v>10000</v>
      </c>
      <c r="R9" s="557">
        <v>15000</v>
      </c>
    </row>
    <row r="10" spans="1:20" hidden="1">
      <c r="A10" s="12" t="str">
        <f t="shared" si="0"/>
        <v>FINANZASAGUINALDOAGUINALDO</v>
      </c>
      <c r="B10" s="12">
        <v>3</v>
      </c>
      <c r="C10" t="s">
        <v>23</v>
      </c>
      <c r="D10" s="12" t="s">
        <v>24</v>
      </c>
      <c r="E10" s="12" t="s">
        <v>24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>
        <v>0</v>
      </c>
      <c r="O10" s="13">
        <v>0</v>
      </c>
      <c r="P10" s="13">
        <v>0</v>
      </c>
      <c r="Q10" s="13">
        <v>1679051</v>
      </c>
      <c r="R10" s="554"/>
    </row>
    <row r="11" spans="1:20" hidden="1">
      <c r="A11" s="12" t="str">
        <f t="shared" si="0"/>
        <v>SERVICIOSALARMASUCURSALES HR</v>
      </c>
      <c r="B11" s="12">
        <v>4</v>
      </c>
      <c r="C11" t="s">
        <v>21</v>
      </c>
      <c r="D11" s="12" t="s">
        <v>25</v>
      </c>
      <c r="E11" s="12" t="s">
        <v>26</v>
      </c>
      <c r="F11" s="13">
        <v>5600</v>
      </c>
      <c r="G11" s="13">
        <v>5600</v>
      </c>
      <c r="H11" s="13">
        <v>5600</v>
      </c>
      <c r="I11" s="13">
        <v>5600</v>
      </c>
      <c r="J11" s="13">
        <v>5600</v>
      </c>
      <c r="K11" s="13">
        <v>5600</v>
      </c>
      <c r="L11" s="13">
        <v>5600</v>
      </c>
      <c r="M11" s="13">
        <v>5600</v>
      </c>
      <c r="N11" s="13">
        <v>5600</v>
      </c>
      <c r="O11" s="13">
        <v>5600</v>
      </c>
      <c r="P11" s="13">
        <v>5600</v>
      </c>
      <c r="Q11" s="13">
        <v>5600</v>
      </c>
      <c r="R11" s="555">
        <v>5600</v>
      </c>
    </row>
    <row r="12" spans="1:20" hidden="1">
      <c r="A12" s="12" t="str">
        <f t="shared" si="0"/>
        <v>SERVICIOSALARMASUCURSALES CAPRICHOS</v>
      </c>
      <c r="B12" s="12">
        <v>5</v>
      </c>
      <c r="C12" t="s">
        <v>21</v>
      </c>
      <c r="D12" s="12" t="s">
        <v>25</v>
      </c>
      <c r="E12" s="12" t="s">
        <v>27</v>
      </c>
      <c r="F12" s="13">
        <v>1250</v>
      </c>
      <c r="G12" s="13">
        <v>1250</v>
      </c>
      <c r="H12" s="13">
        <v>1250</v>
      </c>
      <c r="I12" s="13">
        <v>1250</v>
      </c>
      <c r="J12" s="13">
        <v>1250</v>
      </c>
      <c r="K12" s="13">
        <v>1250</v>
      </c>
      <c r="L12" s="13">
        <v>1250</v>
      </c>
      <c r="M12" s="13">
        <v>1250</v>
      </c>
      <c r="N12" s="13">
        <v>1250</v>
      </c>
      <c r="O12" s="13">
        <v>1250</v>
      </c>
      <c r="P12" s="13">
        <v>1250</v>
      </c>
      <c r="Q12" s="13">
        <v>1250</v>
      </c>
      <c r="R12" s="555">
        <v>1250</v>
      </c>
    </row>
    <row r="13" spans="1:20" hidden="1">
      <c r="A13" s="12" t="str">
        <f t="shared" si="0"/>
        <v>SERVICIOSALARMACEDIS</v>
      </c>
      <c r="B13" s="12">
        <v>6</v>
      </c>
      <c r="C13" t="s">
        <v>21</v>
      </c>
      <c r="D13" s="12" t="s">
        <v>25</v>
      </c>
      <c r="E13" s="12" t="s">
        <v>28</v>
      </c>
      <c r="F13" s="13">
        <v>380</v>
      </c>
      <c r="G13" s="13">
        <v>380</v>
      </c>
      <c r="H13" s="13">
        <v>380</v>
      </c>
      <c r="I13" s="13">
        <v>380</v>
      </c>
      <c r="J13" s="13">
        <v>380</v>
      </c>
      <c r="K13" s="13">
        <v>380</v>
      </c>
      <c r="L13" s="13">
        <v>380</v>
      </c>
      <c r="M13" s="13">
        <v>380</v>
      </c>
      <c r="N13" s="13">
        <v>380</v>
      </c>
      <c r="O13" s="13">
        <v>380</v>
      </c>
      <c r="P13" s="13">
        <v>380</v>
      </c>
      <c r="Q13" s="13">
        <v>380</v>
      </c>
      <c r="R13" s="557">
        <v>560</v>
      </c>
    </row>
    <row r="14" spans="1:20" hidden="1">
      <c r="A14" s="12" t="str">
        <f t="shared" si="0"/>
        <v>SERVICIOSALARMAALARMA</v>
      </c>
      <c r="B14" s="12">
        <v>7</v>
      </c>
      <c r="C14" t="s">
        <v>21</v>
      </c>
      <c r="D14" s="12" t="s">
        <v>25</v>
      </c>
      <c r="E14" s="12" t="s">
        <v>25</v>
      </c>
      <c r="F14" s="13">
        <v>2000</v>
      </c>
      <c r="G14" s="13">
        <v>2000</v>
      </c>
      <c r="H14" s="13">
        <v>2000</v>
      </c>
      <c r="I14" s="13">
        <v>2000</v>
      </c>
      <c r="J14" s="13">
        <v>2000</v>
      </c>
      <c r="K14" s="13">
        <v>2000</v>
      </c>
      <c r="L14" s="13">
        <v>2000</v>
      </c>
      <c r="M14" s="13">
        <v>2000</v>
      </c>
      <c r="N14" s="13">
        <v>2000</v>
      </c>
      <c r="O14" s="13">
        <v>2000</v>
      </c>
      <c r="P14" s="13">
        <v>2000</v>
      </c>
      <c r="Q14" s="13">
        <v>2000</v>
      </c>
      <c r="R14" s="555">
        <v>2000</v>
      </c>
    </row>
    <row r="15" spans="1:20" hidden="1">
      <c r="A15" s="12" t="str">
        <f t="shared" si="0"/>
        <v>HRCAPACITACIONCAPACITACION</v>
      </c>
      <c r="B15" s="12">
        <v>8</v>
      </c>
      <c r="C15" t="s">
        <v>29</v>
      </c>
      <c r="D15" s="12" t="s">
        <v>30</v>
      </c>
      <c r="E15" s="12" t="s">
        <v>30</v>
      </c>
      <c r="F15" s="13">
        <v>12000</v>
      </c>
      <c r="G15" s="13">
        <v>0</v>
      </c>
      <c r="H15" s="13">
        <v>28000</v>
      </c>
      <c r="I15" s="13">
        <v>12000</v>
      </c>
      <c r="J15" s="13">
        <v>0</v>
      </c>
      <c r="K15" s="13">
        <v>0</v>
      </c>
      <c r="L15" s="13">
        <v>12000</v>
      </c>
      <c r="M15" s="13">
        <v>0</v>
      </c>
      <c r="N15" s="13">
        <v>0</v>
      </c>
      <c r="O15" s="13">
        <f>28000+12000</f>
        <v>40000</v>
      </c>
      <c r="P15" s="13">
        <v>0</v>
      </c>
      <c r="Q15" s="13">
        <v>0</v>
      </c>
      <c r="R15" s="558">
        <v>4600</v>
      </c>
    </row>
    <row r="16" spans="1:20" hidden="1">
      <c r="A16" s="12" t="str">
        <f t="shared" si="0"/>
        <v>CAPCAPACITACIONCAPACITACION</v>
      </c>
      <c r="B16" s="12">
        <v>9</v>
      </c>
      <c r="C16" t="s">
        <v>31</v>
      </c>
      <c r="D16" s="12" t="s">
        <v>30</v>
      </c>
      <c r="E16" s="12" t="s">
        <v>30</v>
      </c>
      <c r="F16" s="13">
        <v>1650</v>
      </c>
      <c r="G16" s="13">
        <v>1650</v>
      </c>
      <c r="H16" s="13">
        <v>1650</v>
      </c>
      <c r="I16" s="13">
        <v>1650</v>
      </c>
      <c r="J16" s="13">
        <v>450</v>
      </c>
      <c r="K16" s="13">
        <v>450</v>
      </c>
      <c r="L16" s="13">
        <v>450</v>
      </c>
      <c r="M16" s="13">
        <v>2800</v>
      </c>
      <c r="N16" s="13">
        <v>2800</v>
      </c>
      <c r="O16" s="13">
        <v>2800</v>
      </c>
      <c r="P16" s="13">
        <v>2800</v>
      </c>
      <c r="Q16" s="13">
        <v>2800</v>
      </c>
      <c r="R16" s="557"/>
    </row>
    <row r="17" spans="1:18" hidden="1">
      <c r="A17" s="12" t="str">
        <f t="shared" si="0"/>
        <v>HRCOMBUSTIBLEHR</v>
      </c>
      <c r="B17" s="12">
        <v>10</v>
      </c>
      <c r="C17" t="s">
        <v>29</v>
      </c>
      <c r="D17" s="12" t="s">
        <v>32</v>
      </c>
      <c r="E17" s="12" t="s">
        <v>29</v>
      </c>
      <c r="F17" s="13">
        <v>12400</v>
      </c>
      <c r="G17" s="13">
        <v>12400</v>
      </c>
      <c r="H17" s="13">
        <v>15500</v>
      </c>
      <c r="I17" s="13">
        <v>12400</v>
      </c>
      <c r="J17" s="13">
        <v>12400</v>
      </c>
      <c r="K17" s="13">
        <v>15500</v>
      </c>
      <c r="L17" s="13">
        <v>12400</v>
      </c>
      <c r="M17" s="13">
        <v>12400</v>
      </c>
      <c r="N17" s="13">
        <f>25000-7500</f>
        <v>17500</v>
      </c>
      <c r="O17" s="13">
        <f>25000-6000</f>
        <v>19000</v>
      </c>
      <c r="P17" s="13">
        <f>27000-6000</f>
        <v>21000</v>
      </c>
      <c r="Q17" s="13">
        <v>22000</v>
      </c>
      <c r="R17" s="558">
        <v>14000</v>
      </c>
    </row>
    <row r="18" spans="1:18" hidden="1">
      <c r="A18" s="12" t="str">
        <f t="shared" si="0"/>
        <v>CAPCOMBUSTIBLECAPRICHOS</v>
      </c>
      <c r="B18" s="12">
        <v>11</v>
      </c>
      <c r="C18" t="s">
        <v>31</v>
      </c>
      <c r="D18" s="12" t="s">
        <v>32</v>
      </c>
      <c r="E18" t="s">
        <v>33</v>
      </c>
      <c r="F18" s="13">
        <v>12500</v>
      </c>
      <c r="G18" s="13">
        <v>12500</v>
      </c>
      <c r="H18" s="13">
        <v>12500</v>
      </c>
      <c r="I18" s="13">
        <v>12500</v>
      </c>
      <c r="J18" s="13">
        <v>12500</v>
      </c>
      <c r="K18" s="13">
        <v>12500</v>
      </c>
      <c r="L18" s="13">
        <v>12500</v>
      </c>
      <c r="M18" s="13">
        <v>12500</v>
      </c>
      <c r="N18" s="13">
        <v>12500</v>
      </c>
      <c r="O18" s="13">
        <v>12500</v>
      </c>
      <c r="P18" s="13">
        <v>12500</v>
      </c>
      <c r="Q18" s="13">
        <v>12500</v>
      </c>
      <c r="R18" s="555">
        <v>14000</v>
      </c>
    </row>
    <row r="19" spans="1:18" hidden="1">
      <c r="A19" s="12" t="str">
        <f t="shared" si="0"/>
        <v>SERVICIOSCOMBUSTIBLECEDIS</v>
      </c>
      <c r="B19" s="12">
        <v>12</v>
      </c>
      <c r="C19" t="s">
        <v>21</v>
      </c>
      <c r="D19" s="12" t="s">
        <v>32</v>
      </c>
      <c r="E19" s="12" t="s">
        <v>28</v>
      </c>
      <c r="F19" s="13">
        <v>56000</v>
      </c>
      <c r="G19" s="13">
        <v>56000</v>
      </c>
      <c r="H19" s="13">
        <v>69000</v>
      </c>
      <c r="I19" s="13">
        <v>56000</v>
      </c>
      <c r="J19" s="13">
        <v>56000</v>
      </c>
      <c r="K19" s="13">
        <v>69000</v>
      </c>
      <c r="L19" s="13">
        <v>56000</v>
      </c>
      <c r="M19" s="13">
        <v>56000</v>
      </c>
      <c r="N19" s="13">
        <v>89000</v>
      </c>
      <c r="O19" s="13">
        <v>72000</v>
      </c>
      <c r="P19" s="13">
        <v>72000</v>
      </c>
      <c r="Q19" s="13">
        <v>69000</v>
      </c>
      <c r="R19" s="555">
        <v>70000</v>
      </c>
    </row>
    <row r="20" spans="1:18" hidden="1">
      <c r="A20" s="12" t="str">
        <f t="shared" si="0"/>
        <v>SERVICIOSCOMBUSTIBLEINVENTARIOS</v>
      </c>
      <c r="B20" s="12">
        <v>13</v>
      </c>
      <c r="C20" t="s">
        <v>21</v>
      </c>
      <c r="D20" s="12" t="s">
        <v>32</v>
      </c>
      <c r="E20" s="12" t="s">
        <v>34</v>
      </c>
      <c r="F20" s="13">
        <v>6000</v>
      </c>
      <c r="G20" s="13">
        <v>8000</v>
      </c>
      <c r="H20" s="13">
        <v>5000</v>
      </c>
      <c r="I20" s="13">
        <v>2000</v>
      </c>
      <c r="J20" s="13">
        <v>2000</v>
      </c>
      <c r="K20" s="13">
        <v>2500</v>
      </c>
      <c r="L20" s="13">
        <v>2000</v>
      </c>
      <c r="M20" s="13">
        <v>2000</v>
      </c>
      <c r="N20" s="13">
        <v>2500</v>
      </c>
      <c r="O20" s="13">
        <v>2000</v>
      </c>
      <c r="P20" s="13">
        <v>2000</v>
      </c>
      <c r="Q20" s="13">
        <v>1000</v>
      </c>
      <c r="R20" s="555">
        <v>4000</v>
      </c>
    </row>
    <row r="21" spans="1:18" hidden="1">
      <c r="A21" s="12" t="str">
        <f t="shared" si="0"/>
        <v>SERVICIOSCOMBUSTIBLEMANTENIMIENTO</v>
      </c>
      <c r="B21" s="12">
        <v>14</v>
      </c>
      <c r="C21" t="s">
        <v>21</v>
      </c>
      <c r="D21" s="12" t="s">
        <v>32</v>
      </c>
      <c r="E21" s="12" t="s">
        <v>35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554">
        <v>5000</v>
      </c>
    </row>
    <row r="22" spans="1:18" hidden="1">
      <c r="A22" s="12" t="str">
        <f t="shared" si="0"/>
        <v>SERVICIOSCOMBUSTIBLESERVICIOS</v>
      </c>
      <c r="B22" s="12">
        <v>15</v>
      </c>
      <c r="C22" t="s">
        <v>21</v>
      </c>
      <c r="D22" s="12" t="s">
        <v>32</v>
      </c>
      <c r="E22" s="12" t="s">
        <v>21</v>
      </c>
      <c r="F22" s="13">
        <v>3200</v>
      </c>
      <c r="G22" s="13">
        <v>3200</v>
      </c>
      <c r="H22" s="13">
        <v>4200</v>
      </c>
      <c r="I22" s="13">
        <v>3200</v>
      </c>
      <c r="J22" s="13">
        <v>4200</v>
      </c>
      <c r="K22" s="13">
        <v>4200</v>
      </c>
      <c r="L22" s="13">
        <v>3200</v>
      </c>
      <c r="M22" s="13">
        <v>3200</v>
      </c>
      <c r="N22" s="13">
        <v>4200</v>
      </c>
      <c r="O22" s="13">
        <v>5200</v>
      </c>
      <c r="P22" s="13">
        <v>5200</v>
      </c>
      <c r="Q22" s="13">
        <v>6200</v>
      </c>
      <c r="R22" s="555">
        <v>1600</v>
      </c>
    </row>
    <row r="23" spans="1:18" hidden="1">
      <c r="A23" s="12" t="str">
        <f t="shared" si="0"/>
        <v>SERVICIOSCOMBUSTIBLESISTEMAS</v>
      </c>
      <c r="B23" s="12">
        <v>16</v>
      </c>
      <c r="C23" t="s">
        <v>21</v>
      </c>
      <c r="D23" s="12" t="s">
        <v>32</v>
      </c>
      <c r="E23" s="12" t="s">
        <v>36</v>
      </c>
      <c r="F23" s="13">
        <v>2000</v>
      </c>
      <c r="G23" s="13">
        <v>1000</v>
      </c>
      <c r="H23" s="13">
        <v>1000</v>
      </c>
      <c r="I23" s="13">
        <v>1000</v>
      </c>
      <c r="J23" s="13">
        <v>1000</v>
      </c>
      <c r="K23" s="13">
        <v>1000</v>
      </c>
      <c r="L23" s="13">
        <v>1000</v>
      </c>
      <c r="M23" s="13">
        <v>1000</v>
      </c>
      <c r="N23" s="13">
        <v>1000</v>
      </c>
      <c r="O23" s="13">
        <v>2000</v>
      </c>
      <c r="P23" s="13">
        <v>1000</v>
      </c>
      <c r="Q23" s="13">
        <v>1000</v>
      </c>
      <c r="R23" s="555">
        <v>2000</v>
      </c>
    </row>
    <row r="24" spans="1:18" hidden="1">
      <c r="A24" s="12" t="str">
        <f t="shared" si="0"/>
        <v>FINANZASCOMBUSTIBLECONTABILIDAD</v>
      </c>
      <c r="B24" s="12">
        <v>17</v>
      </c>
      <c r="C24" t="s">
        <v>23</v>
      </c>
      <c r="D24" s="12" t="s">
        <v>32</v>
      </c>
      <c r="E24" s="12" t="s">
        <v>37</v>
      </c>
      <c r="F24" s="13">
        <v>2800</v>
      </c>
      <c r="G24" s="13">
        <v>2800</v>
      </c>
      <c r="H24" s="13">
        <v>3500</v>
      </c>
      <c r="I24" s="13">
        <v>2800</v>
      </c>
      <c r="J24" s="13">
        <v>2800</v>
      </c>
      <c r="K24" s="13">
        <v>3500</v>
      </c>
      <c r="L24" s="13">
        <v>2800</v>
      </c>
      <c r="M24" s="13">
        <v>2800</v>
      </c>
      <c r="N24" s="13">
        <v>3500</v>
      </c>
      <c r="O24" s="13">
        <v>2800</v>
      </c>
      <c r="P24" s="13">
        <v>2800</v>
      </c>
      <c r="Q24" s="13">
        <v>3500</v>
      </c>
      <c r="R24" s="555">
        <v>3200</v>
      </c>
    </row>
    <row r="25" spans="1:18" hidden="1">
      <c r="A25" s="12" t="str">
        <f t="shared" si="0"/>
        <v>FINANZASCOMBUSTIBLETESORERIA</v>
      </c>
      <c r="B25" s="12">
        <v>18</v>
      </c>
      <c r="C25" t="s">
        <v>23</v>
      </c>
      <c r="D25" s="12" t="s">
        <v>32</v>
      </c>
      <c r="E25" s="12" t="s">
        <v>38</v>
      </c>
      <c r="F25" s="13">
        <v>8800</v>
      </c>
      <c r="G25" s="13">
        <v>8800</v>
      </c>
      <c r="H25" s="13">
        <v>11000</v>
      </c>
      <c r="I25" s="13">
        <v>8800</v>
      </c>
      <c r="J25" s="13">
        <v>8800</v>
      </c>
      <c r="K25" s="13">
        <v>11000</v>
      </c>
      <c r="L25" s="13">
        <v>8800</v>
      </c>
      <c r="M25" s="13">
        <v>8800</v>
      </c>
      <c r="N25" s="13">
        <v>11000</v>
      </c>
      <c r="O25" s="13">
        <v>8800</v>
      </c>
      <c r="P25" s="13">
        <v>10000</v>
      </c>
      <c r="Q25" s="13">
        <v>15000</v>
      </c>
      <c r="R25" s="555">
        <v>10000</v>
      </c>
    </row>
    <row r="26" spans="1:18" hidden="1">
      <c r="A26" s="12" t="str">
        <f t="shared" si="0"/>
        <v>FINANZASCOMBUSTIBLEFINANZAS</v>
      </c>
      <c r="B26" s="12">
        <v>19</v>
      </c>
      <c r="C26" t="s">
        <v>23</v>
      </c>
      <c r="D26" s="12" t="s">
        <v>32</v>
      </c>
      <c r="E26" s="12" t="s">
        <v>23</v>
      </c>
      <c r="F26" s="13">
        <v>2800</v>
      </c>
      <c r="G26" s="13">
        <v>2800</v>
      </c>
      <c r="H26" s="13">
        <v>3500</v>
      </c>
      <c r="I26" s="13">
        <v>2800</v>
      </c>
      <c r="J26" s="13">
        <v>2800</v>
      </c>
      <c r="K26" s="13">
        <v>3500</v>
      </c>
      <c r="L26" s="13">
        <v>2800</v>
      </c>
      <c r="M26" s="13">
        <v>2800</v>
      </c>
      <c r="N26" s="13">
        <v>3500</v>
      </c>
      <c r="O26" s="13">
        <v>2800</v>
      </c>
      <c r="P26" s="13">
        <v>2800</v>
      </c>
      <c r="Q26" s="13">
        <v>3500</v>
      </c>
      <c r="R26" s="555">
        <v>3200</v>
      </c>
    </row>
    <row r="27" spans="1:18" hidden="1">
      <c r="A27" s="12" t="str">
        <f t="shared" si="0"/>
        <v>SGECOMBUSTIBLEGESTION EMPRESARIAL</v>
      </c>
      <c r="B27" s="12">
        <v>20</v>
      </c>
      <c r="C27" t="s">
        <v>39</v>
      </c>
      <c r="D27" s="12" t="s">
        <v>32</v>
      </c>
      <c r="E27" s="12" t="s">
        <v>40</v>
      </c>
      <c r="F27" s="13">
        <v>4000</v>
      </c>
      <c r="G27" s="13">
        <v>4000</v>
      </c>
      <c r="H27" s="13">
        <v>4000</v>
      </c>
      <c r="I27" s="13">
        <v>4000</v>
      </c>
      <c r="J27" s="13">
        <v>4000</v>
      </c>
      <c r="K27" s="13">
        <v>4000</v>
      </c>
      <c r="L27" s="13">
        <v>4000</v>
      </c>
      <c r="M27" s="13">
        <v>4000</v>
      </c>
      <c r="N27" s="13">
        <v>4000</v>
      </c>
      <c r="O27" s="13">
        <v>4000</v>
      </c>
      <c r="P27" s="13">
        <v>5000</v>
      </c>
      <c r="Q27" s="13">
        <v>6000</v>
      </c>
      <c r="R27" s="555">
        <v>3000</v>
      </c>
    </row>
    <row r="28" spans="1:18" hidden="1">
      <c r="A28" s="12" t="str">
        <f t="shared" si="0"/>
        <v>DECOMBUSTIBLEDIRECCION</v>
      </c>
      <c r="B28" s="12">
        <v>21</v>
      </c>
      <c r="C28" t="s">
        <v>41</v>
      </c>
      <c r="D28" s="12" t="s">
        <v>32</v>
      </c>
      <c r="E28" s="12" t="s">
        <v>42</v>
      </c>
      <c r="F28" s="13">
        <v>4700</v>
      </c>
      <c r="G28" s="13">
        <v>4400</v>
      </c>
      <c r="H28" s="13">
        <v>4500</v>
      </c>
      <c r="I28" s="13">
        <v>5000</v>
      </c>
      <c r="J28" s="13">
        <v>3500</v>
      </c>
      <c r="K28" s="13">
        <v>1000</v>
      </c>
      <c r="L28" s="13">
        <v>1500</v>
      </c>
      <c r="M28" s="13">
        <v>500</v>
      </c>
      <c r="N28" s="13">
        <v>1300</v>
      </c>
      <c r="O28" s="13">
        <v>5000</v>
      </c>
      <c r="P28" s="13">
        <v>5000</v>
      </c>
      <c r="Q28" s="13">
        <v>6002</v>
      </c>
      <c r="R28" s="555">
        <v>4000</v>
      </c>
    </row>
    <row r="29" spans="1:18" hidden="1">
      <c r="A29" s="12" t="str">
        <f t="shared" si="0"/>
        <v>MELCOMBUSTIBLEMELISSA</v>
      </c>
      <c r="B29" s="12">
        <v>22</v>
      </c>
      <c r="C29" t="s">
        <v>43</v>
      </c>
      <c r="D29" s="12" t="s">
        <v>32</v>
      </c>
      <c r="E29" s="12" t="s">
        <v>44</v>
      </c>
      <c r="F29" s="13">
        <v>3700</v>
      </c>
      <c r="G29" s="13">
        <v>500</v>
      </c>
      <c r="H29" s="13">
        <v>3500</v>
      </c>
      <c r="I29" s="13">
        <v>2800</v>
      </c>
      <c r="J29" s="13">
        <v>2800</v>
      </c>
      <c r="K29" s="13">
        <v>1700</v>
      </c>
      <c r="L29" s="13">
        <v>1700</v>
      </c>
      <c r="M29" s="13">
        <v>2300</v>
      </c>
      <c r="N29" s="13">
        <v>4000</v>
      </c>
      <c r="O29" s="13">
        <v>0</v>
      </c>
      <c r="P29" s="13">
        <v>0</v>
      </c>
      <c r="Q29" s="13">
        <v>0</v>
      </c>
      <c r="R29" s="554"/>
    </row>
    <row r="30" spans="1:18" hidden="1">
      <c r="A30" s="12" t="str">
        <f t="shared" si="0"/>
        <v>MMCOMBUSTIBLEMARKET MAX</v>
      </c>
      <c r="B30" s="12">
        <v>23</v>
      </c>
      <c r="C30" t="s">
        <v>45</v>
      </c>
      <c r="D30" s="12" t="s">
        <v>32</v>
      </c>
      <c r="E30" s="12" t="s">
        <v>46</v>
      </c>
      <c r="F30" s="13">
        <v>3300</v>
      </c>
      <c r="G30" s="13">
        <v>2800</v>
      </c>
      <c r="H30" s="13">
        <v>300</v>
      </c>
      <c r="I30" s="13">
        <v>800</v>
      </c>
      <c r="J30" s="13">
        <v>1000</v>
      </c>
      <c r="K30" s="13">
        <v>2800</v>
      </c>
      <c r="L30" s="13">
        <v>0</v>
      </c>
      <c r="M30" s="13">
        <v>0</v>
      </c>
      <c r="N30" s="13">
        <v>3500</v>
      </c>
      <c r="O30" s="13">
        <v>0</v>
      </c>
      <c r="P30" s="13">
        <v>0</v>
      </c>
      <c r="Q30" s="13">
        <v>0</v>
      </c>
      <c r="R30" s="559">
        <v>40000</v>
      </c>
    </row>
    <row r="31" spans="1:18" hidden="1">
      <c r="A31" s="12" t="str">
        <f t="shared" si="0"/>
        <v>FINANZASCOMBUSTIBLECOMISION SI VALE</v>
      </c>
      <c r="B31" s="12">
        <v>24</v>
      </c>
      <c r="C31" t="s">
        <v>23</v>
      </c>
      <c r="D31" s="12" t="s">
        <v>32</v>
      </c>
      <c r="E31" s="12" t="s">
        <v>47</v>
      </c>
      <c r="F31" s="13">
        <v>5284</v>
      </c>
      <c r="G31" s="13">
        <v>6264</v>
      </c>
      <c r="H31" s="13">
        <v>0</v>
      </c>
      <c r="I31" s="13">
        <v>4803</v>
      </c>
      <c r="J31" s="13">
        <v>4384</v>
      </c>
      <c r="K31" s="13">
        <v>6531</v>
      </c>
      <c r="L31" s="13">
        <v>4855</v>
      </c>
      <c r="M31" s="13">
        <v>5046</v>
      </c>
      <c r="N31" s="13">
        <v>6629</v>
      </c>
      <c r="O31" s="13">
        <v>0</v>
      </c>
      <c r="P31" s="13">
        <v>0</v>
      </c>
      <c r="Q31" s="13">
        <v>0</v>
      </c>
      <c r="R31" s="558">
        <v>5202</v>
      </c>
    </row>
    <row r="32" spans="1:18" hidden="1">
      <c r="A32" s="12" t="str">
        <f t="shared" si="0"/>
        <v>MKTCOMBUSTIBLEMKT</v>
      </c>
      <c r="B32" s="12">
        <v>25</v>
      </c>
      <c r="C32" t="s">
        <v>19</v>
      </c>
      <c r="D32" t="s">
        <v>32</v>
      </c>
      <c r="E32" t="s">
        <v>19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 s="556">
        <v>3000</v>
      </c>
    </row>
    <row r="33" spans="1:18" hidden="1">
      <c r="A33" s="12" t="str">
        <f t="shared" si="0"/>
        <v>FINANZASCOMISIONES BANCARIASMANEJO DE CUENTA</v>
      </c>
      <c r="B33" s="12">
        <v>26</v>
      </c>
      <c r="C33" t="s">
        <v>23</v>
      </c>
      <c r="D33" t="s">
        <v>48</v>
      </c>
      <c r="E33" t="s">
        <v>49</v>
      </c>
      <c r="F33" s="13">
        <v>5000</v>
      </c>
      <c r="G33" s="15">
        <v>1140</v>
      </c>
      <c r="H33" s="13">
        <v>5000</v>
      </c>
      <c r="I33" s="13">
        <v>5000</v>
      </c>
      <c r="J33" s="13">
        <v>5000</v>
      </c>
      <c r="K33" s="15">
        <v>5121</v>
      </c>
      <c r="L33" s="13">
        <v>5000</v>
      </c>
      <c r="M33" s="15">
        <v>2932</v>
      </c>
      <c r="N33" s="15">
        <v>13269</v>
      </c>
      <c r="O33" s="15">
        <v>7000</v>
      </c>
      <c r="P33" s="15">
        <v>7000</v>
      </c>
      <c r="Q33" s="15">
        <v>7000</v>
      </c>
      <c r="R33" s="554">
        <v>20000</v>
      </c>
    </row>
    <row r="34" spans="1:18" hidden="1">
      <c r="A34" s="12" t="str">
        <f t="shared" si="0"/>
        <v>FINANZASCOMISIONES BANCARIASTPV</v>
      </c>
      <c r="B34" s="12">
        <v>27</v>
      </c>
      <c r="C34" t="s">
        <v>23</v>
      </c>
      <c r="D34" t="s">
        <v>48</v>
      </c>
      <c r="E34" t="s">
        <v>50</v>
      </c>
      <c r="F34" s="15">
        <v>84936</v>
      </c>
      <c r="G34" s="15">
        <v>93308</v>
      </c>
      <c r="H34" s="15">
        <v>120924</v>
      </c>
      <c r="I34" s="15">
        <v>110404</v>
      </c>
      <c r="J34" s="15">
        <v>119815</v>
      </c>
      <c r="K34" s="15">
        <v>161811</v>
      </c>
      <c r="L34" s="15">
        <v>121968</v>
      </c>
      <c r="M34" s="15">
        <v>114929</v>
      </c>
      <c r="N34" s="15">
        <v>135234</v>
      </c>
      <c r="O34" s="15">
        <v>136549</v>
      </c>
      <c r="P34" s="15">
        <v>134399</v>
      </c>
      <c r="Q34" s="15">
        <v>319477</v>
      </c>
      <c r="R34" s="554">
        <v>225773</v>
      </c>
    </row>
    <row r="35" spans="1:18" hidden="1">
      <c r="A35" s="12" t="str">
        <f t="shared" si="0"/>
        <v>SGECUOTAS Y SUSCRIPCIONESOFFICE 365(DE)</v>
      </c>
      <c r="B35" s="12">
        <v>28</v>
      </c>
      <c r="C35" t="s">
        <v>39</v>
      </c>
      <c r="D35" t="s">
        <v>51</v>
      </c>
      <c r="E35" t="s">
        <v>52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5">
        <v>1800</v>
      </c>
      <c r="Q35" s="13">
        <v>0</v>
      </c>
      <c r="R35" s="554"/>
    </row>
    <row r="36" spans="1:18" s="229" customFormat="1" hidden="1">
      <c r="A36" s="230" t="str">
        <f t="shared" si="0"/>
        <v>SGECUOTAS Y SUSCRIPCIONESOFFICE 365(C1)</v>
      </c>
      <c r="B36" s="230">
        <v>29</v>
      </c>
      <c r="C36" t="s">
        <v>39</v>
      </c>
      <c r="D36" t="s">
        <v>51</v>
      </c>
      <c r="E36" t="s">
        <v>53</v>
      </c>
      <c r="F36" s="13">
        <v>0</v>
      </c>
      <c r="G36" s="13">
        <v>0</v>
      </c>
      <c r="H36" s="13">
        <v>0</v>
      </c>
      <c r="I36" s="15">
        <v>1800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554"/>
    </row>
    <row r="37" spans="1:18" hidden="1">
      <c r="A37" s="12" t="str">
        <f t="shared" si="0"/>
        <v>SGECUOTAS Y SUSCRIPCIONESOFFICE 365(GCOMPRAS)</v>
      </c>
      <c r="B37" s="12">
        <v>30</v>
      </c>
      <c r="C37" t="s">
        <v>39</v>
      </c>
      <c r="D37" t="s">
        <v>51</v>
      </c>
      <c r="E37" t="s">
        <v>54</v>
      </c>
      <c r="F37" s="13">
        <v>0</v>
      </c>
      <c r="G37" s="13">
        <v>0</v>
      </c>
      <c r="H37" s="15">
        <v>1800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555"/>
    </row>
    <row r="38" spans="1:18" hidden="1">
      <c r="A38" s="12" t="str">
        <f t="shared" si="0"/>
        <v>SGECUOTAS Y SUSCRIPCIONESASANA</v>
      </c>
      <c r="B38" s="12">
        <v>31</v>
      </c>
      <c r="C38" t="s">
        <v>39</v>
      </c>
      <c r="D38" t="s">
        <v>51</v>
      </c>
      <c r="E38" t="s">
        <v>55</v>
      </c>
      <c r="F38" s="13">
        <v>0</v>
      </c>
      <c r="G38" s="15">
        <v>13000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/>
    </row>
    <row r="39" spans="1:18" hidden="1">
      <c r="A39" s="12" t="str">
        <f t="shared" si="0"/>
        <v>SGECUOTAS Y SUSCRIPCIONESZOOM</v>
      </c>
      <c r="B39" s="12">
        <v>32</v>
      </c>
      <c r="C39" t="s">
        <v>39</v>
      </c>
      <c r="D39" t="s">
        <v>51</v>
      </c>
      <c r="E39" t="s">
        <v>56</v>
      </c>
      <c r="F39" s="15">
        <v>2000</v>
      </c>
      <c r="G39" s="15">
        <v>2000</v>
      </c>
      <c r="H39" s="15">
        <v>2000</v>
      </c>
      <c r="I39" s="15">
        <v>2000</v>
      </c>
      <c r="J39" s="15">
        <v>2000</v>
      </c>
      <c r="K39" s="15">
        <v>2000</v>
      </c>
      <c r="L39" s="15">
        <v>2000</v>
      </c>
      <c r="M39" s="15">
        <v>2000</v>
      </c>
      <c r="N39" s="15">
        <v>2000</v>
      </c>
      <c r="O39" s="15">
        <v>2000</v>
      </c>
      <c r="P39" s="15">
        <v>2000</v>
      </c>
      <c r="Q39" s="15">
        <v>2000</v>
      </c>
      <c r="R39" s="556">
        <v>1701</v>
      </c>
    </row>
    <row r="40" spans="1:18" hidden="1">
      <c r="A40" s="12" t="str">
        <f t="shared" si="0"/>
        <v>SGECUOTAS Y SUSCRIPCIONESFROGMI</v>
      </c>
      <c r="B40" s="12">
        <v>33</v>
      </c>
      <c r="C40" t="s">
        <v>39</v>
      </c>
      <c r="D40" t="s">
        <v>51</v>
      </c>
      <c r="E40" t="s">
        <v>57</v>
      </c>
      <c r="F40" s="15">
        <v>40000</v>
      </c>
      <c r="G40" s="15">
        <v>40000</v>
      </c>
      <c r="H40" s="15">
        <v>40000</v>
      </c>
      <c r="I40" s="15">
        <v>40000</v>
      </c>
      <c r="J40" s="15">
        <v>40000</v>
      </c>
      <c r="K40" s="15">
        <v>40000</v>
      </c>
      <c r="L40" s="15">
        <v>40000</v>
      </c>
      <c r="M40" s="15">
        <v>40000</v>
      </c>
      <c r="N40" s="15">
        <v>40000</v>
      </c>
      <c r="O40" s="15">
        <v>40000</v>
      </c>
      <c r="P40" s="15">
        <v>40000</v>
      </c>
      <c r="Q40" s="15">
        <v>40000</v>
      </c>
      <c r="R40" s="13"/>
    </row>
    <row r="41" spans="1:18" hidden="1">
      <c r="A41" s="12" t="str">
        <f t="shared" si="0"/>
        <v>SIEMCUOTAS Y SUSCRIPCIONESSIEM</v>
      </c>
      <c r="B41" s="12">
        <v>34</v>
      </c>
      <c r="C41" s="229" t="s">
        <v>58</v>
      </c>
      <c r="D41" t="s">
        <v>51</v>
      </c>
      <c r="E41" t="s">
        <v>58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5">
        <v>2570</v>
      </c>
      <c r="M41" s="13">
        <v>0</v>
      </c>
      <c r="N41">
        <v>0</v>
      </c>
      <c r="O41" s="13">
        <v>0</v>
      </c>
      <c r="P41" s="13">
        <v>0</v>
      </c>
      <c r="Q41" s="13">
        <v>0</v>
      </c>
      <c r="R41" s="13"/>
    </row>
    <row r="42" spans="1:18" hidden="1">
      <c r="A42" s="12" t="str">
        <f t="shared" si="0"/>
        <v>SGECUOTAS Y SUSCRIPCIONESCHATGPT</v>
      </c>
      <c r="B42" s="12">
        <v>35</v>
      </c>
      <c r="C42" t="s">
        <v>39</v>
      </c>
      <c r="D42" t="s">
        <v>51</v>
      </c>
      <c r="E42" t="s">
        <v>59</v>
      </c>
      <c r="F42" s="15">
        <v>3000</v>
      </c>
      <c r="G42" s="15">
        <v>3000</v>
      </c>
      <c r="H42" s="15">
        <v>3000</v>
      </c>
      <c r="I42" s="15">
        <v>3000</v>
      </c>
      <c r="J42" s="15">
        <v>3000</v>
      </c>
      <c r="K42" s="15">
        <v>3000</v>
      </c>
      <c r="L42" s="15">
        <v>3000</v>
      </c>
      <c r="M42" s="15">
        <v>3000</v>
      </c>
      <c r="N42" s="15">
        <v>3000</v>
      </c>
      <c r="O42" s="15">
        <v>3000</v>
      </c>
      <c r="P42" s="15">
        <v>3000</v>
      </c>
      <c r="Q42" s="15">
        <v>3000</v>
      </c>
      <c r="R42" s="210">
        <v>3108</v>
      </c>
    </row>
    <row r="43" spans="1:18" hidden="1">
      <c r="A43" s="12" t="str">
        <f t="shared" si="0"/>
        <v>SGECUOTAS Y SUSCRIPCIONESCANVA</v>
      </c>
      <c r="B43" s="12">
        <v>36</v>
      </c>
      <c r="C43" t="s">
        <v>39</v>
      </c>
      <c r="D43" t="s">
        <v>51</v>
      </c>
      <c r="E43" t="s">
        <v>60</v>
      </c>
      <c r="F43">
        <v>150</v>
      </c>
      <c r="G43">
        <v>150</v>
      </c>
      <c r="H43" s="15">
        <v>1400</v>
      </c>
      <c r="I43" s="15">
        <v>2600</v>
      </c>
      <c r="J43">
        <v>150</v>
      </c>
      <c r="K43">
        <v>150</v>
      </c>
      <c r="L43">
        <v>150</v>
      </c>
      <c r="M43">
        <v>150</v>
      </c>
      <c r="N43">
        <v>150</v>
      </c>
      <c r="O43">
        <v>150</v>
      </c>
      <c r="P43">
        <v>150</v>
      </c>
      <c r="Q43">
        <v>150</v>
      </c>
      <c r="R43" s="210">
        <v>149</v>
      </c>
    </row>
    <row r="44" spans="1:18" hidden="1">
      <c r="A44" s="12" t="str">
        <f t="shared" si="0"/>
        <v>SGECUOTAS Y SUSCRIPCIONESSHUTTER</v>
      </c>
      <c r="B44" s="12">
        <v>37</v>
      </c>
      <c r="C44" t="s">
        <v>39</v>
      </c>
      <c r="D44" t="s">
        <v>51</v>
      </c>
      <c r="E44" t="s">
        <v>61</v>
      </c>
      <c r="F44" s="15">
        <v>5000</v>
      </c>
      <c r="G44" s="15">
        <v>5000</v>
      </c>
      <c r="H44" s="15">
        <v>5000</v>
      </c>
      <c r="I44" s="15">
        <v>5000</v>
      </c>
      <c r="J44" s="15">
        <v>5000</v>
      </c>
      <c r="K44" s="15">
        <v>5000</v>
      </c>
      <c r="L44" s="15">
        <v>5000</v>
      </c>
      <c r="M44" s="15">
        <v>5000</v>
      </c>
      <c r="N44" s="15">
        <v>5000</v>
      </c>
      <c r="O44" s="15">
        <v>5000</v>
      </c>
      <c r="P44" s="15">
        <v>5000</v>
      </c>
      <c r="Q44" s="15">
        <v>5000</v>
      </c>
      <c r="R44" s="13"/>
    </row>
    <row r="45" spans="1:18" hidden="1">
      <c r="A45" s="12" t="str">
        <f t="shared" si="0"/>
        <v>SERVICIOSCUOTAS Y SUSCRIPCIONESDOMINIOS DE PAGINAS</v>
      </c>
      <c r="B45" s="12">
        <v>38</v>
      </c>
      <c r="C45" t="s">
        <v>21</v>
      </c>
      <c r="D45" t="s">
        <v>51</v>
      </c>
      <c r="E45" t="s">
        <v>62</v>
      </c>
      <c r="F45" s="13">
        <v>0</v>
      </c>
      <c r="G45">
        <v>640</v>
      </c>
      <c r="H45" s="13">
        <v>0</v>
      </c>
      <c r="I45" s="13">
        <v>0</v>
      </c>
      <c r="J45" s="13">
        <v>0</v>
      </c>
      <c r="K45" s="15">
        <v>6000</v>
      </c>
      <c r="L45" s="15">
        <v>8352</v>
      </c>
      <c r="M45" s="13">
        <v>0</v>
      </c>
      <c r="N45" s="15">
        <v>2423</v>
      </c>
      <c r="O45" s="13">
        <v>0</v>
      </c>
      <c r="P45" s="13">
        <v>0</v>
      </c>
      <c r="Q45" s="13">
        <v>0</v>
      </c>
      <c r="R45" s="13">
        <v>560</v>
      </c>
    </row>
    <row r="46" spans="1:18" hidden="1">
      <c r="A46" s="12" t="str">
        <f t="shared" si="0"/>
        <v>FINANZASCUOTAS Y SUSCRIPCIONESTIMBRES P/FACTURACION</v>
      </c>
      <c r="B46" s="12">
        <v>39</v>
      </c>
      <c r="C46" t="s">
        <v>23</v>
      </c>
      <c r="D46" t="s">
        <v>51</v>
      </c>
      <c r="E46" t="s">
        <v>63</v>
      </c>
      <c r="F46" s="13">
        <v>0</v>
      </c>
      <c r="G46" s="13">
        <v>0</v>
      </c>
      <c r="H46" s="15">
        <v>1280</v>
      </c>
      <c r="I46" s="13">
        <v>0</v>
      </c>
      <c r="J46" s="13">
        <v>0</v>
      </c>
      <c r="K46" s="13">
        <v>0</v>
      </c>
      <c r="L46" s="15">
        <v>4640</v>
      </c>
      <c r="M46" s="13">
        <v>0</v>
      </c>
      <c r="N46">
        <v>0</v>
      </c>
      <c r="O46" s="13">
        <v>0</v>
      </c>
      <c r="P46" s="13">
        <v>0</v>
      </c>
      <c r="Q46" s="13">
        <v>0</v>
      </c>
      <c r="R46" s="13"/>
    </row>
    <row r="47" spans="1:18" s="229" customFormat="1" hidden="1">
      <c r="A47" s="230" t="str">
        <f t="shared" si="0"/>
        <v>FINANZASCUOTAS Y SUSCRIPCIONESREVALIDACION</v>
      </c>
      <c r="B47" s="230">
        <v>40</v>
      </c>
      <c r="C47" t="s">
        <v>23</v>
      </c>
      <c r="D47" t="s">
        <v>51</v>
      </c>
      <c r="E47" t="s">
        <v>64</v>
      </c>
      <c r="F47" s="13">
        <v>0</v>
      </c>
      <c r="G47" s="15">
        <v>66500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>
        <v>0</v>
      </c>
      <c r="O47" s="13">
        <v>0</v>
      </c>
      <c r="P47" s="13">
        <v>0</v>
      </c>
      <c r="Q47" s="13">
        <v>0</v>
      </c>
      <c r="R47" s="13"/>
    </row>
    <row r="48" spans="1:18" hidden="1">
      <c r="A48" s="12" t="str">
        <f t="shared" si="0"/>
        <v>FINANZASCUOTAS Y SUSCRIPCIONESACTAS</v>
      </c>
      <c r="B48" s="12">
        <v>41</v>
      </c>
      <c r="C48" t="s">
        <v>23</v>
      </c>
      <c r="D48" t="s">
        <v>51</v>
      </c>
      <c r="E48" t="s">
        <v>65</v>
      </c>
      <c r="F48" s="13">
        <v>0</v>
      </c>
      <c r="G48" s="15">
        <v>11514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>
        <v>0</v>
      </c>
      <c r="O48" s="13">
        <v>0</v>
      </c>
      <c r="P48" s="13">
        <v>0</v>
      </c>
      <c r="Q48" s="13">
        <v>0</v>
      </c>
      <c r="R48" s="13"/>
    </row>
    <row r="49" spans="1:18" hidden="1">
      <c r="A49" s="12" t="str">
        <f t="shared" si="0"/>
        <v>FINANZASCUOTAS Y SUSCRIPCIONESPREDIALES</v>
      </c>
      <c r="B49" s="12">
        <v>42</v>
      </c>
      <c r="C49" t="s">
        <v>23</v>
      </c>
      <c r="D49" t="s">
        <v>51</v>
      </c>
      <c r="E49" t="s">
        <v>66</v>
      </c>
      <c r="F49" s="15">
        <v>178000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>
        <v>0</v>
      </c>
      <c r="O49" s="13">
        <v>0</v>
      </c>
      <c r="P49" s="13">
        <v>0</v>
      </c>
      <c r="Q49" s="13">
        <v>0</v>
      </c>
      <c r="R49" s="13"/>
    </row>
    <row r="50" spans="1:18" hidden="1">
      <c r="A50" s="12" t="str">
        <f t="shared" si="0"/>
        <v>FINANZASCUOTAS Y SUSCRIPCIONESCANACO</v>
      </c>
      <c r="B50" s="12">
        <v>43</v>
      </c>
      <c r="C50" s="229" t="s">
        <v>23</v>
      </c>
      <c r="D50" t="s">
        <v>51</v>
      </c>
      <c r="E50" t="s">
        <v>67</v>
      </c>
      <c r="F50" s="15">
        <v>1920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>
        <v>0</v>
      </c>
      <c r="O50" s="13">
        <v>0</v>
      </c>
      <c r="P50" s="13">
        <v>0</v>
      </c>
      <c r="Q50" s="13">
        <v>0</v>
      </c>
      <c r="R50" s="13"/>
    </row>
    <row r="51" spans="1:18" hidden="1">
      <c r="A51" s="12" t="str">
        <f t="shared" si="0"/>
        <v>HRCUOTAS Y SUSCRIPCIONESESTACIONAMIENTO A1</v>
      </c>
      <c r="B51" s="12">
        <v>44</v>
      </c>
      <c r="C51" t="s">
        <v>29</v>
      </c>
      <c r="D51" t="s">
        <v>51</v>
      </c>
      <c r="E51" t="s">
        <v>68</v>
      </c>
      <c r="F51" s="13">
        <v>0</v>
      </c>
      <c r="G51" s="13">
        <v>0</v>
      </c>
      <c r="H51" s="13">
        <v>0</v>
      </c>
      <c r="I51" s="15">
        <v>9800</v>
      </c>
      <c r="J51" s="15">
        <v>2450</v>
      </c>
      <c r="K51" s="15">
        <v>4900</v>
      </c>
      <c r="L51" s="15">
        <v>5298</v>
      </c>
      <c r="M51" s="15">
        <v>2450</v>
      </c>
      <c r="N51">
        <v>0</v>
      </c>
      <c r="O51" s="13">
        <v>0</v>
      </c>
      <c r="P51" s="13">
        <v>0</v>
      </c>
      <c r="Q51" s="13">
        <v>0</v>
      </c>
      <c r="R51" s="558">
        <v>30000</v>
      </c>
    </row>
    <row r="52" spans="1:18" hidden="1">
      <c r="A52" s="12" t="str">
        <f t="shared" si="0"/>
        <v>FINANZASCUOTAS Y SUSCRIPCIONESKOLBEE</v>
      </c>
      <c r="B52" s="12">
        <v>45</v>
      </c>
      <c r="C52" t="s">
        <v>23</v>
      </c>
      <c r="D52" t="s">
        <v>51</v>
      </c>
      <c r="E52" t="s">
        <v>69</v>
      </c>
      <c r="F52" s="13">
        <v>0</v>
      </c>
      <c r="G52" s="13">
        <v>0</v>
      </c>
      <c r="H52" s="13">
        <v>0</v>
      </c>
      <c r="I52" s="15">
        <v>2700</v>
      </c>
      <c r="J52" s="13">
        <v>0</v>
      </c>
      <c r="K52" s="13">
        <v>0</v>
      </c>
      <c r="L52" s="13">
        <v>0</v>
      </c>
      <c r="M52" s="13">
        <v>0</v>
      </c>
      <c r="N52">
        <v>0</v>
      </c>
      <c r="O52" s="13">
        <v>0</v>
      </c>
      <c r="P52" s="13">
        <v>0</v>
      </c>
      <c r="Q52" s="13">
        <v>0</v>
      </c>
      <c r="R52" s="554">
        <v>1050</v>
      </c>
    </row>
    <row r="53" spans="1:18" hidden="1">
      <c r="A53" s="12" t="str">
        <f t="shared" si="0"/>
        <v>SERVICIOSCUOTAS Y SUSCRIPCIONESAPP</v>
      </c>
      <c r="B53" s="12">
        <v>46</v>
      </c>
      <c r="C53" t="s">
        <v>21</v>
      </c>
      <c r="D53" t="s">
        <v>51</v>
      </c>
      <c r="E53" t="s">
        <v>70</v>
      </c>
      <c r="F53" s="15">
        <v>2000</v>
      </c>
      <c r="G53" s="13">
        <v>0</v>
      </c>
      <c r="H53" s="13">
        <v>0</v>
      </c>
      <c r="I53" s="13">
        <v>0</v>
      </c>
      <c r="J53" s="13">
        <v>0</v>
      </c>
      <c r="K53" s="15">
        <v>1888</v>
      </c>
      <c r="L53" s="13">
        <v>0</v>
      </c>
      <c r="M53" s="13">
        <v>0</v>
      </c>
      <c r="N53">
        <v>0</v>
      </c>
      <c r="O53" s="13">
        <v>0</v>
      </c>
      <c r="P53" s="13">
        <v>0</v>
      </c>
      <c r="Q53" s="13">
        <v>0</v>
      </c>
      <c r="R53" s="13"/>
    </row>
    <row r="54" spans="1:18" hidden="1">
      <c r="A54" s="12" t="str">
        <f t="shared" si="0"/>
        <v>FINANZASCUOTAS Y SUSCRIPCIONESBITAM</v>
      </c>
      <c r="B54" s="12">
        <v>47</v>
      </c>
      <c r="C54" t="s">
        <v>23</v>
      </c>
      <c r="D54" t="s">
        <v>51</v>
      </c>
      <c r="E54" t="s">
        <v>71</v>
      </c>
      <c r="F54" s="15">
        <v>3600</v>
      </c>
      <c r="G54" s="15">
        <v>3600</v>
      </c>
      <c r="H54" s="15">
        <v>3600</v>
      </c>
      <c r="I54" s="15">
        <v>3600</v>
      </c>
      <c r="J54" s="15">
        <v>3600</v>
      </c>
      <c r="K54" s="15">
        <v>3600</v>
      </c>
      <c r="L54" s="15">
        <v>3600</v>
      </c>
      <c r="M54" s="15">
        <v>3600</v>
      </c>
      <c r="N54" s="15">
        <v>3600</v>
      </c>
      <c r="O54" s="15">
        <v>3600</v>
      </c>
      <c r="P54" s="15">
        <v>3600</v>
      </c>
      <c r="Q54" s="15">
        <v>3600</v>
      </c>
      <c r="R54" s="554">
        <v>8500</v>
      </c>
    </row>
    <row r="55" spans="1:18" hidden="1">
      <c r="A55" s="12" t="str">
        <f t="shared" si="0"/>
        <v>FINANZASCUOTAS Y SUSCRIPCIONESXMLSAT</v>
      </c>
      <c r="B55" s="12">
        <v>48</v>
      </c>
      <c r="C55" t="s">
        <v>23</v>
      </c>
      <c r="D55" t="s">
        <v>51</v>
      </c>
      <c r="E55" t="s">
        <v>72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5">
        <v>5000</v>
      </c>
      <c r="R55" s="554">
        <v>4699</v>
      </c>
    </row>
    <row r="56" spans="1:18" hidden="1">
      <c r="A56" s="12" t="str">
        <f t="shared" si="0"/>
        <v>FINANZASCUOTAS Y SUSCRIPCIONESCONTPAQ</v>
      </c>
      <c r="B56" s="12">
        <v>50</v>
      </c>
      <c r="C56" t="s">
        <v>23</v>
      </c>
      <c r="D56" t="s">
        <v>51</v>
      </c>
      <c r="E56" t="s">
        <v>73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5">
        <v>8000</v>
      </c>
      <c r="O56" s="13">
        <v>0</v>
      </c>
      <c r="P56" s="13">
        <v>0</v>
      </c>
      <c r="Q56" s="13">
        <v>0</v>
      </c>
      <c r="R56" s="13"/>
    </row>
    <row r="57" spans="1:18" hidden="1">
      <c r="A57" s="12" t="str">
        <f t="shared" si="0"/>
        <v>FINANZASCUOTAS Y SUSCRIPCIONESMULTAS</v>
      </c>
      <c r="B57" s="12">
        <v>52</v>
      </c>
      <c r="C57" t="s">
        <v>23</v>
      </c>
      <c r="D57" t="s">
        <v>51</v>
      </c>
      <c r="E57" t="s">
        <v>74</v>
      </c>
      <c r="F57" s="13">
        <v>0</v>
      </c>
      <c r="G57" s="13">
        <v>0</v>
      </c>
      <c r="H57" s="15">
        <v>12447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>
        <v>0</v>
      </c>
      <c r="O57" s="13">
        <v>0</v>
      </c>
      <c r="P57" s="13">
        <v>0</v>
      </c>
      <c r="Q57" s="13">
        <v>0</v>
      </c>
      <c r="R57" s="13"/>
    </row>
    <row r="58" spans="1:18" hidden="1">
      <c r="A58" s="12" t="str">
        <f t="shared" si="0"/>
        <v>FINANZASCUOTAS Y SUSCRIPCIONESANUALIDAD TC</v>
      </c>
      <c r="B58" s="12">
        <v>54</v>
      </c>
      <c r="C58" t="s">
        <v>23</v>
      </c>
      <c r="D58" t="s">
        <v>51</v>
      </c>
      <c r="E58" t="s">
        <v>75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5">
        <v>6825</v>
      </c>
      <c r="O58" s="13">
        <v>0</v>
      </c>
      <c r="P58" s="13">
        <v>0</v>
      </c>
      <c r="Q58" s="13">
        <v>0</v>
      </c>
      <c r="R58" s="556">
        <v>12000</v>
      </c>
    </row>
    <row r="59" spans="1:18" hidden="1">
      <c r="A59" s="12" t="str">
        <f t="shared" si="0"/>
        <v>FINANZASCUOTAS Y SUSCRIPCIONESPROTECCION CIVIL</v>
      </c>
      <c r="B59" s="12">
        <v>56</v>
      </c>
      <c r="C59" t="s">
        <v>23</v>
      </c>
      <c r="D59" t="s">
        <v>51</v>
      </c>
      <c r="E59" t="s">
        <v>76</v>
      </c>
      <c r="F59" s="15">
        <v>3770</v>
      </c>
      <c r="G59" s="15">
        <v>4695</v>
      </c>
      <c r="H59" s="13">
        <v>0</v>
      </c>
      <c r="I59" s="13">
        <v>0</v>
      </c>
      <c r="J59" s="13">
        <v>0</v>
      </c>
      <c r="K59">
        <v>742</v>
      </c>
      <c r="L59" s="13">
        <v>0</v>
      </c>
      <c r="M59" s="15">
        <v>1453</v>
      </c>
      <c r="N59">
        <v>0</v>
      </c>
      <c r="O59" s="13">
        <v>0</v>
      </c>
      <c r="P59" s="13">
        <v>0</v>
      </c>
      <c r="Q59" s="13">
        <v>0</v>
      </c>
      <c r="R59" s="13"/>
    </row>
    <row r="60" spans="1:18" hidden="1">
      <c r="A60" s="12" t="str">
        <f t="shared" si="0"/>
        <v>FINANZASCUOTAS Y SUSCRIPCIONESPREDIAL/REVALIDACIONES</v>
      </c>
      <c r="B60" s="12">
        <v>58</v>
      </c>
      <c r="C60" t="s">
        <v>23</v>
      </c>
      <c r="D60" t="s">
        <v>51</v>
      </c>
      <c r="E60" t="s">
        <v>77</v>
      </c>
      <c r="F60" s="15">
        <v>300000</v>
      </c>
      <c r="G60" s="15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>
        <v>0</v>
      </c>
      <c r="O60" s="13">
        <v>0</v>
      </c>
      <c r="P60" s="13">
        <v>0</v>
      </c>
      <c r="Q60" s="13">
        <v>0</v>
      </c>
      <c r="R60" s="556">
        <v>220000</v>
      </c>
    </row>
    <row r="61" spans="1:18" hidden="1">
      <c r="A61" s="12" t="str">
        <f t="shared" si="0"/>
        <v>FINANZASCUOTAS Y SUSCRIPCIONESREGISTRO DE MARCA</v>
      </c>
      <c r="B61" s="12">
        <v>60</v>
      </c>
      <c r="C61" t="s">
        <v>23</v>
      </c>
      <c r="D61" t="s">
        <v>51</v>
      </c>
      <c r="E61" t="s">
        <v>78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 s="13"/>
    </row>
    <row r="62" spans="1:18" hidden="1">
      <c r="A62" s="12" t="str">
        <f t="shared" si="0"/>
        <v>SGECUOTAS Y SUSCRIPCIONESWORKFORCE</v>
      </c>
      <c r="B62" s="12">
        <v>62</v>
      </c>
      <c r="C62" t="s">
        <v>39</v>
      </c>
      <c r="D62" t="s">
        <v>51</v>
      </c>
      <c r="E62" t="s">
        <v>79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 s="554">
        <v>60000</v>
      </c>
    </row>
    <row r="63" spans="1:18" hidden="1">
      <c r="A63" s="12" t="str">
        <f t="shared" si="0"/>
        <v>SGECUOTAS Y SUSCRIPCIONESGOOGLE CAPCUT</v>
      </c>
      <c r="B63" s="12">
        <v>64</v>
      </c>
      <c r="C63" t="s">
        <v>39</v>
      </c>
      <c r="D63" t="s">
        <v>51</v>
      </c>
      <c r="E63" t="s">
        <v>80</v>
      </c>
      <c r="F63">
        <v>0</v>
      </c>
      <c r="G63">
        <v>0</v>
      </c>
      <c r="H63">
        <v>0</v>
      </c>
      <c r="I63">
        <v>0</v>
      </c>
      <c r="J63" s="5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 s="554">
        <v>3000</v>
      </c>
    </row>
    <row r="64" spans="1:18" hidden="1">
      <c r="A64" s="12" t="str">
        <f>C64&amp;D64&amp;E64</f>
        <v>FINANZASCUOTAS Y SUSCRIPCIONESTRAMITES</v>
      </c>
      <c r="B64" s="12">
        <v>65</v>
      </c>
      <c r="C64" t="s">
        <v>23</v>
      </c>
      <c r="D64" t="s">
        <v>51</v>
      </c>
      <c r="E64" t="s">
        <v>81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 s="13"/>
    </row>
    <row r="65" spans="1:18" hidden="1">
      <c r="A65" s="12" t="str">
        <f t="shared" si="0"/>
        <v>FINANZASCUOTAS Y SUSCRIPCIONESTRASLADO DE VALORES</v>
      </c>
      <c r="B65" s="12">
        <v>66</v>
      </c>
      <c r="C65" t="s">
        <v>23</v>
      </c>
      <c r="D65" t="s">
        <v>51</v>
      </c>
      <c r="E65" t="s">
        <v>82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 s="554">
        <v>5000</v>
      </c>
    </row>
    <row r="66" spans="1:18" hidden="1">
      <c r="A66" s="12" t="str">
        <f t="shared" si="0"/>
        <v>MKTCUOTAS Y SUSCRIPCIONESMOKKER APP</v>
      </c>
      <c r="B66" s="12">
        <v>67</v>
      </c>
      <c r="C66" t="s">
        <v>19</v>
      </c>
      <c r="D66" t="s">
        <v>51</v>
      </c>
      <c r="E66" t="s">
        <v>83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 s="13"/>
    </row>
    <row r="67" spans="1:18" hidden="1">
      <c r="A67" s="12" t="str">
        <f t="shared" si="0"/>
        <v>SGECUOTAS Y SUSCRIPCIONESMIDJOURNEY APP</v>
      </c>
      <c r="B67" s="12">
        <v>68</v>
      </c>
      <c r="C67" t="s">
        <v>39</v>
      </c>
      <c r="D67" t="s">
        <v>51</v>
      </c>
      <c r="E67" t="s">
        <v>84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 s="13"/>
    </row>
    <row r="68" spans="1:18" hidden="1">
      <c r="A68" s="12" t="str">
        <f t="shared" si="0"/>
        <v>MKTCUOTAS Y SUSCRIPCIONESAPP</v>
      </c>
      <c r="B68" s="12">
        <v>69</v>
      </c>
      <c r="C68" t="s">
        <v>19</v>
      </c>
      <c r="D68" t="s">
        <v>51</v>
      </c>
      <c r="E68" t="s">
        <v>70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 s="555">
        <v>1000</v>
      </c>
    </row>
    <row r="69" spans="1:18" hidden="1">
      <c r="A69" s="12" t="str">
        <f t="shared" si="0"/>
        <v>FINANZASCURSOS Y CAPACITACIONESCONTABILIDAD</v>
      </c>
      <c r="B69" s="12">
        <v>70</v>
      </c>
      <c r="C69" t="s">
        <v>23</v>
      </c>
      <c r="D69" t="s">
        <v>85</v>
      </c>
      <c r="E69" t="s">
        <v>37</v>
      </c>
      <c r="F69" s="13">
        <v>0</v>
      </c>
      <c r="G69" s="13">
        <v>1102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5">
        <v>18898</v>
      </c>
      <c r="R69" s="557">
        <v>2500</v>
      </c>
    </row>
    <row r="70" spans="1:18" hidden="1">
      <c r="A70" s="12" t="str">
        <f t="shared" si="0"/>
        <v>DEDONATIVOSDONATIVOS</v>
      </c>
      <c r="B70" s="12">
        <v>71</v>
      </c>
      <c r="C70" t="s">
        <v>41</v>
      </c>
      <c r="D70" s="12" t="s">
        <v>86</v>
      </c>
      <c r="E70" s="12" t="s">
        <v>86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/>
    </row>
    <row r="71" spans="1:18" hidden="1">
      <c r="A71" s="12" t="str">
        <f t="shared" si="0"/>
        <v>HRENERGIA ELECTRICAA1</v>
      </c>
      <c r="B71" s="12">
        <v>72</v>
      </c>
      <c r="C71" t="s">
        <v>29</v>
      </c>
      <c r="D71" s="12" t="s">
        <v>87</v>
      </c>
      <c r="E71" s="12" t="s">
        <v>88</v>
      </c>
      <c r="F71" s="13">
        <v>5709</v>
      </c>
      <c r="G71" s="13">
        <v>7104</v>
      </c>
      <c r="H71" s="13">
        <v>5920</v>
      </c>
      <c r="I71" s="13">
        <v>5235</v>
      </c>
      <c r="J71" s="13">
        <v>0</v>
      </c>
      <c r="K71" s="13">
        <v>6674</v>
      </c>
      <c r="L71" s="13">
        <v>7273</v>
      </c>
      <c r="M71" s="13">
        <v>6924</v>
      </c>
      <c r="N71" s="13">
        <v>31531</v>
      </c>
      <c r="O71" s="13">
        <v>8572</v>
      </c>
      <c r="P71" s="13">
        <v>8500</v>
      </c>
      <c r="Q71" s="13">
        <v>9000</v>
      </c>
      <c r="R71" s="560">
        <v>6500</v>
      </c>
    </row>
    <row r="72" spans="1:18" hidden="1">
      <c r="A72" s="12" t="str">
        <f t="shared" si="0"/>
        <v>HRENERGIA ELECTRICAA2</v>
      </c>
      <c r="B72" s="12">
        <v>73</v>
      </c>
      <c r="C72" t="s">
        <v>29</v>
      </c>
      <c r="D72" s="12" t="s">
        <v>87</v>
      </c>
      <c r="E72" s="12" t="s">
        <v>89</v>
      </c>
      <c r="F72" s="13">
        <v>5971</v>
      </c>
      <c r="G72" s="13">
        <v>0</v>
      </c>
      <c r="H72" s="13">
        <v>6099</v>
      </c>
      <c r="I72" s="13">
        <v>0</v>
      </c>
      <c r="J72" s="13">
        <v>6491</v>
      </c>
      <c r="K72" s="13">
        <v>10627</v>
      </c>
      <c r="L72" s="13">
        <v>0</v>
      </c>
      <c r="M72" s="13">
        <v>0</v>
      </c>
      <c r="N72" s="13">
        <v>0</v>
      </c>
      <c r="O72" s="13">
        <v>0</v>
      </c>
      <c r="P72" s="13">
        <v>7919</v>
      </c>
      <c r="Q72" s="13">
        <v>0</v>
      </c>
      <c r="R72" s="560">
        <v>26000</v>
      </c>
    </row>
    <row r="73" spans="1:18" hidden="1">
      <c r="A73" s="12" t="str">
        <f t="shared" ref="A73:A136" si="1">C73&amp;D73&amp;E73</f>
        <v>HRENERGIA ELECTRICAA3</v>
      </c>
      <c r="B73" s="12">
        <v>74</v>
      </c>
      <c r="C73" t="s">
        <v>29</v>
      </c>
      <c r="D73" s="12" t="s">
        <v>87</v>
      </c>
      <c r="E73" s="12" t="s">
        <v>90</v>
      </c>
      <c r="F73" s="13">
        <v>0</v>
      </c>
      <c r="G73" s="13">
        <v>0</v>
      </c>
      <c r="H73" s="13">
        <v>8808</v>
      </c>
      <c r="I73" s="13">
        <v>0</v>
      </c>
      <c r="J73" s="13">
        <v>9654</v>
      </c>
      <c r="K73" s="13">
        <v>10854</v>
      </c>
      <c r="L73" s="13">
        <v>0</v>
      </c>
      <c r="M73" s="13">
        <v>0</v>
      </c>
      <c r="N73" s="13">
        <v>0</v>
      </c>
      <c r="O73" s="13">
        <v>0</v>
      </c>
      <c r="P73" s="13">
        <v>8227</v>
      </c>
      <c r="Q73" s="13">
        <v>0</v>
      </c>
      <c r="R73" s="560">
        <v>11774</v>
      </c>
    </row>
    <row r="74" spans="1:18" hidden="1">
      <c r="A74" s="12" t="str">
        <f t="shared" si="1"/>
        <v>HRENERGIA ELECTRICAA4</v>
      </c>
      <c r="B74" s="12">
        <v>75</v>
      </c>
      <c r="C74" t="s">
        <v>29</v>
      </c>
      <c r="D74" s="12" t="s">
        <v>87</v>
      </c>
      <c r="E74" s="12" t="s">
        <v>91</v>
      </c>
      <c r="F74" s="13">
        <v>0</v>
      </c>
      <c r="G74" s="13">
        <v>5220</v>
      </c>
      <c r="H74" s="13">
        <v>0</v>
      </c>
      <c r="I74" s="13">
        <v>5683</v>
      </c>
      <c r="J74" s="13">
        <v>0</v>
      </c>
      <c r="K74" s="13">
        <v>6187</v>
      </c>
      <c r="L74" s="13">
        <v>0</v>
      </c>
      <c r="M74" s="13">
        <v>10018</v>
      </c>
      <c r="N74" s="13">
        <v>0</v>
      </c>
      <c r="O74" s="13">
        <v>6757</v>
      </c>
      <c r="P74" s="13">
        <v>0</v>
      </c>
      <c r="Q74" s="13">
        <v>7162</v>
      </c>
      <c r="R74" s="13"/>
    </row>
    <row r="75" spans="1:18" hidden="1">
      <c r="A75" s="12" t="str">
        <f t="shared" si="1"/>
        <v>HRENERGIA ELECTRICAA5</v>
      </c>
      <c r="B75" s="12">
        <v>76</v>
      </c>
      <c r="C75" t="s">
        <v>29</v>
      </c>
      <c r="D75" s="12" t="s">
        <v>87</v>
      </c>
      <c r="E75" s="12" t="s">
        <v>92</v>
      </c>
      <c r="F75" s="13">
        <v>0</v>
      </c>
      <c r="G75" s="13">
        <v>13845</v>
      </c>
      <c r="H75" s="13">
        <v>0</v>
      </c>
      <c r="I75" s="13">
        <v>13645</v>
      </c>
      <c r="J75" s="13">
        <v>0</v>
      </c>
      <c r="K75" s="13">
        <v>16033</v>
      </c>
      <c r="L75" s="13">
        <v>0</v>
      </c>
      <c r="M75" s="13">
        <v>20288</v>
      </c>
      <c r="N75" s="13">
        <v>0</v>
      </c>
      <c r="O75" s="13">
        <v>7746</v>
      </c>
      <c r="P75" s="13">
        <v>0</v>
      </c>
      <c r="Q75" s="13">
        <v>7748</v>
      </c>
      <c r="R75" s="13"/>
    </row>
    <row r="76" spans="1:18" hidden="1">
      <c r="A76" s="12" t="str">
        <f t="shared" si="1"/>
        <v>HRENERGIA ELECTRICAA6</v>
      </c>
      <c r="B76" s="12">
        <v>77</v>
      </c>
      <c r="C76" t="s">
        <v>29</v>
      </c>
      <c r="D76" s="12" t="s">
        <v>87</v>
      </c>
      <c r="E76" s="12" t="s">
        <v>93</v>
      </c>
      <c r="F76" s="13">
        <v>0</v>
      </c>
      <c r="G76" s="13">
        <v>17056</v>
      </c>
      <c r="H76" s="13">
        <v>0</v>
      </c>
      <c r="I76" s="13">
        <v>7385</v>
      </c>
      <c r="J76" s="13">
        <v>0</v>
      </c>
      <c r="K76" s="13">
        <v>11162</v>
      </c>
      <c r="L76" s="13">
        <v>0</v>
      </c>
      <c r="M76" s="13">
        <v>12958</v>
      </c>
      <c r="N76" s="13">
        <v>10551</v>
      </c>
      <c r="O76" s="13">
        <v>12556</v>
      </c>
      <c r="P76" s="13">
        <v>0</v>
      </c>
      <c r="Q76" s="13">
        <v>8318</v>
      </c>
      <c r="R76" s="13"/>
    </row>
    <row r="77" spans="1:18" hidden="1">
      <c r="A77" s="12" t="str">
        <f t="shared" si="1"/>
        <v>HRENERGIA ELECTRICAA8</v>
      </c>
      <c r="B77" s="12">
        <v>78</v>
      </c>
      <c r="C77" t="s">
        <v>29</v>
      </c>
      <c r="D77" s="12" t="s">
        <v>87</v>
      </c>
      <c r="E77" s="12" t="s">
        <v>94</v>
      </c>
      <c r="F77" s="13">
        <v>0</v>
      </c>
      <c r="G77" s="13">
        <v>8413</v>
      </c>
      <c r="H77" s="13">
        <v>0</v>
      </c>
      <c r="I77" s="13">
        <v>8883</v>
      </c>
      <c r="J77" s="13">
        <v>0</v>
      </c>
      <c r="K77" s="13">
        <v>9825</v>
      </c>
      <c r="L77" s="13">
        <v>0</v>
      </c>
      <c r="M77" s="13">
        <v>11902</v>
      </c>
      <c r="N77" s="13">
        <v>0</v>
      </c>
      <c r="O77" s="13">
        <v>7790</v>
      </c>
      <c r="P77" s="13">
        <v>0</v>
      </c>
      <c r="Q77" s="13">
        <v>9275</v>
      </c>
      <c r="R77" s="13"/>
    </row>
    <row r="78" spans="1:18" hidden="1">
      <c r="A78" s="12" t="str">
        <f t="shared" si="1"/>
        <v>HRENERGIA ELECTRICAA9</v>
      </c>
      <c r="B78" s="12">
        <v>79</v>
      </c>
      <c r="C78" t="s">
        <v>29</v>
      </c>
      <c r="D78" s="12" t="s">
        <v>87</v>
      </c>
      <c r="E78" s="12" t="s">
        <v>95</v>
      </c>
      <c r="F78" s="13">
        <v>18705</v>
      </c>
      <c r="G78" s="13">
        <v>0</v>
      </c>
      <c r="H78" s="13">
        <v>3307</v>
      </c>
      <c r="I78" s="13">
        <v>0</v>
      </c>
      <c r="J78" s="13">
        <v>11648</v>
      </c>
      <c r="K78" s="13">
        <v>21168</v>
      </c>
      <c r="L78" s="13">
        <v>0</v>
      </c>
      <c r="M78" s="13">
        <v>0</v>
      </c>
      <c r="N78" s="13">
        <v>22228</v>
      </c>
      <c r="O78" s="13">
        <v>0</v>
      </c>
      <c r="P78" s="13">
        <v>16409</v>
      </c>
      <c r="Q78" s="13">
        <v>0</v>
      </c>
      <c r="R78" s="560">
        <v>15049</v>
      </c>
    </row>
    <row r="79" spans="1:18" hidden="1">
      <c r="A79" s="12" t="str">
        <f t="shared" si="1"/>
        <v>HRENERGIA ELECTRICAA10</v>
      </c>
      <c r="B79" s="12">
        <v>80</v>
      </c>
      <c r="C79" t="s">
        <v>29</v>
      </c>
      <c r="D79" s="12" t="s">
        <v>87</v>
      </c>
      <c r="E79" s="12" t="s">
        <v>96</v>
      </c>
      <c r="F79" s="13">
        <v>23533</v>
      </c>
      <c r="G79" s="13">
        <v>0</v>
      </c>
      <c r="H79" s="13">
        <v>23337</v>
      </c>
      <c r="I79" s="13">
        <v>0</v>
      </c>
      <c r="J79" s="13">
        <v>26716</v>
      </c>
      <c r="K79" s="13">
        <v>0</v>
      </c>
      <c r="L79" s="13">
        <v>33456</v>
      </c>
      <c r="M79" s="13">
        <v>0</v>
      </c>
      <c r="N79" s="13">
        <v>7714</v>
      </c>
      <c r="O79" s="13">
        <v>0</v>
      </c>
      <c r="P79" s="13">
        <v>22311</v>
      </c>
      <c r="Q79" s="13">
        <v>0</v>
      </c>
      <c r="R79" s="560">
        <v>36856</v>
      </c>
    </row>
    <row r="80" spans="1:18" hidden="1">
      <c r="A80" s="12" t="str">
        <f t="shared" si="1"/>
        <v>HRENERGIA ELECTRICAA11</v>
      </c>
      <c r="B80" s="12">
        <v>81</v>
      </c>
      <c r="C80" t="s">
        <v>29</v>
      </c>
      <c r="D80" s="12" t="s">
        <v>87</v>
      </c>
      <c r="E80" s="12" t="s">
        <v>97</v>
      </c>
      <c r="F80" s="13">
        <v>0</v>
      </c>
      <c r="G80" s="13">
        <v>0</v>
      </c>
      <c r="H80" s="13">
        <v>14059</v>
      </c>
      <c r="I80" s="13">
        <v>0</v>
      </c>
      <c r="J80" s="13">
        <v>15232</v>
      </c>
      <c r="K80" s="13">
        <v>21808</v>
      </c>
      <c r="L80" s="13">
        <v>0</v>
      </c>
      <c r="M80" s="13">
        <v>0</v>
      </c>
      <c r="N80" s="13">
        <v>11226</v>
      </c>
      <c r="O80" s="13">
        <v>18605</v>
      </c>
      <c r="P80" s="13">
        <v>0</v>
      </c>
      <c r="Q80" s="13">
        <v>13441</v>
      </c>
      <c r="R80" s="560">
        <v>6598</v>
      </c>
    </row>
    <row r="81" spans="1:18" hidden="1">
      <c r="A81" s="12" t="str">
        <f t="shared" si="1"/>
        <v>HRENERGIA ELECTRICAA12</v>
      </c>
      <c r="B81" s="12">
        <v>82</v>
      </c>
      <c r="C81" t="s">
        <v>29</v>
      </c>
      <c r="D81" s="12" t="s">
        <v>87</v>
      </c>
      <c r="E81" s="12" t="s">
        <v>98</v>
      </c>
      <c r="F81" s="13">
        <v>0</v>
      </c>
      <c r="G81" s="13">
        <v>10173</v>
      </c>
      <c r="H81" s="13">
        <v>0</v>
      </c>
      <c r="I81" s="13">
        <v>9553</v>
      </c>
      <c r="J81" s="13">
        <v>0</v>
      </c>
      <c r="K81" s="13">
        <v>14438</v>
      </c>
      <c r="L81" s="13">
        <v>0</v>
      </c>
      <c r="M81" s="13">
        <v>18408</v>
      </c>
      <c r="N81" s="13">
        <v>11577</v>
      </c>
      <c r="O81" s="13">
        <v>13613</v>
      </c>
      <c r="P81" s="13">
        <v>0</v>
      </c>
      <c r="Q81" s="13">
        <v>10116</v>
      </c>
      <c r="R81" s="13"/>
    </row>
    <row r="82" spans="1:18" hidden="1">
      <c r="A82" s="12" t="str">
        <f t="shared" si="1"/>
        <v>HRENERGIA ELECTRICAA14</v>
      </c>
      <c r="B82" s="12">
        <v>83</v>
      </c>
      <c r="C82" t="s">
        <v>29</v>
      </c>
      <c r="D82" s="12" t="s">
        <v>87</v>
      </c>
      <c r="E82" s="12" t="s">
        <v>99</v>
      </c>
      <c r="F82" s="13">
        <v>6434</v>
      </c>
      <c r="G82" s="13">
        <v>0</v>
      </c>
      <c r="H82" s="13">
        <v>6358</v>
      </c>
      <c r="I82" s="13">
        <v>0</v>
      </c>
      <c r="J82" s="13">
        <v>7390</v>
      </c>
      <c r="K82" s="13">
        <v>9234</v>
      </c>
      <c r="L82" s="13">
        <v>10044</v>
      </c>
      <c r="M82" s="13">
        <v>0</v>
      </c>
      <c r="N82" s="13">
        <v>0</v>
      </c>
      <c r="O82" s="13">
        <v>0</v>
      </c>
      <c r="P82" s="13">
        <v>8177</v>
      </c>
      <c r="Q82" s="13">
        <v>0</v>
      </c>
      <c r="R82" s="560">
        <v>6778</v>
      </c>
    </row>
    <row r="83" spans="1:18" hidden="1">
      <c r="A83" s="12" t="str">
        <f t="shared" si="1"/>
        <v>HRENERGIA ELECTRICAA15</v>
      </c>
      <c r="B83" s="12">
        <v>84</v>
      </c>
      <c r="C83" t="s">
        <v>29</v>
      </c>
      <c r="D83" s="12" t="s">
        <v>87</v>
      </c>
      <c r="E83" s="12" t="s">
        <v>100</v>
      </c>
      <c r="F83" s="13">
        <v>0</v>
      </c>
      <c r="G83" s="13">
        <v>5971</v>
      </c>
      <c r="H83" s="13">
        <v>0</v>
      </c>
      <c r="I83" s="13">
        <v>7659</v>
      </c>
      <c r="J83" s="13">
        <v>0</v>
      </c>
      <c r="K83" s="13">
        <v>11715</v>
      </c>
      <c r="L83" s="13">
        <v>0</v>
      </c>
      <c r="M83" s="13">
        <v>14717</v>
      </c>
      <c r="N83" s="13">
        <v>0</v>
      </c>
      <c r="O83" s="13">
        <v>9039</v>
      </c>
      <c r="P83" s="13">
        <v>0</v>
      </c>
      <c r="Q83" s="13">
        <v>8276</v>
      </c>
      <c r="R83" s="13"/>
    </row>
    <row r="84" spans="1:18" hidden="1">
      <c r="A84" s="12" t="str">
        <f t="shared" si="1"/>
        <v>HRENERGIA ELECTRICAA16</v>
      </c>
      <c r="B84" s="12">
        <v>85</v>
      </c>
      <c r="C84" t="s">
        <v>29</v>
      </c>
      <c r="D84" s="12" t="s">
        <v>87</v>
      </c>
      <c r="E84" s="12" t="s">
        <v>101</v>
      </c>
      <c r="F84" s="13">
        <v>3061</v>
      </c>
      <c r="G84" s="13">
        <v>0</v>
      </c>
      <c r="H84" s="13">
        <v>2758</v>
      </c>
      <c r="I84" s="13">
        <v>0</v>
      </c>
      <c r="J84" s="13">
        <v>0</v>
      </c>
      <c r="K84" s="13">
        <v>0</v>
      </c>
      <c r="L84" s="13">
        <v>258</v>
      </c>
      <c r="M84" s="13">
        <v>0</v>
      </c>
      <c r="N84" s="13">
        <v>0</v>
      </c>
      <c r="O84" s="13">
        <v>0</v>
      </c>
      <c r="P84" s="13">
        <v>0</v>
      </c>
      <c r="Q84" s="13">
        <v>6341</v>
      </c>
      <c r="R84" s="560">
        <v>7045</v>
      </c>
    </row>
    <row r="85" spans="1:18" hidden="1">
      <c r="A85" s="12" t="str">
        <f t="shared" si="1"/>
        <v>HRENERGIA ELECTRICAA17</v>
      </c>
      <c r="B85" s="12">
        <v>86</v>
      </c>
      <c r="C85" t="s">
        <v>29</v>
      </c>
      <c r="D85" s="12" t="s">
        <v>87</v>
      </c>
      <c r="E85" s="12" t="s">
        <v>102</v>
      </c>
      <c r="F85" s="13">
        <v>0</v>
      </c>
      <c r="G85" s="13">
        <v>0</v>
      </c>
      <c r="H85" s="13">
        <v>10648</v>
      </c>
      <c r="I85" s="13">
        <v>8073</v>
      </c>
      <c r="J85" s="13">
        <v>0</v>
      </c>
      <c r="K85" s="13">
        <v>20113</v>
      </c>
      <c r="L85" s="13">
        <v>0</v>
      </c>
      <c r="M85" s="13">
        <v>10175</v>
      </c>
      <c r="N85" s="13">
        <v>0</v>
      </c>
      <c r="O85" s="13">
        <v>12979</v>
      </c>
      <c r="P85" s="13">
        <v>0</v>
      </c>
      <c r="Q85" s="13">
        <v>6417</v>
      </c>
      <c r="R85" s="13"/>
    </row>
    <row r="86" spans="1:18" hidden="1">
      <c r="A86" s="12" t="str">
        <f t="shared" si="1"/>
        <v>HRENERGIA ELECTRICAA18</v>
      </c>
      <c r="B86" s="12">
        <v>87</v>
      </c>
      <c r="C86" t="s">
        <v>29</v>
      </c>
      <c r="D86" s="12" t="s">
        <v>87</v>
      </c>
      <c r="E86" s="12" t="s">
        <v>103</v>
      </c>
      <c r="F86" s="13">
        <v>2647</v>
      </c>
      <c r="G86" s="13">
        <v>2858</v>
      </c>
      <c r="H86" s="13">
        <v>2584</v>
      </c>
      <c r="I86" s="13">
        <v>2539</v>
      </c>
      <c r="J86" s="13">
        <v>2799</v>
      </c>
      <c r="K86" s="13">
        <v>9700</v>
      </c>
      <c r="L86" s="13">
        <v>0</v>
      </c>
      <c r="M86" s="13">
        <v>5240</v>
      </c>
      <c r="N86" s="13">
        <v>21758</v>
      </c>
      <c r="O86" s="13">
        <v>3940</v>
      </c>
      <c r="P86" s="13">
        <v>3569</v>
      </c>
      <c r="Q86" s="13">
        <v>4394</v>
      </c>
      <c r="R86" s="560">
        <v>4603</v>
      </c>
    </row>
    <row r="87" spans="1:18" hidden="1">
      <c r="A87" s="12" t="str">
        <f t="shared" si="1"/>
        <v>HRENERGIA ELECTRICAA22</v>
      </c>
      <c r="B87" s="12">
        <v>88</v>
      </c>
      <c r="C87" t="s">
        <v>29</v>
      </c>
      <c r="D87" s="12" t="s">
        <v>87</v>
      </c>
      <c r="E87" s="12" t="s">
        <v>104</v>
      </c>
      <c r="F87" s="13">
        <v>0</v>
      </c>
      <c r="G87" s="13">
        <v>6870</v>
      </c>
      <c r="H87" s="13">
        <v>0</v>
      </c>
      <c r="I87" s="13">
        <v>6837</v>
      </c>
      <c r="J87" s="13">
        <v>0</v>
      </c>
      <c r="K87" s="13">
        <v>7179</v>
      </c>
      <c r="L87" s="13">
        <v>0</v>
      </c>
      <c r="M87" s="13">
        <v>8370</v>
      </c>
      <c r="N87" s="13">
        <v>35987</v>
      </c>
      <c r="O87" s="13">
        <v>8143</v>
      </c>
      <c r="P87" s="13">
        <v>0</v>
      </c>
      <c r="Q87" s="13">
        <v>6263</v>
      </c>
      <c r="R87" s="13"/>
    </row>
    <row r="88" spans="1:18" hidden="1">
      <c r="A88" s="12" t="str">
        <f t="shared" si="1"/>
        <v>HRENERGIA ELECTRICAA23</v>
      </c>
      <c r="B88" s="12">
        <v>89</v>
      </c>
      <c r="C88" t="s">
        <v>29</v>
      </c>
      <c r="D88" s="12" t="s">
        <v>87</v>
      </c>
      <c r="E88" s="12" t="s">
        <v>105</v>
      </c>
      <c r="F88" s="13">
        <v>2649</v>
      </c>
      <c r="G88" s="13">
        <v>2582</v>
      </c>
      <c r="H88" s="13">
        <v>2314</v>
      </c>
      <c r="I88" s="13">
        <v>2337</v>
      </c>
      <c r="J88" s="13">
        <v>2613</v>
      </c>
      <c r="K88" s="13">
        <v>6795</v>
      </c>
      <c r="L88" s="13">
        <v>0</v>
      </c>
      <c r="M88" s="13">
        <v>4222</v>
      </c>
      <c r="N88" s="13">
        <v>23297</v>
      </c>
      <c r="O88" s="13">
        <v>4040</v>
      </c>
      <c r="P88" s="13">
        <v>3701</v>
      </c>
      <c r="Q88" s="13">
        <v>4090</v>
      </c>
      <c r="R88" s="560">
        <v>4000</v>
      </c>
    </row>
    <row r="89" spans="1:18" hidden="1">
      <c r="A89" s="12" t="str">
        <f t="shared" si="1"/>
        <v>HRENERGIA ELECTRICAA24</v>
      </c>
      <c r="B89" s="12">
        <v>90</v>
      </c>
      <c r="C89" t="s">
        <v>29</v>
      </c>
      <c r="D89" s="12" t="s">
        <v>87</v>
      </c>
      <c r="E89" s="12" t="s">
        <v>106</v>
      </c>
      <c r="F89" s="13">
        <v>0</v>
      </c>
      <c r="G89" s="13">
        <v>6072</v>
      </c>
      <c r="H89" s="13">
        <v>0</v>
      </c>
      <c r="I89" s="13">
        <v>5965</v>
      </c>
      <c r="J89" s="13">
        <v>0</v>
      </c>
      <c r="K89" s="13">
        <v>0</v>
      </c>
      <c r="L89" s="13">
        <v>0</v>
      </c>
      <c r="M89" s="13">
        <v>10895</v>
      </c>
      <c r="N89" s="13">
        <v>0</v>
      </c>
      <c r="O89" s="13">
        <v>11827</v>
      </c>
      <c r="P89" s="13">
        <v>0</v>
      </c>
      <c r="Q89" s="13">
        <v>11814</v>
      </c>
      <c r="R89" s="13"/>
    </row>
    <row r="90" spans="1:18" hidden="1">
      <c r="A90" s="12" t="str">
        <f t="shared" si="1"/>
        <v>CAPENERGIA ELECTRICAE1</v>
      </c>
      <c r="B90" s="12">
        <v>91</v>
      </c>
      <c r="C90" t="s">
        <v>31</v>
      </c>
      <c r="D90" s="12" t="s">
        <v>87</v>
      </c>
      <c r="E90" s="12" t="s">
        <v>107</v>
      </c>
      <c r="F90" s="13">
        <v>13729</v>
      </c>
      <c r="G90" s="13">
        <v>0</v>
      </c>
      <c r="H90" s="13">
        <v>13739</v>
      </c>
      <c r="I90" s="13">
        <v>0</v>
      </c>
      <c r="J90" s="13">
        <v>12979</v>
      </c>
      <c r="K90" s="13">
        <v>0</v>
      </c>
      <c r="L90" s="13">
        <v>13409</v>
      </c>
      <c r="M90" s="13">
        <v>0</v>
      </c>
      <c r="N90" s="13">
        <v>9158</v>
      </c>
      <c r="O90" s="13">
        <v>0</v>
      </c>
      <c r="P90" s="13">
        <v>9212</v>
      </c>
      <c r="Q90" s="13">
        <v>0</v>
      </c>
      <c r="R90" s="560">
        <v>15866</v>
      </c>
    </row>
    <row r="91" spans="1:18" hidden="1">
      <c r="A91" s="12" t="str">
        <f t="shared" si="1"/>
        <v>CAPENERGIA ELECTRICAE2</v>
      </c>
      <c r="B91" s="12">
        <v>92</v>
      </c>
      <c r="C91" t="s">
        <v>31</v>
      </c>
      <c r="D91" s="12" t="s">
        <v>87</v>
      </c>
      <c r="E91" s="12" t="s">
        <v>108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6600</v>
      </c>
      <c r="P91" s="13">
        <v>5500</v>
      </c>
      <c r="Q91" s="13">
        <v>5900</v>
      </c>
      <c r="R91" s="560">
        <v>12000</v>
      </c>
    </row>
    <row r="92" spans="1:18" hidden="1">
      <c r="A92" s="12" t="str">
        <f t="shared" si="1"/>
        <v>CAPENERGIA ELECTRICAE3</v>
      </c>
      <c r="B92" s="12">
        <v>93</v>
      </c>
      <c r="C92" t="s">
        <v>31</v>
      </c>
      <c r="D92" s="12" t="s">
        <v>87</v>
      </c>
      <c r="E92" s="12" t="s">
        <v>109</v>
      </c>
      <c r="F92" s="13">
        <v>0</v>
      </c>
      <c r="G92" s="13">
        <v>5266</v>
      </c>
      <c r="H92" s="13">
        <v>0</v>
      </c>
      <c r="I92" s="13">
        <v>5882</v>
      </c>
      <c r="J92" s="13">
        <v>0</v>
      </c>
      <c r="K92" s="13">
        <v>6465</v>
      </c>
      <c r="L92" s="13">
        <v>0</v>
      </c>
      <c r="M92" s="13">
        <v>7565</v>
      </c>
      <c r="N92" s="13">
        <v>0</v>
      </c>
      <c r="O92" s="13">
        <v>6299</v>
      </c>
      <c r="P92" s="13">
        <v>0</v>
      </c>
      <c r="Q92" s="13">
        <v>5921</v>
      </c>
      <c r="R92" s="13"/>
    </row>
    <row r="93" spans="1:18" hidden="1">
      <c r="A93" s="12" t="str">
        <f t="shared" si="1"/>
        <v>CAPENERGIA ELECTRICAE4</v>
      </c>
      <c r="B93" s="12">
        <v>94</v>
      </c>
      <c r="C93" t="s">
        <v>31</v>
      </c>
      <c r="D93" s="12" t="s">
        <v>87</v>
      </c>
      <c r="E93" s="12" t="s">
        <v>110</v>
      </c>
      <c r="F93" s="13">
        <v>0</v>
      </c>
      <c r="G93" s="13">
        <v>9210</v>
      </c>
      <c r="H93" s="13">
        <v>0</v>
      </c>
      <c r="I93" s="13">
        <v>9510</v>
      </c>
      <c r="J93" s="13">
        <v>0</v>
      </c>
      <c r="K93" s="13">
        <v>8401</v>
      </c>
      <c r="L93" s="13">
        <v>0</v>
      </c>
      <c r="M93" s="13">
        <v>8828</v>
      </c>
      <c r="N93" s="13">
        <v>0</v>
      </c>
      <c r="O93" s="13">
        <v>6032</v>
      </c>
      <c r="P93" s="13">
        <v>0</v>
      </c>
      <c r="Q93" s="13">
        <v>7343</v>
      </c>
      <c r="R93" s="13"/>
    </row>
    <row r="94" spans="1:18" hidden="1">
      <c r="A94" s="12" t="str">
        <f t="shared" si="1"/>
        <v>CAPENERGIA ELECTRICAE5</v>
      </c>
      <c r="B94" s="12">
        <v>95</v>
      </c>
      <c r="C94" t="s">
        <v>31</v>
      </c>
      <c r="D94" s="12" t="s">
        <v>87</v>
      </c>
      <c r="E94" s="12" t="s">
        <v>111</v>
      </c>
      <c r="F94" s="13">
        <v>0</v>
      </c>
      <c r="G94" s="13">
        <v>26903</v>
      </c>
      <c r="H94" s="13">
        <v>0</v>
      </c>
      <c r="I94" s="13">
        <v>21129</v>
      </c>
      <c r="J94" s="13">
        <v>0</v>
      </c>
      <c r="K94" s="13">
        <v>22408</v>
      </c>
      <c r="L94" s="13">
        <v>0</v>
      </c>
      <c r="M94" s="13">
        <v>27911</v>
      </c>
      <c r="N94" s="13">
        <v>13970</v>
      </c>
      <c r="O94" s="13">
        <v>13910</v>
      </c>
      <c r="P94" s="13">
        <v>0</v>
      </c>
      <c r="Q94" s="13">
        <v>10409</v>
      </c>
      <c r="R94" s="13"/>
    </row>
    <row r="95" spans="1:18" hidden="1">
      <c r="A95" s="12" t="str">
        <f t="shared" si="1"/>
        <v>CAPENERGIA ELECTRICAE6</v>
      </c>
      <c r="B95" s="12">
        <v>96</v>
      </c>
      <c r="C95" t="s">
        <v>31</v>
      </c>
      <c r="D95" s="12" t="s">
        <v>87</v>
      </c>
      <c r="E95" s="12" t="s">
        <v>112</v>
      </c>
      <c r="F95" s="13">
        <v>8128</v>
      </c>
      <c r="G95" s="13">
        <v>0</v>
      </c>
      <c r="H95" s="13">
        <v>7723</v>
      </c>
      <c r="I95" s="13">
        <v>0</v>
      </c>
      <c r="J95" s="13">
        <v>10371</v>
      </c>
      <c r="K95" s="13">
        <v>2220</v>
      </c>
      <c r="L95" s="13">
        <v>11031</v>
      </c>
      <c r="M95" s="13">
        <v>608</v>
      </c>
      <c r="N95" s="13">
        <v>0</v>
      </c>
      <c r="O95" s="13">
        <v>0</v>
      </c>
      <c r="P95" s="13">
        <v>18223</v>
      </c>
      <c r="Q95" s="13">
        <v>0</v>
      </c>
      <c r="R95" s="558">
        <v>8299</v>
      </c>
    </row>
    <row r="96" spans="1:18" hidden="1">
      <c r="A96" s="12" t="str">
        <f t="shared" si="1"/>
        <v>CAPENERGIA ELECTRICAE7</v>
      </c>
      <c r="B96" s="12">
        <v>97</v>
      </c>
      <c r="C96" t="s">
        <v>31</v>
      </c>
      <c r="D96" s="12" t="s">
        <v>87</v>
      </c>
      <c r="E96" s="12" t="s">
        <v>113</v>
      </c>
      <c r="F96" s="13">
        <v>0</v>
      </c>
      <c r="G96" s="13">
        <v>9487</v>
      </c>
      <c r="H96" s="13">
        <v>0</v>
      </c>
      <c r="I96" s="13">
        <v>8309</v>
      </c>
      <c r="J96" s="13">
        <v>0</v>
      </c>
      <c r="K96" s="13">
        <v>0</v>
      </c>
      <c r="L96" s="13">
        <v>0</v>
      </c>
      <c r="M96" s="13">
        <v>14546</v>
      </c>
      <c r="N96" s="13">
        <v>4716</v>
      </c>
      <c r="O96" s="13">
        <v>12000</v>
      </c>
      <c r="P96" s="13">
        <v>0</v>
      </c>
      <c r="Q96" s="13">
        <v>13100</v>
      </c>
      <c r="R96" s="13"/>
    </row>
    <row r="97" spans="1:18" hidden="1">
      <c r="A97" s="12" t="str">
        <f t="shared" si="1"/>
        <v>CAPENERGIA ELECTRICAE8</v>
      </c>
      <c r="B97" s="12">
        <v>98</v>
      </c>
      <c r="C97" t="s">
        <v>31</v>
      </c>
      <c r="D97" s="12" t="s">
        <v>87</v>
      </c>
      <c r="E97" s="12" t="s">
        <v>114</v>
      </c>
      <c r="F97" s="13">
        <v>0</v>
      </c>
      <c r="G97" s="13">
        <v>14994</v>
      </c>
      <c r="H97" s="13">
        <v>0</v>
      </c>
      <c r="I97" s="13">
        <v>12470</v>
      </c>
      <c r="J97" s="13">
        <v>0</v>
      </c>
      <c r="K97" s="13">
        <v>24015</v>
      </c>
      <c r="L97" s="13">
        <v>0</v>
      </c>
      <c r="M97" s="13">
        <v>21163</v>
      </c>
      <c r="N97" s="13">
        <v>0</v>
      </c>
      <c r="O97" s="13">
        <v>9000</v>
      </c>
      <c r="P97" s="13">
        <v>0</v>
      </c>
      <c r="Q97" s="13">
        <v>8000</v>
      </c>
      <c r="R97" s="13"/>
    </row>
    <row r="98" spans="1:18" hidden="1">
      <c r="A98" s="12" t="str">
        <f t="shared" si="1"/>
        <v>FINANZASENERGIA ELECTRICACEDIS</v>
      </c>
      <c r="B98" s="12">
        <v>99</v>
      </c>
      <c r="C98" t="s">
        <v>23</v>
      </c>
      <c r="D98" s="12" t="s">
        <v>87</v>
      </c>
      <c r="E98" s="12" t="s">
        <v>28</v>
      </c>
      <c r="F98" s="13">
        <v>4690</v>
      </c>
      <c r="G98" s="13">
        <v>5196</v>
      </c>
      <c r="H98" s="13">
        <v>3885</v>
      </c>
      <c r="I98" s="13">
        <v>558</v>
      </c>
      <c r="J98" s="13">
        <v>3626</v>
      </c>
      <c r="K98" s="13">
        <v>0</v>
      </c>
      <c r="L98" s="13">
        <v>6203</v>
      </c>
      <c r="M98" s="13">
        <v>297</v>
      </c>
      <c r="N98" s="13">
        <v>5687</v>
      </c>
      <c r="O98" s="13">
        <v>500</v>
      </c>
      <c r="P98" s="13">
        <v>3700</v>
      </c>
      <c r="Q98" s="13">
        <v>500</v>
      </c>
      <c r="R98" s="558">
        <v>1000</v>
      </c>
    </row>
    <row r="99" spans="1:18" hidden="1">
      <c r="A99" s="12" t="str">
        <f t="shared" si="1"/>
        <v>FINANZASENERGIA ELECTRICACONTABILIDAD</v>
      </c>
      <c r="B99" s="12">
        <v>100</v>
      </c>
      <c r="C99" t="s">
        <v>23</v>
      </c>
      <c r="D99" s="12" t="s">
        <v>87</v>
      </c>
      <c r="E99" s="12" t="s">
        <v>37</v>
      </c>
      <c r="F99" s="13">
        <v>0</v>
      </c>
      <c r="G99" s="13">
        <v>1500</v>
      </c>
      <c r="H99" s="13">
        <v>0</v>
      </c>
      <c r="I99" s="13">
        <v>1500</v>
      </c>
      <c r="J99" s="13">
        <v>0</v>
      </c>
      <c r="K99" s="13">
        <v>1500</v>
      </c>
      <c r="L99" s="13">
        <v>0</v>
      </c>
      <c r="M99" s="13">
        <v>1500</v>
      </c>
      <c r="N99" s="13">
        <v>0</v>
      </c>
      <c r="O99" s="13">
        <v>1500</v>
      </c>
      <c r="P99" s="13">
        <v>0</v>
      </c>
      <c r="Q99" s="13">
        <v>1500</v>
      </c>
      <c r="R99" s="13"/>
    </row>
    <row r="100" spans="1:18" hidden="1">
      <c r="A100" s="12" t="str">
        <f t="shared" si="1"/>
        <v>FINANZASENERGIA ELECTRICAINCREMENTO 2025</v>
      </c>
      <c r="B100" s="12">
        <v>101</v>
      </c>
      <c r="C100" t="s">
        <v>23</v>
      </c>
      <c r="D100" s="12" t="s">
        <v>87</v>
      </c>
      <c r="E100" s="12" t="s">
        <v>115</v>
      </c>
      <c r="F100" s="13">
        <v>9676</v>
      </c>
      <c r="G100" s="13">
        <v>15722</v>
      </c>
      <c r="H100" s="13">
        <v>11304</v>
      </c>
      <c r="I100" s="13">
        <v>14165</v>
      </c>
      <c r="J100" s="13">
        <v>11102</v>
      </c>
      <c r="K100" s="13">
        <v>25702</v>
      </c>
      <c r="L100" s="13">
        <v>8317</v>
      </c>
      <c r="M100" s="13">
        <v>21504</v>
      </c>
      <c r="N100" s="13">
        <v>21090</v>
      </c>
      <c r="O100" s="13">
        <v>17995</v>
      </c>
      <c r="P100" s="13">
        <v>11695</v>
      </c>
      <c r="Q100" s="13">
        <v>16383</v>
      </c>
      <c r="R100" s="13"/>
    </row>
    <row r="101" spans="1:18" hidden="1">
      <c r="A101" s="12" t="str">
        <f t="shared" si="1"/>
        <v>CAPENERGIA ELECTRICAE9</v>
      </c>
      <c r="B101" s="12">
        <v>102</v>
      </c>
      <c r="C101" t="s">
        <v>31</v>
      </c>
      <c r="D101" t="s">
        <v>87</v>
      </c>
      <c r="E101" t="s">
        <v>116</v>
      </c>
      <c r="F101">
        <v>0</v>
      </c>
      <c r="G101">
        <v>0</v>
      </c>
      <c r="H101">
        <v>0</v>
      </c>
      <c r="I101">
        <v>0</v>
      </c>
      <c r="J101">
        <v>7000</v>
      </c>
      <c r="K101">
        <v>0</v>
      </c>
      <c r="L101">
        <v>12000</v>
      </c>
      <c r="M101">
        <v>0</v>
      </c>
      <c r="N101">
        <v>12000</v>
      </c>
      <c r="O101">
        <v>0</v>
      </c>
      <c r="P101">
        <v>15000</v>
      </c>
      <c r="Q101">
        <v>0</v>
      </c>
      <c r="R101" s="558">
        <v>13200</v>
      </c>
    </row>
    <row r="102" spans="1:18" hidden="1">
      <c r="A102" s="12" t="str">
        <f t="shared" si="1"/>
        <v>CAPENERGIA ELECTRICAE10</v>
      </c>
      <c r="B102" s="12">
        <v>103</v>
      </c>
      <c r="C102" t="s">
        <v>31</v>
      </c>
      <c r="D102" s="12" t="s">
        <v>87</v>
      </c>
      <c r="E102" t="s">
        <v>117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 s="558">
        <v>13200</v>
      </c>
    </row>
    <row r="103" spans="1:18" hidden="1">
      <c r="A103" s="12" t="str">
        <f t="shared" si="1"/>
        <v>CAPENERGIA ELECTRICAE11</v>
      </c>
      <c r="B103" s="12">
        <v>104</v>
      </c>
      <c r="C103" t="s">
        <v>31</v>
      </c>
      <c r="D103" s="12" t="s">
        <v>87</v>
      </c>
      <c r="E103" t="s">
        <v>118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 s="558">
        <v>26598</v>
      </c>
    </row>
    <row r="104" spans="1:18" hidden="1">
      <c r="A104" s="12" t="str">
        <f t="shared" si="1"/>
        <v>FINANZASFALTANTESFALTANTES</v>
      </c>
      <c r="B104" s="12">
        <v>105</v>
      </c>
      <c r="C104" t="s">
        <v>23</v>
      </c>
      <c r="D104" t="s">
        <v>119</v>
      </c>
      <c r="E104" t="s">
        <v>119</v>
      </c>
      <c r="F104" s="13">
        <v>0</v>
      </c>
      <c r="G104" s="13"/>
      <c r="H104" s="13">
        <v>0</v>
      </c>
      <c r="I104" s="13">
        <v>0</v>
      </c>
      <c r="J104" s="15">
        <v>48351</v>
      </c>
      <c r="K104" s="13">
        <v>0</v>
      </c>
      <c r="L104" s="13">
        <v>0</v>
      </c>
      <c r="M104" s="13">
        <v>0</v>
      </c>
      <c r="N104">
        <v>0</v>
      </c>
      <c r="O104" s="13">
        <v>0</v>
      </c>
      <c r="P104" s="13">
        <v>0</v>
      </c>
      <c r="Q104" s="13">
        <v>0</v>
      </c>
      <c r="R104" s="13"/>
    </row>
    <row r="105" spans="1:18">
      <c r="A105" s="12" t="str">
        <f t="shared" si="1"/>
        <v>HRFONDO Y REPOSICIONHR</v>
      </c>
      <c r="B105" s="12">
        <v>106</v>
      </c>
      <c r="C105" t="s">
        <v>29</v>
      </c>
      <c r="D105" s="12" t="s">
        <v>120</v>
      </c>
      <c r="E105" s="12" t="s">
        <v>29</v>
      </c>
      <c r="F105" s="13">
        <v>36000</v>
      </c>
      <c r="G105" s="13">
        <v>30000</v>
      </c>
      <c r="H105" s="13">
        <v>37500</v>
      </c>
      <c r="I105" s="13">
        <v>30000</v>
      </c>
      <c r="J105" s="13">
        <v>36000</v>
      </c>
      <c r="K105" s="13">
        <v>37500</v>
      </c>
      <c r="L105" s="13">
        <v>30000</v>
      </c>
      <c r="M105" s="13">
        <v>36000</v>
      </c>
      <c r="N105" s="13">
        <v>45000</v>
      </c>
      <c r="O105" s="13">
        <v>48000</v>
      </c>
      <c r="P105" s="13">
        <v>48000</v>
      </c>
      <c r="Q105" s="13">
        <v>60000</v>
      </c>
      <c r="R105" s="558">
        <v>32000</v>
      </c>
    </row>
    <row r="106" spans="1:18" hidden="1">
      <c r="A106" s="12" t="str">
        <f t="shared" si="1"/>
        <v>CAPFONDO Y REPOSICIONCAPRICHOS</v>
      </c>
      <c r="B106" s="12">
        <v>107</v>
      </c>
      <c r="C106" t="s">
        <v>31</v>
      </c>
      <c r="D106" s="12" t="s">
        <v>120</v>
      </c>
      <c r="E106" s="12" t="s">
        <v>33</v>
      </c>
      <c r="F106" s="13">
        <v>9705</v>
      </c>
      <c r="G106" s="13">
        <v>12140</v>
      </c>
      <c r="H106" s="13">
        <v>9918</v>
      </c>
      <c r="I106" s="13">
        <v>8650</v>
      </c>
      <c r="J106" s="13">
        <v>7500</v>
      </c>
      <c r="K106" s="13">
        <v>9300</v>
      </c>
      <c r="L106" s="13">
        <v>11421</v>
      </c>
      <c r="M106" s="13">
        <v>4282</v>
      </c>
      <c r="N106" s="13">
        <v>0</v>
      </c>
      <c r="O106" s="13">
        <v>12000</v>
      </c>
      <c r="P106" s="13">
        <v>12000</v>
      </c>
      <c r="Q106" s="13">
        <v>15000</v>
      </c>
      <c r="R106" s="555">
        <v>14000</v>
      </c>
    </row>
    <row r="107" spans="1:18" hidden="1">
      <c r="A107" s="12" t="str">
        <f t="shared" si="1"/>
        <v>SERVICIOSFONDO Y REPOSICIONSERVICIOS</v>
      </c>
      <c r="B107" s="12">
        <v>108</v>
      </c>
      <c r="C107" t="s">
        <v>21</v>
      </c>
      <c r="D107" s="12" t="s">
        <v>120</v>
      </c>
      <c r="E107" s="12" t="s">
        <v>21</v>
      </c>
      <c r="F107" s="13">
        <v>6000</v>
      </c>
      <c r="G107" s="13">
        <v>6000</v>
      </c>
      <c r="H107" s="13">
        <v>6000</v>
      </c>
      <c r="I107" s="13">
        <v>6000</v>
      </c>
      <c r="J107" s="13">
        <v>6000</v>
      </c>
      <c r="K107" s="13">
        <v>6000</v>
      </c>
      <c r="L107" s="13">
        <v>6000</v>
      </c>
      <c r="M107" s="13">
        <v>6000</v>
      </c>
      <c r="N107" s="13">
        <v>6000</v>
      </c>
      <c r="O107" s="13">
        <v>6000</v>
      </c>
      <c r="P107" s="13">
        <v>9000</v>
      </c>
      <c r="Q107" s="13">
        <v>9000</v>
      </c>
      <c r="R107" s="558">
        <v>2000</v>
      </c>
    </row>
    <row r="108" spans="1:18" hidden="1">
      <c r="A108" s="12" t="str">
        <f t="shared" si="1"/>
        <v>FINANZASFONDO Y REPOSICIONFINANZAS</v>
      </c>
      <c r="B108" s="12">
        <v>109</v>
      </c>
      <c r="C108" t="s">
        <v>23</v>
      </c>
      <c r="D108" s="12" t="s">
        <v>120</v>
      </c>
      <c r="E108" s="12" t="s">
        <v>23</v>
      </c>
      <c r="F108" s="13">
        <v>460</v>
      </c>
      <c r="G108" s="13">
        <v>3887</v>
      </c>
      <c r="H108" s="13">
        <v>250</v>
      </c>
      <c r="I108" s="13">
        <v>1214</v>
      </c>
      <c r="J108" s="13">
        <v>5538</v>
      </c>
      <c r="K108" s="13">
        <v>266</v>
      </c>
      <c r="L108" s="13">
        <v>360</v>
      </c>
      <c r="M108" s="13">
        <v>7934</v>
      </c>
      <c r="N108" s="13">
        <v>6920</v>
      </c>
      <c r="O108" s="13">
        <v>1300</v>
      </c>
      <c r="P108" s="13">
        <v>1300</v>
      </c>
      <c r="Q108" s="13">
        <v>1300</v>
      </c>
      <c r="R108" s="557">
        <v>8000</v>
      </c>
    </row>
    <row r="109" spans="1:18" hidden="1">
      <c r="A109" s="12" t="str">
        <f t="shared" si="1"/>
        <v>SGEFONDO Y REPOSICIONGESTION EMPRESARIAL</v>
      </c>
      <c r="B109" s="12">
        <v>110</v>
      </c>
      <c r="C109" t="s">
        <v>39</v>
      </c>
      <c r="D109" s="12" t="s">
        <v>120</v>
      </c>
      <c r="E109" s="12" t="s">
        <v>40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/>
    </row>
    <row r="110" spans="1:18" hidden="1">
      <c r="A110" s="12" t="str">
        <f t="shared" si="1"/>
        <v>DEFONDO Y REPOSICIONDIRECCION</v>
      </c>
      <c r="B110" s="12">
        <v>111</v>
      </c>
      <c r="C110" t="s">
        <v>41</v>
      </c>
      <c r="D110" s="12" t="s">
        <v>120</v>
      </c>
      <c r="E110" s="12" t="s">
        <v>42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4510</v>
      </c>
      <c r="L110" s="13">
        <v>0</v>
      </c>
      <c r="M110" s="13">
        <v>0</v>
      </c>
      <c r="N110">
        <v>0</v>
      </c>
      <c r="O110" s="13">
        <v>0</v>
      </c>
      <c r="P110" s="13">
        <v>0</v>
      </c>
      <c r="Q110" s="13">
        <v>0</v>
      </c>
      <c r="R110" s="13"/>
    </row>
    <row r="111" spans="1:18" hidden="1">
      <c r="A111" s="12" t="str">
        <f t="shared" si="1"/>
        <v>MMFONDO Y REPOSICIONMARKET MAX</v>
      </c>
      <c r="B111" s="12">
        <v>112</v>
      </c>
      <c r="C111" t="s">
        <v>45</v>
      </c>
      <c r="D111" s="12" t="s">
        <v>120</v>
      </c>
      <c r="E111" s="12" t="s">
        <v>46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/>
    </row>
    <row r="112" spans="1:18" hidden="1">
      <c r="A112" s="12" t="str">
        <f t="shared" si="1"/>
        <v>MELFONDO Y REPOSICIONMELISSA</v>
      </c>
      <c r="B112" s="12">
        <v>113</v>
      </c>
      <c r="C112" t="s">
        <v>43</v>
      </c>
      <c r="D112" s="12" t="s">
        <v>120</v>
      </c>
      <c r="E112" s="12" t="s">
        <v>44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>
        <v>0</v>
      </c>
      <c r="O112" s="13">
        <v>0</v>
      </c>
      <c r="P112" s="13">
        <v>0</v>
      </c>
      <c r="Q112" s="13">
        <v>0</v>
      </c>
      <c r="R112" s="13"/>
    </row>
    <row r="113" spans="1:18" hidden="1">
      <c r="A113" s="12" t="str">
        <f t="shared" si="1"/>
        <v>SERVICIOSFONDO Y REPOSICIONMANTENIMIENTO</v>
      </c>
      <c r="B113" s="12">
        <v>114</v>
      </c>
      <c r="C113" t="s">
        <v>21</v>
      </c>
      <c r="D113" t="s">
        <v>120</v>
      </c>
      <c r="E113" t="s">
        <v>35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 s="557">
        <v>5000</v>
      </c>
    </row>
    <row r="114" spans="1:18" hidden="1">
      <c r="A114" s="12" t="str">
        <f t="shared" si="1"/>
        <v>MKTFONDO Y REPOSICIONMKT</v>
      </c>
      <c r="B114" s="12">
        <v>115</v>
      </c>
      <c r="C114" t="s">
        <v>19</v>
      </c>
      <c r="D114" s="12" t="s">
        <v>120</v>
      </c>
      <c r="E114" t="s">
        <v>19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 s="556">
        <v>1500</v>
      </c>
    </row>
    <row r="115" spans="1:18" hidden="1">
      <c r="A115" s="12" t="str">
        <f t="shared" si="1"/>
        <v>SERVICIOSFUMIGACIONCEDIS</v>
      </c>
      <c r="B115" s="12">
        <v>116</v>
      </c>
      <c r="C115" t="s">
        <v>21</v>
      </c>
      <c r="D115" s="12" t="s">
        <v>121</v>
      </c>
      <c r="E115" s="12" t="s">
        <v>28</v>
      </c>
      <c r="F115" s="13">
        <v>0</v>
      </c>
      <c r="G115" s="13">
        <v>0</v>
      </c>
      <c r="H115" s="13">
        <v>0</v>
      </c>
      <c r="I115" s="13">
        <v>8500</v>
      </c>
      <c r="J115" s="13">
        <v>0</v>
      </c>
      <c r="K115" s="13">
        <v>0</v>
      </c>
      <c r="L115" s="13">
        <v>8500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/>
    </row>
    <row r="116" spans="1:18" hidden="1">
      <c r="A116" s="12" t="str">
        <f t="shared" si="1"/>
        <v>CAPFUMIGACIONCAPRICHOS</v>
      </c>
      <c r="B116" s="12">
        <v>117</v>
      </c>
      <c r="C116" t="s">
        <v>31</v>
      </c>
      <c r="D116" t="s">
        <v>121</v>
      </c>
      <c r="E116" t="s">
        <v>33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 s="555">
        <v>2500</v>
      </c>
    </row>
    <row r="117" spans="1:18">
      <c r="A117" s="12" t="str">
        <f t="shared" si="1"/>
        <v>HRGASHR</v>
      </c>
      <c r="B117" s="12">
        <v>118</v>
      </c>
      <c r="C117" t="s">
        <v>29</v>
      </c>
      <c r="D117" s="12" t="s">
        <v>122</v>
      </c>
      <c r="E117" s="12" t="s">
        <v>29</v>
      </c>
      <c r="F117" s="13">
        <v>12000</v>
      </c>
      <c r="G117" s="13">
        <v>12000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12000</v>
      </c>
      <c r="Q117" s="13">
        <v>12000</v>
      </c>
      <c r="R117" s="555">
        <v>12000</v>
      </c>
    </row>
    <row r="118" spans="1:18" hidden="1">
      <c r="A118" s="12" t="str">
        <f t="shared" si="1"/>
        <v>CAPGASCAPRICHOS</v>
      </c>
      <c r="B118" s="12">
        <v>119</v>
      </c>
      <c r="C118" t="s">
        <v>31</v>
      </c>
      <c r="D118" s="12" t="s">
        <v>122</v>
      </c>
      <c r="E118" s="12" t="s">
        <v>33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/>
    </row>
    <row r="119" spans="1:18" hidden="1">
      <c r="A119" s="12" t="str">
        <f t="shared" si="1"/>
        <v>SERVICIOSGASCEDIS</v>
      </c>
      <c r="B119" s="12">
        <v>120</v>
      </c>
      <c r="C119" t="s">
        <v>21</v>
      </c>
      <c r="D119" s="12" t="s">
        <v>122</v>
      </c>
      <c r="E119" s="12" t="s">
        <v>28</v>
      </c>
      <c r="F119" s="13">
        <v>1200</v>
      </c>
      <c r="G119" s="13">
        <v>1200</v>
      </c>
      <c r="H119" s="13">
        <v>1500</v>
      </c>
      <c r="I119" s="13">
        <v>1200</v>
      </c>
      <c r="J119" s="13">
        <v>1200</v>
      </c>
      <c r="K119" s="13">
        <v>1500</v>
      </c>
      <c r="L119" s="13">
        <v>1200</v>
      </c>
      <c r="M119" s="13">
        <v>1200</v>
      </c>
      <c r="N119" s="13">
        <v>1500</v>
      </c>
      <c r="O119" s="13">
        <v>1200</v>
      </c>
      <c r="P119" s="13">
        <v>1200</v>
      </c>
      <c r="Q119" s="13">
        <v>1500</v>
      </c>
      <c r="R119" s="13">
        <v>1200</v>
      </c>
    </row>
    <row r="120" spans="1:18" hidden="1">
      <c r="A120" s="12" t="str">
        <f t="shared" si="1"/>
        <v>DEGDNCGDNC</v>
      </c>
      <c r="B120" s="12">
        <v>121</v>
      </c>
      <c r="C120" t="s">
        <v>41</v>
      </c>
      <c r="D120" t="s">
        <v>123</v>
      </c>
      <c r="E120" t="s">
        <v>123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>
        <v>0</v>
      </c>
      <c r="O120" s="13">
        <v>0</v>
      </c>
      <c r="P120" s="13">
        <v>0</v>
      </c>
      <c r="Q120" s="15">
        <v>450000</v>
      </c>
      <c r="R120" s="13"/>
    </row>
    <row r="121" spans="1:18" hidden="1">
      <c r="A121" s="12" t="str">
        <f t="shared" si="1"/>
        <v>FINANZASHONORARIOSRECURSOS HUMANOS</v>
      </c>
      <c r="B121" s="12">
        <v>122</v>
      </c>
      <c r="C121" t="s">
        <v>23</v>
      </c>
      <c r="D121" t="s">
        <v>124</v>
      </c>
      <c r="E121" t="s">
        <v>125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5">
        <v>120000</v>
      </c>
      <c r="R121" s="13"/>
    </row>
    <row r="122" spans="1:18" hidden="1">
      <c r="A122" s="12" t="str">
        <f t="shared" si="1"/>
        <v>FINANZASHONORARIOSFINANZAS</v>
      </c>
      <c r="B122" s="12">
        <v>123</v>
      </c>
      <c r="C122" t="s">
        <v>23</v>
      </c>
      <c r="D122" t="s">
        <v>124</v>
      </c>
      <c r="E122" t="s">
        <v>23</v>
      </c>
      <c r="F122" s="15">
        <v>10000</v>
      </c>
      <c r="G122" s="15">
        <v>10000</v>
      </c>
      <c r="H122" s="15">
        <v>10000</v>
      </c>
      <c r="I122" s="15">
        <v>10000</v>
      </c>
      <c r="J122" s="15">
        <v>10000</v>
      </c>
      <c r="K122" s="15">
        <v>10000</v>
      </c>
      <c r="L122" s="15">
        <v>10000</v>
      </c>
      <c r="M122" s="15">
        <v>10000</v>
      </c>
      <c r="N122" s="15">
        <v>10000</v>
      </c>
      <c r="O122" s="15">
        <v>10000</v>
      </c>
      <c r="P122" s="15">
        <v>10000</v>
      </c>
      <c r="Q122" s="15">
        <v>10000</v>
      </c>
      <c r="R122" s="13"/>
    </row>
    <row r="123" spans="1:18" hidden="1">
      <c r="A123" s="12" t="str">
        <f t="shared" si="1"/>
        <v>FINANZASHONORARIOSLEGAL</v>
      </c>
      <c r="B123" s="12">
        <v>124</v>
      </c>
      <c r="C123" t="s">
        <v>23</v>
      </c>
      <c r="D123" t="s">
        <v>124</v>
      </c>
      <c r="E123" t="s">
        <v>126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5">
        <v>360000</v>
      </c>
      <c r="R123" s="13"/>
    </row>
    <row r="124" spans="1:18" hidden="1">
      <c r="A124" s="12" t="str">
        <f t="shared" si="1"/>
        <v>HRIMAGEN VISUALIMAGEN VISUAL HR</v>
      </c>
      <c r="B124" s="12">
        <v>125</v>
      </c>
      <c r="C124" t="s">
        <v>29</v>
      </c>
      <c r="D124" s="12" t="s">
        <v>127</v>
      </c>
      <c r="E124" s="12" t="s">
        <v>128</v>
      </c>
      <c r="F124" s="13">
        <v>28000</v>
      </c>
      <c r="G124" s="13">
        <v>17000</v>
      </c>
      <c r="H124" s="13">
        <v>48000</v>
      </c>
      <c r="I124" s="13">
        <v>48000</v>
      </c>
      <c r="J124" s="13">
        <v>36000</v>
      </c>
      <c r="K124" s="13">
        <v>48000</v>
      </c>
      <c r="L124" s="13">
        <v>46000</v>
      </c>
      <c r="M124" s="13">
        <v>46000</v>
      </c>
      <c r="N124" s="13">
        <v>58000</v>
      </c>
      <c r="O124" s="13">
        <v>46000</v>
      </c>
      <c r="P124" s="13">
        <v>58000</v>
      </c>
      <c r="Q124" s="13">
        <v>56000</v>
      </c>
      <c r="R124" s="558">
        <v>18000</v>
      </c>
    </row>
    <row r="125" spans="1:18" hidden="1">
      <c r="A125" s="12" t="str">
        <f t="shared" si="1"/>
        <v>CAPIMAGEN VISUALIMAGEN VISUAL CAP</v>
      </c>
      <c r="B125" s="12">
        <v>126</v>
      </c>
      <c r="C125" t="s">
        <v>31</v>
      </c>
      <c r="D125" s="12" t="s">
        <v>127</v>
      </c>
      <c r="E125" s="12" t="s">
        <v>129</v>
      </c>
      <c r="F125" s="13">
        <v>1587</v>
      </c>
      <c r="G125" s="13">
        <v>9044</v>
      </c>
      <c r="H125" s="13">
        <v>36776</v>
      </c>
      <c r="I125" s="13">
        <v>14327</v>
      </c>
      <c r="J125" s="13">
        <v>9030</v>
      </c>
      <c r="K125" s="13">
        <v>26807</v>
      </c>
      <c r="L125" s="13">
        <v>762</v>
      </c>
      <c r="M125" s="13">
        <v>538</v>
      </c>
      <c r="N125" s="13">
        <v>3763</v>
      </c>
      <c r="O125" s="13">
        <v>14700</v>
      </c>
      <c r="P125" s="13">
        <v>46200</v>
      </c>
      <c r="Q125" s="13">
        <v>18900</v>
      </c>
      <c r="R125" s="557">
        <v>9000</v>
      </c>
    </row>
    <row r="126" spans="1:18" hidden="1">
      <c r="A126" s="12" t="str">
        <f t="shared" si="1"/>
        <v>MELIMAGEN VISUALMELISSA</v>
      </c>
      <c r="B126" s="12">
        <v>127</v>
      </c>
      <c r="C126" t="s">
        <v>43</v>
      </c>
      <c r="D126" s="12" t="s">
        <v>127</v>
      </c>
      <c r="E126" s="12" t="s">
        <v>44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>
        <v>0</v>
      </c>
      <c r="O126" s="13">
        <v>0</v>
      </c>
      <c r="P126" s="13">
        <v>0</v>
      </c>
      <c r="Q126" s="13">
        <v>0</v>
      </c>
      <c r="R126" s="13"/>
    </row>
    <row r="127" spans="1:18" hidden="1">
      <c r="A127" s="12" t="str">
        <f t="shared" si="1"/>
        <v>ELIIMAGEN VISUALIMAGEN VISUAL ELILU</v>
      </c>
      <c r="B127" s="12">
        <v>128</v>
      </c>
      <c r="C127" t="s">
        <v>130</v>
      </c>
      <c r="D127" t="s">
        <v>127</v>
      </c>
      <c r="E127" t="s">
        <v>131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 s="210">
        <v>1000</v>
      </c>
    </row>
    <row r="128" spans="1:18" hidden="1">
      <c r="A128" s="12" t="str">
        <f t="shared" si="1"/>
        <v>FINANZASIMSS/INFONAVITIMSS/INFONAVIT</v>
      </c>
      <c r="B128" s="12">
        <v>129</v>
      </c>
      <c r="C128" t="s">
        <v>23</v>
      </c>
      <c r="D128" s="12" t="s">
        <v>132</v>
      </c>
      <c r="E128" s="12" t="s">
        <v>132</v>
      </c>
      <c r="F128" s="13">
        <v>1300000</v>
      </c>
      <c r="G128" s="13">
        <v>400000</v>
      </c>
      <c r="H128" s="13">
        <v>1300000</v>
      </c>
      <c r="I128" s="13">
        <v>400000</v>
      </c>
      <c r="J128" s="13">
        <v>1300000</v>
      </c>
      <c r="K128" s="13">
        <v>400000</v>
      </c>
      <c r="L128" s="13">
        <v>1300000</v>
      </c>
      <c r="M128" s="13">
        <v>400000</v>
      </c>
      <c r="N128" s="13">
        <v>1300000</v>
      </c>
      <c r="O128" s="13">
        <v>400000</v>
      </c>
      <c r="P128" s="13">
        <v>1300000</v>
      </c>
      <c r="Q128" s="13">
        <v>400000</v>
      </c>
      <c r="R128" s="555">
        <v>1500000</v>
      </c>
    </row>
    <row r="129" spans="1:18">
      <c r="A129" s="12" t="str">
        <f t="shared" si="1"/>
        <v>HRINSUMOSHR</v>
      </c>
      <c r="B129" s="12">
        <v>130</v>
      </c>
      <c r="C129" t="s">
        <v>29</v>
      </c>
      <c r="D129" s="12" t="s">
        <v>133</v>
      </c>
      <c r="E129" s="12" t="s">
        <v>29</v>
      </c>
      <c r="F129" s="13">
        <v>12000</v>
      </c>
      <c r="G129" s="13">
        <v>4000</v>
      </c>
      <c r="H129" s="13">
        <v>6000</v>
      </c>
      <c r="I129" s="13">
        <v>6000</v>
      </c>
      <c r="J129" s="13">
        <v>14000</v>
      </c>
      <c r="K129" s="13">
        <v>8000</v>
      </c>
      <c r="L129" s="13">
        <v>4000</v>
      </c>
      <c r="M129" s="13">
        <v>10000</v>
      </c>
      <c r="N129" s="13">
        <v>6000</v>
      </c>
      <c r="O129" s="13">
        <v>12000</v>
      </c>
      <c r="P129" s="13">
        <v>12000</v>
      </c>
      <c r="Q129" s="13">
        <v>8000</v>
      </c>
      <c r="R129" s="557">
        <v>5600</v>
      </c>
    </row>
    <row r="130" spans="1:18" hidden="1">
      <c r="A130" s="12" t="str">
        <f t="shared" si="1"/>
        <v>CAPINSUMOSCAPRICHOS</v>
      </c>
      <c r="B130" s="12">
        <v>131</v>
      </c>
      <c r="C130" t="s">
        <v>31</v>
      </c>
      <c r="D130" s="12" t="s">
        <v>133</v>
      </c>
      <c r="E130" t="s">
        <v>33</v>
      </c>
      <c r="F130" s="13">
        <v>8996</v>
      </c>
      <c r="G130" s="13">
        <v>2913</v>
      </c>
      <c r="H130" s="13">
        <v>481</v>
      </c>
      <c r="I130" s="13">
        <v>89</v>
      </c>
      <c r="J130" s="13">
        <v>2677</v>
      </c>
      <c r="K130" s="13">
        <v>14420</v>
      </c>
      <c r="L130" s="13">
        <v>5294</v>
      </c>
      <c r="M130" s="13">
        <v>0</v>
      </c>
      <c r="N130" s="13">
        <v>3979</v>
      </c>
      <c r="O130" s="13">
        <v>0</v>
      </c>
      <c r="P130" s="13">
        <v>0</v>
      </c>
      <c r="Q130" s="13">
        <v>5000</v>
      </c>
      <c r="R130" s="555">
        <v>5000</v>
      </c>
    </row>
    <row r="131" spans="1:18" hidden="1">
      <c r="A131" s="12" t="str">
        <f t="shared" si="1"/>
        <v>CAPINSUMOSE6</v>
      </c>
      <c r="B131" s="12">
        <v>132</v>
      </c>
      <c r="C131" t="s">
        <v>31</v>
      </c>
      <c r="D131" s="12" t="s">
        <v>133</v>
      </c>
      <c r="E131" s="12" t="s">
        <v>112</v>
      </c>
      <c r="F131" s="13">
        <v>76</v>
      </c>
      <c r="G131" s="13">
        <v>0</v>
      </c>
      <c r="H131" s="13">
        <v>4705</v>
      </c>
      <c r="I131" s="13">
        <v>100</v>
      </c>
      <c r="J131" s="13">
        <v>174</v>
      </c>
      <c r="K131" s="13">
        <v>431</v>
      </c>
      <c r="L131" s="13">
        <v>352</v>
      </c>
      <c r="M131" s="13">
        <v>361</v>
      </c>
      <c r="N131" s="13">
        <v>0</v>
      </c>
      <c r="O131" s="13">
        <v>500</v>
      </c>
      <c r="P131" s="13">
        <v>1000</v>
      </c>
      <c r="Q131" s="13">
        <v>1000</v>
      </c>
      <c r="R131" s="13"/>
    </row>
    <row r="132" spans="1:18" hidden="1">
      <c r="A132" s="12" t="str">
        <f t="shared" si="1"/>
        <v>SERVICIOSINSUMOSCEDIS</v>
      </c>
      <c r="B132" s="12">
        <v>133</v>
      </c>
      <c r="C132" t="s">
        <v>21</v>
      </c>
      <c r="D132" s="12" t="s">
        <v>133</v>
      </c>
      <c r="E132" s="12" t="s">
        <v>28</v>
      </c>
      <c r="F132" s="13">
        <v>15000</v>
      </c>
      <c r="G132" s="13">
        <v>0</v>
      </c>
      <c r="H132" s="13">
        <v>0</v>
      </c>
      <c r="I132" s="13">
        <v>0</v>
      </c>
      <c r="J132" s="13">
        <v>0</v>
      </c>
      <c r="K132" s="13">
        <v>15000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/>
    </row>
    <row r="133" spans="1:18" hidden="1">
      <c r="A133" s="12" t="str">
        <f t="shared" si="1"/>
        <v>SERVICIOSINSUMOSMARKET MAX</v>
      </c>
      <c r="B133" s="12">
        <v>134</v>
      </c>
      <c r="C133" t="s">
        <v>21</v>
      </c>
      <c r="D133" s="12" t="s">
        <v>133</v>
      </c>
      <c r="E133" s="12" t="s">
        <v>46</v>
      </c>
      <c r="F133" s="13">
        <v>4000</v>
      </c>
      <c r="G133" s="13">
        <v>4000</v>
      </c>
      <c r="H133" s="13">
        <v>4000</v>
      </c>
      <c r="I133" s="13">
        <v>4000</v>
      </c>
      <c r="J133" s="13">
        <v>4000</v>
      </c>
      <c r="K133" s="13">
        <v>4000</v>
      </c>
      <c r="L133" s="13">
        <v>4000</v>
      </c>
      <c r="M133" s="13">
        <v>4000</v>
      </c>
      <c r="N133" s="13">
        <v>4000</v>
      </c>
      <c r="O133" s="13">
        <v>4000</v>
      </c>
      <c r="P133" s="13">
        <v>4000</v>
      </c>
      <c r="Q133" s="13">
        <v>4000</v>
      </c>
      <c r="R133" s="13"/>
    </row>
    <row r="134" spans="1:18" hidden="1">
      <c r="A134" s="12" t="str">
        <f t="shared" si="1"/>
        <v>SERVICIOSINSUMOSINVENTARIOS</v>
      </c>
      <c r="B134" s="12">
        <v>135</v>
      </c>
      <c r="C134" t="s">
        <v>21</v>
      </c>
      <c r="D134" s="12" t="s">
        <v>133</v>
      </c>
      <c r="E134" s="12" t="s">
        <v>34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/>
    </row>
    <row r="135" spans="1:18" hidden="1">
      <c r="A135" s="12" t="str">
        <f t="shared" si="1"/>
        <v>SERVICIOSINSUMOSCADENA DE SUMINISTROS</v>
      </c>
      <c r="B135" s="12">
        <v>136</v>
      </c>
      <c r="C135" t="s">
        <v>21</v>
      </c>
      <c r="D135" s="12" t="s">
        <v>133</v>
      </c>
      <c r="E135" s="12" t="s">
        <v>134</v>
      </c>
      <c r="F135" s="13">
        <v>40000</v>
      </c>
      <c r="G135" s="13">
        <v>40000</v>
      </c>
      <c r="H135" s="13">
        <v>40000</v>
      </c>
      <c r="I135" s="13">
        <v>40000</v>
      </c>
      <c r="J135" s="13">
        <v>40000</v>
      </c>
      <c r="K135" s="13">
        <v>40000</v>
      </c>
      <c r="L135" s="13">
        <v>40000</v>
      </c>
      <c r="M135" s="13">
        <v>40000</v>
      </c>
      <c r="N135" s="13">
        <v>40000</v>
      </c>
      <c r="O135" s="13">
        <v>40000</v>
      </c>
      <c r="P135" s="13">
        <v>40000</v>
      </c>
      <c r="Q135" s="13">
        <v>40000</v>
      </c>
      <c r="R135" s="557">
        <v>40000</v>
      </c>
    </row>
    <row r="136" spans="1:18" hidden="1">
      <c r="A136" s="12" t="str">
        <f t="shared" si="1"/>
        <v>SERVICIOSINSUMOSSISTEMAS</v>
      </c>
      <c r="B136" s="12">
        <v>137</v>
      </c>
      <c r="C136" t="s">
        <v>21</v>
      </c>
      <c r="D136" s="12" t="s">
        <v>133</v>
      </c>
      <c r="E136" s="12" t="s">
        <v>36</v>
      </c>
      <c r="F136" s="13">
        <v>7714</v>
      </c>
      <c r="G136" s="13">
        <v>4346</v>
      </c>
      <c r="H136" s="13">
        <v>0</v>
      </c>
      <c r="I136" s="13">
        <v>3736</v>
      </c>
      <c r="J136" s="13">
        <v>362</v>
      </c>
      <c r="K136" s="13">
        <v>15761</v>
      </c>
      <c r="L136" s="13">
        <v>6172</v>
      </c>
      <c r="M136" s="13">
        <v>0</v>
      </c>
      <c r="N136" s="13">
        <v>700</v>
      </c>
      <c r="O136" s="13">
        <v>19500</v>
      </c>
      <c r="P136" s="13">
        <v>0</v>
      </c>
      <c r="Q136" s="13">
        <v>0</v>
      </c>
      <c r="R136" s="555">
        <v>8000</v>
      </c>
    </row>
    <row r="137" spans="1:18" hidden="1">
      <c r="A137" s="12" t="str">
        <f t="shared" ref="A137:A200" si="2">C137&amp;D137&amp;E137</f>
        <v>SGEINSUMOSGESTION EMPRESARIAL</v>
      </c>
      <c r="B137" s="12">
        <v>138</v>
      </c>
      <c r="C137" t="s">
        <v>39</v>
      </c>
      <c r="D137" s="12" t="s">
        <v>133</v>
      </c>
      <c r="E137" s="12" t="s">
        <v>40</v>
      </c>
      <c r="F137" s="13">
        <v>11000</v>
      </c>
      <c r="G137" s="13">
        <v>0</v>
      </c>
      <c r="H137" s="13">
        <v>0</v>
      </c>
      <c r="I137" s="13">
        <v>11000</v>
      </c>
      <c r="J137" s="13">
        <v>0</v>
      </c>
      <c r="K137" s="13">
        <v>11000</v>
      </c>
      <c r="L137" s="13">
        <v>0</v>
      </c>
      <c r="M137" s="13">
        <v>0</v>
      </c>
      <c r="N137" s="13">
        <v>0</v>
      </c>
      <c r="O137" s="13">
        <v>11000</v>
      </c>
      <c r="P137" s="13">
        <v>0</v>
      </c>
      <c r="Q137" s="13">
        <v>11000</v>
      </c>
      <c r="R137" s="13"/>
    </row>
    <row r="138" spans="1:18" hidden="1">
      <c r="A138" s="12" t="str">
        <f t="shared" si="2"/>
        <v>FINANZASINSUMOSFINANZAS</v>
      </c>
      <c r="B138" s="12">
        <v>139</v>
      </c>
      <c r="C138" t="s">
        <v>23</v>
      </c>
      <c r="D138" s="12" t="s">
        <v>133</v>
      </c>
      <c r="E138" s="12" t="s">
        <v>23</v>
      </c>
      <c r="F138" s="13">
        <v>2800</v>
      </c>
      <c r="G138" s="13">
        <v>800</v>
      </c>
      <c r="H138" s="13">
        <v>800</v>
      </c>
      <c r="I138" s="13">
        <v>800</v>
      </c>
      <c r="J138" s="13">
        <v>800</v>
      </c>
      <c r="K138" s="13">
        <v>800</v>
      </c>
      <c r="L138" s="13">
        <v>800</v>
      </c>
      <c r="M138" s="13">
        <v>800</v>
      </c>
      <c r="N138" s="13">
        <v>800</v>
      </c>
      <c r="O138" s="13">
        <v>800</v>
      </c>
      <c r="P138" s="13">
        <v>800</v>
      </c>
      <c r="Q138" s="13">
        <v>800</v>
      </c>
      <c r="R138" s="13">
        <v>1500</v>
      </c>
    </row>
    <row r="139" spans="1:18" hidden="1">
      <c r="A139" s="12" t="str">
        <f t="shared" si="2"/>
        <v>SERVICIOSINSUMOSCOFFE</v>
      </c>
      <c r="B139" s="12">
        <v>140</v>
      </c>
      <c r="C139" t="s">
        <v>21</v>
      </c>
      <c r="D139" s="12" t="s">
        <v>133</v>
      </c>
      <c r="E139" s="12" t="s">
        <v>135</v>
      </c>
      <c r="F139" s="13">
        <v>5500</v>
      </c>
      <c r="G139" s="13">
        <v>4000</v>
      </c>
      <c r="H139" s="13">
        <v>4000</v>
      </c>
      <c r="I139" s="13">
        <v>4000</v>
      </c>
      <c r="J139" s="13">
        <v>4000</v>
      </c>
      <c r="K139" s="13">
        <v>4000</v>
      </c>
      <c r="L139" s="13">
        <v>4000</v>
      </c>
      <c r="M139" s="13">
        <v>4000</v>
      </c>
      <c r="N139" s="13">
        <v>4000</v>
      </c>
      <c r="O139" s="13">
        <v>4000</v>
      </c>
      <c r="P139" s="13">
        <v>5500</v>
      </c>
      <c r="Q139" s="13">
        <v>5500</v>
      </c>
      <c r="R139" s="555">
        <v>4750</v>
      </c>
    </row>
    <row r="140" spans="1:18" hidden="1">
      <c r="A140" s="12" t="str">
        <f t="shared" si="2"/>
        <v>ELIINSUMOSL1</v>
      </c>
      <c r="B140" s="12">
        <v>141</v>
      </c>
      <c r="C140" t="s">
        <v>130</v>
      </c>
      <c r="D140" t="s">
        <v>133</v>
      </c>
      <c r="E140" t="s">
        <v>136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 s="558">
        <v>1000</v>
      </c>
    </row>
    <row r="141" spans="1:18" hidden="1">
      <c r="A141" s="12" t="str">
        <f t="shared" si="2"/>
        <v>MKTINSUMOSINSUMOS</v>
      </c>
      <c r="B141" s="12">
        <v>142</v>
      </c>
      <c r="C141" t="s">
        <v>19</v>
      </c>
      <c r="D141" t="s">
        <v>133</v>
      </c>
      <c r="E141" t="s">
        <v>133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10000</v>
      </c>
      <c r="M141">
        <v>10000</v>
      </c>
      <c r="N141">
        <v>10000</v>
      </c>
      <c r="O141">
        <v>10000</v>
      </c>
      <c r="P141">
        <v>10000</v>
      </c>
      <c r="Q141">
        <v>10000</v>
      </c>
      <c r="R141" s="556">
        <v>5000</v>
      </c>
    </row>
    <row r="142" spans="1:18">
      <c r="A142" s="12" t="str">
        <f t="shared" si="2"/>
        <v>HRJMASA1</v>
      </c>
      <c r="B142" s="12">
        <v>143</v>
      </c>
      <c r="C142" t="s">
        <v>29</v>
      </c>
      <c r="D142" s="12" t="s">
        <v>137</v>
      </c>
      <c r="E142" s="12" t="s">
        <v>88</v>
      </c>
      <c r="F142" s="13">
        <v>0</v>
      </c>
      <c r="G142" s="13">
        <v>1022</v>
      </c>
      <c r="H142" s="13">
        <v>0</v>
      </c>
      <c r="I142" s="13">
        <v>0</v>
      </c>
      <c r="J142" s="13">
        <v>2372</v>
      </c>
      <c r="K142" s="13">
        <v>989</v>
      </c>
      <c r="L142" s="13">
        <v>339</v>
      </c>
      <c r="M142" s="13">
        <v>2923</v>
      </c>
      <c r="N142" s="13">
        <v>0</v>
      </c>
      <c r="O142" s="13">
        <v>750</v>
      </c>
      <c r="P142" s="13">
        <v>750</v>
      </c>
      <c r="Q142" s="13">
        <v>750</v>
      </c>
      <c r="R142" s="558">
        <v>1200</v>
      </c>
    </row>
    <row r="143" spans="1:18">
      <c r="A143" s="12" t="str">
        <f t="shared" si="2"/>
        <v>HRJMASA2</v>
      </c>
      <c r="B143" s="12">
        <v>144</v>
      </c>
      <c r="C143" t="s">
        <v>29</v>
      </c>
      <c r="D143" s="12" t="s">
        <v>137</v>
      </c>
      <c r="E143" s="12" t="s">
        <v>89</v>
      </c>
      <c r="F143" s="13">
        <v>0</v>
      </c>
      <c r="G143" s="13">
        <v>0</v>
      </c>
      <c r="H143" s="13">
        <v>336</v>
      </c>
      <c r="I143" s="13">
        <v>342</v>
      </c>
      <c r="J143" s="13">
        <v>360</v>
      </c>
      <c r="K143" s="13">
        <v>684</v>
      </c>
      <c r="L143" s="13">
        <v>0</v>
      </c>
      <c r="M143" s="13">
        <v>0</v>
      </c>
      <c r="N143" s="13">
        <v>0</v>
      </c>
      <c r="O143" s="13">
        <v>350</v>
      </c>
      <c r="P143" s="13">
        <v>350</v>
      </c>
      <c r="Q143" s="13">
        <v>350</v>
      </c>
      <c r="R143" s="561">
        <v>900</v>
      </c>
    </row>
    <row r="144" spans="1:18">
      <c r="A144" s="12" t="str">
        <f t="shared" si="2"/>
        <v>HRJMASA3</v>
      </c>
      <c r="B144" s="12">
        <v>145</v>
      </c>
      <c r="C144" t="s">
        <v>29</v>
      </c>
      <c r="D144" s="12" t="s">
        <v>137</v>
      </c>
      <c r="E144" s="12" t="s">
        <v>90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400</v>
      </c>
      <c r="P144" s="13">
        <v>400</v>
      </c>
      <c r="Q144" s="13">
        <v>400</v>
      </c>
      <c r="R144" s="561">
        <v>600</v>
      </c>
    </row>
    <row r="145" spans="1:18">
      <c r="A145" s="12" t="str">
        <f t="shared" si="2"/>
        <v>HRJMASA4</v>
      </c>
      <c r="B145" s="12">
        <v>146</v>
      </c>
      <c r="C145" t="s">
        <v>29</v>
      </c>
      <c r="D145" s="12" t="s">
        <v>137</v>
      </c>
      <c r="E145" s="12" t="s">
        <v>91</v>
      </c>
      <c r="F145" s="13">
        <v>461</v>
      </c>
      <c r="G145" s="13">
        <v>482</v>
      </c>
      <c r="H145" s="13">
        <v>461</v>
      </c>
      <c r="I145" s="13">
        <v>0</v>
      </c>
      <c r="J145" s="13">
        <v>461</v>
      </c>
      <c r="K145" s="13">
        <v>504</v>
      </c>
      <c r="L145" s="13">
        <v>464</v>
      </c>
      <c r="M145" s="13">
        <v>481</v>
      </c>
      <c r="N145" s="13">
        <v>489</v>
      </c>
      <c r="O145" s="13">
        <v>500</v>
      </c>
      <c r="P145" s="13">
        <v>500</v>
      </c>
      <c r="Q145" s="13">
        <v>500</v>
      </c>
      <c r="R145" s="561">
        <v>600</v>
      </c>
    </row>
    <row r="146" spans="1:18">
      <c r="A146" s="12" t="str">
        <f t="shared" si="2"/>
        <v>HRJMASA5</v>
      </c>
      <c r="B146" s="12">
        <v>147</v>
      </c>
      <c r="C146" t="s">
        <v>29</v>
      </c>
      <c r="D146" s="12" t="s">
        <v>137</v>
      </c>
      <c r="E146" s="12" t="s">
        <v>92</v>
      </c>
      <c r="F146" s="13">
        <v>102</v>
      </c>
      <c r="G146" s="13">
        <v>546</v>
      </c>
      <c r="H146" s="13">
        <v>651</v>
      </c>
      <c r="I146" s="13">
        <v>543</v>
      </c>
      <c r="J146" s="13">
        <v>543</v>
      </c>
      <c r="K146" s="13">
        <v>543</v>
      </c>
      <c r="L146" s="13">
        <v>544</v>
      </c>
      <c r="M146" s="13">
        <v>531</v>
      </c>
      <c r="N146" s="13">
        <v>543</v>
      </c>
      <c r="O146" s="13">
        <v>700</v>
      </c>
      <c r="P146" s="13">
        <v>700</v>
      </c>
      <c r="Q146" s="13">
        <v>700</v>
      </c>
      <c r="R146" s="561">
        <v>600</v>
      </c>
    </row>
    <row r="147" spans="1:18">
      <c r="A147" s="12" t="str">
        <f t="shared" si="2"/>
        <v>HRJMASA6</v>
      </c>
      <c r="B147" s="12">
        <v>148</v>
      </c>
      <c r="C147" t="s">
        <v>29</v>
      </c>
      <c r="D147" s="12" t="s">
        <v>137</v>
      </c>
      <c r="E147" s="12" t="s">
        <v>93</v>
      </c>
      <c r="F147" s="13">
        <v>419</v>
      </c>
      <c r="G147" s="13">
        <v>421</v>
      </c>
      <c r="H147" s="13">
        <v>420</v>
      </c>
      <c r="I147" s="13">
        <v>841</v>
      </c>
      <c r="J147" s="13">
        <v>0</v>
      </c>
      <c r="K147" s="13">
        <v>428</v>
      </c>
      <c r="L147" s="13">
        <v>425</v>
      </c>
      <c r="M147" s="13">
        <v>433</v>
      </c>
      <c r="N147" s="13">
        <v>439</v>
      </c>
      <c r="O147" s="13">
        <v>400</v>
      </c>
      <c r="P147" s="13">
        <v>400</v>
      </c>
      <c r="Q147" s="13">
        <v>400</v>
      </c>
      <c r="R147" s="561">
        <v>700</v>
      </c>
    </row>
    <row r="148" spans="1:18">
      <c r="A148" s="12" t="str">
        <f t="shared" si="2"/>
        <v>HRJMASA8</v>
      </c>
      <c r="B148" s="12">
        <v>149</v>
      </c>
      <c r="C148" t="s">
        <v>29</v>
      </c>
      <c r="D148" s="12" t="s">
        <v>137</v>
      </c>
      <c r="E148" s="12" t="s">
        <v>94</v>
      </c>
      <c r="F148" s="13">
        <v>47</v>
      </c>
      <c r="G148" s="13">
        <v>0</v>
      </c>
      <c r="H148" s="13">
        <v>1144</v>
      </c>
      <c r="I148" s="13">
        <v>150</v>
      </c>
      <c r="J148" s="13">
        <v>212</v>
      </c>
      <c r="K148" s="13">
        <v>0</v>
      </c>
      <c r="L148" s="13">
        <v>206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561">
        <v>350</v>
      </c>
    </row>
    <row r="149" spans="1:18">
      <c r="A149" s="12" t="str">
        <f t="shared" si="2"/>
        <v>HRJMASA9</v>
      </c>
      <c r="B149" s="12">
        <v>150</v>
      </c>
      <c r="C149" t="s">
        <v>29</v>
      </c>
      <c r="D149" s="12" t="s">
        <v>137</v>
      </c>
      <c r="E149" s="12" t="s">
        <v>95</v>
      </c>
      <c r="F149" s="13">
        <v>0</v>
      </c>
      <c r="G149" s="13">
        <v>339</v>
      </c>
      <c r="H149" s="13">
        <v>0</v>
      </c>
      <c r="I149" s="13">
        <v>0</v>
      </c>
      <c r="J149" s="13">
        <v>338</v>
      </c>
      <c r="K149" s="13">
        <v>2095</v>
      </c>
      <c r="L149" s="13">
        <v>686</v>
      </c>
      <c r="M149" s="13">
        <v>516</v>
      </c>
      <c r="N149" s="13">
        <v>0</v>
      </c>
      <c r="O149" s="13">
        <v>350</v>
      </c>
      <c r="P149" s="13">
        <v>350</v>
      </c>
      <c r="Q149" s="13">
        <v>350</v>
      </c>
      <c r="R149" s="561">
        <v>700</v>
      </c>
    </row>
    <row r="150" spans="1:18">
      <c r="A150" s="12" t="str">
        <f t="shared" si="2"/>
        <v>HRJMASA10</v>
      </c>
      <c r="B150" s="12">
        <v>151</v>
      </c>
      <c r="C150" t="s">
        <v>29</v>
      </c>
      <c r="D150" s="12" t="s">
        <v>137</v>
      </c>
      <c r="E150" s="12" t="s">
        <v>96</v>
      </c>
      <c r="F150" s="13">
        <v>529</v>
      </c>
      <c r="G150" s="13">
        <v>1377</v>
      </c>
      <c r="H150" s="13">
        <v>0</v>
      </c>
      <c r="I150" s="13">
        <v>806</v>
      </c>
      <c r="J150" s="13">
        <v>823</v>
      </c>
      <c r="K150" s="13">
        <v>2194</v>
      </c>
      <c r="L150" s="13">
        <v>1522</v>
      </c>
      <c r="M150" s="13">
        <v>2596</v>
      </c>
      <c r="N150" s="13">
        <v>0</v>
      </c>
      <c r="O150" s="13">
        <v>800</v>
      </c>
      <c r="P150" s="13">
        <v>800</v>
      </c>
      <c r="Q150" s="13">
        <v>800</v>
      </c>
      <c r="R150" s="558">
        <v>6000</v>
      </c>
    </row>
    <row r="151" spans="1:18">
      <c r="A151" s="12" t="str">
        <f t="shared" si="2"/>
        <v>HRJMASA11</v>
      </c>
      <c r="B151" s="12">
        <v>152</v>
      </c>
      <c r="C151" t="s">
        <v>29</v>
      </c>
      <c r="D151" s="12" t="s">
        <v>137</v>
      </c>
      <c r="E151" s="12" t="s">
        <v>97</v>
      </c>
      <c r="F151" s="13">
        <v>531</v>
      </c>
      <c r="G151" s="13">
        <v>534</v>
      </c>
      <c r="H151" s="13">
        <v>535</v>
      </c>
      <c r="I151" s="13">
        <v>528</v>
      </c>
      <c r="J151" s="13">
        <v>589</v>
      </c>
      <c r="K151" s="13">
        <v>588</v>
      </c>
      <c r="L151" s="13">
        <v>1128</v>
      </c>
      <c r="M151" s="13">
        <v>60</v>
      </c>
      <c r="N151" s="13">
        <v>1102</v>
      </c>
      <c r="O151" s="13">
        <v>500</v>
      </c>
      <c r="P151" s="13">
        <v>500</v>
      </c>
      <c r="Q151" s="13">
        <v>500</v>
      </c>
      <c r="R151" s="561">
        <v>600</v>
      </c>
    </row>
    <row r="152" spans="1:18">
      <c r="A152" s="12" t="str">
        <f t="shared" si="2"/>
        <v>HRJMASA12</v>
      </c>
      <c r="B152" s="12">
        <v>153</v>
      </c>
      <c r="C152" t="s">
        <v>29</v>
      </c>
      <c r="D152" s="12" t="s">
        <v>137</v>
      </c>
      <c r="E152" s="12" t="s">
        <v>98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500</v>
      </c>
      <c r="P152" s="13">
        <v>500</v>
      </c>
      <c r="Q152" s="13">
        <v>500</v>
      </c>
      <c r="R152" s="561">
        <v>600</v>
      </c>
    </row>
    <row r="153" spans="1:18">
      <c r="A153" s="12" t="str">
        <f t="shared" si="2"/>
        <v>HRJMASA14</v>
      </c>
      <c r="B153" s="12">
        <v>154</v>
      </c>
      <c r="C153" t="s">
        <v>29</v>
      </c>
      <c r="D153" s="12" t="s">
        <v>137</v>
      </c>
      <c r="E153" s="12" t="s">
        <v>99</v>
      </c>
      <c r="F153" s="13">
        <v>0</v>
      </c>
      <c r="G153" s="13">
        <v>984</v>
      </c>
      <c r="H153" s="13">
        <v>751</v>
      </c>
      <c r="I153" s="13">
        <v>0</v>
      </c>
      <c r="J153" s="13">
        <v>854</v>
      </c>
      <c r="K153" s="13">
        <v>0</v>
      </c>
      <c r="L153" s="13">
        <v>0</v>
      </c>
      <c r="M153" s="13">
        <v>341</v>
      </c>
      <c r="N153" s="13">
        <v>0</v>
      </c>
      <c r="O153" s="13">
        <v>500</v>
      </c>
      <c r="P153" s="13">
        <v>500</v>
      </c>
      <c r="Q153" s="13">
        <v>500</v>
      </c>
      <c r="R153" s="561">
        <v>600</v>
      </c>
    </row>
    <row r="154" spans="1:18">
      <c r="A154" s="12" t="str">
        <f t="shared" si="2"/>
        <v>HRJMASA15</v>
      </c>
      <c r="B154" s="12">
        <v>155</v>
      </c>
      <c r="C154" t="s">
        <v>29</v>
      </c>
      <c r="D154" s="12" t="s">
        <v>137</v>
      </c>
      <c r="E154" s="12" t="s">
        <v>100</v>
      </c>
      <c r="F154" s="13">
        <v>371</v>
      </c>
      <c r="G154" s="13">
        <v>370</v>
      </c>
      <c r="H154" s="13">
        <v>375</v>
      </c>
      <c r="I154" s="13">
        <v>572</v>
      </c>
      <c r="J154" s="13">
        <v>0</v>
      </c>
      <c r="K154" s="13">
        <v>0</v>
      </c>
      <c r="L154" s="13">
        <v>5096</v>
      </c>
      <c r="M154" s="13">
        <v>379</v>
      </c>
      <c r="N154" s="13">
        <v>0</v>
      </c>
      <c r="O154" s="13">
        <v>350</v>
      </c>
      <c r="P154" s="13">
        <v>350</v>
      </c>
      <c r="Q154" s="13">
        <v>350</v>
      </c>
      <c r="R154" s="558">
        <v>1500</v>
      </c>
    </row>
    <row r="155" spans="1:18">
      <c r="A155" s="12" t="str">
        <f t="shared" si="2"/>
        <v>HRJMASA16</v>
      </c>
      <c r="B155" s="12">
        <v>156</v>
      </c>
      <c r="C155" t="s">
        <v>29</v>
      </c>
      <c r="D155" s="12" t="s">
        <v>137</v>
      </c>
      <c r="E155" s="12" t="s">
        <v>101</v>
      </c>
      <c r="F155" s="13">
        <v>324</v>
      </c>
      <c r="G155" s="13">
        <v>0</v>
      </c>
      <c r="H155" s="13">
        <v>652</v>
      </c>
      <c r="I155" s="13">
        <v>324</v>
      </c>
      <c r="J155" s="13">
        <v>0</v>
      </c>
      <c r="K155" s="13">
        <v>652</v>
      </c>
      <c r="L155" s="13">
        <v>324</v>
      </c>
      <c r="M155" s="13">
        <v>335</v>
      </c>
      <c r="N155" s="13">
        <v>0</v>
      </c>
      <c r="O155" s="13">
        <v>320</v>
      </c>
      <c r="P155" s="13">
        <v>320</v>
      </c>
      <c r="Q155" s="13">
        <v>320</v>
      </c>
      <c r="R155" s="558">
        <v>1000</v>
      </c>
    </row>
    <row r="156" spans="1:18">
      <c r="A156" s="12" t="str">
        <f t="shared" si="2"/>
        <v>HRJMASA17</v>
      </c>
      <c r="B156" s="12">
        <v>157</v>
      </c>
      <c r="C156" t="s">
        <v>29</v>
      </c>
      <c r="D156" s="12" t="s">
        <v>137</v>
      </c>
      <c r="E156" s="12" t="s">
        <v>102</v>
      </c>
      <c r="F156" s="13">
        <v>1979</v>
      </c>
      <c r="G156" s="13">
        <v>531</v>
      </c>
      <c r="H156" s="13">
        <v>625</v>
      </c>
      <c r="I156" s="13">
        <v>0</v>
      </c>
      <c r="J156" s="13">
        <v>0</v>
      </c>
      <c r="K156" s="13">
        <v>50</v>
      </c>
      <c r="L156" s="13">
        <v>0</v>
      </c>
      <c r="M156" s="13">
        <v>40</v>
      </c>
      <c r="N156" s="13">
        <v>1250</v>
      </c>
      <c r="O156" s="13">
        <v>500</v>
      </c>
      <c r="P156" s="13">
        <v>500</v>
      </c>
      <c r="Q156" s="13">
        <v>500</v>
      </c>
      <c r="R156" s="558">
        <v>1000</v>
      </c>
    </row>
    <row r="157" spans="1:18">
      <c r="A157" s="12" t="str">
        <f t="shared" si="2"/>
        <v>HRJMASA18</v>
      </c>
      <c r="B157" s="12">
        <v>158</v>
      </c>
      <c r="C157" t="s">
        <v>29</v>
      </c>
      <c r="D157" s="12" t="s">
        <v>137</v>
      </c>
      <c r="E157" s="12" t="s">
        <v>103</v>
      </c>
      <c r="F157" s="13">
        <v>1258</v>
      </c>
      <c r="G157" s="13">
        <v>1258</v>
      </c>
      <c r="H157" s="13">
        <v>2515</v>
      </c>
      <c r="I157" s="13">
        <v>1258</v>
      </c>
      <c r="J157" s="13">
        <v>0</v>
      </c>
      <c r="K157" s="13">
        <v>0</v>
      </c>
      <c r="L157" s="13">
        <v>0</v>
      </c>
      <c r="M157" s="13">
        <v>1258</v>
      </c>
      <c r="N157" s="13">
        <v>1258</v>
      </c>
      <c r="O157" s="13">
        <v>500</v>
      </c>
      <c r="P157" s="13">
        <v>500</v>
      </c>
      <c r="Q157" s="13">
        <v>500</v>
      </c>
      <c r="R157" s="558">
        <v>1100</v>
      </c>
    </row>
    <row r="158" spans="1:18">
      <c r="A158" s="12" t="str">
        <f t="shared" si="2"/>
        <v>HRJMASA22</v>
      </c>
      <c r="B158" s="12">
        <v>159</v>
      </c>
      <c r="C158" t="s">
        <v>29</v>
      </c>
      <c r="D158" s="12" t="s">
        <v>137</v>
      </c>
      <c r="E158" s="12" t="s">
        <v>104</v>
      </c>
      <c r="F158" s="13">
        <v>798</v>
      </c>
      <c r="G158" s="13">
        <v>343</v>
      </c>
      <c r="H158" s="13">
        <v>343</v>
      </c>
      <c r="I158" s="13">
        <v>343</v>
      </c>
      <c r="J158" s="13">
        <v>343</v>
      </c>
      <c r="K158" s="13">
        <v>0</v>
      </c>
      <c r="L158" s="13">
        <v>125</v>
      </c>
      <c r="M158" s="13">
        <v>19690</v>
      </c>
      <c r="N158" s="13">
        <v>0</v>
      </c>
      <c r="O158" s="13">
        <v>450</v>
      </c>
      <c r="P158" s="13">
        <v>450</v>
      </c>
      <c r="Q158" s="13">
        <v>450</v>
      </c>
      <c r="R158" s="561">
        <v>900</v>
      </c>
    </row>
    <row r="159" spans="1:18">
      <c r="A159" s="12" t="str">
        <f t="shared" si="2"/>
        <v>HRJMASA23</v>
      </c>
      <c r="B159" s="12">
        <v>160</v>
      </c>
      <c r="C159" t="s">
        <v>29</v>
      </c>
      <c r="D159" s="12" t="s">
        <v>137</v>
      </c>
      <c r="E159" s="12" t="s">
        <v>105</v>
      </c>
      <c r="F159" s="13">
        <v>1940</v>
      </c>
      <c r="G159" s="13">
        <v>0</v>
      </c>
      <c r="H159" s="13">
        <v>1946</v>
      </c>
      <c r="I159" s="13">
        <v>961</v>
      </c>
      <c r="J159" s="13">
        <v>0</v>
      </c>
      <c r="K159" s="13">
        <v>0</v>
      </c>
      <c r="L159" s="13">
        <v>350</v>
      </c>
      <c r="M159" s="13">
        <v>963</v>
      </c>
      <c r="N159" s="13">
        <v>1934</v>
      </c>
      <c r="O159" s="13">
        <v>400</v>
      </c>
      <c r="P159" s="13">
        <v>400</v>
      </c>
      <c r="Q159" s="13">
        <v>400</v>
      </c>
      <c r="R159" s="558">
        <v>1100</v>
      </c>
    </row>
    <row r="160" spans="1:18">
      <c r="A160" s="12" t="str">
        <f t="shared" si="2"/>
        <v>HRJMASA24</v>
      </c>
      <c r="B160" s="12">
        <v>161</v>
      </c>
      <c r="C160" t="s">
        <v>29</v>
      </c>
      <c r="D160" s="12" t="s">
        <v>137</v>
      </c>
      <c r="E160" s="12" t="s">
        <v>106</v>
      </c>
      <c r="F160" s="13">
        <v>3661</v>
      </c>
      <c r="G160" s="13">
        <v>0</v>
      </c>
      <c r="H160" s="13">
        <v>0</v>
      </c>
      <c r="I160" s="13">
        <v>532</v>
      </c>
      <c r="J160" s="13">
        <v>0</v>
      </c>
      <c r="K160" s="13">
        <v>228</v>
      </c>
      <c r="L160" s="13">
        <v>0</v>
      </c>
      <c r="M160" s="13">
        <v>531</v>
      </c>
      <c r="N160" s="13">
        <v>813</v>
      </c>
      <c r="O160" s="13">
        <v>500</v>
      </c>
      <c r="P160" s="13">
        <v>500</v>
      </c>
      <c r="Q160" s="13">
        <v>500</v>
      </c>
      <c r="R160" s="561">
        <v>600</v>
      </c>
    </row>
    <row r="161" spans="1:18" hidden="1">
      <c r="A161" s="12" t="str">
        <f t="shared" si="2"/>
        <v>CAPJMASE1</v>
      </c>
      <c r="B161" s="12">
        <v>162</v>
      </c>
      <c r="C161" t="s">
        <v>31</v>
      </c>
      <c r="D161" s="12" t="s">
        <v>137</v>
      </c>
      <c r="E161" s="12" t="s">
        <v>107</v>
      </c>
      <c r="F161" s="13">
        <v>0</v>
      </c>
      <c r="G161" s="13">
        <v>342</v>
      </c>
      <c r="H161" s="13">
        <v>0</v>
      </c>
      <c r="I161" s="13">
        <v>0</v>
      </c>
      <c r="J161" s="13">
        <v>681</v>
      </c>
      <c r="K161" s="13">
        <v>339</v>
      </c>
      <c r="L161" s="13">
        <v>0</v>
      </c>
      <c r="M161" s="13">
        <v>350</v>
      </c>
      <c r="N161" s="13">
        <v>0</v>
      </c>
      <c r="O161" s="13">
        <v>329</v>
      </c>
      <c r="P161" s="13">
        <v>329</v>
      </c>
      <c r="Q161" s="13">
        <v>329</v>
      </c>
      <c r="R161" s="561">
        <v>600</v>
      </c>
    </row>
    <row r="162" spans="1:18" hidden="1">
      <c r="A162" s="12" t="str">
        <f t="shared" si="2"/>
        <v>CAPJMASE2</v>
      </c>
      <c r="B162" s="12">
        <v>163</v>
      </c>
      <c r="C162" t="s">
        <v>31</v>
      </c>
      <c r="D162" s="12" t="s">
        <v>137</v>
      </c>
      <c r="E162" s="12" t="s">
        <v>108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561"/>
    </row>
    <row r="163" spans="1:18" hidden="1">
      <c r="A163" s="12" t="str">
        <f t="shared" si="2"/>
        <v>CAPJMASE3</v>
      </c>
      <c r="B163" s="12">
        <v>164</v>
      </c>
      <c r="C163" t="s">
        <v>31</v>
      </c>
      <c r="D163" s="12" t="s">
        <v>137</v>
      </c>
      <c r="E163" s="12" t="s">
        <v>109</v>
      </c>
      <c r="F163" s="13">
        <v>342</v>
      </c>
      <c r="G163" s="13">
        <v>0</v>
      </c>
      <c r="H163" s="13">
        <v>509</v>
      </c>
      <c r="I163" s="13">
        <v>340</v>
      </c>
      <c r="J163" s="13">
        <v>340</v>
      </c>
      <c r="K163" s="13">
        <v>341</v>
      </c>
      <c r="L163" s="13">
        <v>341</v>
      </c>
      <c r="M163" s="13">
        <v>0</v>
      </c>
      <c r="N163" s="13">
        <v>340</v>
      </c>
      <c r="O163" s="13">
        <v>321</v>
      </c>
      <c r="P163" s="13">
        <v>321</v>
      </c>
      <c r="Q163" s="13">
        <v>321</v>
      </c>
      <c r="R163" s="561">
        <v>400</v>
      </c>
    </row>
    <row r="164" spans="1:18" hidden="1">
      <c r="A164" s="12" t="str">
        <f t="shared" si="2"/>
        <v>CAPJMASE4</v>
      </c>
      <c r="B164" s="12">
        <v>165</v>
      </c>
      <c r="C164" t="s">
        <v>31</v>
      </c>
      <c r="D164" s="12" t="s">
        <v>137</v>
      </c>
      <c r="E164" s="12" t="s">
        <v>110</v>
      </c>
      <c r="F164" s="13">
        <v>0</v>
      </c>
      <c r="G164" s="13">
        <v>0</v>
      </c>
      <c r="H164" s="13">
        <v>0</v>
      </c>
      <c r="I164" s="13">
        <v>0</v>
      </c>
      <c r="J164" s="13">
        <v>629</v>
      </c>
      <c r="K164" s="13">
        <v>194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561">
        <v>300</v>
      </c>
    </row>
    <row r="165" spans="1:18" hidden="1">
      <c r="A165" s="12" t="str">
        <f t="shared" si="2"/>
        <v>CAPJMASE5</v>
      </c>
      <c r="B165" s="12">
        <v>166</v>
      </c>
      <c r="C165" t="s">
        <v>31</v>
      </c>
      <c r="D165" s="12" t="s">
        <v>137</v>
      </c>
      <c r="E165" s="12" t="s">
        <v>111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561">
        <v>600</v>
      </c>
    </row>
    <row r="166" spans="1:18" hidden="1">
      <c r="A166" s="12" t="str">
        <f t="shared" si="2"/>
        <v>CAPJMASE6</v>
      </c>
      <c r="B166" s="12">
        <v>167</v>
      </c>
      <c r="C166" t="s">
        <v>31</v>
      </c>
      <c r="D166" s="12" t="s">
        <v>137</v>
      </c>
      <c r="E166" s="12" t="s">
        <v>112</v>
      </c>
      <c r="F166" s="13">
        <v>178</v>
      </c>
      <c r="G166" s="13">
        <v>0</v>
      </c>
      <c r="H166" s="13">
        <v>0</v>
      </c>
      <c r="I166" s="13">
        <v>1785</v>
      </c>
      <c r="J166" s="13">
        <v>186</v>
      </c>
      <c r="K166" s="13">
        <v>0</v>
      </c>
      <c r="L166" s="13">
        <v>0</v>
      </c>
      <c r="M166" s="13">
        <v>5136</v>
      </c>
      <c r="N166" s="13">
        <v>0</v>
      </c>
      <c r="O166" s="13">
        <v>348</v>
      </c>
      <c r="P166" s="13">
        <v>348</v>
      </c>
      <c r="Q166" s="13">
        <v>348</v>
      </c>
      <c r="R166" s="561">
        <v>400</v>
      </c>
    </row>
    <row r="167" spans="1:18" hidden="1">
      <c r="A167" s="12" t="str">
        <f t="shared" si="2"/>
        <v>CAPJMASE7</v>
      </c>
      <c r="B167" s="12">
        <v>168</v>
      </c>
      <c r="C167" t="s">
        <v>31</v>
      </c>
      <c r="D167" s="12" t="s">
        <v>137</v>
      </c>
      <c r="E167" s="12" t="s">
        <v>113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561"/>
    </row>
    <row r="168" spans="1:18" hidden="1">
      <c r="A168" s="12" t="str">
        <f t="shared" si="2"/>
        <v>CAPJMASE8</v>
      </c>
      <c r="B168" s="12">
        <v>169</v>
      </c>
      <c r="C168" t="s">
        <v>31</v>
      </c>
      <c r="D168" s="12" t="s">
        <v>137</v>
      </c>
      <c r="E168" s="12" t="s">
        <v>114</v>
      </c>
      <c r="F168" s="13">
        <v>0</v>
      </c>
      <c r="G168" s="13">
        <v>695</v>
      </c>
      <c r="H168" s="13">
        <v>0</v>
      </c>
      <c r="I168" s="13">
        <v>0</v>
      </c>
      <c r="J168" s="13">
        <v>0</v>
      </c>
      <c r="K168" s="13">
        <v>695</v>
      </c>
      <c r="L168" s="13">
        <v>695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558">
        <v>1500</v>
      </c>
    </row>
    <row r="169" spans="1:18" hidden="1">
      <c r="A169" s="12" t="str">
        <f t="shared" si="2"/>
        <v>SERVICIOSJMASCEDIS</v>
      </c>
      <c r="B169" s="12">
        <v>170</v>
      </c>
      <c r="C169" t="s">
        <v>21</v>
      </c>
      <c r="D169" s="12" t="s">
        <v>137</v>
      </c>
      <c r="E169" s="12" t="s">
        <v>28</v>
      </c>
      <c r="F169" s="13">
        <v>0</v>
      </c>
      <c r="G169" s="13">
        <v>2326</v>
      </c>
      <c r="H169" s="13">
        <v>0</v>
      </c>
      <c r="I169" s="13">
        <v>687</v>
      </c>
      <c r="J169" s="13">
        <v>2376</v>
      </c>
      <c r="K169" s="13">
        <v>2805</v>
      </c>
      <c r="L169" s="13">
        <v>1184</v>
      </c>
      <c r="M169" s="13">
        <v>6533</v>
      </c>
      <c r="N169" s="13">
        <v>0</v>
      </c>
      <c r="O169" s="13">
        <v>2000</v>
      </c>
      <c r="P169" s="13">
        <v>2000</v>
      </c>
      <c r="Q169" s="13">
        <v>2000</v>
      </c>
      <c r="R169" s="13"/>
    </row>
    <row r="170" spans="1:18" hidden="1">
      <c r="A170" s="12" t="str">
        <f t="shared" si="2"/>
        <v>FINANZASJMASCONTABILIDAD</v>
      </c>
      <c r="B170" s="12">
        <v>171</v>
      </c>
      <c r="C170" t="s">
        <v>23</v>
      </c>
      <c r="D170" s="12" t="s">
        <v>137</v>
      </c>
      <c r="E170" s="12" t="s">
        <v>37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>
        <v>0</v>
      </c>
      <c r="O170" s="13">
        <v>0</v>
      </c>
      <c r="P170" s="13">
        <v>0</v>
      </c>
      <c r="Q170" s="13">
        <v>0</v>
      </c>
      <c r="R170" s="13"/>
    </row>
    <row r="171" spans="1:18" hidden="1">
      <c r="A171" s="12" t="str">
        <f t="shared" si="2"/>
        <v>CAPJMASE9</v>
      </c>
      <c r="B171" s="12">
        <v>172</v>
      </c>
      <c r="C171" t="s">
        <v>31</v>
      </c>
      <c r="D171" s="12" t="s">
        <v>137</v>
      </c>
      <c r="E171" s="12" t="s">
        <v>116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 s="558">
        <v>1500</v>
      </c>
    </row>
    <row r="172" spans="1:18" hidden="1">
      <c r="A172" s="12" t="str">
        <f t="shared" si="2"/>
        <v>HRMKTMKT HR</v>
      </c>
      <c r="B172" s="12">
        <v>173</v>
      </c>
      <c r="C172" t="s">
        <v>29</v>
      </c>
      <c r="D172" s="12" t="s">
        <v>19</v>
      </c>
      <c r="E172" s="12" t="s">
        <v>138</v>
      </c>
      <c r="F172" s="13">
        <v>14000</v>
      </c>
      <c r="G172" s="13">
        <v>20000</v>
      </c>
      <c r="H172" s="13">
        <v>40000</v>
      </c>
      <c r="I172" s="13">
        <f>36000-18000</f>
        <v>18000</v>
      </c>
      <c r="J172" s="13">
        <v>50000</v>
      </c>
      <c r="K172" s="13">
        <f>26000</f>
        <v>26000</v>
      </c>
      <c r="L172" s="13">
        <f>30000</f>
        <v>30000</v>
      </c>
      <c r="M172" s="13">
        <f>26000+18000</f>
        <v>44000</v>
      </c>
      <c r="N172" s="13">
        <v>36000</v>
      </c>
      <c r="O172" s="13">
        <v>26000</v>
      </c>
      <c r="P172" s="13">
        <v>56000</v>
      </c>
      <c r="Q172" s="13">
        <v>26000</v>
      </c>
      <c r="R172" s="13"/>
    </row>
    <row r="173" spans="1:18" hidden="1">
      <c r="A173" s="12" t="str">
        <f t="shared" si="2"/>
        <v>CAPMKTMKT CAP</v>
      </c>
      <c r="B173" s="12">
        <v>174</v>
      </c>
      <c r="C173" t="s">
        <v>31</v>
      </c>
      <c r="D173" s="12" t="s">
        <v>19</v>
      </c>
      <c r="E173" s="12" t="s">
        <v>139</v>
      </c>
      <c r="F173" s="13">
        <v>0</v>
      </c>
      <c r="G173" s="13">
        <v>9594</v>
      </c>
      <c r="H173" s="13">
        <v>0</v>
      </c>
      <c r="I173" s="13">
        <v>11879</v>
      </c>
      <c r="J173" s="13">
        <v>0</v>
      </c>
      <c r="K173" s="13">
        <v>31469</v>
      </c>
      <c r="L173" s="13">
        <v>0</v>
      </c>
      <c r="M173" s="13">
        <v>2000</v>
      </c>
      <c r="N173" s="13">
        <v>4538</v>
      </c>
      <c r="O173" s="13">
        <v>4000</v>
      </c>
      <c r="P173" s="13">
        <v>4000</v>
      </c>
      <c r="Q173" s="13">
        <v>4000</v>
      </c>
      <c r="R173" s="13"/>
    </row>
    <row r="174" spans="1:18" hidden="1">
      <c r="A174" s="12" t="str">
        <f t="shared" si="2"/>
        <v>MKTMKTMELISSA/ELILU</v>
      </c>
      <c r="B174" s="12">
        <v>175</v>
      </c>
      <c r="C174" t="s">
        <v>19</v>
      </c>
      <c r="D174" t="s">
        <v>19</v>
      </c>
      <c r="E174" t="s">
        <v>140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 s="13"/>
    </row>
    <row r="175" spans="1:18" hidden="1">
      <c r="A175" s="12" t="str">
        <f t="shared" si="2"/>
        <v>MKTMKTINFLUENCERS</v>
      </c>
      <c r="B175" s="12">
        <v>176</v>
      </c>
      <c r="C175" t="s">
        <v>19</v>
      </c>
      <c r="D175" t="s">
        <v>19</v>
      </c>
      <c r="E175" t="s">
        <v>141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16000</v>
      </c>
      <c r="N175">
        <v>15000</v>
      </c>
      <c r="O175">
        <v>15000</v>
      </c>
      <c r="P175">
        <v>15000</v>
      </c>
      <c r="Q175">
        <v>15000</v>
      </c>
      <c r="R175" s="556">
        <v>8000</v>
      </c>
    </row>
    <row r="176" spans="1:18" hidden="1">
      <c r="A176" s="12" t="str">
        <f t="shared" si="2"/>
        <v>SERVICIOSMTTO DE EDIFICIOMANTENIMIENTO</v>
      </c>
      <c r="B176" s="12">
        <v>177</v>
      </c>
      <c r="C176" t="s">
        <v>21</v>
      </c>
      <c r="D176" s="12" t="s">
        <v>142</v>
      </c>
      <c r="E176" s="12" t="s">
        <v>35</v>
      </c>
      <c r="F176" s="13">
        <v>14261</v>
      </c>
      <c r="G176" s="13">
        <v>31344</v>
      </c>
      <c r="H176" s="13">
        <v>20516</v>
      </c>
      <c r="I176" s="13">
        <v>35507</v>
      </c>
      <c r="J176" s="13">
        <v>53649</v>
      </c>
      <c r="K176" s="13">
        <v>62642</v>
      </c>
      <c r="L176" s="13">
        <v>33737</v>
      </c>
      <c r="M176" s="13">
        <v>52363</v>
      </c>
      <c r="N176" s="13">
        <v>23951</v>
      </c>
      <c r="O176" s="13">
        <v>20000</v>
      </c>
      <c r="P176" s="13">
        <v>20000</v>
      </c>
      <c r="Q176" s="13">
        <v>20000</v>
      </c>
      <c r="R176" s="555">
        <v>14261</v>
      </c>
    </row>
    <row r="177" spans="1:18" hidden="1">
      <c r="A177" s="12" t="str">
        <f t="shared" si="2"/>
        <v>SERVICIOSMTTO EQ DE COMPUTOMTTO EQ DE COMPUTO</v>
      </c>
      <c r="B177" s="12">
        <v>178</v>
      </c>
      <c r="C177" t="s">
        <v>21</v>
      </c>
      <c r="D177" t="s">
        <v>143</v>
      </c>
      <c r="E177" t="s">
        <v>143</v>
      </c>
      <c r="F177" s="17">
        <v>7076</v>
      </c>
      <c r="G177" s="17">
        <v>1400</v>
      </c>
      <c r="H177" s="17">
        <v>6693</v>
      </c>
      <c r="I177" s="17">
        <v>3389</v>
      </c>
      <c r="J177" s="17">
        <v>9368</v>
      </c>
      <c r="K177" s="17">
        <v>4814</v>
      </c>
      <c r="L177" s="17">
        <v>1561</v>
      </c>
      <c r="M177" s="17">
        <v>980</v>
      </c>
      <c r="N177" s="17">
        <v>27243</v>
      </c>
      <c r="O177" s="17">
        <v>4500</v>
      </c>
      <c r="P177" s="17">
        <v>4500</v>
      </c>
      <c r="Q177" s="17">
        <v>4500</v>
      </c>
      <c r="R177" s="555">
        <v>1000</v>
      </c>
    </row>
    <row r="178" spans="1:18">
      <c r="A178" s="12" t="str">
        <f t="shared" si="2"/>
        <v>HRMTTO EQ DE TRANSPORTEHR</v>
      </c>
      <c r="B178" s="12">
        <v>179</v>
      </c>
      <c r="C178" t="s">
        <v>29</v>
      </c>
      <c r="D178" t="s">
        <v>144</v>
      </c>
      <c r="E178" t="s">
        <v>29</v>
      </c>
      <c r="F178" s="13">
        <v>30000</v>
      </c>
      <c r="G178" s="13">
        <v>0</v>
      </c>
      <c r="H178" s="13">
        <v>0</v>
      </c>
      <c r="I178" s="13">
        <v>18800</v>
      </c>
      <c r="J178" s="13">
        <v>0</v>
      </c>
      <c r="K178" s="13">
        <v>0</v>
      </c>
      <c r="L178" s="13">
        <v>18800</v>
      </c>
      <c r="M178" s="13">
        <v>0</v>
      </c>
      <c r="N178" s="13">
        <v>0</v>
      </c>
      <c r="O178" s="13">
        <v>30000</v>
      </c>
      <c r="P178" s="13">
        <v>0</v>
      </c>
      <c r="Q178" s="13">
        <v>0</v>
      </c>
      <c r="R178" s="13"/>
    </row>
    <row r="179" spans="1:18" hidden="1">
      <c r="A179" s="12" t="str">
        <f t="shared" si="2"/>
        <v>CAPMTTO EQ DE TRANSPORTECAPRICHOS</v>
      </c>
      <c r="B179" s="12">
        <v>180</v>
      </c>
      <c r="C179" t="s">
        <v>31</v>
      </c>
      <c r="D179" t="s">
        <v>144</v>
      </c>
      <c r="E179" t="s">
        <v>33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5">
        <v>6985</v>
      </c>
      <c r="L179" s="15">
        <v>2920</v>
      </c>
      <c r="M179" s="15">
        <v>4280</v>
      </c>
      <c r="N179" s="15">
        <v>4303</v>
      </c>
      <c r="O179" s="15">
        <v>3900</v>
      </c>
      <c r="P179" s="13">
        <v>0</v>
      </c>
      <c r="Q179" s="162">
        <v>8900</v>
      </c>
      <c r="R179" s="556">
        <v>4000</v>
      </c>
    </row>
    <row r="180" spans="1:18" hidden="1">
      <c r="A180" s="12" t="str">
        <f t="shared" si="2"/>
        <v>SERVICIOSMTTO EQ DE TRANSPORTECEDIS</v>
      </c>
      <c r="B180" s="12">
        <v>181</v>
      </c>
      <c r="C180" t="s">
        <v>21</v>
      </c>
      <c r="D180" t="s">
        <v>144</v>
      </c>
      <c r="E180" t="s">
        <v>28</v>
      </c>
      <c r="F180" s="15">
        <v>7000</v>
      </c>
      <c r="G180" s="15">
        <v>7000</v>
      </c>
      <c r="H180" s="15">
        <v>7000</v>
      </c>
      <c r="I180" s="15">
        <v>7000</v>
      </c>
      <c r="J180" s="15">
        <v>7000</v>
      </c>
      <c r="K180" s="15">
        <v>7000</v>
      </c>
      <c r="L180" s="15">
        <v>7000</v>
      </c>
      <c r="M180" s="15">
        <v>7000</v>
      </c>
      <c r="N180" s="15">
        <v>7000</v>
      </c>
      <c r="O180" s="15">
        <v>7000</v>
      </c>
      <c r="P180" s="15">
        <v>7000</v>
      </c>
      <c r="Q180" s="162">
        <v>7000</v>
      </c>
      <c r="R180" s="562">
        <v>10000</v>
      </c>
    </row>
    <row r="181" spans="1:18" hidden="1">
      <c r="A181" s="12" t="str">
        <f t="shared" si="2"/>
        <v>SERVICIOSMTTO EQ DE TRANSPORTESERVICIOS</v>
      </c>
      <c r="B181" s="12">
        <v>182</v>
      </c>
      <c r="C181" t="s">
        <v>21</v>
      </c>
      <c r="D181" t="s">
        <v>144</v>
      </c>
      <c r="E181" t="s">
        <v>21</v>
      </c>
      <c r="F181" s="15">
        <v>25000</v>
      </c>
      <c r="G181" s="13">
        <v>0</v>
      </c>
      <c r="H181" s="15">
        <v>18000</v>
      </c>
      <c r="I181" s="13">
        <v>0</v>
      </c>
      <c r="J181" s="15">
        <v>18000</v>
      </c>
      <c r="K181" s="13">
        <v>0</v>
      </c>
      <c r="L181" s="15">
        <v>25000</v>
      </c>
      <c r="M181" s="13">
        <v>0</v>
      </c>
      <c r="N181" s="15">
        <v>1800</v>
      </c>
      <c r="O181" s="13">
        <v>0</v>
      </c>
      <c r="P181" s="15">
        <v>18000</v>
      </c>
      <c r="Q181" s="162">
        <v>0</v>
      </c>
      <c r="R181" s="555">
        <v>12000</v>
      </c>
    </row>
    <row r="182" spans="1:18" hidden="1">
      <c r="A182" s="12" t="str">
        <f t="shared" si="2"/>
        <v>FINANZASMTTO EQ DE TRANSPORTECONTABILIDAD</v>
      </c>
      <c r="B182" s="12">
        <v>183</v>
      </c>
      <c r="C182" t="s">
        <v>23</v>
      </c>
      <c r="D182" t="s">
        <v>144</v>
      </c>
      <c r="E182" t="s">
        <v>37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62">
        <v>5000</v>
      </c>
      <c r="R182" s="13"/>
    </row>
    <row r="183" spans="1:18" hidden="1">
      <c r="A183" s="12" t="str">
        <f t="shared" si="2"/>
        <v>FINANZASMTTO EQ DE TRANSPORTETESORERIA</v>
      </c>
      <c r="B183" s="12">
        <v>184</v>
      </c>
      <c r="C183" t="s">
        <v>23</v>
      </c>
      <c r="D183" t="s">
        <v>144</v>
      </c>
      <c r="E183" t="s">
        <v>38</v>
      </c>
      <c r="F183" s="15">
        <v>7275</v>
      </c>
      <c r="G183" s="13">
        <v>0</v>
      </c>
      <c r="H183" s="15">
        <v>10416</v>
      </c>
      <c r="I183" s="13">
        <v>0</v>
      </c>
      <c r="J183" s="15">
        <v>2845</v>
      </c>
      <c r="K183" s="15">
        <v>3480</v>
      </c>
      <c r="L183" s="13">
        <v>0</v>
      </c>
      <c r="M183" s="15">
        <v>6030</v>
      </c>
      <c r="N183" s="13">
        <v>0</v>
      </c>
      <c r="O183" s="13">
        <v>0</v>
      </c>
      <c r="P183" s="13">
        <v>0</v>
      </c>
      <c r="Q183" s="15">
        <v>10000</v>
      </c>
      <c r="R183" s="13"/>
    </row>
    <row r="184" spans="1:18" hidden="1">
      <c r="A184" s="12" t="str">
        <f t="shared" si="2"/>
        <v>FINANZASMTTO EQ DE TRANSPORTEFINANZAS</v>
      </c>
      <c r="B184" s="12">
        <v>185</v>
      </c>
      <c r="C184" t="s">
        <v>23</v>
      </c>
      <c r="D184" t="s">
        <v>144</v>
      </c>
      <c r="E184" t="s">
        <v>23</v>
      </c>
      <c r="F184" s="15">
        <v>11000</v>
      </c>
      <c r="G184" s="13">
        <v>0</v>
      </c>
      <c r="H184" s="15">
        <v>6000</v>
      </c>
      <c r="I184" s="15">
        <v>5000</v>
      </c>
      <c r="J184" s="15">
        <v>6000</v>
      </c>
      <c r="K184" s="15">
        <v>10000</v>
      </c>
      <c r="L184" s="15">
        <v>11000</v>
      </c>
      <c r="M184" s="15">
        <v>10000</v>
      </c>
      <c r="N184" s="15">
        <v>6000</v>
      </c>
      <c r="O184" s="15">
        <v>5000</v>
      </c>
      <c r="P184" s="15">
        <v>6000</v>
      </c>
      <c r="Q184" s="162">
        <v>10000</v>
      </c>
      <c r="R184" s="13"/>
    </row>
    <row r="185" spans="1:18" hidden="1">
      <c r="A185" s="12" t="str">
        <f t="shared" si="2"/>
        <v>DEMTTO EQ DE TRANSPORTEDIRECCION</v>
      </c>
      <c r="B185" s="12">
        <v>186</v>
      </c>
      <c r="C185" t="s">
        <v>41</v>
      </c>
      <c r="D185" t="s">
        <v>144</v>
      </c>
      <c r="E185" t="s">
        <v>42</v>
      </c>
      <c r="F185" s="13">
        <v>0</v>
      </c>
      <c r="G185" s="13">
        <v>0</v>
      </c>
      <c r="H185" s="13">
        <v>1715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2500</v>
      </c>
      <c r="P185" s="13">
        <v>0</v>
      </c>
      <c r="Q185" s="13">
        <v>0</v>
      </c>
      <c r="R185" s="13"/>
    </row>
    <row r="186" spans="1:18" hidden="1">
      <c r="A186" s="12" t="str">
        <f t="shared" si="2"/>
        <v>SERVICIOSMTTO MOBILIARIOREPARACION</v>
      </c>
      <c r="B186" s="12">
        <v>187</v>
      </c>
      <c r="C186" t="s">
        <v>21</v>
      </c>
      <c r="D186" t="s">
        <v>145</v>
      </c>
      <c r="E186" t="s">
        <v>146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 s="13"/>
    </row>
    <row r="187" spans="1:18">
      <c r="A187" s="12" t="str">
        <f t="shared" si="2"/>
        <v>HRNOMINA ADMONHR</v>
      </c>
      <c r="B187" s="12">
        <v>188</v>
      </c>
      <c r="C187" s="229" t="s">
        <v>29</v>
      </c>
      <c r="D187" s="230" t="s">
        <v>147</v>
      </c>
      <c r="E187" s="230" t="s">
        <v>29</v>
      </c>
      <c r="F187" s="13">
        <f>212608-10000</f>
        <v>202608</v>
      </c>
      <c r="G187" s="13">
        <f>155405-10000</f>
        <v>145405</v>
      </c>
      <c r="H187" s="13">
        <f>199842-12500</f>
        <v>187342</v>
      </c>
      <c r="I187" s="13">
        <f>158016-10000</f>
        <v>148016</v>
      </c>
      <c r="J187" s="13">
        <f>159814-10000</f>
        <v>149814</v>
      </c>
      <c r="K187" s="13">
        <f>196615-12500</f>
        <v>184115</v>
      </c>
      <c r="L187" s="13">
        <f>152895-10000</f>
        <v>142895</v>
      </c>
      <c r="M187" s="13">
        <f>150164-10000</f>
        <v>140164</v>
      </c>
      <c r="N187" s="13">
        <f>167296-12500</f>
        <v>154796</v>
      </c>
      <c r="O187" s="13">
        <f>156180-10000</f>
        <v>146180</v>
      </c>
      <c r="P187" s="13">
        <f>173105-10000</f>
        <v>163105</v>
      </c>
      <c r="Q187" s="13">
        <f>260475-12500</f>
        <v>247975</v>
      </c>
      <c r="R187" s="554">
        <v>128000</v>
      </c>
    </row>
    <row r="188" spans="1:18" hidden="1">
      <c r="A188" s="12" t="str">
        <f t="shared" si="2"/>
        <v>CAPNOMINA ADMONCAPRICHOS</v>
      </c>
      <c r="B188" s="12">
        <v>189</v>
      </c>
      <c r="C188" t="s">
        <v>31</v>
      </c>
      <c r="D188" s="12" t="s">
        <v>147</v>
      </c>
      <c r="E188" s="12" t="s">
        <v>33</v>
      </c>
      <c r="F188" s="13">
        <v>157155</v>
      </c>
      <c r="G188" s="13">
        <v>118808</v>
      </c>
      <c r="H188" s="13">
        <v>148510</v>
      </c>
      <c r="I188" s="13">
        <v>118808</v>
      </c>
      <c r="J188" s="13">
        <v>118808</v>
      </c>
      <c r="K188" s="13">
        <v>148510</v>
      </c>
      <c r="L188" s="13">
        <v>119285</v>
      </c>
      <c r="M188" s="13">
        <v>118808</v>
      </c>
      <c r="N188" s="13">
        <v>148510</v>
      </c>
      <c r="O188" s="13">
        <v>121194</v>
      </c>
      <c r="P188" s="13">
        <v>123100</v>
      </c>
      <c r="Q188" s="13">
        <v>193549</v>
      </c>
      <c r="R188" s="555">
        <v>110000</v>
      </c>
    </row>
    <row r="189" spans="1:18" hidden="1">
      <c r="A189" s="12" t="str">
        <f t="shared" si="2"/>
        <v>SERVICIOSNOMINA ADMONINVENTARIOS</v>
      </c>
      <c r="B189" s="12">
        <v>190</v>
      </c>
      <c r="C189" t="s">
        <v>21</v>
      </c>
      <c r="D189" s="12" t="s">
        <v>147</v>
      </c>
      <c r="E189" s="12" t="s">
        <v>34</v>
      </c>
      <c r="F189" s="13">
        <f>19200</f>
        <v>19200</v>
      </c>
      <c r="G189" s="13">
        <f>19200</f>
        <v>19200</v>
      </c>
      <c r="H189" s="13">
        <v>24000</v>
      </c>
      <c r="I189" s="13">
        <v>19200</v>
      </c>
      <c r="J189" s="13">
        <v>12000</v>
      </c>
      <c r="K189" s="13">
        <v>15000</v>
      </c>
      <c r="L189" s="13">
        <v>12000</v>
      </c>
      <c r="M189" s="13">
        <v>12000</v>
      </c>
      <c r="N189" s="13">
        <v>15000</v>
      </c>
      <c r="O189" s="13">
        <v>12000</v>
      </c>
      <c r="P189" s="13">
        <v>12000</v>
      </c>
      <c r="Q189" s="13">
        <v>15000</v>
      </c>
      <c r="R189" s="557">
        <v>11200</v>
      </c>
    </row>
    <row r="190" spans="1:18" hidden="1">
      <c r="A190" s="12" t="str">
        <f t="shared" si="2"/>
        <v>SERVICIOSNOMINA ADMONMANTENIMIENTO</v>
      </c>
      <c r="B190" s="12">
        <v>191</v>
      </c>
      <c r="C190" t="s">
        <v>21</v>
      </c>
      <c r="D190" s="12" t="s">
        <v>147</v>
      </c>
      <c r="E190" s="12" t="s">
        <v>35</v>
      </c>
      <c r="F190" s="13">
        <f>36800+1172</f>
        <v>37972</v>
      </c>
      <c r="G190" s="13">
        <f>36800+1172</f>
        <v>37972</v>
      </c>
      <c r="H190" s="13">
        <v>47465</v>
      </c>
      <c r="I190" s="13">
        <v>37972</v>
      </c>
      <c r="J190" s="13">
        <v>37972</v>
      </c>
      <c r="K190" s="13">
        <f>47465+2000</f>
        <v>49465</v>
      </c>
      <c r="L190" s="13">
        <f>37972+2000</f>
        <v>39972</v>
      </c>
      <c r="M190" s="13">
        <f>37972+2000</f>
        <v>39972</v>
      </c>
      <c r="N190" s="13">
        <f>47465+2500</f>
        <v>49965</v>
      </c>
      <c r="O190" s="13">
        <f>37972+2000</f>
        <v>39972</v>
      </c>
      <c r="P190" s="13">
        <f>37972+2000</f>
        <v>39972</v>
      </c>
      <c r="Q190" s="13">
        <f>47465+2500</f>
        <v>49965</v>
      </c>
      <c r="R190" s="555">
        <v>60800</v>
      </c>
    </row>
    <row r="191" spans="1:18" hidden="1">
      <c r="A191" s="12" t="str">
        <f t="shared" si="2"/>
        <v>SERVICIOSNOMINA ADMONCADENA DE SUMINISTROS</v>
      </c>
      <c r="B191" s="12">
        <v>192</v>
      </c>
      <c r="C191" t="s">
        <v>21</v>
      </c>
      <c r="D191" s="12" t="s">
        <v>147</v>
      </c>
      <c r="E191" s="12" t="s">
        <v>134</v>
      </c>
      <c r="F191" s="13">
        <f>80000+ 8032</f>
        <v>88032</v>
      </c>
      <c r="G191" s="13">
        <f>80000+8032</f>
        <v>88032</v>
      </c>
      <c r="H191" s="13">
        <v>110040</v>
      </c>
      <c r="I191" s="13">
        <v>88032</v>
      </c>
      <c r="J191" s="13">
        <v>88032</v>
      </c>
      <c r="K191" s="13">
        <v>110040</v>
      </c>
      <c r="L191" s="13">
        <v>88032</v>
      </c>
      <c r="M191" s="13">
        <v>88032</v>
      </c>
      <c r="N191" s="13">
        <v>110040</v>
      </c>
      <c r="O191" s="13">
        <v>88032</v>
      </c>
      <c r="P191" s="13">
        <v>88032</v>
      </c>
      <c r="Q191" s="13">
        <v>110040</v>
      </c>
      <c r="R191" s="555">
        <v>111200</v>
      </c>
    </row>
    <row r="192" spans="1:18" hidden="1">
      <c r="A192" s="12" t="str">
        <f t="shared" si="2"/>
        <v>SERVICIOSNOMINA ADMONSISTEMAS</v>
      </c>
      <c r="B192" s="12">
        <v>193</v>
      </c>
      <c r="C192" t="s">
        <v>21</v>
      </c>
      <c r="D192" s="12" t="s">
        <v>147</v>
      </c>
      <c r="E192" s="12" t="s">
        <v>36</v>
      </c>
      <c r="F192" s="13">
        <f>23200+8400+12000+1004</f>
        <v>44604</v>
      </c>
      <c r="G192" s="13">
        <f>23200+8400+12000+1004</f>
        <v>44604</v>
      </c>
      <c r="H192" s="13">
        <v>55755</v>
      </c>
      <c r="I192" s="13">
        <v>44604</v>
      </c>
      <c r="J192" s="13">
        <v>44604</v>
      </c>
      <c r="K192" s="13">
        <v>55755</v>
      </c>
      <c r="L192" s="13">
        <v>44604</v>
      </c>
      <c r="M192" s="13">
        <v>44604</v>
      </c>
      <c r="N192" s="13">
        <v>55755</v>
      </c>
      <c r="O192" s="13">
        <f>23200+8400+12000+1004</f>
        <v>44604</v>
      </c>
      <c r="P192" s="13">
        <f>23200+8400+12000+1004</f>
        <v>44604</v>
      </c>
      <c r="Q192" s="13">
        <v>55755</v>
      </c>
      <c r="R192" s="555">
        <v>44604</v>
      </c>
    </row>
    <row r="193" spans="1:18" hidden="1">
      <c r="A193" s="12" t="str">
        <f t="shared" si="2"/>
        <v>SERVICIOSNOMINA ADMONCOMPRAS</v>
      </c>
      <c r="B193" s="12">
        <v>194</v>
      </c>
      <c r="C193" t="s">
        <v>21</v>
      </c>
      <c r="D193" s="12" t="s">
        <v>147</v>
      </c>
      <c r="E193" s="12" t="s">
        <v>148</v>
      </c>
      <c r="F193" s="13">
        <v>76000</v>
      </c>
      <c r="G193" s="13">
        <v>76000</v>
      </c>
      <c r="H193" s="13">
        <v>95000</v>
      </c>
      <c r="I193" s="13">
        <v>76000</v>
      </c>
      <c r="J193" s="13">
        <v>76000</v>
      </c>
      <c r="K193" s="13">
        <v>95000</v>
      </c>
      <c r="L193" s="13">
        <v>76000</v>
      </c>
      <c r="M193" s="13">
        <v>76000</v>
      </c>
      <c r="N193" s="13">
        <v>95000</v>
      </c>
      <c r="O193" s="13">
        <v>76000</v>
      </c>
      <c r="P193" s="13">
        <v>76000</v>
      </c>
      <c r="Q193" s="13">
        <v>95000</v>
      </c>
      <c r="R193" s="555">
        <v>79000</v>
      </c>
    </row>
    <row r="194" spans="1:18" hidden="1">
      <c r="A194" s="12" t="str">
        <f t="shared" si="2"/>
        <v>FINANZASNOMINA ADMONCONTABILIDAD</v>
      </c>
      <c r="B194" s="12">
        <v>195</v>
      </c>
      <c r="C194" t="s">
        <v>23</v>
      </c>
      <c r="D194" s="12" t="s">
        <v>147</v>
      </c>
      <c r="E194" s="12" t="s">
        <v>37</v>
      </c>
      <c r="F194" s="13">
        <f>40000+2008</f>
        <v>42008</v>
      </c>
      <c r="G194" s="13">
        <f>40000+2008</f>
        <v>42008</v>
      </c>
      <c r="H194" s="13">
        <v>52510</v>
      </c>
      <c r="I194" s="13">
        <v>42008</v>
      </c>
      <c r="J194" s="13">
        <v>42008</v>
      </c>
      <c r="K194" s="13">
        <v>52510</v>
      </c>
      <c r="L194" s="13">
        <v>42008</v>
      </c>
      <c r="M194" s="13">
        <v>42008</v>
      </c>
      <c r="N194" s="13">
        <v>52510</v>
      </c>
      <c r="O194" s="13">
        <v>42008</v>
      </c>
      <c r="P194" s="13">
        <v>42008</v>
      </c>
      <c r="Q194" s="13">
        <v>52510</v>
      </c>
      <c r="R194" s="555">
        <v>61000</v>
      </c>
    </row>
    <row r="195" spans="1:18" hidden="1">
      <c r="A195" s="12" t="str">
        <f t="shared" si="2"/>
        <v>FINANZASNOMINA ADMONFINANZAS/LEGAL</v>
      </c>
      <c r="B195" s="12">
        <v>196</v>
      </c>
      <c r="C195" t="s">
        <v>23</v>
      </c>
      <c r="D195" s="12" t="s">
        <v>147</v>
      </c>
      <c r="E195" s="12" t="s">
        <v>149</v>
      </c>
      <c r="F195" s="13">
        <v>40000</v>
      </c>
      <c r="G195" s="13">
        <v>40000</v>
      </c>
      <c r="H195" s="13">
        <v>50000</v>
      </c>
      <c r="I195" s="13">
        <v>40000</v>
      </c>
      <c r="J195" s="13">
        <v>40000</v>
      </c>
      <c r="K195" s="13">
        <v>50000</v>
      </c>
      <c r="L195" s="13">
        <v>40000</v>
      </c>
      <c r="M195" s="13">
        <v>40000</v>
      </c>
      <c r="N195" s="13">
        <v>50000</v>
      </c>
      <c r="O195" s="13">
        <v>40000</v>
      </c>
      <c r="P195" s="13">
        <v>40000</v>
      </c>
      <c r="Q195" s="13">
        <v>50000</v>
      </c>
      <c r="R195" s="555">
        <v>48000</v>
      </c>
    </row>
    <row r="196" spans="1:18" hidden="1">
      <c r="A196" s="12" t="str">
        <f t="shared" si="2"/>
        <v>FINANZASNOMINA ADMONRECURSOS HUMANOS</v>
      </c>
      <c r="B196" s="12">
        <v>197</v>
      </c>
      <c r="C196" t="s">
        <v>23</v>
      </c>
      <c r="D196" s="12" t="s">
        <v>147</v>
      </c>
      <c r="E196" s="12" t="s">
        <v>125</v>
      </c>
      <c r="F196" s="13">
        <f>41200+2008</f>
        <v>43208</v>
      </c>
      <c r="G196" s="13">
        <f>41200+2008</f>
        <v>43208</v>
      </c>
      <c r="H196" s="13">
        <v>54010</v>
      </c>
      <c r="I196" s="13">
        <v>43208</v>
      </c>
      <c r="J196" s="13">
        <v>43208</v>
      </c>
      <c r="K196" s="13">
        <v>54010</v>
      </c>
      <c r="L196" s="13">
        <v>43208</v>
      </c>
      <c r="M196" s="13">
        <v>43208</v>
      </c>
      <c r="N196" s="13">
        <v>54010</v>
      </c>
      <c r="O196" s="13">
        <v>43208</v>
      </c>
      <c r="P196" s="13">
        <v>43208</v>
      </c>
      <c r="Q196" s="13">
        <v>54010</v>
      </c>
      <c r="R196" s="555">
        <v>44000</v>
      </c>
    </row>
    <row r="197" spans="1:18" hidden="1">
      <c r="A197" s="12" t="str">
        <f t="shared" si="2"/>
        <v>FINANZASNOMINA ADMONTESORERIA</v>
      </c>
      <c r="B197" s="12">
        <v>198</v>
      </c>
      <c r="C197" s="229" t="s">
        <v>23</v>
      </c>
      <c r="D197" s="230" t="s">
        <v>147</v>
      </c>
      <c r="E197" s="230" t="s">
        <v>38</v>
      </c>
      <c r="F197" s="13">
        <f>49784</f>
        <v>49784</v>
      </c>
      <c r="G197" s="13">
        <f>36184+10000+3012</f>
        <v>49196</v>
      </c>
      <c r="H197" s="13">
        <v>61495</v>
      </c>
      <c r="I197" s="13">
        <v>49196</v>
      </c>
      <c r="J197" s="13">
        <v>49196</v>
      </c>
      <c r="K197" s="13">
        <v>61495</v>
      </c>
      <c r="L197" s="13">
        <v>49196</v>
      </c>
      <c r="M197" s="13">
        <v>49196</v>
      </c>
      <c r="N197" s="13">
        <v>61495</v>
      </c>
      <c r="O197" s="13">
        <v>49196</v>
      </c>
      <c r="P197" s="13">
        <v>49196</v>
      </c>
      <c r="Q197" s="13">
        <v>61495</v>
      </c>
      <c r="R197" s="555">
        <v>49000</v>
      </c>
    </row>
    <row r="198" spans="1:18" hidden="1">
      <c r="A198" s="12" t="str">
        <f t="shared" si="2"/>
        <v>FINANZASNOMINA ADMONHBG FINANZAS</v>
      </c>
      <c r="B198" s="12">
        <v>199</v>
      </c>
      <c r="C198" t="s">
        <v>23</v>
      </c>
      <c r="D198" s="12" t="s">
        <v>147</v>
      </c>
      <c r="E198" s="12" t="s">
        <v>150</v>
      </c>
      <c r="F198" s="13">
        <v>65000</v>
      </c>
      <c r="G198" s="13">
        <v>54000</v>
      </c>
      <c r="H198" s="13">
        <v>67500</v>
      </c>
      <c r="I198" s="13">
        <v>54000</v>
      </c>
      <c r="J198" s="13">
        <v>54000</v>
      </c>
      <c r="K198" s="13">
        <v>67500</v>
      </c>
      <c r="L198" s="13">
        <v>54000</v>
      </c>
      <c r="M198" s="13">
        <v>54000</v>
      </c>
      <c r="N198" s="13">
        <v>67500</v>
      </c>
      <c r="O198" s="13">
        <v>54000</v>
      </c>
      <c r="P198" s="13">
        <v>54000</v>
      </c>
      <c r="Q198" s="13">
        <v>67500</v>
      </c>
      <c r="R198" s="555">
        <v>54000</v>
      </c>
    </row>
    <row r="199" spans="1:18" hidden="1">
      <c r="A199" s="12" t="str">
        <f t="shared" si="2"/>
        <v>SGENOMINA ADMONGESTION EMPRESARIAL</v>
      </c>
      <c r="B199" s="12">
        <v>200</v>
      </c>
      <c r="C199" t="s">
        <v>39</v>
      </c>
      <c r="D199" s="12" t="s">
        <v>147</v>
      </c>
      <c r="E199" s="12" t="s">
        <v>40</v>
      </c>
      <c r="F199" s="13">
        <f>92800+4016</f>
        <v>96816</v>
      </c>
      <c r="G199" s="13">
        <f>92800+4016</f>
        <v>96816</v>
      </c>
      <c r="H199" s="13">
        <v>121250</v>
      </c>
      <c r="I199" s="13">
        <v>97000</v>
      </c>
      <c r="J199" s="13">
        <v>97000</v>
      </c>
      <c r="K199" s="13">
        <v>121250</v>
      </c>
      <c r="L199" s="13">
        <v>97000</v>
      </c>
      <c r="M199" s="13">
        <v>97000</v>
      </c>
      <c r="N199" s="13">
        <v>121250</v>
      </c>
      <c r="O199" s="13">
        <v>97000</v>
      </c>
      <c r="P199" s="13">
        <v>97000</v>
      </c>
      <c r="Q199" s="13">
        <v>121250</v>
      </c>
      <c r="R199" s="555">
        <v>102000</v>
      </c>
    </row>
    <row r="200" spans="1:18" hidden="1">
      <c r="A200" s="12" t="str">
        <f t="shared" si="2"/>
        <v>DENOMINA ADMONDIRECCION</v>
      </c>
      <c r="B200" s="12">
        <v>201</v>
      </c>
      <c r="C200" t="s">
        <v>41</v>
      </c>
      <c r="D200" s="12" t="s">
        <v>147</v>
      </c>
      <c r="E200" s="12" t="s">
        <v>42</v>
      </c>
      <c r="F200" s="13">
        <v>57750</v>
      </c>
      <c r="G200" s="13">
        <v>52000</v>
      </c>
      <c r="H200" s="13">
        <v>65000</v>
      </c>
      <c r="I200" s="13">
        <v>52000</v>
      </c>
      <c r="J200" s="13">
        <v>67000</v>
      </c>
      <c r="K200" s="13">
        <v>105357</v>
      </c>
      <c r="L200" s="13">
        <v>57750</v>
      </c>
      <c r="M200" s="13">
        <v>40500</v>
      </c>
      <c r="N200" s="13">
        <v>57053</v>
      </c>
      <c r="O200" s="13">
        <v>58250</v>
      </c>
      <c r="P200" s="13">
        <v>82912</v>
      </c>
      <c r="Q200" s="13">
        <v>69500</v>
      </c>
      <c r="R200" s="555">
        <v>62000</v>
      </c>
    </row>
    <row r="201" spans="1:18" hidden="1">
      <c r="A201" s="12" t="str">
        <f t="shared" ref="A201:A263" si="3">C201&amp;D201&amp;E201</f>
        <v>MELNOMINA ADMONMELISSA</v>
      </c>
      <c r="B201" s="12">
        <v>202</v>
      </c>
      <c r="C201" t="s">
        <v>43</v>
      </c>
      <c r="D201" s="12" t="s">
        <v>147</v>
      </c>
      <c r="E201" s="12" t="s">
        <v>44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555">
        <v>26400</v>
      </c>
    </row>
    <row r="202" spans="1:18" hidden="1">
      <c r="A202" s="12" t="str">
        <f t="shared" si="3"/>
        <v>MMNOMINA ADMONMARKET MAX</v>
      </c>
      <c r="B202" s="12">
        <v>203</v>
      </c>
      <c r="C202" t="s">
        <v>45</v>
      </c>
      <c r="D202" s="12" t="s">
        <v>147</v>
      </c>
      <c r="E202" s="12" t="s">
        <v>46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555">
        <v>56000</v>
      </c>
    </row>
    <row r="203" spans="1:18" hidden="1">
      <c r="A203" s="12" t="str">
        <f t="shared" si="3"/>
        <v>FINANZASNOMINA ADMONREPRESENTANTE LEGAL</v>
      </c>
      <c r="B203" s="12">
        <v>204</v>
      </c>
      <c r="C203" t="s">
        <v>23</v>
      </c>
      <c r="D203" t="s">
        <v>147</v>
      </c>
      <c r="E203" t="s">
        <v>151</v>
      </c>
      <c r="F203" s="15">
        <v>8000</v>
      </c>
      <c r="G203" s="15">
        <v>8000</v>
      </c>
      <c r="H203" s="15">
        <v>8000</v>
      </c>
      <c r="I203" s="15">
        <v>8000</v>
      </c>
      <c r="J203" s="15">
        <v>8000</v>
      </c>
      <c r="K203" s="15">
        <v>8000</v>
      </c>
      <c r="L203" s="15">
        <v>8000</v>
      </c>
      <c r="M203" s="15">
        <v>8000</v>
      </c>
      <c r="N203" s="15">
        <v>8000</v>
      </c>
      <c r="O203" s="15">
        <v>8000</v>
      </c>
      <c r="P203" s="15">
        <v>8000</v>
      </c>
      <c r="Q203" s="15">
        <v>8000</v>
      </c>
      <c r="R203" s="558">
        <v>8000</v>
      </c>
    </row>
    <row r="204" spans="1:18" hidden="1">
      <c r="A204" s="12" t="str">
        <f t="shared" si="3"/>
        <v>SERVICIOSNOMINA ADMONSERVICIOS</v>
      </c>
      <c r="B204" s="12">
        <v>205</v>
      </c>
      <c r="C204" t="s">
        <v>21</v>
      </c>
      <c r="D204" t="s">
        <v>147</v>
      </c>
      <c r="E204" t="s">
        <v>21</v>
      </c>
      <c r="F204">
        <f>4750*4</f>
        <v>19000</v>
      </c>
      <c r="G204">
        <f>4750*4</f>
        <v>19000</v>
      </c>
      <c r="H204">
        <f>4750*5</f>
        <v>23750</v>
      </c>
      <c r="I204">
        <f>4750*4</f>
        <v>19000</v>
      </c>
      <c r="J204">
        <f>4750*4</f>
        <v>19000</v>
      </c>
      <c r="K204">
        <f>4750*5</f>
        <v>23750</v>
      </c>
      <c r="L204">
        <f>4750*4</f>
        <v>19000</v>
      </c>
      <c r="M204">
        <f>4750*4</f>
        <v>19000</v>
      </c>
      <c r="N204">
        <f>4750*5</f>
        <v>23750</v>
      </c>
      <c r="O204">
        <f>4750*4</f>
        <v>19000</v>
      </c>
      <c r="P204">
        <f>4750*4</f>
        <v>19000</v>
      </c>
      <c r="Q204">
        <f>4750*5</f>
        <v>23750</v>
      </c>
      <c r="R204" s="555">
        <v>19000</v>
      </c>
    </row>
    <row r="205" spans="1:18" hidden="1">
      <c r="A205" s="12" t="str">
        <f t="shared" si="3"/>
        <v>MKTNOMINA ADMONMKT</v>
      </c>
      <c r="B205" s="12">
        <v>206</v>
      </c>
      <c r="C205" t="s">
        <v>19</v>
      </c>
      <c r="D205" s="12" t="s">
        <v>147</v>
      </c>
      <c r="E205" t="s">
        <v>19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 s="554">
        <v>100000</v>
      </c>
    </row>
    <row r="206" spans="1:18" hidden="1">
      <c r="A206" s="12" t="str">
        <f t="shared" si="3"/>
        <v>ANALISISNOMINA ADMONANALISIS DE DATOS</v>
      </c>
      <c r="B206" s="12">
        <v>207</v>
      </c>
      <c r="C206" t="s">
        <v>152</v>
      </c>
      <c r="D206" s="12" t="s">
        <v>147</v>
      </c>
      <c r="E206" t="s">
        <v>153</v>
      </c>
      <c r="F206">
        <f>5000*4</f>
        <v>20000</v>
      </c>
      <c r="G206">
        <f>5000*4</f>
        <v>20000</v>
      </c>
      <c r="H206">
        <f>5000*5</f>
        <v>25000</v>
      </c>
      <c r="I206">
        <f>5000*4</f>
        <v>20000</v>
      </c>
      <c r="J206">
        <f>5000*4</f>
        <v>20000</v>
      </c>
      <c r="K206">
        <f>5000*5</f>
        <v>25000</v>
      </c>
      <c r="L206">
        <f>5000*4</f>
        <v>20000</v>
      </c>
      <c r="M206">
        <f>5000*4</f>
        <v>20000</v>
      </c>
      <c r="N206">
        <f>5000*5</f>
        <v>25000</v>
      </c>
      <c r="O206">
        <f>5000*4</f>
        <v>20000</v>
      </c>
      <c r="P206">
        <f>5000*4</f>
        <v>20000</v>
      </c>
      <c r="Q206">
        <f>5000*5</f>
        <v>25000</v>
      </c>
      <c r="R206" s="554">
        <v>20000</v>
      </c>
    </row>
    <row r="207" spans="1:18">
      <c r="A207" s="12" t="str">
        <f t="shared" si="3"/>
        <v>HRNOMINA SUCURSALA1</v>
      </c>
      <c r="B207" s="12">
        <v>208</v>
      </c>
      <c r="C207" t="s">
        <v>29</v>
      </c>
      <c r="D207" s="12" t="s">
        <v>154</v>
      </c>
      <c r="E207" s="12" t="s">
        <v>88</v>
      </c>
      <c r="F207" s="13">
        <f>45079+4380</f>
        <v>49459</v>
      </c>
      <c r="G207" s="13">
        <f>45079+4380</f>
        <v>49459</v>
      </c>
      <c r="H207" s="246">
        <v>61823.75</v>
      </c>
      <c r="I207" s="246">
        <v>49459</v>
      </c>
      <c r="J207" s="246">
        <v>49459</v>
      </c>
      <c r="K207" s="13">
        <v>61823.75</v>
      </c>
      <c r="L207" s="246">
        <v>49459</v>
      </c>
      <c r="M207" s="246">
        <v>49459</v>
      </c>
      <c r="N207" s="13">
        <v>61823.75</v>
      </c>
      <c r="O207" s="246">
        <v>49459</v>
      </c>
      <c r="P207" s="246">
        <v>49459</v>
      </c>
      <c r="Q207" s="13">
        <v>91810</v>
      </c>
      <c r="R207" s="554">
        <v>50068</v>
      </c>
    </row>
    <row r="208" spans="1:18">
      <c r="A208" s="12" t="str">
        <f t="shared" si="3"/>
        <v>HRNOMINA SUCURSALA2</v>
      </c>
      <c r="B208" s="12">
        <v>209</v>
      </c>
      <c r="C208" t="s">
        <v>29</v>
      </c>
      <c r="D208" s="12" t="s">
        <v>154</v>
      </c>
      <c r="E208" s="12" t="s">
        <v>89</v>
      </c>
      <c r="F208" s="13">
        <f>44752+3504</f>
        <v>48256</v>
      </c>
      <c r="G208" s="13">
        <f>44752+3504</f>
        <v>48256</v>
      </c>
      <c r="H208" s="246">
        <v>60320</v>
      </c>
      <c r="I208" s="246">
        <v>48256</v>
      </c>
      <c r="J208" s="246">
        <v>48256</v>
      </c>
      <c r="K208" s="13">
        <v>60320</v>
      </c>
      <c r="L208" s="246">
        <v>48256</v>
      </c>
      <c r="M208" s="246">
        <v>48256</v>
      </c>
      <c r="N208" s="13">
        <v>60320</v>
      </c>
      <c r="O208" s="246">
        <v>48256</v>
      </c>
      <c r="P208" s="246">
        <v>48256</v>
      </c>
      <c r="Q208" s="13">
        <v>84102</v>
      </c>
      <c r="R208" s="554">
        <v>59629</v>
      </c>
    </row>
    <row r="209" spans="1:18">
      <c r="A209" s="12" t="str">
        <f t="shared" si="3"/>
        <v>HRNOMINA SUCURSALA3</v>
      </c>
      <c r="B209" s="12">
        <v>210</v>
      </c>
      <c r="C209" t="s">
        <v>29</v>
      </c>
      <c r="D209" s="12" t="s">
        <v>154</v>
      </c>
      <c r="E209" s="12" t="s">
        <v>90</v>
      </c>
      <c r="F209" s="13">
        <f>52022+3504</f>
        <v>55526</v>
      </c>
      <c r="G209" s="13">
        <f>52022+3504</f>
        <v>55526</v>
      </c>
      <c r="H209" s="246">
        <v>55000</v>
      </c>
      <c r="I209" s="246">
        <v>44000</v>
      </c>
      <c r="J209" s="246">
        <v>44000</v>
      </c>
      <c r="K209" s="13">
        <v>55000</v>
      </c>
      <c r="L209" s="246">
        <v>44000</v>
      </c>
      <c r="M209" s="246">
        <v>44000</v>
      </c>
      <c r="N209" s="13">
        <v>55000</v>
      </c>
      <c r="O209" s="246">
        <v>44000</v>
      </c>
      <c r="P209" s="246">
        <v>44000</v>
      </c>
      <c r="Q209" s="13">
        <v>65720</v>
      </c>
      <c r="R209" s="554">
        <v>43560</v>
      </c>
    </row>
    <row r="210" spans="1:18">
      <c r="A210" s="12" t="str">
        <f t="shared" si="3"/>
        <v>HRNOMINA SUCURSALA4</v>
      </c>
      <c r="B210" s="12">
        <v>211</v>
      </c>
      <c r="C210" t="s">
        <v>29</v>
      </c>
      <c r="D210" s="12" t="s">
        <v>154</v>
      </c>
      <c r="E210" s="12" t="s">
        <v>91</v>
      </c>
      <c r="F210" s="13">
        <f>37082+1752</f>
        <v>38834</v>
      </c>
      <c r="G210" s="13">
        <f>37082+1752</f>
        <v>38834</v>
      </c>
      <c r="H210" s="246">
        <v>48542.5</v>
      </c>
      <c r="I210" s="246">
        <v>38834</v>
      </c>
      <c r="J210" s="246">
        <v>38834</v>
      </c>
      <c r="K210" s="13">
        <v>48542.5</v>
      </c>
      <c r="L210" s="246">
        <v>38834</v>
      </c>
      <c r="M210" s="246">
        <v>38834</v>
      </c>
      <c r="N210" s="13">
        <v>48542.5</v>
      </c>
      <c r="O210" s="246">
        <v>38834</v>
      </c>
      <c r="P210" s="246">
        <v>38834</v>
      </c>
      <c r="Q210" s="13">
        <v>65312</v>
      </c>
      <c r="R210" s="554">
        <v>46945</v>
      </c>
    </row>
    <row r="211" spans="1:18">
      <c r="A211" s="12" t="str">
        <f t="shared" si="3"/>
        <v>HRNOMINA SUCURSALA5</v>
      </c>
      <c r="B211" s="12">
        <v>212</v>
      </c>
      <c r="C211" t="s">
        <v>29</v>
      </c>
      <c r="D211" s="12" t="s">
        <v>154</v>
      </c>
      <c r="E211" s="12" t="s">
        <v>92</v>
      </c>
      <c r="F211" s="13">
        <f>57622+4380</f>
        <v>62002</v>
      </c>
      <c r="G211" s="13">
        <f>57622+4380</f>
        <v>62002</v>
      </c>
      <c r="H211" s="246">
        <v>55000</v>
      </c>
      <c r="I211" s="246">
        <v>44000</v>
      </c>
      <c r="J211" s="246">
        <v>44000</v>
      </c>
      <c r="K211" s="13">
        <v>55000</v>
      </c>
      <c r="L211" s="246">
        <v>44000</v>
      </c>
      <c r="M211" s="246">
        <v>44000</v>
      </c>
      <c r="N211" s="13">
        <v>55000</v>
      </c>
      <c r="O211" s="246">
        <v>44000</v>
      </c>
      <c r="P211" s="246">
        <v>44000</v>
      </c>
      <c r="Q211" s="13">
        <v>90104</v>
      </c>
      <c r="R211" s="554">
        <v>53910</v>
      </c>
    </row>
    <row r="212" spans="1:18">
      <c r="A212" s="12" t="str">
        <f t="shared" si="3"/>
        <v>HRNOMINA SUCURSALA6</v>
      </c>
      <c r="B212" s="12">
        <v>213</v>
      </c>
      <c r="C212" t="s">
        <v>29</v>
      </c>
      <c r="D212" s="12" t="s">
        <v>154</v>
      </c>
      <c r="E212" s="12" t="s">
        <v>93</v>
      </c>
      <c r="F212" s="13">
        <f>76234+3504</f>
        <v>79738</v>
      </c>
      <c r="G212" s="13">
        <f>76234+3504</f>
        <v>79738</v>
      </c>
      <c r="H212" s="246">
        <v>80000</v>
      </c>
      <c r="I212" s="246">
        <v>64000</v>
      </c>
      <c r="J212" s="246">
        <v>64000</v>
      </c>
      <c r="K212" s="13">
        <v>80000</v>
      </c>
      <c r="L212" s="246">
        <v>64000</v>
      </c>
      <c r="M212" s="246">
        <v>64000</v>
      </c>
      <c r="N212" s="13">
        <v>80000</v>
      </c>
      <c r="O212" s="246">
        <v>64000</v>
      </c>
      <c r="P212" s="246">
        <v>64000</v>
      </c>
      <c r="Q212" s="13">
        <v>93033</v>
      </c>
      <c r="R212" s="554">
        <v>58500</v>
      </c>
    </row>
    <row r="213" spans="1:18">
      <c r="A213" s="12" t="str">
        <f t="shared" si="3"/>
        <v>HRNOMINA SUCURSALA8</v>
      </c>
      <c r="B213" s="12">
        <v>214</v>
      </c>
      <c r="C213" t="s">
        <v>29</v>
      </c>
      <c r="D213" s="12" t="s">
        <v>154</v>
      </c>
      <c r="E213" s="12" t="s">
        <v>94</v>
      </c>
      <c r="F213" s="13">
        <f>68022+7008</f>
        <v>75030</v>
      </c>
      <c r="G213" s="13">
        <f>68022+7008</f>
        <v>75030</v>
      </c>
      <c r="H213" s="246">
        <v>93787.5</v>
      </c>
      <c r="I213" s="246">
        <v>75030</v>
      </c>
      <c r="J213" s="246">
        <v>75030</v>
      </c>
      <c r="K213" s="13">
        <v>93787.5</v>
      </c>
      <c r="L213" s="246">
        <v>75030</v>
      </c>
      <c r="M213" s="246">
        <v>75030</v>
      </c>
      <c r="N213" s="13">
        <v>93787.5</v>
      </c>
      <c r="O213" s="246">
        <v>75030</v>
      </c>
      <c r="P213" s="246">
        <v>75030</v>
      </c>
      <c r="Q213" s="13">
        <v>140522</v>
      </c>
      <c r="R213" s="554">
        <v>65170</v>
      </c>
    </row>
    <row r="214" spans="1:18">
      <c r="A214" s="12" t="str">
        <f t="shared" si="3"/>
        <v>HRNOMINA SUCURSALA9</v>
      </c>
      <c r="B214" s="12">
        <v>215</v>
      </c>
      <c r="C214" t="s">
        <v>29</v>
      </c>
      <c r="D214" s="12" t="s">
        <v>154</v>
      </c>
      <c r="E214" s="12" t="s">
        <v>95</v>
      </c>
      <c r="F214" s="13">
        <f>57622+3504</f>
        <v>61126</v>
      </c>
      <c r="G214" s="13">
        <f>57622+3504</f>
        <v>61126</v>
      </c>
      <c r="H214" s="246">
        <v>62500</v>
      </c>
      <c r="I214" s="246">
        <v>50000</v>
      </c>
      <c r="J214" s="246">
        <v>50000</v>
      </c>
      <c r="K214" s="13">
        <v>62500</v>
      </c>
      <c r="L214" s="246">
        <v>50000</v>
      </c>
      <c r="M214" s="246">
        <v>50000</v>
      </c>
      <c r="N214" s="13">
        <v>62500</v>
      </c>
      <c r="O214" s="246">
        <v>50000</v>
      </c>
      <c r="P214" s="246">
        <v>50000</v>
      </c>
      <c r="Q214" s="13">
        <v>92043</v>
      </c>
      <c r="R214" s="554">
        <v>45334</v>
      </c>
    </row>
    <row r="215" spans="1:18">
      <c r="A215" s="12" t="str">
        <f t="shared" si="3"/>
        <v>HRNOMINA SUCURSALA10</v>
      </c>
      <c r="B215" s="12">
        <v>216</v>
      </c>
      <c r="C215" t="s">
        <v>29</v>
      </c>
      <c r="D215" s="12" t="s">
        <v>154</v>
      </c>
      <c r="E215" s="12" t="s">
        <v>96</v>
      </c>
      <c r="F215" s="13">
        <f>82163+7008</f>
        <v>89171</v>
      </c>
      <c r="G215" s="13">
        <f>82163+7008</f>
        <v>89171</v>
      </c>
      <c r="H215" s="246">
        <v>111463.75</v>
      </c>
      <c r="I215" s="246">
        <v>89171</v>
      </c>
      <c r="J215" s="246">
        <v>72000</v>
      </c>
      <c r="K215" s="13">
        <v>90000</v>
      </c>
      <c r="L215" s="246">
        <v>72000</v>
      </c>
      <c r="M215" s="246">
        <v>72000</v>
      </c>
      <c r="N215" s="13">
        <v>90000</v>
      </c>
      <c r="O215" s="246">
        <v>72000</v>
      </c>
      <c r="P215" s="246">
        <v>72000</v>
      </c>
      <c r="Q215" s="13">
        <v>150602</v>
      </c>
      <c r="R215" s="554">
        <v>74175</v>
      </c>
    </row>
    <row r="216" spans="1:18">
      <c r="A216" s="12" t="str">
        <f t="shared" si="3"/>
        <v>HRNOMINA SUCURSALA11</v>
      </c>
      <c r="B216" s="12">
        <v>218</v>
      </c>
      <c r="C216" t="s">
        <v>29</v>
      </c>
      <c r="D216" s="12" t="s">
        <v>154</v>
      </c>
      <c r="E216" s="12" t="s">
        <v>97</v>
      </c>
      <c r="F216" s="13">
        <f>53622+3504</f>
        <v>57126</v>
      </c>
      <c r="G216" s="13">
        <f>53622+3504</f>
        <v>57126</v>
      </c>
      <c r="H216" s="246">
        <v>71407.5</v>
      </c>
      <c r="I216" s="246">
        <v>57126</v>
      </c>
      <c r="J216" s="246">
        <v>57126</v>
      </c>
      <c r="K216" s="13">
        <v>71407.5</v>
      </c>
      <c r="L216" s="246">
        <v>57126</v>
      </c>
      <c r="M216" s="246">
        <v>57126</v>
      </c>
      <c r="N216" s="13">
        <v>71407.5</v>
      </c>
      <c r="O216" s="246">
        <v>57126</v>
      </c>
      <c r="P216" s="246">
        <v>57126</v>
      </c>
      <c r="Q216" s="13">
        <v>84189</v>
      </c>
      <c r="R216" s="554">
        <v>60628</v>
      </c>
    </row>
    <row r="217" spans="1:18">
      <c r="A217" s="12" t="str">
        <f t="shared" si="3"/>
        <v>HRNOMINA SUCURSALA12</v>
      </c>
      <c r="B217" s="12">
        <v>219</v>
      </c>
      <c r="C217" t="s">
        <v>29</v>
      </c>
      <c r="D217" s="12" t="s">
        <v>154</v>
      </c>
      <c r="E217" s="12" t="s">
        <v>98</v>
      </c>
      <c r="F217" s="13">
        <f>79293+9636</f>
        <v>88929</v>
      </c>
      <c r="G217" s="13">
        <f>79293+9636</f>
        <v>88929</v>
      </c>
      <c r="H217" s="246">
        <v>111161.25</v>
      </c>
      <c r="I217" s="246">
        <v>88929</v>
      </c>
      <c r="J217" s="246">
        <v>76000</v>
      </c>
      <c r="K217" s="13">
        <v>95000</v>
      </c>
      <c r="L217" s="246">
        <v>76000</v>
      </c>
      <c r="M217" s="246">
        <v>76000</v>
      </c>
      <c r="N217" s="13">
        <v>95000</v>
      </c>
      <c r="O217" s="246">
        <v>76000</v>
      </c>
      <c r="P217" s="246">
        <v>76000</v>
      </c>
      <c r="Q217" s="13">
        <v>169461</v>
      </c>
      <c r="R217" s="554">
        <v>69744</v>
      </c>
    </row>
    <row r="218" spans="1:18">
      <c r="A218" s="12" t="str">
        <f t="shared" si="3"/>
        <v>HRNOMINA SUCURSALA14</v>
      </c>
      <c r="B218" s="12">
        <v>220</v>
      </c>
      <c r="C218" t="s">
        <v>29</v>
      </c>
      <c r="D218" s="12" t="s">
        <v>154</v>
      </c>
      <c r="E218" s="12" t="s">
        <v>99</v>
      </c>
      <c r="F218" s="13">
        <f>47152+2628</f>
        <v>49780</v>
      </c>
      <c r="G218" s="13">
        <f>47152+2628</f>
        <v>49780</v>
      </c>
      <c r="H218" s="246">
        <v>62225</v>
      </c>
      <c r="I218" s="246">
        <v>49780</v>
      </c>
      <c r="J218" s="246">
        <v>49780</v>
      </c>
      <c r="K218" s="13">
        <v>62225</v>
      </c>
      <c r="L218" s="246">
        <v>49780</v>
      </c>
      <c r="M218" s="246">
        <v>49780</v>
      </c>
      <c r="N218" s="13">
        <v>62225</v>
      </c>
      <c r="O218" s="246">
        <v>49780</v>
      </c>
      <c r="P218" s="246">
        <v>49780</v>
      </c>
      <c r="Q218" s="13">
        <v>96862</v>
      </c>
      <c r="R218" s="554">
        <v>61123</v>
      </c>
    </row>
    <row r="219" spans="1:18">
      <c r="A219" s="12" t="str">
        <f t="shared" si="3"/>
        <v>HRNOMINA SUCURSALA15</v>
      </c>
      <c r="B219" s="12">
        <v>221</v>
      </c>
      <c r="C219" t="s">
        <v>29</v>
      </c>
      <c r="D219" s="12" t="s">
        <v>154</v>
      </c>
      <c r="E219" s="12" t="s">
        <v>100</v>
      </c>
      <c r="F219" s="13">
        <f>51152+3504</f>
        <v>54656</v>
      </c>
      <c r="G219" s="13">
        <f>51152+3504</f>
        <v>54656</v>
      </c>
      <c r="H219" s="246">
        <v>68320</v>
      </c>
      <c r="I219" s="246">
        <v>54656</v>
      </c>
      <c r="J219" s="246">
        <v>54656</v>
      </c>
      <c r="K219" s="13">
        <v>68320</v>
      </c>
      <c r="L219" s="246">
        <v>54656</v>
      </c>
      <c r="M219" s="246">
        <v>54656</v>
      </c>
      <c r="N219" s="13">
        <v>68320</v>
      </c>
      <c r="O219" s="246">
        <v>54656</v>
      </c>
      <c r="P219" s="246">
        <v>54656</v>
      </c>
      <c r="Q219" s="13">
        <v>69901</v>
      </c>
      <c r="R219" s="554">
        <v>48062</v>
      </c>
    </row>
    <row r="220" spans="1:18">
      <c r="A220" s="12" t="str">
        <f t="shared" si="3"/>
        <v>HRNOMINA SUCURSALA16</v>
      </c>
      <c r="B220" s="12">
        <v>222</v>
      </c>
      <c r="C220" t="s">
        <v>29</v>
      </c>
      <c r="D220" s="12" t="s">
        <v>154</v>
      </c>
      <c r="E220" s="12" t="s">
        <v>101</v>
      </c>
      <c r="F220" s="13">
        <f>44752+4752</f>
        <v>49504</v>
      </c>
      <c r="G220" s="13">
        <f>44752+4752</f>
        <v>49504</v>
      </c>
      <c r="H220" s="246">
        <v>80000</v>
      </c>
      <c r="I220" s="246">
        <v>64000</v>
      </c>
      <c r="J220" s="246">
        <v>64000</v>
      </c>
      <c r="K220" s="13">
        <v>80000</v>
      </c>
      <c r="L220" s="246">
        <v>64000</v>
      </c>
      <c r="M220" s="246">
        <v>64000</v>
      </c>
      <c r="N220" s="13">
        <v>80000</v>
      </c>
      <c r="O220" s="246">
        <v>64000</v>
      </c>
      <c r="P220" s="246">
        <v>64000</v>
      </c>
      <c r="Q220" s="13">
        <v>106047</v>
      </c>
      <c r="R220" s="554">
        <v>72253</v>
      </c>
    </row>
    <row r="221" spans="1:18">
      <c r="A221" s="12" t="str">
        <f t="shared" si="3"/>
        <v>HRNOMINA SUCURSALA17</v>
      </c>
      <c r="B221" s="12">
        <v>223</v>
      </c>
      <c r="C221" t="s">
        <v>29</v>
      </c>
      <c r="D221" s="12" t="s">
        <v>154</v>
      </c>
      <c r="E221" s="12" t="s">
        <v>102</v>
      </c>
      <c r="F221" s="13">
        <f>63409+2628</f>
        <v>66037</v>
      </c>
      <c r="G221" s="13">
        <f>63409+2628</f>
        <v>66037</v>
      </c>
      <c r="H221" s="246">
        <v>60000</v>
      </c>
      <c r="I221" s="246">
        <v>48000</v>
      </c>
      <c r="J221" s="246">
        <v>48000</v>
      </c>
      <c r="K221" s="13">
        <v>60000</v>
      </c>
      <c r="L221" s="246">
        <v>48000</v>
      </c>
      <c r="M221" s="246">
        <v>48000</v>
      </c>
      <c r="N221" s="13">
        <v>60000</v>
      </c>
      <c r="O221" s="246">
        <v>48000</v>
      </c>
      <c r="P221" s="246">
        <v>48000</v>
      </c>
      <c r="Q221" s="13">
        <v>86581</v>
      </c>
      <c r="R221" s="554">
        <v>49285</v>
      </c>
    </row>
    <row r="222" spans="1:18">
      <c r="A222" s="12" t="str">
        <f t="shared" si="3"/>
        <v>HRNOMINA SUCURSALA18</v>
      </c>
      <c r="B222" s="12">
        <v>224</v>
      </c>
      <c r="C222" t="s">
        <v>29</v>
      </c>
      <c r="D222" s="12" t="s">
        <v>154</v>
      </c>
      <c r="E222" s="12" t="s">
        <v>103</v>
      </c>
      <c r="F222" s="13">
        <f>40282+5256</f>
        <v>45538</v>
      </c>
      <c r="G222" s="13">
        <f>40282+5256</f>
        <v>45538</v>
      </c>
      <c r="H222" s="246">
        <v>56922.5</v>
      </c>
      <c r="I222" s="246">
        <v>45538</v>
      </c>
      <c r="J222" s="246">
        <v>45538</v>
      </c>
      <c r="K222" s="13">
        <v>56922.5</v>
      </c>
      <c r="L222" s="246">
        <v>45538</v>
      </c>
      <c r="M222" s="246">
        <v>45538</v>
      </c>
      <c r="N222" s="13">
        <v>56922.5</v>
      </c>
      <c r="O222" s="246">
        <v>45538</v>
      </c>
      <c r="P222" s="246">
        <v>45538</v>
      </c>
      <c r="Q222" s="13">
        <v>102021</v>
      </c>
      <c r="R222" s="554">
        <v>60493</v>
      </c>
    </row>
    <row r="223" spans="1:18">
      <c r="A223" s="12" t="str">
        <f t="shared" si="3"/>
        <v>HRNOMINA SUCURSALA22</v>
      </c>
      <c r="B223" s="12">
        <v>225</v>
      </c>
      <c r="C223" t="s">
        <v>29</v>
      </c>
      <c r="D223" s="12" t="s">
        <v>154</v>
      </c>
      <c r="E223" s="12" t="s">
        <v>104</v>
      </c>
      <c r="F223" s="13">
        <f>69763+3504</f>
        <v>73267</v>
      </c>
      <c r="G223" s="13">
        <f>69763+3504</f>
        <v>73267</v>
      </c>
      <c r="H223" s="246">
        <v>70000</v>
      </c>
      <c r="I223" s="246">
        <v>56000</v>
      </c>
      <c r="J223" s="246">
        <v>56000</v>
      </c>
      <c r="K223" s="13">
        <v>70000</v>
      </c>
      <c r="L223" s="246">
        <v>56000</v>
      </c>
      <c r="M223" s="246">
        <v>56000</v>
      </c>
      <c r="N223" s="13">
        <v>70000</v>
      </c>
      <c r="O223" s="246">
        <v>56000</v>
      </c>
      <c r="P223" s="246">
        <v>56000</v>
      </c>
      <c r="Q223" s="13">
        <v>94189</v>
      </c>
      <c r="R223" s="554">
        <v>67379</v>
      </c>
    </row>
    <row r="224" spans="1:18">
      <c r="A224" s="12" t="str">
        <f t="shared" si="3"/>
        <v>HRNOMINA SUCURSALA23</v>
      </c>
      <c r="B224" s="12">
        <v>226</v>
      </c>
      <c r="C224" t="s">
        <v>29</v>
      </c>
      <c r="D224" s="12" t="s">
        <v>154</v>
      </c>
      <c r="E224" s="12" t="s">
        <v>105</v>
      </c>
      <c r="F224" s="13">
        <f>55622+4380</f>
        <v>60002</v>
      </c>
      <c r="G224" s="13">
        <f>55622+4380</f>
        <v>60002</v>
      </c>
      <c r="H224" s="246">
        <v>65000</v>
      </c>
      <c r="I224" s="246">
        <v>52000</v>
      </c>
      <c r="J224" s="246">
        <v>52000</v>
      </c>
      <c r="K224" s="13">
        <v>65000</v>
      </c>
      <c r="L224" s="246">
        <v>52000</v>
      </c>
      <c r="M224" s="246">
        <v>52000</v>
      </c>
      <c r="N224" s="13">
        <v>65000</v>
      </c>
      <c r="O224" s="246">
        <v>52000</v>
      </c>
      <c r="P224" s="246">
        <v>52000</v>
      </c>
      <c r="Q224" s="13">
        <v>90277</v>
      </c>
      <c r="R224" s="554">
        <v>48793</v>
      </c>
    </row>
    <row r="225" spans="1:18">
      <c r="A225" s="12" t="str">
        <f t="shared" si="3"/>
        <v>HRNOMINA SUCURSALA24</v>
      </c>
      <c r="B225" s="12">
        <v>227</v>
      </c>
      <c r="C225" t="s">
        <v>29</v>
      </c>
      <c r="D225" s="12" t="s">
        <v>154</v>
      </c>
      <c r="E225" s="12" t="s">
        <v>106</v>
      </c>
      <c r="F225" s="13">
        <f>71732+4380</f>
        <v>76112</v>
      </c>
      <c r="G225" s="13">
        <f>71732+4380</f>
        <v>76112</v>
      </c>
      <c r="H225" s="246">
        <v>95140</v>
      </c>
      <c r="I225" s="246">
        <v>76112</v>
      </c>
      <c r="J225" s="246">
        <v>64000</v>
      </c>
      <c r="K225" s="13">
        <v>80000</v>
      </c>
      <c r="L225" s="246">
        <v>64000</v>
      </c>
      <c r="M225" s="246">
        <v>64000</v>
      </c>
      <c r="N225" s="13">
        <v>80000</v>
      </c>
      <c r="O225" s="246">
        <v>64000</v>
      </c>
      <c r="P225" s="246">
        <v>64000</v>
      </c>
      <c r="Q225" s="13">
        <v>145475</v>
      </c>
      <c r="R225" s="554">
        <v>70746</v>
      </c>
    </row>
    <row r="226" spans="1:18" hidden="1">
      <c r="A226" s="12" t="str">
        <f t="shared" si="3"/>
        <v>CAPNOMINA SUCURSALE1</v>
      </c>
      <c r="B226" s="12">
        <v>228</v>
      </c>
      <c r="C226" t="s">
        <v>31</v>
      </c>
      <c r="D226" s="12" t="s">
        <v>154</v>
      </c>
      <c r="E226" s="12" t="s">
        <v>107</v>
      </c>
      <c r="F226" s="13">
        <f>55000+5256</f>
        <v>60256</v>
      </c>
      <c r="G226" s="13">
        <v>60256</v>
      </c>
      <c r="H226" s="13">
        <v>75320</v>
      </c>
      <c r="I226" s="13">
        <v>60256</v>
      </c>
      <c r="J226" s="246">
        <v>60256</v>
      </c>
      <c r="K226" s="13">
        <v>75320</v>
      </c>
      <c r="L226" s="13">
        <v>60256</v>
      </c>
      <c r="M226" s="13">
        <v>60256</v>
      </c>
      <c r="N226" s="13">
        <v>75320</v>
      </c>
      <c r="O226" s="13">
        <v>60256</v>
      </c>
      <c r="P226" s="13">
        <v>60256</v>
      </c>
      <c r="Q226" s="13">
        <v>111631</v>
      </c>
      <c r="R226" s="554">
        <v>68935</v>
      </c>
    </row>
    <row r="227" spans="1:18" hidden="1">
      <c r="A227" s="12" t="str">
        <f t="shared" si="3"/>
        <v>CAPNOMINA SUCURSALE2</v>
      </c>
      <c r="B227" s="12">
        <v>229</v>
      </c>
      <c r="C227" t="s">
        <v>31</v>
      </c>
      <c r="D227" s="12" t="s">
        <v>154</v>
      </c>
      <c r="E227" s="12" t="s">
        <v>108</v>
      </c>
      <c r="F227" s="231">
        <f>105200+7884</f>
        <v>113084</v>
      </c>
      <c r="G227" s="13">
        <v>92000</v>
      </c>
      <c r="H227" s="13">
        <v>115000</v>
      </c>
      <c r="I227" s="13">
        <v>92000</v>
      </c>
      <c r="J227" s="246">
        <v>64000</v>
      </c>
      <c r="K227" s="13">
        <v>80000</v>
      </c>
      <c r="L227" s="13">
        <v>64000</v>
      </c>
      <c r="M227" s="13">
        <v>64000</v>
      </c>
      <c r="N227" s="13">
        <v>80000</v>
      </c>
      <c r="O227" s="13">
        <v>64000</v>
      </c>
      <c r="P227" s="13">
        <v>64000</v>
      </c>
      <c r="Q227" s="13">
        <v>188202</v>
      </c>
      <c r="R227" s="554">
        <v>107426</v>
      </c>
    </row>
    <row r="228" spans="1:18" hidden="1">
      <c r="A228" s="12" t="str">
        <f t="shared" si="3"/>
        <v>CAPNOMINA SUCURSALE3</v>
      </c>
      <c r="B228" s="12">
        <v>230</v>
      </c>
      <c r="C228" t="s">
        <v>31</v>
      </c>
      <c r="D228" s="12" t="s">
        <v>154</v>
      </c>
      <c r="E228" s="12" t="s">
        <v>109</v>
      </c>
      <c r="F228" s="13">
        <f>55952+3504</f>
        <v>59456</v>
      </c>
      <c r="G228" s="13">
        <v>59456</v>
      </c>
      <c r="H228" s="13">
        <v>74320</v>
      </c>
      <c r="I228" s="13">
        <v>59456</v>
      </c>
      <c r="J228" s="246">
        <v>59456</v>
      </c>
      <c r="K228" s="13">
        <v>74320</v>
      </c>
      <c r="L228" s="13">
        <v>59456</v>
      </c>
      <c r="M228" s="13">
        <v>59456</v>
      </c>
      <c r="N228" s="13">
        <v>74320</v>
      </c>
      <c r="O228" s="13">
        <v>59456</v>
      </c>
      <c r="P228" s="13">
        <v>59456</v>
      </c>
      <c r="Q228" s="13">
        <v>84865</v>
      </c>
      <c r="R228" s="554">
        <v>65581</v>
      </c>
    </row>
    <row r="229" spans="1:18" hidden="1">
      <c r="A229" s="12" t="str">
        <f t="shared" si="3"/>
        <v>CAPNOMINA SUCURSALE4</v>
      </c>
      <c r="B229" s="12">
        <v>231</v>
      </c>
      <c r="C229" t="s">
        <v>31</v>
      </c>
      <c r="D229" s="12" t="s">
        <v>154</v>
      </c>
      <c r="E229" s="12" t="s">
        <v>110</v>
      </c>
      <c r="F229" s="13">
        <f>92800+8760</f>
        <v>101560</v>
      </c>
      <c r="G229" s="13">
        <v>101560</v>
      </c>
      <c r="H229" s="13">
        <v>126950</v>
      </c>
      <c r="I229" s="13">
        <v>101560</v>
      </c>
      <c r="J229" s="246">
        <v>64000</v>
      </c>
      <c r="K229" s="13">
        <v>80000</v>
      </c>
      <c r="L229" s="13">
        <v>64000</v>
      </c>
      <c r="M229" s="13">
        <v>64000</v>
      </c>
      <c r="N229" s="13">
        <v>80000</v>
      </c>
      <c r="O229" s="13">
        <v>64000</v>
      </c>
      <c r="P229" s="13">
        <v>64000</v>
      </c>
      <c r="Q229" s="13">
        <v>139885</v>
      </c>
      <c r="R229" s="554">
        <v>78385</v>
      </c>
    </row>
    <row r="230" spans="1:18" hidden="1">
      <c r="A230" s="12" t="str">
        <f t="shared" si="3"/>
        <v>CAPNOMINA SUCURSALE5</v>
      </c>
      <c r="B230" s="12">
        <v>232</v>
      </c>
      <c r="C230" t="s">
        <v>31</v>
      </c>
      <c r="D230" s="12" t="s">
        <v>154</v>
      </c>
      <c r="E230" s="12" t="s">
        <v>111</v>
      </c>
      <c r="F230" s="13">
        <f>85288+7884</f>
        <v>93172</v>
      </c>
      <c r="G230" s="13">
        <v>93172</v>
      </c>
      <c r="H230" s="13">
        <v>116465</v>
      </c>
      <c r="I230" s="13">
        <v>93172</v>
      </c>
      <c r="J230" s="246">
        <v>84000</v>
      </c>
      <c r="K230" s="13">
        <v>105000</v>
      </c>
      <c r="L230" s="13">
        <v>84000</v>
      </c>
      <c r="M230" s="13">
        <v>84000</v>
      </c>
      <c r="N230" s="13">
        <v>105000</v>
      </c>
      <c r="O230" s="13">
        <v>84000</v>
      </c>
      <c r="P230" s="13">
        <v>84000</v>
      </c>
      <c r="Q230" s="13">
        <v>195834</v>
      </c>
      <c r="R230" s="554">
        <v>93435</v>
      </c>
    </row>
    <row r="231" spans="1:18" hidden="1">
      <c r="A231" s="12" t="str">
        <f t="shared" si="3"/>
        <v>CAPNOMINA SUCURSALE6</v>
      </c>
      <c r="B231" s="12">
        <v>233</v>
      </c>
      <c r="C231" t="s">
        <v>31</v>
      </c>
      <c r="D231" s="12" t="s">
        <v>154</v>
      </c>
      <c r="E231" s="12" t="s">
        <v>112</v>
      </c>
      <c r="F231" s="13">
        <f>49552+4380</f>
        <v>53932</v>
      </c>
      <c r="G231" s="13">
        <v>53932</v>
      </c>
      <c r="H231" s="13">
        <v>67415</v>
      </c>
      <c r="I231" s="13">
        <v>53932</v>
      </c>
      <c r="J231" s="246">
        <v>53932</v>
      </c>
      <c r="K231" s="13">
        <v>67415</v>
      </c>
      <c r="L231" s="13">
        <v>53932</v>
      </c>
      <c r="M231" s="13">
        <v>53932</v>
      </c>
      <c r="N231" s="13">
        <v>67415</v>
      </c>
      <c r="O231" s="13">
        <v>53932</v>
      </c>
      <c r="P231" s="13">
        <v>53932</v>
      </c>
      <c r="Q231" s="13">
        <v>84888</v>
      </c>
      <c r="R231" s="554">
        <v>68553</v>
      </c>
    </row>
    <row r="232" spans="1:18" hidden="1">
      <c r="A232" s="12" t="str">
        <f t="shared" si="3"/>
        <v>CAPNOMINA SUCURSALE7</v>
      </c>
      <c r="B232" s="12">
        <v>234</v>
      </c>
      <c r="C232" t="s">
        <v>31</v>
      </c>
      <c r="D232" s="12" t="s">
        <v>154</v>
      </c>
      <c r="E232" s="12" t="s">
        <v>113</v>
      </c>
      <c r="F232" s="13">
        <f>62600+5256</f>
        <v>67856</v>
      </c>
      <c r="G232" s="13">
        <v>67856</v>
      </c>
      <c r="H232" s="13">
        <v>84820</v>
      </c>
      <c r="I232" s="13">
        <v>67856</v>
      </c>
      <c r="J232" s="246">
        <v>52000</v>
      </c>
      <c r="K232" s="13">
        <v>65000</v>
      </c>
      <c r="L232" s="13">
        <v>52000</v>
      </c>
      <c r="M232" s="13">
        <v>52000</v>
      </c>
      <c r="N232" s="13">
        <v>65000</v>
      </c>
      <c r="O232" s="13">
        <v>52000</v>
      </c>
      <c r="P232" s="13">
        <v>52000</v>
      </c>
      <c r="Q232" s="13">
        <v>85614</v>
      </c>
      <c r="R232" s="554">
        <v>63043</v>
      </c>
    </row>
    <row r="233" spans="1:18" hidden="1">
      <c r="A233" s="12" t="str">
        <f t="shared" si="3"/>
        <v>CAPNOMINA SUCURSALE8</v>
      </c>
      <c r="B233" s="12">
        <v>235</v>
      </c>
      <c r="C233" t="s">
        <v>31</v>
      </c>
      <c r="D233" s="12" t="s">
        <v>154</v>
      </c>
      <c r="E233" s="12" t="s">
        <v>114</v>
      </c>
      <c r="F233" s="13">
        <f>76560+5940</f>
        <v>82500</v>
      </c>
      <c r="G233" s="13">
        <v>82500</v>
      </c>
      <c r="H233" s="13">
        <v>103125</v>
      </c>
      <c r="I233" s="13">
        <v>82500</v>
      </c>
      <c r="J233" s="246">
        <v>82500</v>
      </c>
      <c r="K233" s="13">
        <v>103125</v>
      </c>
      <c r="L233" s="13">
        <v>82500</v>
      </c>
      <c r="M233" s="13">
        <v>82500</v>
      </c>
      <c r="N233" s="13">
        <v>103125</v>
      </c>
      <c r="O233" s="13">
        <v>82500</v>
      </c>
      <c r="P233" s="13">
        <v>82500</v>
      </c>
      <c r="Q233" s="13">
        <v>105991</v>
      </c>
      <c r="R233" s="554">
        <v>124312</v>
      </c>
    </row>
    <row r="234" spans="1:18" hidden="1">
      <c r="A234" s="12" t="str">
        <f t="shared" si="3"/>
        <v>CAPNOMINA SUCURSALE9</v>
      </c>
      <c r="B234" s="12">
        <v>236</v>
      </c>
      <c r="C234" t="s">
        <v>31</v>
      </c>
      <c r="D234" s="12" t="s">
        <v>154</v>
      </c>
      <c r="E234" s="12" t="s">
        <v>116</v>
      </c>
      <c r="F234" s="13">
        <v>0</v>
      </c>
      <c r="G234" s="13">
        <v>0</v>
      </c>
      <c r="H234" s="13">
        <v>95700</v>
      </c>
      <c r="I234" s="13">
        <v>82500</v>
      </c>
      <c r="J234" s="246">
        <v>82500</v>
      </c>
      <c r="K234" s="13">
        <v>103125</v>
      </c>
      <c r="L234" s="13">
        <v>82500</v>
      </c>
      <c r="M234" s="13">
        <v>82500</v>
      </c>
      <c r="N234" s="13">
        <v>103125</v>
      </c>
      <c r="O234" s="13">
        <v>82500</v>
      </c>
      <c r="P234" s="13">
        <v>82500</v>
      </c>
      <c r="Q234" s="13">
        <v>105992</v>
      </c>
      <c r="R234" s="554">
        <v>102552</v>
      </c>
    </row>
    <row r="235" spans="1:18" hidden="1">
      <c r="A235" s="12" t="str">
        <f t="shared" si="3"/>
        <v>SERVICIOSNOMINA SUCURSALCEDIS</v>
      </c>
      <c r="B235" s="12">
        <v>237</v>
      </c>
      <c r="C235" t="s">
        <v>21</v>
      </c>
      <c r="D235" s="12" t="s">
        <v>154</v>
      </c>
      <c r="E235" s="12" t="s">
        <v>28</v>
      </c>
      <c r="F235" s="13">
        <v>214414</v>
      </c>
      <c r="G235" s="13">
        <f>184271+15164</f>
        <v>199435</v>
      </c>
      <c r="H235" s="13">
        <v>249293.75</v>
      </c>
      <c r="I235" s="13">
        <v>199435</v>
      </c>
      <c r="J235" s="13">
        <v>199435</v>
      </c>
      <c r="K235" s="13">
        <v>249293.75</v>
      </c>
      <c r="L235" s="13">
        <v>199435</v>
      </c>
      <c r="M235" s="13">
        <v>199435</v>
      </c>
      <c r="N235" s="13">
        <v>249293.75</v>
      </c>
      <c r="O235" s="13">
        <v>220121.04</v>
      </c>
      <c r="P235" s="13">
        <v>220121.04</v>
      </c>
      <c r="Q235" s="13">
        <v>249293.75</v>
      </c>
      <c r="R235" s="556">
        <v>260000</v>
      </c>
    </row>
    <row r="236" spans="1:18" hidden="1">
      <c r="A236" s="12" t="str">
        <f t="shared" si="3"/>
        <v>ELINOMINA SUCURSALL1</v>
      </c>
      <c r="B236" s="12">
        <v>238</v>
      </c>
      <c r="C236" t="s">
        <v>130</v>
      </c>
      <c r="D236" s="12" t="s">
        <v>154</v>
      </c>
      <c r="E236" s="12" t="s">
        <v>136</v>
      </c>
      <c r="F236" s="13">
        <v>48000</v>
      </c>
      <c r="G236" s="13">
        <v>48000</v>
      </c>
      <c r="H236" s="13">
        <v>60000</v>
      </c>
      <c r="I236" s="13">
        <v>48000</v>
      </c>
      <c r="J236" s="13">
        <v>48000</v>
      </c>
      <c r="K236" s="13">
        <v>60000</v>
      </c>
      <c r="L236" s="13">
        <v>48000</v>
      </c>
      <c r="M236" s="13">
        <v>48000</v>
      </c>
      <c r="N236" s="13">
        <v>60000</v>
      </c>
      <c r="O236" s="13">
        <v>48000</v>
      </c>
      <c r="P236" s="13">
        <v>48000</v>
      </c>
      <c r="Q236" s="13">
        <v>60000</v>
      </c>
      <c r="R236" s="555">
        <v>50400</v>
      </c>
    </row>
    <row r="237" spans="1:18" hidden="1">
      <c r="A237" s="12" t="str">
        <f t="shared" si="3"/>
        <v>NOMINANOMINA SUCURSALINCREMENTO 2025</v>
      </c>
      <c r="B237" s="12">
        <v>239</v>
      </c>
      <c r="C237" t="s">
        <v>155</v>
      </c>
      <c r="D237" s="12" t="s">
        <v>154</v>
      </c>
      <c r="E237" s="12" t="s">
        <v>115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>
        <v>0</v>
      </c>
      <c r="O237" s="13">
        <v>0</v>
      </c>
      <c r="P237" s="13">
        <v>0</v>
      </c>
      <c r="Q237" s="13">
        <v>0</v>
      </c>
      <c r="R237" s="162"/>
    </row>
    <row r="238" spans="1:18" hidden="1">
      <c r="A238" s="12" t="str">
        <f t="shared" si="3"/>
        <v>CAPNOMINA SUCURSALE10</v>
      </c>
      <c r="B238">
        <v>240</v>
      </c>
      <c r="C238" t="s">
        <v>31</v>
      </c>
      <c r="D238" t="s">
        <v>154</v>
      </c>
      <c r="E238" t="s">
        <v>117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f>25200*4</f>
        <v>100800</v>
      </c>
      <c r="Q238">
        <f>25200*5</f>
        <v>126000</v>
      </c>
      <c r="R238" s="554">
        <v>124312</v>
      </c>
    </row>
    <row r="239" spans="1:18" hidden="1">
      <c r="A239" s="12" t="str">
        <f t="shared" si="3"/>
        <v>CAPNOMINA SUCURSALE11</v>
      </c>
      <c r="B239">
        <v>241</v>
      </c>
      <c r="C239" t="s">
        <v>31</v>
      </c>
      <c r="D239" t="s">
        <v>154</v>
      </c>
      <c r="E239" t="s">
        <v>118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f>27500*4</f>
        <v>110000</v>
      </c>
      <c r="Q239">
        <f>27500*5</f>
        <v>137500</v>
      </c>
      <c r="R239" s="554">
        <v>112122</v>
      </c>
    </row>
    <row r="240" spans="1:18" hidden="1">
      <c r="A240" s="12" t="str">
        <f t="shared" si="3"/>
        <v>FINANZASOTROS GASTOSPRESTAMO</v>
      </c>
      <c r="B240">
        <v>242</v>
      </c>
      <c r="C240" t="s">
        <v>23</v>
      </c>
      <c r="D240" t="s">
        <v>156</v>
      </c>
      <c r="E240" t="s">
        <v>157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 s="162"/>
    </row>
    <row r="241" spans="1:18" hidden="1">
      <c r="A241" s="12" t="str">
        <f t="shared" si="3"/>
        <v>SERVICIOSOTROS GASTOS UNIFORMES</v>
      </c>
      <c r="B241">
        <v>243</v>
      </c>
      <c r="C241" t="s">
        <v>21</v>
      </c>
      <c r="D241" t="s">
        <v>158</v>
      </c>
      <c r="E241" t="s">
        <v>159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 s="15"/>
    </row>
    <row r="242" spans="1:18" hidden="1">
      <c r="A242" s="12" t="str">
        <f t="shared" si="3"/>
        <v>SERVICIOSPAQUETERIACEDIS (E6)</v>
      </c>
      <c r="B242">
        <v>244</v>
      </c>
      <c r="C242" t="s">
        <v>21</v>
      </c>
      <c r="D242" t="s">
        <v>160</v>
      </c>
      <c r="E242" t="s">
        <v>161</v>
      </c>
      <c r="F242" s="15">
        <v>5000</v>
      </c>
      <c r="G242" s="15">
        <v>5000</v>
      </c>
      <c r="H242" s="15">
        <v>5000</v>
      </c>
      <c r="I242" s="15">
        <v>5000</v>
      </c>
      <c r="J242" s="15">
        <v>5000</v>
      </c>
      <c r="K242" s="15">
        <v>5000</v>
      </c>
      <c r="L242" s="15">
        <v>5000</v>
      </c>
      <c r="M242" s="15">
        <v>5000</v>
      </c>
      <c r="N242" s="15">
        <v>5000</v>
      </c>
      <c r="O242" s="15">
        <v>5000</v>
      </c>
      <c r="P242" s="15">
        <v>5000</v>
      </c>
      <c r="Q242" s="15">
        <v>5000</v>
      </c>
      <c r="R242" s="556">
        <v>10000</v>
      </c>
    </row>
    <row r="243" spans="1:18" hidden="1">
      <c r="A243" s="12" t="str">
        <f t="shared" si="3"/>
        <v>SERVICIOSPAQUETERIACT INTERNACIONAL</v>
      </c>
      <c r="B243">
        <v>245</v>
      </c>
      <c r="C243" t="s">
        <v>21</v>
      </c>
      <c r="D243" t="s">
        <v>160</v>
      </c>
      <c r="E243" t="s">
        <v>162</v>
      </c>
      <c r="F243">
        <v>240</v>
      </c>
      <c r="G243">
        <v>240</v>
      </c>
      <c r="H243">
        <v>240</v>
      </c>
      <c r="I243">
        <v>240</v>
      </c>
      <c r="J243">
        <v>240</v>
      </c>
      <c r="K243">
        <v>240</v>
      </c>
      <c r="L243">
        <v>240</v>
      </c>
      <c r="M243">
        <v>240</v>
      </c>
      <c r="N243">
        <v>240</v>
      </c>
      <c r="O243">
        <v>240</v>
      </c>
      <c r="P243">
        <v>240</v>
      </c>
      <c r="Q243">
        <v>240</v>
      </c>
      <c r="R243" s="13"/>
    </row>
    <row r="244" spans="1:18" hidden="1">
      <c r="A244" s="12" t="str">
        <f t="shared" si="3"/>
        <v>FINANZASPOSADASPOSADAS</v>
      </c>
      <c r="B244">
        <v>246</v>
      </c>
      <c r="C244" t="s">
        <v>23</v>
      </c>
      <c r="D244" t="s">
        <v>163</v>
      </c>
      <c r="E244" t="s">
        <v>163</v>
      </c>
      <c r="F244" s="15">
        <v>7800</v>
      </c>
      <c r="G244" s="15">
        <v>2467</v>
      </c>
      <c r="H244" s="15">
        <v>1907</v>
      </c>
      <c r="I244" s="13">
        <v>0</v>
      </c>
      <c r="J244" s="15">
        <v>1970</v>
      </c>
      <c r="K244" s="13">
        <v>0</v>
      </c>
      <c r="L244" s="13">
        <v>0</v>
      </c>
      <c r="M244" s="13">
        <v>0</v>
      </c>
      <c r="N244">
        <v>0</v>
      </c>
      <c r="O244" s="13">
        <v>0</v>
      </c>
      <c r="P244" s="13">
        <v>0</v>
      </c>
      <c r="Q244" s="15">
        <v>150000</v>
      </c>
      <c r="R244" s="17"/>
    </row>
    <row r="245" spans="1:18" hidden="1">
      <c r="A245" s="12" t="str">
        <f t="shared" si="3"/>
        <v>HRPUBLICIDADBASEBALL</v>
      </c>
      <c r="B245">
        <v>247</v>
      </c>
      <c r="C245" t="s">
        <v>29</v>
      </c>
      <c r="D245" s="12" t="s">
        <v>164</v>
      </c>
      <c r="E245" s="12" t="s">
        <v>165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50000</v>
      </c>
      <c r="L245" s="13"/>
      <c r="M245" s="13">
        <f>50000+94500</f>
        <v>144500</v>
      </c>
      <c r="N245" s="13">
        <v>0</v>
      </c>
      <c r="O245" s="13">
        <v>0</v>
      </c>
      <c r="P245" s="13">
        <v>0</v>
      </c>
      <c r="Q245" s="13">
        <v>0</v>
      </c>
      <c r="R245" s="15"/>
    </row>
    <row r="246" spans="1:18" hidden="1">
      <c r="A246" s="12" t="str">
        <f t="shared" si="3"/>
        <v>FINANZASRECOLECCION DE BASURAHR</v>
      </c>
      <c r="B246">
        <v>248</v>
      </c>
      <c r="C246" t="s">
        <v>23</v>
      </c>
      <c r="D246" s="12" t="s">
        <v>166</v>
      </c>
      <c r="E246" s="12" t="s">
        <v>29</v>
      </c>
      <c r="F246" s="13">
        <v>0</v>
      </c>
      <c r="G246" s="13">
        <v>0</v>
      </c>
      <c r="H246" s="13">
        <v>0</v>
      </c>
      <c r="I246" s="13">
        <v>3055</v>
      </c>
      <c r="J246" s="13">
        <v>3055</v>
      </c>
      <c r="K246" s="13">
        <v>3055</v>
      </c>
      <c r="L246" s="13">
        <v>3055</v>
      </c>
      <c r="M246" s="13">
        <v>3055</v>
      </c>
      <c r="N246" s="13">
        <v>3055</v>
      </c>
      <c r="O246" s="13">
        <v>3055</v>
      </c>
      <c r="P246" s="13">
        <v>3055</v>
      </c>
      <c r="Q246" s="13">
        <v>3055</v>
      </c>
      <c r="R246" s="554">
        <v>3500</v>
      </c>
    </row>
    <row r="247" spans="1:18" hidden="1">
      <c r="A247" s="12" t="str">
        <f t="shared" si="3"/>
        <v>FINANZASRECOLECCION DE BASURACAPRICHOS</v>
      </c>
      <c r="B247">
        <v>249</v>
      </c>
      <c r="C247" t="s">
        <v>23</v>
      </c>
      <c r="D247" s="12" t="s">
        <v>166</v>
      </c>
      <c r="E247" s="12" t="s">
        <v>33</v>
      </c>
      <c r="F247" s="13">
        <v>0</v>
      </c>
      <c r="G247" s="13">
        <v>0</v>
      </c>
      <c r="H247" s="13">
        <v>283</v>
      </c>
      <c r="I247" s="13">
        <v>285</v>
      </c>
      <c r="J247" s="13">
        <v>0</v>
      </c>
      <c r="K247" s="13">
        <v>0</v>
      </c>
      <c r="L247" s="13">
        <v>0</v>
      </c>
      <c r="M247" s="13">
        <v>285</v>
      </c>
      <c r="N247" s="13">
        <v>285</v>
      </c>
      <c r="O247" s="13">
        <v>285</v>
      </c>
      <c r="P247" s="13">
        <v>285</v>
      </c>
      <c r="Q247" s="13">
        <v>285</v>
      </c>
      <c r="R247" s="563">
        <v>500</v>
      </c>
    </row>
    <row r="248" spans="1:18" hidden="1">
      <c r="A248" s="12" t="str">
        <f t="shared" si="3"/>
        <v>FINANZASRECOLECCION DE BASURACEDIS</v>
      </c>
      <c r="B248">
        <v>250</v>
      </c>
      <c r="C248" t="s">
        <v>23</v>
      </c>
      <c r="D248" s="12" t="s">
        <v>166</v>
      </c>
      <c r="E248" s="12" t="s">
        <v>28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>
        <v>0</v>
      </c>
      <c r="O248" s="13">
        <v>1392</v>
      </c>
      <c r="P248" s="13">
        <v>1392</v>
      </c>
      <c r="Q248" s="13">
        <v>1392</v>
      </c>
      <c r="R248" s="554">
        <v>3000</v>
      </c>
    </row>
    <row r="249" spans="1:18" hidden="1">
      <c r="A249" s="12" t="str">
        <f t="shared" si="3"/>
        <v>CAPREDESCAPRICHOS</v>
      </c>
      <c r="B249">
        <v>251</v>
      </c>
      <c r="C249" t="s">
        <v>31</v>
      </c>
      <c r="D249" s="12" t="s">
        <v>167</v>
      </c>
      <c r="E249" s="12" t="s">
        <v>33</v>
      </c>
      <c r="F249" s="13">
        <v>6000</v>
      </c>
      <c r="G249" s="13">
        <v>6000</v>
      </c>
      <c r="H249" s="13">
        <v>6000</v>
      </c>
      <c r="I249" s="13">
        <v>6000</v>
      </c>
      <c r="J249" s="13">
        <v>6000</v>
      </c>
      <c r="K249" s="13">
        <v>6000</v>
      </c>
      <c r="L249" s="13">
        <v>6000</v>
      </c>
      <c r="M249" s="13">
        <v>6000</v>
      </c>
      <c r="N249" s="13">
        <v>6000</v>
      </c>
      <c r="O249" s="13">
        <v>6000</v>
      </c>
      <c r="P249" s="13">
        <v>6000</v>
      </c>
      <c r="Q249" s="13">
        <v>6000</v>
      </c>
      <c r="R249" s="558">
        <v>5500</v>
      </c>
    </row>
    <row r="250" spans="1:18" hidden="1">
      <c r="A250" s="12" t="str">
        <f t="shared" si="3"/>
        <v>SERVICIOSREDESHONORARIOS</v>
      </c>
      <c r="B250">
        <v>252</v>
      </c>
      <c r="C250" t="s">
        <v>21</v>
      </c>
      <c r="D250" s="12" t="s">
        <v>167</v>
      </c>
      <c r="E250" s="12" t="s">
        <v>124</v>
      </c>
      <c r="F250" s="13">
        <v>10000</v>
      </c>
      <c r="G250" s="13">
        <v>10000</v>
      </c>
      <c r="H250" s="13">
        <v>10000</v>
      </c>
      <c r="I250" s="13">
        <v>10000</v>
      </c>
      <c r="J250" s="13">
        <v>10000</v>
      </c>
      <c r="K250" s="13">
        <v>10000</v>
      </c>
      <c r="L250" s="13"/>
      <c r="M250" s="13"/>
      <c r="N250" s="13"/>
      <c r="O250" s="13"/>
      <c r="P250" s="13"/>
      <c r="Q250" s="13"/>
      <c r="R250" s="15"/>
    </row>
    <row r="251" spans="1:18">
      <c r="A251" s="12" t="str">
        <f t="shared" si="3"/>
        <v>HRREDESHR</v>
      </c>
      <c r="B251">
        <v>253</v>
      </c>
      <c r="C251" t="s">
        <v>29</v>
      </c>
      <c r="D251" t="s">
        <v>167</v>
      </c>
      <c r="E251" t="s">
        <v>29</v>
      </c>
      <c r="F251" s="15">
        <v>10000</v>
      </c>
      <c r="G251" s="15">
        <v>10000</v>
      </c>
      <c r="H251" s="15">
        <v>10000</v>
      </c>
      <c r="I251" s="15">
        <v>16000</v>
      </c>
      <c r="J251" s="15">
        <v>10000</v>
      </c>
      <c r="K251" s="15">
        <v>10000</v>
      </c>
      <c r="L251" s="15">
        <v>10000</v>
      </c>
      <c r="M251" s="15">
        <v>10000</v>
      </c>
      <c r="N251" s="15">
        <v>10000</v>
      </c>
      <c r="O251" s="15">
        <v>16000</v>
      </c>
      <c r="P251" s="15">
        <v>16000</v>
      </c>
      <c r="Q251" s="15">
        <v>16000</v>
      </c>
      <c r="R251" s="558">
        <v>10000</v>
      </c>
    </row>
    <row r="252" spans="1:18" hidden="1">
      <c r="A252" s="12" t="str">
        <f t="shared" si="3"/>
        <v>MELREDESMELISSA</v>
      </c>
      <c r="B252">
        <v>254</v>
      </c>
      <c r="C252" t="s">
        <v>43</v>
      </c>
      <c r="D252" t="s">
        <v>167</v>
      </c>
      <c r="E252" t="s">
        <v>44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 s="564">
        <v>3500</v>
      </c>
    </row>
    <row r="253" spans="1:18" hidden="1">
      <c r="A253" s="12" t="str">
        <f t="shared" si="3"/>
        <v>ELIREDESL1</v>
      </c>
      <c r="B253">
        <v>255</v>
      </c>
      <c r="C253" t="s">
        <v>130</v>
      </c>
      <c r="D253" t="s">
        <v>167</v>
      </c>
      <c r="E253" t="s">
        <v>136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 s="13"/>
    </row>
    <row r="254" spans="1:18" hidden="1">
      <c r="A254" s="12" t="str">
        <f t="shared" si="3"/>
        <v>MMREDESMARKET MAX</v>
      </c>
      <c r="B254">
        <v>256</v>
      </c>
      <c r="C254" t="s">
        <v>45</v>
      </c>
      <c r="D254" s="12" t="s">
        <v>167</v>
      </c>
      <c r="E254" s="12" t="s">
        <v>46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 s="564">
        <v>3630</v>
      </c>
    </row>
    <row r="255" spans="1:18" hidden="1">
      <c r="A255" s="12" t="str">
        <f t="shared" si="3"/>
        <v>ELIREDESELILU</v>
      </c>
      <c r="B255">
        <v>257</v>
      </c>
      <c r="C255" t="s">
        <v>130</v>
      </c>
      <c r="D255" t="s">
        <v>167</v>
      </c>
      <c r="E255" t="s">
        <v>168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 s="558">
        <v>5000</v>
      </c>
    </row>
    <row r="256" spans="1:18" hidden="1">
      <c r="A256" s="12" t="str">
        <f t="shared" si="3"/>
        <v>FINANZASRENTASA1</v>
      </c>
      <c r="B256">
        <v>258</v>
      </c>
      <c r="C256" t="s">
        <v>23</v>
      </c>
      <c r="D256" s="12" t="s">
        <v>169</v>
      </c>
      <c r="E256" s="12" t="s">
        <v>88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>
        <v>0</v>
      </c>
      <c r="O256" s="13">
        <v>0</v>
      </c>
      <c r="P256" s="13">
        <v>0</v>
      </c>
      <c r="Q256" s="13">
        <v>0</v>
      </c>
      <c r="R256" s="554">
        <v>36877</v>
      </c>
    </row>
    <row r="257" spans="1:18" hidden="1">
      <c r="A257" s="12" t="str">
        <f t="shared" si="3"/>
        <v>FINANZASRENTASA2</v>
      </c>
      <c r="B257">
        <v>259</v>
      </c>
      <c r="C257" t="s">
        <v>23</v>
      </c>
      <c r="D257" s="12" t="s">
        <v>169</v>
      </c>
      <c r="E257" s="12" t="s">
        <v>89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>
        <v>0</v>
      </c>
      <c r="O257" s="13">
        <v>0</v>
      </c>
      <c r="P257" s="13">
        <v>0</v>
      </c>
      <c r="Q257" s="13">
        <v>0</v>
      </c>
      <c r="R257" s="554">
        <v>32436</v>
      </c>
    </row>
    <row r="258" spans="1:18" hidden="1">
      <c r="A258" s="12" t="str">
        <f t="shared" si="3"/>
        <v>FINANZASRENTASA3</v>
      </c>
      <c r="B258">
        <v>260</v>
      </c>
      <c r="C258" t="s">
        <v>23</v>
      </c>
      <c r="D258" s="12" t="s">
        <v>169</v>
      </c>
      <c r="E258" s="12" t="s">
        <v>90</v>
      </c>
      <c r="F258" s="13">
        <v>54203.54</v>
      </c>
      <c r="G258" s="13">
        <v>54203.54</v>
      </c>
      <c r="H258" s="13">
        <v>54203.54</v>
      </c>
      <c r="I258" s="13">
        <v>54203.54</v>
      </c>
      <c r="J258" s="13">
        <v>54203.54</v>
      </c>
      <c r="K258" s="13">
        <v>54203.54</v>
      </c>
      <c r="L258" s="13">
        <v>54203.54</v>
      </c>
      <c r="M258" s="13">
        <v>54203.54</v>
      </c>
      <c r="N258" s="13">
        <v>54203.54</v>
      </c>
      <c r="O258" s="13">
        <v>54203.54</v>
      </c>
      <c r="P258" s="13">
        <v>54203.54</v>
      </c>
      <c r="Q258" s="13">
        <v>54203.54</v>
      </c>
      <c r="R258" s="554">
        <v>61000</v>
      </c>
    </row>
    <row r="259" spans="1:18" hidden="1">
      <c r="A259" s="12" t="str">
        <f t="shared" si="3"/>
        <v>FINANZASRENTASA4</v>
      </c>
      <c r="B259">
        <v>261</v>
      </c>
      <c r="C259" t="s">
        <v>23</v>
      </c>
      <c r="D259" s="12" t="s">
        <v>169</v>
      </c>
      <c r="E259" s="12" t="s">
        <v>91</v>
      </c>
      <c r="F259" s="13">
        <v>32800</v>
      </c>
      <c r="G259" s="13">
        <v>32800</v>
      </c>
      <c r="H259" s="13">
        <v>32800</v>
      </c>
      <c r="I259" s="13">
        <v>32800</v>
      </c>
      <c r="J259" s="13">
        <v>32800</v>
      </c>
      <c r="K259" s="13">
        <v>32800</v>
      </c>
      <c r="L259" s="13">
        <v>32800</v>
      </c>
      <c r="M259" s="13">
        <v>32800</v>
      </c>
      <c r="N259" s="13">
        <v>32800</v>
      </c>
      <c r="O259" s="13">
        <v>32800</v>
      </c>
      <c r="P259" s="13">
        <v>32800</v>
      </c>
      <c r="Q259" s="13">
        <v>32800</v>
      </c>
      <c r="R259" s="554">
        <v>34768</v>
      </c>
    </row>
    <row r="260" spans="1:18" hidden="1">
      <c r="A260" s="12" t="str">
        <f t="shared" si="3"/>
        <v>FINANZASRENTASA5</v>
      </c>
      <c r="B260">
        <v>262</v>
      </c>
      <c r="C260" t="s">
        <v>23</v>
      </c>
      <c r="D260" s="12" t="s">
        <v>169</v>
      </c>
      <c r="E260" s="12" t="s">
        <v>92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>
        <v>0</v>
      </c>
      <c r="O260" s="13">
        <v>0</v>
      </c>
      <c r="P260" s="13">
        <v>0</v>
      </c>
      <c r="Q260" s="13">
        <v>0</v>
      </c>
      <c r="R260" s="554">
        <v>55315</v>
      </c>
    </row>
    <row r="261" spans="1:18" hidden="1">
      <c r="A261" s="12" t="str">
        <f t="shared" si="3"/>
        <v>FINANZASRENTASA6</v>
      </c>
      <c r="B261">
        <v>263</v>
      </c>
      <c r="C261" t="s">
        <v>23</v>
      </c>
      <c r="D261" s="12" t="s">
        <v>169</v>
      </c>
      <c r="E261" s="12" t="s">
        <v>93</v>
      </c>
      <c r="F261" s="13">
        <v>23100</v>
      </c>
      <c r="G261" s="13">
        <v>23100</v>
      </c>
      <c r="H261" s="13">
        <v>23100</v>
      </c>
      <c r="I261" s="13">
        <v>23100</v>
      </c>
      <c r="J261" s="13">
        <v>23100</v>
      </c>
      <c r="K261" s="13">
        <v>23100</v>
      </c>
      <c r="L261" s="13">
        <v>23100</v>
      </c>
      <c r="M261" s="13">
        <v>23100</v>
      </c>
      <c r="N261" s="13">
        <v>23100</v>
      </c>
      <c r="O261" s="13">
        <v>23100</v>
      </c>
      <c r="P261" s="13">
        <v>23100</v>
      </c>
      <c r="Q261" s="13">
        <v>23100</v>
      </c>
      <c r="R261" s="554">
        <v>24486</v>
      </c>
    </row>
    <row r="262" spans="1:18" hidden="1">
      <c r="A262" s="12" t="str">
        <f t="shared" si="3"/>
        <v>FINANZASRENTASA8</v>
      </c>
      <c r="B262">
        <v>264</v>
      </c>
      <c r="C262" t="s">
        <v>23</v>
      </c>
      <c r="D262" s="12" t="s">
        <v>169</v>
      </c>
      <c r="E262" s="12" t="s">
        <v>94</v>
      </c>
      <c r="F262" s="13">
        <v>127806.11</v>
      </c>
      <c r="G262" s="13">
        <v>127806.11</v>
      </c>
      <c r="H262" s="13">
        <v>127806.11</v>
      </c>
      <c r="I262" s="13">
        <v>127806.11</v>
      </c>
      <c r="J262" s="13">
        <v>127806.11</v>
      </c>
      <c r="K262" s="13">
        <v>127806.11</v>
      </c>
      <c r="L262" s="13">
        <v>127806.11</v>
      </c>
      <c r="M262" s="13">
        <v>127806.11</v>
      </c>
      <c r="N262" s="13">
        <v>127806.11</v>
      </c>
      <c r="O262" s="13">
        <v>127806.11</v>
      </c>
      <c r="P262" s="13">
        <v>127806.11</v>
      </c>
      <c r="Q262" s="13">
        <v>127806.11</v>
      </c>
      <c r="R262" s="554">
        <v>136428</v>
      </c>
    </row>
    <row r="263" spans="1:18" hidden="1">
      <c r="A263" s="12" t="str">
        <f t="shared" si="3"/>
        <v>FINANZASRENTASA9</v>
      </c>
      <c r="B263">
        <v>265</v>
      </c>
      <c r="C263" t="s">
        <v>23</v>
      </c>
      <c r="D263" s="12" t="s">
        <v>169</v>
      </c>
      <c r="E263" s="12" t="s">
        <v>95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>
        <v>0</v>
      </c>
      <c r="O263" s="13">
        <v>0</v>
      </c>
      <c r="P263" s="13">
        <v>0</v>
      </c>
      <c r="Q263" s="13">
        <v>0</v>
      </c>
      <c r="R263" s="554">
        <v>24585</v>
      </c>
    </row>
    <row r="264" spans="1:18" hidden="1">
      <c r="A264" s="12" t="str">
        <f t="shared" ref="A264:A307" si="4">C264&amp;D264&amp;E264</f>
        <v>FINANZASRENTASA10</v>
      </c>
      <c r="B264">
        <v>266</v>
      </c>
      <c r="C264" t="s">
        <v>23</v>
      </c>
      <c r="D264" s="12" t="s">
        <v>169</v>
      </c>
      <c r="E264" s="12" t="s">
        <v>96</v>
      </c>
      <c r="F264" s="13">
        <v>107036.99</v>
      </c>
      <c r="G264" s="13">
        <v>107036.99</v>
      </c>
      <c r="H264" s="13">
        <v>107036.99</v>
      </c>
      <c r="I264" s="13">
        <v>107036.99</v>
      </c>
      <c r="J264" s="13">
        <v>107036.99</v>
      </c>
      <c r="K264" s="13">
        <v>107036.99</v>
      </c>
      <c r="L264" s="13">
        <v>107036.99</v>
      </c>
      <c r="M264" s="13">
        <v>107036.99</v>
      </c>
      <c r="N264" s="13">
        <v>107036.99</v>
      </c>
      <c r="O264" s="13">
        <v>107036.99</v>
      </c>
      <c r="P264" s="13">
        <v>107036.99</v>
      </c>
      <c r="Q264" s="13">
        <v>107036.99</v>
      </c>
      <c r="R264" s="554">
        <v>109503</v>
      </c>
    </row>
    <row r="265" spans="1:18" hidden="1">
      <c r="A265" s="12" t="str">
        <f t="shared" si="4"/>
        <v>FINANZASRENTASA11</v>
      </c>
      <c r="B265">
        <v>267</v>
      </c>
      <c r="C265" t="s">
        <v>23</v>
      </c>
      <c r="D265" s="12" t="s">
        <v>169</v>
      </c>
      <c r="E265" s="12" t="s">
        <v>97</v>
      </c>
      <c r="F265" s="13">
        <v>24934.04</v>
      </c>
      <c r="G265" s="13">
        <v>24934.04</v>
      </c>
      <c r="H265" s="13">
        <v>24934.04</v>
      </c>
      <c r="I265" s="13">
        <v>24934.04</v>
      </c>
      <c r="J265" s="13">
        <v>24934.04</v>
      </c>
      <c r="K265" s="13">
        <v>24934.04</v>
      </c>
      <c r="L265" s="13">
        <v>24934.04</v>
      </c>
      <c r="M265" s="13">
        <v>24934.04</v>
      </c>
      <c r="N265" s="13">
        <v>24934.04</v>
      </c>
      <c r="O265" s="13">
        <v>24934.04</v>
      </c>
      <c r="P265" s="13">
        <v>24934.04</v>
      </c>
      <c r="Q265" s="13">
        <v>24934.04</v>
      </c>
      <c r="R265" s="554">
        <v>26430</v>
      </c>
    </row>
    <row r="266" spans="1:18" hidden="1">
      <c r="A266" s="12" t="str">
        <f t="shared" si="4"/>
        <v>FINANZASRENTASA12</v>
      </c>
      <c r="B266">
        <v>268</v>
      </c>
      <c r="C266" t="s">
        <v>23</v>
      </c>
      <c r="D266" s="12" t="s">
        <v>169</v>
      </c>
      <c r="E266" s="12" t="s">
        <v>98</v>
      </c>
      <c r="F266" s="13">
        <v>138016.13</v>
      </c>
      <c r="G266" s="13">
        <v>138016.13</v>
      </c>
      <c r="H266" s="13">
        <v>138016.13</v>
      </c>
      <c r="I266" s="13">
        <v>138016.13</v>
      </c>
      <c r="J266" s="13">
        <v>138016.13</v>
      </c>
      <c r="K266" s="13">
        <v>138016.13</v>
      </c>
      <c r="L266" s="13">
        <v>138016.13</v>
      </c>
      <c r="M266" s="13">
        <v>138016.13</v>
      </c>
      <c r="N266" s="13">
        <v>138016.13</v>
      </c>
      <c r="O266" s="13">
        <v>138016.13</v>
      </c>
      <c r="P266" s="13">
        <v>138016.13</v>
      </c>
      <c r="Q266" s="13">
        <v>138016.13</v>
      </c>
      <c r="R266" s="554">
        <v>151549</v>
      </c>
    </row>
    <row r="267" spans="1:18" hidden="1">
      <c r="A267" s="12" t="str">
        <f t="shared" si="4"/>
        <v>FINANZASRENTASA14</v>
      </c>
      <c r="B267">
        <v>269</v>
      </c>
      <c r="C267" t="s">
        <v>23</v>
      </c>
      <c r="D267" s="12" t="s">
        <v>169</v>
      </c>
      <c r="E267" s="12" t="s">
        <v>99</v>
      </c>
      <c r="F267" s="13">
        <v>57002.400000000001</v>
      </c>
      <c r="G267" s="13">
        <v>57002.400000000001</v>
      </c>
      <c r="H267" s="13">
        <v>57002.400000000001</v>
      </c>
      <c r="I267" s="13">
        <v>57002.400000000001</v>
      </c>
      <c r="J267" s="13">
        <v>57002.400000000001</v>
      </c>
      <c r="K267" s="13">
        <v>57002.400000000001</v>
      </c>
      <c r="L267" s="13">
        <v>57002.400000000001</v>
      </c>
      <c r="M267" s="13">
        <v>57002.400000000001</v>
      </c>
      <c r="N267" s="13">
        <v>57002.400000000001</v>
      </c>
      <c r="O267" s="13">
        <v>57002.400000000001</v>
      </c>
      <c r="P267" s="13">
        <v>57002.400000000001</v>
      </c>
      <c r="Q267" s="13">
        <v>57002.400000000001</v>
      </c>
      <c r="R267" s="554">
        <v>60423</v>
      </c>
    </row>
    <row r="268" spans="1:18" hidden="1">
      <c r="A268" s="12" t="str">
        <f t="shared" si="4"/>
        <v>FINANZASRENTASA15</v>
      </c>
      <c r="B268">
        <v>270</v>
      </c>
      <c r="C268" t="s">
        <v>23</v>
      </c>
      <c r="D268" s="12" t="s">
        <v>169</v>
      </c>
      <c r="E268" s="12" t="s">
        <v>100</v>
      </c>
      <c r="F268" s="13">
        <v>25823.75</v>
      </c>
      <c r="G268" s="13">
        <v>25823.75</v>
      </c>
      <c r="H268" s="13">
        <v>25823.75</v>
      </c>
      <c r="I268" s="13">
        <v>25823.75</v>
      </c>
      <c r="J268" s="13">
        <v>25823.75</v>
      </c>
      <c r="K268" s="13">
        <v>25823.75</v>
      </c>
      <c r="L268" s="13">
        <v>25823.75</v>
      </c>
      <c r="M268" s="13">
        <v>25823.75</v>
      </c>
      <c r="N268" s="13">
        <v>25823.75</v>
      </c>
      <c r="O268" s="13">
        <v>25823.75</v>
      </c>
      <c r="P268" s="13">
        <v>25823.75</v>
      </c>
      <c r="Q268" s="13">
        <v>25823.75</v>
      </c>
      <c r="R268" s="554">
        <v>27373</v>
      </c>
    </row>
    <row r="269" spans="1:18" hidden="1">
      <c r="A269" s="12" t="str">
        <f t="shared" si="4"/>
        <v>FINANZASRENTASA16</v>
      </c>
      <c r="B269">
        <v>271</v>
      </c>
      <c r="C269" t="s">
        <v>23</v>
      </c>
      <c r="D269" s="12" t="s">
        <v>169</v>
      </c>
      <c r="E269" s="12" t="s">
        <v>101</v>
      </c>
      <c r="F269" s="13">
        <v>17220</v>
      </c>
      <c r="G269" s="13">
        <v>17220</v>
      </c>
      <c r="H269" s="13">
        <v>17220</v>
      </c>
      <c r="I269" s="13">
        <v>17220</v>
      </c>
      <c r="J269" s="13">
        <v>17220</v>
      </c>
      <c r="K269" s="13">
        <v>17220</v>
      </c>
      <c r="L269" s="13">
        <v>17220</v>
      </c>
      <c r="M269" s="13">
        <v>17220</v>
      </c>
      <c r="N269" s="13">
        <v>17220</v>
      </c>
      <c r="O269" s="13">
        <v>17220</v>
      </c>
      <c r="P269" s="13">
        <v>17220</v>
      </c>
      <c r="Q269" s="13">
        <v>17220</v>
      </c>
      <c r="R269" s="554">
        <v>18253</v>
      </c>
    </row>
    <row r="270" spans="1:18" hidden="1">
      <c r="A270" s="12" t="str">
        <f t="shared" si="4"/>
        <v>FINANZASRENTASA17</v>
      </c>
      <c r="B270">
        <v>272</v>
      </c>
      <c r="C270" t="s">
        <v>23</v>
      </c>
      <c r="D270" s="12" t="s">
        <v>169</v>
      </c>
      <c r="E270" s="12" t="s">
        <v>102</v>
      </c>
      <c r="F270" s="13">
        <v>76326.960000000006</v>
      </c>
      <c r="G270" s="13">
        <v>76326.960000000006</v>
      </c>
      <c r="H270" s="13">
        <v>76326.960000000006</v>
      </c>
      <c r="I270" s="13">
        <v>76326.960000000006</v>
      </c>
      <c r="J270" s="13">
        <v>76326.960000000006</v>
      </c>
      <c r="K270" s="13">
        <v>76326.960000000006</v>
      </c>
      <c r="L270" s="13">
        <v>76326.960000000006</v>
      </c>
      <c r="M270" s="13">
        <v>76326.960000000006</v>
      </c>
      <c r="N270" s="13">
        <v>76326.960000000006</v>
      </c>
      <c r="O270" s="13">
        <v>76326.960000000006</v>
      </c>
      <c r="P270" s="13">
        <v>76326.960000000006</v>
      </c>
      <c r="Q270" s="13">
        <v>76326.960000000006</v>
      </c>
      <c r="R270" s="554">
        <v>80907</v>
      </c>
    </row>
    <row r="271" spans="1:18" hidden="1">
      <c r="A271" s="12" t="str">
        <f t="shared" si="4"/>
        <v>FINANZASRENTASA18</v>
      </c>
      <c r="B271">
        <v>273</v>
      </c>
      <c r="C271" t="s">
        <v>23</v>
      </c>
      <c r="D271" s="12" t="s">
        <v>169</v>
      </c>
      <c r="E271" s="12" t="s">
        <v>103</v>
      </c>
      <c r="F271" s="13">
        <v>90304.44</v>
      </c>
      <c r="G271" s="13">
        <v>90304.44</v>
      </c>
      <c r="H271" s="13">
        <v>90304.44</v>
      </c>
      <c r="I271" s="13">
        <v>90304.44</v>
      </c>
      <c r="J271" s="13">
        <v>90304.44</v>
      </c>
      <c r="K271" s="13">
        <v>90304.44</v>
      </c>
      <c r="L271" s="13">
        <v>90304.44</v>
      </c>
      <c r="M271" s="13">
        <v>90304.44</v>
      </c>
      <c r="N271" s="13">
        <v>90304.44</v>
      </c>
      <c r="O271" s="13">
        <v>90304.44</v>
      </c>
      <c r="P271" s="13">
        <v>90304.44</v>
      </c>
      <c r="Q271" s="13">
        <v>90304.44</v>
      </c>
      <c r="R271" s="554">
        <v>95723</v>
      </c>
    </row>
    <row r="272" spans="1:18" hidden="1">
      <c r="A272" s="12" t="str">
        <f t="shared" si="4"/>
        <v>FINANZASRENTASA22</v>
      </c>
      <c r="B272">
        <v>274</v>
      </c>
      <c r="C272" t="s">
        <v>23</v>
      </c>
      <c r="D272" s="12" t="s">
        <v>169</v>
      </c>
      <c r="E272" s="12" t="s">
        <v>104</v>
      </c>
      <c r="F272" s="13">
        <v>90145.37</v>
      </c>
      <c r="G272" s="13">
        <v>90145.37</v>
      </c>
      <c r="H272" s="13">
        <v>90145.37</v>
      </c>
      <c r="I272" s="13">
        <v>90145.37</v>
      </c>
      <c r="J272" s="13">
        <v>90145.37</v>
      </c>
      <c r="K272" s="13">
        <v>90145.37</v>
      </c>
      <c r="L272" s="13">
        <v>90145.37</v>
      </c>
      <c r="M272" s="13">
        <v>90145.37</v>
      </c>
      <c r="N272" s="13">
        <v>90145.37</v>
      </c>
      <c r="O272" s="13">
        <v>90145.37</v>
      </c>
      <c r="P272" s="13">
        <v>90145.37</v>
      </c>
      <c r="Q272" s="13">
        <v>90145.37</v>
      </c>
      <c r="R272" s="554">
        <v>95554</v>
      </c>
    </row>
    <row r="273" spans="1:18" hidden="1">
      <c r="A273" s="12" t="str">
        <f t="shared" si="4"/>
        <v>FINANZASRENTASA23</v>
      </c>
      <c r="B273">
        <v>275</v>
      </c>
      <c r="C273" t="s">
        <v>23</v>
      </c>
      <c r="D273" s="12" t="s">
        <v>169</v>
      </c>
      <c r="E273" s="12" t="s">
        <v>105</v>
      </c>
      <c r="F273" s="13">
        <v>9576.4</v>
      </c>
      <c r="G273" s="13">
        <v>9576.4</v>
      </c>
      <c r="H273" s="13">
        <v>9576.4</v>
      </c>
      <c r="I273" s="13">
        <v>9576.4</v>
      </c>
      <c r="J273" s="13">
        <v>9576.4</v>
      </c>
      <c r="K273" s="13">
        <v>9576.4</v>
      </c>
      <c r="L273" s="13">
        <v>9576.4</v>
      </c>
      <c r="M273" s="13">
        <v>9576.4</v>
      </c>
      <c r="N273" s="13">
        <v>9576.4</v>
      </c>
      <c r="O273" s="13">
        <v>9576.4</v>
      </c>
      <c r="P273" s="13">
        <v>9576.4</v>
      </c>
      <c r="Q273" s="13">
        <v>9576.4</v>
      </c>
      <c r="R273" s="554">
        <v>10282</v>
      </c>
    </row>
    <row r="274" spans="1:18" hidden="1">
      <c r="A274" s="12" t="str">
        <f t="shared" si="4"/>
        <v>FINANZASRENTASA24</v>
      </c>
      <c r="B274">
        <v>276</v>
      </c>
      <c r="C274" t="s">
        <v>23</v>
      </c>
      <c r="D274" s="12" t="s">
        <v>169</v>
      </c>
      <c r="E274" s="12" t="s">
        <v>106</v>
      </c>
      <c r="F274" s="13">
        <v>81331.3</v>
      </c>
      <c r="G274" s="13">
        <v>81331.3</v>
      </c>
      <c r="H274" s="13">
        <v>81331.3</v>
      </c>
      <c r="I274" s="13">
        <v>81331.3</v>
      </c>
      <c r="J274" s="13">
        <v>81331.3</v>
      </c>
      <c r="K274" s="13">
        <v>81331.3</v>
      </c>
      <c r="L274" s="13">
        <v>81331.3</v>
      </c>
      <c r="M274" s="13">
        <v>81331.3</v>
      </c>
      <c r="N274" s="13">
        <v>81331.3</v>
      </c>
      <c r="O274" s="13">
        <v>81331.3</v>
      </c>
      <c r="P274" s="13">
        <v>81331.3</v>
      </c>
      <c r="Q274" s="13">
        <v>81331.3</v>
      </c>
      <c r="R274" s="554">
        <v>86211</v>
      </c>
    </row>
    <row r="275" spans="1:18" hidden="1">
      <c r="A275" s="12" t="str">
        <f t="shared" si="4"/>
        <v>FINANZASRENTASE1</v>
      </c>
      <c r="B275">
        <v>277</v>
      </c>
      <c r="C275" t="s">
        <v>23</v>
      </c>
      <c r="D275" s="12" t="s">
        <v>169</v>
      </c>
      <c r="E275" s="12" t="s">
        <v>107</v>
      </c>
      <c r="F275" s="162">
        <v>55560.53</v>
      </c>
      <c r="G275" s="13">
        <v>55560.53</v>
      </c>
      <c r="H275" s="13">
        <v>55560.53</v>
      </c>
      <c r="I275" s="13">
        <v>55560.53</v>
      </c>
      <c r="J275" s="13">
        <v>55560.53</v>
      </c>
      <c r="K275" s="13">
        <v>55560.53</v>
      </c>
      <c r="L275" s="13">
        <v>55560.53</v>
      </c>
      <c r="M275" s="13">
        <v>55560.53</v>
      </c>
      <c r="N275" s="13">
        <v>55560.53</v>
      </c>
      <c r="O275" s="13">
        <v>55560.53</v>
      </c>
      <c r="P275" s="13">
        <v>55560.53</v>
      </c>
      <c r="Q275" s="13">
        <v>55560.53</v>
      </c>
      <c r="R275" s="554">
        <v>58894</v>
      </c>
    </row>
    <row r="276" spans="1:18" hidden="1">
      <c r="A276" s="12" t="str">
        <f t="shared" si="4"/>
        <v>FINANZASRENTASE2</v>
      </c>
      <c r="B276">
        <v>278</v>
      </c>
      <c r="C276" t="s">
        <v>23</v>
      </c>
      <c r="D276" s="12" t="s">
        <v>169</v>
      </c>
      <c r="E276" s="12" t="s">
        <v>108</v>
      </c>
      <c r="F276" s="13">
        <v>138305.91</v>
      </c>
      <c r="G276" s="13">
        <v>138305.91</v>
      </c>
      <c r="H276" s="13">
        <v>138305.91</v>
      </c>
      <c r="I276" s="13">
        <v>138305.91</v>
      </c>
      <c r="J276" s="13">
        <v>138305.91</v>
      </c>
      <c r="K276" s="13">
        <v>138305.91</v>
      </c>
      <c r="L276" s="13">
        <v>138305.91</v>
      </c>
      <c r="M276" s="13">
        <v>138305.91</v>
      </c>
      <c r="N276" s="13">
        <v>138305.91</v>
      </c>
      <c r="O276" s="13">
        <v>138305.91</v>
      </c>
      <c r="P276" s="13">
        <v>138305.91</v>
      </c>
      <c r="Q276" s="13">
        <v>138305.91</v>
      </c>
      <c r="R276" s="554">
        <v>142179</v>
      </c>
    </row>
    <row r="277" spans="1:18" hidden="1">
      <c r="A277" s="12" t="str">
        <f t="shared" si="4"/>
        <v>FINANZASRENTASE3</v>
      </c>
      <c r="B277">
        <v>279</v>
      </c>
      <c r="C277" t="s">
        <v>23</v>
      </c>
      <c r="D277" s="12" t="s">
        <v>169</v>
      </c>
      <c r="E277" s="12" t="s">
        <v>109</v>
      </c>
      <c r="F277" s="13">
        <v>43081.5</v>
      </c>
      <c r="G277" s="13">
        <v>43081.5</v>
      </c>
      <c r="H277" s="13">
        <v>43081.5</v>
      </c>
      <c r="I277" s="13">
        <v>43081.5</v>
      </c>
      <c r="J277" s="13">
        <v>43081.5</v>
      </c>
      <c r="K277" s="13">
        <v>43081.5</v>
      </c>
      <c r="L277" s="13">
        <v>43081.5</v>
      </c>
      <c r="M277" s="13">
        <v>43081.5</v>
      </c>
      <c r="N277" s="13">
        <v>43081.5</v>
      </c>
      <c r="O277" s="13">
        <v>43081.5</v>
      </c>
      <c r="P277" s="13">
        <v>43081.5</v>
      </c>
      <c r="Q277" s="13">
        <v>43081.5</v>
      </c>
      <c r="R277" s="554">
        <v>45666</v>
      </c>
    </row>
    <row r="278" spans="1:18" hidden="1">
      <c r="A278" s="12" t="str">
        <f t="shared" si="4"/>
        <v>FINANZASRENTASE4</v>
      </c>
      <c r="B278">
        <v>280</v>
      </c>
      <c r="C278" t="s">
        <v>23</v>
      </c>
      <c r="D278" s="12" t="s">
        <v>169</v>
      </c>
      <c r="E278" s="12" t="s">
        <v>110</v>
      </c>
      <c r="F278" s="13">
        <v>108007.3</v>
      </c>
      <c r="G278" s="13">
        <v>108007.3</v>
      </c>
      <c r="H278" s="13">
        <v>108007.3</v>
      </c>
      <c r="I278" s="13">
        <v>108007.3</v>
      </c>
      <c r="J278" s="13">
        <v>108007.3</v>
      </c>
      <c r="K278" s="13">
        <v>108007.3</v>
      </c>
      <c r="L278" s="13">
        <v>108007.3</v>
      </c>
      <c r="M278" s="13">
        <v>108007.3</v>
      </c>
      <c r="N278" s="13">
        <v>108007.3</v>
      </c>
      <c r="O278" s="13">
        <v>108007.3</v>
      </c>
      <c r="P278" s="13">
        <v>108007.3</v>
      </c>
      <c r="Q278" s="13">
        <v>108007.3</v>
      </c>
      <c r="R278" s="554">
        <v>121077</v>
      </c>
    </row>
    <row r="279" spans="1:18" hidden="1">
      <c r="A279" s="12" t="str">
        <f t="shared" si="4"/>
        <v>FINANZASRENTASE5</v>
      </c>
      <c r="B279">
        <v>281</v>
      </c>
      <c r="C279" t="s">
        <v>23</v>
      </c>
      <c r="D279" s="12" t="s">
        <v>169</v>
      </c>
      <c r="E279" s="12" t="s">
        <v>111</v>
      </c>
      <c r="F279" s="13">
        <v>43284.41</v>
      </c>
      <c r="G279" s="13">
        <v>43284.41</v>
      </c>
      <c r="H279" s="13">
        <v>43284.41</v>
      </c>
      <c r="I279" s="13">
        <v>43284.41</v>
      </c>
      <c r="J279" s="13">
        <v>43284.41</v>
      </c>
      <c r="K279" s="13">
        <v>43284.41</v>
      </c>
      <c r="L279" s="13">
        <v>43284.41</v>
      </c>
      <c r="M279" s="13">
        <v>43284.41</v>
      </c>
      <c r="N279" s="13">
        <v>43284.41</v>
      </c>
      <c r="O279" s="13">
        <v>43284.41</v>
      </c>
      <c r="P279" s="13">
        <v>43284.41</v>
      </c>
      <c r="Q279" s="13">
        <v>43284.41</v>
      </c>
      <c r="R279" s="554">
        <v>43697</v>
      </c>
    </row>
    <row r="280" spans="1:18" hidden="1">
      <c r="A280" s="12" t="str">
        <f t="shared" si="4"/>
        <v>FINANZASRENTASE6</v>
      </c>
      <c r="B280">
        <v>282</v>
      </c>
      <c r="C280" t="s">
        <v>23</v>
      </c>
      <c r="D280" s="12" t="s">
        <v>169</v>
      </c>
      <c r="E280" s="12" t="s">
        <v>112</v>
      </c>
      <c r="F280" s="13">
        <v>43982.78</v>
      </c>
      <c r="G280" s="13">
        <v>43982.78</v>
      </c>
      <c r="H280" s="13">
        <v>43982.78</v>
      </c>
      <c r="I280" s="13">
        <v>43982.78</v>
      </c>
      <c r="J280" s="13">
        <v>43982.78</v>
      </c>
      <c r="K280" s="13">
        <v>43982.78</v>
      </c>
      <c r="L280" s="13">
        <v>43982.78</v>
      </c>
      <c r="M280" s="13">
        <v>43982.78</v>
      </c>
      <c r="N280" s="13">
        <v>43982.78</v>
      </c>
      <c r="O280" s="13">
        <v>43982.78</v>
      </c>
      <c r="P280" s="13">
        <v>43982.78</v>
      </c>
      <c r="Q280" s="13">
        <v>43982.78</v>
      </c>
      <c r="R280" s="554">
        <v>46622</v>
      </c>
    </row>
    <row r="281" spans="1:18" hidden="1">
      <c r="A281" s="12" t="str">
        <f t="shared" si="4"/>
        <v>FINANZASRENTASE7</v>
      </c>
      <c r="B281">
        <v>283</v>
      </c>
      <c r="C281" t="s">
        <v>23</v>
      </c>
      <c r="D281" s="12" t="s">
        <v>169</v>
      </c>
      <c r="E281" s="12" t="s">
        <v>113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>
        <v>0</v>
      </c>
      <c r="O281" s="13">
        <v>0</v>
      </c>
      <c r="P281" s="13">
        <v>0</v>
      </c>
      <c r="Q281" s="13">
        <v>0</v>
      </c>
      <c r="R281" s="557"/>
    </row>
    <row r="282" spans="1:18" hidden="1">
      <c r="A282" s="12" t="str">
        <f t="shared" si="4"/>
        <v>FINANZASRENTASE8</v>
      </c>
      <c r="B282">
        <v>284</v>
      </c>
      <c r="C282" t="s">
        <v>23</v>
      </c>
      <c r="D282" s="12" t="s">
        <v>169</v>
      </c>
      <c r="E282" s="12" t="s">
        <v>114</v>
      </c>
      <c r="F282" s="13">
        <v>91774.97</v>
      </c>
      <c r="G282" s="13">
        <v>91774.97</v>
      </c>
      <c r="H282" s="13">
        <v>91774.97</v>
      </c>
      <c r="I282" s="13">
        <v>91774.97</v>
      </c>
      <c r="J282" s="13">
        <v>91774.97</v>
      </c>
      <c r="K282" s="13">
        <f>91774.97+2200</f>
        <v>93974.97</v>
      </c>
      <c r="L282" s="13">
        <f>91774.97+600</f>
        <v>92374.97</v>
      </c>
      <c r="M282" s="13">
        <f>91774.97+1800</f>
        <v>93574.97</v>
      </c>
      <c r="N282" s="13">
        <f>91774.97+4700</f>
        <v>96474.97</v>
      </c>
      <c r="O282" s="13">
        <v>91774.97</v>
      </c>
      <c r="P282" s="13">
        <f>91774.97+4700</f>
        <v>96474.97</v>
      </c>
      <c r="Q282" s="13">
        <f>91774.97+11400</f>
        <v>103174.97</v>
      </c>
      <c r="R282" s="554">
        <v>95690</v>
      </c>
    </row>
    <row r="283" spans="1:18" hidden="1">
      <c r="A283" s="12" t="str">
        <f t="shared" si="4"/>
        <v>FINANZASRENTASE9</v>
      </c>
      <c r="B283">
        <v>285</v>
      </c>
      <c r="C283" t="s">
        <v>23</v>
      </c>
      <c r="D283" s="12" t="s">
        <v>169</v>
      </c>
      <c r="E283" s="12" t="s">
        <v>116</v>
      </c>
      <c r="F283" s="13">
        <v>0</v>
      </c>
      <c r="G283" s="13">
        <v>0</v>
      </c>
      <c r="H283" s="13">
        <v>0</v>
      </c>
      <c r="I283" s="13">
        <v>100000</v>
      </c>
      <c r="J283" s="13">
        <v>100000</v>
      </c>
      <c r="K283" s="13">
        <v>100000</v>
      </c>
      <c r="L283" s="13">
        <v>100000</v>
      </c>
      <c r="M283" s="13">
        <v>100000</v>
      </c>
      <c r="N283" s="13">
        <v>100000</v>
      </c>
      <c r="O283" s="13">
        <v>100000</v>
      </c>
      <c r="P283" s="13">
        <v>100000</v>
      </c>
      <c r="Q283" s="13">
        <v>100000</v>
      </c>
      <c r="R283" s="554">
        <v>113497</v>
      </c>
    </row>
    <row r="284" spans="1:18" hidden="1">
      <c r="A284" s="12" t="str">
        <f t="shared" si="4"/>
        <v>FINANZASRENTASCEDIS</v>
      </c>
      <c r="B284">
        <v>286</v>
      </c>
      <c r="C284" t="s">
        <v>23</v>
      </c>
      <c r="D284" s="12" t="s">
        <v>169</v>
      </c>
      <c r="E284" s="12" t="s">
        <v>28</v>
      </c>
      <c r="F284" s="13">
        <v>143590</v>
      </c>
      <c r="G284" s="13">
        <v>143590</v>
      </c>
      <c r="H284" s="13">
        <v>143590</v>
      </c>
      <c r="I284" s="13">
        <v>143590</v>
      </c>
      <c r="J284" s="13">
        <v>143590</v>
      </c>
      <c r="K284" s="13">
        <v>143590</v>
      </c>
      <c r="L284" s="13">
        <v>143590</v>
      </c>
      <c r="M284" s="13">
        <v>143590</v>
      </c>
      <c r="N284" s="13">
        <v>143590</v>
      </c>
      <c r="O284" s="13">
        <v>143590</v>
      </c>
      <c r="P284" s="13">
        <v>143590</v>
      </c>
      <c r="Q284" s="13">
        <v>143590</v>
      </c>
      <c r="R284" s="15"/>
    </row>
    <row r="285" spans="1:18" hidden="1">
      <c r="A285" s="12" t="str">
        <f t="shared" si="4"/>
        <v>FINANZASRENTASDOMICILIO FISCAL</v>
      </c>
      <c r="B285">
        <v>287</v>
      </c>
      <c r="C285" t="s">
        <v>23</v>
      </c>
      <c r="D285" s="12" t="s">
        <v>169</v>
      </c>
      <c r="E285" s="12" t="s">
        <v>170</v>
      </c>
      <c r="F285" s="13">
        <v>3900</v>
      </c>
      <c r="G285" s="13">
        <v>3900</v>
      </c>
      <c r="H285" s="13">
        <v>3900</v>
      </c>
      <c r="I285" s="13">
        <v>3900</v>
      </c>
      <c r="J285" s="13">
        <v>3900</v>
      </c>
      <c r="K285" s="13">
        <v>3900</v>
      </c>
      <c r="L285" s="13">
        <v>3900</v>
      </c>
      <c r="M285" s="13">
        <v>3900</v>
      </c>
      <c r="N285" s="13">
        <v>3900</v>
      </c>
      <c r="O285" s="13">
        <v>3900</v>
      </c>
      <c r="P285" s="13">
        <v>3900</v>
      </c>
      <c r="Q285" s="13">
        <v>3900</v>
      </c>
      <c r="R285" s="555">
        <v>4002</v>
      </c>
    </row>
    <row r="286" spans="1:18" hidden="1">
      <c r="A286" s="12" t="str">
        <f t="shared" si="4"/>
        <v>FINANZASRENTASCONTABILIDAD (WT)</v>
      </c>
      <c r="B286">
        <v>288</v>
      </c>
      <c r="C286" t="s">
        <v>23</v>
      </c>
      <c r="D286" s="12" t="s">
        <v>169</v>
      </c>
      <c r="E286" s="12" t="s">
        <v>171</v>
      </c>
      <c r="F286" s="13">
        <v>8000</v>
      </c>
      <c r="G286" s="13">
        <v>8000</v>
      </c>
      <c r="H286" s="13">
        <v>8000</v>
      </c>
      <c r="I286" s="13">
        <v>8000</v>
      </c>
      <c r="J286" s="13">
        <v>8000</v>
      </c>
      <c r="K286" s="13">
        <v>8000</v>
      </c>
      <c r="L286" s="13">
        <v>8000</v>
      </c>
      <c r="M286" s="13">
        <v>8000</v>
      </c>
      <c r="N286" s="13">
        <v>8000</v>
      </c>
      <c r="O286" s="13">
        <v>8000</v>
      </c>
      <c r="P286" s="13">
        <v>8000</v>
      </c>
      <c r="Q286" s="13">
        <v>8000</v>
      </c>
      <c r="R286" s="555">
        <v>6671</v>
      </c>
    </row>
    <row r="287" spans="1:18" hidden="1">
      <c r="A287" s="12" t="str">
        <f t="shared" si="4"/>
        <v>FINANZASRENTASE11</v>
      </c>
      <c r="B287">
        <v>289</v>
      </c>
      <c r="C287" t="s">
        <v>23</v>
      </c>
      <c r="D287" t="s">
        <v>169</v>
      </c>
      <c r="E287" t="s">
        <v>118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155000</v>
      </c>
      <c r="O287" s="445">
        <v>147766.60999999999</v>
      </c>
      <c r="P287" s="445">
        <v>147766.60999999999</v>
      </c>
      <c r="Q287" s="445">
        <v>147766.60999999999</v>
      </c>
      <c r="R287" s="554">
        <v>147767</v>
      </c>
    </row>
    <row r="288" spans="1:18" hidden="1">
      <c r="A288" s="12" t="str">
        <f t="shared" si="4"/>
        <v>FINANZASRENTASE10</v>
      </c>
      <c r="B288">
        <v>290</v>
      </c>
      <c r="C288" t="s">
        <v>23</v>
      </c>
      <c r="D288" t="s">
        <v>169</v>
      </c>
      <c r="E288" t="s">
        <v>117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f>144643.83+144643.83</f>
        <v>289287.65999999997</v>
      </c>
      <c r="R288" s="554">
        <v>156633</v>
      </c>
    </row>
    <row r="289" spans="1:18" hidden="1">
      <c r="A289" s="12" t="str">
        <f t="shared" si="4"/>
        <v>CAPSEGURIDADSEGURIDAD</v>
      </c>
      <c r="B289">
        <v>291</v>
      </c>
      <c r="C289" t="s">
        <v>31</v>
      </c>
      <c r="D289" t="s">
        <v>172</v>
      </c>
      <c r="E289" t="s">
        <v>172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 s="210">
        <v>3000</v>
      </c>
    </row>
    <row r="290" spans="1:18" hidden="1">
      <c r="A290" s="12" t="str">
        <f t="shared" si="4"/>
        <v>FINANZASSEGUROEDIFICIO</v>
      </c>
      <c r="B290">
        <v>292</v>
      </c>
      <c r="C290" t="s">
        <v>23</v>
      </c>
      <c r="D290" t="s">
        <v>173</v>
      </c>
      <c r="E290" t="s">
        <v>174</v>
      </c>
      <c r="F290" s="13">
        <v>25000</v>
      </c>
      <c r="G290" s="13">
        <v>0</v>
      </c>
      <c r="H290" s="13">
        <v>0</v>
      </c>
      <c r="I290" s="13">
        <v>25000</v>
      </c>
      <c r="J290" s="13">
        <v>0</v>
      </c>
      <c r="K290" s="13">
        <v>0</v>
      </c>
      <c r="L290" s="13">
        <v>25000</v>
      </c>
      <c r="M290" s="13">
        <v>0</v>
      </c>
      <c r="N290" s="13">
        <v>0</v>
      </c>
      <c r="O290" s="13">
        <v>25000</v>
      </c>
      <c r="P290" s="13">
        <v>0</v>
      </c>
      <c r="Q290" s="13">
        <v>0</v>
      </c>
      <c r="R290" s="15"/>
    </row>
    <row r="291" spans="1:18" hidden="1">
      <c r="A291" s="12" t="str">
        <f t="shared" si="4"/>
        <v>FINANZASSEGUROEQ. DE TRANSPORTE</v>
      </c>
      <c r="B291">
        <v>293</v>
      </c>
      <c r="C291" t="s">
        <v>23</v>
      </c>
      <c r="D291" t="s">
        <v>173</v>
      </c>
      <c r="E291" t="s">
        <v>175</v>
      </c>
      <c r="F291" s="13">
        <v>30000</v>
      </c>
      <c r="G291" s="13">
        <v>40000</v>
      </c>
      <c r="H291" s="13">
        <v>10000</v>
      </c>
      <c r="I291" s="13">
        <v>0</v>
      </c>
      <c r="J291" s="13">
        <v>25000</v>
      </c>
      <c r="K291" s="13">
        <v>0</v>
      </c>
      <c r="L291" s="13">
        <v>56000</v>
      </c>
      <c r="M291" s="13">
        <v>0</v>
      </c>
      <c r="N291">
        <v>0</v>
      </c>
      <c r="O291" s="13">
        <v>20000</v>
      </c>
      <c r="P291" s="13">
        <v>27000</v>
      </c>
      <c r="Q291" s="13">
        <v>0</v>
      </c>
      <c r="R291" s="13"/>
    </row>
    <row r="292" spans="1:18">
      <c r="A292" s="12" t="str">
        <f t="shared" si="4"/>
        <v>HRSGMHR</v>
      </c>
      <c r="B292">
        <v>294</v>
      </c>
      <c r="C292" t="s">
        <v>29</v>
      </c>
      <c r="D292" s="12" t="s">
        <v>176</v>
      </c>
      <c r="E292" s="12" t="s">
        <v>29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27557</v>
      </c>
      <c r="Q292" s="13">
        <v>0</v>
      </c>
      <c r="R292" s="15"/>
    </row>
    <row r="293" spans="1:18" hidden="1">
      <c r="A293" s="12" t="str">
        <f t="shared" si="4"/>
        <v>SERVICIOSSGMSERVICIOS</v>
      </c>
      <c r="B293">
        <v>295</v>
      </c>
      <c r="C293" t="s">
        <v>21</v>
      </c>
      <c r="D293" s="12" t="s">
        <v>176</v>
      </c>
      <c r="E293" s="12" t="s">
        <v>21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40000</v>
      </c>
      <c r="R293" s="556">
        <v>2000</v>
      </c>
    </row>
    <row r="294" spans="1:18" hidden="1">
      <c r="A294" s="12" t="str">
        <f t="shared" si="4"/>
        <v>FINANZASSGMFINANZAS</v>
      </c>
      <c r="B294">
        <v>296</v>
      </c>
      <c r="C294" t="s">
        <v>23</v>
      </c>
      <c r="D294" s="12" t="s">
        <v>176</v>
      </c>
      <c r="E294" s="12" t="s">
        <v>23</v>
      </c>
      <c r="F294" s="13">
        <v>0</v>
      </c>
      <c r="G294" s="13">
        <v>0</v>
      </c>
      <c r="H294" s="13">
        <v>41929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</row>
    <row r="295" spans="1:18" hidden="1">
      <c r="A295" s="12" t="str">
        <f t="shared" si="4"/>
        <v>SGESGMGESTION EMPRESARIAL</v>
      </c>
      <c r="B295">
        <v>296</v>
      </c>
      <c r="C295" t="s">
        <v>39</v>
      </c>
      <c r="D295" s="12" t="s">
        <v>176</v>
      </c>
      <c r="E295" s="12" t="s">
        <v>40</v>
      </c>
      <c r="F295" s="13">
        <v>0</v>
      </c>
      <c r="G295" s="13">
        <v>0</v>
      </c>
      <c r="H295" s="13">
        <v>0</v>
      </c>
      <c r="I295" s="13">
        <v>3707</v>
      </c>
      <c r="J295" s="13">
        <v>0</v>
      </c>
      <c r="K295" s="13">
        <v>0</v>
      </c>
      <c r="L295" s="13">
        <v>25918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</row>
    <row r="296" spans="1:18" hidden="1">
      <c r="A296" s="12" t="str">
        <f t="shared" si="4"/>
        <v>DESGMDIRECCION</v>
      </c>
      <c r="B296">
        <v>297</v>
      </c>
      <c r="C296" t="s">
        <v>41</v>
      </c>
      <c r="D296" s="12" t="s">
        <v>176</v>
      </c>
      <c r="E296" s="12" t="s">
        <v>42</v>
      </c>
      <c r="F296" s="13">
        <v>0</v>
      </c>
      <c r="G296" s="13">
        <v>0</v>
      </c>
      <c r="H296" s="13">
        <v>52150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555">
        <v>24000</v>
      </c>
    </row>
    <row r="297" spans="1:18" hidden="1">
      <c r="A297" s="12" t="str">
        <f t="shared" si="4"/>
        <v>CAPSGMCAPRICHOS</v>
      </c>
      <c r="B297">
        <v>298</v>
      </c>
      <c r="C297" t="s">
        <v>31</v>
      </c>
      <c r="D297" t="s">
        <v>176</v>
      </c>
      <c r="E297" t="s">
        <v>33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</row>
    <row r="298" spans="1:18" hidden="1">
      <c r="A298" s="12" t="str">
        <f t="shared" si="4"/>
        <v>FINANZASSINETISINETI (SAP)</v>
      </c>
      <c r="B298">
        <v>299</v>
      </c>
      <c r="C298" t="s">
        <v>23</v>
      </c>
      <c r="D298" t="s">
        <v>177</v>
      </c>
      <c r="E298" t="s">
        <v>178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>
        <v>0</v>
      </c>
      <c r="O298" s="13">
        <v>0</v>
      </c>
      <c r="P298" s="13">
        <v>0</v>
      </c>
      <c r="Q298" s="15">
        <v>140000</v>
      </c>
    </row>
    <row r="299" spans="1:18" hidden="1">
      <c r="A299" s="12" t="str">
        <f t="shared" si="4"/>
        <v>FINANZASSOLUONESOLUONE (RETAIL)</v>
      </c>
      <c r="B299">
        <v>300</v>
      </c>
      <c r="C299" t="s">
        <v>23</v>
      </c>
      <c r="D299" t="s">
        <v>179</v>
      </c>
      <c r="E299" t="s">
        <v>180</v>
      </c>
      <c r="F299" s="13">
        <v>0</v>
      </c>
      <c r="G299" s="13">
        <v>0</v>
      </c>
      <c r="H299" s="13">
        <v>40000</v>
      </c>
      <c r="I299" s="13">
        <v>40000</v>
      </c>
      <c r="J299" s="13">
        <v>40000</v>
      </c>
      <c r="K299" s="13">
        <v>40000</v>
      </c>
      <c r="L299" s="13">
        <v>40000</v>
      </c>
      <c r="M299" s="13">
        <v>0</v>
      </c>
      <c r="N299">
        <v>0</v>
      </c>
      <c r="O299" s="13">
        <v>0</v>
      </c>
      <c r="P299" s="13">
        <v>0</v>
      </c>
      <c r="Q299" s="15">
        <v>0</v>
      </c>
    </row>
    <row r="300" spans="1:18" hidden="1">
      <c r="A300" s="12" t="str">
        <f t="shared" si="4"/>
        <v>FINANZASTELEFONIATELMEX</v>
      </c>
      <c r="B300">
        <v>301</v>
      </c>
      <c r="C300" t="s">
        <v>23</v>
      </c>
      <c r="D300" s="12" t="s">
        <v>181</v>
      </c>
      <c r="E300" s="12" t="s">
        <v>182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>
        <v>0</v>
      </c>
      <c r="O300" s="13">
        <v>0</v>
      </c>
      <c r="P300" s="13">
        <v>0</v>
      </c>
      <c r="Q300" s="13">
        <v>0</v>
      </c>
      <c r="R300" s="554">
        <v>28000</v>
      </c>
    </row>
    <row r="301" spans="1:18" hidden="1">
      <c r="A301" s="12" t="str">
        <f t="shared" si="4"/>
        <v>FINANZASTELEFONIATELCEL</v>
      </c>
      <c r="B301">
        <v>302</v>
      </c>
      <c r="C301" t="s">
        <v>23</v>
      </c>
      <c r="D301" s="12" t="s">
        <v>181</v>
      </c>
      <c r="E301" s="12" t="s">
        <v>183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>
        <v>0</v>
      </c>
      <c r="O301" s="13">
        <v>0</v>
      </c>
      <c r="P301" s="13">
        <v>0</v>
      </c>
      <c r="Q301" s="13">
        <v>0</v>
      </c>
      <c r="R301" s="555">
        <v>10000</v>
      </c>
    </row>
    <row r="302" spans="1:18" hidden="1">
      <c r="A302" s="12" t="str">
        <f t="shared" si="4"/>
        <v>FINANZASTELEFONIASTARLINK</v>
      </c>
      <c r="B302">
        <v>303</v>
      </c>
      <c r="C302" t="s">
        <v>23</v>
      </c>
      <c r="D302" s="12" t="s">
        <v>181</v>
      </c>
      <c r="E302" s="12" t="s">
        <v>184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>
        <v>0</v>
      </c>
      <c r="O302" s="13">
        <v>0</v>
      </c>
      <c r="P302" s="13">
        <v>0</v>
      </c>
      <c r="Q302" s="13">
        <v>0</v>
      </c>
      <c r="R302" s="555">
        <v>8470</v>
      </c>
    </row>
    <row r="303" spans="1:18" hidden="1">
      <c r="A303" s="12" t="str">
        <f t="shared" si="4"/>
        <v>FINANZASTELEFONIATOTAL PLAY (CONTA)</v>
      </c>
      <c r="B303">
        <v>304</v>
      </c>
      <c r="C303" t="s">
        <v>23</v>
      </c>
      <c r="D303" s="12" t="s">
        <v>181</v>
      </c>
      <c r="E303" s="12" t="s">
        <v>185</v>
      </c>
      <c r="F303" s="13">
        <v>610</v>
      </c>
      <c r="G303" s="13">
        <v>610</v>
      </c>
      <c r="H303" s="13">
        <v>610</v>
      </c>
      <c r="I303" s="13">
        <v>610</v>
      </c>
      <c r="J303" s="13">
        <v>610</v>
      </c>
      <c r="K303" s="13">
        <v>610</v>
      </c>
      <c r="L303" s="13">
        <v>610</v>
      </c>
      <c r="M303" s="13">
        <v>610</v>
      </c>
      <c r="N303" s="13">
        <v>610</v>
      </c>
      <c r="O303" s="13">
        <v>610</v>
      </c>
      <c r="P303" s="13">
        <v>610</v>
      </c>
      <c r="Q303" s="13">
        <v>610</v>
      </c>
      <c r="R303" s="557">
        <v>660</v>
      </c>
    </row>
    <row r="304" spans="1:18" hidden="1">
      <c r="A304" s="12" t="str">
        <f t="shared" si="4"/>
        <v>FINANZASTELEFONIATELEFONIA</v>
      </c>
      <c r="B304">
        <v>305</v>
      </c>
      <c r="C304" t="s">
        <v>23</v>
      </c>
      <c r="D304" s="12" t="s">
        <v>181</v>
      </c>
      <c r="E304" s="14" t="s">
        <v>181</v>
      </c>
      <c r="F304" s="13">
        <v>40934</v>
      </c>
      <c r="G304" s="13">
        <v>55574</v>
      </c>
      <c r="H304" s="13">
        <v>45875</v>
      </c>
      <c r="I304" s="13">
        <v>46431</v>
      </c>
      <c r="J304" s="13">
        <v>26244</v>
      </c>
      <c r="K304" s="13">
        <v>35511</v>
      </c>
      <c r="L304" s="13">
        <v>0</v>
      </c>
      <c r="M304" s="13">
        <v>0</v>
      </c>
      <c r="N304" s="13">
        <v>54252</v>
      </c>
      <c r="O304" s="13">
        <v>21592</v>
      </c>
      <c r="P304" s="13">
        <v>38288</v>
      </c>
      <c r="Q304" s="13">
        <v>29200</v>
      </c>
      <c r="R304" s="555">
        <v>30000</v>
      </c>
    </row>
    <row r="305" spans="1:18">
      <c r="A305" s="12" t="str">
        <f t="shared" si="4"/>
        <v>HRTELEPEAJEOP HR</v>
      </c>
      <c r="B305">
        <v>306</v>
      </c>
      <c r="C305" t="s">
        <v>29</v>
      </c>
      <c r="D305" t="s">
        <v>186</v>
      </c>
      <c r="E305" t="s">
        <v>187</v>
      </c>
      <c r="F305" s="13">
        <v>0</v>
      </c>
      <c r="G305" s="15">
        <v>2190</v>
      </c>
      <c r="H305" s="15">
        <v>2668</v>
      </c>
      <c r="I305">
        <v>708</v>
      </c>
      <c r="J305" s="15">
        <v>2348</v>
      </c>
      <c r="K305" s="15">
        <v>1190</v>
      </c>
      <c r="L305" s="15">
        <v>1875</v>
      </c>
      <c r="M305" s="15">
        <v>1728</v>
      </c>
      <c r="N305" s="15">
        <v>2398</v>
      </c>
      <c r="O305" s="15">
        <v>3000</v>
      </c>
      <c r="P305" s="15">
        <v>3000</v>
      </c>
      <c r="Q305" s="15">
        <v>3000</v>
      </c>
      <c r="R305" s="557">
        <v>2000</v>
      </c>
    </row>
    <row r="306" spans="1:18" hidden="1">
      <c r="A306" s="12" t="str">
        <f t="shared" si="4"/>
        <v>CAPTELEPEAJEOP CAPRICHOS</v>
      </c>
      <c r="B306">
        <v>307</v>
      </c>
      <c r="C306" t="s">
        <v>31</v>
      </c>
      <c r="D306" t="s">
        <v>186</v>
      </c>
      <c r="E306" t="s">
        <v>188</v>
      </c>
      <c r="F306" s="13">
        <v>0</v>
      </c>
      <c r="G306" s="15">
        <v>2768</v>
      </c>
      <c r="H306">
        <v>968</v>
      </c>
      <c r="I306">
        <v>628</v>
      </c>
      <c r="J306">
        <v>960</v>
      </c>
      <c r="K306">
        <v>628</v>
      </c>
      <c r="L306" s="15">
        <v>1322</v>
      </c>
      <c r="M306">
        <v>730</v>
      </c>
      <c r="N306">
        <v>680</v>
      </c>
      <c r="O306" s="13">
        <v>0</v>
      </c>
      <c r="P306" s="13">
        <v>0</v>
      </c>
      <c r="Q306" s="13">
        <v>0</v>
      </c>
      <c r="R306" s="557">
        <v>2300</v>
      </c>
    </row>
    <row r="307" spans="1:18" hidden="1">
      <c r="A307" s="12" t="str">
        <f t="shared" si="4"/>
        <v>SERVICIOSTELEPEAJECEDIS</v>
      </c>
      <c r="B307">
        <v>308</v>
      </c>
      <c r="C307" t="s">
        <v>21</v>
      </c>
      <c r="D307" t="s">
        <v>186</v>
      </c>
      <c r="E307" t="s">
        <v>28</v>
      </c>
      <c r="F307" s="13">
        <v>0</v>
      </c>
      <c r="G307" s="15">
        <v>10683</v>
      </c>
      <c r="H307" s="15">
        <v>14022</v>
      </c>
      <c r="I307" s="15">
        <v>5625</v>
      </c>
      <c r="J307" s="15">
        <v>12790</v>
      </c>
      <c r="K307" s="15">
        <v>13914</v>
      </c>
      <c r="L307" s="15">
        <v>6115</v>
      </c>
      <c r="M307" s="15">
        <v>12237</v>
      </c>
      <c r="N307" s="15">
        <v>8943</v>
      </c>
      <c r="O307" s="15">
        <v>15000</v>
      </c>
      <c r="P307" s="15">
        <v>15000</v>
      </c>
      <c r="Q307" s="15">
        <v>15000</v>
      </c>
      <c r="R307" s="557">
        <v>20000</v>
      </c>
    </row>
    <row r="308" spans="1:18" hidden="1">
      <c r="A308" s="12" t="str">
        <f>C308&amp;D308&amp;E308</f>
        <v>SERVICIOSTELEPEAJEMANTENIMIENTO</v>
      </c>
      <c r="B308" s="12">
        <v>217</v>
      </c>
      <c r="C308" t="s">
        <v>21</v>
      </c>
      <c r="D308" t="s">
        <v>186</v>
      </c>
      <c r="E308" s="12" t="s">
        <v>35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>
        <v>140</v>
      </c>
      <c r="L308">
        <v>665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557">
        <v>200</v>
      </c>
    </row>
    <row r="309" spans="1:18" hidden="1">
      <c r="A309" s="12" t="str">
        <f>C309&amp;D309&amp;E309</f>
        <v>SERVICIOSTELEPEAJEINVENTARIOS</v>
      </c>
      <c r="B309">
        <v>309</v>
      </c>
      <c r="C309" t="s">
        <v>21</v>
      </c>
      <c r="D309" t="s">
        <v>186</v>
      </c>
      <c r="E309" t="s">
        <v>34</v>
      </c>
      <c r="F309" s="13">
        <v>0</v>
      </c>
      <c r="G309">
        <v>340</v>
      </c>
      <c r="H309" s="13">
        <v>0</v>
      </c>
      <c r="I309" s="13">
        <v>0</v>
      </c>
      <c r="J309">
        <v>595</v>
      </c>
      <c r="K309">
        <v>255</v>
      </c>
      <c r="L309" s="13">
        <v>0</v>
      </c>
      <c r="M309">
        <v>620</v>
      </c>
      <c r="N309">
        <v>740</v>
      </c>
      <c r="O309" s="13">
        <v>0</v>
      </c>
      <c r="P309" s="13">
        <v>0</v>
      </c>
      <c r="Q309" s="13">
        <v>0</v>
      </c>
      <c r="R309" s="557">
        <v>200</v>
      </c>
    </row>
    <row r="310" spans="1:18" hidden="1">
      <c r="A310" s="12" t="str">
        <f>C310&amp;D310&amp;E310</f>
        <v>FINANZASTELEPEAJEFINANZAS</v>
      </c>
      <c r="B310">
        <v>310</v>
      </c>
      <c r="C310" t="s">
        <v>23</v>
      </c>
      <c r="D310" t="s">
        <v>186</v>
      </c>
      <c r="E310" t="s">
        <v>23</v>
      </c>
      <c r="F310" s="13">
        <v>0</v>
      </c>
      <c r="G310" s="13">
        <v>0</v>
      </c>
      <c r="H310">
        <v>974</v>
      </c>
      <c r="I310">
        <v>170</v>
      </c>
      <c r="J310">
        <v>170</v>
      </c>
      <c r="K310">
        <v>628</v>
      </c>
      <c r="L310" s="13">
        <v>0</v>
      </c>
      <c r="M310" s="15">
        <v>2651</v>
      </c>
      <c r="N310">
        <v>968</v>
      </c>
      <c r="O310" s="13">
        <v>0</v>
      </c>
      <c r="P310" s="13">
        <v>0</v>
      </c>
      <c r="Q310" s="13">
        <v>0</v>
      </c>
      <c r="R310" s="557">
        <v>1500</v>
      </c>
    </row>
    <row r="311" spans="1:18" hidden="1">
      <c r="A311" s="12" t="str">
        <f>C311&amp;D311&amp;E311</f>
        <v>DETELEPEAJEDIRECCION</v>
      </c>
      <c r="B311">
        <v>311</v>
      </c>
      <c r="C311" t="s">
        <v>41</v>
      </c>
      <c r="D311" t="s">
        <v>186</v>
      </c>
      <c r="E311" t="s">
        <v>42</v>
      </c>
      <c r="F311" s="13">
        <v>0</v>
      </c>
      <c r="G311" s="15">
        <v>1167</v>
      </c>
      <c r="H311" s="15">
        <v>12610</v>
      </c>
      <c r="I311">
        <v>355</v>
      </c>
      <c r="J311" s="15">
        <v>1080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557"/>
    </row>
    <row r="312" spans="1:18" hidden="1">
      <c r="A312" s="12" t="str">
        <f>C312&amp;D312&amp;E312</f>
        <v>ELITELEPEAJEL1</v>
      </c>
      <c r="B312">
        <v>312</v>
      </c>
      <c r="C312" t="s">
        <v>130</v>
      </c>
      <c r="D312" t="s">
        <v>186</v>
      </c>
      <c r="E312" t="s">
        <v>136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8" hidden="1">
      <c r="A313" s="12" t="str">
        <f>C313&amp;D313&amp;E313</f>
        <v>SERVICIOSTELEPEAJESERVICIOS</v>
      </c>
      <c r="B313">
        <v>312</v>
      </c>
      <c r="C313" t="s">
        <v>21</v>
      </c>
      <c r="D313" t="s">
        <v>186</v>
      </c>
      <c r="E313" t="s">
        <v>21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 s="557">
        <v>1000</v>
      </c>
    </row>
    <row r="314" spans="1:18" hidden="1">
      <c r="A314" s="12" t="str">
        <f>C314&amp;D314&amp;E314</f>
        <v>HRUBERHR</v>
      </c>
      <c r="B314">
        <v>313</v>
      </c>
      <c r="C314" t="s">
        <v>29</v>
      </c>
      <c r="D314" s="12" t="s">
        <v>189</v>
      </c>
      <c r="E314" s="12" t="s">
        <v>29</v>
      </c>
      <c r="F314" s="13">
        <v>8000</v>
      </c>
      <c r="G314" s="13">
        <v>6000</v>
      </c>
      <c r="H314" s="13">
        <v>6000</v>
      </c>
      <c r="I314" s="13">
        <v>8000</v>
      </c>
      <c r="J314" s="13">
        <v>8000</v>
      </c>
      <c r="K314" s="13">
        <v>8000</v>
      </c>
      <c r="L314" s="13">
        <v>6000</v>
      </c>
      <c r="M314" s="13">
        <v>12000</v>
      </c>
      <c r="N314" s="13">
        <v>12000</v>
      </c>
      <c r="O314" s="13">
        <v>12000</v>
      </c>
      <c r="P314" s="13">
        <v>15000</v>
      </c>
      <c r="Q314" s="13">
        <v>15000</v>
      </c>
    </row>
    <row r="315" spans="1:18" hidden="1">
      <c r="A315" s="12" t="str">
        <f>C315&amp;D315&amp;E315</f>
        <v>CAPUBERCAP</v>
      </c>
      <c r="B315">
        <v>314</v>
      </c>
      <c r="C315" t="s">
        <v>31</v>
      </c>
      <c r="D315" t="s">
        <v>189</v>
      </c>
      <c r="E315" t="s">
        <v>31</v>
      </c>
      <c r="F315" s="13">
        <v>12825</v>
      </c>
      <c r="G315" s="13">
        <v>12836</v>
      </c>
      <c r="H315" s="13">
        <v>17289</v>
      </c>
      <c r="I315" s="13">
        <v>15083</v>
      </c>
      <c r="J315" s="13">
        <v>11536</v>
      </c>
      <c r="K315" s="13">
        <v>10130</v>
      </c>
      <c r="L315" s="13">
        <v>12171</v>
      </c>
      <c r="M315" s="13">
        <v>15413</v>
      </c>
      <c r="N315" s="13">
        <v>17328</v>
      </c>
      <c r="O315" s="13">
        <v>16000</v>
      </c>
      <c r="P315" s="13">
        <v>16000</v>
      </c>
      <c r="Q315" s="13">
        <v>20000</v>
      </c>
      <c r="R315" s="555">
        <v>2000</v>
      </c>
    </row>
    <row r="316" spans="1:18" hidden="1">
      <c r="A316" s="12" t="str">
        <f>C316&amp;D316&amp;E316</f>
        <v>ELIUBERL1</v>
      </c>
      <c r="B316">
        <v>315</v>
      </c>
      <c r="C316" t="s">
        <v>130</v>
      </c>
      <c r="D316" t="s">
        <v>189</v>
      </c>
      <c r="E316" t="s">
        <v>136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 s="558">
        <v>1500</v>
      </c>
    </row>
    <row r="317" spans="1:18">
      <c r="A317" s="12" t="str">
        <f>C317&amp;D317&amp;E317</f>
        <v>HRVACACIONES/FINIQUITOSHR</v>
      </c>
      <c r="B317">
        <v>316</v>
      </c>
      <c r="C317" t="s">
        <v>29</v>
      </c>
      <c r="D317" s="12" t="s">
        <v>190</v>
      </c>
      <c r="E317" s="12" t="s">
        <v>29</v>
      </c>
      <c r="F317" s="13">
        <v>25275</v>
      </c>
      <c r="G317" s="13">
        <v>42875</v>
      </c>
      <c r="H317" s="13">
        <v>50072</v>
      </c>
      <c r="I317" s="13">
        <v>107936</v>
      </c>
      <c r="J317" s="13">
        <f>+(16675/1.25)*0.25</f>
        <v>3335</v>
      </c>
      <c r="K317" s="13">
        <f>+(103289/1.25)*0.25</f>
        <v>20657.8</v>
      </c>
      <c r="L317" s="13">
        <v>97066</v>
      </c>
      <c r="M317" s="13">
        <v>116272</v>
      </c>
      <c r="N317" s="13">
        <v>122912</v>
      </c>
      <c r="O317" s="13">
        <v>94923</v>
      </c>
      <c r="P317" s="13">
        <v>65306</v>
      </c>
      <c r="Q317" s="13">
        <v>130533</v>
      </c>
    </row>
    <row r="318" spans="1:18" hidden="1">
      <c r="A318" s="12" t="str">
        <f t="shared" ref="A318:A319" si="5">C318&amp;D318&amp;E318</f>
        <v>CAPVACACIONES/FINIQUITOSCAPRICHOS</v>
      </c>
      <c r="B318">
        <v>317</v>
      </c>
      <c r="C318" t="s">
        <v>31</v>
      </c>
      <c r="D318" s="12" t="s">
        <v>190</v>
      </c>
      <c r="E318" s="12" t="s">
        <v>33</v>
      </c>
      <c r="F318" s="13">
        <v>23351</v>
      </c>
      <c r="G318" s="13">
        <v>20178</v>
      </c>
      <c r="H318" s="13">
        <v>32761</v>
      </c>
      <c r="I318" s="13">
        <v>34310</v>
      </c>
      <c r="J318" s="13">
        <f>+(30296/1.25)*0.25</f>
        <v>6059.2</v>
      </c>
      <c r="K318" s="13">
        <f>+(36407/1.25)*0.25</f>
        <v>7281.4</v>
      </c>
      <c r="L318" s="13">
        <v>19211</v>
      </c>
      <c r="M318" s="13">
        <v>92716</v>
      </c>
      <c r="N318" s="13">
        <v>59540</v>
      </c>
      <c r="O318" s="13">
        <v>37815</v>
      </c>
      <c r="P318" s="13">
        <v>35059</v>
      </c>
      <c r="Q318" s="13">
        <v>48402</v>
      </c>
    </row>
    <row r="319" spans="1:18" hidden="1">
      <c r="A319" s="12" t="str">
        <f t="shared" si="5"/>
        <v>SERVICIOSVACACIONES/FINIQUITOSSERVICIOS</v>
      </c>
      <c r="B319">
        <v>318</v>
      </c>
      <c r="C319" t="s">
        <v>21</v>
      </c>
      <c r="D319" s="12" t="s">
        <v>190</v>
      </c>
      <c r="E319" s="12" t="s">
        <v>21</v>
      </c>
      <c r="F319" s="13">
        <v>8424</v>
      </c>
      <c r="G319" s="13">
        <v>45424</v>
      </c>
      <c r="H319" s="13">
        <v>18742</v>
      </c>
      <c r="I319" s="13">
        <v>25572</v>
      </c>
      <c r="J319" s="13">
        <f>+(49436/1.25)*0.25</f>
        <v>9887.2000000000007</v>
      </c>
      <c r="K319" s="13">
        <f>+(60629/1.25)*0.25</f>
        <v>12125.8</v>
      </c>
      <c r="L319" s="13">
        <v>88631</v>
      </c>
      <c r="M319" s="13">
        <v>3946</v>
      </c>
      <c r="N319" s="13">
        <v>35033</v>
      </c>
      <c r="O319" s="13">
        <v>11750</v>
      </c>
      <c r="P319" s="13">
        <v>5770</v>
      </c>
      <c r="Q319" s="13">
        <v>25370</v>
      </c>
    </row>
    <row r="320" spans="1:18" hidden="1">
      <c r="A320" s="12" t="str">
        <f>C320&amp;D320&amp;E320</f>
        <v>FINANZASVACACIONES/FINIQUITOSFINANZAS</v>
      </c>
      <c r="B320">
        <v>319</v>
      </c>
      <c r="C320" t="s">
        <v>23</v>
      </c>
      <c r="D320" s="12" t="s">
        <v>190</v>
      </c>
      <c r="E320" s="12" t="s">
        <v>23</v>
      </c>
      <c r="F320" s="13">
        <v>4881</v>
      </c>
      <c r="G320" s="13">
        <v>10615</v>
      </c>
      <c r="H320" s="13">
        <v>11962</v>
      </c>
      <c r="I320" s="13">
        <v>9821</v>
      </c>
      <c r="J320" s="13">
        <f>+(15000/1.25)*0.25</f>
        <v>3000</v>
      </c>
      <c r="K320" s="13">
        <f>+(14832/1.25)*0.25</f>
        <v>2966.4</v>
      </c>
      <c r="L320" s="13">
        <v>0</v>
      </c>
      <c r="M320" s="13">
        <v>21128</v>
      </c>
      <c r="N320" s="13">
        <v>0</v>
      </c>
      <c r="O320" s="13">
        <v>15000</v>
      </c>
      <c r="P320" s="13">
        <v>0</v>
      </c>
      <c r="Q320" s="13">
        <v>0</v>
      </c>
    </row>
    <row r="321" spans="1:18" hidden="1">
      <c r="A321" s="12" t="str">
        <f>C321&amp;D321&amp;E321</f>
        <v>SGEVACACIONES/FINIQUITOSGESTION EMPRESARIAL</v>
      </c>
      <c r="B321">
        <v>320</v>
      </c>
      <c r="C321" t="s">
        <v>39</v>
      </c>
      <c r="D321" s="12" t="s">
        <v>190</v>
      </c>
      <c r="E321" s="12" t="s">
        <v>40</v>
      </c>
      <c r="F321" s="13">
        <v>0</v>
      </c>
      <c r="G321" s="13">
        <v>23595</v>
      </c>
      <c r="H321" s="13">
        <v>0</v>
      </c>
      <c r="I321" s="13">
        <v>803</v>
      </c>
      <c r="J321" s="13">
        <v>0</v>
      </c>
      <c r="K321" s="13">
        <v>0</v>
      </c>
      <c r="L321" s="13">
        <v>6729</v>
      </c>
      <c r="M321" s="13">
        <v>0</v>
      </c>
      <c r="N321" s="13">
        <v>13750</v>
      </c>
      <c r="O321" s="13">
        <v>0</v>
      </c>
      <c r="P321" s="13">
        <v>0</v>
      </c>
      <c r="Q321" s="13">
        <v>0</v>
      </c>
    </row>
    <row r="322" spans="1:18" hidden="1">
      <c r="A322" s="12" t="str">
        <f>C322&amp;D322&amp;E322</f>
        <v>MELVACACIONES/FINIQUITOSMELISSA</v>
      </c>
      <c r="B322">
        <v>321</v>
      </c>
      <c r="C322" t="s">
        <v>43</v>
      </c>
      <c r="D322" s="12" t="s">
        <v>190</v>
      </c>
      <c r="E322" s="12" t="s">
        <v>44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>
        <v>0</v>
      </c>
      <c r="O322" s="13">
        <v>0</v>
      </c>
      <c r="P322" s="13">
        <v>0</v>
      </c>
      <c r="Q322" s="13">
        <v>0</v>
      </c>
    </row>
    <row r="323" spans="1:18" hidden="1">
      <c r="A323" s="12" t="str">
        <f>C323&amp;D323&amp;E323</f>
        <v>MMVACACIONES/FINIQUITOSMARKET MAX</v>
      </c>
      <c r="B323">
        <v>322</v>
      </c>
      <c r="C323" t="s">
        <v>45</v>
      </c>
      <c r="D323" s="12" t="s">
        <v>190</v>
      </c>
      <c r="E323" s="12" t="s">
        <v>46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>
        <v>0</v>
      </c>
      <c r="O323" s="13">
        <v>0</v>
      </c>
      <c r="P323" s="13">
        <v>0</v>
      </c>
      <c r="Q323" s="13">
        <v>0</v>
      </c>
    </row>
    <row r="324" spans="1:18" hidden="1">
      <c r="A324" s="12" t="str">
        <f>C324&amp;D324&amp;E324</f>
        <v>DEVACACIONES/FINIQUITOSDIRECCION</v>
      </c>
      <c r="B324">
        <v>323</v>
      </c>
      <c r="C324" t="s">
        <v>41</v>
      </c>
      <c r="D324" s="12" t="s">
        <v>190</v>
      </c>
      <c r="E324" s="12" t="s">
        <v>42</v>
      </c>
      <c r="F324" s="13">
        <v>0</v>
      </c>
      <c r="G324" s="13">
        <v>5500</v>
      </c>
      <c r="H324" s="13">
        <v>0</v>
      </c>
      <c r="I324" s="13">
        <v>0</v>
      </c>
      <c r="J324" s="13">
        <v>0</v>
      </c>
      <c r="K324" s="13">
        <f>+(16250/1.25)*0.25</f>
        <v>3250</v>
      </c>
      <c r="L324" s="13">
        <v>0</v>
      </c>
      <c r="M324" s="13">
        <v>0</v>
      </c>
      <c r="N324" s="13">
        <v>0</v>
      </c>
      <c r="O324" s="13">
        <v>0</v>
      </c>
      <c r="P324" s="13">
        <v>16250</v>
      </c>
      <c r="Q324" s="13">
        <v>0</v>
      </c>
    </row>
    <row r="325" spans="1:18" hidden="1">
      <c r="A325" s="12" t="str">
        <f>C325&amp;D325&amp;E325</f>
        <v>ELIVACACIONES/FINIQUITOSL1</v>
      </c>
      <c r="B325">
        <v>324</v>
      </c>
      <c r="C325" t="s">
        <v>130</v>
      </c>
      <c r="D325" t="s">
        <v>190</v>
      </c>
      <c r="E325" t="s">
        <v>136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</row>
    <row r="326" spans="1:18" hidden="1">
      <c r="A326" s="12" t="str">
        <f>C326&amp;D326&amp;E326</f>
        <v>MKTVACACIONES/FINIQUITOSMKT</v>
      </c>
      <c r="B326">
        <v>325</v>
      </c>
      <c r="C326" t="s">
        <v>19</v>
      </c>
      <c r="D326" s="12" t="s">
        <v>190</v>
      </c>
      <c r="E326" s="12" t="s">
        <v>19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</row>
    <row r="327" spans="1:18">
      <c r="A327" s="12" t="str">
        <f>C327&amp;D327&amp;E327</f>
        <v>HRVIATICOSHR</v>
      </c>
      <c r="B327">
        <v>326</v>
      </c>
      <c r="C327" t="s">
        <v>29</v>
      </c>
      <c r="D327" s="12" t="s">
        <v>191</v>
      </c>
      <c r="E327" s="12" t="s">
        <v>29</v>
      </c>
      <c r="F327" s="13">
        <v>32000</v>
      </c>
      <c r="G327" s="13">
        <v>24000</v>
      </c>
      <c r="H327" s="13">
        <v>30000</v>
      </c>
      <c r="I327" s="13">
        <v>32000</v>
      </c>
      <c r="J327" s="13">
        <v>32000</v>
      </c>
      <c r="K327" s="13">
        <v>30000</v>
      </c>
      <c r="L327" s="13">
        <v>24000</v>
      </c>
      <c r="M327" s="13">
        <v>32000</v>
      </c>
      <c r="N327" s="13">
        <v>40000</v>
      </c>
      <c r="O327" s="13">
        <v>48000</v>
      </c>
      <c r="P327" s="13">
        <v>48000</v>
      </c>
      <c r="Q327" s="13">
        <v>50000</v>
      </c>
      <c r="R327" s="558">
        <v>12000</v>
      </c>
    </row>
    <row r="328" spans="1:18" hidden="1">
      <c r="A328" s="12" t="str">
        <f>C328&amp;D328&amp;E328</f>
        <v>CAPVIATICOSCAPRICHOS</v>
      </c>
      <c r="B328">
        <v>327</v>
      </c>
      <c r="C328" t="s">
        <v>31</v>
      </c>
      <c r="D328" s="12" t="s">
        <v>191</v>
      </c>
      <c r="E328" s="552" t="s">
        <v>33</v>
      </c>
      <c r="F328" s="13">
        <v>19338</v>
      </c>
      <c r="G328" s="13">
        <v>9350</v>
      </c>
      <c r="H328" s="13">
        <v>37126</v>
      </c>
      <c r="I328" s="13">
        <v>8800</v>
      </c>
      <c r="J328" s="13">
        <v>4800</v>
      </c>
      <c r="K328" s="13">
        <v>5450</v>
      </c>
      <c r="L328" s="13">
        <v>17550</v>
      </c>
      <c r="M328" s="13">
        <v>26000</v>
      </c>
      <c r="N328" s="13">
        <v>27700</v>
      </c>
      <c r="O328" s="13">
        <v>18000</v>
      </c>
      <c r="P328" s="13">
        <v>18000</v>
      </c>
      <c r="Q328" s="13">
        <v>18000</v>
      </c>
      <c r="R328" s="555">
        <v>10000</v>
      </c>
    </row>
    <row r="329" spans="1:18" hidden="1">
      <c r="A329" s="12" t="str">
        <f>C329&amp;D329&amp;E329</f>
        <v>SERVICIOSVIATICOSCEDIS</v>
      </c>
      <c r="B329">
        <v>328</v>
      </c>
      <c r="C329" t="s">
        <v>21</v>
      </c>
      <c r="D329" s="12" t="s">
        <v>191</v>
      </c>
      <c r="E329" s="12" t="s">
        <v>28</v>
      </c>
      <c r="F329" s="13">
        <v>10000</v>
      </c>
      <c r="G329" s="13">
        <v>10000</v>
      </c>
      <c r="H329" s="13">
        <v>10000</v>
      </c>
      <c r="I329" s="13">
        <v>10000</v>
      </c>
      <c r="J329" s="13">
        <v>13000</v>
      </c>
      <c r="K329" s="13">
        <v>13000</v>
      </c>
      <c r="L329" s="13">
        <v>13000</v>
      </c>
      <c r="M329" s="13">
        <v>13000</v>
      </c>
      <c r="N329" s="13">
        <v>13000</v>
      </c>
      <c r="O329" s="13">
        <v>15000</v>
      </c>
      <c r="P329" s="13">
        <v>15000</v>
      </c>
      <c r="Q329" s="13">
        <v>15000</v>
      </c>
      <c r="R329" s="558">
        <v>12800</v>
      </c>
    </row>
    <row r="330" spans="1:18" hidden="1">
      <c r="A330" s="12" t="str">
        <f>C330&amp;D330&amp;E330</f>
        <v>SERVICIOSVIATICOSINVENTARIOS</v>
      </c>
      <c r="B330">
        <v>329</v>
      </c>
      <c r="C330" t="s">
        <v>21</v>
      </c>
      <c r="D330" s="12" t="s">
        <v>191</v>
      </c>
      <c r="E330" s="12" t="s">
        <v>34</v>
      </c>
      <c r="F330" s="13">
        <v>8000</v>
      </c>
      <c r="G330" s="13">
        <v>8000</v>
      </c>
      <c r="H330" s="13">
        <v>5000</v>
      </c>
      <c r="I330" s="13">
        <v>2000</v>
      </c>
      <c r="J330" s="13">
        <v>2000</v>
      </c>
      <c r="K330" s="13">
        <v>2000</v>
      </c>
      <c r="L330" s="13">
        <v>2000</v>
      </c>
      <c r="M330" s="13">
        <v>2000</v>
      </c>
      <c r="N330" s="13">
        <v>2000</v>
      </c>
      <c r="O330" s="13">
        <v>2000</v>
      </c>
      <c r="P330" s="13">
        <v>2000</v>
      </c>
      <c r="Q330" s="13">
        <v>1000</v>
      </c>
      <c r="R330" s="210">
        <v>3000</v>
      </c>
    </row>
    <row r="331" spans="1:18" hidden="1">
      <c r="A331" s="12" t="str">
        <f>C331&amp;D331&amp;E331</f>
        <v>SERVICIOSVIATICOSMANTENIMIENTO</v>
      </c>
      <c r="B331">
        <v>330</v>
      </c>
      <c r="C331" t="s">
        <v>21</v>
      </c>
      <c r="D331" s="12" t="s">
        <v>191</v>
      </c>
      <c r="E331" s="12" t="s">
        <v>35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210">
        <v>3200</v>
      </c>
    </row>
    <row r="332" spans="1:18" hidden="1">
      <c r="A332" s="12" t="str">
        <f>C332&amp;D332&amp;E332</f>
        <v>SERVICIOSVIATICOSCOMPRAS</v>
      </c>
      <c r="B332">
        <v>331</v>
      </c>
      <c r="C332" t="s">
        <v>21</v>
      </c>
      <c r="D332" s="12" t="s">
        <v>191</v>
      </c>
      <c r="E332" s="12" t="s">
        <v>148</v>
      </c>
      <c r="F332" s="13">
        <v>4000</v>
      </c>
      <c r="G332" s="13">
        <v>5000</v>
      </c>
      <c r="H332" s="13">
        <v>5000</v>
      </c>
      <c r="I332" s="13">
        <v>5000</v>
      </c>
      <c r="J332" s="13">
        <v>5000</v>
      </c>
      <c r="K332" s="13">
        <v>6000</v>
      </c>
      <c r="L332" s="13">
        <v>5000</v>
      </c>
      <c r="M332" s="13">
        <v>5000</v>
      </c>
      <c r="N332" s="13">
        <v>4000</v>
      </c>
      <c r="O332" s="13">
        <v>8000</v>
      </c>
      <c r="P332" s="13">
        <v>8000</v>
      </c>
      <c r="Q332" s="13">
        <v>10000</v>
      </c>
      <c r="R332" s="210">
        <v>3000</v>
      </c>
    </row>
    <row r="333" spans="1:18" hidden="1">
      <c r="A333" s="12" t="str">
        <f>C333&amp;D333&amp;E333</f>
        <v>SERVICIOSVIATICOSSISTEMAS</v>
      </c>
      <c r="B333">
        <v>332</v>
      </c>
      <c r="C333" t="s">
        <v>21</v>
      </c>
      <c r="D333" s="12" t="s">
        <v>191</v>
      </c>
      <c r="E333" s="12" t="s">
        <v>36</v>
      </c>
      <c r="F333" s="13">
        <v>1000</v>
      </c>
      <c r="G333" s="13">
        <v>1000</v>
      </c>
      <c r="H333" s="13">
        <v>1000</v>
      </c>
      <c r="I333" s="13">
        <v>1000</v>
      </c>
      <c r="J333" s="13">
        <v>1000</v>
      </c>
      <c r="K333" s="13">
        <v>1000</v>
      </c>
      <c r="L333" s="13">
        <v>1000</v>
      </c>
      <c r="M333" s="13">
        <v>1000</v>
      </c>
      <c r="N333" s="13">
        <v>1000</v>
      </c>
      <c r="O333" s="13">
        <v>1000</v>
      </c>
      <c r="P333" s="13">
        <v>1000</v>
      </c>
      <c r="Q333" s="13">
        <v>1000</v>
      </c>
      <c r="R333" s="210">
        <v>3000</v>
      </c>
    </row>
    <row r="334" spans="1:18" hidden="1">
      <c r="A334" s="12" t="str">
        <f>C334&amp;D334&amp;E334</f>
        <v>FINANZASVIATICOSFINANZAS</v>
      </c>
      <c r="B334">
        <v>333</v>
      </c>
      <c r="C334" s="12" t="s">
        <v>23</v>
      </c>
      <c r="D334" s="12" t="s">
        <v>191</v>
      </c>
      <c r="E334" s="12" t="s">
        <v>23</v>
      </c>
      <c r="F334" s="13">
        <v>3000</v>
      </c>
      <c r="G334" s="13">
        <v>3000</v>
      </c>
      <c r="H334" s="13">
        <v>3000</v>
      </c>
      <c r="I334" s="13">
        <v>3000</v>
      </c>
      <c r="J334" s="13">
        <v>3000</v>
      </c>
      <c r="K334" s="13">
        <v>3000</v>
      </c>
      <c r="L334" s="13">
        <v>3000</v>
      </c>
      <c r="M334" s="13">
        <v>3000</v>
      </c>
      <c r="N334" s="13">
        <v>3000</v>
      </c>
      <c r="O334" s="13">
        <v>3000</v>
      </c>
      <c r="P334" s="13">
        <v>3000</v>
      </c>
      <c r="Q334" s="13">
        <v>3000</v>
      </c>
      <c r="R334" s="558">
        <v>4000</v>
      </c>
    </row>
    <row r="335" spans="1:18" hidden="1">
      <c r="A335" s="12" t="str">
        <f>C335&amp;D335&amp;E335</f>
        <v>SGEVIATICOSGESTION EMPRESARIAL</v>
      </c>
      <c r="B335">
        <v>334</v>
      </c>
      <c r="C335" t="s">
        <v>39</v>
      </c>
      <c r="D335" s="12" t="s">
        <v>191</v>
      </c>
      <c r="E335" s="12" t="s">
        <v>40</v>
      </c>
      <c r="F335" s="13">
        <v>8000</v>
      </c>
      <c r="G335" s="13">
        <v>8000</v>
      </c>
      <c r="H335" s="13">
        <v>8000</v>
      </c>
      <c r="I335" s="13">
        <v>8000</v>
      </c>
      <c r="J335" s="13">
        <v>8000</v>
      </c>
      <c r="K335" s="13">
        <v>8000</v>
      </c>
      <c r="L335" s="13">
        <v>8000</v>
      </c>
      <c r="M335" s="13">
        <v>8000</v>
      </c>
      <c r="N335" s="13">
        <v>8000</v>
      </c>
      <c r="O335" s="13">
        <v>8000</v>
      </c>
      <c r="P335" s="13">
        <v>10500</v>
      </c>
      <c r="Q335" s="13">
        <v>20000</v>
      </c>
      <c r="R335" s="558">
        <v>8000</v>
      </c>
    </row>
    <row r="336" spans="1:18" hidden="1">
      <c r="A336" s="12" t="str">
        <f>C336&amp;D336&amp;E336</f>
        <v>DEVIATICOSDIRECCION</v>
      </c>
      <c r="B336">
        <v>335</v>
      </c>
      <c r="C336" t="s">
        <v>41</v>
      </c>
      <c r="D336" s="12" t="s">
        <v>191</v>
      </c>
      <c r="E336" s="12" t="s">
        <v>42</v>
      </c>
      <c r="F336" s="13">
        <v>4305</v>
      </c>
      <c r="G336" s="13">
        <v>2500</v>
      </c>
      <c r="H336" s="13">
        <v>3835</v>
      </c>
      <c r="I336" s="13">
        <v>3000</v>
      </c>
      <c r="J336" s="13">
        <v>1500</v>
      </c>
      <c r="K336" s="13">
        <v>0</v>
      </c>
      <c r="L336" s="13">
        <v>3000</v>
      </c>
      <c r="M336" s="13">
        <v>5389</v>
      </c>
      <c r="N336" s="13">
        <v>0</v>
      </c>
      <c r="O336" s="13">
        <v>4000</v>
      </c>
      <c r="P336" s="13">
        <v>4000</v>
      </c>
      <c r="Q336" s="13">
        <v>5000</v>
      </c>
      <c r="R336" s="555">
        <v>2000</v>
      </c>
    </row>
    <row r="337" spans="1:18" hidden="1">
      <c r="A337" s="12" t="str">
        <f>C337&amp;D337&amp;E337</f>
        <v>MMVIATICOSMARKET MAX</v>
      </c>
      <c r="B337">
        <v>336</v>
      </c>
      <c r="C337" t="s">
        <v>45</v>
      </c>
      <c r="D337" s="12" t="s">
        <v>191</v>
      </c>
      <c r="E337" s="12" t="s">
        <v>46</v>
      </c>
      <c r="F337" s="13">
        <v>400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>
        <v>0</v>
      </c>
      <c r="O337" s="13">
        <v>0</v>
      </c>
      <c r="P337" s="13">
        <v>0</v>
      </c>
      <c r="Q337" s="13">
        <v>0</v>
      </c>
    </row>
    <row r="338" spans="1:18" hidden="1">
      <c r="A338" s="12" t="str">
        <f>C338&amp;D338&amp;E338</f>
        <v>ELIVIATICOSL1</v>
      </c>
      <c r="B338">
        <v>337</v>
      </c>
      <c r="C338" t="s">
        <v>130</v>
      </c>
      <c r="D338" t="s">
        <v>191</v>
      </c>
      <c r="E338" t="s">
        <v>136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 s="558">
        <v>8000</v>
      </c>
    </row>
    <row r="339" spans="1:18" hidden="1">
      <c r="A339" s="12" t="str">
        <f>C339&amp;D339&amp;E339</f>
        <v>MKTVIATICOSMKT</v>
      </c>
      <c r="B339">
        <v>338</v>
      </c>
      <c r="C339" t="s">
        <v>19</v>
      </c>
      <c r="D339" t="s">
        <v>191</v>
      </c>
      <c r="E339" t="s">
        <v>19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 s="556">
        <v>4000</v>
      </c>
    </row>
    <row r="340" spans="1:18" hidden="1">
      <c r="A340" s="12" t="str">
        <f>C340&amp;D340&amp;E340</f>
        <v>SERVICIOSVIATICOSASESORES</v>
      </c>
      <c r="B340">
        <v>339</v>
      </c>
      <c r="C340" t="s">
        <v>21</v>
      </c>
      <c r="D340" t="s">
        <v>191</v>
      </c>
      <c r="E340" t="s">
        <v>192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8" hidden="1">
      <c r="A341" s="12" t="str">
        <f>C341&amp;D341&amp;E341</f>
        <v/>
      </c>
    </row>
    <row r="342" spans="1:18" hidden="1">
      <c r="A342" s="12" t="str">
        <f>C342&amp;D342&amp;E342</f>
        <v/>
      </c>
    </row>
  </sheetData>
  <sheetProtection algorithmName="SHA-512" hashValue="FL2lCUg2UVGjJbIjnPgGpC8pBj4QdP01tiup2o6xNv0Sr0j5hHqYhD45I0YuBvY1kyWqXAJh/lGUPFXK70kiSw==" saltValue="SXknYvdI++n1hqhwvNKZKA==" spinCount="100000" sheet="1" objects="1" scenarios="1" sort="0" autoFilter="0"/>
  <protectedRanges>
    <protectedRange sqref="C7:E202 D312:D313 D323:D324 C338:E338 D339 C300:E311 C299:D299 C238:E298 C237:D237 C223:E236 C222:D222 C204:E221 C203:D203" name="Rango1"/>
    <protectedRange sqref="D328:E328" name="Rango1_6"/>
  </protectedRanges>
  <autoFilter ref="C7:Q342" xr:uid="{AD7AA9E8-2E32-45CE-8B7B-BD3627666E06}">
    <filterColumn colId="0">
      <filters>
        <filter val="HR"/>
      </filters>
    </filterColumn>
    <filterColumn colId="1">
      <filters>
        <filter val="FONDO Y REPOSICION"/>
        <filter val="GAS"/>
        <filter val="INSUMOS"/>
        <filter val="JMAS"/>
        <filter val="MTTO DE EDIFICIO"/>
        <filter val="MTTO EQ DE COMPUTO"/>
        <filter val="MTTO EQ DE TRANSPORTE"/>
        <filter val="MTTO MOBILIARIO"/>
        <filter val="NOMINA ADMON"/>
        <filter val="NOMINA SUCURSAL"/>
        <filter val="OTROS GASTOS"/>
        <filter val="PAQUETERIA"/>
        <filter val="REDES"/>
        <filter val="SGM"/>
        <filter val="TELEPEAJE"/>
        <filter val="VACACIONES/FINIQUITOS"/>
        <filter val="VIATICOS"/>
      </filters>
    </filterColumn>
    <sortState xmlns:xlrd2="http://schemas.microsoft.com/office/spreadsheetml/2017/richdata2" ref="C8:Q342">
      <sortCondition ref="D7:D342"/>
    </sortState>
  </autoFilter>
  <printOptions gridLines="1"/>
  <pageMargins left="0.70866141732283472" right="0.70866141732283472" top="0.74803149606299213" bottom="0.74803149606299213" header="0.31496062992125984" footer="0.31496062992125984"/>
  <pageSetup scale="84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9EC45-C546-4118-9A49-9C6DFA746F65}">
  <sheetPr filterMode="1">
    <tabColor rgb="FF002060"/>
    <pageSetUpPr fitToPage="1"/>
  </sheetPr>
  <dimension ref="A1:XEC355"/>
  <sheetViews>
    <sheetView workbookViewId="0">
      <pane xSplit="5" ySplit="6" topLeftCell="CV291" activePane="bottomRight" state="frozen"/>
      <selection pane="bottomRight" activeCell="CY5" sqref="CY5"/>
      <selection pane="bottomLeft"/>
      <selection pane="topRight"/>
    </sheetView>
  </sheetViews>
  <sheetFormatPr defaultColWidth="9.140625" defaultRowHeight="14.25" outlineLevelCol="2"/>
  <cols>
    <col min="1" max="1" width="56.28515625" hidden="1" customWidth="1" outlineLevel="1"/>
    <col min="2" max="2" width="5.28515625" customWidth="1" collapsed="1"/>
    <col min="3" max="3" width="10.85546875" customWidth="1"/>
    <col min="4" max="4" width="25.140625" bestFit="1" customWidth="1"/>
    <col min="5" max="5" width="24.42578125" bestFit="1" customWidth="1"/>
    <col min="6" max="6" width="12.140625" customWidth="1"/>
    <col min="7" max="7" width="12.140625" customWidth="1" outlineLevel="2"/>
    <col min="8" max="10" width="11.140625" customWidth="1" outlineLevel="2"/>
    <col min="11" max="12" width="11.140625" customWidth="1"/>
    <col min="13" max="13" width="11.140625" style="250" customWidth="1"/>
    <col min="14" max="14" width="11.140625" customWidth="1"/>
    <col min="15" max="19" width="11.140625" customWidth="1" outlineLevel="1"/>
    <col min="20" max="23" width="11.140625" customWidth="1"/>
    <col min="24" max="27" width="11.140625" customWidth="1" outlineLevel="1"/>
    <col min="28" max="31" width="11.140625" customWidth="1"/>
    <col min="32" max="35" width="11.140625" customWidth="1" outlineLevel="1"/>
    <col min="36" max="39" width="11.140625" customWidth="1"/>
    <col min="40" max="44" width="11.140625" customWidth="1" outlineLevel="1"/>
    <col min="45" max="47" width="11.140625" customWidth="1"/>
    <col min="48" max="48" width="13.140625" customWidth="1"/>
    <col min="49" max="49" width="12.28515625" customWidth="1" outlineLevel="1"/>
    <col min="50" max="52" width="11.28515625" customWidth="1" outlineLevel="1"/>
    <col min="53" max="53" width="13.140625" customWidth="1"/>
    <col min="54" max="55" width="15.5703125" style="15" customWidth="1"/>
    <col min="56" max="56" width="13.140625" customWidth="1"/>
    <col min="57" max="60" width="13.140625" customWidth="1" outlineLevel="1"/>
    <col min="61" max="61" width="13.140625" customWidth="1"/>
    <col min="62" max="63" width="15.5703125" style="15" customWidth="1"/>
    <col min="64" max="64" width="10.28515625" customWidth="1"/>
    <col min="65" max="66" width="9.140625" customWidth="1" outlineLevel="1"/>
    <col min="67" max="67" width="11.85546875" customWidth="1" outlineLevel="1"/>
    <col min="68" max="69" width="9.140625" customWidth="1" outlineLevel="1"/>
    <col min="70" max="70" width="10.42578125" customWidth="1"/>
    <col min="71" max="72" width="10.85546875" style="15" customWidth="1"/>
    <col min="73" max="73" width="11.85546875" customWidth="1"/>
    <col min="74" max="76" width="9.140625" customWidth="1" outlineLevel="1"/>
    <col min="77" max="77" width="11.140625" customWidth="1" outlineLevel="1"/>
    <col min="78" max="78" width="11.85546875" customWidth="1"/>
    <col min="79" max="80" width="10.7109375" style="15" customWidth="1"/>
    <col min="81" max="81" width="10.7109375" customWidth="1"/>
    <col min="82" max="82" width="10.5703125" customWidth="1" outlineLevel="1"/>
    <col min="83" max="83" width="12.5703125" customWidth="1" outlineLevel="1"/>
    <col min="84" max="84" width="11.7109375" customWidth="1" outlineLevel="1"/>
    <col min="85" max="85" width="12.7109375" customWidth="1" outlineLevel="1"/>
    <col min="86" max="86" width="12.28515625" customWidth="1"/>
    <col min="87" max="87" width="11.140625" style="15" customWidth="1"/>
    <col min="88" max="88" width="9.5703125" style="15" customWidth="1"/>
    <col min="89" max="89" width="12.28515625" customWidth="1"/>
    <col min="90" max="90" width="10.7109375" customWidth="1" outlineLevel="1"/>
    <col min="91" max="92" width="11.140625" customWidth="1" outlineLevel="1"/>
    <col min="93" max="93" width="11" customWidth="1" outlineLevel="1"/>
    <col min="94" max="94" width="11.5703125" customWidth="1" outlineLevel="1"/>
    <col min="95" max="95" width="11.5703125" customWidth="1"/>
    <col min="96" max="98" width="10.42578125" style="15" customWidth="1"/>
    <col min="99" max="101" width="12" bestFit="1" customWidth="1"/>
    <col min="102" max="103" width="11.5703125" bestFit="1" customWidth="1"/>
    <col min="104" max="104" width="11.5703125" customWidth="1"/>
    <col min="106" max="106" width="11.28515625" customWidth="1"/>
    <col min="107" max="107" width="10.42578125" customWidth="1"/>
    <col min="108" max="108" width="12.28515625" customWidth="1"/>
    <col min="109" max="109" width="14" customWidth="1"/>
    <col min="110" max="110" width="12.28515625" bestFit="1" customWidth="1"/>
    <col min="111" max="111" width="9.28515625" bestFit="1" customWidth="1"/>
    <col min="142" max="142" width="9.28515625" bestFit="1" customWidth="1"/>
    <col min="161" max="161" width="9.28515625" bestFit="1" customWidth="1"/>
  </cols>
  <sheetData>
    <row r="1" spans="1:1023 1025:2047 2049:3071 3073:4095 4097:5119 5121:6143 6145:7167 7169:8191 8193:9215 9217:10239 10241:11263 11265:12287 12289:13311 13313:14335 14337:15359 15361:16357" hidden="1">
      <c r="AW1" s="1"/>
      <c r="AX1" s="1"/>
      <c r="AY1" s="1"/>
      <c r="AZ1" s="1"/>
      <c r="BA1" s="1"/>
      <c r="BE1" s="1"/>
      <c r="BF1" s="1"/>
      <c r="BG1" s="1"/>
      <c r="BH1" s="1"/>
      <c r="BI1" s="1"/>
      <c r="BM1" s="1"/>
      <c r="BN1" s="1"/>
      <c r="BO1" s="1"/>
      <c r="BP1" s="1"/>
      <c r="BQ1" s="1"/>
      <c r="BR1" s="1"/>
      <c r="BV1" s="1"/>
      <c r="BW1" s="1"/>
      <c r="BX1" s="1"/>
      <c r="BY1" s="1"/>
      <c r="BZ1" s="1"/>
      <c r="CD1" s="1"/>
      <c r="CE1" s="1"/>
      <c r="CF1" s="1"/>
      <c r="CG1" s="1"/>
      <c r="CH1" s="1"/>
      <c r="CL1" s="1"/>
      <c r="CM1" s="1"/>
      <c r="CN1" s="1"/>
      <c r="CO1" s="1"/>
      <c r="CP1" s="1"/>
      <c r="CQ1" s="1"/>
    </row>
    <row r="2" spans="1:1023 1025:2047 2049:3071 3073:4095 4097:5119 5121:6143 6145:7167 7169:8191 8193:9215 9217:10239 10241:11263 11265:12287 12289:13311 13313:14335 14337:15359 15361:16357" hidden="1">
      <c r="G2" s="19">
        <f t="shared" ref="G2:K2" si="0">IFERROR(VLOOKUP(G6,T_Retail,3,FALSE),"")</f>
        <v>45690</v>
      </c>
      <c r="H2" s="19">
        <f t="shared" si="0"/>
        <v>45697</v>
      </c>
      <c r="I2" s="19">
        <f t="shared" si="0"/>
        <v>45704</v>
      </c>
      <c r="J2" s="19">
        <f t="shared" si="0"/>
        <v>45711</v>
      </c>
      <c r="K2" s="19">
        <f t="shared" si="0"/>
        <v>45690</v>
      </c>
      <c r="O2" s="19">
        <f t="shared" ref="O2:T2" si="1">IFERROR(VLOOKUP(O6,T_Retail,3,FALSE),"")</f>
        <v>45718</v>
      </c>
      <c r="P2" s="19">
        <f t="shared" si="1"/>
        <v>45725</v>
      </c>
      <c r="Q2" s="19">
        <f t="shared" si="1"/>
        <v>45732</v>
      </c>
      <c r="R2" s="19">
        <f t="shared" si="1"/>
        <v>45739</v>
      </c>
      <c r="S2" s="19">
        <f t="shared" si="1"/>
        <v>45746</v>
      </c>
      <c r="T2" s="19">
        <f t="shared" si="1"/>
        <v>45718</v>
      </c>
      <c r="X2" s="19">
        <f t="shared" ref="X2:AB2" si="2">IFERROR(VLOOKUP(X6,T_Retail,3,FALSE),"")</f>
        <v>45753</v>
      </c>
      <c r="Y2" s="19">
        <f t="shared" si="2"/>
        <v>45760</v>
      </c>
      <c r="Z2" s="19">
        <f t="shared" si="2"/>
        <v>45767</v>
      </c>
      <c r="AA2" s="19">
        <f t="shared" si="2"/>
        <v>45774</v>
      </c>
      <c r="AB2" s="19">
        <f t="shared" si="2"/>
        <v>45753</v>
      </c>
      <c r="AF2" s="19">
        <f t="shared" ref="AF2:AJ2" si="3">IFERROR(VLOOKUP(AF6,T_Retail,3,FALSE),"")</f>
        <v>45781</v>
      </c>
      <c r="AG2" s="19">
        <f t="shared" si="3"/>
        <v>45788</v>
      </c>
      <c r="AH2" s="19">
        <f t="shared" si="3"/>
        <v>45795</v>
      </c>
      <c r="AI2" s="19">
        <f t="shared" si="3"/>
        <v>45802</v>
      </c>
      <c r="AJ2" s="19">
        <f t="shared" si="3"/>
        <v>45781</v>
      </c>
      <c r="AN2" s="19">
        <f t="shared" ref="AN2:AR2" si="4">IFERROR(VLOOKUP(AN6,T_Retail,3,FALSE),"")</f>
        <v>45809</v>
      </c>
      <c r="AO2" s="19">
        <f t="shared" si="4"/>
        <v>45816</v>
      </c>
      <c r="AP2" s="19">
        <f t="shared" si="4"/>
        <v>45823</v>
      </c>
      <c r="AQ2" s="19">
        <f t="shared" si="4"/>
        <v>45830</v>
      </c>
      <c r="AR2" s="19">
        <f t="shared" si="4"/>
        <v>45837</v>
      </c>
      <c r="AS2" s="19">
        <f t="shared" ref="AS2" si="5">IFERROR(VLOOKUP(AS6,T_Retail,3,FALSE),"")</f>
        <v>45809</v>
      </c>
      <c r="AW2" s="19">
        <f t="shared" ref="AW2:CK2" si="6">IFERROR(VLOOKUP(AW6,T_Retail,3,FALSE),"")</f>
        <v>45844</v>
      </c>
      <c r="AX2" s="19">
        <f t="shared" si="6"/>
        <v>45851</v>
      </c>
      <c r="AY2" s="19">
        <f t="shared" si="6"/>
        <v>45858</v>
      </c>
      <c r="AZ2" s="19">
        <f t="shared" si="6"/>
        <v>45865</v>
      </c>
      <c r="BA2" s="19">
        <f t="shared" ref="BA2:BE2" si="7">IFERROR(VLOOKUP(BA6,T_Retail,3,FALSE),"")</f>
        <v>45844</v>
      </c>
      <c r="BB2" s="65" t="str">
        <f t="shared" si="7"/>
        <v/>
      </c>
      <c r="BC2" s="65"/>
      <c r="BD2" s="19" t="str">
        <f t="shared" si="7"/>
        <v/>
      </c>
      <c r="BE2" s="19">
        <f t="shared" si="7"/>
        <v>45872</v>
      </c>
      <c r="BF2" s="19">
        <f t="shared" ref="BF2:BJ2" si="8">IFERROR(VLOOKUP(BF6,T_Retail,3,FALSE),"")</f>
        <v>45879</v>
      </c>
      <c r="BG2" s="19">
        <f t="shared" si="8"/>
        <v>45886</v>
      </c>
      <c r="BH2" s="19">
        <f t="shared" si="8"/>
        <v>45893</v>
      </c>
      <c r="BI2" s="19">
        <f t="shared" si="8"/>
        <v>45872</v>
      </c>
      <c r="BJ2" s="65" t="str">
        <f t="shared" si="8"/>
        <v/>
      </c>
      <c r="BK2" s="65"/>
      <c r="BL2" s="19" t="str">
        <f t="shared" si="6"/>
        <v/>
      </c>
      <c r="BM2" s="19">
        <f t="shared" si="6"/>
        <v>45900</v>
      </c>
      <c r="BN2" s="19">
        <f t="shared" si="6"/>
        <v>45907</v>
      </c>
      <c r="BO2" s="19">
        <f t="shared" si="6"/>
        <v>45914</v>
      </c>
      <c r="BP2" s="19">
        <f t="shared" si="6"/>
        <v>45921</v>
      </c>
      <c r="BQ2" s="19">
        <f t="shared" si="6"/>
        <v>45928</v>
      </c>
      <c r="BR2" s="19">
        <f t="shared" si="6"/>
        <v>45900</v>
      </c>
      <c r="BS2" s="65" t="str">
        <f t="shared" si="6"/>
        <v/>
      </c>
      <c r="BT2" s="65"/>
      <c r="BU2" s="19" t="str">
        <f t="shared" si="6"/>
        <v/>
      </c>
      <c r="BV2" s="19">
        <f t="shared" si="6"/>
        <v>45935</v>
      </c>
      <c r="BW2" s="19">
        <f t="shared" si="6"/>
        <v>45942</v>
      </c>
      <c r="BX2" s="19">
        <f t="shared" si="6"/>
        <v>45949</v>
      </c>
      <c r="BY2" s="19">
        <f t="shared" si="6"/>
        <v>45956</v>
      </c>
      <c r="BZ2" s="19">
        <f t="shared" si="6"/>
        <v>45935</v>
      </c>
      <c r="CA2" s="65" t="str">
        <f t="shared" si="6"/>
        <v/>
      </c>
      <c r="CB2" s="65"/>
      <c r="CC2" s="19" t="str">
        <f t="shared" si="6"/>
        <v/>
      </c>
      <c r="CD2" s="19">
        <f t="shared" si="6"/>
        <v>45963</v>
      </c>
      <c r="CE2" s="19">
        <f t="shared" si="6"/>
        <v>45970</v>
      </c>
      <c r="CF2" s="19">
        <f t="shared" si="6"/>
        <v>45977</v>
      </c>
      <c r="CG2" s="19">
        <f t="shared" si="6"/>
        <v>45984</v>
      </c>
      <c r="CH2" s="19">
        <f t="shared" si="6"/>
        <v>45963</v>
      </c>
      <c r="CI2" s="65" t="str">
        <f t="shared" si="6"/>
        <v/>
      </c>
      <c r="CJ2" s="65"/>
      <c r="CK2" s="19" t="str">
        <f t="shared" si="6"/>
        <v/>
      </c>
      <c r="CL2" s="19">
        <f t="shared" ref="CL2:CR2" si="9">IFERROR(VLOOKUP(CL6,T_Retail,3,FALSE),"")</f>
        <v>45991</v>
      </c>
      <c r="CM2" s="19">
        <f t="shared" si="9"/>
        <v>45998</v>
      </c>
      <c r="CN2" s="19">
        <f t="shared" si="9"/>
        <v>46005</v>
      </c>
      <c r="CO2" s="19">
        <f t="shared" si="9"/>
        <v>46012</v>
      </c>
      <c r="CP2" s="19">
        <f t="shared" ref="CP2" si="10">IFERROR(VLOOKUP(CP6,T_Retail,3,FALSE),"")</f>
        <v>46019</v>
      </c>
      <c r="CQ2" s="19">
        <f t="shared" si="9"/>
        <v>45991</v>
      </c>
      <c r="CR2" s="65" t="str">
        <f t="shared" si="9"/>
        <v/>
      </c>
      <c r="CS2" s="65"/>
      <c r="CT2" s="65"/>
      <c r="CU2" s="19">
        <f t="shared" ref="CU2:CY2" si="11">IFERROR(VLOOKUP(CU6,T_Retail,3,FALSE),"")</f>
        <v>46026</v>
      </c>
      <c r="CV2" s="19">
        <f t="shared" si="11"/>
        <v>46033</v>
      </c>
      <c r="CW2" s="19">
        <f t="shared" si="11"/>
        <v>46040</v>
      </c>
      <c r="CX2" s="19">
        <f t="shared" si="11"/>
        <v>46047</v>
      </c>
      <c r="CY2" s="19">
        <f t="shared" si="11"/>
        <v>46026</v>
      </c>
    </row>
    <row r="3" spans="1:1023 1025:2047 2049:3071 3073:4095 4097:5119 5121:6143 6145:7167 7169:8191 8193:9215 9217:10239 10241:11263 11265:12287 12289:13311 13313:14335 14337:15359 15361:16357" s="19" customFormat="1" ht="12" hidden="1">
      <c r="G3" s="19">
        <f t="shared" ref="G3:K3" si="12">IFERROR(VLOOKUP(G6,T_Retail,4,FALSE),"")</f>
        <v>45696</v>
      </c>
      <c r="H3" s="19">
        <f t="shared" si="12"/>
        <v>45703</v>
      </c>
      <c r="I3" s="19">
        <f t="shared" si="12"/>
        <v>45710</v>
      </c>
      <c r="J3" s="19">
        <f t="shared" si="12"/>
        <v>45717</v>
      </c>
      <c r="K3" s="19">
        <f t="shared" si="12"/>
        <v>45717</v>
      </c>
      <c r="M3" s="251"/>
      <c r="O3" s="19">
        <f t="shared" ref="O3:T3" si="13">IFERROR(VLOOKUP(O6,T_Retail,4,FALSE),"")</f>
        <v>45724</v>
      </c>
      <c r="P3" s="19">
        <f t="shared" si="13"/>
        <v>45731</v>
      </c>
      <c r="Q3" s="19">
        <f t="shared" si="13"/>
        <v>45738</v>
      </c>
      <c r="R3" s="19">
        <f t="shared" si="13"/>
        <v>45745</v>
      </c>
      <c r="S3" s="19">
        <f t="shared" si="13"/>
        <v>45752</v>
      </c>
      <c r="T3" s="19">
        <f t="shared" si="13"/>
        <v>45752</v>
      </c>
      <c r="X3" s="19">
        <f t="shared" ref="X3:AB3" si="14">IFERROR(VLOOKUP(X6,T_Retail,4,FALSE),"")</f>
        <v>45759</v>
      </c>
      <c r="Y3" s="19">
        <f t="shared" si="14"/>
        <v>45766</v>
      </c>
      <c r="Z3" s="19">
        <f t="shared" si="14"/>
        <v>45773</v>
      </c>
      <c r="AA3" s="19">
        <f t="shared" si="14"/>
        <v>45780</v>
      </c>
      <c r="AB3" s="19">
        <f t="shared" si="14"/>
        <v>45780</v>
      </c>
      <c r="AF3" s="19">
        <f t="shared" ref="AF3:AJ3" si="15">IFERROR(VLOOKUP(AF6,T_Retail,4,FALSE),"")</f>
        <v>45787</v>
      </c>
      <c r="AG3" s="19">
        <f t="shared" si="15"/>
        <v>45794</v>
      </c>
      <c r="AH3" s="19">
        <f t="shared" si="15"/>
        <v>45801</v>
      </c>
      <c r="AI3" s="19">
        <f t="shared" si="15"/>
        <v>45808</v>
      </c>
      <c r="AJ3" s="19">
        <f t="shared" si="15"/>
        <v>45808</v>
      </c>
      <c r="AN3" s="19">
        <f t="shared" ref="AN3:AR3" si="16">IFERROR(VLOOKUP(AN6,T_Retail,4,FALSE),"")</f>
        <v>45815</v>
      </c>
      <c r="AO3" s="19">
        <f t="shared" si="16"/>
        <v>45822</v>
      </c>
      <c r="AP3" s="19">
        <f t="shared" si="16"/>
        <v>45829</v>
      </c>
      <c r="AQ3" s="19">
        <f t="shared" si="16"/>
        <v>45836</v>
      </c>
      <c r="AR3" s="19">
        <f t="shared" si="16"/>
        <v>45843</v>
      </c>
      <c r="AS3" s="19">
        <f t="shared" ref="AS3" si="17">IFERROR(VLOOKUP(AS6,T_Retail,4,FALSE),"")</f>
        <v>45843</v>
      </c>
      <c r="AW3" s="19">
        <f t="shared" ref="AW3:CK3" si="18">IFERROR(VLOOKUP(AW6,T_Retail,4,FALSE),"")</f>
        <v>45850</v>
      </c>
      <c r="AX3" s="19">
        <f t="shared" si="18"/>
        <v>45857</v>
      </c>
      <c r="AY3" s="19">
        <f t="shared" si="18"/>
        <v>45864</v>
      </c>
      <c r="AZ3" s="19">
        <f t="shared" si="18"/>
        <v>45871</v>
      </c>
      <c r="BA3" s="19">
        <f t="shared" ref="BA3:BE3" si="19">IFERROR(VLOOKUP(BA6,T_Retail,4,FALSE),"")</f>
        <v>45871</v>
      </c>
      <c r="BB3" s="65" t="str">
        <f t="shared" si="19"/>
        <v/>
      </c>
      <c r="BC3" s="65"/>
      <c r="BD3" s="19" t="str">
        <f t="shared" si="19"/>
        <v/>
      </c>
      <c r="BE3" s="19">
        <f t="shared" si="19"/>
        <v>45878</v>
      </c>
      <c r="BF3" s="19">
        <f t="shared" ref="BF3:BJ3" si="20">IFERROR(VLOOKUP(BF6,T_Retail,4,FALSE),"")</f>
        <v>45885</v>
      </c>
      <c r="BG3" s="19">
        <f t="shared" si="20"/>
        <v>45892</v>
      </c>
      <c r="BH3" s="19">
        <f t="shared" si="20"/>
        <v>45899</v>
      </c>
      <c r="BI3" s="19">
        <f t="shared" si="20"/>
        <v>45899</v>
      </c>
      <c r="BJ3" s="65" t="str">
        <f t="shared" si="20"/>
        <v/>
      </c>
      <c r="BK3" s="65"/>
      <c r="BL3" s="19" t="str">
        <f t="shared" si="18"/>
        <v/>
      </c>
      <c r="BM3" s="19">
        <f t="shared" si="18"/>
        <v>45906</v>
      </c>
      <c r="BN3" s="19">
        <f t="shared" si="18"/>
        <v>45913</v>
      </c>
      <c r="BO3" s="19">
        <f t="shared" si="18"/>
        <v>45920</v>
      </c>
      <c r="BP3" s="19">
        <f t="shared" si="18"/>
        <v>45927</v>
      </c>
      <c r="BQ3" s="19">
        <f t="shared" si="18"/>
        <v>45934</v>
      </c>
      <c r="BR3" s="19">
        <f t="shared" si="18"/>
        <v>45934</v>
      </c>
      <c r="BS3" s="65" t="str">
        <f t="shared" si="18"/>
        <v/>
      </c>
      <c r="BT3" s="65"/>
      <c r="BU3" s="19" t="str">
        <f t="shared" si="18"/>
        <v/>
      </c>
      <c r="BV3" s="19">
        <f t="shared" si="18"/>
        <v>45941</v>
      </c>
      <c r="BW3" s="19">
        <f t="shared" si="18"/>
        <v>45948</v>
      </c>
      <c r="BX3" s="19">
        <f t="shared" si="18"/>
        <v>45955</v>
      </c>
      <c r="BY3" s="19">
        <f t="shared" si="18"/>
        <v>45962</v>
      </c>
      <c r="BZ3" s="19">
        <f t="shared" si="18"/>
        <v>45962</v>
      </c>
      <c r="CA3" s="65" t="str">
        <f t="shared" si="18"/>
        <v/>
      </c>
      <c r="CB3" s="65"/>
      <c r="CC3" s="19" t="str">
        <f t="shared" si="18"/>
        <v/>
      </c>
      <c r="CD3" s="19">
        <f t="shared" si="18"/>
        <v>45969</v>
      </c>
      <c r="CE3" s="19">
        <f t="shared" si="18"/>
        <v>45976</v>
      </c>
      <c r="CF3" s="19">
        <f t="shared" si="18"/>
        <v>45983</v>
      </c>
      <c r="CG3" s="19">
        <f t="shared" si="18"/>
        <v>45990</v>
      </c>
      <c r="CH3" s="19">
        <f t="shared" si="18"/>
        <v>45990</v>
      </c>
      <c r="CI3" s="65" t="str">
        <f t="shared" si="18"/>
        <v/>
      </c>
      <c r="CJ3" s="65"/>
      <c r="CK3" s="19" t="str">
        <f t="shared" si="18"/>
        <v/>
      </c>
      <c r="CL3" s="19">
        <f t="shared" ref="CL3:CR3" si="21">IFERROR(VLOOKUP(CL6,T_Retail,4,FALSE),"")</f>
        <v>45997</v>
      </c>
      <c r="CM3" s="19">
        <f t="shared" si="21"/>
        <v>46004</v>
      </c>
      <c r="CN3" s="19">
        <f t="shared" si="21"/>
        <v>46011</v>
      </c>
      <c r="CO3" s="19">
        <f t="shared" si="21"/>
        <v>46018</v>
      </c>
      <c r="CP3" s="19">
        <f t="shared" ref="CP3" si="22">IFERROR(VLOOKUP(CP6,T_Retail,4,FALSE),"")</f>
        <v>46025</v>
      </c>
      <c r="CQ3" s="19">
        <f t="shared" si="21"/>
        <v>46025</v>
      </c>
      <c r="CR3" s="65" t="str">
        <f t="shared" si="21"/>
        <v/>
      </c>
      <c r="CS3" s="65"/>
      <c r="CT3" s="65"/>
      <c r="CU3" s="19">
        <f t="shared" ref="CU3:CY3" si="23">IFERROR(VLOOKUP(CU6,T_Retail,4,FALSE),"")</f>
        <v>46032</v>
      </c>
      <c r="CV3" s="19">
        <f t="shared" si="23"/>
        <v>46039</v>
      </c>
      <c r="CW3" s="19">
        <f t="shared" si="23"/>
        <v>46046</v>
      </c>
      <c r="CX3" s="19">
        <f t="shared" si="23"/>
        <v>46053</v>
      </c>
      <c r="CY3" s="19">
        <f t="shared" si="23"/>
        <v>46053</v>
      </c>
    </row>
    <row r="4" spans="1:1023 1025:2047 2049:3071 3073:4095 4097:5119 5121:6143 6145:7167 7169:8191 8193:9215 9217:10239 10241:11263 11265:12287 12289:13311 13313:14335 14337:15359 15361:16357" ht="15">
      <c r="G4" s="18" t="str">
        <f>IFERROR(VLOOKUP(G6,T_Retail,5,FALSE),"")</f>
        <v>02feb-08feb 25</v>
      </c>
      <c r="H4" s="18" t="str">
        <f t="shared" ref="H4:K4" si="24">IFERROR(VLOOKUP(H6,T_Retail,5,FALSE),"")</f>
        <v>09feb-15feb 25</v>
      </c>
      <c r="I4" s="18" t="str">
        <f t="shared" si="24"/>
        <v>16feb-22feb 25</v>
      </c>
      <c r="J4" s="18" t="str">
        <f t="shared" si="24"/>
        <v>23feb-01mar 25</v>
      </c>
      <c r="K4" s="18" t="str">
        <f t="shared" si="24"/>
        <v>02feb-01mar 25</v>
      </c>
      <c r="O4" s="18" t="str">
        <f t="shared" ref="O4:S4" si="25">IFERROR(VLOOKUP(O6,T_Retail,5,FALSE),"")</f>
        <v>02mar-08mar 25</v>
      </c>
      <c r="P4" s="18" t="str">
        <f t="shared" si="25"/>
        <v>09mar-15mar 25</v>
      </c>
      <c r="Q4" s="18" t="str">
        <f t="shared" si="25"/>
        <v>16mar-22mar 25</v>
      </c>
      <c r="R4" s="18" t="str">
        <f t="shared" si="25"/>
        <v>23mar-29mar 25</v>
      </c>
      <c r="S4" s="18" t="str">
        <f t="shared" si="25"/>
        <v>30mar-05abr 25</v>
      </c>
      <c r="T4" s="18" t="str">
        <f>IFERROR(VLOOKUP(T6,T_Retail,5,FALSE),"")</f>
        <v>02mar-05abr 25</v>
      </c>
      <c r="X4" s="18" t="str">
        <f>IFERROR(VLOOKUP(X6,T_Retail,5,FALSE),"")</f>
        <v>06abr-12abr 25</v>
      </c>
      <c r="Y4" s="18" t="str">
        <f t="shared" ref="Y4:AB4" si="26">IFERROR(VLOOKUP(Y6,T_Retail,5,FALSE),"")</f>
        <v>13abr-19abr 25</v>
      </c>
      <c r="Z4" s="18" t="str">
        <f t="shared" si="26"/>
        <v>20abr-26abr 25</v>
      </c>
      <c r="AA4" s="18" t="str">
        <f t="shared" si="26"/>
        <v>27abr-03may 25</v>
      </c>
      <c r="AB4" s="18" t="str">
        <f t="shared" si="26"/>
        <v>06abr-03may 25</v>
      </c>
      <c r="AF4" s="18" t="str">
        <f>IFERROR(VLOOKUP(AF6,T_Retail,5,FALSE),"")</f>
        <v>04may-10may 25</v>
      </c>
      <c r="AG4" s="18" t="str">
        <f t="shared" ref="AG4:AJ4" si="27">IFERROR(VLOOKUP(AG6,T_Retail,5,FALSE),"")</f>
        <v>11may-17may 25</v>
      </c>
      <c r="AH4" s="18" t="str">
        <f t="shared" si="27"/>
        <v>18may-24may 25</v>
      </c>
      <c r="AI4" s="18" t="str">
        <f t="shared" si="27"/>
        <v>25may-31may 25</v>
      </c>
      <c r="AJ4" s="18" t="str">
        <f t="shared" si="27"/>
        <v>04may-31may 25</v>
      </c>
      <c r="AN4" s="18" t="str">
        <f>IFERROR(VLOOKUP(AN6,T_Retail,5,FALSE),"")</f>
        <v>01jun-07jun 25</v>
      </c>
      <c r="AO4" s="18" t="str">
        <f t="shared" ref="AO4:AR4" si="28">IFERROR(VLOOKUP(AO6,T_Retail,5,FALSE),"")</f>
        <v>08jun-14jun 25</v>
      </c>
      <c r="AP4" s="18" t="str">
        <f t="shared" si="28"/>
        <v>15jun-21jun 25</v>
      </c>
      <c r="AQ4" s="18" t="str">
        <f t="shared" si="28"/>
        <v>22jun-28jun 25</v>
      </c>
      <c r="AR4" s="18" t="str">
        <f t="shared" si="28"/>
        <v>29jun-05jul 25</v>
      </c>
      <c r="AS4" s="18" t="str">
        <f>IFERROR(VLOOKUP(AS6,T_Retail,5,FALSE),"")</f>
        <v>01jun-05jul 25</v>
      </c>
      <c r="AW4" s="18" t="str">
        <f>IFERROR(VLOOKUP(AW6,T_Retail,5,FALSE),"")</f>
        <v>06jul-12jul 25</v>
      </c>
      <c r="AX4" s="18" t="str">
        <f t="shared" ref="AX4:CK4" si="29">IFERROR(VLOOKUP(AX6,T_Retail,5,FALSE),"")</f>
        <v>13jul-19jul 25</v>
      </c>
      <c r="AY4" s="18" t="str">
        <f t="shared" si="29"/>
        <v>20jul-26jul 25</v>
      </c>
      <c r="AZ4" s="18" t="str">
        <f t="shared" si="29"/>
        <v>27jul-02ago 25</v>
      </c>
      <c r="BA4" s="18" t="str">
        <f t="shared" si="29"/>
        <v>06jul-02ago 25</v>
      </c>
      <c r="BB4" s="65" t="str">
        <f t="shared" ref="BB4:BF4" si="30">IFERROR(VLOOKUP(BB6,T_Retail,5,FALSE),"")</f>
        <v/>
      </c>
      <c r="BC4" s="65"/>
      <c r="BD4" s="18" t="str">
        <f t="shared" si="30"/>
        <v/>
      </c>
      <c r="BE4" s="18" t="str">
        <f t="shared" si="30"/>
        <v>03ago-09ago 25</v>
      </c>
      <c r="BF4" s="18" t="str">
        <f t="shared" si="30"/>
        <v>10ago-16ago 25</v>
      </c>
      <c r="BG4" s="18" t="str">
        <f t="shared" ref="BG4:BJ4" si="31">IFERROR(VLOOKUP(BG6,T_Retail,5,FALSE),"")</f>
        <v>17ago-23ago 25</v>
      </c>
      <c r="BH4" s="18" t="str">
        <f t="shared" si="31"/>
        <v>24ago-30ago 25</v>
      </c>
      <c r="BI4" s="18" t="str">
        <f t="shared" si="31"/>
        <v>03ago-30ago 25</v>
      </c>
      <c r="BJ4" s="65" t="str">
        <f t="shared" si="31"/>
        <v/>
      </c>
      <c r="BK4" s="65"/>
      <c r="BL4" s="18" t="str">
        <f t="shared" si="29"/>
        <v/>
      </c>
      <c r="BM4" s="18" t="str">
        <f t="shared" si="29"/>
        <v>31ago-06sep 25</v>
      </c>
      <c r="BN4" s="18" t="str">
        <f t="shared" si="29"/>
        <v>07sep-13sep 25</v>
      </c>
      <c r="BO4" s="18" t="str">
        <f t="shared" si="29"/>
        <v>14sep-20sep 25</v>
      </c>
      <c r="BP4" s="18" t="str">
        <f t="shared" si="29"/>
        <v>21sep-27sep 25</v>
      </c>
      <c r="BQ4" s="18" t="str">
        <f t="shared" si="29"/>
        <v>28sep-04oct 25</v>
      </c>
      <c r="BR4" s="18" t="str">
        <f>IFERROR(VLOOKUP(BR6,T_Retail,5,FALSE),"")</f>
        <v>31ago-04oct 25</v>
      </c>
      <c r="BS4" s="65" t="str">
        <f>IFERROR(VLOOKUP(BS6,T_Retail,5,FALSE),"")</f>
        <v/>
      </c>
      <c r="BT4" s="65"/>
      <c r="BU4" s="18" t="str">
        <f t="shared" si="29"/>
        <v/>
      </c>
      <c r="BV4" s="18" t="str">
        <f t="shared" si="29"/>
        <v>05oct-11oct 25</v>
      </c>
      <c r="BW4" s="18" t="str">
        <f t="shared" si="29"/>
        <v>12oct-18oct 25</v>
      </c>
      <c r="BX4" s="18" t="str">
        <f t="shared" si="29"/>
        <v>19oct-25oct 25</v>
      </c>
      <c r="BY4" s="18" t="str">
        <f t="shared" si="29"/>
        <v>26oct-01nov 25</v>
      </c>
      <c r="BZ4" s="18" t="str">
        <f>IFERROR(VLOOKUP(BZ6,T_Retail,5,FALSE),"")</f>
        <v>05oct-01nov 25</v>
      </c>
      <c r="CA4" s="65" t="str">
        <f>IFERROR(VLOOKUP(CA6,T_Retail,5,FALSE),"")</f>
        <v/>
      </c>
      <c r="CB4" s="65"/>
      <c r="CC4" s="18" t="str">
        <f t="shared" si="29"/>
        <v/>
      </c>
      <c r="CD4" s="18" t="str">
        <f t="shared" si="29"/>
        <v>02nov-08nov 25</v>
      </c>
      <c r="CE4" s="18" t="str">
        <f t="shared" si="29"/>
        <v>09nov-15nov 25</v>
      </c>
      <c r="CF4" s="18" t="str">
        <f t="shared" si="29"/>
        <v>16nov-22nov 25</v>
      </c>
      <c r="CG4" s="18" t="str">
        <f t="shared" si="29"/>
        <v>23nov-29nov 25</v>
      </c>
      <c r="CH4" s="18" t="str">
        <f>IFERROR(VLOOKUP(CH6,T_Retail,5,FALSE),"")</f>
        <v>02nov-29nov 25</v>
      </c>
      <c r="CI4" s="65" t="str">
        <f>IFERROR(VLOOKUP(CI6,T_Retail,5,FALSE),"")</f>
        <v/>
      </c>
      <c r="CJ4" s="65"/>
      <c r="CK4" s="18" t="str">
        <f t="shared" si="29"/>
        <v/>
      </c>
      <c r="CL4" s="18" t="str">
        <f t="shared" ref="CL4:CO4" si="32">IFERROR(VLOOKUP(CL6,T_Retail,5,FALSE),"")</f>
        <v>30nov-06dic 25</v>
      </c>
      <c r="CM4" s="18" t="str">
        <f t="shared" si="32"/>
        <v>07dic-13dic 25</v>
      </c>
      <c r="CN4" s="18" t="str">
        <f t="shared" si="32"/>
        <v>14dic-20dic 25</v>
      </c>
      <c r="CO4" s="18" t="str">
        <f t="shared" si="32"/>
        <v>21dic-27dic 25</v>
      </c>
      <c r="CP4" s="18" t="str">
        <f t="shared" ref="CP4" si="33">IFERROR(VLOOKUP(CP6,T_Retail,5,FALSE),"")</f>
        <v>28dic-03ene 26</v>
      </c>
      <c r="CQ4" s="18" t="str">
        <f>IFERROR(VLOOKUP(CQ6,T_Retail,5,FALSE),"")</f>
        <v>30nov-03ene 26</v>
      </c>
      <c r="CR4" s="65" t="str">
        <f>IFERROR(VLOOKUP(CR6,T_Retail,5,FALSE),"")</f>
        <v/>
      </c>
      <c r="CS4" s="65"/>
      <c r="CT4" s="65"/>
      <c r="CU4" s="18" t="str">
        <f t="shared" ref="CU4:CX4" si="34">IFERROR(VLOOKUP(CU6,T_Retail,5,FALSE),"")</f>
        <v>04ene-10ene 26</v>
      </c>
      <c r="CV4" s="18" t="str">
        <f t="shared" si="34"/>
        <v>11ene-17ene 26</v>
      </c>
      <c r="CW4" s="18" t="str">
        <f t="shared" si="34"/>
        <v>18ene-24ene 26</v>
      </c>
      <c r="CX4" s="18" t="str">
        <f t="shared" si="34"/>
        <v>25ene-31ene 26</v>
      </c>
      <c r="CY4" s="18" t="str">
        <f>IFERROR(VLOOKUP(CY6,T_Retail,5,FALSE),"")</f>
        <v>04ene-31ene 26</v>
      </c>
      <c r="DE4" s="541">
        <v>269963342.71999902</v>
      </c>
    </row>
    <row r="5" spans="1:1023 1025:2047 2049:3071 3073:4095 4097:5119 5121:6143 6145:7167 7169:8191 8193:9215 9217:10239 10241:11263 11265:12287 12289:13311 13313:14335 14337:15359 15361:16357" ht="15">
      <c r="A5" s="24"/>
      <c r="B5" s="21" t="s">
        <v>4832</v>
      </c>
      <c r="C5" s="22"/>
      <c r="D5" s="23"/>
      <c r="E5" s="24"/>
      <c r="F5" s="252">
        <f>SUM(F7:F1048576)</f>
        <v>6224588.830000001</v>
      </c>
      <c r="G5" s="253">
        <f>SUM(G7:G1048576)</f>
        <v>1358836.6500000001</v>
      </c>
      <c r="H5" s="253">
        <f>SUM(H7:H1048576)</f>
        <v>1199573.9300000004</v>
      </c>
      <c r="I5" s="253">
        <f>SUM(I7:I1048576)</f>
        <v>1691783.1950000001</v>
      </c>
      <c r="J5" s="253">
        <f>SUM(J7:J1048576)</f>
        <v>1818259.2700000003</v>
      </c>
      <c r="K5" s="253">
        <f>SUM(K7:K1048576)</f>
        <v>6068453.0449999999</v>
      </c>
      <c r="L5" s="253">
        <f>SUM(L7:L1048576)</f>
        <v>156135.785</v>
      </c>
      <c r="M5" s="254"/>
      <c r="N5" s="25">
        <f>SUM(N7:N1048576)</f>
        <v>8017853.3300000019</v>
      </c>
      <c r="O5" s="25">
        <f>SUM(O7:O1048576)</f>
        <v>1193159.0900000003</v>
      </c>
      <c r="P5" s="25">
        <f>SUM(P7:P1048576)</f>
        <v>1434606.4600000002</v>
      </c>
      <c r="Q5" s="25">
        <f>SUM(Q7:Q1048576)</f>
        <v>2549194.8500000006</v>
      </c>
      <c r="R5" s="25">
        <f>SUM(R7:R1048576)</f>
        <v>1571530.0699999998</v>
      </c>
      <c r="S5" s="25">
        <f>SUM(S7:S1048576)</f>
        <v>1339086.8400000001</v>
      </c>
      <c r="T5" s="25">
        <f>SUM(T7:T1048576)</f>
        <v>8087577.3100000024</v>
      </c>
      <c r="U5" s="25">
        <f>SUM(U7:U1048576)</f>
        <v>-69723.98</v>
      </c>
      <c r="V5" s="25"/>
      <c r="W5" s="25">
        <f>SUM(W7:W1048576)</f>
        <v>6408194.830000001</v>
      </c>
      <c r="X5" s="25">
        <f>SUM(X7:X1048576)</f>
        <v>1890268.5399999998</v>
      </c>
      <c r="Y5" s="25">
        <f>SUM(Y7:Y1048576)</f>
        <v>1215577.44</v>
      </c>
      <c r="Z5" s="25">
        <f>SUM(Z7:Z1048576)</f>
        <v>1658202.3030000003</v>
      </c>
      <c r="AA5" s="25">
        <f>SUM(AA7:AA1048576)</f>
        <v>1910715.87</v>
      </c>
      <c r="AB5" s="25">
        <f>SUM(AB7:AB1048576)</f>
        <v>6674764.1530000027</v>
      </c>
      <c r="AC5" s="25">
        <f>SUM(AC7:AC1048576)</f>
        <v>-266569.32300000009</v>
      </c>
      <c r="AD5" s="66"/>
      <c r="AE5" s="25">
        <f>SUM(AE7:AE1048576)</f>
        <v>6998452.2300000023</v>
      </c>
      <c r="AF5" s="66">
        <f>SUM(AF7:AF1048576)</f>
        <v>1485920.1200000003</v>
      </c>
      <c r="AG5" s="66">
        <f>SUM(AG7:AG1048576)</f>
        <v>2681796.6000000006</v>
      </c>
      <c r="AH5" s="66">
        <f>SUM(AH7:AH1048576)</f>
        <v>1271040.81</v>
      </c>
      <c r="AI5" s="66">
        <f>SUM(AI7:AI1048576)</f>
        <v>1723803.02</v>
      </c>
      <c r="AJ5" s="66">
        <f>SUM(AJ7:AJ1048576)</f>
        <v>7162560.5499999989</v>
      </c>
      <c r="AK5" s="66">
        <f>SUM(AK7:AK1048576)</f>
        <v>-164108.31999999998</v>
      </c>
      <c r="AL5" s="300">
        <f>AJ5/AE5</f>
        <v>1.0234492305736573</v>
      </c>
      <c r="AM5" s="25">
        <f>SUM(AM7:AM1048576)</f>
        <v>7170060.7300000014</v>
      </c>
      <c r="AN5" s="66">
        <f>SUM(AN7:AN1048576)</f>
        <v>1194143.7400000002</v>
      </c>
      <c r="AO5" s="66">
        <f>SUM(AO7:AO1048576)</f>
        <v>1830106.06</v>
      </c>
      <c r="AP5" s="66">
        <f>SUM(AP7:AP1048576)</f>
        <v>1918550.64</v>
      </c>
      <c r="AQ5" s="66">
        <f>SUM(AQ7:AQ1048576)</f>
        <v>1433066.5966666667</v>
      </c>
      <c r="AR5" s="66">
        <f>SUM(AR7:AR1048576)</f>
        <v>1239929.1500000001</v>
      </c>
      <c r="AS5" s="66">
        <f>SUM(AS7:AS1048576)</f>
        <v>7615796.1866666637</v>
      </c>
      <c r="AT5" s="66">
        <f>SUM(AT7:AT1048576)</f>
        <v>-445735.45666666655</v>
      </c>
      <c r="AU5" s="66"/>
      <c r="AV5" s="25">
        <f>SUM(AV7:AV1048576)</f>
        <v>7193775.8300000019</v>
      </c>
      <c r="AW5" s="25">
        <f>SUM(AW7:AW1048576)</f>
        <v>1605452.1600000001</v>
      </c>
      <c r="AX5" s="25">
        <f>SUM(AX7:AX1048576)</f>
        <v>2434808.313000001</v>
      </c>
      <c r="AY5" s="25">
        <f>SUM(AY7:AY1048576)</f>
        <v>1171902.1500000001</v>
      </c>
      <c r="AZ5" s="25">
        <f>SUM(AZ7:AZ1048576)</f>
        <v>2057865.8599999999</v>
      </c>
      <c r="BA5" s="25">
        <f>SUM(BA7:BA1048576)</f>
        <v>7270028.483</v>
      </c>
      <c r="BB5" s="66">
        <f>SUM(BB7:BB1048576)</f>
        <v>-76252.653000000122</v>
      </c>
      <c r="BC5" s="66"/>
      <c r="BD5" s="25">
        <f>SUM(BD7:BD1048576)</f>
        <v>6457988.830000001</v>
      </c>
      <c r="BE5" s="25">
        <f>SUM(BE7:BE1048576)</f>
        <v>1607624.7000000004</v>
      </c>
      <c r="BF5" s="25">
        <f>SUM(BF7:BF1048576)</f>
        <v>1788356.7299999995</v>
      </c>
      <c r="BG5" s="25">
        <f>SUM(BG7:BG1048576)</f>
        <v>1527828.9799999997</v>
      </c>
      <c r="BH5" s="25">
        <f>SUM(BH7:BH1048576)</f>
        <v>1711710.37</v>
      </c>
      <c r="BI5" s="25">
        <f>SUM(BI7:BI1048576)</f>
        <v>6635520.7800000049</v>
      </c>
      <c r="BJ5" s="66">
        <f>SUM(BJ7:BJ1048576)</f>
        <v>-177531.95000000013</v>
      </c>
      <c r="BK5" s="66"/>
      <c r="BL5" s="25">
        <f>SUM(BL7:BL1048576)</f>
        <v>8197027.3300000019</v>
      </c>
      <c r="BM5" s="25">
        <f>SUM(BM7:BM1048576)</f>
        <v>1661834.1199999999</v>
      </c>
      <c r="BN5" s="25">
        <f>SUM(BN7:BN1048576)</f>
        <v>1112554.21</v>
      </c>
      <c r="BO5" s="25">
        <f>SUM(BO7:BO1048576)</f>
        <v>2673939.1399999997</v>
      </c>
      <c r="BP5" s="25">
        <f>SUM(BP7:BP1048576)</f>
        <v>1237019.0100000005</v>
      </c>
      <c r="BQ5" s="25">
        <f>SUM(BQ7:BQ1048576)</f>
        <v>2027705.26</v>
      </c>
      <c r="BR5" s="25">
        <f>SUM(BR7:BR1048576)</f>
        <v>8713051.7399999984</v>
      </c>
      <c r="BS5" s="66">
        <f>SUM(BS7:BS1048576)</f>
        <v>-516024.41000000021</v>
      </c>
      <c r="BT5" s="66"/>
      <c r="BU5" s="25">
        <f>SUM(BU7:BU1048576)</f>
        <v>6562171.4800000004</v>
      </c>
      <c r="BV5" s="25">
        <f>SUM(BV7:BV1048576)</f>
        <v>1478930.56</v>
      </c>
      <c r="BW5" s="25">
        <f>SUM(BW7:BW1048576)</f>
        <v>1946088.0049999997</v>
      </c>
      <c r="BX5" s="25">
        <f>SUM(BX7:BX1048576)</f>
        <v>1655114.8699999996</v>
      </c>
      <c r="BY5" s="25">
        <f>SUM(BY7:BY1048576)</f>
        <v>1850621.25</v>
      </c>
      <c r="BZ5" s="25">
        <f>SUM(BZ7:BZ1048576)</f>
        <v>6930754.6850000015</v>
      </c>
      <c r="CA5" s="66">
        <f>SUM(CA7:CA1048576)</f>
        <v>-368583.20499999996</v>
      </c>
      <c r="CB5" s="66"/>
      <c r="CC5" s="25">
        <f>SUM(CC7:CC1048576)</f>
        <v>7663964.4800000023</v>
      </c>
      <c r="CD5" s="25">
        <f>SUM(CD7:CD1048576)</f>
        <v>2321834.0499999989</v>
      </c>
      <c r="CE5" s="25">
        <f>SUM(CE7:CE1048576)</f>
        <v>2721667.2199999993</v>
      </c>
      <c r="CF5" s="25">
        <f>SUM(CF7:CF1048576)</f>
        <v>1612995.4000000004</v>
      </c>
      <c r="CG5" s="25">
        <f>SUM(CG7:CG1048576)</f>
        <v>2215385.9300000002</v>
      </c>
      <c r="CH5" s="25">
        <f>SUM(CH7:CH1048576)</f>
        <v>8871882.5999999978</v>
      </c>
      <c r="CI5" s="66">
        <f>SUM(CI7:CI1048576)</f>
        <v>-1207918.1200000006</v>
      </c>
      <c r="CJ5" s="66"/>
      <c r="CK5" s="25">
        <f>SUM(CK7:CK1048576)</f>
        <v>12023688.850000001</v>
      </c>
      <c r="CL5" s="25">
        <f>SUM(CL7:CL1048576)</f>
        <v>3019571.4870000007</v>
      </c>
      <c r="CM5" s="25">
        <f>SUM(CM7:CM1048576)</f>
        <v>3382588.4939999999</v>
      </c>
      <c r="CN5" s="25">
        <f>SUM(CN7:CN1048576)</f>
        <v>4344051.6700000009</v>
      </c>
      <c r="CO5" s="25">
        <f>SUM(CO7:CO1048576)</f>
        <v>3433038.65</v>
      </c>
      <c r="CP5" s="25">
        <f>SUM(CP7:CP1048576)</f>
        <v>1578343.8255999999</v>
      </c>
      <c r="CQ5" s="25">
        <f>SUM(CQ7:CQ1048576)</f>
        <v>15757594.126599997</v>
      </c>
      <c r="CR5" s="66">
        <f>SUM(CR7:CR1048576)</f>
        <v>-3733905.2766000004</v>
      </c>
      <c r="CS5" s="66"/>
      <c r="CT5" s="66"/>
      <c r="CU5" s="66">
        <f>SUM(CU7:CU1048576)</f>
        <v>1627863.7700000003</v>
      </c>
      <c r="CV5" s="66">
        <f>SUM(CV7:CV1048576)</f>
        <v>1593574.8299999996</v>
      </c>
      <c r="CW5" s="66">
        <f>SUM(CW7:CW1048576)</f>
        <v>2688278.5299999993</v>
      </c>
      <c r="CX5" s="66">
        <f>SUM(CX7:CX1048576)</f>
        <v>2860662.2200000016</v>
      </c>
      <c r="CY5" s="66">
        <f>SUM(CY7:CY1048576)</f>
        <v>8770379.3500000052</v>
      </c>
      <c r="CZ5" s="66">
        <f>SUM(CZ7:CZ1048576)</f>
        <v>51514.649999999812</v>
      </c>
      <c r="DD5">
        <v>7375990.8300000001</v>
      </c>
      <c r="DF5">
        <v>137681309.43000001</v>
      </c>
    </row>
    <row r="6" spans="1:1023 1025:2047 2049:3071 3073:4095 4097:5119 5121:6143 6145:7167 7169:8191 8193:9215 9217:10239 10241:11263 11265:12287 12289:13311 13313:14335 14337:15359 15361:16357" s="2" customFormat="1" ht="15">
      <c r="A6" s="27" t="s">
        <v>203</v>
      </c>
      <c r="B6" s="26" t="s">
        <v>15</v>
      </c>
      <c r="C6" s="27" t="s">
        <v>16</v>
      </c>
      <c r="D6" s="26" t="s">
        <v>17</v>
      </c>
      <c r="E6" s="27" t="s">
        <v>18</v>
      </c>
      <c r="F6" s="295" t="s">
        <v>2</v>
      </c>
      <c r="G6" s="255" t="s">
        <v>4833</v>
      </c>
      <c r="H6" s="255" t="s">
        <v>4834</v>
      </c>
      <c r="I6" s="255" t="s">
        <v>4835</v>
      </c>
      <c r="J6" s="255" t="s">
        <v>4836</v>
      </c>
      <c r="K6" s="256" t="s">
        <v>4837</v>
      </c>
      <c r="L6" s="257" t="s">
        <v>4838</v>
      </c>
      <c r="M6" s="258" t="s">
        <v>4839</v>
      </c>
      <c r="N6" s="60" t="s">
        <v>3</v>
      </c>
      <c r="O6" s="27" t="s">
        <v>4840</v>
      </c>
      <c r="P6" s="27" t="s">
        <v>4841</v>
      </c>
      <c r="Q6" s="27" t="s">
        <v>4842</v>
      </c>
      <c r="R6" s="27" t="s">
        <v>4843</v>
      </c>
      <c r="S6" s="27" t="s">
        <v>4844</v>
      </c>
      <c r="T6" s="48" t="s">
        <v>4845</v>
      </c>
      <c r="U6" s="67" t="s">
        <v>4846</v>
      </c>
      <c r="V6" s="258" t="s">
        <v>4839</v>
      </c>
      <c r="W6" s="60" t="s">
        <v>4</v>
      </c>
      <c r="X6" s="27" t="s">
        <v>4847</v>
      </c>
      <c r="Y6" s="27" t="s">
        <v>4848</v>
      </c>
      <c r="Z6" s="27" t="s">
        <v>4849</v>
      </c>
      <c r="AA6" s="27" t="s">
        <v>4850</v>
      </c>
      <c r="AB6" s="48" t="s">
        <v>4851</v>
      </c>
      <c r="AC6" s="67" t="s">
        <v>4852</v>
      </c>
      <c r="AD6" s="258" t="s">
        <v>4839</v>
      </c>
      <c r="AE6" s="60" t="s">
        <v>5</v>
      </c>
      <c r="AF6" s="27" t="s">
        <v>4853</v>
      </c>
      <c r="AG6" s="27" t="s">
        <v>4854</v>
      </c>
      <c r="AH6" s="27" t="s">
        <v>4855</v>
      </c>
      <c r="AI6" s="27" t="s">
        <v>4856</v>
      </c>
      <c r="AJ6" s="48" t="s">
        <v>4857</v>
      </c>
      <c r="AK6" s="67" t="s">
        <v>4858</v>
      </c>
      <c r="AL6" s="258" t="s">
        <v>4839</v>
      </c>
      <c r="AM6" s="60" t="s">
        <v>6</v>
      </c>
      <c r="AN6" s="27" t="s">
        <v>4859</v>
      </c>
      <c r="AO6" s="27" t="s">
        <v>4860</v>
      </c>
      <c r="AP6" s="27" t="s">
        <v>4861</v>
      </c>
      <c r="AQ6" s="27" t="s">
        <v>4862</v>
      </c>
      <c r="AR6" s="27" t="s">
        <v>4863</v>
      </c>
      <c r="AS6" s="48" t="s">
        <v>4864</v>
      </c>
      <c r="AT6" s="67" t="s">
        <v>4865</v>
      </c>
      <c r="AU6" s="258" t="s">
        <v>4839</v>
      </c>
      <c r="AV6" s="60" t="s">
        <v>7</v>
      </c>
      <c r="AW6" s="27" t="s">
        <v>4866</v>
      </c>
      <c r="AX6" s="26" t="s">
        <v>4867</v>
      </c>
      <c r="AY6" s="27" t="s">
        <v>4868</v>
      </c>
      <c r="AZ6" s="26" t="s">
        <v>4869</v>
      </c>
      <c r="BA6" s="48" t="s">
        <v>4870</v>
      </c>
      <c r="BB6" s="67" t="s">
        <v>4871</v>
      </c>
      <c r="BC6" s="258" t="s">
        <v>4839</v>
      </c>
      <c r="BD6" s="61" t="s">
        <v>8</v>
      </c>
      <c r="BE6" s="26" t="s">
        <v>4872</v>
      </c>
      <c r="BF6" s="27" t="s">
        <v>4873</v>
      </c>
      <c r="BG6" s="26" t="s">
        <v>4874</v>
      </c>
      <c r="BH6" s="27" t="s">
        <v>4875</v>
      </c>
      <c r="BI6" s="48" t="s">
        <v>4876</v>
      </c>
      <c r="BJ6" s="67" t="s">
        <v>4877</v>
      </c>
      <c r="BK6" s="258" t="s">
        <v>4839</v>
      </c>
      <c r="BL6" s="60" t="s">
        <v>9</v>
      </c>
      <c r="BM6" s="27" t="s">
        <v>4878</v>
      </c>
      <c r="BN6" s="26" t="s">
        <v>4879</v>
      </c>
      <c r="BO6" s="27" t="s">
        <v>4880</v>
      </c>
      <c r="BP6" s="26" t="s">
        <v>4881</v>
      </c>
      <c r="BQ6" s="27" t="s">
        <v>4882</v>
      </c>
      <c r="BR6" s="48" t="s">
        <v>4883</v>
      </c>
      <c r="BS6" s="67" t="s">
        <v>4884</v>
      </c>
      <c r="BT6" s="258" t="s">
        <v>4839</v>
      </c>
      <c r="BU6" s="60" t="s">
        <v>10</v>
      </c>
      <c r="BV6" s="27" t="s">
        <v>4885</v>
      </c>
      <c r="BW6" s="26" t="s">
        <v>4886</v>
      </c>
      <c r="BX6" s="27" t="s">
        <v>4887</v>
      </c>
      <c r="BY6" s="26" t="s">
        <v>4888</v>
      </c>
      <c r="BZ6" s="48" t="s">
        <v>4889</v>
      </c>
      <c r="CA6" s="67" t="s">
        <v>4890</v>
      </c>
      <c r="CB6" s="258" t="s">
        <v>4839</v>
      </c>
      <c r="CC6" s="61" t="s">
        <v>11</v>
      </c>
      <c r="CD6" s="26" t="s">
        <v>4891</v>
      </c>
      <c r="CE6" s="27" t="s">
        <v>4892</v>
      </c>
      <c r="CF6" s="26" t="s">
        <v>4893</v>
      </c>
      <c r="CG6" s="27" t="s">
        <v>4894</v>
      </c>
      <c r="CH6" s="48" t="s">
        <v>4895</v>
      </c>
      <c r="CI6" s="67" t="s">
        <v>4896</v>
      </c>
      <c r="CJ6" s="258" t="s">
        <v>4839</v>
      </c>
      <c r="CK6" s="60" t="s">
        <v>12</v>
      </c>
      <c r="CL6" s="27" t="s">
        <v>4897</v>
      </c>
      <c r="CM6" s="27" t="s">
        <v>4898</v>
      </c>
      <c r="CN6" s="27" t="s">
        <v>4899</v>
      </c>
      <c r="CO6" s="27" t="s">
        <v>4900</v>
      </c>
      <c r="CP6" s="27" t="s">
        <v>4901</v>
      </c>
      <c r="CQ6" s="48" t="s">
        <v>4902</v>
      </c>
      <c r="CR6" s="67" t="s">
        <v>4903</v>
      </c>
      <c r="CS6" s="258" t="s">
        <v>4839</v>
      </c>
      <c r="CT6" s="553" t="s">
        <v>13</v>
      </c>
      <c r="CU6" s="27" t="s">
        <v>4904</v>
      </c>
      <c r="CV6" s="27" t="s">
        <v>4905</v>
      </c>
      <c r="CW6" s="27" t="s">
        <v>4906</v>
      </c>
      <c r="CX6" s="27" t="s">
        <v>4907</v>
      </c>
      <c r="CY6" s="48" t="s">
        <v>4908</v>
      </c>
      <c r="CZ6" s="67" t="s">
        <v>4909</v>
      </c>
      <c r="DD6" s="540">
        <f>K5+T5+AB5+AJ5+AS5+BA5+BI5+BR5+BZ5+CH5+CQ5</f>
        <v>89787983.659266666</v>
      </c>
      <c r="DE6" s="540">
        <f>DD5+DD6</f>
        <v>97163974.489266664</v>
      </c>
      <c r="DF6" s="542">
        <f>DE6/DF5</f>
        <v>0.70571651948637815</v>
      </c>
      <c r="EA6" s="56"/>
      <c r="EC6" s="56"/>
      <c r="EE6" s="56"/>
      <c r="EG6" s="56"/>
      <c r="EI6" s="56"/>
      <c r="EK6" s="56"/>
      <c r="EM6" s="56"/>
      <c r="EO6" s="56"/>
      <c r="EQ6" s="56"/>
      <c r="ES6" s="56"/>
      <c r="EU6" s="56"/>
      <c r="EW6" s="56"/>
      <c r="EY6" s="56"/>
      <c r="FA6" s="56"/>
      <c r="FC6" s="56"/>
      <c r="FE6" s="56"/>
      <c r="FG6" s="56"/>
      <c r="FI6" s="56"/>
      <c r="FK6" s="56"/>
      <c r="FM6" s="56"/>
      <c r="FO6" s="56"/>
      <c r="FQ6" s="56"/>
      <c r="FS6" s="56"/>
      <c r="FU6" s="56"/>
      <c r="FW6" s="56"/>
      <c r="FY6" s="56"/>
      <c r="GA6" s="56"/>
      <c r="GC6" s="56"/>
      <c r="GE6" s="56"/>
      <c r="GG6" s="56"/>
      <c r="GI6" s="56"/>
      <c r="GK6" s="56"/>
      <c r="GM6" s="56"/>
      <c r="GO6" s="56"/>
      <c r="GQ6" s="56"/>
      <c r="GS6" s="56"/>
      <c r="GU6" s="56"/>
      <c r="GW6" s="56"/>
      <c r="GY6" s="56"/>
      <c r="HA6" s="56"/>
      <c r="HC6" s="56"/>
      <c r="HE6" s="56"/>
      <c r="HG6" s="56"/>
      <c r="HI6" s="56"/>
      <c r="HK6" s="56"/>
      <c r="HM6" s="56"/>
      <c r="HO6" s="56"/>
      <c r="HQ6" s="56"/>
      <c r="HS6" s="56"/>
      <c r="HU6" s="56"/>
      <c r="HW6" s="56"/>
      <c r="HY6" s="56"/>
      <c r="IA6" s="56"/>
      <c r="IC6" s="56"/>
      <c r="IE6" s="56"/>
      <c r="IG6" s="56"/>
      <c r="II6" s="56"/>
      <c r="IK6" s="56"/>
      <c r="IM6" s="56"/>
      <c r="IO6" s="56"/>
      <c r="IQ6" s="56"/>
      <c r="IS6" s="56"/>
      <c r="IU6" s="56"/>
      <c r="IW6" s="56"/>
      <c r="IY6" s="56"/>
      <c r="JA6" s="56"/>
      <c r="JC6" s="56"/>
      <c r="JE6" s="56"/>
      <c r="JG6" s="56"/>
      <c r="JI6" s="56"/>
      <c r="JK6" s="56"/>
      <c r="JM6" s="56"/>
      <c r="JO6" s="56"/>
      <c r="JQ6" s="56"/>
      <c r="JS6" s="56"/>
      <c r="JU6" s="56"/>
      <c r="JW6" s="56"/>
      <c r="JY6" s="56"/>
      <c r="KA6" s="56"/>
      <c r="KC6" s="56"/>
      <c r="KE6" s="56"/>
      <c r="KG6" s="56"/>
      <c r="KI6" s="56"/>
      <c r="KK6" s="56"/>
      <c r="KM6" s="56"/>
      <c r="KO6" s="56"/>
      <c r="KQ6" s="56"/>
      <c r="KS6" s="56"/>
      <c r="KU6" s="56"/>
      <c r="KW6" s="56"/>
      <c r="KY6" s="56"/>
      <c r="LA6" s="56"/>
      <c r="LC6" s="56"/>
      <c r="LE6" s="56"/>
      <c r="LG6" s="56"/>
      <c r="LI6" s="56"/>
      <c r="LK6" s="56"/>
      <c r="LM6" s="56"/>
      <c r="LO6" s="56"/>
      <c r="LQ6" s="56"/>
      <c r="LS6" s="56"/>
      <c r="LU6" s="56"/>
      <c r="LW6" s="56"/>
      <c r="LY6" s="56"/>
      <c r="MA6" s="56"/>
      <c r="MC6" s="56"/>
      <c r="ME6" s="56"/>
      <c r="MG6" s="56"/>
      <c r="MI6" s="56"/>
      <c r="MK6" s="56"/>
      <c r="MM6" s="56"/>
      <c r="MO6" s="56"/>
      <c r="MQ6" s="56"/>
      <c r="MS6" s="56"/>
      <c r="MU6" s="56"/>
      <c r="MW6" s="56"/>
      <c r="MY6" s="56"/>
      <c r="NA6" s="56"/>
      <c r="NC6" s="56"/>
      <c r="NE6" s="56"/>
      <c r="NG6" s="56"/>
      <c r="NI6" s="56"/>
      <c r="NK6" s="56"/>
      <c r="NM6" s="56"/>
      <c r="NO6" s="56"/>
      <c r="NQ6" s="56"/>
      <c r="NS6" s="56"/>
      <c r="NU6" s="56"/>
      <c r="NW6" s="56"/>
      <c r="NY6" s="56"/>
      <c r="OA6" s="56"/>
      <c r="OC6" s="56"/>
      <c r="OE6" s="56"/>
      <c r="OG6" s="56"/>
      <c r="OI6" s="56"/>
      <c r="OK6" s="56"/>
      <c r="OM6" s="56"/>
      <c r="OO6" s="56"/>
      <c r="OQ6" s="56"/>
      <c r="OS6" s="56"/>
      <c r="OU6" s="56"/>
      <c r="OW6" s="56"/>
      <c r="OY6" s="56"/>
      <c r="PA6" s="56"/>
      <c r="PC6" s="56"/>
      <c r="PE6" s="56"/>
      <c r="PG6" s="56"/>
      <c r="PI6" s="56"/>
      <c r="PK6" s="56"/>
      <c r="PM6" s="56"/>
      <c r="PO6" s="56"/>
      <c r="PQ6" s="56"/>
      <c r="PS6" s="56"/>
      <c r="PU6" s="56"/>
      <c r="PW6" s="56"/>
      <c r="PY6" s="56"/>
      <c r="QA6" s="56"/>
      <c r="QC6" s="56"/>
      <c r="QE6" s="56"/>
      <c r="QG6" s="56"/>
      <c r="QI6" s="56"/>
      <c r="QK6" s="56"/>
      <c r="QM6" s="56"/>
      <c r="QO6" s="56"/>
      <c r="QQ6" s="56"/>
      <c r="QS6" s="56"/>
      <c r="QU6" s="56"/>
      <c r="QW6" s="56"/>
      <c r="QY6" s="56"/>
      <c r="RA6" s="56"/>
      <c r="RC6" s="56"/>
      <c r="RE6" s="56"/>
      <c r="RG6" s="56"/>
      <c r="RI6" s="56"/>
      <c r="RK6" s="56"/>
      <c r="RM6" s="56"/>
      <c r="RO6" s="56"/>
      <c r="RQ6" s="56"/>
      <c r="RS6" s="56"/>
      <c r="RU6" s="56"/>
      <c r="RW6" s="56"/>
      <c r="RY6" s="56"/>
      <c r="SA6" s="56"/>
      <c r="SC6" s="56"/>
      <c r="SE6" s="56"/>
      <c r="SG6" s="56"/>
      <c r="SI6" s="56"/>
      <c r="SK6" s="56"/>
      <c r="SM6" s="56"/>
      <c r="SO6" s="56"/>
      <c r="SQ6" s="56"/>
      <c r="SS6" s="56"/>
      <c r="SU6" s="56"/>
      <c r="SW6" s="56"/>
      <c r="SY6" s="56"/>
      <c r="TA6" s="56"/>
      <c r="TC6" s="56"/>
      <c r="TE6" s="56"/>
      <c r="TG6" s="56"/>
      <c r="TI6" s="56"/>
      <c r="TK6" s="56"/>
      <c r="TM6" s="56"/>
      <c r="TO6" s="56"/>
      <c r="TQ6" s="56"/>
      <c r="TS6" s="56"/>
      <c r="TU6" s="56"/>
      <c r="TW6" s="56"/>
      <c r="TY6" s="56"/>
      <c r="UA6" s="56"/>
      <c r="UC6" s="56"/>
      <c r="UE6" s="56"/>
      <c r="UG6" s="56"/>
      <c r="UI6" s="56"/>
      <c r="UK6" s="56"/>
      <c r="UM6" s="56"/>
      <c r="UO6" s="56"/>
      <c r="UQ6" s="56"/>
      <c r="US6" s="56"/>
      <c r="UU6" s="56"/>
      <c r="UW6" s="56"/>
      <c r="UY6" s="56"/>
      <c r="VA6" s="56"/>
      <c r="VC6" s="56"/>
      <c r="VE6" s="56"/>
      <c r="VG6" s="56"/>
      <c r="VI6" s="56"/>
      <c r="VK6" s="56"/>
      <c r="VM6" s="56"/>
      <c r="VO6" s="56"/>
      <c r="VQ6" s="56"/>
      <c r="VS6" s="56"/>
      <c r="VU6" s="56"/>
      <c r="VW6" s="56"/>
      <c r="VY6" s="56"/>
      <c r="WA6" s="56"/>
      <c r="WC6" s="56"/>
      <c r="WE6" s="56"/>
      <c r="WG6" s="56"/>
      <c r="WI6" s="56"/>
      <c r="WK6" s="56"/>
      <c r="WM6" s="56"/>
      <c r="WO6" s="56"/>
      <c r="WQ6" s="56"/>
      <c r="WS6" s="56"/>
      <c r="WU6" s="56"/>
      <c r="WW6" s="56"/>
      <c r="WY6" s="56"/>
      <c r="XA6" s="56"/>
      <c r="XC6" s="56"/>
      <c r="XE6" s="56"/>
      <c r="XG6" s="56"/>
      <c r="XI6" s="56"/>
      <c r="XK6" s="56"/>
      <c r="XM6" s="56"/>
      <c r="XO6" s="56"/>
      <c r="XQ6" s="56"/>
      <c r="XS6" s="56"/>
      <c r="XU6" s="56"/>
      <c r="XW6" s="56"/>
      <c r="XY6" s="56"/>
      <c r="YA6" s="56"/>
      <c r="YC6" s="56"/>
      <c r="YE6" s="56"/>
      <c r="YG6" s="56"/>
      <c r="YI6" s="56"/>
      <c r="YK6" s="56"/>
      <c r="YM6" s="56"/>
      <c r="YO6" s="56"/>
      <c r="YQ6" s="56"/>
      <c r="YS6" s="56"/>
      <c r="YU6" s="56"/>
      <c r="YW6" s="56"/>
      <c r="YY6" s="56"/>
      <c r="ZA6" s="56"/>
      <c r="ZC6" s="56"/>
      <c r="ZE6" s="56"/>
      <c r="ZG6" s="56"/>
      <c r="ZI6" s="56"/>
      <c r="ZK6" s="56"/>
      <c r="ZM6" s="56"/>
      <c r="ZO6" s="56"/>
      <c r="ZQ6" s="56"/>
      <c r="ZS6" s="56"/>
      <c r="ZU6" s="56"/>
      <c r="ZW6" s="56"/>
      <c r="ZY6" s="56"/>
      <c r="AAA6" s="56"/>
      <c r="AAC6" s="56"/>
      <c r="AAE6" s="56"/>
      <c r="AAG6" s="56"/>
      <c r="AAI6" s="56"/>
      <c r="AAK6" s="56"/>
      <c r="AAM6" s="56"/>
      <c r="AAO6" s="56"/>
      <c r="AAQ6" s="56"/>
      <c r="AAS6" s="56"/>
      <c r="AAU6" s="56"/>
      <c r="AAW6" s="56"/>
      <c r="AAY6" s="56"/>
      <c r="ABA6" s="56"/>
      <c r="ABC6" s="56"/>
      <c r="ABE6" s="56"/>
      <c r="ABG6" s="56"/>
      <c r="ABI6" s="56"/>
      <c r="ABK6" s="56"/>
      <c r="ABM6" s="56"/>
      <c r="ABO6" s="56"/>
      <c r="ABQ6" s="56"/>
      <c r="ABS6" s="56"/>
      <c r="ABU6" s="56"/>
      <c r="ABW6" s="56"/>
      <c r="ABY6" s="56"/>
      <c r="ACA6" s="56"/>
      <c r="ACC6" s="56"/>
      <c r="ACE6" s="56"/>
      <c r="ACG6" s="56"/>
      <c r="ACI6" s="56"/>
      <c r="ACK6" s="56"/>
      <c r="ACM6" s="56"/>
      <c r="ACO6" s="56"/>
      <c r="ACQ6" s="56"/>
      <c r="ACS6" s="56"/>
      <c r="ACU6" s="56"/>
      <c r="ACW6" s="56"/>
      <c r="ACY6" s="56"/>
      <c r="ADA6" s="56"/>
      <c r="ADC6" s="56"/>
      <c r="ADE6" s="56"/>
      <c r="ADG6" s="56"/>
      <c r="ADI6" s="56"/>
      <c r="ADK6" s="56"/>
      <c r="ADM6" s="56"/>
      <c r="ADO6" s="56"/>
      <c r="ADQ6" s="56"/>
      <c r="ADS6" s="56"/>
      <c r="ADU6" s="56"/>
      <c r="ADW6" s="56"/>
      <c r="ADY6" s="56"/>
      <c r="AEA6" s="56"/>
      <c r="AEC6" s="56"/>
      <c r="AEE6" s="56"/>
      <c r="AEG6" s="56"/>
      <c r="AEI6" s="56"/>
      <c r="AEK6" s="56"/>
      <c r="AEM6" s="56"/>
      <c r="AEO6" s="56"/>
      <c r="AEQ6" s="56"/>
      <c r="AES6" s="56"/>
      <c r="AEU6" s="56"/>
      <c r="AEW6" s="56"/>
      <c r="AEY6" s="56"/>
      <c r="AFA6" s="56"/>
      <c r="AFC6" s="56"/>
      <c r="AFE6" s="56"/>
      <c r="AFG6" s="56"/>
      <c r="AFI6" s="56"/>
      <c r="AFK6" s="56"/>
      <c r="AFM6" s="56"/>
      <c r="AFO6" s="56"/>
      <c r="AFQ6" s="56"/>
      <c r="AFS6" s="56"/>
      <c r="AFU6" s="56"/>
      <c r="AFW6" s="56"/>
      <c r="AFY6" s="56"/>
      <c r="AGA6" s="56"/>
      <c r="AGC6" s="56"/>
      <c r="AGE6" s="56"/>
      <c r="AGG6" s="56"/>
      <c r="AGI6" s="56"/>
      <c r="AGK6" s="56"/>
      <c r="AGM6" s="56"/>
      <c r="AGO6" s="56"/>
      <c r="AGQ6" s="56"/>
      <c r="AGS6" s="56"/>
      <c r="AGU6" s="56"/>
      <c r="AGW6" s="56"/>
      <c r="AGY6" s="56"/>
      <c r="AHA6" s="56"/>
      <c r="AHC6" s="56"/>
      <c r="AHE6" s="56"/>
      <c r="AHG6" s="56"/>
      <c r="AHI6" s="56"/>
      <c r="AHK6" s="56"/>
      <c r="AHM6" s="56"/>
      <c r="AHO6" s="56"/>
      <c r="AHQ6" s="56"/>
      <c r="AHS6" s="56"/>
      <c r="AHU6" s="56"/>
      <c r="AHW6" s="56"/>
      <c r="AHY6" s="56"/>
      <c r="AIA6" s="56"/>
      <c r="AIC6" s="56"/>
      <c r="AIE6" s="56"/>
      <c r="AIG6" s="56"/>
      <c r="AII6" s="56"/>
      <c r="AIK6" s="56"/>
      <c r="AIM6" s="56"/>
      <c r="AIO6" s="56"/>
      <c r="AIQ6" s="56"/>
      <c r="AIS6" s="56"/>
      <c r="AIU6" s="56"/>
      <c r="AIW6" s="56"/>
      <c r="AIY6" s="56"/>
      <c r="AJA6" s="56"/>
      <c r="AJC6" s="56"/>
      <c r="AJE6" s="56"/>
      <c r="AJG6" s="56"/>
      <c r="AJI6" s="56"/>
      <c r="AJK6" s="56"/>
      <c r="AJM6" s="56"/>
      <c r="AJO6" s="56"/>
      <c r="AJQ6" s="56"/>
      <c r="AJS6" s="56"/>
      <c r="AJU6" s="56"/>
      <c r="AJW6" s="56"/>
      <c r="AJY6" s="56"/>
      <c r="AKA6" s="56"/>
      <c r="AKC6" s="56"/>
      <c r="AKE6" s="56"/>
      <c r="AKG6" s="56"/>
      <c r="AKI6" s="56"/>
      <c r="AKK6" s="56"/>
      <c r="AKM6" s="56"/>
      <c r="AKO6" s="56"/>
      <c r="AKQ6" s="56"/>
      <c r="AKS6" s="56"/>
      <c r="AKU6" s="56"/>
      <c r="AKW6" s="56"/>
      <c r="AKY6" s="56"/>
      <c r="ALA6" s="56"/>
      <c r="ALC6" s="56"/>
      <c r="ALE6" s="56"/>
      <c r="ALG6" s="56"/>
      <c r="ALI6" s="56"/>
      <c r="ALK6" s="56"/>
      <c r="ALM6" s="56"/>
      <c r="ALO6" s="56"/>
      <c r="ALQ6" s="56"/>
      <c r="ALS6" s="56"/>
      <c r="ALU6" s="56"/>
      <c r="ALW6" s="56"/>
      <c r="ALY6" s="56"/>
      <c r="AMA6" s="56"/>
      <c r="AMC6" s="56"/>
      <c r="AME6" s="56"/>
      <c r="AMG6" s="56"/>
      <c r="AMI6" s="56"/>
      <c r="AMK6" s="56"/>
      <c r="AMM6" s="56"/>
      <c r="AMO6" s="56"/>
      <c r="AMQ6" s="56"/>
      <c r="AMS6" s="56"/>
      <c r="AMU6" s="56"/>
      <c r="AMW6" s="56"/>
      <c r="AMY6" s="56"/>
      <c r="ANA6" s="56"/>
      <c r="ANC6" s="56"/>
      <c r="ANE6" s="56"/>
      <c r="ANG6" s="56"/>
      <c r="ANI6" s="56"/>
      <c r="ANK6" s="56"/>
      <c r="ANM6" s="56"/>
      <c r="ANO6" s="56"/>
      <c r="ANQ6" s="56"/>
      <c r="ANS6" s="56"/>
      <c r="ANU6" s="56"/>
      <c r="ANW6" s="56"/>
      <c r="ANY6" s="56"/>
      <c r="AOA6" s="56"/>
      <c r="AOC6" s="56"/>
      <c r="AOE6" s="56"/>
      <c r="AOG6" s="56"/>
      <c r="AOI6" s="56"/>
      <c r="AOK6" s="56"/>
      <c r="AOM6" s="56"/>
      <c r="AOO6" s="56"/>
      <c r="AOQ6" s="56"/>
      <c r="AOS6" s="56"/>
      <c r="AOU6" s="56"/>
      <c r="AOW6" s="56"/>
      <c r="AOY6" s="56"/>
      <c r="APA6" s="56"/>
      <c r="APC6" s="56"/>
      <c r="APE6" s="56"/>
      <c r="APG6" s="56"/>
      <c r="API6" s="56"/>
      <c r="APK6" s="56"/>
      <c r="APM6" s="56"/>
      <c r="APO6" s="56"/>
      <c r="APQ6" s="56"/>
      <c r="APS6" s="56"/>
      <c r="APU6" s="56"/>
      <c r="APW6" s="56"/>
      <c r="APY6" s="56"/>
      <c r="AQA6" s="56"/>
      <c r="AQC6" s="56"/>
      <c r="AQE6" s="56"/>
      <c r="AQG6" s="56"/>
      <c r="AQI6" s="56"/>
      <c r="AQK6" s="56"/>
      <c r="AQM6" s="56"/>
      <c r="AQO6" s="56"/>
      <c r="AQQ6" s="56"/>
      <c r="AQS6" s="56"/>
      <c r="AQU6" s="56"/>
      <c r="AQW6" s="56"/>
      <c r="AQY6" s="56"/>
      <c r="ARA6" s="56"/>
      <c r="ARC6" s="56"/>
      <c r="ARE6" s="56"/>
      <c r="ARG6" s="56"/>
      <c r="ARI6" s="56"/>
      <c r="ARK6" s="56"/>
      <c r="ARM6" s="56"/>
      <c r="ARO6" s="56"/>
      <c r="ARQ6" s="56"/>
      <c r="ARS6" s="56"/>
      <c r="ARU6" s="56"/>
      <c r="ARW6" s="56"/>
      <c r="ARY6" s="56"/>
      <c r="ASA6" s="56"/>
      <c r="ASC6" s="56"/>
      <c r="ASE6" s="56"/>
      <c r="ASG6" s="56"/>
      <c r="ASI6" s="56"/>
      <c r="ASK6" s="56"/>
      <c r="ASM6" s="56"/>
      <c r="ASO6" s="56"/>
      <c r="ASQ6" s="56"/>
      <c r="ASS6" s="56"/>
      <c r="ASU6" s="56"/>
      <c r="ASW6" s="56"/>
      <c r="ASY6" s="56"/>
      <c r="ATA6" s="56"/>
      <c r="ATC6" s="56"/>
      <c r="ATE6" s="56"/>
      <c r="ATG6" s="56"/>
      <c r="ATI6" s="56"/>
      <c r="ATK6" s="56"/>
      <c r="ATM6" s="56"/>
      <c r="ATO6" s="56"/>
      <c r="ATQ6" s="56"/>
      <c r="ATS6" s="56"/>
      <c r="ATU6" s="56"/>
      <c r="ATW6" s="56"/>
      <c r="ATY6" s="56"/>
      <c r="AUA6" s="56"/>
      <c r="AUC6" s="56"/>
      <c r="AUE6" s="56"/>
      <c r="AUG6" s="56"/>
      <c r="AUI6" s="56"/>
      <c r="AUK6" s="56"/>
      <c r="AUM6" s="56"/>
      <c r="AUO6" s="56"/>
      <c r="AUQ6" s="56"/>
      <c r="AUS6" s="56"/>
      <c r="AUU6" s="56"/>
      <c r="AUW6" s="56"/>
      <c r="AUY6" s="56"/>
      <c r="AVA6" s="56"/>
      <c r="AVC6" s="56"/>
      <c r="AVE6" s="56"/>
      <c r="AVG6" s="56"/>
      <c r="AVI6" s="56"/>
      <c r="AVK6" s="56"/>
      <c r="AVM6" s="56"/>
      <c r="AVO6" s="56"/>
      <c r="AVQ6" s="56"/>
      <c r="AVS6" s="56"/>
      <c r="AVU6" s="56"/>
      <c r="AVW6" s="56"/>
      <c r="AVY6" s="56"/>
      <c r="AWA6" s="56"/>
      <c r="AWC6" s="56"/>
      <c r="AWE6" s="56"/>
      <c r="AWG6" s="56"/>
      <c r="AWI6" s="56"/>
      <c r="AWK6" s="56"/>
      <c r="AWM6" s="56"/>
      <c r="AWO6" s="56"/>
      <c r="AWQ6" s="56"/>
      <c r="AWS6" s="56"/>
      <c r="AWU6" s="56"/>
      <c r="AWW6" s="56"/>
      <c r="AWY6" s="56"/>
      <c r="AXA6" s="56"/>
      <c r="AXC6" s="56"/>
      <c r="AXE6" s="56"/>
      <c r="AXG6" s="56"/>
      <c r="AXI6" s="56"/>
      <c r="AXK6" s="56"/>
      <c r="AXM6" s="56"/>
      <c r="AXO6" s="56"/>
      <c r="AXQ6" s="56"/>
      <c r="AXS6" s="56"/>
      <c r="AXU6" s="56"/>
      <c r="AXW6" s="56"/>
      <c r="AXY6" s="56"/>
      <c r="AYA6" s="56"/>
      <c r="AYC6" s="56"/>
      <c r="AYE6" s="56"/>
      <c r="AYG6" s="56"/>
      <c r="AYI6" s="56"/>
      <c r="AYK6" s="56"/>
      <c r="AYM6" s="56"/>
      <c r="AYO6" s="56"/>
      <c r="AYQ6" s="56"/>
      <c r="AYS6" s="56"/>
      <c r="AYU6" s="56"/>
      <c r="AYW6" s="56"/>
      <c r="AYY6" s="56"/>
      <c r="AZA6" s="56"/>
      <c r="AZC6" s="56"/>
      <c r="AZE6" s="56"/>
      <c r="AZG6" s="56"/>
      <c r="AZI6" s="56"/>
      <c r="AZK6" s="56"/>
      <c r="AZM6" s="56"/>
      <c r="AZO6" s="56"/>
      <c r="AZQ6" s="56"/>
      <c r="AZS6" s="56"/>
      <c r="AZU6" s="56"/>
      <c r="AZW6" s="56"/>
      <c r="AZY6" s="56"/>
      <c r="BAA6" s="56"/>
      <c r="BAC6" s="56"/>
      <c r="BAE6" s="56"/>
      <c r="BAG6" s="56"/>
      <c r="BAI6" s="56"/>
      <c r="BAK6" s="56"/>
      <c r="BAM6" s="56"/>
      <c r="BAO6" s="56"/>
      <c r="BAQ6" s="56"/>
      <c r="BAS6" s="56"/>
      <c r="BAU6" s="56"/>
      <c r="BAW6" s="56"/>
      <c r="BAY6" s="56"/>
      <c r="BBA6" s="56"/>
      <c r="BBC6" s="56"/>
      <c r="BBE6" s="56"/>
      <c r="BBG6" s="56"/>
      <c r="BBI6" s="56"/>
      <c r="BBK6" s="56"/>
      <c r="BBM6" s="56"/>
      <c r="BBO6" s="56"/>
      <c r="BBQ6" s="56"/>
      <c r="BBS6" s="56"/>
      <c r="BBU6" s="56"/>
      <c r="BBW6" s="56"/>
      <c r="BBY6" s="56"/>
      <c r="BCA6" s="56"/>
      <c r="BCC6" s="56"/>
      <c r="BCE6" s="56"/>
      <c r="BCG6" s="56"/>
      <c r="BCI6" s="56"/>
      <c r="BCK6" s="56"/>
      <c r="BCM6" s="56"/>
      <c r="BCO6" s="56"/>
      <c r="BCQ6" s="56"/>
      <c r="BCS6" s="56"/>
      <c r="BCU6" s="56"/>
      <c r="BCW6" s="56"/>
      <c r="BCY6" s="56"/>
      <c r="BDA6" s="56"/>
      <c r="BDC6" s="56"/>
      <c r="BDE6" s="56"/>
      <c r="BDG6" s="56"/>
      <c r="BDI6" s="56"/>
      <c r="BDK6" s="56"/>
      <c r="BDM6" s="56"/>
      <c r="BDO6" s="56"/>
      <c r="BDQ6" s="56"/>
      <c r="BDS6" s="56"/>
      <c r="BDU6" s="56"/>
      <c r="BDW6" s="56"/>
      <c r="BDY6" s="56"/>
      <c r="BEA6" s="56"/>
      <c r="BEC6" s="56"/>
      <c r="BEE6" s="56"/>
      <c r="BEG6" s="56"/>
      <c r="BEI6" s="56"/>
      <c r="BEK6" s="56"/>
      <c r="BEM6" s="56"/>
      <c r="BEO6" s="56"/>
      <c r="BEQ6" s="56"/>
      <c r="BES6" s="56"/>
      <c r="BEU6" s="56"/>
      <c r="BEW6" s="56"/>
      <c r="BEY6" s="56"/>
      <c r="BFA6" s="56"/>
      <c r="BFC6" s="56"/>
      <c r="BFE6" s="56"/>
      <c r="BFG6" s="56"/>
      <c r="BFI6" s="56"/>
      <c r="BFK6" s="56"/>
      <c r="BFM6" s="56"/>
      <c r="BFO6" s="56"/>
      <c r="BFQ6" s="56"/>
      <c r="BFS6" s="56"/>
      <c r="BFU6" s="56"/>
      <c r="BFW6" s="56"/>
      <c r="BFY6" s="56"/>
      <c r="BGA6" s="56"/>
      <c r="BGC6" s="56"/>
      <c r="BGE6" s="56"/>
      <c r="BGG6" s="56"/>
      <c r="BGI6" s="56"/>
      <c r="BGK6" s="56"/>
      <c r="BGM6" s="56"/>
      <c r="BGO6" s="56"/>
      <c r="BGQ6" s="56"/>
      <c r="BGS6" s="56"/>
      <c r="BGU6" s="56"/>
      <c r="BGW6" s="56"/>
      <c r="BGY6" s="56"/>
      <c r="BHA6" s="56"/>
      <c r="BHC6" s="56"/>
      <c r="BHE6" s="56"/>
      <c r="BHG6" s="56"/>
      <c r="BHI6" s="56"/>
      <c r="BHK6" s="56"/>
      <c r="BHM6" s="56"/>
      <c r="BHO6" s="56"/>
      <c r="BHQ6" s="56"/>
      <c r="BHS6" s="56"/>
      <c r="BHU6" s="56"/>
      <c r="BHW6" s="56"/>
      <c r="BHY6" s="56"/>
      <c r="BIA6" s="56"/>
      <c r="BIC6" s="56"/>
      <c r="BIE6" s="56"/>
      <c r="BIG6" s="56"/>
      <c r="BII6" s="56"/>
      <c r="BIK6" s="56"/>
      <c r="BIM6" s="56"/>
      <c r="BIO6" s="56"/>
      <c r="BIQ6" s="56"/>
      <c r="BIS6" s="56"/>
      <c r="BIU6" s="56"/>
      <c r="BIW6" s="56"/>
      <c r="BIY6" s="56"/>
      <c r="BJA6" s="56"/>
      <c r="BJC6" s="56"/>
      <c r="BJE6" s="56"/>
      <c r="BJG6" s="56"/>
      <c r="BJI6" s="56"/>
      <c r="BJK6" s="56"/>
      <c r="BJM6" s="56"/>
      <c r="BJO6" s="56"/>
      <c r="BJQ6" s="56"/>
      <c r="BJS6" s="56"/>
      <c r="BJU6" s="56"/>
      <c r="BJW6" s="56"/>
      <c r="BJY6" s="56"/>
      <c r="BKA6" s="56"/>
      <c r="BKC6" s="56"/>
      <c r="BKE6" s="56"/>
      <c r="BKG6" s="56"/>
      <c r="BKI6" s="56"/>
      <c r="BKK6" s="56"/>
      <c r="BKM6" s="56"/>
      <c r="BKO6" s="56"/>
      <c r="BKQ6" s="56"/>
      <c r="BKS6" s="56"/>
      <c r="BKU6" s="56"/>
      <c r="BKW6" s="56"/>
      <c r="BKY6" s="56"/>
      <c r="BLA6" s="56"/>
      <c r="BLC6" s="56"/>
      <c r="BLE6" s="56"/>
      <c r="BLG6" s="56"/>
      <c r="BLI6" s="56"/>
      <c r="BLK6" s="56"/>
      <c r="BLM6" s="56"/>
      <c r="BLO6" s="56"/>
      <c r="BLQ6" s="56"/>
      <c r="BLS6" s="56"/>
      <c r="BLU6" s="56"/>
      <c r="BLW6" s="56"/>
      <c r="BLY6" s="56"/>
      <c r="BMA6" s="56"/>
      <c r="BMC6" s="56"/>
      <c r="BME6" s="56"/>
      <c r="BMG6" s="56"/>
      <c r="BMI6" s="56"/>
      <c r="BMK6" s="56"/>
      <c r="BMM6" s="56"/>
      <c r="BMO6" s="56"/>
      <c r="BMQ6" s="56"/>
      <c r="BMS6" s="56"/>
      <c r="BMU6" s="56"/>
      <c r="BMW6" s="56"/>
      <c r="BMY6" s="56"/>
      <c r="BNA6" s="56"/>
      <c r="BNC6" s="56"/>
      <c r="BNE6" s="56"/>
      <c r="BNG6" s="56"/>
      <c r="BNI6" s="56"/>
      <c r="BNK6" s="56"/>
      <c r="BNM6" s="56"/>
      <c r="BNO6" s="56"/>
      <c r="BNQ6" s="56"/>
      <c r="BNS6" s="56"/>
      <c r="BNU6" s="56"/>
      <c r="BNW6" s="56"/>
      <c r="BNY6" s="56"/>
      <c r="BOA6" s="56"/>
      <c r="BOC6" s="56"/>
      <c r="BOE6" s="56"/>
      <c r="BOG6" s="56"/>
      <c r="BOI6" s="56"/>
      <c r="BOK6" s="56"/>
      <c r="BOM6" s="56"/>
      <c r="BOO6" s="56"/>
      <c r="BOQ6" s="56"/>
      <c r="BOS6" s="56"/>
      <c r="BOU6" s="56"/>
      <c r="BOW6" s="56"/>
      <c r="BOY6" s="56"/>
      <c r="BPA6" s="56"/>
      <c r="BPC6" s="56"/>
      <c r="BPE6" s="56"/>
      <c r="BPG6" s="56"/>
      <c r="BPI6" s="56"/>
      <c r="BPK6" s="56"/>
      <c r="BPM6" s="56"/>
      <c r="BPO6" s="56"/>
      <c r="BPQ6" s="56"/>
      <c r="BPS6" s="56"/>
      <c r="BPU6" s="56"/>
      <c r="BPW6" s="56"/>
      <c r="BPY6" s="56"/>
      <c r="BQA6" s="56"/>
      <c r="BQC6" s="56"/>
      <c r="BQE6" s="56"/>
      <c r="BQG6" s="56"/>
      <c r="BQI6" s="56"/>
      <c r="BQK6" s="56"/>
      <c r="BQM6" s="56"/>
      <c r="BQO6" s="56"/>
      <c r="BQQ6" s="56"/>
      <c r="BQS6" s="56"/>
      <c r="BQU6" s="56"/>
      <c r="BQW6" s="56"/>
      <c r="BQY6" s="56"/>
      <c r="BRA6" s="56"/>
      <c r="BRC6" s="56"/>
      <c r="BRE6" s="56"/>
      <c r="BRG6" s="56"/>
      <c r="BRI6" s="56"/>
      <c r="BRK6" s="56"/>
      <c r="BRM6" s="56"/>
      <c r="BRO6" s="56"/>
      <c r="BRQ6" s="56"/>
      <c r="BRS6" s="56"/>
      <c r="BRU6" s="56"/>
      <c r="BRW6" s="56"/>
      <c r="BRY6" s="56"/>
      <c r="BSA6" s="56"/>
      <c r="BSC6" s="56"/>
      <c r="BSE6" s="56"/>
      <c r="BSG6" s="56"/>
      <c r="BSI6" s="56"/>
      <c r="BSK6" s="56"/>
      <c r="BSM6" s="56"/>
      <c r="BSO6" s="56"/>
      <c r="BSQ6" s="56"/>
      <c r="BSS6" s="56"/>
      <c r="BSU6" s="56"/>
      <c r="BSW6" s="56"/>
      <c r="BSY6" s="56"/>
      <c r="BTA6" s="56"/>
      <c r="BTC6" s="56"/>
      <c r="BTE6" s="56"/>
      <c r="BTG6" s="56"/>
      <c r="BTI6" s="56"/>
      <c r="BTK6" s="56"/>
      <c r="BTM6" s="56"/>
      <c r="BTO6" s="56"/>
      <c r="BTQ6" s="56"/>
      <c r="BTS6" s="56"/>
      <c r="BTU6" s="56"/>
      <c r="BTW6" s="56"/>
      <c r="BTY6" s="56"/>
      <c r="BUA6" s="56"/>
      <c r="BUC6" s="56"/>
      <c r="BUE6" s="56"/>
      <c r="BUG6" s="56"/>
      <c r="BUI6" s="56"/>
      <c r="BUK6" s="56"/>
      <c r="BUM6" s="56"/>
      <c r="BUO6" s="56"/>
      <c r="BUQ6" s="56"/>
      <c r="BUS6" s="56"/>
      <c r="BUU6" s="56"/>
      <c r="BUW6" s="56"/>
      <c r="BUY6" s="56"/>
      <c r="BVA6" s="56"/>
      <c r="BVC6" s="56"/>
      <c r="BVE6" s="56"/>
      <c r="BVG6" s="56"/>
      <c r="BVI6" s="56"/>
      <c r="BVK6" s="56"/>
      <c r="BVM6" s="56"/>
      <c r="BVO6" s="56"/>
      <c r="BVQ6" s="56"/>
      <c r="BVS6" s="56"/>
      <c r="BVU6" s="56"/>
      <c r="BVW6" s="56"/>
      <c r="BVY6" s="56"/>
      <c r="BWA6" s="56"/>
      <c r="BWC6" s="56"/>
      <c r="BWE6" s="56"/>
      <c r="BWG6" s="56"/>
      <c r="BWI6" s="56"/>
      <c r="BWK6" s="56"/>
      <c r="BWM6" s="56"/>
      <c r="BWO6" s="56"/>
      <c r="BWQ6" s="56"/>
      <c r="BWS6" s="56"/>
      <c r="BWU6" s="56"/>
      <c r="BWW6" s="56"/>
      <c r="BWY6" s="56"/>
      <c r="BXA6" s="56"/>
      <c r="BXC6" s="56"/>
      <c r="BXE6" s="56"/>
      <c r="BXG6" s="56"/>
      <c r="BXI6" s="56"/>
      <c r="BXK6" s="56"/>
      <c r="BXM6" s="56"/>
      <c r="BXO6" s="56"/>
      <c r="BXQ6" s="56"/>
      <c r="BXS6" s="56"/>
      <c r="BXU6" s="56"/>
      <c r="BXW6" s="56"/>
      <c r="BXY6" s="56"/>
      <c r="BYA6" s="56"/>
      <c r="BYC6" s="56"/>
      <c r="BYE6" s="56"/>
      <c r="BYG6" s="56"/>
      <c r="BYI6" s="56"/>
      <c r="BYK6" s="56"/>
      <c r="BYM6" s="56"/>
      <c r="BYO6" s="56"/>
      <c r="BYQ6" s="56"/>
      <c r="BYS6" s="56"/>
      <c r="BYU6" s="56"/>
      <c r="BYW6" s="56"/>
      <c r="BYY6" s="56"/>
      <c r="BZA6" s="56"/>
      <c r="BZC6" s="56"/>
      <c r="BZE6" s="56"/>
      <c r="BZG6" s="56"/>
      <c r="BZI6" s="56"/>
      <c r="BZK6" s="56"/>
      <c r="BZM6" s="56"/>
      <c r="BZO6" s="56"/>
      <c r="BZQ6" s="56"/>
      <c r="BZS6" s="56"/>
      <c r="BZU6" s="56"/>
      <c r="BZW6" s="56"/>
      <c r="BZY6" s="56"/>
      <c r="CAA6" s="56"/>
      <c r="CAC6" s="56"/>
      <c r="CAE6" s="56"/>
      <c r="CAG6" s="56"/>
      <c r="CAI6" s="56"/>
      <c r="CAK6" s="56"/>
      <c r="CAM6" s="56"/>
      <c r="CAO6" s="56"/>
      <c r="CAQ6" s="56"/>
      <c r="CAS6" s="56"/>
      <c r="CAU6" s="56"/>
      <c r="CAW6" s="56"/>
      <c r="CAY6" s="56"/>
      <c r="CBA6" s="56"/>
      <c r="CBC6" s="56"/>
      <c r="CBE6" s="56"/>
      <c r="CBG6" s="56"/>
      <c r="CBI6" s="56"/>
      <c r="CBK6" s="56"/>
      <c r="CBM6" s="56"/>
      <c r="CBO6" s="56"/>
      <c r="CBQ6" s="56"/>
      <c r="CBS6" s="56"/>
      <c r="CBU6" s="56"/>
      <c r="CBW6" s="56"/>
      <c r="CBY6" s="56"/>
      <c r="CCA6" s="56"/>
      <c r="CCC6" s="56"/>
      <c r="CCE6" s="56"/>
      <c r="CCG6" s="56"/>
      <c r="CCI6" s="56"/>
      <c r="CCK6" s="56"/>
      <c r="CCM6" s="56"/>
      <c r="CCO6" s="56"/>
      <c r="CCQ6" s="56"/>
      <c r="CCS6" s="56"/>
      <c r="CCU6" s="56"/>
      <c r="CCW6" s="56"/>
      <c r="CCY6" s="56"/>
      <c r="CDA6" s="56"/>
      <c r="CDC6" s="56"/>
      <c r="CDE6" s="56"/>
      <c r="CDG6" s="56"/>
      <c r="CDI6" s="56"/>
      <c r="CDK6" s="56"/>
      <c r="CDM6" s="56"/>
      <c r="CDO6" s="56"/>
      <c r="CDQ6" s="56"/>
      <c r="CDS6" s="56"/>
      <c r="CDU6" s="56"/>
      <c r="CDW6" s="56"/>
      <c r="CDY6" s="56"/>
      <c r="CEA6" s="56"/>
      <c r="CEC6" s="56"/>
      <c r="CEE6" s="56"/>
      <c r="CEG6" s="56"/>
      <c r="CEI6" s="56"/>
      <c r="CEK6" s="56"/>
      <c r="CEM6" s="56"/>
      <c r="CEO6" s="56"/>
      <c r="CEQ6" s="56"/>
      <c r="CES6" s="56"/>
      <c r="CEU6" s="56"/>
      <c r="CEW6" s="56"/>
      <c r="CEY6" s="56"/>
      <c r="CFA6" s="56"/>
      <c r="CFC6" s="56"/>
      <c r="CFE6" s="56"/>
      <c r="CFG6" s="56"/>
      <c r="CFI6" s="56"/>
      <c r="CFK6" s="56"/>
      <c r="CFM6" s="56"/>
      <c r="CFO6" s="56"/>
      <c r="CFQ6" s="56"/>
      <c r="CFS6" s="56"/>
      <c r="CFU6" s="56"/>
      <c r="CFW6" s="56"/>
      <c r="CFY6" s="56"/>
      <c r="CGA6" s="56"/>
      <c r="CGC6" s="56"/>
      <c r="CGE6" s="56"/>
      <c r="CGG6" s="56"/>
      <c r="CGI6" s="56"/>
      <c r="CGK6" s="56"/>
      <c r="CGM6" s="56"/>
      <c r="CGO6" s="56"/>
      <c r="CGQ6" s="56"/>
      <c r="CGS6" s="56"/>
      <c r="CGU6" s="56"/>
      <c r="CGW6" s="56"/>
      <c r="CGY6" s="56"/>
      <c r="CHA6" s="56"/>
      <c r="CHC6" s="56"/>
      <c r="CHE6" s="56"/>
      <c r="CHG6" s="56"/>
      <c r="CHI6" s="56"/>
      <c r="CHK6" s="56"/>
      <c r="CHM6" s="56"/>
      <c r="CHO6" s="56"/>
      <c r="CHQ6" s="56"/>
      <c r="CHS6" s="56"/>
      <c r="CHU6" s="56"/>
      <c r="CHW6" s="56"/>
      <c r="CHY6" s="56"/>
      <c r="CIA6" s="56"/>
      <c r="CIC6" s="56"/>
      <c r="CIE6" s="56"/>
      <c r="CIG6" s="56"/>
      <c r="CII6" s="56"/>
      <c r="CIK6" s="56"/>
      <c r="CIM6" s="56"/>
      <c r="CIO6" s="56"/>
      <c r="CIQ6" s="56"/>
      <c r="CIS6" s="56"/>
      <c r="CIU6" s="56"/>
      <c r="CIW6" s="56"/>
      <c r="CIY6" s="56"/>
      <c r="CJA6" s="56"/>
      <c r="CJC6" s="56"/>
      <c r="CJE6" s="56"/>
      <c r="CJG6" s="56"/>
      <c r="CJI6" s="56"/>
      <c r="CJK6" s="56"/>
      <c r="CJM6" s="56"/>
      <c r="CJO6" s="56"/>
      <c r="CJQ6" s="56"/>
      <c r="CJS6" s="56"/>
      <c r="CJU6" s="56"/>
      <c r="CJW6" s="56"/>
      <c r="CJY6" s="56"/>
      <c r="CKA6" s="56"/>
      <c r="CKC6" s="56"/>
      <c r="CKE6" s="56"/>
      <c r="CKG6" s="56"/>
      <c r="CKI6" s="56"/>
      <c r="CKK6" s="56"/>
      <c r="CKM6" s="56"/>
      <c r="CKO6" s="56"/>
      <c r="CKQ6" s="56"/>
      <c r="CKS6" s="56"/>
      <c r="CKU6" s="56"/>
      <c r="CKW6" s="56"/>
      <c r="CKY6" s="56"/>
      <c r="CLA6" s="56"/>
      <c r="CLC6" s="56"/>
      <c r="CLE6" s="56"/>
      <c r="CLG6" s="56"/>
      <c r="CLI6" s="56"/>
      <c r="CLK6" s="56"/>
      <c r="CLM6" s="56"/>
      <c r="CLO6" s="56"/>
      <c r="CLQ6" s="56"/>
      <c r="CLS6" s="56"/>
      <c r="CLU6" s="56"/>
      <c r="CLW6" s="56"/>
      <c r="CLY6" s="56"/>
      <c r="CMA6" s="56"/>
      <c r="CMC6" s="56"/>
      <c r="CME6" s="56"/>
      <c r="CMG6" s="56"/>
      <c r="CMI6" s="56"/>
      <c r="CMK6" s="56"/>
      <c r="CMM6" s="56"/>
      <c r="CMO6" s="56"/>
      <c r="CMQ6" s="56"/>
      <c r="CMS6" s="56"/>
      <c r="CMU6" s="56"/>
      <c r="CMW6" s="56"/>
      <c r="CMY6" s="56"/>
      <c r="CNA6" s="56"/>
      <c r="CNC6" s="56"/>
      <c r="CNE6" s="56"/>
      <c r="CNG6" s="56"/>
      <c r="CNI6" s="56"/>
      <c r="CNK6" s="56"/>
      <c r="CNM6" s="56"/>
      <c r="CNO6" s="56"/>
      <c r="CNQ6" s="56"/>
      <c r="CNS6" s="56"/>
      <c r="CNU6" s="56"/>
      <c r="CNW6" s="56"/>
      <c r="CNY6" s="56"/>
      <c r="COA6" s="56"/>
      <c r="COC6" s="56"/>
      <c r="COE6" s="56"/>
      <c r="COG6" s="56"/>
      <c r="COI6" s="56"/>
      <c r="COK6" s="56"/>
      <c r="COM6" s="56"/>
      <c r="COO6" s="56"/>
      <c r="COQ6" s="56"/>
      <c r="COS6" s="56"/>
      <c r="COU6" s="56"/>
      <c r="COW6" s="56"/>
      <c r="COY6" s="56"/>
      <c r="CPA6" s="56"/>
      <c r="CPC6" s="56"/>
      <c r="CPE6" s="56"/>
      <c r="CPG6" s="56"/>
      <c r="CPI6" s="56"/>
      <c r="CPK6" s="56"/>
      <c r="CPM6" s="56"/>
      <c r="CPO6" s="56"/>
      <c r="CPQ6" s="56"/>
      <c r="CPS6" s="56"/>
      <c r="CPU6" s="56"/>
      <c r="CPW6" s="56"/>
      <c r="CPY6" s="56"/>
      <c r="CQA6" s="56"/>
      <c r="CQC6" s="56"/>
      <c r="CQE6" s="56"/>
      <c r="CQG6" s="56"/>
      <c r="CQI6" s="56"/>
      <c r="CQK6" s="56"/>
      <c r="CQM6" s="56"/>
      <c r="CQO6" s="56"/>
      <c r="CQQ6" s="56"/>
      <c r="CQS6" s="56"/>
      <c r="CQU6" s="56"/>
      <c r="CQW6" s="56"/>
      <c r="CQY6" s="56"/>
      <c r="CRA6" s="56"/>
      <c r="CRC6" s="56"/>
      <c r="CRE6" s="56"/>
      <c r="CRG6" s="56"/>
      <c r="CRI6" s="56"/>
      <c r="CRK6" s="56"/>
      <c r="CRM6" s="56"/>
      <c r="CRO6" s="56"/>
      <c r="CRQ6" s="56"/>
      <c r="CRS6" s="56"/>
      <c r="CRU6" s="56"/>
      <c r="CRW6" s="56"/>
      <c r="CRY6" s="56"/>
      <c r="CSA6" s="56"/>
      <c r="CSC6" s="56"/>
      <c r="CSE6" s="56"/>
      <c r="CSG6" s="56"/>
      <c r="CSI6" s="56"/>
      <c r="CSK6" s="56"/>
      <c r="CSM6" s="56"/>
      <c r="CSO6" s="56"/>
      <c r="CSQ6" s="56"/>
      <c r="CSS6" s="56"/>
      <c r="CSU6" s="56"/>
      <c r="CSW6" s="56"/>
      <c r="CSY6" s="56"/>
      <c r="CTA6" s="56"/>
      <c r="CTC6" s="56"/>
      <c r="CTE6" s="56"/>
      <c r="CTG6" s="56"/>
      <c r="CTI6" s="56"/>
      <c r="CTK6" s="56"/>
      <c r="CTM6" s="56"/>
      <c r="CTO6" s="56"/>
      <c r="CTQ6" s="56"/>
      <c r="CTS6" s="56"/>
      <c r="CTU6" s="56"/>
      <c r="CTW6" s="56"/>
      <c r="CTY6" s="56"/>
      <c r="CUA6" s="56"/>
      <c r="CUC6" s="56"/>
      <c r="CUE6" s="56"/>
      <c r="CUG6" s="56"/>
      <c r="CUI6" s="56"/>
      <c r="CUK6" s="56"/>
      <c r="CUM6" s="56"/>
      <c r="CUO6" s="56"/>
      <c r="CUQ6" s="56"/>
      <c r="CUS6" s="56"/>
      <c r="CUU6" s="56"/>
      <c r="CUW6" s="56"/>
      <c r="CUY6" s="56"/>
      <c r="CVA6" s="56"/>
      <c r="CVC6" s="56"/>
      <c r="CVE6" s="56"/>
      <c r="CVG6" s="56"/>
      <c r="CVI6" s="56"/>
      <c r="CVK6" s="56"/>
      <c r="CVM6" s="56"/>
      <c r="CVO6" s="56"/>
      <c r="CVQ6" s="56"/>
      <c r="CVS6" s="56"/>
      <c r="CVU6" s="56"/>
      <c r="CVW6" s="56"/>
      <c r="CVY6" s="56"/>
      <c r="CWA6" s="56"/>
      <c r="CWC6" s="56"/>
      <c r="CWE6" s="56"/>
      <c r="CWG6" s="56"/>
      <c r="CWI6" s="56"/>
      <c r="CWK6" s="56"/>
      <c r="CWM6" s="56"/>
      <c r="CWO6" s="56"/>
      <c r="CWQ6" s="56"/>
      <c r="CWS6" s="56"/>
      <c r="CWU6" s="56"/>
      <c r="CWW6" s="56"/>
      <c r="CWY6" s="56"/>
      <c r="CXA6" s="56"/>
      <c r="CXC6" s="56"/>
      <c r="CXE6" s="56"/>
      <c r="CXG6" s="56"/>
      <c r="CXI6" s="56"/>
      <c r="CXK6" s="56"/>
      <c r="CXM6" s="56"/>
      <c r="CXO6" s="56"/>
      <c r="CXQ6" s="56"/>
      <c r="CXS6" s="56"/>
      <c r="CXU6" s="56"/>
      <c r="CXW6" s="56"/>
      <c r="CXY6" s="56"/>
      <c r="CYA6" s="56"/>
      <c r="CYC6" s="56"/>
      <c r="CYE6" s="56"/>
      <c r="CYG6" s="56"/>
      <c r="CYI6" s="56"/>
      <c r="CYK6" s="56"/>
      <c r="CYM6" s="56"/>
      <c r="CYO6" s="56"/>
      <c r="CYQ6" s="56"/>
      <c r="CYS6" s="56"/>
      <c r="CYU6" s="56"/>
      <c r="CYW6" s="56"/>
      <c r="CYY6" s="56"/>
      <c r="CZA6" s="56"/>
      <c r="CZC6" s="56"/>
      <c r="CZE6" s="56"/>
      <c r="CZG6" s="56"/>
      <c r="CZI6" s="56"/>
      <c r="CZK6" s="56"/>
      <c r="CZM6" s="56"/>
      <c r="CZO6" s="56"/>
      <c r="CZQ6" s="56"/>
      <c r="CZS6" s="56"/>
      <c r="CZU6" s="56"/>
      <c r="CZW6" s="56"/>
      <c r="CZY6" s="56"/>
      <c r="DAA6" s="56"/>
      <c r="DAC6" s="56"/>
      <c r="DAE6" s="56"/>
      <c r="DAG6" s="56"/>
      <c r="DAI6" s="56"/>
      <c r="DAK6" s="56"/>
      <c r="DAM6" s="56"/>
      <c r="DAO6" s="56"/>
      <c r="DAQ6" s="56"/>
      <c r="DAS6" s="56"/>
      <c r="DAU6" s="56"/>
      <c r="DAW6" s="56"/>
      <c r="DAY6" s="56"/>
      <c r="DBA6" s="56"/>
      <c r="DBC6" s="56"/>
      <c r="DBE6" s="56"/>
      <c r="DBG6" s="56"/>
      <c r="DBI6" s="56"/>
      <c r="DBK6" s="56"/>
      <c r="DBM6" s="56"/>
      <c r="DBO6" s="56"/>
      <c r="DBQ6" s="56"/>
      <c r="DBS6" s="56"/>
      <c r="DBU6" s="56"/>
      <c r="DBW6" s="56"/>
      <c r="DBY6" s="56"/>
      <c r="DCA6" s="56"/>
      <c r="DCC6" s="56"/>
      <c r="DCE6" s="56"/>
      <c r="DCG6" s="56"/>
      <c r="DCI6" s="56"/>
      <c r="DCK6" s="56"/>
      <c r="DCM6" s="56"/>
      <c r="DCO6" s="56"/>
      <c r="DCQ6" s="56"/>
      <c r="DCS6" s="56"/>
      <c r="DCU6" s="56"/>
      <c r="DCW6" s="56"/>
      <c r="DCY6" s="56"/>
      <c r="DDA6" s="56"/>
      <c r="DDC6" s="56"/>
      <c r="DDE6" s="56"/>
      <c r="DDG6" s="56"/>
      <c r="DDI6" s="56"/>
      <c r="DDK6" s="56"/>
      <c r="DDM6" s="56"/>
      <c r="DDO6" s="56"/>
      <c r="DDQ6" s="56"/>
      <c r="DDS6" s="56"/>
      <c r="DDU6" s="56"/>
      <c r="DDW6" s="56"/>
      <c r="DDY6" s="56"/>
      <c r="DEA6" s="56"/>
      <c r="DEC6" s="56"/>
      <c r="DEE6" s="56"/>
      <c r="DEG6" s="56"/>
      <c r="DEI6" s="56"/>
      <c r="DEK6" s="56"/>
      <c r="DEM6" s="56"/>
      <c r="DEO6" s="56"/>
      <c r="DEQ6" s="56"/>
      <c r="DES6" s="56"/>
      <c r="DEU6" s="56"/>
      <c r="DEW6" s="56"/>
      <c r="DEY6" s="56"/>
      <c r="DFA6" s="56"/>
      <c r="DFC6" s="56"/>
      <c r="DFE6" s="56"/>
      <c r="DFG6" s="56"/>
      <c r="DFI6" s="56"/>
      <c r="DFK6" s="56"/>
      <c r="DFM6" s="56"/>
      <c r="DFO6" s="56"/>
      <c r="DFQ6" s="56"/>
      <c r="DFS6" s="56"/>
      <c r="DFU6" s="56"/>
      <c r="DFW6" s="56"/>
      <c r="DFY6" s="56"/>
      <c r="DGA6" s="56"/>
      <c r="DGC6" s="56"/>
      <c r="DGE6" s="56"/>
      <c r="DGG6" s="56"/>
      <c r="DGI6" s="56"/>
      <c r="DGK6" s="56"/>
      <c r="DGM6" s="56"/>
      <c r="DGO6" s="56"/>
      <c r="DGQ6" s="56"/>
      <c r="DGS6" s="56"/>
      <c r="DGU6" s="56"/>
      <c r="DGW6" s="56"/>
      <c r="DGY6" s="56"/>
      <c r="DHA6" s="56"/>
      <c r="DHC6" s="56"/>
      <c r="DHE6" s="56"/>
      <c r="DHG6" s="56"/>
      <c r="DHI6" s="56"/>
      <c r="DHK6" s="56"/>
      <c r="DHM6" s="56"/>
      <c r="DHO6" s="56"/>
      <c r="DHQ6" s="56"/>
      <c r="DHS6" s="56"/>
      <c r="DHU6" s="56"/>
      <c r="DHW6" s="56"/>
      <c r="DHY6" s="56"/>
      <c r="DIA6" s="56"/>
      <c r="DIC6" s="56"/>
      <c r="DIE6" s="56"/>
      <c r="DIG6" s="56"/>
      <c r="DII6" s="56"/>
      <c r="DIK6" s="56"/>
      <c r="DIM6" s="56"/>
      <c r="DIO6" s="56"/>
      <c r="DIQ6" s="56"/>
      <c r="DIS6" s="56"/>
      <c r="DIU6" s="56"/>
      <c r="DIW6" s="56"/>
      <c r="DIY6" s="56"/>
      <c r="DJA6" s="56"/>
      <c r="DJC6" s="56"/>
      <c r="DJE6" s="56"/>
      <c r="DJG6" s="56"/>
      <c r="DJI6" s="56"/>
      <c r="DJK6" s="56"/>
      <c r="DJM6" s="56"/>
      <c r="DJO6" s="56"/>
      <c r="DJQ6" s="56"/>
      <c r="DJS6" s="56"/>
      <c r="DJU6" s="56"/>
      <c r="DJW6" s="56"/>
      <c r="DJY6" s="56"/>
      <c r="DKA6" s="56"/>
      <c r="DKC6" s="56"/>
      <c r="DKE6" s="56"/>
      <c r="DKG6" s="56"/>
      <c r="DKI6" s="56"/>
      <c r="DKK6" s="56"/>
      <c r="DKM6" s="56"/>
      <c r="DKO6" s="56"/>
      <c r="DKQ6" s="56"/>
      <c r="DKS6" s="56"/>
      <c r="DKU6" s="56"/>
      <c r="DKW6" s="56"/>
      <c r="DKY6" s="56"/>
      <c r="DLA6" s="56"/>
      <c r="DLC6" s="56"/>
      <c r="DLE6" s="56"/>
      <c r="DLG6" s="56"/>
      <c r="DLI6" s="56"/>
      <c r="DLK6" s="56"/>
      <c r="DLM6" s="56"/>
      <c r="DLO6" s="56"/>
      <c r="DLQ6" s="56"/>
      <c r="DLS6" s="56"/>
      <c r="DLU6" s="56"/>
      <c r="DLW6" s="56"/>
      <c r="DLY6" s="56"/>
      <c r="DMA6" s="56"/>
      <c r="DMC6" s="56"/>
      <c r="DME6" s="56"/>
      <c r="DMG6" s="56"/>
      <c r="DMI6" s="56"/>
      <c r="DMK6" s="56"/>
      <c r="DMM6" s="56"/>
      <c r="DMO6" s="56"/>
      <c r="DMQ6" s="56"/>
      <c r="DMS6" s="56"/>
      <c r="DMU6" s="56"/>
      <c r="DMW6" s="56"/>
      <c r="DMY6" s="56"/>
      <c r="DNA6" s="56"/>
      <c r="DNC6" s="56"/>
      <c r="DNE6" s="56"/>
      <c r="DNG6" s="56"/>
      <c r="DNI6" s="56"/>
      <c r="DNK6" s="56"/>
      <c r="DNM6" s="56"/>
      <c r="DNO6" s="56"/>
      <c r="DNQ6" s="56"/>
      <c r="DNS6" s="56"/>
      <c r="DNU6" s="56"/>
      <c r="DNW6" s="56"/>
      <c r="DNY6" s="56"/>
      <c r="DOA6" s="56"/>
      <c r="DOC6" s="56"/>
      <c r="DOE6" s="56"/>
      <c r="DOG6" s="56"/>
      <c r="DOI6" s="56"/>
      <c r="DOK6" s="56"/>
      <c r="DOM6" s="56"/>
      <c r="DOO6" s="56"/>
      <c r="DOQ6" s="56"/>
      <c r="DOS6" s="56"/>
      <c r="DOU6" s="56"/>
      <c r="DOW6" s="56"/>
      <c r="DOY6" s="56"/>
      <c r="DPA6" s="56"/>
      <c r="DPC6" s="56"/>
      <c r="DPE6" s="56"/>
      <c r="DPG6" s="56"/>
      <c r="DPI6" s="56"/>
      <c r="DPK6" s="56"/>
      <c r="DPM6" s="56"/>
      <c r="DPO6" s="56"/>
      <c r="DPQ6" s="56"/>
      <c r="DPS6" s="56"/>
      <c r="DPU6" s="56"/>
      <c r="DPW6" s="56"/>
      <c r="DPY6" s="56"/>
      <c r="DQA6" s="56"/>
      <c r="DQC6" s="56"/>
      <c r="DQE6" s="56"/>
      <c r="DQG6" s="56"/>
      <c r="DQI6" s="56"/>
      <c r="DQK6" s="56"/>
      <c r="DQM6" s="56"/>
      <c r="DQO6" s="56"/>
      <c r="DQQ6" s="56"/>
      <c r="DQS6" s="56"/>
      <c r="DQU6" s="56"/>
      <c r="DQW6" s="56"/>
      <c r="DQY6" s="56"/>
      <c r="DRA6" s="56"/>
      <c r="DRC6" s="56"/>
      <c r="DRE6" s="56"/>
      <c r="DRG6" s="56"/>
      <c r="DRI6" s="56"/>
      <c r="DRK6" s="56"/>
      <c r="DRM6" s="56"/>
      <c r="DRO6" s="56"/>
      <c r="DRQ6" s="56"/>
      <c r="DRS6" s="56"/>
      <c r="DRU6" s="56"/>
      <c r="DRW6" s="56"/>
      <c r="DRY6" s="56"/>
      <c r="DSA6" s="56"/>
      <c r="DSC6" s="56"/>
      <c r="DSE6" s="56"/>
      <c r="DSG6" s="56"/>
      <c r="DSI6" s="56"/>
      <c r="DSK6" s="56"/>
      <c r="DSM6" s="56"/>
      <c r="DSO6" s="56"/>
      <c r="DSQ6" s="56"/>
      <c r="DSS6" s="56"/>
      <c r="DSU6" s="56"/>
      <c r="DSW6" s="56"/>
      <c r="DSY6" s="56"/>
      <c r="DTA6" s="56"/>
      <c r="DTC6" s="56"/>
      <c r="DTE6" s="56"/>
      <c r="DTG6" s="56"/>
      <c r="DTI6" s="56"/>
      <c r="DTK6" s="56"/>
      <c r="DTM6" s="56"/>
      <c r="DTO6" s="56"/>
      <c r="DTQ6" s="56"/>
      <c r="DTS6" s="56"/>
      <c r="DTU6" s="56"/>
      <c r="DTW6" s="56"/>
      <c r="DTY6" s="56"/>
      <c r="DUA6" s="56"/>
      <c r="DUC6" s="56"/>
      <c r="DUE6" s="56"/>
      <c r="DUG6" s="56"/>
      <c r="DUI6" s="56"/>
      <c r="DUK6" s="56"/>
      <c r="DUM6" s="56"/>
      <c r="DUO6" s="56"/>
      <c r="DUQ6" s="56"/>
      <c r="DUS6" s="56"/>
      <c r="DUU6" s="56"/>
      <c r="DUW6" s="56"/>
      <c r="DUY6" s="56"/>
      <c r="DVA6" s="56"/>
      <c r="DVC6" s="56"/>
      <c r="DVE6" s="56"/>
      <c r="DVG6" s="56"/>
      <c r="DVI6" s="56"/>
      <c r="DVK6" s="56"/>
      <c r="DVM6" s="56"/>
      <c r="DVO6" s="56"/>
      <c r="DVQ6" s="56"/>
      <c r="DVS6" s="56"/>
      <c r="DVU6" s="56"/>
      <c r="DVW6" s="56"/>
      <c r="DVY6" s="56"/>
      <c r="DWA6" s="56"/>
      <c r="DWC6" s="56"/>
      <c r="DWE6" s="56"/>
      <c r="DWG6" s="56"/>
      <c r="DWI6" s="56"/>
      <c r="DWK6" s="56"/>
      <c r="DWM6" s="56"/>
      <c r="DWO6" s="56"/>
      <c r="DWQ6" s="56"/>
      <c r="DWS6" s="56"/>
      <c r="DWU6" s="56"/>
      <c r="DWW6" s="56"/>
      <c r="DWY6" s="56"/>
      <c r="DXA6" s="56"/>
      <c r="DXC6" s="56"/>
      <c r="DXE6" s="56"/>
      <c r="DXG6" s="56"/>
      <c r="DXI6" s="56"/>
      <c r="DXK6" s="56"/>
      <c r="DXM6" s="56"/>
      <c r="DXO6" s="56"/>
      <c r="DXQ6" s="56"/>
      <c r="DXS6" s="56"/>
      <c r="DXU6" s="56"/>
      <c r="DXW6" s="56"/>
      <c r="DXY6" s="56"/>
      <c r="DYA6" s="56"/>
      <c r="DYC6" s="56"/>
      <c r="DYE6" s="56"/>
      <c r="DYG6" s="56"/>
      <c r="DYI6" s="56"/>
      <c r="DYK6" s="56"/>
      <c r="DYM6" s="56"/>
      <c r="DYO6" s="56"/>
      <c r="DYQ6" s="56"/>
      <c r="DYS6" s="56"/>
      <c r="DYU6" s="56"/>
      <c r="DYW6" s="56"/>
      <c r="DYY6" s="56"/>
      <c r="DZA6" s="56"/>
      <c r="DZC6" s="56"/>
      <c r="DZE6" s="56"/>
      <c r="DZG6" s="56"/>
      <c r="DZI6" s="56"/>
      <c r="DZK6" s="56"/>
      <c r="DZM6" s="56"/>
      <c r="DZO6" s="56"/>
      <c r="DZQ6" s="56"/>
      <c r="DZS6" s="56"/>
      <c r="DZU6" s="56"/>
      <c r="DZW6" s="56"/>
      <c r="DZY6" s="56"/>
      <c r="EAA6" s="56"/>
      <c r="EAC6" s="56"/>
      <c r="EAE6" s="56"/>
      <c r="EAG6" s="56"/>
      <c r="EAI6" s="56"/>
      <c r="EAK6" s="56"/>
      <c r="EAM6" s="56"/>
      <c r="EAO6" s="56"/>
      <c r="EAQ6" s="56"/>
      <c r="EAS6" s="56"/>
      <c r="EAU6" s="56"/>
      <c r="EAW6" s="56"/>
      <c r="EAY6" s="56"/>
      <c r="EBA6" s="56"/>
      <c r="EBC6" s="56"/>
      <c r="EBE6" s="56"/>
      <c r="EBG6" s="56"/>
      <c r="EBI6" s="56"/>
      <c r="EBK6" s="56"/>
      <c r="EBM6" s="56"/>
      <c r="EBO6" s="56"/>
      <c r="EBQ6" s="56"/>
      <c r="EBS6" s="56"/>
      <c r="EBU6" s="56"/>
      <c r="EBW6" s="56"/>
      <c r="EBY6" s="56"/>
      <c r="ECA6" s="56"/>
      <c r="ECC6" s="56"/>
      <c r="ECE6" s="56"/>
      <c r="ECG6" s="56"/>
      <c r="ECI6" s="56"/>
      <c r="ECK6" s="56"/>
      <c r="ECM6" s="56"/>
      <c r="ECO6" s="56"/>
      <c r="ECQ6" s="56"/>
      <c r="ECS6" s="56"/>
      <c r="ECU6" s="56"/>
      <c r="ECW6" s="56"/>
      <c r="ECY6" s="56"/>
      <c r="EDA6" s="56"/>
      <c r="EDC6" s="56"/>
      <c r="EDE6" s="56"/>
      <c r="EDG6" s="56"/>
      <c r="EDI6" s="56"/>
      <c r="EDK6" s="56"/>
      <c r="EDM6" s="56"/>
      <c r="EDO6" s="56"/>
      <c r="EDQ6" s="56"/>
      <c r="EDS6" s="56"/>
      <c r="EDU6" s="56"/>
      <c r="EDW6" s="56"/>
      <c r="EDY6" s="56"/>
      <c r="EEA6" s="56"/>
      <c r="EEC6" s="56"/>
      <c r="EEE6" s="56"/>
      <c r="EEG6" s="56"/>
      <c r="EEI6" s="56"/>
      <c r="EEK6" s="56"/>
      <c r="EEM6" s="56"/>
      <c r="EEO6" s="56"/>
      <c r="EEQ6" s="56"/>
      <c r="EES6" s="56"/>
      <c r="EEU6" s="56"/>
      <c r="EEW6" s="56"/>
      <c r="EEY6" s="56"/>
      <c r="EFA6" s="56"/>
      <c r="EFC6" s="56"/>
      <c r="EFE6" s="56"/>
      <c r="EFG6" s="56"/>
      <c r="EFI6" s="56"/>
      <c r="EFK6" s="56"/>
      <c r="EFM6" s="56"/>
      <c r="EFO6" s="56"/>
      <c r="EFQ6" s="56"/>
      <c r="EFS6" s="56"/>
      <c r="EFU6" s="56"/>
      <c r="EFW6" s="56"/>
      <c r="EFY6" s="56"/>
      <c r="EGA6" s="56"/>
      <c r="EGC6" s="56"/>
      <c r="EGE6" s="56"/>
      <c r="EGG6" s="56"/>
      <c r="EGI6" s="56"/>
      <c r="EGK6" s="56"/>
      <c r="EGM6" s="56"/>
      <c r="EGO6" s="56"/>
      <c r="EGQ6" s="56"/>
      <c r="EGS6" s="56"/>
      <c r="EGU6" s="56"/>
      <c r="EGW6" s="56"/>
      <c r="EGY6" s="56"/>
      <c r="EHA6" s="56"/>
      <c r="EHC6" s="56"/>
      <c r="EHE6" s="56"/>
      <c r="EHG6" s="56"/>
      <c r="EHI6" s="56"/>
      <c r="EHK6" s="56"/>
      <c r="EHM6" s="56"/>
      <c r="EHO6" s="56"/>
      <c r="EHQ6" s="56"/>
      <c r="EHS6" s="56"/>
      <c r="EHU6" s="56"/>
      <c r="EHW6" s="56"/>
      <c r="EHY6" s="56"/>
      <c r="EIA6" s="56"/>
      <c r="EIC6" s="56"/>
      <c r="EIE6" s="56"/>
      <c r="EIG6" s="56"/>
      <c r="EII6" s="56"/>
      <c r="EIK6" s="56"/>
      <c r="EIM6" s="56"/>
      <c r="EIO6" s="56"/>
      <c r="EIQ6" s="56"/>
      <c r="EIS6" s="56"/>
      <c r="EIU6" s="56"/>
      <c r="EIW6" s="56"/>
      <c r="EIY6" s="56"/>
      <c r="EJA6" s="56"/>
      <c r="EJC6" s="56"/>
      <c r="EJE6" s="56"/>
      <c r="EJG6" s="56"/>
      <c r="EJI6" s="56"/>
      <c r="EJK6" s="56"/>
      <c r="EJM6" s="56"/>
      <c r="EJO6" s="56"/>
      <c r="EJQ6" s="56"/>
      <c r="EJS6" s="56"/>
      <c r="EJU6" s="56"/>
      <c r="EJW6" s="56"/>
      <c r="EJY6" s="56"/>
      <c r="EKA6" s="56"/>
      <c r="EKC6" s="56"/>
      <c r="EKE6" s="56"/>
      <c r="EKG6" s="56"/>
      <c r="EKI6" s="56"/>
      <c r="EKK6" s="56"/>
      <c r="EKM6" s="56"/>
      <c r="EKO6" s="56"/>
      <c r="EKQ6" s="56"/>
      <c r="EKS6" s="56"/>
      <c r="EKU6" s="56"/>
      <c r="EKW6" s="56"/>
      <c r="EKY6" s="56"/>
      <c r="ELA6" s="56"/>
      <c r="ELC6" s="56"/>
      <c r="ELE6" s="56"/>
      <c r="ELG6" s="56"/>
      <c r="ELI6" s="56"/>
      <c r="ELK6" s="56"/>
      <c r="ELM6" s="56"/>
      <c r="ELO6" s="56"/>
      <c r="ELQ6" s="56"/>
      <c r="ELS6" s="56"/>
      <c r="ELU6" s="56"/>
      <c r="ELW6" s="56"/>
      <c r="ELY6" s="56"/>
      <c r="EMA6" s="56"/>
      <c r="EMC6" s="56"/>
      <c r="EME6" s="56"/>
      <c r="EMG6" s="56"/>
      <c r="EMI6" s="56"/>
      <c r="EMK6" s="56"/>
      <c r="EMM6" s="56"/>
      <c r="EMO6" s="56"/>
      <c r="EMQ6" s="56"/>
      <c r="EMS6" s="56"/>
      <c r="EMU6" s="56"/>
      <c r="EMW6" s="56"/>
      <c r="EMY6" s="56"/>
      <c r="ENA6" s="56"/>
      <c r="ENC6" s="56"/>
      <c r="ENE6" s="56"/>
      <c r="ENG6" s="56"/>
      <c r="ENI6" s="56"/>
      <c r="ENK6" s="56"/>
      <c r="ENM6" s="56"/>
      <c r="ENO6" s="56"/>
      <c r="ENQ6" s="56"/>
      <c r="ENS6" s="56"/>
      <c r="ENU6" s="56"/>
      <c r="ENW6" s="56"/>
      <c r="ENY6" s="56"/>
      <c r="EOA6" s="56"/>
      <c r="EOC6" s="56"/>
      <c r="EOE6" s="56"/>
      <c r="EOG6" s="56"/>
      <c r="EOI6" s="56"/>
      <c r="EOK6" s="56"/>
      <c r="EOM6" s="56"/>
      <c r="EOO6" s="56"/>
      <c r="EOQ6" s="56"/>
      <c r="EOS6" s="56"/>
      <c r="EOU6" s="56"/>
      <c r="EOW6" s="56"/>
      <c r="EOY6" s="56"/>
      <c r="EPA6" s="56"/>
      <c r="EPC6" s="56"/>
      <c r="EPE6" s="56"/>
      <c r="EPG6" s="56"/>
      <c r="EPI6" s="56"/>
      <c r="EPK6" s="56"/>
      <c r="EPM6" s="56"/>
      <c r="EPO6" s="56"/>
      <c r="EPQ6" s="56"/>
      <c r="EPS6" s="56"/>
      <c r="EPU6" s="56"/>
      <c r="EPW6" s="56"/>
      <c r="EPY6" s="56"/>
      <c r="EQA6" s="56"/>
      <c r="EQC6" s="56"/>
      <c r="EQE6" s="56"/>
      <c r="EQG6" s="56"/>
      <c r="EQI6" s="56"/>
      <c r="EQK6" s="56"/>
      <c r="EQM6" s="56"/>
      <c r="EQO6" s="56"/>
      <c r="EQQ6" s="56"/>
      <c r="EQS6" s="56"/>
      <c r="EQU6" s="56"/>
      <c r="EQW6" s="56"/>
      <c r="EQY6" s="56"/>
      <c r="ERA6" s="56"/>
      <c r="ERC6" s="56"/>
      <c r="ERE6" s="56"/>
      <c r="ERG6" s="56"/>
      <c r="ERI6" s="56"/>
      <c r="ERK6" s="56"/>
      <c r="ERM6" s="56"/>
      <c r="ERO6" s="56"/>
      <c r="ERQ6" s="56"/>
      <c r="ERS6" s="56"/>
      <c r="ERU6" s="56"/>
      <c r="ERW6" s="56"/>
      <c r="ERY6" s="56"/>
      <c r="ESA6" s="56"/>
      <c r="ESC6" s="56"/>
      <c r="ESE6" s="56"/>
      <c r="ESG6" s="56"/>
      <c r="ESI6" s="56"/>
      <c r="ESK6" s="56"/>
      <c r="ESM6" s="56"/>
      <c r="ESO6" s="56"/>
      <c r="ESQ6" s="56"/>
      <c r="ESS6" s="56"/>
      <c r="ESU6" s="56"/>
      <c r="ESW6" s="56"/>
      <c r="ESY6" s="56"/>
      <c r="ETA6" s="56"/>
      <c r="ETC6" s="56"/>
      <c r="ETE6" s="56"/>
      <c r="ETG6" s="56"/>
      <c r="ETI6" s="56"/>
      <c r="ETK6" s="56"/>
      <c r="ETM6" s="56"/>
      <c r="ETO6" s="56"/>
      <c r="ETQ6" s="56"/>
      <c r="ETS6" s="56"/>
      <c r="ETU6" s="56"/>
      <c r="ETW6" s="56"/>
      <c r="ETY6" s="56"/>
      <c r="EUA6" s="56"/>
      <c r="EUC6" s="56"/>
      <c r="EUE6" s="56"/>
      <c r="EUG6" s="56"/>
      <c r="EUI6" s="56"/>
      <c r="EUK6" s="56"/>
      <c r="EUM6" s="56"/>
      <c r="EUO6" s="56"/>
      <c r="EUQ6" s="56"/>
      <c r="EUS6" s="56"/>
      <c r="EUU6" s="56"/>
      <c r="EUW6" s="56"/>
      <c r="EUY6" s="56"/>
      <c r="EVA6" s="56"/>
      <c r="EVC6" s="56"/>
      <c r="EVE6" s="56"/>
      <c r="EVG6" s="56"/>
      <c r="EVI6" s="56"/>
      <c r="EVK6" s="56"/>
      <c r="EVM6" s="56"/>
      <c r="EVO6" s="56"/>
      <c r="EVQ6" s="56"/>
      <c r="EVS6" s="56"/>
      <c r="EVU6" s="56"/>
      <c r="EVW6" s="56"/>
      <c r="EVY6" s="56"/>
      <c r="EWA6" s="56"/>
      <c r="EWC6" s="56"/>
      <c r="EWE6" s="56"/>
      <c r="EWG6" s="56"/>
      <c r="EWI6" s="56"/>
      <c r="EWK6" s="56"/>
      <c r="EWM6" s="56"/>
      <c r="EWO6" s="56"/>
      <c r="EWQ6" s="56"/>
      <c r="EWS6" s="56"/>
      <c r="EWU6" s="56"/>
      <c r="EWW6" s="56"/>
      <c r="EWY6" s="56"/>
      <c r="EXA6" s="56"/>
      <c r="EXC6" s="56"/>
      <c r="EXE6" s="56"/>
      <c r="EXG6" s="56"/>
      <c r="EXI6" s="56"/>
      <c r="EXK6" s="56"/>
      <c r="EXM6" s="56"/>
      <c r="EXO6" s="56"/>
      <c r="EXQ6" s="56"/>
      <c r="EXS6" s="56"/>
      <c r="EXU6" s="56"/>
      <c r="EXW6" s="56"/>
      <c r="EXY6" s="56"/>
      <c r="EYA6" s="56"/>
      <c r="EYC6" s="56"/>
      <c r="EYE6" s="56"/>
      <c r="EYG6" s="56"/>
      <c r="EYI6" s="56"/>
      <c r="EYK6" s="56"/>
      <c r="EYM6" s="56"/>
      <c r="EYO6" s="56"/>
      <c r="EYQ6" s="56"/>
      <c r="EYS6" s="56"/>
      <c r="EYU6" s="56"/>
      <c r="EYW6" s="56"/>
      <c r="EYY6" s="56"/>
      <c r="EZA6" s="56"/>
      <c r="EZC6" s="56"/>
      <c r="EZE6" s="56"/>
      <c r="EZG6" s="56"/>
      <c r="EZI6" s="56"/>
      <c r="EZK6" s="56"/>
      <c r="EZM6" s="56"/>
      <c r="EZO6" s="56"/>
      <c r="EZQ6" s="56"/>
      <c r="EZS6" s="56"/>
      <c r="EZU6" s="56"/>
      <c r="EZW6" s="56"/>
      <c r="EZY6" s="56"/>
      <c r="FAA6" s="56"/>
      <c r="FAC6" s="56"/>
      <c r="FAE6" s="56"/>
      <c r="FAG6" s="56"/>
      <c r="FAI6" s="56"/>
      <c r="FAK6" s="56"/>
      <c r="FAM6" s="56"/>
      <c r="FAO6" s="56"/>
      <c r="FAQ6" s="56"/>
      <c r="FAS6" s="56"/>
      <c r="FAU6" s="56"/>
      <c r="FAW6" s="56"/>
      <c r="FAY6" s="56"/>
      <c r="FBA6" s="56"/>
      <c r="FBC6" s="56"/>
      <c r="FBE6" s="56"/>
      <c r="FBG6" s="56"/>
      <c r="FBI6" s="56"/>
      <c r="FBK6" s="56"/>
      <c r="FBM6" s="56"/>
      <c r="FBO6" s="56"/>
      <c r="FBQ6" s="56"/>
      <c r="FBS6" s="56"/>
      <c r="FBU6" s="56"/>
      <c r="FBW6" s="56"/>
      <c r="FBY6" s="56"/>
      <c r="FCA6" s="56"/>
      <c r="FCC6" s="56"/>
      <c r="FCE6" s="56"/>
      <c r="FCG6" s="56"/>
      <c r="FCI6" s="56"/>
      <c r="FCK6" s="56"/>
      <c r="FCM6" s="56"/>
      <c r="FCO6" s="56"/>
      <c r="FCQ6" s="56"/>
      <c r="FCS6" s="56"/>
      <c r="FCU6" s="56"/>
      <c r="FCW6" s="56"/>
      <c r="FCY6" s="56"/>
      <c r="FDA6" s="56"/>
      <c r="FDC6" s="56"/>
      <c r="FDE6" s="56"/>
      <c r="FDG6" s="56"/>
      <c r="FDI6" s="56"/>
      <c r="FDK6" s="56"/>
      <c r="FDM6" s="56"/>
      <c r="FDO6" s="56"/>
      <c r="FDQ6" s="56"/>
      <c r="FDS6" s="56"/>
      <c r="FDU6" s="56"/>
      <c r="FDW6" s="56"/>
      <c r="FDY6" s="56"/>
      <c r="FEA6" s="56"/>
      <c r="FEC6" s="56"/>
      <c r="FEE6" s="56"/>
      <c r="FEG6" s="56"/>
      <c r="FEI6" s="56"/>
      <c r="FEK6" s="56"/>
      <c r="FEM6" s="56"/>
      <c r="FEO6" s="56"/>
      <c r="FEQ6" s="56"/>
      <c r="FES6" s="56"/>
      <c r="FEU6" s="56"/>
      <c r="FEW6" s="56"/>
      <c r="FEY6" s="56"/>
      <c r="FFA6" s="56"/>
      <c r="FFC6" s="56"/>
      <c r="FFE6" s="56"/>
      <c r="FFG6" s="56"/>
      <c r="FFI6" s="56"/>
      <c r="FFK6" s="56"/>
      <c r="FFM6" s="56"/>
      <c r="FFO6" s="56"/>
      <c r="FFQ6" s="56"/>
      <c r="FFS6" s="56"/>
      <c r="FFU6" s="56"/>
      <c r="FFW6" s="56"/>
      <c r="FFY6" s="56"/>
      <c r="FGA6" s="56"/>
      <c r="FGC6" s="56"/>
      <c r="FGE6" s="56"/>
      <c r="FGG6" s="56"/>
      <c r="FGI6" s="56"/>
      <c r="FGK6" s="56"/>
      <c r="FGM6" s="56"/>
      <c r="FGO6" s="56"/>
      <c r="FGQ6" s="56"/>
      <c r="FGS6" s="56"/>
      <c r="FGU6" s="56"/>
      <c r="FGW6" s="56"/>
      <c r="FGY6" s="56"/>
      <c r="FHA6" s="56"/>
      <c r="FHC6" s="56"/>
      <c r="FHE6" s="56"/>
      <c r="FHG6" s="56"/>
      <c r="FHI6" s="56"/>
      <c r="FHK6" s="56"/>
      <c r="FHM6" s="56"/>
      <c r="FHO6" s="56"/>
      <c r="FHQ6" s="56"/>
      <c r="FHS6" s="56"/>
      <c r="FHU6" s="56"/>
      <c r="FHW6" s="56"/>
      <c r="FHY6" s="56"/>
      <c r="FIA6" s="56"/>
      <c r="FIC6" s="56"/>
      <c r="FIE6" s="56"/>
      <c r="FIG6" s="56"/>
      <c r="FII6" s="56"/>
      <c r="FIK6" s="56"/>
      <c r="FIM6" s="56"/>
      <c r="FIO6" s="56"/>
      <c r="FIQ6" s="56"/>
      <c r="FIS6" s="56"/>
      <c r="FIU6" s="56"/>
      <c r="FIW6" s="56"/>
      <c r="FIY6" s="56"/>
      <c r="FJA6" s="56"/>
      <c r="FJC6" s="56"/>
      <c r="FJE6" s="56"/>
      <c r="FJG6" s="56"/>
      <c r="FJI6" s="56"/>
      <c r="FJK6" s="56"/>
      <c r="FJM6" s="56"/>
      <c r="FJO6" s="56"/>
      <c r="FJQ6" s="56"/>
      <c r="FJS6" s="56"/>
      <c r="FJU6" s="56"/>
      <c r="FJW6" s="56"/>
      <c r="FJY6" s="56"/>
      <c r="FKA6" s="56"/>
      <c r="FKC6" s="56"/>
      <c r="FKE6" s="56"/>
      <c r="FKG6" s="56"/>
      <c r="FKI6" s="56"/>
      <c r="FKK6" s="56"/>
      <c r="FKM6" s="56"/>
      <c r="FKO6" s="56"/>
      <c r="FKQ6" s="56"/>
      <c r="FKS6" s="56"/>
      <c r="FKU6" s="56"/>
      <c r="FKW6" s="56"/>
      <c r="FKY6" s="56"/>
      <c r="FLA6" s="56"/>
      <c r="FLC6" s="56"/>
      <c r="FLE6" s="56"/>
      <c r="FLG6" s="56"/>
      <c r="FLI6" s="56"/>
      <c r="FLK6" s="56"/>
      <c r="FLM6" s="56"/>
      <c r="FLO6" s="56"/>
      <c r="FLQ6" s="56"/>
      <c r="FLS6" s="56"/>
      <c r="FLU6" s="56"/>
      <c r="FLW6" s="56"/>
      <c r="FLY6" s="56"/>
      <c r="FMA6" s="56"/>
      <c r="FMC6" s="56"/>
      <c r="FME6" s="56"/>
      <c r="FMG6" s="56"/>
      <c r="FMI6" s="56"/>
      <c r="FMK6" s="56"/>
      <c r="FMM6" s="56"/>
      <c r="FMO6" s="56"/>
      <c r="FMQ6" s="56"/>
      <c r="FMS6" s="56"/>
      <c r="FMU6" s="56"/>
      <c r="FMW6" s="56"/>
      <c r="FMY6" s="56"/>
      <c r="FNA6" s="56"/>
      <c r="FNC6" s="56"/>
      <c r="FNE6" s="56"/>
      <c r="FNG6" s="56"/>
      <c r="FNI6" s="56"/>
      <c r="FNK6" s="56"/>
      <c r="FNM6" s="56"/>
      <c r="FNO6" s="56"/>
      <c r="FNQ6" s="56"/>
      <c r="FNS6" s="56"/>
      <c r="FNU6" s="56"/>
      <c r="FNW6" s="56"/>
      <c r="FNY6" s="56"/>
      <c r="FOA6" s="56"/>
      <c r="FOC6" s="56"/>
      <c r="FOE6" s="56"/>
      <c r="FOG6" s="56"/>
      <c r="FOI6" s="56"/>
      <c r="FOK6" s="56"/>
      <c r="FOM6" s="56"/>
      <c r="FOO6" s="56"/>
      <c r="FOQ6" s="56"/>
      <c r="FOS6" s="56"/>
      <c r="FOU6" s="56"/>
      <c r="FOW6" s="56"/>
      <c r="FOY6" s="56"/>
      <c r="FPA6" s="56"/>
      <c r="FPC6" s="56"/>
      <c r="FPE6" s="56"/>
      <c r="FPG6" s="56"/>
      <c r="FPI6" s="56"/>
      <c r="FPK6" s="56"/>
      <c r="FPM6" s="56"/>
      <c r="FPO6" s="56"/>
      <c r="FPQ6" s="56"/>
      <c r="FPS6" s="56"/>
      <c r="FPU6" s="56"/>
      <c r="FPW6" s="56"/>
      <c r="FPY6" s="56"/>
      <c r="FQA6" s="56"/>
      <c r="FQC6" s="56"/>
      <c r="FQE6" s="56"/>
      <c r="FQG6" s="56"/>
      <c r="FQI6" s="56"/>
      <c r="FQK6" s="56"/>
      <c r="FQM6" s="56"/>
      <c r="FQO6" s="56"/>
      <c r="FQQ6" s="56"/>
      <c r="FQS6" s="56"/>
      <c r="FQU6" s="56"/>
      <c r="FQW6" s="56"/>
      <c r="FQY6" s="56"/>
      <c r="FRA6" s="56"/>
      <c r="FRC6" s="56"/>
      <c r="FRE6" s="56"/>
      <c r="FRG6" s="56"/>
      <c r="FRI6" s="56"/>
      <c r="FRK6" s="56"/>
      <c r="FRM6" s="56"/>
      <c r="FRO6" s="56"/>
      <c r="FRQ6" s="56"/>
      <c r="FRS6" s="56"/>
      <c r="FRU6" s="56"/>
      <c r="FRW6" s="56"/>
      <c r="FRY6" s="56"/>
      <c r="FSA6" s="56"/>
      <c r="FSC6" s="56"/>
      <c r="FSE6" s="56"/>
      <c r="FSG6" s="56"/>
      <c r="FSI6" s="56"/>
      <c r="FSK6" s="56"/>
      <c r="FSM6" s="56"/>
      <c r="FSO6" s="56"/>
      <c r="FSQ6" s="56"/>
      <c r="FSS6" s="56"/>
      <c r="FSU6" s="56"/>
      <c r="FSW6" s="56"/>
      <c r="FSY6" s="56"/>
      <c r="FTA6" s="56"/>
      <c r="FTC6" s="56"/>
      <c r="FTE6" s="56"/>
      <c r="FTG6" s="56"/>
      <c r="FTI6" s="56"/>
      <c r="FTK6" s="56"/>
      <c r="FTM6" s="56"/>
      <c r="FTO6" s="56"/>
      <c r="FTQ6" s="56"/>
      <c r="FTS6" s="56"/>
      <c r="FTU6" s="56"/>
      <c r="FTW6" s="56"/>
      <c r="FTY6" s="56"/>
      <c r="FUA6" s="56"/>
      <c r="FUC6" s="56"/>
      <c r="FUE6" s="56"/>
      <c r="FUG6" s="56"/>
      <c r="FUI6" s="56"/>
      <c r="FUK6" s="56"/>
      <c r="FUM6" s="56"/>
      <c r="FUO6" s="56"/>
      <c r="FUQ6" s="56"/>
      <c r="FUS6" s="56"/>
      <c r="FUU6" s="56"/>
      <c r="FUW6" s="56"/>
      <c r="FUY6" s="56"/>
      <c r="FVA6" s="56"/>
      <c r="FVC6" s="56"/>
      <c r="FVE6" s="56"/>
      <c r="FVG6" s="56"/>
      <c r="FVI6" s="56"/>
      <c r="FVK6" s="56"/>
      <c r="FVM6" s="56"/>
      <c r="FVO6" s="56"/>
      <c r="FVQ6" s="56"/>
      <c r="FVS6" s="56"/>
      <c r="FVU6" s="56"/>
      <c r="FVW6" s="56"/>
      <c r="FVY6" s="56"/>
      <c r="FWA6" s="56"/>
      <c r="FWC6" s="56"/>
      <c r="FWE6" s="56"/>
      <c r="FWG6" s="56"/>
      <c r="FWI6" s="56"/>
      <c r="FWK6" s="56"/>
      <c r="FWM6" s="56"/>
      <c r="FWO6" s="56"/>
      <c r="FWQ6" s="56"/>
      <c r="FWS6" s="56"/>
      <c r="FWU6" s="56"/>
      <c r="FWW6" s="56"/>
      <c r="FWY6" s="56"/>
      <c r="FXA6" s="56"/>
      <c r="FXC6" s="56"/>
      <c r="FXE6" s="56"/>
      <c r="FXG6" s="56"/>
      <c r="FXI6" s="56"/>
      <c r="FXK6" s="56"/>
      <c r="FXM6" s="56"/>
      <c r="FXO6" s="56"/>
      <c r="FXQ6" s="56"/>
      <c r="FXS6" s="56"/>
      <c r="FXU6" s="56"/>
      <c r="FXW6" s="56"/>
      <c r="FXY6" s="56"/>
      <c r="FYA6" s="56"/>
      <c r="FYC6" s="56"/>
      <c r="FYE6" s="56"/>
      <c r="FYG6" s="56"/>
      <c r="FYI6" s="56"/>
      <c r="FYK6" s="56"/>
      <c r="FYM6" s="56"/>
      <c r="FYO6" s="56"/>
      <c r="FYQ6" s="56"/>
      <c r="FYS6" s="56"/>
      <c r="FYU6" s="56"/>
      <c r="FYW6" s="56"/>
      <c r="FYY6" s="56"/>
      <c r="FZA6" s="56"/>
      <c r="FZC6" s="56"/>
      <c r="FZE6" s="56"/>
      <c r="FZG6" s="56"/>
      <c r="FZI6" s="56"/>
      <c r="FZK6" s="56"/>
      <c r="FZM6" s="56"/>
      <c r="FZO6" s="56"/>
      <c r="FZQ6" s="56"/>
      <c r="FZS6" s="56"/>
      <c r="FZU6" s="56"/>
      <c r="FZW6" s="56"/>
      <c r="FZY6" s="56"/>
      <c r="GAA6" s="56"/>
      <c r="GAC6" s="56"/>
      <c r="GAE6" s="56"/>
      <c r="GAG6" s="56"/>
      <c r="GAI6" s="56"/>
      <c r="GAK6" s="56"/>
      <c r="GAM6" s="56"/>
      <c r="GAO6" s="56"/>
      <c r="GAQ6" s="56"/>
      <c r="GAS6" s="56"/>
      <c r="GAU6" s="56"/>
      <c r="GAW6" s="56"/>
      <c r="GAY6" s="56"/>
      <c r="GBA6" s="56"/>
      <c r="GBC6" s="56"/>
      <c r="GBE6" s="56"/>
      <c r="GBG6" s="56"/>
      <c r="GBI6" s="56"/>
      <c r="GBK6" s="56"/>
      <c r="GBM6" s="56"/>
      <c r="GBO6" s="56"/>
      <c r="GBQ6" s="56"/>
      <c r="GBS6" s="56"/>
      <c r="GBU6" s="56"/>
      <c r="GBW6" s="56"/>
      <c r="GBY6" s="56"/>
      <c r="GCA6" s="56"/>
      <c r="GCC6" s="56"/>
      <c r="GCE6" s="56"/>
      <c r="GCG6" s="56"/>
      <c r="GCI6" s="56"/>
      <c r="GCK6" s="56"/>
      <c r="GCM6" s="56"/>
      <c r="GCO6" s="56"/>
      <c r="GCQ6" s="56"/>
      <c r="GCS6" s="56"/>
      <c r="GCU6" s="56"/>
      <c r="GCW6" s="56"/>
      <c r="GCY6" s="56"/>
      <c r="GDA6" s="56"/>
      <c r="GDC6" s="56"/>
      <c r="GDE6" s="56"/>
      <c r="GDG6" s="56"/>
      <c r="GDI6" s="56"/>
      <c r="GDK6" s="56"/>
      <c r="GDM6" s="56"/>
      <c r="GDO6" s="56"/>
      <c r="GDQ6" s="56"/>
      <c r="GDS6" s="56"/>
      <c r="GDU6" s="56"/>
      <c r="GDW6" s="56"/>
      <c r="GDY6" s="56"/>
      <c r="GEA6" s="56"/>
      <c r="GEC6" s="56"/>
      <c r="GEE6" s="56"/>
      <c r="GEG6" s="56"/>
      <c r="GEI6" s="56"/>
      <c r="GEK6" s="56"/>
      <c r="GEM6" s="56"/>
      <c r="GEO6" s="56"/>
      <c r="GEQ6" s="56"/>
      <c r="GES6" s="56"/>
      <c r="GEU6" s="56"/>
      <c r="GEW6" s="56"/>
      <c r="GEY6" s="56"/>
      <c r="GFA6" s="56"/>
      <c r="GFC6" s="56"/>
      <c r="GFE6" s="56"/>
      <c r="GFG6" s="56"/>
      <c r="GFI6" s="56"/>
      <c r="GFK6" s="56"/>
      <c r="GFM6" s="56"/>
      <c r="GFO6" s="56"/>
      <c r="GFQ6" s="56"/>
      <c r="GFS6" s="56"/>
      <c r="GFU6" s="56"/>
      <c r="GFW6" s="56"/>
      <c r="GFY6" s="56"/>
      <c r="GGA6" s="56"/>
      <c r="GGC6" s="56"/>
      <c r="GGE6" s="56"/>
      <c r="GGG6" s="56"/>
      <c r="GGI6" s="56"/>
      <c r="GGK6" s="56"/>
      <c r="GGM6" s="56"/>
      <c r="GGO6" s="56"/>
      <c r="GGQ6" s="56"/>
      <c r="GGS6" s="56"/>
      <c r="GGU6" s="56"/>
      <c r="GGW6" s="56"/>
      <c r="GGY6" s="56"/>
      <c r="GHA6" s="56"/>
      <c r="GHC6" s="56"/>
      <c r="GHE6" s="56"/>
      <c r="GHG6" s="56"/>
      <c r="GHI6" s="56"/>
      <c r="GHK6" s="56"/>
      <c r="GHM6" s="56"/>
      <c r="GHO6" s="56"/>
      <c r="GHQ6" s="56"/>
      <c r="GHS6" s="56"/>
      <c r="GHU6" s="56"/>
      <c r="GHW6" s="56"/>
      <c r="GHY6" s="56"/>
      <c r="GIA6" s="56"/>
      <c r="GIC6" s="56"/>
      <c r="GIE6" s="56"/>
      <c r="GIG6" s="56"/>
      <c r="GII6" s="56"/>
      <c r="GIK6" s="56"/>
      <c r="GIM6" s="56"/>
      <c r="GIO6" s="56"/>
      <c r="GIQ6" s="56"/>
      <c r="GIS6" s="56"/>
      <c r="GIU6" s="56"/>
      <c r="GIW6" s="56"/>
      <c r="GIY6" s="56"/>
      <c r="GJA6" s="56"/>
      <c r="GJC6" s="56"/>
      <c r="GJE6" s="56"/>
      <c r="GJG6" s="56"/>
      <c r="GJI6" s="56"/>
      <c r="GJK6" s="56"/>
      <c r="GJM6" s="56"/>
      <c r="GJO6" s="56"/>
      <c r="GJQ6" s="56"/>
      <c r="GJS6" s="56"/>
      <c r="GJU6" s="56"/>
      <c r="GJW6" s="56"/>
      <c r="GJY6" s="56"/>
      <c r="GKA6" s="56"/>
      <c r="GKC6" s="56"/>
      <c r="GKE6" s="56"/>
      <c r="GKG6" s="56"/>
      <c r="GKI6" s="56"/>
      <c r="GKK6" s="56"/>
      <c r="GKM6" s="56"/>
      <c r="GKO6" s="56"/>
      <c r="GKQ6" s="56"/>
      <c r="GKS6" s="56"/>
      <c r="GKU6" s="56"/>
      <c r="GKW6" s="56"/>
      <c r="GKY6" s="56"/>
      <c r="GLA6" s="56"/>
      <c r="GLC6" s="56"/>
      <c r="GLE6" s="56"/>
      <c r="GLG6" s="56"/>
      <c r="GLI6" s="56"/>
      <c r="GLK6" s="56"/>
      <c r="GLM6" s="56"/>
      <c r="GLO6" s="56"/>
      <c r="GLQ6" s="56"/>
      <c r="GLS6" s="56"/>
      <c r="GLU6" s="56"/>
      <c r="GLW6" s="56"/>
      <c r="GLY6" s="56"/>
      <c r="GMA6" s="56"/>
      <c r="GMC6" s="56"/>
      <c r="GME6" s="56"/>
      <c r="GMG6" s="56"/>
      <c r="GMI6" s="56"/>
      <c r="GMK6" s="56"/>
      <c r="GMM6" s="56"/>
      <c r="GMO6" s="56"/>
      <c r="GMQ6" s="56"/>
      <c r="GMS6" s="56"/>
      <c r="GMU6" s="56"/>
      <c r="GMW6" s="56"/>
      <c r="GMY6" s="56"/>
      <c r="GNA6" s="56"/>
      <c r="GNC6" s="56"/>
      <c r="GNE6" s="56"/>
      <c r="GNG6" s="56"/>
      <c r="GNI6" s="56"/>
      <c r="GNK6" s="56"/>
      <c r="GNM6" s="56"/>
      <c r="GNO6" s="56"/>
      <c r="GNQ6" s="56"/>
      <c r="GNS6" s="56"/>
      <c r="GNU6" s="56"/>
      <c r="GNW6" s="56"/>
      <c r="GNY6" s="56"/>
      <c r="GOA6" s="56"/>
      <c r="GOC6" s="56"/>
      <c r="GOE6" s="56"/>
      <c r="GOG6" s="56"/>
      <c r="GOI6" s="56"/>
      <c r="GOK6" s="56"/>
      <c r="GOM6" s="56"/>
      <c r="GOO6" s="56"/>
      <c r="GOQ6" s="56"/>
      <c r="GOS6" s="56"/>
      <c r="GOU6" s="56"/>
      <c r="GOW6" s="56"/>
      <c r="GOY6" s="56"/>
      <c r="GPA6" s="56"/>
      <c r="GPC6" s="56"/>
      <c r="GPE6" s="56"/>
      <c r="GPG6" s="56"/>
      <c r="GPI6" s="56"/>
      <c r="GPK6" s="56"/>
      <c r="GPM6" s="56"/>
      <c r="GPO6" s="56"/>
      <c r="GPQ6" s="56"/>
      <c r="GPS6" s="56"/>
      <c r="GPU6" s="56"/>
      <c r="GPW6" s="56"/>
      <c r="GPY6" s="56"/>
      <c r="GQA6" s="56"/>
      <c r="GQC6" s="56"/>
      <c r="GQE6" s="56"/>
      <c r="GQG6" s="56"/>
      <c r="GQI6" s="56"/>
      <c r="GQK6" s="56"/>
      <c r="GQM6" s="56"/>
      <c r="GQO6" s="56"/>
      <c r="GQQ6" s="56"/>
      <c r="GQS6" s="56"/>
      <c r="GQU6" s="56"/>
      <c r="GQW6" s="56"/>
      <c r="GQY6" s="56"/>
      <c r="GRA6" s="56"/>
      <c r="GRC6" s="56"/>
      <c r="GRE6" s="56"/>
      <c r="GRG6" s="56"/>
      <c r="GRI6" s="56"/>
      <c r="GRK6" s="56"/>
      <c r="GRM6" s="56"/>
      <c r="GRO6" s="56"/>
      <c r="GRQ6" s="56"/>
      <c r="GRS6" s="56"/>
      <c r="GRU6" s="56"/>
      <c r="GRW6" s="56"/>
      <c r="GRY6" s="56"/>
      <c r="GSA6" s="56"/>
      <c r="GSC6" s="56"/>
      <c r="GSE6" s="56"/>
      <c r="GSG6" s="56"/>
      <c r="GSI6" s="56"/>
      <c r="GSK6" s="56"/>
      <c r="GSM6" s="56"/>
      <c r="GSO6" s="56"/>
      <c r="GSQ6" s="56"/>
      <c r="GSS6" s="56"/>
      <c r="GSU6" s="56"/>
      <c r="GSW6" s="56"/>
      <c r="GSY6" s="56"/>
      <c r="GTA6" s="56"/>
      <c r="GTC6" s="56"/>
      <c r="GTE6" s="56"/>
      <c r="GTG6" s="56"/>
      <c r="GTI6" s="56"/>
      <c r="GTK6" s="56"/>
      <c r="GTM6" s="56"/>
      <c r="GTO6" s="56"/>
      <c r="GTQ6" s="56"/>
      <c r="GTS6" s="56"/>
      <c r="GTU6" s="56"/>
      <c r="GTW6" s="56"/>
      <c r="GTY6" s="56"/>
      <c r="GUA6" s="56"/>
      <c r="GUC6" s="56"/>
      <c r="GUE6" s="56"/>
      <c r="GUG6" s="56"/>
      <c r="GUI6" s="56"/>
      <c r="GUK6" s="56"/>
      <c r="GUM6" s="56"/>
      <c r="GUO6" s="56"/>
      <c r="GUQ6" s="56"/>
      <c r="GUS6" s="56"/>
      <c r="GUU6" s="56"/>
      <c r="GUW6" s="56"/>
      <c r="GUY6" s="56"/>
      <c r="GVA6" s="56"/>
      <c r="GVC6" s="56"/>
      <c r="GVE6" s="56"/>
      <c r="GVG6" s="56"/>
      <c r="GVI6" s="56"/>
      <c r="GVK6" s="56"/>
      <c r="GVM6" s="56"/>
      <c r="GVO6" s="56"/>
      <c r="GVQ6" s="56"/>
      <c r="GVS6" s="56"/>
      <c r="GVU6" s="56"/>
      <c r="GVW6" s="56"/>
      <c r="GVY6" s="56"/>
      <c r="GWA6" s="56"/>
      <c r="GWC6" s="56"/>
      <c r="GWE6" s="56"/>
      <c r="GWG6" s="56"/>
      <c r="GWI6" s="56"/>
      <c r="GWK6" s="56"/>
      <c r="GWM6" s="56"/>
      <c r="GWO6" s="56"/>
      <c r="GWQ6" s="56"/>
      <c r="GWS6" s="56"/>
      <c r="GWU6" s="56"/>
      <c r="GWW6" s="56"/>
      <c r="GWY6" s="56"/>
      <c r="GXA6" s="56"/>
      <c r="GXC6" s="56"/>
      <c r="GXE6" s="56"/>
      <c r="GXG6" s="56"/>
      <c r="GXI6" s="56"/>
      <c r="GXK6" s="56"/>
      <c r="GXM6" s="56"/>
      <c r="GXO6" s="56"/>
      <c r="GXQ6" s="56"/>
      <c r="GXS6" s="56"/>
      <c r="GXU6" s="56"/>
      <c r="GXW6" s="56"/>
      <c r="GXY6" s="56"/>
      <c r="GYA6" s="56"/>
      <c r="GYC6" s="56"/>
      <c r="GYE6" s="56"/>
      <c r="GYG6" s="56"/>
      <c r="GYI6" s="56"/>
      <c r="GYK6" s="56"/>
      <c r="GYM6" s="56"/>
      <c r="GYO6" s="56"/>
      <c r="GYQ6" s="56"/>
      <c r="GYS6" s="56"/>
      <c r="GYU6" s="56"/>
      <c r="GYW6" s="56"/>
      <c r="GYY6" s="56"/>
      <c r="GZA6" s="56"/>
      <c r="GZC6" s="56"/>
      <c r="GZE6" s="56"/>
      <c r="GZG6" s="56"/>
      <c r="GZI6" s="56"/>
      <c r="GZK6" s="56"/>
      <c r="GZM6" s="56"/>
      <c r="GZO6" s="56"/>
      <c r="GZQ6" s="56"/>
      <c r="GZS6" s="56"/>
      <c r="GZU6" s="56"/>
      <c r="GZW6" s="56"/>
      <c r="GZY6" s="56"/>
      <c r="HAA6" s="56"/>
      <c r="HAC6" s="56"/>
      <c r="HAE6" s="56"/>
      <c r="HAG6" s="56"/>
      <c r="HAI6" s="56"/>
      <c r="HAK6" s="56"/>
      <c r="HAM6" s="56"/>
      <c r="HAO6" s="56"/>
      <c r="HAQ6" s="56"/>
      <c r="HAS6" s="56"/>
      <c r="HAU6" s="56"/>
      <c r="HAW6" s="56"/>
      <c r="HAY6" s="56"/>
      <c r="HBA6" s="56"/>
      <c r="HBC6" s="56"/>
      <c r="HBE6" s="56"/>
      <c r="HBG6" s="56"/>
      <c r="HBI6" s="56"/>
      <c r="HBK6" s="56"/>
      <c r="HBM6" s="56"/>
      <c r="HBO6" s="56"/>
      <c r="HBQ6" s="56"/>
      <c r="HBS6" s="56"/>
      <c r="HBU6" s="56"/>
      <c r="HBW6" s="56"/>
      <c r="HBY6" s="56"/>
      <c r="HCA6" s="56"/>
      <c r="HCC6" s="56"/>
      <c r="HCE6" s="56"/>
      <c r="HCG6" s="56"/>
      <c r="HCI6" s="56"/>
      <c r="HCK6" s="56"/>
      <c r="HCM6" s="56"/>
      <c r="HCO6" s="56"/>
      <c r="HCQ6" s="56"/>
      <c r="HCS6" s="56"/>
      <c r="HCU6" s="56"/>
      <c r="HCW6" s="56"/>
      <c r="HCY6" s="56"/>
      <c r="HDA6" s="56"/>
      <c r="HDC6" s="56"/>
      <c r="HDE6" s="56"/>
      <c r="HDG6" s="56"/>
      <c r="HDI6" s="56"/>
      <c r="HDK6" s="56"/>
      <c r="HDM6" s="56"/>
      <c r="HDO6" s="56"/>
      <c r="HDQ6" s="56"/>
      <c r="HDS6" s="56"/>
      <c r="HDU6" s="56"/>
      <c r="HDW6" s="56"/>
      <c r="HDY6" s="56"/>
      <c r="HEA6" s="56"/>
      <c r="HEC6" s="56"/>
      <c r="HEE6" s="56"/>
      <c r="HEG6" s="56"/>
      <c r="HEI6" s="56"/>
      <c r="HEK6" s="56"/>
      <c r="HEM6" s="56"/>
      <c r="HEO6" s="56"/>
      <c r="HEQ6" s="56"/>
      <c r="HES6" s="56"/>
      <c r="HEU6" s="56"/>
      <c r="HEW6" s="56"/>
      <c r="HEY6" s="56"/>
      <c r="HFA6" s="56"/>
      <c r="HFC6" s="56"/>
      <c r="HFE6" s="56"/>
      <c r="HFG6" s="56"/>
      <c r="HFI6" s="56"/>
      <c r="HFK6" s="56"/>
      <c r="HFM6" s="56"/>
      <c r="HFO6" s="56"/>
      <c r="HFQ6" s="56"/>
      <c r="HFS6" s="56"/>
      <c r="HFU6" s="56"/>
      <c r="HFW6" s="56"/>
      <c r="HFY6" s="56"/>
      <c r="HGA6" s="56"/>
      <c r="HGC6" s="56"/>
      <c r="HGE6" s="56"/>
      <c r="HGG6" s="56"/>
      <c r="HGI6" s="56"/>
      <c r="HGK6" s="56"/>
      <c r="HGM6" s="56"/>
      <c r="HGO6" s="56"/>
      <c r="HGQ6" s="56"/>
      <c r="HGS6" s="56"/>
      <c r="HGU6" s="56"/>
      <c r="HGW6" s="56"/>
      <c r="HGY6" s="56"/>
      <c r="HHA6" s="56"/>
      <c r="HHC6" s="56"/>
      <c r="HHE6" s="56"/>
      <c r="HHG6" s="56"/>
      <c r="HHI6" s="56"/>
      <c r="HHK6" s="56"/>
      <c r="HHM6" s="56"/>
      <c r="HHO6" s="56"/>
      <c r="HHQ6" s="56"/>
      <c r="HHS6" s="56"/>
      <c r="HHU6" s="56"/>
      <c r="HHW6" s="56"/>
      <c r="HHY6" s="56"/>
      <c r="HIA6" s="56"/>
      <c r="HIC6" s="56"/>
      <c r="HIE6" s="56"/>
      <c r="HIG6" s="56"/>
      <c r="HII6" s="56"/>
      <c r="HIK6" s="56"/>
      <c r="HIM6" s="56"/>
      <c r="HIO6" s="56"/>
      <c r="HIQ6" s="56"/>
      <c r="HIS6" s="56"/>
      <c r="HIU6" s="56"/>
      <c r="HIW6" s="56"/>
      <c r="HIY6" s="56"/>
      <c r="HJA6" s="56"/>
      <c r="HJC6" s="56"/>
      <c r="HJE6" s="56"/>
      <c r="HJG6" s="56"/>
      <c r="HJI6" s="56"/>
      <c r="HJK6" s="56"/>
      <c r="HJM6" s="56"/>
      <c r="HJO6" s="56"/>
      <c r="HJQ6" s="56"/>
      <c r="HJS6" s="56"/>
      <c r="HJU6" s="56"/>
      <c r="HJW6" s="56"/>
      <c r="HJY6" s="56"/>
      <c r="HKA6" s="56"/>
      <c r="HKC6" s="56"/>
      <c r="HKE6" s="56"/>
      <c r="HKG6" s="56"/>
      <c r="HKI6" s="56"/>
      <c r="HKK6" s="56"/>
      <c r="HKM6" s="56"/>
      <c r="HKO6" s="56"/>
      <c r="HKQ6" s="56"/>
      <c r="HKS6" s="56"/>
      <c r="HKU6" s="56"/>
      <c r="HKW6" s="56"/>
      <c r="HKY6" s="56"/>
      <c r="HLA6" s="56"/>
      <c r="HLC6" s="56"/>
      <c r="HLE6" s="56"/>
      <c r="HLG6" s="56"/>
      <c r="HLI6" s="56"/>
      <c r="HLK6" s="56"/>
      <c r="HLM6" s="56"/>
      <c r="HLO6" s="56"/>
      <c r="HLQ6" s="56"/>
      <c r="HLS6" s="56"/>
      <c r="HLU6" s="56"/>
      <c r="HLW6" s="56"/>
      <c r="HLY6" s="56"/>
      <c r="HMA6" s="56"/>
      <c r="HMC6" s="56"/>
      <c r="HME6" s="56"/>
      <c r="HMG6" s="56"/>
      <c r="HMI6" s="56"/>
      <c r="HMK6" s="56"/>
      <c r="HMM6" s="56"/>
      <c r="HMO6" s="56"/>
      <c r="HMQ6" s="56"/>
      <c r="HMS6" s="56"/>
      <c r="HMU6" s="56"/>
      <c r="HMW6" s="56"/>
      <c r="HMY6" s="56"/>
      <c r="HNA6" s="56"/>
      <c r="HNC6" s="56"/>
      <c r="HNE6" s="56"/>
      <c r="HNG6" s="56"/>
      <c r="HNI6" s="56"/>
      <c r="HNK6" s="56"/>
      <c r="HNM6" s="56"/>
      <c r="HNO6" s="56"/>
      <c r="HNQ6" s="56"/>
      <c r="HNS6" s="56"/>
      <c r="HNU6" s="56"/>
      <c r="HNW6" s="56"/>
      <c r="HNY6" s="56"/>
      <c r="HOA6" s="56"/>
      <c r="HOC6" s="56"/>
      <c r="HOE6" s="56"/>
      <c r="HOG6" s="56"/>
      <c r="HOI6" s="56"/>
      <c r="HOK6" s="56"/>
      <c r="HOM6" s="56"/>
      <c r="HOO6" s="56"/>
      <c r="HOQ6" s="56"/>
      <c r="HOS6" s="56"/>
      <c r="HOU6" s="56"/>
      <c r="HOW6" s="56"/>
      <c r="HOY6" s="56"/>
      <c r="HPA6" s="56"/>
      <c r="HPC6" s="56"/>
      <c r="HPE6" s="56"/>
      <c r="HPG6" s="56"/>
      <c r="HPI6" s="56"/>
      <c r="HPK6" s="56"/>
      <c r="HPM6" s="56"/>
      <c r="HPO6" s="56"/>
      <c r="HPQ6" s="56"/>
      <c r="HPS6" s="56"/>
      <c r="HPU6" s="56"/>
      <c r="HPW6" s="56"/>
      <c r="HPY6" s="56"/>
      <c r="HQA6" s="56"/>
      <c r="HQC6" s="56"/>
      <c r="HQE6" s="56"/>
      <c r="HQG6" s="56"/>
      <c r="HQI6" s="56"/>
      <c r="HQK6" s="56"/>
      <c r="HQM6" s="56"/>
      <c r="HQO6" s="56"/>
      <c r="HQQ6" s="56"/>
      <c r="HQS6" s="56"/>
      <c r="HQU6" s="56"/>
      <c r="HQW6" s="56"/>
      <c r="HQY6" s="56"/>
      <c r="HRA6" s="56"/>
      <c r="HRC6" s="56"/>
      <c r="HRE6" s="56"/>
      <c r="HRG6" s="56"/>
      <c r="HRI6" s="56"/>
      <c r="HRK6" s="56"/>
      <c r="HRM6" s="56"/>
      <c r="HRO6" s="56"/>
      <c r="HRQ6" s="56"/>
      <c r="HRS6" s="56"/>
      <c r="HRU6" s="56"/>
      <c r="HRW6" s="56"/>
      <c r="HRY6" s="56"/>
      <c r="HSA6" s="56"/>
      <c r="HSC6" s="56"/>
      <c r="HSE6" s="56"/>
      <c r="HSG6" s="56"/>
      <c r="HSI6" s="56"/>
      <c r="HSK6" s="56"/>
      <c r="HSM6" s="56"/>
      <c r="HSO6" s="56"/>
      <c r="HSQ6" s="56"/>
      <c r="HSS6" s="56"/>
      <c r="HSU6" s="56"/>
      <c r="HSW6" s="56"/>
      <c r="HSY6" s="56"/>
      <c r="HTA6" s="56"/>
      <c r="HTC6" s="56"/>
      <c r="HTE6" s="56"/>
      <c r="HTG6" s="56"/>
      <c r="HTI6" s="56"/>
      <c r="HTK6" s="56"/>
      <c r="HTM6" s="56"/>
      <c r="HTO6" s="56"/>
      <c r="HTQ6" s="56"/>
      <c r="HTS6" s="56"/>
      <c r="HTU6" s="56"/>
      <c r="HTW6" s="56"/>
      <c r="HTY6" s="56"/>
      <c r="HUA6" s="56"/>
      <c r="HUC6" s="56"/>
      <c r="HUE6" s="56"/>
      <c r="HUG6" s="56"/>
      <c r="HUI6" s="56"/>
      <c r="HUK6" s="56"/>
      <c r="HUM6" s="56"/>
      <c r="HUO6" s="56"/>
      <c r="HUQ6" s="56"/>
      <c r="HUS6" s="56"/>
      <c r="HUU6" s="56"/>
      <c r="HUW6" s="56"/>
      <c r="HUY6" s="56"/>
      <c r="HVA6" s="56"/>
      <c r="HVC6" s="56"/>
      <c r="HVE6" s="56"/>
      <c r="HVG6" s="56"/>
      <c r="HVI6" s="56"/>
      <c r="HVK6" s="56"/>
      <c r="HVM6" s="56"/>
      <c r="HVO6" s="56"/>
      <c r="HVQ6" s="56"/>
      <c r="HVS6" s="56"/>
      <c r="HVU6" s="56"/>
      <c r="HVW6" s="56"/>
      <c r="HVY6" s="56"/>
      <c r="HWA6" s="56"/>
      <c r="HWC6" s="56"/>
      <c r="HWE6" s="56"/>
      <c r="HWG6" s="56"/>
      <c r="HWI6" s="56"/>
      <c r="HWK6" s="56"/>
      <c r="HWM6" s="56"/>
      <c r="HWO6" s="56"/>
      <c r="HWQ6" s="56"/>
      <c r="HWS6" s="56"/>
      <c r="HWU6" s="56"/>
      <c r="HWW6" s="56"/>
      <c r="HWY6" s="56"/>
      <c r="HXA6" s="56"/>
      <c r="HXC6" s="56"/>
      <c r="HXE6" s="56"/>
      <c r="HXG6" s="56"/>
      <c r="HXI6" s="56"/>
      <c r="HXK6" s="56"/>
      <c r="HXM6" s="56"/>
      <c r="HXO6" s="56"/>
      <c r="HXQ6" s="56"/>
      <c r="HXS6" s="56"/>
      <c r="HXU6" s="56"/>
      <c r="HXW6" s="56"/>
      <c r="HXY6" s="56"/>
      <c r="HYA6" s="56"/>
      <c r="HYC6" s="56"/>
      <c r="HYE6" s="56"/>
      <c r="HYG6" s="56"/>
      <c r="HYI6" s="56"/>
      <c r="HYK6" s="56"/>
      <c r="HYM6" s="56"/>
      <c r="HYO6" s="56"/>
      <c r="HYQ6" s="56"/>
      <c r="HYS6" s="56"/>
      <c r="HYU6" s="56"/>
      <c r="HYW6" s="56"/>
      <c r="HYY6" s="56"/>
      <c r="HZA6" s="56"/>
      <c r="HZC6" s="56"/>
      <c r="HZE6" s="56"/>
      <c r="HZG6" s="56"/>
      <c r="HZI6" s="56"/>
      <c r="HZK6" s="56"/>
      <c r="HZM6" s="56"/>
      <c r="HZO6" s="56"/>
      <c r="HZQ6" s="56"/>
      <c r="HZS6" s="56"/>
      <c r="HZU6" s="56"/>
      <c r="HZW6" s="56"/>
      <c r="HZY6" s="56"/>
      <c r="IAA6" s="56"/>
      <c r="IAC6" s="56"/>
      <c r="IAE6" s="56"/>
      <c r="IAG6" s="56"/>
      <c r="IAI6" s="56"/>
      <c r="IAK6" s="56"/>
      <c r="IAM6" s="56"/>
      <c r="IAO6" s="56"/>
      <c r="IAQ6" s="56"/>
      <c r="IAS6" s="56"/>
      <c r="IAU6" s="56"/>
      <c r="IAW6" s="56"/>
      <c r="IAY6" s="56"/>
      <c r="IBA6" s="56"/>
      <c r="IBC6" s="56"/>
      <c r="IBE6" s="56"/>
      <c r="IBG6" s="56"/>
      <c r="IBI6" s="56"/>
      <c r="IBK6" s="56"/>
      <c r="IBM6" s="56"/>
      <c r="IBO6" s="56"/>
      <c r="IBQ6" s="56"/>
      <c r="IBS6" s="56"/>
      <c r="IBU6" s="56"/>
      <c r="IBW6" s="56"/>
      <c r="IBY6" s="56"/>
      <c r="ICA6" s="56"/>
      <c r="ICC6" s="56"/>
      <c r="ICE6" s="56"/>
      <c r="ICG6" s="56"/>
      <c r="ICI6" s="56"/>
      <c r="ICK6" s="56"/>
      <c r="ICM6" s="56"/>
      <c r="ICO6" s="56"/>
      <c r="ICQ6" s="56"/>
      <c r="ICS6" s="56"/>
      <c r="ICU6" s="56"/>
      <c r="ICW6" s="56"/>
      <c r="ICY6" s="56"/>
      <c r="IDA6" s="56"/>
      <c r="IDC6" s="56"/>
      <c r="IDE6" s="56"/>
      <c r="IDG6" s="56"/>
      <c r="IDI6" s="56"/>
      <c r="IDK6" s="56"/>
      <c r="IDM6" s="56"/>
      <c r="IDO6" s="56"/>
      <c r="IDQ6" s="56"/>
      <c r="IDS6" s="56"/>
      <c r="IDU6" s="56"/>
      <c r="IDW6" s="56"/>
      <c r="IDY6" s="56"/>
      <c r="IEA6" s="56"/>
      <c r="IEC6" s="56"/>
      <c r="IEE6" s="56"/>
      <c r="IEG6" s="56"/>
      <c r="IEI6" s="56"/>
      <c r="IEK6" s="56"/>
      <c r="IEM6" s="56"/>
      <c r="IEO6" s="56"/>
      <c r="IEQ6" s="56"/>
      <c r="IES6" s="56"/>
      <c r="IEU6" s="56"/>
      <c r="IEW6" s="56"/>
      <c r="IEY6" s="56"/>
      <c r="IFA6" s="56"/>
      <c r="IFC6" s="56"/>
      <c r="IFE6" s="56"/>
      <c r="IFG6" s="56"/>
      <c r="IFI6" s="56"/>
      <c r="IFK6" s="56"/>
      <c r="IFM6" s="56"/>
      <c r="IFO6" s="56"/>
      <c r="IFQ6" s="56"/>
      <c r="IFS6" s="56"/>
      <c r="IFU6" s="56"/>
      <c r="IFW6" s="56"/>
      <c r="IFY6" s="56"/>
      <c r="IGA6" s="56"/>
      <c r="IGC6" s="56"/>
      <c r="IGE6" s="56"/>
      <c r="IGG6" s="56"/>
      <c r="IGI6" s="56"/>
      <c r="IGK6" s="56"/>
      <c r="IGM6" s="56"/>
      <c r="IGO6" s="56"/>
      <c r="IGQ6" s="56"/>
      <c r="IGS6" s="56"/>
      <c r="IGU6" s="56"/>
      <c r="IGW6" s="56"/>
      <c r="IGY6" s="56"/>
      <c r="IHA6" s="56"/>
      <c r="IHC6" s="56"/>
      <c r="IHE6" s="56"/>
      <c r="IHG6" s="56"/>
      <c r="IHI6" s="56"/>
      <c r="IHK6" s="56"/>
      <c r="IHM6" s="56"/>
      <c r="IHO6" s="56"/>
      <c r="IHQ6" s="56"/>
      <c r="IHS6" s="56"/>
      <c r="IHU6" s="56"/>
      <c r="IHW6" s="56"/>
      <c r="IHY6" s="56"/>
      <c r="IIA6" s="56"/>
      <c r="IIC6" s="56"/>
      <c r="IIE6" s="56"/>
      <c r="IIG6" s="56"/>
      <c r="III6" s="56"/>
      <c r="IIK6" s="56"/>
      <c r="IIM6" s="56"/>
      <c r="IIO6" s="56"/>
      <c r="IIQ6" s="56"/>
      <c r="IIS6" s="56"/>
      <c r="IIU6" s="56"/>
      <c r="IIW6" s="56"/>
      <c r="IIY6" s="56"/>
      <c r="IJA6" s="56"/>
      <c r="IJC6" s="56"/>
      <c r="IJE6" s="56"/>
      <c r="IJG6" s="56"/>
      <c r="IJI6" s="56"/>
      <c r="IJK6" s="56"/>
      <c r="IJM6" s="56"/>
      <c r="IJO6" s="56"/>
      <c r="IJQ6" s="56"/>
      <c r="IJS6" s="56"/>
      <c r="IJU6" s="56"/>
      <c r="IJW6" s="56"/>
      <c r="IJY6" s="56"/>
      <c r="IKA6" s="56"/>
      <c r="IKC6" s="56"/>
      <c r="IKE6" s="56"/>
      <c r="IKG6" s="56"/>
      <c r="IKI6" s="56"/>
      <c r="IKK6" s="56"/>
      <c r="IKM6" s="56"/>
      <c r="IKO6" s="56"/>
      <c r="IKQ6" s="56"/>
      <c r="IKS6" s="56"/>
      <c r="IKU6" s="56"/>
      <c r="IKW6" s="56"/>
      <c r="IKY6" s="56"/>
      <c r="ILA6" s="56"/>
      <c r="ILC6" s="56"/>
      <c r="ILE6" s="56"/>
      <c r="ILG6" s="56"/>
      <c r="ILI6" s="56"/>
      <c r="ILK6" s="56"/>
      <c r="ILM6" s="56"/>
      <c r="ILO6" s="56"/>
      <c r="ILQ6" s="56"/>
      <c r="ILS6" s="56"/>
      <c r="ILU6" s="56"/>
      <c r="ILW6" s="56"/>
      <c r="ILY6" s="56"/>
      <c r="IMA6" s="56"/>
      <c r="IMC6" s="56"/>
      <c r="IME6" s="56"/>
      <c r="IMG6" s="56"/>
      <c r="IMI6" s="56"/>
      <c r="IMK6" s="56"/>
      <c r="IMM6" s="56"/>
      <c r="IMO6" s="56"/>
      <c r="IMQ6" s="56"/>
      <c r="IMS6" s="56"/>
      <c r="IMU6" s="56"/>
      <c r="IMW6" s="56"/>
      <c r="IMY6" s="56"/>
      <c r="INA6" s="56"/>
      <c r="INC6" s="56"/>
      <c r="INE6" s="56"/>
      <c r="ING6" s="56"/>
      <c r="INI6" s="56"/>
      <c r="INK6" s="56"/>
      <c r="INM6" s="56"/>
      <c r="INO6" s="56"/>
      <c r="INQ6" s="56"/>
      <c r="INS6" s="56"/>
      <c r="INU6" s="56"/>
      <c r="INW6" s="56"/>
      <c r="INY6" s="56"/>
      <c r="IOA6" s="56"/>
      <c r="IOC6" s="56"/>
      <c r="IOE6" s="56"/>
      <c r="IOG6" s="56"/>
      <c r="IOI6" s="56"/>
      <c r="IOK6" s="56"/>
      <c r="IOM6" s="56"/>
      <c r="IOO6" s="56"/>
      <c r="IOQ6" s="56"/>
      <c r="IOS6" s="56"/>
      <c r="IOU6" s="56"/>
      <c r="IOW6" s="56"/>
      <c r="IOY6" s="56"/>
      <c r="IPA6" s="56"/>
      <c r="IPC6" s="56"/>
      <c r="IPE6" s="56"/>
      <c r="IPG6" s="56"/>
      <c r="IPI6" s="56"/>
      <c r="IPK6" s="56"/>
      <c r="IPM6" s="56"/>
      <c r="IPO6" s="56"/>
      <c r="IPQ6" s="56"/>
      <c r="IPS6" s="56"/>
      <c r="IPU6" s="56"/>
      <c r="IPW6" s="56"/>
      <c r="IPY6" s="56"/>
      <c r="IQA6" s="56"/>
      <c r="IQC6" s="56"/>
      <c r="IQE6" s="56"/>
      <c r="IQG6" s="56"/>
      <c r="IQI6" s="56"/>
      <c r="IQK6" s="56"/>
      <c r="IQM6" s="56"/>
      <c r="IQO6" s="56"/>
      <c r="IQQ6" s="56"/>
      <c r="IQS6" s="56"/>
      <c r="IQU6" s="56"/>
      <c r="IQW6" s="56"/>
      <c r="IQY6" s="56"/>
      <c r="IRA6" s="56"/>
      <c r="IRC6" s="56"/>
      <c r="IRE6" s="56"/>
      <c r="IRG6" s="56"/>
      <c r="IRI6" s="56"/>
      <c r="IRK6" s="56"/>
      <c r="IRM6" s="56"/>
      <c r="IRO6" s="56"/>
      <c r="IRQ6" s="56"/>
      <c r="IRS6" s="56"/>
      <c r="IRU6" s="56"/>
      <c r="IRW6" s="56"/>
      <c r="IRY6" s="56"/>
      <c r="ISA6" s="56"/>
      <c r="ISC6" s="56"/>
      <c r="ISE6" s="56"/>
      <c r="ISG6" s="56"/>
      <c r="ISI6" s="56"/>
      <c r="ISK6" s="56"/>
      <c r="ISM6" s="56"/>
      <c r="ISO6" s="56"/>
      <c r="ISQ6" s="56"/>
      <c r="ISS6" s="56"/>
      <c r="ISU6" s="56"/>
      <c r="ISW6" s="56"/>
      <c r="ISY6" s="56"/>
      <c r="ITA6" s="56"/>
      <c r="ITC6" s="56"/>
      <c r="ITE6" s="56"/>
      <c r="ITG6" s="56"/>
      <c r="ITI6" s="56"/>
      <c r="ITK6" s="56"/>
      <c r="ITM6" s="56"/>
      <c r="ITO6" s="56"/>
      <c r="ITQ6" s="56"/>
      <c r="ITS6" s="56"/>
      <c r="ITU6" s="56"/>
      <c r="ITW6" s="56"/>
      <c r="ITY6" s="56"/>
      <c r="IUA6" s="56"/>
      <c r="IUC6" s="56"/>
      <c r="IUE6" s="56"/>
      <c r="IUG6" s="56"/>
      <c r="IUI6" s="56"/>
      <c r="IUK6" s="56"/>
      <c r="IUM6" s="56"/>
      <c r="IUO6" s="56"/>
      <c r="IUQ6" s="56"/>
      <c r="IUS6" s="56"/>
      <c r="IUU6" s="56"/>
      <c r="IUW6" s="56"/>
      <c r="IUY6" s="56"/>
      <c r="IVA6" s="56"/>
      <c r="IVC6" s="56"/>
      <c r="IVE6" s="56"/>
      <c r="IVG6" s="56"/>
      <c r="IVI6" s="56"/>
      <c r="IVK6" s="56"/>
      <c r="IVM6" s="56"/>
      <c r="IVO6" s="56"/>
      <c r="IVQ6" s="56"/>
      <c r="IVS6" s="56"/>
      <c r="IVU6" s="56"/>
      <c r="IVW6" s="56"/>
      <c r="IVY6" s="56"/>
      <c r="IWA6" s="56"/>
      <c r="IWC6" s="56"/>
      <c r="IWE6" s="56"/>
      <c r="IWG6" s="56"/>
      <c r="IWI6" s="56"/>
      <c r="IWK6" s="56"/>
      <c r="IWM6" s="56"/>
      <c r="IWO6" s="56"/>
      <c r="IWQ6" s="56"/>
      <c r="IWS6" s="56"/>
      <c r="IWU6" s="56"/>
      <c r="IWW6" s="56"/>
      <c r="IWY6" s="56"/>
      <c r="IXA6" s="56"/>
      <c r="IXC6" s="56"/>
      <c r="IXE6" s="56"/>
      <c r="IXG6" s="56"/>
      <c r="IXI6" s="56"/>
      <c r="IXK6" s="56"/>
      <c r="IXM6" s="56"/>
      <c r="IXO6" s="56"/>
      <c r="IXQ6" s="56"/>
      <c r="IXS6" s="56"/>
      <c r="IXU6" s="56"/>
      <c r="IXW6" s="56"/>
      <c r="IXY6" s="56"/>
      <c r="IYA6" s="56"/>
      <c r="IYC6" s="56"/>
      <c r="IYE6" s="56"/>
      <c r="IYG6" s="56"/>
      <c r="IYI6" s="56"/>
      <c r="IYK6" s="56"/>
      <c r="IYM6" s="56"/>
      <c r="IYO6" s="56"/>
      <c r="IYQ6" s="56"/>
      <c r="IYS6" s="56"/>
      <c r="IYU6" s="56"/>
      <c r="IYW6" s="56"/>
      <c r="IYY6" s="56"/>
      <c r="IZA6" s="56"/>
      <c r="IZC6" s="56"/>
      <c r="IZE6" s="56"/>
      <c r="IZG6" s="56"/>
      <c r="IZI6" s="56"/>
      <c r="IZK6" s="56"/>
      <c r="IZM6" s="56"/>
      <c r="IZO6" s="56"/>
      <c r="IZQ6" s="56"/>
      <c r="IZS6" s="56"/>
      <c r="IZU6" s="56"/>
      <c r="IZW6" s="56"/>
      <c r="IZY6" s="56"/>
      <c r="JAA6" s="56"/>
      <c r="JAC6" s="56"/>
      <c r="JAE6" s="56"/>
      <c r="JAG6" s="56"/>
      <c r="JAI6" s="56"/>
      <c r="JAK6" s="56"/>
      <c r="JAM6" s="56"/>
      <c r="JAO6" s="56"/>
      <c r="JAQ6" s="56"/>
      <c r="JAS6" s="56"/>
      <c r="JAU6" s="56"/>
      <c r="JAW6" s="56"/>
      <c r="JAY6" s="56"/>
      <c r="JBA6" s="56"/>
      <c r="JBC6" s="56"/>
      <c r="JBE6" s="56"/>
      <c r="JBG6" s="56"/>
      <c r="JBI6" s="56"/>
      <c r="JBK6" s="56"/>
      <c r="JBM6" s="56"/>
      <c r="JBO6" s="56"/>
      <c r="JBQ6" s="56"/>
      <c r="JBS6" s="56"/>
      <c r="JBU6" s="56"/>
      <c r="JBW6" s="56"/>
      <c r="JBY6" s="56"/>
      <c r="JCA6" s="56"/>
      <c r="JCC6" s="56"/>
      <c r="JCE6" s="56"/>
      <c r="JCG6" s="56"/>
      <c r="JCI6" s="56"/>
      <c r="JCK6" s="56"/>
      <c r="JCM6" s="56"/>
      <c r="JCO6" s="56"/>
      <c r="JCQ6" s="56"/>
      <c r="JCS6" s="56"/>
      <c r="JCU6" s="56"/>
      <c r="JCW6" s="56"/>
      <c r="JCY6" s="56"/>
      <c r="JDA6" s="56"/>
      <c r="JDC6" s="56"/>
      <c r="JDE6" s="56"/>
      <c r="JDG6" s="56"/>
      <c r="JDI6" s="56"/>
      <c r="JDK6" s="56"/>
      <c r="JDM6" s="56"/>
      <c r="JDO6" s="56"/>
      <c r="JDQ6" s="56"/>
      <c r="JDS6" s="56"/>
      <c r="JDU6" s="56"/>
      <c r="JDW6" s="56"/>
      <c r="JDY6" s="56"/>
      <c r="JEA6" s="56"/>
      <c r="JEC6" s="56"/>
      <c r="JEE6" s="56"/>
      <c r="JEG6" s="56"/>
      <c r="JEI6" s="56"/>
      <c r="JEK6" s="56"/>
      <c r="JEM6" s="56"/>
      <c r="JEO6" s="56"/>
      <c r="JEQ6" s="56"/>
      <c r="JES6" s="56"/>
      <c r="JEU6" s="56"/>
      <c r="JEW6" s="56"/>
      <c r="JEY6" s="56"/>
      <c r="JFA6" s="56"/>
      <c r="JFC6" s="56"/>
      <c r="JFE6" s="56"/>
      <c r="JFG6" s="56"/>
      <c r="JFI6" s="56"/>
      <c r="JFK6" s="56"/>
      <c r="JFM6" s="56"/>
      <c r="JFO6" s="56"/>
      <c r="JFQ6" s="56"/>
      <c r="JFS6" s="56"/>
      <c r="JFU6" s="56"/>
      <c r="JFW6" s="56"/>
      <c r="JFY6" s="56"/>
      <c r="JGA6" s="56"/>
      <c r="JGC6" s="56"/>
      <c r="JGE6" s="56"/>
      <c r="JGG6" s="56"/>
      <c r="JGI6" s="56"/>
      <c r="JGK6" s="56"/>
      <c r="JGM6" s="56"/>
      <c r="JGO6" s="56"/>
      <c r="JGQ6" s="56"/>
      <c r="JGS6" s="56"/>
      <c r="JGU6" s="56"/>
      <c r="JGW6" s="56"/>
      <c r="JGY6" s="56"/>
      <c r="JHA6" s="56"/>
      <c r="JHC6" s="56"/>
      <c r="JHE6" s="56"/>
      <c r="JHG6" s="56"/>
      <c r="JHI6" s="56"/>
      <c r="JHK6" s="56"/>
      <c r="JHM6" s="56"/>
      <c r="JHO6" s="56"/>
      <c r="JHQ6" s="56"/>
      <c r="JHS6" s="56"/>
      <c r="JHU6" s="56"/>
      <c r="JHW6" s="56"/>
      <c r="JHY6" s="56"/>
      <c r="JIA6" s="56"/>
      <c r="JIC6" s="56"/>
      <c r="JIE6" s="56"/>
      <c r="JIG6" s="56"/>
      <c r="JII6" s="56"/>
      <c r="JIK6" s="56"/>
      <c r="JIM6" s="56"/>
      <c r="JIO6" s="56"/>
      <c r="JIQ6" s="56"/>
      <c r="JIS6" s="56"/>
      <c r="JIU6" s="56"/>
      <c r="JIW6" s="56"/>
      <c r="JIY6" s="56"/>
      <c r="JJA6" s="56"/>
      <c r="JJC6" s="56"/>
      <c r="JJE6" s="56"/>
      <c r="JJG6" s="56"/>
      <c r="JJI6" s="56"/>
      <c r="JJK6" s="56"/>
      <c r="JJM6" s="56"/>
      <c r="JJO6" s="56"/>
      <c r="JJQ6" s="56"/>
      <c r="JJS6" s="56"/>
      <c r="JJU6" s="56"/>
      <c r="JJW6" s="56"/>
      <c r="JJY6" s="56"/>
      <c r="JKA6" s="56"/>
      <c r="JKC6" s="56"/>
      <c r="JKE6" s="56"/>
      <c r="JKG6" s="56"/>
      <c r="JKI6" s="56"/>
      <c r="JKK6" s="56"/>
      <c r="JKM6" s="56"/>
      <c r="JKO6" s="56"/>
      <c r="JKQ6" s="56"/>
      <c r="JKS6" s="56"/>
      <c r="JKU6" s="56"/>
      <c r="JKW6" s="56"/>
      <c r="JKY6" s="56"/>
      <c r="JLA6" s="56"/>
      <c r="JLC6" s="56"/>
      <c r="JLE6" s="56"/>
      <c r="JLG6" s="56"/>
      <c r="JLI6" s="56"/>
      <c r="JLK6" s="56"/>
      <c r="JLM6" s="56"/>
      <c r="JLO6" s="56"/>
      <c r="JLQ6" s="56"/>
      <c r="JLS6" s="56"/>
      <c r="JLU6" s="56"/>
      <c r="JLW6" s="56"/>
      <c r="JLY6" s="56"/>
      <c r="JMA6" s="56"/>
      <c r="JMC6" s="56"/>
      <c r="JME6" s="56"/>
      <c r="JMG6" s="56"/>
      <c r="JMI6" s="56"/>
      <c r="JMK6" s="56"/>
      <c r="JMM6" s="56"/>
      <c r="JMO6" s="56"/>
      <c r="JMQ6" s="56"/>
      <c r="JMS6" s="56"/>
      <c r="JMU6" s="56"/>
      <c r="JMW6" s="56"/>
      <c r="JMY6" s="56"/>
      <c r="JNA6" s="56"/>
      <c r="JNC6" s="56"/>
      <c r="JNE6" s="56"/>
      <c r="JNG6" s="56"/>
      <c r="JNI6" s="56"/>
      <c r="JNK6" s="56"/>
      <c r="JNM6" s="56"/>
      <c r="JNO6" s="56"/>
      <c r="JNQ6" s="56"/>
      <c r="JNS6" s="56"/>
      <c r="JNU6" s="56"/>
      <c r="JNW6" s="56"/>
      <c r="JNY6" s="56"/>
      <c r="JOA6" s="56"/>
      <c r="JOC6" s="56"/>
      <c r="JOE6" s="56"/>
      <c r="JOG6" s="56"/>
      <c r="JOI6" s="56"/>
      <c r="JOK6" s="56"/>
      <c r="JOM6" s="56"/>
      <c r="JOO6" s="56"/>
      <c r="JOQ6" s="56"/>
      <c r="JOS6" s="56"/>
      <c r="JOU6" s="56"/>
      <c r="JOW6" s="56"/>
      <c r="JOY6" s="56"/>
      <c r="JPA6" s="56"/>
      <c r="JPC6" s="56"/>
      <c r="JPE6" s="56"/>
      <c r="JPG6" s="56"/>
      <c r="JPI6" s="56"/>
      <c r="JPK6" s="56"/>
      <c r="JPM6" s="56"/>
      <c r="JPO6" s="56"/>
      <c r="JPQ6" s="56"/>
      <c r="JPS6" s="56"/>
      <c r="JPU6" s="56"/>
      <c r="JPW6" s="56"/>
      <c r="JPY6" s="56"/>
      <c r="JQA6" s="56"/>
      <c r="JQC6" s="56"/>
      <c r="JQE6" s="56"/>
      <c r="JQG6" s="56"/>
      <c r="JQI6" s="56"/>
      <c r="JQK6" s="56"/>
      <c r="JQM6" s="56"/>
      <c r="JQO6" s="56"/>
      <c r="JQQ6" s="56"/>
      <c r="JQS6" s="56"/>
      <c r="JQU6" s="56"/>
      <c r="JQW6" s="56"/>
      <c r="JQY6" s="56"/>
      <c r="JRA6" s="56"/>
      <c r="JRC6" s="56"/>
      <c r="JRE6" s="56"/>
      <c r="JRG6" s="56"/>
      <c r="JRI6" s="56"/>
      <c r="JRK6" s="56"/>
      <c r="JRM6" s="56"/>
      <c r="JRO6" s="56"/>
      <c r="JRQ6" s="56"/>
      <c r="JRS6" s="56"/>
      <c r="JRU6" s="56"/>
      <c r="JRW6" s="56"/>
      <c r="JRY6" s="56"/>
      <c r="JSA6" s="56"/>
      <c r="JSC6" s="56"/>
      <c r="JSE6" s="56"/>
      <c r="JSG6" s="56"/>
      <c r="JSI6" s="56"/>
      <c r="JSK6" s="56"/>
      <c r="JSM6" s="56"/>
      <c r="JSO6" s="56"/>
      <c r="JSQ6" s="56"/>
      <c r="JSS6" s="56"/>
      <c r="JSU6" s="56"/>
      <c r="JSW6" s="56"/>
      <c r="JSY6" s="56"/>
      <c r="JTA6" s="56"/>
      <c r="JTC6" s="56"/>
      <c r="JTE6" s="56"/>
      <c r="JTG6" s="56"/>
      <c r="JTI6" s="56"/>
      <c r="JTK6" s="56"/>
      <c r="JTM6" s="56"/>
      <c r="JTO6" s="56"/>
      <c r="JTQ6" s="56"/>
      <c r="JTS6" s="56"/>
      <c r="JTU6" s="56"/>
      <c r="JTW6" s="56"/>
      <c r="JTY6" s="56"/>
      <c r="JUA6" s="56"/>
      <c r="JUC6" s="56"/>
      <c r="JUE6" s="56"/>
      <c r="JUG6" s="56"/>
      <c r="JUI6" s="56"/>
      <c r="JUK6" s="56"/>
      <c r="JUM6" s="56"/>
      <c r="JUO6" s="56"/>
      <c r="JUQ6" s="56"/>
      <c r="JUS6" s="56"/>
      <c r="JUU6" s="56"/>
      <c r="JUW6" s="56"/>
      <c r="JUY6" s="56"/>
      <c r="JVA6" s="56"/>
      <c r="JVC6" s="56"/>
      <c r="JVE6" s="56"/>
      <c r="JVG6" s="56"/>
      <c r="JVI6" s="56"/>
      <c r="JVK6" s="56"/>
      <c r="JVM6" s="56"/>
      <c r="JVO6" s="56"/>
      <c r="JVQ6" s="56"/>
      <c r="JVS6" s="56"/>
      <c r="JVU6" s="56"/>
      <c r="JVW6" s="56"/>
      <c r="JVY6" s="56"/>
      <c r="JWA6" s="56"/>
      <c r="JWC6" s="56"/>
      <c r="JWE6" s="56"/>
      <c r="JWG6" s="56"/>
      <c r="JWI6" s="56"/>
      <c r="JWK6" s="56"/>
      <c r="JWM6" s="56"/>
      <c r="JWO6" s="56"/>
      <c r="JWQ6" s="56"/>
      <c r="JWS6" s="56"/>
      <c r="JWU6" s="56"/>
      <c r="JWW6" s="56"/>
      <c r="JWY6" s="56"/>
      <c r="JXA6" s="56"/>
      <c r="JXC6" s="56"/>
      <c r="JXE6" s="56"/>
      <c r="JXG6" s="56"/>
      <c r="JXI6" s="56"/>
      <c r="JXK6" s="56"/>
      <c r="JXM6" s="56"/>
      <c r="JXO6" s="56"/>
      <c r="JXQ6" s="56"/>
      <c r="JXS6" s="56"/>
      <c r="JXU6" s="56"/>
      <c r="JXW6" s="56"/>
      <c r="JXY6" s="56"/>
      <c r="JYA6" s="56"/>
      <c r="JYC6" s="56"/>
      <c r="JYE6" s="56"/>
      <c r="JYG6" s="56"/>
      <c r="JYI6" s="56"/>
      <c r="JYK6" s="56"/>
      <c r="JYM6" s="56"/>
      <c r="JYO6" s="56"/>
      <c r="JYQ6" s="56"/>
      <c r="JYS6" s="56"/>
      <c r="JYU6" s="56"/>
      <c r="JYW6" s="56"/>
      <c r="JYY6" s="56"/>
      <c r="JZA6" s="56"/>
      <c r="JZC6" s="56"/>
      <c r="JZE6" s="56"/>
      <c r="JZG6" s="56"/>
      <c r="JZI6" s="56"/>
      <c r="JZK6" s="56"/>
      <c r="JZM6" s="56"/>
      <c r="JZO6" s="56"/>
      <c r="JZQ6" s="56"/>
      <c r="JZS6" s="56"/>
      <c r="JZU6" s="56"/>
      <c r="JZW6" s="56"/>
      <c r="JZY6" s="56"/>
      <c r="KAA6" s="56"/>
      <c r="KAC6" s="56"/>
      <c r="KAE6" s="56"/>
      <c r="KAG6" s="56"/>
      <c r="KAI6" s="56"/>
      <c r="KAK6" s="56"/>
      <c r="KAM6" s="56"/>
      <c r="KAO6" s="56"/>
      <c r="KAQ6" s="56"/>
      <c r="KAS6" s="56"/>
      <c r="KAU6" s="56"/>
      <c r="KAW6" s="56"/>
      <c r="KAY6" s="56"/>
      <c r="KBA6" s="56"/>
      <c r="KBC6" s="56"/>
      <c r="KBE6" s="56"/>
      <c r="KBG6" s="56"/>
      <c r="KBI6" s="56"/>
      <c r="KBK6" s="56"/>
      <c r="KBM6" s="56"/>
      <c r="KBO6" s="56"/>
      <c r="KBQ6" s="56"/>
      <c r="KBS6" s="56"/>
      <c r="KBU6" s="56"/>
      <c r="KBW6" s="56"/>
      <c r="KBY6" s="56"/>
      <c r="KCA6" s="56"/>
      <c r="KCC6" s="56"/>
      <c r="KCE6" s="56"/>
      <c r="KCG6" s="56"/>
      <c r="KCI6" s="56"/>
      <c r="KCK6" s="56"/>
      <c r="KCM6" s="56"/>
      <c r="KCO6" s="56"/>
      <c r="KCQ6" s="56"/>
      <c r="KCS6" s="56"/>
      <c r="KCU6" s="56"/>
      <c r="KCW6" s="56"/>
      <c r="KCY6" s="56"/>
      <c r="KDA6" s="56"/>
      <c r="KDC6" s="56"/>
      <c r="KDE6" s="56"/>
      <c r="KDG6" s="56"/>
      <c r="KDI6" s="56"/>
      <c r="KDK6" s="56"/>
      <c r="KDM6" s="56"/>
      <c r="KDO6" s="56"/>
      <c r="KDQ6" s="56"/>
      <c r="KDS6" s="56"/>
      <c r="KDU6" s="56"/>
      <c r="KDW6" s="56"/>
      <c r="KDY6" s="56"/>
      <c r="KEA6" s="56"/>
      <c r="KEC6" s="56"/>
      <c r="KEE6" s="56"/>
      <c r="KEG6" s="56"/>
      <c r="KEI6" s="56"/>
      <c r="KEK6" s="56"/>
      <c r="KEM6" s="56"/>
      <c r="KEO6" s="56"/>
      <c r="KEQ6" s="56"/>
      <c r="KES6" s="56"/>
      <c r="KEU6" s="56"/>
      <c r="KEW6" s="56"/>
      <c r="KEY6" s="56"/>
      <c r="KFA6" s="56"/>
      <c r="KFC6" s="56"/>
      <c r="KFE6" s="56"/>
      <c r="KFG6" s="56"/>
      <c r="KFI6" s="56"/>
      <c r="KFK6" s="56"/>
      <c r="KFM6" s="56"/>
      <c r="KFO6" s="56"/>
      <c r="KFQ6" s="56"/>
      <c r="KFS6" s="56"/>
      <c r="KFU6" s="56"/>
      <c r="KFW6" s="56"/>
      <c r="KFY6" s="56"/>
      <c r="KGA6" s="56"/>
      <c r="KGC6" s="56"/>
      <c r="KGE6" s="56"/>
      <c r="KGG6" s="56"/>
      <c r="KGI6" s="56"/>
      <c r="KGK6" s="56"/>
      <c r="KGM6" s="56"/>
      <c r="KGO6" s="56"/>
      <c r="KGQ6" s="56"/>
      <c r="KGS6" s="56"/>
      <c r="KGU6" s="56"/>
      <c r="KGW6" s="56"/>
      <c r="KGY6" s="56"/>
      <c r="KHA6" s="56"/>
      <c r="KHC6" s="56"/>
      <c r="KHE6" s="56"/>
      <c r="KHG6" s="56"/>
      <c r="KHI6" s="56"/>
      <c r="KHK6" s="56"/>
      <c r="KHM6" s="56"/>
      <c r="KHO6" s="56"/>
      <c r="KHQ6" s="56"/>
      <c r="KHS6" s="56"/>
      <c r="KHU6" s="56"/>
      <c r="KHW6" s="56"/>
      <c r="KHY6" s="56"/>
      <c r="KIA6" s="56"/>
      <c r="KIC6" s="56"/>
      <c r="KIE6" s="56"/>
      <c r="KIG6" s="56"/>
      <c r="KII6" s="56"/>
      <c r="KIK6" s="56"/>
      <c r="KIM6" s="56"/>
      <c r="KIO6" s="56"/>
      <c r="KIQ6" s="56"/>
      <c r="KIS6" s="56"/>
      <c r="KIU6" s="56"/>
      <c r="KIW6" s="56"/>
      <c r="KIY6" s="56"/>
      <c r="KJA6" s="56"/>
      <c r="KJC6" s="56"/>
      <c r="KJE6" s="56"/>
      <c r="KJG6" s="56"/>
      <c r="KJI6" s="56"/>
      <c r="KJK6" s="56"/>
      <c r="KJM6" s="56"/>
      <c r="KJO6" s="56"/>
      <c r="KJQ6" s="56"/>
      <c r="KJS6" s="56"/>
      <c r="KJU6" s="56"/>
      <c r="KJW6" s="56"/>
      <c r="KJY6" s="56"/>
      <c r="KKA6" s="56"/>
      <c r="KKC6" s="56"/>
      <c r="KKE6" s="56"/>
      <c r="KKG6" s="56"/>
      <c r="KKI6" s="56"/>
      <c r="KKK6" s="56"/>
      <c r="KKM6" s="56"/>
      <c r="KKO6" s="56"/>
      <c r="KKQ6" s="56"/>
      <c r="KKS6" s="56"/>
      <c r="KKU6" s="56"/>
      <c r="KKW6" s="56"/>
      <c r="KKY6" s="56"/>
      <c r="KLA6" s="56"/>
      <c r="KLC6" s="56"/>
      <c r="KLE6" s="56"/>
      <c r="KLG6" s="56"/>
      <c r="KLI6" s="56"/>
      <c r="KLK6" s="56"/>
      <c r="KLM6" s="56"/>
      <c r="KLO6" s="56"/>
      <c r="KLQ6" s="56"/>
      <c r="KLS6" s="56"/>
      <c r="KLU6" s="56"/>
      <c r="KLW6" s="56"/>
      <c r="KLY6" s="56"/>
      <c r="KMA6" s="56"/>
      <c r="KMC6" s="56"/>
      <c r="KME6" s="56"/>
      <c r="KMG6" s="56"/>
      <c r="KMI6" s="56"/>
      <c r="KMK6" s="56"/>
      <c r="KMM6" s="56"/>
      <c r="KMO6" s="56"/>
      <c r="KMQ6" s="56"/>
      <c r="KMS6" s="56"/>
      <c r="KMU6" s="56"/>
      <c r="KMW6" s="56"/>
      <c r="KMY6" s="56"/>
      <c r="KNA6" s="56"/>
      <c r="KNC6" s="56"/>
      <c r="KNE6" s="56"/>
      <c r="KNG6" s="56"/>
      <c r="KNI6" s="56"/>
      <c r="KNK6" s="56"/>
      <c r="KNM6" s="56"/>
      <c r="KNO6" s="56"/>
      <c r="KNQ6" s="56"/>
      <c r="KNS6" s="56"/>
      <c r="KNU6" s="56"/>
      <c r="KNW6" s="56"/>
      <c r="KNY6" s="56"/>
      <c r="KOA6" s="56"/>
      <c r="KOC6" s="56"/>
      <c r="KOE6" s="56"/>
      <c r="KOG6" s="56"/>
      <c r="KOI6" s="56"/>
      <c r="KOK6" s="56"/>
      <c r="KOM6" s="56"/>
      <c r="KOO6" s="56"/>
      <c r="KOQ6" s="56"/>
      <c r="KOS6" s="56"/>
      <c r="KOU6" s="56"/>
      <c r="KOW6" s="56"/>
      <c r="KOY6" s="56"/>
      <c r="KPA6" s="56"/>
      <c r="KPC6" s="56"/>
      <c r="KPE6" s="56"/>
      <c r="KPG6" s="56"/>
      <c r="KPI6" s="56"/>
      <c r="KPK6" s="56"/>
      <c r="KPM6" s="56"/>
      <c r="KPO6" s="56"/>
      <c r="KPQ6" s="56"/>
      <c r="KPS6" s="56"/>
      <c r="KPU6" s="56"/>
      <c r="KPW6" s="56"/>
      <c r="KPY6" s="56"/>
      <c r="KQA6" s="56"/>
      <c r="KQC6" s="56"/>
      <c r="KQE6" s="56"/>
      <c r="KQG6" s="56"/>
      <c r="KQI6" s="56"/>
      <c r="KQK6" s="56"/>
      <c r="KQM6" s="56"/>
      <c r="KQO6" s="56"/>
      <c r="KQQ6" s="56"/>
      <c r="KQS6" s="56"/>
      <c r="KQU6" s="56"/>
      <c r="KQW6" s="56"/>
      <c r="KQY6" s="56"/>
      <c r="KRA6" s="56"/>
      <c r="KRC6" s="56"/>
      <c r="KRE6" s="56"/>
      <c r="KRG6" s="56"/>
      <c r="KRI6" s="56"/>
      <c r="KRK6" s="56"/>
      <c r="KRM6" s="56"/>
      <c r="KRO6" s="56"/>
      <c r="KRQ6" s="56"/>
      <c r="KRS6" s="56"/>
      <c r="KRU6" s="56"/>
      <c r="KRW6" s="56"/>
      <c r="KRY6" s="56"/>
      <c r="KSA6" s="56"/>
      <c r="KSC6" s="56"/>
      <c r="KSE6" s="56"/>
      <c r="KSG6" s="56"/>
      <c r="KSI6" s="56"/>
      <c r="KSK6" s="56"/>
      <c r="KSM6" s="56"/>
      <c r="KSO6" s="56"/>
      <c r="KSQ6" s="56"/>
      <c r="KSS6" s="56"/>
      <c r="KSU6" s="56"/>
      <c r="KSW6" s="56"/>
      <c r="KSY6" s="56"/>
      <c r="KTA6" s="56"/>
      <c r="KTC6" s="56"/>
      <c r="KTE6" s="56"/>
      <c r="KTG6" s="56"/>
      <c r="KTI6" s="56"/>
      <c r="KTK6" s="56"/>
      <c r="KTM6" s="56"/>
      <c r="KTO6" s="56"/>
      <c r="KTQ6" s="56"/>
      <c r="KTS6" s="56"/>
      <c r="KTU6" s="56"/>
      <c r="KTW6" s="56"/>
      <c r="KTY6" s="56"/>
      <c r="KUA6" s="56"/>
      <c r="KUC6" s="56"/>
      <c r="KUE6" s="56"/>
      <c r="KUG6" s="56"/>
      <c r="KUI6" s="56"/>
      <c r="KUK6" s="56"/>
      <c r="KUM6" s="56"/>
      <c r="KUO6" s="56"/>
      <c r="KUQ6" s="56"/>
      <c r="KUS6" s="56"/>
      <c r="KUU6" s="56"/>
      <c r="KUW6" s="56"/>
      <c r="KUY6" s="56"/>
      <c r="KVA6" s="56"/>
      <c r="KVC6" s="56"/>
      <c r="KVE6" s="56"/>
      <c r="KVG6" s="56"/>
      <c r="KVI6" s="56"/>
      <c r="KVK6" s="56"/>
      <c r="KVM6" s="56"/>
      <c r="KVO6" s="56"/>
      <c r="KVQ6" s="56"/>
      <c r="KVS6" s="56"/>
      <c r="KVU6" s="56"/>
      <c r="KVW6" s="56"/>
      <c r="KVY6" s="56"/>
      <c r="KWA6" s="56"/>
      <c r="KWC6" s="56"/>
      <c r="KWE6" s="56"/>
      <c r="KWG6" s="56"/>
      <c r="KWI6" s="56"/>
      <c r="KWK6" s="56"/>
      <c r="KWM6" s="56"/>
      <c r="KWO6" s="56"/>
      <c r="KWQ6" s="56"/>
      <c r="KWS6" s="56"/>
      <c r="KWU6" s="56"/>
      <c r="KWW6" s="56"/>
      <c r="KWY6" s="56"/>
      <c r="KXA6" s="56"/>
      <c r="KXC6" s="56"/>
      <c r="KXE6" s="56"/>
      <c r="KXG6" s="56"/>
      <c r="KXI6" s="56"/>
      <c r="KXK6" s="56"/>
      <c r="KXM6" s="56"/>
      <c r="KXO6" s="56"/>
      <c r="KXQ6" s="56"/>
      <c r="KXS6" s="56"/>
      <c r="KXU6" s="56"/>
      <c r="KXW6" s="56"/>
      <c r="KXY6" s="56"/>
      <c r="KYA6" s="56"/>
      <c r="KYC6" s="56"/>
      <c r="KYE6" s="56"/>
      <c r="KYG6" s="56"/>
      <c r="KYI6" s="56"/>
      <c r="KYK6" s="56"/>
      <c r="KYM6" s="56"/>
      <c r="KYO6" s="56"/>
      <c r="KYQ6" s="56"/>
      <c r="KYS6" s="56"/>
      <c r="KYU6" s="56"/>
      <c r="KYW6" s="56"/>
      <c r="KYY6" s="56"/>
      <c r="KZA6" s="56"/>
      <c r="KZC6" s="56"/>
      <c r="KZE6" s="56"/>
      <c r="KZG6" s="56"/>
      <c r="KZI6" s="56"/>
      <c r="KZK6" s="56"/>
      <c r="KZM6" s="56"/>
      <c r="KZO6" s="56"/>
      <c r="KZQ6" s="56"/>
      <c r="KZS6" s="56"/>
      <c r="KZU6" s="56"/>
      <c r="KZW6" s="56"/>
      <c r="KZY6" s="56"/>
      <c r="LAA6" s="56"/>
      <c r="LAC6" s="56"/>
      <c r="LAE6" s="56"/>
      <c r="LAG6" s="56"/>
      <c r="LAI6" s="56"/>
      <c r="LAK6" s="56"/>
      <c r="LAM6" s="56"/>
      <c r="LAO6" s="56"/>
      <c r="LAQ6" s="56"/>
      <c r="LAS6" s="56"/>
      <c r="LAU6" s="56"/>
      <c r="LAW6" s="56"/>
      <c r="LAY6" s="56"/>
      <c r="LBA6" s="56"/>
      <c r="LBC6" s="56"/>
      <c r="LBE6" s="56"/>
      <c r="LBG6" s="56"/>
      <c r="LBI6" s="56"/>
      <c r="LBK6" s="56"/>
      <c r="LBM6" s="56"/>
      <c r="LBO6" s="56"/>
      <c r="LBQ6" s="56"/>
      <c r="LBS6" s="56"/>
      <c r="LBU6" s="56"/>
      <c r="LBW6" s="56"/>
      <c r="LBY6" s="56"/>
      <c r="LCA6" s="56"/>
      <c r="LCC6" s="56"/>
      <c r="LCE6" s="56"/>
      <c r="LCG6" s="56"/>
      <c r="LCI6" s="56"/>
      <c r="LCK6" s="56"/>
      <c r="LCM6" s="56"/>
      <c r="LCO6" s="56"/>
      <c r="LCQ6" s="56"/>
      <c r="LCS6" s="56"/>
      <c r="LCU6" s="56"/>
      <c r="LCW6" s="56"/>
      <c r="LCY6" s="56"/>
      <c r="LDA6" s="56"/>
      <c r="LDC6" s="56"/>
      <c r="LDE6" s="56"/>
      <c r="LDG6" s="56"/>
      <c r="LDI6" s="56"/>
      <c r="LDK6" s="56"/>
      <c r="LDM6" s="56"/>
      <c r="LDO6" s="56"/>
      <c r="LDQ6" s="56"/>
      <c r="LDS6" s="56"/>
      <c r="LDU6" s="56"/>
      <c r="LDW6" s="56"/>
      <c r="LDY6" s="56"/>
      <c r="LEA6" s="56"/>
      <c r="LEC6" s="56"/>
      <c r="LEE6" s="56"/>
      <c r="LEG6" s="56"/>
      <c r="LEI6" s="56"/>
      <c r="LEK6" s="56"/>
      <c r="LEM6" s="56"/>
      <c r="LEO6" s="56"/>
      <c r="LEQ6" s="56"/>
      <c r="LES6" s="56"/>
      <c r="LEU6" s="56"/>
      <c r="LEW6" s="56"/>
      <c r="LEY6" s="56"/>
      <c r="LFA6" s="56"/>
      <c r="LFC6" s="56"/>
      <c r="LFE6" s="56"/>
      <c r="LFG6" s="56"/>
      <c r="LFI6" s="56"/>
      <c r="LFK6" s="56"/>
      <c r="LFM6" s="56"/>
      <c r="LFO6" s="56"/>
      <c r="LFQ6" s="56"/>
      <c r="LFS6" s="56"/>
      <c r="LFU6" s="56"/>
      <c r="LFW6" s="56"/>
      <c r="LFY6" s="56"/>
      <c r="LGA6" s="56"/>
      <c r="LGC6" s="56"/>
      <c r="LGE6" s="56"/>
      <c r="LGG6" s="56"/>
      <c r="LGI6" s="56"/>
      <c r="LGK6" s="56"/>
      <c r="LGM6" s="56"/>
      <c r="LGO6" s="56"/>
      <c r="LGQ6" s="56"/>
      <c r="LGS6" s="56"/>
      <c r="LGU6" s="56"/>
      <c r="LGW6" s="56"/>
      <c r="LGY6" s="56"/>
      <c r="LHA6" s="56"/>
      <c r="LHC6" s="56"/>
      <c r="LHE6" s="56"/>
      <c r="LHG6" s="56"/>
      <c r="LHI6" s="56"/>
      <c r="LHK6" s="56"/>
      <c r="LHM6" s="56"/>
      <c r="LHO6" s="56"/>
      <c r="LHQ6" s="56"/>
      <c r="LHS6" s="56"/>
      <c r="LHU6" s="56"/>
      <c r="LHW6" s="56"/>
      <c r="LHY6" s="56"/>
      <c r="LIA6" s="56"/>
      <c r="LIC6" s="56"/>
      <c r="LIE6" s="56"/>
      <c r="LIG6" s="56"/>
      <c r="LII6" s="56"/>
      <c r="LIK6" s="56"/>
      <c r="LIM6" s="56"/>
      <c r="LIO6" s="56"/>
      <c r="LIQ6" s="56"/>
      <c r="LIS6" s="56"/>
      <c r="LIU6" s="56"/>
      <c r="LIW6" s="56"/>
      <c r="LIY6" s="56"/>
      <c r="LJA6" s="56"/>
      <c r="LJC6" s="56"/>
      <c r="LJE6" s="56"/>
      <c r="LJG6" s="56"/>
      <c r="LJI6" s="56"/>
      <c r="LJK6" s="56"/>
      <c r="LJM6" s="56"/>
      <c r="LJO6" s="56"/>
      <c r="LJQ6" s="56"/>
      <c r="LJS6" s="56"/>
      <c r="LJU6" s="56"/>
      <c r="LJW6" s="56"/>
      <c r="LJY6" s="56"/>
      <c r="LKA6" s="56"/>
      <c r="LKC6" s="56"/>
      <c r="LKE6" s="56"/>
      <c r="LKG6" s="56"/>
      <c r="LKI6" s="56"/>
      <c r="LKK6" s="56"/>
      <c r="LKM6" s="56"/>
      <c r="LKO6" s="56"/>
      <c r="LKQ6" s="56"/>
      <c r="LKS6" s="56"/>
      <c r="LKU6" s="56"/>
      <c r="LKW6" s="56"/>
      <c r="LKY6" s="56"/>
      <c r="LLA6" s="56"/>
      <c r="LLC6" s="56"/>
      <c r="LLE6" s="56"/>
      <c r="LLG6" s="56"/>
      <c r="LLI6" s="56"/>
      <c r="LLK6" s="56"/>
      <c r="LLM6" s="56"/>
      <c r="LLO6" s="56"/>
      <c r="LLQ6" s="56"/>
      <c r="LLS6" s="56"/>
      <c r="LLU6" s="56"/>
      <c r="LLW6" s="56"/>
      <c r="LLY6" s="56"/>
      <c r="LMA6" s="56"/>
      <c r="LMC6" s="56"/>
      <c r="LME6" s="56"/>
      <c r="LMG6" s="56"/>
      <c r="LMI6" s="56"/>
      <c r="LMK6" s="56"/>
      <c r="LMM6" s="56"/>
      <c r="LMO6" s="56"/>
      <c r="LMQ6" s="56"/>
      <c r="LMS6" s="56"/>
      <c r="LMU6" s="56"/>
      <c r="LMW6" s="56"/>
      <c r="LMY6" s="56"/>
      <c r="LNA6" s="56"/>
      <c r="LNC6" s="56"/>
      <c r="LNE6" s="56"/>
      <c r="LNG6" s="56"/>
      <c r="LNI6" s="56"/>
      <c r="LNK6" s="56"/>
      <c r="LNM6" s="56"/>
      <c r="LNO6" s="56"/>
      <c r="LNQ6" s="56"/>
      <c r="LNS6" s="56"/>
      <c r="LNU6" s="56"/>
      <c r="LNW6" s="56"/>
      <c r="LNY6" s="56"/>
      <c r="LOA6" s="56"/>
      <c r="LOC6" s="56"/>
      <c r="LOE6" s="56"/>
      <c r="LOG6" s="56"/>
      <c r="LOI6" s="56"/>
      <c r="LOK6" s="56"/>
      <c r="LOM6" s="56"/>
      <c r="LOO6" s="56"/>
      <c r="LOQ6" s="56"/>
      <c r="LOS6" s="56"/>
      <c r="LOU6" s="56"/>
      <c r="LOW6" s="56"/>
      <c r="LOY6" s="56"/>
      <c r="LPA6" s="56"/>
      <c r="LPC6" s="56"/>
      <c r="LPE6" s="56"/>
      <c r="LPG6" s="56"/>
      <c r="LPI6" s="56"/>
      <c r="LPK6" s="56"/>
      <c r="LPM6" s="56"/>
      <c r="LPO6" s="56"/>
      <c r="LPQ6" s="56"/>
      <c r="LPS6" s="56"/>
      <c r="LPU6" s="56"/>
      <c r="LPW6" s="56"/>
      <c r="LPY6" s="56"/>
      <c r="LQA6" s="56"/>
      <c r="LQC6" s="56"/>
      <c r="LQE6" s="56"/>
      <c r="LQG6" s="56"/>
      <c r="LQI6" s="56"/>
      <c r="LQK6" s="56"/>
      <c r="LQM6" s="56"/>
      <c r="LQO6" s="56"/>
      <c r="LQQ6" s="56"/>
      <c r="LQS6" s="56"/>
      <c r="LQU6" s="56"/>
      <c r="LQW6" s="56"/>
      <c r="LQY6" s="56"/>
      <c r="LRA6" s="56"/>
      <c r="LRC6" s="56"/>
      <c r="LRE6" s="56"/>
      <c r="LRG6" s="56"/>
      <c r="LRI6" s="56"/>
      <c r="LRK6" s="56"/>
      <c r="LRM6" s="56"/>
      <c r="LRO6" s="56"/>
      <c r="LRQ6" s="56"/>
      <c r="LRS6" s="56"/>
      <c r="LRU6" s="56"/>
      <c r="LRW6" s="56"/>
      <c r="LRY6" s="56"/>
      <c r="LSA6" s="56"/>
      <c r="LSC6" s="56"/>
      <c r="LSE6" s="56"/>
      <c r="LSG6" s="56"/>
      <c r="LSI6" s="56"/>
      <c r="LSK6" s="56"/>
      <c r="LSM6" s="56"/>
      <c r="LSO6" s="56"/>
      <c r="LSQ6" s="56"/>
      <c r="LSS6" s="56"/>
      <c r="LSU6" s="56"/>
      <c r="LSW6" s="56"/>
      <c r="LSY6" s="56"/>
      <c r="LTA6" s="56"/>
      <c r="LTC6" s="56"/>
      <c r="LTE6" s="56"/>
      <c r="LTG6" s="56"/>
      <c r="LTI6" s="56"/>
      <c r="LTK6" s="56"/>
      <c r="LTM6" s="56"/>
      <c r="LTO6" s="56"/>
      <c r="LTQ6" s="56"/>
      <c r="LTS6" s="56"/>
      <c r="LTU6" s="56"/>
      <c r="LTW6" s="56"/>
      <c r="LTY6" s="56"/>
      <c r="LUA6" s="56"/>
      <c r="LUC6" s="56"/>
      <c r="LUE6" s="56"/>
      <c r="LUG6" s="56"/>
      <c r="LUI6" s="56"/>
      <c r="LUK6" s="56"/>
      <c r="LUM6" s="56"/>
      <c r="LUO6" s="56"/>
      <c r="LUQ6" s="56"/>
      <c r="LUS6" s="56"/>
      <c r="LUU6" s="56"/>
      <c r="LUW6" s="56"/>
      <c r="LUY6" s="56"/>
      <c r="LVA6" s="56"/>
      <c r="LVC6" s="56"/>
      <c r="LVE6" s="56"/>
      <c r="LVG6" s="56"/>
      <c r="LVI6" s="56"/>
      <c r="LVK6" s="56"/>
      <c r="LVM6" s="56"/>
      <c r="LVO6" s="56"/>
      <c r="LVQ6" s="56"/>
      <c r="LVS6" s="56"/>
      <c r="LVU6" s="56"/>
      <c r="LVW6" s="56"/>
      <c r="LVY6" s="56"/>
      <c r="LWA6" s="56"/>
      <c r="LWC6" s="56"/>
      <c r="LWE6" s="56"/>
      <c r="LWG6" s="56"/>
      <c r="LWI6" s="56"/>
      <c r="LWK6" s="56"/>
      <c r="LWM6" s="56"/>
      <c r="LWO6" s="56"/>
      <c r="LWQ6" s="56"/>
      <c r="LWS6" s="56"/>
      <c r="LWU6" s="56"/>
      <c r="LWW6" s="56"/>
      <c r="LWY6" s="56"/>
      <c r="LXA6" s="56"/>
      <c r="LXC6" s="56"/>
      <c r="LXE6" s="56"/>
      <c r="LXG6" s="56"/>
      <c r="LXI6" s="56"/>
      <c r="LXK6" s="56"/>
      <c r="LXM6" s="56"/>
      <c r="LXO6" s="56"/>
      <c r="LXQ6" s="56"/>
      <c r="LXS6" s="56"/>
      <c r="LXU6" s="56"/>
      <c r="LXW6" s="56"/>
      <c r="LXY6" s="56"/>
      <c r="LYA6" s="56"/>
      <c r="LYC6" s="56"/>
      <c r="LYE6" s="56"/>
      <c r="LYG6" s="56"/>
      <c r="LYI6" s="56"/>
      <c r="LYK6" s="56"/>
      <c r="LYM6" s="56"/>
      <c r="LYO6" s="56"/>
      <c r="LYQ6" s="56"/>
      <c r="LYS6" s="56"/>
      <c r="LYU6" s="56"/>
      <c r="LYW6" s="56"/>
      <c r="LYY6" s="56"/>
      <c r="LZA6" s="56"/>
      <c r="LZC6" s="56"/>
      <c r="LZE6" s="56"/>
      <c r="LZG6" s="56"/>
      <c r="LZI6" s="56"/>
      <c r="LZK6" s="56"/>
      <c r="LZM6" s="56"/>
      <c r="LZO6" s="56"/>
      <c r="LZQ6" s="56"/>
      <c r="LZS6" s="56"/>
      <c r="LZU6" s="56"/>
      <c r="LZW6" s="56"/>
      <c r="LZY6" s="56"/>
      <c r="MAA6" s="56"/>
      <c r="MAC6" s="56"/>
      <c r="MAE6" s="56"/>
      <c r="MAG6" s="56"/>
      <c r="MAI6" s="56"/>
      <c r="MAK6" s="56"/>
      <c r="MAM6" s="56"/>
      <c r="MAO6" s="56"/>
      <c r="MAQ6" s="56"/>
      <c r="MAS6" s="56"/>
      <c r="MAU6" s="56"/>
      <c r="MAW6" s="56"/>
      <c r="MAY6" s="56"/>
      <c r="MBA6" s="56"/>
      <c r="MBC6" s="56"/>
      <c r="MBE6" s="56"/>
      <c r="MBG6" s="56"/>
      <c r="MBI6" s="56"/>
      <c r="MBK6" s="56"/>
      <c r="MBM6" s="56"/>
      <c r="MBO6" s="56"/>
      <c r="MBQ6" s="56"/>
      <c r="MBS6" s="56"/>
      <c r="MBU6" s="56"/>
      <c r="MBW6" s="56"/>
      <c r="MBY6" s="56"/>
      <c r="MCA6" s="56"/>
      <c r="MCC6" s="56"/>
      <c r="MCE6" s="56"/>
      <c r="MCG6" s="56"/>
      <c r="MCI6" s="56"/>
      <c r="MCK6" s="56"/>
      <c r="MCM6" s="56"/>
      <c r="MCO6" s="56"/>
      <c r="MCQ6" s="56"/>
      <c r="MCS6" s="56"/>
      <c r="MCU6" s="56"/>
      <c r="MCW6" s="56"/>
      <c r="MCY6" s="56"/>
      <c r="MDA6" s="56"/>
      <c r="MDC6" s="56"/>
      <c r="MDE6" s="56"/>
      <c r="MDG6" s="56"/>
      <c r="MDI6" s="56"/>
      <c r="MDK6" s="56"/>
      <c r="MDM6" s="56"/>
      <c r="MDO6" s="56"/>
      <c r="MDQ6" s="56"/>
      <c r="MDS6" s="56"/>
      <c r="MDU6" s="56"/>
      <c r="MDW6" s="56"/>
      <c r="MDY6" s="56"/>
      <c r="MEA6" s="56"/>
      <c r="MEC6" s="56"/>
      <c r="MEE6" s="56"/>
      <c r="MEG6" s="56"/>
      <c r="MEI6" s="56"/>
      <c r="MEK6" s="56"/>
      <c r="MEM6" s="56"/>
      <c r="MEO6" s="56"/>
      <c r="MEQ6" s="56"/>
      <c r="MES6" s="56"/>
      <c r="MEU6" s="56"/>
      <c r="MEW6" s="56"/>
      <c r="MEY6" s="56"/>
      <c r="MFA6" s="56"/>
      <c r="MFC6" s="56"/>
      <c r="MFE6" s="56"/>
      <c r="MFG6" s="56"/>
      <c r="MFI6" s="56"/>
      <c r="MFK6" s="56"/>
      <c r="MFM6" s="56"/>
      <c r="MFO6" s="56"/>
      <c r="MFQ6" s="56"/>
      <c r="MFS6" s="56"/>
      <c r="MFU6" s="56"/>
      <c r="MFW6" s="56"/>
      <c r="MFY6" s="56"/>
      <c r="MGA6" s="56"/>
      <c r="MGC6" s="56"/>
      <c r="MGE6" s="56"/>
      <c r="MGG6" s="56"/>
      <c r="MGI6" s="56"/>
      <c r="MGK6" s="56"/>
      <c r="MGM6" s="56"/>
      <c r="MGO6" s="56"/>
      <c r="MGQ6" s="56"/>
      <c r="MGS6" s="56"/>
      <c r="MGU6" s="56"/>
      <c r="MGW6" s="56"/>
      <c r="MGY6" s="56"/>
      <c r="MHA6" s="56"/>
      <c r="MHC6" s="56"/>
      <c r="MHE6" s="56"/>
      <c r="MHG6" s="56"/>
      <c r="MHI6" s="56"/>
      <c r="MHK6" s="56"/>
      <c r="MHM6" s="56"/>
      <c r="MHO6" s="56"/>
      <c r="MHQ6" s="56"/>
      <c r="MHS6" s="56"/>
      <c r="MHU6" s="56"/>
      <c r="MHW6" s="56"/>
      <c r="MHY6" s="56"/>
      <c r="MIA6" s="56"/>
      <c r="MIC6" s="56"/>
      <c r="MIE6" s="56"/>
      <c r="MIG6" s="56"/>
      <c r="MII6" s="56"/>
      <c r="MIK6" s="56"/>
      <c r="MIM6" s="56"/>
      <c r="MIO6" s="56"/>
      <c r="MIQ6" s="56"/>
      <c r="MIS6" s="56"/>
      <c r="MIU6" s="56"/>
      <c r="MIW6" s="56"/>
      <c r="MIY6" s="56"/>
      <c r="MJA6" s="56"/>
      <c r="MJC6" s="56"/>
      <c r="MJE6" s="56"/>
      <c r="MJG6" s="56"/>
      <c r="MJI6" s="56"/>
      <c r="MJK6" s="56"/>
      <c r="MJM6" s="56"/>
      <c r="MJO6" s="56"/>
      <c r="MJQ6" s="56"/>
      <c r="MJS6" s="56"/>
      <c r="MJU6" s="56"/>
      <c r="MJW6" s="56"/>
      <c r="MJY6" s="56"/>
      <c r="MKA6" s="56"/>
      <c r="MKC6" s="56"/>
      <c r="MKE6" s="56"/>
      <c r="MKG6" s="56"/>
      <c r="MKI6" s="56"/>
      <c r="MKK6" s="56"/>
      <c r="MKM6" s="56"/>
      <c r="MKO6" s="56"/>
      <c r="MKQ6" s="56"/>
      <c r="MKS6" s="56"/>
      <c r="MKU6" s="56"/>
      <c r="MKW6" s="56"/>
      <c r="MKY6" s="56"/>
      <c r="MLA6" s="56"/>
      <c r="MLC6" s="56"/>
      <c r="MLE6" s="56"/>
      <c r="MLG6" s="56"/>
      <c r="MLI6" s="56"/>
      <c r="MLK6" s="56"/>
      <c r="MLM6" s="56"/>
      <c r="MLO6" s="56"/>
      <c r="MLQ6" s="56"/>
      <c r="MLS6" s="56"/>
      <c r="MLU6" s="56"/>
      <c r="MLW6" s="56"/>
      <c r="MLY6" s="56"/>
      <c r="MMA6" s="56"/>
      <c r="MMC6" s="56"/>
      <c r="MME6" s="56"/>
      <c r="MMG6" s="56"/>
      <c r="MMI6" s="56"/>
      <c r="MMK6" s="56"/>
      <c r="MMM6" s="56"/>
      <c r="MMO6" s="56"/>
      <c r="MMQ6" s="56"/>
      <c r="MMS6" s="56"/>
      <c r="MMU6" s="56"/>
      <c r="MMW6" s="56"/>
      <c r="MMY6" s="56"/>
      <c r="MNA6" s="56"/>
      <c r="MNC6" s="56"/>
      <c r="MNE6" s="56"/>
      <c r="MNG6" s="56"/>
      <c r="MNI6" s="56"/>
      <c r="MNK6" s="56"/>
      <c r="MNM6" s="56"/>
      <c r="MNO6" s="56"/>
      <c r="MNQ6" s="56"/>
      <c r="MNS6" s="56"/>
      <c r="MNU6" s="56"/>
      <c r="MNW6" s="56"/>
      <c r="MNY6" s="56"/>
      <c r="MOA6" s="56"/>
      <c r="MOC6" s="56"/>
      <c r="MOE6" s="56"/>
      <c r="MOG6" s="56"/>
      <c r="MOI6" s="56"/>
      <c r="MOK6" s="56"/>
      <c r="MOM6" s="56"/>
      <c r="MOO6" s="56"/>
      <c r="MOQ6" s="56"/>
      <c r="MOS6" s="56"/>
      <c r="MOU6" s="56"/>
      <c r="MOW6" s="56"/>
      <c r="MOY6" s="56"/>
      <c r="MPA6" s="56"/>
      <c r="MPC6" s="56"/>
      <c r="MPE6" s="56"/>
      <c r="MPG6" s="56"/>
      <c r="MPI6" s="56"/>
      <c r="MPK6" s="56"/>
      <c r="MPM6" s="56"/>
      <c r="MPO6" s="56"/>
      <c r="MPQ6" s="56"/>
      <c r="MPS6" s="56"/>
      <c r="MPU6" s="56"/>
      <c r="MPW6" s="56"/>
      <c r="MPY6" s="56"/>
      <c r="MQA6" s="56"/>
      <c r="MQC6" s="56"/>
      <c r="MQE6" s="56"/>
      <c r="MQG6" s="56"/>
      <c r="MQI6" s="56"/>
      <c r="MQK6" s="56"/>
      <c r="MQM6" s="56"/>
      <c r="MQO6" s="56"/>
      <c r="MQQ6" s="56"/>
      <c r="MQS6" s="56"/>
      <c r="MQU6" s="56"/>
      <c r="MQW6" s="56"/>
      <c r="MQY6" s="56"/>
      <c r="MRA6" s="56"/>
      <c r="MRC6" s="56"/>
      <c r="MRE6" s="56"/>
      <c r="MRG6" s="56"/>
      <c r="MRI6" s="56"/>
      <c r="MRK6" s="56"/>
      <c r="MRM6" s="56"/>
      <c r="MRO6" s="56"/>
      <c r="MRQ6" s="56"/>
      <c r="MRS6" s="56"/>
      <c r="MRU6" s="56"/>
      <c r="MRW6" s="56"/>
      <c r="MRY6" s="56"/>
      <c r="MSA6" s="56"/>
      <c r="MSC6" s="56"/>
      <c r="MSE6" s="56"/>
      <c r="MSG6" s="56"/>
      <c r="MSI6" s="56"/>
      <c r="MSK6" s="56"/>
      <c r="MSM6" s="56"/>
      <c r="MSO6" s="56"/>
      <c r="MSQ6" s="56"/>
      <c r="MSS6" s="56"/>
      <c r="MSU6" s="56"/>
      <c r="MSW6" s="56"/>
      <c r="MSY6" s="56"/>
      <c r="MTA6" s="56"/>
      <c r="MTC6" s="56"/>
      <c r="MTE6" s="56"/>
      <c r="MTG6" s="56"/>
      <c r="MTI6" s="56"/>
      <c r="MTK6" s="56"/>
      <c r="MTM6" s="56"/>
      <c r="MTO6" s="56"/>
      <c r="MTQ6" s="56"/>
      <c r="MTS6" s="56"/>
      <c r="MTU6" s="56"/>
      <c r="MTW6" s="56"/>
      <c r="MTY6" s="56"/>
      <c r="MUA6" s="56"/>
      <c r="MUC6" s="56"/>
      <c r="MUE6" s="56"/>
      <c r="MUG6" s="56"/>
      <c r="MUI6" s="56"/>
      <c r="MUK6" s="56"/>
      <c r="MUM6" s="56"/>
      <c r="MUO6" s="56"/>
      <c r="MUQ6" s="56"/>
      <c r="MUS6" s="56"/>
      <c r="MUU6" s="56"/>
      <c r="MUW6" s="56"/>
      <c r="MUY6" s="56"/>
      <c r="MVA6" s="56"/>
      <c r="MVC6" s="56"/>
      <c r="MVE6" s="56"/>
      <c r="MVG6" s="56"/>
      <c r="MVI6" s="56"/>
      <c r="MVK6" s="56"/>
      <c r="MVM6" s="56"/>
      <c r="MVO6" s="56"/>
      <c r="MVQ6" s="56"/>
      <c r="MVS6" s="56"/>
      <c r="MVU6" s="56"/>
      <c r="MVW6" s="56"/>
      <c r="MVY6" s="56"/>
      <c r="MWA6" s="56"/>
      <c r="MWC6" s="56"/>
      <c r="MWE6" s="56"/>
      <c r="MWG6" s="56"/>
      <c r="MWI6" s="56"/>
      <c r="MWK6" s="56"/>
      <c r="MWM6" s="56"/>
      <c r="MWO6" s="56"/>
      <c r="MWQ6" s="56"/>
      <c r="MWS6" s="56"/>
      <c r="MWU6" s="56"/>
      <c r="MWW6" s="56"/>
      <c r="MWY6" s="56"/>
      <c r="MXA6" s="56"/>
      <c r="MXC6" s="56"/>
      <c r="MXE6" s="56"/>
      <c r="MXG6" s="56"/>
      <c r="MXI6" s="56"/>
      <c r="MXK6" s="56"/>
      <c r="MXM6" s="56"/>
      <c r="MXO6" s="56"/>
      <c r="MXQ6" s="56"/>
      <c r="MXS6" s="56"/>
      <c r="MXU6" s="56"/>
      <c r="MXW6" s="56"/>
      <c r="MXY6" s="56"/>
      <c r="MYA6" s="56"/>
      <c r="MYC6" s="56"/>
      <c r="MYE6" s="56"/>
      <c r="MYG6" s="56"/>
      <c r="MYI6" s="56"/>
      <c r="MYK6" s="56"/>
      <c r="MYM6" s="56"/>
      <c r="MYO6" s="56"/>
      <c r="MYQ6" s="56"/>
      <c r="MYS6" s="56"/>
      <c r="MYU6" s="56"/>
      <c r="MYW6" s="56"/>
      <c r="MYY6" s="56"/>
      <c r="MZA6" s="56"/>
      <c r="MZC6" s="56"/>
      <c r="MZE6" s="56"/>
      <c r="MZG6" s="56"/>
      <c r="MZI6" s="56"/>
      <c r="MZK6" s="56"/>
      <c r="MZM6" s="56"/>
      <c r="MZO6" s="56"/>
      <c r="MZQ6" s="56"/>
      <c r="MZS6" s="56"/>
      <c r="MZU6" s="56"/>
      <c r="MZW6" s="56"/>
      <c r="MZY6" s="56"/>
      <c r="NAA6" s="56"/>
      <c r="NAC6" s="56"/>
      <c r="NAE6" s="56"/>
      <c r="NAG6" s="56"/>
      <c r="NAI6" s="56"/>
      <c r="NAK6" s="56"/>
      <c r="NAM6" s="56"/>
      <c r="NAO6" s="56"/>
      <c r="NAQ6" s="56"/>
      <c r="NAS6" s="56"/>
      <c r="NAU6" s="56"/>
      <c r="NAW6" s="56"/>
      <c r="NAY6" s="56"/>
      <c r="NBA6" s="56"/>
      <c r="NBC6" s="56"/>
      <c r="NBE6" s="56"/>
      <c r="NBG6" s="56"/>
      <c r="NBI6" s="56"/>
      <c r="NBK6" s="56"/>
      <c r="NBM6" s="56"/>
      <c r="NBO6" s="56"/>
      <c r="NBQ6" s="56"/>
      <c r="NBS6" s="56"/>
      <c r="NBU6" s="56"/>
      <c r="NBW6" s="56"/>
      <c r="NBY6" s="56"/>
      <c r="NCA6" s="56"/>
      <c r="NCC6" s="56"/>
      <c r="NCE6" s="56"/>
      <c r="NCG6" s="56"/>
      <c r="NCI6" s="56"/>
      <c r="NCK6" s="56"/>
      <c r="NCM6" s="56"/>
      <c r="NCO6" s="56"/>
      <c r="NCQ6" s="56"/>
      <c r="NCS6" s="56"/>
      <c r="NCU6" s="56"/>
      <c r="NCW6" s="56"/>
      <c r="NCY6" s="56"/>
      <c r="NDA6" s="56"/>
      <c r="NDC6" s="56"/>
      <c r="NDE6" s="56"/>
      <c r="NDG6" s="56"/>
      <c r="NDI6" s="56"/>
      <c r="NDK6" s="56"/>
      <c r="NDM6" s="56"/>
      <c r="NDO6" s="56"/>
      <c r="NDQ6" s="56"/>
      <c r="NDS6" s="56"/>
      <c r="NDU6" s="56"/>
      <c r="NDW6" s="56"/>
      <c r="NDY6" s="56"/>
      <c r="NEA6" s="56"/>
      <c r="NEC6" s="56"/>
      <c r="NEE6" s="56"/>
      <c r="NEG6" s="56"/>
      <c r="NEI6" s="56"/>
      <c r="NEK6" s="56"/>
      <c r="NEM6" s="56"/>
      <c r="NEO6" s="56"/>
      <c r="NEQ6" s="56"/>
      <c r="NES6" s="56"/>
      <c r="NEU6" s="56"/>
      <c r="NEW6" s="56"/>
      <c r="NEY6" s="56"/>
      <c r="NFA6" s="56"/>
      <c r="NFC6" s="56"/>
      <c r="NFE6" s="56"/>
      <c r="NFG6" s="56"/>
      <c r="NFI6" s="56"/>
      <c r="NFK6" s="56"/>
      <c r="NFM6" s="56"/>
      <c r="NFO6" s="56"/>
      <c r="NFQ6" s="56"/>
      <c r="NFS6" s="56"/>
      <c r="NFU6" s="56"/>
      <c r="NFW6" s="56"/>
      <c r="NFY6" s="56"/>
      <c r="NGA6" s="56"/>
      <c r="NGC6" s="56"/>
      <c r="NGE6" s="56"/>
      <c r="NGG6" s="56"/>
      <c r="NGI6" s="56"/>
      <c r="NGK6" s="56"/>
      <c r="NGM6" s="56"/>
      <c r="NGO6" s="56"/>
      <c r="NGQ6" s="56"/>
      <c r="NGS6" s="56"/>
      <c r="NGU6" s="56"/>
      <c r="NGW6" s="56"/>
      <c r="NGY6" s="56"/>
      <c r="NHA6" s="56"/>
      <c r="NHC6" s="56"/>
      <c r="NHE6" s="56"/>
      <c r="NHG6" s="56"/>
      <c r="NHI6" s="56"/>
      <c r="NHK6" s="56"/>
      <c r="NHM6" s="56"/>
      <c r="NHO6" s="56"/>
      <c r="NHQ6" s="56"/>
      <c r="NHS6" s="56"/>
      <c r="NHU6" s="56"/>
      <c r="NHW6" s="56"/>
      <c r="NHY6" s="56"/>
      <c r="NIA6" s="56"/>
      <c r="NIC6" s="56"/>
      <c r="NIE6" s="56"/>
      <c r="NIG6" s="56"/>
      <c r="NII6" s="56"/>
      <c r="NIK6" s="56"/>
      <c r="NIM6" s="56"/>
      <c r="NIO6" s="56"/>
      <c r="NIQ6" s="56"/>
      <c r="NIS6" s="56"/>
      <c r="NIU6" s="56"/>
      <c r="NIW6" s="56"/>
      <c r="NIY6" s="56"/>
      <c r="NJA6" s="56"/>
      <c r="NJC6" s="56"/>
      <c r="NJE6" s="56"/>
      <c r="NJG6" s="56"/>
      <c r="NJI6" s="56"/>
      <c r="NJK6" s="56"/>
      <c r="NJM6" s="56"/>
      <c r="NJO6" s="56"/>
      <c r="NJQ6" s="56"/>
      <c r="NJS6" s="56"/>
      <c r="NJU6" s="56"/>
      <c r="NJW6" s="56"/>
      <c r="NJY6" s="56"/>
      <c r="NKA6" s="56"/>
      <c r="NKC6" s="56"/>
      <c r="NKE6" s="56"/>
      <c r="NKG6" s="56"/>
      <c r="NKI6" s="56"/>
      <c r="NKK6" s="56"/>
      <c r="NKM6" s="56"/>
      <c r="NKO6" s="56"/>
      <c r="NKQ6" s="56"/>
      <c r="NKS6" s="56"/>
      <c r="NKU6" s="56"/>
      <c r="NKW6" s="56"/>
      <c r="NKY6" s="56"/>
      <c r="NLA6" s="56"/>
      <c r="NLC6" s="56"/>
      <c r="NLE6" s="56"/>
      <c r="NLG6" s="56"/>
      <c r="NLI6" s="56"/>
      <c r="NLK6" s="56"/>
      <c r="NLM6" s="56"/>
      <c r="NLO6" s="56"/>
      <c r="NLQ6" s="56"/>
      <c r="NLS6" s="56"/>
      <c r="NLU6" s="56"/>
      <c r="NLW6" s="56"/>
      <c r="NLY6" s="56"/>
      <c r="NMA6" s="56"/>
      <c r="NMC6" s="56"/>
      <c r="NME6" s="56"/>
      <c r="NMG6" s="56"/>
      <c r="NMI6" s="56"/>
      <c r="NMK6" s="56"/>
      <c r="NMM6" s="56"/>
      <c r="NMO6" s="56"/>
      <c r="NMQ6" s="56"/>
      <c r="NMS6" s="56"/>
      <c r="NMU6" s="56"/>
      <c r="NMW6" s="56"/>
      <c r="NMY6" s="56"/>
      <c r="NNA6" s="56"/>
      <c r="NNC6" s="56"/>
      <c r="NNE6" s="56"/>
      <c r="NNG6" s="56"/>
      <c r="NNI6" s="56"/>
      <c r="NNK6" s="56"/>
      <c r="NNM6" s="56"/>
      <c r="NNO6" s="56"/>
      <c r="NNQ6" s="56"/>
      <c r="NNS6" s="56"/>
      <c r="NNU6" s="56"/>
      <c r="NNW6" s="56"/>
      <c r="NNY6" s="56"/>
      <c r="NOA6" s="56"/>
      <c r="NOC6" s="56"/>
      <c r="NOE6" s="56"/>
      <c r="NOG6" s="56"/>
      <c r="NOI6" s="56"/>
      <c r="NOK6" s="56"/>
      <c r="NOM6" s="56"/>
      <c r="NOO6" s="56"/>
      <c r="NOQ6" s="56"/>
      <c r="NOS6" s="56"/>
      <c r="NOU6" s="56"/>
      <c r="NOW6" s="56"/>
      <c r="NOY6" s="56"/>
      <c r="NPA6" s="56"/>
      <c r="NPC6" s="56"/>
      <c r="NPE6" s="56"/>
      <c r="NPG6" s="56"/>
      <c r="NPI6" s="56"/>
      <c r="NPK6" s="56"/>
      <c r="NPM6" s="56"/>
      <c r="NPO6" s="56"/>
      <c r="NPQ6" s="56"/>
      <c r="NPS6" s="56"/>
      <c r="NPU6" s="56"/>
      <c r="NPW6" s="56"/>
      <c r="NPY6" s="56"/>
      <c r="NQA6" s="56"/>
      <c r="NQC6" s="56"/>
      <c r="NQE6" s="56"/>
      <c r="NQG6" s="56"/>
      <c r="NQI6" s="56"/>
      <c r="NQK6" s="56"/>
      <c r="NQM6" s="56"/>
      <c r="NQO6" s="56"/>
      <c r="NQQ6" s="56"/>
      <c r="NQS6" s="56"/>
      <c r="NQU6" s="56"/>
      <c r="NQW6" s="56"/>
      <c r="NQY6" s="56"/>
      <c r="NRA6" s="56"/>
      <c r="NRC6" s="56"/>
      <c r="NRE6" s="56"/>
      <c r="NRG6" s="56"/>
      <c r="NRI6" s="56"/>
      <c r="NRK6" s="56"/>
      <c r="NRM6" s="56"/>
      <c r="NRO6" s="56"/>
      <c r="NRQ6" s="56"/>
      <c r="NRS6" s="56"/>
      <c r="NRU6" s="56"/>
      <c r="NRW6" s="56"/>
      <c r="NRY6" s="56"/>
      <c r="NSA6" s="56"/>
      <c r="NSC6" s="56"/>
      <c r="NSE6" s="56"/>
      <c r="NSG6" s="56"/>
      <c r="NSI6" s="56"/>
      <c r="NSK6" s="56"/>
      <c r="NSM6" s="56"/>
      <c r="NSO6" s="56"/>
      <c r="NSQ6" s="56"/>
      <c r="NSS6" s="56"/>
      <c r="NSU6" s="56"/>
      <c r="NSW6" s="56"/>
      <c r="NSY6" s="56"/>
      <c r="NTA6" s="56"/>
      <c r="NTC6" s="56"/>
      <c r="NTE6" s="56"/>
      <c r="NTG6" s="56"/>
      <c r="NTI6" s="56"/>
      <c r="NTK6" s="56"/>
      <c r="NTM6" s="56"/>
      <c r="NTO6" s="56"/>
      <c r="NTQ6" s="56"/>
      <c r="NTS6" s="56"/>
      <c r="NTU6" s="56"/>
      <c r="NTW6" s="56"/>
      <c r="NTY6" s="56"/>
      <c r="NUA6" s="56"/>
      <c r="NUC6" s="56"/>
      <c r="NUE6" s="56"/>
      <c r="NUG6" s="56"/>
      <c r="NUI6" s="56"/>
      <c r="NUK6" s="56"/>
      <c r="NUM6" s="56"/>
      <c r="NUO6" s="56"/>
      <c r="NUQ6" s="56"/>
      <c r="NUS6" s="56"/>
      <c r="NUU6" s="56"/>
      <c r="NUW6" s="56"/>
      <c r="NUY6" s="56"/>
      <c r="NVA6" s="56"/>
      <c r="NVC6" s="56"/>
      <c r="NVE6" s="56"/>
      <c r="NVG6" s="56"/>
      <c r="NVI6" s="56"/>
      <c r="NVK6" s="56"/>
      <c r="NVM6" s="56"/>
      <c r="NVO6" s="56"/>
      <c r="NVQ6" s="56"/>
      <c r="NVS6" s="56"/>
      <c r="NVU6" s="56"/>
      <c r="NVW6" s="56"/>
      <c r="NVY6" s="56"/>
      <c r="NWA6" s="56"/>
      <c r="NWC6" s="56"/>
      <c r="NWE6" s="56"/>
      <c r="NWG6" s="56"/>
      <c r="NWI6" s="56"/>
      <c r="NWK6" s="56"/>
      <c r="NWM6" s="56"/>
      <c r="NWO6" s="56"/>
      <c r="NWQ6" s="56"/>
      <c r="NWS6" s="56"/>
      <c r="NWU6" s="56"/>
      <c r="NWW6" s="56"/>
      <c r="NWY6" s="56"/>
      <c r="NXA6" s="56"/>
      <c r="NXC6" s="56"/>
      <c r="NXE6" s="56"/>
      <c r="NXG6" s="56"/>
      <c r="NXI6" s="56"/>
      <c r="NXK6" s="56"/>
      <c r="NXM6" s="56"/>
      <c r="NXO6" s="56"/>
      <c r="NXQ6" s="56"/>
      <c r="NXS6" s="56"/>
      <c r="NXU6" s="56"/>
      <c r="NXW6" s="56"/>
      <c r="NXY6" s="56"/>
      <c r="NYA6" s="56"/>
      <c r="NYC6" s="56"/>
      <c r="NYE6" s="56"/>
      <c r="NYG6" s="56"/>
      <c r="NYI6" s="56"/>
      <c r="NYK6" s="56"/>
      <c r="NYM6" s="56"/>
      <c r="NYO6" s="56"/>
      <c r="NYQ6" s="56"/>
      <c r="NYS6" s="56"/>
      <c r="NYU6" s="56"/>
      <c r="NYW6" s="56"/>
      <c r="NYY6" s="56"/>
      <c r="NZA6" s="56"/>
      <c r="NZC6" s="56"/>
      <c r="NZE6" s="56"/>
      <c r="NZG6" s="56"/>
      <c r="NZI6" s="56"/>
      <c r="NZK6" s="56"/>
      <c r="NZM6" s="56"/>
      <c r="NZO6" s="56"/>
      <c r="NZQ6" s="56"/>
      <c r="NZS6" s="56"/>
      <c r="NZU6" s="56"/>
      <c r="NZW6" s="56"/>
      <c r="NZY6" s="56"/>
      <c r="OAA6" s="56"/>
      <c r="OAC6" s="56"/>
      <c r="OAE6" s="56"/>
      <c r="OAG6" s="56"/>
      <c r="OAI6" s="56"/>
      <c r="OAK6" s="56"/>
      <c r="OAM6" s="56"/>
      <c r="OAO6" s="56"/>
      <c r="OAQ6" s="56"/>
      <c r="OAS6" s="56"/>
      <c r="OAU6" s="56"/>
      <c r="OAW6" s="56"/>
      <c r="OAY6" s="56"/>
      <c r="OBA6" s="56"/>
      <c r="OBC6" s="56"/>
      <c r="OBE6" s="56"/>
      <c r="OBG6" s="56"/>
      <c r="OBI6" s="56"/>
      <c r="OBK6" s="56"/>
      <c r="OBM6" s="56"/>
      <c r="OBO6" s="56"/>
      <c r="OBQ6" s="56"/>
      <c r="OBS6" s="56"/>
      <c r="OBU6" s="56"/>
      <c r="OBW6" s="56"/>
      <c r="OBY6" s="56"/>
      <c r="OCA6" s="56"/>
      <c r="OCC6" s="56"/>
      <c r="OCE6" s="56"/>
      <c r="OCG6" s="56"/>
      <c r="OCI6" s="56"/>
      <c r="OCK6" s="56"/>
      <c r="OCM6" s="56"/>
      <c r="OCO6" s="56"/>
      <c r="OCQ6" s="56"/>
      <c r="OCS6" s="56"/>
      <c r="OCU6" s="56"/>
      <c r="OCW6" s="56"/>
      <c r="OCY6" s="56"/>
      <c r="ODA6" s="56"/>
      <c r="ODC6" s="56"/>
      <c r="ODE6" s="56"/>
      <c r="ODG6" s="56"/>
      <c r="ODI6" s="56"/>
      <c r="ODK6" s="56"/>
      <c r="ODM6" s="56"/>
      <c r="ODO6" s="56"/>
      <c r="ODQ6" s="56"/>
      <c r="ODS6" s="56"/>
      <c r="ODU6" s="56"/>
      <c r="ODW6" s="56"/>
      <c r="ODY6" s="56"/>
      <c r="OEA6" s="56"/>
      <c r="OEC6" s="56"/>
      <c r="OEE6" s="56"/>
      <c r="OEG6" s="56"/>
      <c r="OEI6" s="56"/>
      <c r="OEK6" s="56"/>
      <c r="OEM6" s="56"/>
      <c r="OEO6" s="56"/>
      <c r="OEQ6" s="56"/>
      <c r="OES6" s="56"/>
      <c r="OEU6" s="56"/>
      <c r="OEW6" s="56"/>
      <c r="OEY6" s="56"/>
      <c r="OFA6" s="56"/>
      <c r="OFC6" s="56"/>
      <c r="OFE6" s="56"/>
      <c r="OFG6" s="56"/>
      <c r="OFI6" s="56"/>
      <c r="OFK6" s="56"/>
      <c r="OFM6" s="56"/>
      <c r="OFO6" s="56"/>
      <c r="OFQ6" s="56"/>
      <c r="OFS6" s="56"/>
      <c r="OFU6" s="56"/>
      <c r="OFW6" s="56"/>
      <c r="OFY6" s="56"/>
      <c r="OGA6" s="56"/>
      <c r="OGC6" s="56"/>
      <c r="OGE6" s="56"/>
      <c r="OGG6" s="56"/>
      <c r="OGI6" s="56"/>
      <c r="OGK6" s="56"/>
      <c r="OGM6" s="56"/>
      <c r="OGO6" s="56"/>
      <c r="OGQ6" s="56"/>
      <c r="OGS6" s="56"/>
      <c r="OGU6" s="56"/>
      <c r="OGW6" s="56"/>
      <c r="OGY6" s="56"/>
      <c r="OHA6" s="56"/>
      <c r="OHC6" s="56"/>
      <c r="OHE6" s="56"/>
      <c r="OHG6" s="56"/>
      <c r="OHI6" s="56"/>
      <c r="OHK6" s="56"/>
      <c r="OHM6" s="56"/>
      <c r="OHO6" s="56"/>
      <c r="OHQ6" s="56"/>
      <c r="OHS6" s="56"/>
      <c r="OHU6" s="56"/>
      <c r="OHW6" s="56"/>
      <c r="OHY6" s="56"/>
      <c r="OIA6" s="56"/>
      <c r="OIC6" s="56"/>
      <c r="OIE6" s="56"/>
      <c r="OIG6" s="56"/>
      <c r="OII6" s="56"/>
      <c r="OIK6" s="56"/>
      <c r="OIM6" s="56"/>
      <c r="OIO6" s="56"/>
      <c r="OIQ6" s="56"/>
      <c r="OIS6" s="56"/>
      <c r="OIU6" s="56"/>
      <c r="OIW6" s="56"/>
      <c r="OIY6" s="56"/>
      <c r="OJA6" s="56"/>
      <c r="OJC6" s="56"/>
      <c r="OJE6" s="56"/>
      <c r="OJG6" s="56"/>
      <c r="OJI6" s="56"/>
      <c r="OJK6" s="56"/>
      <c r="OJM6" s="56"/>
      <c r="OJO6" s="56"/>
      <c r="OJQ6" s="56"/>
      <c r="OJS6" s="56"/>
      <c r="OJU6" s="56"/>
      <c r="OJW6" s="56"/>
      <c r="OJY6" s="56"/>
      <c r="OKA6" s="56"/>
      <c r="OKC6" s="56"/>
      <c r="OKE6" s="56"/>
      <c r="OKG6" s="56"/>
      <c r="OKI6" s="56"/>
      <c r="OKK6" s="56"/>
      <c r="OKM6" s="56"/>
      <c r="OKO6" s="56"/>
      <c r="OKQ6" s="56"/>
      <c r="OKS6" s="56"/>
      <c r="OKU6" s="56"/>
      <c r="OKW6" s="56"/>
      <c r="OKY6" s="56"/>
      <c r="OLA6" s="56"/>
      <c r="OLC6" s="56"/>
      <c r="OLE6" s="56"/>
      <c r="OLG6" s="56"/>
      <c r="OLI6" s="56"/>
      <c r="OLK6" s="56"/>
      <c r="OLM6" s="56"/>
      <c r="OLO6" s="56"/>
      <c r="OLQ6" s="56"/>
      <c r="OLS6" s="56"/>
      <c r="OLU6" s="56"/>
      <c r="OLW6" s="56"/>
      <c r="OLY6" s="56"/>
      <c r="OMA6" s="56"/>
      <c r="OMC6" s="56"/>
      <c r="OME6" s="56"/>
      <c r="OMG6" s="56"/>
      <c r="OMI6" s="56"/>
      <c r="OMK6" s="56"/>
      <c r="OMM6" s="56"/>
      <c r="OMO6" s="56"/>
      <c r="OMQ6" s="56"/>
      <c r="OMS6" s="56"/>
      <c r="OMU6" s="56"/>
      <c r="OMW6" s="56"/>
      <c r="OMY6" s="56"/>
      <c r="ONA6" s="56"/>
      <c r="ONC6" s="56"/>
      <c r="ONE6" s="56"/>
      <c r="ONG6" s="56"/>
      <c r="ONI6" s="56"/>
      <c r="ONK6" s="56"/>
      <c r="ONM6" s="56"/>
      <c r="ONO6" s="56"/>
      <c r="ONQ6" s="56"/>
      <c r="ONS6" s="56"/>
      <c r="ONU6" s="56"/>
      <c r="ONW6" s="56"/>
      <c r="ONY6" s="56"/>
      <c r="OOA6" s="56"/>
      <c r="OOC6" s="56"/>
      <c r="OOE6" s="56"/>
      <c r="OOG6" s="56"/>
      <c r="OOI6" s="56"/>
      <c r="OOK6" s="56"/>
      <c r="OOM6" s="56"/>
      <c r="OOO6" s="56"/>
      <c r="OOQ6" s="56"/>
      <c r="OOS6" s="56"/>
      <c r="OOU6" s="56"/>
      <c r="OOW6" s="56"/>
      <c r="OOY6" s="56"/>
      <c r="OPA6" s="56"/>
      <c r="OPC6" s="56"/>
      <c r="OPE6" s="56"/>
      <c r="OPG6" s="56"/>
      <c r="OPI6" s="56"/>
      <c r="OPK6" s="56"/>
      <c r="OPM6" s="56"/>
      <c r="OPO6" s="56"/>
      <c r="OPQ6" s="56"/>
      <c r="OPS6" s="56"/>
      <c r="OPU6" s="56"/>
      <c r="OPW6" s="56"/>
      <c r="OPY6" s="56"/>
      <c r="OQA6" s="56"/>
      <c r="OQC6" s="56"/>
      <c r="OQE6" s="56"/>
      <c r="OQG6" s="56"/>
      <c r="OQI6" s="56"/>
      <c r="OQK6" s="56"/>
      <c r="OQM6" s="56"/>
      <c r="OQO6" s="56"/>
      <c r="OQQ6" s="56"/>
      <c r="OQS6" s="56"/>
      <c r="OQU6" s="56"/>
      <c r="OQW6" s="56"/>
      <c r="OQY6" s="56"/>
      <c r="ORA6" s="56"/>
      <c r="ORC6" s="56"/>
      <c r="ORE6" s="56"/>
      <c r="ORG6" s="56"/>
      <c r="ORI6" s="56"/>
      <c r="ORK6" s="56"/>
      <c r="ORM6" s="56"/>
      <c r="ORO6" s="56"/>
      <c r="ORQ6" s="56"/>
      <c r="ORS6" s="56"/>
      <c r="ORU6" s="56"/>
      <c r="ORW6" s="56"/>
      <c r="ORY6" s="56"/>
      <c r="OSA6" s="56"/>
      <c r="OSC6" s="56"/>
      <c r="OSE6" s="56"/>
      <c r="OSG6" s="56"/>
      <c r="OSI6" s="56"/>
      <c r="OSK6" s="56"/>
      <c r="OSM6" s="56"/>
      <c r="OSO6" s="56"/>
      <c r="OSQ6" s="56"/>
      <c r="OSS6" s="56"/>
      <c r="OSU6" s="56"/>
      <c r="OSW6" s="56"/>
      <c r="OSY6" s="56"/>
      <c r="OTA6" s="56"/>
      <c r="OTC6" s="56"/>
      <c r="OTE6" s="56"/>
      <c r="OTG6" s="56"/>
      <c r="OTI6" s="56"/>
      <c r="OTK6" s="56"/>
      <c r="OTM6" s="56"/>
      <c r="OTO6" s="56"/>
      <c r="OTQ6" s="56"/>
      <c r="OTS6" s="56"/>
      <c r="OTU6" s="56"/>
      <c r="OTW6" s="56"/>
      <c r="OTY6" s="56"/>
      <c r="OUA6" s="56"/>
      <c r="OUC6" s="56"/>
      <c r="OUE6" s="56"/>
      <c r="OUG6" s="56"/>
      <c r="OUI6" s="56"/>
      <c r="OUK6" s="56"/>
      <c r="OUM6" s="56"/>
      <c r="OUO6" s="56"/>
      <c r="OUQ6" s="56"/>
      <c r="OUS6" s="56"/>
      <c r="OUU6" s="56"/>
      <c r="OUW6" s="56"/>
      <c r="OUY6" s="56"/>
      <c r="OVA6" s="56"/>
      <c r="OVC6" s="56"/>
      <c r="OVE6" s="56"/>
      <c r="OVG6" s="56"/>
      <c r="OVI6" s="56"/>
      <c r="OVK6" s="56"/>
      <c r="OVM6" s="56"/>
      <c r="OVO6" s="56"/>
      <c r="OVQ6" s="56"/>
      <c r="OVS6" s="56"/>
      <c r="OVU6" s="56"/>
      <c r="OVW6" s="56"/>
      <c r="OVY6" s="56"/>
      <c r="OWA6" s="56"/>
      <c r="OWC6" s="56"/>
      <c r="OWE6" s="56"/>
      <c r="OWG6" s="56"/>
      <c r="OWI6" s="56"/>
      <c r="OWK6" s="56"/>
      <c r="OWM6" s="56"/>
      <c r="OWO6" s="56"/>
      <c r="OWQ6" s="56"/>
      <c r="OWS6" s="56"/>
      <c r="OWU6" s="56"/>
      <c r="OWW6" s="56"/>
      <c r="OWY6" s="56"/>
      <c r="OXA6" s="56"/>
      <c r="OXC6" s="56"/>
      <c r="OXE6" s="56"/>
      <c r="OXG6" s="56"/>
      <c r="OXI6" s="56"/>
      <c r="OXK6" s="56"/>
      <c r="OXM6" s="56"/>
      <c r="OXO6" s="56"/>
      <c r="OXQ6" s="56"/>
      <c r="OXS6" s="56"/>
      <c r="OXU6" s="56"/>
      <c r="OXW6" s="56"/>
      <c r="OXY6" s="56"/>
      <c r="OYA6" s="56"/>
      <c r="OYC6" s="56"/>
      <c r="OYE6" s="56"/>
      <c r="OYG6" s="56"/>
      <c r="OYI6" s="56"/>
      <c r="OYK6" s="56"/>
      <c r="OYM6" s="56"/>
      <c r="OYO6" s="56"/>
      <c r="OYQ6" s="56"/>
      <c r="OYS6" s="56"/>
      <c r="OYU6" s="56"/>
      <c r="OYW6" s="56"/>
      <c r="OYY6" s="56"/>
      <c r="OZA6" s="56"/>
      <c r="OZC6" s="56"/>
      <c r="OZE6" s="56"/>
      <c r="OZG6" s="56"/>
      <c r="OZI6" s="56"/>
      <c r="OZK6" s="56"/>
      <c r="OZM6" s="56"/>
      <c r="OZO6" s="56"/>
      <c r="OZQ6" s="56"/>
      <c r="OZS6" s="56"/>
      <c r="OZU6" s="56"/>
      <c r="OZW6" s="56"/>
      <c r="OZY6" s="56"/>
      <c r="PAA6" s="56"/>
      <c r="PAC6" s="56"/>
      <c r="PAE6" s="56"/>
      <c r="PAG6" s="56"/>
      <c r="PAI6" s="56"/>
      <c r="PAK6" s="56"/>
      <c r="PAM6" s="56"/>
      <c r="PAO6" s="56"/>
      <c r="PAQ6" s="56"/>
      <c r="PAS6" s="56"/>
      <c r="PAU6" s="56"/>
      <c r="PAW6" s="56"/>
      <c r="PAY6" s="56"/>
      <c r="PBA6" s="56"/>
      <c r="PBC6" s="56"/>
      <c r="PBE6" s="56"/>
      <c r="PBG6" s="56"/>
      <c r="PBI6" s="56"/>
      <c r="PBK6" s="56"/>
      <c r="PBM6" s="56"/>
      <c r="PBO6" s="56"/>
      <c r="PBQ6" s="56"/>
      <c r="PBS6" s="56"/>
      <c r="PBU6" s="56"/>
      <c r="PBW6" s="56"/>
      <c r="PBY6" s="56"/>
      <c r="PCA6" s="56"/>
      <c r="PCC6" s="56"/>
      <c r="PCE6" s="56"/>
      <c r="PCG6" s="56"/>
      <c r="PCI6" s="56"/>
      <c r="PCK6" s="56"/>
      <c r="PCM6" s="56"/>
      <c r="PCO6" s="56"/>
      <c r="PCQ6" s="56"/>
      <c r="PCS6" s="56"/>
      <c r="PCU6" s="56"/>
      <c r="PCW6" s="56"/>
      <c r="PCY6" s="56"/>
      <c r="PDA6" s="56"/>
      <c r="PDC6" s="56"/>
      <c r="PDE6" s="56"/>
      <c r="PDG6" s="56"/>
      <c r="PDI6" s="56"/>
      <c r="PDK6" s="56"/>
      <c r="PDM6" s="56"/>
      <c r="PDO6" s="56"/>
      <c r="PDQ6" s="56"/>
      <c r="PDS6" s="56"/>
      <c r="PDU6" s="56"/>
      <c r="PDW6" s="56"/>
      <c r="PDY6" s="56"/>
      <c r="PEA6" s="56"/>
      <c r="PEC6" s="56"/>
      <c r="PEE6" s="56"/>
      <c r="PEG6" s="56"/>
      <c r="PEI6" s="56"/>
      <c r="PEK6" s="56"/>
      <c r="PEM6" s="56"/>
      <c r="PEO6" s="56"/>
      <c r="PEQ6" s="56"/>
      <c r="PES6" s="56"/>
      <c r="PEU6" s="56"/>
      <c r="PEW6" s="56"/>
      <c r="PEY6" s="56"/>
      <c r="PFA6" s="56"/>
      <c r="PFC6" s="56"/>
      <c r="PFE6" s="56"/>
      <c r="PFG6" s="56"/>
      <c r="PFI6" s="56"/>
      <c r="PFK6" s="56"/>
      <c r="PFM6" s="56"/>
      <c r="PFO6" s="56"/>
      <c r="PFQ6" s="56"/>
      <c r="PFS6" s="56"/>
      <c r="PFU6" s="56"/>
      <c r="PFW6" s="56"/>
      <c r="PFY6" s="56"/>
      <c r="PGA6" s="56"/>
      <c r="PGC6" s="56"/>
      <c r="PGE6" s="56"/>
      <c r="PGG6" s="56"/>
      <c r="PGI6" s="56"/>
      <c r="PGK6" s="56"/>
      <c r="PGM6" s="56"/>
      <c r="PGO6" s="56"/>
      <c r="PGQ6" s="56"/>
      <c r="PGS6" s="56"/>
      <c r="PGU6" s="56"/>
      <c r="PGW6" s="56"/>
      <c r="PGY6" s="56"/>
      <c r="PHA6" s="56"/>
      <c r="PHC6" s="56"/>
      <c r="PHE6" s="56"/>
      <c r="PHG6" s="56"/>
      <c r="PHI6" s="56"/>
      <c r="PHK6" s="56"/>
      <c r="PHM6" s="56"/>
      <c r="PHO6" s="56"/>
      <c r="PHQ6" s="56"/>
      <c r="PHS6" s="56"/>
      <c r="PHU6" s="56"/>
      <c r="PHW6" s="56"/>
      <c r="PHY6" s="56"/>
      <c r="PIA6" s="56"/>
      <c r="PIC6" s="56"/>
      <c r="PIE6" s="56"/>
      <c r="PIG6" s="56"/>
      <c r="PII6" s="56"/>
      <c r="PIK6" s="56"/>
      <c r="PIM6" s="56"/>
      <c r="PIO6" s="56"/>
      <c r="PIQ6" s="56"/>
      <c r="PIS6" s="56"/>
      <c r="PIU6" s="56"/>
      <c r="PIW6" s="56"/>
      <c r="PIY6" s="56"/>
      <c r="PJA6" s="56"/>
      <c r="PJC6" s="56"/>
      <c r="PJE6" s="56"/>
      <c r="PJG6" s="56"/>
      <c r="PJI6" s="56"/>
      <c r="PJK6" s="56"/>
      <c r="PJM6" s="56"/>
      <c r="PJO6" s="56"/>
      <c r="PJQ6" s="56"/>
      <c r="PJS6" s="56"/>
      <c r="PJU6" s="56"/>
      <c r="PJW6" s="56"/>
      <c r="PJY6" s="56"/>
      <c r="PKA6" s="56"/>
      <c r="PKC6" s="56"/>
      <c r="PKE6" s="56"/>
      <c r="PKG6" s="56"/>
      <c r="PKI6" s="56"/>
      <c r="PKK6" s="56"/>
      <c r="PKM6" s="56"/>
      <c r="PKO6" s="56"/>
      <c r="PKQ6" s="56"/>
      <c r="PKS6" s="56"/>
      <c r="PKU6" s="56"/>
      <c r="PKW6" s="56"/>
      <c r="PKY6" s="56"/>
      <c r="PLA6" s="56"/>
      <c r="PLC6" s="56"/>
      <c r="PLE6" s="56"/>
      <c r="PLG6" s="56"/>
      <c r="PLI6" s="56"/>
      <c r="PLK6" s="56"/>
      <c r="PLM6" s="56"/>
      <c r="PLO6" s="56"/>
      <c r="PLQ6" s="56"/>
      <c r="PLS6" s="56"/>
      <c r="PLU6" s="56"/>
      <c r="PLW6" s="56"/>
      <c r="PLY6" s="56"/>
      <c r="PMA6" s="56"/>
      <c r="PMC6" s="56"/>
      <c r="PME6" s="56"/>
      <c r="PMG6" s="56"/>
      <c r="PMI6" s="56"/>
      <c r="PMK6" s="56"/>
      <c r="PMM6" s="56"/>
      <c r="PMO6" s="56"/>
      <c r="PMQ6" s="56"/>
      <c r="PMS6" s="56"/>
      <c r="PMU6" s="56"/>
      <c r="PMW6" s="56"/>
      <c r="PMY6" s="56"/>
      <c r="PNA6" s="56"/>
      <c r="PNC6" s="56"/>
      <c r="PNE6" s="56"/>
      <c r="PNG6" s="56"/>
      <c r="PNI6" s="56"/>
      <c r="PNK6" s="56"/>
      <c r="PNM6" s="56"/>
      <c r="PNO6" s="56"/>
      <c r="PNQ6" s="56"/>
      <c r="PNS6" s="56"/>
      <c r="PNU6" s="56"/>
      <c r="PNW6" s="56"/>
      <c r="PNY6" s="56"/>
      <c r="POA6" s="56"/>
      <c r="POC6" s="56"/>
      <c r="POE6" s="56"/>
      <c r="POG6" s="56"/>
      <c r="POI6" s="56"/>
      <c r="POK6" s="56"/>
      <c r="POM6" s="56"/>
      <c r="POO6" s="56"/>
      <c r="POQ6" s="56"/>
      <c r="POS6" s="56"/>
      <c r="POU6" s="56"/>
      <c r="POW6" s="56"/>
      <c r="POY6" s="56"/>
      <c r="PPA6" s="56"/>
      <c r="PPC6" s="56"/>
      <c r="PPE6" s="56"/>
      <c r="PPG6" s="56"/>
      <c r="PPI6" s="56"/>
      <c r="PPK6" s="56"/>
      <c r="PPM6" s="56"/>
      <c r="PPO6" s="56"/>
      <c r="PPQ6" s="56"/>
      <c r="PPS6" s="56"/>
      <c r="PPU6" s="56"/>
      <c r="PPW6" s="56"/>
      <c r="PPY6" s="56"/>
      <c r="PQA6" s="56"/>
      <c r="PQC6" s="56"/>
      <c r="PQE6" s="56"/>
      <c r="PQG6" s="56"/>
      <c r="PQI6" s="56"/>
      <c r="PQK6" s="56"/>
      <c r="PQM6" s="56"/>
      <c r="PQO6" s="56"/>
      <c r="PQQ6" s="56"/>
      <c r="PQS6" s="56"/>
      <c r="PQU6" s="56"/>
      <c r="PQW6" s="56"/>
      <c r="PQY6" s="56"/>
      <c r="PRA6" s="56"/>
      <c r="PRC6" s="56"/>
      <c r="PRE6" s="56"/>
      <c r="PRG6" s="56"/>
      <c r="PRI6" s="56"/>
      <c r="PRK6" s="56"/>
      <c r="PRM6" s="56"/>
      <c r="PRO6" s="56"/>
      <c r="PRQ6" s="56"/>
      <c r="PRS6" s="56"/>
      <c r="PRU6" s="56"/>
      <c r="PRW6" s="56"/>
      <c r="PRY6" s="56"/>
      <c r="PSA6" s="56"/>
      <c r="PSC6" s="56"/>
      <c r="PSE6" s="56"/>
      <c r="PSG6" s="56"/>
      <c r="PSI6" s="56"/>
      <c r="PSK6" s="56"/>
      <c r="PSM6" s="56"/>
      <c r="PSO6" s="56"/>
      <c r="PSQ6" s="56"/>
      <c r="PSS6" s="56"/>
      <c r="PSU6" s="56"/>
      <c r="PSW6" s="56"/>
      <c r="PSY6" s="56"/>
      <c r="PTA6" s="56"/>
      <c r="PTC6" s="56"/>
      <c r="PTE6" s="56"/>
      <c r="PTG6" s="56"/>
      <c r="PTI6" s="56"/>
      <c r="PTK6" s="56"/>
      <c r="PTM6" s="56"/>
      <c r="PTO6" s="56"/>
      <c r="PTQ6" s="56"/>
      <c r="PTS6" s="56"/>
      <c r="PTU6" s="56"/>
      <c r="PTW6" s="56"/>
      <c r="PTY6" s="56"/>
      <c r="PUA6" s="56"/>
      <c r="PUC6" s="56"/>
      <c r="PUE6" s="56"/>
      <c r="PUG6" s="56"/>
      <c r="PUI6" s="56"/>
      <c r="PUK6" s="56"/>
      <c r="PUM6" s="56"/>
      <c r="PUO6" s="56"/>
      <c r="PUQ6" s="56"/>
      <c r="PUS6" s="56"/>
      <c r="PUU6" s="56"/>
      <c r="PUW6" s="56"/>
      <c r="PUY6" s="56"/>
      <c r="PVA6" s="56"/>
      <c r="PVC6" s="56"/>
      <c r="PVE6" s="56"/>
      <c r="PVG6" s="56"/>
      <c r="PVI6" s="56"/>
      <c r="PVK6" s="56"/>
      <c r="PVM6" s="56"/>
      <c r="PVO6" s="56"/>
      <c r="PVQ6" s="56"/>
      <c r="PVS6" s="56"/>
      <c r="PVU6" s="56"/>
      <c r="PVW6" s="56"/>
      <c r="PVY6" s="56"/>
      <c r="PWA6" s="56"/>
      <c r="PWC6" s="56"/>
      <c r="PWE6" s="56"/>
      <c r="PWG6" s="56"/>
      <c r="PWI6" s="56"/>
      <c r="PWK6" s="56"/>
      <c r="PWM6" s="56"/>
      <c r="PWO6" s="56"/>
      <c r="PWQ6" s="56"/>
      <c r="PWS6" s="56"/>
      <c r="PWU6" s="56"/>
      <c r="PWW6" s="56"/>
      <c r="PWY6" s="56"/>
      <c r="PXA6" s="56"/>
      <c r="PXC6" s="56"/>
      <c r="PXE6" s="56"/>
      <c r="PXG6" s="56"/>
      <c r="PXI6" s="56"/>
      <c r="PXK6" s="56"/>
      <c r="PXM6" s="56"/>
      <c r="PXO6" s="56"/>
      <c r="PXQ6" s="56"/>
      <c r="PXS6" s="56"/>
      <c r="PXU6" s="56"/>
      <c r="PXW6" s="56"/>
      <c r="PXY6" s="56"/>
      <c r="PYA6" s="56"/>
      <c r="PYC6" s="56"/>
      <c r="PYE6" s="56"/>
      <c r="PYG6" s="56"/>
      <c r="PYI6" s="56"/>
      <c r="PYK6" s="56"/>
      <c r="PYM6" s="56"/>
      <c r="PYO6" s="56"/>
      <c r="PYQ6" s="56"/>
      <c r="PYS6" s="56"/>
      <c r="PYU6" s="56"/>
      <c r="PYW6" s="56"/>
      <c r="PYY6" s="56"/>
      <c r="PZA6" s="56"/>
      <c r="PZC6" s="56"/>
      <c r="PZE6" s="56"/>
      <c r="PZG6" s="56"/>
      <c r="PZI6" s="56"/>
      <c r="PZK6" s="56"/>
      <c r="PZM6" s="56"/>
      <c r="PZO6" s="56"/>
      <c r="PZQ6" s="56"/>
      <c r="PZS6" s="56"/>
      <c r="PZU6" s="56"/>
      <c r="PZW6" s="56"/>
      <c r="PZY6" s="56"/>
      <c r="QAA6" s="56"/>
      <c r="QAC6" s="56"/>
      <c r="QAE6" s="56"/>
      <c r="QAG6" s="56"/>
      <c r="QAI6" s="56"/>
      <c r="QAK6" s="56"/>
      <c r="QAM6" s="56"/>
      <c r="QAO6" s="56"/>
      <c r="QAQ6" s="56"/>
      <c r="QAS6" s="56"/>
      <c r="QAU6" s="56"/>
      <c r="QAW6" s="56"/>
      <c r="QAY6" s="56"/>
      <c r="QBA6" s="56"/>
      <c r="QBC6" s="56"/>
      <c r="QBE6" s="56"/>
      <c r="QBG6" s="56"/>
      <c r="QBI6" s="56"/>
      <c r="QBK6" s="56"/>
      <c r="QBM6" s="56"/>
      <c r="QBO6" s="56"/>
      <c r="QBQ6" s="56"/>
      <c r="QBS6" s="56"/>
      <c r="QBU6" s="56"/>
      <c r="QBW6" s="56"/>
      <c r="QBY6" s="56"/>
      <c r="QCA6" s="56"/>
      <c r="QCC6" s="56"/>
      <c r="QCE6" s="56"/>
      <c r="QCG6" s="56"/>
      <c r="QCI6" s="56"/>
      <c r="QCK6" s="56"/>
      <c r="QCM6" s="56"/>
      <c r="QCO6" s="56"/>
      <c r="QCQ6" s="56"/>
      <c r="QCS6" s="56"/>
      <c r="QCU6" s="56"/>
      <c r="QCW6" s="56"/>
      <c r="QCY6" s="56"/>
      <c r="QDA6" s="56"/>
      <c r="QDC6" s="56"/>
      <c r="QDE6" s="56"/>
      <c r="QDG6" s="56"/>
      <c r="QDI6" s="56"/>
      <c r="QDK6" s="56"/>
      <c r="QDM6" s="56"/>
      <c r="QDO6" s="56"/>
      <c r="QDQ6" s="56"/>
      <c r="QDS6" s="56"/>
      <c r="QDU6" s="56"/>
      <c r="QDW6" s="56"/>
      <c r="QDY6" s="56"/>
      <c r="QEA6" s="56"/>
      <c r="QEC6" s="56"/>
      <c r="QEE6" s="56"/>
      <c r="QEG6" s="56"/>
      <c r="QEI6" s="56"/>
      <c r="QEK6" s="56"/>
      <c r="QEM6" s="56"/>
      <c r="QEO6" s="56"/>
      <c r="QEQ6" s="56"/>
      <c r="QES6" s="56"/>
      <c r="QEU6" s="56"/>
      <c r="QEW6" s="56"/>
      <c r="QEY6" s="56"/>
      <c r="QFA6" s="56"/>
      <c r="QFC6" s="56"/>
      <c r="QFE6" s="56"/>
      <c r="QFG6" s="56"/>
      <c r="QFI6" s="56"/>
      <c r="QFK6" s="56"/>
      <c r="QFM6" s="56"/>
      <c r="QFO6" s="56"/>
      <c r="QFQ6" s="56"/>
      <c r="QFS6" s="56"/>
      <c r="QFU6" s="56"/>
      <c r="QFW6" s="56"/>
      <c r="QFY6" s="56"/>
      <c r="QGA6" s="56"/>
      <c r="QGC6" s="56"/>
      <c r="QGE6" s="56"/>
      <c r="QGG6" s="56"/>
      <c r="QGI6" s="56"/>
      <c r="QGK6" s="56"/>
      <c r="QGM6" s="56"/>
      <c r="QGO6" s="56"/>
      <c r="QGQ6" s="56"/>
      <c r="QGS6" s="56"/>
      <c r="QGU6" s="56"/>
      <c r="QGW6" s="56"/>
      <c r="QGY6" s="56"/>
      <c r="QHA6" s="56"/>
      <c r="QHC6" s="56"/>
      <c r="QHE6" s="56"/>
      <c r="QHG6" s="56"/>
      <c r="QHI6" s="56"/>
      <c r="QHK6" s="56"/>
      <c r="QHM6" s="56"/>
      <c r="QHO6" s="56"/>
      <c r="QHQ6" s="56"/>
      <c r="QHS6" s="56"/>
      <c r="QHU6" s="56"/>
      <c r="QHW6" s="56"/>
      <c r="QHY6" s="56"/>
      <c r="QIA6" s="56"/>
      <c r="QIC6" s="56"/>
      <c r="QIE6" s="56"/>
      <c r="QIG6" s="56"/>
      <c r="QII6" s="56"/>
      <c r="QIK6" s="56"/>
      <c r="QIM6" s="56"/>
      <c r="QIO6" s="56"/>
      <c r="QIQ6" s="56"/>
      <c r="QIS6" s="56"/>
      <c r="QIU6" s="56"/>
      <c r="QIW6" s="56"/>
      <c r="QIY6" s="56"/>
      <c r="QJA6" s="56"/>
      <c r="QJC6" s="56"/>
      <c r="QJE6" s="56"/>
      <c r="QJG6" s="56"/>
      <c r="QJI6" s="56"/>
      <c r="QJK6" s="56"/>
      <c r="QJM6" s="56"/>
      <c r="QJO6" s="56"/>
      <c r="QJQ6" s="56"/>
      <c r="QJS6" s="56"/>
      <c r="QJU6" s="56"/>
      <c r="QJW6" s="56"/>
      <c r="QJY6" s="56"/>
      <c r="QKA6" s="56"/>
      <c r="QKC6" s="56"/>
      <c r="QKE6" s="56"/>
      <c r="QKG6" s="56"/>
      <c r="QKI6" s="56"/>
      <c r="QKK6" s="56"/>
      <c r="QKM6" s="56"/>
      <c r="QKO6" s="56"/>
      <c r="QKQ6" s="56"/>
      <c r="QKS6" s="56"/>
      <c r="QKU6" s="56"/>
      <c r="QKW6" s="56"/>
      <c r="QKY6" s="56"/>
      <c r="QLA6" s="56"/>
      <c r="QLC6" s="56"/>
      <c r="QLE6" s="56"/>
      <c r="QLG6" s="56"/>
      <c r="QLI6" s="56"/>
      <c r="QLK6" s="56"/>
      <c r="QLM6" s="56"/>
      <c r="QLO6" s="56"/>
      <c r="QLQ6" s="56"/>
      <c r="QLS6" s="56"/>
      <c r="QLU6" s="56"/>
      <c r="QLW6" s="56"/>
      <c r="QLY6" s="56"/>
      <c r="QMA6" s="56"/>
      <c r="QMC6" s="56"/>
      <c r="QME6" s="56"/>
      <c r="QMG6" s="56"/>
      <c r="QMI6" s="56"/>
      <c r="QMK6" s="56"/>
      <c r="QMM6" s="56"/>
      <c r="QMO6" s="56"/>
      <c r="QMQ6" s="56"/>
      <c r="QMS6" s="56"/>
      <c r="QMU6" s="56"/>
      <c r="QMW6" s="56"/>
      <c r="QMY6" s="56"/>
      <c r="QNA6" s="56"/>
      <c r="QNC6" s="56"/>
      <c r="QNE6" s="56"/>
      <c r="QNG6" s="56"/>
      <c r="QNI6" s="56"/>
      <c r="QNK6" s="56"/>
      <c r="QNM6" s="56"/>
      <c r="QNO6" s="56"/>
      <c r="QNQ6" s="56"/>
      <c r="QNS6" s="56"/>
      <c r="QNU6" s="56"/>
      <c r="QNW6" s="56"/>
      <c r="QNY6" s="56"/>
      <c r="QOA6" s="56"/>
      <c r="QOC6" s="56"/>
      <c r="QOE6" s="56"/>
      <c r="QOG6" s="56"/>
      <c r="QOI6" s="56"/>
      <c r="QOK6" s="56"/>
      <c r="QOM6" s="56"/>
      <c r="QOO6" s="56"/>
      <c r="QOQ6" s="56"/>
      <c r="QOS6" s="56"/>
      <c r="QOU6" s="56"/>
      <c r="QOW6" s="56"/>
      <c r="QOY6" s="56"/>
      <c r="QPA6" s="56"/>
      <c r="QPC6" s="56"/>
      <c r="QPE6" s="56"/>
      <c r="QPG6" s="56"/>
      <c r="QPI6" s="56"/>
      <c r="QPK6" s="56"/>
      <c r="QPM6" s="56"/>
      <c r="QPO6" s="56"/>
      <c r="QPQ6" s="56"/>
      <c r="QPS6" s="56"/>
      <c r="QPU6" s="56"/>
      <c r="QPW6" s="56"/>
      <c r="QPY6" s="56"/>
      <c r="QQA6" s="56"/>
      <c r="QQC6" s="56"/>
      <c r="QQE6" s="56"/>
      <c r="QQG6" s="56"/>
      <c r="QQI6" s="56"/>
      <c r="QQK6" s="56"/>
      <c r="QQM6" s="56"/>
      <c r="QQO6" s="56"/>
      <c r="QQQ6" s="56"/>
      <c r="QQS6" s="56"/>
      <c r="QQU6" s="56"/>
      <c r="QQW6" s="56"/>
      <c r="QQY6" s="56"/>
      <c r="QRA6" s="56"/>
      <c r="QRC6" s="56"/>
      <c r="QRE6" s="56"/>
      <c r="QRG6" s="56"/>
      <c r="QRI6" s="56"/>
      <c r="QRK6" s="56"/>
      <c r="QRM6" s="56"/>
      <c r="QRO6" s="56"/>
      <c r="QRQ6" s="56"/>
      <c r="QRS6" s="56"/>
      <c r="QRU6" s="56"/>
      <c r="QRW6" s="56"/>
      <c r="QRY6" s="56"/>
      <c r="QSA6" s="56"/>
      <c r="QSC6" s="56"/>
      <c r="QSE6" s="56"/>
      <c r="QSG6" s="56"/>
      <c r="QSI6" s="56"/>
      <c r="QSK6" s="56"/>
      <c r="QSM6" s="56"/>
      <c r="QSO6" s="56"/>
      <c r="QSQ6" s="56"/>
      <c r="QSS6" s="56"/>
      <c r="QSU6" s="56"/>
      <c r="QSW6" s="56"/>
      <c r="QSY6" s="56"/>
      <c r="QTA6" s="56"/>
      <c r="QTC6" s="56"/>
      <c r="QTE6" s="56"/>
      <c r="QTG6" s="56"/>
      <c r="QTI6" s="56"/>
      <c r="QTK6" s="56"/>
      <c r="QTM6" s="56"/>
      <c r="QTO6" s="56"/>
      <c r="QTQ6" s="56"/>
      <c r="QTS6" s="56"/>
      <c r="QTU6" s="56"/>
      <c r="QTW6" s="56"/>
      <c r="QTY6" s="56"/>
      <c r="QUA6" s="56"/>
      <c r="QUC6" s="56"/>
      <c r="QUE6" s="56"/>
      <c r="QUG6" s="56"/>
      <c r="QUI6" s="56"/>
      <c r="QUK6" s="56"/>
      <c r="QUM6" s="56"/>
      <c r="QUO6" s="56"/>
      <c r="QUQ6" s="56"/>
      <c r="QUS6" s="56"/>
      <c r="QUU6" s="56"/>
      <c r="QUW6" s="56"/>
      <c r="QUY6" s="56"/>
      <c r="QVA6" s="56"/>
      <c r="QVC6" s="56"/>
      <c r="QVE6" s="56"/>
      <c r="QVG6" s="56"/>
      <c r="QVI6" s="56"/>
      <c r="QVK6" s="56"/>
      <c r="QVM6" s="56"/>
      <c r="QVO6" s="56"/>
      <c r="QVQ6" s="56"/>
      <c r="QVS6" s="56"/>
      <c r="QVU6" s="56"/>
      <c r="QVW6" s="56"/>
      <c r="QVY6" s="56"/>
      <c r="QWA6" s="56"/>
      <c r="QWC6" s="56"/>
      <c r="QWE6" s="56"/>
      <c r="QWG6" s="56"/>
      <c r="QWI6" s="56"/>
      <c r="QWK6" s="56"/>
      <c r="QWM6" s="56"/>
      <c r="QWO6" s="56"/>
      <c r="QWQ6" s="56"/>
      <c r="QWS6" s="56"/>
      <c r="QWU6" s="56"/>
      <c r="QWW6" s="56"/>
      <c r="QWY6" s="56"/>
      <c r="QXA6" s="56"/>
      <c r="QXC6" s="56"/>
      <c r="QXE6" s="56"/>
      <c r="QXG6" s="56"/>
      <c r="QXI6" s="56"/>
      <c r="QXK6" s="56"/>
      <c r="QXM6" s="56"/>
      <c r="QXO6" s="56"/>
      <c r="QXQ6" s="56"/>
      <c r="QXS6" s="56"/>
      <c r="QXU6" s="56"/>
      <c r="QXW6" s="56"/>
      <c r="QXY6" s="56"/>
      <c r="QYA6" s="56"/>
      <c r="QYC6" s="56"/>
      <c r="QYE6" s="56"/>
      <c r="QYG6" s="56"/>
      <c r="QYI6" s="56"/>
      <c r="QYK6" s="56"/>
      <c r="QYM6" s="56"/>
      <c r="QYO6" s="56"/>
      <c r="QYQ6" s="56"/>
      <c r="QYS6" s="56"/>
      <c r="QYU6" s="56"/>
      <c r="QYW6" s="56"/>
      <c r="QYY6" s="56"/>
      <c r="QZA6" s="56"/>
      <c r="QZC6" s="56"/>
      <c r="QZE6" s="56"/>
      <c r="QZG6" s="56"/>
      <c r="QZI6" s="56"/>
      <c r="QZK6" s="56"/>
      <c r="QZM6" s="56"/>
      <c r="QZO6" s="56"/>
      <c r="QZQ6" s="56"/>
      <c r="QZS6" s="56"/>
      <c r="QZU6" s="56"/>
      <c r="QZW6" s="56"/>
      <c r="QZY6" s="56"/>
      <c r="RAA6" s="56"/>
      <c r="RAC6" s="56"/>
      <c r="RAE6" s="56"/>
      <c r="RAG6" s="56"/>
      <c r="RAI6" s="56"/>
      <c r="RAK6" s="56"/>
      <c r="RAM6" s="56"/>
      <c r="RAO6" s="56"/>
      <c r="RAQ6" s="56"/>
      <c r="RAS6" s="56"/>
      <c r="RAU6" s="56"/>
      <c r="RAW6" s="56"/>
      <c r="RAY6" s="56"/>
      <c r="RBA6" s="56"/>
      <c r="RBC6" s="56"/>
      <c r="RBE6" s="56"/>
      <c r="RBG6" s="56"/>
      <c r="RBI6" s="56"/>
      <c r="RBK6" s="56"/>
      <c r="RBM6" s="56"/>
      <c r="RBO6" s="56"/>
      <c r="RBQ6" s="56"/>
      <c r="RBS6" s="56"/>
      <c r="RBU6" s="56"/>
      <c r="RBW6" s="56"/>
      <c r="RBY6" s="56"/>
      <c r="RCA6" s="56"/>
      <c r="RCC6" s="56"/>
      <c r="RCE6" s="56"/>
      <c r="RCG6" s="56"/>
      <c r="RCI6" s="56"/>
      <c r="RCK6" s="56"/>
      <c r="RCM6" s="56"/>
      <c r="RCO6" s="56"/>
      <c r="RCQ6" s="56"/>
      <c r="RCS6" s="56"/>
      <c r="RCU6" s="56"/>
      <c r="RCW6" s="56"/>
      <c r="RCY6" s="56"/>
      <c r="RDA6" s="56"/>
      <c r="RDC6" s="56"/>
      <c r="RDE6" s="56"/>
      <c r="RDG6" s="56"/>
      <c r="RDI6" s="56"/>
      <c r="RDK6" s="56"/>
      <c r="RDM6" s="56"/>
      <c r="RDO6" s="56"/>
      <c r="RDQ6" s="56"/>
      <c r="RDS6" s="56"/>
      <c r="RDU6" s="56"/>
      <c r="RDW6" s="56"/>
      <c r="RDY6" s="56"/>
      <c r="REA6" s="56"/>
      <c r="REC6" s="56"/>
      <c r="REE6" s="56"/>
      <c r="REG6" s="56"/>
      <c r="REI6" s="56"/>
      <c r="REK6" s="56"/>
      <c r="REM6" s="56"/>
      <c r="REO6" s="56"/>
      <c r="REQ6" s="56"/>
      <c r="RES6" s="56"/>
      <c r="REU6" s="56"/>
      <c r="REW6" s="56"/>
      <c r="REY6" s="56"/>
      <c r="RFA6" s="56"/>
      <c r="RFC6" s="56"/>
      <c r="RFE6" s="56"/>
      <c r="RFG6" s="56"/>
      <c r="RFI6" s="56"/>
      <c r="RFK6" s="56"/>
      <c r="RFM6" s="56"/>
      <c r="RFO6" s="56"/>
      <c r="RFQ6" s="56"/>
      <c r="RFS6" s="56"/>
      <c r="RFU6" s="56"/>
      <c r="RFW6" s="56"/>
      <c r="RFY6" s="56"/>
      <c r="RGA6" s="56"/>
      <c r="RGC6" s="56"/>
      <c r="RGE6" s="56"/>
      <c r="RGG6" s="56"/>
      <c r="RGI6" s="56"/>
      <c r="RGK6" s="56"/>
      <c r="RGM6" s="56"/>
      <c r="RGO6" s="56"/>
      <c r="RGQ6" s="56"/>
      <c r="RGS6" s="56"/>
      <c r="RGU6" s="56"/>
      <c r="RGW6" s="56"/>
      <c r="RGY6" s="56"/>
      <c r="RHA6" s="56"/>
      <c r="RHC6" s="56"/>
      <c r="RHE6" s="56"/>
      <c r="RHG6" s="56"/>
      <c r="RHI6" s="56"/>
      <c r="RHK6" s="56"/>
      <c r="RHM6" s="56"/>
      <c r="RHO6" s="56"/>
      <c r="RHQ6" s="56"/>
      <c r="RHS6" s="56"/>
      <c r="RHU6" s="56"/>
      <c r="RHW6" s="56"/>
      <c r="RHY6" s="56"/>
      <c r="RIA6" s="56"/>
      <c r="RIC6" s="56"/>
      <c r="RIE6" s="56"/>
      <c r="RIG6" s="56"/>
      <c r="RII6" s="56"/>
      <c r="RIK6" s="56"/>
      <c r="RIM6" s="56"/>
      <c r="RIO6" s="56"/>
      <c r="RIQ6" s="56"/>
      <c r="RIS6" s="56"/>
      <c r="RIU6" s="56"/>
      <c r="RIW6" s="56"/>
      <c r="RIY6" s="56"/>
      <c r="RJA6" s="56"/>
      <c r="RJC6" s="56"/>
      <c r="RJE6" s="56"/>
      <c r="RJG6" s="56"/>
      <c r="RJI6" s="56"/>
      <c r="RJK6" s="56"/>
      <c r="RJM6" s="56"/>
      <c r="RJO6" s="56"/>
      <c r="RJQ6" s="56"/>
      <c r="RJS6" s="56"/>
      <c r="RJU6" s="56"/>
      <c r="RJW6" s="56"/>
      <c r="RJY6" s="56"/>
      <c r="RKA6" s="56"/>
      <c r="RKC6" s="56"/>
      <c r="RKE6" s="56"/>
      <c r="RKG6" s="56"/>
      <c r="RKI6" s="56"/>
      <c r="RKK6" s="56"/>
      <c r="RKM6" s="56"/>
      <c r="RKO6" s="56"/>
      <c r="RKQ6" s="56"/>
      <c r="RKS6" s="56"/>
      <c r="RKU6" s="56"/>
      <c r="RKW6" s="56"/>
      <c r="RKY6" s="56"/>
      <c r="RLA6" s="56"/>
      <c r="RLC6" s="56"/>
      <c r="RLE6" s="56"/>
      <c r="RLG6" s="56"/>
      <c r="RLI6" s="56"/>
      <c r="RLK6" s="56"/>
      <c r="RLM6" s="56"/>
      <c r="RLO6" s="56"/>
      <c r="RLQ6" s="56"/>
      <c r="RLS6" s="56"/>
      <c r="RLU6" s="56"/>
      <c r="RLW6" s="56"/>
      <c r="RLY6" s="56"/>
      <c r="RMA6" s="56"/>
      <c r="RMC6" s="56"/>
      <c r="RME6" s="56"/>
      <c r="RMG6" s="56"/>
      <c r="RMI6" s="56"/>
      <c r="RMK6" s="56"/>
      <c r="RMM6" s="56"/>
      <c r="RMO6" s="56"/>
      <c r="RMQ6" s="56"/>
      <c r="RMS6" s="56"/>
      <c r="RMU6" s="56"/>
      <c r="RMW6" s="56"/>
      <c r="RMY6" s="56"/>
      <c r="RNA6" s="56"/>
      <c r="RNC6" s="56"/>
      <c r="RNE6" s="56"/>
      <c r="RNG6" s="56"/>
      <c r="RNI6" s="56"/>
      <c r="RNK6" s="56"/>
      <c r="RNM6" s="56"/>
      <c r="RNO6" s="56"/>
      <c r="RNQ6" s="56"/>
      <c r="RNS6" s="56"/>
      <c r="RNU6" s="56"/>
      <c r="RNW6" s="56"/>
      <c r="RNY6" s="56"/>
      <c r="ROA6" s="56"/>
      <c r="ROC6" s="56"/>
      <c r="ROE6" s="56"/>
      <c r="ROG6" s="56"/>
      <c r="ROI6" s="56"/>
      <c r="ROK6" s="56"/>
      <c r="ROM6" s="56"/>
      <c r="ROO6" s="56"/>
      <c r="ROQ6" s="56"/>
      <c r="ROS6" s="56"/>
      <c r="ROU6" s="56"/>
      <c r="ROW6" s="56"/>
      <c r="ROY6" s="56"/>
      <c r="RPA6" s="56"/>
      <c r="RPC6" s="56"/>
      <c r="RPE6" s="56"/>
      <c r="RPG6" s="56"/>
      <c r="RPI6" s="56"/>
      <c r="RPK6" s="56"/>
      <c r="RPM6" s="56"/>
      <c r="RPO6" s="56"/>
      <c r="RPQ6" s="56"/>
      <c r="RPS6" s="56"/>
      <c r="RPU6" s="56"/>
      <c r="RPW6" s="56"/>
      <c r="RPY6" s="56"/>
      <c r="RQA6" s="56"/>
      <c r="RQC6" s="56"/>
      <c r="RQE6" s="56"/>
      <c r="RQG6" s="56"/>
      <c r="RQI6" s="56"/>
      <c r="RQK6" s="56"/>
      <c r="RQM6" s="56"/>
      <c r="RQO6" s="56"/>
      <c r="RQQ6" s="56"/>
      <c r="RQS6" s="56"/>
      <c r="RQU6" s="56"/>
      <c r="RQW6" s="56"/>
      <c r="RQY6" s="56"/>
      <c r="RRA6" s="56"/>
      <c r="RRC6" s="56"/>
      <c r="RRE6" s="56"/>
      <c r="RRG6" s="56"/>
      <c r="RRI6" s="56"/>
      <c r="RRK6" s="56"/>
      <c r="RRM6" s="56"/>
      <c r="RRO6" s="56"/>
      <c r="RRQ6" s="56"/>
      <c r="RRS6" s="56"/>
      <c r="RRU6" s="56"/>
      <c r="RRW6" s="56"/>
      <c r="RRY6" s="56"/>
      <c r="RSA6" s="56"/>
      <c r="RSC6" s="56"/>
      <c r="RSE6" s="56"/>
      <c r="RSG6" s="56"/>
      <c r="RSI6" s="56"/>
      <c r="RSK6" s="56"/>
      <c r="RSM6" s="56"/>
      <c r="RSO6" s="56"/>
      <c r="RSQ6" s="56"/>
      <c r="RSS6" s="56"/>
      <c r="RSU6" s="56"/>
      <c r="RSW6" s="56"/>
      <c r="RSY6" s="56"/>
      <c r="RTA6" s="56"/>
      <c r="RTC6" s="56"/>
      <c r="RTE6" s="56"/>
      <c r="RTG6" s="56"/>
      <c r="RTI6" s="56"/>
      <c r="RTK6" s="56"/>
      <c r="RTM6" s="56"/>
      <c r="RTO6" s="56"/>
      <c r="RTQ6" s="56"/>
      <c r="RTS6" s="56"/>
      <c r="RTU6" s="56"/>
      <c r="RTW6" s="56"/>
      <c r="RTY6" s="56"/>
      <c r="RUA6" s="56"/>
      <c r="RUC6" s="56"/>
      <c r="RUE6" s="56"/>
      <c r="RUG6" s="56"/>
      <c r="RUI6" s="56"/>
      <c r="RUK6" s="56"/>
      <c r="RUM6" s="56"/>
      <c r="RUO6" s="56"/>
      <c r="RUQ6" s="56"/>
      <c r="RUS6" s="56"/>
      <c r="RUU6" s="56"/>
      <c r="RUW6" s="56"/>
      <c r="RUY6" s="56"/>
      <c r="RVA6" s="56"/>
      <c r="RVC6" s="56"/>
      <c r="RVE6" s="56"/>
      <c r="RVG6" s="56"/>
      <c r="RVI6" s="56"/>
      <c r="RVK6" s="56"/>
      <c r="RVM6" s="56"/>
      <c r="RVO6" s="56"/>
      <c r="RVQ6" s="56"/>
      <c r="RVS6" s="56"/>
      <c r="RVU6" s="56"/>
      <c r="RVW6" s="56"/>
      <c r="RVY6" s="56"/>
      <c r="RWA6" s="56"/>
      <c r="RWC6" s="56"/>
      <c r="RWE6" s="56"/>
      <c r="RWG6" s="56"/>
      <c r="RWI6" s="56"/>
      <c r="RWK6" s="56"/>
      <c r="RWM6" s="56"/>
      <c r="RWO6" s="56"/>
      <c r="RWQ6" s="56"/>
      <c r="RWS6" s="56"/>
      <c r="RWU6" s="56"/>
      <c r="RWW6" s="56"/>
      <c r="RWY6" s="56"/>
      <c r="RXA6" s="56"/>
      <c r="RXC6" s="56"/>
      <c r="RXE6" s="56"/>
      <c r="RXG6" s="56"/>
      <c r="RXI6" s="56"/>
      <c r="RXK6" s="56"/>
      <c r="RXM6" s="56"/>
      <c r="RXO6" s="56"/>
      <c r="RXQ6" s="56"/>
      <c r="RXS6" s="56"/>
      <c r="RXU6" s="56"/>
      <c r="RXW6" s="56"/>
      <c r="RXY6" s="56"/>
      <c r="RYA6" s="56"/>
      <c r="RYC6" s="56"/>
      <c r="RYE6" s="56"/>
      <c r="RYG6" s="56"/>
      <c r="RYI6" s="56"/>
      <c r="RYK6" s="56"/>
      <c r="RYM6" s="56"/>
      <c r="RYO6" s="56"/>
      <c r="RYQ6" s="56"/>
      <c r="RYS6" s="56"/>
      <c r="RYU6" s="56"/>
      <c r="RYW6" s="56"/>
      <c r="RYY6" s="56"/>
      <c r="RZA6" s="56"/>
      <c r="RZC6" s="56"/>
      <c r="RZE6" s="56"/>
      <c r="RZG6" s="56"/>
      <c r="RZI6" s="56"/>
      <c r="RZK6" s="56"/>
      <c r="RZM6" s="56"/>
      <c r="RZO6" s="56"/>
      <c r="RZQ6" s="56"/>
      <c r="RZS6" s="56"/>
      <c r="RZU6" s="56"/>
      <c r="RZW6" s="56"/>
      <c r="RZY6" s="56"/>
      <c r="SAA6" s="56"/>
      <c r="SAC6" s="56"/>
      <c r="SAE6" s="56"/>
      <c r="SAG6" s="56"/>
      <c r="SAI6" s="56"/>
      <c r="SAK6" s="56"/>
      <c r="SAM6" s="56"/>
      <c r="SAO6" s="56"/>
      <c r="SAQ6" s="56"/>
      <c r="SAS6" s="56"/>
      <c r="SAU6" s="56"/>
      <c r="SAW6" s="56"/>
      <c r="SAY6" s="56"/>
      <c r="SBA6" s="56"/>
      <c r="SBC6" s="56"/>
      <c r="SBE6" s="56"/>
      <c r="SBG6" s="56"/>
      <c r="SBI6" s="56"/>
      <c r="SBK6" s="56"/>
      <c r="SBM6" s="56"/>
      <c r="SBO6" s="56"/>
      <c r="SBQ6" s="56"/>
      <c r="SBS6" s="56"/>
      <c r="SBU6" s="56"/>
      <c r="SBW6" s="56"/>
      <c r="SBY6" s="56"/>
      <c r="SCA6" s="56"/>
      <c r="SCC6" s="56"/>
      <c r="SCE6" s="56"/>
      <c r="SCG6" s="56"/>
      <c r="SCI6" s="56"/>
      <c r="SCK6" s="56"/>
      <c r="SCM6" s="56"/>
      <c r="SCO6" s="56"/>
      <c r="SCQ6" s="56"/>
      <c r="SCS6" s="56"/>
      <c r="SCU6" s="56"/>
      <c r="SCW6" s="56"/>
      <c r="SCY6" s="56"/>
      <c r="SDA6" s="56"/>
      <c r="SDC6" s="56"/>
      <c r="SDE6" s="56"/>
      <c r="SDG6" s="56"/>
      <c r="SDI6" s="56"/>
      <c r="SDK6" s="56"/>
      <c r="SDM6" s="56"/>
      <c r="SDO6" s="56"/>
      <c r="SDQ6" s="56"/>
      <c r="SDS6" s="56"/>
      <c r="SDU6" s="56"/>
      <c r="SDW6" s="56"/>
      <c r="SDY6" s="56"/>
      <c r="SEA6" s="56"/>
      <c r="SEC6" s="56"/>
      <c r="SEE6" s="56"/>
      <c r="SEG6" s="56"/>
      <c r="SEI6" s="56"/>
      <c r="SEK6" s="56"/>
      <c r="SEM6" s="56"/>
      <c r="SEO6" s="56"/>
      <c r="SEQ6" s="56"/>
      <c r="SES6" s="56"/>
      <c r="SEU6" s="56"/>
      <c r="SEW6" s="56"/>
      <c r="SEY6" s="56"/>
      <c r="SFA6" s="56"/>
      <c r="SFC6" s="56"/>
      <c r="SFE6" s="56"/>
      <c r="SFG6" s="56"/>
      <c r="SFI6" s="56"/>
      <c r="SFK6" s="56"/>
      <c r="SFM6" s="56"/>
      <c r="SFO6" s="56"/>
      <c r="SFQ6" s="56"/>
      <c r="SFS6" s="56"/>
      <c r="SFU6" s="56"/>
      <c r="SFW6" s="56"/>
      <c r="SFY6" s="56"/>
      <c r="SGA6" s="56"/>
      <c r="SGC6" s="56"/>
      <c r="SGE6" s="56"/>
      <c r="SGG6" s="56"/>
      <c r="SGI6" s="56"/>
      <c r="SGK6" s="56"/>
      <c r="SGM6" s="56"/>
      <c r="SGO6" s="56"/>
      <c r="SGQ6" s="56"/>
      <c r="SGS6" s="56"/>
      <c r="SGU6" s="56"/>
      <c r="SGW6" s="56"/>
      <c r="SGY6" s="56"/>
      <c r="SHA6" s="56"/>
      <c r="SHC6" s="56"/>
      <c r="SHE6" s="56"/>
      <c r="SHG6" s="56"/>
      <c r="SHI6" s="56"/>
      <c r="SHK6" s="56"/>
      <c r="SHM6" s="56"/>
      <c r="SHO6" s="56"/>
      <c r="SHQ6" s="56"/>
      <c r="SHS6" s="56"/>
      <c r="SHU6" s="56"/>
      <c r="SHW6" s="56"/>
      <c r="SHY6" s="56"/>
      <c r="SIA6" s="56"/>
      <c r="SIC6" s="56"/>
      <c r="SIE6" s="56"/>
      <c r="SIG6" s="56"/>
      <c r="SII6" s="56"/>
      <c r="SIK6" s="56"/>
      <c r="SIM6" s="56"/>
      <c r="SIO6" s="56"/>
      <c r="SIQ6" s="56"/>
      <c r="SIS6" s="56"/>
      <c r="SIU6" s="56"/>
      <c r="SIW6" s="56"/>
      <c r="SIY6" s="56"/>
      <c r="SJA6" s="56"/>
      <c r="SJC6" s="56"/>
      <c r="SJE6" s="56"/>
      <c r="SJG6" s="56"/>
      <c r="SJI6" s="56"/>
      <c r="SJK6" s="56"/>
      <c r="SJM6" s="56"/>
      <c r="SJO6" s="56"/>
      <c r="SJQ6" s="56"/>
      <c r="SJS6" s="56"/>
      <c r="SJU6" s="56"/>
      <c r="SJW6" s="56"/>
      <c r="SJY6" s="56"/>
      <c r="SKA6" s="56"/>
      <c r="SKC6" s="56"/>
      <c r="SKE6" s="56"/>
      <c r="SKG6" s="56"/>
      <c r="SKI6" s="56"/>
      <c r="SKK6" s="56"/>
      <c r="SKM6" s="56"/>
      <c r="SKO6" s="56"/>
      <c r="SKQ6" s="56"/>
      <c r="SKS6" s="56"/>
      <c r="SKU6" s="56"/>
      <c r="SKW6" s="56"/>
      <c r="SKY6" s="56"/>
      <c r="SLA6" s="56"/>
      <c r="SLC6" s="56"/>
      <c r="SLE6" s="56"/>
      <c r="SLG6" s="56"/>
      <c r="SLI6" s="56"/>
      <c r="SLK6" s="56"/>
      <c r="SLM6" s="56"/>
      <c r="SLO6" s="56"/>
      <c r="SLQ6" s="56"/>
      <c r="SLS6" s="56"/>
      <c r="SLU6" s="56"/>
      <c r="SLW6" s="56"/>
      <c r="SLY6" s="56"/>
      <c r="SMA6" s="56"/>
      <c r="SMC6" s="56"/>
      <c r="SME6" s="56"/>
      <c r="SMG6" s="56"/>
      <c r="SMI6" s="56"/>
      <c r="SMK6" s="56"/>
      <c r="SMM6" s="56"/>
      <c r="SMO6" s="56"/>
      <c r="SMQ6" s="56"/>
      <c r="SMS6" s="56"/>
      <c r="SMU6" s="56"/>
      <c r="SMW6" s="56"/>
      <c r="SMY6" s="56"/>
      <c r="SNA6" s="56"/>
      <c r="SNC6" s="56"/>
      <c r="SNE6" s="56"/>
      <c r="SNG6" s="56"/>
      <c r="SNI6" s="56"/>
      <c r="SNK6" s="56"/>
      <c r="SNM6" s="56"/>
      <c r="SNO6" s="56"/>
      <c r="SNQ6" s="56"/>
      <c r="SNS6" s="56"/>
      <c r="SNU6" s="56"/>
      <c r="SNW6" s="56"/>
      <c r="SNY6" s="56"/>
      <c r="SOA6" s="56"/>
      <c r="SOC6" s="56"/>
      <c r="SOE6" s="56"/>
      <c r="SOG6" s="56"/>
      <c r="SOI6" s="56"/>
      <c r="SOK6" s="56"/>
      <c r="SOM6" s="56"/>
      <c r="SOO6" s="56"/>
      <c r="SOQ6" s="56"/>
      <c r="SOS6" s="56"/>
      <c r="SOU6" s="56"/>
      <c r="SOW6" s="56"/>
      <c r="SOY6" s="56"/>
      <c r="SPA6" s="56"/>
      <c r="SPC6" s="56"/>
      <c r="SPE6" s="56"/>
      <c r="SPG6" s="56"/>
      <c r="SPI6" s="56"/>
      <c r="SPK6" s="56"/>
      <c r="SPM6" s="56"/>
      <c r="SPO6" s="56"/>
      <c r="SPQ6" s="56"/>
      <c r="SPS6" s="56"/>
      <c r="SPU6" s="56"/>
      <c r="SPW6" s="56"/>
      <c r="SPY6" s="56"/>
      <c r="SQA6" s="56"/>
      <c r="SQC6" s="56"/>
      <c r="SQE6" s="56"/>
      <c r="SQG6" s="56"/>
      <c r="SQI6" s="56"/>
      <c r="SQK6" s="56"/>
      <c r="SQM6" s="56"/>
      <c r="SQO6" s="56"/>
      <c r="SQQ6" s="56"/>
      <c r="SQS6" s="56"/>
      <c r="SQU6" s="56"/>
      <c r="SQW6" s="56"/>
      <c r="SQY6" s="56"/>
      <c r="SRA6" s="56"/>
      <c r="SRC6" s="56"/>
      <c r="SRE6" s="56"/>
      <c r="SRG6" s="56"/>
      <c r="SRI6" s="56"/>
      <c r="SRK6" s="56"/>
      <c r="SRM6" s="56"/>
      <c r="SRO6" s="56"/>
      <c r="SRQ6" s="56"/>
      <c r="SRS6" s="56"/>
      <c r="SRU6" s="56"/>
      <c r="SRW6" s="56"/>
      <c r="SRY6" s="56"/>
      <c r="SSA6" s="56"/>
      <c r="SSC6" s="56"/>
      <c r="SSE6" s="56"/>
      <c r="SSG6" s="56"/>
      <c r="SSI6" s="56"/>
      <c r="SSK6" s="56"/>
      <c r="SSM6" s="56"/>
      <c r="SSO6" s="56"/>
      <c r="SSQ6" s="56"/>
      <c r="SSS6" s="56"/>
      <c r="SSU6" s="56"/>
      <c r="SSW6" s="56"/>
      <c r="SSY6" s="56"/>
      <c r="STA6" s="56"/>
      <c r="STC6" s="56"/>
      <c r="STE6" s="56"/>
      <c r="STG6" s="56"/>
      <c r="STI6" s="56"/>
      <c r="STK6" s="56"/>
      <c r="STM6" s="56"/>
      <c r="STO6" s="56"/>
      <c r="STQ6" s="56"/>
      <c r="STS6" s="56"/>
      <c r="STU6" s="56"/>
      <c r="STW6" s="56"/>
      <c r="STY6" s="56"/>
      <c r="SUA6" s="56"/>
      <c r="SUC6" s="56"/>
      <c r="SUE6" s="56"/>
      <c r="SUG6" s="56"/>
      <c r="SUI6" s="56"/>
      <c r="SUK6" s="56"/>
      <c r="SUM6" s="56"/>
      <c r="SUO6" s="56"/>
      <c r="SUQ6" s="56"/>
      <c r="SUS6" s="56"/>
      <c r="SUU6" s="56"/>
      <c r="SUW6" s="56"/>
      <c r="SUY6" s="56"/>
      <c r="SVA6" s="56"/>
      <c r="SVC6" s="56"/>
      <c r="SVE6" s="56"/>
      <c r="SVG6" s="56"/>
      <c r="SVI6" s="56"/>
      <c r="SVK6" s="56"/>
      <c r="SVM6" s="56"/>
      <c r="SVO6" s="56"/>
      <c r="SVQ6" s="56"/>
      <c r="SVS6" s="56"/>
      <c r="SVU6" s="56"/>
      <c r="SVW6" s="56"/>
      <c r="SVY6" s="56"/>
      <c r="SWA6" s="56"/>
      <c r="SWC6" s="56"/>
      <c r="SWE6" s="56"/>
      <c r="SWG6" s="56"/>
      <c r="SWI6" s="56"/>
      <c r="SWK6" s="56"/>
      <c r="SWM6" s="56"/>
      <c r="SWO6" s="56"/>
      <c r="SWQ6" s="56"/>
      <c r="SWS6" s="56"/>
      <c r="SWU6" s="56"/>
      <c r="SWW6" s="56"/>
      <c r="SWY6" s="56"/>
      <c r="SXA6" s="56"/>
      <c r="SXC6" s="56"/>
      <c r="SXE6" s="56"/>
      <c r="SXG6" s="56"/>
      <c r="SXI6" s="56"/>
      <c r="SXK6" s="56"/>
      <c r="SXM6" s="56"/>
      <c r="SXO6" s="56"/>
      <c r="SXQ6" s="56"/>
      <c r="SXS6" s="56"/>
      <c r="SXU6" s="56"/>
      <c r="SXW6" s="56"/>
      <c r="SXY6" s="56"/>
      <c r="SYA6" s="56"/>
      <c r="SYC6" s="56"/>
      <c r="SYE6" s="56"/>
      <c r="SYG6" s="56"/>
      <c r="SYI6" s="56"/>
      <c r="SYK6" s="56"/>
      <c r="SYM6" s="56"/>
      <c r="SYO6" s="56"/>
      <c r="SYQ6" s="56"/>
      <c r="SYS6" s="56"/>
      <c r="SYU6" s="56"/>
      <c r="SYW6" s="56"/>
      <c r="SYY6" s="56"/>
      <c r="SZA6" s="56"/>
      <c r="SZC6" s="56"/>
      <c r="SZE6" s="56"/>
      <c r="SZG6" s="56"/>
      <c r="SZI6" s="56"/>
      <c r="SZK6" s="56"/>
      <c r="SZM6" s="56"/>
      <c r="SZO6" s="56"/>
      <c r="SZQ6" s="56"/>
      <c r="SZS6" s="56"/>
      <c r="SZU6" s="56"/>
      <c r="SZW6" s="56"/>
      <c r="SZY6" s="56"/>
      <c r="TAA6" s="56"/>
      <c r="TAC6" s="56"/>
      <c r="TAE6" s="56"/>
      <c r="TAG6" s="56"/>
      <c r="TAI6" s="56"/>
      <c r="TAK6" s="56"/>
      <c r="TAM6" s="56"/>
      <c r="TAO6" s="56"/>
      <c r="TAQ6" s="56"/>
      <c r="TAS6" s="56"/>
      <c r="TAU6" s="56"/>
      <c r="TAW6" s="56"/>
      <c r="TAY6" s="56"/>
      <c r="TBA6" s="56"/>
      <c r="TBC6" s="56"/>
      <c r="TBE6" s="56"/>
      <c r="TBG6" s="56"/>
      <c r="TBI6" s="56"/>
      <c r="TBK6" s="56"/>
      <c r="TBM6" s="56"/>
      <c r="TBO6" s="56"/>
      <c r="TBQ6" s="56"/>
      <c r="TBS6" s="56"/>
      <c r="TBU6" s="56"/>
      <c r="TBW6" s="56"/>
      <c r="TBY6" s="56"/>
      <c r="TCA6" s="56"/>
      <c r="TCC6" s="56"/>
      <c r="TCE6" s="56"/>
      <c r="TCG6" s="56"/>
      <c r="TCI6" s="56"/>
      <c r="TCK6" s="56"/>
      <c r="TCM6" s="56"/>
      <c r="TCO6" s="56"/>
      <c r="TCQ6" s="56"/>
      <c r="TCS6" s="56"/>
      <c r="TCU6" s="56"/>
      <c r="TCW6" s="56"/>
      <c r="TCY6" s="56"/>
      <c r="TDA6" s="56"/>
      <c r="TDC6" s="56"/>
      <c r="TDE6" s="56"/>
      <c r="TDG6" s="56"/>
      <c r="TDI6" s="56"/>
      <c r="TDK6" s="56"/>
      <c r="TDM6" s="56"/>
      <c r="TDO6" s="56"/>
      <c r="TDQ6" s="56"/>
      <c r="TDS6" s="56"/>
      <c r="TDU6" s="56"/>
      <c r="TDW6" s="56"/>
      <c r="TDY6" s="56"/>
      <c r="TEA6" s="56"/>
      <c r="TEC6" s="56"/>
      <c r="TEE6" s="56"/>
      <c r="TEG6" s="56"/>
      <c r="TEI6" s="56"/>
      <c r="TEK6" s="56"/>
      <c r="TEM6" s="56"/>
      <c r="TEO6" s="56"/>
      <c r="TEQ6" s="56"/>
      <c r="TES6" s="56"/>
      <c r="TEU6" s="56"/>
      <c r="TEW6" s="56"/>
      <c r="TEY6" s="56"/>
      <c r="TFA6" s="56"/>
      <c r="TFC6" s="56"/>
      <c r="TFE6" s="56"/>
      <c r="TFG6" s="56"/>
      <c r="TFI6" s="56"/>
      <c r="TFK6" s="56"/>
      <c r="TFM6" s="56"/>
      <c r="TFO6" s="56"/>
      <c r="TFQ6" s="56"/>
      <c r="TFS6" s="56"/>
      <c r="TFU6" s="56"/>
      <c r="TFW6" s="56"/>
      <c r="TFY6" s="56"/>
      <c r="TGA6" s="56"/>
      <c r="TGC6" s="56"/>
      <c r="TGE6" s="56"/>
      <c r="TGG6" s="56"/>
      <c r="TGI6" s="56"/>
      <c r="TGK6" s="56"/>
      <c r="TGM6" s="56"/>
      <c r="TGO6" s="56"/>
      <c r="TGQ6" s="56"/>
      <c r="TGS6" s="56"/>
      <c r="TGU6" s="56"/>
      <c r="TGW6" s="56"/>
      <c r="TGY6" s="56"/>
      <c r="THA6" s="56"/>
      <c r="THC6" s="56"/>
      <c r="THE6" s="56"/>
      <c r="THG6" s="56"/>
      <c r="THI6" s="56"/>
      <c r="THK6" s="56"/>
      <c r="THM6" s="56"/>
      <c r="THO6" s="56"/>
      <c r="THQ6" s="56"/>
      <c r="THS6" s="56"/>
      <c r="THU6" s="56"/>
      <c r="THW6" s="56"/>
      <c r="THY6" s="56"/>
      <c r="TIA6" s="56"/>
      <c r="TIC6" s="56"/>
      <c r="TIE6" s="56"/>
      <c r="TIG6" s="56"/>
      <c r="TII6" s="56"/>
      <c r="TIK6" s="56"/>
      <c r="TIM6" s="56"/>
      <c r="TIO6" s="56"/>
      <c r="TIQ6" s="56"/>
      <c r="TIS6" s="56"/>
      <c r="TIU6" s="56"/>
      <c r="TIW6" s="56"/>
      <c r="TIY6" s="56"/>
      <c r="TJA6" s="56"/>
      <c r="TJC6" s="56"/>
      <c r="TJE6" s="56"/>
      <c r="TJG6" s="56"/>
      <c r="TJI6" s="56"/>
      <c r="TJK6" s="56"/>
      <c r="TJM6" s="56"/>
      <c r="TJO6" s="56"/>
      <c r="TJQ6" s="56"/>
      <c r="TJS6" s="56"/>
      <c r="TJU6" s="56"/>
      <c r="TJW6" s="56"/>
      <c r="TJY6" s="56"/>
      <c r="TKA6" s="56"/>
      <c r="TKC6" s="56"/>
      <c r="TKE6" s="56"/>
      <c r="TKG6" s="56"/>
      <c r="TKI6" s="56"/>
      <c r="TKK6" s="56"/>
      <c r="TKM6" s="56"/>
      <c r="TKO6" s="56"/>
      <c r="TKQ6" s="56"/>
      <c r="TKS6" s="56"/>
      <c r="TKU6" s="56"/>
      <c r="TKW6" s="56"/>
      <c r="TKY6" s="56"/>
      <c r="TLA6" s="56"/>
      <c r="TLC6" s="56"/>
      <c r="TLE6" s="56"/>
      <c r="TLG6" s="56"/>
      <c r="TLI6" s="56"/>
      <c r="TLK6" s="56"/>
      <c r="TLM6" s="56"/>
      <c r="TLO6" s="56"/>
      <c r="TLQ6" s="56"/>
      <c r="TLS6" s="56"/>
      <c r="TLU6" s="56"/>
      <c r="TLW6" s="56"/>
      <c r="TLY6" s="56"/>
      <c r="TMA6" s="56"/>
      <c r="TMC6" s="56"/>
      <c r="TME6" s="56"/>
      <c r="TMG6" s="56"/>
      <c r="TMI6" s="56"/>
      <c r="TMK6" s="56"/>
      <c r="TMM6" s="56"/>
      <c r="TMO6" s="56"/>
      <c r="TMQ6" s="56"/>
      <c r="TMS6" s="56"/>
      <c r="TMU6" s="56"/>
      <c r="TMW6" s="56"/>
      <c r="TMY6" s="56"/>
      <c r="TNA6" s="56"/>
      <c r="TNC6" s="56"/>
      <c r="TNE6" s="56"/>
      <c r="TNG6" s="56"/>
      <c r="TNI6" s="56"/>
      <c r="TNK6" s="56"/>
      <c r="TNM6" s="56"/>
      <c r="TNO6" s="56"/>
      <c r="TNQ6" s="56"/>
      <c r="TNS6" s="56"/>
      <c r="TNU6" s="56"/>
      <c r="TNW6" s="56"/>
      <c r="TNY6" s="56"/>
      <c r="TOA6" s="56"/>
      <c r="TOC6" s="56"/>
      <c r="TOE6" s="56"/>
      <c r="TOG6" s="56"/>
      <c r="TOI6" s="56"/>
      <c r="TOK6" s="56"/>
      <c r="TOM6" s="56"/>
      <c r="TOO6" s="56"/>
      <c r="TOQ6" s="56"/>
      <c r="TOS6" s="56"/>
      <c r="TOU6" s="56"/>
      <c r="TOW6" s="56"/>
      <c r="TOY6" s="56"/>
      <c r="TPA6" s="56"/>
      <c r="TPC6" s="56"/>
      <c r="TPE6" s="56"/>
      <c r="TPG6" s="56"/>
      <c r="TPI6" s="56"/>
      <c r="TPK6" s="56"/>
      <c r="TPM6" s="56"/>
      <c r="TPO6" s="56"/>
      <c r="TPQ6" s="56"/>
      <c r="TPS6" s="56"/>
      <c r="TPU6" s="56"/>
      <c r="TPW6" s="56"/>
      <c r="TPY6" s="56"/>
      <c r="TQA6" s="56"/>
      <c r="TQC6" s="56"/>
      <c r="TQE6" s="56"/>
      <c r="TQG6" s="56"/>
      <c r="TQI6" s="56"/>
      <c r="TQK6" s="56"/>
      <c r="TQM6" s="56"/>
      <c r="TQO6" s="56"/>
      <c r="TQQ6" s="56"/>
      <c r="TQS6" s="56"/>
      <c r="TQU6" s="56"/>
      <c r="TQW6" s="56"/>
      <c r="TQY6" s="56"/>
      <c r="TRA6" s="56"/>
      <c r="TRC6" s="56"/>
      <c r="TRE6" s="56"/>
      <c r="TRG6" s="56"/>
      <c r="TRI6" s="56"/>
      <c r="TRK6" s="56"/>
      <c r="TRM6" s="56"/>
      <c r="TRO6" s="56"/>
      <c r="TRQ6" s="56"/>
      <c r="TRS6" s="56"/>
      <c r="TRU6" s="56"/>
      <c r="TRW6" s="56"/>
      <c r="TRY6" s="56"/>
      <c r="TSA6" s="56"/>
      <c r="TSC6" s="56"/>
      <c r="TSE6" s="56"/>
      <c r="TSG6" s="56"/>
      <c r="TSI6" s="56"/>
      <c r="TSK6" s="56"/>
      <c r="TSM6" s="56"/>
      <c r="TSO6" s="56"/>
      <c r="TSQ6" s="56"/>
      <c r="TSS6" s="56"/>
      <c r="TSU6" s="56"/>
      <c r="TSW6" s="56"/>
      <c r="TSY6" s="56"/>
      <c r="TTA6" s="56"/>
      <c r="TTC6" s="56"/>
      <c r="TTE6" s="56"/>
      <c r="TTG6" s="56"/>
      <c r="TTI6" s="56"/>
      <c r="TTK6" s="56"/>
      <c r="TTM6" s="56"/>
      <c r="TTO6" s="56"/>
      <c r="TTQ6" s="56"/>
      <c r="TTS6" s="56"/>
      <c r="TTU6" s="56"/>
      <c r="TTW6" s="56"/>
      <c r="TTY6" s="56"/>
      <c r="TUA6" s="56"/>
      <c r="TUC6" s="56"/>
      <c r="TUE6" s="56"/>
      <c r="TUG6" s="56"/>
      <c r="TUI6" s="56"/>
      <c r="TUK6" s="56"/>
      <c r="TUM6" s="56"/>
      <c r="TUO6" s="56"/>
      <c r="TUQ6" s="56"/>
      <c r="TUS6" s="56"/>
      <c r="TUU6" s="56"/>
      <c r="TUW6" s="56"/>
      <c r="TUY6" s="56"/>
      <c r="TVA6" s="56"/>
      <c r="TVC6" s="56"/>
      <c r="TVE6" s="56"/>
      <c r="TVG6" s="56"/>
      <c r="TVI6" s="56"/>
      <c r="TVK6" s="56"/>
      <c r="TVM6" s="56"/>
      <c r="TVO6" s="56"/>
      <c r="TVQ6" s="56"/>
      <c r="TVS6" s="56"/>
      <c r="TVU6" s="56"/>
      <c r="TVW6" s="56"/>
      <c r="TVY6" s="56"/>
      <c r="TWA6" s="56"/>
      <c r="TWC6" s="56"/>
      <c r="TWE6" s="56"/>
      <c r="TWG6" s="56"/>
      <c r="TWI6" s="56"/>
      <c r="TWK6" s="56"/>
      <c r="TWM6" s="56"/>
      <c r="TWO6" s="56"/>
      <c r="TWQ6" s="56"/>
      <c r="TWS6" s="56"/>
      <c r="TWU6" s="56"/>
      <c r="TWW6" s="56"/>
      <c r="TWY6" s="56"/>
      <c r="TXA6" s="56"/>
      <c r="TXC6" s="56"/>
      <c r="TXE6" s="56"/>
      <c r="TXG6" s="56"/>
      <c r="TXI6" s="56"/>
      <c r="TXK6" s="56"/>
      <c r="TXM6" s="56"/>
      <c r="TXO6" s="56"/>
      <c r="TXQ6" s="56"/>
      <c r="TXS6" s="56"/>
      <c r="TXU6" s="56"/>
      <c r="TXW6" s="56"/>
      <c r="TXY6" s="56"/>
      <c r="TYA6" s="56"/>
      <c r="TYC6" s="56"/>
      <c r="TYE6" s="56"/>
      <c r="TYG6" s="56"/>
      <c r="TYI6" s="56"/>
      <c r="TYK6" s="56"/>
      <c r="TYM6" s="56"/>
      <c r="TYO6" s="56"/>
      <c r="TYQ6" s="56"/>
      <c r="TYS6" s="56"/>
      <c r="TYU6" s="56"/>
      <c r="TYW6" s="56"/>
      <c r="TYY6" s="56"/>
      <c r="TZA6" s="56"/>
      <c r="TZC6" s="56"/>
      <c r="TZE6" s="56"/>
      <c r="TZG6" s="56"/>
      <c r="TZI6" s="56"/>
      <c r="TZK6" s="56"/>
      <c r="TZM6" s="56"/>
      <c r="TZO6" s="56"/>
      <c r="TZQ6" s="56"/>
      <c r="TZS6" s="56"/>
      <c r="TZU6" s="56"/>
      <c r="TZW6" s="56"/>
      <c r="TZY6" s="56"/>
      <c r="UAA6" s="56"/>
      <c r="UAC6" s="56"/>
      <c r="UAE6" s="56"/>
      <c r="UAG6" s="56"/>
      <c r="UAI6" s="56"/>
      <c r="UAK6" s="56"/>
      <c r="UAM6" s="56"/>
      <c r="UAO6" s="56"/>
      <c r="UAQ6" s="56"/>
      <c r="UAS6" s="56"/>
      <c r="UAU6" s="56"/>
      <c r="UAW6" s="56"/>
      <c r="UAY6" s="56"/>
      <c r="UBA6" s="56"/>
      <c r="UBC6" s="56"/>
      <c r="UBE6" s="56"/>
      <c r="UBG6" s="56"/>
      <c r="UBI6" s="56"/>
      <c r="UBK6" s="56"/>
      <c r="UBM6" s="56"/>
      <c r="UBO6" s="56"/>
      <c r="UBQ6" s="56"/>
      <c r="UBS6" s="56"/>
      <c r="UBU6" s="56"/>
      <c r="UBW6" s="56"/>
      <c r="UBY6" s="56"/>
      <c r="UCA6" s="56"/>
      <c r="UCC6" s="56"/>
      <c r="UCE6" s="56"/>
      <c r="UCG6" s="56"/>
      <c r="UCI6" s="56"/>
      <c r="UCK6" s="56"/>
      <c r="UCM6" s="56"/>
      <c r="UCO6" s="56"/>
      <c r="UCQ6" s="56"/>
      <c r="UCS6" s="56"/>
      <c r="UCU6" s="56"/>
      <c r="UCW6" s="56"/>
      <c r="UCY6" s="56"/>
      <c r="UDA6" s="56"/>
      <c r="UDC6" s="56"/>
      <c r="UDE6" s="56"/>
      <c r="UDG6" s="56"/>
      <c r="UDI6" s="56"/>
      <c r="UDK6" s="56"/>
      <c r="UDM6" s="56"/>
      <c r="UDO6" s="56"/>
      <c r="UDQ6" s="56"/>
      <c r="UDS6" s="56"/>
      <c r="UDU6" s="56"/>
      <c r="UDW6" s="56"/>
      <c r="UDY6" s="56"/>
      <c r="UEA6" s="56"/>
      <c r="UEC6" s="56"/>
      <c r="UEE6" s="56"/>
      <c r="UEG6" s="56"/>
      <c r="UEI6" s="56"/>
      <c r="UEK6" s="56"/>
      <c r="UEM6" s="56"/>
      <c r="UEO6" s="56"/>
      <c r="UEQ6" s="56"/>
      <c r="UES6" s="56"/>
      <c r="UEU6" s="56"/>
      <c r="UEW6" s="56"/>
      <c r="UEY6" s="56"/>
      <c r="UFA6" s="56"/>
      <c r="UFC6" s="56"/>
      <c r="UFE6" s="56"/>
      <c r="UFG6" s="56"/>
      <c r="UFI6" s="56"/>
      <c r="UFK6" s="56"/>
      <c r="UFM6" s="56"/>
      <c r="UFO6" s="56"/>
      <c r="UFQ6" s="56"/>
      <c r="UFS6" s="56"/>
      <c r="UFU6" s="56"/>
      <c r="UFW6" s="56"/>
      <c r="UFY6" s="56"/>
      <c r="UGA6" s="56"/>
      <c r="UGC6" s="56"/>
      <c r="UGE6" s="56"/>
      <c r="UGG6" s="56"/>
      <c r="UGI6" s="56"/>
      <c r="UGK6" s="56"/>
      <c r="UGM6" s="56"/>
      <c r="UGO6" s="56"/>
      <c r="UGQ6" s="56"/>
      <c r="UGS6" s="56"/>
      <c r="UGU6" s="56"/>
      <c r="UGW6" s="56"/>
      <c r="UGY6" s="56"/>
      <c r="UHA6" s="56"/>
      <c r="UHC6" s="56"/>
      <c r="UHE6" s="56"/>
      <c r="UHG6" s="56"/>
      <c r="UHI6" s="56"/>
      <c r="UHK6" s="56"/>
      <c r="UHM6" s="56"/>
      <c r="UHO6" s="56"/>
      <c r="UHQ6" s="56"/>
      <c r="UHS6" s="56"/>
      <c r="UHU6" s="56"/>
      <c r="UHW6" s="56"/>
      <c r="UHY6" s="56"/>
      <c r="UIA6" s="56"/>
      <c r="UIC6" s="56"/>
      <c r="UIE6" s="56"/>
      <c r="UIG6" s="56"/>
      <c r="UII6" s="56"/>
      <c r="UIK6" s="56"/>
      <c r="UIM6" s="56"/>
      <c r="UIO6" s="56"/>
      <c r="UIQ6" s="56"/>
      <c r="UIS6" s="56"/>
      <c r="UIU6" s="56"/>
      <c r="UIW6" s="56"/>
      <c r="UIY6" s="56"/>
      <c r="UJA6" s="56"/>
      <c r="UJC6" s="56"/>
      <c r="UJE6" s="56"/>
      <c r="UJG6" s="56"/>
      <c r="UJI6" s="56"/>
      <c r="UJK6" s="56"/>
      <c r="UJM6" s="56"/>
      <c r="UJO6" s="56"/>
      <c r="UJQ6" s="56"/>
      <c r="UJS6" s="56"/>
      <c r="UJU6" s="56"/>
      <c r="UJW6" s="56"/>
      <c r="UJY6" s="56"/>
      <c r="UKA6" s="56"/>
      <c r="UKC6" s="56"/>
      <c r="UKE6" s="56"/>
      <c r="UKG6" s="56"/>
      <c r="UKI6" s="56"/>
      <c r="UKK6" s="56"/>
      <c r="UKM6" s="56"/>
      <c r="UKO6" s="56"/>
      <c r="UKQ6" s="56"/>
      <c r="UKS6" s="56"/>
      <c r="UKU6" s="56"/>
      <c r="UKW6" s="56"/>
      <c r="UKY6" s="56"/>
      <c r="ULA6" s="56"/>
      <c r="ULC6" s="56"/>
      <c r="ULE6" s="56"/>
      <c r="ULG6" s="56"/>
      <c r="ULI6" s="56"/>
      <c r="ULK6" s="56"/>
      <c r="ULM6" s="56"/>
      <c r="ULO6" s="56"/>
      <c r="ULQ6" s="56"/>
      <c r="ULS6" s="56"/>
      <c r="ULU6" s="56"/>
      <c r="ULW6" s="56"/>
      <c r="ULY6" s="56"/>
      <c r="UMA6" s="56"/>
      <c r="UMC6" s="56"/>
      <c r="UME6" s="56"/>
      <c r="UMG6" s="56"/>
      <c r="UMI6" s="56"/>
      <c r="UMK6" s="56"/>
      <c r="UMM6" s="56"/>
      <c r="UMO6" s="56"/>
      <c r="UMQ6" s="56"/>
      <c r="UMS6" s="56"/>
      <c r="UMU6" s="56"/>
      <c r="UMW6" s="56"/>
      <c r="UMY6" s="56"/>
      <c r="UNA6" s="56"/>
      <c r="UNC6" s="56"/>
      <c r="UNE6" s="56"/>
      <c r="UNG6" s="56"/>
      <c r="UNI6" s="56"/>
      <c r="UNK6" s="56"/>
      <c r="UNM6" s="56"/>
      <c r="UNO6" s="56"/>
      <c r="UNQ6" s="56"/>
      <c r="UNS6" s="56"/>
      <c r="UNU6" s="56"/>
      <c r="UNW6" s="56"/>
      <c r="UNY6" s="56"/>
      <c r="UOA6" s="56"/>
      <c r="UOC6" s="56"/>
      <c r="UOE6" s="56"/>
      <c r="UOG6" s="56"/>
      <c r="UOI6" s="56"/>
      <c r="UOK6" s="56"/>
      <c r="UOM6" s="56"/>
      <c r="UOO6" s="56"/>
      <c r="UOQ6" s="56"/>
      <c r="UOS6" s="56"/>
      <c r="UOU6" s="56"/>
      <c r="UOW6" s="56"/>
      <c r="UOY6" s="56"/>
      <c r="UPA6" s="56"/>
      <c r="UPC6" s="56"/>
      <c r="UPE6" s="56"/>
      <c r="UPG6" s="56"/>
      <c r="UPI6" s="56"/>
      <c r="UPK6" s="56"/>
      <c r="UPM6" s="56"/>
      <c r="UPO6" s="56"/>
      <c r="UPQ6" s="56"/>
      <c r="UPS6" s="56"/>
      <c r="UPU6" s="56"/>
      <c r="UPW6" s="56"/>
      <c r="UPY6" s="56"/>
      <c r="UQA6" s="56"/>
      <c r="UQC6" s="56"/>
      <c r="UQE6" s="56"/>
      <c r="UQG6" s="56"/>
      <c r="UQI6" s="56"/>
      <c r="UQK6" s="56"/>
      <c r="UQM6" s="56"/>
      <c r="UQO6" s="56"/>
      <c r="UQQ6" s="56"/>
      <c r="UQS6" s="56"/>
      <c r="UQU6" s="56"/>
      <c r="UQW6" s="56"/>
      <c r="UQY6" s="56"/>
      <c r="URA6" s="56"/>
      <c r="URC6" s="56"/>
      <c r="URE6" s="56"/>
      <c r="URG6" s="56"/>
      <c r="URI6" s="56"/>
      <c r="URK6" s="56"/>
      <c r="URM6" s="56"/>
      <c r="URO6" s="56"/>
      <c r="URQ6" s="56"/>
      <c r="URS6" s="56"/>
      <c r="URU6" s="56"/>
      <c r="URW6" s="56"/>
      <c r="URY6" s="56"/>
      <c r="USA6" s="56"/>
      <c r="USC6" s="56"/>
      <c r="USE6" s="56"/>
      <c r="USG6" s="56"/>
      <c r="USI6" s="56"/>
      <c r="USK6" s="56"/>
      <c r="USM6" s="56"/>
      <c r="USO6" s="56"/>
      <c r="USQ6" s="56"/>
      <c r="USS6" s="56"/>
      <c r="USU6" s="56"/>
      <c r="USW6" s="56"/>
      <c r="USY6" s="56"/>
      <c r="UTA6" s="56"/>
      <c r="UTC6" s="56"/>
      <c r="UTE6" s="56"/>
      <c r="UTG6" s="56"/>
      <c r="UTI6" s="56"/>
      <c r="UTK6" s="56"/>
      <c r="UTM6" s="56"/>
      <c r="UTO6" s="56"/>
      <c r="UTQ6" s="56"/>
      <c r="UTS6" s="56"/>
      <c r="UTU6" s="56"/>
      <c r="UTW6" s="56"/>
      <c r="UTY6" s="56"/>
      <c r="UUA6" s="56"/>
      <c r="UUC6" s="56"/>
      <c r="UUE6" s="56"/>
      <c r="UUG6" s="56"/>
      <c r="UUI6" s="56"/>
      <c r="UUK6" s="56"/>
      <c r="UUM6" s="56"/>
      <c r="UUO6" s="56"/>
      <c r="UUQ6" s="56"/>
      <c r="UUS6" s="56"/>
      <c r="UUU6" s="56"/>
      <c r="UUW6" s="56"/>
      <c r="UUY6" s="56"/>
      <c r="UVA6" s="56"/>
      <c r="UVC6" s="56"/>
      <c r="UVE6" s="56"/>
      <c r="UVG6" s="56"/>
      <c r="UVI6" s="56"/>
      <c r="UVK6" s="56"/>
      <c r="UVM6" s="56"/>
      <c r="UVO6" s="56"/>
      <c r="UVQ6" s="56"/>
      <c r="UVS6" s="56"/>
      <c r="UVU6" s="56"/>
      <c r="UVW6" s="56"/>
      <c r="UVY6" s="56"/>
      <c r="UWA6" s="56"/>
      <c r="UWC6" s="56"/>
      <c r="UWE6" s="56"/>
      <c r="UWG6" s="56"/>
      <c r="UWI6" s="56"/>
      <c r="UWK6" s="56"/>
      <c r="UWM6" s="56"/>
      <c r="UWO6" s="56"/>
      <c r="UWQ6" s="56"/>
      <c r="UWS6" s="56"/>
      <c r="UWU6" s="56"/>
      <c r="UWW6" s="56"/>
      <c r="UWY6" s="56"/>
      <c r="UXA6" s="56"/>
      <c r="UXC6" s="56"/>
      <c r="UXE6" s="56"/>
      <c r="UXG6" s="56"/>
      <c r="UXI6" s="56"/>
      <c r="UXK6" s="56"/>
      <c r="UXM6" s="56"/>
      <c r="UXO6" s="56"/>
      <c r="UXQ6" s="56"/>
      <c r="UXS6" s="56"/>
      <c r="UXU6" s="56"/>
      <c r="UXW6" s="56"/>
      <c r="UXY6" s="56"/>
      <c r="UYA6" s="56"/>
      <c r="UYC6" s="56"/>
      <c r="UYE6" s="56"/>
      <c r="UYG6" s="56"/>
      <c r="UYI6" s="56"/>
      <c r="UYK6" s="56"/>
      <c r="UYM6" s="56"/>
      <c r="UYO6" s="56"/>
      <c r="UYQ6" s="56"/>
      <c r="UYS6" s="56"/>
      <c r="UYU6" s="56"/>
      <c r="UYW6" s="56"/>
      <c r="UYY6" s="56"/>
      <c r="UZA6" s="56"/>
      <c r="UZC6" s="56"/>
      <c r="UZE6" s="56"/>
      <c r="UZG6" s="56"/>
      <c r="UZI6" s="56"/>
      <c r="UZK6" s="56"/>
      <c r="UZM6" s="56"/>
      <c r="UZO6" s="56"/>
      <c r="UZQ6" s="56"/>
      <c r="UZS6" s="56"/>
      <c r="UZU6" s="56"/>
      <c r="UZW6" s="56"/>
      <c r="UZY6" s="56"/>
      <c r="VAA6" s="56"/>
      <c r="VAC6" s="56"/>
      <c r="VAE6" s="56"/>
      <c r="VAG6" s="56"/>
      <c r="VAI6" s="56"/>
      <c r="VAK6" s="56"/>
      <c r="VAM6" s="56"/>
      <c r="VAO6" s="56"/>
      <c r="VAQ6" s="56"/>
      <c r="VAS6" s="56"/>
      <c r="VAU6" s="56"/>
      <c r="VAW6" s="56"/>
      <c r="VAY6" s="56"/>
      <c r="VBA6" s="56"/>
      <c r="VBC6" s="56"/>
      <c r="VBE6" s="56"/>
      <c r="VBG6" s="56"/>
      <c r="VBI6" s="56"/>
      <c r="VBK6" s="56"/>
      <c r="VBM6" s="56"/>
      <c r="VBO6" s="56"/>
      <c r="VBQ6" s="56"/>
      <c r="VBS6" s="56"/>
      <c r="VBU6" s="56"/>
      <c r="VBW6" s="56"/>
      <c r="VBY6" s="56"/>
      <c r="VCA6" s="56"/>
      <c r="VCC6" s="56"/>
      <c r="VCE6" s="56"/>
      <c r="VCG6" s="56"/>
      <c r="VCI6" s="56"/>
      <c r="VCK6" s="56"/>
      <c r="VCM6" s="56"/>
      <c r="VCO6" s="56"/>
      <c r="VCQ6" s="56"/>
      <c r="VCS6" s="56"/>
      <c r="VCU6" s="56"/>
      <c r="VCW6" s="56"/>
      <c r="VCY6" s="56"/>
      <c r="VDA6" s="56"/>
      <c r="VDC6" s="56"/>
      <c r="VDE6" s="56"/>
      <c r="VDG6" s="56"/>
      <c r="VDI6" s="56"/>
      <c r="VDK6" s="56"/>
      <c r="VDM6" s="56"/>
      <c r="VDO6" s="56"/>
      <c r="VDQ6" s="56"/>
      <c r="VDS6" s="56"/>
      <c r="VDU6" s="56"/>
      <c r="VDW6" s="56"/>
      <c r="VDY6" s="56"/>
      <c r="VEA6" s="56"/>
      <c r="VEC6" s="56"/>
      <c r="VEE6" s="56"/>
      <c r="VEG6" s="56"/>
      <c r="VEI6" s="56"/>
      <c r="VEK6" s="56"/>
      <c r="VEM6" s="56"/>
      <c r="VEO6" s="56"/>
      <c r="VEQ6" s="56"/>
      <c r="VES6" s="56"/>
      <c r="VEU6" s="56"/>
      <c r="VEW6" s="56"/>
      <c r="VEY6" s="56"/>
      <c r="VFA6" s="56"/>
      <c r="VFC6" s="56"/>
      <c r="VFE6" s="56"/>
      <c r="VFG6" s="56"/>
      <c r="VFI6" s="56"/>
      <c r="VFK6" s="56"/>
      <c r="VFM6" s="56"/>
      <c r="VFO6" s="56"/>
      <c r="VFQ6" s="56"/>
      <c r="VFS6" s="56"/>
      <c r="VFU6" s="56"/>
      <c r="VFW6" s="56"/>
      <c r="VFY6" s="56"/>
      <c r="VGA6" s="56"/>
      <c r="VGC6" s="56"/>
      <c r="VGE6" s="56"/>
      <c r="VGG6" s="56"/>
      <c r="VGI6" s="56"/>
      <c r="VGK6" s="56"/>
      <c r="VGM6" s="56"/>
      <c r="VGO6" s="56"/>
      <c r="VGQ6" s="56"/>
      <c r="VGS6" s="56"/>
      <c r="VGU6" s="56"/>
      <c r="VGW6" s="56"/>
      <c r="VGY6" s="56"/>
      <c r="VHA6" s="56"/>
      <c r="VHC6" s="56"/>
      <c r="VHE6" s="56"/>
      <c r="VHG6" s="56"/>
      <c r="VHI6" s="56"/>
      <c r="VHK6" s="56"/>
      <c r="VHM6" s="56"/>
      <c r="VHO6" s="56"/>
      <c r="VHQ6" s="56"/>
      <c r="VHS6" s="56"/>
      <c r="VHU6" s="56"/>
      <c r="VHW6" s="56"/>
      <c r="VHY6" s="56"/>
      <c r="VIA6" s="56"/>
      <c r="VIC6" s="56"/>
      <c r="VIE6" s="56"/>
      <c r="VIG6" s="56"/>
      <c r="VII6" s="56"/>
      <c r="VIK6" s="56"/>
      <c r="VIM6" s="56"/>
      <c r="VIO6" s="56"/>
      <c r="VIQ6" s="56"/>
      <c r="VIS6" s="56"/>
      <c r="VIU6" s="56"/>
      <c r="VIW6" s="56"/>
      <c r="VIY6" s="56"/>
      <c r="VJA6" s="56"/>
      <c r="VJC6" s="56"/>
      <c r="VJE6" s="56"/>
      <c r="VJG6" s="56"/>
      <c r="VJI6" s="56"/>
      <c r="VJK6" s="56"/>
      <c r="VJM6" s="56"/>
      <c r="VJO6" s="56"/>
      <c r="VJQ6" s="56"/>
      <c r="VJS6" s="56"/>
      <c r="VJU6" s="56"/>
      <c r="VJW6" s="56"/>
      <c r="VJY6" s="56"/>
      <c r="VKA6" s="56"/>
      <c r="VKC6" s="56"/>
      <c r="VKE6" s="56"/>
      <c r="VKG6" s="56"/>
      <c r="VKI6" s="56"/>
      <c r="VKK6" s="56"/>
      <c r="VKM6" s="56"/>
      <c r="VKO6" s="56"/>
      <c r="VKQ6" s="56"/>
      <c r="VKS6" s="56"/>
      <c r="VKU6" s="56"/>
      <c r="VKW6" s="56"/>
      <c r="VKY6" s="56"/>
      <c r="VLA6" s="56"/>
      <c r="VLC6" s="56"/>
      <c r="VLE6" s="56"/>
      <c r="VLG6" s="56"/>
      <c r="VLI6" s="56"/>
      <c r="VLK6" s="56"/>
      <c r="VLM6" s="56"/>
      <c r="VLO6" s="56"/>
      <c r="VLQ6" s="56"/>
      <c r="VLS6" s="56"/>
      <c r="VLU6" s="56"/>
      <c r="VLW6" s="56"/>
      <c r="VLY6" s="56"/>
      <c r="VMA6" s="56"/>
      <c r="VMC6" s="56"/>
      <c r="VME6" s="56"/>
      <c r="VMG6" s="56"/>
      <c r="VMI6" s="56"/>
      <c r="VMK6" s="56"/>
      <c r="VMM6" s="56"/>
      <c r="VMO6" s="56"/>
      <c r="VMQ6" s="56"/>
      <c r="VMS6" s="56"/>
      <c r="VMU6" s="56"/>
      <c r="VMW6" s="56"/>
      <c r="VMY6" s="56"/>
      <c r="VNA6" s="56"/>
      <c r="VNC6" s="56"/>
      <c r="VNE6" s="56"/>
      <c r="VNG6" s="56"/>
      <c r="VNI6" s="56"/>
      <c r="VNK6" s="56"/>
      <c r="VNM6" s="56"/>
      <c r="VNO6" s="56"/>
      <c r="VNQ6" s="56"/>
      <c r="VNS6" s="56"/>
      <c r="VNU6" s="56"/>
      <c r="VNW6" s="56"/>
      <c r="VNY6" s="56"/>
      <c r="VOA6" s="56"/>
      <c r="VOC6" s="56"/>
      <c r="VOE6" s="56"/>
      <c r="VOG6" s="56"/>
      <c r="VOI6" s="56"/>
      <c r="VOK6" s="56"/>
      <c r="VOM6" s="56"/>
      <c r="VOO6" s="56"/>
      <c r="VOQ6" s="56"/>
      <c r="VOS6" s="56"/>
      <c r="VOU6" s="56"/>
      <c r="VOW6" s="56"/>
      <c r="VOY6" s="56"/>
      <c r="VPA6" s="56"/>
      <c r="VPC6" s="56"/>
      <c r="VPE6" s="56"/>
      <c r="VPG6" s="56"/>
      <c r="VPI6" s="56"/>
      <c r="VPK6" s="56"/>
      <c r="VPM6" s="56"/>
      <c r="VPO6" s="56"/>
      <c r="VPQ6" s="56"/>
      <c r="VPS6" s="56"/>
      <c r="VPU6" s="56"/>
      <c r="VPW6" s="56"/>
      <c r="VPY6" s="56"/>
      <c r="VQA6" s="56"/>
      <c r="VQC6" s="56"/>
      <c r="VQE6" s="56"/>
      <c r="VQG6" s="56"/>
      <c r="VQI6" s="56"/>
      <c r="VQK6" s="56"/>
      <c r="VQM6" s="56"/>
      <c r="VQO6" s="56"/>
      <c r="VQQ6" s="56"/>
      <c r="VQS6" s="56"/>
      <c r="VQU6" s="56"/>
      <c r="VQW6" s="56"/>
      <c r="VQY6" s="56"/>
      <c r="VRA6" s="56"/>
      <c r="VRC6" s="56"/>
      <c r="VRE6" s="56"/>
      <c r="VRG6" s="56"/>
      <c r="VRI6" s="56"/>
      <c r="VRK6" s="56"/>
      <c r="VRM6" s="56"/>
      <c r="VRO6" s="56"/>
      <c r="VRQ6" s="56"/>
      <c r="VRS6" s="56"/>
      <c r="VRU6" s="56"/>
      <c r="VRW6" s="56"/>
      <c r="VRY6" s="56"/>
      <c r="VSA6" s="56"/>
      <c r="VSC6" s="56"/>
      <c r="VSE6" s="56"/>
      <c r="VSG6" s="56"/>
      <c r="VSI6" s="56"/>
      <c r="VSK6" s="56"/>
      <c r="VSM6" s="56"/>
      <c r="VSO6" s="56"/>
      <c r="VSQ6" s="56"/>
      <c r="VSS6" s="56"/>
      <c r="VSU6" s="56"/>
      <c r="VSW6" s="56"/>
      <c r="VSY6" s="56"/>
      <c r="VTA6" s="56"/>
      <c r="VTC6" s="56"/>
      <c r="VTE6" s="56"/>
      <c r="VTG6" s="56"/>
      <c r="VTI6" s="56"/>
      <c r="VTK6" s="56"/>
      <c r="VTM6" s="56"/>
      <c r="VTO6" s="56"/>
      <c r="VTQ6" s="56"/>
      <c r="VTS6" s="56"/>
      <c r="VTU6" s="56"/>
      <c r="VTW6" s="56"/>
      <c r="VTY6" s="56"/>
      <c r="VUA6" s="56"/>
      <c r="VUC6" s="56"/>
      <c r="VUE6" s="56"/>
      <c r="VUG6" s="56"/>
      <c r="VUI6" s="56"/>
      <c r="VUK6" s="56"/>
      <c r="VUM6" s="56"/>
      <c r="VUO6" s="56"/>
      <c r="VUQ6" s="56"/>
      <c r="VUS6" s="56"/>
      <c r="VUU6" s="56"/>
      <c r="VUW6" s="56"/>
      <c r="VUY6" s="56"/>
      <c r="VVA6" s="56"/>
      <c r="VVC6" s="56"/>
      <c r="VVE6" s="56"/>
      <c r="VVG6" s="56"/>
      <c r="VVI6" s="56"/>
      <c r="VVK6" s="56"/>
      <c r="VVM6" s="56"/>
      <c r="VVO6" s="56"/>
      <c r="VVQ6" s="56"/>
      <c r="VVS6" s="56"/>
      <c r="VVU6" s="56"/>
      <c r="VVW6" s="56"/>
      <c r="VVY6" s="56"/>
      <c r="VWA6" s="56"/>
      <c r="VWC6" s="56"/>
      <c r="VWE6" s="56"/>
      <c r="VWG6" s="56"/>
      <c r="VWI6" s="56"/>
      <c r="VWK6" s="56"/>
      <c r="VWM6" s="56"/>
      <c r="VWO6" s="56"/>
      <c r="VWQ6" s="56"/>
      <c r="VWS6" s="56"/>
      <c r="VWU6" s="56"/>
      <c r="VWW6" s="56"/>
      <c r="VWY6" s="56"/>
      <c r="VXA6" s="56"/>
      <c r="VXC6" s="56"/>
      <c r="VXE6" s="56"/>
      <c r="VXG6" s="56"/>
      <c r="VXI6" s="56"/>
      <c r="VXK6" s="56"/>
      <c r="VXM6" s="56"/>
      <c r="VXO6" s="56"/>
      <c r="VXQ6" s="56"/>
      <c r="VXS6" s="56"/>
      <c r="VXU6" s="56"/>
      <c r="VXW6" s="56"/>
      <c r="VXY6" s="56"/>
      <c r="VYA6" s="56"/>
      <c r="VYC6" s="56"/>
      <c r="VYE6" s="56"/>
      <c r="VYG6" s="56"/>
      <c r="VYI6" s="56"/>
      <c r="VYK6" s="56"/>
      <c r="VYM6" s="56"/>
      <c r="VYO6" s="56"/>
      <c r="VYQ6" s="56"/>
      <c r="VYS6" s="56"/>
      <c r="VYU6" s="56"/>
      <c r="VYW6" s="56"/>
      <c r="VYY6" s="56"/>
      <c r="VZA6" s="56"/>
      <c r="VZC6" s="56"/>
      <c r="VZE6" s="56"/>
      <c r="VZG6" s="56"/>
      <c r="VZI6" s="56"/>
      <c r="VZK6" s="56"/>
      <c r="VZM6" s="56"/>
      <c r="VZO6" s="56"/>
      <c r="VZQ6" s="56"/>
      <c r="VZS6" s="56"/>
      <c r="VZU6" s="56"/>
      <c r="VZW6" s="56"/>
      <c r="VZY6" s="56"/>
      <c r="WAA6" s="56"/>
      <c r="WAC6" s="56"/>
      <c r="WAE6" s="56"/>
      <c r="WAG6" s="56"/>
      <c r="WAI6" s="56"/>
      <c r="WAK6" s="56"/>
      <c r="WAM6" s="56"/>
      <c r="WAO6" s="56"/>
      <c r="WAQ6" s="56"/>
      <c r="WAS6" s="56"/>
      <c r="WAU6" s="56"/>
      <c r="WAW6" s="56"/>
      <c r="WAY6" s="56"/>
      <c r="WBA6" s="56"/>
      <c r="WBC6" s="56"/>
      <c r="WBE6" s="56"/>
      <c r="WBG6" s="56"/>
      <c r="WBI6" s="56"/>
      <c r="WBK6" s="56"/>
      <c r="WBM6" s="56"/>
      <c r="WBO6" s="56"/>
      <c r="WBQ6" s="56"/>
      <c r="WBS6" s="56"/>
      <c r="WBU6" s="56"/>
      <c r="WBW6" s="56"/>
      <c r="WBY6" s="56"/>
      <c r="WCA6" s="56"/>
      <c r="WCC6" s="56"/>
      <c r="WCE6" s="56"/>
      <c r="WCG6" s="56"/>
      <c r="WCI6" s="56"/>
      <c r="WCK6" s="56"/>
      <c r="WCM6" s="56"/>
      <c r="WCO6" s="56"/>
      <c r="WCQ6" s="56"/>
      <c r="WCS6" s="56"/>
      <c r="WCU6" s="56"/>
      <c r="WCW6" s="56"/>
      <c r="WCY6" s="56"/>
      <c r="WDA6" s="56"/>
      <c r="WDC6" s="56"/>
      <c r="WDE6" s="56"/>
      <c r="WDG6" s="56"/>
      <c r="WDI6" s="56"/>
      <c r="WDK6" s="56"/>
      <c r="WDM6" s="56"/>
      <c r="WDO6" s="56"/>
      <c r="WDQ6" s="56"/>
      <c r="WDS6" s="56"/>
      <c r="WDU6" s="56"/>
      <c r="WDW6" s="56"/>
      <c r="WDY6" s="56"/>
      <c r="WEA6" s="56"/>
      <c r="WEC6" s="56"/>
      <c r="WEE6" s="56"/>
      <c r="WEG6" s="56"/>
      <c r="WEI6" s="56"/>
      <c r="WEK6" s="56"/>
      <c r="WEM6" s="56"/>
      <c r="WEO6" s="56"/>
      <c r="WEQ6" s="56"/>
      <c r="WES6" s="56"/>
      <c r="WEU6" s="56"/>
      <c r="WEW6" s="56"/>
      <c r="WEY6" s="56"/>
      <c r="WFA6" s="56"/>
      <c r="WFC6" s="56"/>
      <c r="WFE6" s="56"/>
      <c r="WFG6" s="56"/>
      <c r="WFI6" s="56"/>
      <c r="WFK6" s="56"/>
      <c r="WFM6" s="56"/>
      <c r="WFO6" s="56"/>
      <c r="WFQ6" s="56"/>
      <c r="WFS6" s="56"/>
      <c r="WFU6" s="56"/>
      <c r="WFW6" s="56"/>
      <c r="WFY6" s="56"/>
      <c r="WGA6" s="56"/>
      <c r="WGC6" s="56"/>
      <c r="WGE6" s="56"/>
      <c r="WGG6" s="56"/>
      <c r="WGI6" s="56"/>
      <c r="WGK6" s="56"/>
      <c r="WGM6" s="56"/>
      <c r="WGO6" s="56"/>
      <c r="WGQ6" s="56"/>
      <c r="WGS6" s="56"/>
      <c r="WGU6" s="56"/>
      <c r="WGW6" s="56"/>
      <c r="WGY6" s="56"/>
      <c r="WHA6" s="56"/>
      <c r="WHC6" s="56"/>
      <c r="WHE6" s="56"/>
      <c r="WHG6" s="56"/>
      <c r="WHI6" s="56"/>
      <c r="WHK6" s="56"/>
      <c r="WHM6" s="56"/>
      <c r="WHO6" s="56"/>
      <c r="WHQ6" s="56"/>
      <c r="WHS6" s="56"/>
      <c r="WHU6" s="56"/>
      <c r="WHW6" s="56"/>
      <c r="WHY6" s="56"/>
      <c r="WIA6" s="56"/>
      <c r="WIC6" s="56"/>
      <c r="WIE6" s="56"/>
      <c r="WIG6" s="56"/>
      <c r="WII6" s="56"/>
      <c r="WIK6" s="56"/>
      <c r="WIM6" s="56"/>
      <c r="WIO6" s="56"/>
      <c r="WIQ6" s="56"/>
      <c r="WIS6" s="56"/>
      <c r="WIU6" s="56"/>
      <c r="WIW6" s="56"/>
      <c r="WIY6" s="56"/>
      <c r="WJA6" s="56"/>
      <c r="WJC6" s="56"/>
      <c r="WJE6" s="56"/>
      <c r="WJG6" s="56"/>
      <c r="WJI6" s="56"/>
      <c r="WJK6" s="56"/>
      <c r="WJM6" s="56"/>
      <c r="WJO6" s="56"/>
      <c r="WJQ6" s="56"/>
      <c r="WJS6" s="56"/>
      <c r="WJU6" s="56"/>
      <c r="WJW6" s="56"/>
      <c r="WJY6" s="56"/>
      <c r="WKA6" s="56"/>
      <c r="WKC6" s="56"/>
      <c r="WKE6" s="56"/>
      <c r="WKG6" s="56"/>
      <c r="WKI6" s="56"/>
      <c r="WKK6" s="56"/>
      <c r="WKM6" s="56"/>
      <c r="WKO6" s="56"/>
      <c r="WKQ6" s="56"/>
      <c r="WKS6" s="56"/>
      <c r="WKU6" s="56"/>
      <c r="WKW6" s="56"/>
      <c r="WKY6" s="56"/>
      <c r="WLA6" s="56"/>
      <c r="WLC6" s="56"/>
      <c r="WLE6" s="56"/>
      <c r="WLG6" s="56"/>
      <c r="WLI6" s="56"/>
      <c r="WLK6" s="56"/>
      <c r="WLM6" s="56"/>
      <c r="WLO6" s="56"/>
      <c r="WLQ6" s="56"/>
      <c r="WLS6" s="56"/>
      <c r="WLU6" s="56"/>
      <c r="WLW6" s="56"/>
      <c r="WLY6" s="56"/>
      <c r="WMA6" s="56"/>
      <c r="WMC6" s="56"/>
      <c r="WME6" s="56"/>
      <c r="WMG6" s="56"/>
      <c r="WMI6" s="56"/>
      <c r="WMK6" s="56"/>
      <c r="WMM6" s="56"/>
      <c r="WMO6" s="56"/>
      <c r="WMQ6" s="56"/>
      <c r="WMS6" s="56"/>
      <c r="WMU6" s="56"/>
      <c r="WMW6" s="56"/>
      <c r="WMY6" s="56"/>
      <c r="WNA6" s="56"/>
      <c r="WNC6" s="56"/>
      <c r="WNE6" s="56"/>
      <c r="WNG6" s="56"/>
      <c r="WNI6" s="56"/>
      <c r="WNK6" s="56"/>
      <c r="WNM6" s="56"/>
      <c r="WNO6" s="56"/>
      <c r="WNQ6" s="56"/>
      <c r="WNS6" s="56"/>
      <c r="WNU6" s="56"/>
      <c r="WNW6" s="56"/>
      <c r="WNY6" s="56"/>
      <c r="WOA6" s="56"/>
      <c r="WOC6" s="56"/>
      <c r="WOE6" s="56"/>
      <c r="WOG6" s="56"/>
      <c r="WOI6" s="56"/>
      <c r="WOK6" s="56"/>
      <c r="WOM6" s="56"/>
      <c r="WOO6" s="56"/>
      <c r="WOQ6" s="56"/>
      <c r="WOS6" s="56"/>
      <c r="WOU6" s="56"/>
      <c r="WOW6" s="56"/>
      <c r="WOY6" s="56"/>
      <c r="WPA6" s="56"/>
      <c r="WPC6" s="56"/>
      <c r="WPE6" s="56"/>
      <c r="WPG6" s="56"/>
      <c r="WPI6" s="56"/>
      <c r="WPK6" s="56"/>
      <c r="WPM6" s="56"/>
      <c r="WPO6" s="56"/>
      <c r="WPQ6" s="56"/>
      <c r="WPS6" s="56"/>
      <c r="WPU6" s="56"/>
      <c r="WPW6" s="56"/>
      <c r="WPY6" s="56"/>
      <c r="WQA6" s="56"/>
      <c r="WQC6" s="56"/>
      <c r="WQE6" s="56"/>
      <c r="WQG6" s="56"/>
      <c r="WQI6" s="56"/>
      <c r="WQK6" s="56"/>
      <c r="WQM6" s="56"/>
      <c r="WQO6" s="56"/>
      <c r="WQQ6" s="56"/>
      <c r="WQS6" s="56"/>
      <c r="WQU6" s="56"/>
      <c r="WQW6" s="56"/>
      <c r="WQY6" s="56"/>
      <c r="WRA6" s="56"/>
      <c r="WRC6" s="56"/>
      <c r="WRE6" s="56"/>
      <c r="WRG6" s="56"/>
      <c r="WRI6" s="56"/>
      <c r="WRK6" s="56"/>
      <c r="WRM6" s="56"/>
      <c r="WRO6" s="56"/>
      <c r="WRQ6" s="56"/>
      <c r="WRS6" s="56"/>
      <c r="WRU6" s="56"/>
      <c r="WRW6" s="56"/>
      <c r="WRY6" s="56"/>
      <c r="WSA6" s="56"/>
      <c r="WSC6" s="56"/>
      <c r="WSE6" s="56"/>
      <c r="WSG6" s="56"/>
      <c r="WSI6" s="56"/>
      <c r="WSK6" s="56"/>
      <c r="WSM6" s="56"/>
      <c r="WSO6" s="56"/>
      <c r="WSQ6" s="56"/>
      <c r="WSS6" s="56"/>
      <c r="WSU6" s="56"/>
      <c r="WSW6" s="56"/>
      <c r="WSY6" s="56"/>
      <c r="WTA6" s="56"/>
      <c r="WTC6" s="56"/>
      <c r="WTE6" s="56"/>
      <c r="WTG6" s="56"/>
      <c r="WTI6" s="56"/>
      <c r="WTK6" s="56"/>
      <c r="WTM6" s="56"/>
      <c r="WTO6" s="56"/>
      <c r="WTQ6" s="56"/>
      <c r="WTS6" s="56"/>
      <c r="WTU6" s="56"/>
      <c r="WTW6" s="56"/>
      <c r="WTY6" s="56"/>
      <c r="WUA6" s="56"/>
      <c r="WUC6" s="56"/>
      <c r="WUE6" s="56"/>
      <c r="WUG6" s="56"/>
      <c r="WUI6" s="56"/>
      <c r="WUK6" s="56"/>
      <c r="WUM6" s="56"/>
      <c r="WUO6" s="56"/>
      <c r="WUQ6" s="56"/>
      <c r="WUS6" s="56"/>
      <c r="WUU6" s="56"/>
      <c r="WUW6" s="56"/>
      <c r="WUY6" s="56"/>
      <c r="WVA6" s="56"/>
      <c r="WVC6" s="56"/>
      <c r="WVE6" s="56"/>
      <c r="WVG6" s="56"/>
      <c r="WVI6" s="56"/>
      <c r="WVK6" s="56"/>
      <c r="WVM6" s="56"/>
      <c r="WVO6" s="56"/>
      <c r="WVQ6" s="56"/>
      <c r="WVS6" s="56"/>
      <c r="WVU6" s="56"/>
      <c r="WVW6" s="56"/>
      <c r="WVY6" s="56"/>
      <c r="WWA6" s="56"/>
      <c r="WWC6" s="56"/>
      <c r="WWE6" s="56"/>
      <c r="WWG6" s="56"/>
      <c r="WWI6" s="56"/>
      <c r="WWK6" s="56"/>
      <c r="WWM6" s="56"/>
      <c r="WWO6" s="56"/>
      <c r="WWQ6" s="56"/>
      <c r="WWS6" s="56"/>
      <c r="WWU6" s="56"/>
      <c r="WWW6" s="56"/>
      <c r="WWY6" s="56"/>
      <c r="WXA6" s="56"/>
      <c r="WXC6" s="56"/>
      <c r="WXE6" s="56"/>
      <c r="WXG6" s="56"/>
      <c r="WXI6" s="56"/>
      <c r="WXK6" s="56"/>
      <c r="WXM6" s="56"/>
      <c r="WXO6" s="56"/>
      <c r="WXQ6" s="56"/>
      <c r="WXS6" s="56"/>
      <c r="WXU6" s="56"/>
      <c r="WXW6" s="56"/>
      <c r="WXY6" s="56"/>
      <c r="WYA6" s="56"/>
      <c r="WYC6" s="56"/>
      <c r="WYE6" s="56"/>
      <c r="WYG6" s="56"/>
      <c r="WYI6" s="56"/>
      <c r="WYK6" s="56"/>
      <c r="WYM6" s="56"/>
      <c r="WYO6" s="56"/>
      <c r="WYQ6" s="56"/>
      <c r="WYS6" s="56"/>
      <c r="WYU6" s="56"/>
      <c r="WYW6" s="56"/>
      <c r="WYY6" s="56"/>
      <c r="WZA6" s="56"/>
      <c r="WZC6" s="56"/>
      <c r="WZE6" s="56"/>
      <c r="WZG6" s="56"/>
      <c r="WZI6" s="56"/>
      <c r="WZK6" s="56"/>
      <c r="WZM6" s="56"/>
      <c r="WZO6" s="56"/>
      <c r="WZQ6" s="56"/>
      <c r="WZS6" s="56"/>
      <c r="WZU6" s="56"/>
      <c r="WZW6" s="56"/>
      <c r="WZY6" s="56"/>
      <c r="XAA6" s="56"/>
      <c r="XAC6" s="56"/>
      <c r="XAE6" s="56"/>
      <c r="XAG6" s="56"/>
      <c r="XAI6" s="56"/>
      <c r="XAK6" s="56"/>
      <c r="XAM6" s="56"/>
      <c r="XAO6" s="56"/>
      <c r="XAQ6" s="56"/>
      <c r="XAS6" s="56"/>
      <c r="XAU6" s="56"/>
      <c r="XAW6" s="56"/>
      <c r="XAY6" s="56"/>
      <c r="XBA6" s="56"/>
      <c r="XBC6" s="56"/>
      <c r="XBE6" s="56"/>
      <c r="XBG6" s="56"/>
      <c r="XBI6" s="56"/>
      <c r="XBK6" s="56"/>
      <c r="XBM6" s="56"/>
      <c r="XBO6" s="56"/>
      <c r="XBQ6" s="56"/>
      <c r="XBS6" s="56"/>
      <c r="XBU6" s="56"/>
      <c r="XBW6" s="56"/>
      <c r="XBY6" s="56"/>
      <c r="XCA6" s="56"/>
      <c r="XCC6" s="56"/>
      <c r="XCE6" s="56"/>
      <c r="XCG6" s="56"/>
      <c r="XCI6" s="56"/>
      <c r="XCK6" s="56"/>
      <c r="XCM6" s="56"/>
      <c r="XCO6" s="56"/>
      <c r="XCQ6" s="56"/>
      <c r="XCS6" s="56"/>
      <c r="XCU6" s="56"/>
      <c r="XCW6" s="56"/>
      <c r="XCY6" s="56"/>
      <c r="XDA6" s="56"/>
      <c r="XDC6" s="56"/>
      <c r="XDE6" s="56"/>
      <c r="XDG6" s="56"/>
      <c r="XDI6" s="56"/>
      <c r="XDK6" s="56"/>
      <c r="XDM6" s="56"/>
      <c r="XDO6" s="56"/>
      <c r="XDQ6" s="56"/>
      <c r="XDS6" s="56"/>
      <c r="XDU6" s="56"/>
      <c r="XDW6" s="56"/>
      <c r="XDY6" s="56"/>
      <c r="XEA6" s="56"/>
      <c r="XEC6" s="56"/>
    </row>
    <row r="7" spans="1:1023 1025:2047 2049:3071 3073:4095 4097:5119 5121:6143 6145:7167 7169:8191 8193:9215 9217:10239 10241:11263 11265:12287 12289:13311 13313:14335 14337:15359 15361:16357" hidden="1">
      <c r="A7" s="12" t="str">
        <f>C7&amp;D7&amp;E7</f>
        <v>HRNOMINA SUCURSALA1</v>
      </c>
      <c r="B7" s="12">
        <v>1</v>
      </c>
      <c r="C7" t="s">
        <v>29</v>
      </c>
      <c r="D7" s="12" t="s">
        <v>154</v>
      </c>
      <c r="E7" s="12" t="s">
        <v>88</v>
      </c>
      <c r="F7" s="259">
        <f>VLOOKUP($A7,T_PRESUPUESTO,MATCH(F$6,E_PRESUPUESTO,0),FALSE)</f>
        <v>49459</v>
      </c>
      <c r="G7" s="13">
        <f t="shared" ref="G7:K16" si="35">SUMIFS(SALIDAS_BIT,FECHA_BIT,"&gt;="&amp;G$2,FECHA_BIT,"&lt;="&amp;G$3,CLAVE_BIT,$A7)+SUMIFS(SALIDAS_BOV1,FECHA_BOV1,"&gt;="&amp;G$2,FECHA_BOV1,"&lt;="&amp;G$3,CLAVE_BOV1,$A7)+SUMIFS(SALIDAS_BOV2,FECHA_BOV2,"&gt;="&amp;G$2,FECHA_BOV2,"&lt;="&amp;G$3,CLAVE_BOV2,$A7)+SUMIFS(SALIDAS_BOV3,FECHA_BOV3,"&gt;="&amp;G$2,FECHA_BOV3,"&lt;="&amp;G$3,CLAVE_BOV3,$A7)+SUMIFS(SALIDAS_TC,FECHA_TC,"&gt;="&amp;G$2,FECHA_TC,"&lt;="&amp;G$3,CLAVE_TC,$A7)+SUMIFS(SALIDAS_COMB,FECHA_COMB,"&gt;="&amp;G$2,FECHA_COMB,"&lt;="&amp;G$3,CLAVE_COMB,$A7)+SUMIFS(SALIDAS_DES,FECHA_DESGLOSEN,"&gt;="&amp;G$2,FECHA_DESGLOSEN,"&lt;="&amp;G$3,CLAVE_DESGLOSE,$A7)</f>
        <v>18017.73</v>
      </c>
      <c r="H7" s="13">
        <f t="shared" si="35"/>
        <v>11368.2</v>
      </c>
      <c r="I7" s="13">
        <f t="shared" si="35"/>
        <v>11329.4</v>
      </c>
      <c r="J7" s="13">
        <f t="shared" si="35"/>
        <v>13261</v>
      </c>
      <c r="K7" s="13">
        <f t="shared" si="35"/>
        <v>53976.33</v>
      </c>
      <c r="L7" s="68">
        <f>F7-K7</f>
        <v>-4517.3300000000017</v>
      </c>
      <c r="M7" s="268">
        <f>IFERROR((K7/F7),0)</f>
        <v>1.0913348430012739</v>
      </c>
      <c r="N7" s="13">
        <f t="shared" ref="N7:N70" si="36">VLOOKUP($A7,T_PRESUPUESTO,MATCH(N$6,E_PRESUPUESTO,0),FALSE)</f>
        <v>61823.75</v>
      </c>
      <c r="O7" s="13">
        <f t="shared" ref="O7:T16" si="37">SUMIFS(SALIDAS_BIT,FECHA_BIT,"&gt;="&amp;O$2,FECHA_BIT,"&lt;="&amp;O$3,CLAVE_BIT,$A7)+SUMIFS(SALIDAS_BOV1,FECHA_BOV1,"&gt;="&amp;O$2,FECHA_BOV1,"&lt;="&amp;O$3,CLAVE_BOV1,$A7)+SUMIFS(SALIDAS_BOV2,FECHA_BOV2,"&gt;="&amp;O$2,FECHA_BOV2,"&lt;="&amp;O$3,CLAVE_BOV2,$A7)+SUMIFS(SALIDAS_BOV3,FECHA_BOV3,"&gt;="&amp;O$2,FECHA_BOV3,"&lt;="&amp;O$3,CLAVE_BOV3,$A7)+SUMIFS(SALIDAS_TC,FECHA_TC,"&gt;="&amp;O$2,FECHA_TC,"&lt;="&amp;O$3,CLAVE_TC,$A7)+SUMIFS(SALIDAS_COMB,FECHA_COMB,"&gt;="&amp;O$2,FECHA_COMB,"&lt;="&amp;O$3,CLAVE_COMB,$A7)+SUMIFS(SALIDAS_DES,FECHA_DESGLOSEN,"&gt;="&amp;O$2,FECHA_DESGLOSEN,"&lt;="&amp;O$3,CLAVE_DESGLOSE,$A7)</f>
        <v>12884.4</v>
      </c>
      <c r="P7" s="13">
        <f t="shared" si="37"/>
        <v>12887.4</v>
      </c>
      <c r="Q7" s="13">
        <f t="shared" si="37"/>
        <v>15417</v>
      </c>
      <c r="R7" s="13">
        <f t="shared" si="37"/>
        <v>13240</v>
      </c>
      <c r="S7" s="13">
        <f t="shared" si="37"/>
        <v>12709.4</v>
      </c>
      <c r="T7" s="13">
        <f t="shared" si="37"/>
        <v>67138.2</v>
      </c>
      <c r="U7" s="68">
        <f>N7-T7</f>
        <v>-5314.4499999999971</v>
      </c>
      <c r="V7" s="268">
        <f>IFERROR((T7/N7),0)</f>
        <v>1.0859613012798479</v>
      </c>
      <c r="W7" s="13">
        <f t="shared" ref="W7:W70" si="38">VLOOKUP($A7,T_PRESUPUESTO,MATCH(W$6,E_PRESUPUESTO,0),FALSE)</f>
        <v>49459</v>
      </c>
      <c r="X7" s="13">
        <f t="shared" ref="X7:AB16" si="39">SUMIFS(SALIDAS_BIT,FECHA_BIT,"&gt;="&amp;X$2,FECHA_BIT,"&lt;="&amp;X$3,CLAVE_BIT,$A7)+SUMIFS(SALIDAS_BOV1,FECHA_BOV1,"&gt;="&amp;X$2,FECHA_BOV1,"&lt;="&amp;X$3,CLAVE_BOV1,$A7)+SUMIFS(SALIDAS_BOV2,FECHA_BOV2,"&gt;="&amp;X$2,FECHA_BOV2,"&lt;="&amp;X$3,CLAVE_BOV2,$A7)+SUMIFS(SALIDAS_BOV3,FECHA_BOV3,"&gt;="&amp;X$2,FECHA_BOV3,"&lt;="&amp;X$3,CLAVE_BOV3,$A7)+SUMIFS(SALIDAS_TC,FECHA_TC,"&gt;="&amp;X$2,FECHA_TC,"&lt;="&amp;X$3,CLAVE_TC,$A7)+SUMIFS(SALIDAS_COMB,FECHA_COMB,"&gt;="&amp;X$2,FECHA_COMB,"&lt;="&amp;X$3,CLAVE_COMB,$A7)+SUMIFS(SALIDAS_DES,FECHA_DESGLOSEN,"&gt;="&amp;X$2,FECHA_DESGLOSEN,"&lt;="&amp;X$3,CLAVE_DESGLOSE,$A7)</f>
        <v>12763.4</v>
      </c>
      <c r="Y7" s="13">
        <f t="shared" si="39"/>
        <v>12146.4</v>
      </c>
      <c r="Z7" s="13">
        <f t="shared" si="39"/>
        <v>12187.8</v>
      </c>
      <c r="AA7" s="13">
        <f t="shared" si="39"/>
        <v>10209</v>
      </c>
      <c r="AB7" s="13">
        <f t="shared" si="39"/>
        <v>47306.6</v>
      </c>
      <c r="AC7" s="68">
        <f>W7-AB7</f>
        <v>2152.4000000000015</v>
      </c>
      <c r="AD7" s="268">
        <f>IFERROR((AB7/W7),0)</f>
        <v>0.9564811257809499</v>
      </c>
      <c r="AE7" s="13">
        <f t="shared" ref="AE7:AE70" si="40">VLOOKUP($A7,T_PRESUPUESTO,MATCH(AE$6,E_PRESUPUESTO,0),FALSE)</f>
        <v>49459</v>
      </c>
      <c r="AF7" s="13">
        <f t="shared" ref="AF7:AJ16" si="41">SUMIFS(SALIDAS_BIT,FECHA_BIT,"&gt;="&amp;AF$2,FECHA_BIT,"&lt;="&amp;AF$3,CLAVE_BIT,$A7)+SUMIFS(SALIDAS_BOV1,FECHA_BOV1,"&gt;="&amp;AF$2,FECHA_BOV1,"&lt;="&amp;AF$3,CLAVE_BOV1,$A7)+SUMIFS(SALIDAS_BOV2,FECHA_BOV2,"&gt;="&amp;AF$2,FECHA_BOV2,"&lt;="&amp;AF$3,CLAVE_BOV2,$A7)+SUMIFS(SALIDAS_BOV3,FECHA_BOV3,"&gt;="&amp;AF$2,FECHA_BOV3,"&lt;="&amp;AF$3,CLAVE_BOV3,$A7)+SUMIFS(SALIDAS_TC,FECHA_TC,"&gt;="&amp;AF$2,FECHA_TC,"&lt;="&amp;AF$3,CLAVE_TC,$A7)+SUMIFS(SALIDAS_COMB,FECHA_COMB,"&gt;="&amp;AF$2,FECHA_COMB,"&lt;="&amp;AF$3,CLAVE_COMB,$A7)+SUMIFS(SALIDAS_DES,FECHA_DESGLOSEN,"&gt;="&amp;AF$2,FECHA_DESGLOSEN,"&lt;="&amp;AF$3,CLAVE_DESGLOSE,$A7)</f>
        <v>12617</v>
      </c>
      <c r="AG7" s="13">
        <f t="shared" si="41"/>
        <v>10660</v>
      </c>
      <c r="AH7" s="13">
        <f t="shared" si="41"/>
        <v>8731.7999999999993</v>
      </c>
      <c r="AI7" s="13">
        <f t="shared" si="41"/>
        <v>10934.6</v>
      </c>
      <c r="AJ7" s="13">
        <f t="shared" si="41"/>
        <v>42943.4</v>
      </c>
      <c r="AK7" s="68">
        <f>AE7-AJ7</f>
        <v>6515.5999999999985</v>
      </c>
      <c r="AL7" s="268">
        <f>IFERROR((AJ7/AE7),0)</f>
        <v>0.86826260134656996</v>
      </c>
      <c r="AM7" s="13">
        <f t="shared" ref="AM7:AM70" si="42">VLOOKUP($A7,T_PRESUPUESTO,MATCH(AM$6,E_PRESUPUESTO,0),FALSE)</f>
        <v>61823.75</v>
      </c>
      <c r="AN7" s="13">
        <f t="shared" ref="AN7:AS16" si="43">SUMIFS(SALIDAS_BIT,FECHA_BIT,"&gt;="&amp;AN$2,FECHA_BIT,"&lt;="&amp;AN$3,CLAVE_BIT,$A7)+SUMIFS(SALIDAS_BOV1,FECHA_BOV1,"&gt;="&amp;AN$2,FECHA_BOV1,"&lt;="&amp;AN$3,CLAVE_BOV1,$A7)+SUMIFS(SALIDAS_BOV2,FECHA_BOV2,"&gt;="&amp;AN$2,FECHA_BOV2,"&lt;="&amp;AN$3,CLAVE_BOV2,$A7)+SUMIFS(SALIDAS_BOV3,FECHA_BOV3,"&gt;="&amp;AN$2,FECHA_BOV3,"&lt;="&amp;AN$3,CLAVE_BOV3,$A7)+SUMIFS(SALIDAS_TC,FECHA_TC,"&gt;="&amp;AN$2,FECHA_TC,"&lt;="&amp;AN$3,CLAVE_TC,$A7)+SUMIFS(SALIDAS_COMB,FECHA_COMB,"&gt;="&amp;AN$2,FECHA_COMB,"&lt;="&amp;AN$3,CLAVE_COMB,$A7)+SUMIFS(SALIDAS_DES,FECHA_DESGLOSEN,"&gt;="&amp;AN$2,FECHA_DESGLOSEN,"&lt;="&amp;AN$3,CLAVE_DESGLOSE,$A7)</f>
        <v>10932</v>
      </c>
      <c r="AO7" s="13">
        <f t="shared" si="43"/>
        <v>10632.8</v>
      </c>
      <c r="AP7" s="13">
        <f t="shared" si="43"/>
        <v>10632.8</v>
      </c>
      <c r="AQ7" s="13">
        <f>SUMIFS(SALIDAS_BIT,FECHA_BIT,"&gt;="&amp;AQ$2,FECHA_BIT,"&lt;="&amp;AQ$3,CLAVE_BIT,$A7)+SUMIFS(SALIDAS_BOV1,FECHA_BOV1,"&gt;="&amp;AQ$2,FECHA_BOV1,"&lt;="&amp;AQ$3,CLAVE_BOV1,$A7)+SUMIFS(SALIDAS_BOV2,FECHA_BOV2,"&gt;="&amp;AQ$2,FECHA_BOV2,"&lt;="&amp;AQ$3,CLAVE_BOV2,$A7)+SUMIFS(SALIDAS_BOV3,FECHA_BOV3,"&gt;="&amp;AQ$2,FECHA_BOV3,"&lt;="&amp;AQ$3,CLAVE_BOV3,$A7)+SUMIFS(SALIDAS_TC,FECHA_TC,"&gt;="&amp;AQ$2,FECHA_TC,"&lt;="&amp;AQ$3,CLAVE_TC,$A7)+SUMIFS(SALIDAS_COMB,FECHA_COMB,"&gt;="&amp;AQ$2,FECHA_COMB,"&lt;="&amp;AQ$3,CLAVE_COMB,$A7)+SUMIFS(SALIDAS_DES,FECHA_DESGLOSEN,"&gt;="&amp;AQ$2,FECHA_DESGLOSEN,"&lt;="&amp;AQ$3,CLAVE_DESGLOSE,$A7)</f>
        <v>10929.2</v>
      </c>
      <c r="AR7" s="13">
        <f t="shared" si="43"/>
        <v>10933.2</v>
      </c>
      <c r="AS7" s="13">
        <f t="shared" si="43"/>
        <v>54060</v>
      </c>
      <c r="AT7" s="68">
        <f>AM7-AS7</f>
        <v>7763.75</v>
      </c>
      <c r="AU7" s="268">
        <f>IFERROR((AS7/AM7),0)</f>
        <v>0.87442123779291936</v>
      </c>
      <c r="AV7" s="13">
        <f t="shared" ref="AV7:AV70" si="44">VLOOKUP($A7,T_PRESUPUESTO,MATCH(AV$6,E_PRESUPUESTO,0),FALSE)</f>
        <v>49459</v>
      </c>
      <c r="AW7" s="13">
        <f t="shared" ref="AW7:BB22" si="45">SUMIFS(SALIDAS_BIT,FECHA_BIT,"&gt;="&amp;AW$2,FECHA_BIT,"&lt;="&amp;AW$3,CLAVE_BIT,$A7)+SUMIFS(SALIDAS_BOV1,FECHA_BOV1,"&gt;="&amp;AW$2,FECHA_BOV1,"&lt;="&amp;AW$3,CLAVE_BOV1,$A7)+SUMIFS(SALIDAS_BOV2,FECHA_BOV2,"&gt;="&amp;AW$2,FECHA_BOV2,"&lt;="&amp;AW$3,CLAVE_BOV2,$A7)+SUMIFS(SALIDAS_BOV3,FECHA_BOV3,"&gt;="&amp;AW$2,FECHA_BOV3,"&lt;="&amp;AW$3,CLAVE_BOV3,$A7)+SUMIFS(SALIDAS_TC,FECHA_TC,"&gt;="&amp;AW$2,FECHA_TC,"&lt;="&amp;AW$3,CLAVE_TC,$A7)+SUMIFS(SALIDAS_COMB,FECHA_COMB,"&gt;="&amp;AW$2,FECHA_COMB,"&lt;="&amp;AW$3,CLAVE_COMB,$A7)+SUMIFS(SALIDAS_DES,FECHA_DESGLOSEN,"&gt;="&amp;AW$2,FECHA_DESGLOSEN,"&lt;="&amp;AW$3,CLAVE_DESGLOSE,$A7)</f>
        <v>10931.8</v>
      </c>
      <c r="AX7" s="13">
        <f t="shared" si="45"/>
        <v>10933</v>
      </c>
      <c r="AY7" s="13">
        <f t="shared" si="45"/>
        <v>10882</v>
      </c>
      <c r="AZ7" s="13">
        <f t="shared" si="45"/>
        <v>11857</v>
      </c>
      <c r="BA7" s="13">
        <f t="shared" si="45"/>
        <v>44603.8</v>
      </c>
      <c r="BB7" s="68">
        <f>AV7-BA7</f>
        <v>4855.1999999999971</v>
      </c>
      <c r="BC7" s="268">
        <f>IFERROR((BA7/AV7),0)</f>
        <v>0.90183384217230445</v>
      </c>
      <c r="BD7" s="13">
        <f t="shared" ref="BD7:BD71" si="46">VLOOKUP($A7,T_PRESUPUESTO,MATCH(BD$6,E_PRESUPUESTO,0),FALSE)</f>
        <v>49459</v>
      </c>
      <c r="BE7" s="13">
        <f>SUMIFS(SALIDAS_BIT,FECHA_BIT,"&gt;="&amp;BE$2,FECHA_BIT,"&lt;="&amp;BE$3,CLAVE_BIT,$A7)+SUMIFS(SALIDAS_BOV1,FECHA_BOV1,"&gt;="&amp;BE$2,FECHA_BOV1,"&lt;="&amp;BE$3,CLAVE_BOV1,$A7)+SUMIFS(SALIDAS_BOV2,FECHA_BOV2,"&gt;="&amp;BE$2,FECHA_BOV2,"&lt;="&amp;BE$3,CLAVE_BOV2,$A7)+SUMIFS(SALIDAS_BOV3,FECHA_BOV3,"&gt;="&amp;BE$2,FECHA_BOV3,"&lt;="&amp;BE$3,CLAVE_BOV3,$A7)+SUMIFS(SALIDAS_TC,FECHA_TC,"&gt;="&amp;BE$2,FECHA_TC,"&lt;="&amp;BE$3,CLAVE_TC,$A7)+SUMIFS(SALIDAS_COMB,FECHA_COMB,"&gt;="&amp;BE$2,FECHA_COMB,"&lt;="&amp;BE$3,CLAVE_COMB,$A7)+SUMIFS(SALIDAS_DES,FECHA_DESGLOSEN,"&gt;="&amp;BE$2,FECHA_DESGLOSEN,"&lt;="&amp;BE$3,CLAVE_DESGLOSE,$A7)</f>
        <v>10857.2</v>
      </c>
      <c r="BF7" s="13">
        <f>SUMIFS(SALIDAS_BIT,FECHA_BIT,"&gt;="&amp;BF$2,FECHA_BIT,"&lt;="&amp;BF$3,CLAVE_BIT,$A7)+SUMIFS(SALIDAS_BOV1,FECHA_BOV1,"&gt;="&amp;BF$2,FECHA_BOV1,"&lt;="&amp;BF$3,CLAVE_BOV1,$A7)+SUMIFS(SALIDAS_BOV2,FECHA_BOV2,"&gt;="&amp;BF$2,FECHA_BOV2,"&lt;="&amp;BF$3,CLAVE_BOV2,$A7)+SUMIFS(SALIDAS_BOV3,FECHA_BOV3,"&gt;="&amp;BF$2,FECHA_BOV3,"&lt;="&amp;BF$3,CLAVE_BOV3,$A7)+SUMIFS(SALIDAS_TC,FECHA_TC,"&gt;="&amp;BF$2,FECHA_TC,"&lt;="&amp;BF$3,CLAVE_TC,$A7)+SUMIFS(SALIDAS_COMB,FECHA_COMB,"&gt;="&amp;BF$2,FECHA_COMB,"&lt;="&amp;BF$3,CLAVE_COMB,$A7)+SUMIFS(SALIDAS_DES,FECHA_DESGLOSEN,"&gt;="&amp;BF$2,FECHA_DESGLOSEN,"&lt;="&amp;BF$3,CLAVE_DESGLOSE,$A7)</f>
        <v>11028.8</v>
      </c>
      <c r="BG7" s="13">
        <f>SUMIFS(SALIDAS_BIT,FECHA_BIT,"&gt;="&amp;BG$2,FECHA_BIT,"&lt;="&amp;BG$3,CLAVE_BIT,$A7)+SUMIFS(SALIDAS_BOV1,FECHA_BOV1,"&gt;="&amp;BG$2,FECHA_BOV1,"&lt;="&amp;BG$3,CLAVE_BOV1,$A7)+SUMIFS(SALIDAS_BOV2,FECHA_BOV2,"&gt;="&amp;BG$2,FECHA_BOV2,"&lt;="&amp;BG$3,CLAVE_BOV2,$A7)+SUMIFS(SALIDAS_BOV3,FECHA_BOV3,"&gt;="&amp;BG$2,FECHA_BOV3,"&lt;="&amp;BG$3,CLAVE_BOV3,$A7)+SUMIFS(SALIDAS_TC,FECHA_TC,"&gt;="&amp;BG$2,FECHA_TC,"&lt;="&amp;BG$3,CLAVE_TC,$A7)+SUMIFS(SALIDAS_COMB,FECHA_COMB,"&gt;="&amp;BG$2,FECHA_COMB,"&lt;="&amp;BG$3,CLAVE_COMB,$A7)+SUMIFS(SALIDAS_DES,FECHA_DESGLOSEN,"&gt;="&amp;BG$2,FECHA_DESGLOSEN,"&lt;="&amp;BG$3,CLAVE_DESGLOSE,$A7)</f>
        <v>10933.8</v>
      </c>
      <c r="BH7" s="13">
        <f>SUMIFS(SALIDAS_BIT,FECHA_BIT,"&gt;="&amp;BH$2,FECHA_BIT,"&lt;="&amp;BH$3,CLAVE_BIT,$A7)+SUMIFS(SALIDAS_BOV1,FECHA_BOV1,"&gt;="&amp;BH$2,FECHA_BOV1,"&lt;="&amp;BH$3,CLAVE_BOV1,$A7)+SUMIFS(SALIDAS_BOV2,FECHA_BOV2,"&gt;="&amp;BH$2,FECHA_BOV2,"&lt;="&amp;BH$3,CLAVE_BOV2,$A7)+SUMIFS(SALIDAS_BOV3,FECHA_BOV3,"&gt;="&amp;BH$2,FECHA_BOV3,"&lt;="&amp;BH$3,CLAVE_BOV3,$A7)+SUMIFS(SALIDAS_TC,FECHA_TC,"&gt;="&amp;BH$2,FECHA_TC,"&lt;="&amp;BH$3,CLAVE_TC,$A7)+SUMIFS(SALIDAS_COMB,FECHA_COMB,"&gt;="&amp;BH$2,FECHA_COMB,"&lt;="&amp;BH$3,CLAVE_COMB,$A7)+SUMIFS(SALIDAS_DES,FECHA_DESGLOSEN,"&gt;="&amp;BH$2,FECHA_DESGLOSEN,"&lt;="&amp;BH$3,CLAVE_DESGLOSE,$A7)</f>
        <v>10934</v>
      </c>
      <c r="BI7" s="13">
        <f>SUMIFS(SALIDAS_BIT,FECHA_BIT,"&gt;="&amp;BI$2,FECHA_BIT,"&lt;="&amp;BI$3,CLAVE_BIT,$A7)+SUMIFS(SALIDAS_BOV1,FECHA_BOV1,"&gt;="&amp;BI$2,FECHA_BOV1,"&lt;="&amp;BI$3,CLAVE_BOV1,$A7)+SUMIFS(SALIDAS_BOV2,FECHA_BOV2,"&gt;="&amp;BI$2,FECHA_BOV2,"&lt;="&amp;BI$3,CLAVE_BOV2,$A7)+SUMIFS(SALIDAS_BOV3,FECHA_BOV3,"&gt;="&amp;BI$2,FECHA_BOV3,"&lt;="&amp;BI$3,CLAVE_BOV3,$A7)+SUMIFS(SALIDAS_TC,FECHA_TC,"&gt;="&amp;BI$2,FECHA_TC,"&lt;="&amp;BI$3,CLAVE_TC,$A7)+SUMIFS(SALIDAS_COMB,FECHA_COMB,"&gt;="&amp;BI$2,FECHA_COMB,"&lt;="&amp;BI$3,CLAVE_COMB,$A7)+SUMIFS(SALIDAS_DES,FECHA_DESGLOSEN,"&gt;="&amp;BI$2,FECHA_DESGLOSEN,"&lt;="&amp;BI$3,CLAVE_DESGLOSE,$A7)</f>
        <v>43753.8</v>
      </c>
      <c r="BJ7" s="68">
        <f>BD7-BI7</f>
        <v>5705.1999999999971</v>
      </c>
      <c r="BK7" s="268">
        <f>IFERROR((BI7/BD7),0)</f>
        <v>0.88464789017165735</v>
      </c>
      <c r="BL7" s="13">
        <f t="shared" ref="BL7:BL71" si="47">VLOOKUP($A7,T_PRESUPUESTO,MATCH(BL$6,E_PRESUPUESTO,0),FALSE)</f>
        <v>61823.75</v>
      </c>
      <c r="BM7" s="13">
        <f t="shared" ref="BM7:BR16" si="48">SUMIFS(SALIDAS_BIT,FECHA_BIT,"&gt;="&amp;BM$2,FECHA_BIT,"&lt;="&amp;BM$3,CLAVE_BIT,$A7)+SUMIFS(SALIDAS_BOV1,FECHA_BOV1,"&gt;="&amp;BM$2,FECHA_BOV1,"&lt;="&amp;BM$3,CLAVE_BOV1,$A7)+SUMIFS(SALIDAS_BOV2,FECHA_BOV2,"&gt;="&amp;BM$2,FECHA_BOV2,"&lt;="&amp;BM$3,CLAVE_BOV2,$A7)+SUMIFS(SALIDAS_BOV3,FECHA_BOV3,"&gt;="&amp;BM$2,FECHA_BOV3,"&lt;="&amp;BM$3,CLAVE_BOV3,$A7)+SUMIFS(SALIDAS_TC,FECHA_TC,"&gt;="&amp;BM$2,FECHA_TC,"&lt;="&amp;BM$3,CLAVE_TC,$A7)+SUMIFS(SALIDAS_COMB,FECHA_COMB,"&gt;="&amp;BM$2,FECHA_COMB,"&lt;="&amp;BM$3,CLAVE_COMB,$A7)+SUMIFS(SALIDAS_DES,FECHA_DESGLOSEN,"&gt;="&amp;BM$2,FECHA_DESGLOSEN,"&lt;="&amp;BM$3,CLAVE_DESGLOSE,$A7)</f>
        <v>10933.8</v>
      </c>
      <c r="BN7" s="13">
        <f>SUMIFS(SALIDAS_BIT,FECHA_BIT,"&gt;="&amp;BN$2,FECHA_BIT,"&lt;="&amp;BN$3,CLAVE_BIT,$A7)+SUMIFS(SALIDAS_BOV1,FECHA_BOV1,"&gt;="&amp;BN$2,FECHA_BOV1,"&lt;="&amp;BN$3,CLAVE_BOV1,$A7)+SUMIFS(SALIDAS_BOV2,FECHA_BOV2,"&gt;="&amp;BN$2,FECHA_BOV2,"&lt;="&amp;BN$3,CLAVE_BOV2,$A7)+SUMIFS(SALIDAS_BOV3,FECHA_BOV3,"&gt;="&amp;BN$2,FECHA_BOV3,"&lt;="&amp;BN$3,CLAVE_BOV3,$A7)+SUMIFS(SALIDAS_TC,FECHA_TC,"&gt;="&amp;BN$2,FECHA_TC,"&lt;="&amp;BN$3,CLAVE_TC,$A7)+SUMIFS(SALIDAS_COMB,FECHA_COMB,"&gt;="&amp;BN$2,FECHA_COMB,"&lt;="&amp;BN$3,CLAVE_COMB,$A7)+SUMIFS(SALIDAS_DES,FECHA_DESGLOSEN,"&gt;="&amp;BN$2,FECHA_DESGLOSEN,"&lt;="&amp;BN$3,CLAVE_DESGLOSE,$A7)</f>
        <v>10932.8</v>
      </c>
      <c r="BO7" s="13">
        <f>SUMIFS(SALIDAS_BIT,FECHA_BIT,"&gt;="&amp;BO$2,FECHA_BIT,"&lt;="&amp;BO$3,CLAVE_BIT,$A7)+SUMIFS(SALIDAS_BOV1,FECHA_BOV1,"&gt;="&amp;BO$2,FECHA_BOV1,"&lt;="&amp;BO$3,CLAVE_BOV1,$A7)+SUMIFS(SALIDAS_BOV2,FECHA_BOV2,"&gt;="&amp;BO$2,FECHA_BOV2,"&lt;="&amp;BO$3,CLAVE_BOV2,$A7)+SUMIFS(SALIDAS_BOV3,FECHA_BOV3,"&gt;="&amp;BO$2,FECHA_BOV3,"&lt;="&amp;BO$3,CLAVE_BOV3,$A7)+SUMIFS(SALIDAS_TC,FECHA_TC,"&gt;="&amp;BO$2,FECHA_TC,"&lt;="&amp;BO$3,CLAVE_TC,$A7)+SUMIFS(SALIDAS_COMB,FECHA_COMB,"&gt;="&amp;BO$2,FECHA_COMB,"&lt;="&amp;BO$3,CLAVE_COMB,$A7)+SUMIFS(SALIDAS_DES,FECHA_DESGLOSEN,"&gt;="&amp;BO$2,FECHA_DESGLOSEN,"&lt;="&amp;BO$3,CLAVE_DESGLOSE,$A7)</f>
        <v>10933.6</v>
      </c>
      <c r="BP7" s="13">
        <f>SUMIFS(SALIDAS_BIT,FECHA_BIT,"&gt;="&amp;BP$2,FECHA_BIT,"&lt;="&amp;BP$3,CLAVE_BIT,$A7)+SUMIFS(SALIDAS_BOV1,FECHA_BOV1,"&gt;="&amp;BP$2,FECHA_BOV1,"&lt;="&amp;BP$3,CLAVE_BOV1,$A7)+SUMIFS(SALIDAS_BOV2,FECHA_BOV2,"&gt;="&amp;BP$2,FECHA_BOV2,"&lt;="&amp;BP$3,CLAVE_BOV2,$A7)+SUMIFS(SALIDAS_BOV3,FECHA_BOV3,"&gt;="&amp;BP$2,FECHA_BOV3,"&lt;="&amp;BP$3,CLAVE_BOV3,$A7)+SUMIFS(SALIDAS_TC,FECHA_TC,"&gt;="&amp;BP$2,FECHA_TC,"&lt;="&amp;BP$3,CLAVE_TC,$A7)+SUMIFS(SALIDAS_COMB,FECHA_COMB,"&gt;="&amp;BP$2,FECHA_COMB,"&lt;="&amp;BP$3,CLAVE_COMB,$A7)+SUMIFS(SALIDAS_DES,FECHA_DESGLOSEN,"&gt;="&amp;BP$2,FECHA_DESGLOSEN,"&lt;="&amp;BP$3,CLAVE_DESGLOSE,$A7)</f>
        <v>14234.4</v>
      </c>
      <c r="BQ7" s="13">
        <f>SUMIFS(SALIDAS_BIT,FECHA_BIT,"&gt;="&amp;BQ$2,FECHA_BIT,"&lt;="&amp;BQ$3,CLAVE_BIT,$A7)+SUMIFS(SALIDAS_BOV1,FECHA_BOV1,"&gt;="&amp;BQ$2,FECHA_BOV1,"&lt;="&amp;BQ$3,CLAVE_BOV1,$A7)+SUMIFS(SALIDAS_BOV2,FECHA_BOV2,"&gt;="&amp;BQ$2,FECHA_BOV2,"&lt;="&amp;BQ$3,CLAVE_BOV2,$A7)+SUMIFS(SALIDAS_BOV3,FECHA_BOV3,"&gt;="&amp;BQ$2,FECHA_BOV3,"&lt;="&amp;BQ$3,CLAVE_BOV3,$A7)+SUMIFS(SALIDAS_TC,FECHA_TC,"&gt;="&amp;BQ$2,FECHA_TC,"&lt;="&amp;BQ$3,CLAVE_TC,$A7)+SUMIFS(SALIDAS_COMB,FECHA_COMB,"&gt;="&amp;BQ$2,FECHA_COMB,"&lt;="&amp;BQ$3,CLAVE_COMB,$A7)+SUMIFS(SALIDAS_DES,FECHA_DESGLOSEN,"&gt;="&amp;BQ$2,FECHA_DESGLOSEN,"&lt;="&amp;BQ$3,CLAVE_DESGLOSE,$A7)</f>
        <v>11274.8</v>
      </c>
      <c r="BR7" s="13">
        <f>SUMIFS(SALIDAS_BIT,FECHA_BIT,"&gt;="&amp;BR$2,FECHA_BIT,"&lt;="&amp;BR$3,CLAVE_BIT,$A7)+SUMIFS(SALIDAS_BOV1,FECHA_BOV1,"&gt;="&amp;BR$2,FECHA_BOV1,"&lt;="&amp;BR$3,CLAVE_BOV1,$A7)+SUMIFS(SALIDAS_BOV2,FECHA_BOV2,"&gt;="&amp;BR$2,FECHA_BOV2,"&lt;="&amp;BR$3,CLAVE_BOV2,$A7)+SUMIFS(SALIDAS_BOV3,FECHA_BOV3,"&gt;="&amp;BR$2,FECHA_BOV3,"&lt;="&amp;BR$3,CLAVE_BOV3,$A7)+SUMIFS(SALIDAS_TC,FECHA_TC,"&gt;="&amp;BR$2,FECHA_TC,"&lt;="&amp;BR$3,CLAVE_TC,$A7)+SUMIFS(SALIDAS_COMB,FECHA_COMB,"&gt;="&amp;BR$2,FECHA_COMB,"&lt;="&amp;BR$3,CLAVE_COMB,$A7)+SUMIFS(SALIDAS_DES,FECHA_DESGLOSEN,"&gt;="&amp;BR$2,FECHA_DESGLOSEN,"&lt;="&amp;BR$3,CLAVE_DESGLOSE,$A7)</f>
        <v>58309.399999999994</v>
      </c>
      <c r="BS7" s="68">
        <f>BL7-BR7</f>
        <v>3514.3500000000058</v>
      </c>
      <c r="BT7" s="268">
        <f>IFERROR((BR7/BL7),0)</f>
        <v>0.94315534078731866</v>
      </c>
      <c r="BU7" s="13">
        <f t="shared" ref="BU7:BU71" si="49">VLOOKUP($A7,T_PRESUPUESTO,MATCH(BU$6,E_PRESUPUESTO,0),FALSE)</f>
        <v>49459</v>
      </c>
      <c r="BV7" s="13">
        <f t="shared" ref="BV7:BZ22" si="50">SUMIFS(SALIDAS_BIT,FECHA_BIT,"&gt;="&amp;BV$2,FECHA_BIT,"&lt;="&amp;BV$3,CLAVE_BIT,$A7)+SUMIFS(SALIDAS_BOV1,FECHA_BOV1,"&gt;="&amp;BV$2,FECHA_BOV1,"&lt;="&amp;BV$3,CLAVE_BOV1,$A7)+SUMIFS(SALIDAS_BOV2,FECHA_BOV2,"&gt;="&amp;BV$2,FECHA_BOV2,"&lt;="&amp;BV$3,CLAVE_BOV2,$A7)+SUMIFS(SALIDAS_BOV3,FECHA_BOV3,"&gt;="&amp;BV$2,FECHA_BOV3,"&lt;="&amp;BV$3,CLAVE_BOV3,$A7)+SUMIFS(SALIDAS_TC,FECHA_TC,"&gt;="&amp;BV$2,FECHA_TC,"&lt;="&amp;BV$3,CLAVE_TC,$A7)+SUMIFS(SALIDAS_COMB,FECHA_COMB,"&gt;="&amp;BV$2,FECHA_COMB,"&lt;="&amp;BV$3,CLAVE_COMB,$A7)+SUMIFS(SALIDAS_DES,FECHA_DESGLOSEN,"&gt;="&amp;BV$2,FECHA_DESGLOSEN,"&lt;="&amp;BV$3,CLAVE_DESGLOSE,$A7)</f>
        <v>10943.4</v>
      </c>
      <c r="BW7" s="13">
        <f t="shared" si="50"/>
        <v>11086.6</v>
      </c>
      <c r="BX7" s="13">
        <f t="shared" si="50"/>
        <v>10942.2</v>
      </c>
      <c r="BY7" s="13">
        <f t="shared" si="50"/>
        <v>11335.6</v>
      </c>
      <c r="BZ7" s="13">
        <f t="shared" si="50"/>
        <v>44307.799999999996</v>
      </c>
      <c r="CA7" s="68">
        <f>BU7-BZ7</f>
        <v>5151.2000000000044</v>
      </c>
      <c r="CB7" s="268">
        <f>IFERROR((BZ7/BU7),0)</f>
        <v>0.8958490871226672</v>
      </c>
      <c r="CC7" s="13">
        <f t="shared" ref="CC7:CC71" si="51">VLOOKUP($A7,T_PRESUPUESTO,MATCH(CC$6,E_PRESUPUESTO,0),FALSE)</f>
        <v>49459</v>
      </c>
      <c r="CD7" s="13">
        <f t="shared" ref="CD7:CH22" si="52">SUMIFS(SALIDAS_BIT,FECHA_BIT,"&gt;="&amp;CD$2,FECHA_BIT,"&lt;="&amp;CD$3,CLAVE_BIT,$A7)+SUMIFS(SALIDAS_BOV1,FECHA_BOV1,"&gt;="&amp;CD$2,FECHA_BOV1,"&lt;="&amp;CD$3,CLAVE_BOV1,$A7)+SUMIFS(SALIDAS_BOV2,FECHA_BOV2,"&gt;="&amp;CD$2,FECHA_BOV2,"&lt;="&amp;CD$3,CLAVE_BOV2,$A7)+SUMIFS(SALIDAS_BOV3,FECHA_BOV3,"&gt;="&amp;CD$2,FECHA_BOV3,"&lt;="&amp;CD$3,CLAVE_BOV3,$A7)+SUMIFS(SALIDAS_TC,FECHA_TC,"&gt;="&amp;CD$2,FECHA_TC,"&lt;="&amp;CD$3,CLAVE_TC,$A7)+SUMIFS(SALIDAS_COMB,FECHA_COMB,"&gt;="&amp;CD$2,FECHA_COMB,"&lt;="&amp;CD$3,CLAVE_COMB,$A7)+SUMIFS(SALIDAS_DES,FECHA_DESGLOSEN,"&gt;="&amp;CD$2,FECHA_DESGLOSEN,"&lt;="&amp;CD$3,CLAVE_DESGLOSE,$A7)</f>
        <v>11470</v>
      </c>
      <c r="CE7" s="13">
        <f t="shared" si="52"/>
        <v>11164</v>
      </c>
      <c r="CF7" s="13">
        <f t="shared" si="52"/>
        <v>13517</v>
      </c>
      <c r="CG7" s="13">
        <f t="shared" si="52"/>
        <v>11439.15</v>
      </c>
      <c r="CH7" s="13">
        <f t="shared" si="52"/>
        <v>47590.15</v>
      </c>
      <c r="CI7" s="68">
        <f>CC7-CH7</f>
        <v>1868.8499999999985</v>
      </c>
      <c r="CJ7" s="268">
        <f>IFERROR((CH7/CC7),0)</f>
        <v>0.96221415718069514</v>
      </c>
      <c r="CK7" s="13">
        <f t="shared" ref="CK7:CK71" si="53">VLOOKUP($A7,T_PRESUPUESTO,MATCH(CK$6,E_PRESUPUESTO,0),FALSE)</f>
        <v>91810</v>
      </c>
      <c r="CL7" s="13">
        <f t="shared" ref="CL7:CQ22" si="54">SUMIFS(SALIDAS_BIT,FECHA_BIT,"&gt;="&amp;CL$2,FECHA_BIT,"&lt;="&amp;CL$3,CLAVE_BIT,$A7)+SUMIFS(SALIDAS_BOV1,FECHA_BOV1,"&gt;="&amp;CL$2,FECHA_BOV1,"&lt;="&amp;CL$3,CLAVE_BOV1,$A7)+SUMIFS(SALIDAS_BOV2,FECHA_BOV2,"&gt;="&amp;CL$2,FECHA_BOV2,"&lt;="&amp;CL$3,CLAVE_BOV2,$A7)+SUMIFS(SALIDAS_BOV3,FECHA_BOV3,"&gt;="&amp;CL$2,FECHA_BOV3,"&lt;="&amp;CL$3,CLAVE_BOV3,$A7)+SUMIFS(SALIDAS_TC,FECHA_TC,"&gt;="&amp;CL$2,FECHA_TC,"&lt;="&amp;CL$3,CLAVE_TC,$A7)+SUMIFS(SALIDAS_COMB,FECHA_COMB,"&gt;="&amp;CL$2,FECHA_COMB,"&lt;="&amp;CL$3,CLAVE_COMB,$A7)+SUMIFS(SALIDAS_DES,FECHA_DESGLOSEN,"&gt;="&amp;CL$2,FECHA_DESGLOSEN,"&lt;="&amp;CL$3,CLAVE_DESGLOSE,$A7)</f>
        <v>11054.4</v>
      </c>
      <c r="CM7" s="13">
        <f t="shared" si="54"/>
        <v>11481.2</v>
      </c>
      <c r="CN7" s="13">
        <f t="shared" si="54"/>
        <v>16719.2</v>
      </c>
      <c r="CO7" s="13">
        <f t="shared" si="54"/>
        <v>23986.2</v>
      </c>
      <c r="CP7" s="13">
        <f t="shared" si="54"/>
        <v>15087.6</v>
      </c>
      <c r="CQ7" s="13">
        <f t="shared" si="54"/>
        <v>78328.600000000006</v>
      </c>
      <c r="CR7" s="68">
        <f>CK7-CQ7</f>
        <v>13481.399999999994</v>
      </c>
      <c r="CS7" s="268">
        <f>IFERROR((CQ7/CK7),0)</f>
        <v>0.85315978651563018</v>
      </c>
      <c r="CT7" s="68">
        <f t="shared" ref="CT7:CT70" si="55">VLOOKUP($A7,T_PRESUPUESTO,MATCH(CT$6,E_PRESUPUESTO,0),FALSE)</f>
        <v>50068</v>
      </c>
      <c r="CU7" s="13">
        <f t="shared" ref="CU7:CY22" si="56">SUMIFS(SALIDAS_BIT,FECHA_BIT,"&gt;="&amp;CU$2,FECHA_BIT,"&lt;="&amp;CU$3,CLAVE_BIT,$A7)+SUMIFS(SALIDAS_BOV1,FECHA_BOV1,"&gt;="&amp;CU$2,FECHA_BOV1,"&lt;="&amp;CU$3,CLAVE_BOV1,$A7)+SUMIFS(SALIDAS_BOV2,FECHA_BOV2,"&gt;="&amp;CU$2,FECHA_BOV2,"&lt;="&amp;CU$3,CLAVE_BOV2,$A7)+SUMIFS(SALIDAS_BOV3,FECHA_BOV3,"&gt;="&amp;CU$2,FECHA_BOV3,"&lt;="&amp;CU$3,CLAVE_BOV3,$A7)+SUMIFS(SALIDAS_TC,FECHA_TC,"&gt;="&amp;CU$2,FECHA_TC,"&lt;="&amp;CU$3,CLAVE_TC,$A7)+SUMIFS(SALIDAS_COMB,FECHA_COMB,"&gt;="&amp;CU$2,FECHA_COMB,"&lt;="&amp;CU$3,CLAVE_COMB,$A7)+SUMIFS(SALIDAS_DES,FECHA_DESGLOSEN,"&gt;="&amp;CU$2,FECHA_DESGLOSEN,"&lt;="&amp;CU$3,CLAVE_DESGLOSE,$A7)</f>
        <v>11561.4</v>
      </c>
      <c r="CV7" s="13">
        <f t="shared" si="56"/>
        <v>10425.799999999999</v>
      </c>
      <c r="CW7" s="13">
        <f t="shared" si="56"/>
        <v>10496</v>
      </c>
      <c r="CX7" s="13">
        <f t="shared" si="56"/>
        <v>11593</v>
      </c>
      <c r="CY7" s="13">
        <f t="shared" si="56"/>
        <v>44076.2</v>
      </c>
      <c r="CZ7" s="68">
        <f>CT7-CY7</f>
        <v>5991.8000000000029</v>
      </c>
      <c r="DB7" s="17">
        <f>F7+N7+W7+AE7+AM7+AV7+BD7+BL7+BU7+CC7+CK7</f>
        <v>623494.25</v>
      </c>
      <c r="DC7" s="17">
        <f>K7+T7+AB7+AJ7+AS7+BA7+BI7+BR7+BZ7+CH7+CQ7</f>
        <v>582318.08000000007</v>
      </c>
    </row>
    <row r="8" spans="1:1023 1025:2047 2049:3071 3073:4095 4097:5119 5121:6143 6145:7167 7169:8191 8193:9215 9217:10239 10241:11263 11265:12287 12289:13311 13313:14335 14337:15359 15361:16357" hidden="1">
      <c r="A8" s="12" t="str">
        <f t="shared" ref="A8:A71" si="57">C8&amp;D8&amp;E8</f>
        <v>HRNOMINA SUCURSALA2</v>
      </c>
      <c r="B8" s="12">
        <v>2</v>
      </c>
      <c r="C8" t="s">
        <v>29</v>
      </c>
      <c r="D8" s="14" t="s">
        <v>154</v>
      </c>
      <c r="E8" s="14" t="s">
        <v>89</v>
      </c>
      <c r="F8" s="259">
        <f t="shared" ref="F7:F70" si="58">VLOOKUP($A8,T_PRESUPUESTO,MATCH(F$6,E_PRESUPUESTO,0),FALSE)</f>
        <v>48256</v>
      </c>
      <c r="G8" s="13">
        <f t="shared" si="35"/>
        <v>17355.400000000001</v>
      </c>
      <c r="H8" s="13">
        <f t="shared" si="35"/>
        <v>13884.8</v>
      </c>
      <c r="I8" s="13">
        <f t="shared" si="35"/>
        <v>14429.2</v>
      </c>
      <c r="J8" s="13">
        <f t="shared" si="35"/>
        <v>13082.4</v>
      </c>
      <c r="K8" s="13">
        <f t="shared" si="35"/>
        <v>58751.8</v>
      </c>
      <c r="L8" s="68">
        <f t="shared" ref="L8:L71" si="59">F8-K8</f>
        <v>-10495.800000000003</v>
      </c>
      <c r="M8" s="268">
        <f t="shared" ref="M8:M71" si="60">IFERROR((K8/F8),0)</f>
        <v>1.2175024867374007</v>
      </c>
      <c r="N8" s="13">
        <f t="shared" si="36"/>
        <v>60320</v>
      </c>
      <c r="O8" s="13">
        <f t="shared" si="37"/>
        <v>14593.8</v>
      </c>
      <c r="P8" s="13">
        <f t="shared" si="37"/>
        <v>13883.8</v>
      </c>
      <c r="Q8" s="13">
        <f t="shared" si="37"/>
        <v>14246.4</v>
      </c>
      <c r="R8" s="13">
        <f t="shared" si="37"/>
        <v>13991.8</v>
      </c>
      <c r="S8" s="13">
        <f t="shared" si="37"/>
        <v>13484</v>
      </c>
      <c r="T8" s="13">
        <f t="shared" si="37"/>
        <v>70199.8</v>
      </c>
      <c r="U8" s="68">
        <f t="shared" ref="U8:U71" si="61">N8-T8</f>
        <v>-9879.8000000000029</v>
      </c>
      <c r="V8" s="268">
        <f t="shared" ref="V8:V71" si="62">IFERROR((T8/N8),0)</f>
        <v>1.1637897877984085</v>
      </c>
      <c r="W8" s="13">
        <f t="shared" si="38"/>
        <v>48256</v>
      </c>
      <c r="X8" s="13">
        <f t="shared" si="39"/>
        <v>13985.8</v>
      </c>
      <c r="Y8" s="13">
        <f t="shared" si="39"/>
        <v>13884.6</v>
      </c>
      <c r="Z8" s="13">
        <f t="shared" si="39"/>
        <v>12857</v>
      </c>
      <c r="AA8" s="13">
        <f t="shared" si="39"/>
        <v>13502.2</v>
      </c>
      <c r="AB8" s="13">
        <f t="shared" si="39"/>
        <v>54229.600000000006</v>
      </c>
      <c r="AC8" s="68">
        <f t="shared" ref="AC8:AC71" si="63">W8-AB8</f>
        <v>-5973.6000000000058</v>
      </c>
      <c r="AD8" s="268">
        <f t="shared" ref="AD8:AD71" si="64">IFERROR((AB8/W8),0)</f>
        <v>1.1237897877984087</v>
      </c>
      <c r="AE8" s="13">
        <f t="shared" si="40"/>
        <v>48256</v>
      </c>
      <c r="AF8" s="13">
        <f t="shared" si="41"/>
        <v>16814</v>
      </c>
      <c r="AG8" s="13">
        <f t="shared" si="41"/>
        <v>14684.8</v>
      </c>
      <c r="AH8" s="13">
        <f t="shared" si="41"/>
        <v>13767</v>
      </c>
      <c r="AI8" s="13">
        <f t="shared" si="41"/>
        <v>13385.2</v>
      </c>
      <c r="AJ8" s="13">
        <f t="shared" si="41"/>
        <v>58651</v>
      </c>
      <c r="AK8" s="68">
        <f t="shared" ref="AK8:AK71" si="65">AE8-AJ8</f>
        <v>-10395</v>
      </c>
      <c r="AL8" s="268">
        <f t="shared" ref="AL8:AL71" si="66">IFERROR((AJ8/AE8),0)</f>
        <v>1.2154136273209548</v>
      </c>
      <c r="AM8" s="13">
        <f t="shared" si="42"/>
        <v>60320</v>
      </c>
      <c r="AN8" s="13">
        <f t="shared" si="43"/>
        <v>14380.6</v>
      </c>
      <c r="AO8" s="13">
        <f t="shared" si="43"/>
        <v>13958.2</v>
      </c>
      <c r="AP8" s="13">
        <f t="shared" si="43"/>
        <v>13984.2</v>
      </c>
      <c r="AQ8" s="13">
        <f t="shared" si="43"/>
        <v>13385.2</v>
      </c>
      <c r="AR8" s="13">
        <f t="shared" si="43"/>
        <v>12134</v>
      </c>
      <c r="AS8" s="13">
        <f t="shared" si="43"/>
        <v>67842.2</v>
      </c>
      <c r="AT8" s="68">
        <f>AM8-AS8</f>
        <v>-7522.1999999999971</v>
      </c>
      <c r="AU8" s="268">
        <f t="shared" ref="AU8:AU71" si="67">IFERROR((AS8/AM8),0)</f>
        <v>1.1247049071618036</v>
      </c>
      <c r="AV8" s="13">
        <f t="shared" si="44"/>
        <v>48256</v>
      </c>
      <c r="AW8" s="13">
        <f t="shared" si="45"/>
        <v>11706.8</v>
      </c>
      <c r="AX8" s="13">
        <f t="shared" si="45"/>
        <v>12360.4</v>
      </c>
      <c r="AY8" s="13">
        <f t="shared" si="45"/>
        <v>13359</v>
      </c>
      <c r="AZ8" s="13">
        <f t="shared" si="45"/>
        <v>13607.6</v>
      </c>
      <c r="BA8" s="13">
        <f t="shared" si="45"/>
        <v>51033.799999999996</v>
      </c>
      <c r="BB8" s="68">
        <f t="shared" ref="BB8:BB71" si="68">AV8-BA8</f>
        <v>-2777.7999999999956</v>
      </c>
      <c r="BC8" s="268">
        <f t="shared" ref="BC8:BC71" si="69">IFERROR((BA8/AV8),0)</f>
        <v>1.0575638262599469</v>
      </c>
      <c r="BD8" s="13">
        <f t="shared" si="46"/>
        <v>48256</v>
      </c>
      <c r="BE8" s="13">
        <f>SUMIFS(SALIDAS_BIT,FECHA_BIT,"&gt;="&amp;BE$2,FECHA_BIT,"&lt;="&amp;BE$3,CLAVE_BIT,$A8)+SUMIFS(SALIDAS_BOV1,FECHA_BOV1,"&gt;="&amp;BE$2,FECHA_BOV1,"&lt;="&amp;BE$3,CLAVE_BOV1,$A8)+SUMIFS(SALIDAS_BOV2,FECHA_BOV2,"&gt;="&amp;BE$2,FECHA_BOV2,"&lt;="&amp;BE$3,CLAVE_BOV2,$A8)+SUMIFS(SALIDAS_BOV3,FECHA_BOV3,"&gt;="&amp;BE$2,FECHA_BOV3,"&lt;="&amp;BE$3,CLAVE_BOV3,$A8)+SUMIFS(SALIDAS_TC,FECHA_TC,"&gt;="&amp;BE$2,FECHA_TC,"&lt;="&amp;BE$3,CLAVE_TC,$A8)+SUMIFS(SALIDAS_COMB,FECHA_COMB,"&gt;="&amp;BE$2,FECHA_COMB,"&lt;="&amp;BE$3,CLAVE_COMB,$A8)+SUMIFS(SALIDAS_DES,FECHA_DESGLOSEN,"&gt;="&amp;BE$2,FECHA_DESGLOSEN,"&lt;="&amp;BE$3,CLAVE_DESGLOSE,$A8)</f>
        <v>13757.8</v>
      </c>
      <c r="BF8" s="13">
        <f>SUMIFS(SALIDAS_BIT,FECHA_BIT,"&gt;="&amp;BF$2,FECHA_BIT,"&lt;="&amp;BF$3,CLAVE_BIT,$A8)+SUMIFS(SALIDAS_BOV1,FECHA_BOV1,"&gt;="&amp;BF$2,FECHA_BOV1,"&lt;="&amp;BF$3,CLAVE_BOV1,$A8)+SUMIFS(SALIDAS_BOV2,FECHA_BOV2,"&gt;="&amp;BF$2,FECHA_BOV2,"&lt;="&amp;BF$3,CLAVE_BOV2,$A8)+SUMIFS(SALIDAS_BOV3,FECHA_BOV3,"&gt;="&amp;BF$2,FECHA_BOV3,"&lt;="&amp;BF$3,CLAVE_BOV3,$A8)+SUMIFS(SALIDAS_TC,FECHA_TC,"&gt;="&amp;BF$2,FECHA_TC,"&lt;="&amp;BF$3,CLAVE_TC,$A8)+SUMIFS(SALIDAS_COMB,FECHA_COMB,"&gt;="&amp;BF$2,FECHA_COMB,"&lt;="&amp;BF$3,CLAVE_COMB,$A8)+SUMIFS(SALIDAS_DES,FECHA_DESGLOSEN,"&gt;="&amp;BF$2,FECHA_DESGLOSEN,"&lt;="&amp;BF$3,CLAVE_DESGLOSE,$A8)</f>
        <v>13359.4</v>
      </c>
      <c r="BG8" s="13">
        <f>SUMIFS(SALIDAS_BIT,FECHA_BIT,"&gt;="&amp;BG$2,FECHA_BIT,"&lt;="&amp;BG$3,CLAVE_BIT,$A8)+SUMIFS(SALIDAS_BOV1,FECHA_BOV1,"&gt;="&amp;BG$2,FECHA_BOV1,"&lt;="&amp;BG$3,CLAVE_BOV1,$A8)+SUMIFS(SALIDAS_BOV2,FECHA_BOV2,"&gt;="&amp;BG$2,FECHA_BOV2,"&lt;="&amp;BG$3,CLAVE_BOV2,$A8)+SUMIFS(SALIDAS_BOV3,FECHA_BOV3,"&gt;="&amp;BG$2,FECHA_BOV3,"&lt;="&amp;BG$3,CLAVE_BOV3,$A8)+SUMIFS(SALIDAS_TC,FECHA_TC,"&gt;="&amp;BG$2,FECHA_TC,"&lt;="&amp;BG$3,CLAVE_TC,$A8)+SUMIFS(SALIDAS_COMB,FECHA_COMB,"&gt;="&amp;BG$2,FECHA_COMB,"&lt;="&amp;BG$3,CLAVE_COMB,$A8)+SUMIFS(SALIDAS_DES,FECHA_DESGLOSEN,"&gt;="&amp;BG$2,FECHA_DESGLOSEN,"&lt;="&amp;BG$3,CLAVE_DESGLOSE,$A8)</f>
        <v>12686.6</v>
      </c>
      <c r="BH8" s="13">
        <f>SUMIFS(SALIDAS_BIT,FECHA_BIT,"&gt;="&amp;BH$2,FECHA_BIT,"&lt;="&amp;BH$3,CLAVE_BIT,$A8)+SUMIFS(SALIDAS_BOV1,FECHA_BOV1,"&gt;="&amp;BH$2,FECHA_BOV1,"&lt;="&amp;BH$3,CLAVE_BOV1,$A8)+SUMIFS(SALIDAS_BOV2,FECHA_BOV2,"&gt;="&amp;BH$2,FECHA_BOV2,"&lt;="&amp;BH$3,CLAVE_BOV2,$A8)+SUMIFS(SALIDAS_BOV3,FECHA_BOV3,"&gt;="&amp;BH$2,FECHA_BOV3,"&lt;="&amp;BH$3,CLAVE_BOV3,$A8)+SUMIFS(SALIDAS_TC,FECHA_TC,"&gt;="&amp;BH$2,FECHA_TC,"&lt;="&amp;BH$3,CLAVE_TC,$A8)+SUMIFS(SALIDAS_COMB,FECHA_COMB,"&gt;="&amp;BH$2,FECHA_COMB,"&lt;="&amp;BH$3,CLAVE_COMB,$A8)+SUMIFS(SALIDAS_DES,FECHA_DESGLOSEN,"&gt;="&amp;BH$2,FECHA_DESGLOSEN,"&lt;="&amp;BH$3,CLAVE_DESGLOSE,$A8)</f>
        <v>11858.2</v>
      </c>
      <c r="BI8" s="13">
        <f>SUMIFS(SALIDAS_BIT,FECHA_BIT,"&gt;="&amp;BI$2,FECHA_BIT,"&lt;="&amp;BI$3,CLAVE_BIT,$A8)+SUMIFS(SALIDAS_BOV1,FECHA_BOV1,"&gt;="&amp;BI$2,FECHA_BOV1,"&lt;="&amp;BI$3,CLAVE_BOV1,$A8)+SUMIFS(SALIDAS_BOV2,FECHA_BOV2,"&gt;="&amp;BI$2,FECHA_BOV2,"&lt;="&amp;BI$3,CLAVE_BOV2,$A8)+SUMIFS(SALIDAS_BOV3,FECHA_BOV3,"&gt;="&amp;BI$2,FECHA_BOV3,"&lt;="&amp;BI$3,CLAVE_BOV3,$A8)+SUMIFS(SALIDAS_TC,FECHA_TC,"&gt;="&amp;BI$2,FECHA_TC,"&lt;="&amp;BI$3,CLAVE_TC,$A8)+SUMIFS(SALIDAS_COMB,FECHA_COMB,"&gt;="&amp;BI$2,FECHA_COMB,"&lt;="&amp;BI$3,CLAVE_COMB,$A8)+SUMIFS(SALIDAS_DES,FECHA_DESGLOSEN,"&gt;="&amp;BI$2,FECHA_DESGLOSEN,"&lt;="&amp;BI$3,CLAVE_DESGLOSE,$A8)</f>
        <v>51662</v>
      </c>
      <c r="BJ8" s="68">
        <f t="shared" ref="BJ8:BJ71" si="70">BD8-BI8</f>
        <v>-3406</v>
      </c>
      <c r="BK8" s="401">
        <f t="shared" ref="BK8:BK71" si="71">IFERROR((BI8/BD8),0)</f>
        <v>1.0705818965517242</v>
      </c>
      <c r="BL8" s="13">
        <f t="shared" si="47"/>
        <v>60320</v>
      </c>
      <c r="BM8" s="13">
        <f>SUMIFS(SALIDAS_BIT,FECHA_BIT,"&gt;="&amp;BM$2,FECHA_BIT,"&lt;="&amp;BM$3,CLAVE_BIT,$A8)+SUMIFS(SALIDAS_BOV1,FECHA_BOV1,"&gt;="&amp;BM$2,FECHA_BOV1,"&lt;="&amp;BM$3,CLAVE_BOV1,$A8)+SUMIFS(SALIDAS_BOV2,FECHA_BOV2,"&gt;="&amp;BM$2,FECHA_BOV2,"&lt;="&amp;BM$3,CLAVE_BOV2,$A8)+SUMIFS(SALIDAS_BOV3,FECHA_BOV3,"&gt;="&amp;BM$2,FECHA_BOV3,"&lt;="&amp;BM$3,CLAVE_BOV3,$A8)+SUMIFS(SALIDAS_TC,FECHA_TC,"&gt;="&amp;BM$2,FECHA_TC,"&lt;="&amp;BM$3,CLAVE_TC,$A8)+SUMIFS(SALIDAS_COMB,FECHA_COMB,"&gt;="&amp;BM$2,FECHA_COMB,"&lt;="&amp;BM$3,CLAVE_COMB,$A8)+SUMIFS(SALIDAS_DES,FECHA_DESGLOSEN,"&gt;="&amp;BM$2,FECHA_DESGLOSEN,"&lt;="&amp;BM$3,CLAVE_DESGLOSE,$A8)</f>
        <v>11857.4</v>
      </c>
      <c r="BN8" s="13">
        <f>SUMIFS(SALIDAS_BIT,FECHA_BIT,"&gt;="&amp;BN$2,FECHA_BIT,"&lt;="&amp;BN$3,CLAVE_BIT,$A8)+SUMIFS(SALIDAS_BOV1,FECHA_BOV1,"&gt;="&amp;BN$2,FECHA_BOV1,"&lt;="&amp;BN$3,CLAVE_BOV1,$A8)+SUMIFS(SALIDAS_BOV2,FECHA_BOV2,"&gt;="&amp;BN$2,FECHA_BOV2,"&lt;="&amp;BN$3,CLAVE_BOV2,$A8)+SUMIFS(SALIDAS_BOV3,FECHA_BOV3,"&gt;="&amp;BN$2,FECHA_BOV3,"&lt;="&amp;BN$3,CLAVE_BOV3,$A8)+SUMIFS(SALIDAS_TC,FECHA_TC,"&gt;="&amp;BN$2,FECHA_TC,"&lt;="&amp;BN$3,CLAVE_TC,$A8)+SUMIFS(SALIDAS_COMB,FECHA_COMB,"&gt;="&amp;BN$2,FECHA_COMB,"&lt;="&amp;BN$3,CLAVE_COMB,$A8)+SUMIFS(SALIDAS_DES,FECHA_DESGLOSEN,"&gt;="&amp;BN$2,FECHA_DESGLOSEN,"&lt;="&amp;BN$3,CLAVE_DESGLOSE,$A8)</f>
        <v>11857.4</v>
      </c>
      <c r="BO8" s="13">
        <f>SUMIFS(SALIDAS_BIT,FECHA_BIT,"&gt;="&amp;BO$2,FECHA_BIT,"&lt;="&amp;BO$3,CLAVE_BIT,$A8)+SUMIFS(SALIDAS_BOV1,FECHA_BOV1,"&gt;="&amp;BO$2,FECHA_BOV1,"&lt;="&amp;BO$3,CLAVE_BOV1,$A8)+SUMIFS(SALIDAS_BOV2,FECHA_BOV2,"&gt;="&amp;BO$2,FECHA_BOV2,"&lt;="&amp;BO$3,CLAVE_BOV2,$A8)+SUMIFS(SALIDAS_BOV3,FECHA_BOV3,"&gt;="&amp;BO$2,FECHA_BOV3,"&lt;="&amp;BO$3,CLAVE_BOV3,$A8)+SUMIFS(SALIDAS_TC,FECHA_TC,"&gt;="&amp;BO$2,FECHA_TC,"&lt;="&amp;BO$3,CLAVE_TC,$A8)+SUMIFS(SALIDAS_COMB,FECHA_COMB,"&gt;="&amp;BO$2,FECHA_COMB,"&lt;="&amp;BO$3,CLAVE_COMB,$A8)+SUMIFS(SALIDAS_DES,FECHA_DESGLOSEN,"&gt;="&amp;BO$2,FECHA_DESGLOSEN,"&lt;="&amp;BO$3,CLAVE_DESGLOSE,$A8)</f>
        <v>11626.2</v>
      </c>
      <c r="BP8" s="13">
        <f>SUMIFS(SALIDAS_BIT,FECHA_BIT,"&gt;="&amp;BP$2,FECHA_BIT,"&lt;="&amp;BP$3,CLAVE_BIT,$A8)+SUMIFS(SALIDAS_BOV1,FECHA_BOV1,"&gt;="&amp;BP$2,FECHA_BOV1,"&lt;="&amp;BP$3,CLAVE_BOV1,$A8)+SUMIFS(SALIDAS_BOV2,FECHA_BOV2,"&gt;="&amp;BP$2,FECHA_BOV2,"&lt;="&amp;BP$3,CLAVE_BOV2,$A8)+SUMIFS(SALIDAS_BOV3,FECHA_BOV3,"&gt;="&amp;BP$2,FECHA_BOV3,"&lt;="&amp;BP$3,CLAVE_BOV3,$A8)+SUMIFS(SALIDAS_TC,FECHA_TC,"&gt;="&amp;BP$2,FECHA_TC,"&lt;="&amp;BP$3,CLAVE_TC,$A8)+SUMIFS(SALIDAS_COMB,FECHA_COMB,"&gt;="&amp;BP$2,FECHA_COMB,"&lt;="&amp;BP$3,CLAVE_COMB,$A8)+SUMIFS(SALIDAS_DES,FECHA_DESGLOSEN,"&gt;="&amp;BP$2,FECHA_DESGLOSEN,"&lt;="&amp;BP$3,CLAVE_DESGLOSE,$A8)</f>
        <v>14981.4</v>
      </c>
      <c r="BQ8" s="13">
        <f>SUMIFS(SALIDAS_BIT,FECHA_BIT,"&gt;="&amp;BQ$2,FECHA_BIT,"&lt;="&amp;BQ$3,CLAVE_BIT,$A8)+SUMIFS(SALIDAS_BOV1,FECHA_BOV1,"&gt;="&amp;BQ$2,FECHA_BOV1,"&lt;="&amp;BQ$3,CLAVE_BOV1,$A8)+SUMIFS(SALIDAS_BOV2,FECHA_BOV2,"&gt;="&amp;BQ$2,FECHA_BOV2,"&lt;="&amp;BQ$3,CLAVE_BOV2,$A8)+SUMIFS(SALIDAS_BOV3,FECHA_BOV3,"&gt;="&amp;BQ$2,FECHA_BOV3,"&lt;="&amp;BQ$3,CLAVE_BOV3,$A8)+SUMIFS(SALIDAS_TC,FECHA_TC,"&gt;="&amp;BQ$2,FECHA_TC,"&lt;="&amp;BQ$3,CLAVE_TC,$A8)+SUMIFS(SALIDAS_COMB,FECHA_COMB,"&gt;="&amp;BQ$2,FECHA_COMB,"&lt;="&amp;BQ$3,CLAVE_COMB,$A8)+SUMIFS(SALIDAS_DES,FECHA_DESGLOSEN,"&gt;="&amp;BQ$2,FECHA_DESGLOSEN,"&lt;="&amp;BQ$3,CLAVE_DESGLOSE,$A8)</f>
        <v>11856.4</v>
      </c>
      <c r="BR8" s="13">
        <f>SUMIFS(SALIDAS_BIT,FECHA_BIT,"&gt;="&amp;BR$2,FECHA_BIT,"&lt;="&amp;BR$3,CLAVE_BIT,$A8)+SUMIFS(SALIDAS_BOV1,FECHA_BOV1,"&gt;="&amp;BR$2,FECHA_BOV1,"&lt;="&amp;BR$3,CLAVE_BOV1,$A8)+SUMIFS(SALIDAS_BOV2,FECHA_BOV2,"&gt;="&amp;BR$2,FECHA_BOV2,"&lt;="&amp;BR$3,CLAVE_BOV2,$A8)+SUMIFS(SALIDAS_BOV3,FECHA_BOV3,"&gt;="&amp;BR$2,FECHA_BOV3,"&lt;="&amp;BR$3,CLAVE_BOV3,$A8)+SUMIFS(SALIDAS_TC,FECHA_TC,"&gt;="&amp;BR$2,FECHA_TC,"&lt;="&amp;BR$3,CLAVE_TC,$A8)+SUMIFS(SALIDAS_COMB,FECHA_COMB,"&gt;="&amp;BR$2,FECHA_COMB,"&lt;="&amp;BR$3,CLAVE_COMB,$A8)+SUMIFS(SALIDAS_DES,FECHA_DESGLOSEN,"&gt;="&amp;BR$2,FECHA_DESGLOSEN,"&lt;="&amp;BR$3,CLAVE_DESGLOSE,$A8)</f>
        <v>62178.8</v>
      </c>
      <c r="BS8" s="68">
        <f t="shared" ref="BS8:BS71" si="72">BL8-BR8</f>
        <v>-1858.8000000000029</v>
      </c>
      <c r="BT8" s="268">
        <f t="shared" ref="BT8:BT71" si="73">IFERROR((BR8/BL8),0)</f>
        <v>1.030815649867374</v>
      </c>
      <c r="BU8" s="13">
        <f t="shared" si="49"/>
        <v>48256</v>
      </c>
      <c r="BV8" s="13">
        <f t="shared" si="50"/>
        <v>11000.8</v>
      </c>
      <c r="BW8" s="13">
        <f t="shared" si="50"/>
        <v>13545.8</v>
      </c>
      <c r="BX8" s="13">
        <f t="shared" si="50"/>
        <v>14458</v>
      </c>
      <c r="BY8" s="13">
        <f t="shared" si="50"/>
        <v>13764.33</v>
      </c>
      <c r="BZ8" s="13">
        <f t="shared" si="50"/>
        <v>52768.93</v>
      </c>
      <c r="CA8" s="68">
        <f t="shared" ref="CA8:CA71" si="74">BU8-BZ8</f>
        <v>-4512.93</v>
      </c>
      <c r="CB8" s="268">
        <f t="shared" ref="CB8:CB71" si="75">IFERROR((BZ8/BU8),0)</f>
        <v>1.0935205984748011</v>
      </c>
      <c r="CC8" s="13">
        <f t="shared" si="51"/>
        <v>48256</v>
      </c>
      <c r="CD8" s="13">
        <f t="shared" si="52"/>
        <v>16216.2</v>
      </c>
      <c r="CE8" s="13">
        <f t="shared" si="52"/>
        <v>14153.4</v>
      </c>
      <c r="CF8" s="13">
        <f t="shared" si="52"/>
        <v>18348.400000000001</v>
      </c>
      <c r="CG8" s="13">
        <f t="shared" si="52"/>
        <v>17592.2</v>
      </c>
      <c r="CH8" s="13">
        <f t="shared" si="52"/>
        <v>66310.2</v>
      </c>
      <c r="CI8" s="68">
        <f t="shared" ref="CI8:CI71" si="76">CC8-CH8</f>
        <v>-18054.199999999997</v>
      </c>
      <c r="CJ8" s="268">
        <f t="shared" ref="CJ8:CJ71" si="77">IFERROR((CH8/CC8),0)</f>
        <v>1.3741337864721486</v>
      </c>
      <c r="CK8" s="13">
        <f t="shared" si="53"/>
        <v>84102</v>
      </c>
      <c r="CL8" s="13">
        <f t="shared" si="54"/>
        <v>17477.8</v>
      </c>
      <c r="CM8" s="13">
        <f t="shared" si="54"/>
        <v>20778</v>
      </c>
      <c r="CN8" s="13">
        <f t="shared" si="54"/>
        <v>33702</v>
      </c>
      <c r="CO8" s="13">
        <f t="shared" si="54"/>
        <v>49287.4</v>
      </c>
      <c r="CP8" s="13">
        <f t="shared" si="54"/>
        <v>24384</v>
      </c>
      <c r="CQ8" s="13">
        <f t="shared" si="54"/>
        <v>145629.20000000001</v>
      </c>
      <c r="CR8" s="68">
        <f t="shared" ref="CR8:CR71" si="78">CK8-CQ8</f>
        <v>-61527.200000000012</v>
      </c>
      <c r="CS8" s="268">
        <f t="shared" ref="CS8:CS71" si="79">IFERROR((CQ8/CK8),0)</f>
        <v>1.7315783215619132</v>
      </c>
      <c r="CT8" s="68">
        <f t="shared" si="55"/>
        <v>59629</v>
      </c>
      <c r="CU8" s="13">
        <f>SUMIFS(SALIDAS_BIT,FECHA_BIT,"&gt;="&amp;CU$2,FECHA_BIT,"&lt;="&amp;CU$3,CLAVE_BIT,$A8)+SUMIFS(SALIDAS_BOV1,FECHA_BOV1,"&gt;="&amp;CU$2,FECHA_BOV1,"&lt;="&amp;CU$3,CLAVE_BOV1,$A8)+SUMIFS(SALIDAS_BOV2,FECHA_BOV2,"&gt;="&amp;CU$2,FECHA_BOV2,"&lt;="&amp;CU$3,CLAVE_BOV2,$A8)+SUMIFS(SALIDAS_BOV3,FECHA_BOV3,"&gt;="&amp;CU$2,FECHA_BOV3,"&lt;="&amp;CU$3,CLAVE_BOV3,$A8)+SUMIFS(SALIDAS_TC,FECHA_TC,"&gt;="&amp;CU$2,FECHA_TC,"&lt;="&amp;CU$3,CLAVE_TC,$A8)+SUMIFS(SALIDAS_COMB,FECHA_COMB,"&gt;="&amp;CU$2,FECHA_COMB,"&lt;="&amp;CU$3,CLAVE_COMB,$A8)+SUMIFS(SALIDAS_DES,FECHA_DESGLOSEN,"&gt;="&amp;CU$2,FECHA_DESGLOSEN,"&lt;="&amp;CU$3,CLAVE_DESGLOSE,$A8)</f>
        <v>16373.4</v>
      </c>
      <c r="CV8" s="13">
        <f>SUMIFS(SALIDAS_BIT,FECHA_BIT,"&gt;="&amp;CV$2,FECHA_BIT,"&lt;="&amp;CV$3,CLAVE_BIT,$A8)+SUMIFS(SALIDAS_BOV1,FECHA_BOV1,"&gt;="&amp;CV$2,FECHA_BOV1,"&lt;="&amp;CV$3,CLAVE_BOV1,$A8)+SUMIFS(SALIDAS_BOV2,FECHA_BOV2,"&gt;="&amp;CV$2,FECHA_BOV2,"&lt;="&amp;CV$3,CLAVE_BOV2,$A8)+SUMIFS(SALIDAS_BOV3,FECHA_BOV3,"&gt;="&amp;CV$2,FECHA_BOV3,"&lt;="&amp;CV$3,CLAVE_BOV3,$A8)+SUMIFS(SALIDAS_TC,FECHA_TC,"&gt;="&amp;CV$2,FECHA_TC,"&lt;="&amp;CV$3,CLAVE_TC,$A8)+SUMIFS(SALIDAS_COMB,FECHA_COMB,"&gt;="&amp;CV$2,FECHA_COMB,"&lt;="&amp;CV$3,CLAVE_COMB,$A8)+SUMIFS(SALIDAS_DES,FECHA_DESGLOSEN,"&gt;="&amp;CV$2,FECHA_DESGLOSEN,"&lt;="&amp;CV$3,CLAVE_DESGLOSE,$A8)</f>
        <v>15049.8</v>
      </c>
      <c r="CW8" s="13">
        <f>SUMIFS(SALIDAS_BIT,FECHA_BIT,"&gt;="&amp;CW$2,FECHA_BIT,"&lt;="&amp;CW$3,CLAVE_BIT,$A8)+SUMIFS(SALIDAS_BOV1,FECHA_BOV1,"&gt;="&amp;CW$2,FECHA_BOV1,"&lt;="&amp;CW$3,CLAVE_BOV1,$A8)+SUMIFS(SALIDAS_BOV2,FECHA_BOV2,"&gt;="&amp;CW$2,FECHA_BOV2,"&lt;="&amp;CW$3,CLAVE_BOV2,$A8)+SUMIFS(SALIDAS_BOV3,FECHA_BOV3,"&gt;="&amp;CW$2,FECHA_BOV3,"&lt;="&amp;CW$3,CLAVE_BOV3,$A8)+SUMIFS(SALIDAS_TC,FECHA_TC,"&gt;="&amp;CW$2,FECHA_TC,"&lt;="&amp;CW$3,CLAVE_TC,$A8)+SUMIFS(SALIDAS_COMB,FECHA_COMB,"&gt;="&amp;CW$2,FECHA_COMB,"&lt;="&amp;CW$3,CLAVE_COMB,$A8)+SUMIFS(SALIDAS_DES,FECHA_DESGLOSEN,"&gt;="&amp;CW$2,FECHA_DESGLOSEN,"&lt;="&amp;CW$3,CLAVE_DESGLOSE,$A8)</f>
        <v>15936</v>
      </c>
      <c r="CX8" s="13">
        <f>SUMIFS(SALIDAS_BIT,FECHA_BIT,"&gt;="&amp;CX$2,FECHA_BIT,"&lt;="&amp;CX$3,CLAVE_BIT,$A8)+SUMIFS(SALIDAS_BOV1,FECHA_BOV1,"&gt;="&amp;CX$2,FECHA_BOV1,"&lt;="&amp;CX$3,CLAVE_BOV1,$A8)+SUMIFS(SALIDAS_BOV2,FECHA_BOV2,"&gt;="&amp;CX$2,FECHA_BOV2,"&lt;="&amp;CX$3,CLAVE_BOV2,$A8)+SUMIFS(SALIDAS_BOV3,FECHA_BOV3,"&gt;="&amp;CX$2,FECHA_BOV3,"&lt;="&amp;CX$3,CLAVE_BOV3,$A8)+SUMIFS(SALIDAS_TC,FECHA_TC,"&gt;="&amp;CX$2,FECHA_TC,"&lt;="&amp;CX$3,CLAVE_TC,$A8)+SUMIFS(SALIDAS_COMB,FECHA_COMB,"&gt;="&amp;CX$2,FECHA_COMB,"&lt;="&amp;CX$3,CLAVE_COMB,$A8)+SUMIFS(SALIDAS_DES,FECHA_DESGLOSEN,"&gt;="&amp;CX$2,FECHA_DESGLOSEN,"&lt;="&amp;CX$3,CLAVE_DESGLOSE,$A8)</f>
        <v>14988</v>
      </c>
      <c r="CY8" s="13">
        <f>SUMIFS(SALIDAS_BIT,FECHA_BIT,"&gt;="&amp;CY$2,FECHA_BIT,"&lt;="&amp;CY$3,CLAVE_BIT,$A8)+SUMIFS(SALIDAS_BOV1,FECHA_BOV1,"&gt;="&amp;CY$2,FECHA_BOV1,"&lt;="&amp;CY$3,CLAVE_BOV1,$A8)+SUMIFS(SALIDAS_BOV2,FECHA_BOV2,"&gt;="&amp;CY$2,FECHA_BOV2,"&lt;="&amp;CY$3,CLAVE_BOV2,$A8)+SUMIFS(SALIDAS_BOV3,FECHA_BOV3,"&gt;="&amp;CY$2,FECHA_BOV3,"&lt;="&amp;CY$3,CLAVE_BOV3,$A8)+SUMIFS(SALIDAS_TC,FECHA_TC,"&gt;="&amp;CY$2,FECHA_TC,"&lt;="&amp;CY$3,CLAVE_TC,$A8)+SUMIFS(SALIDAS_COMB,FECHA_COMB,"&gt;="&amp;CY$2,FECHA_COMB,"&lt;="&amp;CY$3,CLAVE_COMB,$A8)+SUMIFS(SALIDAS_DES,FECHA_DESGLOSEN,"&gt;="&amp;CY$2,FECHA_DESGLOSEN,"&lt;="&amp;CY$3,CLAVE_DESGLOSE,$A8)</f>
        <v>62347.199999999997</v>
      </c>
      <c r="CZ8" s="68">
        <f t="shared" ref="CZ8:CZ71" si="80">CT8-CY8</f>
        <v>-2718.1999999999971</v>
      </c>
      <c r="DB8" s="17">
        <f>F8+N8+W8+AE8+AM8+AV8+BD8+BL8+BU8+CC8+CK8</f>
        <v>602854</v>
      </c>
      <c r="DC8" s="17">
        <f>K8+T8+AB8+AJ8+AS8+BA8+BI8+BR8+BZ8+CH8+CQ8</f>
        <v>739257.33000000007</v>
      </c>
    </row>
    <row r="9" spans="1:1023 1025:2047 2049:3071 3073:4095 4097:5119 5121:6143 6145:7167 7169:8191 8193:9215 9217:10239 10241:11263 11265:12287 12289:13311 13313:14335 14337:15359 15361:16357" hidden="1">
      <c r="A9" s="12" t="str">
        <f t="shared" si="57"/>
        <v>HRNOMINA SUCURSALA3</v>
      </c>
      <c r="B9" s="12">
        <v>3</v>
      </c>
      <c r="C9" t="s">
        <v>29</v>
      </c>
      <c r="D9" s="12" t="s">
        <v>154</v>
      </c>
      <c r="E9" s="12" t="s">
        <v>90</v>
      </c>
      <c r="F9" s="259">
        <f t="shared" si="58"/>
        <v>55526</v>
      </c>
      <c r="G9" s="13">
        <f t="shared" si="35"/>
        <v>10088.68</v>
      </c>
      <c r="H9" s="13">
        <f t="shared" si="35"/>
        <v>9887.68</v>
      </c>
      <c r="I9" s="13">
        <f t="shared" si="35"/>
        <v>9886.2000000000007</v>
      </c>
      <c r="J9" s="13">
        <f t="shared" si="35"/>
        <v>9566.2000000000007</v>
      </c>
      <c r="K9" s="13">
        <f t="shared" si="35"/>
        <v>39428.76</v>
      </c>
      <c r="L9" s="68">
        <f t="shared" si="59"/>
        <v>16097.239999999998</v>
      </c>
      <c r="M9" s="268">
        <f t="shared" si="60"/>
        <v>0.71009545077981495</v>
      </c>
      <c r="N9" s="13">
        <f t="shared" si="36"/>
        <v>55000</v>
      </c>
      <c r="O9" s="13">
        <f t="shared" si="37"/>
        <v>10453.6</v>
      </c>
      <c r="P9" s="13">
        <f t="shared" si="37"/>
        <v>9628</v>
      </c>
      <c r="Q9" s="13">
        <f t="shared" si="37"/>
        <v>11082.05</v>
      </c>
      <c r="R9" s="13">
        <f t="shared" si="37"/>
        <v>8549.6</v>
      </c>
      <c r="S9" s="13">
        <f t="shared" si="37"/>
        <v>11092.6</v>
      </c>
      <c r="T9" s="13">
        <f t="shared" si="37"/>
        <v>50805.85</v>
      </c>
      <c r="U9" s="68">
        <f t="shared" si="61"/>
        <v>4194.1500000000015</v>
      </c>
      <c r="V9" s="268">
        <f t="shared" si="62"/>
        <v>0.92374272727272722</v>
      </c>
      <c r="W9" s="13">
        <f t="shared" si="38"/>
        <v>44000</v>
      </c>
      <c r="X9" s="13">
        <f t="shared" si="39"/>
        <v>10419.65</v>
      </c>
      <c r="Y9" s="13">
        <f t="shared" si="39"/>
        <v>11366.8</v>
      </c>
      <c r="Z9" s="13">
        <f t="shared" si="39"/>
        <v>10441.450000000001</v>
      </c>
      <c r="AA9" s="13">
        <f t="shared" si="39"/>
        <v>10410.049999999999</v>
      </c>
      <c r="AB9" s="13">
        <f t="shared" si="39"/>
        <v>42637.95</v>
      </c>
      <c r="AC9" s="68">
        <f t="shared" si="63"/>
        <v>1362.0500000000029</v>
      </c>
      <c r="AD9" s="268">
        <f t="shared" si="64"/>
        <v>0.96904431818181813</v>
      </c>
      <c r="AE9" s="13">
        <f t="shared" si="40"/>
        <v>44000</v>
      </c>
      <c r="AF9" s="13">
        <f t="shared" si="41"/>
        <v>9160.7999999999993</v>
      </c>
      <c r="AG9" s="13">
        <f t="shared" si="41"/>
        <v>8467.4</v>
      </c>
      <c r="AH9" s="13">
        <f t="shared" si="41"/>
        <v>8040.6</v>
      </c>
      <c r="AI9" s="13">
        <f t="shared" si="41"/>
        <v>8081.6</v>
      </c>
      <c r="AJ9" s="13">
        <f t="shared" si="41"/>
        <v>33750.399999999994</v>
      </c>
      <c r="AK9" s="68">
        <f t="shared" si="65"/>
        <v>10249.600000000006</v>
      </c>
      <c r="AL9" s="268">
        <f t="shared" si="66"/>
        <v>0.76705454545454532</v>
      </c>
      <c r="AM9" s="13">
        <f t="shared" si="42"/>
        <v>55000</v>
      </c>
      <c r="AN9" s="13">
        <f t="shared" si="43"/>
        <v>8223.4</v>
      </c>
      <c r="AO9" s="13">
        <f t="shared" si="43"/>
        <v>6813.6</v>
      </c>
      <c r="AP9" s="13">
        <f t="shared" si="43"/>
        <v>9705.4</v>
      </c>
      <c r="AQ9" s="13">
        <f>SUMIFS(SALIDAS_BIT,FECHA_BIT,"&gt;="&amp;AQ$2,FECHA_BIT,"&lt;="&amp;AQ$3,CLAVE_BIT,$A9)+SUMIFS(SALIDAS_BOV1,FECHA_BOV1,"&gt;="&amp;AQ$2,FECHA_BOV1,"&lt;="&amp;AQ$3,CLAVE_BOV1,$A9)+SUMIFS(SALIDAS_BOV2,FECHA_BOV2,"&gt;="&amp;AQ$2,FECHA_BOV2,"&lt;="&amp;AQ$3,CLAVE_BOV2,$A9)+SUMIFS(SALIDAS_BOV3,FECHA_BOV3,"&gt;="&amp;AQ$2,FECHA_BOV3,"&lt;="&amp;AQ$3,CLAVE_BOV3,$A9)+SUMIFS(SALIDAS_TC,FECHA_TC,"&gt;="&amp;AQ$2,FECHA_TC,"&lt;="&amp;AQ$3,CLAVE_TC,$A9)+SUMIFS(SALIDAS_COMB,FECHA_COMB,"&gt;="&amp;AQ$2,FECHA_COMB,"&lt;="&amp;AQ$3,CLAVE_COMB,$A9)+SUMIFS(SALIDAS_DES,FECHA_DESGLOSEN,"&gt;="&amp;AQ$2,FECHA_DESGLOSEN,"&lt;="&amp;AQ$3,CLAVE_DESGLOSE,$A9)</f>
        <v>6032.2</v>
      </c>
      <c r="AR9" s="13">
        <f t="shared" si="43"/>
        <v>5554.4</v>
      </c>
      <c r="AS9" s="13">
        <f t="shared" si="43"/>
        <v>36329</v>
      </c>
      <c r="AT9" s="68">
        <f>AM9-AS9</f>
        <v>18671</v>
      </c>
      <c r="AU9" s="268">
        <f t="shared" si="67"/>
        <v>0.66052727272727274</v>
      </c>
      <c r="AV9" s="13">
        <f t="shared" si="44"/>
        <v>44000</v>
      </c>
      <c r="AW9" s="13">
        <f t="shared" si="45"/>
        <v>10928.6</v>
      </c>
      <c r="AX9" s="13">
        <f t="shared" si="45"/>
        <v>11628.6</v>
      </c>
      <c r="AY9" s="13">
        <f t="shared" si="45"/>
        <v>12152.4</v>
      </c>
      <c r="AZ9" s="13">
        <f t="shared" si="45"/>
        <v>11633.2</v>
      </c>
      <c r="BA9" s="13">
        <f t="shared" si="45"/>
        <v>46342.8</v>
      </c>
      <c r="BB9" s="68">
        <f t="shared" si="68"/>
        <v>-2342.8000000000029</v>
      </c>
      <c r="BC9" s="268">
        <f t="shared" si="69"/>
        <v>1.0532454545454546</v>
      </c>
      <c r="BD9" s="13">
        <f t="shared" si="46"/>
        <v>44000</v>
      </c>
      <c r="BE9" s="13">
        <f>SUMIFS(SALIDAS_BIT,FECHA_BIT,"&gt;="&amp;BE$2,FECHA_BIT,"&lt;="&amp;BE$3,CLAVE_BIT,$A9)+SUMIFS(SALIDAS_BOV1,FECHA_BOV1,"&gt;="&amp;BE$2,FECHA_BOV1,"&lt;="&amp;BE$3,CLAVE_BOV1,$A9)+SUMIFS(SALIDAS_BOV2,FECHA_BOV2,"&gt;="&amp;BE$2,FECHA_BOV2,"&lt;="&amp;BE$3,CLAVE_BOV2,$A9)+SUMIFS(SALIDAS_BOV3,FECHA_BOV3,"&gt;="&amp;BE$2,FECHA_BOV3,"&lt;="&amp;BE$3,CLAVE_BOV3,$A9)+SUMIFS(SALIDAS_TC,FECHA_TC,"&gt;="&amp;BE$2,FECHA_TC,"&lt;="&amp;BE$3,CLAVE_TC,$A9)+SUMIFS(SALIDAS_COMB,FECHA_COMB,"&gt;="&amp;BE$2,FECHA_COMB,"&lt;="&amp;BE$3,CLAVE_COMB,$A9)+SUMIFS(SALIDAS_DES,FECHA_DESGLOSEN,"&gt;="&amp;BE$2,FECHA_DESGLOSEN,"&lt;="&amp;BE$3,CLAVE_DESGLOSE,$A9)</f>
        <v>12631</v>
      </c>
      <c r="BF9" s="13">
        <f>SUMIFS(SALIDAS_BIT,FECHA_BIT,"&gt;="&amp;BF$2,FECHA_BIT,"&lt;="&amp;BF$3,CLAVE_BIT,$A9)+SUMIFS(SALIDAS_BOV1,FECHA_BOV1,"&gt;="&amp;BF$2,FECHA_BOV1,"&lt;="&amp;BF$3,CLAVE_BOV1,$A9)+SUMIFS(SALIDAS_BOV2,FECHA_BOV2,"&gt;="&amp;BF$2,FECHA_BOV2,"&lt;="&amp;BF$3,CLAVE_BOV2,$A9)+SUMIFS(SALIDAS_BOV3,FECHA_BOV3,"&gt;="&amp;BF$2,FECHA_BOV3,"&lt;="&amp;BF$3,CLAVE_BOV3,$A9)+SUMIFS(SALIDAS_TC,FECHA_TC,"&gt;="&amp;BF$2,FECHA_TC,"&lt;="&amp;BF$3,CLAVE_TC,$A9)+SUMIFS(SALIDAS_COMB,FECHA_COMB,"&gt;="&amp;BF$2,FECHA_COMB,"&lt;="&amp;BF$3,CLAVE_COMB,$A9)+SUMIFS(SALIDAS_DES,FECHA_DESGLOSEN,"&gt;="&amp;BF$2,FECHA_DESGLOSEN,"&lt;="&amp;BF$3,CLAVE_DESGLOSE,$A9)</f>
        <v>13431.4</v>
      </c>
      <c r="BG9" s="13">
        <f>SUMIFS(SALIDAS_BIT,FECHA_BIT,"&gt;="&amp;BG$2,FECHA_BIT,"&lt;="&amp;BG$3,CLAVE_BIT,$A9)+SUMIFS(SALIDAS_BOV1,FECHA_BOV1,"&gt;="&amp;BG$2,FECHA_BOV1,"&lt;="&amp;BG$3,CLAVE_BOV1,$A9)+SUMIFS(SALIDAS_BOV2,FECHA_BOV2,"&gt;="&amp;BG$2,FECHA_BOV2,"&lt;="&amp;BG$3,CLAVE_BOV2,$A9)+SUMIFS(SALIDAS_BOV3,FECHA_BOV3,"&gt;="&amp;BG$2,FECHA_BOV3,"&lt;="&amp;BG$3,CLAVE_BOV3,$A9)+SUMIFS(SALIDAS_TC,FECHA_TC,"&gt;="&amp;BG$2,FECHA_TC,"&lt;="&amp;BG$3,CLAVE_TC,$A9)+SUMIFS(SALIDAS_COMB,FECHA_COMB,"&gt;="&amp;BG$2,FECHA_COMB,"&lt;="&amp;BG$3,CLAVE_COMB,$A9)+SUMIFS(SALIDAS_DES,FECHA_DESGLOSEN,"&gt;="&amp;BG$2,FECHA_DESGLOSEN,"&lt;="&amp;BG$3,CLAVE_DESGLOSE,$A9)</f>
        <v>11161.4</v>
      </c>
      <c r="BH9" s="13">
        <f>SUMIFS(SALIDAS_BIT,FECHA_BIT,"&gt;="&amp;BH$2,FECHA_BIT,"&lt;="&amp;BH$3,CLAVE_BIT,$A9)+SUMIFS(SALIDAS_BOV1,FECHA_BOV1,"&gt;="&amp;BH$2,FECHA_BOV1,"&lt;="&amp;BH$3,CLAVE_BOV1,$A9)+SUMIFS(SALIDAS_BOV2,FECHA_BOV2,"&gt;="&amp;BH$2,FECHA_BOV2,"&lt;="&amp;BH$3,CLAVE_BOV2,$A9)+SUMIFS(SALIDAS_BOV3,FECHA_BOV3,"&gt;="&amp;BH$2,FECHA_BOV3,"&lt;="&amp;BH$3,CLAVE_BOV3,$A9)+SUMIFS(SALIDAS_TC,FECHA_TC,"&gt;="&amp;BH$2,FECHA_TC,"&lt;="&amp;BH$3,CLAVE_TC,$A9)+SUMIFS(SALIDAS_COMB,FECHA_COMB,"&gt;="&amp;BH$2,FECHA_COMB,"&lt;="&amp;BH$3,CLAVE_COMB,$A9)+SUMIFS(SALIDAS_DES,FECHA_DESGLOSEN,"&gt;="&amp;BH$2,FECHA_DESGLOSEN,"&lt;="&amp;BH$3,CLAVE_DESGLOSE,$A9)</f>
        <v>8175.8</v>
      </c>
      <c r="BI9" s="13">
        <f>SUMIFS(SALIDAS_BIT,FECHA_BIT,"&gt;="&amp;BI$2,FECHA_BIT,"&lt;="&amp;BI$3,CLAVE_BIT,$A9)+SUMIFS(SALIDAS_BOV1,FECHA_BOV1,"&gt;="&amp;BI$2,FECHA_BOV1,"&lt;="&amp;BI$3,CLAVE_BOV1,$A9)+SUMIFS(SALIDAS_BOV2,FECHA_BOV2,"&gt;="&amp;BI$2,FECHA_BOV2,"&lt;="&amp;BI$3,CLAVE_BOV2,$A9)+SUMIFS(SALIDAS_BOV3,FECHA_BOV3,"&gt;="&amp;BI$2,FECHA_BOV3,"&lt;="&amp;BI$3,CLAVE_BOV3,$A9)+SUMIFS(SALIDAS_TC,FECHA_TC,"&gt;="&amp;BI$2,FECHA_TC,"&lt;="&amp;BI$3,CLAVE_TC,$A9)+SUMIFS(SALIDAS_COMB,FECHA_COMB,"&gt;="&amp;BI$2,FECHA_COMB,"&lt;="&amp;BI$3,CLAVE_COMB,$A9)+SUMIFS(SALIDAS_DES,FECHA_DESGLOSEN,"&gt;="&amp;BI$2,FECHA_DESGLOSEN,"&lt;="&amp;BI$3,CLAVE_DESGLOSE,$A9)</f>
        <v>45399.600000000006</v>
      </c>
      <c r="BJ9" s="68">
        <f t="shared" si="70"/>
        <v>-1399.6000000000058</v>
      </c>
      <c r="BK9" s="401">
        <f t="shared" si="71"/>
        <v>1.0318090909090911</v>
      </c>
      <c r="BL9" s="13">
        <f t="shared" si="47"/>
        <v>55000</v>
      </c>
      <c r="BM9" s="13">
        <f>SUMIFS(SALIDAS_BIT,FECHA_BIT,"&gt;="&amp;BM$2,FECHA_BIT,"&lt;="&amp;BM$3,CLAVE_BIT,$A9)+SUMIFS(SALIDAS_BOV1,FECHA_BOV1,"&gt;="&amp;BM$2,FECHA_BOV1,"&lt;="&amp;BM$3,CLAVE_BOV1,$A9)+SUMIFS(SALIDAS_BOV2,FECHA_BOV2,"&gt;="&amp;BM$2,FECHA_BOV2,"&lt;="&amp;BM$3,CLAVE_BOV2,$A9)+SUMIFS(SALIDAS_BOV3,FECHA_BOV3,"&gt;="&amp;BM$2,FECHA_BOV3,"&lt;="&amp;BM$3,CLAVE_BOV3,$A9)+SUMIFS(SALIDAS_TC,FECHA_TC,"&gt;="&amp;BM$2,FECHA_TC,"&lt;="&amp;BM$3,CLAVE_TC,$A9)+SUMIFS(SALIDAS_COMB,FECHA_COMB,"&gt;="&amp;BM$2,FECHA_COMB,"&lt;="&amp;BM$3,CLAVE_COMB,$A9)+SUMIFS(SALIDAS_DES,FECHA_DESGLOSEN,"&gt;="&amp;BM$2,FECHA_DESGLOSEN,"&lt;="&amp;BM$3,CLAVE_DESGLOSE,$A9)</f>
        <v>6766.6</v>
      </c>
      <c r="BN9" s="13">
        <f>SUMIFS(SALIDAS_BIT,FECHA_BIT,"&gt;="&amp;BN$2,FECHA_BIT,"&lt;="&amp;BN$3,CLAVE_BIT,$A9)+SUMIFS(SALIDAS_BOV1,FECHA_BOV1,"&gt;="&amp;BN$2,FECHA_BOV1,"&lt;="&amp;BN$3,CLAVE_BOV1,$A9)+SUMIFS(SALIDAS_BOV2,FECHA_BOV2,"&gt;="&amp;BN$2,FECHA_BOV2,"&lt;="&amp;BN$3,CLAVE_BOV2,$A9)+SUMIFS(SALIDAS_BOV3,FECHA_BOV3,"&gt;="&amp;BN$2,FECHA_BOV3,"&lt;="&amp;BN$3,CLAVE_BOV3,$A9)+SUMIFS(SALIDAS_TC,FECHA_TC,"&gt;="&amp;BN$2,FECHA_TC,"&lt;="&amp;BN$3,CLAVE_TC,$A9)+SUMIFS(SALIDAS_COMB,FECHA_COMB,"&gt;="&amp;BN$2,FECHA_COMB,"&lt;="&amp;BN$3,CLAVE_COMB,$A9)+SUMIFS(SALIDAS_DES,FECHA_DESGLOSEN,"&gt;="&amp;BN$2,FECHA_DESGLOSEN,"&lt;="&amp;BN$3,CLAVE_DESGLOSE,$A9)</f>
        <v>6040</v>
      </c>
      <c r="BO9" s="13">
        <f>SUMIFS(SALIDAS_BIT,FECHA_BIT,"&gt;="&amp;BO$2,FECHA_BIT,"&lt;="&amp;BO$3,CLAVE_BIT,$A9)+SUMIFS(SALIDAS_BOV1,FECHA_BOV1,"&gt;="&amp;BO$2,FECHA_BOV1,"&lt;="&amp;BO$3,CLAVE_BOV1,$A9)+SUMIFS(SALIDAS_BOV2,FECHA_BOV2,"&gt;="&amp;BO$2,FECHA_BOV2,"&lt;="&amp;BO$3,CLAVE_BOV2,$A9)+SUMIFS(SALIDAS_BOV3,FECHA_BOV3,"&gt;="&amp;BO$2,FECHA_BOV3,"&lt;="&amp;BO$3,CLAVE_BOV3,$A9)+SUMIFS(SALIDAS_TC,FECHA_TC,"&gt;="&amp;BO$2,FECHA_TC,"&lt;="&amp;BO$3,CLAVE_TC,$A9)+SUMIFS(SALIDAS_COMB,FECHA_COMB,"&gt;="&amp;BO$2,FECHA_COMB,"&lt;="&amp;BO$3,CLAVE_COMB,$A9)+SUMIFS(SALIDAS_DES,FECHA_DESGLOSEN,"&gt;="&amp;BO$2,FECHA_DESGLOSEN,"&lt;="&amp;BO$3,CLAVE_DESGLOSE,$A9)</f>
        <v>8962.6</v>
      </c>
      <c r="BP9" s="13">
        <f>SUMIFS(SALIDAS_BIT,FECHA_BIT,"&gt;="&amp;BP$2,FECHA_BIT,"&lt;="&amp;BP$3,CLAVE_BIT,$A9)+SUMIFS(SALIDAS_BOV1,FECHA_BOV1,"&gt;="&amp;BP$2,FECHA_BOV1,"&lt;="&amp;BP$3,CLAVE_BOV1,$A9)+SUMIFS(SALIDAS_BOV2,FECHA_BOV2,"&gt;="&amp;BP$2,FECHA_BOV2,"&lt;="&amp;BP$3,CLAVE_BOV2,$A9)+SUMIFS(SALIDAS_BOV3,FECHA_BOV3,"&gt;="&amp;BP$2,FECHA_BOV3,"&lt;="&amp;BP$3,CLAVE_BOV3,$A9)+SUMIFS(SALIDAS_TC,FECHA_TC,"&gt;="&amp;BP$2,FECHA_TC,"&lt;="&amp;BP$3,CLAVE_TC,$A9)+SUMIFS(SALIDAS_COMB,FECHA_COMB,"&gt;="&amp;BP$2,FECHA_COMB,"&lt;="&amp;BP$3,CLAVE_COMB,$A9)+SUMIFS(SALIDAS_DES,FECHA_DESGLOSEN,"&gt;="&amp;BP$2,FECHA_DESGLOSEN,"&lt;="&amp;BP$3,CLAVE_DESGLOSE,$A9)</f>
        <v>10342.4</v>
      </c>
      <c r="BQ9" s="13">
        <f>SUMIFS(SALIDAS_BIT,FECHA_BIT,"&gt;="&amp;BQ$2,FECHA_BIT,"&lt;="&amp;BQ$3,CLAVE_BIT,$A9)+SUMIFS(SALIDAS_BOV1,FECHA_BOV1,"&gt;="&amp;BQ$2,FECHA_BOV1,"&lt;="&amp;BQ$3,CLAVE_BOV1,$A9)+SUMIFS(SALIDAS_BOV2,FECHA_BOV2,"&gt;="&amp;BQ$2,FECHA_BOV2,"&lt;="&amp;BQ$3,CLAVE_BOV2,$A9)+SUMIFS(SALIDAS_BOV3,FECHA_BOV3,"&gt;="&amp;BQ$2,FECHA_BOV3,"&lt;="&amp;BQ$3,CLAVE_BOV3,$A9)+SUMIFS(SALIDAS_TC,FECHA_TC,"&gt;="&amp;BQ$2,FECHA_TC,"&lt;="&amp;BQ$3,CLAVE_TC,$A9)+SUMIFS(SALIDAS_COMB,FECHA_COMB,"&gt;="&amp;BQ$2,FECHA_COMB,"&lt;="&amp;BQ$3,CLAVE_COMB,$A9)+SUMIFS(SALIDAS_DES,FECHA_DESGLOSEN,"&gt;="&amp;BQ$2,FECHA_DESGLOSEN,"&lt;="&amp;BQ$3,CLAVE_DESGLOSE,$A9)</f>
        <v>8656.2000000000007</v>
      </c>
      <c r="BR9" s="13">
        <f>SUMIFS(SALIDAS_BIT,FECHA_BIT,"&gt;="&amp;BR$2,FECHA_BIT,"&lt;="&amp;BR$3,CLAVE_BIT,$A9)+SUMIFS(SALIDAS_BOV1,FECHA_BOV1,"&gt;="&amp;BR$2,FECHA_BOV1,"&lt;="&amp;BR$3,CLAVE_BOV1,$A9)+SUMIFS(SALIDAS_BOV2,FECHA_BOV2,"&gt;="&amp;BR$2,FECHA_BOV2,"&lt;="&amp;BR$3,CLAVE_BOV2,$A9)+SUMIFS(SALIDAS_BOV3,FECHA_BOV3,"&gt;="&amp;BR$2,FECHA_BOV3,"&lt;="&amp;BR$3,CLAVE_BOV3,$A9)+SUMIFS(SALIDAS_TC,FECHA_TC,"&gt;="&amp;BR$2,FECHA_TC,"&lt;="&amp;BR$3,CLAVE_TC,$A9)+SUMIFS(SALIDAS_COMB,FECHA_COMB,"&gt;="&amp;BR$2,FECHA_COMB,"&lt;="&amp;BR$3,CLAVE_COMB,$A9)+SUMIFS(SALIDAS_DES,FECHA_DESGLOSEN,"&gt;="&amp;BR$2,FECHA_DESGLOSEN,"&lt;="&amp;BR$3,CLAVE_DESGLOSE,$A9)</f>
        <v>40767.800000000003</v>
      </c>
      <c r="BS9" s="68">
        <f t="shared" si="72"/>
        <v>14232.199999999997</v>
      </c>
      <c r="BT9" s="268">
        <f t="shared" si="73"/>
        <v>0.74123272727272738</v>
      </c>
      <c r="BU9" s="13">
        <f t="shared" si="49"/>
        <v>44000</v>
      </c>
      <c r="BV9" s="13">
        <f t="shared" si="50"/>
        <v>9690</v>
      </c>
      <c r="BW9" s="13">
        <f t="shared" si="50"/>
        <v>11222.4</v>
      </c>
      <c r="BX9" s="13">
        <f t="shared" si="50"/>
        <v>9573.7999999999993</v>
      </c>
      <c r="BY9" s="13">
        <f t="shared" si="50"/>
        <v>8062.6</v>
      </c>
      <c r="BZ9" s="13">
        <f t="shared" si="50"/>
        <v>38548.800000000003</v>
      </c>
      <c r="CA9" s="68">
        <f t="shared" si="74"/>
        <v>5451.1999999999971</v>
      </c>
      <c r="CB9" s="268">
        <f t="shared" si="75"/>
        <v>0.87610909090909095</v>
      </c>
      <c r="CC9" s="13">
        <f t="shared" si="51"/>
        <v>44000</v>
      </c>
      <c r="CD9" s="13">
        <f t="shared" si="52"/>
        <v>9951</v>
      </c>
      <c r="CE9" s="13">
        <f t="shared" si="52"/>
        <v>7219.4</v>
      </c>
      <c r="CF9" s="13">
        <f t="shared" si="52"/>
        <v>8311.2000000000007</v>
      </c>
      <c r="CG9" s="13">
        <f t="shared" si="52"/>
        <v>7767.4</v>
      </c>
      <c r="CH9" s="13">
        <f t="shared" si="52"/>
        <v>33249</v>
      </c>
      <c r="CI9" s="68">
        <f t="shared" si="76"/>
        <v>10751</v>
      </c>
      <c r="CJ9" s="268">
        <f t="shared" si="77"/>
        <v>0.75565909090909089</v>
      </c>
      <c r="CK9" s="13">
        <f t="shared" si="53"/>
        <v>65720</v>
      </c>
      <c r="CL9" s="13">
        <f t="shared" si="54"/>
        <v>10496.6</v>
      </c>
      <c r="CM9" s="13">
        <f t="shared" si="54"/>
        <v>16615.8</v>
      </c>
      <c r="CN9" s="13">
        <f t="shared" si="54"/>
        <v>24820.2</v>
      </c>
      <c r="CO9" s="13">
        <f t="shared" si="54"/>
        <v>34339</v>
      </c>
      <c r="CP9" s="13">
        <f t="shared" si="54"/>
        <v>15630.6</v>
      </c>
      <c r="CQ9" s="13">
        <f t="shared" si="54"/>
        <v>101902.20000000001</v>
      </c>
      <c r="CR9" s="68">
        <f t="shared" si="78"/>
        <v>-36182.200000000012</v>
      </c>
      <c r="CS9" s="268">
        <f t="shared" si="79"/>
        <v>1.5505508216676813</v>
      </c>
      <c r="CT9" s="68">
        <f t="shared" si="55"/>
        <v>43560</v>
      </c>
      <c r="CU9" s="13">
        <f>SUMIFS(SALIDAS_BIT,FECHA_BIT,"&gt;="&amp;CU$2,FECHA_BIT,"&lt;="&amp;CU$3,CLAVE_BIT,$A9)+SUMIFS(SALIDAS_BOV1,FECHA_BOV1,"&gt;="&amp;CU$2,FECHA_BOV1,"&lt;="&amp;CU$3,CLAVE_BOV1,$A9)+SUMIFS(SALIDAS_BOV2,FECHA_BOV2,"&gt;="&amp;CU$2,FECHA_BOV2,"&lt;="&amp;CU$3,CLAVE_BOV2,$A9)+SUMIFS(SALIDAS_BOV3,FECHA_BOV3,"&gt;="&amp;CU$2,FECHA_BOV3,"&lt;="&amp;CU$3,CLAVE_BOV3,$A9)+SUMIFS(SALIDAS_TC,FECHA_TC,"&gt;="&amp;CU$2,FECHA_TC,"&lt;="&amp;CU$3,CLAVE_TC,$A9)+SUMIFS(SALIDAS_COMB,FECHA_COMB,"&gt;="&amp;CU$2,FECHA_COMB,"&lt;="&amp;CU$3,CLAVE_COMB,$A9)+SUMIFS(SALIDAS_DES,FECHA_DESGLOSEN,"&gt;="&amp;CU$2,FECHA_DESGLOSEN,"&lt;="&amp;CU$3,CLAVE_DESGLOSE,$A9)</f>
        <v>12605.4</v>
      </c>
      <c r="CV9" s="13">
        <f>SUMIFS(SALIDAS_BIT,FECHA_BIT,"&gt;="&amp;CV$2,FECHA_BIT,"&lt;="&amp;CV$3,CLAVE_BIT,$A9)+SUMIFS(SALIDAS_BOV1,FECHA_BOV1,"&gt;="&amp;CV$2,FECHA_BOV1,"&lt;="&amp;CV$3,CLAVE_BOV1,$A9)+SUMIFS(SALIDAS_BOV2,FECHA_BOV2,"&gt;="&amp;CV$2,FECHA_BOV2,"&lt;="&amp;CV$3,CLAVE_BOV2,$A9)+SUMIFS(SALIDAS_BOV3,FECHA_BOV3,"&gt;="&amp;CV$2,FECHA_BOV3,"&lt;="&amp;CV$3,CLAVE_BOV3,$A9)+SUMIFS(SALIDAS_TC,FECHA_TC,"&gt;="&amp;CV$2,FECHA_TC,"&lt;="&amp;CV$3,CLAVE_TC,$A9)+SUMIFS(SALIDAS_COMB,FECHA_COMB,"&gt;="&amp;CV$2,FECHA_COMB,"&lt;="&amp;CV$3,CLAVE_COMB,$A9)+SUMIFS(SALIDAS_DES,FECHA_DESGLOSEN,"&gt;="&amp;CV$2,FECHA_DESGLOSEN,"&lt;="&amp;CV$3,CLAVE_DESGLOSE,$A9)</f>
        <v>11653.4</v>
      </c>
      <c r="CW9" s="13">
        <f>SUMIFS(SALIDAS_BIT,FECHA_BIT,"&gt;="&amp;CW$2,FECHA_BIT,"&lt;="&amp;CW$3,CLAVE_BIT,$A9)+SUMIFS(SALIDAS_BOV1,FECHA_BOV1,"&gt;="&amp;CW$2,FECHA_BOV1,"&lt;="&amp;CW$3,CLAVE_BOV1,$A9)+SUMIFS(SALIDAS_BOV2,FECHA_BOV2,"&gt;="&amp;CW$2,FECHA_BOV2,"&lt;="&amp;CW$3,CLAVE_BOV2,$A9)+SUMIFS(SALIDAS_BOV3,FECHA_BOV3,"&gt;="&amp;CW$2,FECHA_BOV3,"&lt;="&amp;CW$3,CLAVE_BOV3,$A9)+SUMIFS(SALIDAS_TC,FECHA_TC,"&gt;="&amp;CW$2,FECHA_TC,"&lt;="&amp;CW$3,CLAVE_TC,$A9)+SUMIFS(SALIDAS_COMB,FECHA_COMB,"&gt;="&amp;CW$2,FECHA_COMB,"&lt;="&amp;CW$3,CLAVE_COMB,$A9)+SUMIFS(SALIDAS_DES,FECHA_DESGLOSEN,"&gt;="&amp;CW$2,FECHA_DESGLOSEN,"&lt;="&amp;CW$3,CLAVE_DESGLOSE,$A9)</f>
        <v>10710</v>
      </c>
      <c r="CX9" s="13">
        <f>SUMIFS(SALIDAS_BIT,FECHA_BIT,"&gt;="&amp;CX$2,FECHA_BIT,"&lt;="&amp;CX$3,CLAVE_BIT,$A9)+SUMIFS(SALIDAS_BOV1,FECHA_BOV1,"&gt;="&amp;CX$2,FECHA_BOV1,"&lt;="&amp;CX$3,CLAVE_BOV1,$A9)+SUMIFS(SALIDAS_BOV2,FECHA_BOV2,"&gt;="&amp;CX$2,FECHA_BOV2,"&lt;="&amp;CX$3,CLAVE_BOV2,$A9)+SUMIFS(SALIDAS_BOV3,FECHA_BOV3,"&gt;="&amp;CX$2,FECHA_BOV3,"&lt;="&amp;CX$3,CLAVE_BOV3,$A9)+SUMIFS(SALIDAS_TC,FECHA_TC,"&gt;="&amp;CX$2,FECHA_TC,"&lt;="&amp;CX$3,CLAVE_TC,$A9)+SUMIFS(SALIDAS_COMB,FECHA_COMB,"&gt;="&amp;CX$2,FECHA_COMB,"&lt;="&amp;CX$3,CLAVE_COMB,$A9)+SUMIFS(SALIDAS_DES,FECHA_DESGLOSEN,"&gt;="&amp;CX$2,FECHA_DESGLOSEN,"&lt;="&amp;CX$3,CLAVE_DESGLOSE,$A9)</f>
        <v>12245</v>
      </c>
      <c r="CY9" s="13">
        <f>SUMIFS(SALIDAS_BIT,FECHA_BIT,"&gt;="&amp;CY$2,FECHA_BIT,"&lt;="&amp;CY$3,CLAVE_BIT,$A9)+SUMIFS(SALIDAS_BOV1,FECHA_BOV1,"&gt;="&amp;CY$2,FECHA_BOV1,"&lt;="&amp;CY$3,CLAVE_BOV1,$A9)+SUMIFS(SALIDAS_BOV2,FECHA_BOV2,"&gt;="&amp;CY$2,FECHA_BOV2,"&lt;="&amp;CY$3,CLAVE_BOV2,$A9)+SUMIFS(SALIDAS_BOV3,FECHA_BOV3,"&gt;="&amp;CY$2,FECHA_BOV3,"&lt;="&amp;CY$3,CLAVE_BOV3,$A9)+SUMIFS(SALIDAS_TC,FECHA_TC,"&gt;="&amp;CY$2,FECHA_TC,"&lt;="&amp;CY$3,CLAVE_TC,$A9)+SUMIFS(SALIDAS_COMB,FECHA_COMB,"&gt;="&amp;CY$2,FECHA_COMB,"&lt;="&amp;CY$3,CLAVE_COMB,$A9)+SUMIFS(SALIDAS_DES,FECHA_DESGLOSEN,"&gt;="&amp;CY$2,FECHA_DESGLOSEN,"&lt;="&amp;CY$3,CLAVE_DESGLOSE,$A9)</f>
        <v>47213.8</v>
      </c>
      <c r="CZ9" s="68">
        <f t="shared" si="80"/>
        <v>-3653.8000000000029</v>
      </c>
      <c r="DB9" s="17">
        <f>F9+N9+W9+AE9+AM9+AV9+BD9+BL9+BU9+CC9+CK9</f>
        <v>550246</v>
      </c>
      <c r="DC9" s="17">
        <f>K9+T9+AB9+AJ9+AS9+BA9+BI9+BR9+BZ9+CH9+CQ9</f>
        <v>509162.16</v>
      </c>
    </row>
    <row r="10" spans="1:1023 1025:2047 2049:3071 3073:4095 4097:5119 5121:6143 6145:7167 7169:8191 8193:9215 9217:10239 10241:11263 11265:12287 12289:13311 13313:14335 14337:15359 15361:16357" hidden="1">
      <c r="A10" s="12" t="str">
        <f t="shared" si="57"/>
        <v>HRNOMINA SUCURSALA4</v>
      </c>
      <c r="B10" s="12">
        <v>4</v>
      </c>
      <c r="C10" t="s">
        <v>29</v>
      </c>
      <c r="D10" s="12" t="s">
        <v>154</v>
      </c>
      <c r="E10" s="12" t="s">
        <v>91</v>
      </c>
      <c r="F10" s="259">
        <f t="shared" si="58"/>
        <v>38834</v>
      </c>
      <c r="G10" s="13">
        <f t="shared" si="35"/>
        <v>10861.8</v>
      </c>
      <c r="H10" s="13">
        <f t="shared" si="35"/>
        <v>9428.7999999999993</v>
      </c>
      <c r="I10" s="13">
        <f t="shared" si="35"/>
        <v>9428.7999999999993</v>
      </c>
      <c r="J10" s="13">
        <f t="shared" si="35"/>
        <v>9428.7999999999993</v>
      </c>
      <c r="K10" s="13">
        <f t="shared" si="35"/>
        <v>39148.199999999997</v>
      </c>
      <c r="L10" s="68">
        <f t="shared" si="59"/>
        <v>-314.19999999999709</v>
      </c>
      <c r="M10" s="268">
        <f t="shared" si="60"/>
        <v>1.0080908482257815</v>
      </c>
      <c r="N10" s="13">
        <f t="shared" si="36"/>
        <v>48542.5</v>
      </c>
      <c r="O10" s="13">
        <f t="shared" si="37"/>
        <v>9428.7999999999993</v>
      </c>
      <c r="P10" s="13">
        <f t="shared" si="37"/>
        <v>9428.7999999999993</v>
      </c>
      <c r="Q10" s="13">
        <f t="shared" si="37"/>
        <v>11324</v>
      </c>
      <c r="R10" s="13">
        <f t="shared" si="37"/>
        <v>9428.7999999999993</v>
      </c>
      <c r="S10" s="13">
        <f t="shared" si="37"/>
        <v>9428.7999999999993</v>
      </c>
      <c r="T10" s="13">
        <f t="shared" si="37"/>
        <v>49039.199999999997</v>
      </c>
      <c r="U10" s="68">
        <f t="shared" si="61"/>
        <v>-496.69999999999709</v>
      </c>
      <c r="V10" s="268">
        <f t="shared" si="62"/>
        <v>1.0102322706906319</v>
      </c>
      <c r="W10" s="13">
        <f t="shared" si="38"/>
        <v>38834</v>
      </c>
      <c r="X10" s="13">
        <f t="shared" si="39"/>
        <v>9429</v>
      </c>
      <c r="Y10" s="13">
        <f t="shared" si="39"/>
        <v>9428.7999999999993</v>
      </c>
      <c r="Z10" s="13">
        <f t="shared" si="39"/>
        <v>9428.7999999999993</v>
      </c>
      <c r="AA10" s="13">
        <f t="shared" si="39"/>
        <v>9428.7999999999993</v>
      </c>
      <c r="AB10" s="13">
        <f t="shared" si="39"/>
        <v>37715.399999999994</v>
      </c>
      <c r="AC10" s="68">
        <f t="shared" si="63"/>
        <v>1118.6000000000058</v>
      </c>
      <c r="AD10" s="268">
        <f t="shared" si="64"/>
        <v>0.9711953442859349</v>
      </c>
      <c r="AE10" s="13">
        <f t="shared" si="40"/>
        <v>38834</v>
      </c>
      <c r="AF10" s="13">
        <f t="shared" si="41"/>
        <v>12150.8</v>
      </c>
      <c r="AG10" s="13">
        <f t="shared" si="41"/>
        <v>9428.7999999999993</v>
      </c>
      <c r="AH10" s="13">
        <f t="shared" si="41"/>
        <v>9429</v>
      </c>
      <c r="AI10" s="13">
        <f t="shared" si="41"/>
        <v>9429.7999999999993</v>
      </c>
      <c r="AJ10" s="13">
        <f t="shared" si="41"/>
        <v>40438.399999999994</v>
      </c>
      <c r="AK10" s="68">
        <f t="shared" si="65"/>
        <v>-1604.3999999999942</v>
      </c>
      <c r="AL10" s="268">
        <f t="shared" si="66"/>
        <v>1.0413143122006487</v>
      </c>
      <c r="AM10" s="13">
        <f t="shared" si="42"/>
        <v>48542.5</v>
      </c>
      <c r="AN10" s="13">
        <f t="shared" si="43"/>
        <v>9429</v>
      </c>
      <c r="AO10" s="13">
        <f t="shared" si="43"/>
        <v>9428.7999999999993</v>
      </c>
      <c r="AP10" s="13">
        <f t="shared" si="43"/>
        <v>10846.8</v>
      </c>
      <c r="AQ10" s="13">
        <f t="shared" si="43"/>
        <v>9506.4</v>
      </c>
      <c r="AR10" s="13">
        <f t="shared" si="43"/>
        <v>9556.2000000000007</v>
      </c>
      <c r="AS10" s="13">
        <f t="shared" si="43"/>
        <v>48767.199999999997</v>
      </c>
      <c r="AT10" s="68">
        <f>AM10-AS10</f>
        <v>-224.69999999999709</v>
      </c>
      <c r="AU10" s="268">
        <f t="shared" si="67"/>
        <v>1.0046289334088685</v>
      </c>
      <c r="AV10" s="13">
        <f t="shared" si="44"/>
        <v>38834</v>
      </c>
      <c r="AW10" s="13">
        <f t="shared" si="45"/>
        <v>9355.4</v>
      </c>
      <c r="AX10" s="13">
        <f t="shared" si="45"/>
        <v>13427.8</v>
      </c>
      <c r="AY10" s="13">
        <f t="shared" si="45"/>
        <v>12085.4</v>
      </c>
      <c r="AZ10" s="13">
        <f t="shared" si="45"/>
        <v>11983</v>
      </c>
      <c r="BA10" s="13">
        <f t="shared" si="45"/>
        <v>46851.6</v>
      </c>
      <c r="BB10" s="68">
        <f t="shared" si="68"/>
        <v>-8017.5999999999985</v>
      </c>
      <c r="BC10" s="268">
        <f t="shared" si="69"/>
        <v>1.2064582582273264</v>
      </c>
      <c r="BD10" s="13">
        <f t="shared" si="46"/>
        <v>38834</v>
      </c>
      <c r="BE10" s="13">
        <f>SUMIFS(SALIDAS_BIT,FECHA_BIT,"&gt;="&amp;BE$2,FECHA_BIT,"&lt;="&amp;BE$3,CLAVE_BIT,$A10)+SUMIFS(SALIDAS_BOV1,FECHA_BOV1,"&gt;="&amp;BE$2,FECHA_BOV1,"&lt;="&amp;BE$3,CLAVE_BOV1,$A10)+SUMIFS(SALIDAS_BOV2,FECHA_BOV2,"&gt;="&amp;BE$2,FECHA_BOV2,"&lt;="&amp;BE$3,CLAVE_BOV2,$A10)+SUMIFS(SALIDAS_BOV3,FECHA_BOV3,"&gt;="&amp;BE$2,FECHA_BOV3,"&lt;="&amp;BE$3,CLAVE_BOV3,$A10)+SUMIFS(SALIDAS_TC,FECHA_TC,"&gt;="&amp;BE$2,FECHA_TC,"&lt;="&amp;BE$3,CLAVE_TC,$A10)+SUMIFS(SALIDAS_COMB,FECHA_COMB,"&gt;="&amp;BE$2,FECHA_COMB,"&lt;="&amp;BE$3,CLAVE_COMB,$A10)+SUMIFS(SALIDAS_DES,FECHA_DESGLOSEN,"&gt;="&amp;BE$2,FECHA_DESGLOSEN,"&lt;="&amp;BE$3,CLAVE_DESGLOSE,$A10)</f>
        <v>9529.6</v>
      </c>
      <c r="BF10" s="13">
        <f>SUMIFS(SALIDAS_BIT,FECHA_BIT,"&gt;="&amp;BF$2,FECHA_BIT,"&lt;="&amp;BF$3,CLAVE_BIT,$A10)+SUMIFS(SALIDAS_BOV1,FECHA_BOV1,"&gt;="&amp;BF$2,FECHA_BOV1,"&lt;="&amp;BF$3,CLAVE_BOV1,$A10)+SUMIFS(SALIDAS_BOV2,FECHA_BOV2,"&gt;="&amp;BF$2,FECHA_BOV2,"&lt;="&amp;BF$3,CLAVE_BOV2,$A10)+SUMIFS(SALIDAS_BOV3,FECHA_BOV3,"&gt;="&amp;BF$2,FECHA_BOV3,"&lt;="&amp;BF$3,CLAVE_BOV3,$A10)+SUMIFS(SALIDAS_TC,FECHA_TC,"&gt;="&amp;BF$2,FECHA_TC,"&lt;="&amp;BF$3,CLAVE_TC,$A10)+SUMIFS(SALIDAS_COMB,FECHA_COMB,"&gt;="&amp;BF$2,FECHA_COMB,"&lt;="&amp;BF$3,CLAVE_COMB,$A10)+SUMIFS(SALIDAS_DES,FECHA_DESGLOSEN,"&gt;="&amp;BF$2,FECHA_DESGLOSEN,"&lt;="&amp;BF$3,CLAVE_DESGLOSE,$A10)</f>
        <v>9730.4</v>
      </c>
      <c r="BG10" s="13">
        <f>SUMIFS(SALIDAS_BIT,FECHA_BIT,"&gt;="&amp;BG$2,FECHA_BIT,"&lt;="&amp;BG$3,CLAVE_BIT,$A10)+SUMIFS(SALIDAS_BOV1,FECHA_BOV1,"&gt;="&amp;BG$2,FECHA_BOV1,"&lt;="&amp;BG$3,CLAVE_BOV1,$A10)+SUMIFS(SALIDAS_BOV2,FECHA_BOV2,"&gt;="&amp;BG$2,FECHA_BOV2,"&lt;="&amp;BG$3,CLAVE_BOV2,$A10)+SUMIFS(SALIDAS_BOV3,FECHA_BOV3,"&gt;="&amp;BG$2,FECHA_BOV3,"&lt;="&amp;BG$3,CLAVE_BOV3,$A10)+SUMIFS(SALIDAS_TC,FECHA_TC,"&gt;="&amp;BG$2,FECHA_TC,"&lt;="&amp;BG$3,CLAVE_TC,$A10)+SUMIFS(SALIDAS_COMB,FECHA_COMB,"&gt;="&amp;BG$2,FECHA_COMB,"&lt;="&amp;BG$3,CLAVE_COMB,$A10)+SUMIFS(SALIDAS_DES,FECHA_DESGLOSEN,"&gt;="&amp;BG$2,FECHA_DESGLOSEN,"&lt;="&amp;BG$3,CLAVE_DESGLOSE,$A10)</f>
        <v>8635</v>
      </c>
      <c r="BH10" s="13">
        <f>SUMIFS(SALIDAS_BIT,FECHA_BIT,"&gt;="&amp;BH$2,FECHA_BIT,"&lt;="&amp;BH$3,CLAVE_BIT,$A10)+SUMIFS(SALIDAS_BOV1,FECHA_BOV1,"&gt;="&amp;BH$2,FECHA_BOV1,"&lt;="&amp;BH$3,CLAVE_BOV1,$A10)+SUMIFS(SALIDAS_BOV2,FECHA_BOV2,"&gt;="&amp;BH$2,FECHA_BOV2,"&lt;="&amp;BH$3,CLAVE_BOV2,$A10)+SUMIFS(SALIDAS_BOV3,FECHA_BOV3,"&gt;="&amp;BH$2,FECHA_BOV3,"&lt;="&amp;BH$3,CLAVE_BOV3,$A10)+SUMIFS(SALIDAS_TC,FECHA_TC,"&gt;="&amp;BH$2,FECHA_TC,"&lt;="&amp;BH$3,CLAVE_TC,$A10)+SUMIFS(SALIDAS_COMB,FECHA_COMB,"&gt;="&amp;BH$2,FECHA_COMB,"&lt;="&amp;BH$3,CLAVE_COMB,$A10)+SUMIFS(SALIDAS_DES,FECHA_DESGLOSEN,"&gt;="&amp;BH$2,FECHA_DESGLOSEN,"&lt;="&amp;BH$3,CLAVE_DESGLOSE,$A10)</f>
        <v>9729.7999999999993</v>
      </c>
      <c r="BI10" s="13">
        <f>SUMIFS(SALIDAS_BIT,FECHA_BIT,"&gt;="&amp;BI$2,FECHA_BIT,"&lt;="&amp;BI$3,CLAVE_BIT,$A10)+SUMIFS(SALIDAS_BOV1,FECHA_BOV1,"&gt;="&amp;BI$2,FECHA_BOV1,"&lt;="&amp;BI$3,CLAVE_BOV1,$A10)+SUMIFS(SALIDAS_BOV2,FECHA_BOV2,"&gt;="&amp;BI$2,FECHA_BOV2,"&lt;="&amp;BI$3,CLAVE_BOV2,$A10)+SUMIFS(SALIDAS_BOV3,FECHA_BOV3,"&gt;="&amp;BI$2,FECHA_BOV3,"&lt;="&amp;BI$3,CLAVE_BOV3,$A10)+SUMIFS(SALIDAS_TC,FECHA_TC,"&gt;="&amp;BI$2,FECHA_TC,"&lt;="&amp;BI$3,CLAVE_TC,$A10)+SUMIFS(SALIDAS_COMB,FECHA_COMB,"&gt;="&amp;BI$2,FECHA_COMB,"&lt;="&amp;BI$3,CLAVE_COMB,$A10)+SUMIFS(SALIDAS_DES,FECHA_DESGLOSEN,"&gt;="&amp;BI$2,FECHA_DESGLOSEN,"&lt;="&amp;BI$3,CLAVE_DESGLOSE,$A10)</f>
        <v>37624.800000000003</v>
      </c>
      <c r="BJ10" s="68">
        <f t="shared" si="70"/>
        <v>1209.1999999999971</v>
      </c>
      <c r="BK10" s="268">
        <f t="shared" si="71"/>
        <v>0.96886233712725967</v>
      </c>
      <c r="BL10" s="13">
        <f t="shared" si="47"/>
        <v>48542.5</v>
      </c>
      <c r="BM10" s="13">
        <f>SUMIFS(SALIDAS_BIT,FECHA_BIT,"&gt;="&amp;BM$2,FECHA_BIT,"&lt;="&amp;BM$3,CLAVE_BIT,$A10)+SUMIFS(SALIDAS_BOV1,FECHA_BOV1,"&gt;="&amp;BM$2,FECHA_BOV1,"&lt;="&amp;BM$3,CLAVE_BOV1,$A10)+SUMIFS(SALIDAS_BOV2,FECHA_BOV2,"&gt;="&amp;BM$2,FECHA_BOV2,"&lt;="&amp;BM$3,CLAVE_BOV2,$A10)+SUMIFS(SALIDAS_BOV3,FECHA_BOV3,"&gt;="&amp;BM$2,FECHA_BOV3,"&lt;="&amp;BM$3,CLAVE_BOV3,$A10)+SUMIFS(SALIDAS_TC,FECHA_TC,"&gt;="&amp;BM$2,FECHA_TC,"&lt;="&amp;BM$3,CLAVE_TC,$A10)+SUMIFS(SALIDAS_COMB,FECHA_COMB,"&gt;="&amp;BM$2,FECHA_COMB,"&lt;="&amp;BM$3,CLAVE_COMB,$A10)+SUMIFS(SALIDAS_DES,FECHA_DESGLOSEN,"&gt;="&amp;BM$2,FECHA_DESGLOSEN,"&lt;="&amp;BM$3,CLAVE_DESGLOSE,$A10)</f>
        <v>9729.6</v>
      </c>
      <c r="BN10" s="13">
        <f>SUMIFS(SALIDAS_BIT,FECHA_BIT,"&gt;="&amp;BN$2,FECHA_BIT,"&lt;="&amp;BN$3,CLAVE_BIT,$A10)+SUMIFS(SALIDAS_BOV1,FECHA_BOV1,"&gt;="&amp;BN$2,FECHA_BOV1,"&lt;="&amp;BN$3,CLAVE_BOV1,$A10)+SUMIFS(SALIDAS_BOV2,FECHA_BOV2,"&gt;="&amp;BN$2,FECHA_BOV2,"&lt;="&amp;BN$3,CLAVE_BOV2,$A10)+SUMIFS(SALIDAS_BOV3,FECHA_BOV3,"&gt;="&amp;BN$2,FECHA_BOV3,"&lt;="&amp;BN$3,CLAVE_BOV3,$A10)+SUMIFS(SALIDAS_TC,FECHA_TC,"&gt;="&amp;BN$2,FECHA_TC,"&lt;="&amp;BN$3,CLAVE_TC,$A10)+SUMIFS(SALIDAS_COMB,FECHA_COMB,"&gt;="&amp;BN$2,FECHA_COMB,"&lt;="&amp;BN$3,CLAVE_COMB,$A10)+SUMIFS(SALIDAS_DES,FECHA_DESGLOSEN,"&gt;="&amp;BN$2,FECHA_DESGLOSEN,"&lt;="&amp;BN$3,CLAVE_DESGLOSE,$A10)</f>
        <v>9729.6</v>
      </c>
      <c r="BO10" s="13">
        <f>SUMIFS(SALIDAS_BIT,FECHA_BIT,"&gt;="&amp;BO$2,FECHA_BIT,"&lt;="&amp;BO$3,CLAVE_BIT,$A10)+SUMIFS(SALIDAS_BOV1,FECHA_BOV1,"&gt;="&amp;BO$2,FECHA_BOV1,"&lt;="&amp;BO$3,CLAVE_BOV1,$A10)+SUMIFS(SALIDAS_BOV2,FECHA_BOV2,"&gt;="&amp;BO$2,FECHA_BOV2,"&lt;="&amp;BO$3,CLAVE_BOV2,$A10)+SUMIFS(SALIDAS_BOV3,FECHA_BOV3,"&gt;="&amp;BO$2,FECHA_BOV3,"&lt;="&amp;BO$3,CLAVE_BOV3,$A10)+SUMIFS(SALIDAS_TC,FECHA_TC,"&gt;="&amp;BO$2,FECHA_TC,"&lt;="&amp;BO$3,CLAVE_TC,$A10)+SUMIFS(SALIDAS_COMB,FECHA_COMB,"&gt;="&amp;BO$2,FECHA_COMB,"&lt;="&amp;BO$3,CLAVE_COMB,$A10)+SUMIFS(SALIDAS_DES,FECHA_DESGLOSEN,"&gt;="&amp;BO$2,FECHA_DESGLOSEN,"&lt;="&amp;BO$3,CLAVE_DESGLOSE,$A10)</f>
        <v>11857.6</v>
      </c>
      <c r="BP10" s="13">
        <f>SUMIFS(SALIDAS_BIT,FECHA_BIT,"&gt;="&amp;BP$2,FECHA_BIT,"&lt;="&amp;BP$3,CLAVE_BIT,$A10)+SUMIFS(SALIDAS_BOV1,FECHA_BOV1,"&gt;="&amp;BP$2,FECHA_BOV1,"&lt;="&amp;BP$3,CLAVE_BOV1,$A10)+SUMIFS(SALIDAS_BOV2,FECHA_BOV2,"&gt;="&amp;BP$2,FECHA_BOV2,"&lt;="&amp;BP$3,CLAVE_BOV2,$A10)+SUMIFS(SALIDAS_BOV3,FECHA_BOV3,"&gt;="&amp;BP$2,FECHA_BOV3,"&lt;="&amp;BP$3,CLAVE_BOV3,$A10)+SUMIFS(SALIDAS_TC,FECHA_TC,"&gt;="&amp;BP$2,FECHA_TC,"&lt;="&amp;BP$3,CLAVE_TC,$A10)+SUMIFS(SALIDAS_COMB,FECHA_COMB,"&gt;="&amp;BP$2,FECHA_COMB,"&lt;="&amp;BP$3,CLAVE_COMB,$A10)+SUMIFS(SALIDAS_DES,FECHA_DESGLOSEN,"&gt;="&amp;BP$2,FECHA_DESGLOSEN,"&lt;="&amp;BP$3,CLAVE_DESGLOSE,$A10)</f>
        <v>14645.8</v>
      </c>
      <c r="BQ10" s="13">
        <f>SUMIFS(SALIDAS_BIT,FECHA_BIT,"&gt;="&amp;BQ$2,FECHA_BIT,"&lt;="&amp;BQ$3,CLAVE_BIT,$A10)+SUMIFS(SALIDAS_BOV1,FECHA_BOV1,"&gt;="&amp;BQ$2,FECHA_BOV1,"&lt;="&amp;BQ$3,CLAVE_BOV1,$A10)+SUMIFS(SALIDAS_BOV2,FECHA_BOV2,"&gt;="&amp;BQ$2,FECHA_BOV2,"&lt;="&amp;BQ$3,CLAVE_BOV2,$A10)+SUMIFS(SALIDAS_BOV3,FECHA_BOV3,"&gt;="&amp;BQ$2,FECHA_BOV3,"&lt;="&amp;BQ$3,CLAVE_BOV3,$A10)+SUMIFS(SALIDAS_TC,FECHA_TC,"&gt;="&amp;BQ$2,FECHA_TC,"&lt;="&amp;BQ$3,CLAVE_TC,$A10)+SUMIFS(SALIDAS_COMB,FECHA_COMB,"&gt;="&amp;BQ$2,FECHA_COMB,"&lt;="&amp;BQ$3,CLAVE_COMB,$A10)+SUMIFS(SALIDAS_DES,FECHA_DESGLOSEN,"&gt;="&amp;BQ$2,FECHA_DESGLOSEN,"&lt;="&amp;BQ$3,CLAVE_DESGLOSE,$A10)</f>
        <v>9920.7999999999993</v>
      </c>
      <c r="BR10" s="13">
        <f>SUMIFS(SALIDAS_BIT,FECHA_BIT,"&gt;="&amp;BR$2,FECHA_BIT,"&lt;="&amp;BR$3,CLAVE_BIT,$A10)+SUMIFS(SALIDAS_BOV1,FECHA_BOV1,"&gt;="&amp;BR$2,FECHA_BOV1,"&lt;="&amp;BR$3,CLAVE_BOV1,$A10)+SUMIFS(SALIDAS_BOV2,FECHA_BOV2,"&gt;="&amp;BR$2,FECHA_BOV2,"&lt;="&amp;BR$3,CLAVE_BOV2,$A10)+SUMIFS(SALIDAS_BOV3,FECHA_BOV3,"&gt;="&amp;BR$2,FECHA_BOV3,"&lt;="&amp;BR$3,CLAVE_BOV3,$A10)+SUMIFS(SALIDAS_TC,FECHA_TC,"&gt;="&amp;BR$2,FECHA_TC,"&lt;="&amp;BR$3,CLAVE_TC,$A10)+SUMIFS(SALIDAS_COMB,FECHA_COMB,"&gt;="&amp;BR$2,FECHA_COMB,"&lt;="&amp;BR$3,CLAVE_COMB,$A10)+SUMIFS(SALIDAS_DES,FECHA_DESGLOSEN,"&gt;="&amp;BR$2,FECHA_DESGLOSEN,"&lt;="&amp;BR$3,CLAVE_DESGLOSE,$A10)</f>
        <v>55883.400000000009</v>
      </c>
      <c r="BS10" s="68">
        <f t="shared" si="72"/>
        <v>-7340.9000000000087</v>
      </c>
      <c r="BT10" s="401">
        <f t="shared" si="73"/>
        <v>1.1512262450430037</v>
      </c>
      <c r="BU10" s="13">
        <f t="shared" si="49"/>
        <v>38834</v>
      </c>
      <c r="BV10" s="13">
        <f t="shared" si="50"/>
        <v>9729.6</v>
      </c>
      <c r="BW10" s="13">
        <f t="shared" si="50"/>
        <v>9730.4</v>
      </c>
      <c r="BX10" s="13">
        <f t="shared" si="50"/>
        <v>10829.6</v>
      </c>
      <c r="BY10" s="13">
        <f t="shared" si="50"/>
        <v>11254.33</v>
      </c>
      <c r="BZ10" s="13">
        <f t="shared" si="50"/>
        <v>41543.93</v>
      </c>
      <c r="CA10" s="68">
        <f t="shared" si="74"/>
        <v>-2709.9300000000003</v>
      </c>
      <c r="CB10" s="268">
        <f t="shared" si="75"/>
        <v>1.0697824071689757</v>
      </c>
      <c r="CC10" s="13">
        <f t="shared" si="51"/>
        <v>38834</v>
      </c>
      <c r="CD10" s="13">
        <f t="shared" si="52"/>
        <v>11939.8</v>
      </c>
      <c r="CE10" s="13">
        <f t="shared" si="52"/>
        <v>11391</v>
      </c>
      <c r="CF10" s="13">
        <f t="shared" si="52"/>
        <v>14555</v>
      </c>
      <c r="CG10" s="13">
        <f t="shared" si="52"/>
        <v>11447</v>
      </c>
      <c r="CH10" s="13">
        <f t="shared" si="52"/>
        <v>49332.800000000003</v>
      </c>
      <c r="CI10" s="68">
        <f t="shared" si="76"/>
        <v>-10498.800000000003</v>
      </c>
      <c r="CJ10" s="268">
        <f t="shared" si="77"/>
        <v>1.270350723592728</v>
      </c>
      <c r="CK10" s="13">
        <f t="shared" si="53"/>
        <v>65312</v>
      </c>
      <c r="CL10" s="13">
        <f t="shared" si="54"/>
        <v>11894.4</v>
      </c>
      <c r="CM10" s="13">
        <f t="shared" si="54"/>
        <v>12113.4</v>
      </c>
      <c r="CN10" s="13">
        <f t="shared" si="54"/>
        <v>13506.6</v>
      </c>
      <c r="CO10" s="13">
        <f t="shared" si="54"/>
        <v>19830</v>
      </c>
      <c r="CP10" s="13">
        <f t="shared" si="54"/>
        <v>12337.6</v>
      </c>
      <c r="CQ10" s="13">
        <f t="shared" si="54"/>
        <v>69682</v>
      </c>
      <c r="CR10" s="68">
        <f t="shared" si="78"/>
        <v>-4370</v>
      </c>
      <c r="CS10" s="268">
        <f t="shared" si="79"/>
        <v>1.0669096031357177</v>
      </c>
      <c r="CT10" s="68">
        <f t="shared" si="55"/>
        <v>46945</v>
      </c>
      <c r="CU10" s="13">
        <f>SUMIFS(SALIDAS_BIT,FECHA_BIT,"&gt;="&amp;CU$2,FECHA_BIT,"&lt;="&amp;CU$3,CLAVE_BIT,$A10)+SUMIFS(SALIDAS_BOV1,FECHA_BOV1,"&gt;="&amp;CU$2,FECHA_BOV1,"&lt;="&amp;CU$3,CLAVE_BOV1,$A10)+SUMIFS(SALIDAS_BOV2,FECHA_BOV2,"&gt;="&amp;CU$2,FECHA_BOV2,"&lt;="&amp;CU$3,CLAVE_BOV2,$A10)+SUMIFS(SALIDAS_BOV3,FECHA_BOV3,"&gt;="&amp;CU$2,FECHA_BOV3,"&lt;="&amp;CU$3,CLAVE_BOV3,$A10)+SUMIFS(SALIDAS_TC,FECHA_TC,"&gt;="&amp;CU$2,FECHA_TC,"&lt;="&amp;CU$3,CLAVE_TC,$A10)+SUMIFS(SALIDAS_COMB,FECHA_COMB,"&gt;="&amp;CU$2,FECHA_COMB,"&lt;="&amp;CU$3,CLAVE_COMB,$A10)+SUMIFS(SALIDAS_DES,FECHA_DESGLOSEN,"&gt;="&amp;CU$2,FECHA_DESGLOSEN,"&lt;="&amp;CU$3,CLAVE_DESGLOSE,$A10)</f>
        <v>7723.4</v>
      </c>
      <c r="CV10" s="13">
        <f>SUMIFS(SALIDAS_BIT,FECHA_BIT,"&gt;="&amp;CV$2,FECHA_BIT,"&lt;="&amp;CV$3,CLAVE_BIT,$A10)+SUMIFS(SALIDAS_BOV1,FECHA_BOV1,"&gt;="&amp;CV$2,FECHA_BOV1,"&lt;="&amp;CV$3,CLAVE_BOV1,$A10)+SUMIFS(SALIDAS_BOV2,FECHA_BOV2,"&gt;="&amp;CV$2,FECHA_BOV2,"&lt;="&amp;CV$3,CLAVE_BOV2,$A10)+SUMIFS(SALIDAS_BOV3,FECHA_BOV3,"&gt;="&amp;CV$2,FECHA_BOV3,"&lt;="&amp;CV$3,CLAVE_BOV3,$A10)+SUMIFS(SALIDAS_TC,FECHA_TC,"&gt;="&amp;CV$2,FECHA_TC,"&lt;="&amp;CV$3,CLAVE_TC,$A10)+SUMIFS(SALIDAS_COMB,FECHA_COMB,"&gt;="&amp;CV$2,FECHA_COMB,"&lt;="&amp;CV$3,CLAVE_COMB,$A10)+SUMIFS(SALIDAS_DES,FECHA_DESGLOSEN,"&gt;="&amp;CV$2,FECHA_DESGLOSEN,"&lt;="&amp;CV$3,CLAVE_DESGLOSE,$A10)</f>
        <v>10513.8</v>
      </c>
      <c r="CW10" s="13">
        <f>SUMIFS(SALIDAS_BIT,FECHA_BIT,"&gt;="&amp;CW$2,FECHA_BIT,"&lt;="&amp;CW$3,CLAVE_BIT,$A10)+SUMIFS(SALIDAS_BOV1,FECHA_BOV1,"&gt;="&amp;CW$2,FECHA_BOV1,"&lt;="&amp;CW$3,CLAVE_BOV1,$A10)+SUMIFS(SALIDAS_BOV2,FECHA_BOV2,"&gt;="&amp;CW$2,FECHA_BOV2,"&lt;="&amp;CW$3,CLAVE_BOV2,$A10)+SUMIFS(SALIDAS_BOV3,FECHA_BOV3,"&gt;="&amp;CW$2,FECHA_BOV3,"&lt;="&amp;CW$3,CLAVE_BOV3,$A10)+SUMIFS(SALIDAS_TC,FECHA_TC,"&gt;="&amp;CW$2,FECHA_TC,"&lt;="&amp;CW$3,CLAVE_TC,$A10)+SUMIFS(SALIDAS_COMB,FECHA_COMB,"&gt;="&amp;CW$2,FECHA_COMB,"&lt;="&amp;CW$3,CLAVE_COMB,$A10)+SUMIFS(SALIDAS_DES,FECHA_DESGLOSEN,"&gt;="&amp;CW$2,FECHA_DESGLOSEN,"&lt;="&amp;CW$3,CLAVE_DESGLOSE,$A10)</f>
        <v>10496</v>
      </c>
      <c r="CX10" s="13">
        <f>SUMIFS(SALIDAS_BIT,FECHA_BIT,"&gt;="&amp;CX$2,FECHA_BIT,"&lt;="&amp;CX$3,CLAVE_BIT,$A10)+SUMIFS(SALIDAS_BOV1,FECHA_BOV1,"&gt;="&amp;CX$2,FECHA_BOV1,"&lt;="&amp;CX$3,CLAVE_BOV1,$A10)+SUMIFS(SALIDAS_BOV2,FECHA_BOV2,"&gt;="&amp;CX$2,FECHA_BOV2,"&lt;="&amp;CX$3,CLAVE_BOV2,$A10)+SUMIFS(SALIDAS_BOV3,FECHA_BOV3,"&gt;="&amp;CX$2,FECHA_BOV3,"&lt;="&amp;CX$3,CLAVE_BOV3,$A10)+SUMIFS(SALIDAS_TC,FECHA_TC,"&gt;="&amp;CX$2,FECHA_TC,"&lt;="&amp;CX$3,CLAVE_TC,$A10)+SUMIFS(SALIDAS_COMB,FECHA_COMB,"&gt;="&amp;CX$2,FECHA_COMB,"&lt;="&amp;CX$3,CLAVE_COMB,$A10)+SUMIFS(SALIDAS_DES,FECHA_DESGLOSEN,"&gt;="&amp;CX$2,FECHA_DESGLOSEN,"&lt;="&amp;CX$3,CLAVE_DESGLOSE,$A10)</f>
        <v>10236</v>
      </c>
      <c r="CY10" s="13">
        <f>SUMIFS(SALIDAS_BIT,FECHA_BIT,"&gt;="&amp;CY$2,FECHA_BIT,"&lt;="&amp;CY$3,CLAVE_BIT,$A10)+SUMIFS(SALIDAS_BOV1,FECHA_BOV1,"&gt;="&amp;CY$2,FECHA_BOV1,"&lt;="&amp;CY$3,CLAVE_BOV1,$A10)+SUMIFS(SALIDAS_BOV2,FECHA_BOV2,"&gt;="&amp;CY$2,FECHA_BOV2,"&lt;="&amp;CY$3,CLAVE_BOV2,$A10)+SUMIFS(SALIDAS_BOV3,FECHA_BOV3,"&gt;="&amp;CY$2,FECHA_BOV3,"&lt;="&amp;CY$3,CLAVE_BOV3,$A10)+SUMIFS(SALIDAS_TC,FECHA_TC,"&gt;="&amp;CY$2,FECHA_TC,"&lt;="&amp;CY$3,CLAVE_TC,$A10)+SUMIFS(SALIDAS_COMB,FECHA_COMB,"&gt;="&amp;CY$2,FECHA_COMB,"&lt;="&amp;CY$3,CLAVE_COMB,$A10)+SUMIFS(SALIDAS_DES,FECHA_DESGLOSEN,"&gt;="&amp;CY$2,FECHA_DESGLOSEN,"&lt;="&amp;CY$3,CLAVE_DESGLOSE,$A10)</f>
        <v>38969.199999999997</v>
      </c>
      <c r="CZ10" s="68">
        <f t="shared" si="80"/>
        <v>7975.8000000000029</v>
      </c>
      <c r="DB10" s="17">
        <f>F10+N10+W10+AE10+AM10+AV10+BD10+BL10+BU10+CC10+CK10</f>
        <v>482777.5</v>
      </c>
      <c r="DC10" s="17">
        <f>K10+T10+AB10+AJ10+AS10+BA10+BI10+BR10+BZ10+CH10+CQ10</f>
        <v>516026.93</v>
      </c>
    </row>
    <row r="11" spans="1:1023 1025:2047 2049:3071 3073:4095 4097:5119 5121:6143 6145:7167 7169:8191 8193:9215 9217:10239 10241:11263 11265:12287 12289:13311 13313:14335 14337:15359 15361:16357" hidden="1">
      <c r="A11" s="12" t="str">
        <f t="shared" si="57"/>
        <v>HRNOMINA SUCURSALA5</v>
      </c>
      <c r="B11" s="12">
        <v>5</v>
      </c>
      <c r="C11" t="s">
        <v>29</v>
      </c>
      <c r="D11" s="12" t="s">
        <v>154</v>
      </c>
      <c r="E11" s="12" t="s">
        <v>92</v>
      </c>
      <c r="F11" s="259">
        <f t="shared" si="58"/>
        <v>62002</v>
      </c>
      <c r="G11" s="13">
        <f t="shared" si="35"/>
        <v>12858.8</v>
      </c>
      <c r="H11" s="13">
        <f t="shared" si="35"/>
        <v>9931.2099999999991</v>
      </c>
      <c r="I11" s="13">
        <f t="shared" si="35"/>
        <v>10751.01</v>
      </c>
      <c r="J11" s="13">
        <f t="shared" si="35"/>
        <v>8633.61</v>
      </c>
      <c r="K11" s="13">
        <f t="shared" si="35"/>
        <v>42174.63</v>
      </c>
      <c r="L11" s="68">
        <f t="shared" si="59"/>
        <v>19827.370000000003</v>
      </c>
      <c r="M11" s="268">
        <f t="shared" si="60"/>
        <v>0.68021402535402076</v>
      </c>
      <c r="N11" s="13">
        <f t="shared" si="36"/>
        <v>55000</v>
      </c>
      <c r="O11" s="13">
        <f t="shared" si="37"/>
        <v>8959.41</v>
      </c>
      <c r="P11" s="13">
        <f t="shared" si="37"/>
        <v>9658.2099999999991</v>
      </c>
      <c r="Q11" s="13">
        <f t="shared" si="37"/>
        <v>14887.01</v>
      </c>
      <c r="R11" s="13">
        <f t="shared" si="37"/>
        <v>10370.200000000001</v>
      </c>
      <c r="S11" s="13">
        <f t="shared" si="37"/>
        <v>12218.41</v>
      </c>
      <c r="T11" s="13">
        <f t="shared" si="37"/>
        <v>56093.240000000005</v>
      </c>
      <c r="U11" s="68">
        <f t="shared" si="61"/>
        <v>-1093.2400000000052</v>
      </c>
      <c r="V11" s="268">
        <f t="shared" si="62"/>
        <v>1.0198770909090911</v>
      </c>
      <c r="W11" s="13">
        <f t="shared" si="38"/>
        <v>44000</v>
      </c>
      <c r="X11" s="13">
        <f t="shared" si="39"/>
        <v>10640.21</v>
      </c>
      <c r="Y11" s="13">
        <f t="shared" si="39"/>
        <v>11265.4</v>
      </c>
      <c r="Z11" s="13">
        <f t="shared" si="39"/>
        <v>9307.81</v>
      </c>
      <c r="AA11" s="13">
        <f t="shared" si="39"/>
        <v>8166.6</v>
      </c>
      <c r="AB11" s="13">
        <f t="shared" si="39"/>
        <v>39380.019999999997</v>
      </c>
      <c r="AC11" s="68">
        <f t="shared" si="63"/>
        <v>4619.9800000000032</v>
      </c>
      <c r="AD11" s="268">
        <f t="shared" si="64"/>
        <v>0.89500045454545452</v>
      </c>
      <c r="AE11" s="13">
        <f t="shared" si="40"/>
        <v>44000</v>
      </c>
      <c r="AF11" s="13">
        <f t="shared" si="41"/>
        <v>9771.7999999999993</v>
      </c>
      <c r="AG11" s="13">
        <f t="shared" si="41"/>
        <v>12840.4</v>
      </c>
      <c r="AH11" s="13">
        <f t="shared" si="41"/>
        <v>10690.2</v>
      </c>
      <c r="AI11" s="13">
        <f t="shared" si="41"/>
        <v>10198.799999999999</v>
      </c>
      <c r="AJ11" s="13">
        <f t="shared" si="41"/>
        <v>43501.2</v>
      </c>
      <c r="AK11" s="68">
        <f t="shared" si="65"/>
        <v>498.80000000000291</v>
      </c>
      <c r="AL11" s="268">
        <f t="shared" si="66"/>
        <v>0.9886636363636363</v>
      </c>
      <c r="AM11" s="13">
        <f t="shared" si="42"/>
        <v>55000</v>
      </c>
      <c r="AN11" s="13">
        <f t="shared" si="43"/>
        <v>10611</v>
      </c>
      <c r="AO11" s="13">
        <f t="shared" si="43"/>
        <v>9734.7999999999993</v>
      </c>
      <c r="AP11" s="13">
        <f t="shared" si="43"/>
        <v>10032.4</v>
      </c>
      <c r="AQ11" s="13">
        <f t="shared" si="43"/>
        <v>10525.2</v>
      </c>
      <c r="AR11" s="13">
        <f t="shared" si="43"/>
        <v>10263.200000000001</v>
      </c>
      <c r="AS11" s="13">
        <f t="shared" si="43"/>
        <v>51166.599999999991</v>
      </c>
      <c r="AT11" s="68">
        <f>AM11-AS11</f>
        <v>3833.4000000000087</v>
      </c>
      <c r="AU11" s="268">
        <f t="shared" si="67"/>
        <v>0.93030181818181801</v>
      </c>
      <c r="AV11" s="13">
        <f t="shared" si="44"/>
        <v>44000</v>
      </c>
      <c r="AW11" s="13">
        <f t="shared" si="45"/>
        <v>17134.8</v>
      </c>
      <c r="AX11" s="13">
        <f t="shared" si="45"/>
        <v>11835.6</v>
      </c>
      <c r="AY11" s="13">
        <f t="shared" si="45"/>
        <v>12943.8</v>
      </c>
      <c r="AZ11" s="13">
        <f t="shared" si="45"/>
        <v>13182</v>
      </c>
      <c r="BA11" s="13">
        <f t="shared" si="45"/>
        <v>55096.2</v>
      </c>
      <c r="BB11" s="68">
        <f t="shared" si="68"/>
        <v>-11096.199999999997</v>
      </c>
      <c r="BC11" s="268">
        <f t="shared" si="69"/>
        <v>1.2521863636363635</v>
      </c>
      <c r="BD11" s="13">
        <f t="shared" si="46"/>
        <v>44000</v>
      </c>
      <c r="BE11" s="13">
        <f>SUMIFS(SALIDAS_BIT,FECHA_BIT,"&gt;="&amp;BE$2,FECHA_BIT,"&lt;="&amp;BE$3,CLAVE_BIT,$A11)+SUMIFS(SALIDAS_BOV1,FECHA_BOV1,"&gt;="&amp;BE$2,FECHA_BOV1,"&lt;="&amp;BE$3,CLAVE_BOV1,$A11)+SUMIFS(SALIDAS_BOV2,FECHA_BOV2,"&gt;="&amp;BE$2,FECHA_BOV2,"&lt;="&amp;BE$3,CLAVE_BOV2,$A11)+SUMIFS(SALIDAS_BOV3,FECHA_BOV3,"&gt;="&amp;BE$2,FECHA_BOV3,"&lt;="&amp;BE$3,CLAVE_BOV3,$A11)+SUMIFS(SALIDAS_TC,FECHA_TC,"&gt;="&amp;BE$2,FECHA_TC,"&lt;="&amp;BE$3,CLAVE_TC,$A11)+SUMIFS(SALIDAS_COMB,FECHA_COMB,"&gt;="&amp;BE$2,FECHA_COMB,"&lt;="&amp;BE$3,CLAVE_COMB,$A11)+SUMIFS(SALIDAS_DES,FECHA_DESGLOSEN,"&gt;="&amp;BE$2,FECHA_DESGLOSEN,"&lt;="&amp;BE$3,CLAVE_DESGLOSE,$A11)</f>
        <v>15782</v>
      </c>
      <c r="BF11" s="13">
        <f>SUMIFS(SALIDAS_BIT,FECHA_BIT,"&gt;="&amp;BF$2,FECHA_BIT,"&lt;="&amp;BF$3,CLAVE_BIT,$A11)+SUMIFS(SALIDAS_BOV1,FECHA_BOV1,"&gt;="&amp;BF$2,FECHA_BOV1,"&lt;="&amp;BF$3,CLAVE_BOV1,$A11)+SUMIFS(SALIDAS_BOV2,FECHA_BOV2,"&gt;="&amp;BF$2,FECHA_BOV2,"&lt;="&amp;BF$3,CLAVE_BOV2,$A11)+SUMIFS(SALIDAS_BOV3,FECHA_BOV3,"&gt;="&amp;BF$2,FECHA_BOV3,"&lt;="&amp;BF$3,CLAVE_BOV3,$A11)+SUMIFS(SALIDAS_TC,FECHA_TC,"&gt;="&amp;BF$2,FECHA_TC,"&lt;="&amp;BF$3,CLAVE_TC,$A11)+SUMIFS(SALIDAS_COMB,FECHA_COMB,"&gt;="&amp;BF$2,FECHA_COMB,"&lt;="&amp;BF$3,CLAVE_COMB,$A11)+SUMIFS(SALIDAS_DES,FECHA_DESGLOSEN,"&gt;="&amp;BF$2,FECHA_DESGLOSEN,"&lt;="&amp;BF$3,CLAVE_DESGLOSE,$A11)</f>
        <v>10337.6</v>
      </c>
      <c r="BG11" s="13">
        <f>SUMIFS(SALIDAS_BIT,FECHA_BIT,"&gt;="&amp;BG$2,FECHA_BIT,"&lt;="&amp;BG$3,CLAVE_BIT,$A11)+SUMIFS(SALIDAS_BOV1,FECHA_BOV1,"&gt;="&amp;BG$2,FECHA_BOV1,"&lt;="&amp;BG$3,CLAVE_BOV1,$A11)+SUMIFS(SALIDAS_BOV2,FECHA_BOV2,"&gt;="&amp;BG$2,FECHA_BOV2,"&lt;="&amp;BG$3,CLAVE_BOV2,$A11)+SUMIFS(SALIDAS_BOV3,FECHA_BOV3,"&gt;="&amp;BG$2,FECHA_BOV3,"&lt;="&amp;BG$3,CLAVE_BOV3,$A11)+SUMIFS(SALIDAS_TC,FECHA_TC,"&gt;="&amp;BG$2,FECHA_TC,"&lt;="&amp;BG$3,CLAVE_TC,$A11)+SUMIFS(SALIDAS_COMB,FECHA_COMB,"&gt;="&amp;BG$2,FECHA_COMB,"&lt;="&amp;BG$3,CLAVE_COMB,$A11)+SUMIFS(SALIDAS_DES,FECHA_DESGLOSEN,"&gt;="&amp;BG$2,FECHA_DESGLOSEN,"&lt;="&amp;BG$3,CLAVE_DESGLOSE,$A11)</f>
        <v>10537.8</v>
      </c>
      <c r="BH11" s="13">
        <f>SUMIFS(SALIDAS_BIT,FECHA_BIT,"&gt;="&amp;BH$2,FECHA_BIT,"&lt;="&amp;BH$3,CLAVE_BIT,$A11)+SUMIFS(SALIDAS_BOV1,FECHA_BOV1,"&gt;="&amp;BH$2,FECHA_BOV1,"&lt;="&amp;BH$3,CLAVE_BOV1,$A11)+SUMIFS(SALIDAS_BOV2,FECHA_BOV2,"&gt;="&amp;BH$2,FECHA_BOV2,"&lt;="&amp;BH$3,CLAVE_BOV2,$A11)+SUMIFS(SALIDAS_BOV3,FECHA_BOV3,"&gt;="&amp;BH$2,FECHA_BOV3,"&lt;="&amp;BH$3,CLAVE_BOV3,$A11)+SUMIFS(SALIDAS_TC,FECHA_TC,"&gt;="&amp;BH$2,FECHA_TC,"&lt;="&amp;BH$3,CLAVE_TC,$A11)+SUMIFS(SALIDAS_COMB,FECHA_COMB,"&gt;="&amp;BH$2,FECHA_COMB,"&lt;="&amp;BH$3,CLAVE_COMB,$A11)+SUMIFS(SALIDAS_DES,FECHA_DESGLOSEN,"&gt;="&amp;BH$2,FECHA_DESGLOSEN,"&lt;="&amp;BH$3,CLAVE_DESGLOSE,$A11)</f>
        <v>11268.2</v>
      </c>
      <c r="BI11" s="13">
        <f>SUMIFS(SALIDAS_BIT,FECHA_BIT,"&gt;="&amp;BI$2,FECHA_BIT,"&lt;="&amp;BI$3,CLAVE_BIT,$A11)+SUMIFS(SALIDAS_BOV1,FECHA_BOV1,"&gt;="&amp;BI$2,FECHA_BOV1,"&lt;="&amp;BI$3,CLAVE_BOV1,$A11)+SUMIFS(SALIDAS_BOV2,FECHA_BOV2,"&gt;="&amp;BI$2,FECHA_BOV2,"&lt;="&amp;BI$3,CLAVE_BOV2,$A11)+SUMIFS(SALIDAS_BOV3,FECHA_BOV3,"&gt;="&amp;BI$2,FECHA_BOV3,"&lt;="&amp;BI$3,CLAVE_BOV3,$A11)+SUMIFS(SALIDAS_TC,FECHA_TC,"&gt;="&amp;BI$2,FECHA_TC,"&lt;="&amp;BI$3,CLAVE_TC,$A11)+SUMIFS(SALIDAS_COMB,FECHA_COMB,"&gt;="&amp;BI$2,FECHA_COMB,"&lt;="&amp;BI$3,CLAVE_COMB,$A11)+SUMIFS(SALIDAS_DES,FECHA_DESGLOSEN,"&gt;="&amp;BI$2,FECHA_DESGLOSEN,"&lt;="&amp;BI$3,CLAVE_DESGLOSE,$A11)</f>
        <v>47925.599999999991</v>
      </c>
      <c r="BJ11" s="68">
        <f t="shared" si="70"/>
        <v>-3925.5999999999913</v>
      </c>
      <c r="BK11" s="401">
        <f t="shared" si="71"/>
        <v>1.0892181818181816</v>
      </c>
      <c r="BL11" s="13">
        <f t="shared" si="47"/>
        <v>55000</v>
      </c>
      <c r="BM11" s="13">
        <f>SUMIFS(SALIDAS_BIT,FECHA_BIT,"&gt;="&amp;BM$2,FECHA_BIT,"&lt;="&amp;BM$3,CLAVE_BIT,$A11)+SUMIFS(SALIDAS_BOV1,FECHA_BOV1,"&gt;="&amp;BM$2,FECHA_BOV1,"&lt;="&amp;BM$3,CLAVE_BOV1,$A11)+SUMIFS(SALIDAS_BOV2,FECHA_BOV2,"&gt;="&amp;BM$2,FECHA_BOV2,"&lt;="&amp;BM$3,CLAVE_BOV2,$A11)+SUMIFS(SALIDAS_BOV3,FECHA_BOV3,"&gt;="&amp;BM$2,FECHA_BOV3,"&lt;="&amp;BM$3,CLAVE_BOV3,$A11)+SUMIFS(SALIDAS_TC,FECHA_TC,"&gt;="&amp;BM$2,FECHA_TC,"&lt;="&amp;BM$3,CLAVE_TC,$A11)+SUMIFS(SALIDAS_COMB,FECHA_COMB,"&gt;="&amp;BM$2,FECHA_COMB,"&lt;="&amp;BM$3,CLAVE_COMB,$A11)+SUMIFS(SALIDAS_DES,FECHA_DESGLOSEN,"&gt;="&amp;BM$2,FECHA_DESGLOSEN,"&lt;="&amp;BM$3,CLAVE_DESGLOSE,$A11)</f>
        <v>11134</v>
      </c>
      <c r="BN11" s="13">
        <f>SUMIFS(SALIDAS_BIT,FECHA_BIT,"&gt;="&amp;BN$2,FECHA_BIT,"&lt;="&amp;BN$3,CLAVE_BIT,$A11)+SUMIFS(SALIDAS_BOV1,FECHA_BOV1,"&gt;="&amp;BN$2,FECHA_BOV1,"&lt;="&amp;BN$3,CLAVE_BOV1,$A11)+SUMIFS(SALIDAS_BOV2,FECHA_BOV2,"&gt;="&amp;BN$2,FECHA_BOV2,"&lt;="&amp;BN$3,CLAVE_BOV2,$A11)+SUMIFS(SALIDAS_BOV3,FECHA_BOV3,"&gt;="&amp;BN$2,FECHA_BOV3,"&lt;="&amp;BN$3,CLAVE_BOV3,$A11)+SUMIFS(SALIDAS_TC,FECHA_TC,"&gt;="&amp;BN$2,FECHA_TC,"&lt;="&amp;BN$3,CLAVE_TC,$A11)+SUMIFS(SALIDAS_COMB,FECHA_COMB,"&gt;="&amp;BN$2,FECHA_COMB,"&lt;="&amp;BN$3,CLAVE_COMB,$A11)+SUMIFS(SALIDAS_DES,FECHA_DESGLOSEN,"&gt;="&amp;BN$2,FECHA_DESGLOSEN,"&lt;="&amp;BN$3,CLAVE_DESGLOSE,$A11)</f>
        <v>12468</v>
      </c>
      <c r="BO11" s="13">
        <f>SUMIFS(SALIDAS_BIT,FECHA_BIT,"&gt;="&amp;BO$2,FECHA_BIT,"&lt;="&amp;BO$3,CLAVE_BIT,$A11)+SUMIFS(SALIDAS_BOV1,FECHA_BOV1,"&gt;="&amp;BO$2,FECHA_BOV1,"&lt;="&amp;BO$3,CLAVE_BOV1,$A11)+SUMIFS(SALIDAS_BOV2,FECHA_BOV2,"&gt;="&amp;BO$2,FECHA_BOV2,"&lt;="&amp;BO$3,CLAVE_BOV2,$A11)+SUMIFS(SALIDAS_BOV3,FECHA_BOV3,"&gt;="&amp;BO$2,FECHA_BOV3,"&lt;="&amp;BO$3,CLAVE_BOV3,$A11)+SUMIFS(SALIDAS_TC,FECHA_TC,"&gt;="&amp;BO$2,FECHA_TC,"&lt;="&amp;BO$3,CLAVE_TC,$A11)+SUMIFS(SALIDAS_COMB,FECHA_COMB,"&gt;="&amp;BO$2,FECHA_COMB,"&lt;="&amp;BO$3,CLAVE_COMB,$A11)+SUMIFS(SALIDAS_DES,FECHA_DESGLOSEN,"&gt;="&amp;BO$2,FECHA_DESGLOSEN,"&lt;="&amp;BO$3,CLAVE_DESGLOSE,$A11)</f>
        <v>11313.4</v>
      </c>
      <c r="BP11" s="13">
        <f>SUMIFS(SALIDAS_BIT,FECHA_BIT,"&gt;="&amp;BP$2,FECHA_BIT,"&lt;="&amp;BP$3,CLAVE_BIT,$A11)+SUMIFS(SALIDAS_BOV1,FECHA_BOV1,"&gt;="&amp;BP$2,FECHA_BOV1,"&lt;="&amp;BP$3,CLAVE_BOV1,$A11)+SUMIFS(SALIDAS_BOV2,FECHA_BOV2,"&gt;="&amp;BP$2,FECHA_BOV2,"&lt;="&amp;BP$3,CLAVE_BOV2,$A11)+SUMIFS(SALIDAS_BOV3,FECHA_BOV3,"&gt;="&amp;BP$2,FECHA_BOV3,"&lt;="&amp;BP$3,CLAVE_BOV3,$A11)+SUMIFS(SALIDAS_TC,FECHA_TC,"&gt;="&amp;BP$2,FECHA_TC,"&lt;="&amp;BP$3,CLAVE_TC,$A11)+SUMIFS(SALIDAS_COMB,FECHA_COMB,"&gt;="&amp;BP$2,FECHA_COMB,"&lt;="&amp;BP$3,CLAVE_COMB,$A11)+SUMIFS(SALIDAS_DES,FECHA_DESGLOSEN,"&gt;="&amp;BP$2,FECHA_DESGLOSEN,"&lt;="&amp;BP$3,CLAVE_DESGLOSE,$A11)</f>
        <v>15088.4</v>
      </c>
      <c r="BQ11" s="13">
        <f>SUMIFS(SALIDAS_BIT,FECHA_BIT,"&gt;="&amp;BQ$2,FECHA_BIT,"&lt;="&amp;BQ$3,CLAVE_BIT,$A11)+SUMIFS(SALIDAS_BOV1,FECHA_BOV1,"&gt;="&amp;BQ$2,FECHA_BOV1,"&lt;="&amp;BQ$3,CLAVE_BOV1,$A11)+SUMIFS(SALIDAS_BOV2,FECHA_BOV2,"&gt;="&amp;BQ$2,FECHA_BOV2,"&lt;="&amp;BQ$3,CLAVE_BOV2,$A11)+SUMIFS(SALIDAS_BOV3,FECHA_BOV3,"&gt;="&amp;BQ$2,FECHA_BOV3,"&lt;="&amp;BQ$3,CLAVE_BOV3,$A11)+SUMIFS(SALIDAS_TC,FECHA_TC,"&gt;="&amp;BQ$2,FECHA_TC,"&lt;="&amp;BQ$3,CLAVE_TC,$A11)+SUMIFS(SALIDAS_COMB,FECHA_COMB,"&gt;="&amp;BQ$2,FECHA_COMB,"&lt;="&amp;BQ$3,CLAVE_COMB,$A11)+SUMIFS(SALIDAS_DES,FECHA_DESGLOSEN,"&gt;="&amp;BQ$2,FECHA_DESGLOSEN,"&lt;="&amp;BQ$3,CLAVE_DESGLOSE,$A11)</f>
        <v>12368.8</v>
      </c>
      <c r="BR11" s="13">
        <f>SUMIFS(SALIDAS_BIT,FECHA_BIT,"&gt;="&amp;BR$2,FECHA_BIT,"&lt;="&amp;BR$3,CLAVE_BIT,$A11)+SUMIFS(SALIDAS_BOV1,FECHA_BOV1,"&gt;="&amp;BR$2,FECHA_BOV1,"&lt;="&amp;BR$3,CLAVE_BOV1,$A11)+SUMIFS(SALIDAS_BOV2,FECHA_BOV2,"&gt;="&amp;BR$2,FECHA_BOV2,"&lt;="&amp;BR$3,CLAVE_BOV2,$A11)+SUMIFS(SALIDAS_BOV3,FECHA_BOV3,"&gt;="&amp;BR$2,FECHA_BOV3,"&lt;="&amp;BR$3,CLAVE_BOV3,$A11)+SUMIFS(SALIDAS_TC,FECHA_TC,"&gt;="&amp;BR$2,FECHA_TC,"&lt;="&amp;BR$3,CLAVE_TC,$A11)+SUMIFS(SALIDAS_COMB,FECHA_COMB,"&gt;="&amp;BR$2,FECHA_COMB,"&lt;="&amp;BR$3,CLAVE_COMB,$A11)+SUMIFS(SALIDAS_DES,FECHA_DESGLOSEN,"&gt;="&amp;BR$2,FECHA_DESGLOSEN,"&lt;="&amp;BR$3,CLAVE_DESGLOSE,$A11)</f>
        <v>62372.600000000006</v>
      </c>
      <c r="BS11" s="68">
        <f t="shared" si="72"/>
        <v>-7372.6000000000058</v>
      </c>
      <c r="BT11" s="401">
        <f t="shared" si="73"/>
        <v>1.1340472727272728</v>
      </c>
      <c r="BU11" s="13">
        <f t="shared" si="49"/>
        <v>44000</v>
      </c>
      <c r="BV11" s="13">
        <f t="shared" si="50"/>
        <v>12021.8</v>
      </c>
      <c r="BW11" s="13">
        <f t="shared" si="50"/>
        <v>12064.8</v>
      </c>
      <c r="BX11" s="13">
        <f t="shared" si="50"/>
        <v>12218.8</v>
      </c>
      <c r="BY11" s="13">
        <f t="shared" si="50"/>
        <v>11403</v>
      </c>
      <c r="BZ11" s="13">
        <f t="shared" si="50"/>
        <v>47708.399999999994</v>
      </c>
      <c r="CA11" s="68">
        <f t="shared" si="74"/>
        <v>-3708.3999999999942</v>
      </c>
      <c r="CB11" s="268">
        <f t="shared" si="75"/>
        <v>1.0842818181818181</v>
      </c>
      <c r="CC11" s="13">
        <f t="shared" si="51"/>
        <v>44000</v>
      </c>
      <c r="CD11" s="13">
        <f t="shared" si="52"/>
        <v>13356.4</v>
      </c>
      <c r="CE11" s="13">
        <f t="shared" si="52"/>
        <v>11979.2</v>
      </c>
      <c r="CF11" s="13">
        <f t="shared" si="52"/>
        <v>15777</v>
      </c>
      <c r="CG11" s="13">
        <f t="shared" si="52"/>
        <v>10689.8</v>
      </c>
      <c r="CH11" s="13">
        <f t="shared" si="52"/>
        <v>51802.399999999994</v>
      </c>
      <c r="CI11" s="68">
        <f t="shared" si="76"/>
        <v>-7802.3999999999942</v>
      </c>
      <c r="CJ11" s="268">
        <f t="shared" si="77"/>
        <v>1.1773272727272726</v>
      </c>
      <c r="CK11" s="13">
        <f t="shared" si="53"/>
        <v>90104</v>
      </c>
      <c r="CL11" s="13">
        <f t="shared" si="54"/>
        <v>14817.8</v>
      </c>
      <c r="CM11" s="13">
        <f t="shared" si="54"/>
        <v>14724.4</v>
      </c>
      <c r="CN11" s="13">
        <f t="shared" si="54"/>
        <v>20708.2</v>
      </c>
      <c r="CO11" s="13">
        <f t="shared" si="54"/>
        <v>30465.200000000001</v>
      </c>
      <c r="CP11" s="13">
        <f t="shared" si="54"/>
        <v>17645.599999999999</v>
      </c>
      <c r="CQ11" s="13">
        <f t="shared" si="54"/>
        <v>98361.199999999983</v>
      </c>
      <c r="CR11" s="68">
        <f t="shared" si="78"/>
        <v>-8257.1999999999825</v>
      </c>
      <c r="CS11" s="268">
        <f t="shared" si="79"/>
        <v>1.0916407706650091</v>
      </c>
      <c r="CT11" s="68">
        <f t="shared" si="55"/>
        <v>53910</v>
      </c>
      <c r="CU11" s="13">
        <f>SUMIFS(SALIDAS_BIT,FECHA_BIT,"&gt;="&amp;CU$2,FECHA_BIT,"&lt;="&amp;CU$3,CLAVE_BIT,$A11)+SUMIFS(SALIDAS_BOV1,FECHA_BOV1,"&gt;="&amp;CU$2,FECHA_BOV1,"&lt;="&amp;CU$3,CLAVE_BOV1,$A11)+SUMIFS(SALIDAS_BOV2,FECHA_BOV2,"&gt;="&amp;CU$2,FECHA_BOV2,"&lt;="&amp;CU$3,CLAVE_BOV2,$A11)+SUMIFS(SALIDAS_BOV3,FECHA_BOV3,"&gt;="&amp;CU$2,FECHA_BOV3,"&lt;="&amp;CU$3,CLAVE_BOV3,$A11)+SUMIFS(SALIDAS_TC,FECHA_TC,"&gt;="&amp;CU$2,FECHA_TC,"&lt;="&amp;CU$3,CLAVE_TC,$A11)+SUMIFS(SALIDAS_COMB,FECHA_COMB,"&gt;="&amp;CU$2,FECHA_COMB,"&lt;="&amp;CU$3,CLAVE_COMB,$A11)+SUMIFS(SALIDAS_DES,FECHA_DESGLOSEN,"&gt;="&amp;CU$2,FECHA_DESGLOSEN,"&lt;="&amp;CU$3,CLAVE_DESGLOSE,$A11)</f>
        <v>14655.6</v>
      </c>
      <c r="CV11" s="13">
        <f>SUMIFS(SALIDAS_BIT,FECHA_BIT,"&gt;="&amp;CV$2,FECHA_BIT,"&lt;="&amp;CV$3,CLAVE_BIT,$A11)+SUMIFS(SALIDAS_BOV1,FECHA_BOV1,"&gt;="&amp;CV$2,FECHA_BOV1,"&lt;="&amp;CV$3,CLAVE_BOV1,$A11)+SUMIFS(SALIDAS_BOV2,FECHA_BOV2,"&gt;="&amp;CV$2,FECHA_BOV2,"&lt;="&amp;CV$3,CLAVE_BOV2,$A11)+SUMIFS(SALIDAS_BOV3,FECHA_BOV3,"&gt;="&amp;CV$2,FECHA_BOV3,"&lt;="&amp;CV$3,CLAVE_BOV3,$A11)+SUMIFS(SALIDAS_TC,FECHA_TC,"&gt;="&amp;CV$2,FECHA_TC,"&lt;="&amp;CV$3,CLAVE_TC,$A11)+SUMIFS(SALIDAS_COMB,FECHA_COMB,"&gt;="&amp;CV$2,FECHA_COMB,"&lt;="&amp;CV$3,CLAVE_COMB,$A11)+SUMIFS(SALIDAS_DES,FECHA_DESGLOSEN,"&gt;="&amp;CV$2,FECHA_DESGLOSEN,"&lt;="&amp;CV$3,CLAVE_DESGLOSE,$A11)</f>
        <v>14050.4</v>
      </c>
      <c r="CW11" s="13">
        <f>SUMIFS(SALIDAS_BIT,FECHA_BIT,"&gt;="&amp;CW$2,FECHA_BIT,"&lt;="&amp;CW$3,CLAVE_BIT,$A11)+SUMIFS(SALIDAS_BOV1,FECHA_BOV1,"&gt;="&amp;CW$2,FECHA_BOV1,"&lt;="&amp;CW$3,CLAVE_BOV1,$A11)+SUMIFS(SALIDAS_BOV2,FECHA_BOV2,"&gt;="&amp;CW$2,FECHA_BOV2,"&lt;="&amp;CW$3,CLAVE_BOV2,$A11)+SUMIFS(SALIDAS_BOV3,FECHA_BOV3,"&gt;="&amp;CW$2,FECHA_BOV3,"&lt;="&amp;CW$3,CLAVE_BOV3,$A11)+SUMIFS(SALIDAS_TC,FECHA_TC,"&gt;="&amp;CW$2,FECHA_TC,"&lt;="&amp;CW$3,CLAVE_TC,$A11)+SUMIFS(SALIDAS_COMB,FECHA_COMB,"&gt;="&amp;CW$2,FECHA_COMB,"&lt;="&amp;CW$3,CLAVE_COMB,$A11)+SUMIFS(SALIDAS_DES,FECHA_DESGLOSEN,"&gt;="&amp;CW$2,FECHA_DESGLOSEN,"&lt;="&amp;CW$3,CLAVE_DESGLOSE,$A11)</f>
        <v>13760</v>
      </c>
      <c r="CX11" s="13">
        <f>SUMIFS(SALIDAS_BIT,FECHA_BIT,"&gt;="&amp;CX$2,FECHA_BIT,"&lt;="&amp;CX$3,CLAVE_BIT,$A11)+SUMIFS(SALIDAS_BOV1,FECHA_BOV1,"&gt;="&amp;CX$2,FECHA_BOV1,"&lt;="&amp;CX$3,CLAVE_BOV1,$A11)+SUMIFS(SALIDAS_BOV2,FECHA_BOV2,"&gt;="&amp;CX$2,FECHA_BOV2,"&lt;="&amp;CX$3,CLAVE_BOV2,$A11)+SUMIFS(SALIDAS_BOV3,FECHA_BOV3,"&gt;="&amp;CX$2,FECHA_BOV3,"&lt;="&amp;CX$3,CLAVE_BOV3,$A11)+SUMIFS(SALIDAS_TC,FECHA_TC,"&gt;="&amp;CX$2,FECHA_TC,"&lt;="&amp;CX$3,CLAVE_TC,$A11)+SUMIFS(SALIDAS_COMB,FECHA_COMB,"&gt;="&amp;CX$2,FECHA_COMB,"&lt;="&amp;CX$3,CLAVE_COMB,$A11)+SUMIFS(SALIDAS_DES,FECHA_DESGLOSEN,"&gt;="&amp;CX$2,FECHA_DESGLOSEN,"&lt;="&amp;CX$3,CLAVE_DESGLOSE,$A11)</f>
        <v>13565</v>
      </c>
      <c r="CY11" s="13">
        <f>SUMIFS(SALIDAS_BIT,FECHA_BIT,"&gt;="&amp;CY$2,FECHA_BIT,"&lt;="&amp;CY$3,CLAVE_BIT,$A11)+SUMIFS(SALIDAS_BOV1,FECHA_BOV1,"&gt;="&amp;CY$2,FECHA_BOV1,"&lt;="&amp;CY$3,CLAVE_BOV1,$A11)+SUMIFS(SALIDAS_BOV2,FECHA_BOV2,"&gt;="&amp;CY$2,FECHA_BOV2,"&lt;="&amp;CY$3,CLAVE_BOV2,$A11)+SUMIFS(SALIDAS_BOV3,FECHA_BOV3,"&gt;="&amp;CY$2,FECHA_BOV3,"&lt;="&amp;CY$3,CLAVE_BOV3,$A11)+SUMIFS(SALIDAS_TC,FECHA_TC,"&gt;="&amp;CY$2,FECHA_TC,"&lt;="&amp;CY$3,CLAVE_TC,$A11)+SUMIFS(SALIDAS_COMB,FECHA_COMB,"&gt;="&amp;CY$2,FECHA_COMB,"&lt;="&amp;CY$3,CLAVE_COMB,$A11)+SUMIFS(SALIDAS_DES,FECHA_DESGLOSEN,"&gt;="&amp;CY$2,FECHA_DESGLOSEN,"&lt;="&amp;CY$3,CLAVE_DESGLOSE,$A11)</f>
        <v>56031</v>
      </c>
      <c r="CZ11" s="68">
        <f t="shared" si="80"/>
        <v>-2121</v>
      </c>
      <c r="DB11" s="17">
        <f>F11+N11+W11+AE11+AM11+AV11+BD11+BL11+BU11+CC11+CK11</f>
        <v>581106</v>
      </c>
      <c r="DC11" s="17">
        <f>K11+T11+AB11+AJ11+AS11+BA11+BI11+BR11+BZ11+CH11+CQ11</f>
        <v>595582.09</v>
      </c>
    </row>
    <row r="12" spans="1:1023 1025:2047 2049:3071 3073:4095 4097:5119 5121:6143 6145:7167 7169:8191 8193:9215 9217:10239 10241:11263 11265:12287 12289:13311 13313:14335 14337:15359 15361:16357" hidden="1">
      <c r="A12" s="12" t="str">
        <f t="shared" si="57"/>
        <v>HRNOMINA SUCURSALA6</v>
      </c>
      <c r="B12" s="12">
        <v>6</v>
      </c>
      <c r="C12" t="s">
        <v>29</v>
      </c>
      <c r="D12" s="12" t="s">
        <v>154</v>
      </c>
      <c r="E12" s="12" t="s">
        <v>93</v>
      </c>
      <c r="F12" s="259">
        <f t="shared" si="58"/>
        <v>79738</v>
      </c>
      <c r="G12" s="13">
        <f t="shared" si="35"/>
        <v>16851.55</v>
      </c>
      <c r="H12" s="13">
        <f t="shared" si="35"/>
        <v>14276.55</v>
      </c>
      <c r="I12" s="13">
        <f t="shared" si="35"/>
        <v>13812.15</v>
      </c>
      <c r="J12" s="13">
        <f t="shared" si="35"/>
        <v>13884.15</v>
      </c>
      <c r="K12" s="13">
        <f t="shared" si="35"/>
        <v>58824.4</v>
      </c>
      <c r="L12" s="68">
        <f t="shared" si="59"/>
        <v>20913.599999999999</v>
      </c>
      <c r="M12" s="268">
        <f t="shared" si="60"/>
        <v>0.73772103639419095</v>
      </c>
      <c r="N12" s="13">
        <f t="shared" si="36"/>
        <v>80000</v>
      </c>
      <c r="O12" s="13">
        <f t="shared" si="37"/>
        <v>13885.55</v>
      </c>
      <c r="P12" s="13">
        <f t="shared" si="37"/>
        <v>14285.35</v>
      </c>
      <c r="Q12" s="13">
        <f t="shared" si="37"/>
        <v>15904.95</v>
      </c>
      <c r="R12" s="13">
        <f t="shared" si="37"/>
        <v>11891.6</v>
      </c>
      <c r="S12" s="13">
        <f t="shared" si="37"/>
        <v>13805.75</v>
      </c>
      <c r="T12" s="13">
        <f t="shared" si="37"/>
        <v>69773.200000000012</v>
      </c>
      <c r="U12" s="68">
        <f t="shared" si="61"/>
        <v>10226.799999999988</v>
      </c>
      <c r="V12" s="268">
        <f t="shared" si="62"/>
        <v>0.87216500000000019</v>
      </c>
      <c r="W12" s="13">
        <f t="shared" si="38"/>
        <v>64000</v>
      </c>
      <c r="X12" s="13">
        <f t="shared" si="39"/>
        <v>13885.35</v>
      </c>
      <c r="Y12" s="13">
        <f t="shared" si="39"/>
        <v>14971.6</v>
      </c>
      <c r="Z12" s="13">
        <f t="shared" si="39"/>
        <v>14384.49</v>
      </c>
      <c r="AA12" s="13">
        <f t="shared" si="39"/>
        <v>11945.4</v>
      </c>
      <c r="AB12" s="13">
        <f t="shared" si="39"/>
        <v>55186.840000000004</v>
      </c>
      <c r="AC12" s="68">
        <f t="shared" si="63"/>
        <v>8813.1599999999962</v>
      </c>
      <c r="AD12" s="268">
        <f t="shared" si="64"/>
        <v>0.86229437500000006</v>
      </c>
      <c r="AE12" s="13">
        <f t="shared" si="40"/>
        <v>64000</v>
      </c>
      <c r="AF12" s="13">
        <f t="shared" si="41"/>
        <v>15255.89</v>
      </c>
      <c r="AG12" s="13">
        <f t="shared" si="41"/>
        <v>12367.89</v>
      </c>
      <c r="AH12" s="13">
        <f t="shared" si="41"/>
        <v>14910.29</v>
      </c>
      <c r="AI12" s="13">
        <f t="shared" si="41"/>
        <v>14071.09</v>
      </c>
      <c r="AJ12" s="13">
        <f t="shared" si="41"/>
        <v>56605.16</v>
      </c>
      <c r="AK12" s="68">
        <f t="shared" si="65"/>
        <v>7394.8399999999965</v>
      </c>
      <c r="AL12" s="268">
        <f t="shared" si="66"/>
        <v>0.88445562500000008</v>
      </c>
      <c r="AM12" s="13">
        <f t="shared" si="42"/>
        <v>80000</v>
      </c>
      <c r="AN12" s="13">
        <f t="shared" si="43"/>
        <v>14619.49</v>
      </c>
      <c r="AO12" s="13">
        <f t="shared" si="43"/>
        <v>13836.89</v>
      </c>
      <c r="AP12" s="13">
        <f t="shared" si="43"/>
        <v>11677.69</v>
      </c>
      <c r="AQ12" s="13">
        <f t="shared" si="43"/>
        <v>13702.49</v>
      </c>
      <c r="AR12" s="13">
        <f t="shared" si="43"/>
        <v>12257.09</v>
      </c>
      <c r="AS12" s="13">
        <f t="shared" si="43"/>
        <v>66093.649999999994</v>
      </c>
      <c r="AT12" s="68">
        <f>AM12-AS12</f>
        <v>13906.350000000006</v>
      </c>
      <c r="AU12" s="268">
        <f t="shared" si="67"/>
        <v>0.82617062499999994</v>
      </c>
      <c r="AV12" s="13">
        <f t="shared" si="44"/>
        <v>64000</v>
      </c>
      <c r="AW12" s="13">
        <f t="shared" si="45"/>
        <v>13320.89</v>
      </c>
      <c r="AX12" s="13">
        <f t="shared" si="45"/>
        <v>15976.29</v>
      </c>
      <c r="AY12" s="13">
        <f t="shared" si="45"/>
        <v>12658.69</v>
      </c>
      <c r="AZ12" s="13">
        <f t="shared" si="45"/>
        <v>12330.09</v>
      </c>
      <c r="BA12" s="13">
        <f t="shared" si="45"/>
        <v>54285.960000000006</v>
      </c>
      <c r="BB12" s="68">
        <f t="shared" si="68"/>
        <v>9714.0399999999936</v>
      </c>
      <c r="BC12" s="268">
        <f t="shared" si="69"/>
        <v>0.84821812500000004</v>
      </c>
      <c r="BD12" s="13">
        <f t="shared" si="46"/>
        <v>64000</v>
      </c>
      <c r="BE12" s="13">
        <f>SUMIFS(SALIDAS_BIT,FECHA_BIT,"&gt;="&amp;BE$2,FECHA_BIT,"&lt;="&amp;BE$3,CLAVE_BIT,$A12)+SUMIFS(SALIDAS_BOV1,FECHA_BOV1,"&gt;="&amp;BE$2,FECHA_BOV1,"&lt;="&amp;BE$3,CLAVE_BOV1,$A12)+SUMIFS(SALIDAS_BOV2,FECHA_BOV2,"&gt;="&amp;BE$2,FECHA_BOV2,"&lt;="&amp;BE$3,CLAVE_BOV2,$A12)+SUMIFS(SALIDAS_BOV3,FECHA_BOV3,"&gt;="&amp;BE$2,FECHA_BOV3,"&lt;="&amp;BE$3,CLAVE_BOV3,$A12)+SUMIFS(SALIDAS_TC,FECHA_TC,"&gt;="&amp;BE$2,FECHA_TC,"&lt;="&amp;BE$3,CLAVE_TC,$A12)+SUMIFS(SALIDAS_COMB,FECHA_COMB,"&gt;="&amp;BE$2,FECHA_COMB,"&lt;="&amp;BE$3,CLAVE_COMB,$A12)+SUMIFS(SALIDAS_DES,FECHA_DESGLOSEN,"&gt;="&amp;BE$2,FECHA_DESGLOSEN,"&lt;="&amp;BE$3,CLAVE_DESGLOSE,$A12)</f>
        <v>11947.09</v>
      </c>
      <c r="BF12" s="13">
        <f>SUMIFS(SALIDAS_BIT,FECHA_BIT,"&gt;="&amp;BF$2,FECHA_BIT,"&lt;="&amp;BF$3,CLAVE_BIT,$A12)+SUMIFS(SALIDAS_BOV1,FECHA_BOV1,"&gt;="&amp;BF$2,FECHA_BOV1,"&lt;="&amp;BF$3,CLAVE_BOV1,$A12)+SUMIFS(SALIDAS_BOV2,FECHA_BOV2,"&gt;="&amp;BF$2,FECHA_BOV2,"&lt;="&amp;BF$3,CLAVE_BOV2,$A12)+SUMIFS(SALIDAS_BOV3,FECHA_BOV3,"&gt;="&amp;BF$2,FECHA_BOV3,"&lt;="&amp;BF$3,CLAVE_BOV3,$A12)+SUMIFS(SALIDAS_TC,FECHA_TC,"&gt;="&amp;BF$2,FECHA_TC,"&lt;="&amp;BF$3,CLAVE_TC,$A12)+SUMIFS(SALIDAS_COMB,FECHA_COMB,"&gt;="&amp;BF$2,FECHA_COMB,"&lt;="&amp;BF$3,CLAVE_COMB,$A12)+SUMIFS(SALIDAS_DES,FECHA_DESGLOSEN,"&gt;="&amp;BF$2,FECHA_DESGLOSEN,"&lt;="&amp;BF$3,CLAVE_DESGLOSE,$A12)</f>
        <v>13905.49</v>
      </c>
      <c r="BG12" s="13">
        <f>SUMIFS(SALIDAS_BIT,FECHA_BIT,"&gt;="&amp;BG$2,FECHA_BIT,"&lt;="&amp;BG$3,CLAVE_BIT,$A12)+SUMIFS(SALIDAS_BOV1,FECHA_BOV1,"&gt;="&amp;BG$2,FECHA_BOV1,"&lt;="&amp;BG$3,CLAVE_BOV1,$A12)+SUMIFS(SALIDAS_BOV2,FECHA_BOV2,"&gt;="&amp;BG$2,FECHA_BOV2,"&lt;="&amp;BG$3,CLAVE_BOV2,$A12)+SUMIFS(SALIDAS_BOV3,FECHA_BOV3,"&gt;="&amp;BG$2,FECHA_BOV3,"&lt;="&amp;BG$3,CLAVE_BOV3,$A12)+SUMIFS(SALIDAS_TC,FECHA_TC,"&gt;="&amp;BG$2,FECHA_TC,"&lt;="&amp;BG$3,CLAVE_TC,$A12)+SUMIFS(SALIDAS_COMB,FECHA_COMB,"&gt;="&amp;BG$2,FECHA_COMB,"&lt;="&amp;BG$3,CLAVE_COMB,$A12)+SUMIFS(SALIDAS_DES,FECHA_DESGLOSEN,"&gt;="&amp;BG$2,FECHA_DESGLOSEN,"&lt;="&amp;BG$3,CLAVE_DESGLOSE,$A12)</f>
        <v>14223.49</v>
      </c>
      <c r="BH12" s="13">
        <f>SUMIFS(SALIDAS_BIT,FECHA_BIT,"&gt;="&amp;BH$2,FECHA_BIT,"&lt;="&amp;BH$3,CLAVE_BIT,$A12)+SUMIFS(SALIDAS_BOV1,FECHA_BOV1,"&gt;="&amp;BH$2,FECHA_BOV1,"&lt;="&amp;BH$3,CLAVE_BOV1,$A12)+SUMIFS(SALIDAS_BOV2,FECHA_BOV2,"&gt;="&amp;BH$2,FECHA_BOV2,"&lt;="&amp;BH$3,CLAVE_BOV2,$A12)+SUMIFS(SALIDAS_BOV3,FECHA_BOV3,"&gt;="&amp;BH$2,FECHA_BOV3,"&lt;="&amp;BH$3,CLAVE_BOV3,$A12)+SUMIFS(SALIDAS_TC,FECHA_TC,"&gt;="&amp;BH$2,FECHA_TC,"&lt;="&amp;BH$3,CLAVE_TC,$A12)+SUMIFS(SALIDAS_COMB,FECHA_COMB,"&gt;="&amp;BH$2,FECHA_COMB,"&lt;="&amp;BH$3,CLAVE_COMB,$A12)+SUMIFS(SALIDAS_DES,FECHA_DESGLOSEN,"&gt;="&amp;BH$2,FECHA_DESGLOSEN,"&lt;="&amp;BH$3,CLAVE_DESGLOSE,$A12)</f>
        <v>13835.69</v>
      </c>
      <c r="BI12" s="13">
        <f>SUMIFS(SALIDAS_BIT,FECHA_BIT,"&gt;="&amp;BI$2,FECHA_BIT,"&lt;="&amp;BI$3,CLAVE_BIT,$A12)+SUMIFS(SALIDAS_BOV1,FECHA_BOV1,"&gt;="&amp;BI$2,FECHA_BOV1,"&lt;="&amp;BI$3,CLAVE_BOV1,$A12)+SUMIFS(SALIDAS_BOV2,FECHA_BOV2,"&gt;="&amp;BI$2,FECHA_BOV2,"&lt;="&amp;BI$3,CLAVE_BOV2,$A12)+SUMIFS(SALIDAS_BOV3,FECHA_BOV3,"&gt;="&amp;BI$2,FECHA_BOV3,"&lt;="&amp;BI$3,CLAVE_BOV3,$A12)+SUMIFS(SALIDAS_TC,FECHA_TC,"&gt;="&amp;BI$2,FECHA_TC,"&lt;="&amp;BI$3,CLAVE_TC,$A12)+SUMIFS(SALIDAS_COMB,FECHA_COMB,"&gt;="&amp;BI$2,FECHA_COMB,"&lt;="&amp;BI$3,CLAVE_COMB,$A12)+SUMIFS(SALIDAS_DES,FECHA_DESGLOSEN,"&gt;="&amp;BI$2,FECHA_DESGLOSEN,"&lt;="&amp;BI$3,CLAVE_DESGLOSE,$A12)</f>
        <v>53911.76</v>
      </c>
      <c r="BJ12" s="68">
        <f t="shared" si="70"/>
        <v>10088.239999999998</v>
      </c>
      <c r="BK12" s="268">
        <f t="shared" si="71"/>
        <v>0.84237125000000002</v>
      </c>
      <c r="BL12" s="13">
        <f t="shared" si="47"/>
        <v>80000</v>
      </c>
      <c r="BM12" s="13">
        <f>SUMIFS(SALIDAS_BIT,FECHA_BIT,"&gt;="&amp;BM$2,FECHA_BIT,"&lt;="&amp;BM$3,CLAVE_BIT,$A12)+SUMIFS(SALIDAS_BOV1,FECHA_BOV1,"&gt;="&amp;BM$2,FECHA_BOV1,"&lt;="&amp;BM$3,CLAVE_BOV1,$A12)+SUMIFS(SALIDAS_BOV2,FECHA_BOV2,"&gt;="&amp;BM$2,FECHA_BOV2,"&lt;="&amp;BM$3,CLAVE_BOV2,$A12)+SUMIFS(SALIDAS_BOV3,FECHA_BOV3,"&gt;="&amp;BM$2,FECHA_BOV3,"&lt;="&amp;BM$3,CLAVE_BOV3,$A12)+SUMIFS(SALIDAS_TC,FECHA_TC,"&gt;="&amp;BM$2,FECHA_TC,"&lt;="&amp;BM$3,CLAVE_TC,$A12)+SUMIFS(SALIDAS_COMB,FECHA_COMB,"&gt;="&amp;BM$2,FECHA_COMB,"&lt;="&amp;BM$3,CLAVE_COMB,$A12)+SUMIFS(SALIDAS_DES,FECHA_DESGLOSEN,"&gt;="&amp;BM$2,FECHA_DESGLOSEN,"&lt;="&amp;BM$3,CLAVE_DESGLOSE,$A12)</f>
        <v>14058.49</v>
      </c>
      <c r="BN12" s="13">
        <f>SUMIFS(SALIDAS_BIT,FECHA_BIT,"&gt;="&amp;BN$2,FECHA_BIT,"&lt;="&amp;BN$3,CLAVE_BIT,$A12)+SUMIFS(SALIDAS_BOV1,FECHA_BOV1,"&gt;="&amp;BN$2,FECHA_BOV1,"&lt;="&amp;BN$3,CLAVE_BOV1,$A12)+SUMIFS(SALIDAS_BOV2,FECHA_BOV2,"&gt;="&amp;BN$2,FECHA_BOV2,"&lt;="&amp;BN$3,CLAVE_BOV2,$A12)+SUMIFS(SALIDAS_BOV3,FECHA_BOV3,"&gt;="&amp;BN$2,FECHA_BOV3,"&lt;="&amp;BN$3,CLAVE_BOV3,$A12)+SUMIFS(SALIDAS_TC,FECHA_TC,"&gt;="&amp;BN$2,FECHA_TC,"&lt;="&amp;BN$3,CLAVE_TC,$A12)+SUMIFS(SALIDAS_COMB,FECHA_COMB,"&gt;="&amp;BN$2,FECHA_COMB,"&lt;="&amp;BN$3,CLAVE_COMB,$A12)+SUMIFS(SALIDAS_DES,FECHA_DESGLOSEN,"&gt;="&amp;BN$2,FECHA_DESGLOSEN,"&lt;="&amp;BN$3,CLAVE_DESGLOSE,$A12)</f>
        <v>14386.09</v>
      </c>
      <c r="BO12" s="13">
        <f>SUMIFS(SALIDAS_BIT,FECHA_BIT,"&gt;="&amp;BO$2,FECHA_BIT,"&lt;="&amp;BO$3,CLAVE_BIT,$A12)+SUMIFS(SALIDAS_BOV1,FECHA_BOV1,"&gt;="&amp;BO$2,FECHA_BOV1,"&lt;="&amp;BO$3,CLAVE_BOV1,$A12)+SUMIFS(SALIDAS_BOV2,FECHA_BOV2,"&gt;="&amp;BO$2,FECHA_BOV2,"&lt;="&amp;BO$3,CLAVE_BOV2,$A12)+SUMIFS(SALIDAS_BOV3,FECHA_BOV3,"&gt;="&amp;BO$2,FECHA_BOV3,"&lt;="&amp;BO$3,CLAVE_BOV3,$A12)+SUMIFS(SALIDAS_TC,FECHA_TC,"&gt;="&amp;BO$2,FECHA_TC,"&lt;="&amp;BO$3,CLAVE_TC,$A12)+SUMIFS(SALIDAS_COMB,FECHA_COMB,"&gt;="&amp;BO$2,FECHA_COMB,"&lt;="&amp;BO$3,CLAVE_COMB,$A12)+SUMIFS(SALIDAS_DES,FECHA_DESGLOSEN,"&gt;="&amp;BO$2,FECHA_DESGLOSEN,"&lt;="&amp;BO$3,CLAVE_DESGLOSE,$A12)</f>
        <v>15453.09</v>
      </c>
      <c r="BP12" s="13">
        <f>SUMIFS(SALIDAS_BIT,FECHA_BIT,"&gt;="&amp;BP$2,FECHA_BIT,"&lt;="&amp;BP$3,CLAVE_BIT,$A12)+SUMIFS(SALIDAS_BOV1,FECHA_BOV1,"&gt;="&amp;BP$2,FECHA_BOV1,"&lt;="&amp;BP$3,CLAVE_BOV1,$A12)+SUMIFS(SALIDAS_BOV2,FECHA_BOV2,"&gt;="&amp;BP$2,FECHA_BOV2,"&lt;="&amp;BP$3,CLAVE_BOV2,$A12)+SUMIFS(SALIDAS_BOV3,FECHA_BOV3,"&gt;="&amp;BP$2,FECHA_BOV3,"&lt;="&amp;BP$3,CLAVE_BOV3,$A12)+SUMIFS(SALIDAS_TC,FECHA_TC,"&gt;="&amp;BP$2,FECHA_TC,"&lt;="&amp;BP$3,CLAVE_TC,$A12)+SUMIFS(SALIDAS_COMB,FECHA_COMB,"&gt;="&amp;BP$2,FECHA_COMB,"&lt;="&amp;BP$3,CLAVE_COMB,$A12)+SUMIFS(SALIDAS_DES,FECHA_DESGLOSEN,"&gt;="&amp;BP$2,FECHA_DESGLOSEN,"&lt;="&amp;BP$3,CLAVE_DESGLOSE,$A12)</f>
        <v>18210.689999999999</v>
      </c>
      <c r="BQ12" s="13">
        <f>SUMIFS(SALIDAS_BIT,FECHA_BIT,"&gt;="&amp;BQ$2,FECHA_BIT,"&lt;="&amp;BQ$3,CLAVE_BIT,$A12)+SUMIFS(SALIDAS_BOV1,FECHA_BOV1,"&gt;="&amp;BQ$2,FECHA_BOV1,"&lt;="&amp;BQ$3,CLAVE_BOV1,$A12)+SUMIFS(SALIDAS_BOV2,FECHA_BOV2,"&gt;="&amp;BQ$2,FECHA_BOV2,"&lt;="&amp;BQ$3,CLAVE_BOV2,$A12)+SUMIFS(SALIDAS_BOV3,FECHA_BOV3,"&gt;="&amp;BQ$2,FECHA_BOV3,"&lt;="&amp;BQ$3,CLAVE_BOV3,$A12)+SUMIFS(SALIDAS_TC,FECHA_TC,"&gt;="&amp;BQ$2,FECHA_TC,"&lt;="&amp;BQ$3,CLAVE_TC,$A12)+SUMIFS(SALIDAS_COMB,FECHA_COMB,"&gt;="&amp;BQ$2,FECHA_COMB,"&lt;="&amp;BQ$3,CLAVE_COMB,$A12)+SUMIFS(SALIDAS_DES,FECHA_DESGLOSEN,"&gt;="&amp;BQ$2,FECHA_DESGLOSEN,"&lt;="&amp;BQ$3,CLAVE_DESGLOSE,$A12)</f>
        <v>14404.29</v>
      </c>
      <c r="BR12" s="13">
        <f>SUMIFS(SALIDAS_BIT,FECHA_BIT,"&gt;="&amp;BR$2,FECHA_BIT,"&lt;="&amp;BR$3,CLAVE_BIT,$A12)+SUMIFS(SALIDAS_BOV1,FECHA_BOV1,"&gt;="&amp;BR$2,FECHA_BOV1,"&lt;="&amp;BR$3,CLAVE_BOV1,$A12)+SUMIFS(SALIDAS_BOV2,FECHA_BOV2,"&gt;="&amp;BR$2,FECHA_BOV2,"&lt;="&amp;BR$3,CLAVE_BOV2,$A12)+SUMIFS(SALIDAS_BOV3,FECHA_BOV3,"&gt;="&amp;BR$2,FECHA_BOV3,"&lt;="&amp;BR$3,CLAVE_BOV3,$A12)+SUMIFS(SALIDAS_TC,FECHA_TC,"&gt;="&amp;BR$2,FECHA_TC,"&lt;="&amp;BR$3,CLAVE_TC,$A12)+SUMIFS(SALIDAS_COMB,FECHA_COMB,"&gt;="&amp;BR$2,FECHA_COMB,"&lt;="&amp;BR$3,CLAVE_COMB,$A12)+SUMIFS(SALIDAS_DES,FECHA_DESGLOSEN,"&gt;="&amp;BR$2,FECHA_DESGLOSEN,"&lt;="&amp;BR$3,CLAVE_DESGLOSE,$A12)</f>
        <v>76512.649999999994</v>
      </c>
      <c r="BS12" s="68">
        <f t="shared" si="72"/>
        <v>3487.3500000000058</v>
      </c>
      <c r="BT12" s="268">
        <f t="shared" si="73"/>
        <v>0.95640812499999994</v>
      </c>
      <c r="BU12" s="13">
        <f t="shared" si="49"/>
        <v>64000</v>
      </c>
      <c r="BV12" s="13">
        <f t="shared" si="50"/>
        <v>12658.89</v>
      </c>
      <c r="BW12" s="13">
        <f t="shared" si="50"/>
        <v>12424.89</v>
      </c>
      <c r="BX12" s="13">
        <f t="shared" si="50"/>
        <v>12153.09</v>
      </c>
      <c r="BY12" s="13">
        <f t="shared" si="50"/>
        <v>14532.89</v>
      </c>
      <c r="BZ12" s="13">
        <f t="shared" si="50"/>
        <v>51769.759999999995</v>
      </c>
      <c r="CA12" s="68">
        <f t="shared" si="74"/>
        <v>12230.240000000005</v>
      </c>
      <c r="CB12" s="268">
        <f t="shared" si="75"/>
        <v>0.80890249999999997</v>
      </c>
      <c r="CC12" s="13">
        <f t="shared" si="51"/>
        <v>64000</v>
      </c>
      <c r="CD12" s="13">
        <f t="shared" si="52"/>
        <v>14619.29</v>
      </c>
      <c r="CE12" s="13">
        <f t="shared" si="52"/>
        <v>15005.09</v>
      </c>
      <c r="CF12" s="13">
        <f t="shared" si="52"/>
        <v>18138.09</v>
      </c>
      <c r="CG12" s="13">
        <f t="shared" si="52"/>
        <v>13727.29</v>
      </c>
      <c r="CH12" s="13">
        <f t="shared" si="52"/>
        <v>61489.760000000002</v>
      </c>
      <c r="CI12" s="68">
        <f t="shared" si="76"/>
        <v>2510.239999999998</v>
      </c>
      <c r="CJ12" s="268">
        <f t="shared" si="77"/>
        <v>0.96077750000000006</v>
      </c>
      <c r="CK12" s="13">
        <f t="shared" si="53"/>
        <v>93033</v>
      </c>
      <c r="CL12" s="13">
        <f t="shared" si="54"/>
        <v>14854.49</v>
      </c>
      <c r="CM12" s="13">
        <f t="shared" si="54"/>
        <v>16914.09</v>
      </c>
      <c r="CN12" s="13">
        <f t="shared" si="54"/>
        <v>27397.09</v>
      </c>
      <c r="CO12" s="13">
        <f t="shared" si="54"/>
        <v>36259.69</v>
      </c>
      <c r="CP12" s="13">
        <f t="shared" si="54"/>
        <v>15387.49</v>
      </c>
      <c r="CQ12" s="13">
        <f t="shared" si="54"/>
        <v>110812.85</v>
      </c>
      <c r="CR12" s="68">
        <f t="shared" si="78"/>
        <v>-17779.850000000006</v>
      </c>
      <c r="CS12" s="268">
        <f t="shared" si="79"/>
        <v>1.1911133683746629</v>
      </c>
      <c r="CT12" s="68">
        <f t="shared" si="55"/>
        <v>58500</v>
      </c>
      <c r="CU12" s="13">
        <f>SUMIFS(SALIDAS_BIT,FECHA_BIT,"&gt;="&amp;CU$2,FECHA_BIT,"&lt;="&amp;CU$3,CLAVE_BIT,$A12)+SUMIFS(SALIDAS_BOV1,FECHA_BOV1,"&gt;="&amp;CU$2,FECHA_BOV1,"&lt;="&amp;CU$3,CLAVE_BOV1,$A12)+SUMIFS(SALIDAS_BOV2,FECHA_BOV2,"&gt;="&amp;CU$2,FECHA_BOV2,"&lt;="&amp;CU$3,CLAVE_BOV2,$A12)+SUMIFS(SALIDAS_BOV3,FECHA_BOV3,"&gt;="&amp;CU$2,FECHA_BOV3,"&lt;="&amp;CU$3,CLAVE_BOV3,$A12)+SUMIFS(SALIDAS_TC,FECHA_TC,"&gt;="&amp;CU$2,FECHA_TC,"&lt;="&amp;CU$3,CLAVE_TC,$A12)+SUMIFS(SALIDAS_COMB,FECHA_COMB,"&gt;="&amp;CU$2,FECHA_COMB,"&lt;="&amp;CU$3,CLAVE_COMB,$A12)+SUMIFS(SALIDAS_DES,FECHA_DESGLOSEN,"&gt;="&amp;CU$2,FECHA_DESGLOSEN,"&lt;="&amp;CU$3,CLAVE_DESGLOSE,$A12)</f>
        <v>11974.49</v>
      </c>
      <c r="CV12" s="13">
        <f>SUMIFS(SALIDAS_BIT,FECHA_BIT,"&gt;="&amp;CV$2,FECHA_BIT,"&lt;="&amp;CV$3,CLAVE_BIT,$A12)+SUMIFS(SALIDAS_BOV1,FECHA_BOV1,"&gt;="&amp;CV$2,FECHA_BOV1,"&lt;="&amp;CV$3,CLAVE_BOV1,$A12)+SUMIFS(SALIDAS_BOV2,FECHA_BOV2,"&gt;="&amp;CV$2,FECHA_BOV2,"&lt;="&amp;CV$3,CLAVE_BOV2,$A12)+SUMIFS(SALIDAS_BOV3,FECHA_BOV3,"&gt;="&amp;CV$2,FECHA_BOV3,"&lt;="&amp;CV$3,CLAVE_BOV3,$A12)+SUMIFS(SALIDAS_TC,FECHA_TC,"&gt;="&amp;CV$2,FECHA_TC,"&lt;="&amp;CV$3,CLAVE_TC,$A12)+SUMIFS(SALIDAS_COMB,FECHA_COMB,"&gt;="&amp;CV$2,FECHA_COMB,"&lt;="&amp;CV$3,CLAVE_COMB,$A12)+SUMIFS(SALIDAS_DES,FECHA_DESGLOSEN,"&gt;="&amp;CV$2,FECHA_DESGLOSEN,"&lt;="&amp;CV$3,CLAVE_DESGLOSE,$A12)</f>
        <v>15171.69</v>
      </c>
      <c r="CW12" s="13">
        <f>SUMIFS(SALIDAS_BIT,FECHA_BIT,"&gt;="&amp;CW$2,FECHA_BIT,"&lt;="&amp;CW$3,CLAVE_BIT,$A12)+SUMIFS(SALIDAS_BOV1,FECHA_BOV1,"&gt;="&amp;CW$2,FECHA_BOV1,"&lt;="&amp;CW$3,CLAVE_BOV1,$A12)+SUMIFS(SALIDAS_BOV2,FECHA_BOV2,"&gt;="&amp;CW$2,FECHA_BOV2,"&lt;="&amp;CW$3,CLAVE_BOV2,$A12)+SUMIFS(SALIDAS_BOV3,FECHA_BOV3,"&gt;="&amp;CW$2,FECHA_BOV3,"&lt;="&amp;CW$3,CLAVE_BOV3,$A12)+SUMIFS(SALIDAS_TC,FECHA_TC,"&gt;="&amp;CW$2,FECHA_TC,"&lt;="&amp;CW$3,CLAVE_TC,$A12)+SUMIFS(SALIDAS_COMB,FECHA_COMB,"&gt;="&amp;CW$2,FECHA_COMB,"&lt;="&amp;CW$3,CLAVE_COMB,$A12)+SUMIFS(SALIDAS_DES,FECHA_DESGLOSEN,"&gt;="&amp;CW$2,FECHA_DESGLOSEN,"&lt;="&amp;CW$3,CLAVE_DESGLOSE,$A12)</f>
        <v>16614.09</v>
      </c>
      <c r="CX12" s="13">
        <f>SUMIFS(SALIDAS_BIT,FECHA_BIT,"&gt;="&amp;CX$2,FECHA_BIT,"&lt;="&amp;CX$3,CLAVE_BIT,$A12)+SUMIFS(SALIDAS_BOV1,FECHA_BOV1,"&gt;="&amp;CX$2,FECHA_BOV1,"&lt;="&amp;CX$3,CLAVE_BOV1,$A12)+SUMIFS(SALIDAS_BOV2,FECHA_BOV2,"&gt;="&amp;CX$2,FECHA_BOV2,"&lt;="&amp;CX$3,CLAVE_BOV2,$A12)+SUMIFS(SALIDAS_BOV3,FECHA_BOV3,"&gt;="&amp;CX$2,FECHA_BOV3,"&lt;="&amp;CX$3,CLAVE_BOV3,$A12)+SUMIFS(SALIDAS_TC,FECHA_TC,"&gt;="&amp;CX$2,FECHA_TC,"&lt;="&amp;CX$3,CLAVE_TC,$A12)+SUMIFS(SALIDAS_COMB,FECHA_COMB,"&gt;="&amp;CX$2,FECHA_COMB,"&lt;="&amp;CX$3,CLAVE_COMB,$A12)+SUMIFS(SALIDAS_DES,FECHA_DESGLOSEN,"&gt;="&amp;CX$2,FECHA_DESGLOSEN,"&lt;="&amp;CX$3,CLAVE_DESGLOSE,$A12)</f>
        <v>16092.09</v>
      </c>
      <c r="CY12" s="13">
        <f>SUMIFS(SALIDAS_BIT,FECHA_BIT,"&gt;="&amp;CY$2,FECHA_BIT,"&lt;="&amp;CY$3,CLAVE_BIT,$A12)+SUMIFS(SALIDAS_BOV1,FECHA_BOV1,"&gt;="&amp;CY$2,FECHA_BOV1,"&lt;="&amp;CY$3,CLAVE_BOV1,$A12)+SUMIFS(SALIDAS_BOV2,FECHA_BOV2,"&gt;="&amp;CY$2,FECHA_BOV2,"&lt;="&amp;CY$3,CLAVE_BOV2,$A12)+SUMIFS(SALIDAS_BOV3,FECHA_BOV3,"&gt;="&amp;CY$2,FECHA_BOV3,"&lt;="&amp;CY$3,CLAVE_BOV3,$A12)+SUMIFS(SALIDAS_TC,FECHA_TC,"&gt;="&amp;CY$2,FECHA_TC,"&lt;="&amp;CY$3,CLAVE_TC,$A12)+SUMIFS(SALIDAS_COMB,FECHA_COMB,"&gt;="&amp;CY$2,FECHA_COMB,"&lt;="&amp;CY$3,CLAVE_COMB,$A12)+SUMIFS(SALIDAS_DES,FECHA_DESGLOSEN,"&gt;="&amp;CY$2,FECHA_DESGLOSEN,"&lt;="&amp;CY$3,CLAVE_DESGLOSE,$A12)</f>
        <v>59852.36</v>
      </c>
      <c r="CZ12" s="68">
        <f t="shared" si="80"/>
        <v>-1352.3600000000006</v>
      </c>
      <c r="DB12" s="17">
        <f>F12+N12+W12+AE12+AM12+AV12+BD12+BL12+BU12+CC12+CK12</f>
        <v>796771</v>
      </c>
      <c r="DC12" s="17">
        <f>K12+T12+AB12+AJ12+AS12+BA12+BI12+BR12+BZ12+CH12+CQ12</f>
        <v>715265.99</v>
      </c>
    </row>
    <row r="13" spans="1:1023 1025:2047 2049:3071 3073:4095 4097:5119 5121:6143 6145:7167 7169:8191 8193:9215 9217:10239 10241:11263 11265:12287 12289:13311 13313:14335 14337:15359 15361:16357" hidden="1">
      <c r="A13" s="12" t="str">
        <f t="shared" si="57"/>
        <v>HRNOMINA SUCURSALA8</v>
      </c>
      <c r="B13" s="12">
        <v>7</v>
      </c>
      <c r="C13" t="s">
        <v>29</v>
      </c>
      <c r="D13" s="12" t="s">
        <v>154</v>
      </c>
      <c r="E13" s="12" t="s">
        <v>94</v>
      </c>
      <c r="F13" s="259">
        <f t="shared" si="58"/>
        <v>75030</v>
      </c>
      <c r="G13" s="13">
        <f t="shared" si="35"/>
        <v>20057.2</v>
      </c>
      <c r="H13" s="13">
        <f t="shared" si="35"/>
        <v>16803.400000000001</v>
      </c>
      <c r="I13" s="13">
        <f t="shared" si="35"/>
        <v>13786.6</v>
      </c>
      <c r="J13" s="13">
        <f t="shared" si="35"/>
        <v>17105.2</v>
      </c>
      <c r="K13" s="13">
        <f t="shared" si="35"/>
        <v>67752.400000000009</v>
      </c>
      <c r="L13" s="68">
        <f t="shared" si="59"/>
        <v>7277.5999999999913</v>
      </c>
      <c r="M13" s="268">
        <f t="shared" si="60"/>
        <v>0.90300413168066118</v>
      </c>
      <c r="N13" s="13">
        <f t="shared" si="36"/>
        <v>93787.5</v>
      </c>
      <c r="O13" s="13">
        <f t="shared" si="37"/>
        <v>18413.8</v>
      </c>
      <c r="P13" s="13">
        <f t="shared" si="37"/>
        <v>17275.2</v>
      </c>
      <c r="Q13" s="13">
        <f t="shared" si="37"/>
        <v>22623</v>
      </c>
      <c r="R13" s="13">
        <f t="shared" si="37"/>
        <v>17338</v>
      </c>
      <c r="S13" s="13">
        <f t="shared" si="37"/>
        <v>17042.8</v>
      </c>
      <c r="T13" s="13">
        <f t="shared" si="37"/>
        <v>92692.800000000003</v>
      </c>
      <c r="U13" s="68">
        <f t="shared" si="61"/>
        <v>1094.6999999999971</v>
      </c>
      <c r="V13" s="268">
        <f t="shared" si="62"/>
        <v>0.98832786885245905</v>
      </c>
      <c r="W13" s="13">
        <f t="shared" si="38"/>
        <v>75030</v>
      </c>
      <c r="X13" s="13">
        <f t="shared" si="39"/>
        <v>16786</v>
      </c>
      <c r="Y13" s="13">
        <f t="shared" si="39"/>
        <v>17991.8</v>
      </c>
      <c r="Z13" s="13">
        <f t="shared" si="39"/>
        <v>15884.4</v>
      </c>
      <c r="AA13" s="13">
        <f t="shared" si="39"/>
        <v>16731.8</v>
      </c>
      <c r="AB13" s="13">
        <f t="shared" si="39"/>
        <v>67394</v>
      </c>
      <c r="AC13" s="68">
        <f t="shared" si="63"/>
        <v>7636</v>
      </c>
      <c r="AD13" s="268">
        <f t="shared" si="64"/>
        <v>0.89822737571638012</v>
      </c>
      <c r="AE13" s="13">
        <f t="shared" si="40"/>
        <v>75030</v>
      </c>
      <c r="AF13" s="13">
        <f t="shared" si="41"/>
        <v>19644.400000000001</v>
      </c>
      <c r="AG13" s="13">
        <f t="shared" si="41"/>
        <v>13411.4</v>
      </c>
      <c r="AH13" s="13">
        <f t="shared" si="41"/>
        <v>13851.8</v>
      </c>
      <c r="AI13" s="13">
        <f t="shared" si="41"/>
        <v>13434</v>
      </c>
      <c r="AJ13" s="13">
        <f t="shared" si="41"/>
        <v>60341.600000000006</v>
      </c>
      <c r="AK13" s="68">
        <f t="shared" si="65"/>
        <v>14688.399999999994</v>
      </c>
      <c r="AL13" s="268">
        <f t="shared" si="66"/>
        <v>0.80423297347727585</v>
      </c>
      <c r="AM13" s="13">
        <f t="shared" si="42"/>
        <v>93787.5</v>
      </c>
      <c r="AN13" s="13">
        <f t="shared" si="43"/>
        <v>14977</v>
      </c>
      <c r="AO13" s="13">
        <f t="shared" si="43"/>
        <v>16077.6</v>
      </c>
      <c r="AP13" s="13">
        <f t="shared" si="43"/>
        <v>19958.400000000001</v>
      </c>
      <c r="AQ13" s="13">
        <f t="shared" si="43"/>
        <v>22585.4</v>
      </c>
      <c r="AR13" s="13">
        <f t="shared" si="43"/>
        <v>17308.2</v>
      </c>
      <c r="AS13" s="13">
        <f t="shared" si="43"/>
        <v>90906.599999999991</v>
      </c>
      <c r="AT13" s="68">
        <f>AM13-AS13</f>
        <v>2880.9000000000087</v>
      </c>
      <c r="AU13" s="268">
        <f t="shared" si="67"/>
        <v>0.96928268692522979</v>
      </c>
      <c r="AV13" s="13">
        <f t="shared" si="44"/>
        <v>75030</v>
      </c>
      <c r="AW13" s="13">
        <f t="shared" si="45"/>
        <v>18634.8</v>
      </c>
      <c r="AX13" s="13">
        <f t="shared" si="45"/>
        <v>17588.2</v>
      </c>
      <c r="AY13" s="13">
        <f t="shared" si="45"/>
        <v>15495.6</v>
      </c>
      <c r="AZ13" s="13">
        <f t="shared" si="45"/>
        <v>13533.8</v>
      </c>
      <c r="BA13" s="13">
        <f t="shared" si="45"/>
        <v>65252.399999999994</v>
      </c>
      <c r="BB13" s="68">
        <f t="shared" si="68"/>
        <v>9777.6000000000058</v>
      </c>
      <c r="BC13" s="268">
        <f t="shared" si="69"/>
        <v>0.86968412634946013</v>
      </c>
      <c r="BD13" s="13">
        <f t="shared" si="46"/>
        <v>75030</v>
      </c>
      <c r="BE13" s="13">
        <f>SUMIFS(SALIDAS_BIT,FECHA_BIT,"&gt;="&amp;BE$2,FECHA_BIT,"&lt;="&amp;BE$3,CLAVE_BIT,$A13)+SUMIFS(SALIDAS_BOV1,FECHA_BOV1,"&gt;="&amp;BE$2,FECHA_BOV1,"&lt;="&amp;BE$3,CLAVE_BOV1,$A13)+SUMIFS(SALIDAS_BOV2,FECHA_BOV2,"&gt;="&amp;BE$2,FECHA_BOV2,"&lt;="&amp;BE$3,CLAVE_BOV2,$A13)+SUMIFS(SALIDAS_BOV3,FECHA_BOV3,"&gt;="&amp;BE$2,FECHA_BOV3,"&lt;="&amp;BE$3,CLAVE_BOV3,$A13)+SUMIFS(SALIDAS_TC,FECHA_TC,"&gt;="&amp;BE$2,FECHA_TC,"&lt;="&amp;BE$3,CLAVE_TC,$A13)+SUMIFS(SALIDAS_COMB,FECHA_COMB,"&gt;="&amp;BE$2,FECHA_COMB,"&lt;="&amp;BE$3,CLAVE_COMB,$A13)+SUMIFS(SALIDAS_DES,FECHA_DESGLOSEN,"&gt;="&amp;BE$2,FECHA_DESGLOSEN,"&lt;="&amp;BE$3,CLAVE_DESGLOSE,$A13)</f>
        <v>14584.4</v>
      </c>
      <c r="BF13" s="13">
        <f>SUMIFS(SALIDAS_BIT,FECHA_BIT,"&gt;="&amp;BF$2,FECHA_BIT,"&lt;="&amp;BF$3,CLAVE_BIT,$A13)+SUMIFS(SALIDAS_BOV1,FECHA_BOV1,"&gt;="&amp;BF$2,FECHA_BOV1,"&lt;="&amp;BF$3,CLAVE_BOV1,$A13)+SUMIFS(SALIDAS_BOV2,FECHA_BOV2,"&gt;="&amp;BF$2,FECHA_BOV2,"&lt;="&amp;BF$3,CLAVE_BOV2,$A13)+SUMIFS(SALIDAS_BOV3,FECHA_BOV3,"&gt;="&amp;BF$2,FECHA_BOV3,"&lt;="&amp;BF$3,CLAVE_BOV3,$A13)+SUMIFS(SALIDAS_TC,FECHA_TC,"&gt;="&amp;BF$2,FECHA_TC,"&lt;="&amp;BF$3,CLAVE_TC,$A13)+SUMIFS(SALIDAS_COMB,FECHA_COMB,"&gt;="&amp;BF$2,FECHA_COMB,"&lt;="&amp;BF$3,CLAVE_COMB,$A13)+SUMIFS(SALIDAS_DES,FECHA_DESGLOSEN,"&gt;="&amp;BF$2,FECHA_DESGLOSEN,"&lt;="&amp;BF$3,CLAVE_DESGLOSE,$A13)</f>
        <v>17557.8</v>
      </c>
      <c r="BG13" s="13">
        <f>SUMIFS(SALIDAS_BIT,FECHA_BIT,"&gt;="&amp;BG$2,FECHA_BIT,"&lt;="&amp;BG$3,CLAVE_BIT,$A13)+SUMIFS(SALIDAS_BOV1,FECHA_BOV1,"&gt;="&amp;BG$2,FECHA_BOV1,"&lt;="&amp;BG$3,CLAVE_BOV1,$A13)+SUMIFS(SALIDAS_BOV2,FECHA_BOV2,"&gt;="&amp;BG$2,FECHA_BOV2,"&lt;="&amp;BG$3,CLAVE_BOV2,$A13)+SUMIFS(SALIDAS_BOV3,FECHA_BOV3,"&gt;="&amp;BG$2,FECHA_BOV3,"&lt;="&amp;BG$3,CLAVE_BOV3,$A13)+SUMIFS(SALIDAS_TC,FECHA_TC,"&gt;="&amp;BG$2,FECHA_TC,"&lt;="&amp;BG$3,CLAVE_TC,$A13)+SUMIFS(SALIDAS_COMB,FECHA_COMB,"&gt;="&amp;BG$2,FECHA_COMB,"&lt;="&amp;BG$3,CLAVE_COMB,$A13)+SUMIFS(SALIDAS_DES,FECHA_DESGLOSEN,"&gt;="&amp;BG$2,FECHA_DESGLOSEN,"&lt;="&amp;BG$3,CLAVE_DESGLOSE,$A13)</f>
        <v>17591</v>
      </c>
      <c r="BH13" s="13">
        <f>SUMIFS(SALIDAS_BIT,FECHA_BIT,"&gt;="&amp;BH$2,FECHA_BIT,"&lt;="&amp;BH$3,CLAVE_BIT,$A13)+SUMIFS(SALIDAS_BOV1,FECHA_BOV1,"&gt;="&amp;BH$2,FECHA_BOV1,"&lt;="&amp;BH$3,CLAVE_BOV1,$A13)+SUMIFS(SALIDAS_BOV2,FECHA_BOV2,"&gt;="&amp;BH$2,FECHA_BOV2,"&lt;="&amp;BH$3,CLAVE_BOV2,$A13)+SUMIFS(SALIDAS_BOV3,FECHA_BOV3,"&gt;="&amp;BH$2,FECHA_BOV3,"&lt;="&amp;BH$3,CLAVE_BOV3,$A13)+SUMIFS(SALIDAS_TC,FECHA_TC,"&gt;="&amp;BH$2,FECHA_TC,"&lt;="&amp;BH$3,CLAVE_TC,$A13)+SUMIFS(SALIDAS_COMB,FECHA_COMB,"&gt;="&amp;BH$2,FECHA_COMB,"&lt;="&amp;BH$3,CLAVE_COMB,$A13)+SUMIFS(SALIDAS_DES,FECHA_DESGLOSEN,"&gt;="&amp;BH$2,FECHA_DESGLOSEN,"&lt;="&amp;BH$3,CLAVE_DESGLOSE,$A13)</f>
        <v>18814.400000000001</v>
      </c>
      <c r="BI13" s="13">
        <f>SUMIFS(SALIDAS_BIT,FECHA_BIT,"&gt;="&amp;BI$2,FECHA_BIT,"&lt;="&amp;BI$3,CLAVE_BIT,$A13)+SUMIFS(SALIDAS_BOV1,FECHA_BOV1,"&gt;="&amp;BI$2,FECHA_BOV1,"&lt;="&amp;BI$3,CLAVE_BOV1,$A13)+SUMIFS(SALIDAS_BOV2,FECHA_BOV2,"&gt;="&amp;BI$2,FECHA_BOV2,"&lt;="&amp;BI$3,CLAVE_BOV2,$A13)+SUMIFS(SALIDAS_BOV3,FECHA_BOV3,"&gt;="&amp;BI$2,FECHA_BOV3,"&lt;="&amp;BI$3,CLAVE_BOV3,$A13)+SUMIFS(SALIDAS_TC,FECHA_TC,"&gt;="&amp;BI$2,FECHA_TC,"&lt;="&amp;BI$3,CLAVE_TC,$A13)+SUMIFS(SALIDAS_COMB,FECHA_COMB,"&gt;="&amp;BI$2,FECHA_COMB,"&lt;="&amp;BI$3,CLAVE_COMB,$A13)+SUMIFS(SALIDAS_DES,FECHA_DESGLOSEN,"&gt;="&amp;BI$2,FECHA_DESGLOSEN,"&lt;="&amp;BI$3,CLAVE_DESGLOSE,$A13)</f>
        <v>68547.600000000006</v>
      </c>
      <c r="BJ13" s="68">
        <f t="shared" si="70"/>
        <v>6482.3999999999942</v>
      </c>
      <c r="BK13" s="268">
        <f t="shared" si="71"/>
        <v>0.91360255897640952</v>
      </c>
      <c r="BL13" s="13">
        <f t="shared" si="47"/>
        <v>93787.5</v>
      </c>
      <c r="BM13" s="13">
        <f>SUMIFS(SALIDAS_BIT,FECHA_BIT,"&gt;="&amp;BM$2,FECHA_BIT,"&lt;="&amp;BM$3,CLAVE_BIT,$A13)+SUMIFS(SALIDAS_BOV1,FECHA_BOV1,"&gt;="&amp;BM$2,FECHA_BOV1,"&lt;="&amp;BM$3,CLAVE_BOV1,$A13)+SUMIFS(SALIDAS_BOV2,FECHA_BOV2,"&gt;="&amp;BM$2,FECHA_BOV2,"&lt;="&amp;BM$3,CLAVE_BOV2,$A13)+SUMIFS(SALIDAS_BOV3,FECHA_BOV3,"&gt;="&amp;BM$2,FECHA_BOV3,"&lt;="&amp;BM$3,CLAVE_BOV3,$A13)+SUMIFS(SALIDAS_TC,FECHA_TC,"&gt;="&amp;BM$2,FECHA_TC,"&lt;="&amp;BM$3,CLAVE_TC,$A13)+SUMIFS(SALIDAS_COMB,FECHA_COMB,"&gt;="&amp;BM$2,FECHA_COMB,"&lt;="&amp;BM$3,CLAVE_COMB,$A13)+SUMIFS(SALIDAS_DES,FECHA_DESGLOSEN,"&gt;="&amp;BM$2,FECHA_DESGLOSEN,"&lt;="&amp;BM$3,CLAVE_DESGLOSE,$A13)</f>
        <v>15790.8</v>
      </c>
      <c r="BN13" s="13">
        <f>SUMIFS(SALIDAS_BIT,FECHA_BIT,"&gt;="&amp;BN$2,FECHA_BIT,"&lt;="&amp;BN$3,CLAVE_BIT,$A13)+SUMIFS(SALIDAS_BOV1,FECHA_BOV1,"&gt;="&amp;BN$2,FECHA_BOV1,"&lt;="&amp;BN$3,CLAVE_BOV1,$A13)+SUMIFS(SALIDAS_BOV2,FECHA_BOV2,"&gt;="&amp;BN$2,FECHA_BOV2,"&lt;="&amp;BN$3,CLAVE_BOV2,$A13)+SUMIFS(SALIDAS_BOV3,FECHA_BOV3,"&gt;="&amp;BN$2,FECHA_BOV3,"&lt;="&amp;BN$3,CLAVE_BOV3,$A13)+SUMIFS(SALIDAS_TC,FECHA_TC,"&gt;="&amp;BN$2,FECHA_TC,"&lt;="&amp;BN$3,CLAVE_TC,$A13)+SUMIFS(SALIDAS_COMB,FECHA_COMB,"&gt;="&amp;BN$2,FECHA_COMB,"&lt;="&amp;BN$3,CLAVE_COMB,$A13)+SUMIFS(SALIDAS_DES,FECHA_DESGLOSEN,"&gt;="&amp;BN$2,FECHA_DESGLOSEN,"&lt;="&amp;BN$3,CLAVE_DESGLOSE,$A13)</f>
        <v>14537.6</v>
      </c>
      <c r="BO13" s="13">
        <f>SUMIFS(SALIDAS_BIT,FECHA_BIT,"&gt;="&amp;BO$2,FECHA_BIT,"&lt;="&amp;BO$3,CLAVE_BIT,$A13)+SUMIFS(SALIDAS_BOV1,FECHA_BOV1,"&gt;="&amp;BO$2,FECHA_BOV1,"&lt;="&amp;BO$3,CLAVE_BOV1,$A13)+SUMIFS(SALIDAS_BOV2,FECHA_BOV2,"&gt;="&amp;BO$2,FECHA_BOV2,"&lt;="&amp;BO$3,CLAVE_BOV2,$A13)+SUMIFS(SALIDAS_BOV3,FECHA_BOV3,"&gt;="&amp;BO$2,FECHA_BOV3,"&lt;="&amp;BO$3,CLAVE_BOV3,$A13)+SUMIFS(SALIDAS_TC,FECHA_TC,"&gt;="&amp;BO$2,FECHA_TC,"&lt;="&amp;BO$3,CLAVE_TC,$A13)+SUMIFS(SALIDAS_COMB,FECHA_COMB,"&gt;="&amp;BO$2,FECHA_COMB,"&lt;="&amp;BO$3,CLAVE_COMB,$A13)+SUMIFS(SALIDAS_DES,FECHA_DESGLOSEN,"&gt;="&amp;BO$2,FECHA_DESGLOSEN,"&lt;="&amp;BO$3,CLAVE_DESGLOSE,$A13)</f>
        <v>13991.2</v>
      </c>
      <c r="BP13" s="13">
        <f>SUMIFS(SALIDAS_BIT,FECHA_BIT,"&gt;="&amp;BP$2,FECHA_BIT,"&lt;="&amp;BP$3,CLAVE_BIT,$A13)+SUMIFS(SALIDAS_BOV1,FECHA_BOV1,"&gt;="&amp;BP$2,FECHA_BOV1,"&lt;="&amp;BP$3,CLAVE_BOV1,$A13)+SUMIFS(SALIDAS_BOV2,FECHA_BOV2,"&gt;="&amp;BP$2,FECHA_BOV2,"&lt;="&amp;BP$3,CLAVE_BOV2,$A13)+SUMIFS(SALIDAS_BOV3,FECHA_BOV3,"&gt;="&amp;BP$2,FECHA_BOV3,"&lt;="&amp;BP$3,CLAVE_BOV3,$A13)+SUMIFS(SALIDAS_TC,FECHA_TC,"&gt;="&amp;BP$2,FECHA_TC,"&lt;="&amp;BP$3,CLAVE_TC,$A13)+SUMIFS(SALIDAS_COMB,FECHA_COMB,"&gt;="&amp;BP$2,FECHA_COMB,"&lt;="&amp;BP$3,CLAVE_COMB,$A13)+SUMIFS(SALIDAS_DES,FECHA_DESGLOSEN,"&gt;="&amp;BP$2,FECHA_DESGLOSEN,"&lt;="&amp;BP$3,CLAVE_DESGLOSE,$A13)</f>
        <v>16868</v>
      </c>
      <c r="BQ13" s="13">
        <f>SUMIFS(SALIDAS_BIT,FECHA_BIT,"&gt;="&amp;BQ$2,FECHA_BIT,"&lt;="&amp;BQ$3,CLAVE_BIT,$A13)+SUMIFS(SALIDAS_BOV1,FECHA_BOV1,"&gt;="&amp;BQ$2,FECHA_BOV1,"&lt;="&amp;BQ$3,CLAVE_BOV1,$A13)+SUMIFS(SALIDAS_BOV2,FECHA_BOV2,"&gt;="&amp;BQ$2,FECHA_BOV2,"&lt;="&amp;BQ$3,CLAVE_BOV2,$A13)+SUMIFS(SALIDAS_BOV3,FECHA_BOV3,"&gt;="&amp;BQ$2,FECHA_BOV3,"&lt;="&amp;BQ$3,CLAVE_BOV3,$A13)+SUMIFS(SALIDAS_TC,FECHA_TC,"&gt;="&amp;BQ$2,FECHA_TC,"&lt;="&amp;BQ$3,CLAVE_TC,$A13)+SUMIFS(SALIDAS_COMB,FECHA_COMB,"&gt;="&amp;BQ$2,FECHA_COMB,"&lt;="&amp;BQ$3,CLAVE_COMB,$A13)+SUMIFS(SALIDAS_DES,FECHA_DESGLOSEN,"&gt;="&amp;BQ$2,FECHA_DESGLOSEN,"&lt;="&amp;BQ$3,CLAVE_DESGLOSE,$A13)</f>
        <v>13677.2</v>
      </c>
      <c r="BR13" s="13">
        <f>SUMIFS(SALIDAS_BIT,FECHA_BIT,"&gt;="&amp;BR$2,FECHA_BIT,"&lt;="&amp;BR$3,CLAVE_BIT,$A13)+SUMIFS(SALIDAS_BOV1,FECHA_BOV1,"&gt;="&amp;BR$2,FECHA_BOV1,"&lt;="&amp;BR$3,CLAVE_BOV1,$A13)+SUMIFS(SALIDAS_BOV2,FECHA_BOV2,"&gt;="&amp;BR$2,FECHA_BOV2,"&lt;="&amp;BR$3,CLAVE_BOV2,$A13)+SUMIFS(SALIDAS_BOV3,FECHA_BOV3,"&gt;="&amp;BR$2,FECHA_BOV3,"&lt;="&amp;BR$3,CLAVE_BOV3,$A13)+SUMIFS(SALIDAS_TC,FECHA_TC,"&gt;="&amp;BR$2,FECHA_TC,"&lt;="&amp;BR$3,CLAVE_TC,$A13)+SUMIFS(SALIDAS_COMB,FECHA_COMB,"&gt;="&amp;BR$2,FECHA_COMB,"&lt;="&amp;BR$3,CLAVE_COMB,$A13)+SUMIFS(SALIDAS_DES,FECHA_DESGLOSEN,"&gt;="&amp;BR$2,FECHA_DESGLOSEN,"&lt;="&amp;BR$3,CLAVE_DESGLOSE,$A13)</f>
        <v>74864.800000000003</v>
      </c>
      <c r="BS13" s="68">
        <f t="shared" si="72"/>
        <v>18922.699999999997</v>
      </c>
      <c r="BT13" s="268">
        <f t="shared" si="73"/>
        <v>0.79823857123817143</v>
      </c>
      <c r="BU13" s="13">
        <f t="shared" si="49"/>
        <v>75030</v>
      </c>
      <c r="BV13" s="13">
        <f t="shared" si="50"/>
        <v>14294</v>
      </c>
      <c r="BW13" s="13">
        <f t="shared" si="50"/>
        <v>14310.4</v>
      </c>
      <c r="BX13" s="13">
        <f t="shared" si="50"/>
        <v>13623.2</v>
      </c>
      <c r="BY13" s="13">
        <f t="shared" si="50"/>
        <v>15445</v>
      </c>
      <c r="BZ13" s="13">
        <f t="shared" si="50"/>
        <v>57672.600000000006</v>
      </c>
      <c r="CA13" s="68">
        <f t="shared" si="74"/>
        <v>17357.399999999994</v>
      </c>
      <c r="CB13" s="268">
        <f t="shared" si="75"/>
        <v>0.76866053578568583</v>
      </c>
      <c r="CC13" s="13">
        <f t="shared" si="51"/>
        <v>75030</v>
      </c>
      <c r="CD13" s="13">
        <f t="shared" si="52"/>
        <v>15490.4</v>
      </c>
      <c r="CE13" s="13">
        <f t="shared" si="52"/>
        <v>15449.4</v>
      </c>
      <c r="CF13" s="13">
        <f t="shared" si="52"/>
        <v>21289.200000000001</v>
      </c>
      <c r="CG13" s="13">
        <f t="shared" si="52"/>
        <v>17308.2</v>
      </c>
      <c r="CH13" s="13">
        <f t="shared" si="52"/>
        <v>69537.2</v>
      </c>
      <c r="CI13" s="68">
        <f t="shared" si="76"/>
        <v>5492.8000000000029</v>
      </c>
      <c r="CJ13" s="268">
        <f t="shared" si="77"/>
        <v>0.92679194988671199</v>
      </c>
      <c r="CK13" s="13">
        <f t="shared" si="53"/>
        <v>140522</v>
      </c>
      <c r="CL13" s="13">
        <f t="shared" si="54"/>
        <v>23392.6</v>
      </c>
      <c r="CM13" s="13">
        <f t="shared" si="54"/>
        <v>26745.599999999999</v>
      </c>
      <c r="CN13" s="13">
        <f t="shared" si="54"/>
        <v>39552.199999999997</v>
      </c>
      <c r="CO13" s="13">
        <f t="shared" si="54"/>
        <v>49062.6</v>
      </c>
      <c r="CP13" s="13">
        <f t="shared" si="54"/>
        <v>34015</v>
      </c>
      <c r="CQ13" s="13">
        <f t="shared" si="54"/>
        <v>172768</v>
      </c>
      <c r="CR13" s="68">
        <f t="shared" si="78"/>
        <v>-32246</v>
      </c>
      <c r="CS13" s="268">
        <f t="shared" si="79"/>
        <v>1.2294729650873173</v>
      </c>
      <c r="CT13" s="68">
        <f t="shared" si="55"/>
        <v>65170</v>
      </c>
      <c r="CU13" s="13">
        <f>SUMIFS(SALIDAS_BIT,FECHA_BIT,"&gt;="&amp;CU$2,FECHA_BIT,"&lt;="&amp;CU$3,CLAVE_BIT,$A13)+SUMIFS(SALIDAS_BOV1,FECHA_BOV1,"&gt;="&amp;CU$2,FECHA_BOV1,"&lt;="&amp;CU$3,CLAVE_BOV1,$A13)+SUMIFS(SALIDAS_BOV2,FECHA_BOV2,"&gt;="&amp;CU$2,FECHA_BOV2,"&lt;="&amp;CU$3,CLAVE_BOV2,$A13)+SUMIFS(SALIDAS_BOV3,FECHA_BOV3,"&gt;="&amp;CU$2,FECHA_BOV3,"&lt;="&amp;CU$3,CLAVE_BOV3,$A13)+SUMIFS(SALIDAS_TC,FECHA_TC,"&gt;="&amp;CU$2,FECHA_TC,"&lt;="&amp;CU$3,CLAVE_TC,$A13)+SUMIFS(SALIDAS_COMB,FECHA_COMB,"&gt;="&amp;CU$2,FECHA_COMB,"&lt;="&amp;CU$3,CLAVE_COMB,$A13)+SUMIFS(SALIDAS_DES,FECHA_DESGLOSEN,"&gt;="&amp;CU$2,FECHA_DESGLOSEN,"&lt;="&amp;CU$3,CLAVE_DESGLOSE,$A13)</f>
        <v>22890</v>
      </c>
      <c r="CV13" s="13">
        <f>SUMIFS(SALIDAS_BIT,FECHA_BIT,"&gt;="&amp;CV$2,FECHA_BIT,"&lt;="&amp;CV$3,CLAVE_BIT,$A13)+SUMIFS(SALIDAS_BOV1,FECHA_BOV1,"&gt;="&amp;CV$2,FECHA_BOV1,"&lt;="&amp;CV$3,CLAVE_BOV1,$A13)+SUMIFS(SALIDAS_BOV2,FECHA_BOV2,"&gt;="&amp;CV$2,FECHA_BOV2,"&lt;="&amp;CV$3,CLAVE_BOV2,$A13)+SUMIFS(SALIDAS_BOV3,FECHA_BOV3,"&gt;="&amp;CV$2,FECHA_BOV3,"&lt;="&amp;CV$3,CLAVE_BOV3,$A13)+SUMIFS(SALIDAS_TC,FECHA_TC,"&gt;="&amp;CV$2,FECHA_TC,"&lt;="&amp;CV$3,CLAVE_TC,$A13)+SUMIFS(SALIDAS_COMB,FECHA_COMB,"&gt;="&amp;CV$2,FECHA_COMB,"&lt;="&amp;CV$3,CLAVE_COMB,$A13)+SUMIFS(SALIDAS_DES,FECHA_DESGLOSEN,"&gt;="&amp;CV$2,FECHA_DESGLOSEN,"&lt;="&amp;CV$3,CLAVE_DESGLOSE,$A13)</f>
        <v>26495</v>
      </c>
      <c r="CW13" s="13">
        <f>SUMIFS(SALIDAS_BIT,FECHA_BIT,"&gt;="&amp;CW$2,FECHA_BIT,"&lt;="&amp;CW$3,CLAVE_BIT,$A13)+SUMIFS(SALIDAS_BOV1,FECHA_BOV1,"&gt;="&amp;CW$2,FECHA_BOV1,"&lt;="&amp;CW$3,CLAVE_BOV1,$A13)+SUMIFS(SALIDAS_BOV2,FECHA_BOV2,"&gt;="&amp;CW$2,FECHA_BOV2,"&lt;="&amp;CW$3,CLAVE_BOV2,$A13)+SUMIFS(SALIDAS_BOV3,FECHA_BOV3,"&gt;="&amp;CW$2,FECHA_BOV3,"&lt;="&amp;CW$3,CLAVE_BOV3,$A13)+SUMIFS(SALIDAS_TC,FECHA_TC,"&gt;="&amp;CW$2,FECHA_TC,"&lt;="&amp;CW$3,CLAVE_TC,$A13)+SUMIFS(SALIDAS_COMB,FECHA_COMB,"&gt;="&amp;CW$2,FECHA_COMB,"&lt;="&amp;CW$3,CLAVE_COMB,$A13)+SUMIFS(SALIDAS_DES,FECHA_DESGLOSEN,"&gt;="&amp;CW$2,FECHA_DESGLOSEN,"&lt;="&amp;CW$3,CLAVE_DESGLOSE,$A13)</f>
        <v>25110</v>
      </c>
      <c r="CX13" s="13">
        <f>SUMIFS(SALIDAS_BIT,FECHA_BIT,"&gt;="&amp;CX$2,FECHA_BIT,"&lt;="&amp;CX$3,CLAVE_BIT,$A13)+SUMIFS(SALIDAS_BOV1,FECHA_BOV1,"&gt;="&amp;CX$2,FECHA_BOV1,"&lt;="&amp;CX$3,CLAVE_BOV1,$A13)+SUMIFS(SALIDAS_BOV2,FECHA_BOV2,"&gt;="&amp;CX$2,FECHA_BOV2,"&lt;="&amp;CX$3,CLAVE_BOV2,$A13)+SUMIFS(SALIDAS_BOV3,FECHA_BOV3,"&gt;="&amp;CX$2,FECHA_BOV3,"&lt;="&amp;CX$3,CLAVE_BOV3,$A13)+SUMIFS(SALIDAS_TC,FECHA_TC,"&gt;="&amp;CX$2,FECHA_TC,"&lt;="&amp;CX$3,CLAVE_TC,$A13)+SUMIFS(SALIDAS_COMB,FECHA_COMB,"&gt;="&amp;CX$2,FECHA_COMB,"&lt;="&amp;CX$3,CLAVE_COMB,$A13)+SUMIFS(SALIDAS_DES,FECHA_DESGLOSEN,"&gt;="&amp;CX$2,FECHA_DESGLOSEN,"&lt;="&amp;CX$3,CLAVE_DESGLOSE,$A13)</f>
        <v>24295</v>
      </c>
      <c r="CY13" s="13">
        <f>SUMIFS(SALIDAS_BIT,FECHA_BIT,"&gt;="&amp;CY$2,FECHA_BIT,"&lt;="&amp;CY$3,CLAVE_BIT,$A13)+SUMIFS(SALIDAS_BOV1,FECHA_BOV1,"&gt;="&amp;CY$2,FECHA_BOV1,"&lt;="&amp;CY$3,CLAVE_BOV1,$A13)+SUMIFS(SALIDAS_BOV2,FECHA_BOV2,"&gt;="&amp;CY$2,FECHA_BOV2,"&lt;="&amp;CY$3,CLAVE_BOV2,$A13)+SUMIFS(SALIDAS_BOV3,FECHA_BOV3,"&gt;="&amp;CY$2,FECHA_BOV3,"&lt;="&amp;CY$3,CLAVE_BOV3,$A13)+SUMIFS(SALIDAS_TC,FECHA_TC,"&gt;="&amp;CY$2,FECHA_TC,"&lt;="&amp;CY$3,CLAVE_TC,$A13)+SUMIFS(SALIDAS_COMB,FECHA_COMB,"&gt;="&amp;CY$2,FECHA_COMB,"&lt;="&amp;CY$3,CLAVE_COMB,$A13)+SUMIFS(SALIDAS_DES,FECHA_DESGLOSEN,"&gt;="&amp;CY$2,FECHA_DESGLOSEN,"&lt;="&amp;CY$3,CLAVE_DESGLOSE,$A13)</f>
        <v>98790</v>
      </c>
      <c r="CZ13" s="68">
        <f t="shared" si="80"/>
        <v>-33620</v>
      </c>
      <c r="DB13" s="17">
        <f>F13+N13+W13+AE13+AM13+AV13+BD13+BL13+BU13+CC13+CK13</f>
        <v>947094.5</v>
      </c>
      <c r="DC13" s="17">
        <f>K13+T13+AB13+AJ13+AS13+BA13+BI13+BR13+BZ13+CH13+CQ13</f>
        <v>887730</v>
      </c>
    </row>
    <row r="14" spans="1:1023 1025:2047 2049:3071 3073:4095 4097:5119 5121:6143 6145:7167 7169:8191 8193:9215 9217:10239 10241:11263 11265:12287 12289:13311 13313:14335 14337:15359 15361:16357" hidden="1">
      <c r="A14" s="12" t="str">
        <f t="shared" si="57"/>
        <v>HRNOMINA SUCURSALA9</v>
      </c>
      <c r="B14" s="12">
        <v>8</v>
      </c>
      <c r="C14" t="s">
        <v>29</v>
      </c>
      <c r="D14" s="12" t="s">
        <v>154</v>
      </c>
      <c r="E14" s="12" t="s">
        <v>95</v>
      </c>
      <c r="F14" s="259">
        <f t="shared" si="58"/>
        <v>61126</v>
      </c>
      <c r="G14" s="13">
        <f t="shared" si="35"/>
        <v>14975.09</v>
      </c>
      <c r="H14" s="13">
        <f t="shared" si="35"/>
        <v>12563.09</v>
      </c>
      <c r="I14" s="13">
        <f t="shared" si="35"/>
        <v>11756.29</v>
      </c>
      <c r="J14" s="13">
        <f t="shared" si="35"/>
        <v>11755.69</v>
      </c>
      <c r="K14" s="13">
        <f t="shared" si="35"/>
        <v>51050.16</v>
      </c>
      <c r="L14" s="68">
        <f t="shared" si="59"/>
        <v>10075.839999999997</v>
      </c>
      <c r="M14" s="268">
        <f t="shared" si="60"/>
        <v>0.83516277852305076</v>
      </c>
      <c r="N14" s="13">
        <f t="shared" si="36"/>
        <v>62500</v>
      </c>
      <c r="O14" s="13">
        <f t="shared" si="37"/>
        <v>9557.09</v>
      </c>
      <c r="P14" s="13">
        <f t="shared" si="37"/>
        <v>11556.09</v>
      </c>
      <c r="Q14" s="13">
        <f t="shared" si="37"/>
        <v>14117.49</v>
      </c>
      <c r="R14" s="13">
        <f t="shared" si="37"/>
        <v>11701.6</v>
      </c>
      <c r="S14" s="13">
        <f t="shared" si="37"/>
        <v>10929.69</v>
      </c>
      <c r="T14" s="13">
        <f t="shared" si="37"/>
        <v>57861.96</v>
      </c>
      <c r="U14" s="68">
        <f t="shared" si="61"/>
        <v>4638.0400000000009</v>
      </c>
      <c r="V14" s="268">
        <f t="shared" si="62"/>
        <v>0.92579135999999995</v>
      </c>
      <c r="W14" s="13">
        <f t="shared" si="38"/>
        <v>50000</v>
      </c>
      <c r="X14" s="13">
        <f t="shared" si="39"/>
        <v>10721.09</v>
      </c>
      <c r="Y14" s="13">
        <f t="shared" si="39"/>
        <v>10587</v>
      </c>
      <c r="Z14" s="13">
        <f t="shared" si="39"/>
        <v>10933.49</v>
      </c>
      <c r="AA14" s="13">
        <f t="shared" si="39"/>
        <v>12170.69</v>
      </c>
      <c r="AB14" s="13">
        <f t="shared" si="39"/>
        <v>44412.270000000004</v>
      </c>
      <c r="AC14" s="68">
        <f t="shared" si="63"/>
        <v>5587.7299999999959</v>
      </c>
      <c r="AD14" s="268">
        <f t="shared" si="64"/>
        <v>0.88824540000000007</v>
      </c>
      <c r="AE14" s="13">
        <f t="shared" si="40"/>
        <v>50000</v>
      </c>
      <c r="AF14" s="13">
        <f t="shared" si="41"/>
        <v>13224.69</v>
      </c>
      <c r="AG14" s="13">
        <f t="shared" si="41"/>
        <v>11342.09</v>
      </c>
      <c r="AH14" s="13">
        <f t="shared" si="41"/>
        <v>10905.29</v>
      </c>
      <c r="AI14" s="13">
        <f t="shared" si="41"/>
        <v>11035.09</v>
      </c>
      <c r="AJ14" s="13">
        <f t="shared" si="41"/>
        <v>46507.16</v>
      </c>
      <c r="AK14" s="68">
        <f t="shared" si="65"/>
        <v>3492.8399999999965</v>
      </c>
      <c r="AL14" s="268">
        <f t="shared" si="66"/>
        <v>0.93014320000000006</v>
      </c>
      <c r="AM14" s="13">
        <f t="shared" si="42"/>
        <v>62500</v>
      </c>
      <c r="AN14" s="13">
        <f t="shared" si="43"/>
        <v>9556.69</v>
      </c>
      <c r="AO14" s="13">
        <f t="shared" si="43"/>
        <v>10986.89</v>
      </c>
      <c r="AP14" s="13">
        <f t="shared" si="43"/>
        <v>10121.89</v>
      </c>
      <c r="AQ14" s="13">
        <f t="shared" si="43"/>
        <v>9730.49</v>
      </c>
      <c r="AR14" s="13">
        <f t="shared" si="43"/>
        <v>12051.89</v>
      </c>
      <c r="AS14" s="13">
        <f t="shared" si="43"/>
        <v>52447.85</v>
      </c>
      <c r="AT14" s="68">
        <f>AM14-AS14</f>
        <v>10052.150000000001</v>
      </c>
      <c r="AU14" s="268">
        <f t="shared" si="67"/>
        <v>0.83916559999999996</v>
      </c>
      <c r="AV14" s="13">
        <f t="shared" si="44"/>
        <v>50000</v>
      </c>
      <c r="AW14" s="13">
        <f t="shared" si="45"/>
        <v>11079.11</v>
      </c>
      <c r="AX14" s="13">
        <f t="shared" si="45"/>
        <v>12857.91</v>
      </c>
      <c r="AY14" s="13">
        <f t="shared" si="45"/>
        <v>11079.71</v>
      </c>
      <c r="AZ14" s="13">
        <f t="shared" si="45"/>
        <v>10979.71</v>
      </c>
      <c r="BA14" s="13">
        <f t="shared" si="45"/>
        <v>45996.439999999995</v>
      </c>
      <c r="BB14" s="68">
        <f t="shared" si="68"/>
        <v>4003.5600000000049</v>
      </c>
      <c r="BC14" s="268">
        <f t="shared" si="69"/>
        <v>0.91992879999999988</v>
      </c>
      <c r="BD14" s="13">
        <f t="shared" si="46"/>
        <v>50000</v>
      </c>
      <c r="BE14" s="13">
        <f>SUMIFS(SALIDAS_BIT,FECHA_BIT,"&gt;="&amp;BE$2,FECHA_BIT,"&lt;="&amp;BE$3,CLAVE_BIT,$A14)+SUMIFS(SALIDAS_BOV1,FECHA_BOV1,"&gt;="&amp;BE$2,FECHA_BOV1,"&lt;="&amp;BE$3,CLAVE_BOV1,$A14)+SUMIFS(SALIDAS_BOV2,FECHA_BOV2,"&gt;="&amp;BE$2,FECHA_BOV2,"&lt;="&amp;BE$3,CLAVE_BOV2,$A14)+SUMIFS(SALIDAS_BOV3,FECHA_BOV3,"&gt;="&amp;BE$2,FECHA_BOV3,"&lt;="&amp;BE$3,CLAVE_BOV3,$A14)+SUMIFS(SALIDAS_TC,FECHA_TC,"&gt;="&amp;BE$2,FECHA_TC,"&lt;="&amp;BE$3,CLAVE_TC,$A14)+SUMIFS(SALIDAS_COMB,FECHA_COMB,"&gt;="&amp;BE$2,FECHA_COMB,"&lt;="&amp;BE$3,CLAVE_COMB,$A14)+SUMIFS(SALIDAS_DES,FECHA_DESGLOSEN,"&gt;="&amp;BE$2,FECHA_DESGLOSEN,"&lt;="&amp;BE$3,CLAVE_DESGLOSE,$A14)</f>
        <v>11087.51</v>
      </c>
      <c r="BF14" s="13">
        <f>SUMIFS(SALIDAS_BIT,FECHA_BIT,"&gt;="&amp;BF$2,FECHA_BIT,"&lt;="&amp;BF$3,CLAVE_BIT,$A14)+SUMIFS(SALIDAS_BOV1,FECHA_BOV1,"&gt;="&amp;BF$2,FECHA_BOV1,"&lt;="&amp;BF$3,CLAVE_BOV1,$A14)+SUMIFS(SALIDAS_BOV2,FECHA_BOV2,"&gt;="&amp;BF$2,FECHA_BOV2,"&lt;="&amp;BF$3,CLAVE_BOV2,$A14)+SUMIFS(SALIDAS_BOV3,FECHA_BOV3,"&gt;="&amp;BF$2,FECHA_BOV3,"&lt;="&amp;BF$3,CLAVE_BOV3,$A14)+SUMIFS(SALIDAS_TC,FECHA_TC,"&gt;="&amp;BF$2,FECHA_TC,"&lt;="&amp;BF$3,CLAVE_TC,$A14)+SUMIFS(SALIDAS_COMB,FECHA_COMB,"&gt;="&amp;BF$2,FECHA_COMB,"&lt;="&amp;BF$3,CLAVE_COMB,$A14)+SUMIFS(SALIDAS_DES,FECHA_DESGLOSEN,"&gt;="&amp;BF$2,FECHA_DESGLOSEN,"&lt;="&amp;BF$3,CLAVE_DESGLOSE,$A14)</f>
        <v>10782.71</v>
      </c>
      <c r="BG14" s="13">
        <f>SUMIFS(SALIDAS_BIT,FECHA_BIT,"&gt;="&amp;BG$2,FECHA_BIT,"&lt;="&amp;BG$3,CLAVE_BIT,$A14)+SUMIFS(SALIDAS_BOV1,FECHA_BOV1,"&gt;="&amp;BG$2,FECHA_BOV1,"&lt;="&amp;BG$3,CLAVE_BOV1,$A14)+SUMIFS(SALIDAS_BOV2,FECHA_BOV2,"&gt;="&amp;BG$2,FECHA_BOV2,"&lt;="&amp;BG$3,CLAVE_BOV2,$A14)+SUMIFS(SALIDAS_BOV3,FECHA_BOV3,"&gt;="&amp;BG$2,FECHA_BOV3,"&lt;="&amp;BG$3,CLAVE_BOV3,$A14)+SUMIFS(SALIDAS_TC,FECHA_TC,"&gt;="&amp;BG$2,FECHA_TC,"&lt;="&amp;BG$3,CLAVE_TC,$A14)+SUMIFS(SALIDAS_COMB,FECHA_COMB,"&gt;="&amp;BG$2,FECHA_COMB,"&lt;="&amp;BG$3,CLAVE_COMB,$A14)+SUMIFS(SALIDAS_DES,FECHA_DESGLOSEN,"&gt;="&amp;BG$2,FECHA_DESGLOSEN,"&lt;="&amp;BG$3,CLAVE_DESGLOSE,$A14)</f>
        <v>10160.51</v>
      </c>
      <c r="BH14" s="13">
        <f>SUMIFS(SALIDAS_BIT,FECHA_BIT,"&gt;="&amp;BH$2,FECHA_BIT,"&lt;="&amp;BH$3,CLAVE_BIT,$A14)+SUMIFS(SALIDAS_BOV1,FECHA_BOV1,"&gt;="&amp;BH$2,FECHA_BOV1,"&lt;="&amp;BH$3,CLAVE_BOV1,$A14)+SUMIFS(SALIDAS_BOV2,FECHA_BOV2,"&gt;="&amp;BH$2,FECHA_BOV2,"&lt;="&amp;BH$3,CLAVE_BOV2,$A14)+SUMIFS(SALIDAS_BOV3,FECHA_BOV3,"&gt;="&amp;BH$2,FECHA_BOV3,"&lt;="&amp;BH$3,CLAVE_BOV3,$A14)+SUMIFS(SALIDAS_TC,FECHA_TC,"&gt;="&amp;BH$2,FECHA_TC,"&lt;="&amp;BH$3,CLAVE_TC,$A14)+SUMIFS(SALIDAS_COMB,FECHA_COMB,"&gt;="&amp;BH$2,FECHA_COMB,"&lt;="&amp;BH$3,CLAVE_COMB,$A14)+SUMIFS(SALIDAS_DES,FECHA_DESGLOSEN,"&gt;="&amp;BH$2,FECHA_DESGLOSEN,"&lt;="&amp;BH$3,CLAVE_DESGLOSE,$A14)</f>
        <v>11087.71</v>
      </c>
      <c r="BI14" s="13">
        <f>SUMIFS(SALIDAS_BIT,FECHA_BIT,"&gt;="&amp;BI$2,FECHA_BIT,"&lt;="&amp;BI$3,CLAVE_BIT,$A14)+SUMIFS(SALIDAS_BOV1,FECHA_BOV1,"&gt;="&amp;BI$2,FECHA_BOV1,"&lt;="&amp;BI$3,CLAVE_BOV1,$A14)+SUMIFS(SALIDAS_BOV2,FECHA_BOV2,"&gt;="&amp;BI$2,FECHA_BOV2,"&lt;="&amp;BI$3,CLAVE_BOV2,$A14)+SUMIFS(SALIDAS_BOV3,FECHA_BOV3,"&gt;="&amp;BI$2,FECHA_BOV3,"&lt;="&amp;BI$3,CLAVE_BOV3,$A14)+SUMIFS(SALIDAS_TC,FECHA_TC,"&gt;="&amp;BI$2,FECHA_TC,"&lt;="&amp;BI$3,CLAVE_TC,$A14)+SUMIFS(SALIDAS_COMB,FECHA_COMB,"&gt;="&amp;BI$2,FECHA_COMB,"&lt;="&amp;BI$3,CLAVE_COMB,$A14)+SUMIFS(SALIDAS_DES,FECHA_DESGLOSEN,"&gt;="&amp;BI$2,FECHA_DESGLOSEN,"&lt;="&amp;BI$3,CLAVE_DESGLOSE,$A14)</f>
        <v>43118.44</v>
      </c>
      <c r="BJ14" s="68">
        <f t="shared" si="70"/>
        <v>6881.5599999999977</v>
      </c>
      <c r="BK14" s="268">
        <f t="shared" si="71"/>
        <v>0.86236880000000005</v>
      </c>
      <c r="BL14" s="13">
        <f t="shared" si="47"/>
        <v>62500</v>
      </c>
      <c r="BM14" s="13">
        <f>SUMIFS(SALIDAS_BIT,FECHA_BIT,"&gt;="&amp;BM$2,FECHA_BIT,"&lt;="&amp;BM$3,CLAVE_BIT,$A14)+SUMIFS(SALIDAS_BOV1,FECHA_BOV1,"&gt;="&amp;BM$2,FECHA_BOV1,"&lt;="&amp;BM$3,CLAVE_BOV1,$A14)+SUMIFS(SALIDAS_BOV2,FECHA_BOV2,"&gt;="&amp;BM$2,FECHA_BOV2,"&lt;="&amp;BM$3,CLAVE_BOV2,$A14)+SUMIFS(SALIDAS_BOV3,FECHA_BOV3,"&gt;="&amp;BM$2,FECHA_BOV3,"&lt;="&amp;BM$3,CLAVE_BOV3,$A14)+SUMIFS(SALIDAS_TC,FECHA_TC,"&gt;="&amp;BM$2,FECHA_TC,"&lt;="&amp;BM$3,CLAVE_TC,$A14)+SUMIFS(SALIDAS_COMB,FECHA_COMB,"&gt;="&amp;BM$2,FECHA_COMB,"&lt;="&amp;BM$3,CLAVE_COMB,$A14)+SUMIFS(SALIDAS_DES,FECHA_DESGLOSEN,"&gt;="&amp;BM$2,FECHA_DESGLOSEN,"&lt;="&amp;BM$3,CLAVE_DESGLOSE,$A14)</f>
        <v>11571.31</v>
      </c>
      <c r="BN14" s="13">
        <f>SUMIFS(SALIDAS_BIT,FECHA_BIT,"&gt;="&amp;BN$2,FECHA_BIT,"&lt;="&amp;BN$3,CLAVE_BIT,$A14)+SUMIFS(SALIDAS_BOV1,FECHA_BOV1,"&gt;="&amp;BN$2,FECHA_BOV1,"&lt;="&amp;BN$3,CLAVE_BOV1,$A14)+SUMIFS(SALIDAS_BOV2,FECHA_BOV2,"&gt;="&amp;BN$2,FECHA_BOV2,"&lt;="&amp;BN$3,CLAVE_BOV2,$A14)+SUMIFS(SALIDAS_BOV3,FECHA_BOV3,"&gt;="&amp;BN$2,FECHA_BOV3,"&lt;="&amp;BN$3,CLAVE_BOV3,$A14)+SUMIFS(SALIDAS_TC,FECHA_TC,"&gt;="&amp;BN$2,FECHA_TC,"&lt;="&amp;BN$3,CLAVE_TC,$A14)+SUMIFS(SALIDAS_COMB,FECHA_COMB,"&gt;="&amp;BN$2,FECHA_COMB,"&lt;="&amp;BN$3,CLAVE_COMB,$A14)+SUMIFS(SALIDAS_DES,FECHA_DESGLOSEN,"&gt;="&amp;BN$2,FECHA_DESGLOSEN,"&lt;="&amp;BN$3,CLAVE_DESGLOSE,$A14)</f>
        <v>9729.51</v>
      </c>
      <c r="BO14" s="13">
        <f>SUMIFS(SALIDAS_BIT,FECHA_BIT,"&gt;="&amp;BO$2,FECHA_BIT,"&lt;="&amp;BO$3,CLAVE_BIT,$A14)+SUMIFS(SALIDAS_BOV1,FECHA_BOV1,"&gt;="&amp;BO$2,FECHA_BOV1,"&lt;="&amp;BO$3,CLAVE_BOV1,$A14)+SUMIFS(SALIDAS_BOV2,FECHA_BOV2,"&gt;="&amp;BO$2,FECHA_BOV2,"&lt;="&amp;BO$3,CLAVE_BOV2,$A14)+SUMIFS(SALIDAS_BOV3,FECHA_BOV3,"&gt;="&amp;BO$2,FECHA_BOV3,"&lt;="&amp;BO$3,CLAVE_BOV3,$A14)+SUMIFS(SALIDAS_TC,FECHA_TC,"&gt;="&amp;BO$2,FECHA_TC,"&lt;="&amp;BO$3,CLAVE_TC,$A14)+SUMIFS(SALIDAS_COMB,FECHA_COMB,"&gt;="&amp;BO$2,FECHA_COMB,"&lt;="&amp;BO$3,CLAVE_COMB,$A14)+SUMIFS(SALIDAS_DES,FECHA_DESGLOSEN,"&gt;="&amp;BO$2,FECHA_DESGLOSEN,"&lt;="&amp;BO$3,CLAVE_DESGLOSE,$A14)</f>
        <v>9730.31</v>
      </c>
      <c r="BP14" s="13">
        <f>SUMIFS(SALIDAS_BIT,FECHA_BIT,"&gt;="&amp;BP$2,FECHA_BIT,"&lt;="&amp;BP$3,CLAVE_BIT,$A14)+SUMIFS(SALIDAS_BOV1,FECHA_BOV1,"&gt;="&amp;BP$2,FECHA_BOV1,"&lt;="&amp;BP$3,CLAVE_BOV1,$A14)+SUMIFS(SALIDAS_BOV2,FECHA_BOV2,"&gt;="&amp;BP$2,FECHA_BOV2,"&lt;="&amp;BP$3,CLAVE_BOV2,$A14)+SUMIFS(SALIDAS_BOV3,FECHA_BOV3,"&gt;="&amp;BP$2,FECHA_BOV3,"&lt;="&amp;BP$3,CLAVE_BOV3,$A14)+SUMIFS(SALIDAS_TC,FECHA_TC,"&gt;="&amp;BP$2,FECHA_TC,"&lt;="&amp;BP$3,CLAVE_TC,$A14)+SUMIFS(SALIDAS_COMB,FECHA_COMB,"&gt;="&amp;BP$2,FECHA_COMB,"&lt;="&amp;BP$3,CLAVE_COMB,$A14)+SUMIFS(SALIDAS_DES,FECHA_DESGLOSEN,"&gt;="&amp;BP$2,FECHA_DESGLOSEN,"&lt;="&amp;BP$3,CLAVE_DESGLOSE,$A14)</f>
        <v>11822.51</v>
      </c>
      <c r="BQ14" s="13">
        <f>SUMIFS(SALIDAS_BIT,FECHA_BIT,"&gt;="&amp;BQ$2,FECHA_BIT,"&lt;="&amp;BQ$3,CLAVE_BIT,$A14)+SUMIFS(SALIDAS_BOV1,FECHA_BOV1,"&gt;="&amp;BQ$2,FECHA_BOV1,"&lt;="&amp;BQ$3,CLAVE_BOV1,$A14)+SUMIFS(SALIDAS_BOV2,FECHA_BOV2,"&gt;="&amp;BQ$2,FECHA_BOV2,"&lt;="&amp;BQ$3,CLAVE_BOV2,$A14)+SUMIFS(SALIDAS_BOV3,FECHA_BOV3,"&gt;="&amp;BQ$2,FECHA_BOV3,"&lt;="&amp;BQ$3,CLAVE_BOV3,$A14)+SUMIFS(SALIDAS_TC,FECHA_TC,"&gt;="&amp;BQ$2,FECHA_TC,"&lt;="&amp;BQ$3,CLAVE_TC,$A14)+SUMIFS(SALIDAS_COMB,FECHA_COMB,"&gt;="&amp;BQ$2,FECHA_COMB,"&lt;="&amp;BQ$3,CLAVE_COMB,$A14)+SUMIFS(SALIDAS_DES,FECHA_DESGLOSEN,"&gt;="&amp;BQ$2,FECHA_DESGLOSEN,"&lt;="&amp;BQ$3,CLAVE_DESGLOSE,$A14)</f>
        <v>9730.31</v>
      </c>
      <c r="BR14" s="13">
        <f>SUMIFS(SALIDAS_BIT,FECHA_BIT,"&gt;="&amp;BR$2,FECHA_BIT,"&lt;="&amp;BR$3,CLAVE_BIT,$A14)+SUMIFS(SALIDAS_BOV1,FECHA_BOV1,"&gt;="&amp;BR$2,FECHA_BOV1,"&lt;="&amp;BR$3,CLAVE_BOV1,$A14)+SUMIFS(SALIDAS_BOV2,FECHA_BOV2,"&gt;="&amp;BR$2,FECHA_BOV2,"&lt;="&amp;BR$3,CLAVE_BOV2,$A14)+SUMIFS(SALIDAS_BOV3,FECHA_BOV3,"&gt;="&amp;BR$2,FECHA_BOV3,"&lt;="&amp;BR$3,CLAVE_BOV3,$A14)+SUMIFS(SALIDAS_TC,FECHA_TC,"&gt;="&amp;BR$2,FECHA_TC,"&lt;="&amp;BR$3,CLAVE_TC,$A14)+SUMIFS(SALIDAS_COMB,FECHA_COMB,"&gt;="&amp;BR$2,FECHA_COMB,"&lt;="&amp;BR$3,CLAVE_COMB,$A14)+SUMIFS(SALIDAS_DES,FECHA_DESGLOSEN,"&gt;="&amp;BR$2,FECHA_DESGLOSEN,"&lt;="&amp;BR$3,CLAVE_DESGLOSE,$A14)</f>
        <v>52583.95</v>
      </c>
      <c r="BS14" s="68">
        <f t="shared" si="72"/>
        <v>9916.0500000000029</v>
      </c>
      <c r="BT14" s="268">
        <f t="shared" si="73"/>
        <v>0.84134319999999996</v>
      </c>
      <c r="BU14" s="13">
        <f t="shared" si="49"/>
        <v>50000</v>
      </c>
      <c r="BV14" s="13">
        <f t="shared" si="50"/>
        <v>9730.51</v>
      </c>
      <c r="BW14" s="13">
        <f t="shared" si="50"/>
        <v>10080.91</v>
      </c>
      <c r="BX14" s="13">
        <f t="shared" si="50"/>
        <v>9768.89</v>
      </c>
      <c r="BY14" s="13">
        <f t="shared" si="50"/>
        <v>10538.93</v>
      </c>
      <c r="BZ14" s="13">
        <f t="shared" si="50"/>
        <v>40119.24</v>
      </c>
      <c r="CA14" s="68">
        <f t="shared" si="74"/>
        <v>9880.760000000002</v>
      </c>
      <c r="CB14" s="268">
        <f t="shared" si="75"/>
        <v>0.80238480000000001</v>
      </c>
      <c r="CC14" s="13">
        <f t="shared" si="51"/>
        <v>50000</v>
      </c>
      <c r="CD14" s="13">
        <f t="shared" si="52"/>
        <v>12742.91</v>
      </c>
      <c r="CE14" s="13">
        <f t="shared" si="52"/>
        <v>12343.71</v>
      </c>
      <c r="CF14" s="13">
        <f t="shared" si="52"/>
        <v>14776.31</v>
      </c>
      <c r="CG14" s="13">
        <f t="shared" si="52"/>
        <v>12374.11</v>
      </c>
      <c r="CH14" s="13">
        <f t="shared" si="52"/>
        <v>52237.04</v>
      </c>
      <c r="CI14" s="68">
        <f t="shared" si="76"/>
        <v>-2237.0400000000009</v>
      </c>
      <c r="CJ14" s="268">
        <f t="shared" si="77"/>
        <v>1.0447408</v>
      </c>
      <c r="CK14" s="13">
        <f t="shared" si="53"/>
        <v>92043</v>
      </c>
      <c r="CL14" s="13">
        <f t="shared" si="54"/>
        <v>14832.11</v>
      </c>
      <c r="CM14" s="13">
        <f t="shared" si="54"/>
        <v>13317.11</v>
      </c>
      <c r="CN14" s="13">
        <f t="shared" si="54"/>
        <v>16815.02</v>
      </c>
      <c r="CO14" s="13">
        <f t="shared" si="54"/>
        <v>28948.82</v>
      </c>
      <c r="CP14" s="13">
        <f t="shared" si="54"/>
        <v>18525.02</v>
      </c>
      <c r="CQ14" s="13">
        <f t="shared" si="54"/>
        <v>92438.080000000002</v>
      </c>
      <c r="CR14" s="68">
        <f t="shared" si="78"/>
        <v>-395.08000000000175</v>
      </c>
      <c r="CS14" s="268">
        <f t="shared" si="79"/>
        <v>1.0042923416229372</v>
      </c>
      <c r="CT14" s="68">
        <f t="shared" si="55"/>
        <v>45334</v>
      </c>
      <c r="CU14" s="13">
        <f>SUMIFS(SALIDAS_BIT,FECHA_BIT,"&gt;="&amp;CU$2,FECHA_BIT,"&lt;="&amp;CU$3,CLAVE_BIT,$A14)+SUMIFS(SALIDAS_BOV1,FECHA_BOV1,"&gt;="&amp;CU$2,FECHA_BOV1,"&lt;="&amp;CU$3,CLAVE_BOV1,$A14)+SUMIFS(SALIDAS_BOV2,FECHA_BOV2,"&gt;="&amp;CU$2,FECHA_BOV2,"&lt;="&amp;CU$3,CLAVE_BOV2,$A14)+SUMIFS(SALIDAS_BOV3,FECHA_BOV3,"&gt;="&amp;CU$2,FECHA_BOV3,"&lt;="&amp;CU$3,CLAVE_BOV3,$A14)+SUMIFS(SALIDAS_TC,FECHA_TC,"&gt;="&amp;CU$2,FECHA_TC,"&lt;="&amp;CU$3,CLAVE_TC,$A14)+SUMIFS(SALIDAS_COMB,FECHA_COMB,"&gt;="&amp;CU$2,FECHA_COMB,"&lt;="&amp;CU$3,CLAVE_COMB,$A14)+SUMIFS(SALIDAS_DES,FECHA_DESGLOSEN,"&gt;="&amp;CU$2,FECHA_DESGLOSEN,"&lt;="&amp;CU$3,CLAVE_DESGLOSE,$A14)</f>
        <v>14131.22</v>
      </c>
      <c r="CV14" s="13">
        <f>SUMIFS(SALIDAS_BIT,FECHA_BIT,"&gt;="&amp;CV$2,FECHA_BIT,"&lt;="&amp;CV$3,CLAVE_BIT,$A14)+SUMIFS(SALIDAS_BOV1,FECHA_BOV1,"&gt;="&amp;CV$2,FECHA_BOV1,"&lt;="&amp;CV$3,CLAVE_BOV1,$A14)+SUMIFS(SALIDAS_BOV2,FECHA_BOV2,"&gt;="&amp;CV$2,FECHA_BOV2,"&lt;="&amp;CV$3,CLAVE_BOV2,$A14)+SUMIFS(SALIDAS_BOV3,FECHA_BOV3,"&gt;="&amp;CV$2,FECHA_BOV3,"&lt;="&amp;CV$3,CLAVE_BOV3,$A14)+SUMIFS(SALIDAS_TC,FECHA_TC,"&gt;="&amp;CV$2,FECHA_TC,"&lt;="&amp;CV$3,CLAVE_TC,$A14)+SUMIFS(SALIDAS_COMB,FECHA_COMB,"&gt;="&amp;CV$2,FECHA_COMB,"&lt;="&amp;CV$3,CLAVE_COMB,$A14)+SUMIFS(SALIDAS_DES,FECHA_DESGLOSEN,"&gt;="&amp;CV$2,FECHA_DESGLOSEN,"&lt;="&amp;CV$3,CLAVE_DESGLOSE,$A14)</f>
        <v>12602.62</v>
      </c>
      <c r="CW14" s="13">
        <f>SUMIFS(SALIDAS_BIT,FECHA_BIT,"&gt;="&amp;CW$2,FECHA_BIT,"&lt;="&amp;CW$3,CLAVE_BIT,$A14)+SUMIFS(SALIDAS_BOV1,FECHA_BOV1,"&gt;="&amp;CW$2,FECHA_BOV1,"&lt;="&amp;CW$3,CLAVE_BOV1,$A14)+SUMIFS(SALIDAS_BOV2,FECHA_BOV2,"&gt;="&amp;CW$2,FECHA_BOV2,"&lt;="&amp;CW$3,CLAVE_BOV2,$A14)+SUMIFS(SALIDAS_BOV3,FECHA_BOV3,"&gt;="&amp;CW$2,FECHA_BOV3,"&lt;="&amp;CW$3,CLAVE_BOV3,$A14)+SUMIFS(SALIDAS_TC,FECHA_TC,"&gt;="&amp;CW$2,FECHA_TC,"&lt;="&amp;CW$3,CLAVE_TC,$A14)+SUMIFS(SALIDAS_COMB,FECHA_COMB,"&gt;="&amp;CW$2,FECHA_COMB,"&lt;="&amp;CW$3,CLAVE_COMB,$A14)+SUMIFS(SALIDAS_DES,FECHA_DESGLOSEN,"&gt;="&amp;CW$2,FECHA_DESGLOSEN,"&lt;="&amp;CW$3,CLAVE_DESGLOSE,$A14)</f>
        <v>11848.02</v>
      </c>
      <c r="CX14" s="13">
        <f>SUMIFS(SALIDAS_BIT,FECHA_BIT,"&gt;="&amp;CX$2,FECHA_BIT,"&lt;="&amp;CX$3,CLAVE_BIT,$A14)+SUMIFS(SALIDAS_BOV1,FECHA_BOV1,"&gt;="&amp;CX$2,FECHA_BOV1,"&lt;="&amp;CX$3,CLAVE_BOV1,$A14)+SUMIFS(SALIDAS_BOV2,FECHA_BOV2,"&gt;="&amp;CX$2,FECHA_BOV2,"&lt;="&amp;CX$3,CLAVE_BOV2,$A14)+SUMIFS(SALIDAS_BOV3,FECHA_BOV3,"&gt;="&amp;CX$2,FECHA_BOV3,"&lt;="&amp;CX$3,CLAVE_BOV3,$A14)+SUMIFS(SALIDAS_TC,FECHA_TC,"&gt;="&amp;CX$2,FECHA_TC,"&lt;="&amp;CX$3,CLAVE_TC,$A14)+SUMIFS(SALIDAS_COMB,FECHA_COMB,"&gt;="&amp;CX$2,FECHA_COMB,"&lt;="&amp;CX$3,CLAVE_COMB,$A14)+SUMIFS(SALIDAS_DES,FECHA_DESGLOSEN,"&gt;="&amp;CX$2,FECHA_DESGLOSEN,"&lt;="&amp;CX$3,CLAVE_DESGLOSE,$A14)</f>
        <v>12151.02</v>
      </c>
      <c r="CY14" s="13">
        <f>SUMIFS(SALIDAS_BIT,FECHA_BIT,"&gt;="&amp;CY$2,FECHA_BIT,"&lt;="&amp;CY$3,CLAVE_BIT,$A14)+SUMIFS(SALIDAS_BOV1,FECHA_BOV1,"&gt;="&amp;CY$2,FECHA_BOV1,"&lt;="&amp;CY$3,CLAVE_BOV1,$A14)+SUMIFS(SALIDAS_BOV2,FECHA_BOV2,"&gt;="&amp;CY$2,FECHA_BOV2,"&lt;="&amp;CY$3,CLAVE_BOV2,$A14)+SUMIFS(SALIDAS_BOV3,FECHA_BOV3,"&gt;="&amp;CY$2,FECHA_BOV3,"&lt;="&amp;CY$3,CLAVE_BOV3,$A14)+SUMIFS(SALIDAS_TC,FECHA_TC,"&gt;="&amp;CY$2,FECHA_TC,"&lt;="&amp;CY$3,CLAVE_TC,$A14)+SUMIFS(SALIDAS_COMB,FECHA_COMB,"&gt;="&amp;CY$2,FECHA_COMB,"&lt;="&amp;CY$3,CLAVE_COMB,$A14)+SUMIFS(SALIDAS_DES,FECHA_DESGLOSEN,"&gt;="&amp;CY$2,FECHA_DESGLOSEN,"&lt;="&amp;CY$3,CLAVE_DESGLOSE,$A14)</f>
        <v>50732.880000000005</v>
      </c>
      <c r="CZ14" s="68">
        <f t="shared" si="80"/>
        <v>-5398.8800000000047</v>
      </c>
      <c r="DB14" s="17">
        <f>F14+N14+W14+AE14+AM14+AV14+BD14+BL14+BU14+CC14+CK14</f>
        <v>640669</v>
      </c>
      <c r="DC14" s="17">
        <f>K14+T14+AB14+AJ14+AS14+BA14+BI14+BR14+BZ14+CH14+CQ14</f>
        <v>578772.59</v>
      </c>
    </row>
    <row r="15" spans="1:1023 1025:2047 2049:3071 3073:4095 4097:5119 5121:6143 6145:7167 7169:8191 8193:9215 9217:10239 10241:11263 11265:12287 12289:13311 13313:14335 14337:15359 15361:16357" hidden="1">
      <c r="A15" s="12" t="str">
        <f t="shared" si="57"/>
        <v>HRNOMINA SUCURSALA10</v>
      </c>
      <c r="B15" s="12">
        <v>9</v>
      </c>
      <c r="C15" t="s">
        <v>29</v>
      </c>
      <c r="D15" s="12" t="s">
        <v>154</v>
      </c>
      <c r="E15" s="12" t="s">
        <v>96</v>
      </c>
      <c r="F15" s="259">
        <f t="shared" si="58"/>
        <v>89171</v>
      </c>
      <c r="G15" s="13">
        <f t="shared" si="35"/>
        <v>19724.8</v>
      </c>
      <c r="H15" s="13">
        <f t="shared" si="35"/>
        <v>17085.849999999999</v>
      </c>
      <c r="I15" s="13">
        <f t="shared" si="35"/>
        <v>18856.73</v>
      </c>
      <c r="J15" s="13">
        <f t="shared" si="35"/>
        <v>16202.32</v>
      </c>
      <c r="K15" s="13">
        <f t="shared" si="35"/>
        <v>71869.699999999983</v>
      </c>
      <c r="L15" s="68">
        <f t="shared" si="59"/>
        <v>17301.300000000017</v>
      </c>
      <c r="M15" s="268">
        <f t="shared" si="60"/>
        <v>0.80597615816801405</v>
      </c>
      <c r="N15" s="13">
        <f t="shared" si="36"/>
        <v>111463.75</v>
      </c>
      <c r="O15" s="13">
        <f t="shared" si="37"/>
        <v>16556.93</v>
      </c>
      <c r="P15" s="13">
        <f t="shared" si="37"/>
        <v>16414.400000000001</v>
      </c>
      <c r="Q15" s="13">
        <f t="shared" si="37"/>
        <v>20613</v>
      </c>
      <c r="R15" s="13">
        <f t="shared" si="37"/>
        <v>16498.8</v>
      </c>
      <c r="S15" s="13">
        <f t="shared" si="37"/>
        <v>16491.2</v>
      </c>
      <c r="T15" s="13">
        <f t="shared" si="37"/>
        <v>86574.33</v>
      </c>
      <c r="U15" s="68">
        <f t="shared" si="61"/>
        <v>24889.42</v>
      </c>
      <c r="V15" s="268">
        <f t="shared" si="62"/>
        <v>0.77670390597840111</v>
      </c>
      <c r="W15" s="13">
        <f t="shared" si="38"/>
        <v>89171</v>
      </c>
      <c r="X15" s="13">
        <f t="shared" si="39"/>
        <v>16587.8</v>
      </c>
      <c r="Y15" s="13">
        <f t="shared" si="39"/>
        <v>16512.599999999999</v>
      </c>
      <c r="Z15" s="13">
        <f t="shared" si="39"/>
        <v>16266.8</v>
      </c>
      <c r="AA15" s="13">
        <f t="shared" si="39"/>
        <v>13724</v>
      </c>
      <c r="AB15" s="13">
        <f t="shared" si="39"/>
        <v>63091.199999999997</v>
      </c>
      <c r="AC15" s="68">
        <f t="shared" si="63"/>
        <v>26079.800000000003</v>
      </c>
      <c r="AD15" s="268">
        <f t="shared" si="64"/>
        <v>0.70753047515447842</v>
      </c>
      <c r="AE15" s="13">
        <f t="shared" si="40"/>
        <v>72000</v>
      </c>
      <c r="AF15" s="13">
        <f t="shared" si="41"/>
        <v>17359.599999999999</v>
      </c>
      <c r="AG15" s="13">
        <f t="shared" si="41"/>
        <v>16793</v>
      </c>
      <c r="AH15" s="13">
        <f t="shared" si="41"/>
        <v>15920</v>
      </c>
      <c r="AI15" s="13">
        <f t="shared" si="41"/>
        <v>15144.2</v>
      </c>
      <c r="AJ15" s="13">
        <f t="shared" si="41"/>
        <v>65216.800000000003</v>
      </c>
      <c r="AK15" s="68">
        <f t="shared" si="65"/>
        <v>6783.1999999999971</v>
      </c>
      <c r="AL15" s="268">
        <f t="shared" si="66"/>
        <v>0.90578888888888898</v>
      </c>
      <c r="AM15" s="13">
        <f t="shared" si="42"/>
        <v>90000</v>
      </c>
      <c r="AN15" s="13">
        <f t="shared" si="43"/>
        <v>16947</v>
      </c>
      <c r="AO15" s="13">
        <f t="shared" si="43"/>
        <v>15644.8</v>
      </c>
      <c r="AP15" s="13">
        <f t="shared" si="43"/>
        <v>14757.6</v>
      </c>
      <c r="AQ15" s="13">
        <f t="shared" si="43"/>
        <v>16645</v>
      </c>
      <c r="AR15" s="13">
        <f t="shared" si="43"/>
        <v>14134.2</v>
      </c>
      <c r="AS15" s="13">
        <f t="shared" si="43"/>
        <v>78128.600000000006</v>
      </c>
      <c r="AT15" s="68">
        <f>AM15-AS15</f>
        <v>11871.399999999994</v>
      </c>
      <c r="AU15" s="268">
        <f t="shared" si="67"/>
        <v>0.86809555555555562</v>
      </c>
      <c r="AV15" s="13">
        <f t="shared" si="44"/>
        <v>72000</v>
      </c>
      <c r="AW15" s="13">
        <f t="shared" si="45"/>
        <v>20890.8</v>
      </c>
      <c r="AX15" s="13">
        <f t="shared" si="45"/>
        <v>19982.400000000001</v>
      </c>
      <c r="AY15" s="13">
        <f t="shared" si="45"/>
        <v>14784.6</v>
      </c>
      <c r="AZ15" s="13">
        <f t="shared" si="45"/>
        <v>15136.2</v>
      </c>
      <c r="BA15" s="13">
        <f t="shared" si="45"/>
        <v>70794</v>
      </c>
      <c r="BB15" s="68">
        <f t="shared" si="68"/>
        <v>1206</v>
      </c>
      <c r="BC15" s="268">
        <f t="shared" si="69"/>
        <v>0.98324999999999996</v>
      </c>
      <c r="BD15" s="13">
        <f t="shared" si="46"/>
        <v>72000</v>
      </c>
      <c r="BE15" s="13">
        <f>SUMIFS(SALIDAS_BIT,FECHA_BIT,"&gt;="&amp;BE$2,FECHA_BIT,"&lt;="&amp;BE$3,CLAVE_BIT,$A15)+SUMIFS(SALIDAS_BOV1,FECHA_BOV1,"&gt;="&amp;BE$2,FECHA_BOV1,"&lt;="&amp;BE$3,CLAVE_BOV1,$A15)+SUMIFS(SALIDAS_BOV2,FECHA_BOV2,"&gt;="&amp;BE$2,FECHA_BOV2,"&lt;="&amp;BE$3,CLAVE_BOV2,$A15)+SUMIFS(SALIDAS_BOV3,FECHA_BOV3,"&gt;="&amp;BE$2,FECHA_BOV3,"&lt;="&amp;BE$3,CLAVE_BOV3,$A15)+SUMIFS(SALIDAS_TC,FECHA_TC,"&gt;="&amp;BE$2,FECHA_TC,"&lt;="&amp;BE$3,CLAVE_TC,$A15)+SUMIFS(SALIDAS_COMB,FECHA_COMB,"&gt;="&amp;BE$2,FECHA_COMB,"&lt;="&amp;BE$3,CLAVE_COMB,$A15)+SUMIFS(SALIDAS_DES,FECHA_DESGLOSEN,"&gt;="&amp;BE$2,FECHA_DESGLOSEN,"&lt;="&amp;BE$3,CLAVE_DESGLOSE,$A15)</f>
        <v>13860.6</v>
      </c>
      <c r="BF15" s="13">
        <f>SUMIFS(SALIDAS_BIT,FECHA_BIT,"&gt;="&amp;BF$2,FECHA_BIT,"&lt;="&amp;BF$3,CLAVE_BIT,$A15)+SUMIFS(SALIDAS_BOV1,FECHA_BOV1,"&gt;="&amp;BF$2,FECHA_BOV1,"&lt;="&amp;BF$3,CLAVE_BOV1,$A15)+SUMIFS(SALIDAS_BOV2,FECHA_BOV2,"&gt;="&amp;BF$2,FECHA_BOV2,"&lt;="&amp;BF$3,CLAVE_BOV2,$A15)+SUMIFS(SALIDAS_BOV3,FECHA_BOV3,"&gt;="&amp;BF$2,FECHA_BOV3,"&lt;="&amp;BF$3,CLAVE_BOV3,$A15)+SUMIFS(SALIDAS_TC,FECHA_TC,"&gt;="&amp;BF$2,FECHA_TC,"&lt;="&amp;BF$3,CLAVE_TC,$A15)+SUMIFS(SALIDAS_COMB,FECHA_COMB,"&gt;="&amp;BF$2,FECHA_COMB,"&lt;="&amp;BF$3,CLAVE_COMB,$A15)+SUMIFS(SALIDAS_DES,FECHA_DESGLOSEN,"&gt;="&amp;BF$2,FECHA_DESGLOSEN,"&lt;="&amp;BF$3,CLAVE_DESGLOSE,$A15)</f>
        <v>14342.4</v>
      </c>
      <c r="BG15" s="13">
        <f>SUMIFS(SALIDAS_BIT,FECHA_BIT,"&gt;="&amp;BG$2,FECHA_BIT,"&lt;="&amp;BG$3,CLAVE_BIT,$A15)+SUMIFS(SALIDAS_BOV1,FECHA_BOV1,"&gt;="&amp;BG$2,FECHA_BOV1,"&lt;="&amp;BG$3,CLAVE_BOV1,$A15)+SUMIFS(SALIDAS_BOV2,FECHA_BOV2,"&gt;="&amp;BG$2,FECHA_BOV2,"&lt;="&amp;BG$3,CLAVE_BOV2,$A15)+SUMIFS(SALIDAS_BOV3,FECHA_BOV3,"&gt;="&amp;BG$2,FECHA_BOV3,"&lt;="&amp;BG$3,CLAVE_BOV3,$A15)+SUMIFS(SALIDAS_TC,FECHA_TC,"&gt;="&amp;BG$2,FECHA_TC,"&lt;="&amp;BG$3,CLAVE_TC,$A15)+SUMIFS(SALIDAS_COMB,FECHA_COMB,"&gt;="&amp;BG$2,FECHA_COMB,"&lt;="&amp;BG$3,CLAVE_COMB,$A15)+SUMIFS(SALIDAS_DES,FECHA_DESGLOSEN,"&gt;="&amp;BG$2,FECHA_DESGLOSEN,"&lt;="&amp;BG$3,CLAVE_DESGLOSE,$A15)</f>
        <v>14834.6</v>
      </c>
      <c r="BH15" s="13">
        <f>SUMIFS(SALIDAS_BIT,FECHA_BIT,"&gt;="&amp;BH$2,FECHA_BIT,"&lt;="&amp;BH$3,CLAVE_BIT,$A15)+SUMIFS(SALIDAS_BOV1,FECHA_BOV1,"&gt;="&amp;BH$2,FECHA_BOV1,"&lt;="&amp;BH$3,CLAVE_BOV1,$A15)+SUMIFS(SALIDAS_BOV2,FECHA_BOV2,"&gt;="&amp;BH$2,FECHA_BOV2,"&lt;="&amp;BH$3,CLAVE_BOV2,$A15)+SUMIFS(SALIDAS_BOV3,FECHA_BOV3,"&gt;="&amp;BH$2,FECHA_BOV3,"&lt;="&amp;BH$3,CLAVE_BOV3,$A15)+SUMIFS(SALIDAS_TC,FECHA_TC,"&gt;="&amp;BH$2,FECHA_TC,"&lt;="&amp;BH$3,CLAVE_TC,$A15)+SUMIFS(SALIDAS_COMB,FECHA_COMB,"&gt;="&amp;BH$2,FECHA_COMB,"&lt;="&amp;BH$3,CLAVE_COMB,$A15)+SUMIFS(SALIDAS_DES,FECHA_DESGLOSEN,"&gt;="&amp;BH$2,FECHA_DESGLOSEN,"&lt;="&amp;BH$3,CLAVE_DESGLOSE,$A15)</f>
        <v>16150.2</v>
      </c>
      <c r="BI15" s="13">
        <f>SUMIFS(SALIDAS_BIT,FECHA_BIT,"&gt;="&amp;BI$2,FECHA_BIT,"&lt;="&amp;BI$3,CLAVE_BIT,$A15)+SUMIFS(SALIDAS_BOV1,FECHA_BOV1,"&gt;="&amp;BI$2,FECHA_BOV1,"&lt;="&amp;BI$3,CLAVE_BOV1,$A15)+SUMIFS(SALIDAS_BOV2,FECHA_BOV2,"&gt;="&amp;BI$2,FECHA_BOV2,"&lt;="&amp;BI$3,CLAVE_BOV2,$A15)+SUMIFS(SALIDAS_BOV3,FECHA_BOV3,"&gt;="&amp;BI$2,FECHA_BOV3,"&lt;="&amp;BI$3,CLAVE_BOV3,$A15)+SUMIFS(SALIDAS_TC,FECHA_TC,"&gt;="&amp;BI$2,FECHA_TC,"&lt;="&amp;BI$3,CLAVE_TC,$A15)+SUMIFS(SALIDAS_COMB,FECHA_COMB,"&gt;="&amp;BI$2,FECHA_COMB,"&lt;="&amp;BI$3,CLAVE_COMB,$A15)+SUMIFS(SALIDAS_DES,FECHA_DESGLOSEN,"&gt;="&amp;BI$2,FECHA_DESGLOSEN,"&lt;="&amp;BI$3,CLAVE_DESGLOSE,$A15)</f>
        <v>59187.8</v>
      </c>
      <c r="BJ15" s="68">
        <f t="shared" si="70"/>
        <v>12812.199999999997</v>
      </c>
      <c r="BK15" s="268">
        <f t="shared" si="71"/>
        <v>0.82205277777777785</v>
      </c>
      <c r="BL15" s="13">
        <f t="shared" si="47"/>
        <v>90000</v>
      </c>
      <c r="BM15" s="13">
        <f>SUMIFS(SALIDAS_BIT,FECHA_BIT,"&gt;="&amp;BM$2,FECHA_BIT,"&lt;="&amp;BM$3,CLAVE_BIT,$A15)+SUMIFS(SALIDAS_BOV1,FECHA_BOV1,"&gt;="&amp;BM$2,FECHA_BOV1,"&lt;="&amp;BM$3,CLAVE_BOV1,$A15)+SUMIFS(SALIDAS_BOV2,FECHA_BOV2,"&gt;="&amp;BM$2,FECHA_BOV2,"&lt;="&amp;BM$3,CLAVE_BOV2,$A15)+SUMIFS(SALIDAS_BOV3,FECHA_BOV3,"&gt;="&amp;BM$2,FECHA_BOV3,"&lt;="&amp;BM$3,CLAVE_BOV3,$A15)+SUMIFS(SALIDAS_TC,FECHA_TC,"&gt;="&amp;BM$2,FECHA_TC,"&lt;="&amp;BM$3,CLAVE_TC,$A15)+SUMIFS(SALIDAS_COMB,FECHA_COMB,"&gt;="&amp;BM$2,FECHA_COMB,"&lt;="&amp;BM$3,CLAVE_COMB,$A15)+SUMIFS(SALIDAS_DES,FECHA_DESGLOSEN,"&gt;="&amp;BM$2,FECHA_DESGLOSEN,"&lt;="&amp;BM$3,CLAVE_DESGLOSE,$A15)</f>
        <v>16143.4</v>
      </c>
      <c r="BN15" s="13">
        <f>SUMIFS(SALIDAS_BIT,FECHA_BIT,"&gt;="&amp;BN$2,FECHA_BIT,"&lt;="&amp;BN$3,CLAVE_BIT,$A15)+SUMIFS(SALIDAS_BOV1,FECHA_BOV1,"&gt;="&amp;BN$2,FECHA_BOV1,"&lt;="&amp;BN$3,CLAVE_BOV1,$A15)+SUMIFS(SALIDAS_BOV2,FECHA_BOV2,"&gt;="&amp;BN$2,FECHA_BOV2,"&lt;="&amp;BN$3,CLAVE_BOV2,$A15)+SUMIFS(SALIDAS_BOV3,FECHA_BOV3,"&gt;="&amp;BN$2,FECHA_BOV3,"&lt;="&amp;BN$3,CLAVE_BOV3,$A15)+SUMIFS(SALIDAS_TC,FECHA_TC,"&gt;="&amp;BN$2,FECHA_TC,"&lt;="&amp;BN$3,CLAVE_TC,$A15)+SUMIFS(SALIDAS_COMB,FECHA_COMB,"&gt;="&amp;BN$2,FECHA_COMB,"&lt;="&amp;BN$3,CLAVE_COMB,$A15)+SUMIFS(SALIDAS_DES,FECHA_DESGLOSEN,"&gt;="&amp;BN$2,FECHA_DESGLOSEN,"&lt;="&amp;BN$3,CLAVE_DESGLOSE,$A15)</f>
        <v>15614.8</v>
      </c>
      <c r="BO15" s="13">
        <f>SUMIFS(SALIDAS_BIT,FECHA_BIT,"&gt;="&amp;BO$2,FECHA_BIT,"&lt;="&amp;BO$3,CLAVE_BIT,$A15)+SUMIFS(SALIDAS_BOV1,FECHA_BOV1,"&gt;="&amp;BO$2,FECHA_BOV1,"&lt;="&amp;BO$3,CLAVE_BOV1,$A15)+SUMIFS(SALIDAS_BOV2,FECHA_BOV2,"&gt;="&amp;BO$2,FECHA_BOV2,"&lt;="&amp;BO$3,CLAVE_BOV2,$A15)+SUMIFS(SALIDAS_BOV3,FECHA_BOV3,"&gt;="&amp;BO$2,FECHA_BOV3,"&lt;="&amp;BO$3,CLAVE_BOV3,$A15)+SUMIFS(SALIDAS_TC,FECHA_TC,"&gt;="&amp;BO$2,FECHA_TC,"&lt;="&amp;BO$3,CLAVE_TC,$A15)+SUMIFS(SALIDAS_COMB,FECHA_COMB,"&gt;="&amp;BO$2,FECHA_COMB,"&lt;="&amp;BO$3,CLAVE_COMB,$A15)+SUMIFS(SALIDAS_DES,FECHA_DESGLOSEN,"&gt;="&amp;BO$2,FECHA_DESGLOSEN,"&lt;="&amp;BO$3,CLAVE_DESGLOSE,$A15)</f>
        <v>17574.400000000001</v>
      </c>
      <c r="BP15" s="13">
        <f>SUMIFS(SALIDAS_BIT,FECHA_BIT,"&gt;="&amp;BP$2,FECHA_BIT,"&lt;="&amp;BP$3,CLAVE_BIT,$A15)+SUMIFS(SALIDAS_BOV1,FECHA_BOV1,"&gt;="&amp;BP$2,FECHA_BOV1,"&lt;="&amp;BP$3,CLAVE_BOV1,$A15)+SUMIFS(SALIDAS_BOV2,FECHA_BOV2,"&gt;="&amp;BP$2,FECHA_BOV2,"&lt;="&amp;BP$3,CLAVE_BOV2,$A15)+SUMIFS(SALIDAS_BOV3,FECHA_BOV3,"&gt;="&amp;BP$2,FECHA_BOV3,"&lt;="&amp;BP$3,CLAVE_BOV3,$A15)+SUMIFS(SALIDAS_TC,FECHA_TC,"&gt;="&amp;BP$2,FECHA_TC,"&lt;="&amp;BP$3,CLAVE_TC,$A15)+SUMIFS(SALIDAS_COMB,FECHA_COMB,"&gt;="&amp;BP$2,FECHA_COMB,"&lt;="&amp;BP$3,CLAVE_COMB,$A15)+SUMIFS(SALIDAS_DES,FECHA_DESGLOSEN,"&gt;="&amp;BP$2,FECHA_DESGLOSEN,"&lt;="&amp;BP$3,CLAVE_DESGLOSE,$A15)</f>
        <v>20223.8</v>
      </c>
      <c r="BQ15" s="13">
        <f>SUMIFS(SALIDAS_BIT,FECHA_BIT,"&gt;="&amp;BQ$2,FECHA_BIT,"&lt;="&amp;BQ$3,CLAVE_BIT,$A15)+SUMIFS(SALIDAS_BOV1,FECHA_BOV1,"&gt;="&amp;BQ$2,FECHA_BOV1,"&lt;="&amp;BQ$3,CLAVE_BOV1,$A15)+SUMIFS(SALIDAS_BOV2,FECHA_BOV2,"&gt;="&amp;BQ$2,FECHA_BOV2,"&lt;="&amp;BQ$3,CLAVE_BOV2,$A15)+SUMIFS(SALIDAS_BOV3,FECHA_BOV3,"&gt;="&amp;BQ$2,FECHA_BOV3,"&lt;="&amp;BQ$3,CLAVE_BOV3,$A15)+SUMIFS(SALIDAS_TC,FECHA_TC,"&gt;="&amp;BQ$2,FECHA_TC,"&lt;="&amp;BQ$3,CLAVE_TC,$A15)+SUMIFS(SALIDAS_COMB,FECHA_COMB,"&gt;="&amp;BQ$2,FECHA_COMB,"&lt;="&amp;BQ$3,CLAVE_COMB,$A15)+SUMIFS(SALIDAS_DES,FECHA_DESGLOSEN,"&gt;="&amp;BQ$2,FECHA_DESGLOSEN,"&lt;="&amp;BQ$3,CLAVE_DESGLOSE,$A15)</f>
        <v>14922</v>
      </c>
      <c r="BR15" s="13">
        <f>SUMIFS(SALIDAS_BIT,FECHA_BIT,"&gt;="&amp;BR$2,FECHA_BIT,"&lt;="&amp;BR$3,CLAVE_BIT,$A15)+SUMIFS(SALIDAS_BOV1,FECHA_BOV1,"&gt;="&amp;BR$2,FECHA_BOV1,"&lt;="&amp;BR$3,CLAVE_BOV1,$A15)+SUMIFS(SALIDAS_BOV2,FECHA_BOV2,"&gt;="&amp;BR$2,FECHA_BOV2,"&lt;="&amp;BR$3,CLAVE_BOV2,$A15)+SUMIFS(SALIDAS_BOV3,FECHA_BOV3,"&gt;="&amp;BR$2,FECHA_BOV3,"&lt;="&amp;BR$3,CLAVE_BOV3,$A15)+SUMIFS(SALIDAS_TC,FECHA_TC,"&gt;="&amp;BR$2,FECHA_TC,"&lt;="&amp;BR$3,CLAVE_TC,$A15)+SUMIFS(SALIDAS_COMB,FECHA_COMB,"&gt;="&amp;BR$2,FECHA_COMB,"&lt;="&amp;BR$3,CLAVE_COMB,$A15)+SUMIFS(SALIDAS_DES,FECHA_DESGLOSEN,"&gt;="&amp;BR$2,FECHA_DESGLOSEN,"&lt;="&amp;BR$3,CLAVE_DESGLOSE,$A15)</f>
        <v>84478.399999999994</v>
      </c>
      <c r="BS15" s="68">
        <f t="shared" si="72"/>
        <v>5521.6000000000058</v>
      </c>
      <c r="BT15" s="268">
        <f t="shared" si="73"/>
        <v>0.93864888888888887</v>
      </c>
      <c r="BU15" s="13">
        <f t="shared" si="49"/>
        <v>72000</v>
      </c>
      <c r="BV15" s="13">
        <f t="shared" si="50"/>
        <v>15532.8</v>
      </c>
      <c r="BW15" s="13">
        <f t="shared" si="50"/>
        <v>18500.2</v>
      </c>
      <c r="BX15" s="13">
        <f t="shared" si="50"/>
        <v>15049.86</v>
      </c>
      <c r="BY15" s="13">
        <f t="shared" si="50"/>
        <v>16558.93</v>
      </c>
      <c r="BZ15" s="13">
        <f t="shared" si="50"/>
        <v>65641.790000000008</v>
      </c>
      <c r="CA15" s="68">
        <f t="shared" si="74"/>
        <v>6358.2099999999919</v>
      </c>
      <c r="CB15" s="268">
        <f t="shared" si="75"/>
        <v>0.91169152777777784</v>
      </c>
      <c r="CC15" s="13">
        <f t="shared" si="51"/>
        <v>72000</v>
      </c>
      <c r="CD15" s="13">
        <f t="shared" si="52"/>
        <v>22425.599999999999</v>
      </c>
      <c r="CE15" s="13">
        <f>SUMIFS(SALIDAS_BIT,FECHA_BIT,"&gt;="&amp;CE$2,FECHA_BIT,"&lt;="&amp;CE$3,CLAVE_BIT,$A15)+SUMIFS(SALIDAS_BOV1,FECHA_BOV1,"&gt;="&amp;CE$2,FECHA_BOV1,"&lt;="&amp;CE$3,CLAVE_BOV1,$A15)+SUMIFS(SALIDAS_BOV2,FECHA_BOV2,"&gt;="&amp;CE$2,FECHA_BOV2,"&lt;="&amp;CE$3,CLAVE_BOV2,$A15)+SUMIFS(SALIDAS_BOV3,FECHA_BOV3,"&gt;="&amp;CE$2,FECHA_BOV3,"&lt;="&amp;CE$3,CLAVE_BOV3,$A15)+SUMIFS(SALIDAS_TC,FECHA_TC,"&gt;="&amp;CE$2,FECHA_TC,"&lt;="&amp;CE$3,CLAVE_TC,$A15)+SUMIFS(SALIDAS_COMB,FECHA_COMB,"&gt;="&amp;CE$2,FECHA_COMB,"&lt;="&amp;CE$3,CLAVE_COMB,$A15)+SUMIFS(SALIDAS_DES,FECHA_DESGLOSEN,"&gt;="&amp;CE$2,FECHA_DESGLOSEN,"&lt;="&amp;CE$3,CLAVE_DESGLOSE,$A15)</f>
        <v>17786.8</v>
      </c>
      <c r="CF15" s="13">
        <f t="shared" si="52"/>
        <v>26240.400000000001</v>
      </c>
      <c r="CG15" s="13">
        <f t="shared" si="52"/>
        <v>22893.599999999999</v>
      </c>
      <c r="CH15" s="13">
        <f t="shared" si="52"/>
        <v>89346.4</v>
      </c>
      <c r="CI15" s="68">
        <f t="shared" si="76"/>
        <v>-17346.399999999994</v>
      </c>
      <c r="CJ15" s="268">
        <f t="shared" si="77"/>
        <v>1.240922222222222</v>
      </c>
      <c r="CK15" s="13">
        <f t="shared" si="53"/>
        <v>150602</v>
      </c>
      <c r="CL15" s="13">
        <f t="shared" si="54"/>
        <v>26162.799999999999</v>
      </c>
      <c r="CM15" s="13">
        <f t="shared" si="54"/>
        <v>37844.300000000003</v>
      </c>
      <c r="CN15" s="13">
        <f t="shared" si="54"/>
        <v>46163.4</v>
      </c>
      <c r="CO15" s="13">
        <f t="shared" si="54"/>
        <v>45554</v>
      </c>
      <c r="CP15" s="13">
        <f t="shared" si="54"/>
        <v>33313.800000000003</v>
      </c>
      <c r="CQ15" s="13">
        <f t="shared" si="54"/>
        <v>189038.3</v>
      </c>
      <c r="CR15" s="68">
        <f t="shared" si="78"/>
        <v>-38436.299999999988</v>
      </c>
      <c r="CS15" s="268">
        <f t="shared" si="79"/>
        <v>1.2552177261922151</v>
      </c>
      <c r="CT15" s="68">
        <f t="shared" si="55"/>
        <v>74175</v>
      </c>
      <c r="CU15" s="13">
        <f>SUMIFS(SALIDAS_BIT,FECHA_BIT,"&gt;="&amp;CU$2,FECHA_BIT,"&lt;="&amp;CU$3,CLAVE_BIT,$A15)+SUMIFS(SALIDAS_BOV1,FECHA_BOV1,"&gt;="&amp;CU$2,FECHA_BOV1,"&lt;="&amp;CU$3,CLAVE_BOV1,$A15)+SUMIFS(SALIDAS_BOV2,FECHA_BOV2,"&gt;="&amp;CU$2,FECHA_BOV2,"&lt;="&amp;CU$3,CLAVE_BOV2,$A15)+SUMIFS(SALIDAS_BOV3,FECHA_BOV3,"&gt;="&amp;CU$2,FECHA_BOV3,"&lt;="&amp;CU$3,CLAVE_BOV3,$A15)+SUMIFS(SALIDAS_TC,FECHA_TC,"&gt;="&amp;CU$2,FECHA_TC,"&lt;="&amp;CU$3,CLAVE_TC,$A15)+SUMIFS(SALIDAS_COMB,FECHA_COMB,"&gt;="&amp;CU$2,FECHA_COMB,"&lt;="&amp;CU$3,CLAVE_COMB,$A15)+SUMIFS(SALIDAS_DES,FECHA_DESGLOSEN,"&gt;="&amp;CU$2,FECHA_DESGLOSEN,"&lt;="&amp;CU$3,CLAVE_DESGLOSE,$A15)</f>
        <v>25707.200000000001</v>
      </c>
      <c r="CV15" s="13">
        <f>SUMIFS(SALIDAS_BIT,FECHA_BIT,"&gt;="&amp;CV$2,FECHA_BIT,"&lt;="&amp;CV$3,CLAVE_BIT,$A15)+SUMIFS(SALIDAS_BOV1,FECHA_BOV1,"&gt;="&amp;CV$2,FECHA_BOV1,"&lt;="&amp;CV$3,CLAVE_BOV1,$A15)+SUMIFS(SALIDAS_BOV2,FECHA_BOV2,"&gt;="&amp;CV$2,FECHA_BOV2,"&lt;="&amp;CV$3,CLAVE_BOV2,$A15)+SUMIFS(SALIDAS_BOV3,FECHA_BOV3,"&gt;="&amp;CV$2,FECHA_BOV3,"&lt;="&amp;CV$3,CLAVE_BOV3,$A15)+SUMIFS(SALIDAS_TC,FECHA_TC,"&gt;="&amp;CV$2,FECHA_TC,"&lt;="&amp;CV$3,CLAVE_TC,$A15)+SUMIFS(SALIDAS_COMB,FECHA_COMB,"&gt;="&amp;CV$2,FECHA_COMB,"&lt;="&amp;CV$3,CLAVE_COMB,$A15)+SUMIFS(SALIDAS_DES,FECHA_DESGLOSEN,"&gt;="&amp;CV$2,FECHA_DESGLOSEN,"&lt;="&amp;CV$3,CLAVE_DESGLOSE,$A15)</f>
        <v>23408.2</v>
      </c>
      <c r="CW15" s="13">
        <f>SUMIFS(SALIDAS_BIT,FECHA_BIT,"&gt;="&amp;CW$2,FECHA_BIT,"&lt;="&amp;CW$3,CLAVE_BIT,$A15)+SUMIFS(SALIDAS_BOV1,FECHA_BOV1,"&gt;="&amp;CW$2,FECHA_BOV1,"&lt;="&amp;CW$3,CLAVE_BOV1,$A15)+SUMIFS(SALIDAS_BOV2,FECHA_BOV2,"&gt;="&amp;CW$2,FECHA_BOV2,"&lt;="&amp;CW$3,CLAVE_BOV2,$A15)+SUMIFS(SALIDAS_BOV3,FECHA_BOV3,"&gt;="&amp;CW$2,FECHA_BOV3,"&lt;="&amp;CW$3,CLAVE_BOV3,$A15)+SUMIFS(SALIDAS_TC,FECHA_TC,"&gt;="&amp;CW$2,FECHA_TC,"&lt;="&amp;CW$3,CLAVE_TC,$A15)+SUMIFS(SALIDAS_COMB,FECHA_COMB,"&gt;="&amp;CW$2,FECHA_COMB,"&lt;="&amp;CW$3,CLAVE_COMB,$A15)+SUMIFS(SALIDAS_DES,FECHA_DESGLOSEN,"&gt;="&amp;CW$2,FECHA_DESGLOSEN,"&lt;="&amp;CW$3,CLAVE_DESGLOSE,$A15)</f>
        <v>22383</v>
      </c>
      <c r="CX15" s="13">
        <f>SUMIFS(SALIDAS_BIT,FECHA_BIT,"&gt;="&amp;CX$2,FECHA_BIT,"&lt;="&amp;CX$3,CLAVE_BIT,$A15)+SUMIFS(SALIDAS_BOV1,FECHA_BOV1,"&gt;="&amp;CX$2,FECHA_BOV1,"&lt;="&amp;CX$3,CLAVE_BOV1,$A15)+SUMIFS(SALIDAS_BOV2,FECHA_BOV2,"&gt;="&amp;CX$2,FECHA_BOV2,"&lt;="&amp;CX$3,CLAVE_BOV2,$A15)+SUMIFS(SALIDAS_BOV3,FECHA_BOV3,"&gt;="&amp;CX$2,FECHA_BOV3,"&lt;="&amp;CX$3,CLAVE_BOV3,$A15)+SUMIFS(SALIDAS_TC,FECHA_TC,"&gt;="&amp;CX$2,FECHA_TC,"&lt;="&amp;CX$3,CLAVE_TC,$A15)+SUMIFS(SALIDAS_COMB,FECHA_COMB,"&gt;="&amp;CX$2,FECHA_COMB,"&lt;="&amp;CX$3,CLAVE_COMB,$A15)+SUMIFS(SALIDAS_DES,FECHA_DESGLOSEN,"&gt;="&amp;CX$2,FECHA_DESGLOSEN,"&lt;="&amp;CX$3,CLAVE_DESGLOSE,$A15)</f>
        <v>20611</v>
      </c>
      <c r="CY15" s="13">
        <f>SUMIFS(SALIDAS_BIT,FECHA_BIT,"&gt;="&amp;CY$2,FECHA_BIT,"&lt;="&amp;CY$3,CLAVE_BIT,$A15)+SUMIFS(SALIDAS_BOV1,FECHA_BOV1,"&gt;="&amp;CY$2,FECHA_BOV1,"&lt;="&amp;CY$3,CLAVE_BOV1,$A15)+SUMIFS(SALIDAS_BOV2,FECHA_BOV2,"&gt;="&amp;CY$2,FECHA_BOV2,"&lt;="&amp;CY$3,CLAVE_BOV2,$A15)+SUMIFS(SALIDAS_BOV3,FECHA_BOV3,"&gt;="&amp;CY$2,FECHA_BOV3,"&lt;="&amp;CY$3,CLAVE_BOV3,$A15)+SUMIFS(SALIDAS_TC,FECHA_TC,"&gt;="&amp;CY$2,FECHA_TC,"&lt;="&amp;CY$3,CLAVE_TC,$A15)+SUMIFS(SALIDAS_COMB,FECHA_COMB,"&gt;="&amp;CY$2,FECHA_COMB,"&lt;="&amp;CY$3,CLAVE_COMB,$A15)+SUMIFS(SALIDAS_DES,FECHA_DESGLOSEN,"&gt;="&amp;CY$2,FECHA_DESGLOSEN,"&lt;="&amp;CY$3,CLAVE_DESGLOSE,$A15)</f>
        <v>92109.4</v>
      </c>
      <c r="CZ15" s="68">
        <f t="shared" si="80"/>
        <v>-17934.399999999994</v>
      </c>
      <c r="DB15" s="17">
        <f>F15+N15+W15+AE15+AM15+AV15+BD15+BL15+BU15+CC15+CK15</f>
        <v>980407.75</v>
      </c>
      <c r="DC15" s="17">
        <f>K15+T15+AB15+AJ15+AS15+BA15+BI15+BR15+BZ15+CH15+CQ15</f>
        <v>923367.32000000007</v>
      </c>
    </row>
    <row r="16" spans="1:1023 1025:2047 2049:3071 3073:4095 4097:5119 5121:6143 6145:7167 7169:8191 8193:9215 9217:10239 10241:11263 11265:12287 12289:13311 13313:14335 14337:15359 15361:16357" hidden="1">
      <c r="A16" s="12" t="str">
        <f t="shared" si="57"/>
        <v>HRNOMINA SUCURSALA11</v>
      </c>
      <c r="B16" s="12">
        <v>10</v>
      </c>
      <c r="C16" t="s">
        <v>29</v>
      </c>
      <c r="D16" s="12" t="s">
        <v>154</v>
      </c>
      <c r="E16" s="12" t="s">
        <v>97</v>
      </c>
      <c r="F16" s="259">
        <f t="shared" si="58"/>
        <v>57126</v>
      </c>
      <c r="G16" s="13">
        <f t="shared" si="35"/>
        <v>16045.8</v>
      </c>
      <c r="H16" s="13">
        <f t="shared" si="35"/>
        <v>13100.2</v>
      </c>
      <c r="I16" s="13">
        <f t="shared" si="35"/>
        <v>13100.2</v>
      </c>
      <c r="J16" s="13">
        <f t="shared" si="35"/>
        <v>13100.4</v>
      </c>
      <c r="K16" s="13">
        <f t="shared" si="35"/>
        <v>55346.6</v>
      </c>
      <c r="L16" s="68">
        <f t="shared" si="59"/>
        <v>1779.4000000000015</v>
      </c>
      <c r="M16" s="268">
        <f t="shared" si="60"/>
        <v>0.96885131113678535</v>
      </c>
      <c r="N16" s="13">
        <f t="shared" si="36"/>
        <v>71407.5</v>
      </c>
      <c r="O16" s="13">
        <f t="shared" si="37"/>
        <v>13100.2</v>
      </c>
      <c r="P16" s="13">
        <f t="shared" si="37"/>
        <v>13100</v>
      </c>
      <c r="Q16" s="13">
        <f t="shared" si="37"/>
        <v>16010.6</v>
      </c>
      <c r="R16" s="13">
        <f t="shared" si="37"/>
        <v>13045.6</v>
      </c>
      <c r="S16" s="13">
        <f t="shared" si="37"/>
        <v>13100</v>
      </c>
      <c r="T16" s="13">
        <f t="shared" si="37"/>
        <v>68356.399999999994</v>
      </c>
      <c r="U16" s="68">
        <f t="shared" si="61"/>
        <v>3051.1000000000058</v>
      </c>
      <c r="V16" s="268">
        <f t="shared" si="62"/>
        <v>0.9572719952385953</v>
      </c>
      <c r="W16" s="13">
        <f t="shared" si="38"/>
        <v>57126</v>
      </c>
      <c r="X16" s="13">
        <f t="shared" si="39"/>
        <v>13093.4</v>
      </c>
      <c r="Y16" s="13">
        <f t="shared" si="39"/>
        <v>13050.4</v>
      </c>
      <c r="Z16" s="13">
        <f t="shared" si="39"/>
        <v>13099.8</v>
      </c>
      <c r="AA16" s="13">
        <f t="shared" si="39"/>
        <v>13100.4</v>
      </c>
      <c r="AB16" s="13">
        <f t="shared" si="39"/>
        <v>52344</v>
      </c>
      <c r="AC16" s="68">
        <f t="shared" si="63"/>
        <v>4782</v>
      </c>
      <c r="AD16" s="268">
        <f t="shared" si="64"/>
        <v>0.91629030564016389</v>
      </c>
      <c r="AE16" s="13">
        <f t="shared" si="40"/>
        <v>57126</v>
      </c>
      <c r="AF16" s="13">
        <f t="shared" si="41"/>
        <v>15727</v>
      </c>
      <c r="AG16" s="13">
        <f t="shared" si="41"/>
        <v>13100</v>
      </c>
      <c r="AH16" s="13">
        <f t="shared" si="41"/>
        <v>14026.4</v>
      </c>
      <c r="AI16" s="13">
        <f t="shared" si="41"/>
        <v>13098.4</v>
      </c>
      <c r="AJ16" s="13">
        <f t="shared" si="41"/>
        <v>55951.8</v>
      </c>
      <c r="AK16" s="68">
        <f t="shared" si="65"/>
        <v>1174.1999999999971</v>
      </c>
      <c r="AL16" s="268">
        <f t="shared" si="66"/>
        <v>0.97944543640373916</v>
      </c>
      <c r="AM16" s="13">
        <f t="shared" si="42"/>
        <v>71407.5</v>
      </c>
      <c r="AN16" s="13">
        <f t="shared" si="43"/>
        <v>13096.8</v>
      </c>
      <c r="AO16" s="13">
        <f t="shared" si="43"/>
        <v>13100.2</v>
      </c>
      <c r="AP16" s="13">
        <f t="shared" si="43"/>
        <v>13291.2</v>
      </c>
      <c r="AQ16" s="13">
        <f t="shared" si="43"/>
        <v>13367.8</v>
      </c>
      <c r="AR16" s="13">
        <f t="shared" si="43"/>
        <v>13099.6</v>
      </c>
      <c r="AS16" s="13">
        <f t="shared" si="43"/>
        <v>65955.600000000006</v>
      </c>
      <c r="AT16" s="68">
        <f>AM16-AS16</f>
        <v>5451.8999999999942</v>
      </c>
      <c r="AU16" s="268">
        <f t="shared" si="67"/>
        <v>0.92365087700871762</v>
      </c>
      <c r="AV16" s="13">
        <f t="shared" si="44"/>
        <v>57126</v>
      </c>
      <c r="AW16" s="13">
        <f t="shared" si="45"/>
        <v>13096.6</v>
      </c>
      <c r="AX16" s="13">
        <f t="shared" si="45"/>
        <v>13448.8</v>
      </c>
      <c r="AY16" s="13">
        <f t="shared" si="45"/>
        <v>13097</v>
      </c>
      <c r="AZ16" s="13">
        <f t="shared" si="45"/>
        <v>13264</v>
      </c>
      <c r="BA16" s="13">
        <f t="shared" si="45"/>
        <v>52906.400000000001</v>
      </c>
      <c r="BB16" s="68">
        <f t="shared" si="68"/>
        <v>4219.5999999999985</v>
      </c>
      <c r="BC16" s="268">
        <f t="shared" si="69"/>
        <v>0.92613520988691667</v>
      </c>
      <c r="BD16" s="13">
        <f t="shared" si="46"/>
        <v>57126</v>
      </c>
      <c r="BE16" s="13">
        <f>SUMIFS(SALIDAS_BIT,FECHA_BIT,"&gt;="&amp;BE$2,FECHA_BIT,"&lt;="&amp;BE$3,CLAVE_BIT,$A16)+SUMIFS(SALIDAS_BOV1,FECHA_BOV1,"&gt;="&amp;BE$2,FECHA_BOV1,"&lt;="&amp;BE$3,CLAVE_BOV1,$A16)+SUMIFS(SALIDAS_BOV2,FECHA_BOV2,"&gt;="&amp;BE$2,FECHA_BOV2,"&lt;="&amp;BE$3,CLAVE_BOV2,$A16)+SUMIFS(SALIDAS_BOV3,FECHA_BOV3,"&gt;="&amp;BE$2,FECHA_BOV3,"&lt;="&amp;BE$3,CLAVE_BOV3,$A16)+SUMIFS(SALIDAS_TC,FECHA_TC,"&gt;="&amp;BE$2,FECHA_TC,"&lt;="&amp;BE$3,CLAVE_TC,$A16)+SUMIFS(SALIDAS_COMB,FECHA_COMB,"&gt;="&amp;BE$2,FECHA_COMB,"&lt;="&amp;BE$3,CLAVE_COMB,$A16)+SUMIFS(SALIDAS_DES,FECHA_DESGLOSEN,"&gt;="&amp;BE$2,FECHA_DESGLOSEN,"&lt;="&amp;BE$3,CLAVE_DESGLOSE,$A16)</f>
        <v>11573</v>
      </c>
      <c r="BF16" s="13">
        <f>SUMIFS(SALIDAS_BIT,FECHA_BIT,"&gt;="&amp;BF$2,FECHA_BIT,"&lt;="&amp;BF$3,CLAVE_BIT,$A16)+SUMIFS(SALIDAS_BOV1,FECHA_BOV1,"&gt;="&amp;BF$2,FECHA_BOV1,"&lt;="&amp;BF$3,CLAVE_BOV1,$A16)+SUMIFS(SALIDAS_BOV2,FECHA_BOV2,"&gt;="&amp;BF$2,FECHA_BOV2,"&lt;="&amp;BF$3,CLAVE_BOV2,$A16)+SUMIFS(SALIDAS_BOV3,FECHA_BOV3,"&gt;="&amp;BF$2,FECHA_BOV3,"&lt;="&amp;BF$3,CLAVE_BOV3,$A16)+SUMIFS(SALIDAS_TC,FECHA_TC,"&gt;="&amp;BF$2,FECHA_TC,"&lt;="&amp;BF$3,CLAVE_TC,$A16)+SUMIFS(SALIDAS_COMB,FECHA_COMB,"&gt;="&amp;BF$2,FECHA_COMB,"&lt;="&amp;BF$3,CLAVE_COMB,$A16)+SUMIFS(SALIDAS_DES,FECHA_DESGLOSEN,"&gt;="&amp;BF$2,FECHA_DESGLOSEN,"&lt;="&amp;BF$3,CLAVE_DESGLOSE,$A16)</f>
        <v>13844</v>
      </c>
      <c r="BG16" s="13">
        <f>SUMIFS(SALIDAS_BIT,FECHA_BIT,"&gt;="&amp;BG$2,FECHA_BIT,"&lt;="&amp;BG$3,CLAVE_BIT,$A16)+SUMIFS(SALIDAS_BOV1,FECHA_BOV1,"&gt;="&amp;BG$2,FECHA_BOV1,"&lt;="&amp;BG$3,CLAVE_BOV1,$A16)+SUMIFS(SALIDAS_BOV2,FECHA_BOV2,"&gt;="&amp;BG$2,FECHA_BOV2,"&lt;="&amp;BG$3,CLAVE_BOV2,$A16)+SUMIFS(SALIDAS_BOV3,FECHA_BOV3,"&gt;="&amp;BG$2,FECHA_BOV3,"&lt;="&amp;BG$3,CLAVE_BOV3,$A16)+SUMIFS(SALIDAS_TC,FECHA_TC,"&gt;="&amp;BG$2,FECHA_TC,"&lt;="&amp;BG$3,CLAVE_TC,$A16)+SUMIFS(SALIDAS_COMB,FECHA_COMB,"&gt;="&amp;BG$2,FECHA_COMB,"&lt;="&amp;BG$3,CLAVE_COMB,$A16)+SUMIFS(SALIDAS_DES,FECHA_DESGLOSEN,"&gt;="&amp;BG$2,FECHA_DESGLOSEN,"&lt;="&amp;BG$3,CLAVE_DESGLOSE,$A16)</f>
        <v>13189.4</v>
      </c>
      <c r="BH16" s="13">
        <f>SUMIFS(SALIDAS_BIT,FECHA_BIT,"&gt;="&amp;BH$2,FECHA_BIT,"&lt;="&amp;BH$3,CLAVE_BIT,$A16)+SUMIFS(SALIDAS_BOV1,FECHA_BOV1,"&gt;="&amp;BH$2,FECHA_BOV1,"&lt;="&amp;BH$3,CLAVE_BOV1,$A16)+SUMIFS(SALIDAS_BOV2,FECHA_BOV2,"&gt;="&amp;BH$2,FECHA_BOV2,"&lt;="&amp;BH$3,CLAVE_BOV2,$A16)+SUMIFS(SALIDAS_BOV3,FECHA_BOV3,"&gt;="&amp;BH$2,FECHA_BOV3,"&lt;="&amp;BH$3,CLAVE_BOV3,$A16)+SUMIFS(SALIDAS_TC,FECHA_TC,"&gt;="&amp;BH$2,FECHA_TC,"&lt;="&amp;BH$3,CLAVE_TC,$A16)+SUMIFS(SALIDAS_COMB,FECHA_COMB,"&gt;="&amp;BH$2,FECHA_COMB,"&lt;="&amp;BH$3,CLAVE_COMB,$A16)+SUMIFS(SALIDAS_DES,FECHA_DESGLOSEN,"&gt;="&amp;BH$2,FECHA_DESGLOSEN,"&lt;="&amp;BH$3,CLAVE_DESGLOSE,$A16)</f>
        <v>13196</v>
      </c>
      <c r="BI16" s="13">
        <f>SUMIFS(SALIDAS_BIT,FECHA_BIT,"&gt;="&amp;BI$2,FECHA_BIT,"&lt;="&amp;BI$3,CLAVE_BIT,$A16)+SUMIFS(SALIDAS_BOV1,FECHA_BOV1,"&gt;="&amp;BI$2,FECHA_BOV1,"&lt;="&amp;BI$3,CLAVE_BOV1,$A16)+SUMIFS(SALIDAS_BOV2,FECHA_BOV2,"&gt;="&amp;BI$2,FECHA_BOV2,"&lt;="&amp;BI$3,CLAVE_BOV2,$A16)+SUMIFS(SALIDAS_BOV3,FECHA_BOV3,"&gt;="&amp;BI$2,FECHA_BOV3,"&lt;="&amp;BI$3,CLAVE_BOV3,$A16)+SUMIFS(SALIDAS_TC,FECHA_TC,"&gt;="&amp;BI$2,FECHA_TC,"&lt;="&amp;BI$3,CLAVE_TC,$A16)+SUMIFS(SALIDAS_COMB,FECHA_COMB,"&gt;="&amp;BI$2,FECHA_COMB,"&lt;="&amp;BI$3,CLAVE_COMB,$A16)+SUMIFS(SALIDAS_DES,FECHA_DESGLOSEN,"&gt;="&amp;BI$2,FECHA_DESGLOSEN,"&lt;="&amp;BI$3,CLAVE_DESGLOSE,$A16)</f>
        <v>51802.400000000001</v>
      </c>
      <c r="BJ16" s="68">
        <f t="shared" si="70"/>
        <v>5323.5999999999985</v>
      </c>
      <c r="BK16" s="268">
        <f t="shared" si="71"/>
        <v>0.90680950880509748</v>
      </c>
      <c r="BL16" s="13">
        <f t="shared" si="47"/>
        <v>71407.5</v>
      </c>
      <c r="BM16" s="13">
        <f>SUMIFS(SALIDAS_BIT,FECHA_BIT,"&gt;="&amp;BM$2,FECHA_BIT,"&lt;="&amp;BM$3,CLAVE_BIT,$A16)+SUMIFS(SALIDAS_BOV1,FECHA_BOV1,"&gt;="&amp;BM$2,FECHA_BOV1,"&lt;="&amp;BM$3,CLAVE_BOV1,$A16)+SUMIFS(SALIDAS_BOV2,FECHA_BOV2,"&gt;="&amp;BM$2,FECHA_BOV2,"&lt;="&amp;BM$3,CLAVE_BOV2,$A16)+SUMIFS(SALIDAS_BOV3,FECHA_BOV3,"&gt;="&amp;BM$2,FECHA_BOV3,"&lt;="&amp;BM$3,CLAVE_BOV3,$A16)+SUMIFS(SALIDAS_TC,FECHA_TC,"&gt;="&amp;BM$2,FECHA_TC,"&lt;="&amp;BM$3,CLAVE_TC,$A16)+SUMIFS(SALIDAS_COMB,FECHA_COMB,"&gt;="&amp;BM$2,FECHA_COMB,"&lt;="&amp;BM$3,CLAVE_COMB,$A16)+SUMIFS(SALIDAS_DES,FECHA_DESGLOSEN,"&gt;="&amp;BM$2,FECHA_DESGLOSEN,"&lt;="&amp;BM$3,CLAVE_DESGLOSE,$A16)</f>
        <v>11268.6</v>
      </c>
      <c r="BN16" s="13">
        <f>SUMIFS(SALIDAS_BIT,FECHA_BIT,"&gt;="&amp;BN$2,FECHA_BIT,"&lt;="&amp;BN$3,CLAVE_BIT,$A16)+SUMIFS(SALIDAS_BOV1,FECHA_BOV1,"&gt;="&amp;BN$2,FECHA_BOV1,"&lt;="&amp;BN$3,CLAVE_BOV1,$A16)+SUMIFS(SALIDAS_BOV2,FECHA_BOV2,"&gt;="&amp;BN$2,FECHA_BOV2,"&lt;="&amp;BN$3,CLAVE_BOV2,$A16)+SUMIFS(SALIDAS_BOV3,FECHA_BOV3,"&gt;="&amp;BN$2,FECHA_BOV3,"&lt;="&amp;BN$3,CLAVE_BOV3,$A16)+SUMIFS(SALIDAS_TC,FECHA_TC,"&gt;="&amp;BN$2,FECHA_TC,"&lt;="&amp;BN$3,CLAVE_TC,$A16)+SUMIFS(SALIDAS_COMB,FECHA_COMB,"&gt;="&amp;BN$2,FECHA_COMB,"&lt;="&amp;BN$3,CLAVE_COMB,$A16)+SUMIFS(SALIDAS_DES,FECHA_DESGLOSEN,"&gt;="&amp;BN$2,FECHA_DESGLOSEN,"&lt;="&amp;BN$3,CLAVE_DESGLOSE,$A16)</f>
        <v>14522</v>
      </c>
      <c r="BO16" s="13">
        <f>SUMIFS(SALIDAS_BIT,FECHA_BIT,"&gt;="&amp;BO$2,FECHA_BIT,"&lt;="&amp;BO$3,CLAVE_BIT,$A16)+SUMIFS(SALIDAS_BOV1,FECHA_BOV1,"&gt;="&amp;BO$2,FECHA_BOV1,"&lt;="&amp;BO$3,CLAVE_BOV1,$A16)+SUMIFS(SALIDAS_BOV2,FECHA_BOV2,"&gt;="&amp;BO$2,FECHA_BOV2,"&lt;="&amp;BO$3,CLAVE_BOV2,$A16)+SUMIFS(SALIDAS_BOV3,FECHA_BOV3,"&gt;="&amp;BO$2,FECHA_BOV3,"&lt;="&amp;BO$3,CLAVE_BOV3,$A16)+SUMIFS(SALIDAS_TC,FECHA_TC,"&gt;="&amp;BO$2,FECHA_TC,"&lt;="&amp;BO$3,CLAVE_TC,$A16)+SUMIFS(SALIDAS_COMB,FECHA_COMB,"&gt;="&amp;BO$2,FECHA_COMB,"&lt;="&amp;BO$3,CLAVE_COMB,$A16)+SUMIFS(SALIDAS_DES,FECHA_DESGLOSEN,"&gt;="&amp;BO$2,FECHA_DESGLOSEN,"&lt;="&amp;BO$3,CLAVE_DESGLOSE,$A16)</f>
        <v>12370.6</v>
      </c>
      <c r="BP16" s="13">
        <f>SUMIFS(SALIDAS_BIT,FECHA_BIT,"&gt;="&amp;BP$2,FECHA_BIT,"&lt;="&amp;BP$3,CLAVE_BIT,$A16)+SUMIFS(SALIDAS_BOV1,FECHA_BOV1,"&gt;="&amp;BP$2,FECHA_BOV1,"&lt;="&amp;BP$3,CLAVE_BOV1,$A16)+SUMIFS(SALIDAS_BOV2,FECHA_BOV2,"&gt;="&amp;BP$2,FECHA_BOV2,"&lt;="&amp;BP$3,CLAVE_BOV2,$A16)+SUMIFS(SALIDAS_BOV3,FECHA_BOV3,"&gt;="&amp;BP$2,FECHA_BOV3,"&lt;="&amp;BP$3,CLAVE_BOV3,$A16)+SUMIFS(SALIDAS_TC,FECHA_TC,"&gt;="&amp;BP$2,FECHA_TC,"&lt;="&amp;BP$3,CLAVE_TC,$A16)+SUMIFS(SALIDAS_COMB,FECHA_COMB,"&gt;="&amp;BP$2,FECHA_COMB,"&lt;="&amp;BP$3,CLAVE_COMB,$A16)+SUMIFS(SALIDAS_DES,FECHA_DESGLOSEN,"&gt;="&amp;BP$2,FECHA_DESGLOSEN,"&lt;="&amp;BP$3,CLAVE_DESGLOSE,$A16)</f>
        <v>16986.2</v>
      </c>
      <c r="BQ16" s="13">
        <f>SUMIFS(SALIDAS_BIT,FECHA_BIT,"&gt;="&amp;BQ$2,FECHA_BIT,"&lt;="&amp;BQ$3,CLAVE_BIT,$A16)+SUMIFS(SALIDAS_BOV1,FECHA_BOV1,"&gt;="&amp;BQ$2,FECHA_BOV1,"&lt;="&amp;BQ$3,CLAVE_BOV1,$A16)+SUMIFS(SALIDAS_BOV2,FECHA_BOV2,"&gt;="&amp;BQ$2,FECHA_BOV2,"&lt;="&amp;BQ$3,CLAVE_BOV2,$A16)+SUMIFS(SALIDAS_BOV3,FECHA_BOV3,"&gt;="&amp;BQ$2,FECHA_BOV3,"&lt;="&amp;BQ$3,CLAVE_BOV3,$A16)+SUMIFS(SALIDAS_TC,FECHA_TC,"&gt;="&amp;BQ$2,FECHA_TC,"&lt;="&amp;BQ$3,CLAVE_TC,$A16)+SUMIFS(SALIDAS_COMB,FECHA_COMB,"&gt;="&amp;BQ$2,FECHA_COMB,"&lt;="&amp;BQ$3,CLAVE_COMB,$A16)+SUMIFS(SALIDAS_DES,FECHA_DESGLOSEN,"&gt;="&amp;BQ$2,FECHA_DESGLOSEN,"&lt;="&amp;BQ$3,CLAVE_DESGLOSE,$A16)</f>
        <v>13567.6</v>
      </c>
      <c r="BR16" s="13">
        <f>SUMIFS(SALIDAS_BIT,FECHA_BIT,"&gt;="&amp;BR$2,FECHA_BIT,"&lt;="&amp;BR$3,CLAVE_BIT,$A16)+SUMIFS(SALIDAS_BOV1,FECHA_BOV1,"&gt;="&amp;BR$2,FECHA_BOV1,"&lt;="&amp;BR$3,CLAVE_BOV1,$A16)+SUMIFS(SALIDAS_BOV2,FECHA_BOV2,"&gt;="&amp;BR$2,FECHA_BOV2,"&lt;="&amp;BR$3,CLAVE_BOV2,$A16)+SUMIFS(SALIDAS_BOV3,FECHA_BOV3,"&gt;="&amp;BR$2,FECHA_BOV3,"&lt;="&amp;BR$3,CLAVE_BOV3,$A16)+SUMIFS(SALIDAS_TC,FECHA_TC,"&gt;="&amp;BR$2,FECHA_TC,"&lt;="&amp;BR$3,CLAVE_TC,$A16)+SUMIFS(SALIDAS_COMB,FECHA_COMB,"&gt;="&amp;BR$2,FECHA_COMB,"&lt;="&amp;BR$3,CLAVE_COMB,$A16)+SUMIFS(SALIDAS_DES,FECHA_DESGLOSEN,"&gt;="&amp;BR$2,FECHA_DESGLOSEN,"&lt;="&amp;BR$3,CLAVE_DESGLOSE,$A16)</f>
        <v>68715</v>
      </c>
      <c r="BS16" s="68">
        <f t="shared" si="72"/>
        <v>2692.5</v>
      </c>
      <c r="BT16" s="268">
        <f t="shared" si="73"/>
        <v>0.96229387669362465</v>
      </c>
      <c r="BU16" s="13">
        <f t="shared" si="49"/>
        <v>57126</v>
      </c>
      <c r="BV16" s="13">
        <f t="shared" si="50"/>
        <v>13418</v>
      </c>
      <c r="BW16" s="13">
        <f t="shared" si="50"/>
        <v>13295.4</v>
      </c>
      <c r="BX16" s="13">
        <f t="shared" si="50"/>
        <v>13543.85</v>
      </c>
      <c r="BY16" s="13">
        <f t="shared" si="50"/>
        <v>13396.2</v>
      </c>
      <c r="BZ16" s="13">
        <f t="shared" si="50"/>
        <v>53653.45</v>
      </c>
      <c r="CA16" s="68">
        <f t="shared" si="74"/>
        <v>3472.5500000000029</v>
      </c>
      <c r="CB16" s="268">
        <f t="shared" si="75"/>
        <v>0.93921244267058779</v>
      </c>
      <c r="CC16" s="13">
        <f t="shared" si="51"/>
        <v>57126</v>
      </c>
      <c r="CD16" s="13">
        <f t="shared" si="52"/>
        <v>13331.6</v>
      </c>
      <c r="CE16" s="13">
        <f t="shared" si="52"/>
        <v>11711.6</v>
      </c>
      <c r="CF16" s="13">
        <f t="shared" si="52"/>
        <v>17797.8</v>
      </c>
      <c r="CG16" s="13">
        <f t="shared" si="52"/>
        <v>13824.8</v>
      </c>
      <c r="CH16" s="13">
        <f t="shared" si="52"/>
        <v>56665.8</v>
      </c>
      <c r="CI16" s="68">
        <f t="shared" si="76"/>
        <v>460.19999999999709</v>
      </c>
      <c r="CJ16" s="268">
        <f t="shared" si="77"/>
        <v>0.99194412351643735</v>
      </c>
      <c r="CK16" s="13">
        <f t="shared" si="53"/>
        <v>84189</v>
      </c>
      <c r="CL16" s="13">
        <f t="shared" si="54"/>
        <v>13542.45</v>
      </c>
      <c r="CM16" s="13">
        <f t="shared" si="54"/>
        <v>15188</v>
      </c>
      <c r="CN16" s="13">
        <f t="shared" si="54"/>
        <v>17617.8</v>
      </c>
      <c r="CO16" s="13">
        <f t="shared" si="54"/>
        <v>26903.8</v>
      </c>
      <c r="CP16" s="13">
        <f t="shared" si="54"/>
        <v>14926.8</v>
      </c>
      <c r="CQ16" s="13">
        <f t="shared" si="54"/>
        <v>88178.85</v>
      </c>
      <c r="CR16" s="68">
        <f t="shared" si="78"/>
        <v>-3989.8500000000058</v>
      </c>
      <c r="CS16" s="268">
        <f t="shared" si="79"/>
        <v>1.0473915832234615</v>
      </c>
      <c r="CT16" s="68">
        <f t="shared" si="55"/>
        <v>60628</v>
      </c>
      <c r="CU16" s="13">
        <f>SUMIFS(SALIDAS_BIT,FECHA_BIT,"&gt;="&amp;CU$2,FECHA_BIT,"&lt;="&amp;CU$3,CLAVE_BIT,$A16)+SUMIFS(SALIDAS_BOV1,FECHA_BOV1,"&gt;="&amp;CU$2,FECHA_BOV1,"&lt;="&amp;CU$3,CLAVE_BOV1,$A16)+SUMIFS(SALIDAS_BOV2,FECHA_BOV2,"&gt;="&amp;CU$2,FECHA_BOV2,"&lt;="&amp;CU$3,CLAVE_BOV2,$A16)+SUMIFS(SALIDAS_BOV3,FECHA_BOV3,"&gt;="&amp;CU$2,FECHA_BOV3,"&lt;="&amp;CU$3,CLAVE_BOV3,$A16)+SUMIFS(SALIDAS_TC,FECHA_TC,"&gt;="&amp;CU$2,FECHA_TC,"&lt;="&amp;CU$3,CLAVE_TC,$A16)+SUMIFS(SALIDAS_COMB,FECHA_COMB,"&gt;="&amp;CU$2,FECHA_COMB,"&lt;="&amp;CU$3,CLAVE_COMB,$A16)+SUMIFS(SALIDAS_DES,FECHA_DESGLOSEN,"&gt;="&amp;CU$2,FECHA_DESGLOSEN,"&lt;="&amp;CU$3,CLAVE_DESGLOSE,$A16)</f>
        <v>13890.2</v>
      </c>
      <c r="CV16" s="13">
        <f>SUMIFS(SALIDAS_BIT,FECHA_BIT,"&gt;="&amp;CV$2,FECHA_BIT,"&lt;="&amp;CV$3,CLAVE_BIT,$A16)+SUMIFS(SALIDAS_BOV1,FECHA_BOV1,"&gt;="&amp;CV$2,FECHA_BOV1,"&lt;="&amp;CV$3,CLAVE_BOV1,$A16)+SUMIFS(SALIDAS_BOV2,FECHA_BOV2,"&gt;="&amp;CV$2,FECHA_BOV2,"&lt;="&amp;CV$3,CLAVE_BOV2,$A16)+SUMIFS(SALIDAS_BOV3,FECHA_BOV3,"&gt;="&amp;CV$2,FECHA_BOV3,"&lt;="&amp;CV$3,CLAVE_BOV3,$A16)+SUMIFS(SALIDAS_TC,FECHA_TC,"&gt;="&amp;CV$2,FECHA_TC,"&lt;="&amp;CV$3,CLAVE_TC,$A16)+SUMIFS(SALIDAS_COMB,FECHA_COMB,"&gt;="&amp;CV$2,FECHA_COMB,"&lt;="&amp;CV$3,CLAVE_COMB,$A16)+SUMIFS(SALIDAS_DES,FECHA_DESGLOSEN,"&gt;="&amp;CV$2,FECHA_DESGLOSEN,"&lt;="&amp;CV$3,CLAVE_DESGLOSE,$A16)</f>
        <v>14647.4</v>
      </c>
      <c r="CW16" s="13">
        <f>SUMIFS(SALIDAS_BIT,FECHA_BIT,"&gt;="&amp;CW$2,FECHA_BIT,"&lt;="&amp;CW$3,CLAVE_BIT,$A16)+SUMIFS(SALIDAS_BOV1,FECHA_BOV1,"&gt;="&amp;CW$2,FECHA_BOV1,"&lt;="&amp;CW$3,CLAVE_BOV1,$A16)+SUMIFS(SALIDAS_BOV2,FECHA_BOV2,"&gt;="&amp;CW$2,FECHA_BOV2,"&lt;="&amp;CW$3,CLAVE_BOV2,$A16)+SUMIFS(SALIDAS_BOV3,FECHA_BOV3,"&gt;="&amp;CW$2,FECHA_BOV3,"&lt;="&amp;CW$3,CLAVE_BOV3,$A16)+SUMIFS(SALIDAS_TC,FECHA_TC,"&gt;="&amp;CW$2,FECHA_TC,"&lt;="&amp;CW$3,CLAVE_TC,$A16)+SUMIFS(SALIDAS_COMB,FECHA_COMB,"&gt;="&amp;CW$2,FECHA_COMB,"&lt;="&amp;CW$3,CLAVE_COMB,$A16)+SUMIFS(SALIDAS_DES,FECHA_DESGLOSEN,"&gt;="&amp;CW$2,FECHA_DESGLOSEN,"&lt;="&amp;CW$3,CLAVE_DESGLOSE,$A16)</f>
        <v>12370</v>
      </c>
      <c r="CX16" s="13">
        <f>SUMIFS(SALIDAS_BIT,FECHA_BIT,"&gt;="&amp;CX$2,FECHA_BIT,"&lt;="&amp;CX$3,CLAVE_BIT,$A16)+SUMIFS(SALIDAS_BOV1,FECHA_BOV1,"&gt;="&amp;CX$2,FECHA_BOV1,"&lt;="&amp;CX$3,CLAVE_BOV1,$A16)+SUMIFS(SALIDAS_BOV2,FECHA_BOV2,"&gt;="&amp;CX$2,FECHA_BOV2,"&lt;="&amp;CX$3,CLAVE_BOV2,$A16)+SUMIFS(SALIDAS_BOV3,FECHA_BOV3,"&gt;="&amp;CX$2,FECHA_BOV3,"&lt;="&amp;CX$3,CLAVE_BOV3,$A16)+SUMIFS(SALIDAS_TC,FECHA_TC,"&gt;="&amp;CX$2,FECHA_TC,"&lt;="&amp;CX$3,CLAVE_TC,$A16)+SUMIFS(SALIDAS_COMB,FECHA_COMB,"&gt;="&amp;CX$2,FECHA_COMB,"&lt;="&amp;CX$3,CLAVE_COMB,$A16)+SUMIFS(SALIDAS_DES,FECHA_DESGLOSEN,"&gt;="&amp;CX$2,FECHA_DESGLOSEN,"&lt;="&amp;CX$3,CLAVE_DESGLOSE,$A16)</f>
        <v>14426</v>
      </c>
      <c r="CY16" s="13">
        <f>SUMIFS(SALIDAS_BIT,FECHA_BIT,"&gt;="&amp;CY$2,FECHA_BIT,"&lt;="&amp;CY$3,CLAVE_BIT,$A16)+SUMIFS(SALIDAS_BOV1,FECHA_BOV1,"&gt;="&amp;CY$2,FECHA_BOV1,"&lt;="&amp;CY$3,CLAVE_BOV1,$A16)+SUMIFS(SALIDAS_BOV2,FECHA_BOV2,"&gt;="&amp;CY$2,FECHA_BOV2,"&lt;="&amp;CY$3,CLAVE_BOV2,$A16)+SUMIFS(SALIDAS_BOV3,FECHA_BOV3,"&gt;="&amp;CY$2,FECHA_BOV3,"&lt;="&amp;CY$3,CLAVE_BOV3,$A16)+SUMIFS(SALIDAS_TC,FECHA_TC,"&gt;="&amp;CY$2,FECHA_TC,"&lt;="&amp;CY$3,CLAVE_TC,$A16)+SUMIFS(SALIDAS_COMB,FECHA_COMB,"&gt;="&amp;CY$2,FECHA_COMB,"&lt;="&amp;CY$3,CLAVE_COMB,$A16)+SUMIFS(SALIDAS_DES,FECHA_DESGLOSEN,"&gt;="&amp;CY$2,FECHA_DESGLOSEN,"&lt;="&amp;CY$3,CLAVE_DESGLOSE,$A16)</f>
        <v>55333.599999999999</v>
      </c>
      <c r="CZ16" s="68">
        <f t="shared" si="80"/>
        <v>5294.4000000000015</v>
      </c>
      <c r="DB16" s="17">
        <f>F16+N16+W16+AE16+AM16+AV16+BD16+BL16+BU16+CC16+CK16</f>
        <v>698293.5</v>
      </c>
      <c r="DC16" s="17">
        <f>K16+T16+AB16+AJ16+AS16+BA16+BI16+BR16+BZ16+CH16+CQ16</f>
        <v>669876.30000000005</v>
      </c>
    </row>
    <row r="17" spans="1:107" hidden="1">
      <c r="A17" s="12" t="str">
        <f t="shared" si="57"/>
        <v>HRNOMINA SUCURSALA12</v>
      </c>
      <c r="B17" s="12">
        <v>11</v>
      </c>
      <c r="C17" t="s">
        <v>29</v>
      </c>
      <c r="D17" s="14" t="s">
        <v>154</v>
      </c>
      <c r="E17" s="14" t="s">
        <v>98</v>
      </c>
      <c r="F17" s="259">
        <f t="shared" si="58"/>
        <v>88929</v>
      </c>
      <c r="G17" s="13">
        <f t="shared" ref="G17:K26" si="81">SUMIFS(SALIDAS_BIT,FECHA_BIT,"&gt;="&amp;G$2,FECHA_BIT,"&lt;="&amp;G$3,CLAVE_BIT,$A17)+SUMIFS(SALIDAS_BOV1,FECHA_BOV1,"&gt;="&amp;G$2,FECHA_BOV1,"&lt;="&amp;G$3,CLAVE_BOV1,$A17)+SUMIFS(SALIDAS_BOV2,FECHA_BOV2,"&gt;="&amp;G$2,FECHA_BOV2,"&lt;="&amp;G$3,CLAVE_BOV2,$A17)+SUMIFS(SALIDAS_BOV3,FECHA_BOV3,"&gt;="&amp;G$2,FECHA_BOV3,"&lt;="&amp;G$3,CLAVE_BOV3,$A17)+SUMIFS(SALIDAS_TC,FECHA_TC,"&gt;="&amp;G$2,FECHA_TC,"&lt;="&amp;G$3,CLAVE_TC,$A17)+SUMIFS(SALIDAS_COMB,FECHA_COMB,"&gt;="&amp;G$2,FECHA_COMB,"&lt;="&amp;G$3,CLAVE_COMB,$A17)+SUMIFS(SALIDAS_DES,FECHA_DESGLOSEN,"&gt;="&amp;G$2,FECHA_DESGLOSEN,"&lt;="&amp;G$3,CLAVE_DESGLOSE,$A17)</f>
        <v>26764.6</v>
      </c>
      <c r="H17" s="13">
        <f t="shared" si="81"/>
        <v>21977.599999999999</v>
      </c>
      <c r="I17" s="13">
        <f t="shared" si="81"/>
        <v>20345.2</v>
      </c>
      <c r="J17" s="13">
        <f t="shared" si="81"/>
        <v>21220.2</v>
      </c>
      <c r="K17" s="13">
        <f t="shared" si="81"/>
        <v>90307.599999999991</v>
      </c>
      <c r="L17" s="68">
        <f t="shared" si="59"/>
        <v>-1378.5999999999913</v>
      </c>
      <c r="M17" s="268">
        <f t="shared" si="60"/>
        <v>1.0155022546076082</v>
      </c>
      <c r="N17" s="13">
        <f t="shared" si="36"/>
        <v>111161.25</v>
      </c>
      <c r="O17" s="13">
        <f t="shared" ref="O17:T26" si="82">SUMIFS(SALIDAS_BIT,FECHA_BIT,"&gt;="&amp;O$2,FECHA_BIT,"&lt;="&amp;O$3,CLAVE_BIT,$A17)+SUMIFS(SALIDAS_BOV1,FECHA_BOV1,"&gt;="&amp;O$2,FECHA_BOV1,"&lt;="&amp;O$3,CLAVE_BOV1,$A17)+SUMIFS(SALIDAS_BOV2,FECHA_BOV2,"&gt;="&amp;O$2,FECHA_BOV2,"&lt;="&amp;O$3,CLAVE_BOV2,$A17)+SUMIFS(SALIDAS_BOV3,FECHA_BOV3,"&gt;="&amp;O$2,FECHA_BOV3,"&lt;="&amp;O$3,CLAVE_BOV3,$A17)+SUMIFS(SALIDAS_TC,FECHA_TC,"&gt;="&amp;O$2,FECHA_TC,"&lt;="&amp;O$3,CLAVE_TC,$A17)+SUMIFS(SALIDAS_COMB,FECHA_COMB,"&gt;="&amp;O$2,FECHA_COMB,"&lt;="&amp;O$3,CLAVE_COMB,$A17)+SUMIFS(SALIDAS_DES,FECHA_DESGLOSEN,"&gt;="&amp;O$2,FECHA_DESGLOSEN,"&lt;="&amp;O$3,CLAVE_DESGLOSE,$A17)</f>
        <v>16804.599999999999</v>
      </c>
      <c r="P17" s="13">
        <f t="shared" si="82"/>
        <v>16344</v>
      </c>
      <c r="Q17" s="13">
        <f t="shared" si="82"/>
        <v>24121.200000000001</v>
      </c>
      <c r="R17" s="13">
        <f t="shared" si="82"/>
        <v>16602.599999999999</v>
      </c>
      <c r="S17" s="13">
        <f t="shared" si="82"/>
        <v>18880.8</v>
      </c>
      <c r="T17" s="13">
        <f t="shared" si="82"/>
        <v>92753.2</v>
      </c>
      <c r="U17" s="68">
        <f t="shared" si="61"/>
        <v>18408.050000000003</v>
      </c>
      <c r="V17" s="268">
        <f t="shared" si="62"/>
        <v>0.83440227597296712</v>
      </c>
      <c r="W17" s="13">
        <f t="shared" si="38"/>
        <v>88929</v>
      </c>
      <c r="X17" s="13">
        <f t="shared" ref="X17:AB26" si="83">SUMIFS(SALIDAS_BIT,FECHA_BIT,"&gt;="&amp;X$2,FECHA_BIT,"&lt;="&amp;X$3,CLAVE_BIT,$A17)+SUMIFS(SALIDAS_BOV1,FECHA_BOV1,"&gt;="&amp;X$2,FECHA_BOV1,"&lt;="&amp;X$3,CLAVE_BOV1,$A17)+SUMIFS(SALIDAS_BOV2,FECHA_BOV2,"&gt;="&amp;X$2,FECHA_BOV2,"&lt;="&amp;X$3,CLAVE_BOV2,$A17)+SUMIFS(SALIDAS_BOV3,FECHA_BOV3,"&gt;="&amp;X$2,FECHA_BOV3,"&lt;="&amp;X$3,CLAVE_BOV3,$A17)+SUMIFS(SALIDAS_TC,FECHA_TC,"&gt;="&amp;X$2,FECHA_TC,"&lt;="&amp;X$3,CLAVE_TC,$A17)+SUMIFS(SALIDAS_COMB,FECHA_COMB,"&gt;="&amp;X$2,FECHA_COMB,"&lt;="&amp;X$3,CLAVE_COMB,$A17)+SUMIFS(SALIDAS_DES,FECHA_DESGLOSEN,"&gt;="&amp;X$2,FECHA_DESGLOSEN,"&lt;="&amp;X$3,CLAVE_DESGLOSE,$A17)</f>
        <v>18738.400000000001</v>
      </c>
      <c r="Y17" s="13">
        <f t="shared" si="83"/>
        <v>17884.400000000001</v>
      </c>
      <c r="Z17" s="13">
        <f t="shared" si="83"/>
        <v>18923.490000000002</v>
      </c>
      <c r="AA17" s="13">
        <f t="shared" si="83"/>
        <v>15957.2</v>
      </c>
      <c r="AB17" s="13">
        <f t="shared" si="83"/>
        <v>71503.490000000005</v>
      </c>
      <c r="AC17" s="68">
        <f t="shared" si="63"/>
        <v>17425.509999999995</v>
      </c>
      <c r="AD17" s="268">
        <f t="shared" si="64"/>
        <v>0.80405143429027659</v>
      </c>
      <c r="AE17" s="13">
        <f t="shared" si="40"/>
        <v>76000</v>
      </c>
      <c r="AF17" s="13">
        <f t="shared" ref="AF17:AJ26" si="84">SUMIFS(SALIDAS_BIT,FECHA_BIT,"&gt;="&amp;AF$2,FECHA_BIT,"&lt;="&amp;AF$3,CLAVE_BIT,$A17)+SUMIFS(SALIDAS_BOV1,FECHA_BOV1,"&gt;="&amp;AF$2,FECHA_BOV1,"&lt;="&amp;AF$3,CLAVE_BOV1,$A17)+SUMIFS(SALIDAS_BOV2,FECHA_BOV2,"&gt;="&amp;AF$2,FECHA_BOV2,"&lt;="&amp;AF$3,CLAVE_BOV2,$A17)+SUMIFS(SALIDAS_BOV3,FECHA_BOV3,"&gt;="&amp;AF$2,FECHA_BOV3,"&lt;="&amp;AF$3,CLAVE_BOV3,$A17)+SUMIFS(SALIDAS_TC,FECHA_TC,"&gt;="&amp;AF$2,FECHA_TC,"&lt;="&amp;AF$3,CLAVE_TC,$A17)+SUMIFS(SALIDAS_COMB,FECHA_COMB,"&gt;="&amp;AF$2,FECHA_COMB,"&lt;="&amp;AF$3,CLAVE_COMB,$A17)+SUMIFS(SALIDAS_DES,FECHA_DESGLOSEN,"&gt;="&amp;AF$2,FECHA_DESGLOSEN,"&lt;="&amp;AF$3,CLAVE_DESGLOSE,$A17)</f>
        <v>18181.490000000002</v>
      </c>
      <c r="AG17" s="13">
        <f t="shared" si="84"/>
        <v>15428.29</v>
      </c>
      <c r="AH17" s="13">
        <f t="shared" si="84"/>
        <v>12525.49</v>
      </c>
      <c r="AI17" s="13">
        <f t="shared" si="84"/>
        <v>15745.49</v>
      </c>
      <c r="AJ17" s="13">
        <f t="shared" si="84"/>
        <v>61880.759999999995</v>
      </c>
      <c r="AK17" s="68">
        <f t="shared" si="65"/>
        <v>14119.240000000005</v>
      </c>
      <c r="AL17" s="268">
        <f t="shared" si="66"/>
        <v>0.81422052631578945</v>
      </c>
      <c r="AM17" s="13">
        <f t="shared" si="42"/>
        <v>95000</v>
      </c>
      <c r="AN17" s="13">
        <f t="shared" ref="AN17:AS26" si="85">SUMIFS(SALIDAS_BIT,FECHA_BIT,"&gt;="&amp;AN$2,FECHA_BIT,"&lt;="&amp;AN$3,CLAVE_BIT,$A17)+SUMIFS(SALIDAS_BOV1,FECHA_BOV1,"&gt;="&amp;AN$2,FECHA_BOV1,"&lt;="&amp;AN$3,CLAVE_BOV1,$A17)+SUMIFS(SALIDAS_BOV2,FECHA_BOV2,"&gt;="&amp;AN$2,FECHA_BOV2,"&lt;="&amp;AN$3,CLAVE_BOV2,$A17)+SUMIFS(SALIDAS_BOV3,FECHA_BOV3,"&gt;="&amp;AN$2,FECHA_BOV3,"&lt;="&amp;AN$3,CLAVE_BOV3,$A17)+SUMIFS(SALIDAS_TC,FECHA_TC,"&gt;="&amp;AN$2,FECHA_TC,"&lt;="&amp;AN$3,CLAVE_TC,$A17)+SUMIFS(SALIDAS_COMB,FECHA_COMB,"&gt;="&amp;AN$2,FECHA_COMB,"&lt;="&amp;AN$3,CLAVE_COMB,$A17)+SUMIFS(SALIDAS_DES,FECHA_DESGLOSEN,"&gt;="&amp;AN$2,FECHA_DESGLOSEN,"&lt;="&amp;AN$3,CLAVE_DESGLOSE,$A17)</f>
        <v>16612.29</v>
      </c>
      <c r="AO17" s="13">
        <f t="shared" si="85"/>
        <v>17812.29</v>
      </c>
      <c r="AP17" s="13">
        <f t="shared" si="85"/>
        <v>20212.490000000002</v>
      </c>
      <c r="AQ17" s="13">
        <f t="shared" si="85"/>
        <v>21338.29</v>
      </c>
      <c r="AR17" s="13">
        <f t="shared" si="85"/>
        <v>19021.8</v>
      </c>
      <c r="AS17" s="13">
        <f t="shared" si="85"/>
        <v>94997.160000000018</v>
      </c>
      <c r="AT17" s="68">
        <f>AM17-AS17</f>
        <v>2.8399999999819556</v>
      </c>
      <c r="AU17" s="268">
        <f t="shared" si="67"/>
        <v>0.9999701052631581</v>
      </c>
      <c r="AV17" s="13">
        <f t="shared" si="44"/>
        <v>76000</v>
      </c>
      <c r="AW17" s="13">
        <f t="shared" ref="AW17:BA32" si="86">SUMIFS(SALIDAS_BIT,FECHA_BIT,"&gt;="&amp;AW$2,FECHA_BIT,"&lt;="&amp;AW$3,CLAVE_BIT,$A17)+SUMIFS(SALIDAS_BOV1,FECHA_BOV1,"&gt;="&amp;AW$2,FECHA_BOV1,"&lt;="&amp;AW$3,CLAVE_BOV1,$A17)+SUMIFS(SALIDAS_BOV2,FECHA_BOV2,"&gt;="&amp;AW$2,FECHA_BOV2,"&lt;="&amp;AW$3,CLAVE_BOV2,$A17)+SUMIFS(SALIDAS_BOV3,FECHA_BOV3,"&gt;="&amp;AW$2,FECHA_BOV3,"&lt;="&amp;AW$3,CLAVE_BOV3,$A17)+SUMIFS(SALIDAS_TC,FECHA_TC,"&gt;="&amp;AW$2,FECHA_TC,"&lt;="&amp;AW$3,CLAVE_TC,$A17)+SUMIFS(SALIDAS_COMB,FECHA_COMB,"&gt;="&amp;AW$2,FECHA_COMB,"&lt;="&amp;AW$3,CLAVE_COMB,$A17)+SUMIFS(SALIDAS_DES,FECHA_DESGLOSEN,"&gt;="&amp;AW$2,FECHA_DESGLOSEN,"&lt;="&amp;AW$3,CLAVE_DESGLOSE,$A17)</f>
        <v>19988.2</v>
      </c>
      <c r="AX17" s="13">
        <f t="shared" si="86"/>
        <v>16833.2</v>
      </c>
      <c r="AY17" s="13">
        <f t="shared" si="86"/>
        <v>17086.8</v>
      </c>
      <c r="AZ17" s="13">
        <f t="shared" si="86"/>
        <v>17146.2</v>
      </c>
      <c r="BA17" s="13">
        <f t="shared" si="45"/>
        <v>71054.399999999994</v>
      </c>
      <c r="BB17" s="68">
        <f t="shared" si="68"/>
        <v>4945.6000000000058</v>
      </c>
      <c r="BC17" s="268">
        <f t="shared" si="69"/>
        <v>0.93492631578947361</v>
      </c>
      <c r="BD17" s="13">
        <f t="shared" si="46"/>
        <v>76000</v>
      </c>
      <c r="BE17" s="13">
        <f>SUMIFS(SALIDAS_BIT,FECHA_BIT,"&gt;="&amp;BE$2,FECHA_BIT,"&lt;="&amp;BE$3,CLAVE_BIT,$A17)+SUMIFS(SALIDAS_BOV1,FECHA_BOV1,"&gt;="&amp;BE$2,FECHA_BOV1,"&lt;="&amp;BE$3,CLAVE_BOV1,$A17)+SUMIFS(SALIDAS_BOV2,FECHA_BOV2,"&gt;="&amp;BE$2,FECHA_BOV2,"&lt;="&amp;BE$3,CLAVE_BOV2,$A17)+SUMIFS(SALIDAS_BOV3,FECHA_BOV3,"&gt;="&amp;BE$2,FECHA_BOV3,"&lt;="&amp;BE$3,CLAVE_BOV3,$A17)+SUMIFS(SALIDAS_TC,FECHA_TC,"&gt;="&amp;BE$2,FECHA_TC,"&lt;="&amp;BE$3,CLAVE_TC,$A17)+SUMIFS(SALIDAS_COMB,FECHA_COMB,"&gt;="&amp;BE$2,FECHA_COMB,"&lt;="&amp;BE$3,CLAVE_COMB,$A17)+SUMIFS(SALIDAS_DES,FECHA_DESGLOSEN,"&gt;="&amp;BE$2,FECHA_DESGLOSEN,"&lt;="&amp;BE$3,CLAVE_DESGLOSE,$A17)</f>
        <v>16640.599999999999</v>
      </c>
      <c r="BF17" s="13">
        <f>SUMIFS(SALIDAS_BIT,FECHA_BIT,"&gt;="&amp;BF$2,FECHA_BIT,"&lt;="&amp;BF$3,CLAVE_BIT,$A17)+SUMIFS(SALIDAS_BOV1,FECHA_BOV1,"&gt;="&amp;BF$2,FECHA_BOV1,"&lt;="&amp;BF$3,CLAVE_BOV1,$A17)+SUMIFS(SALIDAS_BOV2,FECHA_BOV2,"&gt;="&amp;BF$2,FECHA_BOV2,"&lt;="&amp;BF$3,CLAVE_BOV2,$A17)+SUMIFS(SALIDAS_BOV3,FECHA_BOV3,"&gt;="&amp;BF$2,FECHA_BOV3,"&lt;="&amp;BF$3,CLAVE_BOV3,$A17)+SUMIFS(SALIDAS_TC,FECHA_TC,"&gt;="&amp;BF$2,FECHA_TC,"&lt;="&amp;BF$3,CLAVE_TC,$A17)+SUMIFS(SALIDAS_COMB,FECHA_COMB,"&gt;="&amp;BF$2,FECHA_COMB,"&lt;="&amp;BF$3,CLAVE_COMB,$A17)+SUMIFS(SALIDAS_DES,FECHA_DESGLOSEN,"&gt;="&amp;BF$2,FECHA_DESGLOSEN,"&lt;="&amp;BF$3,CLAVE_DESGLOSE,$A17)</f>
        <v>17085.2</v>
      </c>
      <c r="BG17" s="13">
        <f>SUMIFS(SALIDAS_BIT,FECHA_BIT,"&gt;="&amp;BG$2,FECHA_BIT,"&lt;="&amp;BG$3,CLAVE_BIT,$A17)+SUMIFS(SALIDAS_BOV1,FECHA_BOV1,"&gt;="&amp;BG$2,FECHA_BOV1,"&lt;="&amp;BG$3,CLAVE_BOV1,$A17)+SUMIFS(SALIDAS_BOV2,FECHA_BOV2,"&gt;="&amp;BG$2,FECHA_BOV2,"&lt;="&amp;BG$3,CLAVE_BOV2,$A17)+SUMIFS(SALIDAS_BOV3,FECHA_BOV3,"&gt;="&amp;BG$2,FECHA_BOV3,"&lt;="&amp;BG$3,CLAVE_BOV3,$A17)+SUMIFS(SALIDAS_TC,FECHA_TC,"&gt;="&amp;BG$2,FECHA_TC,"&lt;="&amp;BG$3,CLAVE_TC,$A17)+SUMIFS(SALIDAS_COMB,FECHA_COMB,"&gt;="&amp;BG$2,FECHA_COMB,"&lt;="&amp;BG$3,CLAVE_COMB,$A17)+SUMIFS(SALIDAS_DES,FECHA_DESGLOSEN,"&gt;="&amp;BG$2,FECHA_DESGLOSEN,"&lt;="&amp;BG$3,CLAVE_DESGLOSE,$A17)</f>
        <v>18591</v>
      </c>
      <c r="BH17" s="13">
        <f>SUMIFS(SALIDAS_BIT,FECHA_BIT,"&gt;="&amp;BH$2,FECHA_BIT,"&lt;="&amp;BH$3,CLAVE_BIT,$A17)+SUMIFS(SALIDAS_BOV1,FECHA_BOV1,"&gt;="&amp;BH$2,FECHA_BOV1,"&lt;="&amp;BH$3,CLAVE_BOV1,$A17)+SUMIFS(SALIDAS_BOV2,FECHA_BOV2,"&gt;="&amp;BH$2,FECHA_BOV2,"&lt;="&amp;BH$3,CLAVE_BOV2,$A17)+SUMIFS(SALIDAS_BOV3,FECHA_BOV3,"&gt;="&amp;BH$2,FECHA_BOV3,"&lt;="&amp;BH$3,CLAVE_BOV3,$A17)+SUMIFS(SALIDAS_TC,FECHA_TC,"&gt;="&amp;BH$2,FECHA_TC,"&lt;="&amp;BH$3,CLAVE_TC,$A17)+SUMIFS(SALIDAS_COMB,FECHA_COMB,"&gt;="&amp;BH$2,FECHA_COMB,"&lt;="&amp;BH$3,CLAVE_COMB,$A17)+SUMIFS(SALIDAS_DES,FECHA_DESGLOSEN,"&gt;="&amp;BH$2,FECHA_DESGLOSEN,"&lt;="&amp;BH$3,CLAVE_DESGLOSE,$A17)</f>
        <v>13719.6</v>
      </c>
      <c r="BI17" s="13">
        <f>SUMIFS(SALIDAS_BIT,FECHA_BIT,"&gt;="&amp;BI$2,FECHA_BIT,"&lt;="&amp;BI$3,CLAVE_BIT,$A17)+SUMIFS(SALIDAS_BOV1,FECHA_BOV1,"&gt;="&amp;BI$2,FECHA_BOV1,"&lt;="&amp;BI$3,CLAVE_BOV1,$A17)+SUMIFS(SALIDAS_BOV2,FECHA_BOV2,"&gt;="&amp;BI$2,FECHA_BOV2,"&lt;="&amp;BI$3,CLAVE_BOV2,$A17)+SUMIFS(SALIDAS_BOV3,FECHA_BOV3,"&gt;="&amp;BI$2,FECHA_BOV3,"&lt;="&amp;BI$3,CLAVE_BOV3,$A17)+SUMIFS(SALIDAS_TC,FECHA_TC,"&gt;="&amp;BI$2,FECHA_TC,"&lt;="&amp;BI$3,CLAVE_TC,$A17)+SUMIFS(SALIDAS_COMB,FECHA_COMB,"&gt;="&amp;BI$2,FECHA_COMB,"&lt;="&amp;BI$3,CLAVE_COMB,$A17)+SUMIFS(SALIDAS_DES,FECHA_DESGLOSEN,"&gt;="&amp;BI$2,FECHA_DESGLOSEN,"&lt;="&amp;BI$3,CLAVE_DESGLOSE,$A17)</f>
        <v>66036.400000000009</v>
      </c>
      <c r="BJ17" s="68">
        <f t="shared" si="70"/>
        <v>9963.5999999999913</v>
      </c>
      <c r="BK17" s="268">
        <f t="shared" si="71"/>
        <v>0.86890000000000012</v>
      </c>
      <c r="BL17" s="13">
        <f t="shared" si="47"/>
        <v>95000</v>
      </c>
      <c r="BM17" s="13">
        <f>SUMIFS(SALIDAS_BIT,FECHA_BIT,"&gt;="&amp;BM$2,FECHA_BIT,"&lt;="&amp;BM$3,CLAVE_BIT,$A17)+SUMIFS(SALIDAS_BOV1,FECHA_BOV1,"&gt;="&amp;BM$2,FECHA_BOV1,"&lt;="&amp;BM$3,CLAVE_BOV1,$A17)+SUMIFS(SALIDAS_BOV2,FECHA_BOV2,"&gt;="&amp;BM$2,FECHA_BOV2,"&lt;="&amp;BM$3,CLAVE_BOV2,$A17)+SUMIFS(SALIDAS_BOV3,FECHA_BOV3,"&gt;="&amp;BM$2,FECHA_BOV3,"&lt;="&amp;BM$3,CLAVE_BOV3,$A17)+SUMIFS(SALIDAS_TC,FECHA_TC,"&gt;="&amp;BM$2,FECHA_TC,"&lt;="&amp;BM$3,CLAVE_TC,$A17)+SUMIFS(SALIDAS_COMB,FECHA_COMB,"&gt;="&amp;BM$2,FECHA_COMB,"&lt;="&amp;BM$3,CLAVE_COMB,$A17)+SUMIFS(SALIDAS_DES,FECHA_DESGLOSEN,"&gt;="&amp;BM$2,FECHA_DESGLOSEN,"&lt;="&amp;BM$3,CLAVE_DESGLOSE,$A17)</f>
        <v>14046.2</v>
      </c>
      <c r="BN17" s="13">
        <f>SUMIFS(SALIDAS_BIT,FECHA_BIT,"&gt;="&amp;BN$2,FECHA_BIT,"&lt;="&amp;BN$3,CLAVE_BIT,$A17)+SUMIFS(SALIDAS_BOV1,FECHA_BOV1,"&gt;="&amp;BN$2,FECHA_BOV1,"&lt;="&amp;BN$3,CLAVE_BOV1,$A17)+SUMIFS(SALIDAS_BOV2,FECHA_BOV2,"&gt;="&amp;BN$2,FECHA_BOV2,"&lt;="&amp;BN$3,CLAVE_BOV2,$A17)+SUMIFS(SALIDAS_BOV3,FECHA_BOV3,"&gt;="&amp;BN$2,FECHA_BOV3,"&lt;="&amp;BN$3,CLAVE_BOV3,$A17)+SUMIFS(SALIDAS_TC,FECHA_TC,"&gt;="&amp;BN$2,FECHA_TC,"&lt;="&amp;BN$3,CLAVE_TC,$A17)+SUMIFS(SALIDAS_COMB,FECHA_COMB,"&gt;="&amp;BN$2,FECHA_COMB,"&lt;="&amp;BN$3,CLAVE_COMB,$A17)+SUMIFS(SALIDAS_DES,FECHA_DESGLOSEN,"&gt;="&amp;BN$2,FECHA_DESGLOSEN,"&lt;="&amp;BN$3,CLAVE_DESGLOSE,$A17)</f>
        <v>16098.4</v>
      </c>
      <c r="BO17" s="13">
        <f>SUMIFS(SALIDAS_BIT,FECHA_BIT,"&gt;="&amp;BO$2,FECHA_BIT,"&lt;="&amp;BO$3,CLAVE_BIT,$A17)+SUMIFS(SALIDAS_BOV1,FECHA_BOV1,"&gt;="&amp;BO$2,FECHA_BOV1,"&lt;="&amp;BO$3,CLAVE_BOV1,$A17)+SUMIFS(SALIDAS_BOV2,FECHA_BOV2,"&gt;="&amp;BO$2,FECHA_BOV2,"&lt;="&amp;BO$3,CLAVE_BOV2,$A17)+SUMIFS(SALIDAS_BOV3,FECHA_BOV3,"&gt;="&amp;BO$2,FECHA_BOV3,"&lt;="&amp;BO$3,CLAVE_BOV3,$A17)+SUMIFS(SALIDAS_TC,FECHA_TC,"&gt;="&amp;BO$2,FECHA_TC,"&lt;="&amp;BO$3,CLAVE_TC,$A17)+SUMIFS(SALIDAS_COMB,FECHA_COMB,"&gt;="&amp;BO$2,FECHA_COMB,"&lt;="&amp;BO$3,CLAVE_COMB,$A17)+SUMIFS(SALIDAS_DES,FECHA_DESGLOSEN,"&gt;="&amp;BO$2,FECHA_DESGLOSEN,"&lt;="&amp;BO$3,CLAVE_DESGLOSE,$A17)</f>
        <v>15390.6</v>
      </c>
      <c r="BP17" s="13">
        <f>SUMIFS(SALIDAS_BIT,FECHA_BIT,"&gt;="&amp;BP$2,FECHA_BIT,"&lt;="&amp;BP$3,CLAVE_BIT,$A17)+SUMIFS(SALIDAS_BOV1,FECHA_BOV1,"&gt;="&amp;BP$2,FECHA_BOV1,"&lt;="&amp;BP$3,CLAVE_BOV1,$A17)+SUMIFS(SALIDAS_BOV2,FECHA_BOV2,"&gt;="&amp;BP$2,FECHA_BOV2,"&lt;="&amp;BP$3,CLAVE_BOV2,$A17)+SUMIFS(SALIDAS_BOV3,FECHA_BOV3,"&gt;="&amp;BP$2,FECHA_BOV3,"&lt;="&amp;BP$3,CLAVE_BOV3,$A17)+SUMIFS(SALIDAS_TC,FECHA_TC,"&gt;="&amp;BP$2,FECHA_TC,"&lt;="&amp;BP$3,CLAVE_TC,$A17)+SUMIFS(SALIDAS_COMB,FECHA_COMB,"&gt;="&amp;BP$2,FECHA_COMB,"&lt;="&amp;BP$3,CLAVE_COMB,$A17)+SUMIFS(SALIDAS_DES,FECHA_DESGLOSEN,"&gt;="&amp;BP$2,FECHA_DESGLOSEN,"&lt;="&amp;BP$3,CLAVE_DESGLOSE,$A17)</f>
        <v>20440.599999999999</v>
      </c>
      <c r="BQ17" s="13">
        <f>SUMIFS(SALIDAS_BIT,FECHA_BIT,"&gt;="&amp;BQ$2,FECHA_BIT,"&lt;="&amp;BQ$3,CLAVE_BIT,$A17)+SUMIFS(SALIDAS_BOV1,FECHA_BOV1,"&gt;="&amp;BQ$2,FECHA_BOV1,"&lt;="&amp;BQ$3,CLAVE_BOV1,$A17)+SUMIFS(SALIDAS_BOV2,FECHA_BOV2,"&gt;="&amp;BQ$2,FECHA_BOV2,"&lt;="&amp;BQ$3,CLAVE_BOV2,$A17)+SUMIFS(SALIDAS_BOV3,FECHA_BOV3,"&gt;="&amp;BQ$2,FECHA_BOV3,"&lt;="&amp;BQ$3,CLAVE_BOV3,$A17)+SUMIFS(SALIDAS_TC,FECHA_TC,"&gt;="&amp;BQ$2,FECHA_TC,"&lt;="&amp;BQ$3,CLAVE_TC,$A17)+SUMIFS(SALIDAS_COMB,FECHA_COMB,"&gt;="&amp;BQ$2,FECHA_COMB,"&lt;="&amp;BQ$3,CLAVE_COMB,$A17)+SUMIFS(SALIDAS_DES,FECHA_DESGLOSEN,"&gt;="&amp;BQ$2,FECHA_DESGLOSEN,"&lt;="&amp;BQ$3,CLAVE_DESGLOSE,$A17)</f>
        <v>14689</v>
      </c>
      <c r="BR17" s="13">
        <f>SUMIFS(SALIDAS_BIT,FECHA_BIT,"&gt;="&amp;BR$2,FECHA_BIT,"&lt;="&amp;BR$3,CLAVE_BIT,$A17)+SUMIFS(SALIDAS_BOV1,FECHA_BOV1,"&gt;="&amp;BR$2,FECHA_BOV1,"&lt;="&amp;BR$3,CLAVE_BOV1,$A17)+SUMIFS(SALIDAS_BOV2,FECHA_BOV2,"&gt;="&amp;BR$2,FECHA_BOV2,"&lt;="&amp;BR$3,CLAVE_BOV2,$A17)+SUMIFS(SALIDAS_BOV3,FECHA_BOV3,"&gt;="&amp;BR$2,FECHA_BOV3,"&lt;="&amp;BR$3,CLAVE_BOV3,$A17)+SUMIFS(SALIDAS_TC,FECHA_TC,"&gt;="&amp;BR$2,FECHA_TC,"&lt;="&amp;BR$3,CLAVE_TC,$A17)+SUMIFS(SALIDAS_COMB,FECHA_COMB,"&gt;="&amp;BR$2,FECHA_COMB,"&lt;="&amp;BR$3,CLAVE_COMB,$A17)+SUMIFS(SALIDAS_DES,FECHA_DESGLOSEN,"&gt;="&amp;BR$2,FECHA_DESGLOSEN,"&lt;="&amp;BR$3,CLAVE_DESGLOSE,$A17)</f>
        <v>80664.799999999988</v>
      </c>
      <c r="BS17" s="68">
        <f t="shared" si="72"/>
        <v>14335.200000000012</v>
      </c>
      <c r="BT17" s="268">
        <f t="shared" si="73"/>
        <v>0.84910315789473667</v>
      </c>
      <c r="BU17" s="13">
        <f t="shared" si="49"/>
        <v>76000</v>
      </c>
      <c r="BV17" s="13">
        <f t="shared" si="50"/>
        <v>14009.4</v>
      </c>
      <c r="BW17" s="13">
        <f t="shared" si="50"/>
        <v>15950.8</v>
      </c>
      <c r="BX17" s="13">
        <f t="shared" si="50"/>
        <v>15317.05</v>
      </c>
      <c r="BY17" s="13">
        <f t="shared" si="50"/>
        <v>16442.400000000001</v>
      </c>
      <c r="BZ17" s="13">
        <f t="shared" ref="BV17:BZ26" si="87">SUMIFS(SALIDAS_BIT,FECHA_BIT,"&gt;="&amp;BZ$2,FECHA_BIT,"&lt;="&amp;BZ$3,CLAVE_BIT,$A17)+SUMIFS(SALIDAS_BOV1,FECHA_BOV1,"&gt;="&amp;BZ$2,FECHA_BOV1,"&lt;="&amp;BZ$3,CLAVE_BOV1,$A17)+SUMIFS(SALIDAS_BOV2,FECHA_BOV2,"&gt;="&amp;BZ$2,FECHA_BOV2,"&lt;="&amp;BZ$3,CLAVE_BOV2,$A17)+SUMIFS(SALIDAS_BOV3,FECHA_BOV3,"&gt;="&amp;BZ$2,FECHA_BOV3,"&lt;="&amp;BZ$3,CLAVE_BOV3,$A17)+SUMIFS(SALIDAS_TC,FECHA_TC,"&gt;="&amp;BZ$2,FECHA_TC,"&lt;="&amp;BZ$3,CLAVE_TC,$A17)+SUMIFS(SALIDAS_COMB,FECHA_COMB,"&gt;="&amp;BZ$2,FECHA_COMB,"&lt;="&amp;BZ$3,CLAVE_COMB,$A17)+SUMIFS(SALIDAS_DES,FECHA_DESGLOSEN,"&gt;="&amp;BZ$2,FECHA_DESGLOSEN,"&lt;="&amp;BZ$3,CLAVE_DESGLOSE,$A17)</f>
        <v>61719.65</v>
      </c>
      <c r="CA17" s="68">
        <f t="shared" si="74"/>
        <v>14280.349999999999</v>
      </c>
      <c r="CB17" s="268">
        <f t="shared" si="75"/>
        <v>0.81210065789473684</v>
      </c>
      <c r="CC17" s="13">
        <f t="shared" si="51"/>
        <v>76000</v>
      </c>
      <c r="CD17" s="13">
        <f t="shared" si="52"/>
        <v>17661.400000000001</v>
      </c>
      <c r="CE17" s="13">
        <f t="shared" si="52"/>
        <v>17389</v>
      </c>
      <c r="CF17" s="13">
        <f t="shared" si="52"/>
        <v>27560.2</v>
      </c>
      <c r="CG17" s="13">
        <f t="shared" si="52"/>
        <v>22616.2</v>
      </c>
      <c r="CH17" s="13">
        <f t="shared" ref="CD17:CH26" si="88">SUMIFS(SALIDAS_BIT,FECHA_BIT,"&gt;="&amp;CH$2,FECHA_BIT,"&lt;="&amp;CH$3,CLAVE_BIT,$A17)+SUMIFS(SALIDAS_BOV1,FECHA_BOV1,"&gt;="&amp;CH$2,FECHA_BOV1,"&lt;="&amp;CH$3,CLAVE_BOV1,$A17)+SUMIFS(SALIDAS_BOV2,FECHA_BOV2,"&gt;="&amp;CH$2,FECHA_BOV2,"&lt;="&amp;CH$3,CLAVE_BOV2,$A17)+SUMIFS(SALIDAS_BOV3,FECHA_BOV3,"&gt;="&amp;CH$2,FECHA_BOV3,"&lt;="&amp;CH$3,CLAVE_BOV3,$A17)+SUMIFS(SALIDAS_TC,FECHA_TC,"&gt;="&amp;CH$2,FECHA_TC,"&lt;="&amp;CH$3,CLAVE_TC,$A17)+SUMIFS(SALIDAS_COMB,FECHA_COMB,"&gt;="&amp;CH$2,FECHA_COMB,"&lt;="&amp;CH$3,CLAVE_COMB,$A17)+SUMIFS(SALIDAS_DES,FECHA_DESGLOSEN,"&gt;="&amp;CH$2,FECHA_DESGLOSEN,"&lt;="&amp;CH$3,CLAVE_DESGLOSE,$A17)</f>
        <v>85226.8</v>
      </c>
      <c r="CI17" s="68">
        <f t="shared" si="76"/>
        <v>-9226.8000000000029</v>
      </c>
      <c r="CJ17" s="268">
        <f t="shared" si="77"/>
        <v>1.1214052631578948</v>
      </c>
      <c r="CK17" s="13">
        <f t="shared" si="53"/>
        <v>169461</v>
      </c>
      <c r="CL17" s="13">
        <f t="shared" si="54"/>
        <v>24652.400000000001</v>
      </c>
      <c r="CM17" s="13">
        <f t="shared" si="54"/>
        <v>33602.6</v>
      </c>
      <c r="CN17" s="13">
        <f t="shared" si="54"/>
        <v>69441</v>
      </c>
      <c r="CO17" s="13">
        <f t="shared" si="54"/>
        <v>57754.400000000001</v>
      </c>
      <c r="CP17" s="13">
        <f t="shared" si="54"/>
        <v>28785.599999999999</v>
      </c>
      <c r="CQ17" s="13">
        <f t="shared" ref="CL17:CQ26" si="89">SUMIFS(SALIDAS_BIT,FECHA_BIT,"&gt;="&amp;CQ$2,FECHA_BIT,"&lt;="&amp;CQ$3,CLAVE_BIT,$A17)+SUMIFS(SALIDAS_BOV1,FECHA_BOV1,"&gt;="&amp;CQ$2,FECHA_BOV1,"&lt;="&amp;CQ$3,CLAVE_BOV1,$A17)+SUMIFS(SALIDAS_BOV2,FECHA_BOV2,"&gt;="&amp;CQ$2,FECHA_BOV2,"&lt;="&amp;CQ$3,CLAVE_BOV2,$A17)+SUMIFS(SALIDAS_BOV3,FECHA_BOV3,"&gt;="&amp;CQ$2,FECHA_BOV3,"&lt;="&amp;CQ$3,CLAVE_BOV3,$A17)+SUMIFS(SALIDAS_TC,FECHA_TC,"&gt;="&amp;CQ$2,FECHA_TC,"&lt;="&amp;CQ$3,CLAVE_TC,$A17)+SUMIFS(SALIDAS_COMB,FECHA_COMB,"&gt;="&amp;CQ$2,FECHA_COMB,"&lt;="&amp;CQ$3,CLAVE_COMB,$A17)+SUMIFS(SALIDAS_DES,FECHA_DESGLOSEN,"&gt;="&amp;CQ$2,FECHA_DESGLOSEN,"&lt;="&amp;CQ$3,CLAVE_DESGLOSE,$A17)</f>
        <v>214236</v>
      </c>
      <c r="CR17" s="68">
        <f t="shared" si="78"/>
        <v>-44775</v>
      </c>
      <c r="CS17" s="268">
        <f t="shared" si="79"/>
        <v>1.2642200860374952</v>
      </c>
      <c r="CT17" s="68">
        <f t="shared" si="55"/>
        <v>69744</v>
      </c>
      <c r="CU17" s="13">
        <f>SUMIFS(SALIDAS_BIT,FECHA_BIT,"&gt;="&amp;CU$2,FECHA_BIT,"&lt;="&amp;CU$3,CLAVE_BIT,$A17)+SUMIFS(SALIDAS_BOV1,FECHA_BOV1,"&gt;="&amp;CU$2,FECHA_BOV1,"&lt;="&amp;CU$3,CLAVE_BOV1,$A17)+SUMIFS(SALIDAS_BOV2,FECHA_BOV2,"&gt;="&amp;CU$2,FECHA_BOV2,"&lt;="&amp;CU$3,CLAVE_BOV2,$A17)+SUMIFS(SALIDAS_BOV3,FECHA_BOV3,"&gt;="&amp;CU$2,FECHA_BOV3,"&lt;="&amp;CU$3,CLAVE_BOV3,$A17)+SUMIFS(SALIDAS_TC,FECHA_TC,"&gt;="&amp;CU$2,FECHA_TC,"&lt;="&amp;CU$3,CLAVE_TC,$A17)+SUMIFS(SALIDAS_COMB,FECHA_COMB,"&gt;="&amp;CU$2,FECHA_COMB,"&lt;="&amp;CU$3,CLAVE_COMB,$A17)+SUMIFS(SALIDAS_DES,FECHA_DESGLOSEN,"&gt;="&amp;CU$2,FECHA_DESGLOSEN,"&lt;="&amp;CU$3,CLAVE_DESGLOSE,$A17)</f>
        <v>20125.8</v>
      </c>
      <c r="CV17" s="13">
        <f>SUMIFS(SALIDAS_BIT,FECHA_BIT,"&gt;="&amp;CV$2,FECHA_BIT,"&lt;="&amp;CV$3,CLAVE_BIT,$A17)+SUMIFS(SALIDAS_BOV1,FECHA_BOV1,"&gt;="&amp;CV$2,FECHA_BOV1,"&lt;="&amp;CV$3,CLAVE_BOV1,$A17)+SUMIFS(SALIDAS_BOV2,FECHA_BOV2,"&gt;="&amp;CV$2,FECHA_BOV2,"&lt;="&amp;CV$3,CLAVE_BOV2,$A17)+SUMIFS(SALIDAS_BOV3,FECHA_BOV3,"&gt;="&amp;CV$2,FECHA_BOV3,"&lt;="&amp;CV$3,CLAVE_BOV3,$A17)+SUMIFS(SALIDAS_TC,FECHA_TC,"&gt;="&amp;CV$2,FECHA_TC,"&lt;="&amp;CV$3,CLAVE_TC,$A17)+SUMIFS(SALIDAS_COMB,FECHA_COMB,"&gt;="&amp;CV$2,FECHA_COMB,"&lt;="&amp;CV$3,CLAVE_COMB,$A17)+SUMIFS(SALIDAS_DES,FECHA_DESGLOSEN,"&gt;="&amp;CV$2,FECHA_DESGLOSEN,"&lt;="&amp;CV$3,CLAVE_DESGLOSE,$A17)</f>
        <v>21555.8</v>
      </c>
      <c r="CW17" s="13">
        <f>SUMIFS(SALIDAS_BIT,FECHA_BIT,"&gt;="&amp;CW$2,FECHA_BIT,"&lt;="&amp;CW$3,CLAVE_BIT,$A17)+SUMIFS(SALIDAS_BOV1,FECHA_BOV1,"&gt;="&amp;CW$2,FECHA_BOV1,"&lt;="&amp;CW$3,CLAVE_BOV1,$A17)+SUMIFS(SALIDAS_BOV2,FECHA_BOV2,"&gt;="&amp;CW$2,FECHA_BOV2,"&lt;="&amp;CW$3,CLAVE_BOV2,$A17)+SUMIFS(SALIDAS_BOV3,FECHA_BOV3,"&gt;="&amp;CW$2,FECHA_BOV3,"&lt;="&amp;CW$3,CLAVE_BOV3,$A17)+SUMIFS(SALIDAS_TC,FECHA_TC,"&gt;="&amp;CW$2,FECHA_TC,"&lt;="&amp;CW$3,CLAVE_TC,$A17)+SUMIFS(SALIDAS_COMB,FECHA_COMB,"&gt;="&amp;CW$2,FECHA_COMB,"&lt;="&amp;CW$3,CLAVE_COMB,$A17)+SUMIFS(SALIDAS_DES,FECHA_DESGLOSEN,"&gt;="&amp;CW$2,FECHA_DESGLOSEN,"&lt;="&amp;CW$3,CLAVE_DESGLOSE,$A17)</f>
        <v>21006</v>
      </c>
      <c r="CX17" s="13">
        <f>SUMIFS(SALIDAS_BIT,FECHA_BIT,"&gt;="&amp;CX$2,FECHA_BIT,"&lt;="&amp;CX$3,CLAVE_BIT,$A17)+SUMIFS(SALIDAS_BOV1,FECHA_BOV1,"&gt;="&amp;CX$2,FECHA_BOV1,"&lt;="&amp;CX$3,CLAVE_BOV1,$A17)+SUMIFS(SALIDAS_BOV2,FECHA_BOV2,"&gt;="&amp;CX$2,FECHA_BOV2,"&lt;="&amp;CX$3,CLAVE_BOV2,$A17)+SUMIFS(SALIDAS_BOV3,FECHA_BOV3,"&gt;="&amp;CX$2,FECHA_BOV3,"&lt;="&amp;CX$3,CLAVE_BOV3,$A17)+SUMIFS(SALIDAS_TC,FECHA_TC,"&gt;="&amp;CX$2,FECHA_TC,"&lt;="&amp;CX$3,CLAVE_TC,$A17)+SUMIFS(SALIDAS_COMB,FECHA_COMB,"&gt;="&amp;CX$2,FECHA_COMB,"&lt;="&amp;CX$3,CLAVE_COMB,$A17)+SUMIFS(SALIDAS_DES,FECHA_DESGLOSEN,"&gt;="&amp;CX$2,FECHA_DESGLOSEN,"&lt;="&amp;CX$3,CLAVE_DESGLOSE,$A17)</f>
        <v>20870</v>
      </c>
      <c r="CY17" s="13">
        <f>SUMIFS(SALIDAS_BIT,FECHA_BIT,"&gt;="&amp;CY$2,FECHA_BIT,"&lt;="&amp;CY$3,CLAVE_BIT,$A17)+SUMIFS(SALIDAS_BOV1,FECHA_BOV1,"&gt;="&amp;CY$2,FECHA_BOV1,"&lt;="&amp;CY$3,CLAVE_BOV1,$A17)+SUMIFS(SALIDAS_BOV2,FECHA_BOV2,"&gt;="&amp;CY$2,FECHA_BOV2,"&lt;="&amp;CY$3,CLAVE_BOV2,$A17)+SUMIFS(SALIDAS_BOV3,FECHA_BOV3,"&gt;="&amp;CY$2,FECHA_BOV3,"&lt;="&amp;CY$3,CLAVE_BOV3,$A17)+SUMIFS(SALIDAS_TC,FECHA_TC,"&gt;="&amp;CY$2,FECHA_TC,"&lt;="&amp;CY$3,CLAVE_TC,$A17)+SUMIFS(SALIDAS_COMB,FECHA_COMB,"&gt;="&amp;CY$2,FECHA_COMB,"&lt;="&amp;CY$3,CLAVE_COMB,$A17)+SUMIFS(SALIDAS_DES,FECHA_DESGLOSEN,"&gt;="&amp;CY$2,FECHA_DESGLOSEN,"&lt;="&amp;CY$3,CLAVE_DESGLOSE,$A17)</f>
        <v>83557.600000000006</v>
      </c>
      <c r="CZ17" s="68">
        <f t="shared" si="80"/>
        <v>-13813.600000000006</v>
      </c>
      <c r="DB17" s="17">
        <f>F17+N17+W17+AE17+AM17+AV17+BD17+BL17+BU17+CC17+CK17</f>
        <v>1028480.25</v>
      </c>
      <c r="DC17" s="17">
        <f>K17+T17+AB17+AJ17+AS17+BA17+BI17+BR17+BZ17+CH17+CQ17</f>
        <v>990380.26000000013</v>
      </c>
    </row>
    <row r="18" spans="1:107" hidden="1">
      <c r="A18" s="12" t="str">
        <f>C18&amp;D18&amp;E18</f>
        <v>HRNOMINA SUCURSALA14</v>
      </c>
      <c r="B18" s="12">
        <v>12</v>
      </c>
      <c r="C18" t="s">
        <v>29</v>
      </c>
      <c r="D18" s="12" t="s">
        <v>154</v>
      </c>
      <c r="E18" s="12" t="s">
        <v>99</v>
      </c>
      <c r="F18" s="259">
        <f t="shared" si="58"/>
        <v>49780</v>
      </c>
      <c r="G18" s="13">
        <f t="shared" si="81"/>
        <v>17320.599999999999</v>
      </c>
      <c r="H18" s="13">
        <f t="shared" si="81"/>
        <v>12120.8</v>
      </c>
      <c r="I18" s="13">
        <f t="shared" si="81"/>
        <v>13205.2</v>
      </c>
      <c r="J18" s="13">
        <f t="shared" si="81"/>
        <v>14084.6</v>
      </c>
      <c r="K18" s="13">
        <f t="shared" si="81"/>
        <v>56731.199999999997</v>
      </c>
      <c r="L18" s="68">
        <f t="shared" si="59"/>
        <v>-6951.1999999999971</v>
      </c>
      <c r="M18" s="268">
        <f t="shared" si="60"/>
        <v>1.1396384089995981</v>
      </c>
      <c r="N18" s="13">
        <f t="shared" si="36"/>
        <v>62225</v>
      </c>
      <c r="O18" s="13">
        <f t="shared" si="82"/>
        <v>13266</v>
      </c>
      <c r="P18" s="13">
        <f t="shared" si="82"/>
        <v>13059.8</v>
      </c>
      <c r="Q18" s="13">
        <f t="shared" si="82"/>
        <v>16023.4</v>
      </c>
      <c r="R18" s="13">
        <f t="shared" si="82"/>
        <v>12755.2</v>
      </c>
      <c r="S18" s="13">
        <f t="shared" si="82"/>
        <v>12795.2</v>
      </c>
      <c r="T18" s="13">
        <f t="shared" si="82"/>
        <v>67899.599999999991</v>
      </c>
      <c r="U18" s="68">
        <f t="shared" si="61"/>
        <v>-5674.5999999999913</v>
      </c>
      <c r="V18" s="268">
        <f t="shared" si="62"/>
        <v>1.0911948573724386</v>
      </c>
      <c r="W18" s="13">
        <f t="shared" si="38"/>
        <v>49780</v>
      </c>
      <c r="X18" s="13">
        <f t="shared" si="83"/>
        <v>12892.2</v>
      </c>
      <c r="Y18" s="13">
        <f t="shared" si="83"/>
        <v>13613.8</v>
      </c>
      <c r="Z18" s="13">
        <f t="shared" si="83"/>
        <v>8631.7999999999993</v>
      </c>
      <c r="AA18" s="13">
        <f t="shared" si="83"/>
        <v>13003.8</v>
      </c>
      <c r="AB18" s="13">
        <f t="shared" si="83"/>
        <v>48141.600000000006</v>
      </c>
      <c r="AC18" s="68">
        <f t="shared" si="63"/>
        <v>1638.3999999999942</v>
      </c>
      <c r="AD18" s="268">
        <f t="shared" si="64"/>
        <v>0.96708718360787471</v>
      </c>
      <c r="AE18" s="13">
        <f t="shared" si="40"/>
        <v>49780</v>
      </c>
      <c r="AF18" s="13">
        <f t="shared" si="84"/>
        <v>16017.8</v>
      </c>
      <c r="AG18" s="13">
        <f t="shared" si="84"/>
        <v>12834.6</v>
      </c>
      <c r="AH18" s="13">
        <f t="shared" si="84"/>
        <v>12168.8</v>
      </c>
      <c r="AI18" s="13">
        <f t="shared" si="84"/>
        <v>10555.8</v>
      </c>
      <c r="AJ18" s="13">
        <f t="shared" si="84"/>
        <v>51577</v>
      </c>
      <c r="AK18" s="68">
        <f t="shared" si="65"/>
        <v>-1797</v>
      </c>
      <c r="AL18" s="268">
        <f t="shared" si="66"/>
        <v>1.0360988348734432</v>
      </c>
      <c r="AM18" s="13">
        <f t="shared" si="42"/>
        <v>62225</v>
      </c>
      <c r="AN18" s="13">
        <f t="shared" si="85"/>
        <v>10285.200000000001</v>
      </c>
      <c r="AO18" s="13">
        <f t="shared" si="85"/>
        <v>13259.6</v>
      </c>
      <c r="AP18" s="13">
        <f t="shared" si="85"/>
        <v>11695.4</v>
      </c>
      <c r="AQ18" s="13">
        <f t="shared" si="85"/>
        <v>13060.8</v>
      </c>
      <c r="AR18" s="13">
        <f t="shared" si="85"/>
        <v>12968.6</v>
      </c>
      <c r="AS18" s="13">
        <f t="shared" si="85"/>
        <v>61269.599999999999</v>
      </c>
      <c r="AT18" s="68">
        <f>AM18-AS18</f>
        <v>955.40000000000146</v>
      </c>
      <c r="AU18" s="268">
        <f t="shared" si="67"/>
        <v>0.98464604258738442</v>
      </c>
      <c r="AV18" s="13">
        <f t="shared" si="44"/>
        <v>49780</v>
      </c>
      <c r="AW18" s="13">
        <f t="shared" si="86"/>
        <v>14084.4</v>
      </c>
      <c r="AX18" s="13">
        <f t="shared" si="86"/>
        <v>14085.2</v>
      </c>
      <c r="AY18" s="13">
        <f t="shared" si="86"/>
        <v>12859.2</v>
      </c>
      <c r="AZ18" s="13">
        <f t="shared" si="86"/>
        <v>13258.4</v>
      </c>
      <c r="BA18" s="13">
        <f t="shared" si="45"/>
        <v>54287.200000000004</v>
      </c>
      <c r="BB18" s="68">
        <f t="shared" si="68"/>
        <v>-4507.2000000000044</v>
      </c>
      <c r="BC18" s="268">
        <f t="shared" si="69"/>
        <v>1.0905423865006028</v>
      </c>
      <c r="BD18" s="13">
        <f t="shared" si="46"/>
        <v>49780</v>
      </c>
      <c r="BE18" s="13">
        <f>SUMIFS(SALIDAS_BIT,FECHA_BIT,"&gt;="&amp;BE$2,FECHA_BIT,"&lt;="&amp;BE$3,CLAVE_BIT,$A18)+SUMIFS(SALIDAS_BOV1,FECHA_BOV1,"&gt;="&amp;BE$2,FECHA_BOV1,"&lt;="&amp;BE$3,CLAVE_BOV1,$A18)+SUMIFS(SALIDAS_BOV2,FECHA_BOV2,"&gt;="&amp;BE$2,FECHA_BOV2,"&lt;="&amp;BE$3,CLAVE_BOV2,$A18)+SUMIFS(SALIDAS_BOV3,FECHA_BOV3,"&gt;="&amp;BE$2,FECHA_BOV3,"&lt;="&amp;BE$3,CLAVE_BOV3,$A18)+SUMIFS(SALIDAS_TC,FECHA_TC,"&gt;="&amp;BE$2,FECHA_TC,"&lt;="&amp;BE$3,CLAVE_TC,$A18)+SUMIFS(SALIDAS_COMB,FECHA_COMB,"&gt;="&amp;BE$2,FECHA_COMB,"&lt;="&amp;BE$3,CLAVE_COMB,$A18)+SUMIFS(SALIDAS_DES,FECHA_DESGLOSEN,"&gt;="&amp;BE$2,FECHA_DESGLOSEN,"&lt;="&amp;BE$3,CLAVE_DESGLOSE,$A18)</f>
        <v>12959.6</v>
      </c>
      <c r="BF18" s="13">
        <f>SUMIFS(SALIDAS_BIT,FECHA_BIT,"&gt;="&amp;BF$2,FECHA_BIT,"&lt;="&amp;BF$3,CLAVE_BIT,$A18)+SUMIFS(SALIDAS_BOV1,FECHA_BOV1,"&gt;="&amp;BF$2,FECHA_BOV1,"&lt;="&amp;BF$3,CLAVE_BOV1,$A18)+SUMIFS(SALIDAS_BOV2,FECHA_BOV2,"&gt;="&amp;BF$2,FECHA_BOV2,"&lt;="&amp;BF$3,CLAVE_BOV2,$A18)+SUMIFS(SALIDAS_BOV3,FECHA_BOV3,"&gt;="&amp;BF$2,FECHA_BOV3,"&lt;="&amp;BF$3,CLAVE_BOV3,$A18)+SUMIFS(SALIDAS_TC,FECHA_TC,"&gt;="&amp;BF$2,FECHA_TC,"&lt;="&amp;BF$3,CLAVE_TC,$A18)+SUMIFS(SALIDAS_COMB,FECHA_COMB,"&gt;="&amp;BF$2,FECHA_COMB,"&lt;="&amp;BF$3,CLAVE_COMB,$A18)+SUMIFS(SALIDAS_DES,FECHA_DESGLOSEN,"&gt;="&amp;BF$2,FECHA_DESGLOSEN,"&lt;="&amp;BF$3,CLAVE_DESGLOSE,$A18)</f>
        <v>13057.6</v>
      </c>
      <c r="BG18" s="13">
        <f>SUMIFS(SALIDAS_BIT,FECHA_BIT,"&gt;="&amp;BG$2,FECHA_BIT,"&lt;="&amp;BG$3,CLAVE_BIT,$A18)+SUMIFS(SALIDAS_BOV1,FECHA_BOV1,"&gt;="&amp;BG$2,FECHA_BOV1,"&lt;="&amp;BG$3,CLAVE_BOV1,$A18)+SUMIFS(SALIDAS_BOV2,FECHA_BOV2,"&gt;="&amp;BG$2,FECHA_BOV2,"&lt;="&amp;BG$3,CLAVE_BOV2,$A18)+SUMIFS(SALIDAS_BOV3,FECHA_BOV3,"&gt;="&amp;BG$2,FECHA_BOV3,"&lt;="&amp;BG$3,CLAVE_BOV3,$A18)+SUMIFS(SALIDAS_TC,FECHA_TC,"&gt;="&amp;BG$2,FECHA_TC,"&lt;="&amp;BG$3,CLAVE_TC,$A18)+SUMIFS(SALIDAS_COMB,FECHA_COMB,"&gt;="&amp;BG$2,FECHA_COMB,"&lt;="&amp;BG$3,CLAVE_COMB,$A18)+SUMIFS(SALIDAS_DES,FECHA_DESGLOSEN,"&gt;="&amp;BG$2,FECHA_DESGLOSEN,"&lt;="&amp;BG$3,CLAVE_DESGLOSE,$A18)</f>
        <v>13058.6</v>
      </c>
      <c r="BH18" s="13">
        <f>SUMIFS(SALIDAS_BIT,FECHA_BIT,"&gt;="&amp;BH$2,FECHA_BIT,"&lt;="&amp;BH$3,CLAVE_BIT,$A18)+SUMIFS(SALIDAS_BOV1,FECHA_BOV1,"&gt;="&amp;BH$2,FECHA_BOV1,"&lt;="&amp;BH$3,CLAVE_BOV1,$A18)+SUMIFS(SALIDAS_BOV2,FECHA_BOV2,"&gt;="&amp;BH$2,FECHA_BOV2,"&lt;="&amp;BH$3,CLAVE_BOV2,$A18)+SUMIFS(SALIDAS_BOV3,FECHA_BOV3,"&gt;="&amp;BH$2,FECHA_BOV3,"&lt;="&amp;BH$3,CLAVE_BOV3,$A18)+SUMIFS(SALIDAS_TC,FECHA_TC,"&gt;="&amp;BH$2,FECHA_TC,"&lt;="&amp;BH$3,CLAVE_TC,$A18)+SUMIFS(SALIDAS_COMB,FECHA_COMB,"&gt;="&amp;BH$2,FECHA_COMB,"&lt;="&amp;BH$3,CLAVE_COMB,$A18)+SUMIFS(SALIDAS_DES,FECHA_DESGLOSEN,"&gt;="&amp;BH$2,FECHA_DESGLOSEN,"&lt;="&amp;BH$3,CLAVE_DESGLOSE,$A18)</f>
        <v>12959.6</v>
      </c>
      <c r="BI18" s="13">
        <f>SUMIFS(SALIDAS_BIT,FECHA_BIT,"&gt;="&amp;BI$2,FECHA_BIT,"&lt;="&amp;BI$3,CLAVE_BIT,$A18)+SUMIFS(SALIDAS_BOV1,FECHA_BOV1,"&gt;="&amp;BI$2,FECHA_BOV1,"&lt;="&amp;BI$3,CLAVE_BOV1,$A18)+SUMIFS(SALIDAS_BOV2,FECHA_BOV2,"&gt;="&amp;BI$2,FECHA_BOV2,"&lt;="&amp;BI$3,CLAVE_BOV2,$A18)+SUMIFS(SALIDAS_BOV3,FECHA_BOV3,"&gt;="&amp;BI$2,FECHA_BOV3,"&lt;="&amp;BI$3,CLAVE_BOV3,$A18)+SUMIFS(SALIDAS_TC,FECHA_TC,"&gt;="&amp;BI$2,FECHA_TC,"&lt;="&amp;BI$3,CLAVE_TC,$A18)+SUMIFS(SALIDAS_COMB,FECHA_COMB,"&gt;="&amp;BI$2,FECHA_COMB,"&lt;="&amp;BI$3,CLAVE_COMB,$A18)+SUMIFS(SALIDAS_DES,FECHA_DESGLOSEN,"&gt;="&amp;BI$2,FECHA_DESGLOSEN,"&lt;="&amp;BI$3,CLAVE_DESGLOSE,$A18)</f>
        <v>52035.4</v>
      </c>
      <c r="BJ18" s="68">
        <f t="shared" si="70"/>
        <v>-2255.4000000000015</v>
      </c>
      <c r="BK18" s="401">
        <f t="shared" si="71"/>
        <v>1.0453073523503416</v>
      </c>
      <c r="BL18" s="13">
        <f t="shared" si="47"/>
        <v>62225</v>
      </c>
      <c r="BM18" s="13">
        <f>SUMIFS(SALIDAS_BIT,FECHA_BIT,"&gt;="&amp;BM$2,FECHA_BIT,"&lt;="&amp;BM$3,CLAVE_BIT,$A18)+SUMIFS(SALIDAS_BOV1,FECHA_BOV1,"&gt;="&amp;BM$2,FECHA_BOV1,"&lt;="&amp;BM$3,CLAVE_BOV1,$A18)+SUMIFS(SALIDAS_BOV2,FECHA_BOV2,"&gt;="&amp;BM$2,FECHA_BOV2,"&lt;="&amp;BM$3,CLAVE_BOV2,$A18)+SUMIFS(SALIDAS_BOV3,FECHA_BOV3,"&gt;="&amp;BM$2,FECHA_BOV3,"&lt;="&amp;BM$3,CLAVE_BOV3,$A18)+SUMIFS(SALIDAS_TC,FECHA_TC,"&gt;="&amp;BM$2,FECHA_TC,"&lt;="&amp;BM$3,CLAVE_TC,$A18)+SUMIFS(SALIDAS_COMB,FECHA_COMB,"&gt;="&amp;BM$2,FECHA_COMB,"&lt;="&amp;BM$3,CLAVE_COMB,$A18)+SUMIFS(SALIDAS_DES,FECHA_DESGLOSEN,"&gt;="&amp;BM$2,FECHA_DESGLOSEN,"&lt;="&amp;BM$3,CLAVE_DESGLOSE,$A18)</f>
        <v>12926.4</v>
      </c>
      <c r="BN18" s="13">
        <f>SUMIFS(SALIDAS_BIT,FECHA_BIT,"&gt;="&amp;BN$2,FECHA_BIT,"&lt;="&amp;BN$3,CLAVE_BIT,$A18)+SUMIFS(SALIDAS_BOV1,FECHA_BOV1,"&gt;="&amp;BN$2,FECHA_BOV1,"&lt;="&amp;BN$3,CLAVE_BOV1,$A18)+SUMIFS(SALIDAS_BOV2,FECHA_BOV2,"&gt;="&amp;BN$2,FECHA_BOV2,"&lt;="&amp;BN$3,CLAVE_BOV2,$A18)+SUMIFS(SALIDAS_BOV3,FECHA_BOV3,"&gt;="&amp;BN$2,FECHA_BOV3,"&lt;="&amp;BN$3,CLAVE_BOV3,$A18)+SUMIFS(SALIDAS_TC,FECHA_TC,"&gt;="&amp;BN$2,FECHA_TC,"&lt;="&amp;BN$3,CLAVE_TC,$A18)+SUMIFS(SALIDAS_COMB,FECHA_COMB,"&gt;="&amp;BN$2,FECHA_COMB,"&lt;="&amp;BN$3,CLAVE_COMB,$A18)+SUMIFS(SALIDAS_DES,FECHA_DESGLOSEN,"&gt;="&amp;BN$2,FECHA_DESGLOSEN,"&lt;="&amp;BN$3,CLAVE_DESGLOSE,$A18)</f>
        <v>13065.4</v>
      </c>
      <c r="BO18" s="13">
        <f>SUMIFS(SALIDAS_BIT,FECHA_BIT,"&gt;="&amp;BO$2,FECHA_BIT,"&lt;="&amp;BO$3,CLAVE_BIT,$A18)+SUMIFS(SALIDAS_BOV1,FECHA_BOV1,"&gt;="&amp;BO$2,FECHA_BOV1,"&lt;="&amp;BO$3,CLAVE_BOV1,$A18)+SUMIFS(SALIDAS_BOV2,FECHA_BOV2,"&gt;="&amp;BO$2,FECHA_BOV2,"&lt;="&amp;BO$3,CLAVE_BOV2,$A18)+SUMIFS(SALIDAS_BOV3,FECHA_BOV3,"&gt;="&amp;BO$2,FECHA_BOV3,"&lt;="&amp;BO$3,CLAVE_BOV3,$A18)+SUMIFS(SALIDAS_TC,FECHA_TC,"&gt;="&amp;BO$2,FECHA_TC,"&lt;="&amp;BO$3,CLAVE_TC,$A18)+SUMIFS(SALIDAS_COMB,FECHA_COMB,"&gt;="&amp;BO$2,FECHA_COMB,"&lt;="&amp;BO$3,CLAVE_COMB,$A18)+SUMIFS(SALIDAS_DES,FECHA_DESGLOSEN,"&gt;="&amp;BO$2,FECHA_DESGLOSEN,"&lt;="&amp;BO$3,CLAVE_DESGLOSE,$A18)</f>
        <v>13058.4</v>
      </c>
      <c r="BP18" s="13">
        <f>SUMIFS(SALIDAS_BIT,FECHA_BIT,"&gt;="&amp;BP$2,FECHA_BIT,"&lt;="&amp;BP$3,CLAVE_BIT,$A18)+SUMIFS(SALIDAS_BOV1,FECHA_BOV1,"&gt;="&amp;BP$2,FECHA_BOV1,"&lt;="&amp;BP$3,CLAVE_BOV1,$A18)+SUMIFS(SALIDAS_BOV2,FECHA_BOV2,"&gt;="&amp;BP$2,FECHA_BOV2,"&lt;="&amp;BP$3,CLAVE_BOV2,$A18)+SUMIFS(SALIDAS_BOV3,FECHA_BOV3,"&gt;="&amp;BP$2,FECHA_BOV3,"&lt;="&amp;BP$3,CLAVE_BOV3,$A18)+SUMIFS(SALIDAS_TC,FECHA_TC,"&gt;="&amp;BP$2,FECHA_TC,"&lt;="&amp;BP$3,CLAVE_TC,$A18)+SUMIFS(SALIDAS_COMB,FECHA_COMB,"&gt;="&amp;BP$2,FECHA_COMB,"&lt;="&amp;BP$3,CLAVE_COMB,$A18)+SUMIFS(SALIDAS_DES,FECHA_DESGLOSEN,"&gt;="&amp;BP$2,FECHA_DESGLOSEN,"&lt;="&amp;BP$3,CLAVE_DESGLOSE,$A18)</f>
        <v>18013.2</v>
      </c>
      <c r="BQ18" s="13">
        <f>SUMIFS(SALIDAS_BIT,FECHA_BIT,"&gt;="&amp;BQ$2,FECHA_BIT,"&lt;="&amp;BQ$3,CLAVE_BIT,$A18)+SUMIFS(SALIDAS_BOV1,FECHA_BOV1,"&gt;="&amp;BQ$2,FECHA_BOV1,"&lt;="&amp;BQ$3,CLAVE_BOV1,$A18)+SUMIFS(SALIDAS_BOV2,FECHA_BOV2,"&gt;="&amp;BQ$2,FECHA_BOV2,"&lt;="&amp;BQ$3,CLAVE_BOV2,$A18)+SUMIFS(SALIDAS_BOV3,FECHA_BOV3,"&gt;="&amp;BQ$2,FECHA_BOV3,"&lt;="&amp;BQ$3,CLAVE_BOV3,$A18)+SUMIFS(SALIDAS_TC,FECHA_TC,"&gt;="&amp;BQ$2,FECHA_TC,"&lt;="&amp;BQ$3,CLAVE_TC,$A18)+SUMIFS(SALIDAS_COMB,FECHA_COMB,"&gt;="&amp;BQ$2,FECHA_COMB,"&lt;="&amp;BQ$3,CLAVE_COMB,$A18)+SUMIFS(SALIDAS_DES,FECHA_DESGLOSEN,"&gt;="&amp;BQ$2,FECHA_DESGLOSEN,"&lt;="&amp;BQ$3,CLAVE_DESGLOSE,$A18)</f>
        <v>12726.4</v>
      </c>
      <c r="BR18" s="13">
        <f>SUMIFS(SALIDAS_BIT,FECHA_BIT,"&gt;="&amp;BR$2,FECHA_BIT,"&lt;="&amp;BR$3,CLAVE_BIT,$A18)+SUMIFS(SALIDAS_BOV1,FECHA_BOV1,"&gt;="&amp;BR$2,FECHA_BOV1,"&lt;="&amp;BR$3,CLAVE_BOV1,$A18)+SUMIFS(SALIDAS_BOV2,FECHA_BOV2,"&gt;="&amp;BR$2,FECHA_BOV2,"&lt;="&amp;BR$3,CLAVE_BOV2,$A18)+SUMIFS(SALIDAS_BOV3,FECHA_BOV3,"&gt;="&amp;BR$2,FECHA_BOV3,"&lt;="&amp;BR$3,CLAVE_BOV3,$A18)+SUMIFS(SALIDAS_TC,FECHA_TC,"&gt;="&amp;BR$2,FECHA_TC,"&lt;="&amp;BR$3,CLAVE_TC,$A18)+SUMIFS(SALIDAS_COMB,FECHA_COMB,"&gt;="&amp;BR$2,FECHA_COMB,"&lt;="&amp;BR$3,CLAVE_COMB,$A18)+SUMIFS(SALIDAS_DES,FECHA_DESGLOSEN,"&gt;="&amp;BR$2,FECHA_DESGLOSEN,"&lt;="&amp;BR$3,CLAVE_DESGLOSE,$A18)</f>
        <v>69789.799999999988</v>
      </c>
      <c r="BS18" s="68">
        <f t="shared" si="72"/>
        <v>-7564.7999999999884</v>
      </c>
      <c r="BT18" s="401">
        <f t="shared" si="73"/>
        <v>1.1215717155484128</v>
      </c>
      <c r="BU18" s="13">
        <f t="shared" si="49"/>
        <v>49780</v>
      </c>
      <c r="BV18" s="13">
        <f t="shared" si="50"/>
        <v>13667</v>
      </c>
      <c r="BW18" s="13">
        <f t="shared" si="50"/>
        <v>12729</v>
      </c>
      <c r="BX18" s="13">
        <f t="shared" si="50"/>
        <v>14610.79</v>
      </c>
      <c r="BY18" s="13">
        <f t="shared" si="50"/>
        <v>13083.8</v>
      </c>
      <c r="BZ18" s="13">
        <f t="shared" si="87"/>
        <v>54090.59</v>
      </c>
      <c r="CA18" s="68">
        <f t="shared" si="74"/>
        <v>-4310.5899999999965</v>
      </c>
      <c r="CB18" s="268">
        <f t="shared" si="75"/>
        <v>1.0865928083567697</v>
      </c>
      <c r="CC18" s="13">
        <f t="shared" si="51"/>
        <v>49780</v>
      </c>
      <c r="CD18" s="13">
        <f t="shared" si="52"/>
        <v>14935.4</v>
      </c>
      <c r="CE18" s="13">
        <f t="shared" si="52"/>
        <v>15487.2</v>
      </c>
      <c r="CF18" s="13">
        <f t="shared" si="52"/>
        <v>16703.2</v>
      </c>
      <c r="CG18" s="13">
        <f t="shared" si="52"/>
        <v>13892.6</v>
      </c>
      <c r="CH18" s="13">
        <f t="shared" si="88"/>
        <v>61018.400000000001</v>
      </c>
      <c r="CI18" s="68">
        <f t="shared" si="76"/>
        <v>-11238.400000000001</v>
      </c>
      <c r="CJ18" s="268">
        <f t="shared" si="77"/>
        <v>1.2257613499397348</v>
      </c>
      <c r="CK18" s="13">
        <f t="shared" si="53"/>
        <v>96862</v>
      </c>
      <c r="CL18" s="13">
        <f t="shared" si="54"/>
        <v>13844.9</v>
      </c>
      <c r="CM18" s="13">
        <f t="shared" si="54"/>
        <v>16131.8</v>
      </c>
      <c r="CN18" s="13">
        <f t="shared" si="54"/>
        <v>28939</v>
      </c>
      <c r="CO18" s="13">
        <f t="shared" si="54"/>
        <v>33402.800000000003</v>
      </c>
      <c r="CP18" s="13">
        <f t="shared" si="54"/>
        <v>18031.400000000001</v>
      </c>
      <c r="CQ18" s="13">
        <f t="shared" si="89"/>
        <v>110349.9</v>
      </c>
      <c r="CR18" s="68">
        <f t="shared" si="78"/>
        <v>-13487.899999999994</v>
      </c>
      <c r="CS18" s="268">
        <f t="shared" si="79"/>
        <v>1.1392486217505315</v>
      </c>
      <c r="CT18" s="68">
        <f t="shared" si="55"/>
        <v>61123</v>
      </c>
      <c r="CU18" s="13">
        <f>SUMIFS(SALIDAS_BIT,FECHA_BIT,"&gt;="&amp;CU$2,FECHA_BIT,"&lt;="&amp;CU$3,CLAVE_BIT,$A18)+SUMIFS(SALIDAS_BOV1,FECHA_BOV1,"&gt;="&amp;CU$2,FECHA_BOV1,"&lt;="&amp;CU$3,CLAVE_BOV1,$A18)+SUMIFS(SALIDAS_BOV2,FECHA_BOV2,"&gt;="&amp;CU$2,FECHA_BOV2,"&lt;="&amp;CU$3,CLAVE_BOV2,$A18)+SUMIFS(SALIDAS_BOV3,FECHA_BOV3,"&gt;="&amp;CU$2,FECHA_BOV3,"&lt;="&amp;CU$3,CLAVE_BOV3,$A18)+SUMIFS(SALIDAS_TC,FECHA_TC,"&gt;="&amp;CU$2,FECHA_TC,"&lt;="&amp;CU$3,CLAVE_TC,$A18)+SUMIFS(SALIDAS_COMB,FECHA_COMB,"&gt;="&amp;CU$2,FECHA_COMB,"&lt;="&amp;CU$3,CLAVE_COMB,$A18)+SUMIFS(SALIDAS_DES,FECHA_DESGLOSEN,"&gt;="&amp;CU$2,FECHA_DESGLOSEN,"&lt;="&amp;CU$3,CLAVE_DESGLOSE,$A18)</f>
        <v>15472.2</v>
      </c>
      <c r="CV18" s="13">
        <f>SUMIFS(SALIDAS_BIT,FECHA_BIT,"&gt;="&amp;CV$2,FECHA_BIT,"&lt;="&amp;CV$3,CLAVE_BIT,$A18)+SUMIFS(SALIDAS_BOV1,FECHA_BOV1,"&gt;="&amp;CV$2,FECHA_BOV1,"&lt;="&amp;CV$3,CLAVE_BOV1,$A18)+SUMIFS(SALIDAS_BOV2,FECHA_BOV2,"&gt;="&amp;CV$2,FECHA_BOV2,"&lt;="&amp;CV$3,CLAVE_BOV2,$A18)+SUMIFS(SALIDAS_BOV3,FECHA_BOV3,"&gt;="&amp;CV$2,FECHA_BOV3,"&lt;="&amp;CV$3,CLAVE_BOV3,$A18)+SUMIFS(SALIDAS_TC,FECHA_TC,"&gt;="&amp;CV$2,FECHA_TC,"&lt;="&amp;CV$3,CLAVE_TC,$A18)+SUMIFS(SALIDAS_COMB,FECHA_COMB,"&gt;="&amp;CV$2,FECHA_COMB,"&lt;="&amp;CV$3,CLAVE_COMB,$A18)+SUMIFS(SALIDAS_DES,FECHA_DESGLOSEN,"&gt;="&amp;CV$2,FECHA_DESGLOSEN,"&lt;="&amp;CV$3,CLAVE_DESGLOSE,$A18)</f>
        <v>15518.8</v>
      </c>
      <c r="CW18" s="13">
        <f>SUMIFS(SALIDAS_BIT,FECHA_BIT,"&gt;="&amp;CW$2,FECHA_BIT,"&lt;="&amp;CW$3,CLAVE_BIT,$A18)+SUMIFS(SALIDAS_BOV1,FECHA_BOV1,"&gt;="&amp;CW$2,FECHA_BOV1,"&lt;="&amp;CW$3,CLAVE_BOV1,$A18)+SUMIFS(SALIDAS_BOV2,FECHA_BOV2,"&gt;="&amp;CW$2,FECHA_BOV2,"&lt;="&amp;CW$3,CLAVE_BOV2,$A18)+SUMIFS(SALIDAS_BOV3,FECHA_BOV3,"&gt;="&amp;CW$2,FECHA_BOV3,"&lt;="&amp;CW$3,CLAVE_BOV3,$A18)+SUMIFS(SALIDAS_TC,FECHA_TC,"&gt;="&amp;CW$2,FECHA_TC,"&lt;="&amp;CW$3,CLAVE_TC,$A18)+SUMIFS(SALIDAS_COMB,FECHA_COMB,"&gt;="&amp;CW$2,FECHA_COMB,"&lt;="&amp;CW$3,CLAVE_COMB,$A18)+SUMIFS(SALIDAS_DES,FECHA_DESGLOSEN,"&gt;="&amp;CW$2,FECHA_DESGLOSEN,"&lt;="&amp;CW$3,CLAVE_DESGLOSE,$A18)</f>
        <v>15178</v>
      </c>
      <c r="CX18" s="13">
        <f>SUMIFS(SALIDAS_BIT,FECHA_BIT,"&gt;="&amp;CX$2,FECHA_BIT,"&lt;="&amp;CX$3,CLAVE_BIT,$A18)+SUMIFS(SALIDAS_BOV1,FECHA_BOV1,"&gt;="&amp;CX$2,FECHA_BOV1,"&lt;="&amp;CX$3,CLAVE_BOV1,$A18)+SUMIFS(SALIDAS_BOV2,FECHA_BOV2,"&gt;="&amp;CX$2,FECHA_BOV2,"&lt;="&amp;CX$3,CLAVE_BOV2,$A18)+SUMIFS(SALIDAS_BOV3,FECHA_BOV3,"&gt;="&amp;CX$2,FECHA_BOV3,"&lt;="&amp;CX$3,CLAVE_BOV3,$A18)+SUMIFS(SALIDAS_TC,FECHA_TC,"&gt;="&amp;CX$2,FECHA_TC,"&lt;="&amp;CX$3,CLAVE_TC,$A18)+SUMIFS(SALIDAS_COMB,FECHA_COMB,"&gt;="&amp;CX$2,FECHA_COMB,"&lt;="&amp;CX$3,CLAVE_COMB,$A18)+SUMIFS(SALIDAS_DES,FECHA_DESGLOSEN,"&gt;="&amp;CX$2,FECHA_DESGLOSEN,"&lt;="&amp;CX$3,CLAVE_DESGLOSE,$A18)</f>
        <v>15064</v>
      </c>
      <c r="CY18" s="13">
        <f>SUMIFS(SALIDAS_BIT,FECHA_BIT,"&gt;="&amp;CY$2,FECHA_BIT,"&lt;="&amp;CY$3,CLAVE_BIT,$A18)+SUMIFS(SALIDAS_BOV1,FECHA_BOV1,"&gt;="&amp;CY$2,FECHA_BOV1,"&lt;="&amp;CY$3,CLAVE_BOV1,$A18)+SUMIFS(SALIDAS_BOV2,FECHA_BOV2,"&gt;="&amp;CY$2,FECHA_BOV2,"&lt;="&amp;CY$3,CLAVE_BOV2,$A18)+SUMIFS(SALIDAS_BOV3,FECHA_BOV3,"&gt;="&amp;CY$2,FECHA_BOV3,"&lt;="&amp;CY$3,CLAVE_BOV3,$A18)+SUMIFS(SALIDAS_TC,FECHA_TC,"&gt;="&amp;CY$2,FECHA_TC,"&lt;="&amp;CY$3,CLAVE_TC,$A18)+SUMIFS(SALIDAS_COMB,FECHA_COMB,"&gt;="&amp;CY$2,FECHA_COMB,"&lt;="&amp;CY$3,CLAVE_COMB,$A18)+SUMIFS(SALIDAS_DES,FECHA_DESGLOSEN,"&gt;="&amp;CY$2,FECHA_DESGLOSEN,"&lt;="&amp;CY$3,CLAVE_DESGLOSE,$A18)</f>
        <v>61233</v>
      </c>
      <c r="CZ18" s="68">
        <f t="shared" si="80"/>
        <v>-110</v>
      </c>
      <c r="DB18" s="17">
        <f>F18+N18+W18+AE18+AM18+AV18+BD18+BL18+BU18+CC18+CK18</f>
        <v>631997</v>
      </c>
      <c r="DC18" s="17">
        <f>K18+T18+AB18+AJ18+AS18+BA18+BI18+BR18+BZ18+CH18+CQ18</f>
        <v>687190.29</v>
      </c>
    </row>
    <row r="19" spans="1:107" hidden="1">
      <c r="A19" s="12" t="str">
        <f t="shared" si="57"/>
        <v>HRNOMINA SUCURSALA15</v>
      </c>
      <c r="B19" s="12">
        <v>13</v>
      </c>
      <c r="C19" t="s">
        <v>29</v>
      </c>
      <c r="D19" s="12" t="s">
        <v>154</v>
      </c>
      <c r="E19" s="12" t="s">
        <v>100</v>
      </c>
      <c r="F19" s="259">
        <f t="shared" si="58"/>
        <v>54656</v>
      </c>
      <c r="G19" s="13">
        <f t="shared" si="81"/>
        <v>13273.2</v>
      </c>
      <c r="H19" s="13">
        <f t="shared" si="81"/>
        <v>11157.4</v>
      </c>
      <c r="I19" s="13">
        <f t="shared" si="81"/>
        <v>11255.6</v>
      </c>
      <c r="J19" s="13">
        <f t="shared" si="81"/>
        <v>11125.8</v>
      </c>
      <c r="K19" s="13">
        <f t="shared" si="81"/>
        <v>46812</v>
      </c>
      <c r="L19" s="68">
        <f t="shared" si="59"/>
        <v>7844</v>
      </c>
      <c r="M19" s="268">
        <f t="shared" si="60"/>
        <v>0.85648419203747073</v>
      </c>
      <c r="N19" s="13">
        <f t="shared" si="36"/>
        <v>68320</v>
      </c>
      <c r="O19" s="13">
        <f t="shared" si="82"/>
        <v>11205.2</v>
      </c>
      <c r="P19" s="13">
        <f t="shared" si="82"/>
        <v>11390.4</v>
      </c>
      <c r="Q19" s="13">
        <f t="shared" si="82"/>
        <v>13470.6</v>
      </c>
      <c r="R19" s="13">
        <f t="shared" si="82"/>
        <v>11172.6</v>
      </c>
      <c r="S19" s="13">
        <f t="shared" si="82"/>
        <v>11907.4</v>
      </c>
      <c r="T19" s="13">
        <f t="shared" si="82"/>
        <v>59146.2</v>
      </c>
      <c r="U19" s="68">
        <f t="shared" si="61"/>
        <v>9173.8000000000029</v>
      </c>
      <c r="V19" s="268">
        <f t="shared" si="62"/>
        <v>0.86572306791569087</v>
      </c>
      <c r="W19" s="13">
        <f t="shared" si="38"/>
        <v>54656</v>
      </c>
      <c r="X19" s="13">
        <f t="shared" si="83"/>
        <v>11256.8</v>
      </c>
      <c r="Y19" s="13">
        <f t="shared" si="83"/>
        <v>9926.7999999999993</v>
      </c>
      <c r="Z19" s="13">
        <f t="shared" si="83"/>
        <v>10756</v>
      </c>
      <c r="AA19" s="13">
        <f t="shared" si="83"/>
        <v>11255.8</v>
      </c>
      <c r="AB19" s="13">
        <f t="shared" si="83"/>
        <v>43195.399999999994</v>
      </c>
      <c r="AC19" s="68">
        <f t="shared" si="63"/>
        <v>11460.600000000006</v>
      </c>
      <c r="AD19" s="268">
        <f t="shared" si="64"/>
        <v>0.7903139637002341</v>
      </c>
      <c r="AE19" s="13">
        <f t="shared" si="40"/>
        <v>54656</v>
      </c>
      <c r="AF19" s="13">
        <f t="shared" si="84"/>
        <v>13745.6</v>
      </c>
      <c r="AG19" s="13">
        <f t="shared" si="84"/>
        <v>11656.6</v>
      </c>
      <c r="AH19" s="13">
        <f t="shared" si="84"/>
        <v>10513.4</v>
      </c>
      <c r="AI19" s="13">
        <f t="shared" si="84"/>
        <v>11972.6</v>
      </c>
      <c r="AJ19" s="13">
        <f t="shared" si="84"/>
        <v>47888.2</v>
      </c>
      <c r="AK19" s="68">
        <f t="shared" si="65"/>
        <v>6767.8000000000029</v>
      </c>
      <c r="AL19" s="268">
        <f t="shared" si="66"/>
        <v>0.87617461943793906</v>
      </c>
      <c r="AM19" s="13">
        <f t="shared" si="42"/>
        <v>68320</v>
      </c>
      <c r="AN19" s="13">
        <f t="shared" si="85"/>
        <v>11456.4</v>
      </c>
      <c r="AO19" s="13">
        <f t="shared" si="85"/>
        <v>11411.6</v>
      </c>
      <c r="AP19" s="13">
        <f t="shared" si="85"/>
        <v>11456.6</v>
      </c>
      <c r="AQ19" s="13">
        <f t="shared" si="85"/>
        <v>11455.8</v>
      </c>
      <c r="AR19" s="13">
        <f t="shared" si="85"/>
        <v>11031.4</v>
      </c>
      <c r="AS19" s="13">
        <f t="shared" si="85"/>
        <v>56811.799999999996</v>
      </c>
      <c r="AT19" s="68">
        <f>AM19-AS19</f>
        <v>11508.200000000004</v>
      </c>
      <c r="AU19" s="268">
        <f t="shared" si="67"/>
        <v>0.83155444964871184</v>
      </c>
      <c r="AV19" s="13">
        <f t="shared" si="44"/>
        <v>54656</v>
      </c>
      <c r="AW19" s="13">
        <f t="shared" si="86"/>
        <v>11456.8</v>
      </c>
      <c r="AX19" s="13">
        <f t="shared" si="86"/>
        <v>11455.8</v>
      </c>
      <c r="AY19" s="13">
        <f t="shared" si="86"/>
        <v>11456.4</v>
      </c>
      <c r="AZ19" s="13">
        <f t="shared" si="86"/>
        <v>11325.6</v>
      </c>
      <c r="BA19" s="13">
        <f t="shared" si="45"/>
        <v>45694.6</v>
      </c>
      <c r="BB19" s="68">
        <f t="shared" si="68"/>
        <v>8961.4000000000015</v>
      </c>
      <c r="BC19" s="268">
        <f t="shared" si="69"/>
        <v>0.83603995901639339</v>
      </c>
      <c r="BD19" s="13">
        <f t="shared" si="46"/>
        <v>54656</v>
      </c>
      <c r="BE19" s="13">
        <f>SUMIFS(SALIDAS_BIT,FECHA_BIT,"&gt;="&amp;BE$2,FECHA_BIT,"&lt;="&amp;BE$3,CLAVE_BIT,$A19)+SUMIFS(SALIDAS_BOV1,FECHA_BOV1,"&gt;="&amp;BE$2,FECHA_BOV1,"&lt;="&amp;BE$3,CLAVE_BOV1,$A19)+SUMIFS(SALIDAS_BOV2,FECHA_BOV2,"&gt;="&amp;BE$2,FECHA_BOV2,"&lt;="&amp;BE$3,CLAVE_BOV2,$A19)+SUMIFS(SALIDAS_BOV3,FECHA_BOV3,"&gt;="&amp;BE$2,FECHA_BOV3,"&lt;="&amp;BE$3,CLAVE_BOV3,$A19)+SUMIFS(SALIDAS_TC,FECHA_TC,"&gt;="&amp;BE$2,FECHA_TC,"&lt;="&amp;BE$3,CLAVE_TC,$A19)+SUMIFS(SALIDAS_COMB,FECHA_COMB,"&gt;="&amp;BE$2,FECHA_COMB,"&lt;="&amp;BE$3,CLAVE_COMB,$A19)+SUMIFS(SALIDAS_DES,FECHA_DESGLOSEN,"&gt;="&amp;BE$2,FECHA_DESGLOSEN,"&lt;="&amp;BE$3,CLAVE_DESGLOSE,$A19)</f>
        <v>11996.2</v>
      </c>
      <c r="BF19" s="13">
        <f>SUMIFS(SALIDAS_BIT,FECHA_BIT,"&gt;="&amp;BF$2,FECHA_BIT,"&lt;="&amp;BF$3,CLAVE_BIT,$A19)+SUMIFS(SALIDAS_BOV1,FECHA_BOV1,"&gt;="&amp;BF$2,FECHA_BOV1,"&lt;="&amp;BF$3,CLAVE_BOV1,$A19)+SUMIFS(SALIDAS_BOV2,FECHA_BOV2,"&gt;="&amp;BF$2,FECHA_BOV2,"&lt;="&amp;BF$3,CLAVE_BOV2,$A19)+SUMIFS(SALIDAS_BOV3,FECHA_BOV3,"&gt;="&amp;BF$2,FECHA_BOV3,"&lt;="&amp;BF$3,CLAVE_BOV3,$A19)+SUMIFS(SALIDAS_TC,FECHA_TC,"&gt;="&amp;BF$2,FECHA_TC,"&lt;="&amp;BF$3,CLAVE_TC,$A19)+SUMIFS(SALIDAS_COMB,FECHA_COMB,"&gt;="&amp;BF$2,FECHA_COMB,"&lt;="&amp;BF$3,CLAVE_COMB,$A19)+SUMIFS(SALIDAS_DES,FECHA_DESGLOSEN,"&gt;="&amp;BF$2,FECHA_DESGLOSEN,"&lt;="&amp;BF$3,CLAVE_DESGLOSE,$A19)</f>
        <v>12024.6</v>
      </c>
      <c r="BG19" s="13">
        <f>SUMIFS(SALIDAS_BIT,FECHA_BIT,"&gt;="&amp;BG$2,FECHA_BIT,"&lt;="&amp;BG$3,CLAVE_BIT,$A19)+SUMIFS(SALIDAS_BOV1,FECHA_BOV1,"&gt;="&amp;BG$2,FECHA_BOV1,"&lt;="&amp;BG$3,CLAVE_BOV1,$A19)+SUMIFS(SALIDAS_BOV2,FECHA_BOV2,"&gt;="&amp;BG$2,FECHA_BOV2,"&lt;="&amp;BG$3,CLAVE_BOV2,$A19)+SUMIFS(SALIDAS_BOV3,FECHA_BOV3,"&gt;="&amp;BG$2,FECHA_BOV3,"&lt;="&amp;BG$3,CLAVE_BOV3,$A19)+SUMIFS(SALIDAS_TC,FECHA_TC,"&gt;="&amp;BG$2,FECHA_TC,"&lt;="&amp;BG$3,CLAVE_TC,$A19)+SUMIFS(SALIDAS_COMB,FECHA_COMB,"&gt;="&amp;BG$2,FECHA_COMB,"&lt;="&amp;BG$3,CLAVE_COMB,$A19)+SUMIFS(SALIDAS_DES,FECHA_DESGLOSEN,"&gt;="&amp;BG$2,FECHA_DESGLOSEN,"&lt;="&amp;BG$3,CLAVE_DESGLOSE,$A19)</f>
        <v>11556.6</v>
      </c>
      <c r="BH19" s="13">
        <f>SUMIFS(SALIDAS_BIT,FECHA_BIT,"&gt;="&amp;BH$2,FECHA_BIT,"&lt;="&amp;BH$3,CLAVE_BIT,$A19)+SUMIFS(SALIDAS_BOV1,FECHA_BOV1,"&gt;="&amp;BH$2,FECHA_BOV1,"&lt;="&amp;BH$3,CLAVE_BOV1,$A19)+SUMIFS(SALIDAS_BOV2,FECHA_BOV2,"&gt;="&amp;BH$2,FECHA_BOV2,"&lt;="&amp;BH$3,CLAVE_BOV2,$A19)+SUMIFS(SALIDAS_BOV3,FECHA_BOV3,"&gt;="&amp;BH$2,FECHA_BOV3,"&lt;="&amp;BH$3,CLAVE_BOV3,$A19)+SUMIFS(SALIDAS_TC,FECHA_TC,"&gt;="&amp;BH$2,FECHA_TC,"&lt;="&amp;BH$3,CLAVE_TC,$A19)+SUMIFS(SALIDAS_COMB,FECHA_COMB,"&gt;="&amp;BH$2,FECHA_COMB,"&lt;="&amp;BH$3,CLAVE_COMB,$A19)+SUMIFS(SALIDAS_DES,FECHA_DESGLOSEN,"&gt;="&amp;BH$2,FECHA_DESGLOSEN,"&lt;="&amp;BH$3,CLAVE_DESGLOSE,$A19)</f>
        <v>11558</v>
      </c>
      <c r="BI19" s="13">
        <f>SUMIFS(SALIDAS_BIT,FECHA_BIT,"&gt;="&amp;BI$2,FECHA_BIT,"&lt;="&amp;BI$3,CLAVE_BIT,$A19)+SUMIFS(SALIDAS_BOV1,FECHA_BOV1,"&gt;="&amp;BI$2,FECHA_BOV1,"&lt;="&amp;BI$3,CLAVE_BOV1,$A19)+SUMIFS(SALIDAS_BOV2,FECHA_BOV2,"&gt;="&amp;BI$2,FECHA_BOV2,"&lt;="&amp;BI$3,CLAVE_BOV2,$A19)+SUMIFS(SALIDAS_BOV3,FECHA_BOV3,"&gt;="&amp;BI$2,FECHA_BOV3,"&lt;="&amp;BI$3,CLAVE_BOV3,$A19)+SUMIFS(SALIDAS_TC,FECHA_TC,"&gt;="&amp;BI$2,FECHA_TC,"&lt;="&amp;BI$3,CLAVE_TC,$A19)+SUMIFS(SALIDAS_COMB,FECHA_COMB,"&gt;="&amp;BI$2,FECHA_COMB,"&lt;="&amp;BI$3,CLAVE_COMB,$A19)+SUMIFS(SALIDAS_DES,FECHA_DESGLOSEN,"&gt;="&amp;BI$2,FECHA_DESGLOSEN,"&lt;="&amp;BI$3,CLAVE_DESGLOSE,$A19)</f>
        <v>47135.4</v>
      </c>
      <c r="BJ19" s="68">
        <f t="shared" si="70"/>
        <v>7520.5999999999985</v>
      </c>
      <c r="BK19" s="268">
        <f t="shared" si="71"/>
        <v>0.86240120023419209</v>
      </c>
      <c r="BL19" s="13">
        <f t="shared" si="47"/>
        <v>68320</v>
      </c>
      <c r="BM19" s="13">
        <f>SUMIFS(SALIDAS_BIT,FECHA_BIT,"&gt;="&amp;BM$2,FECHA_BIT,"&lt;="&amp;BM$3,CLAVE_BIT,$A19)+SUMIFS(SALIDAS_BOV1,FECHA_BOV1,"&gt;="&amp;BM$2,FECHA_BOV1,"&lt;="&amp;BM$3,CLAVE_BOV1,$A19)+SUMIFS(SALIDAS_BOV2,FECHA_BOV2,"&gt;="&amp;BM$2,FECHA_BOV2,"&lt;="&amp;BM$3,CLAVE_BOV2,$A19)+SUMIFS(SALIDAS_BOV3,FECHA_BOV3,"&gt;="&amp;BM$2,FECHA_BOV3,"&lt;="&amp;BM$3,CLAVE_BOV3,$A19)+SUMIFS(SALIDAS_TC,FECHA_TC,"&gt;="&amp;BM$2,FECHA_TC,"&lt;="&amp;BM$3,CLAVE_TC,$A19)+SUMIFS(SALIDAS_COMB,FECHA_COMB,"&gt;="&amp;BM$2,FECHA_COMB,"&lt;="&amp;BM$3,CLAVE_COMB,$A19)+SUMIFS(SALIDAS_DES,FECHA_DESGLOSEN,"&gt;="&amp;BM$2,FECHA_DESGLOSEN,"&lt;="&amp;BM$3,CLAVE_DESGLOSE,$A19)</f>
        <v>11555.6</v>
      </c>
      <c r="BN19" s="13">
        <f>SUMIFS(SALIDAS_BIT,FECHA_BIT,"&gt;="&amp;BN$2,FECHA_BIT,"&lt;="&amp;BN$3,CLAVE_BIT,$A19)+SUMIFS(SALIDAS_BOV1,FECHA_BOV1,"&gt;="&amp;BN$2,FECHA_BOV1,"&lt;="&amp;BN$3,CLAVE_BOV1,$A19)+SUMIFS(SALIDAS_BOV2,FECHA_BOV2,"&gt;="&amp;BN$2,FECHA_BOV2,"&lt;="&amp;BN$3,CLAVE_BOV2,$A19)+SUMIFS(SALIDAS_BOV3,FECHA_BOV3,"&gt;="&amp;BN$2,FECHA_BOV3,"&lt;="&amp;BN$3,CLAVE_BOV3,$A19)+SUMIFS(SALIDAS_TC,FECHA_TC,"&gt;="&amp;BN$2,FECHA_TC,"&lt;="&amp;BN$3,CLAVE_TC,$A19)+SUMIFS(SALIDAS_COMB,FECHA_COMB,"&gt;="&amp;BN$2,FECHA_COMB,"&lt;="&amp;BN$3,CLAVE_COMB,$A19)+SUMIFS(SALIDAS_DES,FECHA_DESGLOSEN,"&gt;="&amp;BN$2,FECHA_DESGLOSEN,"&lt;="&amp;BN$3,CLAVE_DESGLOSE,$A19)</f>
        <v>11543.4</v>
      </c>
      <c r="BO19" s="13">
        <f>SUMIFS(SALIDAS_BIT,FECHA_BIT,"&gt;="&amp;BO$2,FECHA_BIT,"&lt;="&amp;BO$3,CLAVE_BIT,$A19)+SUMIFS(SALIDAS_BOV1,FECHA_BOV1,"&gt;="&amp;BO$2,FECHA_BOV1,"&lt;="&amp;BO$3,CLAVE_BOV1,$A19)+SUMIFS(SALIDAS_BOV2,FECHA_BOV2,"&gt;="&amp;BO$2,FECHA_BOV2,"&lt;="&amp;BO$3,CLAVE_BOV2,$A19)+SUMIFS(SALIDAS_BOV3,FECHA_BOV3,"&gt;="&amp;BO$2,FECHA_BOV3,"&lt;="&amp;BO$3,CLAVE_BOV3,$A19)+SUMIFS(SALIDAS_TC,FECHA_TC,"&gt;="&amp;BO$2,FECHA_TC,"&lt;="&amp;BO$3,CLAVE_TC,$A19)+SUMIFS(SALIDAS_COMB,FECHA_COMB,"&gt;="&amp;BO$2,FECHA_COMB,"&lt;="&amp;BO$3,CLAVE_COMB,$A19)+SUMIFS(SALIDAS_DES,FECHA_DESGLOSEN,"&gt;="&amp;BO$2,FECHA_DESGLOSEN,"&lt;="&amp;BO$3,CLAVE_DESGLOSE,$A19)</f>
        <v>11325.8</v>
      </c>
      <c r="BP19" s="13">
        <f>SUMIFS(SALIDAS_BIT,FECHA_BIT,"&gt;="&amp;BP$2,FECHA_BIT,"&lt;="&amp;BP$3,CLAVE_BIT,$A19)+SUMIFS(SALIDAS_BOV1,FECHA_BOV1,"&gt;="&amp;BP$2,FECHA_BOV1,"&lt;="&amp;BP$3,CLAVE_BOV1,$A19)+SUMIFS(SALIDAS_BOV2,FECHA_BOV2,"&gt;="&amp;BP$2,FECHA_BOV2,"&lt;="&amp;BP$3,CLAVE_BOV2,$A19)+SUMIFS(SALIDAS_BOV3,FECHA_BOV3,"&gt;="&amp;BP$2,FECHA_BOV3,"&lt;="&amp;BP$3,CLAVE_BOV3,$A19)+SUMIFS(SALIDAS_TC,FECHA_TC,"&gt;="&amp;BP$2,FECHA_TC,"&lt;="&amp;BP$3,CLAVE_TC,$A19)+SUMIFS(SALIDAS_COMB,FECHA_COMB,"&gt;="&amp;BP$2,FECHA_COMB,"&lt;="&amp;BP$3,CLAVE_COMB,$A19)+SUMIFS(SALIDAS_DES,FECHA_DESGLOSEN,"&gt;="&amp;BP$2,FECHA_DESGLOSEN,"&lt;="&amp;BP$3,CLAVE_DESGLOSE,$A19)</f>
        <v>13909.2</v>
      </c>
      <c r="BQ19" s="13">
        <f>SUMIFS(SALIDAS_BIT,FECHA_BIT,"&gt;="&amp;BQ$2,FECHA_BIT,"&lt;="&amp;BQ$3,CLAVE_BIT,$A19)+SUMIFS(SALIDAS_BOV1,FECHA_BOV1,"&gt;="&amp;BQ$2,FECHA_BOV1,"&lt;="&amp;BQ$3,CLAVE_BOV1,$A19)+SUMIFS(SALIDAS_BOV2,FECHA_BOV2,"&gt;="&amp;BQ$2,FECHA_BOV2,"&lt;="&amp;BQ$3,CLAVE_BOV2,$A19)+SUMIFS(SALIDAS_BOV3,FECHA_BOV3,"&gt;="&amp;BQ$2,FECHA_BOV3,"&lt;="&amp;BQ$3,CLAVE_BOV3,$A19)+SUMIFS(SALIDAS_TC,FECHA_TC,"&gt;="&amp;BQ$2,FECHA_TC,"&lt;="&amp;BQ$3,CLAVE_TC,$A19)+SUMIFS(SALIDAS_COMB,FECHA_COMB,"&gt;="&amp;BQ$2,FECHA_COMB,"&lt;="&amp;BQ$3,CLAVE_COMB,$A19)+SUMIFS(SALIDAS_DES,FECHA_DESGLOSEN,"&gt;="&amp;BQ$2,FECHA_DESGLOSEN,"&lt;="&amp;BQ$3,CLAVE_DESGLOSE,$A19)</f>
        <v>9859.2000000000007</v>
      </c>
      <c r="BR19" s="13">
        <f>SUMIFS(SALIDAS_BIT,FECHA_BIT,"&gt;="&amp;BR$2,FECHA_BIT,"&lt;="&amp;BR$3,CLAVE_BIT,$A19)+SUMIFS(SALIDAS_BOV1,FECHA_BOV1,"&gt;="&amp;BR$2,FECHA_BOV1,"&lt;="&amp;BR$3,CLAVE_BOV1,$A19)+SUMIFS(SALIDAS_BOV2,FECHA_BOV2,"&gt;="&amp;BR$2,FECHA_BOV2,"&lt;="&amp;BR$3,CLAVE_BOV2,$A19)+SUMIFS(SALIDAS_BOV3,FECHA_BOV3,"&gt;="&amp;BR$2,FECHA_BOV3,"&lt;="&amp;BR$3,CLAVE_BOV3,$A19)+SUMIFS(SALIDAS_TC,FECHA_TC,"&gt;="&amp;BR$2,FECHA_TC,"&lt;="&amp;BR$3,CLAVE_TC,$A19)+SUMIFS(SALIDAS_COMB,FECHA_COMB,"&gt;="&amp;BR$2,FECHA_COMB,"&lt;="&amp;BR$3,CLAVE_COMB,$A19)+SUMIFS(SALIDAS_DES,FECHA_DESGLOSEN,"&gt;="&amp;BR$2,FECHA_DESGLOSEN,"&lt;="&amp;BR$3,CLAVE_DESGLOSE,$A19)</f>
        <v>58193.2</v>
      </c>
      <c r="BS19" s="68">
        <f t="shared" si="72"/>
        <v>10126.800000000003</v>
      </c>
      <c r="BT19" s="268">
        <f t="shared" si="73"/>
        <v>0.85177400468384068</v>
      </c>
      <c r="BU19" s="13">
        <f t="shared" si="49"/>
        <v>54656</v>
      </c>
      <c r="BV19" s="13">
        <f t="shared" si="50"/>
        <v>10005.200000000001</v>
      </c>
      <c r="BW19" s="13">
        <f t="shared" si="50"/>
        <v>9355.7999999999993</v>
      </c>
      <c r="BX19" s="13">
        <f t="shared" si="50"/>
        <v>11614</v>
      </c>
      <c r="BY19" s="13">
        <f t="shared" si="50"/>
        <v>11558.2</v>
      </c>
      <c r="BZ19" s="13">
        <f t="shared" si="87"/>
        <v>42533.2</v>
      </c>
      <c r="CA19" s="68">
        <f t="shared" si="74"/>
        <v>12122.800000000003</v>
      </c>
      <c r="CB19" s="268">
        <f t="shared" si="75"/>
        <v>0.77819818501170956</v>
      </c>
      <c r="CC19" s="13">
        <f t="shared" si="51"/>
        <v>54656</v>
      </c>
      <c r="CD19" s="13">
        <f t="shared" si="52"/>
        <v>12121</v>
      </c>
      <c r="CE19" s="13">
        <f t="shared" si="52"/>
        <v>11557.2</v>
      </c>
      <c r="CF19" s="13">
        <f t="shared" si="52"/>
        <v>14901</v>
      </c>
      <c r="CG19" s="13">
        <f t="shared" si="52"/>
        <v>11555.8</v>
      </c>
      <c r="CH19" s="13">
        <f t="shared" si="88"/>
        <v>50135</v>
      </c>
      <c r="CI19" s="68">
        <f t="shared" si="76"/>
        <v>4521</v>
      </c>
      <c r="CJ19" s="268">
        <f t="shared" si="77"/>
        <v>0.91728264051522246</v>
      </c>
      <c r="CK19" s="13">
        <f t="shared" si="53"/>
        <v>69901</v>
      </c>
      <c r="CL19" s="13">
        <f t="shared" si="54"/>
        <v>11556.4</v>
      </c>
      <c r="CM19" s="13">
        <f t="shared" si="54"/>
        <v>11557.6</v>
      </c>
      <c r="CN19" s="13">
        <f t="shared" si="54"/>
        <v>19949.400000000001</v>
      </c>
      <c r="CO19" s="13">
        <f t="shared" si="54"/>
        <v>18937.400000000001</v>
      </c>
      <c r="CP19" s="13">
        <f t="shared" si="54"/>
        <v>13033.2</v>
      </c>
      <c r="CQ19" s="13">
        <f t="shared" si="89"/>
        <v>75034</v>
      </c>
      <c r="CR19" s="68">
        <f t="shared" si="78"/>
        <v>-5133</v>
      </c>
      <c r="CS19" s="268">
        <f t="shared" si="79"/>
        <v>1.0734324258594297</v>
      </c>
      <c r="CT19" s="68">
        <f t="shared" si="55"/>
        <v>48062</v>
      </c>
      <c r="CU19" s="13">
        <f>SUMIFS(SALIDAS_BIT,FECHA_BIT,"&gt;="&amp;CU$2,FECHA_BIT,"&lt;="&amp;CU$3,CLAVE_BIT,$A19)+SUMIFS(SALIDAS_BOV1,FECHA_BOV1,"&gt;="&amp;CU$2,FECHA_BOV1,"&lt;="&amp;CU$3,CLAVE_BOV1,$A19)+SUMIFS(SALIDAS_BOV2,FECHA_BOV2,"&gt;="&amp;CU$2,FECHA_BOV2,"&lt;="&amp;CU$3,CLAVE_BOV2,$A19)+SUMIFS(SALIDAS_BOV3,FECHA_BOV3,"&gt;="&amp;CU$2,FECHA_BOV3,"&lt;="&amp;CU$3,CLAVE_BOV3,$A19)+SUMIFS(SALIDAS_TC,FECHA_TC,"&gt;="&amp;CU$2,FECHA_TC,"&lt;="&amp;CU$3,CLAVE_TC,$A19)+SUMIFS(SALIDAS_COMB,FECHA_COMB,"&gt;="&amp;CU$2,FECHA_COMB,"&lt;="&amp;CU$3,CLAVE_COMB,$A19)+SUMIFS(SALIDAS_DES,FECHA_DESGLOSEN,"&gt;="&amp;CU$2,FECHA_DESGLOSEN,"&lt;="&amp;CU$3,CLAVE_DESGLOSE,$A19)</f>
        <v>10787.6</v>
      </c>
      <c r="CV19" s="13">
        <f>SUMIFS(SALIDAS_BIT,FECHA_BIT,"&gt;="&amp;CV$2,FECHA_BIT,"&lt;="&amp;CV$3,CLAVE_BIT,$A19)+SUMIFS(SALIDAS_BOV1,FECHA_BOV1,"&gt;="&amp;CV$2,FECHA_BOV1,"&lt;="&amp;CV$3,CLAVE_BOV1,$A19)+SUMIFS(SALIDAS_BOV2,FECHA_BOV2,"&gt;="&amp;CV$2,FECHA_BOV2,"&lt;="&amp;CV$3,CLAVE_BOV2,$A19)+SUMIFS(SALIDAS_BOV3,FECHA_BOV3,"&gt;="&amp;CV$2,FECHA_BOV3,"&lt;="&amp;CV$3,CLAVE_BOV3,$A19)+SUMIFS(SALIDAS_TC,FECHA_TC,"&gt;="&amp;CV$2,FECHA_TC,"&lt;="&amp;CV$3,CLAVE_TC,$A19)+SUMIFS(SALIDAS_COMB,FECHA_COMB,"&gt;="&amp;CV$2,FECHA_COMB,"&lt;="&amp;CV$3,CLAVE_COMB,$A19)+SUMIFS(SALIDAS_DES,FECHA_DESGLOSEN,"&gt;="&amp;CV$2,FECHA_DESGLOSEN,"&lt;="&amp;CV$3,CLAVE_DESGLOSE,$A19)</f>
        <v>11201.6</v>
      </c>
      <c r="CW19" s="13">
        <f>SUMIFS(SALIDAS_BIT,FECHA_BIT,"&gt;="&amp;CW$2,FECHA_BIT,"&lt;="&amp;CW$3,CLAVE_BIT,$A19)+SUMIFS(SALIDAS_BOV1,FECHA_BOV1,"&gt;="&amp;CW$2,FECHA_BOV1,"&lt;="&amp;CW$3,CLAVE_BOV1,$A19)+SUMIFS(SALIDAS_BOV2,FECHA_BOV2,"&gt;="&amp;CW$2,FECHA_BOV2,"&lt;="&amp;CW$3,CLAVE_BOV2,$A19)+SUMIFS(SALIDAS_BOV3,FECHA_BOV3,"&gt;="&amp;CW$2,FECHA_BOV3,"&lt;="&amp;CW$3,CLAVE_BOV3,$A19)+SUMIFS(SALIDAS_TC,FECHA_TC,"&gt;="&amp;CW$2,FECHA_TC,"&lt;="&amp;CW$3,CLAVE_TC,$A19)+SUMIFS(SALIDAS_COMB,FECHA_COMB,"&gt;="&amp;CW$2,FECHA_COMB,"&lt;="&amp;CW$3,CLAVE_COMB,$A19)+SUMIFS(SALIDAS_DES,FECHA_DESGLOSEN,"&gt;="&amp;CW$2,FECHA_DESGLOSEN,"&lt;="&amp;CW$3,CLAVE_DESGLOSE,$A19)</f>
        <v>12916</v>
      </c>
      <c r="CX19" s="13">
        <f>SUMIFS(SALIDAS_BIT,FECHA_BIT,"&gt;="&amp;CX$2,FECHA_BIT,"&lt;="&amp;CX$3,CLAVE_BIT,$A19)+SUMIFS(SALIDAS_BOV1,FECHA_BOV1,"&gt;="&amp;CX$2,FECHA_BOV1,"&lt;="&amp;CX$3,CLAVE_BOV1,$A19)+SUMIFS(SALIDAS_BOV2,FECHA_BOV2,"&gt;="&amp;CX$2,FECHA_BOV2,"&lt;="&amp;CX$3,CLAVE_BOV2,$A19)+SUMIFS(SALIDAS_BOV3,FECHA_BOV3,"&gt;="&amp;CX$2,FECHA_BOV3,"&lt;="&amp;CX$3,CLAVE_BOV3,$A19)+SUMIFS(SALIDAS_TC,FECHA_TC,"&gt;="&amp;CX$2,FECHA_TC,"&lt;="&amp;CX$3,CLAVE_TC,$A19)+SUMIFS(SALIDAS_COMB,FECHA_COMB,"&gt;="&amp;CX$2,FECHA_COMB,"&lt;="&amp;CX$3,CLAVE_COMB,$A19)+SUMIFS(SALIDAS_DES,FECHA_DESGLOSEN,"&gt;="&amp;CX$2,FECHA_DESGLOSEN,"&lt;="&amp;CX$3,CLAVE_DESGLOSE,$A19)</f>
        <v>12844</v>
      </c>
      <c r="CY19" s="13">
        <f>SUMIFS(SALIDAS_BIT,FECHA_BIT,"&gt;="&amp;CY$2,FECHA_BIT,"&lt;="&amp;CY$3,CLAVE_BIT,$A19)+SUMIFS(SALIDAS_BOV1,FECHA_BOV1,"&gt;="&amp;CY$2,FECHA_BOV1,"&lt;="&amp;CY$3,CLAVE_BOV1,$A19)+SUMIFS(SALIDAS_BOV2,FECHA_BOV2,"&gt;="&amp;CY$2,FECHA_BOV2,"&lt;="&amp;CY$3,CLAVE_BOV2,$A19)+SUMIFS(SALIDAS_BOV3,FECHA_BOV3,"&gt;="&amp;CY$2,FECHA_BOV3,"&lt;="&amp;CY$3,CLAVE_BOV3,$A19)+SUMIFS(SALIDAS_TC,FECHA_TC,"&gt;="&amp;CY$2,FECHA_TC,"&lt;="&amp;CY$3,CLAVE_TC,$A19)+SUMIFS(SALIDAS_COMB,FECHA_COMB,"&gt;="&amp;CY$2,FECHA_COMB,"&lt;="&amp;CY$3,CLAVE_COMB,$A19)+SUMIFS(SALIDAS_DES,FECHA_DESGLOSEN,"&gt;="&amp;CY$2,FECHA_DESGLOSEN,"&lt;="&amp;CY$3,CLAVE_DESGLOSE,$A19)</f>
        <v>47749.2</v>
      </c>
      <c r="CZ19" s="68">
        <f t="shared" si="80"/>
        <v>312.80000000000291</v>
      </c>
      <c r="DB19" s="17">
        <f>F19+N19+W19+AE19+AM19+AV19+BD19+BL19+BU19+CC19+CK19</f>
        <v>657453</v>
      </c>
      <c r="DC19" s="17">
        <f>K19+T19+AB19+AJ19+AS19+BA19+BI19+BR19+BZ19+CH19+CQ19</f>
        <v>572579</v>
      </c>
    </row>
    <row r="20" spans="1:107" hidden="1">
      <c r="A20" s="12" t="str">
        <f t="shared" si="57"/>
        <v>HRNOMINA SUCURSALA16</v>
      </c>
      <c r="B20" s="12">
        <v>14</v>
      </c>
      <c r="C20" t="s">
        <v>29</v>
      </c>
      <c r="D20" s="14" t="s">
        <v>154</v>
      </c>
      <c r="E20" s="14" t="s">
        <v>101</v>
      </c>
      <c r="F20" s="259">
        <f t="shared" si="58"/>
        <v>49504</v>
      </c>
      <c r="G20" s="13">
        <f t="shared" si="81"/>
        <v>17430.29</v>
      </c>
      <c r="H20" s="13">
        <f t="shared" si="81"/>
        <v>15112.09</v>
      </c>
      <c r="I20" s="13">
        <f t="shared" si="81"/>
        <v>13578.09</v>
      </c>
      <c r="J20" s="13">
        <f t="shared" si="81"/>
        <v>15428.29</v>
      </c>
      <c r="K20" s="13">
        <f t="shared" si="81"/>
        <v>61548.76</v>
      </c>
      <c r="L20" s="68">
        <f t="shared" si="59"/>
        <v>-12044.760000000002</v>
      </c>
      <c r="M20" s="268">
        <f t="shared" si="60"/>
        <v>1.2433088235294119</v>
      </c>
      <c r="N20" s="13">
        <f t="shared" si="36"/>
        <v>80000</v>
      </c>
      <c r="O20" s="13">
        <f t="shared" si="82"/>
        <v>13151.29</v>
      </c>
      <c r="P20" s="13">
        <f t="shared" si="82"/>
        <v>13263.29</v>
      </c>
      <c r="Q20" s="13">
        <f t="shared" si="82"/>
        <v>19963.09</v>
      </c>
      <c r="R20" s="13">
        <f t="shared" si="82"/>
        <v>16452.599999999999</v>
      </c>
      <c r="S20" s="13">
        <f t="shared" si="82"/>
        <v>16565.09</v>
      </c>
      <c r="T20" s="13">
        <f t="shared" si="82"/>
        <v>79395.360000000001</v>
      </c>
      <c r="U20" s="68">
        <f t="shared" si="61"/>
        <v>604.63999999999942</v>
      </c>
      <c r="V20" s="268">
        <f t="shared" si="62"/>
        <v>0.99244200000000005</v>
      </c>
      <c r="W20" s="13">
        <f t="shared" si="38"/>
        <v>64000</v>
      </c>
      <c r="X20" s="13">
        <f t="shared" si="83"/>
        <v>16564.89</v>
      </c>
      <c r="Y20" s="13">
        <f t="shared" si="83"/>
        <v>13577.2</v>
      </c>
      <c r="Z20" s="13">
        <f t="shared" si="83"/>
        <v>14276.29</v>
      </c>
      <c r="AA20" s="13">
        <f t="shared" si="83"/>
        <v>12548.69</v>
      </c>
      <c r="AB20" s="13">
        <f t="shared" si="83"/>
        <v>56967.070000000007</v>
      </c>
      <c r="AC20" s="68">
        <f t="shared" si="63"/>
        <v>7032.929999999993</v>
      </c>
      <c r="AD20" s="268">
        <f t="shared" si="64"/>
        <v>0.89011046875000011</v>
      </c>
      <c r="AE20" s="13">
        <f t="shared" si="40"/>
        <v>64000</v>
      </c>
      <c r="AF20" s="13">
        <f t="shared" si="84"/>
        <v>17523.689999999999</v>
      </c>
      <c r="AG20" s="13">
        <f t="shared" si="84"/>
        <v>17035.09</v>
      </c>
      <c r="AH20" s="13">
        <f t="shared" si="84"/>
        <v>16109.29</v>
      </c>
      <c r="AI20" s="13">
        <f t="shared" si="84"/>
        <v>14970.89</v>
      </c>
      <c r="AJ20" s="13">
        <f t="shared" si="84"/>
        <v>65638.959999999992</v>
      </c>
      <c r="AK20" s="68">
        <f t="shared" si="65"/>
        <v>-1638.9599999999919</v>
      </c>
      <c r="AL20" s="268">
        <f t="shared" si="66"/>
        <v>1.02560875</v>
      </c>
      <c r="AM20" s="13">
        <f t="shared" si="42"/>
        <v>80000</v>
      </c>
      <c r="AN20" s="13">
        <f t="shared" si="85"/>
        <v>16109.49</v>
      </c>
      <c r="AO20" s="13">
        <f t="shared" si="85"/>
        <v>16564.89</v>
      </c>
      <c r="AP20" s="13">
        <f t="shared" si="85"/>
        <v>16109.69</v>
      </c>
      <c r="AQ20" s="13">
        <f t="shared" si="85"/>
        <v>16109.29</v>
      </c>
      <c r="AR20" s="13">
        <f t="shared" si="85"/>
        <v>16109.09</v>
      </c>
      <c r="AS20" s="13">
        <f t="shared" si="85"/>
        <v>81002.45</v>
      </c>
      <c r="AT20" s="68">
        <f>AM20-AS20</f>
        <v>-1002.4499999999971</v>
      </c>
      <c r="AU20" s="268">
        <f t="shared" si="67"/>
        <v>1.0125306249999999</v>
      </c>
      <c r="AV20" s="13">
        <f t="shared" si="44"/>
        <v>64000</v>
      </c>
      <c r="AW20" s="13">
        <f t="shared" si="86"/>
        <v>15709.49</v>
      </c>
      <c r="AX20" s="13">
        <f t="shared" si="86"/>
        <v>16564.09</v>
      </c>
      <c r="AY20" s="13">
        <f t="shared" si="86"/>
        <v>14154.89</v>
      </c>
      <c r="AZ20" s="13">
        <f t="shared" si="86"/>
        <v>16392.490000000002</v>
      </c>
      <c r="BA20" s="13">
        <f t="shared" si="45"/>
        <v>62820.960000000006</v>
      </c>
      <c r="BB20" s="68">
        <f t="shared" si="68"/>
        <v>1179.0399999999936</v>
      </c>
      <c r="BC20" s="268">
        <f t="shared" si="69"/>
        <v>0.9815775000000001</v>
      </c>
      <c r="BD20" s="13">
        <f t="shared" si="46"/>
        <v>64000</v>
      </c>
      <c r="BE20" s="13">
        <f>SUMIFS(SALIDAS_BIT,FECHA_BIT,"&gt;="&amp;BE$2,FECHA_BIT,"&lt;="&amp;BE$3,CLAVE_BIT,$A20)+SUMIFS(SALIDAS_BOV1,FECHA_BOV1,"&gt;="&amp;BE$2,FECHA_BOV1,"&lt;="&amp;BE$3,CLAVE_BOV1,$A20)+SUMIFS(SALIDAS_BOV2,FECHA_BOV2,"&gt;="&amp;BE$2,FECHA_BOV2,"&lt;="&amp;BE$3,CLAVE_BOV2,$A20)+SUMIFS(SALIDAS_BOV3,FECHA_BOV3,"&gt;="&amp;BE$2,FECHA_BOV3,"&lt;="&amp;BE$3,CLAVE_BOV3,$A20)+SUMIFS(SALIDAS_TC,FECHA_TC,"&gt;="&amp;BE$2,FECHA_TC,"&lt;="&amp;BE$3,CLAVE_TC,$A20)+SUMIFS(SALIDAS_COMB,FECHA_COMB,"&gt;="&amp;BE$2,FECHA_COMB,"&lt;="&amp;BE$3,CLAVE_COMB,$A20)+SUMIFS(SALIDAS_DES,FECHA_DESGLOSEN,"&gt;="&amp;BE$2,FECHA_DESGLOSEN,"&lt;="&amp;BE$3,CLAVE_DESGLOSE,$A20)</f>
        <v>15325.29</v>
      </c>
      <c r="BF20" s="13">
        <f>SUMIFS(SALIDAS_BIT,FECHA_BIT,"&gt;="&amp;BF$2,FECHA_BIT,"&lt;="&amp;BF$3,CLAVE_BIT,$A20)+SUMIFS(SALIDAS_BOV1,FECHA_BOV1,"&gt;="&amp;BF$2,FECHA_BOV1,"&lt;="&amp;BF$3,CLAVE_BOV1,$A20)+SUMIFS(SALIDAS_BOV2,FECHA_BOV2,"&gt;="&amp;BF$2,FECHA_BOV2,"&lt;="&amp;BF$3,CLAVE_BOV2,$A20)+SUMIFS(SALIDAS_BOV3,FECHA_BOV3,"&gt;="&amp;BF$2,FECHA_BOV3,"&lt;="&amp;BF$3,CLAVE_BOV3,$A20)+SUMIFS(SALIDAS_TC,FECHA_TC,"&gt;="&amp;BF$2,FECHA_TC,"&lt;="&amp;BF$3,CLAVE_TC,$A20)+SUMIFS(SALIDAS_COMB,FECHA_COMB,"&gt;="&amp;BF$2,FECHA_COMB,"&lt;="&amp;BF$3,CLAVE_COMB,$A20)+SUMIFS(SALIDAS_DES,FECHA_DESGLOSEN,"&gt;="&amp;BF$2,FECHA_DESGLOSEN,"&lt;="&amp;BF$3,CLAVE_DESGLOSE,$A20)</f>
        <v>15677.69</v>
      </c>
      <c r="BG20" s="13">
        <f>SUMIFS(SALIDAS_BIT,FECHA_BIT,"&gt;="&amp;BG$2,FECHA_BIT,"&lt;="&amp;BG$3,CLAVE_BIT,$A20)+SUMIFS(SALIDAS_BOV1,FECHA_BOV1,"&gt;="&amp;BG$2,FECHA_BOV1,"&lt;="&amp;BG$3,CLAVE_BOV1,$A20)+SUMIFS(SALIDAS_BOV2,FECHA_BOV2,"&gt;="&amp;BG$2,FECHA_BOV2,"&lt;="&amp;BG$3,CLAVE_BOV2,$A20)+SUMIFS(SALIDAS_BOV3,FECHA_BOV3,"&gt;="&amp;BG$2,FECHA_BOV3,"&lt;="&amp;BG$3,CLAVE_BOV3,$A20)+SUMIFS(SALIDAS_TC,FECHA_TC,"&gt;="&amp;BG$2,FECHA_TC,"&lt;="&amp;BG$3,CLAVE_TC,$A20)+SUMIFS(SALIDAS_COMB,FECHA_COMB,"&gt;="&amp;BG$2,FECHA_COMB,"&lt;="&amp;BG$3,CLAVE_COMB,$A20)+SUMIFS(SALIDAS_DES,FECHA_DESGLOSEN,"&gt;="&amp;BG$2,FECHA_DESGLOSEN,"&lt;="&amp;BG$3,CLAVE_DESGLOSE,$A20)</f>
        <v>14367.09</v>
      </c>
      <c r="BH20" s="13">
        <f>SUMIFS(SALIDAS_BIT,FECHA_BIT,"&gt;="&amp;BH$2,FECHA_BIT,"&lt;="&amp;BH$3,CLAVE_BIT,$A20)+SUMIFS(SALIDAS_BOV1,FECHA_BOV1,"&gt;="&amp;BH$2,FECHA_BOV1,"&lt;="&amp;BH$3,CLAVE_BOV1,$A20)+SUMIFS(SALIDAS_BOV2,FECHA_BOV2,"&gt;="&amp;BH$2,FECHA_BOV2,"&lt;="&amp;BH$3,CLAVE_BOV2,$A20)+SUMIFS(SALIDAS_BOV3,FECHA_BOV3,"&gt;="&amp;BH$2,FECHA_BOV3,"&lt;="&amp;BH$3,CLAVE_BOV3,$A20)+SUMIFS(SALIDAS_TC,FECHA_TC,"&gt;="&amp;BH$2,FECHA_TC,"&lt;="&amp;BH$3,CLAVE_TC,$A20)+SUMIFS(SALIDAS_COMB,FECHA_COMB,"&gt;="&amp;BH$2,FECHA_COMB,"&lt;="&amp;BH$3,CLAVE_COMB,$A20)+SUMIFS(SALIDAS_DES,FECHA_DESGLOSEN,"&gt;="&amp;BH$2,FECHA_DESGLOSEN,"&lt;="&amp;BH$3,CLAVE_DESGLOSE,$A20)</f>
        <v>15018.29</v>
      </c>
      <c r="BI20" s="13">
        <f>SUMIFS(SALIDAS_BIT,FECHA_BIT,"&gt;="&amp;BI$2,FECHA_BIT,"&lt;="&amp;BI$3,CLAVE_BIT,$A20)+SUMIFS(SALIDAS_BOV1,FECHA_BOV1,"&gt;="&amp;BI$2,FECHA_BOV1,"&lt;="&amp;BI$3,CLAVE_BOV1,$A20)+SUMIFS(SALIDAS_BOV2,FECHA_BOV2,"&gt;="&amp;BI$2,FECHA_BOV2,"&lt;="&amp;BI$3,CLAVE_BOV2,$A20)+SUMIFS(SALIDAS_BOV3,FECHA_BOV3,"&gt;="&amp;BI$2,FECHA_BOV3,"&lt;="&amp;BI$3,CLAVE_BOV3,$A20)+SUMIFS(SALIDAS_TC,FECHA_TC,"&gt;="&amp;BI$2,FECHA_TC,"&lt;="&amp;BI$3,CLAVE_TC,$A20)+SUMIFS(SALIDAS_COMB,FECHA_COMB,"&gt;="&amp;BI$2,FECHA_COMB,"&lt;="&amp;BI$3,CLAVE_COMB,$A20)+SUMIFS(SALIDAS_DES,FECHA_DESGLOSEN,"&gt;="&amp;BI$2,FECHA_DESGLOSEN,"&lt;="&amp;BI$3,CLAVE_DESGLOSE,$A20)</f>
        <v>60388.360000000008</v>
      </c>
      <c r="BJ20" s="68">
        <f t="shared" si="70"/>
        <v>3611.6399999999921</v>
      </c>
      <c r="BK20" s="268">
        <f t="shared" si="71"/>
        <v>0.94356812500000009</v>
      </c>
      <c r="BL20" s="13">
        <f t="shared" si="47"/>
        <v>80000</v>
      </c>
      <c r="BM20" s="13">
        <f>SUMIFS(SALIDAS_BIT,FECHA_BIT,"&gt;="&amp;BM$2,FECHA_BIT,"&lt;="&amp;BM$3,CLAVE_BIT,$A20)+SUMIFS(SALIDAS_BOV1,FECHA_BOV1,"&gt;="&amp;BM$2,FECHA_BOV1,"&lt;="&amp;BM$3,CLAVE_BOV1,$A20)+SUMIFS(SALIDAS_BOV2,FECHA_BOV2,"&gt;="&amp;BM$2,FECHA_BOV2,"&lt;="&amp;BM$3,CLAVE_BOV2,$A20)+SUMIFS(SALIDAS_BOV3,FECHA_BOV3,"&gt;="&amp;BM$2,FECHA_BOV3,"&lt;="&amp;BM$3,CLAVE_BOV3,$A20)+SUMIFS(SALIDAS_TC,FECHA_TC,"&gt;="&amp;BM$2,FECHA_TC,"&lt;="&amp;BM$3,CLAVE_TC,$A20)+SUMIFS(SALIDAS_COMB,FECHA_COMB,"&gt;="&amp;BM$2,FECHA_COMB,"&lt;="&amp;BM$3,CLAVE_COMB,$A20)+SUMIFS(SALIDAS_DES,FECHA_DESGLOSEN,"&gt;="&amp;BM$2,FECHA_DESGLOSEN,"&lt;="&amp;BM$3,CLAVE_DESGLOSE,$A20)</f>
        <v>15496.09</v>
      </c>
      <c r="BN20" s="13">
        <f>SUMIFS(SALIDAS_BIT,FECHA_BIT,"&gt;="&amp;BN$2,FECHA_BIT,"&lt;="&amp;BN$3,CLAVE_BIT,$A20)+SUMIFS(SALIDAS_BOV1,FECHA_BOV1,"&gt;="&amp;BN$2,FECHA_BOV1,"&lt;="&amp;BN$3,CLAVE_BOV1,$A20)+SUMIFS(SALIDAS_BOV2,FECHA_BOV2,"&gt;="&amp;BN$2,FECHA_BOV2,"&lt;="&amp;BN$3,CLAVE_BOV2,$A20)+SUMIFS(SALIDAS_BOV3,FECHA_BOV3,"&gt;="&amp;BN$2,FECHA_BOV3,"&lt;="&amp;BN$3,CLAVE_BOV3,$A20)+SUMIFS(SALIDAS_TC,FECHA_TC,"&gt;="&amp;BN$2,FECHA_TC,"&lt;="&amp;BN$3,CLAVE_TC,$A20)+SUMIFS(SALIDAS_COMB,FECHA_COMB,"&gt;="&amp;BN$2,FECHA_COMB,"&lt;="&amp;BN$3,CLAVE_COMB,$A20)+SUMIFS(SALIDAS_DES,FECHA_DESGLOSEN,"&gt;="&amp;BN$2,FECHA_DESGLOSEN,"&lt;="&amp;BN$3,CLAVE_DESGLOSE,$A20)</f>
        <v>15755.89</v>
      </c>
      <c r="BO20" s="13">
        <f>SUMIFS(SALIDAS_BIT,FECHA_BIT,"&gt;="&amp;BO$2,FECHA_BIT,"&lt;="&amp;BO$3,CLAVE_BIT,$A20)+SUMIFS(SALIDAS_BOV1,FECHA_BOV1,"&gt;="&amp;BO$2,FECHA_BOV1,"&lt;="&amp;BO$3,CLAVE_BOV1,$A20)+SUMIFS(SALIDAS_BOV2,FECHA_BOV2,"&gt;="&amp;BO$2,FECHA_BOV2,"&lt;="&amp;BO$3,CLAVE_BOV2,$A20)+SUMIFS(SALIDAS_BOV3,FECHA_BOV3,"&gt;="&amp;BO$2,FECHA_BOV3,"&lt;="&amp;BO$3,CLAVE_BOV3,$A20)+SUMIFS(SALIDAS_TC,FECHA_TC,"&gt;="&amp;BO$2,FECHA_TC,"&lt;="&amp;BO$3,CLAVE_TC,$A20)+SUMIFS(SALIDAS_COMB,FECHA_COMB,"&gt;="&amp;BO$2,FECHA_COMB,"&lt;="&amp;BO$3,CLAVE_COMB,$A20)+SUMIFS(SALIDAS_DES,FECHA_DESGLOSEN,"&gt;="&amp;BO$2,FECHA_DESGLOSEN,"&lt;="&amp;BO$3,CLAVE_DESGLOSE,$A20)</f>
        <v>15877.29</v>
      </c>
      <c r="BP20" s="13">
        <f>SUMIFS(SALIDAS_BIT,FECHA_BIT,"&gt;="&amp;BP$2,FECHA_BIT,"&lt;="&amp;BP$3,CLAVE_BIT,$A20)+SUMIFS(SALIDAS_BOV1,FECHA_BOV1,"&gt;="&amp;BP$2,FECHA_BOV1,"&lt;="&amp;BP$3,CLAVE_BOV1,$A20)+SUMIFS(SALIDAS_BOV2,FECHA_BOV2,"&gt;="&amp;BP$2,FECHA_BOV2,"&lt;="&amp;BP$3,CLAVE_BOV2,$A20)+SUMIFS(SALIDAS_BOV3,FECHA_BOV3,"&gt;="&amp;BP$2,FECHA_BOV3,"&lt;="&amp;BP$3,CLAVE_BOV3,$A20)+SUMIFS(SALIDAS_TC,FECHA_TC,"&gt;="&amp;BP$2,FECHA_TC,"&lt;="&amp;BP$3,CLAVE_TC,$A20)+SUMIFS(SALIDAS_COMB,FECHA_COMB,"&gt;="&amp;BP$2,FECHA_COMB,"&lt;="&amp;BP$3,CLAVE_COMB,$A20)+SUMIFS(SALIDAS_DES,FECHA_DESGLOSEN,"&gt;="&amp;BP$2,FECHA_DESGLOSEN,"&lt;="&amp;BP$3,CLAVE_DESGLOSE,$A20)</f>
        <v>19233.29</v>
      </c>
      <c r="BQ20" s="13">
        <f>SUMIFS(SALIDAS_BIT,FECHA_BIT,"&gt;="&amp;BQ$2,FECHA_BIT,"&lt;="&amp;BQ$3,CLAVE_BIT,$A20)+SUMIFS(SALIDAS_BOV1,FECHA_BOV1,"&gt;="&amp;BQ$2,FECHA_BOV1,"&lt;="&amp;BQ$3,CLAVE_BOV1,$A20)+SUMIFS(SALIDAS_BOV2,FECHA_BOV2,"&gt;="&amp;BQ$2,FECHA_BOV2,"&lt;="&amp;BQ$3,CLAVE_BOV2,$A20)+SUMIFS(SALIDAS_BOV3,FECHA_BOV3,"&gt;="&amp;BQ$2,FECHA_BOV3,"&lt;="&amp;BQ$3,CLAVE_BOV3,$A20)+SUMIFS(SALIDAS_TC,FECHA_TC,"&gt;="&amp;BQ$2,FECHA_TC,"&lt;="&amp;BQ$3,CLAVE_TC,$A20)+SUMIFS(SALIDAS_COMB,FECHA_COMB,"&gt;="&amp;BQ$2,FECHA_COMB,"&lt;="&amp;BQ$3,CLAVE_COMB,$A20)+SUMIFS(SALIDAS_DES,FECHA_DESGLOSEN,"&gt;="&amp;BQ$2,FECHA_DESGLOSEN,"&lt;="&amp;BQ$3,CLAVE_DESGLOSE,$A20)</f>
        <v>14020.89</v>
      </c>
      <c r="BR20" s="13">
        <f>SUMIFS(SALIDAS_BIT,FECHA_BIT,"&gt;="&amp;BR$2,FECHA_BIT,"&lt;="&amp;BR$3,CLAVE_BIT,$A20)+SUMIFS(SALIDAS_BOV1,FECHA_BOV1,"&gt;="&amp;BR$2,FECHA_BOV1,"&lt;="&amp;BR$3,CLAVE_BOV1,$A20)+SUMIFS(SALIDAS_BOV2,FECHA_BOV2,"&gt;="&amp;BR$2,FECHA_BOV2,"&lt;="&amp;BR$3,CLAVE_BOV2,$A20)+SUMIFS(SALIDAS_BOV3,FECHA_BOV3,"&gt;="&amp;BR$2,FECHA_BOV3,"&lt;="&amp;BR$3,CLAVE_BOV3,$A20)+SUMIFS(SALIDAS_TC,FECHA_TC,"&gt;="&amp;BR$2,FECHA_TC,"&lt;="&amp;BR$3,CLAVE_TC,$A20)+SUMIFS(SALIDAS_COMB,FECHA_COMB,"&gt;="&amp;BR$2,FECHA_COMB,"&lt;="&amp;BR$3,CLAVE_COMB,$A20)+SUMIFS(SALIDAS_DES,FECHA_DESGLOSEN,"&gt;="&amp;BR$2,FECHA_DESGLOSEN,"&lt;="&amp;BR$3,CLAVE_DESGLOSE,$A20)</f>
        <v>80383.45</v>
      </c>
      <c r="BS20" s="68">
        <f t="shared" si="72"/>
        <v>-383.44999999999709</v>
      </c>
      <c r="BT20" s="268">
        <f t="shared" si="73"/>
        <v>1.004793125</v>
      </c>
      <c r="BU20" s="13">
        <f t="shared" si="49"/>
        <v>64000</v>
      </c>
      <c r="BV20" s="13">
        <f t="shared" si="50"/>
        <v>15496.09</v>
      </c>
      <c r="BW20" s="13">
        <f t="shared" si="50"/>
        <v>15496.09</v>
      </c>
      <c r="BX20" s="13">
        <f t="shared" si="50"/>
        <v>16565.490000000002</v>
      </c>
      <c r="BY20" s="13">
        <f t="shared" si="50"/>
        <v>16383.49</v>
      </c>
      <c r="BZ20" s="13">
        <f t="shared" si="87"/>
        <v>63941.159999999996</v>
      </c>
      <c r="CA20" s="68">
        <f t="shared" si="74"/>
        <v>58.840000000003783</v>
      </c>
      <c r="CB20" s="268">
        <f t="shared" si="75"/>
        <v>0.99908062499999994</v>
      </c>
      <c r="CC20" s="13">
        <f t="shared" si="51"/>
        <v>64000</v>
      </c>
      <c r="CD20" s="13">
        <f t="shared" si="52"/>
        <v>16733.689999999999</v>
      </c>
      <c r="CE20" s="13">
        <f t="shared" si="52"/>
        <v>16561.689999999999</v>
      </c>
      <c r="CF20" s="13">
        <f t="shared" si="52"/>
        <v>21556.49</v>
      </c>
      <c r="CG20" s="13">
        <f t="shared" si="52"/>
        <v>16718.29</v>
      </c>
      <c r="CH20" s="13">
        <f t="shared" si="88"/>
        <v>71570.16</v>
      </c>
      <c r="CI20" s="68">
        <f t="shared" si="76"/>
        <v>-7570.1600000000035</v>
      </c>
      <c r="CJ20" s="268">
        <f t="shared" si="77"/>
        <v>1.11828375</v>
      </c>
      <c r="CK20" s="13">
        <f t="shared" si="53"/>
        <v>106047</v>
      </c>
      <c r="CL20" s="13">
        <f t="shared" si="54"/>
        <v>17374.89</v>
      </c>
      <c r="CM20" s="13">
        <f t="shared" si="54"/>
        <v>16809.29</v>
      </c>
      <c r="CN20" s="13">
        <f t="shared" si="54"/>
        <v>26176.29</v>
      </c>
      <c r="CO20" s="13">
        <f t="shared" si="54"/>
        <v>33756.089999999997</v>
      </c>
      <c r="CP20" s="13">
        <f t="shared" si="54"/>
        <v>18678.89</v>
      </c>
      <c r="CQ20" s="13">
        <f t="shared" si="89"/>
        <v>112795.45</v>
      </c>
      <c r="CR20" s="68">
        <f t="shared" si="78"/>
        <v>-6748.4499999999971</v>
      </c>
      <c r="CS20" s="268">
        <f t="shared" si="79"/>
        <v>1.0636364064990051</v>
      </c>
      <c r="CT20" s="68">
        <f t="shared" si="55"/>
        <v>72253</v>
      </c>
      <c r="CU20" s="13">
        <f>SUMIFS(SALIDAS_BIT,FECHA_BIT,"&gt;="&amp;CU$2,FECHA_BIT,"&lt;="&amp;CU$3,CLAVE_BIT,$A20)+SUMIFS(SALIDAS_BOV1,FECHA_BOV1,"&gt;="&amp;CU$2,FECHA_BOV1,"&lt;="&amp;CU$3,CLAVE_BOV1,$A20)+SUMIFS(SALIDAS_BOV2,FECHA_BOV2,"&gt;="&amp;CU$2,FECHA_BOV2,"&lt;="&amp;CU$3,CLAVE_BOV2,$A20)+SUMIFS(SALIDAS_BOV3,FECHA_BOV3,"&gt;="&amp;CU$2,FECHA_BOV3,"&lt;="&amp;CU$3,CLAVE_BOV3,$A20)+SUMIFS(SALIDAS_TC,FECHA_TC,"&gt;="&amp;CU$2,FECHA_TC,"&lt;="&amp;CU$3,CLAVE_TC,$A20)+SUMIFS(SALIDAS_COMB,FECHA_COMB,"&gt;="&amp;CU$2,FECHA_COMB,"&lt;="&amp;CU$3,CLAVE_COMB,$A20)+SUMIFS(SALIDAS_DES,FECHA_DESGLOSEN,"&gt;="&amp;CU$2,FECHA_DESGLOSEN,"&lt;="&amp;CU$3,CLAVE_DESGLOSE,$A20)</f>
        <v>18520.89</v>
      </c>
      <c r="CV20" s="13">
        <f>SUMIFS(SALIDAS_BIT,FECHA_BIT,"&gt;="&amp;CV$2,FECHA_BIT,"&lt;="&amp;CV$3,CLAVE_BIT,$A20)+SUMIFS(SALIDAS_BOV1,FECHA_BOV1,"&gt;="&amp;CV$2,FECHA_BOV1,"&lt;="&amp;CV$3,CLAVE_BOV1,$A20)+SUMIFS(SALIDAS_BOV2,FECHA_BOV2,"&gt;="&amp;CV$2,FECHA_BOV2,"&lt;="&amp;CV$3,CLAVE_BOV2,$A20)+SUMIFS(SALIDAS_BOV3,FECHA_BOV3,"&gt;="&amp;CV$2,FECHA_BOV3,"&lt;="&amp;CV$3,CLAVE_BOV3,$A20)+SUMIFS(SALIDAS_TC,FECHA_TC,"&gt;="&amp;CV$2,FECHA_TC,"&lt;="&amp;CV$3,CLAVE_TC,$A20)+SUMIFS(SALIDAS_COMB,FECHA_COMB,"&gt;="&amp;CV$2,FECHA_COMB,"&lt;="&amp;CV$3,CLAVE_COMB,$A20)+SUMIFS(SALIDAS_DES,FECHA_DESGLOSEN,"&gt;="&amp;CV$2,FECHA_DESGLOSEN,"&lt;="&amp;CV$3,CLAVE_DESGLOSE,$A20)</f>
        <v>16564.89</v>
      </c>
      <c r="CW20" s="13">
        <f>SUMIFS(SALIDAS_BIT,FECHA_BIT,"&gt;="&amp;CW$2,FECHA_BIT,"&lt;="&amp;CW$3,CLAVE_BIT,$A20)+SUMIFS(SALIDAS_BOV1,FECHA_BOV1,"&gt;="&amp;CW$2,FECHA_BOV1,"&lt;="&amp;CW$3,CLAVE_BOV1,$A20)+SUMIFS(SALIDAS_BOV2,FECHA_BOV2,"&gt;="&amp;CW$2,FECHA_BOV2,"&lt;="&amp;CW$3,CLAVE_BOV2,$A20)+SUMIFS(SALIDAS_BOV3,FECHA_BOV3,"&gt;="&amp;CW$2,FECHA_BOV3,"&lt;="&amp;CW$3,CLAVE_BOV3,$A20)+SUMIFS(SALIDAS_TC,FECHA_TC,"&gt;="&amp;CW$2,FECHA_TC,"&lt;="&amp;CW$3,CLAVE_TC,$A20)+SUMIFS(SALIDAS_COMB,FECHA_COMB,"&gt;="&amp;CW$2,FECHA_COMB,"&lt;="&amp;CW$3,CLAVE_COMB,$A20)+SUMIFS(SALIDAS_DES,FECHA_DESGLOSEN,"&gt;="&amp;CW$2,FECHA_DESGLOSEN,"&lt;="&amp;CW$3,CLAVE_DESGLOSE,$A20)</f>
        <v>17262.96</v>
      </c>
      <c r="CX20" s="13">
        <f>SUMIFS(SALIDAS_BIT,FECHA_BIT,"&gt;="&amp;CX$2,FECHA_BIT,"&lt;="&amp;CX$3,CLAVE_BIT,$A20)+SUMIFS(SALIDAS_BOV1,FECHA_BOV1,"&gt;="&amp;CX$2,FECHA_BOV1,"&lt;="&amp;CX$3,CLAVE_BOV1,$A20)+SUMIFS(SALIDAS_BOV2,FECHA_BOV2,"&gt;="&amp;CX$2,FECHA_BOV2,"&lt;="&amp;CX$3,CLAVE_BOV2,$A20)+SUMIFS(SALIDAS_BOV3,FECHA_BOV3,"&gt;="&amp;CX$2,FECHA_BOV3,"&lt;="&amp;CX$3,CLAVE_BOV3,$A20)+SUMIFS(SALIDAS_TC,FECHA_TC,"&gt;="&amp;CX$2,FECHA_TC,"&lt;="&amp;CX$3,CLAVE_TC,$A20)+SUMIFS(SALIDAS_COMB,FECHA_COMB,"&gt;="&amp;CX$2,FECHA_COMB,"&lt;="&amp;CX$3,CLAVE_COMB,$A20)+SUMIFS(SALIDAS_DES,FECHA_DESGLOSEN,"&gt;="&amp;CX$2,FECHA_DESGLOSEN,"&lt;="&amp;CX$3,CLAVE_DESGLOSE,$A20)</f>
        <v>17427.89</v>
      </c>
      <c r="CY20" s="13">
        <f>SUMIFS(SALIDAS_BIT,FECHA_BIT,"&gt;="&amp;CY$2,FECHA_BIT,"&lt;="&amp;CY$3,CLAVE_BIT,$A20)+SUMIFS(SALIDAS_BOV1,FECHA_BOV1,"&gt;="&amp;CY$2,FECHA_BOV1,"&lt;="&amp;CY$3,CLAVE_BOV1,$A20)+SUMIFS(SALIDAS_BOV2,FECHA_BOV2,"&gt;="&amp;CY$2,FECHA_BOV2,"&lt;="&amp;CY$3,CLAVE_BOV2,$A20)+SUMIFS(SALIDAS_BOV3,FECHA_BOV3,"&gt;="&amp;CY$2,FECHA_BOV3,"&lt;="&amp;CY$3,CLAVE_BOV3,$A20)+SUMIFS(SALIDAS_TC,FECHA_TC,"&gt;="&amp;CY$2,FECHA_TC,"&lt;="&amp;CY$3,CLAVE_TC,$A20)+SUMIFS(SALIDAS_COMB,FECHA_COMB,"&gt;="&amp;CY$2,FECHA_COMB,"&lt;="&amp;CY$3,CLAVE_COMB,$A20)+SUMIFS(SALIDAS_DES,FECHA_DESGLOSEN,"&gt;="&amp;CY$2,FECHA_DESGLOSEN,"&lt;="&amp;CY$3,CLAVE_DESGLOSE,$A20)</f>
        <v>69776.63</v>
      </c>
      <c r="CZ20" s="68">
        <f t="shared" si="80"/>
        <v>2476.3699999999953</v>
      </c>
      <c r="DB20" s="17">
        <f>F20+N20+W20+AE20+AM20+AV20+BD20+BL20+BU20+CC20+CK20</f>
        <v>779551</v>
      </c>
      <c r="DC20" s="17">
        <f>K20+T20+AB20+AJ20+AS20+BA20+BI20+BR20+BZ20+CH20+CQ20</f>
        <v>796452.14</v>
      </c>
    </row>
    <row r="21" spans="1:107" hidden="1">
      <c r="A21" s="12" t="str">
        <f t="shared" si="57"/>
        <v>HRNOMINA SUCURSALA17</v>
      </c>
      <c r="B21" s="12">
        <v>15</v>
      </c>
      <c r="C21" t="s">
        <v>29</v>
      </c>
      <c r="D21" s="12" t="s">
        <v>154</v>
      </c>
      <c r="E21" s="12" t="s">
        <v>102</v>
      </c>
      <c r="F21" s="259">
        <f t="shared" si="58"/>
        <v>66037</v>
      </c>
      <c r="G21" s="13">
        <f t="shared" si="81"/>
        <v>11494.6</v>
      </c>
      <c r="H21" s="13">
        <f t="shared" si="81"/>
        <v>11524.4</v>
      </c>
      <c r="I21" s="13">
        <f t="shared" si="81"/>
        <v>10235.4</v>
      </c>
      <c r="J21" s="13">
        <f t="shared" si="81"/>
        <v>10061.6</v>
      </c>
      <c r="K21" s="13">
        <f t="shared" si="81"/>
        <v>43316</v>
      </c>
      <c r="L21" s="68">
        <f t="shared" si="59"/>
        <v>22721</v>
      </c>
      <c r="M21" s="268">
        <f t="shared" si="60"/>
        <v>0.6559353089934431</v>
      </c>
      <c r="N21" s="13">
        <f t="shared" si="36"/>
        <v>60000</v>
      </c>
      <c r="O21" s="13">
        <f t="shared" si="82"/>
        <v>10494.8</v>
      </c>
      <c r="P21" s="13">
        <f t="shared" si="82"/>
        <v>9744.7999999999993</v>
      </c>
      <c r="Q21" s="13">
        <f t="shared" si="82"/>
        <v>11895.6</v>
      </c>
      <c r="R21" s="13">
        <f t="shared" si="82"/>
        <v>10971.4</v>
      </c>
      <c r="S21" s="13">
        <f t="shared" si="82"/>
        <v>10456.6</v>
      </c>
      <c r="T21" s="13">
        <f t="shared" si="82"/>
        <v>53563.199999999997</v>
      </c>
      <c r="U21" s="68">
        <f t="shared" si="61"/>
        <v>6436.8000000000029</v>
      </c>
      <c r="V21" s="268">
        <f t="shared" si="62"/>
        <v>0.89271999999999996</v>
      </c>
      <c r="W21" s="13">
        <f t="shared" si="38"/>
        <v>48000</v>
      </c>
      <c r="X21" s="13">
        <f t="shared" si="83"/>
        <v>10790.2</v>
      </c>
      <c r="Y21" s="13">
        <f t="shared" si="83"/>
        <v>10573</v>
      </c>
      <c r="Z21" s="13">
        <f t="shared" si="83"/>
        <v>8403.6</v>
      </c>
      <c r="AA21" s="13">
        <f t="shared" si="83"/>
        <v>12078.2</v>
      </c>
      <c r="AB21" s="13">
        <f t="shared" si="83"/>
        <v>41845</v>
      </c>
      <c r="AC21" s="68">
        <f t="shared" si="63"/>
        <v>6155</v>
      </c>
      <c r="AD21" s="268">
        <f t="shared" si="64"/>
        <v>0.87177083333333338</v>
      </c>
      <c r="AE21" s="13">
        <f t="shared" si="40"/>
        <v>48000</v>
      </c>
      <c r="AF21" s="13">
        <f t="shared" si="84"/>
        <v>13314</v>
      </c>
      <c r="AG21" s="13">
        <f t="shared" si="84"/>
        <v>11547</v>
      </c>
      <c r="AH21" s="13">
        <f t="shared" si="84"/>
        <v>12552</v>
      </c>
      <c r="AI21" s="13">
        <f t="shared" si="84"/>
        <v>11836.8</v>
      </c>
      <c r="AJ21" s="13">
        <f t="shared" si="84"/>
        <v>49249.8</v>
      </c>
      <c r="AK21" s="68">
        <f t="shared" si="65"/>
        <v>-1249.8000000000029</v>
      </c>
      <c r="AL21" s="268">
        <f t="shared" si="66"/>
        <v>1.0260375000000002</v>
      </c>
      <c r="AM21" s="13">
        <f t="shared" si="42"/>
        <v>60000</v>
      </c>
      <c r="AN21" s="13">
        <f t="shared" si="85"/>
        <v>12494.8</v>
      </c>
      <c r="AO21" s="13">
        <f t="shared" si="85"/>
        <v>12323.6</v>
      </c>
      <c r="AP21" s="13">
        <f t="shared" si="85"/>
        <v>10190.799999999999</v>
      </c>
      <c r="AQ21" s="13">
        <f t="shared" si="85"/>
        <v>3900.6</v>
      </c>
      <c r="AR21" s="13">
        <f t="shared" si="85"/>
        <v>10764.69</v>
      </c>
      <c r="AS21" s="13">
        <f t="shared" si="85"/>
        <v>49674.49</v>
      </c>
      <c r="AT21" s="68">
        <f>AM21-AS21</f>
        <v>10325.510000000002</v>
      </c>
      <c r="AU21" s="268">
        <f t="shared" si="67"/>
        <v>0.82790816666666667</v>
      </c>
      <c r="AV21" s="13">
        <f t="shared" si="44"/>
        <v>48000</v>
      </c>
      <c r="AW21" s="13">
        <f t="shared" si="86"/>
        <v>12338.49</v>
      </c>
      <c r="AX21" s="13">
        <f t="shared" si="86"/>
        <v>11133.29</v>
      </c>
      <c r="AY21" s="13">
        <f t="shared" si="86"/>
        <v>6028.2</v>
      </c>
      <c r="AZ21" s="13">
        <f t="shared" si="86"/>
        <v>8983.7999999999993</v>
      </c>
      <c r="BA21" s="13">
        <f t="shared" si="45"/>
        <v>38483.78</v>
      </c>
      <c r="BB21" s="68">
        <f t="shared" si="68"/>
        <v>9516.2200000000012</v>
      </c>
      <c r="BC21" s="268">
        <f t="shared" si="69"/>
        <v>0.80174541666666665</v>
      </c>
      <c r="BD21" s="13">
        <f t="shared" si="46"/>
        <v>48000</v>
      </c>
      <c r="BE21" s="13">
        <f>SUMIFS(SALIDAS_BIT,FECHA_BIT,"&gt;="&amp;BE$2,FECHA_BIT,"&lt;="&amp;BE$3,CLAVE_BIT,$A21)+SUMIFS(SALIDAS_BOV1,FECHA_BOV1,"&gt;="&amp;BE$2,FECHA_BOV1,"&lt;="&amp;BE$3,CLAVE_BOV1,$A21)+SUMIFS(SALIDAS_BOV2,FECHA_BOV2,"&gt;="&amp;BE$2,FECHA_BOV2,"&lt;="&amp;BE$3,CLAVE_BOV2,$A21)+SUMIFS(SALIDAS_BOV3,FECHA_BOV3,"&gt;="&amp;BE$2,FECHA_BOV3,"&lt;="&amp;BE$3,CLAVE_BOV3,$A21)+SUMIFS(SALIDAS_TC,FECHA_TC,"&gt;="&amp;BE$2,FECHA_TC,"&lt;="&amp;BE$3,CLAVE_TC,$A21)+SUMIFS(SALIDAS_COMB,FECHA_COMB,"&gt;="&amp;BE$2,FECHA_COMB,"&lt;="&amp;BE$3,CLAVE_COMB,$A21)+SUMIFS(SALIDAS_DES,FECHA_DESGLOSEN,"&gt;="&amp;BE$2,FECHA_DESGLOSEN,"&lt;="&amp;BE$3,CLAVE_DESGLOSE,$A21)</f>
        <v>9540.6</v>
      </c>
      <c r="BF21" s="13">
        <f>SUMIFS(SALIDAS_BIT,FECHA_BIT,"&gt;="&amp;BF$2,FECHA_BIT,"&lt;="&amp;BF$3,CLAVE_BIT,$A21)+SUMIFS(SALIDAS_BOV1,FECHA_BOV1,"&gt;="&amp;BF$2,FECHA_BOV1,"&lt;="&amp;BF$3,CLAVE_BOV1,$A21)+SUMIFS(SALIDAS_BOV2,FECHA_BOV2,"&gt;="&amp;BF$2,FECHA_BOV2,"&lt;="&amp;BF$3,CLAVE_BOV2,$A21)+SUMIFS(SALIDAS_BOV3,FECHA_BOV3,"&gt;="&amp;BF$2,FECHA_BOV3,"&lt;="&amp;BF$3,CLAVE_BOV3,$A21)+SUMIFS(SALIDAS_TC,FECHA_TC,"&gt;="&amp;BF$2,FECHA_TC,"&lt;="&amp;BF$3,CLAVE_TC,$A21)+SUMIFS(SALIDAS_COMB,FECHA_COMB,"&gt;="&amp;BF$2,FECHA_COMB,"&lt;="&amp;BF$3,CLAVE_COMB,$A21)+SUMIFS(SALIDAS_DES,FECHA_DESGLOSEN,"&gt;="&amp;BF$2,FECHA_DESGLOSEN,"&lt;="&amp;BF$3,CLAVE_DESGLOSE,$A21)</f>
        <v>7791</v>
      </c>
      <c r="BG21" s="13">
        <f>SUMIFS(SALIDAS_BIT,FECHA_BIT,"&gt;="&amp;BG$2,FECHA_BIT,"&lt;="&amp;BG$3,CLAVE_BIT,$A21)+SUMIFS(SALIDAS_BOV1,FECHA_BOV1,"&gt;="&amp;BG$2,FECHA_BOV1,"&lt;="&amp;BG$3,CLAVE_BOV1,$A21)+SUMIFS(SALIDAS_BOV2,FECHA_BOV2,"&gt;="&amp;BG$2,FECHA_BOV2,"&lt;="&amp;BG$3,CLAVE_BOV2,$A21)+SUMIFS(SALIDAS_BOV3,FECHA_BOV3,"&gt;="&amp;BG$2,FECHA_BOV3,"&lt;="&amp;BG$3,CLAVE_BOV3,$A21)+SUMIFS(SALIDAS_TC,FECHA_TC,"&gt;="&amp;BG$2,FECHA_TC,"&lt;="&amp;BG$3,CLAVE_TC,$A21)+SUMIFS(SALIDAS_COMB,FECHA_COMB,"&gt;="&amp;BG$2,FECHA_COMB,"&lt;="&amp;BG$3,CLAVE_COMB,$A21)+SUMIFS(SALIDAS_DES,FECHA_DESGLOSEN,"&gt;="&amp;BG$2,FECHA_DESGLOSEN,"&lt;="&amp;BG$3,CLAVE_DESGLOSE,$A21)</f>
        <v>8883.7999999999993</v>
      </c>
      <c r="BH21" s="13">
        <f>SUMIFS(SALIDAS_BIT,FECHA_BIT,"&gt;="&amp;BH$2,FECHA_BIT,"&lt;="&amp;BH$3,CLAVE_BIT,$A21)+SUMIFS(SALIDAS_BOV1,FECHA_BOV1,"&gt;="&amp;BH$2,FECHA_BOV1,"&lt;="&amp;BH$3,CLAVE_BOV1,$A21)+SUMIFS(SALIDAS_BOV2,FECHA_BOV2,"&gt;="&amp;BH$2,FECHA_BOV2,"&lt;="&amp;BH$3,CLAVE_BOV2,$A21)+SUMIFS(SALIDAS_BOV3,FECHA_BOV3,"&gt;="&amp;BH$2,FECHA_BOV3,"&lt;="&amp;BH$3,CLAVE_BOV3,$A21)+SUMIFS(SALIDAS_TC,FECHA_TC,"&gt;="&amp;BH$2,FECHA_TC,"&lt;="&amp;BH$3,CLAVE_TC,$A21)+SUMIFS(SALIDAS_COMB,FECHA_COMB,"&gt;="&amp;BH$2,FECHA_COMB,"&lt;="&amp;BH$3,CLAVE_COMB,$A21)+SUMIFS(SALIDAS_DES,FECHA_DESGLOSEN,"&gt;="&amp;BH$2,FECHA_DESGLOSEN,"&lt;="&amp;BH$3,CLAVE_DESGLOSE,$A21)</f>
        <v>7366.6</v>
      </c>
      <c r="BI21" s="13">
        <f>SUMIFS(SALIDAS_BIT,FECHA_BIT,"&gt;="&amp;BI$2,FECHA_BIT,"&lt;="&amp;BI$3,CLAVE_BIT,$A21)+SUMIFS(SALIDAS_BOV1,FECHA_BOV1,"&gt;="&amp;BI$2,FECHA_BOV1,"&lt;="&amp;BI$3,CLAVE_BOV1,$A21)+SUMIFS(SALIDAS_BOV2,FECHA_BOV2,"&gt;="&amp;BI$2,FECHA_BOV2,"&lt;="&amp;BI$3,CLAVE_BOV2,$A21)+SUMIFS(SALIDAS_BOV3,FECHA_BOV3,"&gt;="&amp;BI$2,FECHA_BOV3,"&lt;="&amp;BI$3,CLAVE_BOV3,$A21)+SUMIFS(SALIDAS_TC,FECHA_TC,"&gt;="&amp;BI$2,FECHA_TC,"&lt;="&amp;BI$3,CLAVE_TC,$A21)+SUMIFS(SALIDAS_COMB,FECHA_COMB,"&gt;="&amp;BI$2,FECHA_COMB,"&lt;="&amp;BI$3,CLAVE_COMB,$A21)+SUMIFS(SALIDAS_DES,FECHA_DESGLOSEN,"&gt;="&amp;BI$2,FECHA_DESGLOSEN,"&lt;="&amp;BI$3,CLAVE_DESGLOSE,$A21)</f>
        <v>33582</v>
      </c>
      <c r="BJ21" s="68">
        <f t="shared" si="70"/>
        <v>14418</v>
      </c>
      <c r="BK21" s="268">
        <f t="shared" si="71"/>
        <v>0.69962500000000005</v>
      </c>
      <c r="BL21" s="13">
        <f t="shared" si="47"/>
        <v>60000</v>
      </c>
      <c r="BM21" s="13">
        <f>SUMIFS(SALIDAS_BIT,FECHA_BIT,"&gt;="&amp;BM$2,FECHA_BIT,"&lt;="&amp;BM$3,CLAVE_BIT,$A21)+SUMIFS(SALIDAS_BOV1,FECHA_BOV1,"&gt;="&amp;BM$2,FECHA_BOV1,"&lt;="&amp;BM$3,CLAVE_BOV1,$A21)+SUMIFS(SALIDAS_BOV2,FECHA_BOV2,"&gt;="&amp;BM$2,FECHA_BOV2,"&lt;="&amp;BM$3,CLAVE_BOV2,$A21)+SUMIFS(SALIDAS_BOV3,FECHA_BOV3,"&gt;="&amp;BM$2,FECHA_BOV3,"&lt;="&amp;BM$3,CLAVE_BOV3,$A21)+SUMIFS(SALIDAS_TC,FECHA_TC,"&gt;="&amp;BM$2,FECHA_TC,"&lt;="&amp;BM$3,CLAVE_TC,$A21)+SUMIFS(SALIDAS_COMB,FECHA_COMB,"&gt;="&amp;BM$2,FECHA_COMB,"&lt;="&amp;BM$3,CLAVE_COMB,$A21)+SUMIFS(SALIDAS_DES,FECHA_DESGLOSEN,"&gt;="&amp;BM$2,FECHA_DESGLOSEN,"&lt;="&amp;BM$3,CLAVE_DESGLOSE,$A21)</f>
        <v>9577.4</v>
      </c>
      <c r="BN21" s="13">
        <f>SUMIFS(SALIDAS_BIT,FECHA_BIT,"&gt;="&amp;BN$2,FECHA_BIT,"&lt;="&amp;BN$3,CLAVE_BIT,$A21)+SUMIFS(SALIDAS_BOV1,FECHA_BOV1,"&gt;="&amp;BN$2,FECHA_BOV1,"&lt;="&amp;BN$3,CLAVE_BOV1,$A21)+SUMIFS(SALIDAS_BOV2,FECHA_BOV2,"&gt;="&amp;BN$2,FECHA_BOV2,"&lt;="&amp;BN$3,CLAVE_BOV2,$A21)+SUMIFS(SALIDAS_BOV3,FECHA_BOV3,"&gt;="&amp;BN$2,FECHA_BOV3,"&lt;="&amp;BN$3,CLAVE_BOV3,$A21)+SUMIFS(SALIDAS_TC,FECHA_TC,"&gt;="&amp;BN$2,FECHA_TC,"&lt;="&amp;BN$3,CLAVE_TC,$A21)+SUMIFS(SALIDAS_COMB,FECHA_COMB,"&gt;="&amp;BN$2,FECHA_COMB,"&lt;="&amp;BN$3,CLAVE_COMB,$A21)+SUMIFS(SALIDAS_DES,FECHA_DESGLOSEN,"&gt;="&amp;BN$2,FECHA_DESGLOSEN,"&lt;="&amp;BN$3,CLAVE_DESGLOSE,$A21)</f>
        <v>10157.799999999999</v>
      </c>
      <c r="BO21" s="13">
        <f>SUMIFS(SALIDAS_BIT,FECHA_BIT,"&gt;="&amp;BO$2,FECHA_BIT,"&lt;="&amp;BO$3,CLAVE_BIT,$A21)+SUMIFS(SALIDAS_BOV1,FECHA_BOV1,"&gt;="&amp;BO$2,FECHA_BOV1,"&lt;="&amp;BO$3,CLAVE_BOV1,$A21)+SUMIFS(SALIDAS_BOV2,FECHA_BOV2,"&gt;="&amp;BO$2,FECHA_BOV2,"&lt;="&amp;BO$3,CLAVE_BOV2,$A21)+SUMIFS(SALIDAS_BOV3,FECHA_BOV3,"&gt;="&amp;BO$2,FECHA_BOV3,"&lt;="&amp;BO$3,CLAVE_BOV3,$A21)+SUMIFS(SALIDAS_TC,FECHA_TC,"&gt;="&amp;BO$2,FECHA_TC,"&lt;="&amp;BO$3,CLAVE_TC,$A21)+SUMIFS(SALIDAS_COMB,FECHA_COMB,"&gt;="&amp;BO$2,FECHA_COMB,"&lt;="&amp;BO$3,CLAVE_COMB,$A21)+SUMIFS(SALIDAS_DES,FECHA_DESGLOSEN,"&gt;="&amp;BO$2,FECHA_DESGLOSEN,"&lt;="&amp;BO$3,CLAVE_DESGLOSE,$A21)</f>
        <v>10458.4</v>
      </c>
      <c r="BP21" s="13">
        <f>SUMIFS(SALIDAS_BIT,FECHA_BIT,"&gt;="&amp;BP$2,FECHA_BIT,"&lt;="&amp;BP$3,CLAVE_BIT,$A21)+SUMIFS(SALIDAS_BOV1,FECHA_BOV1,"&gt;="&amp;BP$2,FECHA_BOV1,"&lt;="&amp;BP$3,CLAVE_BOV1,$A21)+SUMIFS(SALIDAS_BOV2,FECHA_BOV2,"&gt;="&amp;BP$2,FECHA_BOV2,"&lt;="&amp;BP$3,CLAVE_BOV2,$A21)+SUMIFS(SALIDAS_BOV3,FECHA_BOV3,"&gt;="&amp;BP$2,FECHA_BOV3,"&lt;="&amp;BP$3,CLAVE_BOV3,$A21)+SUMIFS(SALIDAS_TC,FECHA_TC,"&gt;="&amp;BP$2,FECHA_TC,"&lt;="&amp;BP$3,CLAVE_TC,$A21)+SUMIFS(SALIDAS_COMB,FECHA_COMB,"&gt;="&amp;BP$2,FECHA_COMB,"&lt;="&amp;BP$3,CLAVE_COMB,$A21)+SUMIFS(SALIDAS_DES,FECHA_DESGLOSEN,"&gt;="&amp;BP$2,FECHA_DESGLOSEN,"&lt;="&amp;BP$3,CLAVE_DESGLOSE,$A21)</f>
        <v>8660</v>
      </c>
      <c r="BQ21" s="13">
        <f>SUMIFS(SALIDAS_BIT,FECHA_BIT,"&gt;="&amp;BQ$2,FECHA_BIT,"&lt;="&amp;BQ$3,CLAVE_BIT,$A21)+SUMIFS(SALIDAS_BOV1,FECHA_BOV1,"&gt;="&amp;BQ$2,FECHA_BOV1,"&lt;="&amp;BQ$3,CLAVE_BOV1,$A21)+SUMIFS(SALIDAS_BOV2,FECHA_BOV2,"&gt;="&amp;BQ$2,FECHA_BOV2,"&lt;="&amp;BQ$3,CLAVE_BOV2,$A21)+SUMIFS(SALIDAS_BOV3,FECHA_BOV3,"&gt;="&amp;BQ$2,FECHA_BOV3,"&lt;="&amp;BQ$3,CLAVE_BOV3,$A21)+SUMIFS(SALIDAS_TC,FECHA_TC,"&gt;="&amp;BQ$2,FECHA_TC,"&lt;="&amp;BQ$3,CLAVE_TC,$A21)+SUMIFS(SALIDAS_COMB,FECHA_COMB,"&gt;="&amp;BQ$2,FECHA_COMB,"&lt;="&amp;BQ$3,CLAVE_COMB,$A21)+SUMIFS(SALIDAS_DES,FECHA_DESGLOSEN,"&gt;="&amp;BQ$2,FECHA_DESGLOSEN,"&lt;="&amp;BQ$3,CLAVE_DESGLOSE,$A21)</f>
        <v>10318.200000000001</v>
      </c>
      <c r="BR21" s="13">
        <f>SUMIFS(SALIDAS_BIT,FECHA_BIT,"&gt;="&amp;BR$2,FECHA_BIT,"&lt;="&amp;BR$3,CLAVE_BIT,$A21)+SUMIFS(SALIDAS_BOV1,FECHA_BOV1,"&gt;="&amp;BR$2,FECHA_BOV1,"&lt;="&amp;BR$3,CLAVE_BOV1,$A21)+SUMIFS(SALIDAS_BOV2,FECHA_BOV2,"&gt;="&amp;BR$2,FECHA_BOV2,"&lt;="&amp;BR$3,CLAVE_BOV2,$A21)+SUMIFS(SALIDAS_BOV3,FECHA_BOV3,"&gt;="&amp;BR$2,FECHA_BOV3,"&lt;="&amp;BR$3,CLAVE_BOV3,$A21)+SUMIFS(SALIDAS_TC,FECHA_TC,"&gt;="&amp;BR$2,FECHA_TC,"&lt;="&amp;BR$3,CLAVE_TC,$A21)+SUMIFS(SALIDAS_COMB,FECHA_COMB,"&gt;="&amp;BR$2,FECHA_COMB,"&lt;="&amp;BR$3,CLAVE_COMB,$A21)+SUMIFS(SALIDAS_DES,FECHA_DESGLOSEN,"&gt;="&amp;BR$2,FECHA_DESGLOSEN,"&lt;="&amp;BR$3,CLAVE_DESGLOSE,$A21)</f>
        <v>49171.8</v>
      </c>
      <c r="BS21" s="68">
        <f t="shared" si="72"/>
        <v>10828.199999999997</v>
      </c>
      <c r="BT21" s="268">
        <f t="shared" si="73"/>
        <v>0.81953000000000009</v>
      </c>
      <c r="BU21" s="13">
        <f t="shared" si="49"/>
        <v>48000</v>
      </c>
      <c r="BV21" s="13">
        <f t="shared" si="50"/>
        <v>9832.6</v>
      </c>
      <c r="BW21" s="13">
        <f t="shared" si="50"/>
        <v>8387.7999999999993</v>
      </c>
      <c r="BX21" s="13">
        <f t="shared" si="50"/>
        <v>11420.6</v>
      </c>
      <c r="BY21" s="13">
        <f t="shared" si="50"/>
        <v>13973.8</v>
      </c>
      <c r="BZ21" s="13">
        <f t="shared" si="87"/>
        <v>43614.8</v>
      </c>
      <c r="CA21" s="68">
        <f t="shared" si="74"/>
        <v>4385.1999999999971</v>
      </c>
      <c r="CB21" s="268">
        <f t="shared" si="75"/>
        <v>0.90864166666666668</v>
      </c>
      <c r="CC21" s="13">
        <f t="shared" si="51"/>
        <v>48000</v>
      </c>
      <c r="CD21" s="13">
        <f t="shared" si="52"/>
        <v>12016.6</v>
      </c>
      <c r="CE21" s="13">
        <f t="shared" si="52"/>
        <v>11492.9</v>
      </c>
      <c r="CF21" s="13">
        <f t="shared" si="52"/>
        <v>15272.8</v>
      </c>
      <c r="CG21" s="13">
        <f t="shared" si="52"/>
        <v>11652.8</v>
      </c>
      <c r="CH21" s="13">
        <f t="shared" si="88"/>
        <v>50435.100000000006</v>
      </c>
      <c r="CI21" s="68">
        <f t="shared" si="76"/>
        <v>-2435.1000000000058</v>
      </c>
      <c r="CJ21" s="268">
        <f t="shared" si="77"/>
        <v>1.0507312500000001</v>
      </c>
      <c r="CK21" s="13">
        <f t="shared" si="53"/>
        <v>86581</v>
      </c>
      <c r="CL21" s="13">
        <f t="shared" si="54"/>
        <v>12333.6</v>
      </c>
      <c r="CM21" s="13">
        <f t="shared" si="54"/>
        <v>16191</v>
      </c>
      <c r="CN21" s="13">
        <f t="shared" si="54"/>
        <v>24764.799999999999</v>
      </c>
      <c r="CO21" s="13">
        <f t="shared" si="54"/>
        <v>26925.599999999999</v>
      </c>
      <c r="CP21" s="13">
        <f t="shared" si="54"/>
        <v>21480</v>
      </c>
      <c r="CQ21" s="13">
        <f t="shared" si="89"/>
        <v>101695</v>
      </c>
      <c r="CR21" s="68">
        <f t="shared" si="78"/>
        <v>-15114</v>
      </c>
      <c r="CS21" s="268">
        <f t="shared" si="79"/>
        <v>1.1745648583407444</v>
      </c>
      <c r="CT21" s="68">
        <f t="shared" si="55"/>
        <v>49285</v>
      </c>
      <c r="CU21" s="13">
        <f>SUMIFS(SALIDAS_BIT,FECHA_BIT,"&gt;="&amp;CU$2,FECHA_BIT,"&lt;="&amp;CU$3,CLAVE_BIT,$A21)+SUMIFS(SALIDAS_BOV1,FECHA_BOV1,"&gt;="&amp;CU$2,FECHA_BOV1,"&lt;="&amp;CU$3,CLAVE_BOV1,$A21)+SUMIFS(SALIDAS_BOV2,FECHA_BOV2,"&gt;="&amp;CU$2,FECHA_BOV2,"&lt;="&amp;CU$3,CLAVE_BOV2,$A21)+SUMIFS(SALIDAS_BOV3,FECHA_BOV3,"&gt;="&amp;CU$2,FECHA_BOV3,"&lt;="&amp;CU$3,CLAVE_BOV3,$A21)+SUMIFS(SALIDAS_TC,FECHA_TC,"&gt;="&amp;CU$2,FECHA_TC,"&lt;="&amp;CU$3,CLAVE_TC,$A21)+SUMIFS(SALIDAS_COMB,FECHA_COMB,"&gt;="&amp;CU$2,FECHA_COMB,"&lt;="&amp;CU$3,CLAVE_COMB,$A21)+SUMIFS(SALIDAS_DES,FECHA_DESGLOSEN,"&gt;="&amp;CU$2,FECHA_DESGLOSEN,"&lt;="&amp;CU$3,CLAVE_DESGLOSE,$A21)</f>
        <v>12525</v>
      </c>
      <c r="CV21" s="13">
        <f>SUMIFS(SALIDAS_BIT,FECHA_BIT,"&gt;="&amp;CV$2,FECHA_BIT,"&lt;="&amp;CV$3,CLAVE_BIT,$A21)+SUMIFS(SALIDAS_BOV1,FECHA_BOV1,"&gt;="&amp;CV$2,FECHA_BOV1,"&lt;="&amp;CV$3,CLAVE_BOV1,$A21)+SUMIFS(SALIDAS_BOV2,FECHA_BOV2,"&gt;="&amp;CV$2,FECHA_BOV2,"&lt;="&amp;CV$3,CLAVE_BOV2,$A21)+SUMIFS(SALIDAS_BOV3,FECHA_BOV3,"&gt;="&amp;CV$2,FECHA_BOV3,"&lt;="&amp;CV$3,CLAVE_BOV3,$A21)+SUMIFS(SALIDAS_TC,FECHA_TC,"&gt;="&amp;CV$2,FECHA_TC,"&lt;="&amp;CV$3,CLAVE_TC,$A21)+SUMIFS(SALIDAS_COMB,FECHA_COMB,"&gt;="&amp;CV$2,FECHA_COMB,"&lt;="&amp;CV$3,CLAVE_COMB,$A21)+SUMIFS(SALIDAS_DES,FECHA_DESGLOSEN,"&gt;="&amp;CV$2,FECHA_DESGLOSEN,"&lt;="&amp;CV$3,CLAVE_DESGLOSE,$A21)</f>
        <v>12549</v>
      </c>
      <c r="CW21" s="13">
        <f>SUMIFS(SALIDAS_BIT,FECHA_BIT,"&gt;="&amp;CW$2,FECHA_BIT,"&lt;="&amp;CW$3,CLAVE_BIT,$A21)+SUMIFS(SALIDAS_BOV1,FECHA_BOV1,"&gt;="&amp;CW$2,FECHA_BOV1,"&lt;="&amp;CW$3,CLAVE_BOV1,$A21)+SUMIFS(SALIDAS_BOV2,FECHA_BOV2,"&gt;="&amp;CW$2,FECHA_BOV2,"&lt;="&amp;CW$3,CLAVE_BOV2,$A21)+SUMIFS(SALIDAS_BOV3,FECHA_BOV3,"&gt;="&amp;CW$2,FECHA_BOV3,"&lt;="&amp;CW$3,CLAVE_BOV3,$A21)+SUMIFS(SALIDAS_TC,FECHA_TC,"&gt;="&amp;CW$2,FECHA_TC,"&lt;="&amp;CW$3,CLAVE_TC,$A21)+SUMIFS(SALIDAS_COMB,FECHA_COMB,"&gt;="&amp;CW$2,FECHA_COMB,"&lt;="&amp;CW$3,CLAVE_COMB,$A21)+SUMIFS(SALIDAS_DES,FECHA_DESGLOSEN,"&gt;="&amp;CW$2,FECHA_DESGLOSEN,"&lt;="&amp;CW$3,CLAVE_DESGLOSE,$A21)</f>
        <v>11445</v>
      </c>
      <c r="CX21" s="13">
        <f>SUMIFS(SALIDAS_BIT,FECHA_BIT,"&gt;="&amp;CX$2,FECHA_BIT,"&lt;="&amp;CX$3,CLAVE_BIT,$A21)+SUMIFS(SALIDAS_BOV1,FECHA_BOV1,"&gt;="&amp;CX$2,FECHA_BOV1,"&lt;="&amp;CX$3,CLAVE_BOV1,$A21)+SUMIFS(SALIDAS_BOV2,FECHA_BOV2,"&gt;="&amp;CX$2,FECHA_BOV2,"&lt;="&amp;CX$3,CLAVE_BOV2,$A21)+SUMIFS(SALIDAS_BOV3,FECHA_BOV3,"&gt;="&amp;CX$2,FECHA_BOV3,"&lt;="&amp;CX$3,CLAVE_BOV3,$A21)+SUMIFS(SALIDAS_TC,FECHA_TC,"&gt;="&amp;CX$2,FECHA_TC,"&lt;="&amp;CX$3,CLAVE_TC,$A21)+SUMIFS(SALIDAS_COMB,FECHA_COMB,"&gt;="&amp;CX$2,FECHA_COMB,"&lt;="&amp;CX$3,CLAVE_COMB,$A21)+SUMIFS(SALIDAS_DES,FECHA_DESGLOSEN,"&gt;="&amp;CX$2,FECHA_DESGLOSEN,"&lt;="&amp;CX$3,CLAVE_DESGLOSE,$A21)</f>
        <v>13160</v>
      </c>
      <c r="CY21" s="13">
        <f>SUMIFS(SALIDAS_BIT,FECHA_BIT,"&gt;="&amp;CY$2,FECHA_BIT,"&lt;="&amp;CY$3,CLAVE_BIT,$A21)+SUMIFS(SALIDAS_BOV1,FECHA_BOV1,"&gt;="&amp;CY$2,FECHA_BOV1,"&lt;="&amp;CY$3,CLAVE_BOV1,$A21)+SUMIFS(SALIDAS_BOV2,FECHA_BOV2,"&gt;="&amp;CY$2,FECHA_BOV2,"&lt;="&amp;CY$3,CLAVE_BOV2,$A21)+SUMIFS(SALIDAS_BOV3,FECHA_BOV3,"&gt;="&amp;CY$2,FECHA_BOV3,"&lt;="&amp;CY$3,CLAVE_BOV3,$A21)+SUMIFS(SALIDAS_TC,FECHA_TC,"&gt;="&amp;CY$2,FECHA_TC,"&lt;="&amp;CY$3,CLAVE_TC,$A21)+SUMIFS(SALIDAS_COMB,FECHA_COMB,"&gt;="&amp;CY$2,FECHA_COMB,"&lt;="&amp;CY$3,CLAVE_COMB,$A21)+SUMIFS(SALIDAS_DES,FECHA_DESGLOSEN,"&gt;="&amp;CY$2,FECHA_DESGLOSEN,"&lt;="&amp;CY$3,CLAVE_DESGLOSE,$A21)</f>
        <v>49679</v>
      </c>
      <c r="CZ21" s="68">
        <f t="shared" si="80"/>
        <v>-394</v>
      </c>
      <c r="DB21" s="17">
        <f>F21+N21+W21+AE21+AM21+AV21+BD21+BL21+BU21+CC21+CK21</f>
        <v>620618</v>
      </c>
      <c r="DC21" s="17">
        <f>K21+T21+AB21+AJ21+AS21+BA21+BI21+BR21+BZ21+CH21+CQ21</f>
        <v>554630.97</v>
      </c>
    </row>
    <row r="22" spans="1:107" hidden="1">
      <c r="A22" s="12" t="str">
        <f t="shared" si="57"/>
        <v>HRNOMINA SUCURSALA18</v>
      </c>
      <c r="B22" s="12">
        <v>16</v>
      </c>
      <c r="C22" t="s">
        <v>29</v>
      </c>
      <c r="D22" s="12" t="s">
        <v>154</v>
      </c>
      <c r="E22" s="12" t="s">
        <v>103</v>
      </c>
      <c r="F22" s="259">
        <f t="shared" si="58"/>
        <v>45538</v>
      </c>
      <c r="G22" s="13">
        <f t="shared" si="81"/>
        <v>12876.8</v>
      </c>
      <c r="H22" s="13">
        <f t="shared" si="81"/>
        <v>11870.8</v>
      </c>
      <c r="I22" s="13">
        <f t="shared" si="81"/>
        <v>11691</v>
      </c>
      <c r="J22" s="13">
        <f t="shared" si="81"/>
        <v>11018.6</v>
      </c>
      <c r="K22" s="13">
        <f t="shared" si="81"/>
        <v>47457.2</v>
      </c>
      <c r="L22" s="68">
        <f t="shared" si="59"/>
        <v>-1919.1999999999971</v>
      </c>
      <c r="M22" s="268">
        <f t="shared" si="60"/>
        <v>1.0421450217400852</v>
      </c>
      <c r="N22" s="13">
        <f t="shared" si="36"/>
        <v>56922.5</v>
      </c>
      <c r="O22" s="13">
        <f t="shared" si="82"/>
        <v>12464.8</v>
      </c>
      <c r="P22" s="13">
        <f t="shared" si="82"/>
        <v>11376.6</v>
      </c>
      <c r="Q22" s="13">
        <f t="shared" si="82"/>
        <v>15722.6</v>
      </c>
      <c r="R22" s="13">
        <f t="shared" si="82"/>
        <v>11193.6</v>
      </c>
      <c r="S22" s="13">
        <f t="shared" si="82"/>
        <v>12637</v>
      </c>
      <c r="T22" s="13">
        <f t="shared" si="82"/>
        <v>63394.6</v>
      </c>
      <c r="U22" s="68">
        <f t="shared" si="61"/>
        <v>-6472.0999999999985</v>
      </c>
      <c r="V22" s="268">
        <f t="shared" si="62"/>
        <v>1.1137002064210111</v>
      </c>
      <c r="W22" s="13">
        <f t="shared" si="38"/>
        <v>45538</v>
      </c>
      <c r="X22" s="13">
        <f t="shared" si="83"/>
        <v>12629.2</v>
      </c>
      <c r="Y22" s="13">
        <f t="shared" si="83"/>
        <v>9925.6</v>
      </c>
      <c r="Z22" s="13">
        <f t="shared" si="83"/>
        <v>10907.2</v>
      </c>
      <c r="AA22" s="13">
        <f t="shared" si="83"/>
        <v>11894.4</v>
      </c>
      <c r="AB22" s="13">
        <f t="shared" si="83"/>
        <v>45356.4</v>
      </c>
      <c r="AC22" s="68">
        <f t="shared" si="63"/>
        <v>181.59999999999854</v>
      </c>
      <c r="AD22" s="268">
        <f t="shared" si="64"/>
        <v>0.99601212174447717</v>
      </c>
      <c r="AE22" s="13">
        <f t="shared" si="40"/>
        <v>45538</v>
      </c>
      <c r="AF22" s="13">
        <f t="shared" si="84"/>
        <v>15390.4</v>
      </c>
      <c r="AG22" s="13">
        <f t="shared" si="84"/>
        <v>13007.2</v>
      </c>
      <c r="AH22" s="13">
        <f t="shared" si="84"/>
        <v>11805</v>
      </c>
      <c r="AI22" s="13">
        <f t="shared" si="84"/>
        <v>11051.8</v>
      </c>
      <c r="AJ22" s="13">
        <f t="shared" si="84"/>
        <v>51254.399999999994</v>
      </c>
      <c r="AK22" s="68">
        <f t="shared" si="65"/>
        <v>-5716.3999999999942</v>
      </c>
      <c r="AL22" s="268">
        <f t="shared" si="66"/>
        <v>1.1255303263208747</v>
      </c>
      <c r="AM22" s="13">
        <f t="shared" si="42"/>
        <v>56922.5</v>
      </c>
      <c r="AN22" s="13">
        <f t="shared" si="85"/>
        <v>12622.4</v>
      </c>
      <c r="AO22" s="13">
        <f t="shared" si="85"/>
        <v>14284.4</v>
      </c>
      <c r="AP22" s="13">
        <f t="shared" si="85"/>
        <v>12938.8</v>
      </c>
      <c r="AQ22" s="13">
        <f t="shared" si="85"/>
        <v>15012.8</v>
      </c>
      <c r="AR22" s="13">
        <f t="shared" si="85"/>
        <v>16184.8</v>
      </c>
      <c r="AS22" s="13">
        <f t="shared" si="85"/>
        <v>71043.199999999997</v>
      </c>
      <c r="AT22" s="68">
        <f>AM22-AS22</f>
        <v>-14120.699999999997</v>
      </c>
      <c r="AU22" s="268">
        <f t="shared" si="67"/>
        <v>1.2480688655628267</v>
      </c>
      <c r="AV22" s="13">
        <f t="shared" si="44"/>
        <v>45538</v>
      </c>
      <c r="AW22" s="13">
        <f t="shared" si="86"/>
        <v>16631.599999999999</v>
      </c>
      <c r="AX22" s="13">
        <f t="shared" si="86"/>
        <v>17905</v>
      </c>
      <c r="AY22" s="13">
        <f t="shared" si="86"/>
        <v>15743.6</v>
      </c>
      <c r="AZ22" s="13">
        <f t="shared" si="86"/>
        <v>17033.8</v>
      </c>
      <c r="BA22" s="13">
        <f t="shared" si="45"/>
        <v>67314</v>
      </c>
      <c r="BB22" s="68">
        <f t="shared" si="68"/>
        <v>-21776</v>
      </c>
      <c r="BC22" s="268">
        <f t="shared" si="69"/>
        <v>1.4781940357503622</v>
      </c>
      <c r="BD22" s="13">
        <f t="shared" si="46"/>
        <v>45538</v>
      </c>
      <c r="BE22" s="13">
        <f>SUMIFS(SALIDAS_BIT,FECHA_BIT,"&gt;="&amp;BE$2,FECHA_BIT,"&lt;="&amp;BE$3,CLAVE_BIT,$A22)+SUMIFS(SALIDAS_BOV1,FECHA_BOV1,"&gt;="&amp;BE$2,FECHA_BOV1,"&lt;="&amp;BE$3,CLAVE_BOV1,$A22)+SUMIFS(SALIDAS_BOV2,FECHA_BOV2,"&gt;="&amp;BE$2,FECHA_BOV2,"&lt;="&amp;BE$3,CLAVE_BOV2,$A22)+SUMIFS(SALIDAS_BOV3,FECHA_BOV3,"&gt;="&amp;BE$2,FECHA_BOV3,"&lt;="&amp;BE$3,CLAVE_BOV3,$A22)+SUMIFS(SALIDAS_TC,FECHA_TC,"&gt;="&amp;BE$2,FECHA_TC,"&lt;="&amp;BE$3,CLAVE_TC,$A22)+SUMIFS(SALIDAS_COMB,FECHA_COMB,"&gt;="&amp;BE$2,FECHA_COMB,"&lt;="&amp;BE$3,CLAVE_COMB,$A22)+SUMIFS(SALIDAS_DES,FECHA_DESGLOSEN,"&gt;="&amp;BE$2,FECHA_DESGLOSEN,"&lt;="&amp;BE$3,CLAVE_DESGLOSE,$A22)</f>
        <v>11960.4</v>
      </c>
      <c r="BF22" s="13">
        <f>SUMIFS(SALIDAS_BIT,FECHA_BIT,"&gt;="&amp;BF$2,FECHA_BIT,"&lt;="&amp;BF$3,CLAVE_BIT,$A22)+SUMIFS(SALIDAS_BOV1,FECHA_BOV1,"&gt;="&amp;BF$2,FECHA_BOV1,"&lt;="&amp;BF$3,CLAVE_BOV1,$A22)+SUMIFS(SALIDAS_BOV2,FECHA_BOV2,"&gt;="&amp;BF$2,FECHA_BOV2,"&lt;="&amp;BF$3,CLAVE_BOV2,$A22)+SUMIFS(SALIDAS_BOV3,FECHA_BOV3,"&gt;="&amp;BF$2,FECHA_BOV3,"&lt;="&amp;BF$3,CLAVE_BOV3,$A22)+SUMIFS(SALIDAS_TC,FECHA_TC,"&gt;="&amp;BF$2,FECHA_TC,"&lt;="&amp;BF$3,CLAVE_TC,$A22)+SUMIFS(SALIDAS_COMB,FECHA_COMB,"&gt;="&amp;BF$2,FECHA_COMB,"&lt;="&amp;BF$3,CLAVE_COMB,$A22)+SUMIFS(SALIDAS_DES,FECHA_DESGLOSEN,"&gt;="&amp;BF$2,FECHA_DESGLOSEN,"&lt;="&amp;BF$3,CLAVE_DESGLOSE,$A22)</f>
        <v>11756.4</v>
      </c>
      <c r="BG22" s="13">
        <f>SUMIFS(SALIDAS_BIT,FECHA_BIT,"&gt;="&amp;BG$2,FECHA_BIT,"&lt;="&amp;BG$3,CLAVE_BIT,$A22)+SUMIFS(SALIDAS_BOV1,FECHA_BOV1,"&gt;="&amp;BG$2,FECHA_BOV1,"&lt;="&amp;BG$3,CLAVE_BOV1,$A22)+SUMIFS(SALIDAS_BOV2,FECHA_BOV2,"&gt;="&amp;BG$2,FECHA_BOV2,"&lt;="&amp;BG$3,CLAVE_BOV2,$A22)+SUMIFS(SALIDAS_BOV3,FECHA_BOV3,"&gt;="&amp;BG$2,FECHA_BOV3,"&lt;="&amp;BG$3,CLAVE_BOV3,$A22)+SUMIFS(SALIDAS_TC,FECHA_TC,"&gt;="&amp;BG$2,FECHA_TC,"&lt;="&amp;BG$3,CLAVE_TC,$A22)+SUMIFS(SALIDAS_COMB,FECHA_COMB,"&gt;="&amp;BG$2,FECHA_COMB,"&lt;="&amp;BG$3,CLAVE_COMB,$A22)+SUMIFS(SALIDAS_DES,FECHA_DESGLOSEN,"&gt;="&amp;BG$2,FECHA_DESGLOSEN,"&lt;="&amp;BG$3,CLAVE_DESGLOSE,$A22)</f>
        <v>14150</v>
      </c>
      <c r="BH22" s="13">
        <f>SUMIFS(SALIDAS_BIT,FECHA_BIT,"&gt;="&amp;BH$2,FECHA_BIT,"&lt;="&amp;BH$3,CLAVE_BIT,$A22)+SUMIFS(SALIDAS_BOV1,FECHA_BOV1,"&gt;="&amp;BH$2,FECHA_BOV1,"&lt;="&amp;BH$3,CLAVE_BOV1,$A22)+SUMIFS(SALIDAS_BOV2,FECHA_BOV2,"&gt;="&amp;BH$2,FECHA_BOV2,"&lt;="&amp;BH$3,CLAVE_BOV2,$A22)+SUMIFS(SALIDAS_BOV3,FECHA_BOV3,"&gt;="&amp;BH$2,FECHA_BOV3,"&lt;="&amp;BH$3,CLAVE_BOV3,$A22)+SUMIFS(SALIDAS_TC,FECHA_TC,"&gt;="&amp;BH$2,FECHA_TC,"&lt;="&amp;BH$3,CLAVE_TC,$A22)+SUMIFS(SALIDAS_COMB,FECHA_COMB,"&gt;="&amp;BH$2,FECHA_COMB,"&lt;="&amp;BH$3,CLAVE_COMB,$A22)+SUMIFS(SALIDAS_DES,FECHA_DESGLOSEN,"&gt;="&amp;BH$2,FECHA_DESGLOSEN,"&lt;="&amp;BH$3,CLAVE_DESGLOSE,$A22)</f>
        <v>12036</v>
      </c>
      <c r="BI22" s="13">
        <f>SUMIFS(SALIDAS_BIT,FECHA_BIT,"&gt;="&amp;BI$2,FECHA_BIT,"&lt;="&amp;BI$3,CLAVE_BIT,$A22)+SUMIFS(SALIDAS_BOV1,FECHA_BOV1,"&gt;="&amp;BI$2,FECHA_BOV1,"&lt;="&amp;BI$3,CLAVE_BOV1,$A22)+SUMIFS(SALIDAS_BOV2,FECHA_BOV2,"&gt;="&amp;BI$2,FECHA_BOV2,"&lt;="&amp;BI$3,CLAVE_BOV2,$A22)+SUMIFS(SALIDAS_BOV3,FECHA_BOV3,"&gt;="&amp;BI$2,FECHA_BOV3,"&lt;="&amp;BI$3,CLAVE_BOV3,$A22)+SUMIFS(SALIDAS_TC,FECHA_TC,"&gt;="&amp;BI$2,FECHA_TC,"&lt;="&amp;BI$3,CLAVE_TC,$A22)+SUMIFS(SALIDAS_COMB,FECHA_COMB,"&gt;="&amp;BI$2,FECHA_COMB,"&lt;="&amp;BI$3,CLAVE_COMB,$A22)+SUMIFS(SALIDAS_DES,FECHA_DESGLOSEN,"&gt;="&amp;BI$2,FECHA_DESGLOSEN,"&lt;="&amp;BI$3,CLAVE_DESGLOSE,$A22)</f>
        <v>49902.8</v>
      </c>
      <c r="BJ22" s="68">
        <f t="shared" si="70"/>
        <v>-4364.8000000000029</v>
      </c>
      <c r="BK22" s="401">
        <f t="shared" si="71"/>
        <v>1.095849620097501</v>
      </c>
      <c r="BL22" s="13">
        <f t="shared" si="47"/>
        <v>56922.5</v>
      </c>
      <c r="BM22" s="13">
        <f>SUMIFS(SALIDAS_BIT,FECHA_BIT,"&gt;="&amp;BM$2,FECHA_BIT,"&lt;="&amp;BM$3,CLAVE_BIT,$A22)+SUMIFS(SALIDAS_BOV1,FECHA_BOV1,"&gt;="&amp;BM$2,FECHA_BOV1,"&lt;="&amp;BM$3,CLAVE_BOV1,$A22)+SUMIFS(SALIDAS_BOV2,FECHA_BOV2,"&gt;="&amp;BM$2,FECHA_BOV2,"&lt;="&amp;BM$3,CLAVE_BOV2,$A22)+SUMIFS(SALIDAS_BOV3,FECHA_BOV3,"&gt;="&amp;BM$2,FECHA_BOV3,"&lt;="&amp;BM$3,CLAVE_BOV3,$A22)+SUMIFS(SALIDAS_TC,FECHA_TC,"&gt;="&amp;BM$2,FECHA_TC,"&lt;="&amp;BM$3,CLAVE_TC,$A22)+SUMIFS(SALIDAS_COMB,FECHA_COMB,"&gt;="&amp;BM$2,FECHA_COMB,"&lt;="&amp;BM$3,CLAVE_COMB,$A22)+SUMIFS(SALIDAS_DES,FECHA_DESGLOSEN,"&gt;="&amp;BM$2,FECHA_DESGLOSEN,"&lt;="&amp;BM$3,CLAVE_DESGLOSE,$A22)</f>
        <v>15058</v>
      </c>
      <c r="BN22" s="13">
        <f>SUMIFS(SALIDAS_BIT,FECHA_BIT,"&gt;="&amp;BN$2,FECHA_BIT,"&lt;="&amp;BN$3,CLAVE_BIT,$A22)+SUMIFS(SALIDAS_BOV1,FECHA_BOV1,"&gt;="&amp;BN$2,FECHA_BOV1,"&lt;="&amp;BN$3,CLAVE_BOV1,$A22)+SUMIFS(SALIDAS_BOV2,FECHA_BOV2,"&gt;="&amp;BN$2,FECHA_BOV2,"&lt;="&amp;BN$3,CLAVE_BOV2,$A22)+SUMIFS(SALIDAS_BOV3,FECHA_BOV3,"&gt;="&amp;BN$2,FECHA_BOV3,"&lt;="&amp;BN$3,CLAVE_BOV3,$A22)+SUMIFS(SALIDAS_TC,FECHA_TC,"&gt;="&amp;BN$2,FECHA_TC,"&lt;="&amp;BN$3,CLAVE_TC,$A22)+SUMIFS(SALIDAS_COMB,FECHA_COMB,"&gt;="&amp;BN$2,FECHA_COMB,"&lt;="&amp;BN$3,CLAVE_COMB,$A22)+SUMIFS(SALIDAS_DES,FECHA_DESGLOSEN,"&gt;="&amp;BN$2,FECHA_DESGLOSEN,"&lt;="&amp;BN$3,CLAVE_DESGLOSE,$A22)</f>
        <v>14744.2</v>
      </c>
      <c r="BO22" s="13">
        <f>SUMIFS(SALIDAS_BIT,FECHA_BIT,"&gt;="&amp;BO$2,FECHA_BIT,"&lt;="&amp;BO$3,CLAVE_BIT,$A22)+SUMIFS(SALIDAS_BOV1,FECHA_BOV1,"&gt;="&amp;BO$2,FECHA_BOV1,"&lt;="&amp;BO$3,CLAVE_BOV1,$A22)+SUMIFS(SALIDAS_BOV2,FECHA_BOV2,"&gt;="&amp;BO$2,FECHA_BOV2,"&lt;="&amp;BO$3,CLAVE_BOV2,$A22)+SUMIFS(SALIDAS_BOV3,FECHA_BOV3,"&gt;="&amp;BO$2,FECHA_BOV3,"&lt;="&amp;BO$3,CLAVE_BOV3,$A22)+SUMIFS(SALIDAS_TC,FECHA_TC,"&gt;="&amp;BO$2,FECHA_TC,"&lt;="&amp;BO$3,CLAVE_TC,$A22)+SUMIFS(SALIDAS_COMB,FECHA_COMB,"&gt;="&amp;BO$2,FECHA_COMB,"&lt;="&amp;BO$3,CLAVE_COMB,$A22)+SUMIFS(SALIDAS_DES,FECHA_DESGLOSEN,"&gt;="&amp;BO$2,FECHA_DESGLOSEN,"&lt;="&amp;BO$3,CLAVE_DESGLOSE,$A22)</f>
        <v>13042.4</v>
      </c>
      <c r="BP22" s="13">
        <f>SUMIFS(SALIDAS_BIT,FECHA_BIT,"&gt;="&amp;BP$2,FECHA_BIT,"&lt;="&amp;BP$3,CLAVE_BIT,$A22)+SUMIFS(SALIDAS_BOV1,FECHA_BOV1,"&gt;="&amp;BP$2,FECHA_BOV1,"&lt;="&amp;BP$3,CLAVE_BOV1,$A22)+SUMIFS(SALIDAS_BOV2,FECHA_BOV2,"&gt;="&amp;BP$2,FECHA_BOV2,"&lt;="&amp;BP$3,CLAVE_BOV2,$A22)+SUMIFS(SALIDAS_BOV3,FECHA_BOV3,"&gt;="&amp;BP$2,FECHA_BOV3,"&lt;="&amp;BP$3,CLAVE_BOV3,$A22)+SUMIFS(SALIDAS_TC,FECHA_TC,"&gt;="&amp;BP$2,FECHA_TC,"&lt;="&amp;BP$3,CLAVE_TC,$A22)+SUMIFS(SALIDAS_COMB,FECHA_COMB,"&gt;="&amp;BP$2,FECHA_COMB,"&lt;="&amp;BP$3,CLAVE_COMB,$A22)+SUMIFS(SALIDAS_DES,FECHA_DESGLOSEN,"&gt;="&amp;BP$2,FECHA_DESGLOSEN,"&lt;="&amp;BP$3,CLAVE_DESGLOSE,$A22)</f>
        <v>18053.2</v>
      </c>
      <c r="BQ22" s="13">
        <f>SUMIFS(SALIDAS_BIT,FECHA_BIT,"&gt;="&amp;BQ$2,FECHA_BIT,"&lt;="&amp;BQ$3,CLAVE_BIT,$A22)+SUMIFS(SALIDAS_BOV1,FECHA_BOV1,"&gt;="&amp;BQ$2,FECHA_BOV1,"&lt;="&amp;BQ$3,CLAVE_BOV1,$A22)+SUMIFS(SALIDAS_BOV2,FECHA_BOV2,"&gt;="&amp;BQ$2,FECHA_BOV2,"&lt;="&amp;BQ$3,CLAVE_BOV2,$A22)+SUMIFS(SALIDAS_BOV3,FECHA_BOV3,"&gt;="&amp;BQ$2,FECHA_BOV3,"&lt;="&amp;BQ$3,CLAVE_BOV3,$A22)+SUMIFS(SALIDAS_TC,FECHA_TC,"&gt;="&amp;BQ$2,FECHA_TC,"&lt;="&amp;BQ$3,CLAVE_TC,$A22)+SUMIFS(SALIDAS_COMB,FECHA_COMB,"&gt;="&amp;BQ$2,FECHA_COMB,"&lt;="&amp;BQ$3,CLAVE_COMB,$A22)+SUMIFS(SALIDAS_DES,FECHA_DESGLOSEN,"&gt;="&amp;BQ$2,FECHA_DESGLOSEN,"&lt;="&amp;BQ$3,CLAVE_DESGLOSE,$A22)</f>
        <v>14435</v>
      </c>
      <c r="BR22" s="13">
        <f>SUMIFS(SALIDAS_BIT,FECHA_BIT,"&gt;="&amp;BR$2,FECHA_BIT,"&lt;="&amp;BR$3,CLAVE_BIT,$A22)+SUMIFS(SALIDAS_BOV1,FECHA_BOV1,"&gt;="&amp;BR$2,FECHA_BOV1,"&lt;="&amp;BR$3,CLAVE_BOV1,$A22)+SUMIFS(SALIDAS_BOV2,FECHA_BOV2,"&gt;="&amp;BR$2,FECHA_BOV2,"&lt;="&amp;BR$3,CLAVE_BOV2,$A22)+SUMIFS(SALIDAS_BOV3,FECHA_BOV3,"&gt;="&amp;BR$2,FECHA_BOV3,"&lt;="&amp;BR$3,CLAVE_BOV3,$A22)+SUMIFS(SALIDAS_TC,FECHA_TC,"&gt;="&amp;BR$2,FECHA_TC,"&lt;="&amp;BR$3,CLAVE_TC,$A22)+SUMIFS(SALIDAS_COMB,FECHA_COMB,"&gt;="&amp;BR$2,FECHA_COMB,"&lt;="&amp;BR$3,CLAVE_COMB,$A22)+SUMIFS(SALIDAS_DES,FECHA_DESGLOSEN,"&gt;="&amp;BR$2,FECHA_DESGLOSEN,"&lt;="&amp;BR$3,CLAVE_DESGLOSE,$A22)</f>
        <v>75332.800000000003</v>
      </c>
      <c r="BS22" s="68">
        <f t="shared" si="72"/>
        <v>-18410.300000000003</v>
      </c>
      <c r="BT22" s="401">
        <f t="shared" si="73"/>
        <v>1.3234274671702755</v>
      </c>
      <c r="BU22" s="13">
        <f t="shared" si="49"/>
        <v>45538</v>
      </c>
      <c r="BV22" s="13">
        <f t="shared" si="50"/>
        <v>12259</v>
      </c>
      <c r="BW22" s="13">
        <f t="shared" si="50"/>
        <v>13745.2</v>
      </c>
      <c r="BX22" s="13">
        <f t="shared" si="50"/>
        <v>13662.93</v>
      </c>
      <c r="BY22" s="13">
        <f t="shared" si="50"/>
        <v>13866.4</v>
      </c>
      <c r="BZ22" s="13">
        <f t="shared" si="87"/>
        <v>53533.530000000006</v>
      </c>
      <c r="CA22" s="68">
        <f t="shared" si="74"/>
        <v>-7995.5300000000061</v>
      </c>
      <c r="CB22" s="268">
        <f t="shared" si="75"/>
        <v>1.1755792964117882</v>
      </c>
      <c r="CC22" s="13">
        <f t="shared" si="51"/>
        <v>45538</v>
      </c>
      <c r="CD22" s="13">
        <f t="shared" si="52"/>
        <v>16309</v>
      </c>
      <c r="CE22" s="13">
        <f t="shared" si="52"/>
        <v>16917.599999999999</v>
      </c>
      <c r="CF22" s="13">
        <f t="shared" si="52"/>
        <v>20037.2</v>
      </c>
      <c r="CG22" s="13">
        <f t="shared" si="52"/>
        <v>17171.8</v>
      </c>
      <c r="CH22" s="13">
        <f t="shared" si="88"/>
        <v>70435.600000000006</v>
      </c>
      <c r="CI22" s="68">
        <f t="shared" si="76"/>
        <v>-24897.600000000006</v>
      </c>
      <c r="CJ22" s="268">
        <f t="shared" si="77"/>
        <v>1.54674337915587</v>
      </c>
      <c r="CK22" s="13">
        <f t="shared" si="53"/>
        <v>102021</v>
      </c>
      <c r="CL22" s="13">
        <f t="shared" si="54"/>
        <v>17123.8</v>
      </c>
      <c r="CM22" s="13">
        <f t="shared" si="54"/>
        <v>21771.8</v>
      </c>
      <c r="CN22" s="13">
        <f t="shared" si="54"/>
        <v>30082.799999999999</v>
      </c>
      <c r="CO22" s="13">
        <f t="shared" si="54"/>
        <v>43687.8</v>
      </c>
      <c r="CP22" s="13">
        <f t="shared" si="54"/>
        <v>25797.4</v>
      </c>
      <c r="CQ22" s="13">
        <f t="shared" si="89"/>
        <v>138463.6</v>
      </c>
      <c r="CR22" s="68">
        <f t="shared" si="78"/>
        <v>-36442.600000000006</v>
      </c>
      <c r="CS22" s="268">
        <f t="shared" si="79"/>
        <v>1.3572068495701866</v>
      </c>
      <c r="CT22" s="68">
        <f t="shared" si="55"/>
        <v>60493</v>
      </c>
      <c r="CU22" s="13">
        <f>SUMIFS(SALIDAS_BIT,FECHA_BIT,"&gt;="&amp;CU$2,FECHA_BIT,"&lt;="&amp;CU$3,CLAVE_BIT,$A22)+SUMIFS(SALIDAS_BOV1,FECHA_BOV1,"&gt;="&amp;CU$2,FECHA_BOV1,"&lt;="&amp;CU$3,CLAVE_BOV1,$A22)+SUMIFS(SALIDAS_BOV2,FECHA_BOV2,"&gt;="&amp;CU$2,FECHA_BOV2,"&lt;="&amp;CU$3,CLAVE_BOV2,$A22)+SUMIFS(SALIDAS_BOV3,FECHA_BOV3,"&gt;="&amp;CU$2,FECHA_BOV3,"&lt;="&amp;CU$3,CLAVE_BOV3,$A22)+SUMIFS(SALIDAS_TC,FECHA_TC,"&gt;="&amp;CU$2,FECHA_TC,"&lt;="&amp;CU$3,CLAVE_TC,$A22)+SUMIFS(SALIDAS_COMB,FECHA_COMB,"&gt;="&amp;CU$2,FECHA_COMB,"&lt;="&amp;CU$3,CLAVE_COMB,$A22)+SUMIFS(SALIDAS_DES,FECHA_DESGLOSEN,"&gt;="&amp;CU$2,FECHA_DESGLOSEN,"&lt;="&amp;CU$3,CLAVE_DESGLOSE,$A22)</f>
        <v>17220</v>
      </c>
      <c r="CV22" s="13">
        <f>SUMIFS(SALIDAS_BIT,FECHA_BIT,"&gt;="&amp;CV$2,FECHA_BIT,"&lt;="&amp;CV$3,CLAVE_BIT,$A22)+SUMIFS(SALIDAS_BOV1,FECHA_BOV1,"&gt;="&amp;CV$2,FECHA_BOV1,"&lt;="&amp;CV$3,CLAVE_BOV1,$A22)+SUMIFS(SALIDAS_BOV2,FECHA_BOV2,"&gt;="&amp;CV$2,FECHA_BOV2,"&lt;="&amp;CV$3,CLAVE_BOV2,$A22)+SUMIFS(SALIDAS_BOV3,FECHA_BOV3,"&gt;="&amp;CV$2,FECHA_BOV3,"&lt;="&amp;CV$3,CLAVE_BOV3,$A22)+SUMIFS(SALIDAS_TC,FECHA_TC,"&gt;="&amp;CV$2,FECHA_TC,"&lt;="&amp;CV$3,CLAVE_TC,$A22)+SUMIFS(SALIDAS_COMB,FECHA_COMB,"&gt;="&amp;CV$2,FECHA_COMB,"&lt;="&amp;CV$3,CLAVE_COMB,$A22)+SUMIFS(SALIDAS_DES,FECHA_DESGLOSEN,"&gt;="&amp;CV$2,FECHA_DESGLOSEN,"&lt;="&amp;CV$3,CLAVE_DESGLOSE,$A22)</f>
        <v>15405.8</v>
      </c>
      <c r="CW22" s="13">
        <f>SUMIFS(SALIDAS_BIT,FECHA_BIT,"&gt;="&amp;CW$2,FECHA_BIT,"&lt;="&amp;CW$3,CLAVE_BIT,$A22)+SUMIFS(SALIDAS_BOV1,FECHA_BOV1,"&gt;="&amp;CW$2,FECHA_BOV1,"&lt;="&amp;CW$3,CLAVE_BOV1,$A22)+SUMIFS(SALIDAS_BOV2,FECHA_BOV2,"&gt;="&amp;CW$2,FECHA_BOV2,"&lt;="&amp;CW$3,CLAVE_BOV2,$A22)+SUMIFS(SALIDAS_BOV3,FECHA_BOV3,"&gt;="&amp;CW$2,FECHA_BOV3,"&lt;="&amp;CW$3,CLAVE_BOV3,$A22)+SUMIFS(SALIDAS_TC,FECHA_TC,"&gt;="&amp;CW$2,FECHA_TC,"&lt;="&amp;CW$3,CLAVE_TC,$A22)+SUMIFS(SALIDAS_COMB,FECHA_COMB,"&gt;="&amp;CW$2,FECHA_COMB,"&lt;="&amp;CW$3,CLAVE_COMB,$A22)+SUMIFS(SALIDAS_DES,FECHA_DESGLOSEN,"&gt;="&amp;CW$2,FECHA_DESGLOSEN,"&lt;="&amp;CW$3,CLAVE_DESGLOSE,$A22)</f>
        <v>19000</v>
      </c>
      <c r="CX22" s="13">
        <f>SUMIFS(SALIDAS_BIT,FECHA_BIT,"&gt;="&amp;CX$2,FECHA_BIT,"&lt;="&amp;CX$3,CLAVE_BIT,$A22)+SUMIFS(SALIDAS_BOV1,FECHA_BOV1,"&gt;="&amp;CX$2,FECHA_BOV1,"&lt;="&amp;CX$3,CLAVE_BOV1,$A22)+SUMIFS(SALIDAS_BOV2,FECHA_BOV2,"&gt;="&amp;CX$2,FECHA_BOV2,"&lt;="&amp;CX$3,CLAVE_BOV2,$A22)+SUMIFS(SALIDAS_BOV3,FECHA_BOV3,"&gt;="&amp;CX$2,FECHA_BOV3,"&lt;="&amp;CX$3,CLAVE_BOV3,$A22)+SUMIFS(SALIDAS_TC,FECHA_TC,"&gt;="&amp;CX$2,FECHA_TC,"&lt;="&amp;CX$3,CLAVE_TC,$A22)+SUMIFS(SALIDAS_COMB,FECHA_COMB,"&gt;="&amp;CX$2,FECHA_COMB,"&lt;="&amp;CX$3,CLAVE_COMB,$A22)+SUMIFS(SALIDAS_DES,FECHA_DESGLOSEN,"&gt;="&amp;CX$2,FECHA_DESGLOSEN,"&lt;="&amp;CX$3,CLAVE_DESGLOSE,$A22)</f>
        <v>18315</v>
      </c>
      <c r="CY22" s="13">
        <f>SUMIFS(SALIDAS_BIT,FECHA_BIT,"&gt;="&amp;CY$2,FECHA_BIT,"&lt;="&amp;CY$3,CLAVE_BIT,$A22)+SUMIFS(SALIDAS_BOV1,FECHA_BOV1,"&gt;="&amp;CY$2,FECHA_BOV1,"&lt;="&amp;CY$3,CLAVE_BOV1,$A22)+SUMIFS(SALIDAS_BOV2,FECHA_BOV2,"&gt;="&amp;CY$2,FECHA_BOV2,"&lt;="&amp;CY$3,CLAVE_BOV2,$A22)+SUMIFS(SALIDAS_BOV3,FECHA_BOV3,"&gt;="&amp;CY$2,FECHA_BOV3,"&lt;="&amp;CY$3,CLAVE_BOV3,$A22)+SUMIFS(SALIDAS_TC,FECHA_TC,"&gt;="&amp;CY$2,FECHA_TC,"&lt;="&amp;CY$3,CLAVE_TC,$A22)+SUMIFS(SALIDAS_COMB,FECHA_COMB,"&gt;="&amp;CY$2,FECHA_COMB,"&lt;="&amp;CY$3,CLAVE_COMB,$A22)+SUMIFS(SALIDAS_DES,FECHA_DESGLOSEN,"&gt;="&amp;CY$2,FECHA_DESGLOSEN,"&lt;="&amp;CY$3,CLAVE_DESGLOSE,$A22)</f>
        <v>69940.800000000003</v>
      </c>
      <c r="CZ22" s="68">
        <f t="shared" si="80"/>
        <v>-9447.8000000000029</v>
      </c>
      <c r="DB22" s="17">
        <f>F22+N22+W22+AE22+AM22+AV22+BD22+BL22+BU22+CC22+CK22</f>
        <v>591554.5</v>
      </c>
      <c r="DC22" s="17">
        <f>K22+T22+AB22+AJ22+AS22+BA22+BI22+BR22+BZ22+CH22+CQ22</f>
        <v>733488.12999999989</v>
      </c>
    </row>
    <row r="23" spans="1:107" hidden="1">
      <c r="A23" s="12" t="str">
        <f t="shared" si="57"/>
        <v>HRNOMINA SUCURSALA22</v>
      </c>
      <c r="B23" s="12">
        <v>17</v>
      </c>
      <c r="C23" t="s">
        <v>29</v>
      </c>
      <c r="D23" s="12" t="s">
        <v>154</v>
      </c>
      <c r="E23" s="12" t="s">
        <v>104</v>
      </c>
      <c r="F23" s="259">
        <f t="shared" si="58"/>
        <v>73267</v>
      </c>
      <c r="G23" s="13">
        <f t="shared" si="81"/>
        <v>15165.8</v>
      </c>
      <c r="H23" s="13">
        <f t="shared" si="81"/>
        <v>12056.6</v>
      </c>
      <c r="I23" s="13">
        <f t="shared" si="81"/>
        <v>12057.2</v>
      </c>
      <c r="J23" s="13">
        <f t="shared" si="81"/>
        <v>12056.6</v>
      </c>
      <c r="K23" s="13">
        <f t="shared" si="81"/>
        <v>51336.200000000004</v>
      </c>
      <c r="L23" s="68">
        <f t="shared" si="59"/>
        <v>21930.799999999996</v>
      </c>
      <c r="M23" s="268">
        <f t="shared" si="60"/>
        <v>0.70067288137906569</v>
      </c>
      <c r="N23" s="13">
        <f t="shared" si="36"/>
        <v>70000</v>
      </c>
      <c r="O23" s="13">
        <f t="shared" si="82"/>
        <v>12495</v>
      </c>
      <c r="P23" s="13">
        <f t="shared" si="82"/>
        <v>11862.8</v>
      </c>
      <c r="Q23" s="13">
        <f t="shared" si="82"/>
        <v>11913</v>
      </c>
      <c r="R23" s="13">
        <f t="shared" si="82"/>
        <v>10483.4</v>
      </c>
      <c r="S23" s="13">
        <f t="shared" si="82"/>
        <v>12829.4</v>
      </c>
      <c r="T23" s="13">
        <f t="shared" si="82"/>
        <v>59583.600000000006</v>
      </c>
      <c r="U23" s="68">
        <f t="shared" si="61"/>
        <v>10416.399999999994</v>
      </c>
      <c r="V23" s="268">
        <f t="shared" si="62"/>
        <v>0.85119428571428579</v>
      </c>
      <c r="W23" s="13">
        <f t="shared" si="38"/>
        <v>56000</v>
      </c>
      <c r="X23" s="13">
        <f t="shared" si="83"/>
        <v>12245.2</v>
      </c>
      <c r="Y23" s="13">
        <f t="shared" si="83"/>
        <v>14704.2</v>
      </c>
      <c r="Z23" s="13">
        <f t="shared" si="83"/>
        <v>11185.2</v>
      </c>
      <c r="AA23" s="13">
        <f t="shared" si="83"/>
        <v>12759.6</v>
      </c>
      <c r="AB23" s="13">
        <f t="shared" si="83"/>
        <v>50894.200000000004</v>
      </c>
      <c r="AC23" s="68">
        <f t="shared" si="63"/>
        <v>5105.7999999999956</v>
      </c>
      <c r="AD23" s="268">
        <f t="shared" si="64"/>
        <v>0.9088250000000001</v>
      </c>
      <c r="AE23" s="13">
        <f t="shared" si="40"/>
        <v>56000</v>
      </c>
      <c r="AF23" s="13">
        <f t="shared" si="84"/>
        <v>17525.599999999999</v>
      </c>
      <c r="AG23" s="13">
        <f t="shared" si="84"/>
        <v>12546.8</v>
      </c>
      <c r="AH23" s="13">
        <f t="shared" si="84"/>
        <v>12257.4</v>
      </c>
      <c r="AI23" s="13">
        <f t="shared" si="84"/>
        <v>12256.6</v>
      </c>
      <c r="AJ23" s="13">
        <f t="shared" si="84"/>
        <v>54586.399999999994</v>
      </c>
      <c r="AK23" s="68">
        <f t="shared" si="65"/>
        <v>1413.6000000000058</v>
      </c>
      <c r="AL23" s="268">
        <f t="shared" si="66"/>
        <v>0.97475714285714277</v>
      </c>
      <c r="AM23" s="13">
        <f t="shared" si="42"/>
        <v>70000</v>
      </c>
      <c r="AN23" s="13">
        <f t="shared" si="85"/>
        <v>13657.4</v>
      </c>
      <c r="AO23" s="13">
        <f t="shared" si="85"/>
        <v>16512.2</v>
      </c>
      <c r="AP23" s="13">
        <f t="shared" si="85"/>
        <v>16612.400000000001</v>
      </c>
      <c r="AQ23" s="13">
        <f t="shared" si="85"/>
        <v>16362.6</v>
      </c>
      <c r="AR23" s="13">
        <f t="shared" si="85"/>
        <v>14045.4</v>
      </c>
      <c r="AS23" s="13">
        <f t="shared" si="85"/>
        <v>77190</v>
      </c>
      <c r="AT23" s="68">
        <f>AM23-AS23</f>
        <v>-7190</v>
      </c>
      <c r="AU23" s="268">
        <f t="shared" si="67"/>
        <v>1.1027142857142858</v>
      </c>
      <c r="AV23" s="13">
        <f t="shared" si="44"/>
        <v>56000</v>
      </c>
      <c r="AW23" s="13">
        <f t="shared" si="86"/>
        <v>14456.6</v>
      </c>
      <c r="AX23" s="13">
        <f t="shared" si="86"/>
        <v>15376.4</v>
      </c>
      <c r="AY23" s="13">
        <f t="shared" si="86"/>
        <v>16513</v>
      </c>
      <c r="AZ23" s="13">
        <f t="shared" si="86"/>
        <v>16512.599999999999</v>
      </c>
      <c r="BA23" s="13">
        <f t="shared" si="86"/>
        <v>62858.6</v>
      </c>
      <c r="BB23" s="68">
        <f t="shared" si="68"/>
        <v>-6858.5999999999985</v>
      </c>
      <c r="BC23" s="268">
        <f t="shared" si="69"/>
        <v>1.1224749999999999</v>
      </c>
      <c r="BD23" s="13">
        <f t="shared" si="46"/>
        <v>56000</v>
      </c>
      <c r="BE23" s="13">
        <f>SUMIFS(SALIDAS_BIT,FECHA_BIT,"&gt;="&amp;BE$2,FECHA_BIT,"&lt;="&amp;BE$3,CLAVE_BIT,$A23)+SUMIFS(SALIDAS_BOV1,FECHA_BOV1,"&gt;="&amp;BE$2,FECHA_BOV1,"&lt;="&amp;BE$3,CLAVE_BOV1,$A23)+SUMIFS(SALIDAS_BOV2,FECHA_BOV2,"&gt;="&amp;BE$2,FECHA_BOV2,"&lt;="&amp;BE$3,CLAVE_BOV2,$A23)+SUMIFS(SALIDAS_BOV3,FECHA_BOV3,"&gt;="&amp;BE$2,FECHA_BOV3,"&lt;="&amp;BE$3,CLAVE_BOV3,$A23)+SUMIFS(SALIDAS_TC,FECHA_TC,"&gt;="&amp;BE$2,FECHA_TC,"&lt;="&amp;BE$3,CLAVE_TC,$A23)+SUMIFS(SALIDAS_COMB,FECHA_COMB,"&gt;="&amp;BE$2,FECHA_COMB,"&lt;="&amp;BE$3,CLAVE_COMB,$A23)+SUMIFS(SALIDAS_DES,FECHA_DESGLOSEN,"&gt;="&amp;BE$2,FECHA_DESGLOSEN,"&lt;="&amp;BE$3,CLAVE_DESGLOSE,$A23)</f>
        <v>15123</v>
      </c>
      <c r="BF23" s="13">
        <f>SUMIFS(SALIDAS_BIT,FECHA_BIT,"&gt;="&amp;BF$2,FECHA_BIT,"&lt;="&amp;BF$3,CLAVE_BIT,$A23)+SUMIFS(SALIDAS_BOV1,FECHA_BOV1,"&gt;="&amp;BF$2,FECHA_BOV1,"&lt;="&amp;BF$3,CLAVE_BOV1,$A23)+SUMIFS(SALIDAS_BOV2,FECHA_BOV2,"&gt;="&amp;BF$2,FECHA_BOV2,"&lt;="&amp;BF$3,CLAVE_BOV2,$A23)+SUMIFS(SALIDAS_BOV3,FECHA_BOV3,"&gt;="&amp;BF$2,FECHA_BOV3,"&lt;="&amp;BF$3,CLAVE_BOV3,$A23)+SUMIFS(SALIDAS_TC,FECHA_TC,"&gt;="&amp;BF$2,FECHA_TC,"&lt;="&amp;BF$3,CLAVE_TC,$A23)+SUMIFS(SALIDAS_COMB,FECHA_COMB,"&gt;="&amp;BF$2,FECHA_COMB,"&lt;="&amp;BF$3,CLAVE_COMB,$A23)+SUMIFS(SALIDAS_DES,FECHA_DESGLOSEN,"&gt;="&amp;BF$2,FECHA_DESGLOSEN,"&lt;="&amp;BF$3,CLAVE_DESGLOSE,$A23)</f>
        <v>15012.2</v>
      </c>
      <c r="BG23" s="13">
        <f>SUMIFS(SALIDAS_BIT,FECHA_BIT,"&gt;="&amp;BG$2,FECHA_BIT,"&lt;="&amp;BG$3,CLAVE_BIT,$A23)+SUMIFS(SALIDAS_BOV1,FECHA_BOV1,"&gt;="&amp;BG$2,FECHA_BOV1,"&lt;="&amp;BG$3,CLAVE_BOV1,$A23)+SUMIFS(SALIDAS_BOV2,FECHA_BOV2,"&gt;="&amp;BG$2,FECHA_BOV2,"&lt;="&amp;BG$3,CLAVE_BOV2,$A23)+SUMIFS(SALIDAS_BOV3,FECHA_BOV3,"&gt;="&amp;BG$2,FECHA_BOV3,"&lt;="&amp;BG$3,CLAVE_BOV3,$A23)+SUMIFS(SALIDAS_TC,FECHA_TC,"&gt;="&amp;BG$2,FECHA_TC,"&lt;="&amp;BG$3,CLAVE_TC,$A23)+SUMIFS(SALIDAS_COMB,FECHA_COMB,"&gt;="&amp;BG$2,FECHA_COMB,"&lt;="&amp;BG$3,CLAVE_COMB,$A23)+SUMIFS(SALIDAS_DES,FECHA_DESGLOSEN,"&gt;="&amp;BG$2,FECHA_DESGLOSEN,"&lt;="&amp;BG$3,CLAVE_DESGLOSE,$A23)</f>
        <v>14939.8</v>
      </c>
      <c r="BH23" s="13">
        <f>SUMIFS(SALIDAS_BIT,FECHA_BIT,"&gt;="&amp;BH$2,FECHA_BIT,"&lt;="&amp;BH$3,CLAVE_BIT,$A23)+SUMIFS(SALIDAS_BOV1,FECHA_BOV1,"&gt;="&amp;BH$2,FECHA_BOV1,"&lt;="&amp;BH$3,CLAVE_BOV1,$A23)+SUMIFS(SALIDAS_BOV2,FECHA_BOV2,"&gt;="&amp;BH$2,FECHA_BOV2,"&lt;="&amp;BH$3,CLAVE_BOV2,$A23)+SUMIFS(SALIDAS_BOV3,FECHA_BOV3,"&gt;="&amp;BH$2,FECHA_BOV3,"&lt;="&amp;BH$3,CLAVE_BOV3,$A23)+SUMIFS(SALIDAS_TC,FECHA_TC,"&gt;="&amp;BH$2,FECHA_TC,"&lt;="&amp;BH$3,CLAVE_TC,$A23)+SUMIFS(SALIDAS_COMB,FECHA_COMB,"&gt;="&amp;BH$2,FECHA_COMB,"&lt;="&amp;BH$3,CLAVE_COMB,$A23)+SUMIFS(SALIDAS_DES,FECHA_DESGLOSEN,"&gt;="&amp;BH$2,FECHA_DESGLOSEN,"&lt;="&amp;BH$3,CLAVE_DESGLOSE,$A23)</f>
        <v>17817.8</v>
      </c>
      <c r="BI23" s="13">
        <f>SUMIFS(SALIDAS_BIT,FECHA_BIT,"&gt;="&amp;BI$2,FECHA_BIT,"&lt;="&amp;BI$3,CLAVE_BIT,$A23)+SUMIFS(SALIDAS_BOV1,FECHA_BOV1,"&gt;="&amp;BI$2,FECHA_BOV1,"&lt;="&amp;BI$3,CLAVE_BOV1,$A23)+SUMIFS(SALIDAS_BOV2,FECHA_BOV2,"&gt;="&amp;BI$2,FECHA_BOV2,"&lt;="&amp;BI$3,CLAVE_BOV2,$A23)+SUMIFS(SALIDAS_BOV3,FECHA_BOV3,"&gt;="&amp;BI$2,FECHA_BOV3,"&lt;="&amp;BI$3,CLAVE_BOV3,$A23)+SUMIFS(SALIDAS_TC,FECHA_TC,"&gt;="&amp;BI$2,FECHA_TC,"&lt;="&amp;BI$3,CLAVE_TC,$A23)+SUMIFS(SALIDAS_COMB,FECHA_COMB,"&gt;="&amp;BI$2,FECHA_COMB,"&lt;="&amp;BI$3,CLAVE_COMB,$A23)+SUMIFS(SALIDAS_DES,FECHA_DESGLOSEN,"&gt;="&amp;BI$2,FECHA_DESGLOSEN,"&lt;="&amp;BI$3,CLAVE_DESGLOSE,$A23)</f>
        <v>62892.800000000003</v>
      </c>
      <c r="BJ23" s="68">
        <f t="shared" si="70"/>
        <v>-6892.8000000000029</v>
      </c>
      <c r="BK23" s="401">
        <f t="shared" si="71"/>
        <v>1.1230857142857142</v>
      </c>
      <c r="BL23" s="13">
        <f t="shared" si="47"/>
        <v>70000</v>
      </c>
      <c r="BM23" s="13">
        <f>SUMIFS(SALIDAS_BIT,FECHA_BIT,"&gt;="&amp;BM$2,FECHA_BIT,"&lt;="&amp;BM$3,CLAVE_BIT,$A23)+SUMIFS(SALIDAS_BOV1,FECHA_BOV1,"&gt;="&amp;BM$2,FECHA_BOV1,"&lt;="&amp;BM$3,CLAVE_BOV1,$A23)+SUMIFS(SALIDAS_BOV2,FECHA_BOV2,"&gt;="&amp;BM$2,FECHA_BOV2,"&lt;="&amp;BM$3,CLAVE_BOV2,$A23)+SUMIFS(SALIDAS_BOV3,FECHA_BOV3,"&gt;="&amp;BM$2,FECHA_BOV3,"&lt;="&amp;BM$3,CLAVE_BOV3,$A23)+SUMIFS(SALIDAS_TC,FECHA_TC,"&gt;="&amp;BM$2,FECHA_TC,"&lt;="&amp;BM$3,CLAVE_TC,$A23)+SUMIFS(SALIDAS_COMB,FECHA_COMB,"&gt;="&amp;BM$2,FECHA_COMB,"&lt;="&amp;BM$3,CLAVE_COMB,$A23)+SUMIFS(SALIDAS_DES,FECHA_DESGLOSEN,"&gt;="&amp;BM$2,FECHA_DESGLOSEN,"&lt;="&amp;BM$3,CLAVE_DESGLOSE,$A23)</f>
        <v>15169.4</v>
      </c>
      <c r="BN23" s="13">
        <f>SUMIFS(SALIDAS_BIT,FECHA_BIT,"&gt;="&amp;BN$2,FECHA_BIT,"&lt;="&amp;BN$3,CLAVE_BIT,$A23)+SUMIFS(SALIDAS_BOV1,FECHA_BOV1,"&gt;="&amp;BN$2,FECHA_BOV1,"&lt;="&amp;BN$3,CLAVE_BOV1,$A23)+SUMIFS(SALIDAS_BOV2,FECHA_BOV2,"&gt;="&amp;BN$2,FECHA_BOV2,"&lt;="&amp;BN$3,CLAVE_BOV2,$A23)+SUMIFS(SALIDAS_BOV3,FECHA_BOV3,"&gt;="&amp;BN$2,FECHA_BOV3,"&lt;="&amp;BN$3,CLAVE_BOV3,$A23)+SUMIFS(SALIDAS_TC,FECHA_TC,"&gt;="&amp;BN$2,FECHA_TC,"&lt;="&amp;BN$3,CLAVE_TC,$A23)+SUMIFS(SALIDAS_COMB,FECHA_COMB,"&gt;="&amp;BN$2,FECHA_COMB,"&lt;="&amp;BN$3,CLAVE_COMB,$A23)+SUMIFS(SALIDAS_DES,FECHA_DESGLOSEN,"&gt;="&amp;BN$2,FECHA_DESGLOSEN,"&lt;="&amp;BN$3,CLAVE_DESGLOSE,$A23)</f>
        <v>11805.6</v>
      </c>
      <c r="BO23" s="13">
        <f>SUMIFS(SALIDAS_BIT,FECHA_BIT,"&gt;="&amp;BO$2,FECHA_BIT,"&lt;="&amp;BO$3,CLAVE_BIT,$A23)+SUMIFS(SALIDAS_BOV1,FECHA_BOV1,"&gt;="&amp;BO$2,FECHA_BOV1,"&lt;="&amp;BO$3,CLAVE_BOV1,$A23)+SUMIFS(SALIDAS_BOV2,FECHA_BOV2,"&gt;="&amp;BO$2,FECHA_BOV2,"&lt;="&amp;BO$3,CLAVE_BOV2,$A23)+SUMIFS(SALIDAS_BOV3,FECHA_BOV3,"&gt;="&amp;BO$2,FECHA_BOV3,"&lt;="&amp;BO$3,CLAVE_BOV3,$A23)+SUMIFS(SALIDAS_TC,FECHA_TC,"&gt;="&amp;BO$2,FECHA_TC,"&lt;="&amp;BO$3,CLAVE_TC,$A23)+SUMIFS(SALIDAS_COMB,FECHA_COMB,"&gt;="&amp;BO$2,FECHA_COMB,"&lt;="&amp;BO$3,CLAVE_COMB,$A23)+SUMIFS(SALIDAS_DES,FECHA_DESGLOSEN,"&gt;="&amp;BO$2,FECHA_DESGLOSEN,"&lt;="&amp;BO$3,CLAVE_DESGLOSE,$A23)</f>
        <v>13151.4</v>
      </c>
      <c r="BP23" s="13">
        <f>SUMIFS(SALIDAS_BIT,FECHA_BIT,"&gt;="&amp;BP$2,FECHA_BIT,"&lt;="&amp;BP$3,CLAVE_BIT,$A23)+SUMIFS(SALIDAS_BOV1,FECHA_BOV1,"&gt;="&amp;BP$2,FECHA_BOV1,"&lt;="&amp;BP$3,CLAVE_BOV1,$A23)+SUMIFS(SALIDAS_BOV2,FECHA_BOV2,"&gt;="&amp;BP$2,FECHA_BOV2,"&lt;="&amp;BP$3,CLAVE_BOV2,$A23)+SUMIFS(SALIDAS_BOV3,FECHA_BOV3,"&gt;="&amp;BP$2,FECHA_BOV3,"&lt;="&amp;BP$3,CLAVE_BOV3,$A23)+SUMIFS(SALIDAS_TC,FECHA_TC,"&gt;="&amp;BP$2,FECHA_TC,"&lt;="&amp;BP$3,CLAVE_TC,$A23)+SUMIFS(SALIDAS_COMB,FECHA_COMB,"&gt;="&amp;BP$2,FECHA_COMB,"&lt;="&amp;BP$3,CLAVE_COMB,$A23)+SUMIFS(SALIDAS_DES,FECHA_DESGLOSEN,"&gt;="&amp;BP$2,FECHA_DESGLOSEN,"&lt;="&amp;BP$3,CLAVE_DESGLOSE,$A23)</f>
        <v>14486.2</v>
      </c>
      <c r="BQ23" s="13">
        <f>SUMIFS(SALIDAS_BIT,FECHA_BIT,"&gt;="&amp;BQ$2,FECHA_BIT,"&lt;="&amp;BQ$3,CLAVE_BIT,$A23)+SUMIFS(SALIDAS_BOV1,FECHA_BOV1,"&gt;="&amp;BQ$2,FECHA_BOV1,"&lt;="&amp;BQ$3,CLAVE_BOV1,$A23)+SUMIFS(SALIDAS_BOV2,FECHA_BOV2,"&gt;="&amp;BQ$2,FECHA_BOV2,"&lt;="&amp;BQ$3,CLAVE_BOV2,$A23)+SUMIFS(SALIDAS_BOV3,FECHA_BOV3,"&gt;="&amp;BQ$2,FECHA_BOV3,"&lt;="&amp;BQ$3,CLAVE_BOV3,$A23)+SUMIFS(SALIDAS_TC,FECHA_TC,"&gt;="&amp;BQ$2,FECHA_TC,"&lt;="&amp;BQ$3,CLAVE_TC,$A23)+SUMIFS(SALIDAS_COMB,FECHA_COMB,"&gt;="&amp;BQ$2,FECHA_COMB,"&lt;="&amp;BQ$3,CLAVE_COMB,$A23)+SUMIFS(SALIDAS_DES,FECHA_DESGLOSEN,"&gt;="&amp;BQ$2,FECHA_DESGLOSEN,"&lt;="&amp;BQ$3,CLAVE_DESGLOSE,$A23)</f>
        <v>15635.4</v>
      </c>
      <c r="BR23" s="13">
        <f>SUMIFS(SALIDAS_BIT,FECHA_BIT,"&gt;="&amp;BR$2,FECHA_BIT,"&lt;="&amp;BR$3,CLAVE_BIT,$A23)+SUMIFS(SALIDAS_BOV1,FECHA_BOV1,"&gt;="&amp;BR$2,FECHA_BOV1,"&lt;="&amp;BR$3,CLAVE_BOV1,$A23)+SUMIFS(SALIDAS_BOV2,FECHA_BOV2,"&gt;="&amp;BR$2,FECHA_BOV2,"&lt;="&amp;BR$3,CLAVE_BOV2,$A23)+SUMIFS(SALIDAS_BOV3,FECHA_BOV3,"&gt;="&amp;BR$2,FECHA_BOV3,"&lt;="&amp;BR$3,CLAVE_BOV3,$A23)+SUMIFS(SALIDAS_TC,FECHA_TC,"&gt;="&amp;BR$2,FECHA_TC,"&lt;="&amp;BR$3,CLAVE_TC,$A23)+SUMIFS(SALIDAS_COMB,FECHA_COMB,"&gt;="&amp;BR$2,FECHA_COMB,"&lt;="&amp;BR$3,CLAVE_COMB,$A23)+SUMIFS(SALIDAS_DES,FECHA_DESGLOSEN,"&gt;="&amp;BR$2,FECHA_DESGLOSEN,"&lt;="&amp;BR$3,CLAVE_DESGLOSE,$A23)</f>
        <v>70248</v>
      </c>
      <c r="BS23" s="68">
        <f t="shared" si="72"/>
        <v>-248</v>
      </c>
      <c r="BT23" s="401">
        <f t="shared" si="73"/>
        <v>1.0035428571428571</v>
      </c>
      <c r="BU23" s="13">
        <f t="shared" si="49"/>
        <v>56000</v>
      </c>
      <c r="BV23" s="13">
        <f t="shared" ref="BV23:BY86" si="90">SUMIFS(SALIDAS_BIT,FECHA_BIT,"&gt;="&amp;BV$2,FECHA_BIT,"&lt;="&amp;BV$3,CLAVE_BIT,$A23)+SUMIFS(SALIDAS_BOV1,FECHA_BOV1,"&gt;="&amp;BV$2,FECHA_BOV1,"&lt;="&amp;BV$3,CLAVE_BOV1,$A23)+SUMIFS(SALIDAS_BOV2,FECHA_BOV2,"&gt;="&amp;BV$2,FECHA_BOV2,"&lt;="&amp;BV$3,CLAVE_BOV2,$A23)+SUMIFS(SALIDAS_BOV3,FECHA_BOV3,"&gt;="&amp;BV$2,FECHA_BOV3,"&lt;="&amp;BV$3,CLAVE_BOV3,$A23)+SUMIFS(SALIDAS_TC,FECHA_TC,"&gt;="&amp;BV$2,FECHA_TC,"&lt;="&amp;BV$3,CLAVE_TC,$A23)+SUMIFS(SALIDAS_COMB,FECHA_COMB,"&gt;="&amp;BV$2,FECHA_COMB,"&lt;="&amp;BV$3,CLAVE_COMB,$A23)+SUMIFS(SALIDAS_DES,FECHA_DESGLOSEN,"&gt;="&amp;BV$2,FECHA_DESGLOSEN,"&lt;="&amp;BV$3,CLAVE_DESGLOSE,$A23)</f>
        <v>16396.400000000001</v>
      </c>
      <c r="BW23" s="13">
        <f t="shared" si="90"/>
        <v>15575</v>
      </c>
      <c r="BX23" s="13">
        <f t="shared" si="90"/>
        <v>12564.2</v>
      </c>
      <c r="BY23" s="13">
        <f t="shared" si="90"/>
        <v>15091.6</v>
      </c>
      <c r="BZ23" s="13">
        <f t="shared" si="87"/>
        <v>59627.200000000004</v>
      </c>
      <c r="CA23" s="68">
        <f t="shared" si="74"/>
        <v>-3627.2000000000044</v>
      </c>
      <c r="CB23" s="268">
        <f t="shared" si="75"/>
        <v>1.0647714285714287</v>
      </c>
      <c r="CC23" s="13">
        <f t="shared" si="51"/>
        <v>56000</v>
      </c>
      <c r="CD23" s="13">
        <f t="shared" ref="CD23:CG86" si="91">SUMIFS(SALIDAS_BIT,FECHA_BIT,"&gt;="&amp;CD$2,FECHA_BIT,"&lt;="&amp;CD$3,CLAVE_BIT,$A23)+SUMIFS(SALIDAS_BOV1,FECHA_BOV1,"&gt;="&amp;CD$2,FECHA_BOV1,"&lt;="&amp;CD$3,CLAVE_BOV1,$A23)+SUMIFS(SALIDAS_BOV2,FECHA_BOV2,"&gt;="&amp;CD$2,FECHA_BOV2,"&lt;="&amp;CD$3,CLAVE_BOV2,$A23)+SUMIFS(SALIDAS_BOV3,FECHA_BOV3,"&gt;="&amp;CD$2,FECHA_BOV3,"&lt;="&amp;CD$3,CLAVE_BOV3,$A23)+SUMIFS(SALIDAS_TC,FECHA_TC,"&gt;="&amp;CD$2,FECHA_TC,"&lt;="&amp;CD$3,CLAVE_TC,$A23)+SUMIFS(SALIDAS_COMB,FECHA_COMB,"&gt;="&amp;CD$2,FECHA_COMB,"&lt;="&amp;CD$3,CLAVE_COMB,$A23)+SUMIFS(SALIDAS_DES,FECHA_DESGLOSEN,"&gt;="&amp;CD$2,FECHA_DESGLOSEN,"&lt;="&amp;CD$3,CLAVE_DESGLOSE,$A23)</f>
        <v>16251</v>
      </c>
      <c r="CE23" s="13">
        <f t="shared" si="91"/>
        <v>16632.8</v>
      </c>
      <c r="CF23" s="13">
        <f t="shared" si="91"/>
        <v>17842.8</v>
      </c>
      <c r="CG23" s="13">
        <f t="shared" si="91"/>
        <v>15530.4</v>
      </c>
      <c r="CH23" s="13">
        <f t="shared" si="88"/>
        <v>66257</v>
      </c>
      <c r="CI23" s="68">
        <f t="shared" si="76"/>
        <v>-10257</v>
      </c>
      <c r="CJ23" s="268">
        <f t="shared" si="77"/>
        <v>1.1831607142857143</v>
      </c>
      <c r="CK23" s="13">
        <f t="shared" si="53"/>
        <v>94189</v>
      </c>
      <c r="CL23" s="13">
        <f t="shared" ref="CL23:CP86" si="92">SUMIFS(SALIDAS_BIT,FECHA_BIT,"&gt;="&amp;CL$2,FECHA_BIT,"&lt;="&amp;CL$3,CLAVE_BIT,$A23)+SUMIFS(SALIDAS_BOV1,FECHA_BOV1,"&gt;="&amp;CL$2,FECHA_BOV1,"&lt;="&amp;CL$3,CLAVE_BOV1,$A23)+SUMIFS(SALIDAS_BOV2,FECHA_BOV2,"&gt;="&amp;CL$2,FECHA_BOV2,"&lt;="&amp;CL$3,CLAVE_BOV2,$A23)+SUMIFS(SALIDAS_BOV3,FECHA_BOV3,"&gt;="&amp;CL$2,FECHA_BOV3,"&lt;="&amp;CL$3,CLAVE_BOV3,$A23)+SUMIFS(SALIDAS_TC,FECHA_TC,"&gt;="&amp;CL$2,FECHA_TC,"&lt;="&amp;CL$3,CLAVE_TC,$A23)+SUMIFS(SALIDAS_COMB,FECHA_COMB,"&gt;="&amp;CL$2,FECHA_COMB,"&lt;="&amp;CL$3,CLAVE_COMB,$A23)+SUMIFS(SALIDAS_DES,FECHA_DESGLOSEN,"&gt;="&amp;CL$2,FECHA_DESGLOSEN,"&lt;="&amp;CL$3,CLAVE_DESGLOSE,$A23)</f>
        <v>14890.4</v>
      </c>
      <c r="CM23" s="13">
        <f t="shared" si="92"/>
        <v>23026.799999999999</v>
      </c>
      <c r="CN23" s="13">
        <f t="shared" si="92"/>
        <v>26100.799999999999</v>
      </c>
      <c r="CO23" s="13">
        <f t="shared" si="92"/>
        <v>41100</v>
      </c>
      <c r="CP23" s="13">
        <f t="shared" si="92"/>
        <v>16424</v>
      </c>
      <c r="CQ23" s="13">
        <f t="shared" si="89"/>
        <v>121542</v>
      </c>
      <c r="CR23" s="68">
        <f t="shared" si="78"/>
        <v>-27353</v>
      </c>
      <c r="CS23" s="268">
        <f t="shared" si="79"/>
        <v>1.2904054613596068</v>
      </c>
      <c r="CT23" s="68">
        <f t="shared" si="55"/>
        <v>67379</v>
      </c>
      <c r="CU23" s="13">
        <f>SUMIFS(SALIDAS_BIT,FECHA_BIT,"&gt;="&amp;CU$2,FECHA_BIT,"&lt;="&amp;CU$3,CLAVE_BIT,$A23)+SUMIFS(SALIDAS_BOV1,FECHA_BOV1,"&gt;="&amp;CU$2,FECHA_BOV1,"&lt;="&amp;CU$3,CLAVE_BOV1,$A23)+SUMIFS(SALIDAS_BOV2,FECHA_BOV2,"&gt;="&amp;CU$2,FECHA_BOV2,"&lt;="&amp;CU$3,CLAVE_BOV2,$A23)+SUMIFS(SALIDAS_BOV3,FECHA_BOV3,"&gt;="&amp;CU$2,FECHA_BOV3,"&lt;="&amp;CU$3,CLAVE_BOV3,$A23)+SUMIFS(SALIDAS_TC,FECHA_TC,"&gt;="&amp;CU$2,FECHA_TC,"&lt;="&amp;CU$3,CLAVE_TC,$A23)+SUMIFS(SALIDAS_COMB,FECHA_COMB,"&gt;="&amp;CU$2,FECHA_COMB,"&lt;="&amp;CU$3,CLAVE_COMB,$A23)+SUMIFS(SALIDAS_DES,FECHA_DESGLOSEN,"&gt;="&amp;CU$2,FECHA_DESGLOSEN,"&lt;="&amp;CU$3,CLAVE_DESGLOSE,$A23)</f>
        <v>15564.2</v>
      </c>
      <c r="CV23" s="13">
        <f>SUMIFS(SALIDAS_BIT,FECHA_BIT,"&gt;="&amp;CV$2,FECHA_BIT,"&lt;="&amp;CV$3,CLAVE_BIT,$A23)+SUMIFS(SALIDAS_BOV1,FECHA_BOV1,"&gt;="&amp;CV$2,FECHA_BOV1,"&lt;="&amp;CV$3,CLAVE_BOV1,$A23)+SUMIFS(SALIDAS_BOV2,FECHA_BOV2,"&gt;="&amp;CV$2,FECHA_BOV2,"&lt;="&amp;CV$3,CLAVE_BOV2,$A23)+SUMIFS(SALIDAS_BOV3,FECHA_BOV3,"&gt;="&amp;CV$2,FECHA_BOV3,"&lt;="&amp;CV$3,CLAVE_BOV3,$A23)+SUMIFS(SALIDAS_TC,FECHA_TC,"&gt;="&amp;CV$2,FECHA_TC,"&lt;="&amp;CV$3,CLAVE_TC,$A23)+SUMIFS(SALIDAS_COMB,FECHA_COMB,"&gt;="&amp;CV$2,FECHA_COMB,"&lt;="&amp;CV$3,CLAVE_COMB,$A23)+SUMIFS(SALIDAS_DES,FECHA_DESGLOSEN,"&gt;="&amp;CV$2,FECHA_DESGLOSEN,"&lt;="&amp;CV$3,CLAVE_DESGLOSE,$A23)</f>
        <v>15298.8</v>
      </c>
      <c r="CW23" s="13">
        <f>SUMIFS(SALIDAS_BIT,FECHA_BIT,"&gt;="&amp;CW$2,FECHA_BIT,"&lt;="&amp;CW$3,CLAVE_BIT,$A23)+SUMIFS(SALIDAS_BOV1,FECHA_BOV1,"&gt;="&amp;CW$2,FECHA_BOV1,"&lt;="&amp;CW$3,CLAVE_BOV1,$A23)+SUMIFS(SALIDAS_BOV2,FECHA_BOV2,"&gt;="&amp;CW$2,FECHA_BOV2,"&lt;="&amp;CW$3,CLAVE_BOV2,$A23)+SUMIFS(SALIDAS_BOV3,FECHA_BOV3,"&gt;="&amp;CW$2,FECHA_BOV3,"&lt;="&amp;CW$3,CLAVE_BOV3,$A23)+SUMIFS(SALIDAS_TC,FECHA_TC,"&gt;="&amp;CW$2,FECHA_TC,"&lt;="&amp;CW$3,CLAVE_TC,$A23)+SUMIFS(SALIDAS_COMB,FECHA_COMB,"&gt;="&amp;CW$2,FECHA_COMB,"&lt;="&amp;CW$3,CLAVE_COMB,$A23)+SUMIFS(SALIDAS_DES,FECHA_DESGLOSEN,"&gt;="&amp;CW$2,FECHA_DESGLOSEN,"&lt;="&amp;CW$3,CLAVE_DESGLOSE,$A23)</f>
        <v>17724</v>
      </c>
      <c r="CX23" s="13">
        <f>SUMIFS(SALIDAS_BIT,FECHA_BIT,"&gt;="&amp;CX$2,FECHA_BIT,"&lt;="&amp;CX$3,CLAVE_BIT,$A23)+SUMIFS(SALIDAS_BOV1,FECHA_BOV1,"&gt;="&amp;CX$2,FECHA_BOV1,"&lt;="&amp;CX$3,CLAVE_BOV1,$A23)+SUMIFS(SALIDAS_BOV2,FECHA_BOV2,"&gt;="&amp;CX$2,FECHA_BOV2,"&lt;="&amp;CX$3,CLAVE_BOV2,$A23)+SUMIFS(SALIDAS_BOV3,FECHA_BOV3,"&gt;="&amp;CX$2,FECHA_BOV3,"&lt;="&amp;CX$3,CLAVE_BOV3,$A23)+SUMIFS(SALIDAS_TC,FECHA_TC,"&gt;="&amp;CX$2,FECHA_TC,"&lt;="&amp;CX$3,CLAVE_TC,$A23)+SUMIFS(SALIDAS_COMB,FECHA_COMB,"&gt;="&amp;CX$2,FECHA_COMB,"&lt;="&amp;CX$3,CLAVE_COMB,$A23)+SUMIFS(SALIDAS_DES,FECHA_DESGLOSEN,"&gt;="&amp;CX$2,FECHA_DESGLOSEN,"&lt;="&amp;CX$3,CLAVE_DESGLOSE,$A23)</f>
        <v>9252</v>
      </c>
      <c r="CY23" s="13">
        <f>SUMIFS(SALIDAS_BIT,FECHA_BIT,"&gt;="&amp;CY$2,FECHA_BIT,"&lt;="&amp;CY$3,CLAVE_BIT,$A23)+SUMIFS(SALIDAS_BOV1,FECHA_BOV1,"&gt;="&amp;CY$2,FECHA_BOV1,"&lt;="&amp;CY$3,CLAVE_BOV1,$A23)+SUMIFS(SALIDAS_BOV2,FECHA_BOV2,"&gt;="&amp;CY$2,FECHA_BOV2,"&lt;="&amp;CY$3,CLAVE_BOV2,$A23)+SUMIFS(SALIDAS_BOV3,FECHA_BOV3,"&gt;="&amp;CY$2,FECHA_BOV3,"&lt;="&amp;CY$3,CLAVE_BOV3,$A23)+SUMIFS(SALIDAS_TC,FECHA_TC,"&gt;="&amp;CY$2,FECHA_TC,"&lt;="&amp;CY$3,CLAVE_TC,$A23)+SUMIFS(SALIDAS_COMB,FECHA_COMB,"&gt;="&amp;CY$2,FECHA_COMB,"&lt;="&amp;CY$3,CLAVE_COMB,$A23)+SUMIFS(SALIDAS_DES,FECHA_DESGLOSEN,"&gt;="&amp;CY$2,FECHA_DESGLOSEN,"&lt;="&amp;CY$3,CLAVE_DESGLOSE,$A23)</f>
        <v>57839</v>
      </c>
      <c r="CZ23" s="68">
        <f t="shared" si="80"/>
        <v>9540</v>
      </c>
      <c r="DB23" s="17">
        <f>F23+N23+W23+AE23+AM23+AV23+BD23+BL23+BU23+CC23+CK23</f>
        <v>713456</v>
      </c>
      <c r="DC23" s="17">
        <f>K23+T23+AB23+AJ23+AS23+BA23+BI23+BR23+BZ23+CH23+CQ23</f>
        <v>737016</v>
      </c>
    </row>
    <row r="24" spans="1:107" hidden="1">
      <c r="A24" s="12" t="str">
        <f t="shared" si="57"/>
        <v>HRNOMINA SUCURSALA23</v>
      </c>
      <c r="B24" s="12">
        <v>18</v>
      </c>
      <c r="C24" t="s">
        <v>29</v>
      </c>
      <c r="D24" s="12" t="s">
        <v>154</v>
      </c>
      <c r="E24" s="12" t="s">
        <v>105</v>
      </c>
      <c r="F24" s="259">
        <f t="shared" si="58"/>
        <v>60002</v>
      </c>
      <c r="G24" s="13">
        <f t="shared" si="81"/>
        <v>14806</v>
      </c>
      <c r="H24" s="13">
        <f t="shared" si="81"/>
        <v>11097</v>
      </c>
      <c r="I24" s="13">
        <f t="shared" si="81"/>
        <v>11257.4</v>
      </c>
      <c r="J24" s="13">
        <f t="shared" si="81"/>
        <v>9185</v>
      </c>
      <c r="K24" s="13">
        <f t="shared" si="81"/>
        <v>46345.4</v>
      </c>
      <c r="L24" s="68">
        <f t="shared" si="59"/>
        <v>13656.599999999999</v>
      </c>
      <c r="M24" s="268">
        <f t="shared" si="60"/>
        <v>0.77239758674710846</v>
      </c>
      <c r="N24" s="13">
        <f t="shared" si="36"/>
        <v>65000</v>
      </c>
      <c r="O24" s="13">
        <f t="shared" si="82"/>
        <v>8829.2000000000007</v>
      </c>
      <c r="P24" s="13">
        <f t="shared" si="82"/>
        <v>8060.4</v>
      </c>
      <c r="Q24" s="13">
        <f t="shared" si="82"/>
        <v>10770.2</v>
      </c>
      <c r="R24" s="13">
        <f t="shared" si="82"/>
        <v>9795.2000000000007</v>
      </c>
      <c r="S24" s="13">
        <f t="shared" si="82"/>
        <v>7888</v>
      </c>
      <c r="T24" s="13">
        <f t="shared" si="82"/>
        <v>45343</v>
      </c>
      <c r="U24" s="68">
        <f t="shared" si="61"/>
        <v>19657</v>
      </c>
      <c r="V24" s="268">
        <f t="shared" si="62"/>
        <v>0.69758461538461536</v>
      </c>
      <c r="W24" s="13">
        <f t="shared" si="38"/>
        <v>52000</v>
      </c>
      <c r="X24" s="13">
        <f t="shared" si="83"/>
        <v>10810.4</v>
      </c>
      <c r="Y24" s="13">
        <f t="shared" si="83"/>
        <v>11492.6</v>
      </c>
      <c r="Z24" s="13">
        <f t="shared" si="83"/>
        <v>11365.6</v>
      </c>
      <c r="AA24" s="13">
        <f t="shared" si="83"/>
        <v>12766.6</v>
      </c>
      <c r="AB24" s="13">
        <f t="shared" si="83"/>
        <v>46435.199999999997</v>
      </c>
      <c r="AC24" s="68">
        <f t="shared" si="63"/>
        <v>5564.8000000000029</v>
      </c>
      <c r="AD24" s="268">
        <f t="shared" si="64"/>
        <v>0.89298461538461538</v>
      </c>
      <c r="AE24" s="13">
        <f t="shared" si="40"/>
        <v>52000</v>
      </c>
      <c r="AF24" s="13">
        <f t="shared" si="84"/>
        <v>15057.6</v>
      </c>
      <c r="AG24" s="13">
        <f t="shared" si="84"/>
        <v>13140.4</v>
      </c>
      <c r="AH24" s="13">
        <f t="shared" si="84"/>
        <v>13734</v>
      </c>
      <c r="AI24" s="13">
        <f t="shared" si="84"/>
        <v>13436</v>
      </c>
      <c r="AJ24" s="13">
        <f t="shared" si="84"/>
        <v>55368</v>
      </c>
      <c r="AK24" s="68">
        <f t="shared" si="65"/>
        <v>-3368</v>
      </c>
      <c r="AL24" s="268">
        <f t="shared" si="66"/>
        <v>1.0647692307692307</v>
      </c>
      <c r="AM24" s="13">
        <f t="shared" si="42"/>
        <v>65000</v>
      </c>
      <c r="AN24" s="13">
        <f t="shared" si="85"/>
        <v>14256.8</v>
      </c>
      <c r="AO24" s="13">
        <f t="shared" si="85"/>
        <v>14258.4</v>
      </c>
      <c r="AP24" s="13">
        <f t="shared" si="85"/>
        <v>14357.4</v>
      </c>
      <c r="AQ24" s="13">
        <f t="shared" si="85"/>
        <v>14587.8</v>
      </c>
      <c r="AR24" s="13">
        <f t="shared" si="85"/>
        <v>14594.2</v>
      </c>
      <c r="AS24" s="13">
        <f t="shared" si="85"/>
        <v>72054.599999999991</v>
      </c>
      <c r="AT24" s="68">
        <f>AM24-AS24</f>
        <v>-7054.5999999999913</v>
      </c>
      <c r="AU24" s="268">
        <f t="shared" si="67"/>
        <v>1.1085323076923075</v>
      </c>
      <c r="AV24" s="13">
        <f t="shared" si="44"/>
        <v>52000</v>
      </c>
      <c r="AW24" s="13">
        <f t="shared" si="86"/>
        <v>14280.8</v>
      </c>
      <c r="AX24" s="13">
        <f t="shared" si="86"/>
        <v>14158.4</v>
      </c>
      <c r="AY24" s="13">
        <f t="shared" si="86"/>
        <v>12742.4</v>
      </c>
      <c r="AZ24" s="13">
        <f t="shared" si="86"/>
        <v>12029.4</v>
      </c>
      <c r="BA24" s="13">
        <f t="shared" si="86"/>
        <v>53211</v>
      </c>
      <c r="BB24" s="68">
        <f t="shared" si="68"/>
        <v>-1211</v>
      </c>
      <c r="BC24" s="268">
        <f t="shared" si="69"/>
        <v>1.0232884615384616</v>
      </c>
      <c r="BD24" s="13">
        <f t="shared" si="46"/>
        <v>52000</v>
      </c>
      <c r="BE24" s="13">
        <f>SUMIFS(SALIDAS_BIT,FECHA_BIT,"&gt;="&amp;BE$2,FECHA_BIT,"&lt;="&amp;BE$3,CLAVE_BIT,$A24)+SUMIFS(SALIDAS_BOV1,FECHA_BOV1,"&gt;="&amp;BE$2,FECHA_BOV1,"&lt;="&amp;BE$3,CLAVE_BOV1,$A24)+SUMIFS(SALIDAS_BOV2,FECHA_BOV2,"&gt;="&amp;BE$2,FECHA_BOV2,"&lt;="&amp;BE$3,CLAVE_BOV2,$A24)+SUMIFS(SALIDAS_BOV3,FECHA_BOV3,"&gt;="&amp;BE$2,FECHA_BOV3,"&lt;="&amp;BE$3,CLAVE_BOV3,$A24)+SUMIFS(SALIDAS_TC,FECHA_TC,"&gt;="&amp;BE$2,FECHA_TC,"&lt;="&amp;BE$3,CLAVE_TC,$A24)+SUMIFS(SALIDAS_COMB,FECHA_COMB,"&gt;="&amp;BE$2,FECHA_COMB,"&lt;="&amp;BE$3,CLAVE_COMB,$A24)+SUMIFS(SALIDAS_DES,FECHA_DESGLOSEN,"&gt;="&amp;BE$2,FECHA_DESGLOSEN,"&lt;="&amp;BE$3,CLAVE_DESGLOSE,$A24)</f>
        <v>12218</v>
      </c>
      <c r="BF24" s="13">
        <f>SUMIFS(SALIDAS_BIT,FECHA_BIT,"&gt;="&amp;BF$2,FECHA_BIT,"&lt;="&amp;BF$3,CLAVE_BIT,$A24)+SUMIFS(SALIDAS_BOV1,FECHA_BOV1,"&gt;="&amp;BF$2,FECHA_BOV1,"&lt;="&amp;BF$3,CLAVE_BOV1,$A24)+SUMIFS(SALIDAS_BOV2,FECHA_BOV2,"&gt;="&amp;BF$2,FECHA_BOV2,"&lt;="&amp;BF$3,CLAVE_BOV2,$A24)+SUMIFS(SALIDAS_BOV3,FECHA_BOV3,"&gt;="&amp;BF$2,FECHA_BOV3,"&lt;="&amp;BF$3,CLAVE_BOV3,$A24)+SUMIFS(SALIDAS_TC,FECHA_TC,"&gt;="&amp;BF$2,FECHA_TC,"&lt;="&amp;BF$3,CLAVE_TC,$A24)+SUMIFS(SALIDAS_COMB,FECHA_COMB,"&gt;="&amp;BF$2,FECHA_COMB,"&lt;="&amp;BF$3,CLAVE_COMB,$A24)+SUMIFS(SALIDAS_DES,FECHA_DESGLOSEN,"&gt;="&amp;BF$2,FECHA_DESGLOSEN,"&lt;="&amp;BF$3,CLAVE_DESGLOSE,$A24)</f>
        <v>14578.2</v>
      </c>
      <c r="BG24" s="13">
        <f>SUMIFS(SALIDAS_BIT,FECHA_BIT,"&gt;="&amp;BG$2,FECHA_BIT,"&lt;="&amp;BG$3,CLAVE_BIT,$A24)+SUMIFS(SALIDAS_BOV1,FECHA_BOV1,"&gt;="&amp;BG$2,FECHA_BOV1,"&lt;="&amp;BG$3,CLAVE_BOV1,$A24)+SUMIFS(SALIDAS_BOV2,FECHA_BOV2,"&gt;="&amp;BG$2,FECHA_BOV2,"&lt;="&amp;BG$3,CLAVE_BOV2,$A24)+SUMIFS(SALIDAS_BOV3,FECHA_BOV3,"&gt;="&amp;BG$2,FECHA_BOV3,"&lt;="&amp;BG$3,CLAVE_BOV3,$A24)+SUMIFS(SALIDAS_TC,FECHA_TC,"&gt;="&amp;BG$2,FECHA_TC,"&lt;="&amp;BG$3,CLAVE_TC,$A24)+SUMIFS(SALIDAS_COMB,FECHA_COMB,"&gt;="&amp;BG$2,FECHA_COMB,"&lt;="&amp;BG$3,CLAVE_COMB,$A24)+SUMIFS(SALIDAS_DES,FECHA_DESGLOSEN,"&gt;="&amp;BG$2,FECHA_DESGLOSEN,"&lt;="&amp;BG$3,CLAVE_DESGLOSE,$A24)</f>
        <v>13258.2</v>
      </c>
      <c r="BH24" s="13">
        <f>SUMIFS(SALIDAS_BIT,FECHA_BIT,"&gt;="&amp;BH$2,FECHA_BIT,"&lt;="&amp;BH$3,CLAVE_BIT,$A24)+SUMIFS(SALIDAS_BOV1,FECHA_BOV1,"&gt;="&amp;BH$2,FECHA_BOV1,"&lt;="&amp;BH$3,CLAVE_BOV1,$A24)+SUMIFS(SALIDAS_BOV2,FECHA_BOV2,"&gt;="&amp;BH$2,FECHA_BOV2,"&lt;="&amp;BH$3,CLAVE_BOV2,$A24)+SUMIFS(SALIDAS_BOV3,FECHA_BOV3,"&gt;="&amp;BH$2,FECHA_BOV3,"&lt;="&amp;BH$3,CLAVE_BOV3,$A24)+SUMIFS(SALIDAS_TC,FECHA_TC,"&gt;="&amp;BH$2,FECHA_TC,"&lt;="&amp;BH$3,CLAVE_TC,$A24)+SUMIFS(SALIDAS_COMB,FECHA_COMB,"&gt;="&amp;BH$2,FECHA_COMB,"&lt;="&amp;BH$3,CLAVE_COMB,$A24)+SUMIFS(SALIDAS_DES,FECHA_DESGLOSEN,"&gt;="&amp;BH$2,FECHA_DESGLOSEN,"&lt;="&amp;BH$3,CLAVE_DESGLOSE,$A24)</f>
        <v>14457.2</v>
      </c>
      <c r="BI24" s="13">
        <f>SUMIFS(SALIDAS_BIT,FECHA_BIT,"&gt;="&amp;BI$2,FECHA_BIT,"&lt;="&amp;BI$3,CLAVE_BIT,$A24)+SUMIFS(SALIDAS_BOV1,FECHA_BOV1,"&gt;="&amp;BI$2,FECHA_BOV1,"&lt;="&amp;BI$3,CLAVE_BOV1,$A24)+SUMIFS(SALIDAS_BOV2,FECHA_BOV2,"&gt;="&amp;BI$2,FECHA_BOV2,"&lt;="&amp;BI$3,CLAVE_BOV2,$A24)+SUMIFS(SALIDAS_BOV3,FECHA_BOV3,"&gt;="&amp;BI$2,FECHA_BOV3,"&lt;="&amp;BI$3,CLAVE_BOV3,$A24)+SUMIFS(SALIDAS_TC,FECHA_TC,"&gt;="&amp;BI$2,FECHA_TC,"&lt;="&amp;BI$3,CLAVE_TC,$A24)+SUMIFS(SALIDAS_COMB,FECHA_COMB,"&gt;="&amp;BI$2,FECHA_COMB,"&lt;="&amp;BI$3,CLAVE_COMB,$A24)+SUMIFS(SALIDAS_DES,FECHA_DESGLOSEN,"&gt;="&amp;BI$2,FECHA_DESGLOSEN,"&lt;="&amp;BI$3,CLAVE_DESGLOSE,$A24)</f>
        <v>54511.600000000006</v>
      </c>
      <c r="BJ24" s="68">
        <f t="shared" si="70"/>
        <v>-2511.6000000000058</v>
      </c>
      <c r="BK24" s="401">
        <f t="shared" si="71"/>
        <v>1.0483</v>
      </c>
      <c r="BL24" s="13">
        <f t="shared" si="47"/>
        <v>65000</v>
      </c>
      <c r="BM24" s="13">
        <f>SUMIFS(SALIDAS_BIT,FECHA_BIT,"&gt;="&amp;BM$2,FECHA_BIT,"&lt;="&amp;BM$3,CLAVE_BIT,$A24)+SUMIFS(SALIDAS_BOV1,FECHA_BOV1,"&gt;="&amp;BM$2,FECHA_BOV1,"&lt;="&amp;BM$3,CLAVE_BOV1,$A24)+SUMIFS(SALIDAS_BOV2,FECHA_BOV2,"&gt;="&amp;BM$2,FECHA_BOV2,"&lt;="&amp;BM$3,CLAVE_BOV2,$A24)+SUMIFS(SALIDAS_BOV3,FECHA_BOV3,"&gt;="&amp;BM$2,FECHA_BOV3,"&lt;="&amp;BM$3,CLAVE_BOV3,$A24)+SUMIFS(SALIDAS_TC,FECHA_TC,"&gt;="&amp;BM$2,FECHA_TC,"&lt;="&amp;BM$3,CLAVE_TC,$A24)+SUMIFS(SALIDAS_COMB,FECHA_COMB,"&gt;="&amp;BM$2,FECHA_COMB,"&lt;="&amp;BM$3,CLAVE_COMB,$A24)+SUMIFS(SALIDAS_DES,FECHA_DESGLOSEN,"&gt;="&amp;BM$2,FECHA_DESGLOSEN,"&lt;="&amp;BM$3,CLAVE_DESGLOSE,$A24)</f>
        <v>13156.2</v>
      </c>
      <c r="BN24" s="13">
        <f>SUMIFS(SALIDAS_BIT,FECHA_BIT,"&gt;="&amp;BN$2,FECHA_BIT,"&lt;="&amp;BN$3,CLAVE_BIT,$A24)+SUMIFS(SALIDAS_BOV1,FECHA_BOV1,"&gt;="&amp;BN$2,FECHA_BOV1,"&lt;="&amp;BN$3,CLAVE_BOV1,$A24)+SUMIFS(SALIDAS_BOV2,FECHA_BOV2,"&gt;="&amp;BN$2,FECHA_BOV2,"&lt;="&amp;BN$3,CLAVE_BOV2,$A24)+SUMIFS(SALIDAS_BOV3,FECHA_BOV3,"&gt;="&amp;BN$2,FECHA_BOV3,"&lt;="&amp;BN$3,CLAVE_BOV3,$A24)+SUMIFS(SALIDAS_TC,FECHA_TC,"&gt;="&amp;BN$2,FECHA_TC,"&lt;="&amp;BN$3,CLAVE_TC,$A24)+SUMIFS(SALIDAS_COMB,FECHA_COMB,"&gt;="&amp;BN$2,FECHA_COMB,"&lt;="&amp;BN$3,CLAVE_COMB,$A24)+SUMIFS(SALIDAS_DES,FECHA_DESGLOSEN,"&gt;="&amp;BN$2,FECHA_DESGLOSEN,"&lt;="&amp;BN$3,CLAVE_DESGLOSE,$A24)</f>
        <v>11227.2</v>
      </c>
      <c r="BO24" s="13">
        <f>SUMIFS(SALIDAS_BIT,FECHA_BIT,"&gt;="&amp;BO$2,FECHA_BIT,"&lt;="&amp;BO$3,CLAVE_BIT,$A24)+SUMIFS(SALIDAS_BOV1,FECHA_BOV1,"&gt;="&amp;BO$2,FECHA_BOV1,"&lt;="&amp;BO$3,CLAVE_BOV1,$A24)+SUMIFS(SALIDAS_BOV2,FECHA_BOV2,"&gt;="&amp;BO$2,FECHA_BOV2,"&lt;="&amp;BO$3,CLAVE_BOV2,$A24)+SUMIFS(SALIDAS_BOV3,FECHA_BOV3,"&gt;="&amp;BO$2,FECHA_BOV3,"&lt;="&amp;BO$3,CLAVE_BOV3,$A24)+SUMIFS(SALIDAS_TC,FECHA_TC,"&gt;="&amp;BO$2,FECHA_TC,"&lt;="&amp;BO$3,CLAVE_TC,$A24)+SUMIFS(SALIDAS_COMB,FECHA_COMB,"&gt;="&amp;BO$2,FECHA_COMB,"&lt;="&amp;BO$3,CLAVE_COMB,$A24)+SUMIFS(SALIDAS_DES,FECHA_DESGLOSEN,"&gt;="&amp;BO$2,FECHA_DESGLOSEN,"&lt;="&amp;BO$3,CLAVE_DESGLOSE,$A24)</f>
        <v>11025.2</v>
      </c>
      <c r="BP24" s="13">
        <f>SUMIFS(SALIDAS_BIT,FECHA_BIT,"&gt;="&amp;BP$2,FECHA_BIT,"&lt;="&amp;BP$3,CLAVE_BIT,$A24)+SUMIFS(SALIDAS_BOV1,FECHA_BOV1,"&gt;="&amp;BP$2,FECHA_BOV1,"&lt;="&amp;BP$3,CLAVE_BOV1,$A24)+SUMIFS(SALIDAS_BOV2,FECHA_BOV2,"&gt;="&amp;BP$2,FECHA_BOV2,"&lt;="&amp;BP$3,CLAVE_BOV2,$A24)+SUMIFS(SALIDAS_BOV3,FECHA_BOV3,"&gt;="&amp;BP$2,FECHA_BOV3,"&lt;="&amp;BP$3,CLAVE_BOV3,$A24)+SUMIFS(SALIDAS_TC,FECHA_TC,"&gt;="&amp;BP$2,FECHA_TC,"&lt;="&amp;BP$3,CLAVE_TC,$A24)+SUMIFS(SALIDAS_COMB,FECHA_COMB,"&gt;="&amp;BP$2,FECHA_COMB,"&lt;="&amp;BP$3,CLAVE_COMB,$A24)+SUMIFS(SALIDAS_DES,FECHA_DESGLOSEN,"&gt;="&amp;BP$2,FECHA_DESGLOSEN,"&lt;="&amp;BP$3,CLAVE_DESGLOSE,$A24)</f>
        <v>14297</v>
      </c>
      <c r="BQ24" s="13">
        <f>SUMIFS(SALIDAS_BIT,FECHA_BIT,"&gt;="&amp;BQ$2,FECHA_BIT,"&lt;="&amp;BQ$3,CLAVE_BIT,$A24)+SUMIFS(SALIDAS_BOV1,FECHA_BOV1,"&gt;="&amp;BQ$2,FECHA_BOV1,"&lt;="&amp;BQ$3,CLAVE_BOV1,$A24)+SUMIFS(SALIDAS_BOV2,FECHA_BOV2,"&gt;="&amp;BQ$2,FECHA_BOV2,"&lt;="&amp;BQ$3,CLAVE_BOV2,$A24)+SUMIFS(SALIDAS_BOV3,FECHA_BOV3,"&gt;="&amp;BQ$2,FECHA_BOV3,"&lt;="&amp;BQ$3,CLAVE_BOV3,$A24)+SUMIFS(SALIDAS_TC,FECHA_TC,"&gt;="&amp;BQ$2,FECHA_TC,"&lt;="&amp;BQ$3,CLAVE_TC,$A24)+SUMIFS(SALIDAS_COMB,FECHA_COMB,"&gt;="&amp;BQ$2,FECHA_COMB,"&lt;="&amp;BQ$3,CLAVE_COMB,$A24)+SUMIFS(SALIDAS_DES,FECHA_DESGLOSEN,"&gt;="&amp;BQ$2,FECHA_DESGLOSEN,"&lt;="&amp;BQ$3,CLAVE_DESGLOSE,$A24)</f>
        <v>11755.6</v>
      </c>
      <c r="BR24" s="13">
        <f>SUMIFS(SALIDAS_BIT,FECHA_BIT,"&gt;="&amp;BR$2,FECHA_BIT,"&lt;="&amp;BR$3,CLAVE_BIT,$A24)+SUMIFS(SALIDAS_BOV1,FECHA_BOV1,"&gt;="&amp;BR$2,FECHA_BOV1,"&lt;="&amp;BR$3,CLAVE_BOV1,$A24)+SUMIFS(SALIDAS_BOV2,FECHA_BOV2,"&gt;="&amp;BR$2,FECHA_BOV2,"&lt;="&amp;BR$3,CLAVE_BOV2,$A24)+SUMIFS(SALIDAS_BOV3,FECHA_BOV3,"&gt;="&amp;BR$2,FECHA_BOV3,"&lt;="&amp;BR$3,CLAVE_BOV3,$A24)+SUMIFS(SALIDAS_TC,FECHA_TC,"&gt;="&amp;BR$2,FECHA_TC,"&lt;="&amp;BR$3,CLAVE_TC,$A24)+SUMIFS(SALIDAS_COMB,FECHA_COMB,"&gt;="&amp;BR$2,FECHA_COMB,"&lt;="&amp;BR$3,CLAVE_COMB,$A24)+SUMIFS(SALIDAS_DES,FECHA_DESGLOSEN,"&gt;="&amp;BR$2,FECHA_DESGLOSEN,"&lt;="&amp;BR$3,CLAVE_DESGLOSE,$A24)</f>
        <v>61461.200000000004</v>
      </c>
      <c r="BS24" s="68">
        <f t="shared" si="72"/>
        <v>3538.7999999999956</v>
      </c>
      <c r="BT24" s="268">
        <f t="shared" si="73"/>
        <v>0.94555692307692318</v>
      </c>
      <c r="BU24" s="13">
        <f t="shared" si="49"/>
        <v>52000</v>
      </c>
      <c r="BV24" s="13">
        <f t="shared" si="90"/>
        <v>10768</v>
      </c>
      <c r="BW24" s="13">
        <f t="shared" si="90"/>
        <v>9229.4</v>
      </c>
      <c r="BX24" s="13">
        <f t="shared" si="90"/>
        <v>11625.4</v>
      </c>
      <c r="BY24" s="13">
        <f t="shared" si="90"/>
        <v>11557.2</v>
      </c>
      <c r="BZ24" s="13">
        <f t="shared" si="87"/>
        <v>43180</v>
      </c>
      <c r="CA24" s="68">
        <f t="shared" si="74"/>
        <v>8820</v>
      </c>
      <c r="CB24" s="268">
        <f t="shared" si="75"/>
        <v>0.83038461538461539</v>
      </c>
      <c r="CC24" s="13">
        <f t="shared" si="51"/>
        <v>52000</v>
      </c>
      <c r="CD24" s="13">
        <f t="shared" si="91"/>
        <v>14621.4</v>
      </c>
      <c r="CE24" s="13">
        <f t="shared" si="91"/>
        <v>14736.2</v>
      </c>
      <c r="CF24" s="13">
        <f t="shared" si="91"/>
        <v>16980.599999999999</v>
      </c>
      <c r="CG24" s="13">
        <f t="shared" si="91"/>
        <v>12893.2</v>
      </c>
      <c r="CH24" s="13">
        <f t="shared" si="88"/>
        <v>59231.399999999994</v>
      </c>
      <c r="CI24" s="68">
        <f t="shared" si="76"/>
        <v>-7231.3999999999942</v>
      </c>
      <c r="CJ24" s="268">
        <f t="shared" si="77"/>
        <v>1.1390653846153844</v>
      </c>
      <c r="CK24" s="13">
        <f t="shared" si="53"/>
        <v>90277</v>
      </c>
      <c r="CL24" s="13">
        <f t="shared" si="92"/>
        <v>13846</v>
      </c>
      <c r="CM24" s="13">
        <f t="shared" si="92"/>
        <v>16861.599999999999</v>
      </c>
      <c r="CN24" s="13">
        <f t="shared" si="92"/>
        <v>24089.200000000001</v>
      </c>
      <c r="CO24" s="13">
        <f t="shared" si="92"/>
        <v>31172.2</v>
      </c>
      <c r="CP24" s="13">
        <f t="shared" si="92"/>
        <v>16845</v>
      </c>
      <c r="CQ24" s="13">
        <f t="shared" si="89"/>
        <v>102814</v>
      </c>
      <c r="CR24" s="68">
        <f t="shared" si="78"/>
        <v>-12537</v>
      </c>
      <c r="CS24" s="268">
        <f t="shared" si="79"/>
        <v>1.1388725810560829</v>
      </c>
      <c r="CT24" s="68">
        <f t="shared" si="55"/>
        <v>48793</v>
      </c>
      <c r="CU24" s="13">
        <f>SUMIFS(SALIDAS_BIT,FECHA_BIT,"&gt;="&amp;CU$2,FECHA_BIT,"&lt;="&amp;CU$3,CLAVE_BIT,$A24)+SUMIFS(SALIDAS_BOV1,FECHA_BOV1,"&gt;="&amp;CU$2,FECHA_BOV1,"&lt;="&amp;CU$3,CLAVE_BOV1,$A24)+SUMIFS(SALIDAS_BOV2,FECHA_BOV2,"&gt;="&amp;CU$2,FECHA_BOV2,"&lt;="&amp;CU$3,CLAVE_BOV2,$A24)+SUMIFS(SALIDAS_BOV3,FECHA_BOV3,"&gt;="&amp;CU$2,FECHA_BOV3,"&lt;="&amp;CU$3,CLAVE_BOV3,$A24)+SUMIFS(SALIDAS_TC,FECHA_TC,"&gt;="&amp;CU$2,FECHA_TC,"&lt;="&amp;CU$3,CLAVE_TC,$A24)+SUMIFS(SALIDAS_COMB,FECHA_COMB,"&gt;="&amp;CU$2,FECHA_COMB,"&lt;="&amp;CU$3,CLAVE_COMB,$A24)+SUMIFS(SALIDAS_DES,FECHA_DESGLOSEN,"&gt;="&amp;CU$2,FECHA_DESGLOSEN,"&lt;="&amp;CU$3,CLAVE_DESGLOSE,$A24)</f>
        <v>12020.6</v>
      </c>
      <c r="CV24" s="13">
        <f>SUMIFS(SALIDAS_BIT,FECHA_BIT,"&gt;="&amp;CV$2,FECHA_BIT,"&lt;="&amp;CV$3,CLAVE_BIT,$A24)+SUMIFS(SALIDAS_BOV1,FECHA_BOV1,"&gt;="&amp;CV$2,FECHA_BOV1,"&lt;="&amp;CV$3,CLAVE_BOV1,$A24)+SUMIFS(SALIDAS_BOV2,FECHA_BOV2,"&gt;="&amp;CV$2,FECHA_BOV2,"&lt;="&amp;CV$3,CLAVE_BOV2,$A24)+SUMIFS(SALIDAS_BOV3,FECHA_BOV3,"&gt;="&amp;CV$2,FECHA_BOV3,"&lt;="&amp;CV$3,CLAVE_BOV3,$A24)+SUMIFS(SALIDAS_TC,FECHA_TC,"&gt;="&amp;CV$2,FECHA_TC,"&lt;="&amp;CV$3,CLAVE_TC,$A24)+SUMIFS(SALIDAS_COMB,FECHA_COMB,"&gt;="&amp;CV$2,FECHA_COMB,"&lt;="&amp;CV$3,CLAVE_COMB,$A24)+SUMIFS(SALIDAS_DES,FECHA_DESGLOSEN,"&gt;="&amp;CV$2,FECHA_DESGLOSEN,"&lt;="&amp;CV$3,CLAVE_DESGLOSE,$A24)</f>
        <v>10753.6</v>
      </c>
      <c r="CW24" s="13">
        <f>SUMIFS(SALIDAS_BIT,FECHA_BIT,"&gt;="&amp;CW$2,FECHA_BIT,"&lt;="&amp;CW$3,CLAVE_BIT,$A24)+SUMIFS(SALIDAS_BOV1,FECHA_BOV1,"&gt;="&amp;CW$2,FECHA_BOV1,"&lt;="&amp;CW$3,CLAVE_BOV1,$A24)+SUMIFS(SALIDAS_BOV2,FECHA_BOV2,"&gt;="&amp;CW$2,FECHA_BOV2,"&lt;="&amp;CW$3,CLAVE_BOV2,$A24)+SUMIFS(SALIDAS_BOV3,FECHA_BOV3,"&gt;="&amp;CW$2,FECHA_BOV3,"&lt;="&amp;CW$3,CLAVE_BOV3,$A24)+SUMIFS(SALIDAS_TC,FECHA_TC,"&gt;="&amp;CW$2,FECHA_TC,"&lt;="&amp;CW$3,CLAVE_TC,$A24)+SUMIFS(SALIDAS_COMB,FECHA_COMB,"&gt;="&amp;CW$2,FECHA_COMB,"&lt;="&amp;CW$3,CLAVE_COMB,$A24)+SUMIFS(SALIDAS_DES,FECHA_DESGLOSEN,"&gt;="&amp;CW$2,FECHA_DESGLOSEN,"&lt;="&amp;CW$3,CLAVE_DESGLOSE,$A24)</f>
        <v>13535</v>
      </c>
      <c r="CX24" s="13">
        <f>SUMIFS(SALIDAS_BIT,FECHA_BIT,"&gt;="&amp;CX$2,FECHA_BIT,"&lt;="&amp;CX$3,CLAVE_BIT,$A24)+SUMIFS(SALIDAS_BOV1,FECHA_BOV1,"&gt;="&amp;CX$2,FECHA_BOV1,"&lt;="&amp;CX$3,CLAVE_BOV1,$A24)+SUMIFS(SALIDAS_BOV2,FECHA_BOV2,"&gt;="&amp;CX$2,FECHA_BOV2,"&lt;="&amp;CX$3,CLAVE_BOV2,$A24)+SUMIFS(SALIDAS_BOV3,FECHA_BOV3,"&gt;="&amp;CX$2,FECHA_BOV3,"&lt;="&amp;CX$3,CLAVE_BOV3,$A24)+SUMIFS(SALIDAS_TC,FECHA_TC,"&gt;="&amp;CX$2,FECHA_TC,"&lt;="&amp;CX$3,CLAVE_TC,$A24)+SUMIFS(SALIDAS_COMB,FECHA_COMB,"&gt;="&amp;CX$2,FECHA_COMB,"&lt;="&amp;CX$3,CLAVE_COMB,$A24)+SUMIFS(SALIDAS_DES,FECHA_DESGLOSEN,"&gt;="&amp;CX$2,FECHA_DESGLOSEN,"&lt;="&amp;CX$3,CLAVE_DESGLOSE,$A24)</f>
        <v>12185</v>
      </c>
      <c r="CY24" s="13">
        <f>SUMIFS(SALIDAS_BIT,FECHA_BIT,"&gt;="&amp;CY$2,FECHA_BIT,"&lt;="&amp;CY$3,CLAVE_BIT,$A24)+SUMIFS(SALIDAS_BOV1,FECHA_BOV1,"&gt;="&amp;CY$2,FECHA_BOV1,"&lt;="&amp;CY$3,CLAVE_BOV1,$A24)+SUMIFS(SALIDAS_BOV2,FECHA_BOV2,"&gt;="&amp;CY$2,FECHA_BOV2,"&lt;="&amp;CY$3,CLAVE_BOV2,$A24)+SUMIFS(SALIDAS_BOV3,FECHA_BOV3,"&gt;="&amp;CY$2,FECHA_BOV3,"&lt;="&amp;CY$3,CLAVE_BOV3,$A24)+SUMIFS(SALIDAS_TC,FECHA_TC,"&gt;="&amp;CY$2,FECHA_TC,"&lt;="&amp;CY$3,CLAVE_TC,$A24)+SUMIFS(SALIDAS_COMB,FECHA_COMB,"&gt;="&amp;CY$2,FECHA_COMB,"&lt;="&amp;CY$3,CLAVE_COMB,$A24)+SUMIFS(SALIDAS_DES,FECHA_DESGLOSEN,"&gt;="&amp;CY$2,FECHA_DESGLOSEN,"&lt;="&amp;CY$3,CLAVE_DESGLOSE,$A24)</f>
        <v>48494.2</v>
      </c>
      <c r="CZ24" s="68">
        <f t="shared" si="80"/>
        <v>298.80000000000291</v>
      </c>
      <c r="DB24" s="17">
        <f>F24+N24+W24+AE24+AM24+AV24+BD24+BL24+BU24+CC24+CK24</f>
        <v>657279</v>
      </c>
      <c r="DC24" s="17">
        <f>K24+T24+AB24+AJ24+AS24+BA24+BI24+BR24+BZ24+CH24+CQ24</f>
        <v>639955.39999999991</v>
      </c>
    </row>
    <row r="25" spans="1:107" hidden="1">
      <c r="A25" s="12" t="str">
        <f t="shared" si="57"/>
        <v>HRNOMINA SUCURSALA24</v>
      </c>
      <c r="B25" s="12">
        <v>19</v>
      </c>
      <c r="C25" t="s">
        <v>29</v>
      </c>
      <c r="D25" s="12" t="s">
        <v>154</v>
      </c>
      <c r="E25" s="12" t="s">
        <v>106</v>
      </c>
      <c r="F25" s="259">
        <f t="shared" si="58"/>
        <v>76112</v>
      </c>
      <c r="G25" s="13">
        <f t="shared" si="81"/>
        <v>21053.8</v>
      </c>
      <c r="H25" s="13">
        <f t="shared" si="81"/>
        <v>16259</v>
      </c>
      <c r="I25" s="13">
        <f t="shared" si="81"/>
        <v>17124.400000000001</v>
      </c>
      <c r="J25" s="13">
        <f t="shared" si="81"/>
        <v>16249.8</v>
      </c>
      <c r="K25" s="13">
        <f t="shared" si="81"/>
        <v>70687</v>
      </c>
      <c r="L25" s="68">
        <f t="shared" si="59"/>
        <v>5425</v>
      </c>
      <c r="M25" s="268">
        <f t="shared" si="60"/>
        <v>0.92872346016396889</v>
      </c>
      <c r="N25" s="13">
        <f t="shared" si="36"/>
        <v>95140</v>
      </c>
      <c r="O25" s="13">
        <f t="shared" si="82"/>
        <v>16292</v>
      </c>
      <c r="P25" s="13">
        <f t="shared" si="82"/>
        <v>15238.4</v>
      </c>
      <c r="Q25" s="13">
        <f t="shared" si="82"/>
        <v>18917.599999999999</v>
      </c>
      <c r="R25" s="13">
        <f t="shared" si="82"/>
        <v>16270.4</v>
      </c>
      <c r="S25" s="13">
        <f t="shared" si="82"/>
        <v>15865.4</v>
      </c>
      <c r="T25" s="13">
        <f t="shared" si="82"/>
        <v>82583.799999999988</v>
      </c>
      <c r="U25" s="68">
        <f t="shared" si="61"/>
        <v>12556.200000000012</v>
      </c>
      <c r="V25" s="268">
        <f t="shared" si="62"/>
        <v>0.86802396468362397</v>
      </c>
      <c r="W25" s="13">
        <f t="shared" si="38"/>
        <v>76112</v>
      </c>
      <c r="X25" s="13">
        <f t="shared" si="83"/>
        <v>14814.8</v>
      </c>
      <c r="Y25" s="13">
        <f t="shared" si="83"/>
        <v>12995.8</v>
      </c>
      <c r="Z25" s="13">
        <f t="shared" si="83"/>
        <v>9522.7999999999993</v>
      </c>
      <c r="AA25" s="13">
        <f t="shared" si="83"/>
        <v>13134.2</v>
      </c>
      <c r="AB25" s="13">
        <f t="shared" si="83"/>
        <v>50467.599999999991</v>
      </c>
      <c r="AC25" s="68">
        <f t="shared" si="63"/>
        <v>25644.400000000009</v>
      </c>
      <c r="AD25" s="268">
        <f t="shared" si="64"/>
        <v>0.66307021231868812</v>
      </c>
      <c r="AE25" s="13">
        <f t="shared" si="40"/>
        <v>64000</v>
      </c>
      <c r="AF25" s="13">
        <f t="shared" si="84"/>
        <v>17269.599999999999</v>
      </c>
      <c r="AG25" s="13">
        <f t="shared" si="84"/>
        <v>14985</v>
      </c>
      <c r="AH25" s="13">
        <f t="shared" si="84"/>
        <v>15157.4</v>
      </c>
      <c r="AI25" s="13">
        <f t="shared" si="84"/>
        <v>14980.6</v>
      </c>
      <c r="AJ25" s="13">
        <f t="shared" si="84"/>
        <v>62392.6</v>
      </c>
      <c r="AK25" s="68">
        <f t="shared" si="65"/>
        <v>1607.4000000000015</v>
      </c>
      <c r="AL25" s="268">
        <f t="shared" si="66"/>
        <v>0.97488437500000003</v>
      </c>
      <c r="AM25" s="13">
        <f t="shared" si="42"/>
        <v>80000</v>
      </c>
      <c r="AN25" s="13">
        <f t="shared" si="85"/>
        <v>13628.6</v>
      </c>
      <c r="AO25" s="13">
        <f t="shared" si="85"/>
        <v>14509</v>
      </c>
      <c r="AP25" s="13">
        <f t="shared" si="85"/>
        <v>13406</v>
      </c>
      <c r="AQ25" s="13">
        <f t="shared" si="85"/>
        <v>16785.8</v>
      </c>
      <c r="AR25" s="13">
        <f t="shared" si="85"/>
        <v>17639</v>
      </c>
      <c r="AS25" s="13">
        <f t="shared" si="85"/>
        <v>75968.399999999994</v>
      </c>
      <c r="AT25" s="68">
        <f>AM25-AS25</f>
        <v>4031.6000000000058</v>
      </c>
      <c r="AU25" s="268">
        <f t="shared" si="67"/>
        <v>0.94960499999999992</v>
      </c>
      <c r="AV25" s="13">
        <f t="shared" si="44"/>
        <v>64000</v>
      </c>
      <c r="AW25" s="13">
        <f t="shared" si="86"/>
        <v>17395.599999999999</v>
      </c>
      <c r="AX25" s="13">
        <f t="shared" si="86"/>
        <v>17095.2</v>
      </c>
      <c r="AY25" s="13">
        <f t="shared" si="86"/>
        <v>16258.8</v>
      </c>
      <c r="AZ25" s="13">
        <f t="shared" si="86"/>
        <v>17708.599999999999</v>
      </c>
      <c r="BA25" s="13">
        <f t="shared" si="86"/>
        <v>68458.200000000012</v>
      </c>
      <c r="BB25" s="68">
        <f t="shared" si="68"/>
        <v>-4458.2000000000116</v>
      </c>
      <c r="BC25" s="268">
        <f t="shared" si="69"/>
        <v>1.0696593750000001</v>
      </c>
      <c r="BD25" s="13">
        <f t="shared" si="46"/>
        <v>64000</v>
      </c>
      <c r="BE25" s="13">
        <f>SUMIFS(SALIDAS_BIT,FECHA_BIT,"&gt;="&amp;BE$2,FECHA_BIT,"&lt;="&amp;BE$3,CLAVE_BIT,$A25)+SUMIFS(SALIDAS_BOV1,FECHA_BOV1,"&gt;="&amp;BE$2,FECHA_BOV1,"&lt;="&amp;BE$3,CLAVE_BOV1,$A25)+SUMIFS(SALIDAS_BOV2,FECHA_BOV2,"&gt;="&amp;BE$2,FECHA_BOV2,"&lt;="&amp;BE$3,CLAVE_BOV2,$A25)+SUMIFS(SALIDAS_BOV3,FECHA_BOV3,"&gt;="&amp;BE$2,FECHA_BOV3,"&lt;="&amp;BE$3,CLAVE_BOV3,$A25)+SUMIFS(SALIDAS_TC,FECHA_TC,"&gt;="&amp;BE$2,FECHA_TC,"&lt;="&amp;BE$3,CLAVE_TC,$A25)+SUMIFS(SALIDAS_COMB,FECHA_COMB,"&gt;="&amp;BE$2,FECHA_COMB,"&lt;="&amp;BE$3,CLAVE_COMB,$A25)+SUMIFS(SALIDAS_DES,FECHA_DESGLOSEN,"&gt;="&amp;BE$2,FECHA_DESGLOSEN,"&lt;="&amp;BE$3,CLAVE_DESGLOSE,$A25)</f>
        <v>17479.2</v>
      </c>
      <c r="BF25" s="13">
        <f>SUMIFS(SALIDAS_BIT,FECHA_BIT,"&gt;="&amp;BF$2,FECHA_BIT,"&lt;="&amp;BF$3,CLAVE_BIT,$A25)+SUMIFS(SALIDAS_BOV1,FECHA_BOV1,"&gt;="&amp;BF$2,FECHA_BOV1,"&lt;="&amp;BF$3,CLAVE_BOV1,$A25)+SUMIFS(SALIDAS_BOV2,FECHA_BOV2,"&gt;="&amp;BF$2,FECHA_BOV2,"&lt;="&amp;BF$3,CLAVE_BOV2,$A25)+SUMIFS(SALIDAS_BOV3,FECHA_BOV3,"&gt;="&amp;BF$2,FECHA_BOV3,"&lt;="&amp;BF$3,CLAVE_BOV3,$A25)+SUMIFS(SALIDAS_TC,FECHA_TC,"&gt;="&amp;BF$2,FECHA_TC,"&lt;="&amp;BF$3,CLAVE_TC,$A25)+SUMIFS(SALIDAS_COMB,FECHA_COMB,"&gt;="&amp;BF$2,FECHA_COMB,"&lt;="&amp;BF$3,CLAVE_COMB,$A25)+SUMIFS(SALIDAS_DES,FECHA_DESGLOSEN,"&gt;="&amp;BF$2,FECHA_DESGLOSEN,"&lt;="&amp;BF$3,CLAVE_DESGLOSE,$A25)</f>
        <v>17467.8</v>
      </c>
      <c r="BG25" s="13">
        <f>SUMIFS(SALIDAS_BIT,FECHA_BIT,"&gt;="&amp;BG$2,FECHA_BIT,"&lt;="&amp;BG$3,CLAVE_BIT,$A25)+SUMIFS(SALIDAS_BOV1,FECHA_BOV1,"&gt;="&amp;BG$2,FECHA_BOV1,"&lt;="&amp;BG$3,CLAVE_BOV1,$A25)+SUMIFS(SALIDAS_BOV2,FECHA_BOV2,"&gt;="&amp;BG$2,FECHA_BOV2,"&lt;="&amp;BG$3,CLAVE_BOV2,$A25)+SUMIFS(SALIDAS_BOV3,FECHA_BOV3,"&gt;="&amp;BG$2,FECHA_BOV3,"&lt;="&amp;BG$3,CLAVE_BOV3,$A25)+SUMIFS(SALIDAS_TC,FECHA_TC,"&gt;="&amp;BG$2,FECHA_TC,"&lt;="&amp;BG$3,CLAVE_TC,$A25)+SUMIFS(SALIDAS_COMB,FECHA_COMB,"&gt;="&amp;BG$2,FECHA_COMB,"&lt;="&amp;BG$3,CLAVE_COMB,$A25)+SUMIFS(SALIDAS_DES,FECHA_DESGLOSEN,"&gt;="&amp;BG$2,FECHA_DESGLOSEN,"&lt;="&amp;BG$3,CLAVE_DESGLOSE,$A25)</f>
        <v>16354.8</v>
      </c>
      <c r="BH25" s="13">
        <f>SUMIFS(SALIDAS_BIT,FECHA_BIT,"&gt;="&amp;BH$2,FECHA_BIT,"&lt;="&amp;BH$3,CLAVE_BIT,$A25)+SUMIFS(SALIDAS_BOV1,FECHA_BOV1,"&gt;="&amp;BH$2,FECHA_BOV1,"&lt;="&amp;BH$3,CLAVE_BOV1,$A25)+SUMIFS(SALIDAS_BOV2,FECHA_BOV2,"&gt;="&amp;BH$2,FECHA_BOV2,"&lt;="&amp;BH$3,CLAVE_BOV2,$A25)+SUMIFS(SALIDAS_BOV3,FECHA_BOV3,"&gt;="&amp;BH$2,FECHA_BOV3,"&lt;="&amp;BH$3,CLAVE_BOV3,$A25)+SUMIFS(SALIDAS_TC,FECHA_TC,"&gt;="&amp;BH$2,FECHA_TC,"&lt;="&amp;BH$3,CLAVE_TC,$A25)+SUMIFS(SALIDAS_COMB,FECHA_COMB,"&gt;="&amp;BH$2,FECHA_COMB,"&lt;="&amp;BH$3,CLAVE_COMB,$A25)+SUMIFS(SALIDAS_DES,FECHA_DESGLOSEN,"&gt;="&amp;BH$2,FECHA_DESGLOSEN,"&lt;="&amp;BH$3,CLAVE_DESGLOSE,$A25)</f>
        <v>20894</v>
      </c>
      <c r="BI25" s="13">
        <f>SUMIFS(SALIDAS_BIT,FECHA_BIT,"&gt;="&amp;BI$2,FECHA_BIT,"&lt;="&amp;BI$3,CLAVE_BIT,$A25)+SUMIFS(SALIDAS_BOV1,FECHA_BOV1,"&gt;="&amp;BI$2,FECHA_BOV1,"&lt;="&amp;BI$3,CLAVE_BOV1,$A25)+SUMIFS(SALIDAS_BOV2,FECHA_BOV2,"&gt;="&amp;BI$2,FECHA_BOV2,"&lt;="&amp;BI$3,CLAVE_BOV2,$A25)+SUMIFS(SALIDAS_BOV3,FECHA_BOV3,"&gt;="&amp;BI$2,FECHA_BOV3,"&lt;="&amp;BI$3,CLAVE_BOV3,$A25)+SUMIFS(SALIDAS_TC,FECHA_TC,"&gt;="&amp;BI$2,FECHA_TC,"&lt;="&amp;BI$3,CLAVE_TC,$A25)+SUMIFS(SALIDAS_COMB,FECHA_COMB,"&gt;="&amp;BI$2,FECHA_COMB,"&lt;="&amp;BI$3,CLAVE_COMB,$A25)+SUMIFS(SALIDAS_DES,FECHA_DESGLOSEN,"&gt;="&amp;BI$2,FECHA_DESGLOSEN,"&lt;="&amp;BI$3,CLAVE_DESGLOSE,$A25)</f>
        <v>72195.8</v>
      </c>
      <c r="BJ25" s="68">
        <f t="shared" si="70"/>
        <v>-8195.8000000000029</v>
      </c>
      <c r="BK25" s="401">
        <f t="shared" si="71"/>
        <v>1.1280593750000001</v>
      </c>
      <c r="BL25" s="13">
        <f t="shared" si="47"/>
        <v>80000</v>
      </c>
      <c r="BM25" s="13">
        <f>SUMIFS(SALIDAS_BIT,FECHA_BIT,"&gt;="&amp;BM$2,FECHA_BIT,"&lt;="&amp;BM$3,CLAVE_BIT,$A25)+SUMIFS(SALIDAS_BOV1,FECHA_BOV1,"&gt;="&amp;BM$2,FECHA_BOV1,"&lt;="&amp;BM$3,CLAVE_BOV1,$A25)+SUMIFS(SALIDAS_BOV2,FECHA_BOV2,"&gt;="&amp;BM$2,FECHA_BOV2,"&lt;="&amp;BM$3,CLAVE_BOV2,$A25)+SUMIFS(SALIDAS_BOV3,FECHA_BOV3,"&gt;="&amp;BM$2,FECHA_BOV3,"&lt;="&amp;BM$3,CLAVE_BOV3,$A25)+SUMIFS(SALIDAS_TC,FECHA_TC,"&gt;="&amp;BM$2,FECHA_TC,"&lt;="&amp;BM$3,CLAVE_TC,$A25)+SUMIFS(SALIDAS_COMB,FECHA_COMB,"&gt;="&amp;BM$2,FECHA_COMB,"&lt;="&amp;BM$3,CLAVE_COMB,$A25)+SUMIFS(SALIDAS_DES,FECHA_DESGLOSEN,"&gt;="&amp;BM$2,FECHA_DESGLOSEN,"&lt;="&amp;BM$3,CLAVE_DESGLOSE,$A25)</f>
        <v>18631</v>
      </c>
      <c r="BN25" s="13">
        <f>SUMIFS(SALIDAS_BIT,FECHA_BIT,"&gt;="&amp;BN$2,FECHA_BIT,"&lt;="&amp;BN$3,CLAVE_BIT,$A25)+SUMIFS(SALIDAS_BOV1,FECHA_BOV1,"&gt;="&amp;BN$2,FECHA_BOV1,"&lt;="&amp;BN$3,CLAVE_BOV1,$A25)+SUMIFS(SALIDAS_BOV2,FECHA_BOV2,"&gt;="&amp;BN$2,FECHA_BOV2,"&lt;="&amp;BN$3,CLAVE_BOV2,$A25)+SUMIFS(SALIDAS_BOV3,FECHA_BOV3,"&gt;="&amp;BN$2,FECHA_BOV3,"&lt;="&amp;BN$3,CLAVE_BOV3,$A25)+SUMIFS(SALIDAS_TC,FECHA_TC,"&gt;="&amp;BN$2,FECHA_TC,"&lt;="&amp;BN$3,CLAVE_TC,$A25)+SUMIFS(SALIDAS_COMB,FECHA_COMB,"&gt;="&amp;BN$2,FECHA_COMB,"&lt;="&amp;BN$3,CLAVE_COMB,$A25)+SUMIFS(SALIDAS_DES,FECHA_DESGLOSEN,"&gt;="&amp;BN$2,FECHA_DESGLOSEN,"&lt;="&amp;BN$3,CLAVE_DESGLOSE,$A25)</f>
        <v>16581.400000000001</v>
      </c>
      <c r="BO25" s="13">
        <f>SUMIFS(SALIDAS_BIT,FECHA_BIT,"&gt;="&amp;BO$2,FECHA_BIT,"&lt;="&amp;BO$3,CLAVE_BIT,$A25)+SUMIFS(SALIDAS_BOV1,FECHA_BOV1,"&gt;="&amp;BO$2,FECHA_BOV1,"&lt;="&amp;BO$3,CLAVE_BOV1,$A25)+SUMIFS(SALIDAS_BOV2,FECHA_BOV2,"&gt;="&amp;BO$2,FECHA_BOV2,"&lt;="&amp;BO$3,CLAVE_BOV2,$A25)+SUMIFS(SALIDAS_BOV3,FECHA_BOV3,"&gt;="&amp;BO$2,FECHA_BOV3,"&lt;="&amp;BO$3,CLAVE_BOV3,$A25)+SUMIFS(SALIDAS_TC,FECHA_TC,"&gt;="&amp;BO$2,FECHA_TC,"&lt;="&amp;BO$3,CLAVE_TC,$A25)+SUMIFS(SALIDAS_COMB,FECHA_COMB,"&gt;="&amp;BO$2,FECHA_COMB,"&lt;="&amp;BO$3,CLAVE_COMB,$A25)+SUMIFS(SALIDAS_DES,FECHA_DESGLOSEN,"&gt;="&amp;BO$2,FECHA_DESGLOSEN,"&lt;="&amp;BO$3,CLAVE_DESGLOSE,$A25)</f>
        <v>20898.8</v>
      </c>
      <c r="BP25" s="13">
        <f>SUMIFS(SALIDAS_BIT,FECHA_BIT,"&gt;="&amp;BP$2,FECHA_BIT,"&lt;="&amp;BP$3,CLAVE_BIT,$A25)+SUMIFS(SALIDAS_BOV1,FECHA_BOV1,"&gt;="&amp;BP$2,FECHA_BOV1,"&lt;="&amp;BP$3,CLAVE_BOV1,$A25)+SUMIFS(SALIDAS_BOV2,FECHA_BOV2,"&gt;="&amp;BP$2,FECHA_BOV2,"&lt;="&amp;BP$3,CLAVE_BOV2,$A25)+SUMIFS(SALIDAS_BOV3,FECHA_BOV3,"&gt;="&amp;BP$2,FECHA_BOV3,"&lt;="&amp;BP$3,CLAVE_BOV3,$A25)+SUMIFS(SALIDAS_TC,FECHA_TC,"&gt;="&amp;BP$2,FECHA_TC,"&lt;="&amp;BP$3,CLAVE_TC,$A25)+SUMIFS(SALIDAS_COMB,FECHA_COMB,"&gt;="&amp;BP$2,FECHA_COMB,"&lt;="&amp;BP$3,CLAVE_COMB,$A25)+SUMIFS(SALIDAS_DES,FECHA_DESGLOSEN,"&gt;="&amp;BP$2,FECHA_DESGLOSEN,"&lt;="&amp;BP$3,CLAVE_DESGLOSE,$A25)</f>
        <v>18834.8</v>
      </c>
      <c r="BQ25" s="13">
        <f>SUMIFS(SALIDAS_BIT,FECHA_BIT,"&gt;="&amp;BQ$2,FECHA_BIT,"&lt;="&amp;BQ$3,CLAVE_BIT,$A25)+SUMIFS(SALIDAS_BOV1,FECHA_BOV1,"&gt;="&amp;BQ$2,FECHA_BOV1,"&lt;="&amp;BQ$3,CLAVE_BOV1,$A25)+SUMIFS(SALIDAS_BOV2,FECHA_BOV2,"&gt;="&amp;BQ$2,FECHA_BOV2,"&lt;="&amp;BQ$3,CLAVE_BOV2,$A25)+SUMIFS(SALIDAS_BOV3,FECHA_BOV3,"&gt;="&amp;BQ$2,FECHA_BOV3,"&lt;="&amp;BQ$3,CLAVE_BOV3,$A25)+SUMIFS(SALIDAS_TC,FECHA_TC,"&gt;="&amp;BQ$2,FECHA_TC,"&lt;="&amp;BQ$3,CLAVE_TC,$A25)+SUMIFS(SALIDAS_COMB,FECHA_COMB,"&gt;="&amp;BQ$2,FECHA_COMB,"&lt;="&amp;BQ$3,CLAVE_COMB,$A25)+SUMIFS(SALIDAS_DES,FECHA_DESGLOSEN,"&gt;="&amp;BQ$2,FECHA_DESGLOSEN,"&lt;="&amp;BQ$3,CLAVE_DESGLOSE,$A25)</f>
        <v>15854.2</v>
      </c>
      <c r="BR25" s="13">
        <f>SUMIFS(SALIDAS_BIT,FECHA_BIT,"&gt;="&amp;BR$2,FECHA_BIT,"&lt;="&amp;BR$3,CLAVE_BIT,$A25)+SUMIFS(SALIDAS_BOV1,FECHA_BOV1,"&gt;="&amp;BR$2,FECHA_BOV1,"&lt;="&amp;BR$3,CLAVE_BOV1,$A25)+SUMIFS(SALIDAS_BOV2,FECHA_BOV2,"&gt;="&amp;BR$2,FECHA_BOV2,"&lt;="&amp;BR$3,CLAVE_BOV2,$A25)+SUMIFS(SALIDAS_BOV3,FECHA_BOV3,"&gt;="&amp;BR$2,FECHA_BOV3,"&lt;="&amp;BR$3,CLAVE_BOV3,$A25)+SUMIFS(SALIDAS_TC,FECHA_TC,"&gt;="&amp;BR$2,FECHA_TC,"&lt;="&amp;BR$3,CLAVE_TC,$A25)+SUMIFS(SALIDAS_COMB,FECHA_COMB,"&gt;="&amp;BR$2,FECHA_COMB,"&lt;="&amp;BR$3,CLAVE_COMB,$A25)+SUMIFS(SALIDAS_DES,FECHA_DESGLOSEN,"&gt;="&amp;BR$2,FECHA_DESGLOSEN,"&lt;="&amp;BR$3,CLAVE_DESGLOSE,$A25)</f>
        <v>90800.2</v>
      </c>
      <c r="BS25" s="68">
        <f t="shared" si="72"/>
        <v>-10800.199999999997</v>
      </c>
      <c r="BT25" s="401">
        <f t="shared" si="73"/>
        <v>1.1350024999999999</v>
      </c>
      <c r="BU25" s="13">
        <f t="shared" si="49"/>
        <v>64000</v>
      </c>
      <c r="BV25" s="13">
        <f t="shared" si="90"/>
        <v>13523</v>
      </c>
      <c r="BW25" s="13">
        <f t="shared" si="90"/>
        <v>14803.2</v>
      </c>
      <c r="BX25" s="13">
        <f t="shared" si="90"/>
        <v>17145</v>
      </c>
      <c r="BY25" s="13">
        <f t="shared" si="90"/>
        <v>17136</v>
      </c>
      <c r="BZ25" s="13">
        <f t="shared" si="87"/>
        <v>62607.199999999997</v>
      </c>
      <c r="CA25" s="68">
        <f t="shared" si="74"/>
        <v>1392.8000000000029</v>
      </c>
      <c r="CB25" s="268">
        <f t="shared" si="75"/>
        <v>0.97823749999999998</v>
      </c>
      <c r="CC25" s="13">
        <f t="shared" si="51"/>
        <v>64000</v>
      </c>
      <c r="CD25" s="13">
        <f t="shared" si="91"/>
        <v>16339.8</v>
      </c>
      <c r="CE25" s="13">
        <f t="shared" si="91"/>
        <v>14884.4</v>
      </c>
      <c r="CF25" s="13">
        <f t="shared" si="91"/>
        <v>21697.200000000001</v>
      </c>
      <c r="CG25" s="13">
        <f t="shared" si="91"/>
        <v>23363.200000000001</v>
      </c>
      <c r="CH25" s="13">
        <f t="shared" si="88"/>
        <v>76284.599999999991</v>
      </c>
      <c r="CI25" s="68">
        <f t="shared" si="76"/>
        <v>-12284.599999999991</v>
      </c>
      <c r="CJ25" s="268">
        <f t="shared" si="77"/>
        <v>1.191946875</v>
      </c>
      <c r="CK25" s="13">
        <f t="shared" si="53"/>
        <v>145475</v>
      </c>
      <c r="CL25" s="13">
        <f t="shared" si="92"/>
        <v>25210.400000000001</v>
      </c>
      <c r="CM25" s="13">
        <f t="shared" si="92"/>
        <v>30372.5</v>
      </c>
      <c r="CN25" s="13">
        <f t="shared" si="92"/>
        <v>49713.8</v>
      </c>
      <c r="CO25" s="13">
        <f t="shared" si="92"/>
        <v>57475.8</v>
      </c>
      <c r="CP25" s="13">
        <f t="shared" si="92"/>
        <v>31200.799999999999</v>
      </c>
      <c r="CQ25" s="13">
        <f t="shared" si="89"/>
        <v>193973.3</v>
      </c>
      <c r="CR25" s="68">
        <f t="shared" si="78"/>
        <v>-48498.299999999988</v>
      </c>
      <c r="CS25" s="268">
        <f t="shared" si="79"/>
        <v>1.3333789310878157</v>
      </c>
      <c r="CT25" s="68">
        <f t="shared" si="55"/>
        <v>70746</v>
      </c>
      <c r="CU25" s="13">
        <f>SUMIFS(SALIDAS_BIT,FECHA_BIT,"&gt;="&amp;CU$2,FECHA_BIT,"&lt;="&amp;CU$3,CLAVE_BIT,$A25)+SUMIFS(SALIDAS_BOV1,FECHA_BOV1,"&gt;="&amp;CU$2,FECHA_BOV1,"&lt;="&amp;CU$3,CLAVE_BOV1,$A25)+SUMIFS(SALIDAS_BOV2,FECHA_BOV2,"&gt;="&amp;CU$2,FECHA_BOV2,"&lt;="&amp;CU$3,CLAVE_BOV2,$A25)+SUMIFS(SALIDAS_BOV3,FECHA_BOV3,"&gt;="&amp;CU$2,FECHA_BOV3,"&lt;="&amp;CU$3,CLAVE_BOV3,$A25)+SUMIFS(SALIDAS_TC,FECHA_TC,"&gt;="&amp;CU$2,FECHA_TC,"&lt;="&amp;CU$3,CLAVE_TC,$A25)+SUMIFS(SALIDAS_COMB,FECHA_COMB,"&gt;="&amp;CU$2,FECHA_COMB,"&lt;="&amp;CU$3,CLAVE_COMB,$A25)+SUMIFS(SALIDAS_DES,FECHA_DESGLOSEN,"&gt;="&amp;CU$2,FECHA_DESGLOSEN,"&lt;="&amp;CU$3,CLAVE_DESGLOSE,$A25)</f>
        <v>20460.400000000001</v>
      </c>
      <c r="CV25" s="13">
        <f>SUMIFS(SALIDAS_BIT,FECHA_BIT,"&gt;="&amp;CV$2,FECHA_BIT,"&lt;="&amp;CV$3,CLAVE_BIT,$A25)+SUMIFS(SALIDAS_BOV1,FECHA_BOV1,"&gt;="&amp;CV$2,FECHA_BOV1,"&lt;="&amp;CV$3,CLAVE_BOV1,$A25)+SUMIFS(SALIDAS_BOV2,FECHA_BOV2,"&gt;="&amp;CV$2,FECHA_BOV2,"&lt;="&amp;CV$3,CLAVE_BOV2,$A25)+SUMIFS(SALIDAS_BOV3,FECHA_BOV3,"&gt;="&amp;CV$2,FECHA_BOV3,"&lt;="&amp;CV$3,CLAVE_BOV3,$A25)+SUMIFS(SALIDAS_TC,FECHA_TC,"&gt;="&amp;CV$2,FECHA_TC,"&lt;="&amp;CV$3,CLAVE_TC,$A25)+SUMIFS(SALIDAS_COMB,FECHA_COMB,"&gt;="&amp;CV$2,FECHA_COMB,"&lt;="&amp;CV$3,CLAVE_COMB,$A25)+SUMIFS(SALIDAS_DES,FECHA_DESGLOSEN,"&gt;="&amp;CV$2,FECHA_DESGLOSEN,"&lt;="&amp;CV$3,CLAVE_DESGLOSE,$A25)</f>
        <v>17438</v>
      </c>
      <c r="CW25" s="13">
        <f>SUMIFS(SALIDAS_BIT,FECHA_BIT,"&gt;="&amp;CW$2,FECHA_BIT,"&lt;="&amp;CW$3,CLAVE_BIT,$A25)+SUMIFS(SALIDAS_BOV1,FECHA_BOV1,"&gt;="&amp;CW$2,FECHA_BOV1,"&lt;="&amp;CW$3,CLAVE_BOV1,$A25)+SUMIFS(SALIDAS_BOV2,FECHA_BOV2,"&gt;="&amp;CW$2,FECHA_BOV2,"&lt;="&amp;CW$3,CLAVE_BOV2,$A25)+SUMIFS(SALIDAS_BOV3,FECHA_BOV3,"&gt;="&amp;CW$2,FECHA_BOV3,"&lt;="&amp;CW$3,CLAVE_BOV3,$A25)+SUMIFS(SALIDAS_TC,FECHA_TC,"&gt;="&amp;CW$2,FECHA_TC,"&lt;="&amp;CW$3,CLAVE_TC,$A25)+SUMIFS(SALIDAS_COMB,FECHA_COMB,"&gt;="&amp;CW$2,FECHA_COMB,"&lt;="&amp;CW$3,CLAVE_COMB,$A25)+SUMIFS(SALIDAS_DES,FECHA_DESGLOSEN,"&gt;="&amp;CW$2,FECHA_DESGLOSEN,"&lt;="&amp;CW$3,CLAVE_DESGLOSE,$A25)</f>
        <v>19665</v>
      </c>
      <c r="CX25" s="13">
        <f>SUMIFS(SALIDAS_BIT,FECHA_BIT,"&gt;="&amp;CX$2,FECHA_BIT,"&lt;="&amp;CX$3,CLAVE_BIT,$A25)+SUMIFS(SALIDAS_BOV1,FECHA_BOV1,"&gt;="&amp;CX$2,FECHA_BOV1,"&lt;="&amp;CX$3,CLAVE_BOV1,$A25)+SUMIFS(SALIDAS_BOV2,FECHA_BOV2,"&gt;="&amp;CX$2,FECHA_BOV2,"&lt;="&amp;CX$3,CLAVE_BOV2,$A25)+SUMIFS(SALIDAS_BOV3,FECHA_BOV3,"&gt;="&amp;CX$2,FECHA_BOV3,"&lt;="&amp;CX$3,CLAVE_BOV3,$A25)+SUMIFS(SALIDAS_TC,FECHA_TC,"&gt;="&amp;CX$2,FECHA_TC,"&lt;="&amp;CX$3,CLAVE_TC,$A25)+SUMIFS(SALIDAS_COMB,FECHA_COMB,"&gt;="&amp;CX$2,FECHA_COMB,"&lt;="&amp;CX$3,CLAVE_COMB,$A25)+SUMIFS(SALIDAS_DES,FECHA_DESGLOSEN,"&gt;="&amp;CX$2,FECHA_DESGLOSEN,"&lt;="&amp;CX$3,CLAVE_DESGLOSE,$A25)</f>
        <v>19345</v>
      </c>
      <c r="CY25" s="13">
        <f>SUMIFS(SALIDAS_BIT,FECHA_BIT,"&gt;="&amp;CY$2,FECHA_BIT,"&lt;="&amp;CY$3,CLAVE_BIT,$A25)+SUMIFS(SALIDAS_BOV1,FECHA_BOV1,"&gt;="&amp;CY$2,FECHA_BOV1,"&lt;="&amp;CY$3,CLAVE_BOV1,$A25)+SUMIFS(SALIDAS_BOV2,FECHA_BOV2,"&gt;="&amp;CY$2,FECHA_BOV2,"&lt;="&amp;CY$3,CLAVE_BOV2,$A25)+SUMIFS(SALIDAS_BOV3,FECHA_BOV3,"&gt;="&amp;CY$2,FECHA_BOV3,"&lt;="&amp;CY$3,CLAVE_BOV3,$A25)+SUMIFS(SALIDAS_TC,FECHA_TC,"&gt;="&amp;CY$2,FECHA_TC,"&lt;="&amp;CY$3,CLAVE_TC,$A25)+SUMIFS(SALIDAS_COMB,FECHA_COMB,"&gt;="&amp;CY$2,FECHA_COMB,"&lt;="&amp;CY$3,CLAVE_COMB,$A25)+SUMIFS(SALIDAS_DES,FECHA_DESGLOSEN,"&gt;="&amp;CY$2,FECHA_DESGLOSEN,"&lt;="&amp;CY$3,CLAVE_DESGLOSE,$A25)</f>
        <v>76908.399999999994</v>
      </c>
      <c r="CZ25" s="68">
        <f t="shared" si="80"/>
        <v>-6162.3999999999942</v>
      </c>
      <c r="DB25" s="17">
        <f>F25+N25+W25+AE25+AM25+AV25+BD25+BL25+BU25+CC25+CK25</f>
        <v>872839</v>
      </c>
      <c r="DC25" s="17">
        <f>K25+T25+AB25+AJ25+AS25+BA25+BI25+BR25+BZ25+CH25+CQ25</f>
        <v>906418.69999999972</v>
      </c>
    </row>
    <row r="26" spans="1:107" hidden="1">
      <c r="A26" s="12" t="str">
        <f t="shared" si="57"/>
        <v>CAPNOMINA SUCURSALE1</v>
      </c>
      <c r="B26" s="12">
        <v>20</v>
      </c>
      <c r="C26" t="s">
        <v>31</v>
      </c>
      <c r="D26" s="12" t="s">
        <v>154</v>
      </c>
      <c r="E26" s="12" t="s">
        <v>107</v>
      </c>
      <c r="F26" s="259">
        <f t="shared" si="58"/>
        <v>60256</v>
      </c>
      <c r="G26" s="13">
        <f t="shared" si="81"/>
        <v>17881.8</v>
      </c>
      <c r="H26" s="13">
        <f t="shared" si="81"/>
        <v>14490.2</v>
      </c>
      <c r="I26" s="13">
        <f t="shared" si="81"/>
        <v>14674.8</v>
      </c>
      <c r="J26" s="13">
        <f t="shared" si="81"/>
        <v>14111</v>
      </c>
      <c r="K26" s="13">
        <f t="shared" si="81"/>
        <v>61157.8</v>
      </c>
      <c r="L26" s="68">
        <f t="shared" si="59"/>
        <v>-901.80000000000291</v>
      </c>
      <c r="M26" s="268">
        <f t="shared" si="60"/>
        <v>1.0149661444503453</v>
      </c>
      <c r="N26" s="13">
        <f t="shared" si="36"/>
        <v>75320</v>
      </c>
      <c r="O26" s="13">
        <f t="shared" si="82"/>
        <v>14498.2</v>
      </c>
      <c r="P26" s="13">
        <f t="shared" si="82"/>
        <v>14472</v>
      </c>
      <c r="Q26" s="13">
        <f t="shared" si="82"/>
        <v>17286.400000000001</v>
      </c>
      <c r="R26" s="13">
        <f t="shared" si="82"/>
        <v>14170.2</v>
      </c>
      <c r="S26" s="13">
        <f t="shared" si="82"/>
        <v>16079</v>
      </c>
      <c r="T26" s="13">
        <f t="shared" si="82"/>
        <v>76505.8</v>
      </c>
      <c r="U26" s="68">
        <f t="shared" si="61"/>
        <v>-1185.8000000000029</v>
      </c>
      <c r="V26" s="268">
        <f t="shared" si="62"/>
        <v>1.015743494423792</v>
      </c>
      <c r="W26" s="13">
        <f t="shared" si="38"/>
        <v>60256</v>
      </c>
      <c r="X26" s="13">
        <f t="shared" si="83"/>
        <v>14479.4</v>
      </c>
      <c r="Y26" s="13">
        <f t="shared" si="83"/>
        <v>14147.4</v>
      </c>
      <c r="Z26" s="13">
        <f t="shared" si="83"/>
        <v>12813.2</v>
      </c>
      <c r="AA26" s="13">
        <f t="shared" si="83"/>
        <v>12722.8</v>
      </c>
      <c r="AB26" s="13">
        <f t="shared" si="83"/>
        <v>54162.8</v>
      </c>
      <c r="AC26" s="68">
        <f t="shared" si="63"/>
        <v>6093.1999999999971</v>
      </c>
      <c r="AD26" s="268">
        <f t="shared" si="64"/>
        <v>0.89887812002124279</v>
      </c>
      <c r="AE26" s="13">
        <f t="shared" si="40"/>
        <v>60256</v>
      </c>
      <c r="AF26" s="13">
        <f t="shared" si="84"/>
        <v>15114.4</v>
      </c>
      <c r="AG26" s="13">
        <f t="shared" si="84"/>
        <v>10438.4</v>
      </c>
      <c r="AH26" s="13">
        <f t="shared" si="84"/>
        <v>11637.8</v>
      </c>
      <c r="AI26" s="13">
        <f t="shared" si="84"/>
        <v>12448</v>
      </c>
      <c r="AJ26" s="13">
        <f t="shared" si="84"/>
        <v>49638.6</v>
      </c>
      <c r="AK26" s="68">
        <f t="shared" si="65"/>
        <v>10617.400000000001</v>
      </c>
      <c r="AL26" s="268">
        <f t="shared" si="66"/>
        <v>0.82379514073287308</v>
      </c>
      <c r="AM26" s="13">
        <f t="shared" si="42"/>
        <v>75320</v>
      </c>
      <c r="AN26" s="13">
        <f t="shared" si="85"/>
        <v>13624.6</v>
      </c>
      <c r="AO26" s="13">
        <f t="shared" si="85"/>
        <v>13458.6</v>
      </c>
      <c r="AP26" s="13">
        <f t="shared" si="85"/>
        <v>14445.8</v>
      </c>
      <c r="AQ26" s="13">
        <f t="shared" si="85"/>
        <v>12678.8</v>
      </c>
      <c r="AR26" s="13">
        <f t="shared" si="85"/>
        <v>15533.2</v>
      </c>
      <c r="AS26" s="13">
        <f t="shared" si="85"/>
        <v>69741</v>
      </c>
      <c r="AT26" s="68">
        <f>AM26-AS26</f>
        <v>5579</v>
      </c>
      <c r="AU26" s="268">
        <f t="shared" si="67"/>
        <v>0.9259293680297398</v>
      </c>
      <c r="AV26" s="13">
        <f t="shared" si="44"/>
        <v>60256</v>
      </c>
      <c r="AW26" s="13">
        <f t="shared" si="86"/>
        <v>19236.8</v>
      </c>
      <c r="AX26" s="13">
        <f t="shared" si="86"/>
        <v>16236.6</v>
      </c>
      <c r="AY26" s="13">
        <f t="shared" si="86"/>
        <v>15560.6</v>
      </c>
      <c r="AZ26" s="13">
        <f t="shared" si="86"/>
        <v>15579.4</v>
      </c>
      <c r="BA26" s="13">
        <f t="shared" si="86"/>
        <v>66613.399999999994</v>
      </c>
      <c r="BB26" s="68">
        <f t="shared" si="68"/>
        <v>-6357.3999999999942</v>
      </c>
      <c r="BC26" s="268">
        <f t="shared" si="69"/>
        <v>1.1055065055762081</v>
      </c>
      <c r="BD26" s="13">
        <f t="shared" si="46"/>
        <v>60256</v>
      </c>
      <c r="BE26" s="13">
        <f>SUMIFS(SALIDAS_BIT,FECHA_BIT,"&gt;="&amp;BE$2,FECHA_BIT,"&lt;="&amp;BE$3,CLAVE_BIT,$A26)+SUMIFS(SALIDAS_BOV1,FECHA_BOV1,"&gt;="&amp;BE$2,FECHA_BOV1,"&lt;="&amp;BE$3,CLAVE_BOV1,$A26)+SUMIFS(SALIDAS_BOV2,FECHA_BOV2,"&gt;="&amp;BE$2,FECHA_BOV2,"&lt;="&amp;BE$3,CLAVE_BOV2,$A26)+SUMIFS(SALIDAS_BOV3,FECHA_BOV3,"&gt;="&amp;BE$2,FECHA_BOV3,"&lt;="&amp;BE$3,CLAVE_BOV3,$A26)+SUMIFS(SALIDAS_TC,FECHA_TC,"&gt;="&amp;BE$2,FECHA_TC,"&lt;="&amp;BE$3,CLAVE_TC,$A26)+SUMIFS(SALIDAS_COMB,FECHA_COMB,"&gt;="&amp;BE$2,FECHA_COMB,"&lt;="&amp;BE$3,CLAVE_COMB,$A26)+SUMIFS(SALIDAS_DES,FECHA_DESGLOSEN,"&gt;="&amp;BE$2,FECHA_DESGLOSEN,"&lt;="&amp;BE$3,CLAVE_DESGLOSE,$A26)</f>
        <v>15833.4</v>
      </c>
      <c r="BF26" s="13">
        <f>SUMIFS(SALIDAS_BIT,FECHA_BIT,"&gt;="&amp;BF$2,FECHA_BIT,"&lt;="&amp;BF$3,CLAVE_BIT,$A26)+SUMIFS(SALIDAS_BOV1,FECHA_BOV1,"&gt;="&amp;BF$2,FECHA_BOV1,"&lt;="&amp;BF$3,CLAVE_BOV1,$A26)+SUMIFS(SALIDAS_BOV2,FECHA_BOV2,"&gt;="&amp;BF$2,FECHA_BOV2,"&lt;="&amp;BF$3,CLAVE_BOV2,$A26)+SUMIFS(SALIDAS_BOV3,FECHA_BOV3,"&gt;="&amp;BF$2,FECHA_BOV3,"&lt;="&amp;BF$3,CLAVE_BOV3,$A26)+SUMIFS(SALIDAS_TC,FECHA_TC,"&gt;="&amp;BF$2,FECHA_TC,"&lt;="&amp;BF$3,CLAVE_TC,$A26)+SUMIFS(SALIDAS_COMB,FECHA_COMB,"&gt;="&amp;BF$2,FECHA_COMB,"&lt;="&amp;BF$3,CLAVE_COMB,$A26)+SUMIFS(SALIDAS_DES,FECHA_DESGLOSEN,"&gt;="&amp;BF$2,FECHA_DESGLOSEN,"&lt;="&amp;BF$3,CLAVE_DESGLOSE,$A26)</f>
        <v>16887.2</v>
      </c>
      <c r="BG26" s="13">
        <f>SUMIFS(SALIDAS_BIT,FECHA_BIT,"&gt;="&amp;BG$2,FECHA_BIT,"&lt;="&amp;BG$3,CLAVE_BIT,$A26)+SUMIFS(SALIDAS_BOV1,FECHA_BOV1,"&gt;="&amp;BG$2,FECHA_BOV1,"&lt;="&amp;BG$3,CLAVE_BOV1,$A26)+SUMIFS(SALIDAS_BOV2,FECHA_BOV2,"&gt;="&amp;BG$2,FECHA_BOV2,"&lt;="&amp;BG$3,CLAVE_BOV2,$A26)+SUMIFS(SALIDAS_BOV3,FECHA_BOV3,"&gt;="&amp;BG$2,FECHA_BOV3,"&lt;="&amp;BG$3,CLAVE_BOV3,$A26)+SUMIFS(SALIDAS_TC,FECHA_TC,"&gt;="&amp;BG$2,FECHA_TC,"&lt;="&amp;BG$3,CLAVE_TC,$A26)+SUMIFS(SALIDAS_COMB,FECHA_COMB,"&gt;="&amp;BG$2,FECHA_COMB,"&lt;="&amp;BG$3,CLAVE_COMB,$A26)+SUMIFS(SALIDAS_DES,FECHA_DESGLOSEN,"&gt;="&amp;BG$2,FECHA_DESGLOSEN,"&lt;="&amp;BG$3,CLAVE_DESGLOSE,$A26)</f>
        <v>17017.8</v>
      </c>
      <c r="BH26" s="13">
        <f>SUMIFS(SALIDAS_BIT,FECHA_BIT,"&gt;="&amp;BH$2,FECHA_BIT,"&lt;="&amp;BH$3,CLAVE_BIT,$A26)+SUMIFS(SALIDAS_BOV1,FECHA_BOV1,"&gt;="&amp;BH$2,FECHA_BOV1,"&lt;="&amp;BH$3,CLAVE_BOV1,$A26)+SUMIFS(SALIDAS_BOV2,FECHA_BOV2,"&gt;="&amp;BH$2,FECHA_BOV2,"&lt;="&amp;BH$3,CLAVE_BOV2,$A26)+SUMIFS(SALIDAS_BOV3,FECHA_BOV3,"&gt;="&amp;BH$2,FECHA_BOV3,"&lt;="&amp;BH$3,CLAVE_BOV3,$A26)+SUMIFS(SALIDAS_TC,FECHA_TC,"&gt;="&amp;BH$2,FECHA_TC,"&lt;="&amp;BH$3,CLAVE_TC,$A26)+SUMIFS(SALIDAS_COMB,FECHA_COMB,"&gt;="&amp;BH$2,FECHA_COMB,"&lt;="&amp;BH$3,CLAVE_COMB,$A26)+SUMIFS(SALIDAS_DES,FECHA_DESGLOSEN,"&gt;="&amp;BH$2,FECHA_DESGLOSEN,"&lt;="&amp;BH$3,CLAVE_DESGLOSE,$A26)</f>
        <v>17233</v>
      </c>
      <c r="BI26" s="13">
        <f>SUMIFS(SALIDAS_BIT,FECHA_BIT,"&gt;="&amp;BI$2,FECHA_BIT,"&lt;="&amp;BI$3,CLAVE_BIT,$A26)+SUMIFS(SALIDAS_BOV1,FECHA_BOV1,"&gt;="&amp;BI$2,FECHA_BOV1,"&lt;="&amp;BI$3,CLAVE_BOV1,$A26)+SUMIFS(SALIDAS_BOV2,FECHA_BOV2,"&gt;="&amp;BI$2,FECHA_BOV2,"&lt;="&amp;BI$3,CLAVE_BOV2,$A26)+SUMIFS(SALIDAS_BOV3,FECHA_BOV3,"&gt;="&amp;BI$2,FECHA_BOV3,"&lt;="&amp;BI$3,CLAVE_BOV3,$A26)+SUMIFS(SALIDAS_TC,FECHA_TC,"&gt;="&amp;BI$2,FECHA_TC,"&lt;="&amp;BI$3,CLAVE_TC,$A26)+SUMIFS(SALIDAS_COMB,FECHA_COMB,"&gt;="&amp;BI$2,FECHA_COMB,"&lt;="&amp;BI$3,CLAVE_COMB,$A26)+SUMIFS(SALIDAS_DES,FECHA_DESGLOSEN,"&gt;="&amp;BI$2,FECHA_DESGLOSEN,"&lt;="&amp;BI$3,CLAVE_DESGLOSE,$A26)</f>
        <v>66971.399999999994</v>
      </c>
      <c r="BJ26" s="68">
        <f t="shared" si="70"/>
        <v>-6715.3999999999942</v>
      </c>
      <c r="BK26" s="401">
        <f t="shared" si="71"/>
        <v>1.1114478226234732</v>
      </c>
      <c r="BL26" s="13">
        <f t="shared" si="47"/>
        <v>75320</v>
      </c>
      <c r="BM26" s="13">
        <f>SUMIFS(SALIDAS_BIT,FECHA_BIT,"&gt;="&amp;BM$2,FECHA_BIT,"&lt;="&amp;BM$3,CLAVE_BIT,$A26)+SUMIFS(SALIDAS_BOV1,FECHA_BOV1,"&gt;="&amp;BM$2,FECHA_BOV1,"&lt;="&amp;BM$3,CLAVE_BOV1,$A26)+SUMIFS(SALIDAS_BOV2,FECHA_BOV2,"&gt;="&amp;BM$2,FECHA_BOV2,"&lt;="&amp;BM$3,CLAVE_BOV2,$A26)+SUMIFS(SALIDAS_BOV3,FECHA_BOV3,"&gt;="&amp;BM$2,FECHA_BOV3,"&lt;="&amp;BM$3,CLAVE_BOV3,$A26)+SUMIFS(SALIDAS_TC,FECHA_TC,"&gt;="&amp;BM$2,FECHA_TC,"&lt;="&amp;BM$3,CLAVE_TC,$A26)+SUMIFS(SALIDAS_COMB,FECHA_COMB,"&gt;="&amp;BM$2,FECHA_COMB,"&lt;="&amp;BM$3,CLAVE_COMB,$A26)+SUMIFS(SALIDAS_DES,FECHA_DESGLOSEN,"&gt;="&amp;BM$2,FECHA_DESGLOSEN,"&lt;="&amp;BM$3,CLAVE_DESGLOSE,$A26)</f>
        <v>13896</v>
      </c>
      <c r="BN26" s="13">
        <f>SUMIFS(SALIDAS_BIT,FECHA_BIT,"&gt;="&amp;BN$2,FECHA_BIT,"&lt;="&amp;BN$3,CLAVE_BIT,$A26)+SUMIFS(SALIDAS_BOV1,FECHA_BOV1,"&gt;="&amp;BN$2,FECHA_BOV1,"&lt;="&amp;BN$3,CLAVE_BOV1,$A26)+SUMIFS(SALIDAS_BOV2,FECHA_BOV2,"&gt;="&amp;BN$2,FECHA_BOV2,"&lt;="&amp;BN$3,CLAVE_BOV2,$A26)+SUMIFS(SALIDAS_BOV3,FECHA_BOV3,"&gt;="&amp;BN$2,FECHA_BOV3,"&lt;="&amp;BN$3,CLAVE_BOV3,$A26)+SUMIFS(SALIDAS_TC,FECHA_TC,"&gt;="&amp;BN$2,FECHA_TC,"&lt;="&amp;BN$3,CLAVE_TC,$A26)+SUMIFS(SALIDAS_COMB,FECHA_COMB,"&gt;="&amp;BN$2,FECHA_COMB,"&lt;="&amp;BN$3,CLAVE_COMB,$A26)+SUMIFS(SALIDAS_DES,FECHA_DESGLOSEN,"&gt;="&amp;BN$2,FECHA_DESGLOSEN,"&lt;="&amp;BN$3,CLAVE_DESGLOSE,$A26)</f>
        <v>15922.4</v>
      </c>
      <c r="BO26" s="13">
        <f>SUMIFS(SALIDAS_BIT,FECHA_BIT,"&gt;="&amp;BO$2,FECHA_BIT,"&lt;="&amp;BO$3,CLAVE_BIT,$A26)+SUMIFS(SALIDAS_BOV1,FECHA_BOV1,"&gt;="&amp;BO$2,FECHA_BOV1,"&lt;="&amp;BO$3,CLAVE_BOV1,$A26)+SUMIFS(SALIDAS_BOV2,FECHA_BOV2,"&gt;="&amp;BO$2,FECHA_BOV2,"&lt;="&amp;BO$3,CLAVE_BOV2,$A26)+SUMIFS(SALIDAS_BOV3,FECHA_BOV3,"&gt;="&amp;BO$2,FECHA_BOV3,"&lt;="&amp;BO$3,CLAVE_BOV3,$A26)+SUMIFS(SALIDAS_TC,FECHA_TC,"&gt;="&amp;BO$2,FECHA_TC,"&lt;="&amp;BO$3,CLAVE_TC,$A26)+SUMIFS(SALIDAS_COMB,FECHA_COMB,"&gt;="&amp;BO$2,FECHA_COMB,"&lt;="&amp;BO$3,CLAVE_COMB,$A26)+SUMIFS(SALIDAS_DES,FECHA_DESGLOSEN,"&gt;="&amp;BO$2,FECHA_DESGLOSEN,"&lt;="&amp;BO$3,CLAVE_DESGLOSE,$A26)</f>
        <v>15920</v>
      </c>
      <c r="BP26" s="13">
        <f>SUMIFS(SALIDAS_BIT,FECHA_BIT,"&gt;="&amp;BP$2,FECHA_BIT,"&lt;="&amp;BP$3,CLAVE_BIT,$A26)+SUMIFS(SALIDAS_BOV1,FECHA_BOV1,"&gt;="&amp;BP$2,FECHA_BOV1,"&lt;="&amp;BP$3,CLAVE_BOV1,$A26)+SUMIFS(SALIDAS_BOV2,FECHA_BOV2,"&gt;="&amp;BP$2,FECHA_BOV2,"&lt;="&amp;BP$3,CLAVE_BOV2,$A26)+SUMIFS(SALIDAS_BOV3,FECHA_BOV3,"&gt;="&amp;BP$2,FECHA_BOV3,"&lt;="&amp;BP$3,CLAVE_BOV3,$A26)+SUMIFS(SALIDAS_TC,FECHA_TC,"&gt;="&amp;BP$2,FECHA_TC,"&lt;="&amp;BP$3,CLAVE_TC,$A26)+SUMIFS(SALIDAS_COMB,FECHA_COMB,"&gt;="&amp;BP$2,FECHA_COMB,"&lt;="&amp;BP$3,CLAVE_COMB,$A26)+SUMIFS(SALIDAS_DES,FECHA_DESGLOSEN,"&gt;="&amp;BP$2,FECHA_DESGLOSEN,"&lt;="&amp;BP$3,CLAVE_DESGLOSE,$A26)</f>
        <v>19138.400000000001</v>
      </c>
      <c r="BQ26" s="13">
        <f>SUMIFS(SALIDAS_BIT,FECHA_BIT,"&gt;="&amp;BQ$2,FECHA_BIT,"&lt;="&amp;BQ$3,CLAVE_BIT,$A26)+SUMIFS(SALIDAS_BOV1,FECHA_BOV1,"&gt;="&amp;BQ$2,FECHA_BOV1,"&lt;="&amp;BQ$3,CLAVE_BOV1,$A26)+SUMIFS(SALIDAS_BOV2,FECHA_BOV2,"&gt;="&amp;BQ$2,FECHA_BOV2,"&lt;="&amp;BQ$3,CLAVE_BOV2,$A26)+SUMIFS(SALIDAS_BOV3,FECHA_BOV3,"&gt;="&amp;BQ$2,FECHA_BOV3,"&lt;="&amp;BQ$3,CLAVE_BOV3,$A26)+SUMIFS(SALIDAS_TC,FECHA_TC,"&gt;="&amp;BQ$2,FECHA_TC,"&lt;="&amp;BQ$3,CLAVE_TC,$A26)+SUMIFS(SALIDAS_COMB,FECHA_COMB,"&gt;="&amp;BQ$2,FECHA_COMB,"&lt;="&amp;BQ$3,CLAVE_COMB,$A26)+SUMIFS(SALIDAS_DES,FECHA_DESGLOSEN,"&gt;="&amp;BQ$2,FECHA_DESGLOSEN,"&lt;="&amp;BQ$3,CLAVE_DESGLOSE,$A26)</f>
        <v>15851.6</v>
      </c>
      <c r="BR26" s="13">
        <f>SUMIFS(SALIDAS_BIT,FECHA_BIT,"&gt;="&amp;BR$2,FECHA_BIT,"&lt;="&amp;BR$3,CLAVE_BIT,$A26)+SUMIFS(SALIDAS_BOV1,FECHA_BOV1,"&gt;="&amp;BR$2,FECHA_BOV1,"&lt;="&amp;BR$3,CLAVE_BOV1,$A26)+SUMIFS(SALIDAS_BOV2,FECHA_BOV2,"&gt;="&amp;BR$2,FECHA_BOV2,"&lt;="&amp;BR$3,CLAVE_BOV2,$A26)+SUMIFS(SALIDAS_BOV3,FECHA_BOV3,"&gt;="&amp;BR$2,FECHA_BOV3,"&lt;="&amp;BR$3,CLAVE_BOV3,$A26)+SUMIFS(SALIDAS_TC,FECHA_TC,"&gt;="&amp;BR$2,FECHA_TC,"&lt;="&amp;BR$3,CLAVE_TC,$A26)+SUMIFS(SALIDAS_COMB,FECHA_COMB,"&gt;="&amp;BR$2,FECHA_COMB,"&lt;="&amp;BR$3,CLAVE_COMB,$A26)+SUMIFS(SALIDAS_DES,FECHA_DESGLOSEN,"&gt;="&amp;BR$2,FECHA_DESGLOSEN,"&lt;="&amp;BR$3,CLAVE_DESGLOSE,$A26)</f>
        <v>80728.400000000009</v>
      </c>
      <c r="BS26" s="68">
        <f t="shared" si="72"/>
        <v>-5408.4000000000087</v>
      </c>
      <c r="BT26" s="268">
        <f t="shared" si="73"/>
        <v>1.0718056293149232</v>
      </c>
      <c r="BU26" s="13">
        <f t="shared" si="49"/>
        <v>60256</v>
      </c>
      <c r="BV26" s="13">
        <f t="shared" si="90"/>
        <v>16793.2</v>
      </c>
      <c r="BW26" s="13">
        <f t="shared" si="90"/>
        <v>13454.48</v>
      </c>
      <c r="BX26" s="13">
        <f t="shared" si="90"/>
        <v>14888.28</v>
      </c>
      <c r="BY26" s="13">
        <f t="shared" si="90"/>
        <v>15868.48</v>
      </c>
      <c r="BZ26" s="13">
        <f t="shared" si="87"/>
        <v>61004.44</v>
      </c>
      <c r="CA26" s="68">
        <f t="shared" si="74"/>
        <v>-748.44000000000233</v>
      </c>
      <c r="CB26" s="268">
        <f t="shared" si="75"/>
        <v>1.0124210037174721</v>
      </c>
      <c r="CC26" s="13">
        <f t="shared" si="51"/>
        <v>60256</v>
      </c>
      <c r="CD26" s="13">
        <f t="shared" si="91"/>
        <v>15841.48</v>
      </c>
      <c r="CE26" s="13">
        <f t="shared" si="91"/>
        <v>14040.08</v>
      </c>
      <c r="CF26" s="13">
        <f t="shared" si="91"/>
        <v>16800.080000000002</v>
      </c>
      <c r="CG26" s="13">
        <f t="shared" si="91"/>
        <v>14958.48</v>
      </c>
      <c r="CH26" s="13">
        <f t="shared" si="88"/>
        <v>61640.119999999995</v>
      </c>
      <c r="CI26" s="68">
        <f t="shared" si="76"/>
        <v>-1384.1199999999953</v>
      </c>
      <c r="CJ26" s="268">
        <f t="shared" si="77"/>
        <v>1.0229706585236324</v>
      </c>
      <c r="CK26" s="13">
        <f t="shared" si="53"/>
        <v>111631</v>
      </c>
      <c r="CL26" s="13">
        <f t="shared" si="92"/>
        <v>16189.68</v>
      </c>
      <c r="CM26" s="13">
        <f t="shared" si="92"/>
        <v>22286.799999999999</v>
      </c>
      <c r="CN26" s="13">
        <f t="shared" si="92"/>
        <v>21674.68</v>
      </c>
      <c r="CO26" s="13">
        <f t="shared" si="92"/>
        <v>22413.88</v>
      </c>
      <c r="CP26" s="13">
        <f t="shared" si="92"/>
        <v>27625.88</v>
      </c>
      <c r="CQ26" s="13">
        <f t="shared" si="89"/>
        <v>110190.92</v>
      </c>
      <c r="CR26" s="68">
        <f t="shared" si="78"/>
        <v>1440.0800000000017</v>
      </c>
      <c r="CS26" s="268">
        <f t="shared" si="79"/>
        <v>0.98709964078078671</v>
      </c>
      <c r="CT26" s="68">
        <f t="shared" si="55"/>
        <v>68935</v>
      </c>
      <c r="CU26" s="13">
        <f>SUMIFS(SALIDAS_BIT,FECHA_BIT,"&gt;="&amp;CU$2,FECHA_BIT,"&lt;="&amp;CU$3,CLAVE_BIT,$A26)+SUMIFS(SALIDAS_BOV1,FECHA_BOV1,"&gt;="&amp;CU$2,FECHA_BOV1,"&lt;="&amp;CU$3,CLAVE_BOV1,$A26)+SUMIFS(SALIDAS_BOV2,FECHA_BOV2,"&gt;="&amp;CU$2,FECHA_BOV2,"&lt;="&amp;CU$3,CLAVE_BOV2,$A26)+SUMIFS(SALIDAS_BOV3,FECHA_BOV3,"&gt;="&amp;CU$2,FECHA_BOV3,"&lt;="&amp;CU$3,CLAVE_BOV3,$A26)+SUMIFS(SALIDAS_TC,FECHA_TC,"&gt;="&amp;CU$2,FECHA_TC,"&lt;="&amp;CU$3,CLAVE_TC,$A26)+SUMIFS(SALIDAS_COMB,FECHA_COMB,"&gt;="&amp;CU$2,FECHA_COMB,"&lt;="&amp;CU$3,CLAVE_COMB,$A26)+SUMIFS(SALIDAS_DES,FECHA_DESGLOSEN,"&gt;="&amp;CU$2,FECHA_DESGLOSEN,"&lt;="&amp;CU$3,CLAVE_DESGLOSE,$A26)</f>
        <v>27349.08</v>
      </c>
      <c r="CV26" s="13">
        <f>SUMIFS(SALIDAS_BIT,FECHA_BIT,"&gt;="&amp;CV$2,FECHA_BIT,"&lt;="&amp;CV$3,CLAVE_BIT,$A26)+SUMIFS(SALIDAS_BOV1,FECHA_BOV1,"&gt;="&amp;CV$2,FECHA_BOV1,"&lt;="&amp;CV$3,CLAVE_BOV1,$A26)+SUMIFS(SALIDAS_BOV2,FECHA_BOV2,"&gt;="&amp;CV$2,FECHA_BOV2,"&lt;="&amp;CV$3,CLAVE_BOV2,$A26)+SUMIFS(SALIDAS_BOV3,FECHA_BOV3,"&gt;="&amp;CV$2,FECHA_BOV3,"&lt;="&amp;CV$3,CLAVE_BOV3,$A26)+SUMIFS(SALIDAS_TC,FECHA_TC,"&gt;="&amp;CV$2,FECHA_TC,"&lt;="&amp;CV$3,CLAVE_TC,$A26)+SUMIFS(SALIDAS_COMB,FECHA_COMB,"&gt;="&amp;CV$2,FECHA_COMB,"&lt;="&amp;CV$3,CLAVE_COMB,$A26)+SUMIFS(SALIDAS_DES,FECHA_DESGLOSEN,"&gt;="&amp;CV$2,FECHA_DESGLOSEN,"&lt;="&amp;CV$3,CLAVE_DESGLOSE,$A26)</f>
        <v>17637.88</v>
      </c>
      <c r="CW26" s="13">
        <f>SUMIFS(SALIDAS_BIT,FECHA_BIT,"&gt;="&amp;CW$2,FECHA_BIT,"&lt;="&amp;CW$3,CLAVE_BIT,$A26)+SUMIFS(SALIDAS_BOV1,FECHA_BOV1,"&gt;="&amp;CW$2,FECHA_BOV1,"&lt;="&amp;CW$3,CLAVE_BOV1,$A26)+SUMIFS(SALIDAS_BOV2,FECHA_BOV2,"&gt;="&amp;CW$2,FECHA_BOV2,"&lt;="&amp;CW$3,CLAVE_BOV2,$A26)+SUMIFS(SALIDAS_BOV3,FECHA_BOV3,"&gt;="&amp;CW$2,FECHA_BOV3,"&lt;="&amp;CW$3,CLAVE_BOV3,$A26)+SUMIFS(SALIDAS_TC,FECHA_TC,"&gt;="&amp;CW$2,FECHA_TC,"&lt;="&amp;CW$3,CLAVE_TC,$A26)+SUMIFS(SALIDAS_COMB,FECHA_COMB,"&gt;="&amp;CW$2,FECHA_COMB,"&lt;="&amp;CW$3,CLAVE_COMB,$A26)+SUMIFS(SALIDAS_DES,FECHA_DESGLOSEN,"&gt;="&amp;CW$2,FECHA_DESGLOSEN,"&lt;="&amp;CW$3,CLAVE_DESGLOSE,$A26)</f>
        <v>15493.88</v>
      </c>
      <c r="CX26" s="13">
        <f>SUMIFS(SALIDAS_BIT,FECHA_BIT,"&gt;="&amp;CX$2,FECHA_BIT,"&lt;="&amp;CX$3,CLAVE_BIT,$A26)+SUMIFS(SALIDAS_BOV1,FECHA_BOV1,"&gt;="&amp;CX$2,FECHA_BOV1,"&lt;="&amp;CX$3,CLAVE_BOV1,$A26)+SUMIFS(SALIDAS_BOV2,FECHA_BOV2,"&gt;="&amp;CX$2,FECHA_BOV2,"&lt;="&amp;CX$3,CLAVE_BOV2,$A26)+SUMIFS(SALIDAS_BOV3,FECHA_BOV3,"&gt;="&amp;CX$2,FECHA_BOV3,"&lt;="&amp;CX$3,CLAVE_BOV3,$A26)+SUMIFS(SALIDAS_TC,FECHA_TC,"&gt;="&amp;CX$2,FECHA_TC,"&lt;="&amp;CX$3,CLAVE_TC,$A26)+SUMIFS(SALIDAS_COMB,FECHA_COMB,"&gt;="&amp;CX$2,FECHA_COMB,"&lt;="&amp;CX$3,CLAVE_COMB,$A26)+SUMIFS(SALIDAS_DES,FECHA_DESGLOSEN,"&gt;="&amp;CX$2,FECHA_DESGLOSEN,"&lt;="&amp;CX$3,CLAVE_DESGLOSE,$A26)</f>
        <v>16555.68</v>
      </c>
      <c r="CY26" s="13">
        <f>SUMIFS(SALIDAS_BIT,FECHA_BIT,"&gt;="&amp;CY$2,FECHA_BIT,"&lt;="&amp;CY$3,CLAVE_BIT,$A26)+SUMIFS(SALIDAS_BOV1,FECHA_BOV1,"&gt;="&amp;CY$2,FECHA_BOV1,"&lt;="&amp;CY$3,CLAVE_BOV1,$A26)+SUMIFS(SALIDAS_BOV2,FECHA_BOV2,"&gt;="&amp;CY$2,FECHA_BOV2,"&lt;="&amp;CY$3,CLAVE_BOV2,$A26)+SUMIFS(SALIDAS_BOV3,FECHA_BOV3,"&gt;="&amp;CY$2,FECHA_BOV3,"&lt;="&amp;CY$3,CLAVE_BOV3,$A26)+SUMIFS(SALIDAS_TC,FECHA_TC,"&gt;="&amp;CY$2,FECHA_TC,"&lt;="&amp;CY$3,CLAVE_TC,$A26)+SUMIFS(SALIDAS_COMB,FECHA_COMB,"&gt;="&amp;CY$2,FECHA_COMB,"&lt;="&amp;CY$3,CLAVE_COMB,$A26)+SUMIFS(SALIDAS_DES,FECHA_DESGLOSEN,"&gt;="&amp;CY$2,FECHA_DESGLOSEN,"&lt;="&amp;CY$3,CLAVE_DESGLOSE,$A26)</f>
        <v>77036.52</v>
      </c>
      <c r="CZ26" s="68">
        <f t="shared" si="80"/>
        <v>-8101.5200000000041</v>
      </c>
      <c r="DB26" s="17">
        <f>F26+N26+W26+AE26+AM26+AV26+BD26+BL26+BU26+CC26+CK26</f>
        <v>759383</v>
      </c>
      <c r="DC26" s="17">
        <f>K26+T26+AB26+AJ26+AS26+BA26+BI26+BR26+BZ26+CH26+CQ26</f>
        <v>758354.68000000017</v>
      </c>
    </row>
    <row r="27" spans="1:107" hidden="1">
      <c r="A27" s="12" t="str">
        <f t="shared" si="57"/>
        <v>CAPNOMINA SUCURSALE2</v>
      </c>
      <c r="B27" s="12">
        <v>21</v>
      </c>
      <c r="C27" t="s">
        <v>31</v>
      </c>
      <c r="D27" s="12" t="s">
        <v>154</v>
      </c>
      <c r="E27" s="12" t="s">
        <v>108</v>
      </c>
      <c r="F27" s="259">
        <f t="shared" si="58"/>
        <v>92000</v>
      </c>
      <c r="G27" s="13">
        <f t="shared" ref="G27:K36" si="93">SUMIFS(SALIDAS_BIT,FECHA_BIT,"&gt;="&amp;G$2,FECHA_BIT,"&lt;="&amp;G$3,CLAVE_BIT,$A27)+SUMIFS(SALIDAS_BOV1,FECHA_BOV1,"&gt;="&amp;G$2,FECHA_BOV1,"&lt;="&amp;G$3,CLAVE_BOV1,$A27)+SUMIFS(SALIDAS_BOV2,FECHA_BOV2,"&gt;="&amp;G$2,FECHA_BOV2,"&lt;="&amp;G$3,CLAVE_BOV2,$A27)+SUMIFS(SALIDAS_BOV3,FECHA_BOV3,"&gt;="&amp;G$2,FECHA_BOV3,"&lt;="&amp;G$3,CLAVE_BOV3,$A27)+SUMIFS(SALIDAS_TC,FECHA_TC,"&gt;="&amp;G$2,FECHA_TC,"&lt;="&amp;G$3,CLAVE_TC,$A27)+SUMIFS(SALIDAS_COMB,FECHA_COMB,"&gt;="&amp;G$2,FECHA_COMB,"&lt;="&amp;G$3,CLAVE_COMB,$A27)+SUMIFS(SALIDAS_DES,FECHA_DESGLOSEN,"&gt;="&amp;G$2,FECHA_DESGLOSEN,"&lt;="&amp;G$3,CLAVE_DESGLOSE,$A27)</f>
        <v>33694.800000000003</v>
      </c>
      <c r="H27" s="13">
        <f t="shared" si="93"/>
        <v>25373.4</v>
      </c>
      <c r="I27" s="13">
        <f t="shared" si="93"/>
        <v>19329.8</v>
      </c>
      <c r="J27" s="13">
        <f t="shared" si="93"/>
        <v>17483</v>
      </c>
      <c r="K27" s="13">
        <f t="shared" si="93"/>
        <v>95881</v>
      </c>
      <c r="L27" s="68">
        <f t="shared" si="59"/>
        <v>-3881</v>
      </c>
      <c r="M27" s="268">
        <f t="shared" si="60"/>
        <v>1.0421847826086956</v>
      </c>
      <c r="N27" s="13">
        <f t="shared" si="36"/>
        <v>115000</v>
      </c>
      <c r="O27" s="13">
        <f t="shared" ref="O27:T36" si="94">SUMIFS(SALIDAS_BIT,FECHA_BIT,"&gt;="&amp;O$2,FECHA_BIT,"&lt;="&amp;O$3,CLAVE_BIT,$A27)+SUMIFS(SALIDAS_BOV1,FECHA_BOV1,"&gt;="&amp;O$2,FECHA_BOV1,"&lt;="&amp;O$3,CLAVE_BOV1,$A27)+SUMIFS(SALIDAS_BOV2,FECHA_BOV2,"&gt;="&amp;O$2,FECHA_BOV2,"&lt;="&amp;O$3,CLAVE_BOV2,$A27)+SUMIFS(SALIDAS_BOV3,FECHA_BOV3,"&gt;="&amp;O$2,FECHA_BOV3,"&lt;="&amp;O$3,CLAVE_BOV3,$A27)+SUMIFS(SALIDAS_TC,FECHA_TC,"&gt;="&amp;O$2,FECHA_TC,"&lt;="&amp;O$3,CLAVE_TC,$A27)+SUMIFS(SALIDAS_COMB,FECHA_COMB,"&gt;="&amp;O$2,FECHA_COMB,"&lt;="&amp;O$3,CLAVE_COMB,$A27)+SUMIFS(SALIDAS_DES,FECHA_DESGLOSEN,"&gt;="&amp;O$2,FECHA_DESGLOSEN,"&lt;="&amp;O$3,CLAVE_DESGLOSE,$A27)</f>
        <v>16433</v>
      </c>
      <c r="P27" s="13">
        <f t="shared" si="94"/>
        <v>19156.8</v>
      </c>
      <c r="Q27" s="13">
        <f t="shared" si="94"/>
        <v>16332.8</v>
      </c>
      <c r="R27" s="13">
        <f t="shared" si="94"/>
        <v>14606.4</v>
      </c>
      <c r="S27" s="13">
        <f t="shared" si="94"/>
        <v>15790.6</v>
      </c>
      <c r="T27" s="13">
        <f t="shared" si="94"/>
        <v>82319.600000000006</v>
      </c>
      <c r="U27" s="68">
        <f t="shared" si="61"/>
        <v>32680.399999999994</v>
      </c>
      <c r="V27" s="268">
        <f t="shared" si="62"/>
        <v>0.71582260869565217</v>
      </c>
      <c r="W27" s="13">
        <f t="shared" si="38"/>
        <v>92000</v>
      </c>
      <c r="X27" s="13">
        <f t="shared" ref="X27:AB36" si="95">SUMIFS(SALIDAS_BIT,FECHA_BIT,"&gt;="&amp;X$2,FECHA_BIT,"&lt;="&amp;X$3,CLAVE_BIT,$A27)+SUMIFS(SALIDAS_BOV1,FECHA_BOV1,"&gt;="&amp;X$2,FECHA_BOV1,"&lt;="&amp;X$3,CLAVE_BOV1,$A27)+SUMIFS(SALIDAS_BOV2,FECHA_BOV2,"&gt;="&amp;X$2,FECHA_BOV2,"&lt;="&amp;X$3,CLAVE_BOV2,$A27)+SUMIFS(SALIDAS_BOV3,FECHA_BOV3,"&gt;="&amp;X$2,FECHA_BOV3,"&lt;="&amp;X$3,CLAVE_BOV3,$A27)+SUMIFS(SALIDAS_TC,FECHA_TC,"&gt;="&amp;X$2,FECHA_TC,"&lt;="&amp;X$3,CLAVE_TC,$A27)+SUMIFS(SALIDAS_COMB,FECHA_COMB,"&gt;="&amp;X$2,FECHA_COMB,"&lt;="&amp;X$3,CLAVE_COMB,$A27)+SUMIFS(SALIDAS_DES,FECHA_DESGLOSEN,"&gt;="&amp;X$2,FECHA_DESGLOSEN,"&lt;="&amp;X$3,CLAVE_DESGLOSE,$A27)</f>
        <v>15123.6</v>
      </c>
      <c r="Y27" s="13">
        <f t="shared" si="95"/>
        <v>14266.6</v>
      </c>
      <c r="Z27" s="13">
        <f t="shared" si="95"/>
        <v>16461.599999999999</v>
      </c>
      <c r="AA27" s="13">
        <f t="shared" si="95"/>
        <v>15760</v>
      </c>
      <c r="AB27" s="13">
        <f t="shared" si="95"/>
        <v>61611.8</v>
      </c>
      <c r="AC27" s="68">
        <f t="shared" si="63"/>
        <v>30388.199999999997</v>
      </c>
      <c r="AD27" s="268">
        <f t="shared" si="64"/>
        <v>0.66969347826086956</v>
      </c>
      <c r="AE27" s="13">
        <f t="shared" si="40"/>
        <v>64000</v>
      </c>
      <c r="AF27" s="13">
        <f t="shared" ref="AF27:AJ36" si="96">SUMIFS(SALIDAS_BIT,FECHA_BIT,"&gt;="&amp;AF$2,FECHA_BIT,"&lt;="&amp;AF$3,CLAVE_BIT,$A27)+SUMIFS(SALIDAS_BOV1,FECHA_BOV1,"&gt;="&amp;AF$2,FECHA_BOV1,"&lt;="&amp;AF$3,CLAVE_BOV1,$A27)+SUMIFS(SALIDAS_BOV2,FECHA_BOV2,"&gt;="&amp;AF$2,FECHA_BOV2,"&lt;="&amp;AF$3,CLAVE_BOV2,$A27)+SUMIFS(SALIDAS_BOV3,FECHA_BOV3,"&gt;="&amp;AF$2,FECHA_BOV3,"&lt;="&amp;AF$3,CLAVE_BOV3,$A27)+SUMIFS(SALIDAS_TC,FECHA_TC,"&gt;="&amp;AF$2,FECHA_TC,"&lt;="&amp;AF$3,CLAVE_TC,$A27)+SUMIFS(SALIDAS_COMB,FECHA_COMB,"&gt;="&amp;AF$2,FECHA_COMB,"&lt;="&amp;AF$3,CLAVE_COMB,$A27)+SUMIFS(SALIDAS_DES,FECHA_DESGLOSEN,"&gt;="&amp;AF$2,FECHA_DESGLOSEN,"&lt;="&amp;AF$3,CLAVE_DESGLOSE,$A27)</f>
        <v>13954.2</v>
      </c>
      <c r="AG27" s="13">
        <f t="shared" si="96"/>
        <v>16104.8</v>
      </c>
      <c r="AH27" s="13">
        <f t="shared" si="96"/>
        <v>15592.4</v>
      </c>
      <c r="AI27" s="13">
        <f t="shared" si="96"/>
        <v>14455</v>
      </c>
      <c r="AJ27" s="13">
        <f t="shared" si="96"/>
        <v>60106.400000000001</v>
      </c>
      <c r="AK27" s="68">
        <f t="shared" si="65"/>
        <v>3893.5999999999985</v>
      </c>
      <c r="AL27" s="268">
        <f t="shared" si="66"/>
        <v>0.93916250000000001</v>
      </c>
      <c r="AM27" s="13">
        <f t="shared" si="42"/>
        <v>80000</v>
      </c>
      <c r="AN27" s="13">
        <f t="shared" ref="AN27:AS36" si="97">SUMIFS(SALIDAS_BIT,FECHA_BIT,"&gt;="&amp;AN$2,FECHA_BIT,"&lt;="&amp;AN$3,CLAVE_BIT,$A27)+SUMIFS(SALIDAS_BOV1,FECHA_BOV1,"&gt;="&amp;AN$2,FECHA_BOV1,"&lt;="&amp;AN$3,CLAVE_BOV1,$A27)+SUMIFS(SALIDAS_BOV2,FECHA_BOV2,"&gt;="&amp;AN$2,FECHA_BOV2,"&lt;="&amp;AN$3,CLAVE_BOV2,$A27)+SUMIFS(SALIDAS_BOV3,FECHA_BOV3,"&gt;="&amp;AN$2,FECHA_BOV3,"&lt;="&amp;AN$3,CLAVE_BOV3,$A27)+SUMIFS(SALIDAS_TC,FECHA_TC,"&gt;="&amp;AN$2,FECHA_TC,"&lt;="&amp;AN$3,CLAVE_TC,$A27)+SUMIFS(SALIDAS_COMB,FECHA_COMB,"&gt;="&amp;AN$2,FECHA_COMB,"&lt;="&amp;AN$3,CLAVE_COMB,$A27)+SUMIFS(SALIDAS_DES,FECHA_DESGLOSEN,"&gt;="&amp;AN$2,FECHA_DESGLOSEN,"&lt;="&amp;AN$3,CLAVE_DESGLOSE,$A27)</f>
        <v>13996</v>
      </c>
      <c r="AO27" s="13">
        <f t="shared" si="97"/>
        <v>21889.200000000001</v>
      </c>
      <c r="AP27" s="13">
        <f t="shared" si="97"/>
        <v>22663.599999999999</v>
      </c>
      <c r="AQ27" s="13">
        <f t="shared" si="97"/>
        <v>25975.8</v>
      </c>
      <c r="AR27" s="13">
        <f t="shared" si="97"/>
        <v>25149.599999999999</v>
      </c>
      <c r="AS27" s="13">
        <f t="shared" si="97"/>
        <v>109674.19999999998</v>
      </c>
      <c r="AT27" s="68">
        <f>AM27-AS27</f>
        <v>-29674.199999999983</v>
      </c>
      <c r="AU27" s="268">
        <f t="shared" si="67"/>
        <v>1.3709274999999999</v>
      </c>
      <c r="AV27" s="13">
        <f t="shared" si="44"/>
        <v>64000</v>
      </c>
      <c r="AW27" s="13">
        <f t="shared" ref="AW27:BA42" si="98">SUMIFS(SALIDAS_BIT,FECHA_BIT,"&gt;="&amp;AW$2,FECHA_BIT,"&lt;="&amp;AW$3,CLAVE_BIT,$A27)+SUMIFS(SALIDAS_BOV1,FECHA_BOV1,"&gt;="&amp;AW$2,FECHA_BOV1,"&lt;="&amp;AW$3,CLAVE_BOV1,$A27)+SUMIFS(SALIDAS_BOV2,FECHA_BOV2,"&gt;="&amp;AW$2,FECHA_BOV2,"&lt;="&amp;AW$3,CLAVE_BOV2,$A27)+SUMIFS(SALIDAS_BOV3,FECHA_BOV3,"&gt;="&amp;AW$2,FECHA_BOV3,"&lt;="&amp;AW$3,CLAVE_BOV3,$A27)+SUMIFS(SALIDAS_TC,FECHA_TC,"&gt;="&amp;AW$2,FECHA_TC,"&lt;="&amp;AW$3,CLAVE_TC,$A27)+SUMIFS(SALIDAS_COMB,FECHA_COMB,"&gt;="&amp;AW$2,FECHA_COMB,"&lt;="&amp;AW$3,CLAVE_COMB,$A27)+SUMIFS(SALIDAS_DES,FECHA_DESGLOSEN,"&gt;="&amp;AW$2,FECHA_DESGLOSEN,"&lt;="&amp;AW$3,CLAVE_DESGLOSE,$A27)</f>
        <v>24339.200000000001</v>
      </c>
      <c r="AX27" s="13">
        <f t="shared" si="98"/>
        <v>23837.599999999999</v>
      </c>
      <c r="AY27" s="13">
        <f t="shared" si="98"/>
        <v>24292.6</v>
      </c>
      <c r="AZ27" s="13">
        <f t="shared" si="98"/>
        <v>20497.8</v>
      </c>
      <c r="BA27" s="13">
        <f t="shared" si="86"/>
        <v>92967.2</v>
      </c>
      <c r="BB27" s="68">
        <f t="shared" si="68"/>
        <v>-28967.199999999997</v>
      </c>
      <c r="BC27" s="268">
        <f t="shared" si="69"/>
        <v>1.4526124999999999</v>
      </c>
      <c r="BD27" s="13">
        <f t="shared" si="46"/>
        <v>64000</v>
      </c>
      <c r="BE27" s="13">
        <f>SUMIFS(SALIDAS_BIT,FECHA_BIT,"&gt;="&amp;BE$2,FECHA_BIT,"&lt;="&amp;BE$3,CLAVE_BIT,$A27)+SUMIFS(SALIDAS_BOV1,FECHA_BOV1,"&gt;="&amp;BE$2,FECHA_BOV1,"&lt;="&amp;BE$3,CLAVE_BOV1,$A27)+SUMIFS(SALIDAS_BOV2,FECHA_BOV2,"&gt;="&amp;BE$2,FECHA_BOV2,"&lt;="&amp;BE$3,CLAVE_BOV2,$A27)+SUMIFS(SALIDAS_BOV3,FECHA_BOV3,"&gt;="&amp;BE$2,FECHA_BOV3,"&lt;="&amp;BE$3,CLAVE_BOV3,$A27)+SUMIFS(SALIDAS_TC,FECHA_TC,"&gt;="&amp;BE$2,FECHA_TC,"&lt;="&amp;BE$3,CLAVE_TC,$A27)+SUMIFS(SALIDAS_COMB,FECHA_COMB,"&gt;="&amp;BE$2,FECHA_COMB,"&lt;="&amp;BE$3,CLAVE_COMB,$A27)+SUMIFS(SALIDAS_DES,FECHA_DESGLOSEN,"&gt;="&amp;BE$2,FECHA_DESGLOSEN,"&lt;="&amp;BE$3,CLAVE_DESGLOSE,$A27)</f>
        <v>16547.2</v>
      </c>
      <c r="BF27" s="13">
        <f>SUMIFS(SALIDAS_BIT,FECHA_BIT,"&gt;="&amp;BF$2,FECHA_BIT,"&lt;="&amp;BF$3,CLAVE_BIT,$A27)+SUMIFS(SALIDAS_BOV1,FECHA_BOV1,"&gt;="&amp;BF$2,FECHA_BOV1,"&lt;="&amp;BF$3,CLAVE_BOV1,$A27)+SUMIFS(SALIDAS_BOV2,FECHA_BOV2,"&gt;="&amp;BF$2,FECHA_BOV2,"&lt;="&amp;BF$3,CLAVE_BOV2,$A27)+SUMIFS(SALIDAS_BOV3,FECHA_BOV3,"&gt;="&amp;BF$2,FECHA_BOV3,"&lt;="&amp;BF$3,CLAVE_BOV3,$A27)+SUMIFS(SALIDAS_TC,FECHA_TC,"&gt;="&amp;BF$2,FECHA_TC,"&lt;="&amp;BF$3,CLAVE_TC,$A27)+SUMIFS(SALIDAS_COMB,FECHA_COMB,"&gt;="&amp;BF$2,FECHA_COMB,"&lt;="&amp;BF$3,CLAVE_COMB,$A27)+SUMIFS(SALIDAS_DES,FECHA_DESGLOSEN,"&gt;="&amp;BF$2,FECHA_DESGLOSEN,"&lt;="&amp;BF$3,CLAVE_DESGLOSE,$A27)</f>
        <v>16427.2</v>
      </c>
      <c r="BG27" s="13">
        <f>SUMIFS(SALIDAS_BIT,FECHA_BIT,"&gt;="&amp;BG$2,FECHA_BIT,"&lt;="&amp;BG$3,CLAVE_BIT,$A27)+SUMIFS(SALIDAS_BOV1,FECHA_BOV1,"&gt;="&amp;BG$2,FECHA_BOV1,"&lt;="&amp;BG$3,CLAVE_BOV1,$A27)+SUMIFS(SALIDAS_BOV2,FECHA_BOV2,"&gt;="&amp;BG$2,FECHA_BOV2,"&lt;="&amp;BG$3,CLAVE_BOV2,$A27)+SUMIFS(SALIDAS_BOV3,FECHA_BOV3,"&gt;="&amp;BG$2,FECHA_BOV3,"&lt;="&amp;BG$3,CLAVE_BOV3,$A27)+SUMIFS(SALIDAS_TC,FECHA_TC,"&gt;="&amp;BG$2,FECHA_TC,"&lt;="&amp;BG$3,CLAVE_TC,$A27)+SUMIFS(SALIDAS_COMB,FECHA_COMB,"&gt;="&amp;BG$2,FECHA_COMB,"&lt;="&amp;BG$3,CLAVE_COMB,$A27)+SUMIFS(SALIDAS_DES,FECHA_DESGLOSEN,"&gt;="&amp;BG$2,FECHA_DESGLOSEN,"&lt;="&amp;BG$3,CLAVE_DESGLOSE,$A27)</f>
        <v>15710.6</v>
      </c>
      <c r="BH27" s="13">
        <f>SUMIFS(SALIDAS_BIT,FECHA_BIT,"&gt;="&amp;BH$2,FECHA_BIT,"&lt;="&amp;BH$3,CLAVE_BIT,$A27)+SUMIFS(SALIDAS_BOV1,FECHA_BOV1,"&gt;="&amp;BH$2,FECHA_BOV1,"&lt;="&amp;BH$3,CLAVE_BOV1,$A27)+SUMIFS(SALIDAS_BOV2,FECHA_BOV2,"&gt;="&amp;BH$2,FECHA_BOV2,"&lt;="&amp;BH$3,CLAVE_BOV2,$A27)+SUMIFS(SALIDAS_BOV3,FECHA_BOV3,"&gt;="&amp;BH$2,FECHA_BOV3,"&lt;="&amp;BH$3,CLAVE_BOV3,$A27)+SUMIFS(SALIDAS_TC,FECHA_TC,"&gt;="&amp;BH$2,FECHA_TC,"&lt;="&amp;BH$3,CLAVE_TC,$A27)+SUMIFS(SALIDAS_COMB,FECHA_COMB,"&gt;="&amp;BH$2,FECHA_COMB,"&lt;="&amp;BH$3,CLAVE_COMB,$A27)+SUMIFS(SALIDAS_DES,FECHA_DESGLOSEN,"&gt;="&amp;BH$2,FECHA_DESGLOSEN,"&lt;="&amp;BH$3,CLAVE_DESGLOSE,$A27)</f>
        <v>18146.599999999999</v>
      </c>
      <c r="BI27" s="13">
        <f>SUMIFS(SALIDAS_BIT,FECHA_BIT,"&gt;="&amp;BI$2,FECHA_BIT,"&lt;="&amp;BI$3,CLAVE_BIT,$A27)+SUMIFS(SALIDAS_BOV1,FECHA_BOV1,"&gt;="&amp;BI$2,FECHA_BOV1,"&lt;="&amp;BI$3,CLAVE_BOV1,$A27)+SUMIFS(SALIDAS_BOV2,FECHA_BOV2,"&gt;="&amp;BI$2,FECHA_BOV2,"&lt;="&amp;BI$3,CLAVE_BOV2,$A27)+SUMIFS(SALIDAS_BOV3,FECHA_BOV3,"&gt;="&amp;BI$2,FECHA_BOV3,"&lt;="&amp;BI$3,CLAVE_BOV3,$A27)+SUMIFS(SALIDAS_TC,FECHA_TC,"&gt;="&amp;BI$2,FECHA_TC,"&lt;="&amp;BI$3,CLAVE_TC,$A27)+SUMIFS(SALIDAS_COMB,FECHA_COMB,"&gt;="&amp;BI$2,FECHA_COMB,"&lt;="&amp;BI$3,CLAVE_COMB,$A27)+SUMIFS(SALIDAS_DES,FECHA_DESGLOSEN,"&gt;="&amp;BI$2,FECHA_DESGLOSEN,"&lt;="&amp;BI$3,CLAVE_DESGLOSE,$A27)</f>
        <v>66831.600000000006</v>
      </c>
      <c r="BJ27" s="68">
        <f t="shared" si="70"/>
        <v>-2831.6000000000058</v>
      </c>
      <c r="BK27" s="401">
        <f t="shared" si="71"/>
        <v>1.0442437500000001</v>
      </c>
      <c r="BL27" s="13">
        <f t="shared" si="47"/>
        <v>80000</v>
      </c>
      <c r="BM27" s="13">
        <f>SUMIFS(SALIDAS_BIT,FECHA_BIT,"&gt;="&amp;BM$2,FECHA_BIT,"&lt;="&amp;BM$3,CLAVE_BIT,$A27)+SUMIFS(SALIDAS_BOV1,FECHA_BOV1,"&gt;="&amp;BM$2,FECHA_BOV1,"&lt;="&amp;BM$3,CLAVE_BOV1,$A27)+SUMIFS(SALIDAS_BOV2,FECHA_BOV2,"&gt;="&amp;BM$2,FECHA_BOV2,"&lt;="&amp;BM$3,CLAVE_BOV2,$A27)+SUMIFS(SALIDAS_BOV3,FECHA_BOV3,"&gt;="&amp;BM$2,FECHA_BOV3,"&lt;="&amp;BM$3,CLAVE_BOV3,$A27)+SUMIFS(SALIDAS_TC,FECHA_TC,"&gt;="&amp;BM$2,FECHA_TC,"&lt;="&amp;BM$3,CLAVE_TC,$A27)+SUMIFS(SALIDAS_COMB,FECHA_COMB,"&gt;="&amp;BM$2,FECHA_COMB,"&lt;="&amp;BM$3,CLAVE_COMB,$A27)+SUMIFS(SALIDAS_DES,FECHA_DESGLOSEN,"&gt;="&amp;BM$2,FECHA_DESGLOSEN,"&lt;="&amp;BM$3,CLAVE_DESGLOSE,$A27)</f>
        <v>18056</v>
      </c>
      <c r="BN27" s="13">
        <f>SUMIFS(SALIDAS_BIT,FECHA_BIT,"&gt;="&amp;BN$2,FECHA_BIT,"&lt;="&amp;BN$3,CLAVE_BIT,$A27)+SUMIFS(SALIDAS_BOV1,FECHA_BOV1,"&gt;="&amp;BN$2,FECHA_BOV1,"&lt;="&amp;BN$3,CLAVE_BOV1,$A27)+SUMIFS(SALIDAS_BOV2,FECHA_BOV2,"&gt;="&amp;BN$2,FECHA_BOV2,"&lt;="&amp;BN$3,CLAVE_BOV2,$A27)+SUMIFS(SALIDAS_BOV3,FECHA_BOV3,"&gt;="&amp;BN$2,FECHA_BOV3,"&lt;="&amp;BN$3,CLAVE_BOV3,$A27)+SUMIFS(SALIDAS_TC,FECHA_TC,"&gt;="&amp;BN$2,FECHA_TC,"&lt;="&amp;BN$3,CLAVE_TC,$A27)+SUMIFS(SALIDAS_COMB,FECHA_COMB,"&gt;="&amp;BN$2,FECHA_COMB,"&lt;="&amp;BN$3,CLAVE_COMB,$A27)+SUMIFS(SALIDAS_DES,FECHA_DESGLOSEN,"&gt;="&amp;BN$2,FECHA_DESGLOSEN,"&lt;="&amp;BN$3,CLAVE_DESGLOSE,$A27)</f>
        <v>19261.8</v>
      </c>
      <c r="BO27" s="13">
        <f>SUMIFS(SALIDAS_BIT,FECHA_BIT,"&gt;="&amp;BO$2,FECHA_BIT,"&lt;="&amp;BO$3,CLAVE_BIT,$A27)+SUMIFS(SALIDAS_BOV1,FECHA_BOV1,"&gt;="&amp;BO$2,FECHA_BOV1,"&lt;="&amp;BO$3,CLAVE_BOV1,$A27)+SUMIFS(SALIDAS_BOV2,FECHA_BOV2,"&gt;="&amp;BO$2,FECHA_BOV2,"&lt;="&amp;BO$3,CLAVE_BOV2,$A27)+SUMIFS(SALIDAS_BOV3,FECHA_BOV3,"&gt;="&amp;BO$2,FECHA_BOV3,"&lt;="&amp;BO$3,CLAVE_BOV3,$A27)+SUMIFS(SALIDAS_TC,FECHA_TC,"&gt;="&amp;BO$2,FECHA_TC,"&lt;="&amp;BO$3,CLAVE_TC,$A27)+SUMIFS(SALIDAS_COMB,FECHA_COMB,"&gt;="&amp;BO$2,FECHA_COMB,"&lt;="&amp;BO$3,CLAVE_COMB,$A27)+SUMIFS(SALIDAS_DES,FECHA_DESGLOSEN,"&gt;="&amp;BO$2,FECHA_DESGLOSEN,"&lt;="&amp;BO$3,CLAVE_DESGLOSE,$A27)</f>
        <v>31304.799999999999</v>
      </c>
      <c r="BP27" s="13">
        <f>SUMIFS(SALIDAS_BIT,FECHA_BIT,"&gt;="&amp;BP$2,FECHA_BIT,"&lt;="&amp;BP$3,CLAVE_BIT,$A27)+SUMIFS(SALIDAS_BOV1,FECHA_BOV1,"&gt;="&amp;BP$2,FECHA_BOV1,"&lt;="&amp;BP$3,CLAVE_BOV1,$A27)+SUMIFS(SALIDAS_BOV2,FECHA_BOV2,"&gt;="&amp;BP$2,FECHA_BOV2,"&lt;="&amp;BP$3,CLAVE_BOV2,$A27)+SUMIFS(SALIDAS_BOV3,FECHA_BOV3,"&gt;="&amp;BP$2,FECHA_BOV3,"&lt;="&amp;BP$3,CLAVE_BOV3,$A27)+SUMIFS(SALIDAS_TC,FECHA_TC,"&gt;="&amp;BP$2,FECHA_TC,"&lt;="&amp;BP$3,CLAVE_TC,$A27)+SUMIFS(SALIDAS_COMB,FECHA_COMB,"&gt;="&amp;BP$2,FECHA_COMB,"&lt;="&amp;BP$3,CLAVE_COMB,$A27)+SUMIFS(SALIDAS_DES,FECHA_DESGLOSEN,"&gt;="&amp;BP$2,FECHA_DESGLOSEN,"&lt;="&amp;BP$3,CLAVE_DESGLOSE,$A27)</f>
        <v>30018.2</v>
      </c>
      <c r="BQ27" s="13">
        <f>SUMIFS(SALIDAS_BIT,FECHA_BIT,"&gt;="&amp;BQ$2,FECHA_BIT,"&lt;="&amp;BQ$3,CLAVE_BIT,$A27)+SUMIFS(SALIDAS_BOV1,FECHA_BOV1,"&gt;="&amp;BQ$2,FECHA_BOV1,"&lt;="&amp;BQ$3,CLAVE_BOV1,$A27)+SUMIFS(SALIDAS_BOV2,FECHA_BOV2,"&gt;="&amp;BQ$2,FECHA_BOV2,"&lt;="&amp;BQ$3,CLAVE_BOV2,$A27)+SUMIFS(SALIDAS_BOV3,FECHA_BOV3,"&gt;="&amp;BQ$2,FECHA_BOV3,"&lt;="&amp;BQ$3,CLAVE_BOV3,$A27)+SUMIFS(SALIDAS_TC,FECHA_TC,"&gt;="&amp;BQ$2,FECHA_TC,"&lt;="&amp;BQ$3,CLAVE_TC,$A27)+SUMIFS(SALIDAS_COMB,FECHA_COMB,"&gt;="&amp;BQ$2,FECHA_COMB,"&lt;="&amp;BQ$3,CLAVE_COMB,$A27)+SUMIFS(SALIDAS_DES,FECHA_DESGLOSEN,"&gt;="&amp;BQ$2,FECHA_DESGLOSEN,"&lt;="&amp;BQ$3,CLAVE_DESGLOSE,$A27)</f>
        <v>23799.200000000001</v>
      </c>
      <c r="BR27" s="13">
        <f>SUMIFS(SALIDAS_BIT,FECHA_BIT,"&gt;="&amp;BR$2,FECHA_BIT,"&lt;="&amp;BR$3,CLAVE_BIT,$A27)+SUMIFS(SALIDAS_BOV1,FECHA_BOV1,"&gt;="&amp;BR$2,FECHA_BOV1,"&lt;="&amp;BR$3,CLAVE_BOV1,$A27)+SUMIFS(SALIDAS_BOV2,FECHA_BOV2,"&gt;="&amp;BR$2,FECHA_BOV2,"&lt;="&amp;BR$3,CLAVE_BOV2,$A27)+SUMIFS(SALIDAS_BOV3,FECHA_BOV3,"&gt;="&amp;BR$2,FECHA_BOV3,"&lt;="&amp;BR$3,CLAVE_BOV3,$A27)+SUMIFS(SALIDAS_TC,FECHA_TC,"&gt;="&amp;BR$2,FECHA_TC,"&lt;="&amp;BR$3,CLAVE_TC,$A27)+SUMIFS(SALIDAS_COMB,FECHA_COMB,"&gt;="&amp;BR$2,FECHA_COMB,"&lt;="&amp;BR$3,CLAVE_COMB,$A27)+SUMIFS(SALIDAS_DES,FECHA_DESGLOSEN,"&gt;="&amp;BR$2,FECHA_DESGLOSEN,"&lt;="&amp;BR$3,CLAVE_DESGLOSE,$A27)</f>
        <v>122440</v>
      </c>
      <c r="BS27" s="68">
        <f t="shared" si="72"/>
        <v>-42440</v>
      </c>
      <c r="BT27" s="401">
        <f t="shared" si="73"/>
        <v>1.5305</v>
      </c>
      <c r="BU27" s="13">
        <f t="shared" si="49"/>
        <v>64000</v>
      </c>
      <c r="BV27" s="13">
        <f t="shared" si="90"/>
        <v>22473</v>
      </c>
      <c r="BW27" s="13">
        <f t="shared" si="90"/>
        <v>22722</v>
      </c>
      <c r="BX27" s="13">
        <f t="shared" si="90"/>
        <v>25416.799999999999</v>
      </c>
      <c r="BY27" s="13">
        <f t="shared" si="90"/>
        <v>24455.4</v>
      </c>
      <c r="BZ27" s="13">
        <f t="shared" ref="BV27:BZ36" si="99">SUMIFS(SALIDAS_BIT,FECHA_BIT,"&gt;="&amp;BZ$2,FECHA_BIT,"&lt;="&amp;BZ$3,CLAVE_BIT,$A27)+SUMIFS(SALIDAS_BOV1,FECHA_BOV1,"&gt;="&amp;BZ$2,FECHA_BOV1,"&lt;="&amp;BZ$3,CLAVE_BOV1,$A27)+SUMIFS(SALIDAS_BOV2,FECHA_BOV2,"&gt;="&amp;BZ$2,FECHA_BOV2,"&lt;="&amp;BZ$3,CLAVE_BOV2,$A27)+SUMIFS(SALIDAS_BOV3,FECHA_BOV3,"&gt;="&amp;BZ$2,FECHA_BOV3,"&lt;="&amp;BZ$3,CLAVE_BOV3,$A27)+SUMIFS(SALIDAS_TC,FECHA_TC,"&gt;="&amp;BZ$2,FECHA_TC,"&lt;="&amp;BZ$3,CLAVE_TC,$A27)+SUMIFS(SALIDAS_COMB,FECHA_COMB,"&gt;="&amp;BZ$2,FECHA_COMB,"&lt;="&amp;BZ$3,CLAVE_COMB,$A27)+SUMIFS(SALIDAS_DES,FECHA_DESGLOSEN,"&gt;="&amp;BZ$2,FECHA_DESGLOSEN,"&lt;="&amp;BZ$3,CLAVE_DESGLOSE,$A27)</f>
        <v>95067.200000000012</v>
      </c>
      <c r="CA27" s="68">
        <f t="shared" si="74"/>
        <v>-31067.200000000012</v>
      </c>
      <c r="CB27" s="268">
        <f t="shared" si="75"/>
        <v>1.4854250000000002</v>
      </c>
      <c r="CC27" s="13">
        <f t="shared" si="51"/>
        <v>64000</v>
      </c>
      <c r="CD27" s="13">
        <f t="shared" si="91"/>
        <v>30350.400000000001</v>
      </c>
      <c r="CE27" s="13">
        <f t="shared" si="91"/>
        <v>27477.200000000001</v>
      </c>
      <c r="CF27" s="13">
        <f t="shared" si="91"/>
        <v>35528.400000000001</v>
      </c>
      <c r="CG27" s="13">
        <f t="shared" si="91"/>
        <v>30346.6</v>
      </c>
      <c r="CH27" s="13">
        <f t="shared" ref="CD27:CH36" si="100">SUMIFS(SALIDAS_BIT,FECHA_BIT,"&gt;="&amp;CH$2,FECHA_BIT,"&lt;="&amp;CH$3,CLAVE_BIT,$A27)+SUMIFS(SALIDAS_BOV1,FECHA_BOV1,"&gt;="&amp;CH$2,FECHA_BOV1,"&lt;="&amp;CH$3,CLAVE_BOV1,$A27)+SUMIFS(SALIDAS_BOV2,FECHA_BOV2,"&gt;="&amp;CH$2,FECHA_BOV2,"&lt;="&amp;CH$3,CLAVE_BOV2,$A27)+SUMIFS(SALIDAS_BOV3,FECHA_BOV3,"&gt;="&amp;CH$2,FECHA_BOV3,"&lt;="&amp;CH$3,CLAVE_BOV3,$A27)+SUMIFS(SALIDAS_TC,FECHA_TC,"&gt;="&amp;CH$2,FECHA_TC,"&lt;="&amp;CH$3,CLAVE_TC,$A27)+SUMIFS(SALIDAS_COMB,FECHA_COMB,"&gt;="&amp;CH$2,FECHA_COMB,"&lt;="&amp;CH$3,CLAVE_COMB,$A27)+SUMIFS(SALIDAS_DES,FECHA_DESGLOSEN,"&gt;="&amp;CH$2,FECHA_DESGLOSEN,"&lt;="&amp;CH$3,CLAVE_DESGLOSE,$A27)</f>
        <v>123702.6</v>
      </c>
      <c r="CI27" s="68">
        <f t="shared" si="76"/>
        <v>-59702.600000000006</v>
      </c>
      <c r="CJ27" s="268">
        <f t="shared" si="77"/>
        <v>1.9328531250000001</v>
      </c>
      <c r="CK27" s="13">
        <f t="shared" si="53"/>
        <v>188202</v>
      </c>
      <c r="CL27" s="13">
        <f t="shared" si="92"/>
        <v>30500</v>
      </c>
      <c r="CM27" s="13">
        <f t="shared" si="92"/>
        <v>34559.4</v>
      </c>
      <c r="CN27" s="13">
        <f t="shared" si="92"/>
        <v>35228</v>
      </c>
      <c r="CO27" s="13">
        <f t="shared" si="92"/>
        <v>43698.400000000001</v>
      </c>
      <c r="CP27" s="13">
        <f t="shared" si="92"/>
        <v>45134</v>
      </c>
      <c r="CQ27" s="13">
        <f t="shared" ref="CL27:CQ36" si="101">SUMIFS(SALIDAS_BIT,FECHA_BIT,"&gt;="&amp;CQ$2,FECHA_BIT,"&lt;="&amp;CQ$3,CLAVE_BIT,$A27)+SUMIFS(SALIDAS_BOV1,FECHA_BOV1,"&gt;="&amp;CQ$2,FECHA_BOV1,"&lt;="&amp;CQ$3,CLAVE_BOV1,$A27)+SUMIFS(SALIDAS_BOV2,FECHA_BOV2,"&gt;="&amp;CQ$2,FECHA_BOV2,"&lt;="&amp;CQ$3,CLAVE_BOV2,$A27)+SUMIFS(SALIDAS_BOV3,FECHA_BOV3,"&gt;="&amp;CQ$2,FECHA_BOV3,"&lt;="&amp;CQ$3,CLAVE_BOV3,$A27)+SUMIFS(SALIDAS_TC,FECHA_TC,"&gt;="&amp;CQ$2,FECHA_TC,"&lt;="&amp;CQ$3,CLAVE_TC,$A27)+SUMIFS(SALIDAS_COMB,FECHA_COMB,"&gt;="&amp;CQ$2,FECHA_COMB,"&lt;="&amp;CQ$3,CLAVE_COMB,$A27)+SUMIFS(SALIDAS_DES,FECHA_DESGLOSEN,"&gt;="&amp;CQ$2,FECHA_DESGLOSEN,"&lt;="&amp;CQ$3,CLAVE_DESGLOSE,$A27)</f>
        <v>189119.8</v>
      </c>
      <c r="CR27" s="68">
        <f t="shared" si="78"/>
        <v>-917.79999999998836</v>
      </c>
      <c r="CS27" s="268">
        <f t="shared" si="79"/>
        <v>1.0048766750619016</v>
      </c>
      <c r="CT27" s="68">
        <f t="shared" si="55"/>
        <v>107426</v>
      </c>
      <c r="CU27" s="13">
        <f>SUMIFS(SALIDAS_BIT,FECHA_BIT,"&gt;="&amp;CU$2,FECHA_BIT,"&lt;="&amp;CU$3,CLAVE_BIT,$A27)+SUMIFS(SALIDAS_BOV1,FECHA_BOV1,"&gt;="&amp;CU$2,FECHA_BOV1,"&lt;="&amp;CU$3,CLAVE_BOV1,$A27)+SUMIFS(SALIDAS_BOV2,FECHA_BOV2,"&gt;="&amp;CU$2,FECHA_BOV2,"&lt;="&amp;CU$3,CLAVE_BOV2,$A27)+SUMIFS(SALIDAS_BOV3,FECHA_BOV3,"&gt;="&amp;CU$2,FECHA_BOV3,"&lt;="&amp;CU$3,CLAVE_BOV3,$A27)+SUMIFS(SALIDAS_TC,FECHA_TC,"&gt;="&amp;CU$2,FECHA_TC,"&lt;="&amp;CU$3,CLAVE_TC,$A27)+SUMIFS(SALIDAS_COMB,FECHA_COMB,"&gt;="&amp;CU$2,FECHA_COMB,"&lt;="&amp;CU$3,CLAVE_COMB,$A27)+SUMIFS(SALIDAS_DES,FECHA_DESGLOSEN,"&gt;="&amp;CU$2,FECHA_DESGLOSEN,"&lt;="&amp;CU$3,CLAVE_DESGLOSE,$A27)</f>
        <v>36695.199999999997</v>
      </c>
      <c r="CV27" s="13">
        <f>SUMIFS(SALIDAS_BIT,FECHA_BIT,"&gt;="&amp;CV$2,FECHA_BIT,"&lt;="&amp;CV$3,CLAVE_BIT,$A27)+SUMIFS(SALIDAS_BOV1,FECHA_BOV1,"&gt;="&amp;CV$2,FECHA_BOV1,"&lt;="&amp;CV$3,CLAVE_BOV1,$A27)+SUMIFS(SALIDAS_BOV2,FECHA_BOV2,"&gt;="&amp;CV$2,FECHA_BOV2,"&lt;="&amp;CV$3,CLAVE_BOV2,$A27)+SUMIFS(SALIDAS_BOV3,FECHA_BOV3,"&gt;="&amp;CV$2,FECHA_BOV3,"&lt;="&amp;CV$3,CLAVE_BOV3,$A27)+SUMIFS(SALIDAS_TC,FECHA_TC,"&gt;="&amp;CV$2,FECHA_TC,"&lt;="&amp;CV$3,CLAVE_TC,$A27)+SUMIFS(SALIDAS_COMB,FECHA_COMB,"&gt;="&amp;CV$2,FECHA_COMB,"&lt;="&amp;CV$3,CLAVE_COMB,$A27)+SUMIFS(SALIDAS_DES,FECHA_DESGLOSEN,"&gt;="&amp;CV$2,FECHA_DESGLOSEN,"&lt;="&amp;CV$3,CLAVE_DESGLOSE,$A27)</f>
        <v>35624.800000000003</v>
      </c>
      <c r="CW27" s="13">
        <f>SUMIFS(SALIDAS_BIT,FECHA_BIT,"&gt;="&amp;CW$2,FECHA_BIT,"&lt;="&amp;CW$3,CLAVE_BIT,$A27)+SUMIFS(SALIDAS_BOV1,FECHA_BOV1,"&gt;="&amp;CW$2,FECHA_BOV1,"&lt;="&amp;CW$3,CLAVE_BOV1,$A27)+SUMIFS(SALIDAS_BOV2,FECHA_BOV2,"&gt;="&amp;CW$2,FECHA_BOV2,"&lt;="&amp;CW$3,CLAVE_BOV2,$A27)+SUMIFS(SALIDAS_BOV3,FECHA_BOV3,"&gt;="&amp;CW$2,FECHA_BOV3,"&lt;="&amp;CW$3,CLAVE_BOV3,$A27)+SUMIFS(SALIDAS_TC,FECHA_TC,"&gt;="&amp;CW$2,FECHA_TC,"&lt;="&amp;CW$3,CLAVE_TC,$A27)+SUMIFS(SALIDAS_COMB,FECHA_COMB,"&gt;="&amp;CW$2,FECHA_COMB,"&lt;="&amp;CW$3,CLAVE_COMB,$A27)+SUMIFS(SALIDAS_DES,FECHA_DESGLOSEN,"&gt;="&amp;CW$2,FECHA_DESGLOSEN,"&lt;="&amp;CW$3,CLAVE_DESGLOSE,$A27)</f>
        <v>31953.599999999999</v>
      </c>
      <c r="CX27" s="13">
        <f>SUMIFS(SALIDAS_BIT,FECHA_BIT,"&gt;="&amp;CX$2,FECHA_BIT,"&lt;="&amp;CX$3,CLAVE_BIT,$A27)+SUMIFS(SALIDAS_BOV1,FECHA_BOV1,"&gt;="&amp;CX$2,FECHA_BOV1,"&lt;="&amp;CX$3,CLAVE_BOV1,$A27)+SUMIFS(SALIDAS_BOV2,FECHA_BOV2,"&gt;="&amp;CX$2,FECHA_BOV2,"&lt;="&amp;CX$3,CLAVE_BOV2,$A27)+SUMIFS(SALIDAS_BOV3,FECHA_BOV3,"&gt;="&amp;CX$2,FECHA_BOV3,"&lt;="&amp;CX$3,CLAVE_BOV3,$A27)+SUMIFS(SALIDAS_TC,FECHA_TC,"&gt;="&amp;CX$2,FECHA_TC,"&lt;="&amp;CX$3,CLAVE_TC,$A27)+SUMIFS(SALIDAS_COMB,FECHA_COMB,"&gt;="&amp;CX$2,FECHA_COMB,"&lt;="&amp;CX$3,CLAVE_COMB,$A27)+SUMIFS(SALIDAS_DES,FECHA_DESGLOSEN,"&gt;="&amp;CX$2,FECHA_DESGLOSEN,"&lt;="&amp;CX$3,CLAVE_DESGLOSE,$A27)</f>
        <v>25373.8</v>
      </c>
      <c r="CY27" s="13">
        <f>SUMIFS(SALIDAS_BIT,FECHA_BIT,"&gt;="&amp;CY$2,FECHA_BIT,"&lt;="&amp;CY$3,CLAVE_BIT,$A27)+SUMIFS(SALIDAS_BOV1,FECHA_BOV1,"&gt;="&amp;CY$2,FECHA_BOV1,"&lt;="&amp;CY$3,CLAVE_BOV1,$A27)+SUMIFS(SALIDAS_BOV2,FECHA_BOV2,"&gt;="&amp;CY$2,FECHA_BOV2,"&lt;="&amp;CY$3,CLAVE_BOV2,$A27)+SUMIFS(SALIDAS_BOV3,FECHA_BOV3,"&gt;="&amp;CY$2,FECHA_BOV3,"&lt;="&amp;CY$3,CLAVE_BOV3,$A27)+SUMIFS(SALIDAS_TC,FECHA_TC,"&gt;="&amp;CY$2,FECHA_TC,"&lt;="&amp;CY$3,CLAVE_TC,$A27)+SUMIFS(SALIDAS_COMB,FECHA_COMB,"&gt;="&amp;CY$2,FECHA_COMB,"&lt;="&amp;CY$3,CLAVE_COMB,$A27)+SUMIFS(SALIDAS_DES,FECHA_DESGLOSEN,"&gt;="&amp;CY$2,FECHA_DESGLOSEN,"&lt;="&amp;CY$3,CLAVE_DESGLOSE,$A27)</f>
        <v>129647.40000000001</v>
      </c>
      <c r="CZ27" s="68">
        <f t="shared" si="80"/>
        <v>-22221.400000000009</v>
      </c>
      <c r="DB27" s="17">
        <f>F27+N27+W27+AE27+AM27+AV27+BD27+BL27+BU27+CC27+CK27</f>
        <v>967202</v>
      </c>
      <c r="DC27" s="17">
        <f>K27+T27+AB27+AJ27+AS27+BA27+BI27+BR27+BZ27+CH27+CQ27</f>
        <v>1099721.3999999999</v>
      </c>
    </row>
    <row r="28" spans="1:107" hidden="1">
      <c r="A28" s="12" t="str">
        <f t="shared" si="57"/>
        <v>CAPNOMINA SUCURSALE3</v>
      </c>
      <c r="B28" s="12">
        <v>22</v>
      </c>
      <c r="C28" t="s">
        <v>31</v>
      </c>
      <c r="D28" s="12" t="s">
        <v>154</v>
      </c>
      <c r="E28" s="12" t="s">
        <v>109</v>
      </c>
      <c r="F28" s="259">
        <f t="shared" si="58"/>
        <v>59456</v>
      </c>
      <c r="G28" s="13">
        <f t="shared" si="93"/>
        <v>17887.8</v>
      </c>
      <c r="H28" s="13">
        <f t="shared" si="93"/>
        <v>15896.8</v>
      </c>
      <c r="I28" s="13">
        <f t="shared" si="93"/>
        <v>15889.4</v>
      </c>
      <c r="J28" s="13">
        <f t="shared" si="93"/>
        <v>14063.4</v>
      </c>
      <c r="K28" s="13">
        <f t="shared" si="93"/>
        <v>63737.4</v>
      </c>
      <c r="L28" s="68">
        <f t="shared" si="59"/>
        <v>-4281.4000000000015</v>
      </c>
      <c r="M28" s="268">
        <f t="shared" si="60"/>
        <v>1.0720095532831002</v>
      </c>
      <c r="N28" s="13">
        <f t="shared" si="36"/>
        <v>74320</v>
      </c>
      <c r="O28" s="13">
        <f t="shared" si="94"/>
        <v>13593.6</v>
      </c>
      <c r="P28" s="13">
        <f t="shared" si="94"/>
        <v>13588.8</v>
      </c>
      <c r="Q28" s="13">
        <f t="shared" si="94"/>
        <v>16874.599999999999</v>
      </c>
      <c r="R28" s="13">
        <f t="shared" si="94"/>
        <v>13588.4</v>
      </c>
      <c r="S28" s="13">
        <f t="shared" si="94"/>
        <v>13588.8</v>
      </c>
      <c r="T28" s="13">
        <f t="shared" si="94"/>
        <v>71234.2</v>
      </c>
      <c r="U28" s="68">
        <f t="shared" si="61"/>
        <v>3085.8000000000029</v>
      </c>
      <c r="V28" s="268">
        <f t="shared" si="62"/>
        <v>0.95847954790096879</v>
      </c>
      <c r="W28" s="13">
        <f t="shared" si="38"/>
        <v>59456</v>
      </c>
      <c r="X28" s="13">
        <f t="shared" si="95"/>
        <v>13588.4</v>
      </c>
      <c r="Y28" s="13">
        <f t="shared" si="95"/>
        <v>13588.8</v>
      </c>
      <c r="Z28" s="13">
        <f t="shared" si="95"/>
        <v>13538.6</v>
      </c>
      <c r="AA28" s="13">
        <f t="shared" si="95"/>
        <v>12316.2</v>
      </c>
      <c r="AB28" s="13">
        <f t="shared" si="95"/>
        <v>53032</v>
      </c>
      <c r="AC28" s="68">
        <f t="shared" si="63"/>
        <v>6424</v>
      </c>
      <c r="AD28" s="268">
        <f t="shared" si="64"/>
        <v>0.8919537136706136</v>
      </c>
      <c r="AE28" s="13">
        <f t="shared" si="40"/>
        <v>59456</v>
      </c>
      <c r="AF28" s="13">
        <f t="shared" si="96"/>
        <v>13319.4</v>
      </c>
      <c r="AG28" s="13">
        <f t="shared" si="96"/>
        <v>13714.6</v>
      </c>
      <c r="AH28" s="13">
        <f t="shared" si="96"/>
        <v>14227.8</v>
      </c>
      <c r="AI28" s="13">
        <f t="shared" si="96"/>
        <v>12185</v>
      </c>
      <c r="AJ28" s="13">
        <f t="shared" si="96"/>
        <v>53446.8</v>
      </c>
      <c r="AK28" s="68">
        <f t="shared" si="65"/>
        <v>6009.1999999999971</v>
      </c>
      <c r="AL28" s="268">
        <f t="shared" si="66"/>
        <v>0.89893030139935415</v>
      </c>
      <c r="AM28" s="13">
        <f t="shared" si="42"/>
        <v>74320</v>
      </c>
      <c r="AN28" s="13">
        <f t="shared" si="97"/>
        <v>12043.4</v>
      </c>
      <c r="AO28" s="13">
        <f t="shared" si="97"/>
        <v>12184.4</v>
      </c>
      <c r="AP28" s="13">
        <f t="shared" si="97"/>
        <v>11800.2</v>
      </c>
      <c r="AQ28" s="13">
        <f t="shared" si="97"/>
        <v>14204.4</v>
      </c>
      <c r="AR28" s="13">
        <f t="shared" si="97"/>
        <v>13772.2</v>
      </c>
      <c r="AS28" s="13">
        <f t="shared" si="97"/>
        <v>64004.600000000006</v>
      </c>
      <c r="AT28" s="68">
        <f>AM28-AS28</f>
        <v>10315.399999999994</v>
      </c>
      <c r="AU28" s="268">
        <f t="shared" si="67"/>
        <v>0.86120290635091501</v>
      </c>
      <c r="AV28" s="13">
        <f t="shared" si="44"/>
        <v>59456</v>
      </c>
      <c r="AW28" s="13">
        <f t="shared" si="98"/>
        <v>14208.4</v>
      </c>
      <c r="AX28" s="13">
        <f t="shared" si="98"/>
        <v>13497</v>
      </c>
      <c r="AY28" s="13">
        <f t="shared" si="98"/>
        <v>13497</v>
      </c>
      <c r="AZ28" s="13">
        <f t="shared" si="98"/>
        <v>14206.6</v>
      </c>
      <c r="BA28" s="13">
        <f t="shared" si="86"/>
        <v>55409</v>
      </c>
      <c r="BB28" s="68">
        <f t="shared" si="68"/>
        <v>4047</v>
      </c>
      <c r="BC28" s="268">
        <f t="shared" si="69"/>
        <v>0.93193285791173308</v>
      </c>
      <c r="BD28" s="13">
        <f t="shared" si="46"/>
        <v>59456</v>
      </c>
      <c r="BE28" s="13">
        <f>SUMIFS(SALIDAS_BIT,FECHA_BIT,"&gt;="&amp;BE$2,FECHA_BIT,"&lt;="&amp;BE$3,CLAVE_BIT,$A28)+SUMIFS(SALIDAS_BOV1,FECHA_BOV1,"&gt;="&amp;BE$2,FECHA_BOV1,"&lt;="&amp;BE$3,CLAVE_BOV1,$A28)+SUMIFS(SALIDAS_BOV2,FECHA_BOV2,"&gt;="&amp;BE$2,FECHA_BOV2,"&lt;="&amp;BE$3,CLAVE_BOV2,$A28)+SUMIFS(SALIDAS_BOV3,FECHA_BOV3,"&gt;="&amp;BE$2,FECHA_BOV3,"&lt;="&amp;BE$3,CLAVE_BOV3,$A28)+SUMIFS(SALIDAS_TC,FECHA_TC,"&gt;="&amp;BE$2,FECHA_TC,"&lt;="&amp;BE$3,CLAVE_TC,$A28)+SUMIFS(SALIDAS_COMB,FECHA_COMB,"&gt;="&amp;BE$2,FECHA_COMB,"&lt;="&amp;BE$3,CLAVE_COMB,$A28)+SUMIFS(SALIDAS_DES,FECHA_DESGLOSEN,"&gt;="&amp;BE$2,FECHA_DESGLOSEN,"&lt;="&amp;BE$3,CLAVE_DESGLOSE,$A28)</f>
        <v>14207.6</v>
      </c>
      <c r="BF28" s="13">
        <f>SUMIFS(SALIDAS_BIT,FECHA_BIT,"&gt;="&amp;BF$2,FECHA_BIT,"&lt;="&amp;BF$3,CLAVE_BIT,$A28)+SUMIFS(SALIDAS_BOV1,FECHA_BOV1,"&gt;="&amp;BF$2,FECHA_BOV1,"&lt;="&amp;BF$3,CLAVE_BOV1,$A28)+SUMIFS(SALIDAS_BOV2,FECHA_BOV2,"&gt;="&amp;BF$2,FECHA_BOV2,"&lt;="&amp;BF$3,CLAVE_BOV2,$A28)+SUMIFS(SALIDAS_BOV3,FECHA_BOV3,"&gt;="&amp;BF$2,FECHA_BOV3,"&lt;="&amp;BF$3,CLAVE_BOV3,$A28)+SUMIFS(SALIDAS_TC,FECHA_TC,"&gt;="&amp;BF$2,FECHA_TC,"&lt;="&amp;BF$3,CLAVE_TC,$A28)+SUMIFS(SALIDAS_COMB,FECHA_COMB,"&gt;="&amp;BF$2,FECHA_COMB,"&lt;="&amp;BF$3,CLAVE_COMB,$A28)+SUMIFS(SALIDAS_DES,FECHA_DESGLOSEN,"&gt;="&amp;BF$2,FECHA_DESGLOSEN,"&lt;="&amp;BF$3,CLAVE_DESGLOSE,$A28)</f>
        <v>14081.4</v>
      </c>
      <c r="BG28" s="13">
        <f>SUMIFS(SALIDAS_BIT,FECHA_BIT,"&gt;="&amp;BG$2,FECHA_BIT,"&lt;="&amp;BG$3,CLAVE_BIT,$A28)+SUMIFS(SALIDAS_BOV1,FECHA_BOV1,"&gt;="&amp;BG$2,FECHA_BOV1,"&lt;="&amp;BG$3,CLAVE_BOV1,$A28)+SUMIFS(SALIDAS_BOV2,FECHA_BOV2,"&gt;="&amp;BG$2,FECHA_BOV2,"&lt;="&amp;BG$3,CLAVE_BOV2,$A28)+SUMIFS(SALIDAS_BOV3,FECHA_BOV3,"&gt;="&amp;BG$2,FECHA_BOV3,"&lt;="&amp;BG$3,CLAVE_BOV3,$A28)+SUMIFS(SALIDAS_TC,FECHA_TC,"&gt;="&amp;BG$2,FECHA_TC,"&lt;="&amp;BG$3,CLAVE_TC,$A28)+SUMIFS(SALIDAS_COMB,FECHA_COMB,"&gt;="&amp;BG$2,FECHA_COMB,"&lt;="&amp;BG$3,CLAVE_COMB,$A28)+SUMIFS(SALIDAS_DES,FECHA_DESGLOSEN,"&gt;="&amp;BG$2,FECHA_DESGLOSEN,"&lt;="&amp;BG$3,CLAVE_DESGLOSE,$A28)</f>
        <v>14757.8</v>
      </c>
      <c r="BH28" s="13">
        <f>SUMIFS(SALIDAS_BIT,FECHA_BIT,"&gt;="&amp;BH$2,FECHA_BIT,"&lt;="&amp;BH$3,CLAVE_BIT,$A28)+SUMIFS(SALIDAS_BOV1,FECHA_BOV1,"&gt;="&amp;BH$2,FECHA_BOV1,"&lt;="&amp;BH$3,CLAVE_BOV1,$A28)+SUMIFS(SALIDAS_BOV2,FECHA_BOV2,"&gt;="&amp;BH$2,FECHA_BOV2,"&lt;="&amp;BH$3,CLAVE_BOV2,$A28)+SUMIFS(SALIDAS_BOV3,FECHA_BOV3,"&gt;="&amp;BH$2,FECHA_BOV3,"&lt;="&amp;BH$3,CLAVE_BOV3,$A28)+SUMIFS(SALIDAS_TC,FECHA_TC,"&gt;="&amp;BH$2,FECHA_TC,"&lt;="&amp;BH$3,CLAVE_TC,$A28)+SUMIFS(SALIDAS_COMB,FECHA_COMB,"&gt;="&amp;BH$2,FECHA_COMB,"&lt;="&amp;BH$3,CLAVE_COMB,$A28)+SUMIFS(SALIDAS_DES,FECHA_DESGLOSEN,"&gt;="&amp;BH$2,FECHA_DESGLOSEN,"&lt;="&amp;BH$3,CLAVE_DESGLOSE,$A28)</f>
        <v>13603.8</v>
      </c>
      <c r="BI28" s="13">
        <f>SUMIFS(SALIDAS_BIT,FECHA_BIT,"&gt;="&amp;BI$2,FECHA_BIT,"&lt;="&amp;BI$3,CLAVE_BIT,$A28)+SUMIFS(SALIDAS_BOV1,FECHA_BOV1,"&gt;="&amp;BI$2,FECHA_BOV1,"&lt;="&amp;BI$3,CLAVE_BOV1,$A28)+SUMIFS(SALIDAS_BOV2,FECHA_BOV2,"&gt;="&amp;BI$2,FECHA_BOV2,"&lt;="&amp;BI$3,CLAVE_BOV2,$A28)+SUMIFS(SALIDAS_BOV3,FECHA_BOV3,"&gt;="&amp;BI$2,FECHA_BOV3,"&lt;="&amp;BI$3,CLAVE_BOV3,$A28)+SUMIFS(SALIDAS_TC,FECHA_TC,"&gt;="&amp;BI$2,FECHA_TC,"&lt;="&amp;BI$3,CLAVE_TC,$A28)+SUMIFS(SALIDAS_COMB,FECHA_COMB,"&gt;="&amp;BI$2,FECHA_COMB,"&lt;="&amp;BI$3,CLAVE_COMB,$A28)+SUMIFS(SALIDAS_DES,FECHA_DESGLOSEN,"&gt;="&amp;BI$2,FECHA_DESGLOSEN,"&lt;="&amp;BI$3,CLAVE_DESGLOSE,$A28)</f>
        <v>56650.600000000006</v>
      </c>
      <c r="BJ28" s="68">
        <f t="shared" si="70"/>
        <v>2805.3999999999942</v>
      </c>
      <c r="BK28" s="268">
        <f t="shared" si="71"/>
        <v>0.95281552744886988</v>
      </c>
      <c r="BL28" s="13">
        <f t="shared" si="47"/>
        <v>74320</v>
      </c>
      <c r="BM28" s="13">
        <f>SUMIFS(SALIDAS_BIT,FECHA_BIT,"&gt;="&amp;BM$2,FECHA_BIT,"&lt;="&amp;BM$3,CLAVE_BIT,$A28)+SUMIFS(SALIDAS_BOV1,FECHA_BOV1,"&gt;="&amp;BM$2,FECHA_BOV1,"&lt;="&amp;BM$3,CLAVE_BOV1,$A28)+SUMIFS(SALIDAS_BOV2,FECHA_BOV2,"&gt;="&amp;BM$2,FECHA_BOV2,"&lt;="&amp;BM$3,CLAVE_BOV2,$A28)+SUMIFS(SALIDAS_BOV3,FECHA_BOV3,"&gt;="&amp;BM$2,FECHA_BOV3,"&lt;="&amp;BM$3,CLAVE_BOV3,$A28)+SUMIFS(SALIDAS_TC,FECHA_TC,"&gt;="&amp;BM$2,FECHA_TC,"&lt;="&amp;BM$3,CLAVE_TC,$A28)+SUMIFS(SALIDAS_COMB,FECHA_COMB,"&gt;="&amp;BM$2,FECHA_COMB,"&lt;="&amp;BM$3,CLAVE_COMB,$A28)+SUMIFS(SALIDAS_DES,FECHA_DESGLOSEN,"&gt;="&amp;BM$2,FECHA_DESGLOSEN,"&lt;="&amp;BM$3,CLAVE_DESGLOSE,$A28)</f>
        <v>15695.2</v>
      </c>
      <c r="BN28" s="13">
        <f>SUMIFS(SALIDAS_BIT,FECHA_BIT,"&gt;="&amp;BN$2,FECHA_BIT,"&lt;="&amp;BN$3,CLAVE_BIT,$A28)+SUMIFS(SALIDAS_BOV1,FECHA_BOV1,"&gt;="&amp;BN$2,FECHA_BOV1,"&lt;="&amp;BN$3,CLAVE_BOV1,$A28)+SUMIFS(SALIDAS_BOV2,FECHA_BOV2,"&gt;="&amp;BN$2,FECHA_BOV2,"&lt;="&amp;BN$3,CLAVE_BOV2,$A28)+SUMIFS(SALIDAS_BOV3,FECHA_BOV3,"&gt;="&amp;BN$2,FECHA_BOV3,"&lt;="&amp;BN$3,CLAVE_BOV3,$A28)+SUMIFS(SALIDAS_TC,FECHA_TC,"&gt;="&amp;BN$2,FECHA_TC,"&lt;="&amp;BN$3,CLAVE_TC,$A28)+SUMIFS(SALIDAS_COMB,FECHA_COMB,"&gt;="&amp;BN$2,FECHA_COMB,"&lt;="&amp;BN$3,CLAVE_COMB,$A28)+SUMIFS(SALIDAS_DES,FECHA_DESGLOSEN,"&gt;="&amp;BN$2,FECHA_DESGLOSEN,"&lt;="&amp;BN$3,CLAVE_DESGLOSE,$A28)</f>
        <v>14052.2</v>
      </c>
      <c r="BO28" s="13">
        <f>SUMIFS(SALIDAS_BIT,FECHA_BIT,"&gt;="&amp;BO$2,FECHA_BIT,"&lt;="&amp;BO$3,CLAVE_BIT,$A28)+SUMIFS(SALIDAS_BOV1,FECHA_BOV1,"&gt;="&amp;BO$2,FECHA_BOV1,"&lt;="&amp;BO$3,CLAVE_BOV1,$A28)+SUMIFS(SALIDAS_BOV2,FECHA_BOV2,"&gt;="&amp;BO$2,FECHA_BOV2,"&lt;="&amp;BO$3,CLAVE_BOV2,$A28)+SUMIFS(SALIDAS_BOV3,FECHA_BOV3,"&gt;="&amp;BO$2,FECHA_BOV3,"&lt;="&amp;BO$3,CLAVE_BOV3,$A28)+SUMIFS(SALIDAS_TC,FECHA_TC,"&gt;="&amp;BO$2,FECHA_TC,"&lt;="&amp;BO$3,CLAVE_TC,$A28)+SUMIFS(SALIDAS_COMB,FECHA_COMB,"&gt;="&amp;BO$2,FECHA_COMB,"&lt;="&amp;BO$3,CLAVE_COMB,$A28)+SUMIFS(SALIDAS_DES,FECHA_DESGLOSEN,"&gt;="&amp;BO$2,FECHA_DESGLOSEN,"&lt;="&amp;BO$3,CLAVE_DESGLOSE,$A28)</f>
        <v>13927.6</v>
      </c>
      <c r="BP28" s="13">
        <f>SUMIFS(SALIDAS_BIT,FECHA_BIT,"&gt;="&amp;BP$2,FECHA_BIT,"&lt;="&amp;BP$3,CLAVE_BIT,$A28)+SUMIFS(SALIDAS_BOV1,FECHA_BOV1,"&gt;="&amp;BP$2,FECHA_BOV1,"&lt;="&amp;BP$3,CLAVE_BOV1,$A28)+SUMIFS(SALIDAS_BOV2,FECHA_BOV2,"&gt;="&amp;BP$2,FECHA_BOV2,"&lt;="&amp;BP$3,CLAVE_BOV2,$A28)+SUMIFS(SALIDAS_BOV3,FECHA_BOV3,"&gt;="&amp;BP$2,FECHA_BOV3,"&lt;="&amp;BP$3,CLAVE_BOV3,$A28)+SUMIFS(SALIDAS_TC,FECHA_TC,"&gt;="&amp;BP$2,FECHA_TC,"&lt;="&amp;BP$3,CLAVE_TC,$A28)+SUMIFS(SALIDAS_COMB,FECHA_COMB,"&gt;="&amp;BP$2,FECHA_COMB,"&lt;="&amp;BP$3,CLAVE_COMB,$A28)+SUMIFS(SALIDAS_DES,FECHA_DESGLOSEN,"&gt;="&amp;BP$2,FECHA_DESGLOSEN,"&lt;="&amp;BP$3,CLAVE_DESGLOSE,$A28)</f>
        <v>18608.8</v>
      </c>
      <c r="BQ28" s="13">
        <f>SUMIFS(SALIDAS_BIT,FECHA_BIT,"&gt;="&amp;BQ$2,FECHA_BIT,"&lt;="&amp;BQ$3,CLAVE_BIT,$A28)+SUMIFS(SALIDAS_BOV1,FECHA_BOV1,"&gt;="&amp;BQ$2,FECHA_BOV1,"&lt;="&amp;BQ$3,CLAVE_BOV1,$A28)+SUMIFS(SALIDAS_BOV2,FECHA_BOV2,"&gt;="&amp;BQ$2,FECHA_BOV2,"&lt;="&amp;BQ$3,CLAVE_BOV2,$A28)+SUMIFS(SALIDAS_BOV3,FECHA_BOV3,"&gt;="&amp;BQ$2,FECHA_BOV3,"&lt;="&amp;BQ$3,CLAVE_BOV3,$A28)+SUMIFS(SALIDAS_TC,FECHA_TC,"&gt;="&amp;BQ$2,FECHA_TC,"&lt;="&amp;BQ$3,CLAVE_TC,$A28)+SUMIFS(SALIDAS_COMB,FECHA_COMB,"&gt;="&amp;BQ$2,FECHA_COMB,"&lt;="&amp;BQ$3,CLAVE_COMB,$A28)+SUMIFS(SALIDAS_DES,FECHA_DESGLOSEN,"&gt;="&amp;BQ$2,FECHA_DESGLOSEN,"&lt;="&amp;BQ$3,CLAVE_DESGLOSE,$A28)</f>
        <v>11000.6</v>
      </c>
      <c r="BR28" s="13">
        <f>SUMIFS(SALIDAS_BIT,FECHA_BIT,"&gt;="&amp;BR$2,FECHA_BIT,"&lt;="&amp;BR$3,CLAVE_BIT,$A28)+SUMIFS(SALIDAS_BOV1,FECHA_BOV1,"&gt;="&amp;BR$2,FECHA_BOV1,"&lt;="&amp;BR$3,CLAVE_BOV1,$A28)+SUMIFS(SALIDAS_BOV2,FECHA_BOV2,"&gt;="&amp;BR$2,FECHA_BOV2,"&lt;="&amp;BR$3,CLAVE_BOV2,$A28)+SUMIFS(SALIDAS_BOV3,FECHA_BOV3,"&gt;="&amp;BR$2,FECHA_BOV3,"&lt;="&amp;BR$3,CLAVE_BOV3,$A28)+SUMIFS(SALIDAS_TC,FECHA_TC,"&gt;="&amp;BR$2,FECHA_TC,"&lt;="&amp;BR$3,CLAVE_TC,$A28)+SUMIFS(SALIDAS_COMB,FECHA_COMB,"&gt;="&amp;BR$2,FECHA_COMB,"&lt;="&amp;BR$3,CLAVE_COMB,$A28)+SUMIFS(SALIDAS_DES,FECHA_DESGLOSEN,"&gt;="&amp;BR$2,FECHA_DESGLOSEN,"&lt;="&amp;BR$3,CLAVE_DESGLOSE,$A28)</f>
        <v>73284.400000000009</v>
      </c>
      <c r="BS28" s="68">
        <f t="shared" si="72"/>
        <v>1035.5999999999913</v>
      </c>
      <c r="BT28" s="268">
        <f t="shared" si="73"/>
        <v>0.98606566200215295</v>
      </c>
      <c r="BU28" s="13">
        <f t="shared" si="49"/>
        <v>59456</v>
      </c>
      <c r="BV28" s="13">
        <f t="shared" si="90"/>
        <v>14854.8</v>
      </c>
      <c r="BW28" s="13">
        <f t="shared" si="90"/>
        <v>14842.6</v>
      </c>
      <c r="BX28" s="13">
        <f t="shared" si="90"/>
        <v>13844.8</v>
      </c>
      <c r="BY28" s="13">
        <f t="shared" si="90"/>
        <v>14494.2</v>
      </c>
      <c r="BZ28" s="13">
        <f t="shared" si="99"/>
        <v>58036.399999999994</v>
      </c>
      <c r="CA28" s="68">
        <f t="shared" si="74"/>
        <v>1419.6000000000058</v>
      </c>
      <c r="CB28" s="268">
        <f t="shared" si="75"/>
        <v>0.9761235199138858</v>
      </c>
      <c r="CC28" s="13">
        <f t="shared" si="51"/>
        <v>59456</v>
      </c>
      <c r="CD28" s="13">
        <f t="shared" si="91"/>
        <v>15121.4</v>
      </c>
      <c r="CE28" s="13">
        <f t="shared" si="91"/>
        <v>14662</v>
      </c>
      <c r="CF28" s="13">
        <f t="shared" si="91"/>
        <v>17901.8</v>
      </c>
      <c r="CG28" s="13">
        <f t="shared" si="91"/>
        <v>14422.6</v>
      </c>
      <c r="CH28" s="13">
        <f t="shared" si="100"/>
        <v>62107.799999999996</v>
      </c>
      <c r="CI28" s="68">
        <f t="shared" si="76"/>
        <v>-2651.7999999999956</v>
      </c>
      <c r="CJ28" s="268">
        <f t="shared" si="77"/>
        <v>1.0446010495156082</v>
      </c>
      <c r="CK28" s="13">
        <f t="shared" si="53"/>
        <v>84865</v>
      </c>
      <c r="CL28" s="13">
        <f t="shared" si="92"/>
        <v>15824.8</v>
      </c>
      <c r="CM28" s="13">
        <f t="shared" si="92"/>
        <v>19552.599999999999</v>
      </c>
      <c r="CN28" s="13">
        <f t="shared" si="92"/>
        <v>25594.799999999999</v>
      </c>
      <c r="CO28" s="13">
        <f t="shared" si="92"/>
        <v>29827.4</v>
      </c>
      <c r="CP28" s="13">
        <f t="shared" si="92"/>
        <v>26776</v>
      </c>
      <c r="CQ28" s="13">
        <f t="shared" si="101"/>
        <v>117575.6</v>
      </c>
      <c r="CR28" s="68">
        <f t="shared" si="78"/>
        <v>-32710.600000000006</v>
      </c>
      <c r="CS28" s="268">
        <f t="shared" si="79"/>
        <v>1.3854427620338186</v>
      </c>
      <c r="CT28" s="68">
        <f t="shared" si="55"/>
        <v>65581</v>
      </c>
      <c r="CU28" s="13">
        <f>SUMIFS(SALIDAS_BIT,FECHA_BIT,"&gt;="&amp;CU$2,FECHA_BIT,"&lt;="&amp;CU$3,CLAVE_BIT,$A28)+SUMIFS(SALIDAS_BOV1,FECHA_BOV1,"&gt;="&amp;CU$2,FECHA_BOV1,"&lt;="&amp;CU$3,CLAVE_BOV1,$A28)+SUMIFS(SALIDAS_BOV2,FECHA_BOV2,"&gt;="&amp;CU$2,FECHA_BOV2,"&lt;="&amp;CU$3,CLAVE_BOV2,$A28)+SUMIFS(SALIDAS_BOV3,FECHA_BOV3,"&gt;="&amp;CU$2,FECHA_BOV3,"&lt;="&amp;CU$3,CLAVE_BOV3,$A28)+SUMIFS(SALIDAS_TC,FECHA_TC,"&gt;="&amp;CU$2,FECHA_TC,"&lt;="&amp;CU$3,CLAVE_TC,$A28)+SUMIFS(SALIDAS_COMB,FECHA_COMB,"&gt;="&amp;CU$2,FECHA_COMB,"&lt;="&amp;CU$3,CLAVE_COMB,$A28)+SUMIFS(SALIDAS_DES,FECHA_DESGLOSEN,"&gt;="&amp;CU$2,FECHA_DESGLOSEN,"&lt;="&amp;CU$3,CLAVE_DESGLOSE,$A28)</f>
        <v>18658.400000000001</v>
      </c>
      <c r="CV28" s="13">
        <f>SUMIFS(SALIDAS_BIT,FECHA_BIT,"&gt;="&amp;CV$2,FECHA_BIT,"&lt;="&amp;CV$3,CLAVE_BIT,$A28)+SUMIFS(SALIDAS_BOV1,FECHA_BOV1,"&gt;="&amp;CV$2,FECHA_BOV1,"&lt;="&amp;CV$3,CLAVE_BOV1,$A28)+SUMIFS(SALIDAS_BOV2,FECHA_BOV2,"&gt;="&amp;CV$2,FECHA_BOV2,"&lt;="&amp;CV$3,CLAVE_BOV2,$A28)+SUMIFS(SALIDAS_BOV3,FECHA_BOV3,"&gt;="&amp;CV$2,FECHA_BOV3,"&lt;="&amp;CV$3,CLAVE_BOV3,$A28)+SUMIFS(SALIDAS_TC,FECHA_TC,"&gt;="&amp;CV$2,FECHA_TC,"&lt;="&amp;CV$3,CLAVE_TC,$A28)+SUMIFS(SALIDAS_COMB,FECHA_COMB,"&gt;="&amp;CV$2,FECHA_COMB,"&lt;="&amp;CV$3,CLAVE_COMB,$A28)+SUMIFS(SALIDAS_DES,FECHA_DESGLOSEN,"&gt;="&amp;CV$2,FECHA_DESGLOSEN,"&lt;="&amp;CV$3,CLAVE_DESGLOSE,$A28)</f>
        <v>16368.2</v>
      </c>
      <c r="CW28" s="13">
        <f>SUMIFS(SALIDAS_BIT,FECHA_BIT,"&gt;="&amp;CW$2,FECHA_BIT,"&lt;="&amp;CW$3,CLAVE_BIT,$A28)+SUMIFS(SALIDAS_BOV1,FECHA_BOV1,"&gt;="&amp;CW$2,FECHA_BOV1,"&lt;="&amp;CW$3,CLAVE_BOV1,$A28)+SUMIFS(SALIDAS_BOV2,FECHA_BOV2,"&gt;="&amp;CW$2,FECHA_BOV2,"&lt;="&amp;CW$3,CLAVE_BOV2,$A28)+SUMIFS(SALIDAS_BOV3,FECHA_BOV3,"&gt;="&amp;CW$2,FECHA_BOV3,"&lt;="&amp;CW$3,CLAVE_BOV3,$A28)+SUMIFS(SALIDAS_TC,FECHA_TC,"&gt;="&amp;CW$2,FECHA_TC,"&lt;="&amp;CW$3,CLAVE_TC,$A28)+SUMIFS(SALIDAS_COMB,FECHA_COMB,"&gt;="&amp;CW$2,FECHA_COMB,"&lt;="&amp;CW$3,CLAVE_COMB,$A28)+SUMIFS(SALIDAS_DES,FECHA_DESGLOSEN,"&gt;="&amp;CW$2,FECHA_DESGLOSEN,"&lt;="&amp;CW$3,CLAVE_DESGLOSE,$A28)</f>
        <v>16793.599999999999</v>
      </c>
      <c r="CX28" s="13">
        <f>SUMIFS(SALIDAS_BIT,FECHA_BIT,"&gt;="&amp;CX$2,FECHA_BIT,"&lt;="&amp;CX$3,CLAVE_BIT,$A28)+SUMIFS(SALIDAS_BOV1,FECHA_BOV1,"&gt;="&amp;CX$2,FECHA_BOV1,"&lt;="&amp;CX$3,CLAVE_BOV1,$A28)+SUMIFS(SALIDAS_BOV2,FECHA_BOV2,"&gt;="&amp;CX$2,FECHA_BOV2,"&lt;="&amp;CX$3,CLAVE_BOV2,$A28)+SUMIFS(SALIDAS_BOV3,FECHA_BOV3,"&gt;="&amp;CX$2,FECHA_BOV3,"&lt;="&amp;CX$3,CLAVE_BOV3,$A28)+SUMIFS(SALIDAS_TC,FECHA_TC,"&gt;="&amp;CX$2,FECHA_TC,"&lt;="&amp;CX$3,CLAVE_TC,$A28)+SUMIFS(SALIDAS_COMB,FECHA_COMB,"&gt;="&amp;CX$2,FECHA_COMB,"&lt;="&amp;CX$3,CLAVE_COMB,$A28)+SUMIFS(SALIDAS_DES,FECHA_DESGLOSEN,"&gt;="&amp;CX$2,FECHA_DESGLOSEN,"&lt;="&amp;CX$3,CLAVE_DESGLOSE,$A28)</f>
        <v>16757</v>
      </c>
      <c r="CY28" s="13">
        <f>SUMIFS(SALIDAS_BIT,FECHA_BIT,"&gt;="&amp;CY$2,FECHA_BIT,"&lt;="&amp;CY$3,CLAVE_BIT,$A28)+SUMIFS(SALIDAS_BOV1,FECHA_BOV1,"&gt;="&amp;CY$2,FECHA_BOV1,"&lt;="&amp;CY$3,CLAVE_BOV1,$A28)+SUMIFS(SALIDAS_BOV2,FECHA_BOV2,"&gt;="&amp;CY$2,FECHA_BOV2,"&lt;="&amp;CY$3,CLAVE_BOV2,$A28)+SUMIFS(SALIDAS_BOV3,FECHA_BOV3,"&gt;="&amp;CY$2,FECHA_BOV3,"&lt;="&amp;CY$3,CLAVE_BOV3,$A28)+SUMIFS(SALIDAS_TC,FECHA_TC,"&gt;="&amp;CY$2,FECHA_TC,"&lt;="&amp;CY$3,CLAVE_TC,$A28)+SUMIFS(SALIDAS_COMB,FECHA_COMB,"&gt;="&amp;CY$2,FECHA_COMB,"&lt;="&amp;CY$3,CLAVE_COMB,$A28)+SUMIFS(SALIDAS_DES,FECHA_DESGLOSEN,"&gt;="&amp;CY$2,FECHA_DESGLOSEN,"&lt;="&amp;CY$3,CLAVE_DESGLOSE,$A28)</f>
        <v>68577.200000000012</v>
      </c>
      <c r="CZ28" s="68">
        <f t="shared" si="80"/>
        <v>-2996.2000000000116</v>
      </c>
      <c r="DB28" s="17">
        <f>F28+N28+W28+AE28+AM28+AV28+BD28+BL28+BU28+CC28+CK28</f>
        <v>724017</v>
      </c>
      <c r="DC28" s="17">
        <f>K28+T28+AB28+AJ28+AS28+BA28+BI28+BR28+BZ28+CH28+CQ28</f>
        <v>728518.8</v>
      </c>
    </row>
    <row r="29" spans="1:107" hidden="1">
      <c r="A29" s="12" t="str">
        <f t="shared" si="57"/>
        <v>CAPNOMINA SUCURSALE4</v>
      </c>
      <c r="B29" s="12">
        <v>23</v>
      </c>
      <c r="C29" t="s">
        <v>31</v>
      </c>
      <c r="D29" s="12" t="s">
        <v>154</v>
      </c>
      <c r="E29" s="12" t="s">
        <v>110</v>
      </c>
      <c r="F29" s="259">
        <f t="shared" si="58"/>
        <v>101560</v>
      </c>
      <c r="G29" s="13">
        <f t="shared" si="93"/>
        <v>22607</v>
      </c>
      <c r="H29" s="13">
        <f t="shared" si="93"/>
        <v>19833.599999999999</v>
      </c>
      <c r="I29" s="13">
        <f t="shared" si="93"/>
        <v>19591.400000000001</v>
      </c>
      <c r="J29" s="13">
        <f t="shared" si="93"/>
        <v>18384.400000000001</v>
      </c>
      <c r="K29" s="13">
        <f t="shared" si="93"/>
        <v>80416.399999999994</v>
      </c>
      <c r="L29" s="68">
        <f t="shared" si="59"/>
        <v>21143.600000000006</v>
      </c>
      <c r="M29" s="268">
        <f t="shared" si="60"/>
        <v>0.79181173690429296</v>
      </c>
      <c r="N29" s="13">
        <f t="shared" si="36"/>
        <v>126950</v>
      </c>
      <c r="O29" s="13">
        <f t="shared" si="94"/>
        <v>17054.400000000001</v>
      </c>
      <c r="P29" s="13">
        <f t="shared" si="94"/>
        <v>15830.8</v>
      </c>
      <c r="Q29" s="13">
        <f t="shared" si="94"/>
        <v>19502.400000000001</v>
      </c>
      <c r="R29" s="13">
        <f t="shared" si="94"/>
        <v>15521.4</v>
      </c>
      <c r="S29" s="13">
        <f t="shared" si="94"/>
        <v>15880.8</v>
      </c>
      <c r="T29" s="13">
        <f t="shared" si="94"/>
        <v>83789.8</v>
      </c>
      <c r="U29" s="68">
        <f t="shared" si="61"/>
        <v>43160.2</v>
      </c>
      <c r="V29" s="268">
        <f t="shared" si="62"/>
        <v>0.66002205592753049</v>
      </c>
      <c r="W29" s="13">
        <f t="shared" si="38"/>
        <v>101560</v>
      </c>
      <c r="X29" s="13">
        <f t="shared" si="95"/>
        <v>19402.400000000001</v>
      </c>
      <c r="Y29" s="13">
        <f t="shared" si="95"/>
        <v>18974.2</v>
      </c>
      <c r="Z29" s="13">
        <f t="shared" si="95"/>
        <v>17398</v>
      </c>
      <c r="AA29" s="13">
        <f t="shared" si="95"/>
        <v>14832.2</v>
      </c>
      <c r="AB29" s="13">
        <f t="shared" si="95"/>
        <v>70606.8</v>
      </c>
      <c r="AC29" s="68">
        <f t="shared" si="63"/>
        <v>30953.199999999997</v>
      </c>
      <c r="AD29" s="268">
        <f t="shared" si="64"/>
        <v>0.69522252855454902</v>
      </c>
      <c r="AE29" s="13">
        <f t="shared" si="40"/>
        <v>64000</v>
      </c>
      <c r="AF29" s="13">
        <f t="shared" si="96"/>
        <v>18814.2</v>
      </c>
      <c r="AG29" s="13">
        <f t="shared" si="96"/>
        <v>17631.599999999999</v>
      </c>
      <c r="AH29" s="13">
        <f t="shared" si="96"/>
        <v>12890.6</v>
      </c>
      <c r="AI29" s="13">
        <f t="shared" si="96"/>
        <v>16519</v>
      </c>
      <c r="AJ29" s="13">
        <f t="shared" si="96"/>
        <v>65855.399999999994</v>
      </c>
      <c r="AK29" s="68">
        <f t="shared" si="65"/>
        <v>-1855.3999999999942</v>
      </c>
      <c r="AL29" s="268">
        <f t="shared" si="66"/>
        <v>1.0289906249999998</v>
      </c>
      <c r="AM29" s="13">
        <f t="shared" si="42"/>
        <v>80000</v>
      </c>
      <c r="AN29" s="13">
        <f t="shared" si="97"/>
        <v>16747.400000000001</v>
      </c>
      <c r="AO29" s="13">
        <f t="shared" si="97"/>
        <v>15326.4</v>
      </c>
      <c r="AP29" s="13">
        <f t="shared" si="97"/>
        <v>22458.2</v>
      </c>
      <c r="AQ29" s="13">
        <f t="shared" si="97"/>
        <v>17995.599999999999</v>
      </c>
      <c r="AR29" s="13">
        <f t="shared" si="97"/>
        <v>17578.599999999999</v>
      </c>
      <c r="AS29" s="13">
        <f t="shared" si="97"/>
        <v>90106.200000000012</v>
      </c>
      <c r="AT29" s="68">
        <f>AM29-AS29</f>
        <v>-10106.200000000012</v>
      </c>
      <c r="AU29" s="268">
        <f t="shared" si="67"/>
        <v>1.1263275000000001</v>
      </c>
      <c r="AV29" s="13">
        <f t="shared" si="44"/>
        <v>64000</v>
      </c>
      <c r="AW29" s="13">
        <f t="shared" si="98"/>
        <v>19879.8</v>
      </c>
      <c r="AX29" s="13">
        <f t="shared" si="98"/>
        <v>21220.2</v>
      </c>
      <c r="AY29" s="13">
        <f t="shared" si="98"/>
        <v>20147.2</v>
      </c>
      <c r="AZ29" s="13">
        <f t="shared" si="98"/>
        <v>20843.400000000001</v>
      </c>
      <c r="BA29" s="13">
        <f t="shared" si="86"/>
        <v>82090.600000000006</v>
      </c>
      <c r="BB29" s="68">
        <f t="shared" si="68"/>
        <v>-18090.600000000006</v>
      </c>
      <c r="BC29" s="268">
        <f t="shared" si="69"/>
        <v>1.2826656250000001</v>
      </c>
      <c r="BD29" s="13">
        <f t="shared" si="46"/>
        <v>64000</v>
      </c>
      <c r="BE29" s="13">
        <f>SUMIFS(SALIDAS_BIT,FECHA_BIT,"&gt;="&amp;BE$2,FECHA_BIT,"&lt;="&amp;BE$3,CLAVE_BIT,$A29)+SUMIFS(SALIDAS_BOV1,FECHA_BOV1,"&gt;="&amp;BE$2,FECHA_BOV1,"&lt;="&amp;BE$3,CLAVE_BOV1,$A29)+SUMIFS(SALIDAS_BOV2,FECHA_BOV2,"&gt;="&amp;BE$2,FECHA_BOV2,"&lt;="&amp;BE$3,CLAVE_BOV2,$A29)+SUMIFS(SALIDAS_BOV3,FECHA_BOV3,"&gt;="&amp;BE$2,FECHA_BOV3,"&lt;="&amp;BE$3,CLAVE_BOV3,$A29)+SUMIFS(SALIDAS_TC,FECHA_TC,"&gt;="&amp;BE$2,FECHA_TC,"&lt;="&amp;BE$3,CLAVE_TC,$A29)+SUMIFS(SALIDAS_COMB,FECHA_COMB,"&gt;="&amp;BE$2,FECHA_COMB,"&lt;="&amp;BE$3,CLAVE_COMB,$A29)+SUMIFS(SALIDAS_DES,FECHA_DESGLOSEN,"&gt;="&amp;BE$2,FECHA_DESGLOSEN,"&lt;="&amp;BE$3,CLAVE_DESGLOSE,$A29)</f>
        <v>20662.400000000001</v>
      </c>
      <c r="BF29" s="13">
        <f>SUMIFS(SALIDAS_BIT,FECHA_BIT,"&gt;="&amp;BF$2,FECHA_BIT,"&lt;="&amp;BF$3,CLAVE_BIT,$A29)+SUMIFS(SALIDAS_BOV1,FECHA_BOV1,"&gt;="&amp;BF$2,FECHA_BOV1,"&lt;="&amp;BF$3,CLAVE_BOV1,$A29)+SUMIFS(SALIDAS_BOV2,FECHA_BOV2,"&gt;="&amp;BF$2,FECHA_BOV2,"&lt;="&amp;BF$3,CLAVE_BOV2,$A29)+SUMIFS(SALIDAS_BOV3,FECHA_BOV3,"&gt;="&amp;BF$2,FECHA_BOV3,"&lt;="&amp;BF$3,CLAVE_BOV3,$A29)+SUMIFS(SALIDAS_TC,FECHA_TC,"&gt;="&amp;BF$2,FECHA_TC,"&lt;="&amp;BF$3,CLAVE_TC,$A29)+SUMIFS(SALIDAS_COMB,FECHA_COMB,"&gt;="&amp;BF$2,FECHA_COMB,"&lt;="&amp;BF$3,CLAVE_COMB,$A29)+SUMIFS(SALIDAS_DES,FECHA_DESGLOSEN,"&gt;="&amp;BF$2,FECHA_DESGLOSEN,"&lt;="&amp;BF$3,CLAVE_DESGLOSE,$A29)</f>
        <v>24623.4</v>
      </c>
      <c r="BG29" s="13">
        <f>SUMIFS(SALIDAS_BIT,FECHA_BIT,"&gt;="&amp;BG$2,FECHA_BIT,"&lt;="&amp;BG$3,CLAVE_BIT,$A29)+SUMIFS(SALIDAS_BOV1,FECHA_BOV1,"&gt;="&amp;BG$2,FECHA_BOV1,"&lt;="&amp;BG$3,CLAVE_BOV1,$A29)+SUMIFS(SALIDAS_BOV2,FECHA_BOV2,"&gt;="&amp;BG$2,FECHA_BOV2,"&lt;="&amp;BG$3,CLAVE_BOV2,$A29)+SUMIFS(SALIDAS_BOV3,FECHA_BOV3,"&gt;="&amp;BG$2,FECHA_BOV3,"&lt;="&amp;BG$3,CLAVE_BOV3,$A29)+SUMIFS(SALIDAS_TC,FECHA_TC,"&gt;="&amp;BG$2,FECHA_TC,"&lt;="&amp;BG$3,CLAVE_TC,$A29)+SUMIFS(SALIDAS_COMB,FECHA_COMB,"&gt;="&amp;BG$2,FECHA_COMB,"&lt;="&amp;BG$3,CLAVE_COMB,$A29)+SUMIFS(SALIDAS_DES,FECHA_DESGLOSEN,"&gt;="&amp;BG$2,FECHA_DESGLOSEN,"&lt;="&amp;BG$3,CLAVE_DESGLOSE,$A29)</f>
        <v>21427.8</v>
      </c>
      <c r="BH29" s="13">
        <f>SUMIFS(SALIDAS_BIT,FECHA_BIT,"&gt;="&amp;BH$2,FECHA_BIT,"&lt;="&amp;BH$3,CLAVE_BIT,$A29)+SUMIFS(SALIDAS_BOV1,FECHA_BOV1,"&gt;="&amp;BH$2,FECHA_BOV1,"&lt;="&amp;BH$3,CLAVE_BOV1,$A29)+SUMIFS(SALIDAS_BOV2,FECHA_BOV2,"&gt;="&amp;BH$2,FECHA_BOV2,"&lt;="&amp;BH$3,CLAVE_BOV2,$A29)+SUMIFS(SALIDAS_BOV3,FECHA_BOV3,"&gt;="&amp;BH$2,FECHA_BOV3,"&lt;="&amp;BH$3,CLAVE_BOV3,$A29)+SUMIFS(SALIDAS_TC,FECHA_TC,"&gt;="&amp;BH$2,FECHA_TC,"&lt;="&amp;BH$3,CLAVE_TC,$A29)+SUMIFS(SALIDAS_COMB,FECHA_COMB,"&gt;="&amp;BH$2,FECHA_COMB,"&lt;="&amp;BH$3,CLAVE_COMB,$A29)+SUMIFS(SALIDAS_DES,FECHA_DESGLOSEN,"&gt;="&amp;BH$2,FECHA_DESGLOSEN,"&lt;="&amp;BH$3,CLAVE_DESGLOSE,$A29)</f>
        <v>22716</v>
      </c>
      <c r="BI29" s="13">
        <f>SUMIFS(SALIDAS_BIT,FECHA_BIT,"&gt;="&amp;BI$2,FECHA_BIT,"&lt;="&amp;BI$3,CLAVE_BIT,$A29)+SUMIFS(SALIDAS_BOV1,FECHA_BOV1,"&gt;="&amp;BI$2,FECHA_BOV1,"&lt;="&amp;BI$3,CLAVE_BOV1,$A29)+SUMIFS(SALIDAS_BOV2,FECHA_BOV2,"&gt;="&amp;BI$2,FECHA_BOV2,"&lt;="&amp;BI$3,CLAVE_BOV2,$A29)+SUMIFS(SALIDAS_BOV3,FECHA_BOV3,"&gt;="&amp;BI$2,FECHA_BOV3,"&lt;="&amp;BI$3,CLAVE_BOV3,$A29)+SUMIFS(SALIDAS_TC,FECHA_TC,"&gt;="&amp;BI$2,FECHA_TC,"&lt;="&amp;BI$3,CLAVE_TC,$A29)+SUMIFS(SALIDAS_COMB,FECHA_COMB,"&gt;="&amp;BI$2,FECHA_COMB,"&lt;="&amp;BI$3,CLAVE_COMB,$A29)+SUMIFS(SALIDAS_DES,FECHA_DESGLOSEN,"&gt;="&amp;BI$2,FECHA_DESGLOSEN,"&lt;="&amp;BI$3,CLAVE_DESGLOSE,$A29)</f>
        <v>89429.6</v>
      </c>
      <c r="BJ29" s="68">
        <f t="shared" si="70"/>
        <v>-25429.600000000006</v>
      </c>
      <c r="BK29" s="401">
        <f t="shared" si="71"/>
        <v>1.3973375000000001</v>
      </c>
      <c r="BL29" s="13">
        <f t="shared" si="47"/>
        <v>80000</v>
      </c>
      <c r="BM29" s="13">
        <f>SUMIFS(SALIDAS_BIT,FECHA_BIT,"&gt;="&amp;BM$2,FECHA_BIT,"&lt;="&amp;BM$3,CLAVE_BIT,$A29)+SUMIFS(SALIDAS_BOV1,FECHA_BOV1,"&gt;="&amp;BM$2,FECHA_BOV1,"&lt;="&amp;BM$3,CLAVE_BOV1,$A29)+SUMIFS(SALIDAS_BOV2,FECHA_BOV2,"&gt;="&amp;BM$2,FECHA_BOV2,"&lt;="&amp;BM$3,CLAVE_BOV2,$A29)+SUMIFS(SALIDAS_BOV3,FECHA_BOV3,"&gt;="&amp;BM$2,FECHA_BOV3,"&lt;="&amp;BM$3,CLAVE_BOV3,$A29)+SUMIFS(SALIDAS_TC,FECHA_TC,"&gt;="&amp;BM$2,FECHA_TC,"&lt;="&amp;BM$3,CLAVE_TC,$A29)+SUMIFS(SALIDAS_COMB,FECHA_COMB,"&gt;="&amp;BM$2,FECHA_COMB,"&lt;="&amp;BM$3,CLAVE_COMB,$A29)+SUMIFS(SALIDAS_DES,FECHA_DESGLOSEN,"&gt;="&amp;BM$2,FECHA_DESGLOSEN,"&lt;="&amp;BM$3,CLAVE_DESGLOSE,$A29)</f>
        <v>23169.8</v>
      </c>
      <c r="BN29" s="13">
        <f>SUMIFS(SALIDAS_BIT,FECHA_BIT,"&gt;="&amp;BN$2,FECHA_BIT,"&lt;="&amp;BN$3,CLAVE_BIT,$A29)+SUMIFS(SALIDAS_BOV1,FECHA_BOV1,"&gt;="&amp;BN$2,FECHA_BOV1,"&lt;="&amp;BN$3,CLAVE_BOV1,$A29)+SUMIFS(SALIDAS_BOV2,FECHA_BOV2,"&gt;="&amp;BN$2,FECHA_BOV2,"&lt;="&amp;BN$3,CLAVE_BOV2,$A29)+SUMIFS(SALIDAS_BOV3,FECHA_BOV3,"&gt;="&amp;BN$2,FECHA_BOV3,"&lt;="&amp;BN$3,CLAVE_BOV3,$A29)+SUMIFS(SALIDAS_TC,FECHA_TC,"&gt;="&amp;BN$2,FECHA_TC,"&lt;="&amp;BN$3,CLAVE_TC,$A29)+SUMIFS(SALIDAS_COMB,FECHA_COMB,"&gt;="&amp;BN$2,FECHA_COMB,"&lt;="&amp;BN$3,CLAVE_COMB,$A29)+SUMIFS(SALIDAS_DES,FECHA_DESGLOSEN,"&gt;="&amp;BN$2,FECHA_DESGLOSEN,"&lt;="&amp;BN$3,CLAVE_DESGLOSE,$A29)</f>
        <v>19327.2</v>
      </c>
      <c r="BO29" s="13">
        <f>SUMIFS(SALIDAS_BIT,FECHA_BIT,"&gt;="&amp;BO$2,FECHA_BIT,"&lt;="&amp;BO$3,CLAVE_BIT,$A29)+SUMIFS(SALIDAS_BOV1,FECHA_BOV1,"&gt;="&amp;BO$2,FECHA_BOV1,"&lt;="&amp;BO$3,CLAVE_BOV1,$A29)+SUMIFS(SALIDAS_BOV2,FECHA_BOV2,"&gt;="&amp;BO$2,FECHA_BOV2,"&lt;="&amp;BO$3,CLAVE_BOV2,$A29)+SUMIFS(SALIDAS_BOV3,FECHA_BOV3,"&gt;="&amp;BO$2,FECHA_BOV3,"&lt;="&amp;BO$3,CLAVE_BOV3,$A29)+SUMIFS(SALIDAS_TC,FECHA_TC,"&gt;="&amp;BO$2,FECHA_TC,"&lt;="&amp;BO$3,CLAVE_TC,$A29)+SUMIFS(SALIDAS_COMB,FECHA_COMB,"&gt;="&amp;BO$2,FECHA_COMB,"&lt;="&amp;BO$3,CLAVE_COMB,$A29)+SUMIFS(SALIDAS_DES,FECHA_DESGLOSEN,"&gt;="&amp;BO$2,FECHA_DESGLOSEN,"&lt;="&amp;BO$3,CLAVE_DESGLOSE,$A29)</f>
        <v>21060</v>
      </c>
      <c r="BP29" s="13">
        <f>SUMIFS(SALIDAS_BIT,FECHA_BIT,"&gt;="&amp;BP$2,FECHA_BIT,"&lt;="&amp;BP$3,CLAVE_BIT,$A29)+SUMIFS(SALIDAS_BOV1,FECHA_BOV1,"&gt;="&amp;BP$2,FECHA_BOV1,"&lt;="&amp;BP$3,CLAVE_BOV1,$A29)+SUMIFS(SALIDAS_BOV2,FECHA_BOV2,"&gt;="&amp;BP$2,FECHA_BOV2,"&lt;="&amp;BP$3,CLAVE_BOV2,$A29)+SUMIFS(SALIDAS_BOV3,FECHA_BOV3,"&gt;="&amp;BP$2,FECHA_BOV3,"&lt;="&amp;BP$3,CLAVE_BOV3,$A29)+SUMIFS(SALIDAS_TC,FECHA_TC,"&gt;="&amp;BP$2,FECHA_TC,"&lt;="&amp;BP$3,CLAVE_TC,$A29)+SUMIFS(SALIDAS_COMB,FECHA_COMB,"&gt;="&amp;BP$2,FECHA_COMB,"&lt;="&amp;BP$3,CLAVE_COMB,$A29)+SUMIFS(SALIDAS_DES,FECHA_DESGLOSEN,"&gt;="&amp;BP$2,FECHA_DESGLOSEN,"&lt;="&amp;BP$3,CLAVE_DESGLOSE,$A29)</f>
        <v>25276.2</v>
      </c>
      <c r="BQ29" s="13">
        <f>SUMIFS(SALIDAS_BIT,FECHA_BIT,"&gt;="&amp;BQ$2,FECHA_BIT,"&lt;="&amp;BQ$3,CLAVE_BIT,$A29)+SUMIFS(SALIDAS_BOV1,FECHA_BOV1,"&gt;="&amp;BQ$2,FECHA_BOV1,"&lt;="&amp;BQ$3,CLAVE_BOV1,$A29)+SUMIFS(SALIDAS_BOV2,FECHA_BOV2,"&gt;="&amp;BQ$2,FECHA_BOV2,"&lt;="&amp;BQ$3,CLAVE_BOV2,$A29)+SUMIFS(SALIDAS_BOV3,FECHA_BOV3,"&gt;="&amp;BQ$2,FECHA_BOV3,"&lt;="&amp;BQ$3,CLAVE_BOV3,$A29)+SUMIFS(SALIDAS_TC,FECHA_TC,"&gt;="&amp;BQ$2,FECHA_TC,"&lt;="&amp;BQ$3,CLAVE_TC,$A29)+SUMIFS(SALIDAS_COMB,FECHA_COMB,"&gt;="&amp;BQ$2,FECHA_COMB,"&lt;="&amp;BQ$3,CLAVE_COMB,$A29)+SUMIFS(SALIDAS_DES,FECHA_DESGLOSEN,"&gt;="&amp;BQ$2,FECHA_DESGLOSEN,"&lt;="&amp;BQ$3,CLAVE_DESGLOSE,$A29)</f>
        <v>18435.400000000001</v>
      </c>
      <c r="BR29" s="13">
        <f>SUMIFS(SALIDAS_BIT,FECHA_BIT,"&gt;="&amp;BR$2,FECHA_BIT,"&lt;="&amp;BR$3,CLAVE_BIT,$A29)+SUMIFS(SALIDAS_BOV1,FECHA_BOV1,"&gt;="&amp;BR$2,FECHA_BOV1,"&lt;="&amp;BR$3,CLAVE_BOV1,$A29)+SUMIFS(SALIDAS_BOV2,FECHA_BOV2,"&gt;="&amp;BR$2,FECHA_BOV2,"&lt;="&amp;BR$3,CLAVE_BOV2,$A29)+SUMIFS(SALIDAS_BOV3,FECHA_BOV3,"&gt;="&amp;BR$2,FECHA_BOV3,"&lt;="&amp;BR$3,CLAVE_BOV3,$A29)+SUMIFS(SALIDAS_TC,FECHA_TC,"&gt;="&amp;BR$2,FECHA_TC,"&lt;="&amp;BR$3,CLAVE_TC,$A29)+SUMIFS(SALIDAS_COMB,FECHA_COMB,"&gt;="&amp;BR$2,FECHA_COMB,"&lt;="&amp;BR$3,CLAVE_COMB,$A29)+SUMIFS(SALIDAS_DES,FECHA_DESGLOSEN,"&gt;="&amp;BR$2,FECHA_DESGLOSEN,"&lt;="&amp;BR$3,CLAVE_DESGLOSE,$A29)</f>
        <v>107268.6</v>
      </c>
      <c r="BS29" s="68">
        <f t="shared" si="72"/>
        <v>-27268.600000000006</v>
      </c>
      <c r="BT29" s="401">
        <f t="shared" si="73"/>
        <v>1.3408575</v>
      </c>
      <c r="BU29" s="13">
        <f t="shared" si="49"/>
        <v>64000</v>
      </c>
      <c r="BV29" s="13">
        <f t="shared" si="90"/>
        <v>17817.599999999999</v>
      </c>
      <c r="BW29" s="13">
        <f t="shared" si="90"/>
        <v>17396.599999999999</v>
      </c>
      <c r="BX29" s="13">
        <f t="shared" si="90"/>
        <v>16584.400000000001</v>
      </c>
      <c r="BY29" s="13">
        <f t="shared" si="90"/>
        <v>17568.400000000001</v>
      </c>
      <c r="BZ29" s="13">
        <f t="shared" si="99"/>
        <v>69367</v>
      </c>
      <c r="CA29" s="68">
        <f t="shared" si="74"/>
        <v>-5367</v>
      </c>
      <c r="CB29" s="268">
        <f t="shared" si="75"/>
        <v>1.0838593750000001</v>
      </c>
      <c r="CC29" s="13">
        <f t="shared" si="51"/>
        <v>64000</v>
      </c>
      <c r="CD29" s="13">
        <f t="shared" si="91"/>
        <v>25498.400000000001</v>
      </c>
      <c r="CE29" s="13">
        <f t="shared" si="91"/>
        <v>23582.6</v>
      </c>
      <c r="CF29" s="13">
        <f t="shared" si="91"/>
        <v>29033.8</v>
      </c>
      <c r="CG29" s="13">
        <f t="shared" si="91"/>
        <v>23670.6</v>
      </c>
      <c r="CH29" s="13">
        <f t="shared" si="100"/>
        <v>101785.4</v>
      </c>
      <c r="CI29" s="68">
        <f t="shared" si="76"/>
        <v>-37785.399999999994</v>
      </c>
      <c r="CJ29" s="268">
        <f t="shared" si="77"/>
        <v>1.5903968749999999</v>
      </c>
      <c r="CK29" s="13">
        <f t="shared" si="53"/>
        <v>139885</v>
      </c>
      <c r="CL29" s="13">
        <f t="shared" si="92"/>
        <v>27471.8</v>
      </c>
      <c r="CM29" s="13">
        <f t="shared" si="92"/>
        <v>35405.599999999999</v>
      </c>
      <c r="CN29" s="13">
        <f t="shared" si="92"/>
        <v>44234</v>
      </c>
      <c r="CO29" s="13">
        <f t="shared" si="92"/>
        <v>51458.6</v>
      </c>
      <c r="CP29" s="13">
        <f t="shared" si="92"/>
        <v>51432.2</v>
      </c>
      <c r="CQ29" s="13">
        <f t="shared" si="101"/>
        <v>210002.2</v>
      </c>
      <c r="CR29" s="68">
        <f t="shared" si="78"/>
        <v>-70117.200000000012</v>
      </c>
      <c r="CS29" s="268">
        <f t="shared" si="79"/>
        <v>1.5012488830110449</v>
      </c>
      <c r="CT29" s="68">
        <f t="shared" si="55"/>
        <v>78385</v>
      </c>
      <c r="CU29" s="13">
        <f>SUMIFS(SALIDAS_BIT,FECHA_BIT,"&gt;="&amp;CU$2,FECHA_BIT,"&lt;="&amp;CU$3,CLAVE_BIT,$A29)+SUMIFS(SALIDAS_BOV1,FECHA_BOV1,"&gt;="&amp;CU$2,FECHA_BOV1,"&lt;="&amp;CU$3,CLAVE_BOV1,$A29)+SUMIFS(SALIDAS_BOV2,FECHA_BOV2,"&gt;="&amp;CU$2,FECHA_BOV2,"&lt;="&amp;CU$3,CLAVE_BOV2,$A29)+SUMIFS(SALIDAS_BOV3,FECHA_BOV3,"&gt;="&amp;CU$2,FECHA_BOV3,"&lt;="&amp;CU$3,CLAVE_BOV3,$A29)+SUMIFS(SALIDAS_TC,FECHA_TC,"&gt;="&amp;CU$2,FECHA_TC,"&lt;="&amp;CU$3,CLAVE_TC,$A29)+SUMIFS(SALIDAS_COMB,FECHA_COMB,"&gt;="&amp;CU$2,FECHA_COMB,"&lt;="&amp;CU$3,CLAVE_COMB,$A29)+SUMIFS(SALIDAS_DES,FECHA_DESGLOSEN,"&gt;="&amp;CU$2,FECHA_DESGLOSEN,"&lt;="&amp;CU$3,CLAVE_DESGLOSE,$A29)</f>
        <v>46278.2</v>
      </c>
      <c r="CV29" s="13">
        <f>SUMIFS(SALIDAS_BIT,FECHA_BIT,"&gt;="&amp;CV$2,FECHA_BIT,"&lt;="&amp;CV$3,CLAVE_BIT,$A29)+SUMIFS(SALIDAS_BOV1,FECHA_BOV1,"&gt;="&amp;CV$2,FECHA_BOV1,"&lt;="&amp;CV$3,CLAVE_BOV1,$A29)+SUMIFS(SALIDAS_BOV2,FECHA_BOV2,"&gt;="&amp;CV$2,FECHA_BOV2,"&lt;="&amp;CV$3,CLAVE_BOV2,$A29)+SUMIFS(SALIDAS_BOV3,FECHA_BOV3,"&gt;="&amp;CV$2,FECHA_BOV3,"&lt;="&amp;CV$3,CLAVE_BOV3,$A29)+SUMIFS(SALIDAS_TC,FECHA_TC,"&gt;="&amp;CV$2,FECHA_TC,"&lt;="&amp;CV$3,CLAVE_TC,$A29)+SUMIFS(SALIDAS_COMB,FECHA_COMB,"&gt;="&amp;CV$2,FECHA_COMB,"&lt;="&amp;CV$3,CLAVE_COMB,$A29)+SUMIFS(SALIDAS_DES,FECHA_DESGLOSEN,"&gt;="&amp;CV$2,FECHA_DESGLOSEN,"&lt;="&amp;CV$3,CLAVE_DESGLOSE,$A29)</f>
        <v>29546.799999999999</v>
      </c>
      <c r="CW29" s="13">
        <f>SUMIFS(SALIDAS_BIT,FECHA_BIT,"&gt;="&amp;CW$2,FECHA_BIT,"&lt;="&amp;CW$3,CLAVE_BIT,$A29)+SUMIFS(SALIDAS_BOV1,FECHA_BOV1,"&gt;="&amp;CW$2,FECHA_BOV1,"&lt;="&amp;CW$3,CLAVE_BOV1,$A29)+SUMIFS(SALIDAS_BOV2,FECHA_BOV2,"&gt;="&amp;CW$2,FECHA_BOV2,"&lt;="&amp;CW$3,CLAVE_BOV2,$A29)+SUMIFS(SALIDAS_BOV3,FECHA_BOV3,"&gt;="&amp;CW$2,FECHA_BOV3,"&lt;="&amp;CW$3,CLAVE_BOV3,$A29)+SUMIFS(SALIDAS_TC,FECHA_TC,"&gt;="&amp;CW$2,FECHA_TC,"&lt;="&amp;CW$3,CLAVE_TC,$A29)+SUMIFS(SALIDAS_COMB,FECHA_COMB,"&gt;="&amp;CW$2,FECHA_COMB,"&lt;="&amp;CW$3,CLAVE_COMB,$A29)+SUMIFS(SALIDAS_DES,FECHA_DESGLOSEN,"&gt;="&amp;CW$2,FECHA_DESGLOSEN,"&lt;="&amp;CW$3,CLAVE_DESGLOSE,$A29)</f>
        <v>27803.8</v>
      </c>
      <c r="CX29" s="13">
        <f>SUMIFS(SALIDAS_BIT,FECHA_BIT,"&gt;="&amp;CX$2,FECHA_BIT,"&lt;="&amp;CX$3,CLAVE_BIT,$A29)+SUMIFS(SALIDAS_BOV1,FECHA_BOV1,"&gt;="&amp;CX$2,FECHA_BOV1,"&lt;="&amp;CX$3,CLAVE_BOV1,$A29)+SUMIFS(SALIDAS_BOV2,FECHA_BOV2,"&gt;="&amp;CX$2,FECHA_BOV2,"&lt;="&amp;CX$3,CLAVE_BOV2,$A29)+SUMIFS(SALIDAS_BOV3,FECHA_BOV3,"&gt;="&amp;CX$2,FECHA_BOV3,"&lt;="&amp;CX$3,CLAVE_BOV3,$A29)+SUMIFS(SALIDAS_TC,FECHA_TC,"&gt;="&amp;CX$2,FECHA_TC,"&lt;="&amp;CX$3,CLAVE_TC,$A29)+SUMIFS(SALIDAS_COMB,FECHA_COMB,"&gt;="&amp;CX$2,FECHA_COMB,"&lt;="&amp;CX$3,CLAVE_COMB,$A29)+SUMIFS(SALIDAS_DES,FECHA_DESGLOSEN,"&gt;="&amp;CX$2,FECHA_DESGLOSEN,"&lt;="&amp;CX$3,CLAVE_DESGLOSE,$A29)</f>
        <v>28829.4</v>
      </c>
      <c r="CY29" s="13">
        <f>SUMIFS(SALIDAS_BIT,FECHA_BIT,"&gt;="&amp;CY$2,FECHA_BIT,"&lt;="&amp;CY$3,CLAVE_BIT,$A29)+SUMIFS(SALIDAS_BOV1,FECHA_BOV1,"&gt;="&amp;CY$2,FECHA_BOV1,"&lt;="&amp;CY$3,CLAVE_BOV1,$A29)+SUMIFS(SALIDAS_BOV2,FECHA_BOV2,"&gt;="&amp;CY$2,FECHA_BOV2,"&lt;="&amp;CY$3,CLAVE_BOV2,$A29)+SUMIFS(SALIDAS_BOV3,FECHA_BOV3,"&gt;="&amp;CY$2,FECHA_BOV3,"&lt;="&amp;CY$3,CLAVE_BOV3,$A29)+SUMIFS(SALIDAS_TC,FECHA_TC,"&gt;="&amp;CY$2,FECHA_TC,"&lt;="&amp;CY$3,CLAVE_TC,$A29)+SUMIFS(SALIDAS_COMB,FECHA_COMB,"&gt;="&amp;CY$2,FECHA_COMB,"&lt;="&amp;CY$3,CLAVE_COMB,$A29)+SUMIFS(SALIDAS_DES,FECHA_DESGLOSEN,"&gt;="&amp;CY$2,FECHA_DESGLOSEN,"&lt;="&amp;CY$3,CLAVE_DESGLOSE,$A29)</f>
        <v>132458.20000000001</v>
      </c>
      <c r="CZ29" s="68">
        <f t="shared" si="80"/>
        <v>-54073.200000000012</v>
      </c>
      <c r="DB29" s="17">
        <f>F29+N29+W29+AE29+AM29+AV29+BD29+BL29+BU29+CC29+CK29</f>
        <v>949955</v>
      </c>
      <c r="DC29" s="17">
        <f>K29+T29+AB29+AJ29+AS29+BA29+BI29+BR29+BZ29+CH29+CQ29</f>
        <v>1050718</v>
      </c>
    </row>
    <row r="30" spans="1:107" hidden="1">
      <c r="A30" s="12" t="str">
        <f t="shared" si="57"/>
        <v>CAPNOMINA SUCURSALE5</v>
      </c>
      <c r="B30" s="12">
        <v>24</v>
      </c>
      <c r="C30" t="s">
        <v>31</v>
      </c>
      <c r="D30" s="12" t="s">
        <v>154</v>
      </c>
      <c r="E30" s="12" t="s">
        <v>111</v>
      </c>
      <c r="F30" s="259">
        <f t="shared" si="58"/>
        <v>93172</v>
      </c>
      <c r="G30" s="13">
        <f t="shared" si="93"/>
        <v>19797.8</v>
      </c>
      <c r="H30" s="13">
        <f t="shared" si="93"/>
        <v>16159.4</v>
      </c>
      <c r="I30" s="13">
        <f t="shared" si="93"/>
        <v>18694.599999999999</v>
      </c>
      <c r="J30" s="13">
        <f t="shared" si="93"/>
        <v>17926.400000000001</v>
      </c>
      <c r="K30" s="13">
        <f t="shared" si="93"/>
        <v>72578.2</v>
      </c>
      <c r="L30" s="68">
        <f t="shared" si="59"/>
        <v>20593.800000000003</v>
      </c>
      <c r="M30" s="268">
        <f t="shared" si="60"/>
        <v>0.77897007684712138</v>
      </c>
      <c r="N30" s="13">
        <f t="shared" si="36"/>
        <v>116465</v>
      </c>
      <c r="O30" s="13">
        <f t="shared" si="94"/>
        <v>17159</v>
      </c>
      <c r="P30" s="13">
        <f t="shared" si="94"/>
        <v>20260.400000000001</v>
      </c>
      <c r="Q30" s="13">
        <f t="shared" si="94"/>
        <v>24718.6</v>
      </c>
      <c r="R30" s="13">
        <f t="shared" si="94"/>
        <v>19650.8</v>
      </c>
      <c r="S30" s="13">
        <f t="shared" si="94"/>
        <v>19831.400000000001</v>
      </c>
      <c r="T30" s="13">
        <f t="shared" si="94"/>
        <v>101620.20000000001</v>
      </c>
      <c r="U30" s="68">
        <f t="shared" si="61"/>
        <v>14844.799999999988</v>
      </c>
      <c r="V30" s="268">
        <f t="shared" si="62"/>
        <v>0.87253853088910838</v>
      </c>
      <c r="W30" s="13">
        <f t="shared" si="38"/>
        <v>93172</v>
      </c>
      <c r="X30" s="13">
        <f t="shared" si="95"/>
        <v>19169.8</v>
      </c>
      <c r="Y30" s="13">
        <f t="shared" si="95"/>
        <v>19634.2</v>
      </c>
      <c r="Z30" s="13">
        <f t="shared" si="95"/>
        <v>18747.400000000001</v>
      </c>
      <c r="AA30" s="13">
        <f t="shared" si="95"/>
        <v>20099.2</v>
      </c>
      <c r="AB30" s="13">
        <f t="shared" si="95"/>
        <v>77650.600000000006</v>
      </c>
      <c r="AC30" s="68">
        <f t="shared" si="63"/>
        <v>15521.399999999994</v>
      </c>
      <c r="AD30" s="268">
        <f t="shared" si="64"/>
        <v>0.83341132529085993</v>
      </c>
      <c r="AE30" s="13">
        <f t="shared" si="40"/>
        <v>84000</v>
      </c>
      <c r="AF30" s="13">
        <f t="shared" si="96"/>
        <v>24488.6</v>
      </c>
      <c r="AG30" s="13">
        <f t="shared" si="96"/>
        <v>20236</v>
      </c>
      <c r="AH30" s="13">
        <f t="shared" si="96"/>
        <v>14816.6</v>
      </c>
      <c r="AI30" s="13">
        <f t="shared" si="96"/>
        <v>16290</v>
      </c>
      <c r="AJ30" s="13">
        <f t="shared" si="96"/>
        <v>75831.199999999997</v>
      </c>
      <c r="AK30" s="68">
        <f t="shared" si="65"/>
        <v>8168.8000000000029</v>
      </c>
      <c r="AL30" s="268">
        <f t="shared" si="66"/>
        <v>0.90275238095238097</v>
      </c>
      <c r="AM30" s="13">
        <f t="shared" si="42"/>
        <v>105000</v>
      </c>
      <c r="AN30" s="13">
        <f t="shared" si="97"/>
        <v>16728</v>
      </c>
      <c r="AO30" s="13">
        <f t="shared" si="97"/>
        <v>19401.8</v>
      </c>
      <c r="AP30" s="13">
        <f t="shared" si="97"/>
        <v>18827.099999999999</v>
      </c>
      <c r="AQ30" s="13">
        <f t="shared" si="97"/>
        <v>16784.599999999999</v>
      </c>
      <c r="AR30" s="13">
        <f t="shared" si="97"/>
        <v>23792.6</v>
      </c>
      <c r="AS30" s="13">
        <f t="shared" si="97"/>
        <v>95534.1</v>
      </c>
      <c r="AT30" s="68">
        <f>AM30-AS30</f>
        <v>9465.8999999999942</v>
      </c>
      <c r="AU30" s="268">
        <f t="shared" si="67"/>
        <v>0.90984857142857145</v>
      </c>
      <c r="AV30" s="13">
        <f t="shared" si="44"/>
        <v>84000</v>
      </c>
      <c r="AW30" s="13">
        <f t="shared" si="98"/>
        <v>22179</v>
      </c>
      <c r="AX30" s="13">
        <f t="shared" si="98"/>
        <v>21659.4</v>
      </c>
      <c r="AY30" s="13">
        <f t="shared" si="98"/>
        <v>21434.400000000001</v>
      </c>
      <c r="AZ30" s="13">
        <f t="shared" si="98"/>
        <v>19760.599999999999</v>
      </c>
      <c r="BA30" s="13">
        <f t="shared" si="86"/>
        <v>85033.4</v>
      </c>
      <c r="BB30" s="68">
        <f t="shared" si="68"/>
        <v>-1033.3999999999942</v>
      </c>
      <c r="BC30" s="268">
        <f t="shared" si="69"/>
        <v>1.0123023809523808</v>
      </c>
      <c r="BD30" s="13">
        <f t="shared" si="46"/>
        <v>84000</v>
      </c>
      <c r="BE30" s="13">
        <f>SUMIFS(SALIDAS_BIT,FECHA_BIT,"&gt;="&amp;BE$2,FECHA_BIT,"&lt;="&amp;BE$3,CLAVE_BIT,$A30)+SUMIFS(SALIDAS_BOV1,FECHA_BOV1,"&gt;="&amp;BE$2,FECHA_BOV1,"&lt;="&amp;BE$3,CLAVE_BOV1,$A30)+SUMIFS(SALIDAS_BOV2,FECHA_BOV2,"&gt;="&amp;BE$2,FECHA_BOV2,"&lt;="&amp;BE$3,CLAVE_BOV2,$A30)+SUMIFS(SALIDAS_BOV3,FECHA_BOV3,"&gt;="&amp;BE$2,FECHA_BOV3,"&lt;="&amp;BE$3,CLAVE_BOV3,$A30)+SUMIFS(SALIDAS_TC,FECHA_TC,"&gt;="&amp;BE$2,FECHA_TC,"&lt;="&amp;BE$3,CLAVE_TC,$A30)+SUMIFS(SALIDAS_COMB,FECHA_COMB,"&gt;="&amp;BE$2,FECHA_COMB,"&lt;="&amp;BE$3,CLAVE_COMB,$A30)+SUMIFS(SALIDAS_DES,FECHA_DESGLOSEN,"&gt;="&amp;BE$2,FECHA_DESGLOSEN,"&lt;="&amp;BE$3,CLAVE_DESGLOSE,$A30)</f>
        <v>18033.8</v>
      </c>
      <c r="BF30" s="13">
        <f>SUMIFS(SALIDAS_BIT,FECHA_BIT,"&gt;="&amp;BF$2,FECHA_BIT,"&lt;="&amp;BF$3,CLAVE_BIT,$A30)+SUMIFS(SALIDAS_BOV1,FECHA_BOV1,"&gt;="&amp;BF$2,FECHA_BOV1,"&lt;="&amp;BF$3,CLAVE_BOV1,$A30)+SUMIFS(SALIDAS_BOV2,FECHA_BOV2,"&gt;="&amp;BF$2,FECHA_BOV2,"&lt;="&amp;BF$3,CLAVE_BOV2,$A30)+SUMIFS(SALIDAS_BOV3,FECHA_BOV3,"&gt;="&amp;BF$2,FECHA_BOV3,"&lt;="&amp;BF$3,CLAVE_BOV3,$A30)+SUMIFS(SALIDAS_TC,FECHA_TC,"&gt;="&amp;BF$2,FECHA_TC,"&lt;="&amp;BF$3,CLAVE_TC,$A30)+SUMIFS(SALIDAS_COMB,FECHA_COMB,"&gt;="&amp;BF$2,FECHA_COMB,"&lt;="&amp;BF$3,CLAVE_COMB,$A30)+SUMIFS(SALIDAS_DES,FECHA_DESGLOSEN,"&gt;="&amp;BF$2,FECHA_DESGLOSEN,"&lt;="&amp;BF$3,CLAVE_DESGLOSE,$A30)</f>
        <v>18106.8</v>
      </c>
      <c r="BG30" s="13">
        <f>SUMIFS(SALIDAS_BIT,FECHA_BIT,"&gt;="&amp;BG$2,FECHA_BIT,"&lt;="&amp;BG$3,CLAVE_BIT,$A30)+SUMIFS(SALIDAS_BOV1,FECHA_BOV1,"&gt;="&amp;BG$2,FECHA_BOV1,"&lt;="&amp;BG$3,CLAVE_BOV1,$A30)+SUMIFS(SALIDAS_BOV2,FECHA_BOV2,"&gt;="&amp;BG$2,FECHA_BOV2,"&lt;="&amp;BG$3,CLAVE_BOV2,$A30)+SUMIFS(SALIDAS_BOV3,FECHA_BOV3,"&gt;="&amp;BG$2,FECHA_BOV3,"&lt;="&amp;BG$3,CLAVE_BOV3,$A30)+SUMIFS(SALIDAS_TC,FECHA_TC,"&gt;="&amp;BG$2,FECHA_TC,"&lt;="&amp;BG$3,CLAVE_TC,$A30)+SUMIFS(SALIDAS_COMB,FECHA_COMB,"&gt;="&amp;BG$2,FECHA_COMB,"&lt;="&amp;BG$3,CLAVE_COMB,$A30)+SUMIFS(SALIDAS_DES,FECHA_DESGLOSEN,"&gt;="&amp;BG$2,FECHA_DESGLOSEN,"&lt;="&amp;BG$3,CLAVE_DESGLOSE,$A30)</f>
        <v>16456</v>
      </c>
      <c r="BH30" s="13">
        <f>SUMIFS(SALIDAS_BIT,FECHA_BIT,"&gt;="&amp;BH$2,FECHA_BIT,"&lt;="&amp;BH$3,CLAVE_BIT,$A30)+SUMIFS(SALIDAS_BOV1,FECHA_BOV1,"&gt;="&amp;BH$2,FECHA_BOV1,"&lt;="&amp;BH$3,CLAVE_BOV1,$A30)+SUMIFS(SALIDAS_BOV2,FECHA_BOV2,"&gt;="&amp;BH$2,FECHA_BOV2,"&lt;="&amp;BH$3,CLAVE_BOV2,$A30)+SUMIFS(SALIDAS_BOV3,FECHA_BOV3,"&gt;="&amp;BH$2,FECHA_BOV3,"&lt;="&amp;BH$3,CLAVE_BOV3,$A30)+SUMIFS(SALIDAS_TC,FECHA_TC,"&gt;="&amp;BH$2,FECHA_TC,"&lt;="&amp;BH$3,CLAVE_TC,$A30)+SUMIFS(SALIDAS_COMB,FECHA_COMB,"&gt;="&amp;BH$2,FECHA_COMB,"&lt;="&amp;BH$3,CLAVE_COMB,$A30)+SUMIFS(SALIDAS_DES,FECHA_DESGLOSEN,"&gt;="&amp;BH$2,FECHA_DESGLOSEN,"&lt;="&amp;BH$3,CLAVE_DESGLOSE,$A30)</f>
        <v>16785.599999999999</v>
      </c>
      <c r="BI30" s="13">
        <f>SUMIFS(SALIDAS_BIT,FECHA_BIT,"&gt;="&amp;BI$2,FECHA_BIT,"&lt;="&amp;BI$3,CLAVE_BIT,$A30)+SUMIFS(SALIDAS_BOV1,FECHA_BOV1,"&gt;="&amp;BI$2,FECHA_BOV1,"&lt;="&amp;BI$3,CLAVE_BOV1,$A30)+SUMIFS(SALIDAS_BOV2,FECHA_BOV2,"&gt;="&amp;BI$2,FECHA_BOV2,"&lt;="&amp;BI$3,CLAVE_BOV2,$A30)+SUMIFS(SALIDAS_BOV3,FECHA_BOV3,"&gt;="&amp;BI$2,FECHA_BOV3,"&lt;="&amp;BI$3,CLAVE_BOV3,$A30)+SUMIFS(SALIDAS_TC,FECHA_TC,"&gt;="&amp;BI$2,FECHA_TC,"&lt;="&amp;BI$3,CLAVE_TC,$A30)+SUMIFS(SALIDAS_COMB,FECHA_COMB,"&gt;="&amp;BI$2,FECHA_COMB,"&lt;="&amp;BI$3,CLAVE_COMB,$A30)+SUMIFS(SALIDAS_DES,FECHA_DESGLOSEN,"&gt;="&amp;BI$2,FECHA_DESGLOSEN,"&lt;="&amp;BI$3,CLAVE_DESGLOSE,$A30)</f>
        <v>69382.2</v>
      </c>
      <c r="BJ30" s="68">
        <f t="shared" si="70"/>
        <v>14617.800000000003</v>
      </c>
      <c r="BK30" s="268">
        <f t="shared" si="71"/>
        <v>0.82597857142857134</v>
      </c>
      <c r="BL30" s="13">
        <f t="shared" si="47"/>
        <v>105000</v>
      </c>
      <c r="BM30" s="13">
        <f>SUMIFS(SALIDAS_BIT,FECHA_BIT,"&gt;="&amp;BM$2,FECHA_BIT,"&lt;="&amp;BM$3,CLAVE_BIT,$A30)+SUMIFS(SALIDAS_BOV1,FECHA_BOV1,"&gt;="&amp;BM$2,FECHA_BOV1,"&lt;="&amp;BM$3,CLAVE_BOV1,$A30)+SUMIFS(SALIDAS_BOV2,FECHA_BOV2,"&gt;="&amp;BM$2,FECHA_BOV2,"&lt;="&amp;BM$3,CLAVE_BOV2,$A30)+SUMIFS(SALIDAS_BOV3,FECHA_BOV3,"&gt;="&amp;BM$2,FECHA_BOV3,"&lt;="&amp;BM$3,CLAVE_BOV3,$A30)+SUMIFS(SALIDAS_TC,FECHA_TC,"&gt;="&amp;BM$2,FECHA_TC,"&lt;="&amp;BM$3,CLAVE_TC,$A30)+SUMIFS(SALIDAS_COMB,FECHA_COMB,"&gt;="&amp;BM$2,FECHA_COMB,"&lt;="&amp;BM$3,CLAVE_COMB,$A30)+SUMIFS(SALIDAS_DES,FECHA_DESGLOSEN,"&gt;="&amp;BM$2,FECHA_DESGLOSEN,"&lt;="&amp;BM$3,CLAVE_DESGLOSE,$A30)</f>
        <v>17846.599999999999</v>
      </c>
      <c r="BN30" s="13">
        <f>SUMIFS(SALIDAS_BIT,FECHA_BIT,"&gt;="&amp;BN$2,FECHA_BIT,"&lt;="&amp;BN$3,CLAVE_BIT,$A30)+SUMIFS(SALIDAS_BOV1,FECHA_BOV1,"&gt;="&amp;BN$2,FECHA_BOV1,"&lt;="&amp;BN$3,CLAVE_BOV1,$A30)+SUMIFS(SALIDAS_BOV2,FECHA_BOV2,"&gt;="&amp;BN$2,FECHA_BOV2,"&lt;="&amp;BN$3,CLAVE_BOV2,$A30)+SUMIFS(SALIDAS_BOV3,FECHA_BOV3,"&gt;="&amp;BN$2,FECHA_BOV3,"&lt;="&amp;BN$3,CLAVE_BOV3,$A30)+SUMIFS(SALIDAS_TC,FECHA_TC,"&gt;="&amp;BN$2,FECHA_TC,"&lt;="&amp;BN$3,CLAVE_TC,$A30)+SUMIFS(SALIDAS_COMB,FECHA_COMB,"&gt;="&amp;BN$2,FECHA_COMB,"&lt;="&amp;BN$3,CLAVE_COMB,$A30)+SUMIFS(SALIDAS_DES,FECHA_DESGLOSEN,"&gt;="&amp;BN$2,FECHA_DESGLOSEN,"&lt;="&amp;BN$3,CLAVE_DESGLOSE,$A30)</f>
        <v>17781.8</v>
      </c>
      <c r="BO30" s="13">
        <f>SUMIFS(SALIDAS_BIT,FECHA_BIT,"&gt;="&amp;BO$2,FECHA_BIT,"&lt;="&amp;BO$3,CLAVE_BIT,$A30)+SUMIFS(SALIDAS_BOV1,FECHA_BOV1,"&gt;="&amp;BO$2,FECHA_BOV1,"&lt;="&amp;BO$3,CLAVE_BOV1,$A30)+SUMIFS(SALIDAS_BOV2,FECHA_BOV2,"&gt;="&amp;BO$2,FECHA_BOV2,"&lt;="&amp;BO$3,CLAVE_BOV2,$A30)+SUMIFS(SALIDAS_BOV3,FECHA_BOV3,"&gt;="&amp;BO$2,FECHA_BOV3,"&lt;="&amp;BO$3,CLAVE_BOV3,$A30)+SUMIFS(SALIDAS_TC,FECHA_TC,"&gt;="&amp;BO$2,FECHA_TC,"&lt;="&amp;BO$3,CLAVE_TC,$A30)+SUMIFS(SALIDAS_COMB,FECHA_COMB,"&gt;="&amp;BO$2,FECHA_COMB,"&lt;="&amp;BO$3,CLAVE_COMB,$A30)+SUMIFS(SALIDAS_DES,FECHA_DESGLOSEN,"&gt;="&amp;BO$2,FECHA_DESGLOSEN,"&lt;="&amp;BO$3,CLAVE_DESGLOSE,$A30)</f>
        <v>15329.8</v>
      </c>
      <c r="BP30" s="13">
        <f>SUMIFS(SALIDAS_BIT,FECHA_BIT,"&gt;="&amp;BP$2,FECHA_BIT,"&lt;="&amp;BP$3,CLAVE_BIT,$A30)+SUMIFS(SALIDAS_BOV1,FECHA_BOV1,"&gt;="&amp;BP$2,FECHA_BOV1,"&lt;="&amp;BP$3,CLAVE_BOV1,$A30)+SUMIFS(SALIDAS_BOV2,FECHA_BOV2,"&gt;="&amp;BP$2,FECHA_BOV2,"&lt;="&amp;BP$3,CLAVE_BOV2,$A30)+SUMIFS(SALIDAS_BOV3,FECHA_BOV3,"&gt;="&amp;BP$2,FECHA_BOV3,"&lt;="&amp;BP$3,CLAVE_BOV3,$A30)+SUMIFS(SALIDAS_TC,FECHA_TC,"&gt;="&amp;BP$2,FECHA_TC,"&lt;="&amp;BP$3,CLAVE_TC,$A30)+SUMIFS(SALIDAS_COMB,FECHA_COMB,"&gt;="&amp;BP$2,FECHA_COMB,"&lt;="&amp;BP$3,CLAVE_COMB,$A30)+SUMIFS(SALIDAS_DES,FECHA_DESGLOSEN,"&gt;="&amp;BP$2,FECHA_DESGLOSEN,"&lt;="&amp;BP$3,CLAVE_DESGLOSE,$A30)</f>
        <v>18929</v>
      </c>
      <c r="BQ30" s="13">
        <f>SUMIFS(SALIDAS_BIT,FECHA_BIT,"&gt;="&amp;BQ$2,FECHA_BIT,"&lt;="&amp;BQ$3,CLAVE_BIT,$A30)+SUMIFS(SALIDAS_BOV1,FECHA_BOV1,"&gt;="&amp;BQ$2,FECHA_BOV1,"&lt;="&amp;BQ$3,CLAVE_BOV1,$A30)+SUMIFS(SALIDAS_BOV2,FECHA_BOV2,"&gt;="&amp;BQ$2,FECHA_BOV2,"&lt;="&amp;BQ$3,CLAVE_BOV2,$A30)+SUMIFS(SALIDAS_BOV3,FECHA_BOV3,"&gt;="&amp;BQ$2,FECHA_BOV3,"&lt;="&amp;BQ$3,CLAVE_BOV3,$A30)+SUMIFS(SALIDAS_TC,FECHA_TC,"&gt;="&amp;BQ$2,FECHA_TC,"&lt;="&amp;BQ$3,CLAVE_TC,$A30)+SUMIFS(SALIDAS_COMB,FECHA_COMB,"&gt;="&amp;BQ$2,FECHA_COMB,"&lt;="&amp;BQ$3,CLAVE_COMB,$A30)+SUMIFS(SALIDAS_DES,FECHA_DESGLOSEN,"&gt;="&amp;BQ$2,FECHA_DESGLOSEN,"&lt;="&amp;BQ$3,CLAVE_DESGLOSE,$A30)</f>
        <v>17067</v>
      </c>
      <c r="BR30" s="13">
        <f>SUMIFS(SALIDAS_BIT,FECHA_BIT,"&gt;="&amp;BR$2,FECHA_BIT,"&lt;="&amp;BR$3,CLAVE_BIT,$A30)+SUMIFS(SALIDAS_BOV1,FECHA_BOV1,"&gt;="&amp;BR$2,FECHA_BOV1,"&lt;="&amp;BR$3,CLAVE_BOV1,$A30)+SUMIFS(SALIDAS_BOV2,FECHA_BOV2,"&gt;="&amp;BR$2,FECHA_BOV2,"&lt;="&amp;BR$3,CLAVE_BOV2,$A30)+SUMIFS(SALIDAS_BOV3,FECHA_BOV3,"&gt;="&amp;BR$2,FECHA_BOV3,"&lt;="&amp;BR$3,CLAVE_BOV3,$A30)+SUMIFS(SALIDAS_TC,FECHA_TC,"&gt;="&amp;BR$2,FECHA_TC,"&lt;="&amp;BR$3,CLAVE_TC,$A30)+SUMIFS(SALIDAS_COMB,FECHA_COMB,"&gt;="&amp;BR$2,FECHA_COMB,"&lt;="&amp;BR$3,CLAVE_COMB,$A30)+SUMIFS(SALIDAS_DES,FECHA_DESGLOSEN,"&gt;="&amp;BR$2,FECHA_DESGLOSEN,"&lt;="&amp;BR$3,CLAVE_DESGLOSE,$A30)</f>
        <v>86954.2</v>
      </c>
      <c r="BS30" s="68">
        <f t="shared" si="72"/>
        <v>18045.800000000003</v>
      </c>
      <c r="BT30" s="268">
        <f t="shared" si="73"/>
        <v>0.82813523809523804</v>
      </c>
      <c r="BU30" s="13">
        <f t="shared" si="49"/>
        <v>84000</v>
      </c>
      <c r="BV30" s="13">
        <f t="shared" si="90"/>
        <v>19051.400000000001</v>
      </c>
      <c r="BW30" s="13">
        <f t="shared" si="90"/>
        <v>18865.400000000001</v>
      </c>
      <c r="BX30" s="13">
        <f t="shared" si="90"/>
        <v>21299.8</v>
      </c>
      <c r="BY30" s="13">
        <f t="shared" si="90"/>
        <v>23469.8</v>
      </c>
      <c r="BZ30" s="13">
        <f t="shared" si="99"/>
        <v>82686.400000000009</v>
      </c>
      <c r="CA30" s="68">
        <f t="shared" si="74"/>
        <v>1313.5999999999913</v>
      </c>
      <c r="CB30" s="268">
        <f t="shared" si="75"/>
        <v>0.98436190476190488</v>
      </c>
      <c r="CC30" s="13">
        <f t="shared" si="51"/>
        <v>84000</v>
      </c>
      <c r="CD30" s="13">
        <f t="shared" si="91"/>
        <v>23022.2</v>
      </c>
      <c r="CE30" s="13">
        <f t="shared" si="91"/>
        <v>23650.6</v>
      </c>
      <c r="CF30" s="13">
        <f t="shared" si="91"/>
        <v>32496.1</v>
      </c>
      <c r="CG30" s="13">
        <f t="shared" si="91"/>
        <v>28377.4</v>
      </c>
      <c r="CH30" s="13">
        <f t="shared" si="100"/>
        <v>107546.29999999999</v>
      </c>
      <c r="CI30" s="68">
        <f t="shared" si="76"/>
        <v>-23546.299999999988</v>
      </c>
      <c r="CJ30" s="268">
        <f t="shared" si="77"/>
        <v>1.280313095238095</v>
      </c>
      <c r="CK30" s="13">
        <f t="shared" si="53"/>
        <v>195834</v>
      </c>
      <c r="CL30" s="13">
        <f t="shared" si="92"/>
        <v>35178.199999999997</v>
      </c>
      <c r="CM30" s="13">
        <f t="shared" si="92"/>
        <v>52121.15</v>
      </c>
      <c r="CN30" s="13">
        <f t="shared" si="92"/>
        <v>37981.800000000003</v>
      </c>
      <c r="CO30" s="13">
        <f t="shared" si="92"/>
        <v>40555</v>
      </c>
      <c r="CP30" s="13">
        <f t="shared" si="92"/>
        <v>38147.800000000003</v>
      </c>
      <c r="CQ30" s="13">
        <f t="shared" si="101"/>
        <v>203983.95</v>
      </c>
      <c r="CR30" s="68">
        <f t="shared" si="78"/>
        <v>-8149.9500000000116</v>
      </c>
      <c r="CS30" s="268">
        <f t="shared" si="79"/>
        <v>1.0416166242838323</v>
      </c>
      <c r="CT30" s="68">
        <f t="shared" si="55"/>
        <v>93435</v>
      </c>
      <c r="CU30" s="13">
        <f>SUMIFS(SALIDAS_BIT,FECHA_BIT,"&gt;="&amp;CU$2,FECHA_BIT,"&lt;="&amp;CU$3,CLAVE_BIT,$A30)+SUMIFS(SALIDAS_BOV1,FECHA_BOV1,"&gt;="&amp;CU$2,FECHA_BOV1,"&lt;="&amp;CU$3,CLAVE_BOV1,$A30)+SUMIFS(SALIDAS_BOV2,FECHA_BOV2,"&gt;="&amp;CU$2,FECHA_BOV2,"&lt;="&amp;CU$3,CLAVE_BOV2,$A30)+SUMIFS(SALIDAS_BOV3,FECHA_BOV3,"&gt;="&amp;CU$2,FECHA_BOV3,"&lt;="&amp;CU$3,CLAVE_BOV3,$A30)+SUMIFS(SALIDAS_TC,FECHA_TC,"&gt;="&amp;CU$2,FECHA_TC,"&lt;="&amp;CU$3,CLAVE_TC,$A30)+SUMIFS(SALIDAS_COMB,FECHA_COMB,"&gt;="&amp;CU$2,FECHA_COMB,"&lt;="&amp;CU$3,CLAVE_COMB,$A30)+SUMIFS(SALIDAS_DES,FECHA_DESGLOSEN,"&gt;="&amp;CU$2,FECHA_DESGLOSEN,"&lt;="&amp;CU$3,CLAVE_DESGLOSE,$A30)</f>
        <v>28817.599999999999</v>
      </c>
      <c r="CV30" s="13">
        <f>SUMIFS(SALIDAS_BIT,FECHA_BIT,"&gt;="&amp;CV$2,FECHA_BIT,"&lt;="&amp;CV$3,CLAVE_BIT,$A30)+SUMIFS(SALIDAS_BOV1,FECHA_BOV1,"&gt;="&amp;CV$2,FECHA_BOV1,"&lt;="&amp;CV$3,CLAVE_BOV1,$A30)+SUMIFS(SALIDAS_BOV2,FECHA_BOV2,"&gt;="&amp;CV$2,FECHA_BOV2,"&lt;="&amp;CV$3,CLAVE_BOV2,$A30)+SUMIFS(SALIDAS_BOV3,FECHA_BOV3,"&gt;="&amp;CV$2,FECHA_BOV3,"&lt;="&amp;CV$3,CLAVE_BOV3,$A30)+SUMIFS(SALIDAS_TC,FECHA_TC,"&gt;="&amp;CV$2,FECHA_TC,"&lt;="&amp;CV$3,CLAVE_TC,$A30)+SUMIFS(SALIDAS_COMB,FECHA_COMB,"&gt;="&amp;CV$2,FECHA_COMB,"&lt;="&amp;CV$3,CLAVE_COMB,$A30)+SUMIFS(SALIDAS_DES,FECHA_DESGLOSEN,"&gt;="&amp;CV$2,FECHA_DESGLOSEN,"&lt;="&amp;CV$3,CLAVE_DESGLOSE,$A30)</f>
        <v>25040.2</v>
      </c>
      <c r="CW30" s="13">
        <f>SUMIFS(SALIDAS_BIT,FECHA_BIT,"&gt;="&amp;CW$2,FECHA_BIT,"&lt;="&amp;CW$3,CLAVE_BIT,$A30)+SUMIFS(SALIDAS_BOV1,FECHA_BOV1,"&gt;="&amp;CW$2,FECHA_BOV1,"&lt;="&amp;CW$3,CLAVE_BOV1,$A30)+SUMIFS(SALIDAS_BOV2,FECHA_BOV2,"&gt;="&amp;CW$2,FECHA_BOV2,"&lt;="&amp;CW$3,CLAVE_BOV2,$A30)+SUMIFS(SALIDAS_BOV3,FECHA_BOV3,"&gt;="&amp;CW$2,FECHA_BOV3,"&lt;="&amp;CW$3,CLAVE_BOV3,$A30)+SUMIFS(SALIDAS_TC,FECHA_TC,"&gt;="&amp;CW$2,FECHA_TC,"&lt;="&amp;CW$3,CLAVE_TC,$A30)+SUMIFS(SALIDAS_COMB,FECHA_COMB,"&gt;="&amp;CW$2,FECHA_COMB,"&lt;="&amp;CW$3,CLAVE_COMB,$A30)+SUMIFS(SALIDAS_DES,FECHA_DESGLOSEN,"&gt;="&amp;CW$2,FECHA_DESGLOSEN,"&lt;="&amp;CW$3,CLAVE_DESGLOSE,$A30)</f>
        <v>27477.8</v>
      </c>
      <c r="CX30" s="13">
        <f>SUMIFS(SALIDAS_BIT,FECHA_BIT,"&gt;="&amp;CX$2,FECHA_BIT,"&lt;="&amp;CX$3,CLAVE_BIT,$A30)+SUMIFS(SALIDAS_BOV1,FECHA_BOV1,"&gt;="&amp;CX$2,FECHA_BOV1,"&lt;="&amp;CX$3,CLAVE_BOV1,$A30)+SUMIFS(SALIDAS_BOV2,FECHA_BOV2,"&gt;="&amp;CX$2,FECHA_BOV2,"&lt;="&amp;CX$3,CLAVE_BOV2,$A30)+SUMIFS(SALIDAS_BOV3,FECHA_BOV3,"&gt;="&amp;CX$2,FECHA_BOV3,"&lt;="&amp;CX$3,CLAVE_BOV3,$A30)+SUMIFS(SALIDAS_TC,FECHA_TC,"&gt;="&amp;CX$2,FECHA_TC,"&lt;="&amp;CX$3,CLAVE_TC,$A30)+SUMIFS(SALIDAS_COMB,FECHA_COMB,"&gt;="&amp;CX$2,FECHA_COMB,"&lt;="&amp;CX$3,CLAVE_COMB,$A30)+SUMIFS(SALIDAS_DES,FECHA_DESGLOSEN,"&gt;="&amp;CX$2,FECHA_DESGLOSEN,"&lt;="&amp;CX$3,CLAVE_DESGLOSE,$A30)</f>
        <v>25574</v>
      </c>
      <c r="CY30" s="13">
        <f>SUMIFS(SALIDAS_BIT,FECHA_BIT,"&gt;="&amp;CY$2,FECHA_BIT,"&lt;="&amp;CY$3,CLAVE_BIT,$A30)+SUMIFS(SALIDAS_BOV1,FECHA_BOV1,"&gt;="&amp;CY$2,FECHA_BOV1,"&lt;="&amp;CY$3,CLAVE_BOV1,$A30)+SUMIFS(SALIDAS_BOV2,FECHA_BOV2,"&gt;="&amp;CY$2,FECHA_BOV2,"&lt;="&amp;CY$3,CLAVE_BOV2,$A30)+SUMIFS(SALIDAS_BOV3,FECHA_BOV3,"&gt;="&amp;CY$2,FECHA_BOV3,"&lt;="&amp;CY$3,CLAVE_BOV3,$A30)+SUMIFS(SALIDAS_TC,FECHA_TC,"&gt;="&amp;CY$2,FECHA_TC,"&lt;="&amp;CY$3,CLAVE_TC,$A30)+SUMIFS(SALIDAS_COMB,FECHA_COMB,"&gt;="&amp;CY$2,FECHA_COMB,"&lt;="&amp;CY$3,CLAVE_COMB,$A30)+SUMIFS(SALIDAS_DES,FECHA_DESGLOSEN,"&gt;="&amp;CY$2,FECHA_DESGLOSEN,"&lt;="&amp;CY$3,CLAVE_DESGLOSE,$A30)</f>
        <v>106909.6</v>
      </c>
      <c r="CZ30" s="68">
        <f t="shared" si="80"/>
        <v>-13474.600000000006</v>
      </c>
      <c r="DB30" s="17">
        <f>F30+N30+W30+AE30+AM30+AV30+BD30+BL30+BU30+CC30+CK30</f>
        <v>1128643</v>
      </c>
      <c r="DC30" s="17">
        <f>K30+T30+AB30+AJ30+AS30+BA30+BI30+BR30+BZ30+CH30+CQ30</f>
        <v>1058800.75</v>
      </c>
    </row>
    <row r="31" spans="1:107" hidden="1">
      <c r="A31" s="12" t="str">
        <f t="shared" si="57"/>
        <v>CAPNOMINA SUCURSALE6</v>
      </c>
      <c r="B31" s="12">
        <v>25</v>
      </c>
      <c r="C31" t="s">
        <v>31</v>
      </c>
      <c r="D31" s="230" t="s">
        <v>154</v>
      </c>
      <c r="E31" s="230" t="s">
        <v>112</v>
      </c>
      <c r="F31" s="259">
        <f t="shared" si="58"/>
        <v>53932</v>
      </c>
      <c r="G31" s="13">
        <f t="shared" si="93"/>
        <v>18194</v>
      </c>
      <c r="H31" s="13">
        <f t="shared" si="93"/>
        <v>16088.4</v>
      </c>
      <c r="I31" s="13">
        <f t="shared" si="93"/>
        <v>14484.2</v>
      </c>
      <c r="J31" s="13">
        <f t="shared" si="93"/>
        <v>14484.8</v>
      </c>
      <c r="K31" s="13">
        <f t="shared" si="93"/>
        <v>63251.400000000009</v>
      </c>
      <c r="L31" s="68">
        <f t="shared" si="59"/>
        <v>-9319.4000000000087</v>
      </c>
      <c r="M31" s="268">
        <f t="shared" si="60"/>
        <v>1.1727990803233703</v>
      </c>
      <c r="N31" s="13">
        <f t="shared" si="36"/>
        <v>67415</v>
      </c>
      <c r="O31" s="13">
        <f t="shared" si="94"/>
        <v>14312</v>
      </c>
      <c r="P31" s="13">
        <f t="shared" si="94"/>
        <v>13067</v>
      </c>
      <c r="Q31" s="13">
        <f t="shared" si="94"/>
        <v>17231.8</v>
      </c>
      <c r="R31" s="13">
        <f t="shared" si="94"/>
        <v>14495.4</v>
      </c>
      <c r="S31" s="13">
        <f t="shared" si="94"/>
        <v>14500</v>
      </c>
      <c r="T31" s="13">
        <f t="shared" si="94"/>
        <v>73606.200000000012</v>
      </c>
      <c r="U31" s="68">
        <f t="shared" si="61"/>
        <v>-6191.2000000000116</v>
      </c>
      <c r="V31" s="268">
        <f t="shared" si="62"/>
        <v>1.0918371282355561</v>
      </c>
      <c r="W31" s="13">
        <f t="shared" si="38"/>
        <v>53932</v>
      </c>
      <c r="X31" s="13">
        <f t="shared" si="95"/>
        <v>14486.2</v>
      </c>
      <c r="Y31" s="13">
        <f t="shared" si="95"/>
        <v>13693</v>
      </c>
      <c r="Z31" s="13">
        <f t="shared" si="95"/>
        <v>12948.6</v>
      </c>
      <c r="AA31" s="13">
        <f t="shared" si="95"/>
        <v>13792.2</v>
      </c>
      <c r="AB31" s="13">
        <f t="shared" si="95"/>
        <v>54920</v>
      </c>
      <c r="AC31" s="68">
        <f t="shared" si="63"/>
        <v>-988</v>
      </c>
      <c r="AD31" s="268">
        <f t="shared" si="64"/>
        <v>1.0183193651264555</v>
      </c>
      <c r="AE31" s="13">
        <f t="shared" si="40"/>
        <v>53932</v>
      </c>
      <c r="AF31" s="13">
        <f t="shared" si="96"/>
        <v>18012.2</v>
      </c>
      <c r="AG31" s="13">
        <f t="shared" si="96"/>
        <v>13394.8</v>
      </c>
      <c r="AH31" s="13">
        <f t="shared" si="96"/>
        <v>11508.8</v>
      </c>
      <c r="AI31" s="13">
        <f t="shared" si="96"/>
        <v>10238</v>
      </c>
      <c r="AJ31" s="13">
        <f t="shared" si="96"/>
        <v>53153.8</v>
      </c>
      <c r="AK31" s="68">
        <f t="shared" si="65"/>
        <v>778.19999999999709</v>
      </c>
      <c r="AL31" s="268">
        <f t="shared" si="66"/>
        <v>0.98557071868278578</v>
      </c>
      <c r="AM31" s="13">
        <f t="shared" si="42"/>
        <v>67415</v>
      </c>
      <c r="AN31" s="13">
        <f t="shared" si="97"/>
        <v>15485.2</v>
      </c>
      <c r="AO31" s="13">
        <f t="shared" si="97"/>
        <v>12766.4</v>
      </c>
      <c r="AP31" s="13">
        <f t="shared" si="97"/>
        <v>13167.2</v>
      </c>
      <c r="AQ31" s="13">
        <f t="shared" si="97"/>
        <v>14492</v>
      </c>
      <c r="AR31" s="13">
        <f t="shared" si="97"/>
        <v>16144.4</v>
      </c>
      <c r="AS31" s="13">
        <f t="shared" si="97"/>
        <v>72055.199999999997</v>
      </c>
      <c r="AT31" s="68">
        <f>AM31-AS31</f>
        <v>-4640.1999999999971</v>
      </c>
      <c r="AU31" s="268">
        <f t="shared" si="67"/>
        <v>1.0688303789957725</v>
      </c>
      <c r="AV31" s="13">
        <f t="shared" si="44"/>
        <v>53932</v>
      </c>
      <c r="AW31" s="13">
        <f t="shared" si="98"/>
        <v>16691.8</v>
      </c>
      <c r="AX31" s="13">
        <f t="shared" si="98"/>
        <v>16443</v>
      </c>
      <c r="AY31" s="13">
        <f t="shared" si="98"/>
        <v>16443</v>
      </c>
      <c r="AZ31" s="13">
        <f t="shared" si="98"/>
        <v>13832.4</v>
      </c>
      <c r="BA31" s="13">
        <f t="shared" si="86"/>
        <v>63410.200000000004</v>
      </c>
      <c r="BB31" s="68">
        <f t="shared" si="68"/>
        <v>-9478.2000000000044</v>
      </c>
      <c r="BC31" s="268">
        <f t="shared" si="69"/>
        <v>1.1757435288882296</v>
      </c>
      <c r="BD31" s="13">
        <f t="shared" si="46"/>
        <v>53932</v>
      </c>
      <c r="BE31" s="13">
        <f>SUMIFS(SALIDAS_BIT,FECHA_BIT,"&gt;="&amp;BE$2,FECHA_BIT,"&lt;="&amp;BE$3,CLAVE_BIT,$A31)+SUMIFS(SALIDAS_BOV1,FECHA_BOV1,"&gt;="&amp;BE$2,FECHA_BOV1,"&lt;="&amp;BE$3,CLAVE_BOV1,$A31)+SUMIFS(SALIDAS_BOV2,FECHA_BOV2,"&gt;="&amp;BE$2,FECHA_BOV2,"&lt;="&amp;BE$3,CLAVE_BOV2,$A31)+SUMIFS(SALIDAS_BOV3,FECHA_BOV3,"&gt;="&amp;BE$2,FECHA_BOV3,"&lt;="&amp;BE$3,CLAVE_BOV3,$A31)+SUMIFS(SALIDAS_TC,FECHA_TC,"&gt;="&amp;BE$2,FECHA_TC,"&lt;="&amp;BE$3,CLAVE_TC,$A31)+SUMIFS(SALIDAS_COMB,FECHA_COMB,"&gt;="&amp;BE$2,FECHA_COMB,"&lt;="&amp;BE$3,CLAVE_COMB,$A31)+SUMIFS(SALIDAS_DES,FECHA_DESGLOSEN,"&gt;="&amp;BE$2,FECHA_DESGLOSEN,"&lt;="&amp;BE$3,CLAVE_DESGLOSE,$A31)</f>
        <v>16406.400000000001</v>
      </c>
      <c r="BF31" s="13">
        <f>SUMIFS(SALIDAS_BIT,FECHA_BIT,"&gt;="&amp;BF$2,FECHA_BIT,"&lt;="&amp;BF$3,CLAVE_BIT,$A31)+SUMIFS(SALIDAS_BOV1,FECHA_BOV1,"&gt;="&amp;BF$2,FECHA_BOV1,"&lt;="&amp;BF$3,CLAVE_BOV1,$A31)+SUMIFS(SALIDAS_BOV2,FECHA_BOV2,"&gt;="&amp;BF$2,FECHA_BOV2,"&lt;="&amp;BF$3,CLAVE_BOV2,$A31)+SUMIFS(SALIDAS_BOV3,FECHA_BOV3,"&gt;="&amp;BF$2,FECHA_BOV3,"&lt;="&amp;BF$3,CLAVE_BOV3,$A31)+SUMIFS(SALIDAS_TC,FECHA_TC,"&gt;="&amp;BF$2,FECHA_TC,"&lt;="&amp;BF$3,CLAVE_TC,$A31)+SUMIFS(SALIDAS_COMB,FECHA_COMB,"&gt;="&amp;BF$2,FECHA_COMB,"&lt;="&amp;BF$3,CLAVE_COMB,$A31)+SUMIFS(SALIDAS_DES,FECHA_DESGLOSEN,"&gt;="&amp;BF$2,FECHA_DESGLOSEN,"&lt;="&amp;BF$3,CLAVE_DESGLOSE,$A31)</f>
        <v>16054.8</v>
      </c>
      <c r="BG31" s="13">
        <f>SUMIFS(SALIDAS_BIT,FECHA_BIT,"&gt;="&amp;BG$2,FECHA_BIT,"&lt;="&amp;BG$3,CLAVE_BIT,$A31)+SUMIFS(SALIDAS_BOV1,FECHA_BOV1,"&gt;="&amp;BG$2,FECHA_BOV1,"&lt;="&amp;BG$3,CLAVE_BOV1,$A31)+SUMIFS(SALIDAS_BOV2,FECHA_BOV2,"&gt;="&amp;BG$2,FECHA_BOV2,"&lt;="&amp;BG$3,CLAVE_BOV2,$A31)+SUMIFS(SALIDAS_BOV3,FECHA_BOV3,"&gt;="&amp;BG$2,FECHA_BOV3,"&lt;="&amp;BG$3,CLAVE_BOV3,$A31)+SUMIFS(SALIDAS_TC,FECHA_TC,"&gt;="&amp;BG$2,FECHA_TC,"&lt;="&amp;BG$3,CLAVE_TC,$A31)+SUMIFS(SALIDAS_COMB,FECHA_COMB,"&gt;="&amp;BG$2,FECHA_COMB,"&lt;="&amp;BG$3,CLAVE_COMB,$A31)+SUMIFS(SALIDAS_DES,FECHA_DESGLOSEN,"&gt;="&amp;BG$2,FECHA_DESGLOSEN,"&lt;="&amp;BG$3,CLAVE_DESGLOSE,$A31)</f>
        <v>15446.4</v>
      </c>
      <c r="BH31" s="13">
        <f>SUMIFS(SALIDAS_BIT,FECHA_BIT,"&gt;="&amp;BH$2,FECHA_BIT,"&lt;="&amp;BH$3,CLAVE_BIT,$A31)+SUMIFS(SALIDAS_BOV1,FECHA_BOV1,"&gt;="&amp;BH$2,FECHA_BOV1,"&lt;="&amp;BH$3,CLAVE_BOV1,$A31)+SUMIFS(SALIDAS_BOV2,FECHA_BOV2,"&gt;="&amp;BH$2,FECHA_BOV2,"&lt;="&amp;BH$3,CLAVE_BOV2,$A31)+SUMIFS(SALIDAS_BOV3,FECHA_BOV3,"&gt;="&amp;BH$2,FECHA_BOV3,"&lt;="&amp;BH$3,CLAVE_BOV3,$A31)+SUMIFS(SALIDAS_TC,FECHA_TC,"&gt;="&amp;BH$2,FECHA_TC,"&lt;="&amp;BH$3,CLAVE_TC,$A31)+SUMIFS(SALIDAS_COMB,FECHA_COMB,"&gt;="&amp;BH$2,FECHA_COMB,"&lt;="&amp;BH$3,CLAVE_COMB,$A31)+SUMIFS(SALIDAS_DES,FECHA_DESGLOSEN,"&gt;="&amp;BH$2,FECHA_DESGLOSEN,"&lt;="&amp;BH$3,CLAVE_DESGLOSE,$A31)</f>
        <v>16563.400000000001</v>
      </c>
      <c r="BI31" s="13">
        <f>SUMIFS(SALIDAS_BIT,FECHA_BIT,"&gt;="&amp;BI$2,FECHA_BIT,"&lt;="&amp;BI$3,CLAVE_BIT,$A31)+SUMIFS(SALIDAS_BOV1,FECHA_BOV1,"&gt;="&amp;BI$2,FECHA_BOV1,"&lt;="&amp;BI$3,CLAVE_BOV1,$A31)+SUMIFS(SALIDAS_BOV2,FECHA_BOV2,"&gt;="&amp;BI$2,FECHA_BOV2,"&lt;="&amp;BI$3,CLAVE_BOV2,$A31)+SUMIFS(SALIDAS_BOV3,FECHA_BOV3,"&gt;="&amp;BI$2,FECHA_BOV3,"&lt;="&amp;BI$3,CLAVE_BOV3,$A31)+SUMIFS(SALIDAS_TC,FECHA_TC,"&gt;="&amp;BI$2,FECHA_TC,"&lt;="&amp;BI$3,CLAVE_TC,$A31)+SUMIFS(SALIDAS_COMB,FECHA_COMB,"&gt;="&amp;BI$2,FECHA_COMB,"&lt;="&amp;BI$3,CLAVE_COMB,$A31)+SUMIFS(SALIDAS_DES,FECHA_DESGLOSEN,"&gt;="&amp;BI$2,FECHA_DESGLOSEN,"&lt;="&amp;BI$3,CLAVE_DESGLOSE,$A31)</f>
        <v>64471</v>
      </c>
      <c r="BJ31" s="68">
        <f t="shared" si="70"/>
        <v>-10539</v>
      </c>
      <c r="BK31" s="401">
        <f t="shared" si="71"/>
        <v>1.1954127419713714</v>
      </c>
      <c r="BL31" s="13">
        <f t="shared" si="47"/>
        <v>67415</v>
      </c>
      <c r="BM31" s="13">
        <f>SUMIFS(SALIDAS_BIT,FECHA_BIT,"&gt;="&amp;BM$2,FECHA_BIT,"&lt;="&amp;BM$3,CLAVE_BIT,$A31)+SUMIFS(SALIDAS_BOV1,FECHA_BOV1,"&gt;="&amp;BM$2,FECHA_BOV1,"&lt;="&amp;BM$3,CLAVE_BOV1,$A31)+SUMIFS(SALIDAS_BOV2,FECHA_BOV2,"&gt;="&amp;BM$2,FECHA_BOV2,"&lt;="&amp;BM$3,CLAVE_BOV2,$A31)+SUMIFS(SALIDAS_BOV3,FECHA_BOV3,"&gt;="&amp;BM$2,FECHA_BOV3,"&lt;="&amp;BM$3,CLAVE_BOV3,$A31)+SUMIFS(SALIDAS_TC,FECHA_TC,"&gt;="&amp;BM$2,FECHA_TC,"&lt;="&amp;BM$3,CLAVE_TC,$A31)+SUMIFS(SALIDAS_COMB,FECHA_COMB,"&gt;="&amp;BM$2,FECHA_COMB,"&lt;="&amp;BM$3,CLAVE_COMB,$A31)+SUMIFS(SALIDAS_DES,FECHA_DESGLOSEN,"&gt;="&amp;BM$2,FECHA_DESGLOSEN,"&lt;="&amp;BM$3,CLAVE_DESGLOSE,$A31)</f>
        <v>16615.2</v>
      </c>
      <c r="BN31" s="13">
        <f>SUMIFS(SALIDAS_BIT,FECHA_BIT,"&gt;="&amp;BN$2,FECHA_BIT,"&lt;="&amp;BN$3,CLAVE_BIT,$A31)+SUMIFS(SALIDAS_BOV1,FECHA_BOV1,"&gt;="&amp;BN$2,FECHA_BOV1,"&lt;="&amp;BN$3,CLAVE_BOV1,$A31)+SUMIFS(SALIDAS_BOV2,FECHA_BOV2,"&gt;="&amp;BN$2,FECHA_BOV2,"&lt;="&amp;BN$3,CLAVE_BOV2,$A31)+SUMIFS(SALIDAS_BOV3,FECHA_BOV3,"&gt;="&amp;BN$2,FECHA_BOV3,"&lt;="&amp;BN$3,CLAVE_BOV3,$A31)+SUMIFS(SALIDAS_TC,FECHA_TC,"&gt;="&amp;BN$2,FECHA_TC,"&lt;="&amp;BN$3,CLAVE_TC,$A31)+SUMIFS(SALIDAS_COMB,FECHA_COMB,"&gt;="&amp;BN$2,FECHA_COMB,"&lt;="&amp;BN$3,CLAVE_COMB,$A31)+SUMIFS(SALIDAS_DES,FECHA_DESGLOSEN,"&gt;="&amp;BN$2,FECHA_DESGLOSEN,"&lt;="&amp;BN$3,CLAVE_DESGLOSE,$A31)</f>
        <v>15220.6</v>
      </c>
      <c r="BO31" s="13">
        <f>SUMIFS(SALIDAS_BIT,FECHA_BIT,"&gt;="&amp;BO$2,FECHA_BIT,"&lt;="&amp;BO$3,CLAVE_BIT,$A31)+SUMIFS(SALIDAS_BOV1,FECHA_BOV1,"&gt;="&amp;BO$2,FECHA_BOV1,"&lt;="&amp;BO$3,CLAVE_BOV1,$A31)+SUMIFS(SALIDAS_BOV2,FECHA_BOV2,"&gt;="&amp;BO$2,FECHA_BOV2,"&lt;="&amp;BO$3,CLAVE_BOV2,$A31)+SUMIFS(SALIDAS_BOV3,FECHA_BOV3,"&gt;="&amp;BO$2,FECHA_BOV3,"&lt;="&amp;BO$3,CLAVE_BOV3,$A31)+SUMIFS(SALIDAS_TC,FECHA_TC,"&gt;="&amp;BO$2,FECHA_TC,"&lt;="&amp;BO$3,CLAVE_TC,$A31)+SUMIFS(SALIDAS_COMB,FECHA_COMB,"&gt;="&amp;BO$2,FECHA_COMB,"&lt;="&amp;BO$3,CLAVE_COMB,$A31)+SUMIFS(SALIDAS_DES,FECHA_DESGLOSEN,"&gt;="&amp;BO$2,FECHA_DESGLOSEN,"&lt;="&amp;BO$3,CLAVE_DESGLOSE,$A31)</f>
        <v>14252.2</v>
      </c>
      <c r="BP31" s="13">
        <f>SUMIFS(SALIDAS_BIT,FECHA_BIT,"&gt;="&amp;BP$2,FECHA_BIT,"&lt;="&amp;BP$3,CLAVE_BIT,$A31)+SUMIFS(SALIDAS_BOV1,FECHA_BOV1,"&gt;="&amp;BP$2,FECHA_BOV1,"&lt;="&amp;BP$3,CLAVE_BOV1,$A31)+SUMIFS(SALIDAS_BOV2,FECHA_BOV2,"&gt;="&amp;BP$2,FECHA_BOV2,"&lt;="&amp;BP$3,CLAVE_BOV2,$A31)+SUMIFS(SALIDAS_BOV3,FECHA_BOV3,"&gt;="&amp;BP$2,FECHA_BOV3,"&lt;="&amp;BP$3,CLAVE_BOV3,$A31)+SUMIFS(SALIDAS_TC,FECHA_TC,"&gt;="&amp;BP$2,FECHA_TC,"&lt;="&amp;BP$3,CLAVE_TC,$A31)+SUMIFS(SALIDAS_COMB,FECHA_COMB,"&gt;="&amp;BP$2,FECHA_COMB,"&lt;="&amp;BP$3,CLAVE_COMB,$A31)+SUMIFS(SALIDAS_DES,FECHA_DESGLOSEN,"&gt;="&amp;BP$2,FECHA_DESGLOSEN,"&lt;="&amp;BP$3,CLAVE_DESGLOSE,$A31)</f>
        <v>17975</v>
      </c>
      <c r="BQ31" s="13">
        <f>SUMIFS(SALIDAS_BIT,FECHA_BIT,"&gt;="&amp;BQ$2,FECHA_BIT,"&lt;="&amp;BQ$3,CLAVE_BIT,$A31)+SUMIFS(SALIDAS_BOV1,FECHA_BOV1,"&gt;="&amp;BQ$2,FECHA_BOV1,"&lt;="&amp;BQ$3,CLAVE_BOV1,$A31)+SUMIFS(SALIDAS_BOV2,FECHA_BOV2,"&gt;="&amp;BQ$2,FECHA_BOV2,"&lt;="&amp;BQ$3,CLAVE_BOV2,$A31)+SUMIFS(SALIDAS_BOV3,FECHA_BOV3,"&gt;="&amp;BQ$2,FECHA_BOV3,"&lt;="&amp;BQ$3,CLAVE_BOV3,$A31)+SUMIFS(SALIDAS_TC,FECHA_TC,"&gt;="&amp;BQ$2,FECHA_TC,"&lt;="&amp;BQ$3,CLAVE_TC,$A31)+SUMIFS(SALIDAS_COMB,FECHA_COMB,"&gt;="&amp;BQ$2,FECHA_COMB,"&lt;="&amp;BQ$3,CLAVE_COMB,$A31)+SUMIFS(SALIDAS_DES,FECHA_DESGLOSEN,"&gt;="&amp;BQ$2,FECHA_DESGLOSEN,"&lt;="&amp;BQ$3,CLAVE_DESGLOSE,$A31)</f>
        <v>13806.4</v>
      </c>
      <c r="BR31" s="13">
        <f>SUMIFS(SALIDAS_BIT,FECHA_BIT,"&gt;="&amp;BR$2,FECHA_BIT,"&lt;="&amp;BR$3,CLAVE_BIT,$A31)+SUMIFS(SALIDAS_BOV1,FECHA_BOV1,"&gt;="&amp;BR$2,FECHA_BOV1,"&lt;="&amp;BR$3,CLAVE_BOV1,$A31)+SUMIFS(SALIDAS_BOV2,FECHA_BOV2,"&gt;="&amp;BR$2,FECHA_BOV2,"&lt;="&amp;BR$3,CLAVE_BOV2,$A31)+SUMIFS(SALIDAS_BOV3,FECHA_BOV3,"&gt;="&amp;BR$2,FECHA_BOV3,"&lt;="&amp;BR$3,CLAVE_BOV3,$A31)+SUMIFS(SALIDAS_TC,FECHA_TC,"&gt;="&amp;BR$2,FECHA_TC,"&lt;="&amp;BR$3,CLAVE_TC,$A31)+SUMIFS(SALIDAS_COMB,FECHA_COMB,"&gt;="&amp;BR$2,FECHA_COMB,"&lt;="&amp;BR$3,CLAVE_COMB,$A31)+SUMIFS(SALIDAS_DES,FECHA_DESGLOSEN,"&gt;="&amp;BR$2,FECHA_DESGLOSEN,"&lt;="&amp;BR$3,CLAVE_DESGLOSE,$A31)</f>
        <v>77869.399999999994</v>
      </c>
      <c r="BS31" s="68">
        <f t="shared" si="72"/>
        <v>-10454.399999999994</v>
      </c>
      <c r="BT31" s="401">
        <f t="shared" si="73"/>
        <v>1.1550752799821997</v>
      </c>
      <c r="BU31" s="13">
        <f t="shared" si="49"/>
        <v>53932</v>
      </c>
      <c r="BV31" s="13">
        <f t="shared" si="90"/>
        <v>14235</v>
      </c>
      <c r="BW31" s="13">
        <f t="shared" si="90"/>
        <v>13787.6</v>
      </c>
      <c r="BX31" s="13">
        <f t="shared" si="90"/>
        <v>16688.2</v>
      </c>
      <c r="BY31" s="13">
        <f t="shared" si="90"/>
        <v>15955.4</v>
      </c>
      <c r="BZ31" s="13">
        <f t="shared" si="99"/>
        <v>60666.200000000004</v>
      </c>
      <c r="CA31" s="68">
        <f t="shared" si="74"/>
        <v>-6734.2000000000044</v>
      </c>
      <c r="CB31" s="268">
        <f t="shared" si="75"/>
        <v>1.1248646443669807</v>
      </c>
      <c r="CC31" s="13">
        <f t="shared" si="51"/>
        <v>53932</v>
      </c>
      <c r="CD31" s="13">
        <f t="shared" si="91"/>
        <v>13944.8</v>
      </c>
      <c r="CE31" s="13">
        <f t="shared" si="91"/>
        <v>12582</v>
      </c>
      <c r="CF31" s="13">
        <f t="shared" si="91"/>
        <v>18390</v>
      </c>
      <c r="CG31" s="13">
        <f t="shared" si="91"/>
        <v>15220.2</v>
      </c>
      <c r="CH31" s="13">
        <f t="shared" si="100"/>
        <v>60137</v>
      </c>
      <c r="CI31" s="68">
        <f t="shared" si="76"/>
        <v>-6205</v>
      </c>
      <c r="CJ31" s="268">
        <f t="shared" si="77"/>
        <v>1.115052288066454</v>
      </c>
      <c r="CK31" s="13">
        <f t="shared" si="53"/>
        <v>84888</v>
      </c>
      <c r="CL31" s="13">
        <f t="shared" si="92"/>
        <v>15407.6</v>
      </c>
      <c r="CM31" s="13">
        <f t="shared" si="92"/>
        <v>20083.8</v>
      </c>
      <c r="CN31" s="13">
        <f t="shared" si="92"/>
        <v>19777.2</v>
      </c>
      <c r="CO31" s="13">
        <f t="shared" si="92"/>
        <v>21651.4</v>
      </c>
      <c r="CP31" s="13">
        <f t="shared" si="92"/>
        <v>24714</v>
      </c>
      <c r="CQ31" s="13">
        <f t="shared" si="101"/>
        <v>101634</v>
      </c>
      <c r="CR31" s="68">
        <f t="shared" si="78"/>
        <v>-16746</v>
      </c>
      <c r="CS31" s="268">
        <f t="shared" si="79"/>
        <v>1.197271699180096</v>
      </c>
      <c r="CT31" s="68">
        <f t="shared" si="55"/>
        <v>68553</v>
      </c>
      <c r="CU31" s="13">
        <f>SUMIFS(SALIDAS_BIT,FECHA_BIT,"&gt;="&amp;CU$2,FECHA_BIT,"&lt;="&amp;CU$3,CLAVE_BIT,$A31)+SUMIFS(SALIDAS_BOV1,FECHA_BOV1,"&gt;="&amp;CU$2,FECHA_BOV1,"&lt;="&amp;CU$3,CLAVE_BOV1,$A31)+SUMIFS(SALIDAS_BOV2,FECHA_BOV2,"&gt;="&amp;CU$2,FECHA_BOV2,"&lt;="&amp;CU$3,CLAVE_BOV2,$A31)+SUMIFS(SALIDAS_BOV3,FECHA_BOV3,"&gt;="&amp;CU$2,FECHA_BOV3,"&lt;="&amp;CU$3,CLAVE_BOV3,$A31)+SUMIFS(SALIDAS_TC,FECHA_TC,"&gt;="&amp;CU$2,FECHA_TC,"&lt;="&amp;CU$3,CLAVE_TC,$A31)+SUMIFS(SALIDAS_COMB,FECHA_COMB,"&gt;="&amp;CU$2,FECHA_COMB,"&lt;="&amp;CU$3,CLAVE_COMB,$A31)+SUMIFS(SALIDAS_DES,FECHA_DESGLOSEN,"&gt;="&amp;CU$2,FECHA_DESGLOSEN,"&lt;="&amp;CU$3,CLAVE_DESGLOSE,$A31)</f>
        <v>18003.8</v>
      </c>
      <c r="CV31" s="13">
        <f>SUMIFS(SALIDAS_BIT,FECHA_BIT,"&gt;="&amp;CV$2,FECHA_BIT,"&lt;="&amp;CV$3,CLAVE_BIT,$A31)+SUMIFS(SALIDAS_BOV1,FECHA_BOV1,"&gt;="&amp;CV$2,FECHA_BOV1,"&lt;="&amp;CV$3,CLAVE_BOV1,$A31)+SUMIFS(SALIDAS_BOV2,FECHA_BOV2,"&gt;="&amp;CV$2,FECHA_BOV2,"&lt;="&amp;CV$3,CLAVE_BOV2,$A31)+SUMIFS(SALIDAS_BOV3,FECHA_BOV3,"&gt;="&amp;CV$2,FECHA_BOV3,"&lt;="&amp;CV$3,CLAVE_BOV3,$A31)+SUMIFS(SALIDAS_TC,FECHA_TC,"&gt;="&amp;CV$2,FECHA_TC,"&lt;="&amp;CV$3,CLAVE_TC,$A31)+SUMIFS(SALIDAS_COMB,FECHA_COMB,"&gt;="&amp;CV$2,FECHA_COMB,"&lt;="&amp;CV$3,CLAVE_COMB,$A31)+SUMIFS(SALIDAS_DES,FECHA_DESGLOSEN,"&gt;="&amp;CV$2,FECHA_DESGLOSEN,"&lt;="&amp;CV$3,CLAVE_DESGLOSE,$A31)</f>
        <v>15507.8</v>
      </c>
      <c r="CW31" s="13">
        <f>SUMIFS(SALIDAS_BIT,FECHA_BIT,"&gt;="&amp;CW$2,FECHA_BIT,"&lt;="&amp;CW$3,CLAVE_BIT,$A31)+SUMIFS(SALIDAS_BOV1,FECHA_BOV1,"&gt;="&amp;CW$2,FECHA_BOV1,"&lt;="&amp;CW$3,CLAVE_BOV1,$A31)+SUMIFS(SALIDAS_BOV2,FECHA_BOV2,"&gt;="&amp;CW$2,FECHA_BOV2,"&lt;="&amp;CW$3,CLAVE_BOV2,$A31)+SUMIFS(SALIDAS_BOV3,FECHA_BOV3,"&gt;="&amp;CW$2,FECHA_BOV3,"&lt;="&amp;CW$3,CLAVE_BOV3,$A31)+SUMIFS(SALIDAS_TC,FECHA_TC,"&gt;="&amp;CW$2,FECHA_TC,"&lt;="&amp;CW$3,CLAVE_TC,$A31)+SUMIFS(SALIDAS_COMB,FECHA_COMB,"&gt;="&amp;CW$2,FECHA_COMB,"&lt;="&amp;CW$3,CLAVE_COMB,$A31)+SUMIFS(SALIDAS_DES,FECHA_DESGLOSEN,"&gt;="&amp;CW$2,FECHA_DESGLOSEN,"&lt;="&amp;CW$3,CLAVE_DESGLOSE,$A31)</f>
        <v>15468.4</v>
      </c>
      <c r="CX31" s="13">
        <f>SUMIFS(SALIDAS_BIT,FECHA_BIT,"&gt;="&amp;CX$2,FECHA_BIT,"&lt;="&amp;CX$3,CLAVE_BIT,$A31)+SUMIFS(SALIDAS_BOV1,FECHA_BOV1,"&gt;="&amp;CX$2,FECHA_BOV1,"&lt;="&amp;CX$3,CLAVE_BOV1,$A31)+SUMIFS(SALIDAS_BOV2,FECHA_BOV2,"&gt;="&amp;CX$2,FECHA_BOV2,"&lt;="&amp;CX$3,CLAVE_BOV2,$A31)+SUMIFS(SALIDAS_BOV3,FECHA_BOV3,"&gt;="&amp;CX$2,FECHA_BOV3,"&lt;="&amp;CX$3,CLAVE_BOV3,$A31)+SUMIFS(SALIDAS_TC,FECHA_TC,"&gt;="&amp;CX$2,FECHA_TC,"&lt;="&amp;CX$3,CLAVE_TC,$A31)+SUMIFS(SALIDAS_COMB,FECHA_COMB,"&gt;="&amp;CX$2,FECHA_COMB,"&lt;="&amp;CX$3,CLAVE_COMB,$A31)+SUMIFS(SALIDAS_DES,FECHA_DESGLOSEN,"&gt;="&amp;CX$2,FECHA_DESGLOSEN,"&lt;="&amp;CX$3,CLAVE_DESGLOSE,$A31)</f>
        <v>15669</v>
      </c>
      <c r="CY31" s="13">
        <f>SUMIFS(SALIDAS_BIT,FECHA_BIT,"&gt;="&amp;CY$2,FECHA_BIT,"&lt;="&amp;CY$3,CLAVE_BIT,$A31)+SUMIFS(SALIDAS_BOV1,FECHA_BOV1,"&gt;="&amp;CY$2,FECHA_BOV1,"&lt;="&amp;CY$3,CLAVE_BOV1,$A31)+SUMIFS(SALIDAS_BOV2,FECHA_BOV2,"&gt;="&amp;CY$2,FECHA_BOV2,"&lt;="&amp;CY$3,CLAVE_BOV2,$A31)+SUMIFS(SALIDAS_BOV3,FECHA_BOV3,"&gt;="&amp;CY$2,FECHA_BOV3,"&lt;="&amp;CY$3,CLAVE_BOV3,$A31)+SUMIFS(SALIDAS_TC,FECHA_TC,"&gt;="&amp;CY$2,FECHA_TC,"&lt;="&amp;CY$3,CLAVE_TC,$A31)+SUMIFS(SALIDAS_COMB,FECHA_COMB,"&gt;="&amp;CY$2,FECHA_COMB,"&lt;="&amp;CY$3,CLAVE_COMB,$A31)+SUMIFS(SALIDAS_DES,FECHA_DESGLOSEN,"&gt;="&amp;CY$2,FECHA_DESGLOSEN,"&lt;="&amp;CY$3,CLAVE_DESGLOSE,$A31)</f>
        <v>64649</v>
      </c>
      <c r="CZ31" s="68">
        <f t="shared" si="80"/>
        <v>3904</v>
      </c>
      <c r="DB31" s="17">
        <f>F31+N31+W31+AE31+AM31+AV31+BD31+BL31+BU31+CC31+CK31</f>
        <v>664657</v>
      </c>
      <c r="DC31" s="17">
        <f>K31+T31+AB31+AJ31+AS31+BA31+BI31+BR31+BZ31+CH31+CQ31</f>
        <v>745174.4</v>
      </c>
    </row>
    <row r="32" spans="1:107" hidden="1">
      <c r="A32" s="12" t="str">
        <f t="shared" si="57"/>
        <v>CAPNOMINA SUCURSALE7</v>
      </c>
      <c r="B32" s="12">
        <v>26</v>
      </c>
      <c r="C32" t="s">
        <v>31</v>
      </c>
      <c r="D32" s="12" t="s">
        <v>154</v>
      </c>
      <c r="E32" s="12" t="s">
        <v>113</v>
      </c>
      <c r="F32" s="259">
        <f t="shared" si="58"/>
        <v>67856</v>
      </c>
      <c r="G32" s="13">
        <f t="shared" si="93"/>
        <v>14293</v>
      </c>
      <c r="H32" s="13">
        <f t="shared" si="93"/>
        <v>11705.4</v>
      </c>
      <c r="I32" s="13">
        <f t="shared" si="93"/>
        <v>13761.4</v>
      </c>
      <c r="J32" s="13">
        <f t="shared" si="93"/>
        <v>11730.4</v>
      </c>
      <c r="K32" s="13">
        <f t="shared" si="93"/>
        <v>51490.200000000004</v>
      </c>
      <c r="L32" s="68">
        <f t="shared" si="59"/>
        <v>16365.799999999996</v>
      </c>
      <c r="M32" s="268">
        <f t="shared" si="60"/>
        <v>0.7588157274227777</v>
      </c>
      <c r="N32" s="13">
        <f t="shared" si="36"/>
        <v>84820</v>
      </c>
      <c r="O32" s="13">
        <f t="shared" si="94"/>
        <v>12531</v>
      </c>
      <c r="P32" s="13">
        <f t="shared" si="94"/>
        <v>11567.6</v>
      </c>
      <c r="Q32" s="13">
        <f t="shared" si="94"/>
        <v>15319.8</v>
      </c>
      <c r="R32" s="13">
        <f t="shared" si="94"/>
        <v>12672.8</v>
      </c>
      <c r="S32" s="13">
        <f t="shared" si="94"/>
        <v>12593.4</v>
      </c>
      <c r="T32" s="13">
        <f t="shared" si="94"/>
        <v>64684.6</v>
      </c>
      <c r="U32" s="68">
        <f t="shared" si="61"/>
        <v>20135.400000000001</v>
      </c>
      <c r="V32" s="268">
        <f t="shared" si="62"/>
        <v>0.76261023343551049</v>
      </c>
      <c r="W32" s="13">
        <f t="shared" si="38"/>
        <v>67856</v>
      </c>
      <c r="X32" s="13">
        <f t="shared" si="95"/>
        <v>11543.8</v>
      </c>
      <c r="Y32" s="13">
        <f t="shared" si="95"/>
        <v>11328.8</v>
      </c>
      <c r="Z32" s="13">
        <f t="shared" si="95"/>
        <v>11836.6</v>
      </c>
      <c r="AA32" s="13">
        <f t="shared" si="95"/>
        <v>12313.8</v>
      </c>
      <c r="AB32" s="13">
        <f t="shared" si="95"/>
        <v>47023</v>
      </c>
      <c r="AC32" s="68">
        <f t="shared" si="63"/>
        <v>20833</v>
      </c>
      <c r="AD32" s="268">
        <f t="shared" si="64"/>
        <v>0.69298219759490687</v>
      </c>
      <c r="AE32" s="13">
        <f t="shared" si="40"/>
        <v>52000</v>
      </c>
      <c r="AF32" s="13">
        <f t="shared" si="96"/>
        <v>15143.4</v>
      </c>
      <c r="AG32" s="13">
        <f t="shared" si="96"/>
        <v>13040</v>
      </c>
      <c r="AH32" s="13">
        <f t="shared" si="96"/>
        <v>11760.4</v>
      </c>
      <c r="AI32" s="13">
        <f t="shared" si="96"/>
        <v>13144.4</v>
      </c>
      <c r="AJ32" s="13">
        <f t="shared" si="96"/>
        <v>53088.200000000004</v>
      </c>
      <c r="AK32" s="68">
        <f t="shared" si="65"/>
        <v>-1088.2000000000044</v>
      </c>
      <c r="AL32" s="268">
        <f t="shared" si="66"/>
        <v>1.0209269230769231</v>
      </c>
      <c r="AM32" s="13">
        <f t="shared" si="42"/>
        <v>65000</v>
      </c>
      <c r="AN32" s="13">
        <f t="shared" si="97"/>
        <v>10771</v>
      </c>
      <c r="AO32" s="13">
        <f t="shared" si="97"/>
        <v>13911.8</v>
      </c>
      <c r="AP32" s="13">
        <f t="shared" si="97"/>
        <v>13460.4</v>
      </c>
      <c r="AQ32" s="13">
        <f t="shared" si="97"/>
        <v>12389.4</v>
      </c>
      <c r="AR32" s="13">
        <f t="shared" si="97"/>
        <v>11080.4</v>
      </c>
      <c r="AS32" s="13">
        <f t="shared" si="97"/>
        <v>61613</v>
      </c>
      <c r="AT32" s="68">
        <f>AM32-AS32</f>
        <v>3387</v>
      </c>
      <c r="AU32" s="268">
        <f t="shared" si="67"/>
        <v>0.9478923076923077</v>
      </c>
      <c r="AV32" s="13">
        <f t="shared" si="44"/>
        <v>52000</v>
      </c>
      <c r="AW32" s="13">
        <f t="shared" si="98"/>
        <v>12456.4</v>
      </c>
      <c r="AX32" s="13">
        <f t="shared" si="98"/>
        <v>14671.2</v>
      </c>
      <c r="AY32" s="13">
        <f t="shared" si="98"/>
        <v>12641.2</v>
      </c>
      <c r="AZ32" s="13">
        <f t="shared" si="98"/>
        <v>14272.6</v>
      </c>
      <c r="BA32" s="13">
        <f t="shared" si="86"/>
        <v>54041.4</v>
      </c>
      <c r="BB32" s="68">
        <f t="shared" si="68"/>
        <v>-2041.4000000000015</v>
      </c>
      <c r="BC32" s="268">
        <f t="shared" si="69"/>
        <v>1.0392576923076924</v>
      </c>
      <c r="BD32" s="13">
        <f t="shared" si="46"/>
        <v>52000</v>
      </c>
      <c r="BE32" s="13">
        <f>SUMIFS(SALIDAS_BIT,FECHA_BIT,"&gt;="&amp;BE$2,FECHA_BIT,"&lt;="&amp;BE$3,CLAVE_BIT,$A32)+SUMIFS(SALIDAS_BOV1,FECHA_BOV1,"&gt;="&amp;BE$2,FECHA_BOV1,"&lt;="&amp;BE$3,CLAVE_BOV1,$A32)+SUMIFS(SALIDAS_BOV2,FECHA_BOV2,"&gt;="&amp;BE$2,FECHA_BOV2,"&lt;="&amp;BE$3,CLAVE_BOV2,$A32)+SUMIFS(SALIDAS_BOV3,FECHA_BOV3,"&gt;="&amp;BE$2,FECHA_BOV3,"&lt;="&amp;BE$3,CLAVE_BOV3,$A32)+SUMIFS(SALIDAS_TC,FECHA_TC,"&gt;="&amp;BE$2,FECHA_TC,"&lt;="&amp;BE$3,CLAVE_TC,$A32)+SUMIFS(SALIDAS_COMB,FECHA_COMB,"&gt;="&amp;BE$2,FECHA_COMB,"&lt;="&amp;BE$3,CLAVE_COMB,$A32)+SUMIFS(SALIDAS_DES,FECHA_DESGLOSEN,"&gt;="&amp;BE$2,FECHA_DESGLOSEN,"&lt;="&amp;BE$3,CLAVE_DESGLOSE,$A32)</f>
        <v>13494.2</v>
      </c>
      <c r="BF32" s="13">
        <f>SUMIFS(SALIDAS_BIT,FECHA_BIT,"&gt;="&amp;BF$2,FECHA_BIT,"&lt;="&amp;BF$3,CLAVE_BIT,$A32)+SUMIFS(SALIDAS_BOV1,FECHA_BOV1,"&gt;="&amp;BF$2,FECHA_BOV1,"&lt;="&amp;BF$3,CLAVE_BOV1,$A32)+SUMIFS(SALIDAS_BOV2,FECHA_BOV2,"&gt;="&amp;BF$2,FECHA_BOV2,"&lt;="&amp;BF$3,CLAVE_BOV2,$A32)+SUMIFS(SALIDAS_BOV3,FECHA_BOV3,"&gt;="&amp;BF$2,FECHA_BOV3,"&lt;="&amp;BF$3,CLAVE_BOV3,$A32)+SUMIFS(SALIDAS_TC,FECHA_TC,"&gt;="&amp;BF$2,FECHA_TC,"&lt;="&amp;BF$3,CLAVE_TC,$A32)+SUMIFS(SALIDAS_COMB,FECHA_COMB,"&gt;="&amp;BF$2,FECHA_COMB,"&lt;="&amp;BF$3,CLAVE_COMB,$A32)+SUMIFS(SALIDAS_DES,FECHA_DESGLOSEN,"&gt;="&amp;BF$2,FECHA_DESGLOSEN,"&lt;="&amp;BF$3,CLAVE_DESGLOSE,$A32)</f>
        <v>14219</v>
      </c>
      <c r="BG32" s="13">
        <f>SUMIFS(SALIDAS_BIT,FECHA_BIT,"&gt;="&amp;BG$2,FECHA_BIT,"&lt;="&amp;BG$3,CLAVE_BIT,$A32)+SUMIFS(SALIDAS_BOV1,FECHA_BOV1,"&gt;="&amp;BG$2,FECHA_BOV1,"&lt;="&amp;BG$3,CLAVE_BOV1,$A32)+SUMIFS(SALIDAS_BOV2,FECHA_BOV2,"&gt;="&amp;BG$2,FECHA_BOV2,"&lt;="&amp;BG$3,CLAVE_BOV2,$A32)+SUMIFS(SALIDAS_BOV3,FECHA_BOV3,"&gt;="&amp;BG$2,FECHA_BOV3,"&lt;="&amp;BG$3,CLAVE_BOV3,$A32)+SUMIFS(SALIDAS_TC,FECHA_TC,"&gt;="&amp;BG$2,FECHA_TC,"&lt;="&amp;BG$3,CLAVE_TC,$A32)+SUMIFS(SALIDAS_COMB,FECHA_COMB,"&gt;="&amp;BG$2,FECHA_COMB,"&lt;="&amp;BG$3,CLAVE_COMB,$A32)+SUMIFS(SALIDAS_DES,FECHA_DESGLOSEN,"&gt;="&amp;BG$2,FECHA_DESGLOSEN,"&lt;="&amp;BG$3,CLAVE_DESGLOSE,$A32)</f>
        <v>13725</v>
      </c>
      <c r="BH32" s="13">
        <f>SUMIFS(SALIDAS_BIT,FECHA_BIT,"&gt;="&amp;BH$2,FECHA_BIT,"&lt;="&amp;BH$3,CLAVE_BIT,$A32)+SUMIFS(SALIDAS_BOV1,FECHA_BOV1,"&gt;="&amp;BH$2,FECHA_BOV1,"&lt;="&amp;BH$3,CLAVE_BOV1,$A32)+SUMIFS(SALIDAS_BOV2,FECHA_BOV2,"&gt;="&amp;BH$2,FECHA_BOV2,"&lt;="&amp;BH$3,CLAVE_BOV2,$A32)+SUMIFS(SALIDAS_BOV3,FECHA_BOV3,"&gt;="&amp;BH$2,FECHA_BOV3,"&lt;="&amp;BH$3,CLAVE_BOV3,$A32)+SUMIFS(SALIDAS_TC,FECHA_TC,"&gt;="&amp;BH$2,FECHA_TC,"&lt;="&amp;BH$3,CLAVE_TC,$A32)+SUMIFS(SALIDAS_COMB,FECHA_COMB,"&gt;="&amp;BH$2,FECHA_COMB,"&lt;="&amp;BH$3,CLAVE_COMB,$A32)+SUMIFS(SALIDAS_DES,FECHA_DESGLOSEN,"&gt;="&amp;BH$2,FECHA_DESGLOSEN,"&lt;="&amp;BH$3,CLAVE_DESGLOSE,$A32)</f>
        <v>14420.2</v>
      </c>
      <c r="BI32" s="13">
        <f>SUMIFS(SALIDAS_BIT,FECHA_BIT,"&gt;="&amp;BI$2,FECHA_BIT,"&lt;="&amp;BI$3,CLAVE_BIT,$A32)+SUMIFS(SALIDAS_BOV1,FECHA_BOV1,"&gt;="&amp;BI$2,FECHA_BOV1,"&lt;="&amp;BI$3,CLAVE_BOV1,$A32)+SUMIFS(SALIDAS_BOV2,FECHA_BOV2,"&gt;="&amp;BI$2,FECHA_BOV2,"&lt;="&amp;BI$3,CLAVE_BOV2,$A32)+SUMIFS(SALIDAS_BOV3,FECHA_BOV3,"&gt;="&amp;BI$2,FECHA_BOV3,"&lt;="&amp;BI$3,CLAVE_BOV3,$A32)+SUMIFS(SALIDAS_TC,FECHA_TC,"&gt;="&amp;BI$2,FECHA_TC,"&lt;="&amp;BI$3,CLAVE_TC,$A32)+SUMIFS(SALIDAS_COMB,FECHA_COMB,"&gt;="&amp;BI$2,FECHA_COMB,"&lt;="&amp;BI$3,CLAVE_COMB,$A32)+SUMIFS(SALIDAS_DES,FECHA_DESGLOSEN,"&gt;="&amp;BI$2,FECHA_DESGLOSEN,"&lt;="&amp;BI$3,CLAVE_DESGLOSE,$A32)</f>
        <v>55858.399999999994</v>
      </c>
      <c r="BJ32" s="68">
        <f t="shared" si="70"/>
        <v>-3858.3999999999942</v>
      </c>
      <c r="BK32" s="401">
        <f t="shared" si="71"/>
        <v>1.0741999999999998</v>
      </c>
      <c r="BL32" s="13">
        <f t="shared" si="47"/>
        <v>65000</v>
      </c>
      <c r="BM32" s="13">
        <f>SUMIFS(SALIDAS_BIT,FECHA_BIT,"&gt;="&amp;BM$2,FECHA_BIT,"&lt;="&amp;BM$3,CLAVE_BIT,$A32)+SUMIFS(SALIDAS_BOV1,FECHA_BOV1,"&gt;="&amp;BM$2,FECHA_BOV1,"&lt;="&amp;BM$3,CLAVE_BOV1,$A32)+SUMIFS(SALIDAS_BOV2,FECHA_BOV2,"&gt;="&amp;BM$2,FECHA_BOV2,"&lt;="&amp;BM$3,CLAVE_BOV2,$A32)+SUMIFS(SALIDAS_BOV3,FECHA_BOV3,"&gt;="&amp;BM$2,FECHA_BOV3,"&lt;="&amp;BM$3,CLAVE_BOV3,$A32)+SUMIFS(SALIDAS_TC,FECHA_TC,"&gt;="&amp;BM$2,FECHA_TC,"&lt;="&amp;BM$3,CLAVE_TC,$A32)+SUMIFS(SALIDAS_COMB,FECHA_COMB,"&gt;="&amp;BM$2,FECHA_COMB,"&lt;="&amp;BM$3,CLAVE_COMB,$A32)+SUMIFS(SALIDAS_DES,FECHA_DESGLOSEN,"&gt;="&amp;BM$2,FECHA_DESGLOSEN,"&lt;="&amp;BM$3,CLAVE_DESGLOSE,$A32)</f>
        <v>13111.6</v>
      </c>
      <c r="BN32" s="13">
        <f>SUMIFS(SALIDAS_BIT,FECHA_BIT,"&gt;="&amp;BN$2,FECHA_BIT,"&lt;="&amp;BN$3,CLAVE_BIT,$A32)+SUMIFS(SALIDAS_BOV1,FECHA_BOV1,"&gt;="&amp;BN$2,FECHA_BOV1,"&lt;="&amp;BN$3,CLAVE_BOV1,$A32)+SUMIFS(SALIDAS_BOV2,FECHA_BOV2,"&gt;="&amp;BN$2,FECHA_BOV2,"&lt;="&amp;BN$3,CLAVE_BOV2,$A32)+SUMIFS(SALIDAS_BOV3,FECHA_BOV3,"&gt;="&amp;BN$2,FECHA_BOV3,"&lt;="&amp;BN$3,CLAVE_BOV3,$A32)+SUMIFS(SALIDAS_TC,FECHA_TC,"&gt;="&amp;BN$2,FECHA_TC,"&lt;="&amp;BN$3,CLAVE_TC,$A32)+SUMIFS(SALIDAS_COMB,FECHA_COMB,"&gt;="&amp;BN$2,FECHA_COMB,"&lt;="&amp;BN$3,CLAVE_COMB,$A32)+SUMIFS(SALIDAS_DES,FECHA_DESGLOSEN,"&gt;="&amp;BN$2,FECHA_DESGLOSEN,"&lt;="&amp;BN$3,CLAVE_DESGLOSE,$A32)</f>
        <v>11528</v>
      </c>
      <c r="BO32" s="13">
        <f>SUMIFS(SALIDAS_BIT,FECHA_BIT,"&gt;="&amp;BO$2,FECHA_BIT,"&lt;="&amp;BO$3,CLAVE_BIT,$A32)+SUMIFS(SALIDAS_BOV1,FECHA_BOV1,"&gt;="&amp;BO$2,FECHA_BOV1,"&lt;="&amp;BO$3,CLAVE_BOV1,$A32)+SUMIFS(SALIDAS_BOV2,FECHA_BOV2,"&gt;="&amp;BO$2,FECHA_BOV2,"&lt;="&amp;BO$3,CLAVE_BOV2,$A32)+SUMIFS(SALIDAS_BOV3,FECHA_BOV3,"&gt;="&amp;BO$2,FECHA_BOV3,"&lt;="&amp;BO$3,CLAVE_BOV3,$A32)+SUMIFS(SALIDAS_TC,FECHA_TC,"&gt;="&amp;BO$2,FECHA_TC,"&lt;="&amp;BO$3,CLAVE_TC,$A32)+SUMIFS(SALIDAS_COMB,FECHA_COMB,"&gt;="&amp;BO$2,FECHA_COMB,"&lt;="&amp;BO$3,CLAVE_COMB,$A32)+SUMIFS(SALIDAS_DES,FECHA_DESGLOSEN,"&gt;="&amp;BO$2,FECHA_DESGLOSEN,"&lt;="&amp;BO$3,CLAVE_DESGLOSE,$A32)</f>
        <v>12935.8</v>
      </c>
      <c r="BP32" s="13">
        <f>SUMIFS(SALIDAS_BIT,FECHA_BIT,"&gt;="&amp;BP$2,FECHA_BIT,"&lt;="&amp;BP$3,CLAVE_BIT,$A32)+SUMIFS(SALIDAS_BOV1,FECHA_BOV1,"&gt;="&amp;BP$2,FECHA_BOV1,"&lt;="&amp;BP$3,CLAVE_BOV1,$A32)+SUMIFS(SALIDAS_BOV2,FECHA_BOV2,"&gt;="&amp;BP$2,FECHA_BOV2,"&lt;="&amp;BP$3,CLAVE_BOV2,$A32)+SUMIFS(SALIDAS_BOV3,FECHA_BOV3,"&gt;="&amp;BP$2,FECHA_BOV3,"&lt;="&amp;BP$3,CLAVE_BOV3,$A32)+SUMIFS(SALIDAS_TC,FECHA_TC,"&gt;="&amp;BP$2,FECHA_TC,"&lt;="&amp;BP$3,CLAVE_TC,$A32)+SUMIFS(SALIDAS_COMB,FECHA_COMB,"&gt;="&amp;BP$2,FECHA_COMB,"&lt;="&amp;BP$3,CLAVE_COMB,$A32)+SUMIFS(SALIDAS_DES,FECHA_DESGLOSEN,"&gt;="&amp;BP$2,FECHA_DESGLOSEN,"&lt;="&amp;BP$3,CLAVE_DESGLOSE,$A32)</f>
        <v>14931.4</v>
      </c>
      <c r="BQ32" s="13">
        <f>SUMIFS(SALIDAS_BIT,FECHA_BIT,"&gt;="&amp;BQ$2,FECHA_BIT,"&lt;="&amp;BQ$3,CLAVE_BIT,$A32)+SUMIFS(SALIDAS_BOV1,FECHA_BOV1,"&gt;="&amp;BQ$2,FECHA_BOV1,"&lt;="&amp;BQ$3,CLAVE_BOV1,$A32)+SUMIFS(SALIDAS_BOV2,FECHA_BOV2,"&gt;="&amp;BQ$2,FECHA_BOV2,"&lt;="&amp;BQ$3,CLAVE_BOV2,$A32)+SUMIFS(SALIDAS_BOV3,FECHA_BOV3,"&gt;="&amp;BQ$2,FECHA_BOV3,"&lt;="&amp;BQ$3,CLAVE_BOV3,$A32)+SUMIFS(SALIDAS_TC,FECHA_TC,"&gt;="&amp;BQ$2,FECHA_TC,"&lt;="&amp;BQ$3,CLAVE_TC,$A32)+SUMIFS(SALIDAS_COMB,FECHA_COMB,"&gt;="&amp;BQ$2,FECHA_COMB,"&lt;="&amp;BQ$3,CLAVE_COMB,$A32)+SUMIFS(SALIDAS_DES,FECHA_DESGLOSEN,"&gt;="&amp;BQ$2,FECHA_DESGLOSEN,"&lt;="&amp;BQ$3,CLAVE_DESGLOSE,$A32)</f>
        <v>12149</v>
      </c>
      <c r="BR32" s="13">
        <f>SUMIFS(SALIDAS_BIT,FECHA_BIT,"&gt;="&amp;BR$2,FECHA_BIT,"&lt;="&amp;BR$3,CLAVE_BIT,$A32)+SUMIFS(SALIDAS_BOV1,FECHA_BOV1,"&gt;="&amp;BR$2,FECHA_BOV1,"&lt;="&amp;BR$3,CLAVE_BOV1,$A32)+SUMIFS(SALIDAS_BOV2,FECHA_BOV2,"&gt;="&amp;BR$2,FECHA_BOV2,"&lt;="&amp;BR$3,CLAVE_BOV2,$A32)+SUMIFS(SALIDAS_BOV3,FECHA_BOV3,"&gt;="&amp;BR$2,FECHA_BOV3,"&lt;="&amp;BR$3,CLAVE_BOV3,$A32)+SUMIFS(SALIDAS_TC,FECHA_TC,"&gt;="&amp;BR$2,FECHA_TC,"&lt;="&amp;BR$3,CLAVE_TC,$A32)+SUMIFS(SALIDAS_COMB,FECHA_COMB,"&gt;="&amp;BR$2,FECHA_COMB,"&lt;="&amp;BR$3,CLAVE_COMB,$A32)+SUMIFS(SALIDAS_DES,FECHA_DESGLOSEN,"&gt;="&amp;BR$2,FECHA_DESGLOSEN,"&lt;="&amp;BR$3,CLAVE_DESGLOSE,$A32)</f>
        <v>64655.799999999996</v>
      </c>
      <c r="BS32" s="68">
        <f t="shared" si="72"/>
        <v>344.20000000000437</v>
      </c>
      <c r="BT32" s="268">
        <f t="shared" si="73"/>
        <v>0.9947046153846153</v>
      </c>
      <c r="BU32" s="13">
        <f t="shared" si="49"/>
        <v>52000</v>
      </c>
      <c r="BV32" s="13">
        <f t="shared" si="90"/>
        <v>13896.8</v>
      </c>
      <c r="BW32" s="13">
        <f t="shared" si="90"/>
        <v>14137.4</v>
      </c>
      <c r="BX32" s="13">
        <f t="shared" si="90"/>
        <v>13957</v>
      </c>
      <c r="BY32" s="13">
        <f t="shared" si="90"/>
        <v>13798.4</v>
      </c>
      <c r="BZ32" s="13">
        <f t="shared" si="99"/>
        <v>55789.599999999999</v>
      </c>
      <c r="CA32" s="68">
        <f t="shared" si="74"/>
        <v>-3789.5999999999985</v>
      </c>
      <c r="CB32" s="268">
        <f t="shared" si="75"/>
        <v>1.0728769230769231</v>
      </c>
      <c r="CC32" s="13">
        <f t="shared" si="51"/>
        <v>52000</v>
      </c>
      <c r="CD32" s="13">
        <f t="shared" si="91"/>
        <v>13235.6</v>
      </c>
      <c r="CE32" s="13">
        <f t="shared" si="91"/>
        <v>14387.4</v>
      </c>
      <c r="CF32" s="13">
        <f t="shared" si="91"/>
        <v>19818.2</v>
      </c>
      <c r="CG32" s="13">
        <f t="shared" si="91"/>
        <v>16103.8</v>
      </c>
      <c r="CH32" s="13">
        <f t="shared" si="100"/>
        <v>63545</v>
      </c>
      <c r="CI32" s="68">
        <f t="shared" si="76"/>
        <v>-11545</v>
      </c>
      <c r="CJ32" s="268">
        <f t="shared" si="77"/>
        <v>1.2220192307692308</v>
      </c>
      <c r="CK32" s="13">
        <f t="shared" si="53"/>
        <v>85614</v>
      </c>
      <c r="CL32" s="13">
        <f t="shared" si="92"/>
        <v>16206.6</v>
      </c>
      <c r="CM32" s="13">
        <f t="shared" si="92"/>
        <v>15682.4</v>
      </c>
      <c r="CN32" s="13">
        <f t="shared" si="92"/>
        <v>17669.400000000001</v>
      </c>
      <c r="CO32" s="13">
        <f t="shared" si="92"/>
        <v>19510.599999999999</v>
      </c>
      <c r="CP32" s="13">
        <f t="shared" si="92"/>
        <v>20271.2</v>
      </c>
      <c r="CQ32" s="13">
        <f t="shared" si="101"/>
        <v>89340.2</v>
      </c>
      <c r="CR32" s="68">
        <f t="shared" si="78"/>
        <v>-3726.1999999999971</v>
      </c>
      <c r="CS32" s="268">
        <f t="shared" si="79"/>
        <v>1.0435232555423177</v>
      </c>
      <c r="CT32" s="68">
        <f t="shared" si="55"/>
        <v>63043</v>
      </c>
      <c r="CU32" s="13">
        <f>SUMIFS(SALIDAS_BIT,FECHA_BIT,"&gt;="&amp;CU$2,FECHA_BIT,"&lt;="&amp;CU$3,CLAVE_BIT,$A32)+SUMIFS(SALIDAS_BOV1,FECHA_BOV1,"&gt;="&amp;CU$2,FECHA_BOV1,"&lt;="&amp;CU$3,CLAVE_BOV1,$A32)+SUMIFS(SALIDAS_BOV2,FECHA_BOV2,"&gt;="&amp;CU$2,FECHA_BOV2,"&lt;="&amp;CU$3,CLAVE_BOV2,$A32)+SUMIFS(SALIDAS_BOV3,FECHA_BOV3,"&gt;="&amp;CU$2,FECHA_BOV3,"&lt;="&amp;CU$3,CLAVE_BOV3,$A32)+SUMIFS(SALIDAS_TC,FECHA_TC,"&gt;="&amp;CU$2,FECHA_TC,"&lt;="&amp;CU$3,CLAVE_TC,$A32)+SUMIFS(SALIDAS_COMB,FECHA_COMB,"&gt;="&amp;CU$2,FECHA_COMB,"&lt;="&amp;CU$3,CLAVE_COMB,$A32)+SUMIFS(SALIDAS_DES,FECHA_DESGLOSEN,"&gt;="&amp;CU$2,FECHA_DESGLOSEN,"&lt;="&amp;CU$3,CLAVE_DESGLOSE,$A32)</f>
        <v>19749.599999999999</v>
      </c>
      <c r="CV32" s="13">
        <f>SUMIFS(SALIDAS_BIT,FECHA_BIT,"&gt;="&amp;CV$2,FECHA_BIT,"&lt;="&amp;CV$3,CLAVE_BIT,$A32)+SUMIFS(SALIDAS_BOV1,FECHA_BOV1,"&gt;="&amp;CV$2,FECHA_BOV1,"&lt;="&amp;CV$3,CLAVE_BOV1,$A32)+SUMIFS(SALIDAS_BOV2,FECHA_BOV2,"&gt;="&amp;CV$2,FECHA_BOV2,"&lt;="&amp;CV$3,CLAVE_BOV2,$A32)+SUMIFS(SALIDAS_BOV3,FECHA_BOV3,"&gt;="&amp;CV$2,FECHA_BOV3,"&lt;="&amp;CV$3,CLAVE_BOV3,$A32)+SUMIFS(SALIDAS_TC,FECHA_TC,"&gt;="&amp;CV$2,FECHA_TC,"&lt;="&amp;CV$3,CLAVE_TC,$A32)+SUMIFS(SALIDAS_COMB,FECHA_COMB,"&gt;="&amp;CV$2,FECHA_COMB,"&lt;="&amp;CV$3,CLAVE_COMB,$A32)+SUMIFS(SALIDAS_DES,FECHA_DESGLOSEN,"&gt;="&amp;CV$2,FECHA_DESGLOSEN,"&lt;="&amp;CV$3,CLAVE_DESGLOSE,$A32)</f>
        <v>16844.599999999999</v>
      </c>
      <c r="CW32" s="13">
        <f>SUMIFS(SALIDAS_BIT,FECHA_BIT,"&gt;="&amp;CW$2,FECHA_BIT,"&lt;="&amp;CW$3,CLAVE_BIT,$A32)+SUMIFS(SALIDAS_BOV1,FECHA_BOV1,"&gt;="&amp;CW$2,FECHA_BOV1,"&lt;="&amp;CW$3,CLAVE_BOV1,$A32)+SUMIFS(SALIDAS_BOV2,FECHA_BOV2,"&gt;="&amp;CW$2,FECHA_BOV2,"&lt;="&amp;CW$3,CLAVE_BOV2,$A32)+SUMIFS(SALIDAS_BOV3,FECHA_BOV3,"&gt;="&amp;CW$2,FECHA_BOV3,"&lt;="&amp;CW$3,CLAVE_BOV3,$A32)+SUMIFS(SALIDAS_TC,FECHA_TC,"&gt;="&amp;CW$2,FECHA_TC,"&lt;="&amp;CW$3,CLAVE_TC,$A32)+SUMIFS(SALIDAS_COMB,FECHA_COMB,"&gt;="&amp;CW$2,FECHA_COMB,"&lt;="&amp;CW$3,CLAVE_COMB,$A32)+SUMIFS(SALIDAS_DES,FECHA_DESGLOSEN,"&gt;="&amp;CW$2,FECHA_DESGLOSEN,"&lt;="&amp;CW$3,CLAVE_DESGLOSE,$A32)</f>
        <v>17453.8</v>
      </c>
      <c r="CX32" s="13">
        <f>SUMIFS(SALIDAS_BIT,FECHA_BIT,"&gt;="&amp;CX$2,FECHA_BIT,"&lt;="&amp;CX$3,CLAVE_BIT,$A32)+SUMIFS(SALIDAS_BOV1,FECHA_BOV1,"&gt;="&amp;CX$2,FECHA_BOV1,"&lt;="&amp;CX$3,CLAVE_BOV1,$A32)+SUMIFS(SALIDAS_BOV2,FECHA_BOV2,"&gt;="&amp;CX$2,FECHA_BOV2,"&lt;="&amp;CX$3,CLAVE_BOV2,$A32)+SUMIFS(SALIDAS_BOV3,FECHA_BOV3,"&gt;="&amp;CX$2,FECHA_BOV3,"&lt;="&amp;CX$3,CLAVE_BOV3,$A32)+SUMIFS(SALIDAS_TC,FECHA_TC,"&gt;="&amp;CX$2,FECHA_TC,"&lt;="&amp;CX$3,CLAVE_TC,$A32)+SUMIFS(SALIDAS_COMB,FECHA_COMB,"&gt;="&amp;CX$2,FECHA_COMB,"&lt;="&amp;CX$3,CLAVE_COMB,$A32)+SUMIFS(SALIDAS_DES,FECHA_DESGLOSEN,"&gt;="&amp;CX$2,FECHA_DESGLOSEN,"&lt;="&amp;CX$3,CLAVE_DESGLOSE,$A32)</f>
        <v>16226.6</v>
      </c>
      <c r="CY32" s="13">
        <f>SUMIFS(SALIDAS_BIT,FECHA_BIT,"&gt;="&amp;CY$2,FECHA_BIT,"&lt;="&amp;CY$3,CLAVE_BIT,$A32)+SUMIFS(SALIDAS_BOV1,FECHA_BOV1,"&gt;="&amp;CY$2,FECHA_BOV1,"&lt;="&amp;CY$3,CLAVE_BOV1,$A32)+SUMIFS(SALIDAS_BOV2,FECHA_BOV2,"&gt;="&amp;CY$2,FECHA_BOV2,"&lt;="&amp;CY$3,CLAVE_BOV2,$A32)+SUMIFS(SALIDAS_BOV3,FECHA_BOV3,"&gt;="&amp;CY$2,FECHA_BOV3,"&lt;="&amp;CY$3,CLAVE_BOV3,$A32)+SUMIFS(SALIDAS_TC,FECHA_TC,"&gt;="&amp;CY$2,FECHA_TC,"&lt;="&amp;CY$3,CLAVE_TC,$A32)+SUMIFS(SALIDAS_COMB,FECHA_COMB,"&gt;="&amp;CY$2,FECHA_COMB,"&lt;="&amp;CY$3,CLAVE_COMB,$A32)+SUMIFS(SALIDAS_DES,FECHA_DESGLOSEN,"&gt;="&amp;CY$2,FECHA_DESGLOSEN,"&lt;="&amp;CY$3,CLAVE_DESGLOSE,$A32)</f>
        <v>70274.600000000006</v>
      </c>
      <c r="CZ32" s="68">
        <f t="shared" si="80"/>
        <v>-7231.6000000000058</v>
      </c>
      <c r="DB32" s="17">
        <f>F32+N32+W32+AE32+AM32+AV32+BD32+BL32+BU32+CC32+CK32</f>
        <v>696146</v>
      </c>
      <c r="DC32" s="17">
        <f>K32+T32+AB32+AJ32+AS32+BA32+BI32+BR32+BZ32+CH32+CQ32</f>
        <v>661129.39999999991</v>
      </c>
    </row>
    <row r="33" spans="1:107" hidden="1">
      <c r="A33" s="12" t="str">
        <f t="shared" si="57"/>
        <v>CAPNOMINA SUCURSALE8</v>
      </c>
      <c r="B33" s="12">
        <v>27</v>
      </c>
      <c r="C33" t="s">
        <v>31</v>
      </c>
      <c r="D33" s="230" t="s">
        <v>154</v>
      </c>
      <c r="E33" s="230" t="s">
        <v>114</v>
      </c>
      <c r="F33" s="259">
        <f t="shared" si="58"/>
        <v>82500</v>
      </c>
      <c r="G33" s="13">
        <f t="shared" si="93"/>
        <v>27051.8</v>
      </c>
      <c r="H33" s="13">
        <f t="shared" si="93"/>
        <v>18803</v>
      </c>
      <c r="I33" s="13">
        <f t="shared" si="93"/>
        <v>23100.799999999999</v>
      </c>
      <c r="J33" s="13">
        <f t="shared" si="93"/>
        <v>25940</v>
      </c>
      <c r="K33" s="13">
        <f t="shared" si="93"/>
        <v>94895.6</v>
      </c>
      <c r="L33" s="68">
        <f t="shared" si="59"/>
        <v>-12395.600000000006</v>
      </c>
      <c r="M33" s="268">
        <f t="shared" si="60"/>
        <v>1.1502496969696971</v>
      </c>
      <c r="N33" s="13">
        <f t="shared" si="36"/>
        <v>103125</v>
      </c>
      <c r="O33" s="13">
        <f t="shared" si="94"/>
        <v>25940.400000000001</v>
      </c>
      <c r="P33" s="13">
        <f t="shared" si="94"/>
        <v>25444.2</v>
      </c>
      <c r="Q33" s="13">
        <f t="shared" si="94"/>
        <v>33347.199999999997</v>
      </c>
      <c r="R33" s="13">
        <f t="shared" si="94"/>
        <v>25761.599999999999</v>
      </c>
      <c r="S33" s="13">
        <f t="shared" si="94"/>
        <v>25440.2</v>
      </c>
      <c r="T33" s="13">
        <f t="shared" si="94"/>
        <v>135933.6</v>
      </c>
      <c r="U33" s="68">
        <f t="shared" si="61"/>
        <v>-32808.600000000006</v>
      </c>
      <c r="V33" s="268">
        <f t="shared" si="62"/>
        <v>1.318144</v>
      </c>
      <c r="W33" s="13">
        <f t="shared" si="38"/>
        <v>82500</v>
      </c>
      <c r="X33" s="13">
        <f t="shared" si="95"/>
        <v>25928</v>
      </c>
      <c r="Y33" s="13">
        <f t="shared" si="95"/>
        <v>22443.599999999999</v>
      </c>
      <c r="Z33" s="13">
        <f t="shared" si="95"/>
        <v>23353</v>
      </c>
      <c r="AA33" s="13">
        <f t="shared" si="95"/>
        <v>25434</v>
      </c>
      <c r="AB33" s="13">
        <f t="shared" si="95"/>
        <v>97158.6</v>
      </c>
      <c r="AC33" s="68">
        <f t="shared" si="63"/>
        <v>-14658.600000000006</v>
      </c>
      <c r="AD33" s="268">
        <f t="shared" si="64"/>
        <v>1.1776800000000001</v>
      </c>
      <c r="AE33" s="13">
        <f t="shared" si="40"/>
        <v>82500</v>
      </c>
      <c r="AF33" s="13">
        <f t="shared" si="96"/>
        <v>28239.4</v>
      </c>
      <c r="AG33" s="13">
        <f t="shared" si="96"/>
        <v>28294.400000000001</v>
      </c>
      <c r="AH33" s="13">
        <f t="shared" si="96"/>
        <v>25243.8</v>
      </c>
      <c r="AI33" s="13">
        <f t="shared" si="96"/>
        <v>25939.200000000001</v>
      </c>
      <c r="AJ33" s="13">
        <f t="shared" si="96"/>
        <v>107716.8</v>
      </c>
      <c r="AK33" s="68">
        <f t="shared" si="65"/>
        <v>-25216.800000000003</v>
      </c>
      <c r="AL33" s="268">
        <f t="shared" si="66"/>
        <v>1.3056581818181818</v>
      </c>
      <c r="AM33" s="13">
        <f t="shared" si="42"/>
        <v>103125</v>
      </c>
      <c r="AN33" s="13">
        <f t="shared" si="97"/>
        <v>24950</v>
      </c>
      <c r="AO33" s="13">
        <f t="shared" si="97"/>
        <v>28369.200000000001</v>
      </c>
      <c r="AP33" s="13">
        <f t="shared" si="97"/>
        <v>23781.4</v>
      </c>
      <c r="AQ33" s="13">
        <f t="shared" si="97"/>
        <v>26466.6</v>
      </c>
      <c r="AR33" s="13">
        <f t="shared" si="97"/>
        <v>23867.8</v>
      </c>
      <c r="AS33" s="13">
        <f t="shared" si="97"/>
        <v>127435.00000000001</v>
      </c>
      <c r="AT33" s="68">
        <f>AM33-AS33</f>
        <v>-24310.000000000015</v>
      </c>
      <c r="AU33" s="268">
        <f t="shared" si="67"/>
        <v>1.2357333333333336</v>
      </c>
      <c r="AV33" s="13">
        <f t="shared" si="44"/>
        <v>82500</v>
      </c>
      <c r="AW33" s="13">
        <f t="shared" si="98"/>
        <v>22433.4</v>
      </c>
      <c r="AX33" s="13">
        <f t="shared" si="98"/>
        <v>25940.400000000001</v>
      </c>
      <c r="AY33" s="13">
        <f t="shared" si="98"/>
        <v>25443.4</v>
      </c>
      <c r="AZ33" s="13">
        <f t="shared" si="98"/>
        <v>25439.200000000001</v>
      </c>
      <c r="BA33" s="13">
        <f t="shared" si="98"/>
        <v>99256.400000000009</v>
      </c>
      <c r="BB33" s="68">
        <f t="shared" si="68"/>
        <v>-16756.400000000009</v>
      </c>
      <c r="BC33" s="268">
        <f t="shared" si="69"/>
        <v>1.2031078787878788</v>
      </c>
      <c r="BD33" s="13">
        <f t="shared" si="46"/>
        <v>82500</v>
      </c>
      <c r="BE33" s="13">
        <f>SUMIFS(SALIDAS_BIT,FECHA_BIT,"&gt;="&amp;BE$2,FECHA_BIT,"&lt;="&amp;BE$3,CLAVE_BIT,$A33)+SUMIFS(SALIDAS_BOV1,FECHA_BOV1,"&gt;="&amp;BE$2,FECHA_BOV1,"&lt;="&amp;BE$3,CLAVE_BOV1,$A33)+SUMIFS(SALIDAS_BOV2,FECHA_BOV2,"&gt;="&amp;BE$2,FECHA_BOV2,"&lt;="&amp;BE$3,CLAVE_BOV2,$A33)+SUMIFS(SALIDAS_BOV3,FECHA_BOV3,"&gt;="&amp;BE$2,FECHA_BOV3,"&lt;="&amp;BE$3,CLAVE_BOV3,$A33)+SUMIFS(SALIDAS_TC,FECHA_TC,"&gt;="&amp;BE$2,FECHA_TC,"&lt;="&amp;BE$3,CLAVE_TC,$A33)+SUMIFS(SALIDAS_COMB,FECHA_COMB,"&gt;="&amp;BE$2,FECHA_COMB,"&lt;="&amp;BE$3,CLAVE_COMB,$A33)+SUMIFS(SALIDAS_DES,FECHA_DESGLOSEN,"&gt;="&amp;BE$2,FECHA_DESGLOSEN,"&lt;="&amp;BE$3,CLAVE_DESGLOSE,$A33)</f>
        <v>24802.400000000001</v>
      </c>
      <c r="BF33" s="13">
        <f>SUMIFS(SALIDAS_BIT,FECHA_BIT,"&gt;="&amp;BF$2,FECHA_BIT,"&lt;="&amp;BF$3,CLAVE_BIT,$A33)+SUMIFS(SALIDAS_BOV1,FECHA_BOV1,"&gt;="&amp;BF$2,FECHA_BOV1,"&lt;="&amp;BF$3,CLAVE_BOV1,$A33)+SUMIFS(SALIDAS_BOV2,FECHA_BOV2,"&gt;="&amp;BF$2,FECHA_BOV2,"&lt;="&amp;BF$3,CLAVE_BOV2,$A33)+SUMIFS(SALIDAS_BOV3,FECHA_BOV3,"&gt;="&amp;BF$2,FECHA_BOV3,"&lt;="&amp;BF$3,CLAVE_BOV3,$A33)+SUMIFS(SALIDAS_TC,FECHA_TC,"&gt;="&amp;BF$2,FECHA_TC,"&lt;="&amp;BF$3,CLAVE_TC,$A33)+SUMIFS(SALIDAS_COMB,FECHA_COMB,"&gt;="&amp;BF$2,FECHA_COMB,"&lt;="&amp;BF$3,CLAVE_COMB,$A33)+SUMIFS(SALIDAS_DES,FECHA_DESGLOSEN,"&gt;="&amp;BF$2,FECHA_DESGLOSEN,"&lt;="&amp;BF$3,CLAVE_DESGLOSE,$A33)</f>
        <v>22498</v>
      </c>
      <c r="BG33" s="13">
        <f>SUMIFS(SALIDAS_BIT,FECHA_BIT,"&gt;="&amp;BG$2,FECHA_BIT,"&lt;="&amp;BG$3,CLAVE_BIT,$A33)+SUMIFS(SALIDAS_BOV1,FECHA_BOV1,"&gt;="&amp;BG$2,FECHA_BOV1,"&lt;="&amp;BG$3,CLAVE_BOV1,$A33)+SUMIFS(SALIDAS_BOV2,FECHA_BOV2,"&gt;="&amp;BG$2,FECHA_BOV2,"&lt;="&amp;BG$3,CLAVE_BOV2,$A33)+SUMIFS(SALIDAS_BOV3,FECHA_BOV3,"&gt;="&amp;BG$2,FECHA_BOV3,"&lt;="&amp;BG$3,CLAVE_BOV3,$A33)+SUMIFS(SALIDAS_TC,FECHA_TC,"&gt;="&amp;BG$2,FECHA_TC,"&lt;="&amp;BG$3,CLAVE_TC,$A33)+SUMIFS(SALIDAS_COMB,FECHA_COMB,"&gt;="&amp;BG$2,FECHA_COMB,"&lt;="&amp;BG$3,CLAVE_COMB,$A33)+SUMIFS(SALIDAS_DES,FECHA_DESGLOSEN,"&gt;="&amp;BG$2,FECHA_DESGLOSEN,"&lt;="&amp;BG$3,CLAVE_DESGLOSE,$A33)</f>
        <v>24352</v>
      </c>
      <c r="BH33" s="13">
        <f>SUMIFS(SALIDAS_BIT,FECHA_BIT,"&gt;="&amp;BH$2,FECHA_BIT,"&lt;="&amp;BH$3,CLAVE_BIT,$A33)+SUMIFS(SALIDAS_BOV1,FECHA_BOV1,"&gt;="&amp;BH$2,FECHA_BOV1,"&lt;="&amp;BH$3,CLAVE_BOV1,$A33)+SUMIFS(SALIDAS_BOV2,FECHA_BOV2,"&gt;="&amp;BH$2,FECHA_BOV2,"&lt;="&amp;BH$3,CLAVE_BOV2,$A33)+SUMIFS(SALIDAS_BOV3,FECHA_BOV3,"&gt;="&amp;BH$2,FECHA_BOV3,"&lt;="&amp;BH$3,CLAVE_BOV3,$A33)+SUMIFS(SALIDAS_TC,FECHA_TC,"&gt;="&amp;BH$2,FECHA_TC,"&lt;="&amp;BH$3,CLAVE_TC,$A33)+SUMIFS(SALIDAS_COMB,FECHA_COMB,"&gt;="&amp;BH$2,FECHA_COMB,"&lt;="&amp;BH$3,CLAVE_COMB,$A33)+SUMIFS(SALIDAS_DES,FECHA_DESGLOSEN,"&gt;="&amp;BH$2,FECHA_DESGLOSEN,"&lt;="&amp;BH$3,CLAVE_DESGLOSE,$A33)</f>
        <v>25485.599999999999</v>
      </c>
      <c r="BI33" s="13">
        <f>SUMIFS(SALIDAS_BIT,FECHA_BIT,"&gt;="&amp;BI$2,FECHA_BIT,"&lt;="&amp;BI$3,CLAVE_BIT,$A33)+SUMIFS(SALIDAS_BOV1,FECHA_BOV1,"&gt;="&amp;BI$2,FECHA_BOV1,"&lt;="&amp;BI$3,CLAVE_BOV1,$A33)+SUMIFS(SALIDAS_BOV2,FECHA_BOV2,"&gt;="&amp;BI$2,FECHA_BOV2,"&lt;="&amp;BI$3,CLAVE_BOV2,$A33)+SUMIFS(SALIDAS_BOV3,FECHA_BOV3,"&gt;="&amp;BI$2,FECHA_BOV3,"&lt;="&amp;BI$3,CLAVE_BOV3,$A33)+SUMIFS(SALIDAS_TC,FECHA_TC,"&gt;="&amp;BI$2,FECHA_TC,"&lt;="&amp;BI$3,CLAVE_TC,$A33)+SUMIFS(SALIDAS_COMB,FECHA_COMB,"&gt;="&amp;BI$2,FECHA_COMB,"&lt;="&amp;BI$3,CLAVE_COMB,$A33)+SUMIFS(SALIDAS_DES,FECHA_DESGLOSEN,"&gt;="&amp;BI$2,FECHA_DESGLOSEN,"&lt;="&amp;BI$3,CLAVE_DESGLOSE,$A33)</f>
        <v>97138</v>
      </c>
      <c r="BJ33" s="68">
        <f t="shared" si="70"/>
        <v>-14638</v>
      </c>
      <c r="BK33" s="401">
        <f t="shared" si="71"/>
        <v>1.177430303030303</v>
      </c>
      <c r="BL33" s="13">
        <f t="shared" si="47"/>
        <v>103125</v>
      </c>
      <c r="BM33" s="13">
        <f>SUMIFS(SALIDAS_BIT,FECHA_BIT,"&gt;="&amp;BM$2,FECHA_BIT,"&lt;="&amp;BM$3,CLAVE_BIT,$A33)+SUMIFS(SALIDAS_BOV1,FECHA_BOV1,"&gt;="&amp;BM$2,FECHA_BOV1,"&lt;="&amp;BM$3,CLAVE_BOV1,$A33)+SUMIFS(SALIDAS_BOV2,FECHA_BOV2,"&gt;="&amp;BM$2,FECHA_BOV2,"&lt;="&amp;BM$3,CLAVE_BOV2,$A33)+SUMIFS(SALIDAS_BOV3,FECHA_BOV3,"&gt;="&amp;BM$2,FECHA_BOV3,"&lt;="&amp;BM$3,CLAVE_BOV3,$A33)+SUMIFS(SALIDAS_TC,FECHA_TC,"&gt;="&amp;BM$2,FECHA_TC,"&lt;="&amp;BM$3,CLAVE_TC,$A33)+SUMIFS(SALIDAS_COMB,FECHA_COMB,"&gt;="&amp;BM$2,FECHA_COMB,"&lt;="&amp;BM$3,CLAVE_COMB,$A33)+SUMIFS(SALIDAS_DES,FECHA_DESGLOSEN,"&gt;="&amp;BM$2,FECHA_DESGLOSEN,"&lt;="&amp;BM$3,CLAVE_DESGLOSE,$A33)</f>
        <v>24923.4</v>
      </c>
      <c r="BN33" s="13">
        <f>SUMIFS(SALIDAS_BIT,FECHA_BIT,"&gt;="&amp;BN$2,FECHA_BIT,"&lt;="&amp;BN$3,CLAVE_BIT,$A33)+SUMIFS(SALIDAS_BOV1,FECHA_BOV1,"&gt;="&amp;BN$2,FECHA_BOV1,"&lt;="&amp;BN$3,CLAVE_BOV1,$A33)+SUMIFS(SALIDAS_BOV2,FECHA_BOV2,"&gt;="&amp;BN$2,FECHA_BOV2,"&lt;="&amp;BN$3,CLAVE_BOV2,$A33)+SUMIFS(SALIDAS_BOV3,FECHA_BOV3,"&gt;="&amp;BN$2,FECHA_BOV3,"&lt;="&amp;BN$3,CLAVE_BOV3,$A33)+SUMIFS(SALIDAS_TC,FECHA_TC,"&gt;="&amp;BN$2,FECHA_TC,"&lt;="&amp;BN$3,CLAVE_TC,$A33)+SUMIFS(SALIDAS_COMB,FECHA_COMB,"&gt;="&amp;BN$2,FECHA_COMB,"&lt;="&amp;BN$3,CLAVE_COMB,$A33)+SUMIFS(SALIDAS_DES,FECHA_DESGLOSEN,"&gt;="&amp;BN$2,FECHA_DESGLOSEN,"&lt;="&amp;BN$3,CLAVE_DESGLOSE,$A33)</f>
        <v>24435.599999999999</v>
      </c>
      <c r="BO33" s="13">
        <f>SUMIFS(SALIDAS_BIT,FECHA_BIT,"&gt;="&amp;BO$2,FECHA_BIT,"&lt;="&amp;BO$3,CLAVE_BIT,$A33)+SUMIFS(SALIDAS_BOV1,FECHA_BOV1,"&gt;="&amp;BO$2,FECHA_BOV1,"&lt;="&amp;BO$3,CLAVE_BOV1,$A33)+SUMIFS(SALIDAS_BOV2,FECHA_BOV2,"&gt;="&amp;BO$2,FECHA_BOV2,"&lt;="&amp;BO$3,CLAVE_BOV2,$A33)+SUMIFS(SALIDAS_BOV3,FECHA_BOV3,"&gt;="&amp;BO$2,FECHA_BOV3,"&lt;="&amp;BO$3,CLAVE_BOV3,$A33)+SUMIFS(SALIDAS_TC,FECHA_TC,"&gt;="&amp;BO$2,FECHA_TC,"&lt;="&amp;BO$3,CLAVE_TC,$A33)+SUMIFS(SALIDAS_COMB,FECHA_COMB,"&gt;="&amp;BO$2,FECHA_COMB,"&lt;="&amp;BO$3,CLAVE_COMB,$A33)+SUMIFS(SALIDAS_DES,FECHA_DESGLOSEN,"&gt;="&amp;BO$2,FECHA_DESGLOSEN,"&lt;="&amp;BO$3,CLAVE_DESGLOSE,$A33)</f>
        <v>23908</v>
      </c>
      <c r="BP33" s="13">
        <f>SUMIFS(SALIDAS_BIT,FECHA_BIT,"&gt;="&amp;BP$2,FECHA_BIT,"&lt;="&amp;BP$3,CLAVE_BIT,$A33)+SUMIFS(SALIDAS_BOV1,FECHA_BOV1,"&gt;="&amp;BP$2,FECHA_BOV1,"&lt;="&amp;BP$3,CLAVE_BOV1,$A33)+SUMIFS(SALIDAS_BOV2,FECHA_BOV2,"&gt;="&amp;BP$2,FECHA_BOV2,"&lt;="&amp;BP$3,CLAVE_BOV2,$A33)+SUMIFS(SALIDAS_BOV3,FECHA_BOV3,"&gt;="&amp;BP$2,FECHA_BOV3,"&lt;="&amp;BP$3,CLAVE_BOV3,$A33)+SUMIFS(SALIDAS_TC,FECHA_TC,"&gt;="&amp;BP$2,FECHA_TC,"&lt;="&amp;BP$3,CLAVE_TC,$A33)+SUMIFS(SALIDAS_COMB,FECHA_COMB,"&gt;="&amp;BP$2,FECHA_COMB,"&lt;="&amp;BP$3,CLAVE_COMB,$A33)+SUMIFS(SALIDAS_DES,FECHA_DESGLOSEN,"&gt;="&amp;BP$2,FECHA_DESGLOSEN,"&lt;="&amp;BP$3,CLAVE_DESGLOSE,$A33)</f>
        <v>29644.400000000001</v>
      </c>
      <c r="BQ33" s="13">
        <f>SUMIFS(SALIDAS_BIT,FECHA_BIT,"&gt;="&amp;BQ$2,FECHA_BIT,"&lt;="&amp;BQ$3,CLAVE_BIT,$A33)+SUMIFS(SALIDAS_BOV1,FECHA_BOV1,"&gt;="&amp;BQ$2,FECHA_BOV1,"&lt;="&amp;BQ$3,CLAVE_BOV1,$A33)+SUMIFS(SALIDAS_BOV2,FECHA_BOV2,"&gt;="&amp;BQ$2,FECHA_BOV2,"&lt;="&amp;BQ$3,CLAVE_BOV2,$A33)+SUMIFS(SALIDAS_BOV3,FECHA_BOV3,"&gt;="&amp;BQ$2,FECHA_BOV3,"&lt;="&amp;BQ$3,CLAVE_BOV3,$A33)+SUMIFS(SALIDAS_TC,FECHA_TC,"&gt;="&amp;BQ$2,FECHA_TC,"&lt;="&amp;BQ$3,CLAVE_TC,$A33)+SUMIFS(SALIDAS_COMB,FECHA_COMB,"&gt;="&amp;BQ$2,FECHA_COMB,"&lt;="&amp;BQ$3,CLAVE_COMB,$A33)+SUMIFS(SALIDAS_DES,FECHA_DESGLOSEN,"&gt;="&amp;BQ$2,FECHA_DESGLOSEN,"&lt;="&amp;BQ$3,CLAVE_DESGLOSE,$A33)</f>
        <v>25438.799999999999</v>
      </c>
      <c r="BR33" s="13">
        <f>SUMIFS(SALIDAS_BIT,FECHA_BIT,"&gt;="&amp;BR$2,FECHA_BIT,"&lt;="&amp;BR$3,CLAVE_BIT,$A33)+SUMIFS(SALIDAS_BOV1,FECHA_BOV1,"&gt;="&amp;BR$2,FECHA_BOV1,"&lt;="&amp;BR$3,CLAVE_BOV1,$A33)+SUMIFS(SALIDAS_BOV2,FECHA_BOV2,"&gt;="&amp;BR$2,FECHA_BOV2,"&lt;="&amp;BR$3,CLAVE_BOV2,$A33)+SUMIFS(SALIDAS_BOV3,FECHA_BOV3,"&gt;="&amp;BR$2,FECHA_BOV3,"&lt;="&amp;BR$3,CLAVE_BOV3,$A33)+SUMIFS(SALIDAS_TC,FECHA_TC,"&gt;="&amp;BR$2,FECHA_TC,"&lt;="&amp;BR$3,CLAVE_TC,$A33)+SUMIFS(SALIDAS_COMB,FECHA_COMB,"&gt;="&amp;BR$2,FECHA_COMB,"&lt;="&amp;BR$3,CLAVE_COMB,$A33)+SUMIFS(SALIDAS_DES,FECHA_DESGLOSEN,"&gt;="&amp;BR$2,FECHA_DESGLOSEN,"&lt;="&amp;BR$3,CLAVE_DESGLOSE,$A33)</f>
        <v>128350.2</v>
      </c>
      <c r="BS33" s="68">
        <f t="shared" si="72"/>
        <v>-25225.199999999997</v>
      </c>
      <c r="BT33" s="401">
        <f t="shared" si="73"/>
        <v>1.2446079999999999</v>
      </c>
      <c r="BU33" s="13">
        <f t="shared" si="49"/>
        <v>82500</v>
      </c>
      <c r="BV33" s="13">
        <f t="shared" si="90"/>
        <v>22432.2</v>
      </c>
      <c r="BW33" s="13">
        <f t="shared" si="90"/>
        <v>29314.6</v>
      </c>
      <c r="BX33" s="13">
        <f t="shared" si="90"/>
        <v>28883.4</v>
      </c>
      <c r="BY33" s="13">
        <f t="shared" si="90"/>
        <v>29380.799999999999</v>
      </c>
      <c r="BZ33" s="13">
        <f t="shared" si="99"/>
        <v>110011.00000000001</v>
      </c>
      <c r="CA33" s="68">
        <f t="shared" si="74"/>
        <v>-27511.000000000015</v>
      </c>
      <c r="CB33" s="268">
        <f t="shared" si="75"/>
        <v>1.3334666666666668</v>
      </c>
      <c r="CC33" s="13">
        <f t="shared" si="51"/>
        <v>82500</v>
      </c>
      <c r="CD33" s="13">
        <f t="shared" si="91"/>
        <v>34039</v>
      </c>
      <c r="CE33" s="13">
        <f t="shared" si="91"/>
        <v>29311.200000000001</v>
      </c>
      <c r="CF33" s="13">
        <f t="shared" si="91"/>
        <v>39672.6</v>
      </c>
      <c r="CG33" s="13">
        <f t="shared" si="91"/>
        <v>30437.599999999999</v>
      </c>
      <c r="CH33" s="13">
        <f t="shared" si="100"/>
        <v>133460.4</v>
      </c>
      <c r="CI33" s="68">
        <f t="shared" si="76"/>
        <v>-50960.399999999994</v>
      </c>
      <c r="CJ33" s="268">
        <f t="shared" si="77"/>
        <v>1.6177018181818181</v>
      </c>
      <c r="CK33" s="13">
        <f t="shared" si="53"/>
        <v>105991</v>
      </c>
      <c r="CL33" s="13">
        <f t="shared" si="92"/>
        <v>32329.4</v>
      </c>
      <c r="CM33" s="13">
        <f t="shared" si="92"/>
        <v>33970.400000000001</v>
      </c>
      <c r="CN33" s="13">
        <f t="shared" si="92"/>
        <v>37878</v>
      </c>
      <c r="CO33" s="13">
        <f t="shared" si="92"/>
        <v>45257.599999999999</v>
      </c>
      <c r="CP33" s="13">
        <f t="shared" si="92"/>
        <v>40649.599999999999</v>
      </c>
      <c r="CQ33" s="13">
        <f t="shared" si="101"/>
        <v>190085</v>
      </c>
      <c r="CR33" s="68">
        <f t="shared" si="78"/>
        <v>-84094</v>
      </c>
      <c r="CS33" s="268">
        <f t="shared" si="79"/>
        <v>1.7934069873857215</v>
      </c>
      <c r="CT33" s="68">
        <f t="shared" si="55"/>
        <v>124312</v>
      </c>
      <c r="CU33" s="13">
        <f>SUMIFS(SALIDAS_BIT,FECHA_BIT,"&gt;="&amp;CU$2,FECHA_BIT,"&lt;="&amp;CU$3,CLAVE_BIT,$A33)+SUMIFS(SALIDAS_BOV1,FECHA_BOV1,"&gt;="&amp;CU$2,FECHA_BOV1,"&lt;="&amp;CU$3,CLAVE_BOV1,$A33)+SUMIFS(SALIDAS_BOV2,FECHA_BOV2,"&gt;="&amp;CU$2,FECHA_BOV2,"&lt;="&amp;CU$3,CLAVE_BOV2,$A33)+SUMIFS(SALIDAS_BOV3,FECHA_BOV3,"&gt;="&amp;CU$2,FECHA_BOV3,"&lt;="&amp;CU$3,CLAVE_BOV3,$A33)+SUMIFS(SALIDAS_TC,FECHA_TC,"&gt;="&amp;CU$2,FECHA_TC,"&lt;="&amp;CU$3,CLAVE_TC,$A33)+SUMIFS(SALIDAS_COMB,FECHA_COMB,"&gt;="&amp;CU$2,FECHA_COMB,"&lt;="&amp;CU$3,CLAVE_COMB,$A33)+SUMIFS(SALIDAS_DES,FECHA_DESGLOSEN,"&gt;="&amp;CU$2,FECHA_DESGLOSEN,"&lt;="&amp;CU$3,CLAVE_DESGLOSE,$A33)</f>
        <v>42548.800000000003</v>
      </c>
      <c r="CV33" s="13">
        <f>SUMIFS(SALIDAS_BIT,FECHA_BIT,"&gt;="&amp;CV$2,FECHA_BIT,"&lt;="&amp;CV$3,CLAVE_BIT,$A33)+SUMIFS(SALIDAS_BOV1,FECHA_BOV1,"&gt;="&amp;CV$2,FECHA_BOV1,"&lt;="&amp;CV$3,CLAVE_BOV1,$A33)+SUMIFS(SALIDAS_BOV2,FECHA_BOV2,"&gt;="&amp;CV$2,FECHA_BOV2,"&lt;="&amp;CV$3,CLAVE_BOV2,$A33)+SUMIFS(SALIDAS_BOV3,FECHA_BOV3,"&gt;="&amp;CV$2,FECHA_BOV3,"&lt;="&amp;CV$3,CLAVE_BOV3,$A33)+SUMIFS(SALIDAS_TC,FECHA_TC,"&gt;="&amp;CV$2,FECHA_TC,"&lt;="&amp;CV$3,CLAVE_TC,$A33)+SUMIFS(SALIDAS_COMB,FECHA_COMB,"&gt;="&amp;CV$2,FECHA_COMB,"&lt;="&amp;CV$3,CLAVE_COMB,$A33)+SUMIFS(SALIDAS_DES,FECHA_DESGLOSEN,"&gt;="&amp;CV$2,FECHA_DESGLOSEN,"&lt;="&amp;CV$3,CLAVE_DESGLOSE,$A33)</f>
        <v>25504.2</v>
      </c>
      <c r="CW33" s="13">
        <f>SUMIFS(SALIDAS_BIT,FECHA_BIT,"&gt;="&amp;CW$2,FECHA_BIT,"&lt;="&amp;CW$3,CLAVE_BIT,$A33)+SUMIFS(SALIDAS_BOV1,FECHA_BOV1,"&gt;="&amp;CW$2,FECHA_BOV1,"&lt;="&amp;CW$3,CLAVE_BOV1,$A33)+SUMIFS(SALIDAS_BOV2,FECHA_BOV2,"&gt;="&amp;CW$2,FECHA_BOV2,"&lt;="&amp;CW$3,CLAVE_BOV2,$A33)+SUMIFS(SALIDAS_BOV3,FECHA_BOV3,"&gt;="&amp;CW$2,FECHA_BOV3,"&lt;="&amp;CW$3,CLAVE_BOV3,$A33)+SUMIFS(SALIDAS_TC,FECHA_TC,"&gt;="&amp;CW$2,FECHA_TC,"&lt;="&amp;CW$3,CLAVE_TC,$A33)+SUMIFS(SALIDAS_COMB,FECHA_COMB,"&gt;="&amp;CW$2,FECHA_COMB,"&lt;="&amp;CW$3,CLAVE_COMB,$A33)+SUMIFS(SALIDAS_DES,FECHA_DESGLOSEN,"&gt;="&amp;CW$2,FECHA_DESGLOSEN,"&lt;="&amp;CW$3,CLAVE_DESGLOSE,$A33)</f>
        <v>28751</v>
      </c>
      <c r="CX33" s="13">
        <f>SUMIFS(SALIDAS_BIT,FECHA_BIT,"&gt;="&amp;CX$2,FECHA_BIT,"&lt;="&amp;CX$3,CLAVE_BIT,$A33)+SUMIFS(SALIDAS_BOV1,FECHA_BOV1,"&gt;="&amp;CX$2,FECHA_BOV1,"&lt;="&amp;CX$3,CLAVE_BOV1,$A33)+SUMIFS(SALIDAS_BOV2,FECHA_BOV2,"&gt;="&amp;CX$2,FECHA_BOV2,"&lt;="&amp;CX$3,CLAVE_BOV2,$A33)+SUMIFS(SALIDAS_BOV3,FECHA_BOV3,"&gt;="&amp;CX$2,FECHA_BOV3,"&lt;="&amp;CX$3,CLAVE_BOV3,$A33)+SUMIFS(SALIDAS_TC,FECHA_TC,"&gt;="&amp;CX$2,FECHA_TC,"&lt;="&amp;CX$3,CLAVE_TC,$A33)+SUMIFS(SALIDAS_COMB,FECHA_COMB,"&gt;="&amp;CX$2,FECHA_COMB,"&lt;="&amp;CX$3,CLAVE_COMB,$A33)+SUMIFS(SALIDAS_DES,FECHA_DESGLOSEN,"&gt;="&amp;CX$2,FECHA_DESGLOSEN,"&lt;="&amp;CX$3,CLAVE_DESGLOSE,$A33)</f>
        <v>29098</v>
      </c>
      <c r="CY33" s="13">
        <f>SUMIFS(SALIDAS_BIT,FECHA_BIT,"&gt;="&amp;CY$2,FECHA_BIT,"&lt;="&amp;CY$3,CLAVE_BIT,$A33)+SUMIFS(SALIDAS_BOV1,FECHA_BOV1,"&gt;="&amp;CY$2,FECHA_BOV1,"&lt;="&amp;CY$3,CLAVE_BOV1,$A33)+SUMIFS(SALIDAS_BOV2,FECHA_BOV2,"&gt;="&amp;CY$2,FECHA_BOV2,"&lt;="&amp;CY$3,CLAVE_BOV2,$A33)+SUMIFS(SALIDAS_BOV3,FECHA_BOV3,"&gt;="&amp;CY$2,FECHA_BOV3,"&lt;="&amp;CY$3,CLAVE_BOV3,$A33)+SUMIFS(SALIDAS_TC,FECHA_TC,"&gt;="&amp;CY$2,FECHA_TC,"&lt;="&amp;CY$3,CLAVE_TC,$A33)+SUMIFS(SALIDAS_COMB,FECHA_COMB,"&gt;="&amp;CY$2,FECHA_COMB,"&lt;="&amp;CY$3,CLAVE_COMB,$A33)+SUMIFS(SALIDAS_DES,FECHA_DESGLOSEN,"&gt;="&amp;CY$2,FECHA_DESGLOSEN,"&lt;="&amp;CY$3,CLAVE_DESGLOSE,$A33)</f>
        <v>125902</v>
      </c>
      <c r="CZ33" s="68">
        <f t="shared" si="80"/>
        <v>-1590</v>
      </c>
      <c r="DB33" s="17">
        <f>F33+N33+W33+AE33+AM33+AV33+BD33+BL33+BU33+CC33+CK33</f>
        <v>992866</v>
      </c>
      <c r="DC33" s="17">
        <f>K33+T33+AB33+AJ33+AS33+BA33+BI33+BR33+BZ33+CH33+CQ33</f>
        <v>1321440.6000000001</v>
      </c>
    </row>
    <row r="34" spans="1:107" hidden="1">
      <c r="A34" s="12" t="str">
        <f t="shared" si="57"/>
        <v>CAPNOMINA SUCURSALE9</v>
      </c>
      <c r="B34" s="12">
        <v>28</v>
      </c>
      <c r="C34" t="s">
        <v>31</v>
      </c>
      <c r="D34" s="12" t="s">
        <v>154</v>
      </c>
      <c r="E34" s="12" t="s">
        <v>116</v>
      </c>
      <c r="F34" s="259">
        <f t="shared" si="58"/>
        <v>0</v>
      </c>
      <c r="G34" s="13">
        <f t="shared" si="93"/>
        <v>0</v>
      </c>
      <c r="H34" s="13">
        <f t="shared" si="93"/>
        <v>0</v>
      </c>
      <c r="I34" s="13">
        <f t="shared" si="93"/>
        <v>0</v>
      </c>
      <c r="J34" s="13">
        <f t="shared" si="93"/>
        <v>0</v>
      </c>
      <c r="K34" s="13">
        <f t="shared" si="93"/>
        <v>0</v>
      </c>
      <c r="L34" s="68">
        <f t="shared" si="59"/>
        <v>0</v>
      </c>
      <c r="M34" s="268">
        <f t="shared" si="60"/>
        <v>0</v>
      </c>
      <c r="N34" s="13">
        <f t="shared" si="36"/>
        <v>95700</v>
      </c>
      <c r="O34" s="13">
        <f t="shared" si="94"/>
        <v>0</v>
      </c>
      <c r="P34" s="13">
        <f t="shared" si="94"/>
        <v>4978</v>
      </c>
      <c r="Q34" s="13">
        <f t="shared" si="94"/>
        <v>8461</v>
      </c>
      <c r="R34" s="13">
        <f t="shared" si="94"/>
        <v>8011</v>
      </c>
      <c r="S34" s="13">
        <f t="shared" si="94"/>
        <v>23399.200000000001</v>
      </c>
      <c r="T34" s="13">
        <f t="shared" si="94"/>
        <v>44849.2</v>
      </c>
      <c r="U34" s="68">
        <f t="shared" si="61"/>
        <v>50850.8</v>
      </c>
      <c r="V34" s="268">
        <f t="shared" si="62"/>
        <v>0.46864367816091951</v>
      </c>
      <c r="W34" s="13">
        <f t="shared" si="38"/>
        <v>82500</v>
      </c>
      <c r="X34" s="13">
        <f t="shared" si="95"/>
        <v>22917.200000000001</v>
      </c>
      <c r="Y34" s="13">
        <f t="shared" si="95"/>
        <v>22045.8</v>
      </c>
      <c r="Z34" s="13">
        <f t="shared" si="95"/>
        <v>21450.400000000001</v>
      </c>
      <c r="AA34" s="13">
        <f t="shared" si="95"/>
        <v>35480.800000000003</v>
      </c>
      <c r="AB34" s="13">
        <f t="shared" si="95"/>
        <v>101894.2</v>
      </c>
      <c r="AC34" s="68">
        <f t="shared" si="63"/>
        <v>-19394.199999999997</v>
      </c>
      <c r="AD34" s="268">
        <f t="shared" si="64"/>
        <v>1.235081212121212</v>
      </c>
      <c r="AE34" s="13">
        <f t="shared" si="40"/>
        <v>82500</v>
      </c>
      <c r="AF34" s="13">
        <f t="shared" si="96"/>
        <v>33153</v>
      </c>
      <c r="AG34" s="13">
        <f t="shared" si="96"/>
        <v>31641.4</v>
      </c>
      <c r="AH34" s="13">
        <f t="shared" si="96"/>
        <v>31680.6</v>
      </c>
      <c r="AI34" s="13">
        <f t="shared" si="96"/>
        <v>30196.6</v>
      </c>
      <c r="AJ34" s="13">
        <f t="shared" si="96"/>
        <v>126671.6</v>
      </c>
      <c r="AK34" s="68">
        <f t="shared" si="65"/>
        <v>-44171.600000000006</v>
      </c>
      <c r="AL34" s="268">
        <f t="shared" si="66"/>
        <v>1.5354133333333333</v>
      </c>
      <c r="AM34" s="13">
        <f t="shared" si="42"/>
        <v>103125</v>
      </c>
      <c r="AN34" s="13">
        <f t="shared" si="97"/>
        <v>28728.6</v>
      </c>
      <c r="AO34" s="13">
        <f t="shared" si="97"/>
        <v>31531.200000000001</v>
      </c>
      <c r="AP34" s="13">
        <f t="shared" si="97"/>
        <v>33689.599999999999</v>
      </c>
      <c r="AQ34" s="13">
        <f t="shared" si="97"/>
        <v>32109.599999999999</v>
      </c>
      <c r="AR34" s="13">
        <f t="shared" si="97"/>
        <v>28817.8</v>
      </c>
      <c r="AS34" s="13">
        <f t="shared" si="97"/>
        <v>154876.79999999999</v>
      </c>
      <c r="AT34" s="68">
        <f>AM34-AS34</f>
        <v>-51751.799999999988</v>
      </c>
      <c r="AU34" s="268">
        <f t="shared" si="67"/>
        <v>1.5018356363636363</v>
      </c>
      <c r="AV34" s="13">
        <f t="shared" si="44"/>
        <v>82500</v>
      </c>
      <c r="AW34" s="13">
        <f t="shared" si="98"/>
        <v>25998.2</v>
      </c>
      <c r="AX34" s="13">
        <f t="shared" si="98"/>
        <v>25741.4</v>
      </c>
      <c r="AY34" s="13">
        <f t="shared" si="98"/>
        <v>25741.4</v>
      </c>
      <c r="AZ34" s="13">
        <f>SUMIFS(SALIDAS_BIT,FECHA_BIT,"&gt;="&amp;AZ$2,FECHA_BIT,"&lt;="&amp;AZ$3,CLAVE_BIT,$A34)+SUMIFS(SALIDAS_BOV1,FECHA_BOV1,"&gt;="&amp;AZ$2,FECHA_BOV1,"&lt;="&amp;AZ$3,CLAVE_BOV1,$A34)+SUMIFS(SALIDAS_BOV2,FECHA_BOV2,"&gt;="&amp;AZ$2,FECHA_BOV2,"&lt;="&amp;AZ$3,CLAVE_BOV2,$A34)+SUMIFS(SALIDAS_BOV3,FECHA_BOV3,"&gt;="&amp;AZ$2,FECHA_BOV3,"&lt;="&amp;AZ$3,CLAVE_BOV3,$A34)+SUMIFS(SALIDAS_TC,FECHA_TC,"&gt;="&amp;AZ$2,FECHA_TC,"&lt;="&amp;AZ$3,CLAVE_TC,$A34)+SUMIFS(SALIDAS_COMB,FECHA_COMB,"&gt;="&amp;AZ$2,FECHA_COMB,"&lt;="&amp;AZ$3,CLAVE_COMB,$A34)+SUMIFS(SALIDAS_DES,FECHA_DESGLOSEN,"&gt;="&amp;AZ$2,FECHA_DESGLOSEN,"&lt;="&amp;AZ$3,CLAVE_DESGLOSE,$A34)</f>
        <v>25740.799999999999</v>
      </c>
      <c r="BA34" s="13">
        <f>SUMIFS(SALIDAS_BIT,FECHA_BIT,"&gt;="&amp;BA$2,FECHA_BIT,"&lt;="&amp;BA$3,CLAVE_BIT,$A34)+SUMIFS(SALIDAS_BOV1,FECHA_BOV1,"&gt;="&amp;BA$2,FECHA_BOV1,"&lt;="&amp;BA$3,CLAVE_BOV1,$A34)+SUMIFS(SALIDAS_BOV2,FECHA_BOV2,"&gt;="&amp;BA$2,FECHA_BOV2,"&lt;="&amp;BA$3,CLAVE_BOV2,$A34)+SUMIFS(SALIDAS_BOV3,FECHA_BOV3,"&gt;="&amp;BA$2,FECHA_BOV3,"&lt;="&amp;BA$3,CLAVE_BOV3,$A34)+SUMIFS(SALIDAS_TC,FECHA_TC,"&gt;="&amp;BA$2,FECHA_TC,"&lt;="&amp;BA$3,CLAVE_TC,$A34)+SUMIFS(SALIDAS_COMB,FECHA_COMB,"&gt;="&amp;BA$2,FECHA_COMB,"&lt;="&amp;BA$3,CLAVE_COMB,$A34)+SUMIFS(SALIDAS_DES,FECHA_DESGLOSEN,"&gt;="&amp;BA$2,FECHA_DESGLOSEN,"&lt;="&amp;BA$3,CLAVE_DESGLOSE,$A34)</f>
        <v>103221.8</v>
      </c>
      <c r="BB34" s="68">
        <f t="shared" si="68"/>
        <v>-20721.800000000003</v>
      </c>
      <c r="BC34" s="268">
        <f t="shared" si="69"/>
        <v>1.2511733333333335</v>
      </c>
      <c r="BD34" s="13">
        <f t="shared" si="46"/>
        <v>82500</v>
      </c>
      <c r="BE34" s="13">
        <f>SUMIFS(SALIDAS_BIT,FECHA_BIT,"&gt;="&amp;BE$2,FECHA_BIT,"&lt;="&amp;BE$3,CLAVE_BIT,$A34)+SUMIFS(SALIDAS_BOV1,FECHA_BOV1,"&gt;="&amp;BE$2,FECHA_BOV1,"&lt;="&amp;BE$3,CLAVE_BOV1,$A34)+SUMIFS(SALIDAS_BOV2,FECHA_BOV2,"&gt;="&amp;BE$2,FECHA_BOV2,"&lt;="&amp;BE$3,CLAVE_BOV2,$A34)+SUMIFS(SALIDAS_BOV3,FECHA_BOV3,"&gt;="&amp;BE$2,FECHA_BOV3,"&lt;="&amp;BE$3,CLAVE_BOV3,$A34)+SUMIFS(SALIDAS_TC,FECHA_TC,"&gt;="&amp;BE$2,FECHA_TC,"&lt;="&amp;BE$3,CLAVE_TC,$A34)+SUMIFS(SALIDAS_COMB,FECHA_COMB,"&gt;="&amp;BE$2,FECHA_COMB,"&lt;="&amp;BE$3,CLAVE_COMB,$A34)+SUMIFS(SALIDAS_DES,FECHA_DESGLOSEN,"&gt;="&amp;BE$2,FECHA_DESGLOSEN,"&lt;="&amp;BE$3,CLAVE_DESGLOSE,$A34)</f>
        <v>28729.200000000001</v>
      </c>
      <c r="BF34" s="13">
        <f>SUMIFS(SALIDAS_BIT,FECHA_BIT,"&gt;="&amp;BF$2,FECHA_BIT,"&lt;="&amp;BF$3,CLAVE_BIT,$A34)+SUMIFS(SALIDAS_BOV1,FECHA_BOV1,"&gt;="&amp;BF$2,FECHA_BOV1,"&lt;="&amp;BF$3,CLAVE_BOV1,$A34)+SUMIFS(SALIDAS_BOV2,FECHA_BOV2,"&gt;="&amp;BF$2,FECHA_BOV2,"&lt;="&amp;BF$3,CLAVE_BOV2,$A34)+SUMIFS(SALIDAS_BOV3,FECHA_BOV3,"&gt;="&amp;BF$2,FECHA_BOV3,"&lt;="&amp;BF$3,CLAVE_BOV3,$A34)+SUMIFS(SALIDAS_TC,FECHA_TC,"&gt;="&amp;BF$2,FECHA_TC,"&lt;="&amp;BF$3,CLAVE_TC,$A34)+SUMIFS(SALIDAS_COMB,FECHA_COMB,"&gt;="&amp;BF$2,FECHA_COMB,"&lt;="&amp;BF$3,CLAVE_COMB,$A34)+SUMIFS(SALIDAS_DES,FECHA_DESGLOSEN,"&gt;="&amp;BF$2,FECHA_DESGLOSEN,"&lt;="&amp;BF$3,CLAVE_DESGLOSE,$A34)</f>
        <v>28728.2</v>
      </c>
      <c r="BG34" s="13">
        <f>SUMIFS(SALIDAS_BIT,FECHA_BIT,"&gt;="&amp;BG$2,FECHA_BIT,"&lt;="&amp;BG$3,CLAVE_BIT,$A34)+SUMIFS(SALIDAS_BOV1,FECHA_BOV1,"&gt;="&amp;BG$2,FECHA_BOV1,"&lt;="&amp;BG$3,CLAVE_BOV1,$A34)+SUMIFS(SALIDAS_BOV2,FECHA_BOV2,"&gt;="&amp;BG$2,FECHA_BOV2,"&lt;="&amp;BG$3,CLAVE_BOV2,$A34)+SUMIFS(SALIDAS_BOV3,FECHA_BOV3,"&gt;="&amp;BG$2,FECHA_BOV3,"&lt;="&amp;BG$3,CLAVE_BOV3,$A34)+SUMIFS(SALIDAS_TC,FECHA_TC,"&gt;="&amp;BG$2,FECHA_TC,"&lt;="&amp;BG$3,CLAVE_TC,$A34)+SUMIFS(SALIDAS_COMB,FECHA_COMB,"&gt;="&amp;BG$2,FECHA_COMB,"&lt;="&amp;BG$3,CLAVE_COMB,$A34)+SUMIFS(SALIDAS_DES,FECHA_DESGLOSEN,"&gt;="&amp;BG$2,FECHA_DESGLOSEN,"&lt;="&amp;BG$3,CLAVE_DESGLOSE,$A34)</f>
        <v>28221.4</v>
      </c>
      <c r="BH34" s="13">
        <f>SUMIFS(SALIDAS_BIT,FECHA_BIT,"&gt;="&amp;BH$2,FECHA_BIT,"&lt;="&amp;BH$3,CLAVE_BIT,$A34)+SUMIFS(SALIDAS_BOV1,FECHA_BOV1,"&gt;="&amp;BH$2,FECHA_BOV1,"&lt;="&amp;BH$3,CLAVE_BOV1,$A34)+SUMIFS(SALIDAS_BOV2,FECHA_BOV2,"&gt;="&amp;BH$2,FECHA_BOV2,"&lt;="&amp;BH$3,CLAVE_BOV2,$A34)+SUMIFS(SALIDAS_BOV3,FECHA_BOV3,"&gt;="&amp;BH$2,FECHA_BOV3,"&lt;="&amp;BH$3,CLAVE_BOV3,$A34)+SUMIFS(SALIDAS_TC,FECHA_TC,"&gt;="&amp;BH$2,FECHA_TC,"&lt;="&amp;BH$3,CLAVE_TC,$A34)+SUMIFS(SALIDAS_COMB,FECHA_COMB,"&gt;="&amp;BH$2,FECHA_COMB,"&lt;="&amp;BH$3,CLAVE_COMB,$A34)+SUMIFS(SALIDAS_DES,FECHA_DESGLOSEN,"&gt;="&amp;BH$2,FECHA_DESGLOSEN,"&lt;="&amp;BH$3,CLAVE_DESGLOSE,$A34)</f>
        <v>25676.400000000001</v>
      </c>
      <c r="BI34" s="13">
        <f>SUMIFS(SALIDAS_BIT,FECHA_BIT,"&gt;="&amp;BI$2,FECHA_BIT,"&lt;="&amp;BI$3,CLAVE_BIT,$A34)+SUMIFS(SALIDAS_BOV1,FECHA_BOV1,"&gt;="&amp;BI$2,FECHA_BOV1,"&lt;="&amp;BI$3,CLAVE_BOV1,$A34)+SUMIFS(SALIDAS_BOV2,FECHA_BOV2,"&gt;="&amp;BI$2,FECHA_BOV2,"&lt;="&amp;BI$3,CLAVE_BOV2,$A34)+SUMIFS(SALIDAS_BOV3,FECHA_BOV3,"&gt;="&amp;BI$2,FECHA_BOV3,"&lt;="&amp;BI$3,CLAVE_BOV3,$A34)+SUMIFS(SALIDAS_TC,FECHA_TC,"&gt;="&amp;BI$2,FECHA_TC,"&lt;="&amp;BI$3,CLAVE_TC,$A34)+SUMIFS(SALIDAS_COMB,FECHA_COMB,"&gt;="&amp;BI$2,FECHA_COMB,"&lt;="&amp;BI$3,CLAVE_COMB,$A34)+SUMIFS(SALIDAS_DES,FECHA_DESGLOSEN,"&gt;="&amp;BI$2,FECHA_DESGLOSEN,"&lt;="&amp;BI$3,CLAVE_DESGLOSE,$A34)</f>
        <v>111355.20000000001</v>
      </c>
      <c r="BJ34" s="68">
        <f t="shared" si="70"/>
        <v>-28855.200000000012</v>
      </c>
      <c r="BK34" s="401">
        <f t="shared" si="71"/>
        <v>1.3497600000000001</v>
      </c>
      <c r="BL34" s="13">
        <f t="shared" si="47"/>
        <v>103125</v>
      </c>
      <c r="BM34" s="13">
        <f>SUMIFS(SALIDAS_BIT,FECHA_BIT,"&gt;="&amp;BM$2,FECHA_BIT,"&lt;="&amp;BM$3,CLAVE_BIT,$A34)+SUMIFS(SALIDAS_BOV1,FECHA_BOV1,"&gt;="&amp;BM$2,FECHA_BOV1,"&lt;="&amp;BM$3,CLAVE_BOV1,$A34)+SUMIFS(SALIDAS_BOV2,FECHA_BOV2,"&gt;="&amp;BM$2,FECHA_BOV2,"&lt;="&amp;BM$3,CLAVE_BOV2,$A34)+SUMIFS(SALIDAS_BOV3,FECHA_BOV3,"&gt;="&amp;BM$2,FECHA_BOV3,"&lt;="&amp;BM$3,CLAVE_BOV3,$A34)+SUMIFS(SALIDAS_TC,FECHA_TC,"&gt;="&amp;BM$2,FECHA_TC,"&lt;="&amp;BM$3,CLAVE_TC,$A34)+SUMIFS(SALIDAS_COMB,FECHA_COMB,"&gt;="&amp;BM$2,FECHA_COMB,"&lt;="&amp;BM$3,CLAVE_COMB,$A34)+SUMIFS(SALIDAS_DES,FECHA_DESGLOSEN,"&gt;="&amp;BM$2,FECHA_DESGLOSEN,"&lt;="&amp;BM$3,CLAVE_DESGLOSE,$A34)</f>
        <v>22753</v>
      </c>
      <c r="BN34" s="13">
        <f>SUMIFS(SALIDAS_BIT,FECHA_BIT,"&gt;="&amp;BN$2,FECHA_BIT,"&lt;="&amp;BN$3,CLAVE_BIT,$A34)+SUMIFS(SALIDAS_BOV1,FECHA_BOV1,"&gt;="&amp;BN$2,FECHA_BOV1,"&lt;="&amp;BN$3,CLAVE_BOV1,$A34)+SUMIFS(SALIDAS_BOV2,FECHA_BOV2,"&gt;="&amp;BN$2,FECHA_BOV2,"&lt;="&amp;BN$3,CLAVE_BOV2,$A34)+SUMIFS(SALIDAS_BOV3,FECHA_BOV3,"&gt;="&amp;BN$2,FECHA_BOV3,"&lt;="&amp;BN$3,CLAVE_BOV3,$A34)+SUMIFS(SALIDAS_TC,FECHA_TC,"&gt;="&amp;BN$2,FECHA_TC,"&lt;="&amp;BN$3,CLAVE_TC,$A34)+SUMIFS(SALIDAS_COMB,FECHA_COMB,"&gt;="&amp;BN$2,FECHA_COMB,"&lt;="&amp;BN$3,CLAVE_COMB,$A34)+SUMIFS(SALIDAS_DES,FECHA_DESGLOSEN,"&gt;="&amp;BN$2,FECHA_DESGLOSEN,"&lt;="&amp;BN$3,CLAVE_DESGLOSE,$A34)</f>
        <v>22550.2</v>
      </c>
      <c r="BO34" s="13">
        <f>SUMIFS(SALIDAS_BIT,FECHA_BIT,"&gt;="&amp;BO$2,FECHA_BIT,"&lt;="&amp;BO$3,CLAVE_BIT,$A34)+SUMIFS(SALIDAS_BOV1,FECHA_BOV1,"&gt;="&amp;BO$2,FECHA_BOV1,"&lt;="&amp;BO$3,CLAVE_BOV1,$A34)+SUMIFS(SALIDAS_BOV2,FECHA_BOV2,"&gt;="&amp;BO$2,FECHA_BOV2,"&lt;="&amp;BO$3,CLAVE_BOV2,$A34)+SUMIFS(SALIDAS_BOV3,FECHA_BOV3,"&gt;="&amp;BO$2,FECHA_BOV3,"&lt;="&amp;BO$3,CLAVE_BOV3,$A34)+SUMIFS(SALIDAS_TC,FECHA_TC,"&gt;="&amp;BO$2,FECHA_TC,"&lt;="&amp;BO$3,CLAVE_TC,$A34)+SUMIFS(SALIDAS_COMB,FECHA_COMB,"&gt;="&amp;BO$2,FECHA_COMB,"&lt;="&amp;BO$3,CLAVE_COMB,$A34)+SUMIFS(SALIDAS_DES,FECHA_DESGLOSEN,"&gt;="&amp;BO$2,FECHA_DESGLOSEN,"&lt;="&amp;BO$3,CLAVE_DESGLOSE,$A34)</f>
        <v>22753.200000000001</v>
      </c>
      <c r="BP34" s="13">
        <f>SUMIFS(SALIDAS_BIT,FECHA_BIT,"&gt;="&amp;BP$2,FECHA_BIT,"&lt;="&amp;BP$3,CLAVE_BIT,$A34)+SUMIFS(SALIDAS_BOV1,FECHA_BOV1,"&gt;="&amp;BP$2,FECHA_BOV1,"&lt;="&amp;BP$3,CLAVE_BOV1,$A34)+SUMIFS(SALIDAS_BOV2,FECHA_BOV2,"&gt;="&amp;BP$2,FECHA_BOV2,"&lt;="&amp;BP$3,CLAVE_BOV2,$A34)+SUMIFS(SALIDAS_BOV3,FECHA_BOV3,"&gt;="&amp;BP$2,FECHA_BOV3,"&lt;="&amp;BP$3,CLAVE_BOV3,$A34)+SUMIFS(SALIDAS_TC,FECHA_TC,"&gt;="&amp;BP$2,FECHA_TC,"&lt;="&amp;BP$3,CLAVE_TC,$A34)+SUMIFS(SALIDAS_COMB,FECHA_COMB,"&gt;="&amp;BP$2,FECHA_COMB,"&lt;="&amp;BP$3,CLAVE_COMB,$A34)+SUMIFS(SALIDAS_DES,FECHA_DESGLOSEN,"&gt;="&amp;BP$2,FECHA_DESGLOSEN,"&lt;="&amp;BP$3,CLAVE_DESGLOSE,$A34)</f>
        <v>27544</v>
      </c>
      <c r="BQ34" s="13">
        <f>SUMIFS(SALIDAS_BIT,FECHA_BIT,"&gt;="&amp;BQ$2,FECHA_BIT,"&lt;="&amp;BQ$3,CLAVE_BIT,$A34)+SUMIFS(SALIDAS_BOV1,FECHA_BOV1,"&gt;="&amp;BQ$2,FECHA_BOV1,"&lt;="&amp;BQ$3,CLAVE_BOV1,$A34)+SUMIFS(SALIDAS_BOV2,FECHA_BOV2,"&gt;="&amp;BQ$2,FECHA_BOV2,"&lt;="&amp;BQ$3,CLAVE_BOV2,$A34)+SUMIFS(SALIDAS_BOV3,FECHA_BOV3,"&gt;="&amp;BQ$2,FECHA_BOV3,"&lt;="&amp;BQ$3,CLAVE_BOV3,$A34)+SUMIFS(SALIDAS_TC,FECHA_TC,"&gt;="&amp;BQ$2,FECHA_TC,"&lt;="&amp;BQ$3,CLAVE_TC,$A34)+SUMIFS(SALIDAS_COMB,FECHA_COMB,"&gt;="&amp;BQ$2,FECHA_COMB,"&lt;="&amp;BQ$3,CLAVE_COMB,$A34)+SUMIFS(SALIDAS_DES,FECHA_DESGLOSEN,"&gt;="&amp;BQ$2,FECHA_DESGLOSEN,"&lt;="&amp;BQ$3,CLAVE_DESGLOSE,$A34)</f>
        <v>22733.200000000001</v>
      </c>
      <c r="BR34" s="13">
        <f>SUMIFS(SALIDAS_BIT,FECHA_BIT,"&gt;="&amp;BR$2,FECHA_BIT,"&lt;="&amp;BR$3,CLAVE_BIT,$A34)+SUMIFS(SALIDAS_BOV1,FECHA_BOV1,"&gt;="&amp;BR$2,FECHA_BOV1,"&lt;="&amp;BR$3,CLAVE_BOV1,$A34)+SUMIFS(SALIDAS_BOV2,FECHA_BOV2,"&gt;="&amp;BR$2,FECHA_BOV2,"&lt;="&amp;BR$3,CLAVE_BOV2,$A34)+SUMIFS(SALIDAS_BOV3,FECHA_BOV3,"&gt;="&amp;BR$2,FECHA_BOV3,"&lt;="&amp;BR$3,CLAVE_BOV3,$A34)+SUMIFS(SALIDAS_TC,FECHA_TC,"&gt;="&amp;BR$2,FECHA_TC,"&lt;="&amp;BR$3,CLAVE_TC,$A34)+SUMIFS(SALIDAS_COMB,FECHA_COMB,"&gt;="&amp;BR$2,FECHA_COMB,"&lt;="&amp;BR$3,CLAVE_COMB,$A34)+SUMIFS(SALIDAS_DES,FECHA_DESGLOSEN,"&gt;="&amp;BR$2,FECHA_DESGLOSEN,"&lt;="&amp;BR$3,CLAVE_DESGLOSE,$A34)</f>
        <v>118333.59999999999</v>
      </c>
      <c r="BS34" s="68">
        <f t="shared" si="72"/>
        <v>-15208.599999999991</v>
      </c>
      <c r="BT34" s="401">
        <f t="shared" si="73"/>
        <v>1.1474773333333332</v>
      </c>
      <c r="BU34" s="13">
        <f t="shared" si="49"/>
        <v>82500</v>
      </c>
      <c r="BV34" s="13">
        <f t="shared" si="90"/>
        <v>23024.799999999999</v>
      </c>
      <c r="BW34" s="13">
        <f t="shared" si="90"/>
        <v>22297.8</v>
      </c>
      <c r="BX34" s="13">
        <f t="shared" si="90"/>
        <v>22681</v>
      </c>
      <c r="BY34" s="13">
        <f t="shared" si="90"/>
        <v>22750.799999999999</v>
      </c>
      <c r="BZ34" s="13">
        <f t="shared" si="99"/>
        <v>90754.400000000009</v>
      </c>
      <c r="CA34" s="68">
        <f t="shared" si="74"/>
        <v>-8254.4000000000087</v>
      </c>
      <c r="CB34" s="268">
        <f t="shared" si="75"/>
        <v>1.1000533333333335</v>
      </c>
      <c r="CC34" s="13">
        <f t="shared" si="51"/>
        <v>82500</v>
      </c>
      <c r="CD34" s="13">
        <f t="shared" si="91"/>
        <v>22397.8</v>
      </c>
      <c r="CE34" s="13">
        <f t="shared" si="91"/>
        <v>22948.799999999999</v>
      </c>
      <c r="CF34" s="13">
        <f t="shared" si="91"/>
        <v>29455.8</v>
      </c>
      <c r="CG34" s="13">
        <f t="shared" si="91"/>
        <v>22753.4</v>
      </c>
      <c r="CH34" s="13">
        <f t="shared" si="100"/>
        <v>97555.799999999988</v>
      </c>
      <c r="CI34" s="68">
        <f t="shared" si="76"/>
        <v>-15055.799999999988</v>
      </c>
      <c r="CJ34" s="268">
        <f t="shared" si="77"/>
        <v>1.1824945454545452</v>
      </c>
      <c r="CK34" s="13">
        <f t="shared" si="53"/>
        <v>105992</v>
      </c>
      <c r="CL34" s="13">
        <f t="shared" si="92"/>
        <v>22753.200000000001</v>
      </c>
      <c r="CM34" s="13">
        <f t="shared" si="92"/>
        <v>27238</v>
      </c>
      <c r="CN34" s="13">
        <f t="shared" si="92"/>
        <v>32180.2</v>
      </c>
      <c r="CO34" s="13">
        <f t="shared" si="92"/>
        <v>36048.199999999997</v>
      </c>
      <c r="CP34" s="13">
        <f t="shared" si="92"/>
        <v>37634.400000000001</v>
      </c>
      <c r="CQ34" s="13">
        <f t="shared" si="101"/>
        <v>155854</v>
      </c>
      <c r="CR34" s="68">
        <f t="shared" si="78"/>
        <v>-49862</v>
      </c>
      <c r="CS34" s="268">
        <f t="shared" si="79"/>
        <v>1.4704317306966563</v>
      </c>
      <c r="CT34" s="68">
        <f t="shared" si="55"/>
        <v>102552</v>
      </c>
      <c r="CU34" s="13">
        <f>SUMIFS(SALIDAS_BIT,FECHA_BIT,"&gt;="&amp;CU$2,FECHA_BIT,"&lt;="&amp;CU$3,CLAVE_BIT,$A34)+SUMIFS(SALIDAS_BOV1,FECHA_BOV1,"&gt;="&amp;CU$2,FECHA_BOV1,"&lt;="&amp;CU$3,CLAVE_BOV1,$A34)+SUMIFS(SALIDAS_BOV2,FECHA_BOV2,"&gt;="&amp;CU$2,FECHA_BOV2,"&lt;="&amp;CU$3,CLAVE_BOV2,$A34)+SUMIFS(SALIDAS_BOV3,FECHA_BOV3,"&gt;="&amp;CU$2,FECHA_BOV3,"&lt;="&amp;CU$3,CLAVE_BOV3,$A34)+SUMIFS(SALIDAS_TC,FECHA_TC,"&gt;="&amp;CU$2,FECHA_TC,"&lt;="&amp;CU$3,CLAVE_TC,$A34)+SUMIFS(SALIDAS_COMB,FECHA_COMB,"&gt;="&amp;CU$2,FECHA_COMB,"&lt;="&amp;CU$3,CLAVE_COMB,$A34)+SUMIFS(SALIDAS_DES,FECHA_DESGLOSEN,"&gt;="&amp;CU$2,FECHA_DESGLOSEN,"&lt;="&amp;CU$3,CLAVE_DESGLOSE,$A34)</f>
        <v>24693.200000000001</v>
      </c>
      <c r="CV34" s="13">
        <f>SUMIFS(SALIDAS_BIT,FECHA_BIT,"&gt;="&amp;CV$2,FECHA_BIT,"&lt;="&amp;CV$3,CLAVE_BIT,$A34)+SUMIFS(SALIDAS_BOV1,FECHA_BOV1,"&gt;="&amp;CV$2,FECHA_BOV1,"&lt;="&amp;CV$3,CLAVE_BOV1,$A34)+SUMIFS(SALIDAS_BOV2,FECHA_BOV2,"&gt;="&amp;CV$2,FECHA_BOV2,"&lt;="&amp;CV$3,CLAVE_BOV2,$A34)+SUMIFS(SALIDAS_BOV3,FECHA_BOV3,"&gt;="&amp;CV$2,FECHA_BOV3,"&lt;="&amp;CV$3,CLAVE_BOV3,$A34)+SUMIFS(SALIDAS_TC,FECHA_TC,"&gt;="&amp;CV$2,FECHA_TC,"&lt;="&amp;CV$3,CLAVE_TC,$A34)+SUMIFS(SALIDAS_COMB,FECHA_COMB,"&gt;="&amp;CV$2,FECHA_COMB,"&lt;="&amp;CV$3,CLAVE_COMB,$A34)+SUMIFS(SALIDAS_DES,FECHA_DESGLOSEN,"&gt;="&amp;CV$2,FECHA_DESGLOSEN,"&lt;="&amp;CV$3,CLAVE_DESGLOSE,$A34)</f>
        <v>22954.2</v>
      </c>
      <c r="CW34" s="13">
        <f>SUMIFS(SALIDAS_BIT,FECHA_BIT,"&gt;="&amp;CW$2,FECHA_BIT,"&lt;="&amp;CW$3,CLAVE_BIT,$A34)+SUMIFS(SALIDAS_BOV1,FECHA_BOV1,"&gt;="&amp;CW$2,FECHA_BOV1,"&lt;="&amp;CW$3,CLAVE_BOV1,$A34)+SUMIFS(SALIDAS_BOV2,FECHA_BOV2,"&gt;="&amp;CW$2,FECHA_BOV2,"&lt;="&amp;CW$3,CLAVE_BOV2,$A34)+SUMIFS(SALIDAS_BOV3,FECHA_BOV3,"&gt;="&amp;CW$2,FECHA_BOV3,"&lt;="&amp;CW$3,CLAVE_BOV3,$A34)+SUMIFS(SALIDAS_TC,FECHA_TC,"&gt;="&amp;CW$2,FECHA_TC,"&lt;="&amp;CW$3,CLAVE_TC,$A34)+SUMIFS(SALIDAS_COMB,FECHA_COMB,"&gt;="&amp;CW$2,FECHA_COMB,"&lt;="&amp;CW$3,CLAVE_COMB,$A34)+SUMIFS(SALIDAS_DES,FECHA_DESGLOSEN,"&gt;="&amp;CW$2,FECHA_DESGLOSEN,"&lt;="&amp;CW$3,CLAVE_DESGLOSE,$A34)</f>
        <v>23809.200000000001</v>
      </c>
      <c r="CX34" s="13">
        <f>SUMIFS(SALIDAS_BIT,FECHA_BIT,"&gt;="&amp;CX$2,FECHA_BIT,"&lt;="&amp;CX$3,CLAVE_BIT,$A34)+SUMIFS(SALIDAS_BOV1,FECHA_BOV1,"&gt;="&amp;CX$2,FECHA_BOV1,"&lt;="&amp;CX$3,CLAVE_BOV1,$A34)+SUMIFS(SALIDAS_BOV2,FECHA_BOV2,"&gt;="&amp;CX$2,FECHA_BOV2,"&lt;="&amp;CX$3,CLAVE_BOV2,$A34)+SUMIFS(SALIDAS_BOV3,FECHA_BOV3,"&gt;="&amp;CX$2,FECHA_BOV3,"&lt;="&amp;CX$3,CLAVE_BOV3,$A34)+SUMIFS(SALIDAS_TC,FECHA_TC,"&gt;="&amp;CX$2,FECHA_TC,"&lt;="&amp;CX$3,CLAVE_TC,$A34)+SUMIFS(SALIDAS_COMB,FECHA_COMB,"&gt;="&amp;CX$2,FECHA_COMB,"&lt;="&amp;CX$3,CLAVE_COMB,$A34)+SUMIFS(SALIDAS_DES,FECHA_DESGLOSEN,"&gt;="&amp;CX$2,FECHA_DESGLOSEN,"&lt;="&amp;CX$3,CLAVE_DESGLOSE,$A34)</f>
        <v>23707.8</v>
      </c>
      <c r="CY34" s="13">
        <f>SUMIFS(SALIDAS_BIT,FECHA_BIT,"&gt;="&amp;CY$2,FECHA_BIT,"&lt;="&amp;CY$3,CLAVE_BIT,$A34)+SUMIFS(SALIDAS_BOV1,FECHA_BOV1,"&gt;="&amp;CY$2,FECHA_BOV1,"&lt;="&amp;CY$3,CLAVE_BOV1,$A34)+SUMIFS(SALIDAS_BOV2,FECHA_BOV2,"&gt;="&amp;CY$2,FECHA_BOV2,"&lt;="&amp;CY$3,CLAVE_BOV2,$A34)+SUMIFS(SALIDAS_BOV3,FECHA_BOV3,"&gt;="&amp;CY$2,FECHA_BOV3,"&lt;="&amp;CY$3,CLAVE_BOV3,$A34)+SUMIFS(SALIDAS_TC,FECHA_TC,"&gt;="&amp;CY$2,FECHA_TC,"&lt;="&amp;CY$3,CLAVE_TC,$A34)+SUMIFS(SALIDAS_COMB,FECHA_COMB,"&gt;="&amp;CY$2,FECHA_COMB,"&lt;="&amp;CY$3,CLAVE_COMB,$A34)+SUMIFS(SALIDAS_DES,FECHA_DESGLOSEN,"&gt;="&amp;CY$2,FECHA_DESGLOSEN,"&lt;="&amp;CY$3,CLAVE_DESGLOSE,$A34)</f>
        <v>95164.400000000009</v>
      </c>
      <c r="CZ34" s="68">
        <f t="shared" si="80"/>
        <v>7387.5999999999913</v>
      </c>
      <c r="DB34" s="17">
        <f>F34+N34+W34+AE34+AM34+AV34+BD34+BL34+BU34+CC34+CK34</f>
        <v>902942</v>
      </c>
      <c r="DC34" s="17">
        <f>K34+T34+AB34+AJ34+AS34+BA34+BI34+BR34+BZ34+CH34+CQ34</f>
        <v>1105366.6000000001</v>
      </c>
    </row>
    <row r="35" spans="1:107" hidden="1">
      <c r="A35" s="12" t="str">
        <f t="shared" si="57"/>
        <v>HRNOMINA ADMONHR</v>
      </c>
      <c r="B35" s="12">
        <v>29</v>
      </c>
      <c r="C35" t="s">
        <v>29</v>
      </c>
      <c r="D35" s="12" t="s">
        <v>147</v>
      </c>
      <c r="E35" s="12" t="s">
        <v>29</v>
      </c>
      <c r="F35" s="259">
        <f t="shared" si="58"/>
        <v>145405</v>
      </c>
      <c r="G35" s="13">
        <f t="shared" si="93"/>
        <v>37945.93</v>
      </c>
      <c r="H35" s="13">
        <f t="shared" si="93"/>
        <v>38945.33</v>
      </c>
      <c r="I35" s="13">
        <f t="shared" si="93"/>
        <v>37945.199999999997</v>
      </c>
      <c r="J35" s="13">
        <f t="shared" si="93"/>
        <v>34144.729999999996</v>
      </c>
      <c r="K35" s="13">
        <f t="shared" si="93"/>
        <v>148981.19</v>
      </c>
      <c r="L35" s="68">
        <f t="shared" si="59"/>
        <v>-3576.1900000000023</v>
      </c>
      <c r="M35" s="268">
        <f t="shared" si="60"/>
        <v>1.0245946838141742</v>
      </c>
      <c r="N35" s="13">
        <f t="shared" si="36"/>
        <v>187342</v>
      </c>
      <c r="O35" s="13">
        <f t="shared" si="94"/>
        <v>33544.53</v>
      </c>
      <c r="P35" s="13">
        <f t="shared" si="94"/>
        <v>33945.009999999995</v>
      </c>
      <c r="Q35" s="13">
        <f t="shared" si="94"/>
        <v>33945.009999999995</v>
      </c>
      <c r="R35" s="13">
        <f t="shared" si="94"/>
        <v>36945.21</v>
      </c>
      <c r="S35" s="13">
        <f t="shared" si="94"/>
        <v>37344.81</v>
      </c>
      <c r="T35" s="13">
        <f t="shared" si="94"/>
        <v>175724.56999999998</v>
      </c>
      <c r="U35" s="68">
        <f t="shared" si="61"/>
        <v>11617.430000000022</v>
      </c>
      <c r="V35" s="268">
        <f t="shared" si="62"/>
        <v>0.93798811798742399</v>
      </c>
      <c r="W35" s="13">
        <f t="shared" si="38"/>
        <v>148016</v>
      </c>
      <c r="X35" s="13">
        <f t="shared" si="95"/>
        <v>37342.410000000003</v>
      </c>
      <c r="Y35" s="13">
        <f t="shared" si="95"/>
        <v>36944.81</v>
      </c>
      <c r="Z35" s="13">
        <f t="shared" si="95"/>
        <v>36905.21</v>
      </c>
      <c r="AA35" s="13">
        <f t="shared" si="95"/>
        <v>36945.009999999995</v>
      </c>
      <c r="AB35" s="13">
        <f t="shared" si="95"/>
        <v>148137.44</v>
      </c>
      <c r="AC35" s="68">
        <f t="shared" si="63"/>
        <v>-121.44000000000233</v>
      </c>
      <c r="AD35" s="268">
        <f t="shared" si="64"/>
        <v>1.0008204518430439</v>
      </c>
      <c r="AE35" s="13">
        <f t="shared" si="40"/>
        <v>149814</v>
      </c>
      <c r="AF35" s="13">
        <f t="shared" si="96"/>
        <v>40151.81</v>
      </c>
      <c r="AG35" s="13">
        <f t="shared" si="96"/>
        <v>36948.81</v>
      </c>
      <c r="AH35" s="13">
        <f t="shared" si="96"/>
        <v>36945.009999999995</v>
      </c>
      <c r="AI35" s="13">
        <f t="shared" si="96"/>
        <v>34271.21</v>
      </c>
      <c r="AJ35" s="13">
        <f t="shared" si="96"/>
        <v>148316.84</v>
      </c>
      <c r="AK35" s="68">
        <f t="shared" si="65"/>
        <v>1497.1600000000035</v>
      </c>
      <c r="AL35" s="268">
        <f t="shared" si="66"/>
        <v>0.99000654144472477</v>
      </c>
      <c r="AM35" s="13">
        <f t="shared" si="42"/>
        <v>184115</v>
      </c>
      <c r="AN35" s="13">
        <f t="shared" si="97"/>
        <v>32857.21</v>
      </c>
      <c r="AO35" s="13">
        <f t="shared" si="97"/>
        <v>33844.21</v>
      </c>
      <c r="AP35" s="13">
        <f t="shared" si="97"/>
        <v>37562.009999999995</v>
      </c>
      <c r="AQ35" s="13">
        <f t="shared" si="97"/>
        <v>37739.21</v>
      </c>
      <c r="AR35" s="13">
        <f t="shared" si="97"/>
        <v>37012.21</v>
      </c>
      <c r="AS35" s="13">
        <f t="shared" si="97"/>
        <v>179014.84999999998</v>
      </c>
      <c r="AT35" s="68">
        <f>AM35-AS35</f>
        <v>5100.1500000000233</v>
      </c>
      <c r="AU35" s="268">
        <f t="shared" si="67"/>
        <v>0.97229910653667528</v>
      </c>
      <c r="AV35" s="13">
        <f t="shared" si="44"/>
        <v>142895</v>
      </c>
      <c r="AW35" s="13">
        <f t="shared" si="98"/>
        <v>38572.6</v>
      </c>
      <c r="AX35" s="13">
        <f t="shared" si="98"/>
        <v>37344</v>
      </c>
      <c r="AY35" s="13">
        <f t="shared" si="98"/>
        <v>30054.6</v>
      </c>
      <c r="AZ35" s="13">
        <f>SUMIFS(SALIDAS_BIT,FECHA_BIT,"&gt;="&amp;AZ$2,FECHA_BIT,"&lt;="&amp;AZ$3,CLAVE_BIT,$A35)+SUMIFS(SALIDAS_BOV1,FECHA_BOV1,"&gt;="&amp;AZ$2,FECHA_BOV1,"&lt;="&amp;AZ$3,CLAVE_BOV1,$A35)+SUMIFS(SALIDAS_BOV2,FECHA_BOV2,"&gt;="&amp;AZ$2,FECHA_BOV2,"&lt;="&amp;AZ$3,CLAVE_BOV2,$A35)+SUMIFS(SALIDAS_BOV3,FECHA_BOV3,"&gt;="&amp;AZ$2,FECHA_BOV3,"&lt;="&amp;AZ$3,CLAVE_BOV3,$A35)+SUMIFS(SALIDAS_TC,FECHA_TC,"&gt;="&amp;AZ$2,FECHA_TC,"&lt;="&amp;AZ$3,CLAVE_TC,$A35)+SUMIFS(SALIDAS_COMB,FECHA_COMB,"&gt;="&amp;AZ$2,FECHA_COMB,"&lt;="&amp;AZ$3,CLAVE_COMB,$A35)+SUMIFS(SALIDAS_DES,FECHA_DESGLOSEN,"&gt;="&amp;AZ$2,FECHA_DESGLOSEN,"&lt;="&amp;AZ$3,CLAVE_DESGLOSE,$A35)</f>
        <v>27052</v>
      </c>
      <c r="BA35" s="13">
        <f t="shared" si="98"/>
        <v>133023.20000000001</v>
      </c>
      <c r="BB35" s="68">
        <f t="shared" si="68"/>
        <v>9871.7999999999884</v>
      </c>
      <c r="BC35" s="268">
        <f t="shared" si="69"/>
        <v>0.93091570733755558</v>
      </c>
      <c r="BD35" s="13">
        <f t="shared" si="46"/>
        <v>140164</v>
      </c>
      <c r="BE35" s="13">
        <f>SUMIFS(SALIDAS_BIT,FECHA_BIT,"&gt;="&amp;BE$2,FECHA_BIT,"&lt;="&amp;BE$3,CLAVE_BIT,$A35)+SUMIFS(SALIDAS_BOV1,FECHA_BOV1,"&gt;="&amp;BE$2,FECHA_BOV1,"&lt;="&amp;BE$3,CLAVE_BOV1,$A35)+SUMIFS(SALIDAS_BOV2,FECHA_BOV2,"&gt;="&amp;BE$2,FECHA_BOV2,"&lt;="&amp;BE$3,CLAVE_BOV2,$A35)+SUMIFS(SALIDAS_BOV3,FECHA_BOV3,"&gt;="&amp;BE$2,FECHA_BOV3,"&lt;="&amp;BE$3,CLAVE_BOV3,$A35)+SUMIFS(SALIDAS_TC,FECHA_TC,"&gt;="&amp;BE$2,FECHA_TC,"&lt;="&amp;BE$3,CLAVE_TC,$A35)+SUMIFS(SALIDAS_COMB,FECHA_COMB,"&gt;="&amp;BE$2,FECHA_COMB,"&lt;="&amp;BE$3,CLAVE_COMB,$A35)+SUMIFS(SALIDAS_DES,FECHA_DESGLOSEN,"&gt;="&amp;BE$2,FECHA_DESGLOSEN,"&lt;="&amp;BE$3,CLAVE_DESGLOSE,$A35)</f>
        <v>34144.199999999997</v>
      </c>
      <c r="BF35" s="13">
        <f>SUMIFS(SALIDAS_BIT,FECHA_BIT,"&gt;="&amp;BF$2,FECHA_BIT,"&lt;="&amp;BF$3,CLAVE_BIT,$A35)+SUMIFS(SALIDAS_BOV1,FECHA_BOV1,"&gt;="&amp;BF$2,FECHA_BOV1,"&lt;="&amp;BF$3,CLAVE_BOV1,$A35)+SUMIFS(SALIDAS_BOV2,FECHA_BOV2,"&gt;="&amp;BF$2,FECHA_BOV2,"&lt;="&amp;BF$3,CLAVE_BOV2,$A35)+SUMIFS(SALIDAS_BOV3,FECHA_BOV3,"&gt;="&amp;BF$2,FECHA_BOV3,"&lt;="&amp;BF$3,CLAVE_BOV3,$A35)+SUMIFS(SALIDAS_TC,FECHA_TC,"&gt;="&amp;BF$2,FECHA_TC,"&lt;="&amp;BF$3,CLAVE_TC,$A35)+SUMIFS(SALIDAS_COMB,FECHA_COMB,"&gt;="&amp;BF$2,FECHA_COMB,"&lt;="&amp;BF$3,CLAVE_COMB,$A35)+SUMIFS(SALIDAS_DES,FECHA_DESGLOSEN,"&gt;="&amp;BF$2,FECHA_DESGLOSEN,"&lt;="&amp;BF$3,CLAVE_DESGLOSE,$A35)</f>
        <v>35244.800000000003</v>
      </c>
      <c r="BG35" s="13">
        <f>SUMIFS(SALIDAS_BIT,FECHA_BIT,"&gt;="&amp;BG$2,FECHA_BIT,"&lt;="&amp;BG$3,CLAVE_BIT,$A35)+SUMIFS(SALIDAS_BOV1,FECHA_BOV1,"&gt;="&amp;BG$2,FECHA_BOV1,"&lt;="&amp;BG$3,CLAVE_BOV1,$A35)+SUMIFS(SALIDAS_BOV2,FECHA_BOV2,"&gt;="&amp;BG$2,FECHA_BOV2,"&lt;="&amp;BG$3,CLAVE_BOV2,$A35)+SUMIFS(SALIDAS_BOV3,FECHA_BOV3,"&gt;="&amp;BG$2,FECHA_BOV3,"&lt;="&amp;BG$3,CLAVE_BOV3,$A35)+SUMIFS(SALIDAS_TC,FECHA_TC,"&gt;="&amp;BG$2,FECHA_TC,"&lt;="&amp;BG$3,CLAVE_TC,$A35)+SUMIFS(SALIDAS_COMB,FECHA_COMB,"&gt;="&amp;BG$2,FECHA_COMB,"&lt;="&amp;BG$3,CLAVE_COMB,$A35)+SUMIFS(SALIDAS_DES,FECHA_DESGLOSEN,"&gt;="&amp;BG$2,FECHA_DESGLOSEN,"&lt;="&amp;BG$3,CLAVE_DESGLOSE,$A35)</f>
        <v>34043.199999999997</v>
      </c>
      <c r="BH35" s="13">
        <f>SUMIFS(SALIDAS_BIT,FECHA_BIT,"&gt;="&amp;BH$2,FECHA_BIT,"&lt;="&amp;BH$3,CLAVE_BIT,$A35)+SUMIFS(SALIDAS_BOV1,FECHA_BOV1,"&gt;="&amp;BH$2,FECHA_BOV1,"&lt;="&amp;BH$3,CLAVE_BOV1,$A35)+SUMIFS(SALIDAS_BOV2,FECHA_BOV2,"&gt;="&amp;BH$2,FECHA_BOV2,"&lt;="&amp;BH$3,CLAVE_BOV2,$A35)+SUMIFS(SALIDAS_BOV3,FECHA_BOV3,"&gt;="&amp;BH$2,FECHA_BOV3,"&lt;="&amp;BH$3,CLAVE_BOV3,$A35)+SUMIFS(SALIDAS_TC,FECHA_TC,"&gt;="&amp;BH$2,FECHA_TC,"&lt;="&amp;BH$3,CLAVE_TC,$A35)+SUMIFS(SALIDAS_COMB,FECHA_COMB,"&gt;="&amp;BH$2,FECHA_COMB,"&lt;="&amp;BH$3,CLAVE_COMB,$A35)+SUMIFS(SALIDAS_DES,FECHA_DESGLOSEN,"&gt;="&amp;BH$2,FECHA_DESGLOSEN,"&lt;="&amp;BH$3,CLAVE_DESGLOSE,$A35)</f>
        <v>29742</v>
      </c>
      <c r="BI35" s="13">
        <f>SUMIFS(SALIDAS_BIT,FECHA_BIT,"&gt;="&amp;BI$2,FECHA_BIT,"&lt;="&amp;BI$3,CLAVE_BIT,$A35)+SUMIFS(SALIDAS_BOV1,FECHA_BOV1,"&gt;="&amp;BI$2,FECHA_BOV1,"&lt;="&amp;BI$3,CLAVE_BOV1,$A35)+SUMIFS(SALIDAS_BOV2,FECHA_BOV2,"&gt;="&amp;BI$2,FECHA_BOV2,"&lt;="&amp;BI$3,CLAVE_BOV2,$A35)+SUMIFS(SALIDAS_BOV3,FECHA_BOV3,"&gt;="&amp;BI$2,FECHA_BOV3,"&lt;="&amp;BI$3,CLAVE_BOV3,$A35)+SUMIFS(SALIDAS_TC,FECHA_TC,"&gt;="&amp;BI$2,FECHA_TC,"&lt;="&amp;BI$3,CLAVE_TC,$A35)+SUMIFS(SALIDAS_COMB,FECHA_COMB,"&gt;="&amp;BI$2,FECHA_COMB,"&lt;="&amp;BI$3,CLAVE_COMB,$A35)+SUMIFS(SALIDAS_DES,FECHA_DESGLOSEN,"&gt;="&amp;BI$2,FECHA_DESGLOSEN,"&lt;="&amp;BI$3,CLAVE_DESGLOSE,$A35)</f>
        <v>133174.20000000001</v>
      </c>
      <c r="BJ35" s="68">
        <f t="shared" si="70"/>
        <v>6989.7999999999884</v>
      </c>
      <c r="BK35" s="268">
        <f t="shared" si="71"/>
        <v>0.95013127479238613</v>
      </c>
      <c r="BL35" s="13">
        <f t="shared" si="47"/>
        <v>154796</v>
      </c>
      <c r="BM35" s="13">
        <f>SUMIFS(SALIDAS_BIT,FECHA_BIT,"&gt;="&amp;BM$2,FECHA_BIT,"&lt;="&amp;BM$3,CLAVE_BIT,$A35)+SUMIFS(SALIDAS_BOV1,FECHA_BOV1,"&gt;="&amp;BM$2,FECHA_BOV1,"&lt;="&amp;BM$3,CLAVE_BOV1,$A35)+SUMIFS(SALIDAS_BOV2,FECHA_BOV2,"&gt;="&amp;BM$2,FECHA_BOV2,"&lt;="&amp;BM$3,CLAVE_BOV2,$A35)+SUMIFS(SALIDAS_BOV3,FECHA_BOV3,"&gt;="&amp;BM$2,FECHA_BOV3,"&lt;="&amp;BM$3,CLAVE_BOV3,$A35)+SUMIFS(SALIDAS_TC,FECHA_TC,"&gt;="&amp;BM$2,FECHA_TC,"&lt;="&amp;BM$3,CLAVE_TC,$A35)+SUMIFS(SALIDAS_COMB,FECHA_COMB,"&gt;="&amp;BM$2,FECHA_COMB,"&lt;="&amp;BM$3,CLAVE_COMB,$A35)+SUMIFS(SALIDAS_DES,FECHA_DESGLOSEN,"&gt;="&amp;BM$2,FECHA_DESGLOSEN,"&lt;="&amp;BM$3,CLAVE_DESGLOSE,$A35)</f>
        <v>34343.800000000003</v>
      </c>
      <c r="BN35" s="13">
        <f>SUMIFS(SALIDAS_BIT,FECHA_BIT,"&gt;="&amp;BN$2,FECHA_BIT,"&lt;="&amp;BN$3,CLAVE_BIT,$A35)+SUMIFS(SALIDAS_BOV1,FECHA_BOV1,"&gt;="&amp;BN$2,FECHA_BOV1,"&lt;="&amp;BN$3,CLAVE_BOV1,$A35)+SUMIFS(SALIDAS_BOV2,FECHA_BOV2,"&gt;="&amp;BN$2,FECHA_BOV2,"&lt;="&amp;BN$3,CLAVE_BOV2,$A35)+SUMIFS(SALIDAS_BOV3,FECHA_BOV3,"&gt;="&amp;BN$2,FECHA_BOV3,"&lt;="&amp;BN$3,CLAVE_BOV3,$A35)+SUMIFS(SALIDAS_TC,FECHA_TC,"&gt;="&amp;BN$2,FECHA_TC,"&lt;="&amp;BN$3,CLAVE_TC,$A35)+SUMIFS(SALIDAS_COMB,FECHA_COMB,"&gt;="&amp;BN$2,FECHA_COMB,"&lt;="&amp;BN$3,CLAVE_COMB,$A35)+SUMIFS(SALIDAS_DES,FECHA_DESGLOSEN,"&gt;="&amp;BN$2,FECHA_DESGLOSEN,"&lt;="&amp;BN$3,CLAVE_DESGLOSE,$A35)</f>
        <v>30644.2</v>
      </c>
      <c r="BO35" s="13">
        <f>SUMIFS(SALIDAS_BIT,FECHA_BIT,"&gt;="&amp;BO$2,FECHA_BIT,"&lt;="&amp;BO$3,CLAVE_BIT,$A35)+SUMIFS(SALIDAS_BOV1,FECHA_BOV1,"&gt;="&amp;BO$2,FECHA_BOV1,"&lt;="&amp;BO$3,CLAVE_BOV1,$A35)+SUMIFS(SALIDAS_BOV2,FECHA_BOV2,"&gt;="&amp;BO$2,FECHA_BOV2,"&lt;="&amp;BO$3,CLAVE_BOV2,$A35)+SUMIFS(SALIDAS_BOV3,FECHA_BOV3,"&gt;="&amp;BO$2,FECHA_BOV3,"&lt;="&amp;BO$3,CLAVE_BOV3,$A35)+SUMIFS(SALIDAS_TC,FECHA_TC,"&gt;="&amp;BO$2,FECHA_TC,"&lt;="&amp;BO$3,CLAVE_TC,$A35)+SUMIFS(SALIDAS_COMB,FECHA_COMB,"&gt;="&amp;BO$2,FECHA_COMB,"&lt;="&amp;BO$3,CLAVE_COMB,$A35)+SUMIFS(SALIDAS_DES,FECHA_DESGLOSEN,"&gt;="&amp;BO$2,FECHA_DESGLOSEN,"&lt;="&amp;BO$3,CLAVE_DESGLOSE,$A35)</f>
        <v>30628.58</v>
      </c>
      <c r="BP35" s="13">
        <f>SUMIFS(SALIDAS_BIT,FECHA_BIT,"&gt;="&amp;BP$2,FECHA_BIT,"&lt;="&amp;BP$3,CLAVE_BIT,$A35)+SUMIFS(SALIDAS_BOV1,FECHA_BOV1,"&gt;="&amp;BP$2,FECHA_BOV1,"&lt;="&amp;BP$3,CLAVE_BOV1,$A35)+SUMIFS(SALIDAS_BOV2,FECHA_BOV2,"&gt;="&amp;BP$2,FECHA_BOV2,"&lt;="&amp;BP$3,CLAVE_BOV2,$A35)+SUMIFS(SALIDAS_BOV3,FECHA_BOV3,"&gt;="&amp;BP$2,FECHA_BOV3,"&lt;="&amp;BP$3,CLAVE_BOV3,$A35)+SUMIFS(SALIDAS_TC,FECHA_TC,"&gt;="&amp;BP$2,FECHA_TC,"&lt;="&amp;BP$3,CLAVE_TC,$A35)+SUMIFS(SALIDAS_COMB,FECHA_COMB,"&gt;="&amp;BP$2,FECHA_COMB,"&lt;="&amp;BP$3,CLAVE_COMB,$A35)+SUMIFS(SALIDAS_DES,FECHA_DESGLOSEN,"&gt;="&amp;BP$2,FECHA_DESGLOSEN,"&lt;="&amp;BP$3,CLAVE_DESGLOSE,$A35)</f>
        <v>30643.8</v>
      </c>
      <c r="BQ35" s="13">
        <f>SUMIFS(SALIDAS_BIT,FECHA_BIT,"&gt;="&amp;BQ$2,FECHA_BIT,"&lt;="&amp;BQ$3,CLAVE_BIT,$A35)+SUMIFS(SALIDAS_BOV1,FECHA_BOV1,"&gt;="&amp;BQ$2,FECHA_BOV1,"&lt;="&amp;BQ$3,CLAVE_BOV1,$A35)+SUMIFS(SALIDAS_BOV2,FECHA_BOV2,"&gt;="&amp;BQ$2,FECHA_BOV2,"&lt;="&amp;BQ$3,CLAVE_BOV2,$A35)+SUMIFS(SALIDAS_BOV3,FECHA_BOV3,"&gt;="&amp;BQ$2,FECHA_BOV3,"&lt;="&amp;BQ$3,CLAVE_BOV3,$A35)+SUMIFS(SALIDAS_TC,FECHA_TC,"&gt;="&amp;BQ$2,FECHA_TC,"&lt;="&amp;BQ$3,CLAVE_TC,$A35)+SUMIFS(SALIDAS_COMB,FECHA_COMB,"&gt;="&amp;BQ$2,FECHA_COMB,"&lt;="&amp;BQ$3,CLAVE_COMB,$A35)+SUMIFS(SALIDAS_DES,FECHA_DESGLOSEN,"&gt;="&amp;BQ$2,FECHA_DESGLOSEN,"&lt;="&amp;BQ$3,CLAVE_DESGLOSE,$A35)</f>
        <v>30644</v>
      </c>
      <c r="BR35" s="13">
        <f>SUMIFS(SALIDAS_BIT,FECHA_BIT,"&gt;="&amp;BR$2,FECHA_BIT,"&lt;="&amp;BR$3,CLAVE_BIT,$A35)+SUMIFS(SALIDAS_BOV1,FECHA_BOV1,"&gt;="&amp;BR$2,FECHA_BOV1,"&lt;="&amp;BR$3,CLAVE_BOV1,$A35)+SUMIFS(SALIDAS_BOV2,FECHA_BOV2,"&gt;="&amp;BR$2,FECHA_BOV2,"&lt;="&amp;BR$3,CLAVE_BOV2,$A35)+SUMIFS(SALIDAS_BOV3,FECHA_BOV3,"&gt;="&amp;BR$2,FECHA_BOV3,"&lt;="&amp;BR$3,CLAVE_BOV3,$A35)+SUMIFS(SALIDAS_TC,FECHA_TC,"&gt;="&amp;BR$2,FECHA_TC,"&lt;="&amp;BR$3,CLAVE_TC,$A35)+SUMIFS(SALIDAS_COMB,FECHA_COMB,"&gt;="&amp;BR$2,FECHA_COMB,"&lt;="&amp;BR$3,CLAVE_COMB,$A35)+SUMIFS(SALIDAS_DES,FECHA_DESGLOSEN,"&gt;="&amp;BR$2,FECHA_DESGLOSEN,"&lt;="&amp;BR$3,CLAVE_DESGLOSE,$A35)</f>
        <v>156904.38</v>
      </c>
      <c r="BS35" s="68">
        <f t="shared" si="72"/>
        <v>-2108.3800000000047</v>
      </c>
      <c r="BT35" s="268">
        <f t="shared" si="73"/>
        <v>1.0136203777875397</v>
      </c>
      <c r="BU35" s="13">
        <f t="shared" si="49"/>
        <v>146180</v>
      </c>
      <c r="BV35" s="13">
        <f t="shared" si="90"/>
        <v>30910.2</v>
      </c>
      <c r="BW35" s="13">
        <f t="shared" si="90"/>
        <v>33983.199999999997</v>
      </c>
      <c r="BX35" s="13">
        <f t="shared" si="90"/>
        <v>32597.4</v>
      </c>
      <c r="BY35" s="13">
        <f t="shared" si="90"/>
        <v>31039.599999999999</v>
      </c>
      <c r="BZ35" s="13">
        <f t="shared" si="99"/>
        <v>128530.4</v>
      </c>
      <c r="CA35" s="68">
        <f t="shared" si="74"/>
        <v>17649.600000000006</v>
      </c>
      <c r="CB35" s="268">
        <f t="shared" si="75"/>
        <v>0.87926118484060745</v>
      </c>
      <c r="CC35" s="13">
        <f t="shared" si="51"/>
        <v>163105</v>
      </c>
      <c r="CD35" s="13">
        <f t="shared" si="91"/>
        <v>39232.6</v>
      </c>
      <c r="CE35" s="13">
        <f t="shared" si="91"/>
        <v>35697</v>
      </c>
      <c r="CF35" s="13">
        <f t="shared" si="91"/>
        <v>30926.799999999999</v>
      </c>
      <c r="CG35" s="13">
        <f t="shared" si="91"/>
        <v>29109</v>
      </c>
      <c r="CH35" s="13">
        <f t="shared" si="100"/>
        <v>134965.40000000002</v>
      </c>
      <c r="CI35" s="68">
        <f t="shared" si="76"/>
        <v>28139.599999999977</v>
      </c>
      <c r="CJ35" s="268">
        <f t="shared" si="77"/>
        <v>0.82747555255816818</v>
      </c>
      <c r="CK35" s="13">
        <f t="shared" si="53"/>
        <v>247975</v>
      </c>
      <c r="CL35" s="13">
        <f t="shared" si="92"/>
        <v>28844.400000000001</v>
      </c>
      <c r="CM35" s="13">
        <f t="shared" si="92"/>
        <v>32736.400000000001</v>
      </c>
      <c r="CN35" s="13">
        <f t="shared" si="92"/>
        <v>44823.6</v>
      </c>
      <c r="CO35" s="13">
        <f t="shared" si="92"/>
        <v>42802.400000000001</v>
      </c>
      <c r="CP35" s="13">
        <f t="shared" si="92"/>
        <v>30703.8</v>
      </c>
      <c r="CQ35" s="13">
        <f t="shared" si="101"/>
        <v>179910.59999999998</v>
      </c>
      <c r="CR35" s="68">
        <f t="shared" si="78"/>
        <v>68064.400000000023</v>
      </c>
      <c r="CS35" s="268">
        <f t="shared" si="79"/>
        <v>0.72551910474846248</v>
      </c>
      <c r="CT35" s="68">
        <f t="shared" si="55"/>
        <v>128000</v>
      </c>
      <c r="CU35" s="13">
        <f>SUMIFS(SALIDAS_BIT,FECHA_BIT,"&gt;="&amp;CU$2,FECHA_BIT,"&lt;="&amp;CU$3,CLAVE_BIT,$A35)+SUMIFS(SALIDAS_BOV1,FECHA_BOV1,"&gt;="&amp;CU$2,FECHA_BOV1,"&lt;="&amp;CU$3,CLAVE_BOV1,$A35)+SUMIFS(SALIDAS_BOV2,FECHA_BOV2,"&gt;="&amp;CU$2,FECHA_BOV2,"&lt;="&amp;CU$3,CLAVE_BOV2,$A35)+SUMIFS(SALIDAS_BOV3,FECHA_BOV3,"&gt;="&amp;CU$2,FECHA_BOV3,"&lt;="&amp;CU$3,CLAVE_BOV3,$A35)+SUMIFS(SALIDAS_TC,FECHA_TC,"&gt;="&amp;CU$2,FECHA_TC,"&lt;="&amp;CU$3,CLAVE_TC,$A35)+SUMIFS(SALIDAS_COMB,FECHA_COMB,"&gt;="&amp;CU$2,FECHA_COMB,"&lt;="&amp;CU$3,CLAVE_COMB,$A35)+SUMIFS(SALIDAS_DES,FECHA_DESGLOSEN,"&gt;="&amp;CU$2,FECHA_DESGLOSEN,"&lt;="&amp;CU$3,CLAVE_DESGLOSE,$A35)</f>
        <v>31843.599999999999</v>
      </c>
      <c r="CV35" s="13">
        <f>SUMIFS(SALIDAS_BIT,FECHA_BIT,"&gt;="&amp;CV$2,FECHA_BIT,"&lt;="&amp;CV$3,CLAVE_BIT,$A35)+SUMIFS(SALIDAS_BOV1,FECHA_BOV1,"&gt;="&amp;CV$2,FECHA_BOV1,"&lt;="&amp;CV$3,CLAVE_BOV1,$A35)+SUMIFS(SALIDAS_BOV2,FECHA_BOV2,"&gt;="&amp;CV$2,FECHA_BOV2,"&lt;="&amp;CV$3,CLAVE_BOV2,$A35)+SUMIFS(SALIDAS_BOV3,FECHA_BOV3,"&gt;="&amp;CV$2,FECHA_BOV3,"&lt;="&amp;CV$3,CLAVE_BOV3,$A35)+SUMIFS(SALIDAS_TC,FECHA_TC,"&gt;="&amp;CV$2,FECHA_TC,"&lt;="&amp;CV$3,CLAVE_TC,$A35)+SUMIFS(SALIDAS_COMB,FECHA_COMB,"&gt;="&amp;CV$2,FECHA_COMB,"&lt;="&amp;CV$3,CLAVE_COMB,$A35)+SUMIFS(SALIDAS_DES,FECHA_DESGLOSEN,"&gt;="&amp;CV$2,FECHA_DESGLOSEN,"&lt;="&amp;CV$3,CLAVE_DESGLOSE,$A35)</f>
        <v>33566.800000000003</v>
      </c>
      <c r="CW35" s="13">
        <f>SUMIFS(SALIDAS_BIT,FECHA_BIT,"&gt;="&amp;CW$2,FECHA_BIT,"&lt;="&amp;CW$3,CLAVE_BIT,$A35)+SUMIFS(SALIDAS_BOV1,FECHA_BOV1,"&gt;="&amp;CW$2,FECHA_BOV1,"&lt;="&amp;CW$3,CLAVE_BOV1,$A35)+SUMIFS(SALIDAS_BOV2,FECHA_BOV2,"&gt;="&amp;CW$2,FECHA_BOV2,"&lt;="&amp;CW$3,CLAVE_BOV2,$A35)+SUMIFS(SALIDAS_BOV3,FECHA_BOV3,"&gt;="&amp;CW$2,FECHA_BOV3,"&lt;="&amp;CW$3,CLAVE_BOV3,$A35)+SUMIFS(SALIDAS_TC,FECHA_TC,"&gt;="&amp;CW$2,FECHA_TC,"&lt;="&amp;CW$3,CLAVE_TC,$A35)+SUMIFS(SALIDAS_COMB,FECHA_COMB,"&gt;="&amp;CW$2,FECHA_COMB,"&lt;="&amp;CW$3,CLAVE_COMB,$A35)+SUMIFS(SALIDAS_DES,FECHA_DESGLOSEN,"&gt;="&amp;CW$2,FECHA_DESGLOSEN,"&lt;="&amp;CW$3,CLAVE_DESGLOSE,$A35)</f>
        <v>37880</v>
      </c>
      <c r="CX35" s="13">
        <f>SUMIFS(SALIDAS_BIT,FECHA_BIT,"&gt;="&amp;CX$2,FECHA_BIT,"&lt;="&amp;CX$3,CLAVE_BIT,$A35)+SUMIFS(SALIDAS_BOV1,FECHA_BOV1,"&gt;="&amp;CX$2,FECHA_BOV1,"&lt;="&amp;CX$3,CLAVE_BOV1,$A35)+SUMIFS(SALIDAS_BOV2,FECHA_BOV2,"&gt;="&amp;CX$2,FECHA_BOV2,"&lt;="&amp;CX$3,CLAVE_BOV2,$A35)+SUMIFS(SALIDAS_BOV3,FECHA_BOV3,"&gt;="&amp;CX$2,FECHA_BOV3,"&lt;="&amp;CX$3,CLAVE_BOV3,$A35)+SUMIFS(SALIDAS_TC,FECHA_TC,"&gt;="&amp;CX$2,FECHA_TC,"&lt;="&amp;CX$3,CLAVE_TC,$A35)+SUMIFS(SALIDAS_COMB,FECHA_COMB,"&gt;="&amp;CX$2,FECHA_COMB,"&lt;="&amp;CX$3,CLAVE_COMB,$A35)+SUMIFS(SALIDAS_DES,FECHA_DESGLOSEN,"&gt;="&amp;CX$2,FECHA_DESGLOSEN,"&lt;="&amp;CX$3,CLAVE_DESGLOSE,$A35)</f>
        <v>31790</v>
      </c>
      <c r="CY35" s="13">
        <f>SUMIFS(SALIDAS_BIT,FECHA_BIT,"&gt;="&amp;CY$2,FECHA_BIT,"&lt;="&amp;CY$3,CLAVE_BIT,$A35)+SUMIFS(SALIDAS_BOV1,FECHA_BOV1,"&gt;="&amp;CY$2,FECHA_BOV1,"&lt;="&amp;CY$3,CLAVE_BOV1,$A35)+SUMIFS(SALIDAS_BOV2,FECHA_BOV2,"&gt;="&amp;CY$2,FECHA_BOV2,"&lt;="&amp;CY$3,CLAVE_BOV2,$A35)+SUMIFS(SALIDAS_BOV3,FECHA_BOV3,"&gt;="&amp;CY$2,FECHA_BOV3,"&lt;="&amp;CY$3,CLAVE_BOV3,$A35)+SUMIFS(SALIDAS_TC,FECHA_TC,"&gt;="&amp;CY$2,FECHA_TC,"&lt;="&amp;CY$3,CLAVE_TC,$A35)+SUMIFS(SALIDAS_COMB,FECHA_COMB,"&gt;="&amp;CY$2,FECHA_COMB,"&lt;="&amp;CY$3,CLAVE_COMB,$A35)+SUMIFS(SALIDAS_DES,FECHA_DESGLOSEN,"&gt;="&amp;CY$2,FECHA_DESGLOSEN,"&lt;="&amp;CY$3,CLAVE_DESGLOSE,$A35)</f>
        <v>135080.4</v>
      </c>
      <c r="CZ35" s="68">
        <f t="shared" si="80"/>
        <v>-7080.3999999999942</v>
      </c>
      <c r="DB35" s="17">
        <f>F35+N35+W35+AE35+AM35+AV35+BD35+BL35+BU35+CC35+CK35</f>
        <v>1809807</v>
      </c>
      <c r="DC35" s="17">
        <f>K35+T35+AB35+AJ35+AS35+BA35+BI35+BR35+BZ35+CH35+CQ35</f>
        <v>1666683.0699999998</v>
      </c>
    </row>
    <row r="36" spans="1:107" hidden="1">
      <c r="A36" s="12" t="str">
        <f t="shared" si="57"/>
        <v>CAPNOMINA ADMONCAPRICHOS</v>
      </c>
      <c r="B36" s="12">
        <v>30</v>
      </c>
      <c r="C36" t="s">
        <v>31</v>
      </c>
      <c r="D36" s="14" t="s">
        <v>147</v>
      </c>
      <c r="E36" s="14" t="s">
        <v>33</v>
      </c>
      <c r="F36" s="259">
        <f t="shared" si="58"/>
        <v>118808</v>
      </c>
      <c r="G36" s="13">
        <f t="shared" si="93"/>
        <v>35704.97</v>
      </c>
      <c r="H36" s="13">
        <f t="shared" si="93"/>
        <v>33503.57</v>
      </c>
      <c r="I36" s="13">
        <f t="shared" si="93"/>
        <v>32303.57</v>
      </c>
      <c r="J36" s="13">
        <f t="shared" si="93"/>
        <v>31003.17</v>
      </c>
      <c r="K36" s="13">
        <f t="shared" si="93"/>
        <v>132515.28000000003</v>
      </c>
      <c r="L36" s="68">
        <f t="shared" si="59"/>
        <v>-13707.280000000028</v>
      </c>
      <c r="M36" s="268">
        <f t="shared" si="60"/>
        <v>1.1153733755302675</v>
      </c>
      <c r="N36" s="13">
        <f t="shared" si="36"/>
        <v>148510</v>
      </c>
      <c r="O36" s="13">
        <f t="shared" si="94"/>
        <v>32008.37</v>
      </c>
      <c r="P36" s="13">
        <f t="shared" si="94"/>
        <v>32508.91</v>
      </c>
      <c r="Q36" s="13">
        <f t="shared" si="94"/>
        <v>33208.509999999995</v>
      </c>
      <c r="R36" s="13">
        <f t="shared" si="94"/>
        <v>31008.51</v>
      </c>
      <c r="S36" s="13">
        <f t="shared" si="94"/>
        <v>32508.81</v>
      </c>
      <c r="T36" s="13">
        <f t="shared" si="94"/>
        <v>161243.10999999999</v>
      </c>
      <c r="U36" s="68">
        <f t="shared" si="61"/>
        <v>-12733.109999999986</v>
      </c>
      <c r="V36" s="268">
        <f t="shared" si="62"/>
        <v>1.085739074809777</v>
      </c>
      <c r="W36" s="13">
        <f t="shared" si="38"/>
        <v>118808</v>
      </c>
      <c r="X36" s="13">
        <f t="shared" si="95"/>
        <v>33508.11</v>
      </c>
      <c r="Y36" s="13">
        <f t="shared" si="95"/>
        <v>32614.51</v>
      </c>
      <c r="Z36" s="13">
        <f t="shared" si="95"/>
        <v>30966.11</v>
      </c>
      <c r="AA36" s="13">
        <f t="shared" si="95"/>
        <v>31002.11</v>
      </c>
      <c r="AB36" s="13">
        <f t="shared" si="95"/>
        <v>128090.84</v>
      </c>
      <c r="AC36" s="68">
        <f t="shared" si="63"/>
        <v>-9282.8399999999965</v>
      </c>
      <c r="AD36" s="268">
        <f t="shared" si="64"/>
        <v>1.0781331223486634</v>
      </c>
      <c r="AE36" s="13">
        <f t="shared" si="40"/>
        <v>118808</v>
      </c>
      <c r="AF36" s="13">
        <f t="shared" si="96"/>
        <v>30915.71</v>
      </c>
      <c r="AG36" s="13">
        <f t="shared" si="96"/>
        <v>32915.71</v>
      </c>
      <c r="AH36" s="13">
        <f t="shared" si="96"/>
        <v>26743.51</v>
      </c>
      <c r="AI36" s="13">
        <f t="shared" si="96"/>
        <v>31216.91</v>
      </c>
      <c r="AJ36" s="13">
        <f t="shared" si="96"/>
        <v>121791.84</v>
      </c>
      <c r="AK36" s="68">
        <f t="shared" si="65"/>
        <v>-2983.8399999999965</v>
      </c>
      <c r="AL36" s="268">
        <f t="shared" si="66"/>
        <v>1.025114807083698</v>
      </c>
      <c r="AM36" s="13">
        <f t="shared" si="42"/>
        <v>148510</v>
      </c>
      <c r="AN36" s="13">
        <f t="shared" si="97"/>
        <v>26917.599999999999</v>
      </c>
      <c r="AO36" s="13">
        <f t="shared" si="97"/>
        <v>27416.6</v>
      </c>
      <c r="AP36" s="13">
        <f t="shared" si="97"/>
        <v>30219.8</v>
      </c>
      <c r="AQ36" s="13">
        <f t="shared" si="97"/>
        <v>24405.200000000001</v>
      </c>
      <c r="AR36" s="13">
        <f t="shared" si="97"/>
        <v>26513.200000000001</v>
      </c>
      <c r="AS36" s="13">
        <f t="shared" si="97"/>
        <v>135472.4</v>
      </c>
      <c r="AT36" s="68">
        <f>AM36-AS36</f>
        <v>13037.600000000006</v>
      </c>
      <c r="AU36" s="268">
        <f t="shared" si="67"/>
        <v>0.91221062554710119</v>
      </c>
      <c r="AV36" s="13">
        <f t="shared" si="44"/>
        <v>119285</v>
      </c>
      <c r="AW36" s="13">
        <f t="shared" si="98"/>
        <v>30414.400000000001</v>
      </c>
      <c r="AX36" s="13">
        <f t="shared" si="98"/>
        <v>30399.3</v>
      </c>
      <c r="AY36" s="13">
        <f t="shared" si="98"/>
        <v>25771</v>
      </c>
      <c r="AZ36" s="13">
        <f>SUMIFS(SALIDAS_BIT,FECHA_BIT,"&gt;="&amp;AZ$2,FECHA_BIT,"&lt;="&amp;AZ$3,CLAVE_BIT,$A36)+SUMIFS(SALIDAS_BOV1,FECHA_BOV1,"&gt;="&amp;AZ$2,FECHA_BOV1,"&lt;="&amp;AZ$3,CLAVE_BOV1,$A36)+SUMIFS(SALIDAS_BOV2,FECHA_BOV2,"&gt;="&amp;AZ$2,FECHA_BOV2,"&lt;="&amp;AZ$3,CLAVE_BOV2,$A36)+SUMIFS(SALIDAS_BOV3,FECHA_BOV3,"&gt;="&amp;AZ$2,FECHA_BOV3,"&lt;="&amp;AZ$3,CLAVE_BOV3,$A36)+SUMIFS(SALIDAS_TC,FECHA_TC,"&gt;="&amp;AZ$2,FECHA_TC,"&lt;="&amp;AZ$3,CLAVE_TC,$A36)+SUMIFS(SALIDAS_COMB,FECHA_COMB,"&gt;="&amp;AZ$2,FECHA_COMB,"&lt;="&amp;AZ$3,CLAVE_COMB,$A36)+SUMIFS(SALIDAS_DES,FECHA_DESGLOSEN,"&gt;="&amp;AZ$2,FECHA_DESGLOSEN,"&lt;="&amp;AZ$3,CLAVE_DESGLOSE,$A36)</f>
        <v>24613.5</v>
      </c>
      <c r="BA36" s="13">
        <f t="shared" si="98"/>
        <v>111198.2</v>
      </c>
      <c r="BB36" s="68">
        <f t="shared" si="68"/>
        <v>8086.8000000000029</v>
      </c>
      <c r="BC36" s="268">
        <f t="shared" si="69"/>
        <v>0.9322060611141384</v>
      </c>
      <c r="BD36" s="13">
        <f t="shared" si="46"/>
        <v>118808</v>
      </c>
      <c r="BE36" s="13">
        <f>SUMIFS(SALIDAS_BIT,FECHA_BIT,"&gt;="&amp;BE$2,FECHA_BIT,"&lt;="&amp;BE$3,CLAVE_BIT,$A36)+SUMIFS(SALIDAS_BOV1,FECHA_BOV1,"&gt;="&amp;BE$2,FECHA_BOV1,"&lt;="&amp;BE$3,CLAVE_BOV1,$A36)+SUMIFS(SALIDAS_BOV2,FECHA_BOV2,"&gt;="&amp;BE$2,FECHA_BOV2,"&lt;="&amp;BE$3,CLAVE_BOV2,$A36)+SUMIFS(SALIDAS_BOV3,FECHA_BOV3,"&gt;="&amp;BE$2,FECHA_BOV3,"&lt;="&amp;BE$3,CLAVE_BOV3,$A36)+SUMIFS(SALIDAS_TC,FECHA_TC,"&gt;="&amp;BE$2,FECHA_TC,"&lt;="&amp;BE$3,CLAVE_TC,$A36)+SUMIFS(SALIDAS_COMB,FECHA_COMB,"&gt;="&amp;BE$2,FECHA_COMB,"&lt;="&amp;BE$3,CLAVE_COMB,$A36)+SUMIFS(SALIDAS_DES,FECHA_DESGLOSEN,"&gt;="&amp;BE$2,FECHA_DESGLOSEN,"&lt;="&amp;BE$3,CLAVE_DESGLOSE,$A36)</f>
        <v>25305</v>
      </c>
      <c r="BF36" s="13">
        <f>SUMIFS(SALIDAS_BIT,FECHA_BIT,"&gt;="&amp;BF$2,FECHA_BIT,"&lt;="&amp;BF$3,CLAVE_BIT,$A36)+SUMIFS(SALIDAS_BOV1,FECHA_BOV1,"&gt;="&amp;BF$2,FECHA_BOV1,"&lt;="&amp;BF$3,CLAVE_BOV1,$A36)+SUMIFS(SALIDAS_BOV2,FECHA_BOV2,"&gt;="&amp;BF$2,FECHA_BOV2,"&lt;="&amp;BF$3,CLAVE_BOV2,$A36)+SUMIFS(SALIDAS_BOV3,FECHA_BOV3,"&gt;="&amp;BF$2,FECHA_BOV3,"&lt;="&amp;BF$3,CLAVE_BOV3,$A36)+SUMIFS(SALIDAS_TC,FECHA_TC,"&gt;="&amp;BF$2,FECHA_TC,"&lt;="&amp;BF$3,CLAVE_TC,$A36)+SUMIFS(SALIDAS_COMB,FECHA_COMB,"&gt;="&amp;BF$2,FECHA_COMB,"&lt;="&amp;BF$3,CLAVE_COMB,$A36)+SUMIFS(SALIDAS_DES,FECHA_DESGLOSEN,"&gt;="&amp;BF$2,FECHA_DESGLOSEN,"&lt;="&amp;BF$3,CLAVE_DESGLOSE,$A36)</f>
        <v>25213.4</v>
      </c>
      <c r="BG36" s="13">
        <f>SUMIFS(SALIDAS_BIT,FECHA_BIT,"&gt;="&amp;BG$2,FECHA_BIT,"&lt;="&amp;BG$3,CLAVE_BIT,$A36)+SUMIFS(SALIDAS_BOV1,FECHA_BOV1,"&gt;="&amp;BG$2,FECHA_BOV1,"&lt;="&amp;BG$3,CLAVE_BOV1,$A36)+SUMIFS(SALIDAS_BOV2,FECHA_BOV2,"&gt;="&amp;BG$2,FECHA_BOV2,"&lt;="&amp;BG$3,CLAVE_BOV2,$A36)+SUMIFS(SALIDAS_BOV3,FECHA_BOV3,"&gt;="&amp;BG$2,FECHA_BOV3,"&lt;="&amp;BG$3,CLAVE_BOV3,$A36)+SUMIFS(SALIDAS_TC,FECHA_TC,"&gt;="&amp;BG$2,FECHA_TC,"&lt;="&amp;BG$3,CLAVE_TC,$A36)+SUMIFS(SALIDAS_COMB,FECHA_COMB,"&gt;="&amp;BG$2,FECHA_COMB,"&lt;="&amp;BG$3,CLAVE_COMB,$A36)+SUMIFS(SALIDAS_DES,FECHA_DESGLOSEN,"&gt;="&amp;BG$2,FECHA_DESGLOSEN,"&lt;="&amp;BG$3,CLAVE_DESGLOSE,$A36)</f>
        <v>25213</v>
      </c>
      <c r="BH36" s="13">
        <f>SUMIFS(SALIDAS_BIT,FECHA_BIT,"&gt;="&amp;BH$2,FECHA_BIT,"&lt;="&amp;BH$3,CLAVE_BIT,$A36)+SUMIFS(SALIDAS_BOV1,FECHA_BOV1,"&gt;="&amp;BH$2,FECHA_BOV1,"&lt;="&amp;BH$3,CLAVE_BOV1,$A36)+SUMIFS(SALIDAS_BOV2,FECHA_BOV2,"&gt;="&amp;BH$2,FECHA_BOV2,"&lt;="&amp;BH$3,CLAVE_BOV2,$A36)+SUMIFS(SALIDAS_BOV3,FECHA_BOV3,"&gt;="&amp;BH$2,FECHA_BOV3,"&lt;="&amp;BH$3,CLAVE_BOV3,$A36)+SUMIFS(SALIDAS_TC,FECHA_TC,"&gt;="&amp;BH$2,FECHA_TC,"&lt;="&amp;BH$3,CLAVE_TC,$A36)+SUMIFS(SALIDAS_COMB,FECHA_COMB,"&gt;="&amp;BH$2,FECHA_COMB,"&lt;="&amp;BH$3,CLAVE_COMB,$A36)+SUMIFS(SALIDAS_DES,FECHA_DESGLOSEN,"&gt;="&amp;BH$2,FECHA_DESGLOSEN,"&lt;="&amp;BH$3,CLAVE_DESGLOSE,$A36)</f>
        <v>25328</v>
      </c>
      <c r="BI36" s="13">
        <f>SUMIFS(SALIDAS_BIT,FECHA_BIT,"&gt;="&amp;BI$2,FECHA_BIT,"&lt;="&amp;BI$3,CLAVE_BIT,$A36)+SUMIFS(SALIDAS_BOV1,FECHA_BOV1,"&gt;="&amp;BI$2,FECHA_BOV1,"&lt;="&amp;BI$3,CLAVE_BOV1,$A36)+SUMIFS(SALIDAS_BOV2,FECHA_BOV2,"&gt;="&amp;BI$2,FECHA_BOV2,"&lt;="&amp;BI$3,CLAVE_BOV2,$A36)+SUMIFS(SALIDAS_BOV3,FECHA_BOV3,"&gt;="&amp;BI$2,FECHA_BOV3,"&lt;="&amp;BI$3,CLAVE_BOV3,$A36)+SUMIFS(SALIDAS_TC,FECHA_TC,"&gt;="&amp;BI$2,FECHA_TC,"&lt;="&amp;BI$3,CLAVE_TC,$A36)+SUMIFS(SALIDAS_COMB,FECHA_COMB,"&gt;="&amp;BI$2,FECHA_COMB,"&lt;="&amp;BI$3,CLAVE_COMB,$A36)+SUMIFS(SALIDAS_DES,FECHA_DESGLOSEN,"&gt;="&amp;BI$2,FECHA_DESGLOSEN,"&lt;="&amp;BI$3,CLAVE_DESGLOSE,$A36)</f>
        <v>101059.4</v>
      </c>
      <c r="BJ36" s="68">
        <f t="shared" si="70"/>
        <v>17748.600000000006</v>
      </c>
      <c r="BK36" s="268">
        <f t="shared" si="71"/>
        <v>0.85061106996161873</v>
      </c>
      <c r="BL36" s="13">
        <f t="shared" si="47"/>
        <v>148510</v>
      </c>
      <c r="BM36" s="13">
        <f>SUMIFS(SALIDAS_BIT,FECHA_BIT,"&gt;="&amp;BM$2,FECHA_BIT,"&lt;="&amp;BM$3,CLAVE_BIT,$A36)+SUMIFS(SALIDAS_BOV1,FECHA_BOV1,"&gt;="&amp;BM$2,FECHA_BOV1,"&lt;="&amp;BM$3,CLAVE_BOV1,$A36)+SUMIFS(SALIDAS_BOV2,FECHA_BOV2,"&gt;="&amp;BM$2,FECHA_BOV2,"&lt;="&amp;BM$3,CLAVE_BOV2,$A36)+SUMIFS(SALIDAS_BOV3,FECHA_BOV3,"&gt;="&amp;BM$2,FECHA_BOV3,"&lt;="&amp;BM$3,CLAVE_BOV3,$A36)+SUMIFS(SALIDAS_TC,FECHA_TC,"&gt;="&amp;BM$2,FECHA_TC,"&lt;="&amp;BM$3,CLAVE_TC,$A36)+SUMIFS(SALIDAS_COMB,FECHA_COMB,"&gt;="&amp;BM$2,FECHA_COMB,"&lt;="&amp;BM$3,CLAVE_COMB,$A36)+SUMIFS(SALIDAS_DES,FECHA_DESGLOSEN,"&gt;="&amp;BM$2,FECHA_DESGLOSEN,"&lt;="&amp;BM$3,CLAVE_DESGLOSE,$A36)</f>
        <v>26900.400000000001</v>
      </c>
      <c r="BN36" s="13">
        <f>SUMIFS(SALIDAS_BIT,FECHA_BIT,"&gt;="&amp;BN$2,FECHA_BIT,"&lt;="&amp;BN$3,CLAVE_BIT,$A36)+SUMIFS(SALIDAS_BOV1,FECHA_BOV1,"&gt;="&amp;BN$2,FECHA_BOV1,"&lt;="&amp;BN$3,CLAVE_BOV1,$A36)+SUMIFS(SALIDAS_BOV2,FECHA_BOV2,"&gt;="&amp;BN$2,FECHA_BOV2,"&lt;="&amp;BN$3,CLAVE_BOV2,$A36)+SUMIFS(SALIDAS_BOV3,FECHA_BOV3,"&gt;="&amp;BN$2,FECHA_BOV3,"&lt;="&amp;BN$3,CLAVE_BOV3,$A36)+SUMIFS(SALIDAS_TC,FECHA_TC,"&gt;="&amp;BN$2,FECHA_TC,"&lt;="&amp;BN$3,CLAVE_TC,$A36)+SUMIFS(SALIDAS_COMB,FECHA_COMB,"&gt;="&amp;BN$2,FECHA_COMB,"&lt;="&amp;BN$3,CLAVE_COMB,$A36)+SUMIFS(SALIDAS_DES,FECHA_DESGLOSEN,"&gt;="&amp;BN$2,FECHA_DESGLOSEN,"&lt;="&amp;BN$3,CLAVE_DESGLOSE,$A36)</f>
        <v>30030.2</v>
      </c>
      <c r="BO36" s="13">
        <f>SUMIFS(SALIDAS_BIT,FECHA_BIT,"&gt;="&amp;BO$2,FECHA_BIT,"&lt;="&amp;BO$3,CLAVE_BIT,$A36)+SUMIFS(SALIDAS_BOV1,FECHA_BOV1,"&gt;="&amp;BO$2,FECHA_BOV1,"&lt;="&amp;BO$3,CLAVE_BOV1,$A36)+SUMIFS(SALIDAS_BOV2,FECHA_BOV2,"&gt;="&amp;BO$2,FECHA_BOV2,"&lt;="&amp;BO$3,CLAVE_BOV2,$A36)+SUMIFS(SALIDAS_BOV3,FECHA_BOV3,"&gt;="&amp;BO$2,FECHA_BOV3,"&lt;="&amp;BO$3,CLAVE_BOV3,$A36)+SUMIFS(SALIDAS_TC,FECHA_TC,"&gt;="&amp;BO$2,FECHA_TC,"&lt;="&amp;BO$3,CLAVE_TC,$A36)+SUMIFS(SALIDAS_COMB,FECHA_COMB,"&gt;="&amp;BO$2,FECHA_COMB,"&lt;="&amp;BO$3,CLAVE_COMB,$A36)+SUMIFS(SALIDAS_DES,FECHA_DESGLOSEN,"&gt;="&amp;BO$2,FECHA_DESGLOSEN,"&lt;="&amp;BO$3,CLAVE_DESGLOSE,$A36)</f>
        <v>27410.2</v>
      </c>
      <c r="BP36" s="13">
        <f>SUMIFS(SALIDAS_BIT,FECHA_BIT,"&gt;="&amp;BP$2,FECHA_BIT,"&lt;="&amp;BP$3,CLAVE_BIT,$A36)+SUMIFS(SALIDAS_BOV1,FECHA_BOV1,"&gt;="&amp;BP$2,FECHA_BOV1,"&lt;="&amp;BP$3,CLAVE_BOV1,$A36)+SUMIFS(SALIDAS_BOV2,FECHA_BOV2,"&gt;="&amp;BP$2,FECHA_BOV2,"&lt;="&amp;BP$3,CLAVE_BOV2,$A36)+SUMIFS(SALIDAS_BOV3,FECHA_BOV3,"&gt;="&amp;BP$2,FECHA_BOV3,"&lt;="&amp;BP$3,CLAVE_BOV3,$A36)+SUMIFS(SALIDAS_TC,FECHA_TC,"&gt;="&amp;BP$2,FECHA_TC,"&lt;="&amp;BP$3,CLAVE_TC,$A36)+SUMIFS(SALIDAS_COMB,FECHA_COMB,"&gt;="&amp;BP$2,FECHA_COMB,"&lt;="&amp;BP$3,CLAVE_COMB,$A36)+SUMIFS(SALIDAS_DES,FECHA_DESGLOSEN,"&gt;="&amp;BP$2,FECHA_DESGLOSEN,"&lt;="&amp;BP$3,CLAVE_DESGLOSE,$A36)</f>
        <v>26910.3</v>
      </c>
      <c r="BQ36" s="13">
        <f>SUMIFS(SALIDAS_BIT,FECHA_BIT,"&gt;="&amp;BQ$2,FECHA_BIT,"&lt;="&amp;BQ$3,CLAVE_BIT,$A36)+SUMIFS(SALIDAS_BOV1,FECHA_BOV1,"&gt;="&amp;BQ$2,FECHA_BOV1,"&lt;="&amp;BQ$3,CLAVE_BOV1,$A36)+SUMIFS(SALIDAS_BOV2,FECHA_BOV2,"&gt;="&amp;BQ$2,FECHA_BOV2,"&lt;="&amp;BQ$3,CLAVE_BOV2,$A36)+SUMIFS(SALIDAS_BOV3,FECHA_BOV3,"&gt;="&amp;BQ$2,FECHA_BOV3,"&lt;="&amp;BQ$3,CLAVE_BOV3,$A36)+SUMIFS(SALIDAS_TC,FECHA_TC,"&gt;="&amp;BQ$2,FECHA_TC,"&lt;="&amp;BQ$3,CLAVE_TC,$A36)+SUMIFS(SALIDAS_COMB,FECHA_COMB,"&gt;="&amp;BQ$2,FECHA_COMB,"&lt;="&amp;BQ$3,CLAVE_COMB,$A36)+SUMIFS(SALIDAS_DES,FECHA_DESGLOSEN,"&gt;="&amp;BQ$2,FECHA_DESGLOSEN,"&lt;="&amp;BQ$3,CLAVE_DESGLOSE,$A36)</f>
        <v>26909.9</v>
      </c>
      <c r="BR36" s="13">
        <f>SUMIFS(SALIDAS_BIT,FECHA_BIT,"&gt;="&amp;BR$2,FECHA_BIT,"&lt;="&amp;BR$3,CLAVE_BIT,$A36)+SUMIFS(SALIDAS_BOV1,FECHA_BOV1,"&gt;="&amp;BR$2,FECHA_BOV1,"&lt;="&amp;BR$3,CLAVE_BOV1,$A36)+SUMIFS(SALIDAS_BOV2,FECHA_BOV2,"&gt;="&amp;BR$2,FECHA_BOV2,"&lt;="&amp;BR$3,CLAVE_BOV2,$A36)+SUMIFS(SALIDAS_BOV3,FECHA_BOV3,"&gt;="&amp;BR$2,FECHA_BOV3,"&lt;="&amp;BR$3,CLAVE_BOV3,$A36)+SUMIFS(SALIDAS_TC,FECHA_TC,"&gt;="&amp;BR$2,FECHA_TC,"&lt;="&amp;BR$3,CLAVE_TC,$A36)+SUMIFS(SALIDAS_COMB,FECHA_COMB,"&gt;="&amp;BR$2,FECHA_COMB,"&lt;="&amp;BR$3,CLAVE_COMB,$A36)+SUMIFS(SALIDAS_DES,FECHA_DESGLOSEN,"&gt;="&amp;BR$2,FECHA_DESGLOSEN,"&lt;="&amp;BR$3,CLAVE_DESGLOSE,$A36)</f>
        <v>138161</v>
      </c>
      <c r="BS36" s="68">
        <f t="shared" si="72"/>
        <v>10349</v>
      </c>
      <c r="BT36" s="268">
        <f t="shared" si="73"/>
        <v>0.93031445693892667</v>
      </c>
      <c r="BU36" s="13">
        <f t="shared" si="49"/>
        <v>121194</v>
      </c>
      <c r="BV36" s="13">
        <f t="shared" si="90"/>
        <v>27609.9</v>
      </c>
      <c r="BW36" s="13">
        <f t="shared" si="90"/>
        <v>26902.1</v>
      </c>
      <c r="BX36" s="13">
        <f t="shared" si="90"/>
        <v>28702.5</v>
      </c>
      <c r="BY36" s="13">
        <f t="shared" si="90"/>
        <v>27527.9</v>
      </c>
      <c r="BZ36" s="13">
        <f t="shared" si="99"/>
        <v>110742.39999999999</v>
      </c>
      <c r="CA36" s="68">
        <f t="shared" si="74"/>
        <v>10451.600000000006</v>
      </c>
      <c r="CB36" s="268">
        <f t="shared" si="75"/>
        <v>0.91376140733039579</v>
      </c>
      <c r="CC36" s="13">
        <f t="shared" si="51"/>
        <v>123100</v>
      </c>
      <c r="CD36" s="13">
        <f t="shared" si="91"/>
        <v>27102.3</v>
      </c>
      <c r="CE36" s="13">
        <f t="shared" si="91"/>
        <v>27427.1</v>
      </c>
      <c r="CF36" s="13">
        <f t="shared" si="91"/>
        <v>27662.3</v>
      </c>
      <c r="CG36" s="13">
        <f t="shared" si="91"/>
        <v>27120.9</v>
      </c>
      <c r="CH36" s="13">
        <f t="shared" si="100"/>
        <v>109312.6</v>
      </c>
      <c r="CI36" s="68">
        <f t="shared" si="76"/>
        <v>13787.399999999994</v>
      </c>
      <c r="CJ36" s="268">
        <f t="shared" si="77"/>
        <v>0.88799837530463044</v>
      </c>
      <c r="CK36" s="13">
        <f t="shared" si="53"/>
        <v>193549</v>
      </c>
      <c r="CL36" s="13">
        <f t="shared" si="92"/>
        <v>27399.9</v>
      </c>
      <c r="CM36" s="13">
        <f t="shared" si="92"/>
        <v>31582.1</v>
      </c>
      <c r="CN36" s="13">
        <f t="shared" si="92"/>
        <v>33183.300000000003</v>
      </c>
      <c r="CO36" s="13">
        <f t="shared" si="92"/>
        <v>37991.699999999997</v>
      </c>
      <c r="CP36" s="13">
        <f t="shared" si="92"/>
        <v>29487.9</v>
      </c>
      <c r="CQ36" s="13">
        <f t="shared" si="101"/>
        <v>159644.9</v>
      </c>
      <c r="CR36" s="68">
        <f t="shared" si="78"/>
        <v>33904.100000000006</v>
      </c>
      <c r="CS36" s="268">
        <f t="shared" si="79"/>
        <v>0.82482937137365731</v>
      </c>
      <c r="CT36" s="68">
        <f t="shared" si="55"/>
        <v>110000</v>
      </c>
      <c r="CU36" s="13">
        <f>SUMIFS(SALIDAS_BIT,FECHA_BIT,"&gt;="&amp;CU$2,FECHA_BIT,"&lt;="&amp;CU$3,CLAVE_BIT,$A36)+SUMIFS(SALIDAS_BOV1,FECHA_BOV1,"&gt;="&amp;CU$2,FECHA_BOV1,"&lt;="&amp;CU$3,CLAVE_BOV1,$A36)+SUMIFS(SALIDAS_BOV2,FECHA_BOV2,"&gt;="&amp;CU$2,FECHA_BOV2,"&lt;="&amp;CU$3,CLAVE_BOV2,$A36)+SUMIFS(SALIDAS_BOV3,FECHA_BOV3,"&gt;="&amp;CU$2,FECHA_BOV3,"&lt;="&amp;CU$3,CLAVE_BOV3,$A36)+SUMIFS(SALIDAS_TC,FECHA_TC,"&gt;="&amp;CU$2,FECHA_TC,"&lt;="&amp;CU$3,CLAVE_TC,$A36)+SUMIFS(SALIDAS_COMB,FECHA_COMB,"&gt;="&amp;CU$2,FECHA_COMB,"&lt;="&amp;CU$3,CLAVE_COMB,$A36)+SUMIFS(SALIDAS_DES,FECHA_DESGLOSEN,"&gt;="&amp;CU$2,FECHA_DESGLOSEN,"&lt;="&amp;CU$3,CLAVE_DESGLOSE,$A36)</f>
        <v>26002.3</v>
      </c>
      <c r="CV36" s="13">
        <f>SUMIFS(SALIDAS_BIT,FECHA_BIT,"&gt;="&amp;CV$2,FECHA_BIT,"&lt;="&amp;CV$3,CLAVE_BIT,$A36)+SUMIFS(SALIDAS_BOV1,FECHA_BOV1,"&gt;="&amp;CV$2,FECHA_BOV1,"&lt;="&amp;CV$3,CLAVE_BOV1,$A36)+SUMIFS(SALIDAS_BOV2,FECHA_BOV2,"&gt;="&amp;CV$2,FECHA_BOV2,"&lt;="&amp;CV$3,CLAVE_BOV2,$A36)+SUMIFS(SALIDAS_BOV3,FECHA_BOV3,"&gt;="&amp;CV$2,FECHA_BOV3,"&lt;="&amp;CV$3,CLAVE_BOV3,$A36)+SUMIFS(SALIDAS_TC,FECHA_TC,"&gt;="&amp;CV$2,FECHA_TC,"&lt;="&amp;CV$3,CLAVE_TC,$A36)+SUMIFS(SALIDAS_COMB,FECHA_COMB,"&gt;="&amp;CV$2,FECHA_COMB,"&lt;="&amp;CV$3,CLAVE_COMB,$A36)+SUMIFS(SALIDAS_DES,FECHA_DESGLOSEN,"&gt;="&amp;CV$2,FECHA_DESGLOSEN,"&lt;="&amp;CV$3,CLAVE_DESGLOSE,$A36)</f>
        <v>27501.5</v>
      </c>
      <c r="CW36" s="13">
        <f>SUMIFS(SALIDAS_BIT,FECHA_BIT,"&gt;="&amp;CW$2,FECHA_BIT,"&lt;="&amp;CW$3,CLAVE_BIT,$A36)+SUMIFS(SALIDAS_BOV1,FECHA_BOV1,"&gt;="&amp;CW$2,FECHA_BOV1,"&lt;="&amp;CW$3,CLAVE_BOV1,$A36)+SUMIFS(SALIDAS_BOV2,FECHA_BOV2,"&gt;="&amp;CW$2,FECHA_BOV2,"&lt;="&amp;CW$3,CLAVE_BOV2,$A36)+SUMIFS(SALIDAS_BOV3,FECHA_BOV3,"&gt;="&amp;CW$2,FECHA_BOV3,"&lt;="&amp;CW$3,CLAVE_BOV3,$A36)+SUMIFS(SALIDAS_TC,FECHA_TC,"&gt;="&amp;CW$2,FECHA_TC,"&lt;="&amp;CW$3,CLAVE_TC,$A36)+SUMIFS(SALIDAS_COMB,FECHA_COMB,"&gt;="&amp;CW$2,FECHA_COMB,"&lt;="&amp;CW$3,CLAVE_COMB,$A36)+SUMIFS(SALIDAS_DES,FECHA_DESGLOSEN,"&gt;="&amp;CW$2,FECHA_DESGLOSEN,"&lt;="&amp;CW$3,CLAVE_DESGLOSE,$A36)</f>
        <v>23302.3</v>
      </c>
      <c r="CX36" s="13">
        <f>SUMIFS(SALIDAS_BIT,FECHA_BIT,"&gt;="&amp;CX$2,FECHA_BIT,"&lt;="&amp;CX$3,CLAVE_BIT,$A36)+SUMIFS(SALIDAS_BOV1,FECHA_BOV1,"&gt;="&amp;CX$2,FECHA_BOV1,"&lt;="&amp;CX$3,CLAVE_BOV1,$A36)+SUMIFS(SALIDAS_BOV2,FECHA_BOV2,"&gt;="&amp;CX$2,FECHA_BOV2,"&lt;="&amp;CX$3,CLAVE_BOV2,$A36)+SUMIFS(SALIDAS_BOV3,FECHA_BOV3,"&gt;="&amp;CX$2,FECHA_BOV3,"&lt;="&amp;CX$3,CLAVE_BOV3,$A36)+SUMIFS(SALIDAS_TC,FECHA_TC,"&gt;="&amp;CX$2,FECHA_TC,"&lt;="&amp;CX$3,CLAVE_TC,$A36)+SUMIFS(SALIDAS_COMB,FECHA_COMB,"&gt;="&amp;CX$2,FECHA_COMB,"&lt;="&amp;CX$3,CLAVE_COMB,$A36)+SUMIFS(SALIDAS_DES,FECHA_DESGLOSEN,"&gt;="&amp;CX$2,FECHA_DESGLOSEN,"&lt;="&amp;CX$3,CLAVE_DESGLOSE,$A36)</f>
        <v>24340.9</v>
      </c>
      <c r="CY36" s="13">
        <f>SUMIFS(SALIDAS_BIT,FECHA_BIT,"&gt;="&amp;CY$2,FECHA_BIT,"&lt;="&amp;CY$3,CLAVE_BIT,$A36)+SUMIFS(SALIDAS_BOV1,FECHA_BOV1,"&gt;="&amp;CY$2,FECHA_BOV1,"&lt;="&amp;CY$3,CLAVE_BOV1,$A36)+SUMIFS(SALIDAS_BOV2,FECHA_BOV2,"&gt;="&amp;CY$2,FECHA_BOV2,"&lt;="&amp;CY$3,CLAVE_BOV2,$A36)+SUMIFS(SALIDAS_BOV3,FECHA_BOV3,"&gt;="&amp;CY$2,FECHA_BOV3,"&lt;="&amp;CY$3,CLAVE_BOV3,$A36)+SUMIFS(SALIDAS_TC,FECHA_TC,"&gt;="&amp;CY$2,FECHA_TC,"&lt;="&amp;CY$3,CLAVE_TC,$A36)+SUMIFS(SALIDAS_COMB,FECHA_COMB,"&gt;="&amp;CY$2,FECHA_COMB,"&lt;="&amp;CY$3,CLAVE_COMB,$A36)+SUMIFS(SALIDAS_DES,FECHA_DESGLOSEN,"&gt;="&amp;CY$2,FECHA_DESGLOSEN,"&lt;="&amp;CY$3,CLAVE_DESGLOSE,$A36)</f>
        <v>101147</v>
      </c>
      <c r="CZ36" s="68">
        <f t="shared" si="80"/>
        <v>8853</v>
      </c>
      <c r="DB36" s="17">
        <f>F36+N36+W36+AE36+AM36+AV36+BD36+BL36+BU36+CC36+CK36</f>
        <v>1477890</v>
      </c>
      <c r="DC36" s="17">
        <f>K36+T36+AB36+AJ36+AS36+BA36+BI36+BR36+BZ36+CH36+CQ36</f>
        <v>1409231.97</v>
      </c>
    </row>
    <row r="37" spans="1:107" hidden="1">
      <c r="A37" s="12" t="str">
        <f t="shared" si="57"/>
        <v>SERVICIOSNOMINA SUCURSALCEDIS</v>
      </c>
      <c r="B37" s="12">
        <v>31</v>
      </c>
      <c r="C37" t="s">
        <v>21</v>
      </c>
      <c r="D37" s="14" t="s">
        <v>154</v>
      </c>
      <c r="E37" s="14" t="s">
        <v>28</v>
      </c>
      <c r="F37" s="259">
        <f t="shared" si="58"/>
        <v>199435</v>
      </c>
      <c r="G37" s="13">
        <f t="shared" ref="G37:K46" si="102">SUMIFS(SALIDAS_BIT,FECHA_BIT,"&gt;="&amp;G$2,FECHA_BIT,"&lt;="&amp;G$3,CLAVE_BIT,$A37)+SUMIFS(SALIDAS_BOV1,FECHA_BOV1,"&gt;="&amp;G$2,FECHA_BOV1,"&lt;="&amp;G$3,CLAVE_BOV1,$A37)+SUMIFS(SALIDAS_BOV2,FECHA_BOV2,"&gt;="&amp;G$2,FECHA_BOV2,"&lt;="&amp;G$3,CLAVE_BOV2,$A37)+SUMIFS(SALIDAS_BOV3,FECHA_BOV3,"&gt;="&amp;G$2,FECHA_BOV3,"&lt;="&amp;G$3,CLAVE_BOV3,$A37)+SUMIFS(SALIDAS_TC,FECHA_TC,"&gt;="&amp;G$2,FECHA_TC,"&lt;="&amp;G$3,CLAVE_TC,$A37)+SUMIFS(SALIDAS_COMB,FECHA_COMB,"&gt;="&amp;G$2,FECHA_COMB,"&lt;="&amp;G$3,CLAVE_COMB,$A37)+SUMIFS(SALIDAS_DES,FECHA_DESGLOSEN,"&gt;="&amp;G$2,FECHA_DESGLOSEN,"&lt;="&amp;G$3,CLAVE_DESGLOSE,$A37)</f>
        <v>61066.31</v>
      </c>
      <c r="H37" s="13">
        <f t="shared" si="102"/>
        <v>55891.71</v>
      </c>
      <c r="I37" s="13">
        <f t="shared" si="102"/>
        <v>60082.91</v>
      </c>
      <c r="J37" s="13">
        <f t="shared" si="102"/>
        <v>60057.71</v>
      </c>
      <c r="K37" s="13">
        <f t="shared" si="102"/>
        <v>237098.63999999998</v>
      </c>
      <c r="L37" s="68">
        <f t="shared" si="59"/>
        <v>-37663.639999999985</v>
      </c>
      <c r="M37" s="268">
        <f t="shared" si="60"/>
        <v>1.1888517060696466</v>
      </c>
      <c r="N37" s="13">
        <f t="shared" si="36"/>
        <v>249293.75</v>
      </c>
      <c r="O37" s="13">
        <f t="shared" ref="O37:T46" si="103">SUMIFS(SALIDAS_BIT,FECHA_BIT,"&gt;="&amp;O$2,FECHA_BIT,"&lt;="&amp;O$3,CLAVE_BIT,$A37)+SUMIFS(SALIDAS_BOV1,FECHA_BOV1,"&gt;="&amp;O$2,FECHA_BOV1,"&lt;="&amp;O$3,CLAVE_BOV1,$A37)+SUMIFS(SALIDAS_BOV2,FECHA_BOV2,"&gt;="&amp;O$2,FECHA_BOV2,"&lt;="&amp;O$3,CLAVE_BOV2,$A37)+SUMIFS(SALIDAS_BOV3,FECHA_BOV3,"&gt;="&amp;O$2,FECHA_BOV3,"&lt;="&amp;O$3,CLAVE_BOV3,$A37)+SUMIFS(SALIDAS_TC,FECHA_TC,"&gt;="&amp;O$2,FECHA_TC,"&lt;="&amp;O$3,CLAVE_TC,$A37)+SUMIFS(SALIDAS_COMB,FECHA_COMB,"&gt;="&amp;O$2,FECHA_COMB,"&lt;="&amp;O$3,CLAVE_COMB,$A37)+SUMIFS(SALIDAS_DES,FECHA_DESGLOSEN,"&gt;="&amp;O$2,FECHA_DESGLOSEN,"&lt;="&amp;O$3,CLAVE_DESGLOSE,$A37)</f>
        <v>62496.71</v>
      </c>
      <c r="P37" s="13">
        <f t="shared" si="103"/>
        <v>54208.71</v>
      </c>
      <c r="Q37" s="13">
        <f t="shared" si="103"/>
        <v>79080.210000000006</v>
      </c>
      <c r="R37" s="13">
        <f t="shared" si="103"/>
        <v>73374.38</v>
      </c>
      <c r="S37" s="13">
        <f t="shared" si="103"/>
        <v>68478.490000000005</v>
      </c>
      <c r="T37" s="13">
        <f t="shared" si="103"/>
        <v>337638.5</v>
      </c>
      <c r="U37" s="68">
        <f t="shared" si="61"/>
        <v>-88344.75</v>
      </c>
      <c r="V37" s="268">
        <f t="shared" si="62"/>
        <v>1.3543801238498758</v>
      </c>
      <c r="W37" s="13">
        <f t="shared" si="38"/>
        <v>199435</v>
      </c>
      <c r="X37" s="13">
        <f t="shared" ref="X37:AB46" si="104">SUMIFS(SALIDAS_BIT,FECHA_BIT,"&gt;="&amp;X$2,FECHA_BIT,"&lt;="&amp;X$3,CLAVE_BIT,$A37)+SUMIFS(SALIDAS_BOV1,FECHA_BOV1,"&gt;="&amp;X$2,FECHA_BOV1,"&lt;="&amp;X$3,CLAVE_BOV1,$A37)+SUMIFS(SALIDAS_BOV2,FECHA_BOV2,"&gt;="&amp;X$2,FECHA_BOV2,"&lt;="&amp;X$3,CLAVE_BOV2,$A37)+SUMIFS(SALIDAS_BOV3,FECHA_BOV3,"&gt;="&amp;X$2,FECHA_BOV3,"&lt;="&amp;X$3,CLAVE_BOV3,$A37)+SUMIFS(SALIDAS_TC,FECHA_TC,"&gt;="&amp;X$2,FECHA_TC,"&lt;="&amp;X$3,CLAVE_TC,$A37)+SUMIFS(SALIDAS_COMB,FECHA_COMB,"&gt;="&amp;X$2,FECHA_COMB,"&lt;="&amp;X$3,CLAVE_COMB,$A37)+SUMIFS(SALIDAS_DES,FECHA_DESGLOSEN,"&gt;="&amp;X$2,FECHA_DESGLOSEN,"&lt;="&amp;X$3,CLAVE_DESGLOSE,$A37)</f>
        <v>63924.49</v>
      </c>
      <c r="Y37" s="13">
        <f t="shared" si="104"/>
        <v>54230.52</v>
      </c>
      <c r="Z37" s="13">
        <f t="shared" si="104"/>
        <v>54864</v>
      </c>
      <c r="AA37" s="13">
        <f t="shared" si="104"/>
        <v>52601.82</v>
      </c>
      <c r="AB37" s="13">
        <f t="shared" si="104"/>
        <v>225620.83000000002</v>
      </c>
      <c r="AC37" s="68">
        <f t="shared" si="63"/>
        <v>-26185.830000000016</v>
      </c>
      <c r="AD37" s="268">
        <f t="shared" si="64"/>
        <v>1.1313000727053928</v>
      </c>
      <c r="AE37" s="13">
        <f t="shared" si="40"/>
        <v>199435</v>
      </c>
      <c r="AF37" s="13">
        <f t="shared" ref="AF37:AJ46" si="105">SUMIFS(SALIDAS_BIT,FECHA_BIT,"&gt;="&amp;AF$2,FECHA_BIT,"&lt;="&amp;AF$3,CLAVE_BIT,$A37)+SUMIFS(SALIDAS_BOV1,FECHA_BOV1,"&gt;="&amp;AF$2,FECHA_BOV1,"&lt;="&amp;AF$3,CLAVE_BOV1,$A37)+SUMIFS(SALIDAS_BOV2,FECHA_BOV2,"&gt;="&amp;AF$2,FECHA_BOV2,"&lt;="&amp;AF$3,CLAVE_BOV2,$A37)+SUMIFS(SALIDAS_BOV3,FECHA_BOV3,"&gt;="&amp;AF$2,FECHA_BOV3,"&lt;="&amp;AF$3,CLAVE_BOV3,$A37)+SUMIFS(SALIDAS_TC,FECHA_TC,"&gt;="&amp;AF$2,FECHA_TC,"&lt;="&amp;AF$3,CLAVE_TC,$A37)+SUMIFS(SALIDAS_COMB,FECHA_COMB,"&gt;="&amp;AF$2,FECHA_COMB,"&lt;="&amp;AF$3,CLAVE_COMB,$A37)+SUMIFS(SALIDAS_DES,FECHA_DESGLOSEN,"&gt;="&amp;AF$2,FECHA_DESGLOSEN,"&lt;="&amp;AF$3,CLAVE_DESGLOSE,$A37)</f>
        <v>55093.62</v>
      </c>
      <c r="AG37" s="13">
        <f t="shared" si="105"/>
        <v>55721.02</v>
      </c>
      <c r="AH37" s="13">
        <f t="shared" si="105"/>
        <v>61513.82</v>
      </c>
      <c r="AI37" s="13">
        <f t="shared" si="105"/>
        <v>56352</v>
      </c>
      <c r="AJ37" s="13">
        <f t="shared" si="105"/>
        <v>228680.46</v>
      </c>
      <c r="AK37" s="68">
        <f t="shared" si="65"/>
        <v>-29245.459999999992</v>
      </c>
      <c r="AL37" s="268">
        <f t="shared" si="66"/>
        <v>1.1466415624138191</v>
      </c>
      <c r="AM37" s="13">
        <f t="shared" si="42"/>
        <v>249293.75</v>
      </c>
      <c r="AN37" s="13">
        <f t="shared" ref="AN37:AS46" si="106">SUMIFS(SALIDAS_BIT,FECHA_BIT,"&gt;="&amp;AN$2,FECHA_BIT,"&lt;="&amp;AN$3,CLAVE_BIT,$A37)+SUMIFS(SALIDAS_BOV1,FECHA_BOV1,"&gt;="&amp;AN$2,FECHA_BOV1,"&lt;="&amp;AN$3,CLAVE_BOV1,$A37)+SUMIFS(SALIDAS_BOV2,FECHA_BOV2,"&gt;="&amp;AN$2,FECHA_BOV2,"&lt;="&amp;AN$3,CLAVE_BOV2,$A37)+SUMIFS(SALIDAS_BOV3,FECHA_BOV3,"&gt;="&amp;AN$2,FECHA_BOV3,"&lt;="&amp;AN$3,CLAVE_BOV3,$A37)+SUMIFS(SALIDAS_TC,FECHA_TC,"&gt;="&amp;AN$2,FECHA_TC,"&lt;="&amp;AN$3,CLAVE_TC,$A37)+SUMIFS(SALIDAS_COMB,FECHA_COMB,"&gt;="&amp;AN$2,FECHA_COMB,"&lt;="&amp;AN$3,CLAVE_COMB,$A37)+SUMIFS(SALIDAS_DES,FECHA_DESGLOSEN,"&gt;="&amp;AN$2,FECHA_DESGLOSEN,"&lt;="&amp;AN$3,CLAVE_DESGLOSE,$A37)</f>
        <v>60558.73</v>
      </c>
      <c r="AO37" s="13">
        <f t="shared" si="106"/>
        <v>56132.13</v>
      </c>
      <c r="AP37" s="13">
        <f t="shared" si="106"/>
        <v>56255.73</v>
      </c>
      <c r="AQ37" s="13">
        <f t="shared" si="106"/>
        <v>65298.97</v>
      </c>
      <c r="AR37" s="13">
        <f t="shared" si="106"/>
        <v>58367.97</v>
      </c>
      <c r="AS37" s="13">
        <f t="shared" si="106"/>
        <v>296613.53000000003</v>
      </c>
      <c r="AT37" s="68">
        <f>AM37-AS37</f>
        <v>-47319.780000000028</v>
      </c>
      <c r="AU37" s="268">
        <f t="shared" si="67"/>
        <v>1.1898153483591145</v>
      </c>
      <c r="AV37" s="13">
        <f t="shared" si="44"/>
        <v>199435</v>
      </c>
      <c r="AW37" s="13">
        <f t="shared" ref="AW37:BA52" si="107">SUMIFS(SALIDAS_BIT,FECHA_BIT,"&gt;="&amp;AW$2,FECHA_BIT,"&lt;="&amp;AW$3,CLAVE_BIT,$A37)+SUMIFS(SALIDAS_BOV1,FECHA_BOV1,"&gt;="&amp;AW$2,FECHA_BOV1,"&lt;="&amp;AW$3,CLAVE_BOV1,$A37)+SUMIFS(SALIDAS_BOV2,FECHA_BOV2,"&gt;="&amp;AW$2,FECHA_BOV2,"&lt;="&amp;AW$3,CLAVE_BOV2,$A37)+SUMIFS(SALIDAS_BOV3,FECHA_BOV3,"&gt;="&amp;AW$2,FECHA_BOV3,"&lt;="&amp;AW$3,CLAVE_BOV3,$A37)+SUMIFS(SALIDAS_TC,FECHA_TC,"&gt;="&amp;AW$2,FECHA_TC,"&lt;="&amp;AW$3,CLAVE_TC,$A37)+SUMIFS(SALIDAS_COMB,FECHA_COMB,"&gt;="&amp;AW$2,FECHA_COMB,"&lt;="&amp;AW$3,CLAVE_COMB,$A37)+SUMIFS(SALIDAS_DES,FECHA_DESGLOSEN,"&gt;="&amp;AW$2,FECHA_DESGLOSEN,"&lt;="&amp;AW$3,CLAVE_DESGLOSE,$A37)</f>
        <v>72501.570000000007</v>
      </c>
      <c r="AX37" s="13">
        <f>SUMIFS(SALIDAS_BIT,FECHA_BIT,"&gt;="&amp;AX$2,FECHA_BIT,"&lt;="&amp;AX$3,CLAVE_BIT,$A37)+SUMIFS(SALIDAS_BOV1,FECHA_BOV1,"&gt;="&amp;AX$2,FECHA_BOV1,"&lt;="&amp;AX$3,CLAVE_BOV1,$A37)+SUMIFS(SALIDAS_BOV2,FECHA_BOV2,"&gt;="&amp;AX$2,FECHA_BOV2,"&lt;="&amp;AX$3,CLAVE_BOV2,$A37)+SUMIFS(SALIDAS_BOV3,FECHA_BOV3,"&gt;="&amp;AX$2,FECHA_BOV3,"&lt;="&amp;AX$3,CLAVE_BOV3,$A37)+SUMIFS(SALIDAS_TC,FECHA_TC,"&gt;="&amp;AX$2,FECHA_TC,"&lt;="&amp;AX$3,CLAVE_TC,$A37)+SUMIFS(SALIDAS_COMB,FECHA_COMB,"&gt;="&amp;AX$2,FECHA_COMB,"&lt;="&amp;AX$3,CLAVE_COMB,$A37)+SUMIFS(SALIDAS_DES,FECHA_DESGLOSEN,"&gt;="&amp;AX$2,FECHA_DESGLOSEN,"&lt;="&amp;AX$3,CLAVE_DESGLOSE,$A37)</f>
        <v>64953.37</v>
      </c>
      <c r="AY37" s="13">
        <f>SUMIFS(SALIDAS_BIT,FECHA_BIT,"&gt;="&amp;AY$2,FECHA_BIT,"&lt;="&amp;AY$3,CLAVE_BIT,$A37)+SUMIFS(SALIDAS_BOV1,FECHA_BOV1,"&gt;="&amp;AY$2,FECHA_BOV1,"&lt;="&amp;AY$3,CLAVE_BOV1,$A37)+SUMIFS(SALIDAS_BOV2,FECHA_BOV2,"&gt;="&amp;AY$2,FECHA_BOV2,"&lt;="&amp;AY$3,CLAVE_BOV2,$A37)+SUMIFS(SALIDAS_BOV3,FECHA_BOV3,"&gt;="&amp;AY$2,FECHA_BOV3,"&lt;="&amp;AY$3,CLAVE_BOV3,$A37)+SUMIFS(SALIDAS_TC,FECHA_TC,"&gt;="&amp;AY$2,FECHA_TC,"&lt;="&amp;AY$3,CLAVE_TC,$A37)+SUMIFS(SALIDAS_COMB,FECHA_COMB,"&gt;="&amp;AY$2,FECHA_COMB,"&lt;="&amp;AY$3,CLAVE_COMB,$A37)+SUMIFS(SALIDAS_DES,FECHA_DESGLOSEN,"&gt;="&amp;AY$2,FECHA_DESGLOSEN,"&lt;="&amp;AY$3,CLAVE_DESGLOSE,$A37)</f>
        <v>71785.76999999999</v>
      </c>
      <c r="AZ37" s="13">
        <f>SUMIFS(SALIDAS_BIT,FECHA_BIT,"&gt;="&amp;AZ$2,FECHA_BIT,"&lt;="&amp;AZ$3,CLAVE_BIT,$A37)+SUMIFS(SALIDAS_BOV1,FECHA_BOV1,"&gt;="&amp;AZ$2,FECHA_BOV1,"&lt;="&amp;AZ$3,CLAVE_BOV1,$A37)+SUMIFS(SALIDAS_BOV2,FECHA_BOV2,"&gt;="&amp;AZ$2,FECHA_BOV2,"&lt;="&amp;AZ$3,CLAVE_BOV2,$A37)+SUMIFS(SALIDAS_BOV3,FECHA_BOV3,"&gt;="&amp;AZ$2,FECHA_BOV3,"&lt;="&amp;AZ$3,CLAVE_BOV3,$A37)+SUMIFS(SALIDAS_TC,FECHA_TC,"&gt;="&amp;AZ$2,FECHA_TC,"&lt;="&amp;AZ$3,CLAVE_TC,$A37)+SUMIFS(SALIDAS_COMB,FECHA_COMB,"&gt;="&amp;AZ$2,FECHA_COMB,"&lt;="&amp;AZ$3,CLAVE_COMB,$A37)+SUMIFS(SALIDAS_DES,FECHA_DESGLOSEN,"&gt;="&amp;AZ$2,FECHA_DESGLOSEN,"&lt;="&amp;AZ$3,CLAVE_DESGLOSE,$A37)</f>
        <v>66038.87</v>
      </c>
      <c r="BA37" s="13">
        <f t="shared" si="98"/>
        <v>275279.57999999996</v>
      </c>
      <c r="BB37" s="68">
        <f t="shared" si="68"/>
        <v>-75844.579999999958</v>
      </c>
      <c r="BC37" s="268">
        <f t="shared" si="69"/>
        <v>1.3802972397021585</v>
      </c>
      <c r="BD37" s="13">
        <f t="shared" si="46"/>
        <v>199435</v>
      </c>
      <c r="BE37" s="13">
        <f>SUMIFS(SALIDAS_BIT,FECHA_BIT,"&gt;="&amp;BE$2,FECHA_BIT,"&lt;="&amp;BE$3,CLAVE_BIT,$A37)+SUMIFS(SALIDAS_BOV1,FECHA_BOV1,"&gt;="&amp;BE$2,FECHA_BOV1,"&lt;="&amp;BE$3,CLAVE_BOV1,$A37)+SUMIFS(SALIDAS_BOV2,FECHA_BOV2,"&gt;="&amp;BE$2,FECHA_BOV2,"&lt;="&amp;BE$3,CLAVE_BOV2,$A37)+SUMIFS(SALIDAS_BOV3,FECHA_BOV3,"&gt;="&amp;BE$2,FECHA_BOV3,"&lt;="&amp;BE$3,CLAVE_BOV3,$A37)+SUMIFS(SALIDAS_TC,FECHA_TC,"&gt;="&amp;BE$2,FECHA_TC,"&lt;="&amp;BE$3,CLAVE_TC,$A37)+SUMIFS(SALIDAS_COMB,FECHA_COMB,"&gt;="&amp;BE$2,FECHA_COMB,"&lt;="&amp;BE$3,CLAVE_COMB,$A37)+SUMIFS(SALIDAS_DES,FECHA_DESGLOSEN,"&gt;="&amp;BE$2,FECHA_DESGLOSEN,"&lt;="&amp;BE$3,CLAVE_DESGLOSE,$A37)</f>
        <v>76593.87</v>
      </c>
      <c r="BF37" s="13">
        <f>SUMIFS(SALIDAS_BIT,FECHA_BIT,"&gt;="&amp;BF$2,FECHA_BIT,"&lt;="&amp;BF$3,CLAVE_BIT,$A37)+SUMIFS(SALIDAS_BOV1,FECHA_BOV1,"&gt;="&amp;BF$2,FECHA_BOV1,"&lt;="&amp;BF$3,CLAVE_BOV1,$A37)+SUMIFS(SALIDAS_BOV2,FECHA_BOV2,"&gt;="&amp;BF$2,FECHA_BOV2,"&lt;="&amp;BF$3,CLAVE_BOV2,$A37)+SUMIFS(SALIDAS_BOV3,FECHA_BOV3,"&gt;="&amp;BF$2,FECHA_BOV3,"&lt;="&amp;BF$3,CLAVE_BOV3,$A37)+SUMIFS(SALIDAS_TC,FECHA_TC,"&gt;="&amp;BF$2,FECHA_TC,"&lt;="&amp;BF$3,CLAVE_TC,$A37)+SUMIFS(SALIDAS_COMB,FECHA_COMB,"&gt;="&amp;BF$2,FECHA_COMB,"&lt;="&amp;BF$3,CLAVE_COMB,$A37)+SUMIFS(SALIDAS_DES,FECHA_DESGLOSEN,"&gt;="&amp;BF$2,FECHA_DESGLOSEN,"&lt;="&amp;BF$3,CLAVE_DESGLOSE,$A37)</f>
        <v>75238.77</v>
      </c>
      <c r="BG37" s="13">
        <f>SUMIFS(SALIDAS_BIT,FECHA_BIT,"&gt;="&amp;BG$2,FECHA_BIT,"&lt;="&amp;BG$3,CLAVE_BIT,$A37)+SUMIFS(SALIDAS_BOV1,FECHA_BOV1,"&gt;="&amp;BG$2,FECHA_BOV1,"&lt;="&amp;BG$3,CLAVE_BOV1,$A37)+SUMIFS(SALIDAS_BOV2,FECHA_BOV2,"&gt;="&amp;BG$2,FECHA_BOV2,"&lt;="&amp;BG$3,CLAVE_BOV2,$A37)+SUMIFS(SALIDAS_BOV3,FECHA_BOV3,"&gt;="&amp;BG$2,FECHA_BOV3,"&lt;="&amp;BG$3,CLAVE_BOV3,$A37)+SUMIFS(SALIDAS_TC,FECHA_TC,"&gt;="&amp;BG$2,FECHA_TC,"&lt;="&amp;BG$3,CLAVE_TC,$A37)+SUMIFS(SALIDAS_COMB,FECHA_COMB,"&gt;="&amp;BG$2,FECHA_COMB,"&lt;="&amp;BG$3,CLAVE_COMB,$A37)+SUMIFS(SALIDAS_DES,FECHA_DESGLOSEN,"&gt;="&amp;BG$2,FECHA_DESGLOSEN,"&lt;="&amp;BG$3,CLAVE_DESGLOSE,$A37)</f>
        <v>81517.69</v>
      </c>
      <c r="BH37" s="13">
        <f>SUMIFS(SALIDAS_BIT,FECHA_BIT,"&gt;="&amp;BH$2,FECHA_BIT,"&lt;="&amp;BH$3,CLAVE_BIT,$A37)+SUMIFS(SALIDAS_BOV1,FECHA_BOV1,"&gt;="&amp;BH$2,FECHA_BOV1,"&lt;="&amp;BH$3,CLAVE_BOV1,$A37)+SUMIFS(SALIDAS_BOV2,FECHA_BOV2,"&gt;="&amp;BH$2,FECHA_BOV2,"&lt;="&amp;BH$3,CLAVE_BOV2,$A37)+SUMIFS(SALIDAS_BOV3,FECHA_BOV3,"&gt;="&amp;BH$2,FECHA_BOV3,"&lt;="&amp;BH$3,CLAVE_BOV3,$A37)+SUMIFS(SALIDAS_TC,FECHA_TC,"&gt;="&amp;BH$2,FECHA_TC,"&lt;="&amp;BH$3,CLAVE_TC,$A37)+SUMIFS(SALIDAS_COMB,FECHA_COMB,"&gt;="&amp;BH$2,FECHA_COMB,"&lt;="&amp;BH$3,CLAVE_COMB,$A37)+SUMIFS(SALIDAS_DES,FECHA_DESGLOSEN,"&gt;="&amp;BH$2,FECHA_DESGLOSEN,"&lt;="&amp;BH$3,CLAVE_DESGLOSE,$A37)</f>
        <v>77509</v>
      </c>
      <c r="BI37" s="13">
        <f>SUMIFS(SALIDAS_BIT,FECHA_BIT,"&gt;="&amp;BI$2,FECHA_BIT,"&lt;="&amp;BI$3,CLAVE_BIT,$A37)+SUMIFS(SALIDAS_BOV1,FECHA_BOV1,"&gt;="&amp;BI$2,FECHA_BOV1,"&lt;="&amp;BI$3,CLAVE_BOV1,$A37)+SUMIFS(SALIDAS_BOV2,FECHA_BOV2,"&gt;="&amp;BI$2,FECHA_BOV2,"&lt;="&amp;BI$3,CLAVE_BOV2,$A37)+SUMIFS(SALIDAS_BOV3,FECHA_BOV3,"&gt;="&amp;BI$2,FECHA_BOV3,"&lt;="&amp;BI$3,CLAVE_BOV3,$A37)+SUMIFS(SALIDAS_TC,FECHA_TC,"&gt;="&amp;BI$2,FECHA_TC,"&lt;="&amp;BI$3,CLAVE_TC,$A37)+SUMIFS(SALIDAS_COMB,FECHA_COMB,"&gt;="&amp;BI$2,FECHA_COMB,"&lt;="&amp;BI$3,CLAVE_COMB,$A37)+SUMIFS(SALIDAS_DES,FECHA_DESGLOSEN,"&gt;="&amp;BI$2,FECHA_DESGLOSEN,"&lt;="&amp;BI$3,CLAVE_DESGLOSE,$A37)</f>
        <v>310859.33</v>
      </c>
      <c r="BJ37" s="68">
        <f t="shared" si="70"/>
        <v>-111424.33000000002</v>
      </c>
      <c r="BK37" s="401">
        <f t="shared" si="71"/>
        <v>1.5586999774362575</v>
      </c>
      <c r="BL37" s="13">
        <f t="shared" si="47"/>
        <v>249293.75</v>
      </c>
      <c r="BM37" s="13">
        <f>SUMIFS(SALIDAS_BIT,FECHA_BIT,"&gt;="&amp;BM$2,FECHA_BIT,"&lt;="&amp;BM$3,CLAVE_BIT,$A37)+SUMIFS(SALIDAS_BOV1,FECHA_BOV1,"&gt;="&amp;BM$2,FECHA_BOV1,"&lt;="&amp;BM$3,CLAVE_BOV1,$A37)+SUMIFS(SALIDAS_BOV2,FECHA_BOV2,"&gt;="&amp;BM$2,FECHA_BOV2,"&lt;="&amp;BM$3,CLAVE_BOV2,$A37)+SUMIFS(SALIDAS_BOV3,FECHA_BOV3,"&gt;="&amp;BM$2,FECHA_BOV3,"&lt;="&amp;BM$3,CLAVE_BOV3,$A37)+SUMIFS(SALIDAS_TC,FECHA_TC,"&gt;="&amp;BM$2,FECHA_TC,"&lt;="&amp;BM$3,CLAVE_TC,$A37)+SUMIFS(SALIDAS_COMB,FECHA_COMB,"&gt;="&amp;BM$2,FECHA_COMB,"&lt;="&amp;BM$3,CLAVE_COMB,$A37)+SUMIFS(SALIDAS_DES,FECHA_DESGLOSEN,"&gt;="&amp;BM$2,FECHA_DESGLOSEN,"&lt;="&amp;BM$3,CLAVE_DESGLOSE,$A37)</f>
        <v>69422.490000000005</v>
      </c>
      <c r="BN37" s="13">
        <f>SUMIFS(SALIDAS_BIT,FECHA_BIT,"&gt;="&amp;BN$2,FECHA_BIT,"&lt;="&amp;BN$3,CLAVE_BIT,$A37)+SUMIFS(SALIDAS_BOV1,FECHA_BOV1,"&gt;="&amp;BN$2,FECHA_BOV1,"&lt;="&amp;BN$3,CLAVE_BOV1,$A37)+SUMIFS(SALIDAS_BOV2,FECHA_BOV2,"&gt;="&amp;BN$2,FECHA_BOV2,"&lt;="&amp;BN$3,CLAVE_BOV2,$A37)+SUMIFS(SALIDAS_BOV3,FECHA_BOV3,"&gt;="&amp;BN$2,FECHA_BOV3,"&lt;="&amp;BN$3,CLAVE_BOV3,$A37)+SUMIFS(SALIDAS_TC,FECHA_TC,"&gt;="&amp;BN$2,FECHA_TC,"&lt;="&amp;BN$3,CLAVE_TC,$A37)+SUMIFS(SALIDAS_COMB,FECHA_COMB,"&gt;="&amp;BN$2,FECHA_COMB,"&lt;="&amp;BN$3,CLAVE_COMB,$A37)+SUMIFS(SALIDAS_DES,FECHA_DESGLOSEN,"&gt;="&amp;BN$2,FECHA_DESGLOSEN,"&lt;="&amp;BN$3,CLAVE_DESGLOSE,$A37)</f>
        <v>72030.649999999994</v>
      </c>
      <c r="BO37" s="13">
        <f>SUMIFS(SALIDAS_BIT,FECHA_BIT,"&gt;="&amp;BO$2,FECHA_BIT,"&lt;="&amp;BO$3,CLAVE_BIT,$A37)+SUMIFS(SALIDAS_BOV1,FECHA_BOV1,"&gt;="&amp;BO$2,FECHA_BOV1,"&lt;="&amp;BO$3,CLAVE_BOV1,$A37)+SUMIFS(SALIDAS_BOV2,FECHA_BOV2,"&gt;="&amp;BO$2,FECHA_BOV2,"&lt;="&amp;BO$3,CLAVE_BOV2,$A37)+SUMIFS(SALIDAS_BOV3,FECHA_BOV3,"&gt;="&amp;BO$2,FECHA_BOV3,"&lt;="&amp;BO$3,CLAVE_BOV3,$A37)+SUMIFS(SALIDAS_TC,FECHA_TC,"&gt;="&amp;BO$2,FECHA_TC,"&lt;="&amp;BO$3,CLAVE_TC,$A37)+SUMIFS(SALIDAS_COMB,FECHA_COMB,"&gt;="&amp;BO$2,FECHA_COMB,"&lt;="&amp;BO$3,CLAVE_COMB,$A37)+SUMIFS(SALIDAS_DES,FECHA_DESGLOSEN,"&gt;="&amp;BO$2,FECHA_DESGLOSEN,"&lt;="&amp;BO$3,CLAVE_DESGLOSE,$A37)</f>
        <v>78479.05</v>
      </c>
      <c r="BP37" s="13">
        <f>SUMIFS(SALIDAS_BIT,FECHA_BIT,"&gt;="&amp;BP$2,FECHA_BIT,"&lt;="&amp;BP$3,CLAVE_BIT,$A37)+SUMIFS(SALIDAS_BOV1,FECHA_BOV1,"&gt;="&amp;BP$2,FECHA_BOV1,"&lt;="&amp;BP$3,CLAVE_BOV1,$A37)+SUMIFS(SALIDAS_BOV2,FECHA_BOV2,"&gt;="&amp;BP$2,FECHA_BOV2,"&lt;="&amp;BP$3,CLAVE_BOV2,$A37)+SUMIFS(SALIDAS_BOV3,FECHA_BOV3,"&gt;="&amp;BP$2,FECHA_BOV3,"&lt;="&amp;BP$3,CLAVE_BOV3,$A37)+SUMIFS(SALIDAS_TC,FECHA_TC,"&gt;="&amp;BP$2,FECHA_TC,"&lt;="&amp;BP$3,CLAVE_TC,$A37)+SUMIFS(SALIDAS_COMB,FECHA_COMB,"&gt;="&amp;BP$2,FECHA_COMB,"&lt;="&amp;BP$3,CLAVE_COMB,$A37)+SUMIFS(SALIDAS_DES,FECHA_DESGLOSEN,"&gt;="&amp;BP$2,FECHA_DESGLOSEN,"&lt;="&amp;BP$3,CLAVE_DESGLOSE,$A37)</f>
        <v>69692.649999999994</v>
      </c>
      <c r="BQ37" s="13">
        <f>SUMIFS(SALIDAS_BIT,FECHA_BIT,"&gt;="&amp;BQ$2,FECHA_BIT,"&lt;="&amp;BQ$3,CLAVE_BIT,$A37)+SUMIFS(SALIDAS_BOV1,FECHA_BOV1,"&gt;="&amp;BQ$2,FECHA_BOV1,"&lt;="&amp;BQ$3,CLAVE_BOV1,$A37)+SUMIFS(SALIDAS_BOV2,FECHA_BOV2,"&gt;="&amp;BQ$2,FECHA_BOV2,"&lt;="&amp;BQ$3,CLAVE_BOV2,$A37)+SUMIFS(SALIDAS_BOV3,FECHA_BOV3,"&gt;="&amp;BQ$2,FECHA_BOV3,"&lt;="&amp;BQ$3,CLAVE_BOV3,$A37)+SUMIFS(SALIDAS_TC,FECHA_TC,"&gt;="&amp;BQ$2,FECHA_TC,"&lt;="&amp;BQ$3,CLAVE_TC,$A37)+SUMIFS(SALIDAS_COMB,FECHA_COMB,"&gt;="&amp;BQ$2,FECHA_COMB,"&lt;="&amp;BQ$3,CLAVE_COMB,$A37)+SUMIFS(SALIDAS_DES,FECHA_DESGLOSEN,"&gt;="&amp;BQ$2,FECHA_DESGLOSEN,"&lt;="&amp;BQ$3,CLAVE_DESGLOSE,$A37)</f>
        <v>72962.649999999994</v>
      </c>
      <c r="BR37" s="13">
        <f>SUMIFS(SALIDAS_BIT,FECHA_BIT,"&gt;="&amp;BR$2,FECHA_BIT,"&lt;="&amp;BR$3,CLAVE_BIT,$A37)+SUMIFS(SALIDAS_BOV1,FECHA_BOV1,"&gt;="&amp;BR$2,FECHA_BOV1,"&lt;="&amp;BR$3,CLAVE_BOV1,$A37)+SUMIFS(SALIDAS_BOV2,FECHA_BOV2,"&gt;="&amp;BR$2,FECHA_BOV2,"&lt;="&amp;BR$3,CLAVE_BOV2,$A37)+SUMIFS(SALIDAS_BOV3,FECHA_BOV3,"&gt;="&amp;BR$2,FECHA_BOV3,"&lt;="&amp;BR$3,CLAVE_BOV3,$A37)+SUMIFS(SALIDAS_TC,FECHA_TC,"&gt;="&amp;BR$2,FECHA_TC,"&lt;="&amp;BR$3,CLAVE_TC,$A37)+SUMIFS(SALIDAS_COMB,FECHA_COMB,"&gt;="&amp;BR$2,FECHA_COMB,"&lt;="&amp;BR$3,CLAVE_COMB,$A37)+SUMIFS(SALIDAS_DES,FECHA_DESGLOSEN,"&gt;="&amp;BR$2,FECHA_DESGLOSEN,"&lt;="&amp;BR$3,CLAVE_DESGLOSE,$A37)</f>
        <v>362587.49</v>
      </c>
      <c r="BS37" s="68">
        <f t="shared" si="72"/>
        <v>-113293.73999999999</v>
      </c>
      <c r="BT37" s="268">
        <f t="shared" si="73"/>
        <v>1.4544588061273096</v>
      </c>
      <c r="BU37" s="13">
        <f t="shared" si="49"/>
        <v>220121.04</v>
      </c>
      <c r="BV37" s="13">
        <f t="shared" si="90"/>
        <v>80108.25</v>
      </c>
      <c r="BW37" s="13">
        <f t="shared" si="90"/>
        <v>82035.850000000006</v>
      </c>
      <c r="BX37" s="13">
        <f t="shared" si="90"/>
        <v>74731.73</v>
      </c>
      <c r="BY37" s="13">
        <f t="shared" si="90"/>
        <v>82351.13</v>
      </c>
      <c r="BZ37" s="13">
        <f t="shared" ref="BV37:BZ46" si="108">SUMIFS(SALIDAS_BIT,FECHA_BIT,"&gt;="&amp;BZ$2,FECHA_BIT,"&lt;="&amp;BZ$3,CLAVE_BIT,$A37)+SUMIFS(SALIDAS_BOV1,FECHA_BOV1,"&gt;="&amp;BZ$2,FECHA_BOV1,"&lt;="&amp;BZ$3,CLAVE_BOV1,$A37)+SUMIFS(SALIDAS_BOV2,FECHA_BOV2,"&gt;="&amp;BZ$2,FECHA_BOV2,"&lt;="&amp;BZ$3,CLAVE_BOV2,$A37)+SUMIFS(SALIDAS_BOV3,FECHA_BOV3,"&gt;="&amp;BZ$2,FECHA_BOV3,"&lt;="&amp;BZ$3,CLAVE_BOV3,$A37)+SUMIFS(SALIDAS_TC,FECHA_TC,"&gt;="&amp;BZ$2,FECHA_TC,"&lt;="&amp;BZ$3,CLAVE_TC,$A37)+SUMIFS(SALIDAS_COMB,FECHA_COMB,"&gt;="&amp;BZ$2,FECHA_COMB,"&lt;="&amp;BZ$3,CLAVE_COMB,$A37)+SUMIFS(SALIDAS_DES,FECHA_DESGLOSEN,"&gt;="&amp;BZ$2,FECHA_DESGLOSEN,"&lt;="&amp;BZ$3,CLAVE_DESGLOSE,$A37)</f>
        <v>319226.96000000002</v>
      </c>
      <c r="CA37" s="68">
        <f t="shared" si="74"/>
        <v>-99105.920000000013</v>
      </c>
      <c r="CB37" s="268">
        <f t="shared" si="75"/>
        <v>1.4502337441255049</v>
      </c>
      <c r="CC37" s="13">
        <f t="shared" si="51"/>
        <v>220121.04</v>
      </c>
      <c r="CD37" s="13">
        <f t="shared" si="91"/>
        <v>92482.69</v>
      </c>
      <c r="CE37" s="13">
        <f t="shared" si="91"/>
        <v>79664.289999999994</v>
      </c>
      <c r="CF37" s="13">
        <f t="shared" si="91"/>
        <v>77098.69</v>
      </c>
      <c r="CG37" s="13">
        <f t="shared" si="91"/>
        <v>76005.929999999993</v>
      </c>
      <c r="CH37" s="13">
        <f t="shared" ref="CD37:CH46" si="109">SUMIFS(SALIDAS_BIT,FECHA_BIT,"&gt;="&amp;CH$2,FECHA_BIT,"&lt;="&amp;CH$3,CLAVE_BIT,$A37)+SUMIFS(SALIDAS_BOV1,FECHA_BOV1,"&gt;="&amp;CH$2,FECHA_BOV1,"&lt;="&amp;CH$3,CLAVE_BOV1,$A37)+SUMIFS(SALIDAS_BOV2,FECHA_BOV2,"&gt;="&amp;CH$2,FECHA_BOV2,"&lt;="&amp;CH$3,CLAVE_BOV2,$A37)+SUMIFS(SALIDAS_BOV3,FECHA_BOV3,"&gt;="&amp;CH$2,FECHA_BOV3,"&lt;="&amp;CH$3,CLAVE_BOV3,$A37)+SUMIFS(SALIDAS_TC,FECHA_TC,"&gt;="&amp;CH$2,FECHA_TC,"&lt;="&amp;CH$3,CLAVE_TC,$A37)+SUMIFS(SALIDAS_COMB,FECHA_COMB,"&gt;="&amp;CH$2,FECHA_COMB,"&lt;="&amp;CH$3,CLAVE_COMB,$A37)+SUMIFS(SALIDAS_DES,FECHA_DESGLOSEN,"&gt;="&amp;CH$2,FECHA_DESGLOSEN,"&lt;="&amp;CH$3,CLAVE_DESGLOSE,$A37)</f>
        <v>325251.59999999998</v>
      </c>
      <c r="CI37" s="68">
        <f t="shared" si="76"/>
        <v>-105130.55999999997</v>
      </c>
      <c r="CJ37" s="268">
        <f t="shared" si="77"/>
        <v>1.4776034131039903</v>
      </c>
      <c r="CK37" s="13">
        <f t="shared" si="53"/>
        <v>249293.75</v>
      </c>
      <c r="CL37" s="13">
        <f t="shared" si="92"/>
        <v>74129.33</v>
      </c>
      <c r="CM37" s="13">
        <f t="shared" si="92"/>
        <v>75345.929999999993</v>
      </c>
      <c r="CN37" s="13">
        <f t="shared" si="92"/>
        <v>79454.13</v>
      </c>
      <c r="CO37" s="13">
        <f t="shared" si="92"/>
        <v>97298.13</v>
      </c>
      <c r="CP37" s="13">
        <f t="shared" si="92"/>
        <v>68239.73</v>
      </c>
      <c r="CQ37" s="13">
        <f t="shared" ref="CL37:CQ46" si="110">SUMIFS(SALIDAS_BIT,FECHA_BIT,"&gt;="&amp;CQ$2,FECHA_BIT,"&lt;="&amp;CQ$3,CLAVE_BIT,$A37)+SUMIFS(SALIDAS_BOV1,FECHA_BOV1,"&gt;="&amp;CQ$2,FECHA_BOV1,"&lt;="&amp;CQ$3,CLAVE_BOV1,$A37)+SUMIFS(SALIDAS_BOV2,FECHA_BOV2,"&gt;="&amp;CQ$2,FECHA_BOV2,"&lt;="&amp;CQ$3,CLAVE_BOV2,$A37)+SUMIFS(SALIDAS_BOV3,FECHA_BOV3,"&gt;="&amp;CQ$2,FECHA_BOV3,"&lt;="&amp;CQ$3,CLAVE_BOV3,$A37)+SUMIFS(SALIDAS_TC,FECHA_TC,"&gt;="&amp;CQ$2,FECHA_TC,"&lt;="&amp;CQ$3,CLAVE_TC,$A37)+SUMIFS(SALIDAS_COMB,FECHA_COMB,"&gt;="&amp;CQ$2,FECHA_COMB,"&lt;="&amp;CQ$3,CLAVE_COMB,$A37)+SUMIFS(SALIDAS_DES,FECHA_DESGLOSEN,"&gt;="&amp;CQ$2,FECHA_DESGLOSEN,"&lt;="&amp;CQ$3,CLAVE_DESGLOSE,$A37)</f>
        <v>394467.25</v>
      </c>
      <c r="CR37" s="68">
        <f t="shared" si="78"/>
        <v>-145173.5</v>
      </c>
      <c r="CS37" s="268">
        <f t="shared" si="79"/>
        <v>1.5823391079800435</v>
      </c>
      <c r="CT37" s="68">
        <f t="shared" si="55"/>
        <v>260000</v>
      </c>
      <c r="CU37" s="13">
        <f>SUMIFS(SALIDAS_BIT,FECHA_BIT,"&gt;="&amp;CU$2,FECHA_BIT,"&lt;="&amp;CU$3,CLAVE_BIT,$A37)+SUMIFS(SALIDAS_BOV1,FECHA_BOV1,"&gt;="&amp;CU$2,FECHA_BOV1,"&lt;="&amp;CU$3,CLAVE_BOV1,$A37)+SUMIFS(SALIDAS_BOV2,FECHA_BOV2,"&gt;="&amp;CU$2,FECHA_BOV2,"&lt;="&amp;CU$3,CLAVE_BOV2,$A37)+SUMIFS(SALIDAS_BOV3,FECHA_BOV3,"&gt;="&amp;CU$2,FECHA_BOV3,"&lt;="&amp;CU$3,CLAVE_BOV3,$A37)+SUMIFS(SALIDAS_TC,FECHA_TC,"&gt;="&amp;CU$2,FECHA_TC,"&lt;="&amp;CU$3,CLAVE_TC,$A37)+SUMIFS(SALIDAS_COMB,FECHA_COMB,"&gt;="&amp;CU$2,FECHA_COMB,"&lt;="&amp;CU$3,CLAVE_COMB,$A37)+SUMIFS(SALIDAS_DES,FECHA_DESGLOSEN,"&gt;="&amp;CU$2,FECHA_DESGLOSEN,"&lt;="&amp;CU$3,CLAVE_DESGLOSE,$A37)</f>
        <v>68007.63</v>
      </c>
      <c r="CV37" s="13">
        <f>SUMIFS(SALIDAS_BIT,FECHA_BIT,"&gt;="&amp;CV$2,FECHA_BIT,"&lt;="&amp;CV$3,CLAVE_BIT,$A37)+SUMIFS(SALIDAS_BOV1,FECHA_BOV1,"&gt;="&amp;CV$2,FECHA_BOV1,"&lt;="&amp;CV$3,CLAVE_BOV1,$A37)+SUMIFS(SALIDAS_BOV2,FECHA_BOV2,"&gt;="&amp;CV$2,FECHA_BOV2,"&lt;="&amp;CV$3,CLAVE_BOV2,$A37)+SUMIFS(SALIDAS_BOV3,FECHA_BOV3,"&gt;="&amp;CV$2,FECHA_BOV3,"&lt;="&amp;CV$3,CLAVE_BOV3,$A37)+SUMIFS(SALIDAS_TC,FECHA_TC,"&gt;="&amp;CV$2,FECHA_TC,"&lt;="&amp;CV$3,CLAVE_TC,$A37)+SUMIFS(SALIDAS_COMB,FECHA_COMB,"&gt;="&amp;CV$2,FECHA_COMB,"&lt;="&amp;CV$3,CLAVE_COMB,$A37)+SUMIFS(SALIDAS_DES,FECHA_DESGLOSEN,"&gt;="&amp;CV$2,FECHA_DESGLOSEN,"&lt;="&amp;CV$3,CLAVE_DESGLOSE,$A37)</f>
        <v>70292.929999999993</v>
      </c>
      <c r="CW37" s="13">
        <f>SUMIFS(SALIDAS_BIT,FECHA_BIT,"&gt;="&amp;CW$2,FECHA_BIT,"&lt;="&amp;CW$3,CLAVE_BIT,$A37)+SUMIFS(SALIDAS_BOV1,FECHA_BOV1,"&gt;="&amp;CW$2,FECHA_BOV1,"&lt;="&amp;CW$3,CLAVE_BOV1,$A37)+SUMIFS(SALIDAS_BOV2,FECHA_BOV2,"&gt;="&amp;CW$2,FECHA_BOV2,"&lt;="&amp;CW$3,CLAVE_BOV2,$A37)+SUMIFS(SALIDAS_BOV3,FECHA_BOV3,"&gt;="&amp;CW$2,FECHA_BOV3,"&lt;="&amp;CW$3,CLAVE_BOV3,$A37)+SUMIFS(SALIDAS_TC,FECHA_TC,"&gt;="&amp;CW$2,FECHA_TC,"&lt;="&amp;CW$3,CLAVE_TC,$A37)+SUMIFS(SALIDAS_COMB,FECHA_COMB,"&gt;="&amp;CW$2,FECHA_COMB,"&lt;="&amp;CW$3,CLAVE_COMB,$A37)+SUMIFS(SALIDAS_DES,FECHA_DESGLOSEN,"&gt;="&amp;CW$2,FECHA_DESGLOSEN,"&lt;="&amp;CW$3,CLAVE_DESGLOSE,$A37)</f>
        <v>81144.33</v>
      </c>
      <c r="CX37" s="13">
        <f>SUMIFS(SALIDAS_BIT,FECHA_BIT,"&gt;="&amp;CX$2,FECHA_BIT,"&lt;="&amp;CX$3,CLAVE_BIT,$A37)+SUMIFS(SALIDAS_BOV1,FECHA_BOV1,"&gt;="&amp;CX$2,FECHA_BOV1,"&lt;="&amp;CX$3,CLAVE_BOV1,$A37)+SUMIFS(SALIDAS_BOV2,FECHA_BOV2,"&gt;="&amp;CX$2,FECHA_BOV2,"&lt;="&amp;CX$3,CLAVE_BOV2,$A37)+SUMIFS(SALIDAS_BOV3,FECHA_BOV3,"&gt;="&amp;CX$2,FECHA_BOV3,"&lt;="&amp;CX$3,CLAVE_BOV3,$A37)+SUMIFS(SALIDAS_TC,FECHA_TC,"&gt;="&amp;CX$2,FECHA_TC,"&lt;="&amp;CX$3,CLAVE_TC,$A37)+SUMIFS(SALIDAS_COMB,FECHA_COMB,"&gt;="&amp;CX$2,FECHA_COMB,"&lt;="&amp;CX$3,CLAVE_COMB,$A37)+SUMIFS(SALIDAS_DES,FECHA_DESGLOSEN,"&gt;="&amp;CX$2,FECHA_DESGLOSEN,"&lt;="&amp;CX$3,CLAVE_DESGLOSE,$A37)</f>
        <v>71897.78</v>
      </c>
      <c r="CY37" s="13">
        <f>SUMIFS(SALIDAS_BIT,FECHA_BIT,"&gt;="&amp;CY$2,FECHA_BIT,"&lt;="&amp;CY$3,CLAVE_BIT,$A37)+SUMIFS(SALIDAS_BOV1,FECHA_BOV1,"&gt;="&amp;CY$2,FECHA_BOV1,"&lt;="&amp;CY$3,CLAVE_BOV1,$A37)+SUMIFS(SALIDAS_BOV2,FECHA_BOV2,"&gt;="&amp;CY$2,FECHA_BOV2,"&lt;="&amp;CY$3,CLAVE_BOV2,$A37)+SUMIFS(SALIDAS_BOV3,FECHA_BOV3,"&gt;="&amp;CY$2,FECHA_BOV3,"&lt;="&amp;CY$3,CLAVE_BOV3,$A37)+SUMIFS(SALIDAS_TC,FECHA_TC,"&gt;="&amp;CY$2,FECHA_TC,"&lt;="&amp;CY$3,CLAVE_TC,$A37)+SUMIFS(SALIDAS_COMB,FECHA_COMB,"&gt;="&amp;CY$2,FECHA_COMB,"&lt;="&amp;CY$3,CLAVE_COMB,$A37)+SUMIFS(SALIDAS_DES,FECHA_DESGLOSEN,"&gt;="&amp;CY$2,FECHA_DESGLOSEN,"&lt;="&amp;CY$3,CLAVE_DESGLOSE,$A37)</f>
        <v>291342.67000000004</v>
      </c>
      <c r="CZ37" s="68">
        <f t="shared" si="80"/>
        <v>-31342.670000000042</v>
      </c>
      <c r="DB37" s="17">
        <f>F37+N37+W37+AE37+AM37+AV37+BD37+BL37+BU37+CC37+CK37</f>
        <v>2434592.08</v>
      </c>
      <c r="DC37" s="17">
        <f>K37+T37+AB37+AJ37+AS37+BA37+BI37+BR37+BZ37+CH37+CQ37</f>
        <v>3313324.1700000004</v>
      </c>
    </row>
    <row r="38" spans="1:107" hidden="1">
      <c r="A38" s="12" t="str">
        <f t="shared" si="57"/>
        <v>SERVICIOSNOMINA ADMONINVENTARIOS</v>
      </c>
      <c r="B38" s="12">
        <v>32</v>
      </c>
      <c r="C38" t="s">
        <v>21</v>
      </c>
      <c r="D38" s="12" t="s">
        <v>147</v>
      </c>
      <c r="E38" s="12" t="s">
        <v>34</v>
      </c>
      <c r="F38" s="259">
        <f t="shared" si="58"/>
        <v>19200</v>
      </c>
      <c r="G38" s="13">
        <f t="shared" si="102"/>
        <v>2374</v>
      </c>
      <c r="H38" s="13">
        <f t="shared" si="102"/>
        <v>2374</v>
      </c>
      <c r="I38" s="13">
        <f t="shared" si="102"/>
        <v>2800</v>
      </c>
      <c r="J38" s="13">
        <f t="shared" si="102"/>
        <v>2800</v>
      </c>
      <c r="K38" s="13">
        <f t="shared" si="102"/>
        <v>10348</v>
      </c>
      <c r="L38" s="68">
        <f t="shared" si="59"/>
        <v>8852</v>
      </c>
      <c r="M38" s="268">
        <f t="shared" si="60"/>
        <v>0.53895833333333332</v>
      </c>
      <c r="N38" s="13">
        <f t="shared" si="36"/>
        <v>24000</v>
      </c>
      <c r="O38" s="13">
        <f t="shared" si="103"/>
        <v>2700</v>
      </c>
      <c r="P38" s="13">
        <f t="shared" si="103"/>
        <v>2700.2</v>
      </c>
      <c r="Q38" s="13">
        <f t="shared" si="103"/>
        <v>2800</v>
      </c>
      <c r="R38" s="13">
        <f t="shared" si="103"/>
        <v>2800</v>
      </c>
      <c r="S38" s="13">
        <f t="shared" si="103"/>
        <v>2700</v>
      </c>
      <c r="T38" s="13">
        <f t="shared" si="103"/>
        <v>13700.2</v>
      </c>
      <c r="U38" s="68">
        <f t="shared" si="61"/>
        <v>10299.799999999999</v>
      </c>
      <c r="V38" s="268">
        <f t="shared" si="62"/>
        <v>0.57084166666666669</v>
      </c>
      <c r="W38" s="13">
        <f t="shared" si="38"/>
        <v>19200</v>
      </c>
      <c r="X38" s="13">
        <f t="shared" si="104"/>
        <v>2800</v>
      </c>
      <c r="Y38" s="13">
        <f t="shared" si="104"/>
        <v>2706.6</v>
      </c>
      <c r="Z38" s="13">
        <f t="shared" si="104"/>
        <v>1991</v>
      </c>
      <c r="AA38" s="13">
        <f t="shared" si="104"/>
        <v>2800</v>
      </c>
      <c r="AB38" s="13">
        <f t="shared" si="104"/>
        <v>10297.6</v>
      </c>
      <c r="AC38" s="68">
        <f t="shared" si="63"/>
        <v>8902.4</v>
      </c>
      <c r="AD38" s="268">
        <f t="shared" si="64"/>
        <v>0.53633333333333333</v>
      </c>
      <c r="AE38" s="13">
        <f t="shared" si="40"/>
        <v>12000</v>
      </c>
      <c r="AF38" s="13">
        <f t="shared" si="105"/>
        <v>2800</v>
      </c>
      <c r="AG38" s="13">
        <f t="shared" si="105"/>
        <v>2700.2</v>
      </c>
      <c r="AH38" s="13">
        <f t="shared" si="105"/>
        <v>2700</v>
      </c>
      <c r="AI38" s="13">
        <f t="shared" si="105"/>
        <v>2700.6</v>
      </c>
      <c r="AJ38" s="13">
        <f t="shared" si="105"/>
        <v>10900.800000000001</v>
      </c>
      <c r="AK38" s="68">
        <f t="shared" si="65"/>
        <v>1099.1999999999989</v>
      </c>
      <c r="AL38" s="268">
        <f t="shared" si="66"/>
        <v>0.9084000000000001</v>
      </c>
      <c r="AM38" s="13">
        <f t="shared" si="42"/>
        <v>15000</v>
      </c>
      <c r="AN38" s="13">
        <f t="shared" si="106"/>
        <v>2800</v>
      </c>
      <c r="AO38" s="13">
        <f t="shared" si="106"/>
        <v>2700</v>
      </c>
      <c r="AP38" s="13">
        <f t="shared" si="106"/>
        <v>2410.6</v>
      </c>
      <c r="AQ38" s="13">
        <f t="shared" si="106"/>
        <v>2800</v>
      </c>
      <c r="AR38" s="13">
        <f t="shared" si="106"/>
        <v>2700.2</v>
      </c>
      <c r="AS38" s="13">
        <f t="shared" si="106"/>
        <v>13410.8</v>
      </c>
      <c r="AT38" s="68">
        <f>AM38-AS38</f>
        <v>1589.2000000000007</v>
      </c>
      <c r="AU38" s="268">
        <f t="shared" si="67"/>
        <v>0.89405333333333326</v>
      </c>
      <c r="AV38" s="13">
        <f t="shared" si="44"/>
        <v>12000</v>
      </c>
      <c r="AW38" s="13">
        <f>SUMIFS(SALIDAS_BIT,FECHA_BIT,"&gt;="&amp;AW$2,FECHA_BIT,"&lt;="&amp;AW$3,CLAVE_BIT,$A38)+SUMIFS(SALIDAS_BOV1,FECHA_BOV1,"&gt;="&amp;AW$2,FECHA_BOV1,"&lt;="&amp;AW$3,CLAVE_BOV1,$A38)+SUMIFS(SALIDAS_BOV2,FECHA_BOV2,"&gt;="&amp;AW$2,FECHA_BOV2,"&lt;="&amp;AW$3,CLAVE_BOV2,$A38)+SUMIFS(SALIDAS_BOV3,FECHA_BOV3,"&gt;="&amp;AW$2,FECHA_BOV3,"&lt;="&amp;AW$3,CLAVE_BOV3,$A38)+SUMIFS(SALIDAS_TC,FECHA_TC,"&gt;="&amp;AW$2,FECHA_TC,"&lt;="&amp;AW$3,CLAVE_TC,$A38)+SUMIFS(SALIDAS_COMB,FECHA_COMB,"&gt;="&amp;AW$2,FECHA_COMB,"&lt;="&amp;AW$3,CLAVE_COMB,$A38)+SUMIFS(SALIDAS_DES,FECHA_DESGLOSEN,"&gt;="&amp;AW$2,FECHA_DESGLOSEN,"&lt;="&amp;AW$3,CLAVE_DESGLOSE,$A38)</f>
        <v>2700</v>
      </c>
      <c r="AX38" s="13">
        <f>SUMIFS(SALIDAS_BIT,FECHA_BIT,"&gt;="&amp;AX$2,FECHA_BIT,"&lt;="&amp;AX$3,CLAVE_BIT,$A38)+SUMIFS(SALIDAS_BOV1,FECHA_BOV1,"&gt;="&amp;AX$2,FECHA_BOV1,"&lt;="&amp;AX$3,CLAVE_BOV1,$A38)+SUMIFS(SALIDAS_BOV2,FECHA_BOV2,"&gt;="&amp;AX$2,FECHA_BOV2,"&lt;="&amp;AX$3,CLAVE_BOV2,$A38)+SUMIFS(SALIDAS_BOV3,FECHA_BOV3,"&gt;="&amp;AX$2,FECHA_BOV3,"&lt;="&amp;AX$3,CLAVE_BOV3,$A38)+SUMIFS(SALIDAS_TC,FECHA_TC,"&gt;="&amp;AX$2,FECHA_TC,"&lt;="&amp;AX$3,CLAVE_TC,$A38)+SUMIFS(SALIDAS_COMB,FECHA_COMB,"&gt;="&amp;AX$2,FECHA_COMB,"&lt;="&amp;AX$3,CLAVE_COMB,$A38)+SUMIFS(SALIDAS_DES,FECHA_DESGLOSEN,"&gt;="&amp;AX$2,FECHA_DESGLOSEN,"&lt;="&amp;AX$3,CLAVE_DESGLOSE,$A38)</f>
        <v>2750</v>
      </c>
      <c r="AY38" s="13">
        <f>SUMIFS(SALIDAS_BIT,FECHA_BIT,"&gt;="&amp;AY$2,FECHA_BIT,"&lt;="&amp;AY$3,CLAVE_BIT,$A38)+SUMIFS(SALIDAS_BOV1,FECHA_BOV1,"&gt;="&amp;AY$2,FECHA_BOV1,"&lt;="&amp;AY$3,CLAVE_BOV1,$A38)+SUMIFS(SALIDAS_BOV2,FECHA_BOV2,"&gt;="&amp;AY$2,FECHA_BOV2,"&lt;="&amp;AY$3,CLAVE_BOV2,$A38)+SUMIFS(SALIDAS_BOV3,FECHA_BOV3,"&gt;="&amp;AY$2,FECHA_BOV3,"&lt;="&amp;AY$3,CLAVE_BOV3,$A38)+SUMIFS(SALIDAS_TC,FECHA_TC,"&gt;="&amp;AY$2,FECHA_TC,"&lt;="&amp;AY$3,CLAVE_TC,$A38)+SUMIFS(SALIDAS_COMB,FECHA_COMB,"&gt;="&amp;AY$2,FECHA_COMB,"&lt;="&amp;AY$3,CLAVE_COMB,$A38)+SUMIFS(SALIDAS_DES,FECHA_DESGLOSEN,"&gt;="&amp;AY$2,FECHA_DESGLOSEN,"&lt;="&amp;AY$3,CLAVE_DESGLOSE,$A38)</f>
        <v>2310.6</v>
      </c>
      <c r="AZ38" s="13">
        <f>SUMIFS(SALIDAS_BIT,FECHA_BIT,"&gt;="&amp;AZ$2,FECHA_BIT,"&lt;="&amp;AZ$3,CLAVE_BIT,$A38)+SUMIFS(SALIDAS_BOV1,FECHA_BOV1,"&gt;="&amp;AZ$2,FECHA_BOV1,"&lt;="&amp;AZ$3,CLAVE_BOV1,$A38)+SUMIFS(SALIDAS_BOV2,FECHA_BOV2,"&gt;="&amp;AZ$2,FECHA_BOV2,"&lt;="&amp;AZ$3,CLAVE_BOV2,$A38)+SUMIFS(SALIDAS_BOV3,FECHA_BOV3,"&gt;="&amp;AZ$2,FECHA_BOV3,"&lt;="&amp;AZ$3,CLAVE_BOV3,$A38)+SUMIFS(SALIDAS_TC,FECHA_TC,"&gt;="&amp;AZ$2,FECHA_TC,"&lt;="&amp;AZ$3,CLAVE_TC,$A38)+SUMIFS(SALIDAS_COMB,FECHA_COMB,"&gt;="&amp;AZ$2,FECHA_COMB,"&lt;="&amp;AZ$3,CLAVE_COMB,$A38)+SUMIFS(SALIDAS_DES,FECHA_DESGLOSEN,"&gt;="&amp;AZ$2,FECHA_DESGLOSEN,"&lt;="&amp;AZ$3,CLAVE_DESGLOSE,$A38)</f>
        <v>2800</v>
      </c>
      <c r="BA38" s="13">
        <f t="shared" si="98"/>
        <v>10560.6</v>
      </c>
      <c r="BB38" s="68">
        <f t="shared" si="68"/>
        <v>1439.3999999999996</v>
      </c>
      <c r="BC38" s="268">
        <f t="shared" si="69"/>
        <v>0.88005</v>
      </c>
      <c r="BD38" s="13">
        <f t="shared" si="46"/>
        <v>12000</v>
      </c>
      <c r="BE38" s="13">
        <f>SUMIFS(SALIDAS_BIT,FECHA_BIT,"&gt;="&amp;BE$2,FECHA_BIT,"&lt;="&amp;BE$3,CLAVE_BIT,$A38)+SUMIFS(SALIDAS_BOV1,FECHA_BOV1,"&gt;="&amp;BE$2,FECHA_BOV1,"&lt;="&amp;BE$3,CLAVE_BOV1,$A38)+SUMIFS(SALIDAS_BOV2,FECHA_BOV2,"&gt;="&amp;BE$2,FECHA_BOV2,"&lt;="&amp;BE$3,CLAVE_BOV2,$A38)+SUMIFS(SALIDAS_BOV3,FECHA_BOV3,"&gt;="&amp;BE$2,FECHA_BOV3,"&lt;="&amp;BE$3,CLAVE_BOV3,$A38)+SUMIFS(SALIDAS_TC,FECHA_TC,"&gt;="&amp;BE$2,FECHA_TC,"&lt;="&amp;BE$3,CLAVE_TC,$A38)+SUMIFS(SALIDAS_COMB,FECHA_COMB,"&gt;="&amp;BE$2,FECHA_COMB,"&lt;="&amp;BE$3,CLAVE_COMB,$A38)+SUMIFS(SALIDAS_DES,FECHA_DESGLOSEN,"&gt;="&amp;BE$2,FECHA_DESGLOSEN,"&lt;="&amp;BE$3,CLAVE_DESGLOSE,$A38)</f>
        <v>2520.1999999999998</v>
      </c>
      <c r="BF38" s="13">
        <f>SUMIFS(SALIDAS_BIT,FECHA_BIT,"&gt;="&amp;BF$2,FECHA_BIT,"&lt;="&amp;BF$3,CLAVE_BIT,$A38)+SUMIFS(SALIDAS_BOV1,FECHA_BOV1,"&gt;="&amp;BF$2,FECHA_BOV1,"&lt;="&amp;BF$3,CLAVE_BOV1,$A38)+SUMIFS(SALIDAS_BOV2,FECHA_BOV2,"&gt;="&amp;BF$2,FECHA_BOV2,"&lt;="&amp;BF$3,CLAVE_BOV2,$A38)+SUMIFS(SALIDAS_BOV3,FECHA_BOV3,"&gt;="&amp;BF$2,FECHA_BOV3,"&lt;="&amp;BF$3,CLAVE_BOV3,$A38)+SUMIFS(SALIDAS_TC,FECHA_TC,"&gt;="&amp;BF$2,FECHA_TC,"&lt;="&amp;BF$3,CLAVE_TC,$A38)+SUMIFS(SALIDAS_COMB,FECHA_COMB,"&gt;="&amp;BF$2,FECHA_COMB,"&lt;="&amp;BF$3,CLAVE_COMB,$A38)+SUMIFS(SALIDAS_DES,FECHA_DESGLOSEN,"&gt;="&amp;BF$2,FECHA_DESGLOSEN,"&lt;="&amp;BF$3,CLAVE_DESGLOSE,$A38)</f>
        <v>2800</v>
      </c>
      <c r="BG38" s="13">
        <f>SUMIFS(SALIDAS_BIT,FECHA_BIT,"&gt;="&amp;BG$2,FECHA_BIT,"&lt;="&amp;BG$3,CLAVE_BIT,$A38)+SUMIFS(SALIDAS_BOV1,FECHA_BOV1,"&gt;="&amp;BG$2,FECHA_BOV1,"&lt;="&amp;BG$3,CLAVE_BOV1,$A38)+SUMIFS(SALIDAS_BOV2,FECHA_BOV2,"&gt;="&amp;BG$2,FECHA_BOV2,"&lt;="&amp;BG$3,CLAVE_BOV2,$A38)+SUMIFS(SALIDAS_BOV3,FECHA_BOV3,"&gt;="&amp;BG$2,FECHA_BOV3,"&lt;="&amp;BG$3,CLAVE_BOV3,$A38)+SUMIFS(SALIDAS_TC,FECHA_TC,"&gt;="&amp;BG$2,FECHA_TC,"&lt;="&amp;BG$3,CLAVE_TC,$A38)+SUMIFS(SALIDAS_COMB,FECHA_COMB,"&gt;="&amp;BG$2,FECHA_COMB,"&lt;="&amp;BG$3,CLAVE_COMB,$A38)+SUMIFS(SALIDAS_DES,FECHA_DESGLOSEN,"&gt;="&amp;BG$2,FECHA_DESGLOSEN,"&lt;="&amp;BG$3,CLAVE_DESGLOSE,$A38)</f>
        <v>2800</v>
      </c>
      <c r="BH38" s="13">
        <f>SUMIFS(SALIDAS_BIT,FECHA_BIT,"&gt;="&amp;BH$2,FECHA_BIT,"&lt;="&amp;BH$3,CLAVE_BIT,$A38)+SUMIFS(SALIDAS_BOV1,FECHA_BOV1,"&gt;="&amp;BH$2,FECHA_BOV1,"&lt;="&amp;BH$3,CLAVE_BOV1,$A38)+SUMIFS(SALIDAS_BOV2,FECHA_BOV2,"&gt;="&amp;BH$2,FECHA_BOV2,"&lt;="&amp;BH$3,CLAVE_BOV2,$A38)+SUMIFS(SALIDAS_BOV3,FECHA_BOV3,"&gt;="&amp;BH$2,FECHA_BOV3,"&lt;="&amp;BH$3,CLAVE_BOV3,$A38)+SUMIFS(SALIDAS_TC,FECHA_TC,"&gt;="&amp;BH$2,FECHA_TC,"&lt;="&amp;BH$3,CLAVE_TC,$A38)+SUMIFS(SALIDAS_COMB,FECHA_COMB,"&gt;="&amp;BH$2,FECHA_COMB,"&lt;="&amp;BH$3,CLAVE_COMB,$A38)+SUMIFS(SALIDAS_DES,FECHA_DESGLOSEN,"&gt;="&amp;BH$2,FECHA_DESGLOSEN,"&lt;="&amp;BH$3,CLAVE_DESGLOSE,$A38)</f>
        <v>2800</v>
      </c>
      <c r="BI38" s="13">
        <f>SUMIFS(SALIDAS_BIT,FECHA_BIT,"&gt;="&amp;BI$2,FECHA_BIT,"&lt;="&amp;BI$3,CLAVE_BIT,$A38)+SUMIFS(SALIDAS_BOV1,FECHA_BOV1,"&gt;="&amp;BI$2,FECHA_BOV1,"&lt;="&amp;BI$3,CLAVE_BOV1,$A38)+SUMIFS(SALIDAS_BOV2,FECHA_BOV2,"&gt;="&amp;BI$2,FECHA_BOV2,"&lt;="&amp;BI$3,CLAVE_BOV2,$A38)+SUMIFS(SALIDAS_BOV3,FECHA_BOV3,"&gt;="&amp;BI$2,FECHA_BOV3,"&lt;="&amp;BI$3,CLAVE_BOV3,$A38)+SUMIFS(SALIDAS_TC,FECHA_TC,"&gt;="&amp;BI$2,FECHA_TC,"&lt;="&amp;BI$3,CLAVE_TC,$A38)+SUMIFS(SALIDAS_COMB,FECHA_COMB,"&gt;="&amp;BI$2,FECHA_COMB,"&lt;="&amp;BI$3,CLAVE_COMB,$A38)+SUMIFS(SALIDAS_DES,FECHA_DESGLOSEN,"&gt;="&amp;BI$2,FECHA_DESGLOSEN,"&lt;="&amp;BI$3,CLAVE_DESGLOSE,$A38)</f>
        <v>10920.2</v>
      </c>
      <c r="BJ38" s="68">
        <f t="shared" si="70"/>
        <v>1079.7999999999993</v>
      </c>
      <c r="BK38" s="268">
        <f t="shared" si="71"/>
        <v>0.9100166666666667</v>
      </c>
      <c r="BL38" s="13">
        <f t="shared" si="47"/>
        <v>15000</v>
      </c>
      <c r="BM38" s="13">
        <f>SUMIFS(SALIDAS_BIT,FECHA_BIT,"&gt;="&amp;BM$2,FECHA_BIT,"&lt;="&amp;BM$3,CLAVE_BIT,$A38)+SUMIFS(SALIDAS_BOV1,FECHA_BOV1,"&gt;="&amp;BM$2,FECHA_BOV1,"&lt;="&amp;BM$3,CLAVE_BOV1,$A38)+SUMIFS(SALIDAS_BOV2,FECHA_BOV2,"&gt;="&amp;BM$2,FECHA_BOV2,"&lt;="&amp;BM$3,CLAVE_BOV2,$A38)+SUMIFS(SALIDAS_BOV3,FECHA_BOV3,"&gt;="&amp;BM$2,FECHA_BOV3,"&lt;="&amp;BM$3,CLAVE_BOV3,$A38)+SUMIFS(SALIDAS_TC,FECHA_TC,"&gt;="&amp;BM$2,FECHA_TC,"&lt;="&amp;BM$3,CLAVE_TC,$A38)+SUMIFS(SALIDAS_COMB,FECHA_COMB,"&gt;="&amp;BM$2,FECHA_COMB,"&lt;="&amp;BM$3,CLAVE_COMB,$A38)+SUMIFS(SALIDAS_DES,FECHA_DESGLOSEN,"&gt;="&amp;BM$2,FECHA_DESGLOSEN,"&lt;="&amp;BM$3,CLAVE_DESGLOSE,$A38)</f>
        <v>2800.2</v>
      </c>
      <c r="BN38" s="13">
        <f>SUMIFS(SALIDAS_BIT,FECHA_BIT,"&gt;="&amp;BN$2,FECHA_BIT,"&lt;="&amp;BN$3,CLAVE_BIT,$A38)+SUMIFS(SALIDAS_BOV1,FECHA_BOV1,"&gt;="&amp;BN$2,FECHA_BOV1,"&lt;="&amp;BN$3,CLAVE_BOV1,$A38)+SUMIFS(SALIDAS_BOV2,FECHA_BOV2,"&gt;="&amp;BN$2,FECHA_BOV2,"&lt;="&amp;BN$3,CLAVE_BOV2,$A38)+SUMIFS(SALIDAS_BOV3,FECHA_BOV3,"&gt;="&amp;BN$2,FECHA_BOV3,"&lt;="&amp;BN$3,CLAVE_BOV3,$A38)+SUMIFS(SALIDAS_TC,FECHA_TC,"&gt;="&amp;BN$2,FECHA_TC,"&lt;="&amp;BN$3,CLAVE_TC,$A38)+SUMIFS(SALIDAS_COMB,FECHA_COMB,"&gt;="&amp;BN$2,FECHA_COMB,"&lt;="&amp;BN$3,CLAVE_COMB,$A38)+SUMIFS(SALIDAS_DES,FECHA_DESGLOSEN,"&gt;="&amp;BN$2,FECHA_DESGLOSEN,"&lt;="&amp;BN$3,CLAVE_DESGLOSE,$A38)</f>
        <v>2800</v>
      </c>
      <c r="BO38" s="13">
        <f>SUMIFS(SALIDAS_BIT,FECHA_BIT,"&gt;="&amp;BO$2,FECHA_BIT,"&lt;="&amp;BO$3,CLAVE_BIT,$A38)+SUMIFS(SALIDAS_BOV1,FECHA_BOV1,"&gt;="&amp;BO$2,FECHA_BOV1,"&lt;="&amp;BO$3,CLAVE_BOV1,$A38)+SUMIFS(SALIDAS_BOV2,FECHA_BOV2,"&gt;="&amp;BO$2,FECHA_BOV2,"&lt;="&amp;BO$3,CLAVE_BOV2,$A38)+SUMIFS(SALIDAS_BOV3,FECHA_BOV3,"&gt;="&amp;BO$2,FECHA_BOV3,"&lt;="&amp;BO$3,CLAVE_BOV3,$A38)+SUMIFS(SALIDAS_TC,FECHA_TC,"&gt;="&amp;BO$2,FECHA_TC,"&lt;="&amp;BO$3,CLAVE_TC,$A38)+SUMIFS(SALIDAS_COMB,FECHA_COMB,"&gt;="&amp;BO$2,FECHA_COMB,"&lt;="&amp;BO$3,CLAVE_COMB,$A38)+SUMIFS(SALIDAS_DES,FECHA_DESGLOSEN,"&gt;="&amp;BO$2,FECHA_DESGLOSEN,"&lt;="&amp;BO$3,CLAVE_DESGLOSE,$A38)</f>
        <v>2800</v>
      </c>
      <c r="BP38" s="13">
        <f>SUMIFS(SALIDAS_BIT,FECHA_BIT,"&gt;="&amp;BP$2,FECHA_BIT,"&lt;="&amp;BP$3,CLAVE_BIT,$A38)+SUMIFS(SALIDAS_BOV1,FECHA_BOV1,"&gt;="&amp;BP$2,FECHA_BOV1,"&lt;="&amp;BP$3,CLAVE_BOV1,$A38)+SUMIFS(SALIDAS_BOV2,FECHA_BOV2,"&gt;="&amp;BP$2,FECHA_BOV2,"&lt;="&amp;BP$3,CLAVE_BOV2,$A38)+SUMIFS(SALIDAS_BOV3,FECHA_BOV3,"&gt;="&amp;BP$2,FECHA_BOV3,"&lt;="&amp;BP$3,CLAVE_BOV3,$A38)+SUMIFS(SALIDAS_TC,FECHA_TC,"&gt;="&amp;BP$2,FECHA_TC,"&lt;="&amp;BP$3,CLAVE_TC,$A38)+SUMIFS(SALIDAS_COMB,FECHA_COMB,"&gt;="&amp;BP$2,FECHA_COMB,"&lt;="&amp;BP$3,CLAVE_COMB,$A38)+SUMIFS(SALIDAS_DES,FECHA_DESGLOSEN,"&gt;="&amp;BP$2,FECHA_DESGLOSEN,"&lt;="&amp;BP$3,CLAVE_DESGLOSE,$A38)</f>
        <v>2800</v>
      </c>
      <c r="BQ38" s="13">
        <f>SUMIFS(SALIDAS_BIT,FECHA_BIT,"&gt;="&amp;BQ$2,FECHA_BIT,"&lt;="&amp;BQ$3,CLAVE_BIT,$A38)+SUMIFS(SALIDAS_BOV1,FECHA_BOV1,"&gt;="&amp;BQ$2,FECHA_BOV1,"&lt;="&amp;BQ$3,CLAVE_BOV1,$A38)+SUMIFS(SALIDAS_BOV2,FECHA_BOV2,"&gt;="&amp;BQ$2,FECHA_BOV2,"&lt;="&amp;BQ$3,CLAVE_BOV2,$A38)+SUMIFS(SALIDAS_BOV3,FECHA_BOV3,"&gt;="&amp;BQ$2,FECHA_BOV3,"&lt;="&amp;BQ$3,CLAVE_BOV3,$A38)+SUMIFS(SALIDAS_TC,FECHA_TC,"&gt;="&amp;BQ$2,FECHA_TC,"&lt;="&amp;BQ$3,CLAVE_TC,$A38)+SUMIFS(SALIDAS_COMB,FECHA_COMB,"&gt;="&amp;BQ$2,FECHA_COMB,"&lt;="&amp;BQ$3,CLAVE_COMB,$A38)+SUMIFS(SALIDAS_DES,FECHA_DESGLOSEN,"&gt;="&amp;BQ$2,FECHA_DESGLOSEN,"&lt;="&amp;BQ$3,CLAVE_DESGLOSE,$A38)</f>
        <v>2800</v>
      </c>
      <c r="BR38" s="13">
        <f>SUMIFS(SALIDAS_BIT,FECHA_BIT,"&gt;="&amp;BR$2,FECHA_BIT,"&lt;="&amp;BR$3,CLAVE_BIT,$A38)+SUMIFS(SALIDAS_BOV1,FECHA_BOV1,"&gt;="&amp;BR$2,FECHA_BOV1,"&lt;="&amp;BR$3,CLAVE_BOV1,$A38)+SUMIFS(SALIDAS_BOV2,FECHA_BOV2,"&gt;="&amp;BR$2,FECHA_BOV2,"&lt;="&amp;BR$3,CLAVE_BOV2,$A38)+SUMIFS(SALIDAS_BOV3,FECHA_BOV3,"&gt;="&amp;BR$2,FECHA_BOV3,"&lt;="&amp;BR$3,CLAVE_BOV3,$A38)+SUMIFS(SALIDAS_TC,FECHA_TC,"&gt;="&amp;BR$2,FECHA_TC,"&lt;="&amp;BR$3,CLAVE_TC,$A38)+SUMIFS(SALIDAS_COMB,FECHA_COMB,"&gt;="&amp;BR$2,FECHA_COMB,"&lt;="&amp;BR$3,CLAVE_COMB,$A38)+SUMIFS(SALIDAS_DES,FECHA_DESGLOSEN,"&gt;="&amp;BR$2,FECHA_DESGLOSEN,"&lt;="&amp;BR$3,CLAVE_DESGLOSE,$A38)</f>
        <v>14000.2</v>
      </c>
      <c r="BS38" s="68">
        <f t="shared" si="72"/>
        <v>999.79999999999927</v>
      </c>
      <c r="BT38" s="268">
        <f t="shared" si="73"/>
        <v>0.93334666666666677</v>
      </c>
      <c r="BU38" s="13">
        <f t="shared" si="49"/>
        <v>12000</v>
      </c>
      <c r="BV38" s="13">
        <f t="shared" si="90"/>
        <v>2800.2</v>
      </c>
      <c r="BW38" s="13">
        <f t="shared" si="90"/>
        <v>2800</v>
      </c>
      <c r="BX38" s="13">
        <f t="shared" si="90"/>
        <v>2800</v>
      </c>
      <c r="BY38" s="13">
        <f t="shared" si="90"/>
        <v>2403.4</v>
      </c>
      <c r="BZ38" s="13">
        <f t="shared" si="108"/>
        <v>10803.6</v>
      </c>
      <c r="CA38" s="68">
        <f t="shared" si="74"/>
        <v>1196.3999999999996</v>
      </c>
      <c r="CB38" s="268">
        <f t="shared" si="75"/>
        <v>0.90029999999999999</v>
      </c>
      <c r="CC38" s="13">
        <f t="shared" si="51"/>
        <v>12000</v>
      </c>
      <c r="CD38" s="13">
        <f t="shared" si="91"/>
        <v>2800.2</v>
      </c>
      <c r="CE38" s="13">
        <f t="shared" si="91"/>
        <v>2802</v>
      </c>
      <c r="CF38" s="13">
        <f t="shared" si="91"/>
        <v>2800</v>
      </c>
      <c r="CG38" s="13">
        <f t="shared" si="91"/>
        <v>2993.6</v>
      </c>
      <c r="CH38" s="13">
        <f t="shared" si="109"/>
        <v>11395.800000000001</v>
      </c>
      <c r="CI38" s="68">
        <f t="shared" si="76"/>
        <v>604.19999999999891</v>
      </c>
      <c r="CJ38" s="268">
        <f t="shared" si="77"/>
        <v>0.94965000000000011</v>
      </c>
      <c r="CK38" s="13">
        <f t="shared" si="53"/>
        <v>15000</v>
      </c>
      <c r="CL38" s="13">
        <f t="shared" si="92"/>
        <v>2800</v>
      </c>
      <c r="CM38" s="13">
        <f t="shared" si="92"/>
        <v>2800</v>
      </c>
      <c r="CN38" s="13">
        <f t="shared" si="92"/>
        <v>2576.1999999999998</v>
      </c>
      <c r="CO38" s="13">
        <f t="shared" si="92"/>
        <v>2576.6</v>
      </c>
      <c r="CP38" s="13">
        <f t="shared" si="92"/>
        <v>2800</v>
      </c>
      <c r="CQ38" s="13">
        <f t="shared" si="110"/>
        <v>13552.8</v>
      </c>
      <c r="CR38" s="68">
        <f t="shared" si="78"/>
        <v>1447.2000000000007</v>
      </c>
      <c r="CS38" s="268">
        <f t="shared" si="79"/>
        <v>0.90351999999999999</v>
      </c>
      <c r="CT38" s="68">
        <f t="shared" si="55"/>
        <v>11200</v>
      </c>
      <c r="CU38" s="13">
        <f>SUMIFS(SALIDAS_BIT,FECHA_BIT,"&gt;="&amp;CU$2,FECHA_BIT,"&lt;="&amp;CU$3,CLAVE_BIT,$A38)+SUMIFS(SALIDAS_BOV1,FECHA_BOV1,"&gt;="&amp;CU$2,FECHA_BOV1,"&lt;="&amp;CU$3,CLAVE_BOV1,$A38)+SUMIFS(SALIDAS_BOV2,FECHA_BOV2,"&gt;="&amp;CU$2,FECHA_BOV2,"&lt;="&amp;CU$3,CLAVE_BOV2,$A38)+SUMIFS(SALIDAS_BOV3,FECHA_BOV3,"&gt;="&amp;CU$2,FECHA_BOV3,"&lt;="&amp;CU$3,CLAVE_BOV3,$A38)+SUMIFS(SALIDAS_TC,FECHA_TC,"&gt;="&amp;CU$2,FECHA_TC,"&lt;="&amp;CU$3,CLAVE_TC,$A38)+SUMIFS(SALIDAS_COMB,FECHA_COMB,"&gt;="&amp;CU$2,FECHA_COMB,"&lt;="&amp;CU$3,CLAVE_COMB,$A38)+SUMIFS(SALIDAS_DES,FECHA_DESGLOSEN,"&gt;="&amp;CU$2,FECHA_DESGLOSEN,"&lt;="&amp;CU$3,CLAVE_DESGLOSE,$A38)</f>
        <v>2828</v>
      </c>
      <c r="CV38" s="13">
        <f>SUMIFS(SALIDAS_BIT,FECHA_BIT,"&gt;="&amp;CV$2,FECHA_BIT,"&lt;="&amp;CV$3,CLAVE_BIT,$A38)+SUMIFS(SALIDAS_BOV1,FECHA_BOV1,"&gt;="&amp;CV$2,FECHA_BOV1,"&lt;="&amp;CV$3,CLAVE_BOV1,$A38)+SUMIFS(SALIDAS_BOV2,FECHA_BOV2,"&gt;="&amp;CV$2,FECHA_BOV2,"&lt;="&amp;CV$3,CLAVE_BOV2,$A38)+SUMIFS(SALIDAS_BOV3,FECHA_BOV3,"&gt;="&amp;CV$2,FECHA_BOV3,"&lt;="&amp;CV$3,CLAVE_BOV3,$A38)+SUMIFS(SALIDAS_TC,FECHA_TC,"&gt;="&amp;CV$2,FECHA_TC,"&lt;="&amp;CV$3,CLAVE_TC,$A38)+SUMIFS(SALIDAS_COMB,FECHA_COMB,"&gt;="&amp;CV$2,FECHA_COMB,"&lt;="&amp;CV$3,CLAVE_COMB,$A38)+SUMIFS(SALIDAS_DES,FECHA_DESGLOSEN,"&gt;="&amp;CV$2,FECHA_DESGLOSEN,"&lt;="&amp;CV$3,CLAVE_DESGLOSE,$A38)</f>
        <v>2926</v>
      </c>
      <c r="CW38" s="13">
        <f>SUMIFS(SALIDAS_BIT,FECHA_BIT,"&gt;="&amp;CW$2,FECHA_BIT,"&lt;="&amp;CW$3,CLAVE_BIT,$A38)+SUMIFS(SALIDAS_BOV1,FECHA_BOV1,"&gt;="&amp;CW$2,FECHA_BOV1,"&lt;="&amp;CW$3,CLAVE_BOV1,$A38)+SUMIFS(SALIDAS_BOV2,FECHA_BOV2,"&gt;="&amp;CW$2,FECHA_BOV2,"&lt;="&amp;CW$3,CLAVE_BOV2,$A38)+SUMIFS(SALIDAS_BOV3,FECHA_BOV3,"&gt;="&amp;CW$2,FECHA_BOV3,"&lt;="&amp;CW$3,CLAVE_BOV3,$A38)+SUMIFS(SALIDAS_TC,FECHA_TC,"&gt;="&amp;CW$2,FECHA_TC,"&lt;="&amp;CW$3,CLAVE_TC,$A38)+SUMIFS(SALIDAS_COMB,FECHA_COMB,"&gt;="&amp;CW$2,FECHA_COMB,"&lt;="&amp;CW$3,CLAVE_COMB,$A38)+SUMIFS(SALIDAS_DES,FECHA_DESGLOSEN,"&gt;="&amp;CW$2,FECHA_DESGLOSEN,"&lt;="&amp;CW$3,CLAVE_DESGLOSE,$A38)</f>
        <v>3316</v>
      </c>
      <c r="CX38" s="13">
        <f>SUMIFS(SALIDAS_BIT,FECHA_BIT,"&gt;="&amp;CX$2,FECHA_BIT,"&lt;="&amp;CX$3,CLAVE_BIT,$A38)+SUMIFS(SALIDAS_BOV1,FECHA_BOV1,"&gt;="&amp;CX$2,FECHA_BOV1,"&lt;="&amp;CX$3,CLAVE_BOV1,$A38)+SUMIFS(SALIDAS_BOV2,FECHA_BOV2,"&gt;="&amp;CX$2,FECHA_BOV2,"&lt;="&amp;CX$3,CLAVE_BOV2,$A38)+SUMIFS(SALIDAS_BOV3,FECHA_BOV3,"&gt;="&amp;CX$2,FECHA_BOV3,"&lt;="&amp;CX$3,CLAVE_BOV3,$A38)+SUMIFS(SALIDAS_TC,FECHA_TC,"&gt;="&amp;CX$2,FECHA_TC,"&lt;="&amp;CX$3,CLAVE_TC,$A38)+SUMIFS(SALIDAS_COMB,FECHA_COMB,"&gt;="&amp;CX$2,FECHA_COMB,"&lt;="&amp;CX$3,CLAVE_COMB,$A38)+SUMIFS(SALIDAS_DES,FECHA_DESGLOSEN,"&gt;="&amp;CX$2,FECHA_DESGLOSEN,"&lt;="&amp;CX$3,CLAVE_DESGLOSE,$A38)</f>
        <v>3020</v>
      </c>
      <c r="CY38" s="13">
        <f>SUMIFS(SALIDAS_BIT,FECHA_BIT,"&gt;="&amp;CY$2,FECHA_BIT,"&lt;="&amp;CY$3,CLAVE_BIT,$A38)+SUMIFS(SALIDAS_BOV1,FECHA_BOV1,"&gt;="&amp;CY$2,FECHA_BOV1,"&lt;="&amp;CY$3,CLAVE_BOV1,$A38)+SUMIFS(SALIDAS_BOV2,FECHA_BOV2,"&gt;="&amp;CY$2,FECHA_BOV2,"&lt;="&amp;CY$3,CLAVE_BOV2,$A38)+SUMIFS(SALIDAS_BOV3,FECHA_BOV3,"&gt;="&amp;CY$2,FECHA_BOV3,"&lt;="&amp;CY$3,CLAVE_BOV3,$A38)+SUMIFS(SALIDAS_TC,FECHA_TC,"&gt;="&amp;CY$2,FECHA_TC,"&lt;="&amp;CY$3,CLAVE_TC,$A38)+SUMIFS(SALIDAS_COMB,FECHA_COMB,"&gt;="&amp;CY$2,FECHA_COMB,"&lt;="&amp;CY$3,CLAVE_COMB,$A38)+SUMIFS(SALIDAS_DES,FECHA_DESGLOSEN,"&gt;="&amp;CY$2,FECHA_DESGLOSEN,"&lt;="&amp;CY$3,CLAVE_DESGLOSE,$A38)</f>
        <v>12090</v>
      </c>
      <c r="CZ38" s="68">
        <f t="shared" si="80"/>
        <v>-890</v>
      </c>
      <c r="DB38" s="17">
        <f>F38+N38+W38+AE38+AM38+AV38+BD38+BL38+BU38+CC38+CK38</f>
        <v>167400</v>
      </c>
      <c r="DC38" s="17">
        <f>K38+T38+AB38+AJ38+AS38+BA38+BI38+BR38+BZ38+CH38+CQ38</f>
        <v>129890.60000000002</v>
      </c>
    </row>
    <row r="39" spans="1:107" hidden="1">
      <c r="A39" s="12" t="str">
        <f t="shared" si="57"/>
        <v>SERVICIOSNOMINA ADMONMANTENIMIENTO</v>
      </c>
      <c r="B39" s="12">
        <v>33</v>
      </c>
      <c r="C39" t="s">
        <v>21</v>
      </c>
      <c r="D39" s="12" t="s">
        <v>147</v>
      </c>
      <c r="E39" s="12" t="s">
        <v>35</v>
      </c>
      <c r="F39" s="259">
        <f t="shared" si="58"/>
        <v>37972</v>
      </c>
      <c r="G39" s="13">
        <f t="shared" si="102"/>
        <v>12019.43</v>
      </c>
      <c r="H39" s="13">
        <f t="shared" si="102"/>
        <v>5365.83</v>
      </c>
      <c r="I39" s="13">
        <f t="shared" si="102"/>
        <v>8246.23</v>
      </c>
      <c r="J39" s="13">
        <f t="shared" si="102"/>
        <v>5627.23</v>
      </c>
      <c r="K39" s="13">
        <f t="shared" si="102"/>
        <v>31258.720000000001</v>
      </c>
      <c r="L39" s="68">
        <f t="shared" si="59"/>
        <v>6713.2799999999988</v>
      </c>
      <c r="M39" s="268">
        <f t="shared" si="60"/>
        <v>0.82320446644896239</v>
      </c>
      <c r="N39" s="13">
        <f t="shared" si="36"/>
        <v>47465</v>
      </c>
      <c r="O39" s="13">
        <f t="shared" si="103"/>
        <v>6224.83</v>
      </c>
      <c r="P39" s="13">
        <f t="shared" si="103"/>
        <v>5994.03</v>
      </c>
      <c r="Q39" s="13">
        <f t="shared" si="103"/>
        <v>8383.83</v>
      </c>
      <c r="R39" s="13">
        <f t="shared" si="103"/>
        <v>11486.83</v>
      </c>
      <c r="S39" s="13">
        <f t="shared" si="103"/>
        <v>12412.03</v>
      </c>
      <c r="T39" s="13">
        <f t="shared" si="103"/>
        <v>44501.55</v>
      </c>
      <c r="U39" s="68">
        <f t="shared" si="61"/>
        <v>2963.4499999999971</v>
      </c>
      <c r="V39" s="268">
        <f t="shared" si="62"/>
        <v>0.93756557463394086</v>
      </c>
      <c r="W39" s="13">
        <f t="shared" si="38"/>
        <v>37972</v>
      </c>
      <c r="X39" s="13">
        <f t="shared" si="104"/>
        <v>9891.83</v>
      </c>
      <c r="Y39" s="13">
        <f t="shared" si="104"/>
        <v>8908.83</v>
      </c>
      <c r="Z39" s="13">
        <f t="shared" si="104"/>
        <v>5295.63</v>
      </c>
      <c r="AA39" s="13">
        <f t="shared" si="104"/>
        <v>5639.83</v>
      </c>
      <c r="AB39" s="13">
        <f t="shared" si="104"/>
        <v>29736.120000000003</v>
      </c>
      <c r="AC39" s="68">
        <f t="shared" si="63"/>
        <v>8235.8799999999974</v>
      </c>
      <c r="AD39" s="268">
        <f t="shared" si="64"/>
        <v>0.78310649952596656</v>
      </c>
      <c r="AE39" s="13">
        <f t="shared" si="40"/>
        <v>37972</v>
      </c>
      <c r="AF39" s="13">
        <f t="shared" si="105"/>
        <v>6494.83</v>
      </c>
      <c r="AG39" s="13">
        <f t="shared" si="105"/>
        <v>6705.83</v>
      </c>
      <c r="AH39" s="13">
        <f t="shared" si="105"/>
        <v>5378.63</v>
      </c>
      <c r="AI39" s="13">
        <f t="shared" si="105"/>
        <v>3513.03</v>
      </c>
      <c r="AJ39" s="13">
        <f t="shared" si="105"/>
        <v>22092.32</v>
      </c>
      <c r="AK39" s="68">
        <f t="shared" si="65"/>
        <v>15879.68</v>
      </c>
      <c r="AL39" s="268">
        <f t="shared" si="66"/>
        <v>0.58180554092489201</v>
      </c>
      <c r="AM39" s="13">
        <f t="shared" si="42"/>
        <v>49465</v>
      </c>
      <c r="AN39" s="13">
        <f t="shared" si="106"/>
        <v>3952.03</v>
      </c>
      <c r="AO39" s="13">
        <f t="shared" si="106"/>
        <v>6680.83</v>
      </c>
      <c r="AP39" s="13">
        <f t="shared" si="106"/>
        <v>9270.6299999999992</v>
      </c>
      <c r="AQ39" s="13">
        <f t="shared" si="106"/>
        <v>11122.43</v>
      </c>
      <c r="AR39" s="13">
        <f t="shared" si="106"/>
        <v>11498.03</v>
      </c>
      <c r="AS39" s="13">
        <f t="shared" si="106"/>
        <v>42523.95</v>
      </c>
      <c r="AT39" s="68">
        <f>AM39-AS39</f>
        <v>6941.0500000000029</v>
      </c>
      <c r="AU39" s="268">
        <f t="shared" si="67"/>
        <v>0.85967754978267452</v>
      </c>
      <c r="AV39" s="13">
        <f t="shared" si="44"/>
        <v>39972</v>
      </c>
      <c r="AW39" s="13">
        <f>SUMIFS(SALIDAS_BIT,FECHA_BIT,"&gt;="&amp;AW$2,FECHA_BIT,"&lt;="&amp;AW$3,CLAVE_BIT,$A39)+SUMIFS(SALIDAS_BOV1,FECHA_BOV1,"&gt;="&amp;AW$2,FECHA_BOV1,"&lt;="&amp;AW$3,CLAVE_BOV1,$A39)+SUMIFS(SALIDAS_BOV2,FECHA_BOV2,"&gt;="&amp;AW$2,FECHA_BOV2,"&lt;="&amp;AW$3,CLAVE_BOV2,$A39)+SUMIFS(SALIDAS_BOV3,FECHA_BOV3,"&gt;="&amp;AW$2,FECHA_BOV3,"&lt;="&amp;AW$3,CLAVE_BOV3,$A39)+SUMIFS(SALIDAS_TC,FECHA_TC,"&gt;="&amp;AW$2,FECHA_TC,"&lt;="&amp;AW$3,CLAVE_TC,$A39)+SUMIFS(SALIDAS_COMB,FECHA_COMB,"&gt;="&amp;AW$2,FECHA_COMB,"&lt;="&amp;AW$3,CLAVE_COMB,$A39)+SUMIFS(SALIDAS_DES,FECHA_DESGLOSEN,"&gt;="&amp;AW$2,FECHA_DESGLOSEN,"&lt;="&amp;AW$3,CLAVE_DESGLOSE,$A39)</f>
        <v>12609.03</v>
      </c>
      <c r="AX39" s="13">
        <f>SUMIFS(SALIDAS_BIT,FECHA_BIT,"&gt;="&amp;AX$2,FECHA_BIT,"&lt;="&amp;AX$3,CLAVE_BIT,$A39)+SUMIFS(SALIDAS_BOV1,FECHA_BOV1,"&gt;="&amp;AX$2,FECHA_BOV1,"&lt;="&amp;AX$3,CLAVE_BOV1,$A39)+SUMIFS(SALIDAS_BOV2,FECHA_BOV2,"&gt;="&amp;AX$2,FECHA_BOV2,"&lt;="&amp;AX$3,CLAVE_BOV2,$A39)+SUMIFS(SALIDAS_BOV3,FECHA_BOV3,"&gt;="&amp;AX$2,FECHA_BOV3,"&lt;="&amp;AX$3,CLAVE_BOV3,$A39)+SUMIFS(SALIDAS_TC,FECHA_TC,"&gt;="&amp;AX$2,FECHA_TC,"&lt;="&amp;AX$3,CLAVE_TC,$A39)+SUMIFS(SALIDAS_COMB,FECHA_COMB,"&gt;="&amp;AX$2,FECHA_COMB,"&lt;="&amp;AX$3,CLAVE_COMB,$A39)+SUMIFS(SALIDAS_DES,FECHA_DESGLOSEN,"&gt;="&amp;AX$2,FECHA_DESGLOSEN,"&lt;="&amp;AX$3,CLAVE_DESGLOSE,$A39)</f>
        <v>13033.23</v>
      </c>
      <c r="AY39" s="13">
        <f>SUMIFS(SALIDAS_BIT,FECHA_BIT,"&gt;="&amp;AY$2,FECHA_BIT,"&lt;="&amp;AY$3,CLAVE_BIT,$A39)+SUMIFS(SALIDAS_BOV1,FECHA_BOV1,"&gt;="&amp;AY$2,FECHA_BOV1,"&lt;="&amp;AY$3,CLAVE_BOV1,$A39)+SUMIFS(SALIDAS_BOV2,FECHA_BOV2,"&gt;="&amp;AY$2,FECHA_BOV2,"&lt;="&amp;AY$3,CLAVE_BOV2,$A39)+SUMIFS(SALIDAS_BOV3,FECHA_BOV3,"&gt;="&amp;AY$2,FECHA_BOV3,"&lt;="&amp;AY$3,CLAVE_BOV3,$A39)+SUMIFS(SALIDAS_TC,FECHA_TC,"&gt;="&amp;AY$2,FECHA_TC,"&lt;="&amp;AY$3,CLAVE_TC,$A39)+SUMIFS(SALIDAS_COMB,FECHA_COMB,"&gt;="&amp;AY$2,FECHA_COMB,"&lt;="&amp;AY$3,CLAVE_COMB,$A39)+SUMIFS(SALIDAS_DES,FECHA_DESGLOSEN,"&gt;="&amp;AY$2,FECHA_DESGLOSEN,"&lt;="&amp;AY$3,CLAVE_DESGLOSE,$A39)</f>
        <v>11990.43</v>
      </c>
      <c r="AZ39" s="13">
        <f>SUMIFS(SALIDAS_BIT,FECHA_BIT,"&gt;="&amp;AZ$2,FECHA_BIT,"&lt;="&amp;AZ$3,CLAVE_BIT,$A39)+SUMIFS(SALIDAS_BOV1,FECHA_BOV1,"&gt;="&amp;AZ$2,FECHA_BOV1,"&lt;="&amp;AZ$3,CLAVE_BOV1,$A39)+SUMIFS(SALIDAS_BOV2,FECHA_BOV2,"&gt;="&amp;AZ$2,FECHA_BOV2,"&lt;="&amp;AZ$3,CLAVE_BOV2,$A39)+SUMIFS(SALIDAS_BOV3,FECHA_BOV3,"&gt;="&amp;AZ$2,FECHA_BOV3,"&lt;="&amp;AZ$3,CLAVE_BOV3,$A39)+SUMIFS(SALIDAS_TC,FECHA_TC,"&gt;="&amp;AZ$2,FECHA_TC,"&lt;="&amp;AZ$3,CLAVE_TC,$A39)+SUMIFS(SALIDAS_COMB,FECHA_COMB,"&gt;="&amp;AZ$2,FECHA_COMB,"&lt;="&amp;AZ$3,CLAVE_COMB,$A39)+SUMIFS(SALIDAS_DES,FECHA_DESGLOSEN,"&gt;="&amp;AZ$2,FECHA_DESGLOSEN,"&lt;="&amp;AZ$3,CLAVE_DESGLOSE,$A39)</f>
        <v>13968.03</v>
      </c>
      <c r="BA39" s="13">
        <f t="shared" si="98"/>
        <v>51600.72</v>
      </c>
      <c r="BB39" s="68">
        <f t="shared" si="68"/>
        <v>-11628.720000000001</v>
      </c>
      <c r="BC39" s="268">
        <f t="shared" si="69"/>
        <v>1.2909216451516061</v>
      </c>
      <c r="BD39" s="13">
        <f t="shared" si="46"/>
        <v>39972</v>
      </c>
      <c r="BE39" s="13">
        <f>SUMIFS(SALIDAS_BIT,FECHA_BIT,"&gt;="&amp;BE$2,FECHA_BIT,"&lt;="&amp;BE$3,CLAVE_BIT,$A39)+SUMIFS(SALIDAS_BOV1,FECHA_BOV1,"&gt;="&amp;BE$2,FECHA_BOV1,"&lt;="&amp;BE$3,CLAVE_BOV1,$A39)+SUMIFS(SALIDAS_BOV2,FECHA_BOV2,"&gt;="&amp;BE$2,FECHA_BOV2,"&lt;="&amp;BE$3,CLAVE_BOV2,$A39)+SUMIFS(SALIDAS_BOV3,FECHA_BOV3,"&gt;="&amp;BE$2,FECHA_BOV3,"&lt;="&amp;BE$3,CLAVE_BOV3,$A39)+SUMIFS(SALIDAS_TC,FECHA_TC,"&gt;="&amp;BE$2,FECHA_TC,"&lt;="&amp;BE$3,CLAVE_TC,$A39)+SUMIFS(SALIDAS_COMB,FECHA_COMB,"&gt;="&amp;BE$2,FECHA_COMB,"&lt;="&amp;BE$3,CLAVE_COMB,$A39)+SUMIFS(SALIDAS_DES,FECHA_DESGLOSEN,"&gt;="&amp;BE$2,FECHA_DESGLOSEN,"&lt;="&amp;BE$3,CLAVE_DESGLOSE,$A39)</f>
        <v>17085.43</v>
      </c>
      <c r="BF39" s="13">
        <f>SUMIFS(SALIDAS_BIT,FECHA_BIT,"&gt;="&amp;BF$2,FECHA_BIT,"&lt;="&amp;BF$3,CLAVE_BIT,$A39)+SUMIFS(SALIDAS_BOV1,FECHA_BOV1,"&gt;="&amp;BF$2,FECHA_BOV1,"&lt;="&amp;BF$3,CLAVE_BOV1,$A39)+SUMIFS(SALIDAS_BOV2,FECHA_BOV2,"&gt;="&amp;BF$2,FECHA_BOV2,"&lt;="&amp;BF$3,CLAVE_BOV2,$A39)+SUMIFS(SALIDAS_BOV3,FECHA_BOV3,"&gt;="&amp;BF$2,FECHA_BOV3,"&lt;="&amp;BF$3,CLAVE_BOV3,$A39)+SUMIFS(SALIDAS_TC,FECHA_TC,"&gt;="&amp;BF$2,FECHA_TC,"&lt;="&amp;BF$3,CLAVE_TC,$A39)+SUMIFS(SALIDAS_COMB,FECHA_COMB,"&gt;="&amp;BF$2,FECHA_COMB,"&lt;="&amp;BF$3,CLAVE_COMB,$A39)+SUMIFS(SALIDAS_DES,FECHA_DESGLOSEN,"&gt;="&amp;BF$2,FECHA_DESGLOSEN,"&lt;="&amp;BF$3,CLAVE_DESGLOSE,$A39)</f>
        <v>12793.63</v>
      </c>
      <c r="BG39" s="13">
        <f>SUMIFS(SALIDAS_BIT,FECHA_BIT,"&gt;="&amp;BG$2,FECHA_BIT,"&lt;="&amp;BG$3,CLAVE_BIT,$A39)+SUMIFS(SALIDAS_BOV1,FECHA_BOV1,"&gt;="&amp;BG$2,FECHA_BOV1,"&lt;="&amp;BG$3,CLAVE_BOV1,$A39)+SUMIFS(SALIDAS_BOV2,FECHA_BOV2,"&gt;="&amp;BG$2,FECHA_BOV2,"&lt;="&amp;BG$3,CLAVE_BOV2,$A39)+SUMIFS(SALIDAS_BOV3,FECHA_BOV3,"&gt;="&amp;BG$2,FECHA_BOV3,"&lt;="&amp;BG$3,CLAVE_BOV3,$A39)+SUMIFS(SALIDAS_TC,FECHA_TC,"&gt;="&amp;BG$2,FECHA_TC,"&lt;="&amp;BG$3,CLAVE_TC,$A39)+SUMIFS(SALIDAS_COMB,FECHA_COMB,"&gt;="&amp;BG$2,FECHA_COMB,"&lt;="&amp;BG$3,CLAVE_COMB,$A39)+SUMIFS(SALIDAS_DES,FECHA_DESGLOSEN,"&gt;="&amp;BG$2,FECHA_DESGLOSEN,"&lt;="&amp;BG$3,CLAVE_DESGLOSE,$A39)</f>
        <v>12796.63</v>
      </c>
      <c r="BH39" s="13">
        <f>SUMIFS(SALIDAS_BIT,FECHA_BIT,"&gt;="&amp;BH$2,FECHA_BIT,"&lt;="&amp;BH$3,CLAVE_BIT,$A39)+SUMIFS(SALIDAS_BOV1,FECHA_BOV1,"&gt;="&amp;BH$2,FECHA_BOV1,"&lt;="&amp;BH$3,CLAVE_BOV1,$A39)+SUMIFS(SALIDAS_BOV2,FECHA_BOV2,"&gt;="&amp;BH$2,FECHA_BOV2,"&lt;="&amp;BH$3,CLAVE_BOV2,$A39)+SUMIFS(SALIDAS_BOV3,FECHA_BOV3,"&gt;="&amp;BH$2,FECHA_BOV3,"&lt;="&amp;BH$3,CLAVE_BOV3,$A39)+SUMIFS(SALIDAS_TC,FECHA_TC,"&gt;="&amp;BH$2,FECHA_TC,"&lt;="&amp;BH$3,CLAVE_TC,$A39)+SUMIFS(SALIDAS_COMB,FECHA_COMB,"&gt;="&amp;BH$2,FECHA_COMB,"&lt;="&amp;BH$3,CLAVE_COMB,$A39)+SUMIFS(SALIDAS_DES,FECHA_DESGLOSEN,"&gt;="&amp;BH$2,FECHA_DESGLOSEN,"&lt;="&amp;BH$3,CLAVE_DESGLOSE,$A39)</f>
        <v>14397</v>
      </c>
      <c r="BI39" s="13">
        <f>SUMIFS(SALIDAS_BIT,FECHA_BIT,"&gt;="&amp;BI$2,FECHA_BIT,"&lt;="&amp;BI$3,CLAVE_BIT,$A39)+SUMIFS(SALIDAS_BOV1,FECHA_BOV1,"&gt;="&amp;BI$2,FECHA_BOV1,"&lt;="&amp;BI$3,CLAVE_BOV1,$A39)+SUMIFS(SALIDAS_BOV2,FECHA_BOV2,"&gt;="&amp;BI$2,FECHA_BOV2,"&lt;="&amp;BI$3,CLAVE_BOV2,$A39)+SUMIFS(SALIDAS_BOV3,FECHA_BOV3,"&gt;="&amp;BI$2,FECHA_BOV3,"&lt;="&amp;BI$3,CLAVE_BOV3,$A39)+SUMIFS(SALIDAS_TC,FECHA_TC,"&gt;="&amp;BI$2,FECHA_TC,"&lt;="&amp;BI$3,CLAVE_TC,$A39)+SUMIFS(SALIDAS_COMB,FECHA_COMB,"&gt;="&amp;BI$2,FECHA_COMB,"&lt;="&amp;BI$3,CLAVE_COMB,$A39)+SUMIFS(SALIDAS_DES,FECHA_DESGLOSEN,"&gt;="&amp;BI$2,FECHA_DESGLOSEN,"&lt;="&amp;BI$3,CLAVE_DESGLOSE,$A39)</f>
        <v>57072.689999999995</v>
      </c>
      <c r="BJ39" s="68">
        <f t="shared" si="70"/>
        <v>-17100.689999999995</v>
      </c>
      <c r="BK39" s="401">
        <f t="shared" si="71"/>
        <v>1.4278167217051936</v>
      </c>
      <c r="BL39" s="13">
        <f t="shared" si="47"/>
        <v>49965</v>
      </c>
      <c r="BM39" s="13">
        <f>SUMIFS(SALIDAS_BIT,FECHA_BIT,"&gt;="&amp;BM$2,FECHA_BIT,"&lt;="&amp;BM$3,CLAVE_BIT,$A39)+SUMIFS(SALIDAS_BOV1,FECHA_BOV1,"&gt;="&amp;BM$2,FECHA_BOV1,"&lt;="&amp;BM$3,CLAVE_BOV1,$A39)+SUMIFS(SALIDAS_BOV2,FECHA_BOV2,"&gt;="&amp;BM$2,FECHA_BOV2,"&lt;="&amp;BM$3,CLAVE_BOV2,$A39)+SUMIFS(SALIDAS_BOV3,FECHA_BOV3,"&gt;="&amp;BM$2,FECHA_BOV3,"&lt;="&amp;BM$3,CLAVE_BOV3,$A39)+SUMIFS(SALIDAS_TC,FECHA_TC,"&gt;="&amp;BM$2,FECHA_TC,"&lt;="&amp;BM$3,CLAVE_TC,$A39)+SUMIFS(SALIDAS_COMB,FECHA_COMB,"&gt;="&amp;BM$2,FECHA_COMB,"&lt;="&amp;BM$3,CLAVE_COMB,$A39)+SUMIFS(SALIDAS_DES,FECHA_DESGLOSEN,"&gt;="&amp;BM$2,FECHA_DESGLOSEN,"&lt;="&amp;BM$3,CLAVE_DESGLOSE,$A39)</f>
        <v>15041.03</v>
      </c>
      <c r="BN39" s="13">
        <f>SUMIFS(SALIDAS_BIT,FECHA_BIT,"&gt;="&amp;BN$2,FECHA_BIT,"&lt;="&amp;BN$3,CLAVE_BIT,$A39)+SUMIFS(SALIDAS_BOV1,FECHA_BOV1,"&gt;="&amp;BN$2,FECHA_BOV1,"&lt;="&amp;BN$3,CLAVE_BOV1,$A39)+SUMIFS(SALIDAS_BOV2,FECHA_BOV2,"&gt;="&amp;BN$2,FECHA_BOV2,"&lt;="&amp;BN$3,CLAVE_BOV2,$A39)+SUMIFS(SALIDAS_BOV3,FECHA_BOV3,"&gt;="&amp;BN$2,FECHA_BOV3,"&lt;="&amp;BN$3,CLAVE_BOV3,$A39)+SUMIFS(SALIDAS_TC,FECHA_TC,"&gt;="&amp;BN$2,FECHA_TC,"&lt;="&amp;BN$3,CLAVE_TC,$A39)+SUMIFS(SALIDAS_COMB,FECHA_COMB,"&gt;="&amp;BN$2,FECHA_COMB,"&lt;="&amp;BN$3,CLAVE_COMB,$A39)+SUMIFS(SALIDAS_DES,FECHA_DESGLOSEN,"&gt;="&amp;BN$2,FECHA_DESGLOSEN,"&lt;="&amp;BN$3,CLAVE_DESGLOSE,$A39)</f>
        <v>16618.03</v>
      </c>
      <c r="BO39" s="13">
        <f>SUMIFS(SALIDAS_BIT,FECHA_BIT,"&gt;="&amp;BO$2,FECHA_BIT,"&lt;="&amp;BO$3,CLAVE_BIT,$A39)+SUMIFS(SALIDAS_BOV1,FECHA_BOV1,"&gt;="&amp;BO$2,FECHA_BOV1,"&lt;="&amp;BO$3,CLAVE_BOV1,$A39)+SUMIFS(SALIDAS_BOV2,FECHA_BOV2,"&gt;="&amp;BO$2,FECHA_BOV2,"&lt;="&amp;BO$3,CLAVE_BOV2,$A39)+SUMIFS(SALIDAS_BOV3,FECHA_BOV3,"&gt;="&amp;BO$2,FECHA_BOV3,"&lt;="&amp;BO$3,CLAVE_BOV3,$A39)+SUMIFS(SALIDAS_TC,FECHA_TC,"&gt;="&amp;BO$2,FECHA_TC,"&lt;="&amp;BO$3,CLAVE_TC,$A39)+SUMIFS(SALIDAS_COMB,FECHA_COMB,"&gt;="&amp;BO$2,FECHA_COMB,"&lt;="&amp;BO$3,CLAVE_COMB,$A39)+SUMIFS(SALIDAS_DES,FECHA_DESGLOSEN,"&gt;="&amp;BO$2,FECHA_DESGLOSEN,"&lt;="&amp;BO$3,CLAVE_DESGLOSE,$A39)</f>
        <v>14608.83</v>
      </c>
      <c r="BP39" s="13">
        <f>SUMIFS(SALIDAS_BIT,FECHA_BIT,"&gt;="&amp;BP$2,FECHA_BIT,"&lt;="&amp;BP$3,CLAVE_BIT,$A39)+SUMIFS(SALIDAS_BOV1,FECHA_BOV1,"&gt;="&amp;BP$2,FECHA_BOV1,"&lt;="&amp;BP$3,CLAVE_BOV1,$A39)+SUMIFS(SALIDAS_BOV2,FECHA_BOV2,"&gt;="&amp;BP$2,FECHA_BOV2,"&lt;="&amp;BP$3,CLAVE_BOV2,$A39)+SUMIFS(SALIDAS_BOV3,FECHA_BOV3,"&gt;="&amp;BP$2,FECHA_BOV3,"&lt;="&amp;BP$3,CLAVE_BOV3,$A39)+SUMIFS(SALIDAS_TC,FECHA_TC,"&gt;="&amp;BP$2,FECHA_TC,"&lt;="&amp;BP$3,CLAVE_TC,$A39)+SUMIFS(SALIDAS_COMB,FECHA_COMB,"&gt;="&amp;BP$2,FECHA_COMB,"&lt;="&amp;BP$3,CLAVE_COMB,$A39)+SUMIFS(SALIDAS_DES,FECHA_DESGLOSEN,"&gt;="&amp;BP$2,FECHA_DESGLOSEN,"&lt;="&amp;BP$3,CLAVE_DESGLOSE,$A39)</f>
        <v>14714.82</v>
      </c>
      <c r="BQ39" s="13">
        <f>SUMIFS(SALIDAS_BIT,FECHA_BIT,"&gt;="&amp;BQ$2,FECHA_BIT,"&lt;="&amp;BQ$3,CLAVE_BIT,$A39)+SUMIFS(SALIDAS_BOV1,FECHA_BOV1,"&gt;="&amp;BQ$2,FECHA_BOV1,"&lt;="&amp;BQ$3,CLAVE_BOV1,$A39)+SUMIFS(SALIDAS_BOV2,FECHA_BOV2,"&gt;="&amp;BQ$2,FECHA_BOV2,"&lt;="&amp;BQ$3,CLAVE_BOV2,$A39)+SUMIFS(SALIDAS_BOV3,FECHA_BOV3,"&gt;="&amp;BQ$2,FECHA_BOV3,"&lt;="&amp;BQ$3,CLAVE_BOV3,$A39)+SUMIFS(SALIDAS_TC,FECHA_TC,"&gt;="&amp;BQ$2,FECHA_TC,"&lt;="&amp;BQ$3,CLAVE_TC,$A39)+SUMIFS(SALIDAS_COMB,FECHA_COMB,"&gt;="&amp;BQ$2,FECHA_COMB,"&lt;="&amp;BQ$3,CLAVE_COMB,$A39)+SUMIFS(SALIDAS_DES,FECHA_DESGLOSEN,"&gt;="&amp;BQ$2,FECHA_DESGLOSEN,"&lt;="&amp;BQ$3,CLAVE_DESGLOSE,$A39)</f>
        <v>17106.82</v>
      </c>
      <c r="BR39" s="13">
        <f>SUMIFS(SALIDAS_BIT,FECHA_BIT,"&gt;="&amp;BR$2,FECHA_BIT,"&lt;="&amp;BR$3,CLAVE_BIT,$A39)+SUMIFS(SALIDAS_BOV1,FECHA_BOV1,"&gt;="&amp;BR$2,FECHA_BOV1,"&lt;="&amp;BR$3,CLAVE_BOV1,$A39)+SUMIFS(SALIDAS_BOV2,FECHA_BOV2,"&gt;="&amp;BR$2,FECHA_BOV2,"&lt;="&amp;BR$3,CLAVE_BOV2,$A39)+SUMIFS(SALIDAS_BOV3,FECHA_BOV3,"&gt;="&amp;BR$2,FECHA_BOV3,"&lt;="&amp;BR$3,CLAVE_BOV3,$A39)+SUMIFS(SALIDAS_TC,FECHA_TC,"&gt;="&amp;BR$2,FECHA_TC,"&lt;="&amp;BR$3,CLAVE_TC,$A39)+SUMIFS(SALIDAS_COMB,FECHA_COMB,"&gt;="&amp;BR$2,FECHA_COMB,"&lt;="&amp;BR$3,CLAVE_COMB,$A39)+SUMIFS(SALIDAS_DES,FECHA_DESGLOSEN,"&gt;="&amp;BR$2,FECHA_DESGLOSEN,"&lt;="&amp;BR$3,CLAVE_DESGLOSE,$A39)</f>
        <v>78089.53</v>
      </c>
      <c r="BS39" s="68">
        <f t="shared" si="72"/>
        <v>-28124.53</v>
      </c>
      <c r="BT39" s="268">
        <f t="shared" si="73"/>
        <v>1.5628846192334633</v>
      </c>
      <c r="BU39" s="13">
        <f t="shared" si="49"/>
        <v>39972</v>
      </c>
      <c r="BV39" s="13">
        <f t="shared" si="90"/>
        <v>16644.62</v>
      </c>
      <c r="BW39" s="13">
        <f t="shared" si="90"/>
        <v>17817.22</v>
      </c>
      <c r="BX39" s="13">
        <f t="shared" si="90"/>
        <v>19059.62</v>
      </c>
      <c r="BY39" s="13">
        <f t="shared" si="90"/>
        <v>18699.82</v>
      </c>
      <c r="BZ39" s="13">
        <f t="shared" si="108"/>
        <v>72221.279999999999</v>
      </c>
      <c r="CA39" s="68">
        <f t="shared" si="74"/>
        <v>-32249.279999999999</v>
      </c>
      <c r="CB39" s="268">
        <f t="shared" si="75"/>
        <v>1.8067967577304112</v>
      </c>
      <c r="CC39" s="13">
        <f t="shared" si="51"/>
        <v>39972</v>
      </c>
      <c r="CD39" s="13">
        <f t="shared" si="91"/>
        <v>16863.02</v>
      </c>
      <c r="CE39" s="13">
        <f t="shared" si="91"/>
        <v>19320.62</v>
      </c>
      <c r="CF39" s="13">
        <f t="shared" si="91"/>
        <v>17369.62</v>
      </c>
      <c r="CG39" s="13">
        <f t="shared" si="91"/>
        <v>22877.62</v>
      </c>
      <c r="CH39" s="13">
        <f t="shared" si="109"/>
        <v>76430.87999999999</v>
      </c>
      <c r="CI39" s="68">
        <f t="shared" si="76"/>
        <v>-36458.87999999999</v>
      </c>
      <c r="CJ39" s="268">
        <f t="shared" si="77"/>
        <v>1.9121104773341338</v>
      </c>
      <c r="CK39" s="13">
        <f t="shared" si="53"/>
        <v>49965</v>
      </c>
      <c r="CL39" s="13">
        <f t="shared" si="92"/>
        <v>22935.22</v>
      </c>
      <c r="CM39" s="13">
        <f t="shared" si="92"/>
        <v>22767.62</v>
      </c>
      <c r="CN39" s="13">
        <f t="shared" si="92"/>
        <v>19365.62</v>
      </c>
      <c r="CO39" s="13">
        <f t="shared" si="92"/>
        <v>22005.42</v>
      </c>
      <c r="CP39" s="13">
        <f t="shared" si="92"/>
        <v>16197.02</v>
      </c>
      <c r="CQ39" s="13">
        <f t="shared" si="110"/>
        <v>103270.9</v>
      </c>
      <c r="CR39" s="68">
        <f t="shared" si="78"/>
        <v>-53305.899999999994</v>
      </c>
      <c r="CS39" s="268">
        <f t="shared" si="79"/>
        <v>2.0668648053637546</v>
      </c>
      <c r="CT39" s="68">
        <f t="shared" si="55"/>
        <v>60800</v>
      </c>
      <c r="CU39" s="13">
        <f>SUMIFS(SALIDAS_BIT,FECHA_BIT,"&gt;="&amp;CU$2,FECHA_BIT,"&lt;="&amp;CU$3,CLAVE_BIT,$A39)+SUMIFS(SALIDAS_BOV1,FECHA_BOV1,"&gt;="&amp;CU$2,FECHA_BOV1,"&lt;="&amp;CU$3,CLAVE_BOV1,$A39)+SUMIFS(SALIDAS_BOV2,FECHA_BOV2,"&gt;="&amp;CU$2,FECHA_BOV2,"&lt;="&amp;CU$3,CLAVE_BOV2,$A39)+SUMIFS(SALIDAS_BOV3,FECHA_BOV3,"&gt;="&amp;CU$2,FECHA_BOV3,"&lt;="&amp;CU$3,CLAVE_BOV3,$A39)+SUMIFS(SALIDAS_TC,FECHA_TC,"&gt;="&amp;CU$2,FECHA_TC,"&lt;="&amp;CU$3,CLAVE_TC,$A39)+SUMIFS(SALIDAS_COMB,FECHA_COMB,"&gt;="&amp;CU$2,FECHA_COMB,"&lt;="&amp;CU$3,CLAVE_COMB,$A39)+SUMIFS(SALIDAS_DES,FECHA_DESGLOSEN,"&gt;="&amp;CU$2,FECHA_DESGLOSEN,"&lt;="&amp;CU$3,CLAVE_DESGLOSE,$A39)</f>
        <v>15895.22</v>
      </c>
      <c r="CV39" s="13">
        <f>SUMIFS(SALIDAS_BIT,FECHA_BIT,"&gt;="&amp;CV$2,FECHA_BIT,"&lt;="&amp;CV$3,CLAVE_BIT,$A39)+SUMIFS(SALIDAS_BOV1,FECHA_BOV1,"&gt;="&amp;CV$2,FECHA_BOV1,"&lt;="&amp;CV$3,CLAVE_BOV1,$A39)+SUMIFS(SALIDAS_BOV2,FECHA_BOV2,"&gt;="&amp;CV$2,FECHA_BOV2,"&lt;="&amp;CV$3,CLAVE_BOV2,$A39)+SUMIFS(SALIDAS_BOV3,FECHA_BOV3,"&gt;="&amp;CV$2,FECHA_BOV3,"&lt;="&amp;CV$3,CLAVE_BOV3,$A39)+SUMIFS(SALIDAS_TC,FECHA_TC,"&gt;="&amp;CV$2,FECHA_TC,"&lt;="&amp;CV$3,CLAVE_TC,$A39)+SUMIFS(SALIDAS_COMB,FECHA_COMB,"&gt;="&amp;CV$2,FECHA_COMB,"&lt;="&amp;CV$3,CLAVE_COMB,$A39)+SUMIFS(SALIDAS_DES,FECHA_DESGLOSEN,"&gt;="&amp;CV$2,FECHA_DESGLOSEN,"&lt;="&amp;CV$3,CLAVE_DESGLOSE,$A39)</f>
        <v>23705.62</v>
      </c>
      <c r="CW39" s="13">
        <f>SUMIFS(SALIDAS_BIT,FECHA_BIT,"&gt;="&amp;CW$2,FECHA_BIT,"&lt;="&amp;CW$3,CLAVE_BIT,$A39)+SUMIFS(SALIDAS_BOV1,FECHA_BOV1,"&gt;="&amp;CW$2,FECHA_BOV1,"&lt;="&amp;CW$3,CLAVE_BOV1,$A39)+SUMIFS(SALIDAS_BOV2,FECHA_BOV2,"&gt;="&amp;CW$2,FECHA_BOV2,"&lt;="&amp;CW$3,CLAVE_BOV2,$A39)+SUMIFS(SALIDAS_BOV3,FECHA_BOV3,"&gt;="&amp;CW$2,FECHA_BOV3,"&lt;="&amp;CW$3,CLAVE_BOV3,$A39)+SUMIFS(SALIDAS_TC,FECHA_TC,"&gt;="&amp;CW$2,FECHA_TC,"&lt;="&amp;CW$3,CLAVE_TC,$A39)+SUMIFS(SALIDAS_COMB,FECHA_COMB,"&gt;="&amp;CW$2,FECHA_COMB,"&lt;="&amp;CW$3,CLAVE_COMB,$A39)+SUMIFS(SALIDAS_DES,FECHA_DESGLOSEN,"&gt;="&amp;CW$2,FECHA_DESGLOSEN,"&lt;="&amp;CW$3,CLAVE_DESGLOSE,$A39)</f>
        <v>27512.82</v>
      </c>
      <c r="CX39" s="13">
        <f>SUMIFS(SALIDAS_BIT,FECHA_BIT,"&gt;="&amp;CX$2,FECHA_BIT,"&lt;="&amp;CX$3,CLAVE_BIT,$A39)+SUMIFS(SALIDAS_BOV1,FECHA_BOV1,"&gt;="&amp;CX$2,FECHA_BOV1,"&lt;="&amp;CX$3,CLAVE_BOV1,$A39)+SUMIFS(SALIDAS_BOV2,FECHA_BOV2,"&gt;="&amp;CX$2,FECHA_BOV2,"&lt;="&amp;CX$3,CLAVE_BOV2,$A39)+SUMIFS(SALIDAS_BOV3,FECHA_BOV3,"&gt;="&amp;CX$2,FECHA_BOV3,"&lt;="&amp;CX$3,CLAVE_BOV3,$A39)+SUMIFS(SALIDAS_TC,FECHA_TC,"&gt;="&amp;CX$2,FECHA_TC,"&lt;="&amp;CX$3,CLAVE_TC,$A39)+SUMIFS(SALIDAS_COMB,FECHA_COMB,"&gt;="&amp;CX$2,FECHA_COMB,"&lt;="&amp;CX$3,CLAVE_COMB,$A39)+SUMIFS(SALIDAS_DES,FECHA_DESGLOSEN,"&gt;="&amp;CX$2,FECHA_DESGLOSEN,"&lt;="&amp;CX$3,CLAVE_DESGLOSE,$A39)</f>
        <v>18011.419999999998</v>
      </c>
      <c r="CY39" s="13">
        <f>SUMIFS(SALIDAS_BIT,FECHA_BIT,"&gt;="&amp;CY$2,FECHA_BIT,"&lt;="&amp;CY$3,CLAVE_BIT,$A39)+SUMIFS(SALIDAS_BOV1,FECHA_BOV1,"&gt;="&amp;CY$2,FECHA_BOV1,"&lt;="&amp;CY$3,CLAVE_BOV1,$A39)+SUMIFS(SALIDAS_BOV2,FECHA_BOV2,"&gt;="&amp;CY$2,FECHA_BOV2,"&lt;="&amp;CY$3,CLAVE_BOV2,$A39)+SUMIFS(SALIDAS_BOV3,FECHA_BOV3,"&gt;="&amp;CY$2,FECHA_BOV3,"&lt;="&amp;CY$3,CLAVE_BOV3,$A39)+SUMIFS(SALIDAS_TC,FECHA_TC,"&gt;="&amp;CY$2,FECHA_TC,"&lt;="&amp;CY$3,CLAVE_TC,$A39)+SUMIFS(SALIDAS_COMB,FECHA_COMB,"&gt;="&amp;CY$2,FECHA_COMB,"&lt;="&amp;CY$3,CLAVE_COMB,$A39)+SUMIFS(SALIDAS_DES,FECHA_DESGLOSEN,"&gt;="&amp;CY$2,FECHA_DESGLOSEN,"&lt;="&amp;CY$3,CLAVE_DESGLOSE,$A39)</f>
        <v>85125.08</v>
      </c>
      <c r="CZ39" s="68">
        <f t="shared" si="80"/>
        <v>-24325.08</v>
      </c>
      <c r="DB39" s="17">
        <f>F39+N39+W39+AE39+AM39+AV39+BD39+BL39+BU39+CC39+CK39</f>
        <v>470664</v>
      </c>
      <c r="DC39" s="17">
        <f>K39+T39+AB39+AJ39+AS39+BA39+BI39+BR39+BZ39+CH39+CQ39</f>
        <v>608798.66</v>
      </c>
    </row>
    <row r="40" spans="1:107" hidden="1">
      <c r="A40" s="12" t="str">
        <f t="shared" si="57"/>
        <v>SERVICIOSNOMINA ADMONCADENA DE SUMINISTROS</v>
      </c>
      <c r="B40" s="12">
        <v>34</v>
      </c>
      <c r="C40" t="s">
        <v>21</v>
      </c>
      <c r="D40" s="12" t="s">
        <v>147</v>
      </c>
      <c r="E40" s="12" t="s">
        <v>134</v>
      </c>
      <c r="F40" s="259">
        <f t="shared" si="58"/>
        <v>88032</v>
      </c>
      <c r="G40" s="13">
        <f t="shared" si="102"/>
        <v>20955.2</v>
      </c>
      <c r="H40" s="13">
        <f t="shared" si="102"/>
        <v>22045</v>
      </c>
      <c r="I40" s="13">
        <f t="shared" si="102"/>
        <v>22045.200000000001</v>
      </c>
      <c r="J40" s="13">
        <f t="shared" si="102"/>
        <v>20237.599999999999</v>
      </c>
      <c r="K40" s="13">
        <f t="shared" si="102"/>
        <v>85283</v>
      </c>
      <c r="L40" s="68">
        <f t="shared" si="59"/>
        <v>2749</v>
      </c>
      <c r="M40" s="268">
        <f t="shared" si="60"/>
        <v>0.9687727190112686</v>
      </c>
      <c r="N40" s="13">
        <f t="shared" si="36"/>
        <v>110040</v>
      </c>
      <c r="O40" s="13">
        <f t="shared" si="103"/>
        <v>19418.599999999999</v>
      </c>
      <c r="P40" s="13">
        <f t="shared" si="103"/>
        <v>19418.400000000001</v>
      </c>
      <c r="Q40" s="13">
        <f t="shared" si="103"/>
        <v>21992.400000000001</v>
      </c>
      <c r="R40" s="13">
        <f t="shared" si="103"/>
        <v>19418.2</v>
      </c>
      <c r="S40" s="13">
        <f t="shared" si="103"/>
        <v>19418.599999999999</v>
      </c>
      <c r="T40" s="13">
        <f t="shared" si="103"/>
        <v>99666.200000000012</v>
      </c>
      <c r="U40" s="68">
        <f t="shared" si="61"/>
        <v>10373.799999999988</v>
      </c>
      <c r="V40" s="268">
        <f t="shared" si="62"/>
        <v>0.90572700836059628</v>
      </c>
      <c r="W40" s="13">
        <f t="shared" si="38"/>
        <v>88032</v>
      </c>
      <c r="X40" s="13">
        <f t="shared" si="104"/>
        <v>19418.8</v>
      </c>
      <c r="Y40" s="13">
        <f t="shared" si="104"/>
        <v>19418.400000000001</v>
      </c>
      <c r="Z40" s="13">
        <f t="shared" si="104"/>
        <v>17658.2</v>
      </c>
      <c r="AA40" s="13">
        <f t="shared" si="104"/>
        <v>19324.8</v>
      </c>
      <c r="AB40" s="13">
        <f t="shared" si="104"/>
        <v>75820.2</v>
      </c>
      <c r="AC40" s="68">
        <f t="shared" si="63"/>
        <v>12211.800000000003</v>
      </c>
      <c r="AD40" s="268">
        <f t="shared" si="64"/>
        <v>0.86127998909487458</v>
      </c>
      <c r="AE40" s="13">
        <f t="shared" si="40"/>
        <v>88032</v>
      </c>
      <c r="AF40" s="13">
        <f t="shared" si="105"/>
        <v>19325.2</v>
      </c>
      <c r="AG40" s="13">
        <f t="shared" si="105"/>
        <v>17828.400000000001</v>
      </c>
      <c r="AH40" s="13">
        <f t="shared" si="105"/>
        <v>16268.2</v>
      </c>
      <c r="AI40" s="13">
        <f t="shared" si="105"/>
        <v>15381.4</v>
      </c>
      <c r="AJ40" s="13">
        <f t="shared" si="105"/>
        <v>68803.199999999997</v>
      </c>
      <c r="AK40" s="68">
        <f t="shared" si="65"/>
        <v>19228.800000000003</v>
      </c>
      <c r="AL40" s="268">
        <f t="shared" si="66"/>
        <v>0.78157033805888765</v>
      </c>
      <c r="AM40" s="13">
        <f t="shared" si="42"/>
        <v>110040</v>
      </c>
      <c r="AN40" s="13">
        <f t="shared" si="106"/>
        <v>15863.4</v>
      </c>
      <c r="AO40" s="13">
        <f t="shared" si="106"/>
        <v>15723.2</v>
      </c>
      <c r="AP40" s="13">
        <f t="shared" si="106"/>
        <v>17444.2</v>
      </c>
      <c r="AQ40" s="13">
        <f t="shared" si="106"/>
        <v>20192.400000000001</v>
      </c>
      <c r="AR40" s="13">
        <f t="shared" si="106"/>
        <v>20508.8</v>
      </c>
      <c r="AS40" s="13">
        <f t="shared" si="106"/>
        <v>89732.000000000015</v>
      </c>
      <c r="AT40" s="68">
        <f>AM40-AS40</f>
        <v>20307.999999999985</v>
      </c>
      <c r="AU40" s="268">
        <f t="shared" si="67"/>
        <v>0.8154489276626683</v>
      </c>
      <c r="AV40" s="13">
        <f t="shared" si="44"/>
        <v>88032</v>
      </c>
      <c r="AW40" s="13">
        <f>SUMIFS(SALIDAS_BIT,FECHA_BIT,"&gt;="&amp;AW$2,FECHA_BIT,"&lt;="&amp;AW$3,CLAVE_BIT,$A40)+SUMIFS(SALIDAS_BOV1,FECHA_BOV1,"&gt;="&amp;AW$2,FECHA_BOV1,"&lt;="&amp;AW$3,CLAVE_BOV1,$A40)+SUMIFS(SALIDAS_BOV2,FECHA_BOV2,"&gt;="&amp;AW$2,FECHA_BOV2,"&lt;="&amp;AW$3,CLAVE_BOV2,$A40)+SUMIFS(SALIDAS_BOV3,FECHA_BOV3,"&gt;="&amp;AW$2,FECHA_BOV3,"&lt;="&amp;AW$3,CLAVE_BOV3,$A40)+SUMIFS(SALIDAS_TC,FECHA_TC,"&gt;="&amp;AW$2,FECHA_TC,"&lt;="&amp;AW$3,CLAVE_TC,$A40)+SUMIFS(SALIDAS_COMB,FECHA_COMB,"&gt;="&amp;AW$2,FECHA_COMB,"&lt;="&amp;AW$3,CLAVE_COMB,$A40)+SUMIFS(SALIDAS_DES,FECHA_DESGLOSEN,"&gt;="&amp;AW$2,FECHA_DESGLOSEN,"&lt;="&amp;AW$3,CLAVE_DESGLOSE,$A40)</f>
        <v>27905.599999999999</v>
      </c>
      <c r="AX40" s="13">
        <f>SUMIFS(SALIDAS_BIT,FECHA_BIT,"&gt;="&amp;AX$2,FECHA_BIT,"&lt;="&amp;AX$3,CLAVE_BIT,$A40)+SUMIFS(SALIDAS_BOV1,FECHA_BOV1,"&gt;="&amp;AX$2,FECHA_BOV1,"&lt;="&amp;AX$3,CLAVE_BOV1,$A40)+SUMIFS(SALIDAS_BOV2,FECHA_BOV2,"&gt;="&amp;AX$2,FECHA_BOV2,"&lt;="&amp;AX$3,CLAVE_BOV2,$A40)+SUMIFS(SALIDAS_BOV3,FECHA_BOV3,"&gt;="&amp;AX$2,FECHA_BOV3,"&lt;="&amp;AX$3,CLAVE_BOV3,$A40)+SUMIFS(SALIDAS_TC,FECHA_TC,"&gt;="&amp;AX$2,FECHA_TC,"&lt;="&amp;AX$3,CLAVE_TC,$A40)+SUMIFS(SALIDAS_COMB,FECHA_COMB,"&gt;="&amp;AX$2,FECHA_COMB,"&lt;="&amp;AX$3,CLAVE_COMB,$A40)+SUMIFS(SALIDAS_DES,FECHA_DESGLOSEN,"&gt;="&amp;AX$2,FECHA_DESGLOSEN,"&lt;="&amp;AX$3,CLAVE_DESGLOSE,$A40)</f>
        <v>24025</v>
      </c>
      <c r="AY40" s="13">
        <f>SUMIFS(SALIDAS_BIT,FECHA_BIT,"&gt;="&amp;AY$2,FECHA_BIT,"&lt;="&amp;AY$3,CLAVE_BIT,$A40)+SUMIFS(SALIDAS_BOV1,FECHA_BOV1,"&gt;="&amp;AY$2,FECHA_BOV1,"&lt;="&amp;AY$3,CLAVE_BOV1,$A40)+SUMIFS(SALIDAS_BOV2,FECHA_BOV2,"&gt;="&amp;AY$2,FECHA_BOV2,"&lt;="&amp;AY$3,CLAVE_BOV2,$A40)+SUMIFS(SALIDAS_BOV3,FECHA_BOV3,"&gt;="&amp;AY$2,FECHA_BOV3,"&lt;="&amp;AY$3,CLAVE_BOV3,$A40)+SUMIFS(SALIDAS_TC,FECHA_TC,"&gt;="&amp;AY$2,FECHA_TC,"&lt;="&amp;AY$3,CLAVE_TC,$A40)+SUMIFS(SALIDAS_COMB,FECHA_COMB,"&gt;="&amp;AY$2,FECHA_COMB,"&lt;="&amp;AY$3,CLAVE_COMB,$A40)+SUMIFS(SALIDAS_DES,FECHA_DESGLOSEN,"&gt;="&amp;AY$2,FECHA_DESGLOSEN,"&lt;="&amp;AY$3,CLAVE_DESGLOSE,$A40)</f>
        <v>21618.6</v>
      </c>
      <c r="AZ40" s="13">
        <f>SUMIFS(SALIDAS_BIT,FECHA_BIT,"&gt;="&amp;AZ$2,FECHA_BIT,"&lt;="&amp;AZ$3,CLAVE_BIT,$A40)+SUMIFS(SALIDAS_BOV1,FECHA_BOV1,"&gt;="&amp;AZ$2,FECHA_BOV1,"&lt;="&amp;AZ$3,CLAVE_BOV1,$A40)+SUMIFS(SALIDAS_BOV2,FECHA_BOV2,"&gt;="&amp;AZ$2,FECHA_BOV2,"&lt;="&amp;AZ$3,CLAVE_BOV2,$A40)+SUMIFS(SALIDAS_BOV3,FECHA_BOV3,"&gt;="&amp;AZ$2,FECHA_BOV3,"&lt;="&amp;AZ$3,CLAVE_BOV3,$A40)+SUMIFS(SALIDAS_TC,FECHA_TC,"&gt;="&amp;AZ$2,FECHA_TC,"&lt;="&amp;AZ$3,CLAVE_TC,$A40)+SUMIFS(SALIDAS_COMB,FECHA_COMB,"&gt;="&amp;AZ$2,FECHA_COMB,"&lt;="&amp;AZ$3,CLAVE_COMB,$A40)+SUMIFS(SALIDAS_DES,FECHA_DESGLOSEN,"&gt;="&amp;AZ$2,FECHA_DESGLOSEN,"&lt;="&amp;AZ$3,CLAVE_DESGLOSE,$A40)</f>
        <v>19234.2</v>
      </c>
      <c r="BA40" s="13">
        <f t="shared" si="98"/>
        <v>92783.4</v>
      </c>
      <c r="BB40" s="68">
        <f t="shared" si="68"/>
        <v>-4751.3999999999942</v>
      </c>
      <c r="BC40" s="268">
        <f t="shared" si="69"/>
        <v>1.0539735550708833</v>
      </c>
      <c r="BD40" s="13">
        <f t="shared" si="46"/>
        <v>88032</v>
      </c>
      <c r="BE40" s="13">
        <f>SUMIFS(SALIDAS_BIT,FECHA_BIT,"&gt;="&amp;BE$2,FECHA_BIT,"&lt;="&amp;BE$3,CLAVE_BIT,$A40)+SUMIFS(SALIDAS_BOV1,FECHA_BOV1,"&gt;="&amp;BE$2,FECHA_BOV1,"&lt;="&amp;BE$3,CLAVE_BOV1,$A40)+SUMIFS(SALIDAS_BOV2,FECHA_BOV2,"&gt;="&amp;BE$2,FECHA_BOV2,"&lt;="&amp;BE$3,CLAVE_BOV2,$A40)+SUMIFS(SALIDAS_BOV3,FECHA_BOV3,"&gt;="&amp;BE$2,FECHA_BOV3,"&lt;="&amp;BE$3,CLAVE_BOV3,$A40)+SUMIFS(SALIDAS_TC,FECHA_TC,"&gt;="&amp;BE$2,FECHA_TC,"&lt;="&amp;BE$3,CLAVE_TC,$A40)+SUMIFS(SALIDAS_COMB,FECHA_COMB,"&gt;="&amp;BE$2,FECHA_COMB,"&lt;="&amp;BE$3,CLAVE_COMB,$A40)+SUMIFS(SALIDAS_DES,FECHA_DESGLOSEN,"&gt;="&amp;BE$2,FECHA_DESGLOSEN,"&lt;="&amp;BE$3,CLAVE_DESGLOSE,$A40)</f>
        <v>21618.400000000001</v>
      </c>
      <c r="BF40" s="13">
        <f>SUMIFS(SALIDAS_BIT,FECHA_BIT,"&gt;="&amp;BF$2,FECHA_BIT,"&lt;="&amp;BF$3,CLAVE_BIT,$A40)+SUMIFS(SALIDAS_BOV1,FECHA_BOV1,"&gt;="&amp;BF$2,FECHA_BOV1,"&lt;="&amp;BF$3,CLAVE_BOV1,$A40)+SUMIFS(SALIDAS_BOV2,FECHA_BOV2,"&gt;="&amp;BF$2,FECHA_BOV2,"&lt;="&amp;BF$3,CLAVE_BOV2,$A40)+SUMIFS(SALIDAS_BOV3,FECHA_BOV3,"&gt;="&amp;BF$2,FECHA_BOV3,"&lt;="&amp;BF$3,CLAVE_BOV3,$A40)+SUMIFS(SALIDAS_TC,FECHA_TC,"&gt;="&amp;BF$2,FECHA_TC,"&lt;="&amp;BF$3,CLAVE_TC,$A40)+SUMIFS(SALIDAS_COMB,FECHA_COMB,"&gt;="&amp;BF$2,FECHA_COMB,"&lt;="&amp;BF$3,CLAVE_COMB,$A40)+SUMIFS(SALIDAS_DES,FECHA_DESGLOSEN,"&gt;="&amp;BF$2,FECHA_DESGLOSEN,"&lt;="&amp;BF$3,CLAVE_DESGLOSE,$A40)</f>
        <v>19244.599999999999</v>
      </c>
      <c r="BG40" s="13">
        <f>SUMIFS(SALIDAS_BIT,FECHA_BIT,"&gt;="&amp;BG$2,FECHA_BIT,"&lt;="&amp;BG$3,CLAVE_BIT,$A40)+SUMIFS(SALIDAS_BOV1,FECHA_BOV1,"&gt;="&amp;BG$2,FECHA_BOV1,"&lt;="&amp;BG$3,CLAVE_BOV1,$A40)+SUMIFS(SALIDAS_BOV2,FECHA_BOV2,"&gt;="&amp;BG$2,FECHA_BOV2,"&lt;="&amp;BG$3,CLAVE_BOV2,$A40)+SUMIFS(SALIDAS_BOV3,FECHA_BOV3,"&gt;="&amp;BG$2,FECHA_BOV3,"&lt;="&amp;BG$3,CLAVE_BOV3,$A40)+SUMIFS(SALIDAS_TC,FECHA_TC,"&gt;="&amp;BG$2,FECHA_TC,"&lt;="&amp;BG$3,CLAVE_TC,$A40)+SUMIFS(SALIDAS_COMB,FECHA_COMB,"&gt;="&amp;BG$2,FECHA_COMB,"&lt;="&amp;BG$3,CLAVE_COMB,$A40)+SUMIFS(SALIDAS_DES,FECHA_DESGLOSEN,"&gt;="&amp;BG$2,FECHA_DESGLOSEN,"&lt;="&amp;BG$3,CLAVE_DESGLOSE,$A40)</f>
        <v>19244.2</v>
      </c>
      <c r="BH40" s="13">
        <f>SUMIFS(SALIDAS_BIT,FECHA_BIT,"&gt;="&amp;BH$2,FECHA_BIT,"&lt;="&amp;BH$3,CLAVE_BIT,$A40)+SUMIFS(SALIDAS_BOV1,FECHA_BOV1,"&gt;="&amp;BH$2,FECHA_BOV1,"&lt;="&amp;BH$3,CLAVE_BOV1,$A40)+SUMIFS(SALIDAS_BOV2,FECHA_BOV2,"&gt;="&amp;BH$2,FECHA_BOV2,"&lt;="&amp;BH$3,CLAVE_BOV2,$A40)+SUMIFS(SALIDAS_BOV3,FECHA_BOV3,"&gt;="&amp;BH$2,FECHA_BOV3,"&lt;="&amp;BH$3,CLAVE_BOV3,$A40)+SUMIFS(SALIDAS_TC,FECHA_TC,"&gt;="&amp;BH$2,FECHA_TC,"&lt;="&amp;BH$3,CLAVE_TC,$A40)+SUMIFS(SALIDAS_COMB,FECHA_COMB,"&gt;="&amp;BH$2,FECHA_COMB,"&lt;="&amp;BH$3,CLAVE_COMB,$A40)+SUMIFS(SALIDAS_DES,FECHA_DESGLOSEN,"&gt;="&amp;BH$2,FECHA_DESGLOSEN,"&lt;="&amp;BH$3,CLAVE_DESGLOSE,$A40)</f>
        <v>22908</v>
      </c>
      <c r="BI40" s="13">
        <f>SUMIFS(SALIDAS_BIT,FECHA_BIT,"&gt;="&amp;BI$2,FECHA_BIT,"&lt;="&amp;BI$3,CLAVE_BIT,$A40)+SUMIFS(SALIDAS_BOV1,FECHA_BOV1,"&gt;="&amp;BI$2,FECHA_BOV1,"&lt;="&amp;BI$3,CLAVE_BOV1,$A40)+SUMIFS(SALIDAS_BOV2,FECHA_BOV2,"&gt;="&amp;BI$2,FECHA_BOV2,"&lt;="&amp;BI$3,CLAVE_BOV2,$A40)+SUMIFS(SALIDAS_BOV3,FECHA_BOV3,"&gt;="&amp;BI$2,FECHA_BOV3,"&lt;="&amp;BI$3,CLAVE_BOV3,$A40)+SUMIFS(SALIDAS_TC,FECHA_TC,"&gt;="&amp;BI$2,FECHA_TC,"&lt;="&amp;BI$3,CLAVE_TC,$A40)+SUMIFS(SALIDAS_COMB,FECHA_COMB,"&gt;="&amp;BI$2,FECHA_COMB,"&lt;="&amp;BI$3,CLAVE_COMB,$A40)+SUMIFS(SALIDAS_DES,FECHA_DESGLOSEN,"&gt;="&amp;BI$2,FECHA_DESGLOSEN,"&lt;="&amp;BI$3,CLAVE_DESGLOSE,$A40)</f>
        <v>83015.199999999997</v>
      </c>
      <c r="BJ40" s="68">
        <f t="shared" si="70"/>
        <v>5016.8000000000029</v>
      </c>
      <c r="BK40" s="268">
        <f t="shared" si="71"/>
        <v>0.94301163213376948</v>
      </c>
      <c r="BL40" s="13">
        <f t="shared" si="47"/>
        <v>110040</v>
      </c>
      <c r="BM40" s="13">
        <f>SUMIFS(SALIDAS_BIT,FECHA_BIT,"&gt;="&amp;BM$2,FECHA_BIT,"&lt;="&amp;BM$3,CLAVE_BIT,$A40)+SUMIFS(SALIDAS_BOV1,FECHA_BOV1,"&gt;="&amp;BM$2,FECHA_BOV1,"&lt;="&amp;BM$3,CLAVE_BOV1,$A40)+SUMIFS(SALIDAS_BOV2,FECHA_BOV2,"&gt;="&amp;BM$2,FECHA_BOV2,"&lt;="&amp;BM$3,CLAVE_BOV2,$A40)+SUMIFS(SALIDAS_BOV3,FECHA_BOV3,"&gt;="&amp;BM$2,FECHA_BOV3,"&lt;="&amp;BM$3,CLAVE_BOV3,$A40)+SUMIFS(SALIDAS_TC,FECHA_TC,"&gt;="&amp;BM$2,FECHA_TC,"&lt;="&amp;BM$3,CLAVE_TC,$A40)+SUMIFS(SALIDAS_COMB,FECHA_COMB,"&gt;="&amp;BM$2,FECHA_COMB,"&lt;="&amp;BM$3,CLAVE_COMB,$A40)+SUMIFS(SALIDAS_DES,FECHA_DESGLOSEN,"&gt;="&amp;BM$2,FECHA_DESGLOSEN,"&lt;="&amp;BM$3,CLAVE_DESGLOSE,$A40)</f>
        <v>25244.2</v>
      </c>
      <c r="BN40" s="13">
        <f>SUMIFS(SALIDAS_BIT,FECHA_BIT,"&gt;="&amp;BN$2,FECHA_BIT,"&lt;="&amp;BN$3,CLAVE_BIT,$A40)+SUMIFS(SALIDAS_BOV1,FECHA_BOV1,"&gt;="&amp;BN$2,FECHA_BOV1,"&lt;="&amp;BN$3,CLAVE_BOV1,$A40)+SUMIFS(SALIDAS_BOV2,FECHA_BOV2,"&gt;="&amp;BN$2,FECHA_BOV2,"&lt;="&amp;BN$3,CLAVE_BOV2,$A40)+SUMIFS(SALIDAS_BOV3,FECHA_BOV3,"&gt;="&amp;BN$2,FECHA_BOV3,"&lt;="&amp;BN$3,CLAVE_BOV3,$A40)+SUMIFS(SALIDAS_TC,FECHA_TC,"&gt;="&amp;BN$2,FECHA_TC,"&lt;="&amp;BN$3,CLAVE_TC,$A40)+SUMIFS(SALIDAS_COMB,FECHA_COMB,"&gt;="&amp;BN$2,FECHA_COMB,"&lt;="&amp;BN$3,CLAVE_COMB,$A40)+SUMIFS(SALIDAS_DES,FECHA_DESGLOSEN,"&gt;="&amp;BN$2,FECHA_DESGLOSEN,"&lt;="&amp;BN$3,CLAVE_DESGLOSE,$A40)</f>
        <v>24904</v>
      </c>
      <c r="BO40" s="13">
        <f>SUMIFS(SALIDAS_BIT,FECHA_BIT,"&gt;="&amp;BO$2,FECHA_BIT,"&lt;="&amp;BO$3,CLAVE_BIT,$A40)+SUMIFS(SALIDAS_BOV1,FECHA_BOV1,"&gt;="&amp;BO$2,FECHA_BOV1,"&lt;="&amp;BO$3,CLAVE_BOV1,$A40)+SUMIFS(SALIDAS_BOV2,FECHA_BOV2,"&gt;="&amp;BO$2,FECHA_BOV2,"&lt;="&amp;BO$3,CLAVE_BOV2,$A40)+SUMIFS(SALIDAS_BOV3,FECHA_BOV3,"&gt;="&amp;BO$2,FECHA_BOV3,"&lt;="&amp;BO$3,CLAVE_BOV3,$A40)+SUMIFS(SALIDAS_TC,FECHA_TC,"&gt;="&amp;BO$2,FECHA_TC,"&lt;="&amp;BO$3,CLAVE_TC,$A40)+SUMIFS(SALIDAS_COMB,FECHA_COMB,"&gt;="&amp;BO$2,FECHA_COMB,"&lt;="&amp;BO$3,CLAVE_COMB,$A40)+SUMIFS(SALIDAS_DES,FECHA_DESGLOSEN,"&gt;="&amp;BO$2,FECHA_DESGLOSEN,"&lt;="&amp;BO$3,CLAVE_DESGLOSE,$A40)</f>
        <v>26101.8</v>
      </c>
      <c r="BP40" s="13">
        <f>SUMIFS(SALIDAS_BIT,FECHA_BIT,"&gt;="&amp;BP$2,FECHA_BIT,"&lt;="&amp;BP$3,CLAVE_BIT,$A40)+SUMIFS(SALIDAS_BOV1,FECHA_BOV1,"&gt;="&amp;BP$2,FECHA_BOV1,"&lt;="&amp;BP$3,CLAVE_BOV1,$A40)+SUMIFS(SALIDAS_BOV2,FECHA_BOV2,"&gt;="&amp;BP$2,FECHA_BOV2,"&lt;="&amp;BP$3,CLAVE_BOV2,$A40)+SUMIFS(SALIDAS_BOV3,FECHA_BOV3,"&gt;="&amp;BP$2,FECHA_BOV3,"&lt;="&amp;BP$3,CLAVE_BOV3,$A40)+SUMIFS(SALIDAS_TC,FECHA_TC,"&gt;="&amp;BP$2,FECHA_TC,"&lt;="&amp;BP$3,CLAVE_TC,$A40)+SUMIFS(SALIDAS_COMB,FECHA_COMB,"&gt;="&amp;BP$2,FECHA_COMB,"&lt;="&amp;BP$3,CLAVE_COMB,$A40)+SUMIFS(SALIDAS_DES,FECHA_DESGLOSEN,"&gt;="&amp;BP$2,FECHA_DESGLOSEN,"&lt;="&amp;BP$3,CLAVE_DESGLOSE,$A40)</f>
        <v>26895</v>
      </c>
      <c r="BQ40" s="13">
        <f>SUMIFS(SALIDAS_BIT,FECHA_BIT,"&gt;="&amp;BQ$2,FECHA_BIT,"&lt;="&amp;BQ$3,CLAVE_BIT,$A40)+SUMIFS(SALIDAS_BOV1,FECHA_BOV1,"&gt;="&amp;BQ$2,FECHA_BOV1,"&lt;="&amp;BQ$3,CLAVE_BOV1,$A40)+SUMIFS(SALIDAS_BOV2,FECHA_BOV2,"&gt;="&amp;BQ$2,FECHA_BOV2,"&lt;="&amp;BQ$3,CLAVE_BOV2,$A40)+SUMIFS(SALIDAS_BOV3,FECHA_BOV3,"&gt;="&amp;BQ$2,FECHA_BOV3,"&lt;="&amp;BQ$3,CLAVE_BOV3,$A40)+SUMIFS(SALIDAS_TC,FECHA_TC,"&gt;="&amp;BQ$2,FECHA_TC,"&lt;="&amp;BQ$3,CLAVE_TC,$A40)+SUMIFS(SALIDAS_COMB,FECHA_COMB,"&gt;="&amp;BQ$2,FECHA_COMB,"&lt;="&amp;BQ$3,CLAVE_COMB,$A40)+SUMIFS(SALIDAS_DES,FECHA_DESGLOSEN,"&gt;="&amp;BQ$2,FECHA_DESGLOSEN,"&lt;="&amp;BQ$3,CLAVE_DESGLOSE,$A40)</f>
        <v>27210.2</v>
      </c>
      <c r="BR40" s="13">
        <f>SUMIFS(SALIDAS_BIT,FECHA_BIT,"&gt;="&amp;BR$2,FECHA_BIT,"&lt;="&amp;BR$3,CLAVE_BIT,$A40)+SUMIFS(SALIDAS_BOV1,FECHA_BOV1,"&gt;="&amp;BR$2,FECHA_BOV1,"&lt;="&amp;BR$3,CLAVE_BOV1,$A40)+SUMIFS(SALIDAS_BOV2,FECHA_BOV2,"&gt;="&amp;BR$2,FECHA_BOV2,"&lt;="&amp;BR$3,CLAVE_BOV2,$A40)+SUMIFS(SALIDAS_BOV3,FECHA_BOV3,"&gt;="&amp;BR$2,FECHA_BOV3,"&lt;="&amp;BR$3,CLAVE_BOV3,$A40)+SUMIFS(SALIDAS_TC,FECHA_TC,"&gt;="&amp;BR$2,FECHA_TC,"&lt;="&amp;BR$3,CLAVE_TC,$A40)+SUMIFS(SALIDAS_COMB,FECHA_COMB,"&gt;="&amp;BR$2,FECHA_COMB,"&lt;="&amp;BR$3,CLAVE_COMB,$A40)+SUMIFS(SALIDAS_DES,FECHA_DESGLOSEN,"&gt;="&amp;BR$2,FECHA_DESGLOSEN,"&lt;="&amp;BR$3,CLAVE_DESGLOSE,$A40)</f>
        <v>130355.2</v>
      </c>
      <c r="BS40" s="68">
        <f t="shared" si="72"/>
        <v>-20315.199999999997</v>
      </c>
      <c r="BT40" s="268">
        <f t="shared" si="73"/>
        <v>1.1846165030897855</v>
      </c>
      <c r="BU40" s="13">
        <f t="shared" si="49"/>
        <v>88032</v>
      </c>
      <c r="BV40" s="13">
        <f t="shared" si="90"/>
        <v>24673.200000000001</v>
      </c>
      <c r="BW40" s="13">
        <f t="shared" si="90"/>
        <v>25648</v>
      </c>
      <c r="BX40" s="13">
        <f t="shared" si="90"/>
        <v>24967</v>
      </c>
      <c r="BY40" s="13">
        <f t="shared" si="90"/>
        <v>25355</v>
      </c>
      <c r="BZ40" s="13">
        <f t="shared" si="108"/>
        <v>100643.2</v>
      </c>
      <c r="CA40" s="68">
        <f t="shared" si="74"/>
        <v>-12611.199999999997</v>
      </c>
      <c r="CB40" s="268">
        <f t="shared" si="75"/>
        <v>1.1432569974554707</v>
      </c>
      <c r="CC40" s="13">
        <f t="shared" si="51"/>
        <v>88032</v>
      </c>
      <c r="CD40" s="13">
        <f t="shared" si="91"/>
        <v>26205.200000000001</v>
      </c>
      <c r="CE40" s="13">
        <f t="shared" si="91"/>
        <v>24960.2</v>
      </c>
      <c r="CF40" s="13">
        <f t="shared" si="91"/>
        <v>24676.2</v>
      </c>
      <c r="CG40" s="13">
        <f t="shared" si="91"/>
        <v>24437</v>
      </c>
      <c r="CH40" s="13">
        <f t="shared" si="109"/>
        <v>100278.6</v>
      </c>
      <c r="CI40" s="68">
        <f t="shared" si="76"/>
        <v>-12246.600000000006</v>
      </c>
      <c r="CJ40" s="268">
        <f t="shared" si="77"/>
        <v>1.1391153217011996</v>
      </c>
      <c r="CK40" s="13">
        <f t="shared" si="53"/>
        <v>110040</v>
      </c>
      <c r="CL40" s="13">
        <f t="shared" si="92"/>
        <v>24921.4</v>
      </c>
      <c r="CM40" s="13">
        <f t="shared" si="92"/>
        <v>25721.599999999999</v>
      </c>
      <c r="CN40" s="13">
        <f t="shared" si="92"/>
        <v>25332.6</v>
      </c>
      <c r="CO40" s="13">
        <f t="shared" si="92"/>
        <v>25396.6</v>
      </c>
      <c r="CP40" s="13">
        <f t="shared" si="92"/>
        <v>21820</v>
      </c>
      <c r="CQ40" s="13">
        <f t="shared" si="110"/>
        <v>123192.20000000001</v>
      </c>
      <c r="CR40" s="68">
        <f t="shared" si="78"/>
        <v>-13152.200000000012</v>
      </c>
      <c r="CS40" s="268">
        <f t="shared" si="79"/>
        <v>1.119521992002908</v>
      </c>
      <c r="CT40" s="68">
        <f t="shared" si="55"/>
        <v>111200</v>
      </c>
      <c r="CU40" s="13">
        <f>SUMIFS(SALIDAS_BIT,FECHA_BIT,"&gt;="&amp;CU$2,FECHA_BIT,"&lt;="&amp;CU$3,CLAVE_BIT,$A40)+SUMIFS(SALIDAS_BOV1,FECHA_BOV1,"&gt;="&amp;CU$2,FECHA_BOV1,"&lt;="&amp;CU$3,CLAVE_BOV1,$A40)+SUMIFS(SALIDAS_BOV2,FECHA_BOV2,"&gt;="&amp;CU$2,FECHA_BOV2,"&lt;="&amp;CU$3,CLAVE_BOV2,$A40)+SUMIFS(SALIDAS_BOV3,FECHA_BOV3,"&gt;="&amp;CU$2,FECHA_BOV3,"&lt;="&amp;CU$3,CLAVE_BOV3,$A40)+SUMIFS(SALIDAS_TC,FECHA_TC,"&gt;="&amp;CU$2,FECHA_TC,"&lt;="&amp;CU$3,CLAVE_TC,$A40)+SUMIFS(SALIDAS_COMB,FECHA_COMB,"&gt;="&amp;CU$2,FECHA_COMB,"&lt;="&amp;CU$3,CLAVE_COMB,$A40)+SUMIFS(SALIDAS_DES,FECHA_DESGLOSEN,"&gt;="&amp;CU$2,FECHA_DESGLOSEN,"&lt;="&amp;CU$3,CLAVE_DESGLOSE,$A40)</f>
        <v>22110</v>
      </c>
      <c r="CV40" s="13">
        <f>SUMIFS(SALIDAS_BIT,FECHA_BIT,"&gt;="&amp;CV$2,FECHA_BIT,"&lt;="&amp;CV$3,CLAVE_BIT,$A40)+SUMIFS(SALIDAS_BOV1,FECHA_BOV1,"&gt;="&amp;CV$2,FECHA_BOV1,"&lt;="&amp;CV$3,CLAVE_BOV1,$A40)+SUMIFS(SALIDAS_BOV2,FECHA_BOV2,"&gt;="&amp;CV$2,FECHA_BOV2,"&lt;="&amp;CV$3,CLAVE_BOV2,$A40)+SUMIFS(SALIDAS_BOV3,FECHA_BOV3,"&gt;="&amp;CV$2,FECHA_BOV3,"&lt;="&amp;CV$3,CLAVE_BOV3,$A40)+SUMIFS(SALIDAS_TC,FECHA_TC,"&gt;="&amp;CV$2,FECHA_TC,"&lt;="&amp;CV$3,CLAVE_TC,$A40)+SUMIFS(SALIDAS_COMB,FECHA_COMB,"&gt;="&amp;CV$2,FECHA_COMB,"&lt;="&amp;CV$3,CLAVE_COMB,$A40)+SUMIFS(SALIDAS_DES,FECHA_DESGLOSEN,"&gt;="&amp;CV$2,FECHA_DESGLOSEN,"&lt;="&amp;CV$3,CLAVE_DESGLOSE,$A40)</f>
        <v>22310</v>
      </c>
      <c r="CW40" s="13">
        <f>SUMIFS(SALIDAS_BIT,FECHA_BIT,"&gt;="&amp;CW$2,FECHA_BIT,"&lt;="&amp;CW$3,CLAVE_BIT,$A40)+SUMIFS(SALIDAS_BOV1,FECHA_BOV1,"&gt;="&amp;CW$2,FECHA_BOV1,"&lt;="&amp;CW$3,CLAVE_BOV1,$A40)+SUMIFS(SALIDAS_BOV2,FECHA_BOV2,"&gt;="&amp;CW$2,FECHA_BOV2,"&lt;="&amp;CW$3,CLAVE_BOV2,$A40)+SUMIFS(SALIDAS_BOV3,FECHA_BOV3,"&gt;="&amp;CW$2,FECHA_BOV3,"&lt;="&amp;CW$3,CLAVE_BOV3,$A40)+SUMIFS(SALIDAS_TC,FECHA_TC,"&gt;="&amp;CW$2,FECHA_TC,"&lt;="&amp;CW$3,CLAVE_TC,$A40)+SUMIFS(SALIDAS_COMB,FECHA_COMB,"&gt;="&amp;CW$2,FECHA_COMB,"&lt;="&amp;CW$3,CLAVE_COMB,$A40)+SUMIFS(SALIDAS_DES,FECHA_DESGLOSEN,"&gt;="&amp;CW$2,FECHA_DESGLOSEN,"&lt;="&amp;CW$3,CLAVE_DESGLOSE,$A40)</f>
        <v>24126.2</v>
      </c>
      <c r="CX40" s="13">
        <f>SUMIFS(SALIDAS_BIT,FECHA_BIT,"&gt;="&amp;CX$2,FECHA_BIT,"&lt;="&amp;CX$3,CLAVE_BIT,$A40)+SUMIFS(SALIDAS_BOV1,FECHA_BOV1,"&gt;="&amp;CX$2,FECHA_BOV1,"&lt;="&amp;CX$3,CLAVE_BOV1,$A40)+SUMIFS(SALIDAS_BOV2,FECHA_BOV2,"&gt;="&amp;CX$2,FECHA_BOV2,"&lt;="&amp;CX$3,CLAVE_BOV2,$A40)+SUMIFS(SALIDAS_BOV3,FECHA_BOV3,"&gt;="&amp;CX$2,FECHA_BOV3,"&lt;="&amp;CX$3,CLAVE_BOV3,$A40)+SUMIFS(SALIDAS_TC,FECHA_TC,"&gt;="&amp;CX$2,FECHA_TC,"&lt;="&amp;CX$3,CLAVE_TC,$A40)+SUMIFS(SALIDAS_COMB,FECHA_COMB,"&gt;="&amp;CX$2,FECHA_COMB,"&lt;="&amp;CX$3,CLAVE_COMB,$A40)+SUMIFS(SALIDAS_DES,FECHA_DESGLOSEN,"&gt;="&amp;CX$2,FECHA_DESGLOSEN,"&lt;="&amp;CX$3,CLAVE_DESGLOSE,$A40)</f>
        <v>23067.61</v>
      </c>
      <c r="CY40" s="13">
        <f>SUMIFS(SALIDAS_BIT,FECHA_BIT,"&gt;="&amp;CY$2,FECHA_BIT,"&lt;="&amp;CY$3,CLAVE_BIT,$A40)+SUMIFS(SALIDAS_BOV1,FECHA_BOV1,"&gt;="&amp;CY$2,FECHA_BOV1,"&lt;="&amp;CY$3,CLAVE_BOV1,$A40)+SUMIFS(SALIDAS_BOV2,FECHA_BOV2,"&gt;="&amp;CY$2,FECHA_BOV2,"&lt;="&amp;CY$3,CLAVE_BOV2,$A40)+SUMIFS(SALIDAS_BOV3,FECHA_BOV3,"&gt;="&amp;CY$2,FECHA_BOV3,"&lt;="&amp;CY$3,CLAVE_BOV3,$A40)+SUMIFS(SALIDAS_TC,FECHA_TC,"&gt;="&amp;CY$2,FECHA_TC,"&lt;="&amp;CY$3,CLAVE_TC,$A40)+SUMIFS(SALIDAS_COMB,FECHA_COMB,"&gt;="&amp;CY$2,FECHA_COMB,"&lt;="&amp;CY$3,CLAVE_COMB,$A40)+SUMIFS(SALIDAS_DES,FECHA_DESGLOSEN,"&gt;="&amp;CY$2,FECHA_DESGLOSEN,"&lt;="&amp;CY$3,CLAVE_DESGLOSE,$A40)</f>
        <v>91613.81</v>
      </c>
      <c r="CZ40" s="68">
        <f t="shared" si="80"/>
        <v>19586.190000000002</v>
      </c>
      <c r="DB40" s="17">
        <f>F40+N40+W40+AE40+AM40+AV40+BD40+BL40+BU40+CC40+CK40</f>
        <v>1056384</v>
      </c>
      <c r="DC40" s="17">
        <f>K40+T40+AB40+AJ40+AS40+BA40+BI40+BR40+BZ40+CH40+CQ40</f>
        <v>1049572.3999999999</v>
      </c>
    </row>
    <row r="41" spans="1:107" hidden="1">
      <c r="A41" s="12" t="str">
        <f t="shared" si="57"/>
        <v>SERVICIOSNOMINA ADMONSISTEMAS</v>
      </c>
      <c r="B41" s="12">
        <v>35</v>
      </c>
      <c r="C41" t="s">
        <v>21</v>
      </c>
      <c r="D41" s="14" t="s">
        <v>147</v>
      </c>
      <c r="E41" s="14" t="s">
        <v>36</v>
      </c>
      <c r="F41" s="259">
        <f t="shared" si="58"/>
        <v>44604</v>
      </c>
      <c r="G41" s="13">
        <f t="shared" si="102"/>
        <v>11291.15</v>
      </c>
      <c r="H41" s="13">
        <f t="shared" si="102"/>
        <v>11200.15</v>
      </c>
      <c r="I41" s="13">
        <f t="shared" si="102"/>
        <v>13080.15</v>
      </c>
      <c r="J41" s="13">
        <f t="shared" si="102"/>
        <v>10325.950000000001</v>
      </c>
      <c r="K41" s="13">
        <f t="shared" si="102"/>
        <v>45897.399999999994</v>
      </c>
      <c r="L41" s="68">
        <f t="shared" si="59"/>
        <v>-1293.3999999999942</v>
      </c>
      <c r="M41" s="268">
        <f t="shared" si="60"/>
        <v>1.0289973993363823</v>
      </c>
      <c r="N41" s="13">
        <f t="shared" si="36"/>
        <v>55755</v>
      </c>
      <c r="O41" s="13">
        <f t="shared" si="103"/>
        <v>12177.75</v>
      </c>
      <c r="P41" s="13">
        <f t="shared" si="103"/>
        <v>10147.49</v>
      </c>
      <c r="Q41" s="13">
        <f t="shared" si="103"/>
        <v>12968.69</v>
      </c>
      <c r="R41" s="13">
        <f t="shared" si="103"/>
        <v>10147.49</v>
      </c>
      <c r="S41" s="13">
        <f t="shared" si="103"/>
        <v>11670.29</v>
      </c>
      <c r="T41" s="13">
        <f t="shared" si="103"/>
        <v>57111.71</v>
      </c>
      <c r="U41" s="68">
        <f t="shared" si="61"/>
        <v>-1356.7099999999991</v>
      </c>
      <c r="V41" s="268">
        <f t="shared" si="62"/>
        <v>1.0243334230113892</v>
      </c>
      <c r="W41" s="13">
        <f t="shared" si="38"/>
        <v>44604</v>
      </c>
      <c r="X41" s="13">
        <f t="shared" si="104"/>
        <v>13371.69</v>
      </c>
      <c r="Y41" s="13">
        <f t="shared" si="104"/>
        <v>10147.49</v>
      </c>
      <c r="Z41" s="13">
        <f t="shared" si="104"/>
        <v>8451.49</v>
      </c>
      <c r="AA41" s="13">
        <f t="shared" si="104"/>
        <v>7772.09</v>
      </c>
      <c r="AB41" s="13">
        <f t="shared" si="104"/>
        <v>39742.759999999995</v>
      </c>
      <c r="AC41" s="68">
        <f t="shared" si="63"/>
        <v>4861.2400000000052</v>
      </c>
      <c r="AD41" s="268">
        <f t="shared" si="64"/>
        <v>0.89101336203031112</v>
      </c>
      <c r="AE41" s="13">
        <f t="shared" si="40"/>
        <v>44604</v>
      </c>
      <c r="AF41" s="13">
        <f t="shared" si="105"/>
        <v>7917.27</v>
      </c>
      <c r="AG41" s="13">
        <f t="shared" si="105"/>
        <v>10719.51</v>
      </c>
      <c r="AH41" s="13">
        <f t="shared" si="105"/>
        <v>7646.89</v>
      </c>
      <c r="AI41" s="13">
        <f t="shared" si="105"/>
        <v>11308</v>
      </c>
      <c r="AJ41" s="13">
        <f t="shared" si="105"/>
        <v>37591.67</v>
      </c>
      <c r="AK41" s="68">
        <f t="shared" si="65"/>
        <v>7012.3300000000017</v>
      </c>
      <c r="AL41" s="268">
        <f t="shared" si="66"/>
        <v>0.84278696977849521</v>
      </c>
      <c r="AM41" s="13">
        <f t="shared" si="42"/>
        <v>55755</v>
      </c>
      <c r="AN41" s="13">
        <f t="shared" si="106"/>
        <v>10146.290000000001</v>
      </c>
      <c r="AO41" s="13">
        <f t="shared" si="106"/>
        <v>10146.09</v>
      </c>
      <c r="AP41" s="13">
        <f t="shared" si="106"/>
        <v>10146.09</v>
      </c>
      <c r="AQ41" s="13">
        <f t="shared" si="106"/>
        <v>11131.09</v>
      </c>
      <c r="AR41" s="13">
        <f t="shared" si="106"/>
        <v>10156.09</v>
      </c>
      <c r="AS41" s="13">
        <f t="shared" si="106"/>
        <v>51725.649999999994</v>
      </c>
      <c r="AT41" s="68">
        <f>AM41-AS41</f>
        <v>4029.3500000000058</v>
      </c>
      <c r="AU41" s="268">
        <f t="shared" si="67"/>
        <v>0.9277311451887722</v>
      </c>
      <c r="AV41" s="13">
        <f t="shared" si="44"/>
        <v>44604</v>
      </c>
      <c r="AW41" s="13">
        <f>SUMIFS(SALIDAS_BIT,FECHA_BIT,"&gt;="&amp;AW$2,FECHA_BIT,"&lt;="&amp;AW$3,CLAVE_BIT,$A41)+SUMIFS(SALIDAS_BOV1,FECHA_BOV1,"&gt;="&amp;AW$2,FECHA_BOV1,"&lt;="&amp;AW$3,CLAVE_BOV1,$A41)+SUMIFS(SALIDAS_BOV2,FECHA_BOV2,"&gt;="&amp;AW$2,FECHA_BOV2,"&lt;="&amp;AW$3,CLAVE_BOV2,$A41)+SUMIFS(SALIDAS_BOV3,FECHA_BOV3,"&gt;="&amp;AW$2,FECHA_BOV3,"&lt;="&amp;AW$3,CLAVE_BOV3,$A41)+SUMIFS(SALIDAS_TC,FECHA_TC,"&gt;="&amp;AW$2,FECHA_TC,"&lt;="&amp;AW$3,CLAVE_TC,$A41)+SUMIFS(SALIDAS_COMB,FECHA_COMB,"&gt;="&amp;AW$2,FECHA_COMB,"&lt;="&amp;AW$3,CLAVE_COMB,$A41)+SUMIFS(SALIDAS_DES,FECHA_DESGLOSEN,"&gt;="&amp;AW$2,FECHA_DESGLOSEN,"&lt;="&amp;AW$3,CLAVE_DESGLOSE,$A41)</f>
        <v>10156.09</v>
      </c>
      <c r="AX41" s="13">
        <f>SUMIFS(SALIDAS_BIT,FECHA_BIT,"&gt;="&amp;AX$2,FECHA_BIT,"&lt;="&amp;AX$3,CLAVE_BIT,$A41)+SUMIFS(SALIDAS_BOV1,FECHA_BOV1,"&gt;="&amp;AX$2,FECHA_BOV1,"&lt;="&amp;AX$3,CLAVE_BOV1,$A41)+SUMIFS(SALIDAS_BOV2,FECHA_BOV2,"&gt;="&amp;AX$2,FECHA_BOV2,"&lt;="&amp;AX$3,CLAVE_BOV2,$A41)+SUMIFS(SALIDAS_BOV3,FECHA_BOV3,"&gt;="&amp;AX$2,FECHA_BOV3,"&lt;="&amp;AX$3,CLAVE_BOV3,$A41)+SUMIFS(SALIDAS_TC,FECHA_TC,"&gt;="&amp;AX$2,FECHA_TC,"&lt;="&amp;AX$3,CLAVE_TC,$A41)+SUMIFS(SALIDAS_COMB,FECHA_COMB,"&gt;="&amp;AX$2,FECHA_COMB,"&lt;="&amp;AX$3,CLAVE_COMB,$A41)+SUMIFS(SALIDAS_DES,FECHA_DESGLOSEN,"&gt;="&amp;AX$2,FECHA_DESGLOSEN,"&lt;="&amp;AX$3,CLAVE_DESGLOSE,$A41)</f>
        <v>8837.89</v>
      </c>
      <c r="AY41" s="13">
        <f>SUMIFS(SALIDAS_BIT,FECHA_BIT,"&gt;="&amp;AY$2,FECHA_BIT,"&lt;="&amp;AY$3,CLAVE_BIT,$A41)+SUMIFS(SALIDAS_BOV1,FECHA_BOV1,"&gt;="&amp;AY$2,FECHA_BOV1,"&lt;="&amp;AY$3,CLAVE_BOV1,$A41)+SUMIFS(SALIDAS_BOV2,FECHA_BOV2,"&gt;="&amp;AY$2,FECHA_BOV2,"&lt;="&amp;AY$3,CLAVE_BOV2,$A41)+SUMIFS(SALIDAS_BOV3,FECHA_BOV3,"&gt;="&amp;AY$2,FECHA_BOV3,"&lt;="&amp;AY$3,CLAVE_BOV3,$A41)+SUMIFS(SALIDAS_TC,FECHA_TC,"&gt;="&amp;AY$2,FECHA_TC,"&lt;="&amp;AY$3,CLAVE_TC,$A41)+SUMIFS(SALIDAS_COMB,FECHA_COMB,"&gt;="&amp;AY$2,FECHA_COMB,"&lt;="&amp;AY$3,CLAVE_COMB,$A41)+SUMIFS(SALIDAS_DES,FECHA_DESGLOSEN,"&gt;="&amp;AY$2,FECHA_DESGLOSEN,"&lt;="&amp;AY$3,CLAVE_DESGLOSE,$A41)</f>
        <v>8377.69</v>
      </c>
      <c r="AZ41" s="13">
        <f>SUMIFS(SALIDAS_BIT,FECHA_BIT,"&gt;="&amp;AZ$2,FECHA_BIT,"&lt;="&amp;AZ$3,CLAVE_BIT,$A41)+SUMIFS(SALIDAS_BOV1,FECHA_BOV1,"&gt;="&amp;AZ$2,FECHA_BOV1,"&lt;="&amp;AZ$3,CLAVE_BOV1,$A41)+SUMIFS(SALIDAS_BOV2,FECHA_BOV2,"&gt;="&amp;AZ$2,FECHA_BOV2,"&lt;="&amp;AZ$3,CLAVE_BOV2,$A41)+SUMIFS(SALIDAS_BOV3,FECHA_BOV3,"&gt;="&amp;AZ$2,FECHA_BOV3,"&lt;="&amp;AZ$3,CLAVE_BOV3,$A41)+SUMIFS(SALIDAS_TC,FECHA_TC,"&gt;="&amp;AZ$2,FECHA_TC,"&lt;="&amp;AZ$3,CLAVE_TC,$A41)+SUMIFS(SALIDAS_COMB,FECHA_COMB,"&gt;="&amp;AZ$2,FECHA_COMB,"&lt;="&amp;AZ$3,CLAVE_COMB,$A41)+SUMIFS(SALIDAS_DES,FECHA_DESGLOSEN,"&gt;="&amp;AZ$2,FECHA_DESGLOSEN,"&lt;="&amp;AZ$3,CLAVE_DESGLOSE,$A41)</f>
        <v>10156.49</v>
      </c>
      <c r="BA41" s="13">
        <f t="shared" si="98"/>
        <v>37528.159999999996</v>
      </c>
      <c r="BB41" s="68">
        <f t="shared" si="68"/>
        <v>7075.8400000000038</v>
      </c>
      <c r="BC41" s="268">
        <f t="shared" si="69"/>
        <v>0.84136310644785217</v>
      </c>
      <c r="BD41" s="13">
        <f t="shared" si="46"/>
        <v>44604</v>
      </c>
      <c r="BE41" s="13">
        <f>SUMIFS(SALIDAS_BIT,FECHA_BIT,"&gt;="&amp;BE$2,FECHA_BIT,"&lt;="&amp;BE$3,CLAVE_BIT,$A41)+SUMIFS(SALIDAS_BOV1,FECHA_BOV1,"&gt;="&amp;BE$2,FECHA_BOV1,"&lt;="&amp;BE$3,CLAVE_BOV1,$A41)+SUMIFS(SALIDAS_BOV2,FECHA_BOV2,"&gt;="&amp;BE$2,FECHA_BOV2,"&lt;="&amp;BE$3,CLAVE_BOV2,$A41)+SUMIFS(SALIDAS_BOV3,FECHA_BOV3,"&gt;="&amp;BE$2,FECHA_BOV3,"&lt;="&amp;BE$3,CLAVE_BOV3,$A41)+SUMIFS(SALIDAS_TC,FECHA_TC,"&gt;="&amp;BE$2,FECHA_TC,"&lt;="&amp;BE$3,CLAVE_TC,$A41)+SUMIFS(SALIDAS_COMB,FECHA_COMB,"&gt;="&amp;BE$2,FECHA_COMB,"&lt;="&amp;BE$3,CLAVE_COMB,$A41)+SUMIFS(SALIDAS_DES,FECHA_DESGLOSEN,"&gt;="&amp;BE$2,FECHA_DESGLOSEN,"&lt;="&amp;BE$3,CLAVE_DESGLOSE,$A41)</f>
        <v>10157.09</v>
      </c>
      <c r="BF41" s="13">
        <f>SUMIFS(SALIDAS_BIT,FECHA_BIT,"&gt;="&amp;BF$2,FECHA_BIT,"&lt;="&amp;BF$3,CLAVE_BIT,$A41)+SUMIFS(SALIDAS_BOV1,FECHA_BOV1,"&gt;="&amp;BF$2,FECHA_BOV1,"&lt;="&amp;BF$3,CLAVE_BOV1,$A41)+SUMIFS(SALIDAS_BOV2,FECHA_BOV2,"&gt;="&amp;BF$2,FECHA_BOV2,"&lt;="&amp;BF$3,CLAVE_BOV2,$A41)+SUMIFS(SALIDAS_BOV3,FECHA_BOV3,"&gt;="&amp;BF$2,FECHA_BOV3,"&lt;="&amp;BF$3,CLAVE_BOV3,$A41)+SUMIFS(SALIDAS_TC,FECHA_TC,"&gt;="&amp;BF$2,FECHA_TC,"&lt;="&amp;BF$3,CLAVE_TC,$A41)+SUMIFS(SALIDAS_COMB,FECHA_COMB,"&gt;="&amp;BF$2,FECHA_COMB,"&lt;="&amp;BF$3,CLAVE_COMB,$A41)+SUMIFS(SALIDAS_DES,FECHA_DESGLOSEN,"&gt;="&amp;BF$2,FECHA_DESGLOSEN,"&lt;="&amp;BF$3,CLAVE_DESGLOSE,$A41)</f>
        <v>11586.09</v>
      </c>
      <c r="BG41" s="13">
        <f>SUMIFS(SALIDAS_BIT,FECHA_BIT,"&gt;="&amp;BG$2,FECHA_BIT,"&lt;="&amp;BG$3,CLAVE_BIT,$A41)+SUMIFS(SALIDAS_BOV1,FECHA_BOV1,"&gt;="&amp;BG$2,FECHA_BOV1,"&lt;="&amp;BG$3,CLAVE_BOV1,$A41)+SUMIFS(SALIDAS_BOV2,FECHA_BOV2,"&gt;="&amp;BG$2,FECHA_BOV2,"&lt;="&amp;BG$3,CLAVE_BOV2,$A41)+SUMIFS(SALIDAS_BOV3,FECHA_BOV3,"&gt;="&amp;BG$2,FECHA_BOV3,"&lt;="&amp;BG$3,CLAVE_BOV3,$A41)+SUMIFS(SALIDAS_TC,FECHA_TC,"&gt;="&amp;BG$2,FECHA_TC,"&lt;="&amp;BG$3,CLAVE_TC,$A41)+SUMIFS(SALIDAS_COMB,FECHA_COMB,"&gt;="&amp;BG$2,FECHA_COMB,"&lt;="&amp;BG$3,CLAVE_COMB,$A41)+SUMIFS(SALIDAS_DES,FECHA_DESGLOSEN,"&gt;="&amp;BG$2,FECHA_DESGLOSEN,"&lt;="&amp;BG$3,CLAVE_DESGLOSE,$A41)</f>
        <v>14408.69</v>
      </c>
      <c r="BH41" s="13">
        <f>SUMIFS(SALIDAS_BIT,FECHA_BIT,"&gt;="&amp;BH$2,FECHA_BIT,"&lt;="&amp;BH$3,CLAVE_BIT,$A41)+SUMIFS(SALIDAS_BOV1,FECHA_BOV1,"&gt;="&amp;BH$2,FECHA_BOV1,"&lt;="&amp;BH$3,CLAVE_BOV1,$A41)+SUMIFS(SALIDAS_BOV2,FECHA_BOV2,"&gt;="&amp;BH$2,FECHA_BOV2,"&lt;="&amp;BH$3,CLAVE_BOV2,$A41)+SUMIFS(SALIDAS_BOV3,FECHA_BOV3,"&gt;="&amp;BH$2,FECHA_BOV3,"&lt;="&amp;BH$3,CLAVE_BOV3,$A41)+SUMIFS(SALIDAS_TC,FECHA_TC,"&gt;="&amp;BH$2,FECHA_TC,"&lt;="&amp;BH$3,CLAVE_TC,$A41)+SUMIFS(SALIDAS_COMB,FECHA_COMB,"&gt;="&amp;BH$2,FECHA_COMB,"&lt;="&amp;BH$3,CLAVE_COMB,$A41)+SUMIFS(SALIDAS_DES,FECHA_DESGLOSEN,"&gt;="&amp;BH$2,FECHA_DESGLOSEN,"&lt;="&amp;BH$3,CLAVE_DESGLOSE,$A41)</f>
        <v>13349</v>
      </c>
      <c r="BI41" s="13">
        <f>SUMIFS(SALIDAS_BIT,FECHA_BIT,"&gt;="&amp;BI$2,FECHA_BIT,"&lt;="&amp;BI$3,CLAVE_BIT,$A41)+SUMIFS(SALIDAS_BOV1,FECHA_BOV1,"&gt;="&amp;BI$2,FECHA_BOV1,"&lt;="&amp;BI$3,CLAVE_BOV1,$A41)+SUMIFS(SALIDAS_BOV2,FECHA_BOV2,"&gt;="&amp;BI$2,FECHA_BOV2,"&lt;="&amp;BI$3,CLAVE_BOV2,$A41)+SUMIFS(SALIDAS_BOV3,FECHA_BOV3,"&gt;="&amp;BI$2,FECHA_BOV3,"&lt;="&amp;BI$3,CLAVE_BOV3,$A41)+SUMIFS(SALIDAS_TC,FECHA_TC,"&gt;="&amp;BI$2,FECHA_TC,"&lt;="&amp;BI$3,CLAVE_TC,$A41)+SUMIFS(SALIDAS_COMB,FECHA_COMB,"&gt;="&amp;BI$2,FECHA_COMB,"&lt;="&amp;BI$3,CLAVE_COMB,$A41)+SUMIFS(SALIDAS_DES,FECHA_DESGLOSEN,"&gt;="&amp;BI$2,FECHA_DESGLOSEN,"&lt;="&amp;BI$3,CLAVE_DESGLOSE,$A41)</f>
        <v>49500.87</v>
      </c>
      <c r="BJ41" s="68">
        <f t="shared" si="70"/>
        <v>-4896.8700000000026</v>
      </c>
      <c r="BK41" s="268">
        <f t="shared" si="71"/>
        <v>1.109785445251547</v>
      </c>
      <c r="BL41" s="13">
        <f t="shared" si="47"/>
        <v>55755</v>
      </c>
      <c r="BM41" s="13">
        <f>SUMIFS(SALIDAS_BIT,FECHA_BIT,"&gt;="&amp;BM$2,FECHA_BIT,"&lt;="&amp;BM$3,CLAVE_BIT,$A41)+SUMIFS(SALIDAS_BOV1,FECHA_BOV1,"&gt;="&amp;BM$2,FECHA_BOV1,"&lt;="&amp;BM$3,CLAVE_BOV1,$A41)+SUMIFS(SALIDAS_BOV2,FECHA_BOV2,"&gt;="&amp;BM$2,FECHA_BOV2,"&lt;="&amp;BM$3,CLAVE_BOV2,$A41)+SUMIFS(SALIDAS_BOV3,FECHA_BOV3,"&gt;="&amp;BM$2,FECHA_BOV3,"&lt;="&amp;BM$3,CLAVE_BOV3,$A41)+SUMIFS(SALIDAS_TC,FECHA_TC,"&gt;="&amp;BM$2,FECHA_TC,"&lt;="&amp;BM$3,CLAVE_TC,$A41)+SUMIFS(SALIDAS_COMB,FECHA_COMB,"&gt;="&amp;BM$2,FECHA_COMB,"&lt;="&amp;BM$3,CLAVE_COMB,$A41)+SUMIFS(SALIDAS_DES,FECHA_DESGLOSEN,"&gt;="&amp;BM$2,FECHA_DESGLOSEN,"&lt;="&amp;BM$3,CLAVE_DESGLOSE,$A41)</f>
        <v>11678.49</v>
      </c>
      <c r="BN41" s="13">
        <f>SUMIFS(SALIDAS_BIT,FECHA_BIT,"&gt;="&amp;BN$2,FECHA_BIT,"&lt;="&amp;BN$3,CLAVE_BIT,$A41)+SUMIFS(SALIDAS_BOV1,FECHA_BOV1,"&gt;="&amp;BN$2,FECHA_BOV1,"&lt;="&amp;BN$3,CLAVE_BOV1,$A41)+SUMIFS(SALIDAS_BOV2,FECHA_BOV2,"&gt;="&amp;BN$2,FECHA_BOV2,"&lt;="&amp;BN$3,CLAVE_BOV2,$A41)+SUMIFS(SALIDAS_BOV3,FECHA_BOV3,"&gt;="&amp;BN$2,FECHA_BOV3,"&lt;="&amp;BN$3,CLAVE_BOV3,$A41)+SUMIFS(SALIDAS_TC,FECHA_TC,"&gt;="&amp;BN$2,FECHA_TC,"&lt;="&amp;BN$3,CLAVE_TC,$A41)+SUMIFS(SALIDAS_COMB,FECHA_COMB,"&gt;="&amp;BN$2,FECHA_COMB,"&lt;="&amp;BN$3,CLAVE_COMB,$A41)+SUMIFS(SALIDAS_DES,FECHA_DESGLOSEN,"&gt;="&amp;BN$2,FECHA_DESGLOSEN,"&lt;="&amp;BN$3,CLAVE_DESGLOSE,$A41)</f>
        <v>11669.09</v>
      </c>
      <c r="BO41" s="13">
        <f>SUMIFS(SALIDAS_BIT,FECHA_BIT,"&gt;="&amp;BO$2,FECHA_BIT,"&lt;="&amp;BO$3,CLAVE_BIT,$A41)+SUMIFS(SALIDAS_BOV1,FECHA_BOV1,"&gt;="&amp;BO$2,FECHA_BOV1,"&lt;="&amp;BO$3,CLAVE_BOV1,$A41)+SUMIFS(SALIDAS_BOV2,FECHA_BOV2,"&gt;="&amp;BO$2,FECHA_BOV2,"&lt;="&amp;BO$3,CLAVE_BOV2,$A41)+SUMIFS(SALIDAS_BOV3,FECHA_BOV3,"&gt;="&amp;BO$2,FECHA_BOV3,"&lt;="&amp;BO$3,CLAVE_BOV3,$A41)+SUMIFS(SALIDAS_TC,FECHA_TC,"&gt;="&amp;BO$2,FECHA_TC,"&lt;="&amp;BO$3,CLAVE_TC,$A41)+SUMIFS(SALIDAS_COMB,FECHA_COMB,"&gt;="&amp;BO$2,FECHA_COMB,"&lt;="&amp;BO$3,CLAVE_COMB,$A41)+SUMIFS(SALIDAS_DES,FECHA_DESGLOSEN,"&gt;="&amp;BO$2,FECHA_DESGLOSEN,"&lt;="&amp;BO$3,CLAVE_DESGLOSE,$A41)</f>
        <v>13768.29</v>
      </c>
      <c r="BP41" s="13">
        <f>SUMIFS(SALIDAS_BIT,FECHA_BIT,"&gt;="&amp;BP$2,FECHA_BIT,"&lt;="&amp;BP$3,CLAVE_BIT,$A41)+SUMIFS(SALIDAS_BOV1,FECHA_BOV1,"&gt;="&amp;BP$2,FECHA_BOV1,"&lt;="&amp;BP$3,CLAVE_BOV1,$A41)+SUMIFS(SALIDAS_BOV2,FECHA_BOV2,"&gt;="&amp;BP$2,FECHA_BOV2,"&lt;="&amp;BP$3,CLAVE_BOV2,$A41)+SUMIFS(SALIDAS_BOV3,FECHA_BOV3,"&gt;="&amp;BP$2,FECHA_BOV3,"&lt;="&amp;BP$3,CLAVE_BOV3,$A41)+SUMIFS(SALIDAS_TC,FECHA_TC,"&gt;="&amp;BP$2,FECHA_TC,"&lt;="&amp;BP$3,CLAVE_TC,$A41)+SUMIFS(SALIDAS_COMB,FECHA_COMB,"&gt;="&amp;BP$2,FECHA_COMB,"&lt;="&amp;BP$3,CLAVE_COMB,$A41)+SUMIFS(SALIDAS_DES,FECHA_DESGLOSEN,"&gt;="&amp;BP$2,FECHA_DESGLOSEN,"&lt;="&amp;BP$3,CLAVE_DESGLOSE,$A41)</f>
        <v>11111.89</v>
      </c>
      <c r="BQ41" s="13">
        <f>SUMIFS(SALIDAS_BIT,FECHA_BIT,"&gt;="&amp;BQ$2,FECHA_BIT,"&lt;="&amp;BQ$3,CLAVE_BIT,$A41)+SUMIFS(SALIDAS_BOV1,FECHA_BOV1,"&gt;="&amp;BQ$2,FECHA_BOV1,"&lt;="&amp;BQ$3,CLAVE_BOV1,$A41)+SUMIFS(SALIDAS_BOV2,FECHA_BOV2,"&gt;="&amp;BQ$2,FECHA_BOV2,"&lt;="&amp;BQ$3,CLAVE_BOV2,$A41)+SUMIFS(SALIDAS_BOV3,FECHA_BOV3,"&gt;="&amp;BQ$2,FECHA_BOV3,"&lt;="&amp;BQ$3,CLAVE_BOV3,$A41)+SUMIFS(SALIDAS_TC,FECHA_TC,"&gt;="&amp;BQ$2,FECHA_TC,"&lt;="&amp;BQ$3,CLAVE_TC,$A41)+SUMIFS(SALIDAS_COMB,FECHA_COMB,"&gt;="&amp;BQ$2,FECHA_COMB,"&lt;="&amp;BQ$3,CLAVE_COMB,$A41)+SUMIFS(SALIDAS_DES,FECHA_DESGLOSEN,"&gt;="&amp;BQ$2,FECHA_DESGLOSEN,"&lt;="&amp;BQ$3,CLAVE_DESGLOSE,$A41)</f>
        <v>11109.89</v>
      </c>
      <c r="BR41" s="13">
        <f>SUMIFS(SALIDAS_BIT,FECHA_BIT,"&gt;="&amp;BR$2,FECHA_BIT,"&lt;="&amp;BR$3,CLAVE_BIT,$A41)+SUMIFS(SALIDAS_BOV1,FECHA_BOV1,"&gt;="&amp;BR$2,FECHA_BOV1,"&lt;="&amp;BR$3,CLAVE_BOV1,$A41)+SUMIFS(SALIDAS_BOV2,FECHA_BOV2,"&gt;="&amp;BR$2,FECHA_BOV2,"&lt;="&amp;BR$3,CLAVE_BOV2,$A41)+SUMIFS(SALIDAS_BOV3,FECHA_BOV3,"&gt;="&amp;BR$2,FECHA_BOV3,"&lt;="&amp;BR$3,CLAVE_BOV3,$A41)+SUMIFS(SALIDAS_TC,FECHA_TC,"&gt;="&amp;BR$2,FECHA_TC,"&lt;="&amp;BR$3,CLAVE_TC,$A41)+SUMIFS(SALIDAS_COMB,FECHA_COMB,"&gt;="&amp;BR$2,FECHA_COMB,"&lt;="&amp;BR$3,CLAVE_COMB,$A41)+SUMIFS(SALIDAS_DES,FECHA_DESGLOSEN,"&gt;="&amp;BR$2,FECHA_DESGLOSEN,"&lt;="&amp;BR$3,CLAVE_DESGLOSE,$A41)</f>
        <v>59337.65</v>
      </c>
      <c r="BS41" s="68">
        <f t="shared" si="72"/>
        <v>-3582.6500000000015</v>
      </c>
      <c r="BT41" s="268">
        <f t="shared" si="73"/>
        <v>1.0642570173078647</v>
      </c>
      <c r="BU41" s="13">
        <f t="shared" si="49"/>
        <v>44604</v>
      </c>
      <c r="BV41" s="13">
        <f t="shared" si="90"/>
        <v>11019.79</v>
      </c>
      <c r="BW41" s="13">
        <f t="shared" si="90"/>
        <v>11557.69</v>
      </c>
      <c r="BX41" s="13">
        <f t="shared" si="90"/>
        <v>10574.09</v>
      </c>
      <c r="BY41" s="13">
        <f t="shared" si="90"/>
        <v>11125.29</v>
      </c>
      <c r="BZ41" s="13">
        <f t="shared" si="108"/>
        <v>44276.860000000008</v>
      </c>
      <c r="CA41" s="68">
        <f t="shared" si="74"/>
        <v>327.13999999999214</v>
      </c>
      <c r="CB41" s="268">
        <f t="shared" si="75"/>
        <v>0.99266568020805324</v>
      </c>
      <c r="CC41" s="13">
        <f t="shared" si="51"/>
        <v>44604</v>
      </c>
      <c r="CD41" s="13">
        <f t="shared" si="91"/>
        <v>10774.49</v>
      </c>
      <c r="CE41" s="13">
        <f t="shared" si="91"/>
        <v>10215.09</v>
      </c>
      <c r="CF41" s="13">
        <f t="shared" si="91"/>
        <v>11607.89</v>
      </c>
      <c r="CG41" s="13">
        <f t="shared" si="91"/>
        <v>13917.29</v>
      </c>
      <c r="CH41" s="13">
        <f t="shared" si="109"/>
        <v>46514.76</v>
      </c>
      <c r="CI41" s="68">
        <f t="shared" si="76"/>
        <v>-1910.760000000002</v>
      </c>
      <c r="CJ41" s="268">
        <f t="shared" si="77"/>
        <v>1.0428383104654291</v>
      </c>
      <c r="CK41" s="13">
        <f t="shared" si="53"/>
        <v>55755</v>
      </c>
      <c r="CL41" s="13">
        <f t="shared" si="92"/>
        <v>10729.49</v>
      </c>
      <c r="CM41" s="13">
        <f t="shared" si="92"/>
        <v>13424.29</v>
      </c>
      <c r="CN41" s="13">
        <f t="shared" si="92"/>
        <v>12694.49</v>
      </c>
      <c r="CO41" s="13">
        <f t="shared" si="92"/>
        <v>19693.490000000002</v>
      </c>
      <c r="CP41" s="13">
        <f t="shared" si="92"/>
        <v>10375.09</v>
      </c>
      <c r="CQ41" s="13">
        <f t="shared" si="110"/>
        <v>66916.849999999991</v>
      </c>
      <c r="CR41" s="68">
        <f t="shared" si="78"/>
        <v>-11161.849999999991</v>
      </c>
      <c r="CS41" s="268">
        <f t="shared" si="79"/>
        <v>1.2001946013810418</v>
      </c>
      <c r="CT41" s="68">
        <f t="shared" si="55"/>
        <v>44604</v>
      </c>
      <c r="CU41" s="13">
        <f>SUMIFS(SALIDAS_BIT,FECHA_BIT,"&gt;="&amp;CU$2,FECHA_BIT,"&lt;="&amp;CU$3,CLAVE_BIT,$A41)+SUMIFS(SALIDAS_BOV1,FECHA_BOV1,"&gt;="&amp;CU$2,FECHA_BOV1,"&lt;="&amp;CU$3,CLAVE_BOV1,$A41)+SUMIFS(SALIDAS_BOV2,FECHA_BOV2,"&gt;="&amp;CU$2,FECHA_BOV2,"&lt;="&amp;CU$3,CLAVE_BOV2,$A41)+SUMIFS(SALIDAS_BOV3,FECHA_BOV3,"&gt;="&amp;CU$2,FECHA_BOV3,"&lt;="&amp;CU$3,CLAVE_BOV3,$A41)+SUMIFS(SALIDAS_TC,FECHA_TC,"&gt;="&amp;CU$2,FECHA_TC,"&lt;="&amp;CU$3,CLAVE_TC,$A41)+SUMIFS(SALIDAS_COMB,FECHA_COMB,"&gt;="&amp;CU$2,FECHA_COMB,"&lt;="&amp;CU$3,CLAVE_COMB,$A41)+SUMIFS(SALIDAS_DES,FECHA_DESGLOSEN,"&gt;="&amp;CU$2,FECHA_DESGLOSEN,"&lt;="&amp;CU$3,CLAVE_DESGLOSE,$A41)</f>
        <v>10450.09</v>
      </c>
      <c r="CV41" s="13">
        <f>SUMIFS(SALIDAS_BIT,FECHA_BIT,"&gt;="&amp;CV$2,FECHA_BIT,"&lt;="&amp;CV$3,CLAVE_BIT,$A41)+SUMIFS(SALIDAS_BOV1,FECHA_BOV1,"&gt;="&amp;CV$2,FECHA_BOV1,"&lt;="&amp;CV$3,CLAVE_BOV1,$A41)+SUMIFS(SALIDAS_BOV2,FECHA_BOV2,"&gt;="&amp;CV$2,FECHA_BOV2,"&lt;="&amp;CV$3,CLAVE_BOV2,$A41)+SUMIFS(SALIDAS_BOV3,FECHA_BOV3,"&gt;="&amp;CV$2,FECHA_BOV3,"&lt;="&amp;CV$3,CLAVE_BOV3,$A41)+SUMIFS(SALIDAS_TC,FECHA_TC,"&gt;="&amp;CV$2,FECHA_TC,"&lt;="&amp;CV$3,CLAVE_TC,$A41)+SUMIFS(SALIDAS_COMB,FECHA_COMB,"&gt;="&amp;CV$2,FECHA_COMB,"&lt;="&amp;CV$3,CLAVE_COMB,$A41)+SUMIFS(SALIDAS_DES,FECHA_DESGLOSEN,"&gt;="&amp;CV$2,FECHA_DESGLOSEN,"&lt;="&amp;CV$3,CLAVE_DESGLOSE,$A41)</f>
        <v>14816.09</v>
      </c>
      <c r="CW41" s="13">
        <f>SUMIFS(SALIDAS_BIT,FECHA_BIT,"&gt;="&amp;CW$2,FECHA_BIT,"&lt;="&amp;CW$3,CLAVE_BIT,$A41)+SUMIFS(SALIDAS_BOV1,FECHA_BOV1,"&gt;="&amp;CW$2,FECHA_BOV1,"&lt;="&amp;CW$3,CLAVE_BOV1,$A41)+SUMIFS(SALIDAS_BOV2,FECHA_BOV2,"&gt;="&amp;CW$2,FECHA_BOV2,"&lt;="&amp;CW$3,CLAVE_BOV2,$A41)+SUMIFS(SALIDAS_BOV3,FECHA_BOV3,"&gt;="&amp;CW$2,FECHA_BOV3,"&lt;="&amp;CW$3,CLAVE_BOV3,$A41)+SUMIFS(SALIDAS_TC,FECHA_TC,"&gt;="&amp;CW$2,FECHA_TC,"&lt;="&amp;CW$3,CLAVE_TC,$A41)+SUMIFS(SALIDAS_COMB,FECHA_COMB,"&gt;="&amp;CW$2,FECHA_COMB,"&lt;="&amp;CW$3,CLAVE_COMB,$A41)+SUMIFS(SALIDAS_DES,FECHA_DESGLOSEN,"&gt;="&amp;CW$2,FECHA_DESGLOSEN,"&lt;="&amp;CW$3,CLAVE_DESGLOSE,$A41)</f>
        <v>18246.099999999999</v>
      </c>
      <c r="CX41" s="13">
        <f>SUMIFS(SALIDAS_BIT,FECHA_BIT,"&gt;="&amp;CX$2,FECHA_BIT,"&lt;="&amp;CX$3,CLAVE_BIT,$A41)+SUMIFS(SALIDAS_BOV1,FECHA_BOV1,"&gt;="&amp;CX$2,FECHA_BOV1,"&lt;="&amp;CX$3,CLAVE_BOV1,$A41)+SUMIFS(SALIDAS_BOV2,FECHA_BOV2,"&gt;="&amp;CX$2,FECHA_BOV2,"&lt;="&amp;CX$3,CLAVE_BOV2,$A41)+SUMIFS(SALIDAS_BOV3,FECHA_BOV3,"&gt;="&amp;CX$2,FECHA_BOV3,"&lt;="&amp;CX$3,CLAVE_BOV3,$A41)+SUMIFS(SALIDAS_TC,FECHA_TC,"&gt;="&amp;CX$2,FECHA_TC,"&lt;="&amp;CX$3,CLAVE_TC,$A41)+SUMIFS(SALIDAS_COMB,FECHA_COMB,"&gt;="&amp;CX$2,FECHA_COMB,"&lt;="&amp;CX$3,CLAVE_COMB,$A41)+SUMIFS(SALIDAS_DES,FECHA_DESGLOSEN,"&gt;="&amp;CX$2,FECHA_DESGLOSEN,"&lt;="&amp;CX$3,CLAVE_DESGLOSE,$A41)</f>
        <v>10586.29</v>
      </c>
      <c r="CY41" s="13">
        <f>SUMIFS(SALIDAS_BIT,FECHA_BIT,"&gt;="&amp;CY$2,FECHA_BIT,"&lt;="&amp;CY$3,CLAVE_BIT,$A41)+SUMIFS(SALIDAS_BOV1,FECHA_BOV1,"&gt;="&amp;CY$2,FECHA_BOV1,"&lt;="&amp;CY$3,CLAVE_BOV1,$A41)+SUMIFS(SALIDAS_BOV2,FECHA_BOV2,"&gt;="&amp;CY$2,FECHA_BOV2,"&lt;="&amp;CY$3,CLAVE_BOV2,$A41)+SUMIFS(SALIDAS_BOV3,FECHA_BOV3,"&gt;="&amp;CY$2,FECHA_BOV3,"&lt;="&amp;CY$3,CLAVE_BOV3,$A41)+SUMIFS(SALIDAS_TC,FECHA_TC,"&gt;="&amp;CY$2,FECHA_TC,"&lt;="&amp;CY$3,CLAVE_TC,$A41)+SUMIFS(SALIDAS_COMB,FECHA_COMB,"&gt;="&amp;CY$2,FECHA_COMB,"&lt;="&amp;CY$3,CLAVE_COMB,$A41)+SUMIFS(SALIDAS_DES,FECHA_DESGLOSEN,"&gt;="&amp;CY$2,FECHA_DESGLOSEN,"&lt;="&amp;CY$3,CLAVE_DESGLOSE,$A41)</f>
        <v>54098.57</v>
      </c>
      <c r="CZ41" s="68">
        <f t="shared" si="80"/>
        <v>-9494.57</v>
      </c>
      <c r="DB41" s="17">
        <f>F41+N41+W41+AE41+AM41+AV41+BD41+BL41+BU41+CC41+CK41</f>
        <v>535248</v>
      </c>
      <c r="DC41" s="17">
        <f>K41+T41+AB41+AJ41+AS41+BA41+BI41+BR41+BZ41+CH41+CQ41</f>
        <v>536144.34</v>
      </c>
    </row>
    <row r="42" spans="1:107" hidden="1">
      <c r="A42" s="12" t="str">
        <f t="shared" si="57"/>
        <v>SERVICIOSNOMINA ADMONCOMPRAS</v>
      </c>
      <c r="B42" s="12">
        <v>36</v>
      </c>
      <c r="C42" t="s">
        <v>21</v>
      </c>
      <c r="D42" s="12" t="s">
        <v>147</v>
      </c>
      <c r="E42" s="12" t="s">
        <v>148</v>
      </c>
      <c r="F42" s="259">
        <f t="shared" si="58"/>
        <v>76000</v>
      </c>
      <c r="G42" s="13">
        <f t="shared" si="102"/>
        <v>21093.38</v>
      </c>
      <c r="H42" s="13">
        <f t="shared" si="102"/>
        <v>21094.18</v>
      </c>
      <c r="I42" s="13">
        <f t="shared" si="102"/>
        <v>21091.18</v>
      </c>
      <c r="J42" s="13">
        <f t="shared" si="102"/>
        <v>18293.169999999998</v>
      </c>
      <c r="K42" s="13">
        <f t="shared" si="102"/>
        <v>81571.91</v>
      </c>
      <c r="L42" s="68">
        <f t="shared" si="59"/>
        <v>-5571.9100000000035</v>
      </c>
      <c r="M42" s="268">
        <f t="shared" si="60"/>
        <v>1.0733146052631579</v>
      </c>
      <c r="N42" s="13">
        <f t="shared" si="36"/>
        <v>95000</v>
      </c>
      <c r="O42" s="13">
        <f t="shared" si="103"/>
        <v>20449.71</v>
      </c>
      <c r="P42" s="13">
        <f t="shared" si="103"/>
        <v>23523.51</v>
      </c>
      <c r="Q42" s="13">
        <f t="shared" si="103"/>
        <v>23524.11</v>
      </c>
      <c r="R42" s="13">
        <f t="shared" si="103"/>
        <v>23523.11</v>
      </c>
      <c r="S42" s="13">
        <f t="shared" si="103"/>
        <v>20796.310000000001</v>
      </c>
      <c r="T42" s="13">
        <f t="shared" si="103"/>
        <v>111816.75</v>
      </c>
      <c r="U42" s="68">
        <f t="shared" si="61"/>
        <v>-16816.75</v>
      </c>
      <c r="V42" s="268">
        <f t="shared" si="62"/>
        <v>1.1770184210526315</v>
      </c>
      <c r="W42" s="13">
        <f t="shared" si="38"/>
        <v>76000</v>
      </c>
      <c r="X42" s="13">
        <f t="shared" si="104"/>
        <v>20253.509999999998</v>
      </c>
      <c r="Y42" s="13">
        <f t="shared" si="104"/>
        <v>23470.11</v>
      </c>
      <c r="Z42" s="13">
        <f t="shared" si="104"/>
        <v>17167.509999999998</v>
      </c>
      <c r="AA42" s="13">
        <f t="shared" si="104"/>
        <v>16100.71</v>
      </c>
      <c r="AB42" s="13">
        <f t="shared" si="104"/>
        <v>76991.839999999997</v>
      </c>
      <c r="AC42" s="68">
        <f t="shared" si="63"/>
        <v>-991.83999999999651</v>
      </c>
      <c r="AD42" s="268">
        <f t="shared" si="64"/>
        <v>1.0130505263157894</v>
      </c>
      <c r="AE42" s="13">
        <f t="shared" si="40"/>
        <v>76000</v>
      </c>
      <c r="AF42" s="13">
        <f t="shared" si="105"/>
        <v>23593.31</v>
      </c>
      <c r="AG42" s="13">
        <f t="shared" si="105"/>
        <v>18338.11</v>
      </c>
      <c r="AH42" s="13">
        <f t="shared" si="105"/>
        <v>19188.310000000001</v>
      </c>
      <c r="AI42" s="13">
        <f t="shared" si="105"/>
        <v>40792.910000000003</v>
      </c>
      <c r="AJ42" s="13">
        <f t="shared" si="105"/>
        <v>101912.64</v>
      </c>
      <c r="AK42" s="68">
        <f t="shared" si="65"/>
        <v>-25912.639999999999</v>
      </c>
      <c r="AL42" s="268">
        <f t="shared" si="66"/>
        <v>1.3409557894736841</v>
      </c>
      <c r="AM42" s="13">
        <f t="shared" si="42"/>
        <v>95000</v>
      </c>
      <c r="AN42" s="13">
        <f t="shared" si="106"/>
        <v>20591.11</v>
      </c>
      <c r="AO42" s="13">
        <f t="shared" si="106"/>
        <v>20591.11</v>
      </c>
      <c r="AP42" s="13">
        <f t="shared" si="106"/>
        <v>20591.310000000001</v>
      </c>
      <c r="AQ42" s="13">
        <f t="shared" si="106"/>
        <v>20591.11</v>
      </c>
      <c r="AR42" s="13">
        <f t="shared" si="106"/>
        <v>20601.509999999998</v>
      </c>
      <c r="AS42" s="13">
        <f t="shared" si="106"/>
        <v>102966.15</v>
      </c>
      <c r="AT42" s="68">
        <f>AM42-AS42</f>
        <v>-7966.1499999999942</v>
      </c>
      <c r="AU42" s="268">
        <f t="shared" si="67"/>
        <v>1.0838542105263158</v>
      </c>
      <c r="AV42" s="13">
        <f t="shared" si="44"/>
        <v>76000</v>
      </c>
      <c r="AW42" s="13">
        <f>SUMIFS(SALIDAS_BIT,FECHA_BIT,"&gt;="&amp;AW$2,FECHA_BIT,"&lt;="&amp;AW$3,CLAVE_BIT,$A42)+SUMIFS(SALIDAS_BOV1,FECHA_BOV1,"&gt;="&amp;AW$2,FECHA_BOV1,"&lt;="&amp;AW$3,CLAVE_BOV1,$A42)+SUMIFS(SALIDAS_BOV2,FECHA_BOV2,"&gt;="&amp;AW$2,FECHA_BOV2,"&lt;="&amp;AW$3,CLAVE_BOV2,$A42)+SUMIFS(SALIDAS_BOV3,FECHA_BOV3,"&gt;="&amp;AW$2,FECHA_BOV3,"&lt;="&amp;AW$3,CLAVE_BOV3,$A42)+SUMIFS(SALIDAS_TC,FECHA_TC,"&gt;="&amp;AW$2,FECHA_TC,"&lt;="&amp;AW$3,CLAVE_TC,$A42)+SUMIFS(SALIDAS_COMB,FECHA_COMB,"&gt;="&amp;AW$2,FECHA_COMB,"&lt;="&amp;AW$3,CLAVE_COMB,$A42)+SUMIFS(SALIDAS_DES,FECHA_DESGLOSEN,"&gt;="&amp;AW$2,FECHA_DESGLOSEN,"&lt;="&amp;AW$3,CLAVE_DESGLOSE,$A42)</f>
        <v>19930.509999999998</v>
      </c>
      <c r="AX42" s="13">
        <f>SUMIFS(SALIDAS_BIT,FECHA_BIT,"&gt;="&amp;AX$2,FECHA_BIT,"&lt;="&amp;AX$3,CLAVE_BIT,$A42)+SUMIFS(SALIDAS_BOV1,FECHA_BOV1,"&gt;="&amp;AX$2,FECHA_BOV1,"&lt;="&amp;AX$3,CLAVE_BOV1,$A42)+SUMIFS(SALIDAS_BOV2,FECHA_BOV2,"&gt;="&amp;AX$2,FECHA_BOV2,"&lt;="&amp;AX$3,CLAVE_BOV2,$A42)+SUMIFS(SALIDAS_BOV3,FECHA_BOV3,"&gt;="&amp;AX$2,FECHA_BOV3,"&lt;="&amp;AX$3,CLAVE_BOV3,$A42)+SUMIFS(SALIDAS_TC,FECHA_TC,"&gt;="&amp;AX$2,FECHA_TC,"&lt;="&amp;AX$3,CLAVE_TC,$A42)+SUMIFS(SALIDAS_COMB,FECHA_COMB,"&gt;="&amp;AX$2,FECHA_COMB,"&lt;="&amp;AX$3,CLAVE_COMB,$A42)+SUMIFS(SALIDAS_DES,FECHA_DESGLOSEN,"&gt;="&amp;AX$2,FECHA_DESGLOSEN,"&lt;="&amp;AX$3,CLAVE_DESGLOSE,$A42)</f>
        <v>20598.509999999998</v>
      </c>
      <c r="AY42" s="13">
        <f>SUMIFS(SALIDAS_BIT,FECHA_BIT,"&gt;="&amp;AY$2,FECHA_BIT,"&lt;="&amp;AY$3,CLAVE_BIT,$A42)+SUMIFS(SALIDAS_BOV1,FECHA_BOV1,"&gt;="&amp;AY$2,FECHA_BOV1,"&lt;="&amp;AY$3,CLAVE_BOV1,$A42)+SUMIFS(SALIDAS_BOV2,FECHA_BOV2,"&gt;="&amp;AY$2,FECHA_BOV2,"&lt;="&amp;AY$3,CLAVE_BOV2,$A42)+SUMIFS(SALIDAS_BOV3,FECHA_BOV3,"&gt;="&amp;AY$2,FECHA_BOV3,"&lt;="&amp;AY$3,CLAVE_BOV3,$A42)+SUMIFS(SALIDAS_TC,FECHA_TC,"&gt;="&amp;AY$2,FECHA_TC,"&lt;="&amp;AY$3,CLAVE_TC,$A42)+SUMIFS(SALIDAS_COMB,FECHA_COMB,"&gt;="&amp;AY$2,FECHA_COMB,"&lt;="&amp;AY$3,CLAVE_COMB,$A42)+SUMIFS(SALIDAS_DES,FECHA_DESGLOSEN,"&gt;="&amp;AY$2,FECHA_DESGLOSEN,"&lt;="&amp;AY$3,CLAVE_DESGLOSE,$A42)</f>
        <v>20299.71</v>
      </c>
      <c r="AZ42" s="13">
        <f>SUMIFS(SALIDAS_BIT,FECHA_BIT,"&gt;="&amp;AZ$2,FECHA_BIT,"&lt;="&amp;AZ$3,CLAVE_BIT,$A42)+SUMIFS(SALIDAS_BOV1,FECHA_BOV1,"&gt;="&amp;AZ$2,FECHA_BOV1,"&lt;="&amp;AZ$3,CLAVE_BOV1,$A42)+SUMIFS(SALIDAS_BOV2,FECHA_BOV2,"&gt;="&amp;AZ$2,FECHA_BOV2,"&lt;="&amp;AZ$3,CLAVE_BOV2,$A42)+SUMIFS(SALIDAS_BOV3,FECHA_BOV3,"&gt;="&amp;AZ$2,FECHA_BOV3,"&lt;="&amp;AZ$3,CLAVE_BOV3,$A42)+SUMIFS(SALIDAS_TC,FECHA_TC,"&gt;="&amp;AZ$2,FECHA_TC,"&lt;="&amp;AZ$3,CLAVE_TC,$A42)+SUMIFS(SALIDAS_COMB,FECHA_COMB,"&gt;="&amp;AZ$2,FECHA_COMB,"&lt;="&amp;AZ$3,CLAVE_COMB,$A42)+SUMIFS(SALIDAS_DES,FECHA_DESGLOSEN,"&gt;="&amp;AZ$2,FECHA_DESGLOSEN,"&lt;="&amp;AZ$3,CLAVE_DESGLOSE,$A42)</f>
        <v>20598.509999999998</v>
      </c>
      <c r="BA42" s="13">
        <f t="shared" si="98"/>
        <v>81427.239999999991</v>
      </c>
      <c r="BB42" s="68">
        <f t="shared" si="68"/>
        <v>-5427.2399999999907</v>
      </c>
      <c r="BC42" s="268">
        <f t="shared" si="69"/>
        <v>1.0714110526315788</v>
      </c>
      <c r="BD42" s="13">
        <f t="shared" si="46"/>
        <v>76000</v>
      </c>
      <c r="BE42" s="13">
        <f>SUMIFS(SALIDAS_BIT,FECHA_BIT,"&gt;="&amp;BE$2,FECHA_BIT,"&lt;="&amp;BE$3,CLAVE_BIT,$A42)+SUMIFS(SALIDAS_BOV1,FECHA_BOV1,"&gt;="&amp;BE$2,FECHA_BOV1,"&lt;="&amp;BE$3,CLAVE_BOV1,$A42)+SUMIFS(SALIDAS_BOV2,FECHA_BOV2,"&gt;="&amp;BE$2,FECHA_BOV2,"&lt;="&amp;BE$3,CLAVE_BOV2,$A42)+SUMIFS(SALIDAS_BOV3,FECHA_BOV3,"&gt;="&amp;BE$2,FECHA_BOV3,"&lt;="&amp;BE$3,CLAVE_BOV3,$A42)+SUMIFS(SALIDAS_TC,FECHA_TC,"&gt;="&amp;BE$2,FECHA_TC,"&lt;="&amp;BE$3,CLAVE_TC,$A42)+SUMIFS(SALIDAS_COMB,FECHA_COMB,"&gt;="&amp;BE$2,FECHA_COMB,"&lt;="&amp;BE$3,CLAVE_COMB,$A42)+SUMIFS(SALIDAS_DES,FECHA_DESGLOSEN,"&gt;="&amp;BE$2,FECHA_DESGLOSEN,"&lt;="&amp;BE$3,CLAVE_DESGLOSE,$A42)</f>
        <v>20599.71</v>
      </c>
      <c r="BF42" s="13">
        <f>SUMIFS(SALIDAS_BIT,FECHA_BIT,"&gt;="&amp;BF$2,FECHA_BIT,"&lt;="&amp;BF$3,CLAVE_BIT,$A42)+SUMIFS(SALIDAS_BOV1,FECHA_BOV1,"&gt;="&amp;BF$2,FECHA_BOV1,"&lt;="&amp;BF$3,CLAVE_BOV1,$A42)+SUMIFS(SALIDAS_BOV2,FECHA_BOV2,"&gt;="&amp;BF$2,FECHA_BOV2,"&lt;="&amp;BF$3,CLAVE_BOV2,$A42)+SUMIFS(SALIDAS_BOV3,FECHA_BOV3,"&gt;="&amp;BF$2,FECHA_BOV3,"&lt;="&amp;BF$3,CLAVE_BOV3,$A42)+SUMIFS(SALIDAS_TC,FECHA_TC,"&gt;="&amp;BF$2,FECHA_TC,"&lt;="&amp;BF$3,CLAVE_TC,$A42)+SUMIFS(SALIDAS_COMB,FECHA_COMB,"&gt;="&amp;BF$2,FECHA_COMB,"&lt;="&amp;BF$3,CLAVE_COMB,$A42)+SUMIFS(SALIDAS_DES,FECHA_DESGLOSEN,"&gt;="&amp;BF$2,FECHA_DESGLOSEN,"&lt;="&amp;BF$3,CLAVE_DESGLOSE,$A42)</f>
        <v>23098.71</v>
      </c>
      <c r="BG42" s="13">
        <f>SUMIFS(SALIDAS_BIT,FECHA_BIT,"&gt;="&amp;BG$2,FECHA_BIT,"&lt;="&amp;BG$3,CLAVE_BIT,$A42)+SUMIFS(SALIDAS_BOV1,FECHA_BOV1,"&gt;="&amp;BG$2,FECHA_BOV1,"&lt;="&amp;BG$3,CLAVE_BOV1,$A42)+SUMIFS(SALIDAS_BOV2,FECHA_BOV2,"&gt;="&amp;BG$2,FECHA_BOV2,"&lt;="&amp;BG$3,CLAVE_BOV2,$A42)+SUMIFS(SALIDAS_BOV3,FECHA_BOV3,"&gt;="&amp;BG$2,FECHA_BOV3,"&lt;="&amp;BG$3,CLAVE_BOV3,$A42)+SUMIFS(SALIDAS_TC,FECHA_TC,"&gt;="&amp;BG$2,FECHA_TC,"&lt;="&amp;BG$3,CLAVE_TC,$A42)+SUMIFS(SALIDAS_COMB,FECHA_COMB,"&gt;="&amp;BG$2,FECHA_COMB,"&lt;="&amp;BG$3,CLAVE_COMB,$A42)+SUMIFS(SALIDAS_DES,FECHA_DESGLOSEN,"&gt;="&amp;BG$2,FECHA_DESGLOSEN,"&lt;="&amp;BG$3,CLAVE_DESGLOSE,$A42)</f>
        <v>22746.51</v>
      </c>
      <c r="BH42" s="13">
        <f>SUMIFS(SALIDAS_BIT,FECHA_BIT,"&gt;="&amp;BH$2,FECHA_BIT,"&lt;="&amp;BH$3,CLAVE_BIT,$A42)+SUMIFS(SALIDAS_BOV1,FECHA_BOV1,"&gt;="&amp;BH$2,FECHA_BOV1,"&lt;="&amp;BH$3,CLAVE_BOV1,$A42)+SUMIFS(SALIDAS_BOV2,FECHA_BOV2,"&gt;="&amp;BH$2,FECHA_BOV2,"&lt;="&amp;BH$3,CLAVE_BOV2,$A42)+SUMIFS(SALIDAS_BOV3,FECHA_BOV3,"&gt;="&amp;BH$2,FECHA_BOV3,"&lt;="&amp;BH$3,CLAVE_BOV3,$A42)+SUMIFS(SALIDAS_TC,FECHA_TC,"&gt;="&amp;BH$2,FECHA_TC,"&lt;="&amp;BH$3,CLAVE_TC,$A42)+SUMIFS(SALIDAS_COMB,FECHA_COMB,"&gt;="&amp;BH$2,FECHA_COMB,"&lt;="&amp;BH$3,CLAVE_COMB,$A42)+SUMIFS(SALIDAS_DES,FECHA_DESGLOSEN,"&gt;="&amp;BH$2,FECHA_DESGLOSEN,"&lt;="&amp;BH$3,CLAVE_DESGLOSE,$A42)</f>
        <v>22900</v>
      </c>
      <c r="BI42" s="13">
        <f>SUMIFS(SALIDAS_BIT,FECHA_BIT,"&gt;="&amp;BI$2,FECHA_BIT,"&lt;="&amp;BI$3,CLAVE_BIT,$A42)+SUMIFS(SALIDAS_BOV1,FECHA_BOV1,"&gt;="&amp;BI$2,FECHA_BOV1,"&lt;="&amp;BI$3,CLAVE_BOV1,$A42)+SUMIFS(SALIDAS_BOV2,FECHA_BOV2,"&gt;="&amp;BI$2,FECHA_BOV2,"&lt;="&amp;BI$3,CLAVE_BOV2,$A42)+SUMIFS(SALIDAS_BOV3,FECHA_BOV3,"&gt;="&amp;BI$2,FECHA_BOV3,"&lt;="&amp;BI$3,CLAVE_BOV3,$A42)+SUMIFS(SALIDAS_TC,FECHA_TC,"&gt;="&amp;BI$2,FECHA_TC,"&lt;="&amp;BI$3,CLAVE_TC,$A42)+SUMIFS(SALIDAS_COMB,FECHA_COMB,"&gt;="&amp;BI$2,FECHA_COMB,"&lt;="&amp;BI$3,CLAVE_COMB,$A42)+SUMIFS(SALIDAS_DES,FECHA_DESGLOSEN,"&gt;="&amp;BI$2,FECHA_DESGLOSEN,"&lt;="&amp;BI$3,CLAVE_DESGLOSE,$A42)</f>
        <v>89344.93</v>
      </c>
      <c r="BJ42" s="68">
        <f t="shared" si="70"/>
        <v>-13344.929999999993</v>
      </c>
      <c r="BK42" s="401">
        <f t="shared" si="71"/>
        <v>1.1755911842105262</v>
      </c>
      <c r="BL42" s="13">
        <f t="shared" si="47"/>
        <v>95000</v>
      </c>
      <c r="BM42" s="13">
        <f>SUMIFS(SALIDAS_BIT,FECHA_BIT,"&gt;="&amp;BM$2,FECHA_BIT,"&lt;="&amp;BM$3,CLAVE_BIT,$A42)+SUMIFS(SALIDAS_BOV1,FECHA_BOV1,"&gt;="&amp;BM$2,FECHA_BOV1,"&lt;="&amp;BM$3,CLAVE_BOV1,$A42)+SUMIFS(SALIDAS_BOV2,FECHA_BOV2,"&gt;="&amp;BM$2,FECHA_BOV2,"&lt;="&amp;BM$3,CLAVE_BOV2,$A42)+SUMIFS(SALIDAS_BOV3,FECHA_BOV3,"&gt;="&amp;BM$2,FECHA_BOV3,"&lt;="&amp;BM$3,CLAVE_BOV3,$A42)+SUMIFS(SALIDAS_TC,FECHA_TC,"&gt;="&amp;BM$2,FECHA_TC,"&lt;="&amp;BM$3,CLAVE_TC,$A42)+SUMIFS(SALIDAS_COMB,FECHA_COMB,"&gt;="&amp;BM$2,FECHA_COMB,"&lt;="&amp;BM$3,CLAVE_COMB,$A42)+SUMIFS(SALIDAS_DES,FECHA_DESGLOSEN,"&gt;="&amp;BM$2,FECHA_DESGLOSEN,"&lt;="&amp;BM$3,CLAVE_DESGLOSE,$A42)</f>
        <v>23097.91</v>
      </c>
      <c r="BN42" s="13">
        <f>SUMIFS(SALIDAS_BIT,FECHA_BIT,"&gt;="&amp;BN$2,FECHA_BIT,"&lt;="&amp;BN$3,CLAVE_BIT,$A42)+SUMIFS(SALIDAS_BOV1,FECHA_BOV1,"&gt;="&amp;BN$2,FECHA_BOV1,"&lt;="&amp;BN$3,CLAVE_BOV1,$A42)+SUMIFS(SALIDAS_BOV2,FECHA_BOV2,"&gt;="&amp;BN$2,FECHA_BOV2,"&lt;="&amp;BN$3,CLAVE_BOV2,$A42)+SUMIFS(SALIDAS_BOV3,FECHA_BOV3,"&gt;="&amp;BN$2,FECHA_BOV3,"&lt;="&amp;BN$3,CLAVE_BOV3,$A42)+SUMIFS(SALIDAS_TC,FECHA_TC,"&gt;="&amp;BN$2,FECHA_TC,"&lt;="&amp;BN$3,CLAVE_TC,$A42)+SUMIFS(SALIDAS_COMB,FECHA_COMB,"&gt;="&amp;BN$2,FECHA_COMB,"&lt;="&amp;BN$3,CLAVE_COMB,$A42)+SUMIFS(SALIDAS_DES,FECHA_DESGLOSEN,"&gt;="&amp;BN$2,FECHA_DESGLOSEN,"&lt;="&amp;BN$3,CLAVE_DESGLOSE,$A42)</f>
        <v>23529.31</v>
      </c>
      <c r="BO42" s="13">
        <f>SUMIFS(SALIDAS_BIT,FECHA_BIT,"&gt;="&amp;BO$2,FECHA_BIT,"&lt;="&amp;BO$3,CLAVE_BIT,$A42)+SUMIFS(SALIDAS_BOV1,FECHA_BOV1,"&gt;="&amp;BO$2,FECHA_BOV1,"&lt;="&amp;BO$3,CLAVE_BOV1,$A42)+SUMIFS(SALIDAS_BOV2,FECHA_BOV2,"&gt;="&amp;BO$2,FECHA_BOV2,"&lt;="&amp;BO$3,CLAVE_BOV2,$A42)+SUMIFS(SALIDAS_BOV3,FECHA_BOV3,"&gt;="&amp;BO$2,FECHA_BOV3,"&lt;="&amp;BO$3,CLAVE_BOV3,$A42)+SUMIFS(SALIDAS_TC,FECHA_TC,"&gt;="&amp;BO$2,FECHA_TC,"&lt;="&amp;BO$3,CLAVE_TC,$A42)+SUMIFS(SALIDAS_COMB,FECHA_COMB,"&gt;="&amp;BO$2,FECHA_COMB,"&lt;="&amp;BO$3,CLAVE_COMB,$A42)+SUMIFS(SALIDAS_DES,FECHA_DESGLOSEN,"&gt;="&amp;BO$2,FECHA_DESGLOSEN,"&lt;="&amp;BO$3,CLAVE_DESGLOSE,$A42)</f>
        <v>23529.11</v>
      </c>
      <c r="BP42" s="13">
        <f>SUMIFS(SALIDAS_BIT,FECHA_BIT,"&gt;="&amp;BP$2,FECHA_BIT,"&lt;="&amp;BP$3,CLAVE_BIT,$A42)+SUMIFS(SALIDAS_BOV1,FECHA_BOV1,"&gt;="&amp;BP$2,FECHA_BOV1,"&lt;="&amp;BP$3,CLAVE_BOV1,$A42)+SUMIFS(SALIDAS_BOV2,FECHA_BOV2,"&gt;="&amp;BP$2,FECHA_BOV2,"&lt;="&amp;BP$3,CLAVE_BOV2,$A42)+SUMIFS(SALIDAS_BOV3,FECHA_BOV3,"&gt;="&amp;BP$2,FECHA_BOV3,"&lt;="&amp;BP$3,CLAVE_BOV3,$A42)+SUMIFS(SALIDAS_TC,FECHA_TC,"&gt;="&amp;BP$2,FECHA_TC,"&lt;="&amp;BP$3,CLAVE_TC,$A42)+SUMIFS(SALIDAS_COMB,FECHA_COMB,"&gt;="&amp;BP$2,FECHA_COMB,"&lt;="&amp;BP$3,CLAVE_COMB,$A42)+SUMIFS(SALIDAS_DES,FECHA_DESGLOSEN,"&gt;="&amp;BP$2,FECHA_DESGLOSEN,"&lt;="&amp;BP$3,CLAVE_DESGLOSE,$A42)</f>
        <v>23091.11</v>
      </c>
      <c r="BQ42" s="13">
        <f>SUMIFS(SALIDAS_BIT,FECHA_BIT,"&gt;="&amp;BQ$2,FECHA_BIT,"&lt;="&amp;BQ$3,CLAVE_BIT,$A42)+SUMIFS(SALIDAS_BOV1,FECHA_BOV1,"&gt;="&amp;BQ$2,FECHA_BOV1,"&lt;="&amp;BQ$3,CLAVE_BOV1,$A42)+SUMIFS(SALIDAS_BOV2,FECHA_BOV2,"&gt;="&amp;BQ$2,FECHA_BOV2,"&lt;="&amp;BQ$3,CLAVE_BOV2,$A42)+SUMIFS(SALIDAS_BOV3,FECHA_BOV3,"&gt;="&amp;BQ$2,FECHA_BOV3,"&lt;="&amp;BQ$3,CLAVE_BOV3,$A42)+SUMIFS(SALIDAS_TC,FECHA_TC,"&gt;="&amp;BQ$2,FECHA_TC,"&lt;="&amp;BQ$3,CLAVE_TC,$A42)+SUMIFS(SALIDAS_COMB,FECHA_COMB,"&gt;="&amp;BQ$2,FECHA_COMB,"&lt;="&amp;BQ$3,CLAVE_COMB,$A42)+SUMIFS(SALIDAS_DES,FECHA_DESGLOSEN,"&gt;="&amp;BQ$2,FECHA_DESGLOSEN,"&lt;="&amp;BQ$3,CLAVE_DESGLOSE,$A42)</f>
        <v>23091.91</v>
      </c>
      <c r="BR42" s="13">
        <f>SUMIFS(SALIDAS_BIT,FECHA_BIT,"&gt;="&amp;BR$2,FECHA_BIT,"&lt;="&amp;BR$3,CLAVE_BIT,$A42)+SUMIFS(SALIDAS_BOV1,FECHA_BOV1,"&gt;="&amp;BR$2,FECHA_BOV1,"&lt;="&amp;BR$3,CLAVE_BOV1,$A42)+SUMIFS(SALIDAS_BOV2,FECHA_BOV2,"&gt;="&amp;BR$2,FECHA_BOV2,"&lt;="&amp;BR$3,CLAVE_BOV2,$A42)+SUMIFS(SALIDAS_BOV3,FECHA_BOV3,"&gt;="&amp;BR$2,FECHA_BOV3,"&lt;="&amp;BR$3,CLAVE_BOV3,$A42)+SUMIFS(SALIDAS_TC,FECHA_TC,"&gt;="&amp;BR$2,FECHA_TC,"&lt;="&amp;BR$3,CLAVE_TC,$A42)+SUMIFS(SALIDAS_COMB,FECHA_COMB,"&gt;="&amp;BR$2,FECHA_COMB,"&lt;="&amp;BR$3,CLAVE_COMB,$A42)+SUMIFS(SALIDAS_DES,FECHA_DESGLOSEN,"&gt;="&amp;BR$2,FECHA_DESGLOSEN,"&lt;="&amp;BR$3,CLAVE_DESGLOSE,$A42)</f>
        <v>116339.35</v>
      </c>
      <c r="BS42" s="68">
        <f t="shared" si="72"/>
        <v>-21339.350000000006</v>
      </c>
      <c r="BT42" s="268">
        <f t="shared" si="73"/>
        <v>1.2246247368421053</v>
      </c>
      <c r="BU42" s="13">
        <f t="shared" si="49"/>
        <v>76000</v>
      </c>
      <c r="BV42" s="13">
        <f t="shared" si="90"/>
        <v>25465.11</v>
      </c>
      <c r="BW42" s="13">
        <f t="shared" si="90"/>
        <v>24621.71</v>
      </c>
      <c r="BX42" s="13">
        <f t="shared" si="90"/>
        <v>21346.79</v>
      </c>
      <c r="BY42" s="13">
        <f t="shared" si="90"/>
        <v>23715.11</v>
      </c>
      <c r="BZ42" s="13">
        <f t="shared" si="108"/>
        <v>95148.72</v>
      </c>
      <c r="CA42" s="68">
        <f t="shared" si="74"/>
        <v>-19148.72</v>
      </c>
      <c r="CB42" s="268">
        <f t="shared" si="75"/>
        <v>1.2519568421052631</v>
      </c>
      <c r="CC42" s="13">
        <f t="shared" si="51"/>
        <v>76000</v>
      </c>
      <c r="CD42" s="13">
        <f t="shared" si="91"/>
        <v>23472.91</v>
      </c>
      <c r="CE42" s="13">
        <f t="shared" si="91"/>
        <v>23207.91</v>
      </c>
      <c r="CF42" s="13">
        <f t="shared" si="91"/>
        <v>22674.91</v>
      </c>
      <c r="CG42" s="13">
        <f t="shared" si="91"/>
        <v>22898.91</v>
      </c>
      <c r="CH42" s="13">
        <f t="shared" si="109"/>
        <v>92254.64</v>
      </c>
      <c r="CI42" s="68">
        <f t="shared" si="76"/>
        <v>-16254.64</v>
      </c>
      <c r="CJ42" s="268">
        <f t="shared" si="77"/>
        <v>1.2138768421052633</v>
      </c>
      <c r="CK42" s="13">
        <f t="shared" si="53"/>
        <v>95000</v>
      </c>
      <c r="CL42" s="13">
        <f t="shared" si="92"/>
        <v>23505.11</v>
      </c>
      <c r="CM42" s="13">
        <f t="shared" si="92"/>
        <v>23915.51</v>
      </c>
      <c r="CN42" s="13">
        <f t="shared" si="92"/>
        <v>23437.31</v>
      </c>
      <c r="CO42" s="13">
        <f t="shared" si="92"/>
        <v>24496.41</v>
      </c>
      <c r="CP42" s="13">
        <f t="shared" si="92"/>
        <v>31836.01</v>
      </c>
      <c r="CQ42" s="13">
        <f t="shared" si="110"/>
        <v>127190.34999999999</v>
      </c>
      <c r="CR42" s="68">
        <f t="shared" si="78"/>
        <v>-32190.349999999991</v>
      </c>
      <c r="CS42" s="268">
        <f t="shared" si="79"/>
        <v>1.338845789473684</v>
      </c>
      <c r="CT42" s="68">
        <f t="shared" si="55"/>
        <v>79000</v>
      </c>
      <c r="CU42" s="13">
        <f>SUMIFS(SALIDAS_BIT,FECHA_BIT,"&gt;="&amp;CU$2,FECHA_BIT,"&lt;="&amp;CU$3,CLAVE_BIT,$A42)+SUMIFS(SALIDAS_BOV1,FECHA_BOV1,"&gt;="&amp;CU$2,FECHA_BOV1,"&lt;="&amp;CU$3,CLAVE_BOV1,$A42)+SUMIFS(SALIDAS_BOV2,FECHA_BOV2,"&gt;="&amp;CU$2,FECHA_BOV2,"&lt;="&amp;CU$3,CLAVE_BOV2,$A42)+SUMIFS(SALIDAS_BOV3,FECHA_BOV3,"&gt;="&amp;CU$2,FECHA_BOV3,"&lt;="&amp;CU$3,CLAVE_BOV3,$A42)+SUMIFS(SALIDAS_TC,FECHA_TC,"&gt;="&amp;CU$2,FECHA_TC,"&lt;="&amp;CU$3,CLAVE_TC,$A42)+SUMIFS(SALIDAS_COMB,FECHA_COMB,"&gt;="&amp;CU$2,FECHA_COMB,"&lt;="&amp;CU$3,CLAVE_COMB,$A42)+SUMIFS(SALIDAS_DES,FECHA_DESGLOSEN,"&gt;="&amp;CU$2,FECHA_DESGLOSEN,"&lt;="&amp;CU$3,CLAVE_DESGLOSE,$A42)</f>
        <v>31741.81</v>
      </c>
      <c r="CV42" s="13">
        <f>SUMIFS(SALIDAS_BIT,FECHA_BIT,"&gt;="&amp;CV$2,FECHA_BIT,"&lt;="&amp;CV$3,CLAVE_BIT,$A42)+SUMIFS(SALIDAS_BOV1,FECHA_BOV1,"&gt;="&amp;CV$2,FECHA_BOV1,"&lt;="&amp;CV$3,CLAVE_BOV1,$A42)+SUMIFS(SALIDAS_BOV2,FECHA_BOV2,"&gt;="&amp;CV$2,FECHA_BOV2,"&lt;="&amp;CV$3,CLAVE_BOV2,$A42)+SUMIFS(SALIDAS_BOV3,FECHA_BOV3,"&gt;="&amp;CV$2,FECHA_BOV3,"&lt;="&amp;CV$3,CLAVE_BOV3,$A42)+SUMIFS(SALIDAS_TC,FECHA_TC,"&gt;="&amp;CV$2,FECHA_TC,"&lt;="&amp;CV$3,CLAVE_TC,$A42)+SUMIFS(SALIDAS_COMB,FECHA_COMB,"&gt;="&amp;CV$2,FECHA_COMB,"&lt;="&amp;CV$3,CLAVE_COMB,$A42)+SUMIFS(SALIDAS_DES,FECHA_DESGLOSEN,"&gt;="&amp;CV$2,FECHA_DESGLOSEN,"&lt;="&amp;CV$3,CLAVE_DESGLOSE,$A42)</f>
        <v>31742.21</v>
      </c>
      <c r="CW42" s="13">
        <f>SUMIFS(SALIDAS_BIT,FECHA_BIT,"&gt;="&amp;CW$2,FECHA_BIT,"&lt;="&amp;CW$3,CLAVE_BIT,$A42)+SUMIFS(SALIDAS_BOV1,FECHA_BOV1,"&gt;="&amp;CW$2,FECHA_BOV1,"&lt;="&amp;CW$3,CLAVE_BOV1,$A42)+SUMIFS(SALIDAS_BOV2,FECHA_BOV2,"&gt;="&amp;CW$2,FECHA_BOV2,"&lt;="&amp;CW$3,CLAVE_BOV2,$A42)+SUMIFS(SALIDAS_BOV3,FECHA_BOV3,"&gt;="&amp;CW$2,FECHA_BOV3,"&lt;="&amp;CW$3,CLAVE_BOV3,$A42)+SUMIFS(SALIDAS_TC,FECHA_TC,"&gt;="&amp;CW$2,FECHA_TC,"&lt;="&amp;CW$3,CLAVE_TC,$A42)+SUMIFS(SALIDAS_COMB,FECHA_COMB,"&gt;="&amp;CW$2,FECHA_COMB,"&lt;="&amp;CW$3,CLAVE_COMB,$A42)+SUMIFS(SALIDAS_DES,FECHA_DESGLOSEN,"&gt;="&amp;CW$2,FECHA_DESGLOSEN,"&lt;="&amp;CW$3,CLAVE_DESGLOSE,$A42)</f>
        <v>35762.410000000003</v>
      </c>
      <c r="CX42" s="13">
        <f>SUMIFS(SALIDAS_BIT,FECHA_BIT,"&gt;="&amp;CX$2,FECHA_BIT,"&lt;="&amp;CX$3,CLAVE_BIT,$A42)+SUMIFS(SALIDAS_BOV1,FECHA_BOV1,"&gt;="&amp;CX$2,FECHA_BOV1,"&lt;="&amp;CX$3,CLAVE_BOV1,$A42)+SUMIFS(SALIDAS_BOV2,FECHA_BOV2,"&gt;="&amp;CX$2,FECHA_BOV2,"&lt;="&amp;CX$3,CLAVE_BOV2,$A42)+SUMIFS(SALIDAS_BOV3,FECHA_BOV3,"&gt;="&amp;CX$2,FECHA_BOV3,"&lt;="&amp;CX$3,CLAVE_BOV3,$A42)+SUMIFS(SALIDAS_TC,FECHA_TC,"&gt;="&amp;CX$2,FECHA_TC,"&lt;="&amp;CX$3,CLAVE_TC,$A42)+SUMIFS(SALIDAS_COMB,FECHA_COMB,"&gt;="&amp;CX$2,FECHA_COMB,"&lt;="&amp;CX$3,CLAVE_COMB,$A42)+SUMIFS(SALIDAS_DES,FECHA_DESGLOSEN,"&gt;="&amp;CX$2,FECHA_DESGLOSEN,"&lt;="&amp;CX$3,CLAVE_DESGLOSE,$A42)</f>
        <v>24494.21</v>
      </c>
      <c r="CY42" s="13">
        <f>SUMIFS(SALIDAS_BIT,FECHA_BIT,"&gt;="&amp;CY$2,FECHA_BIT,"&lt;="&amp;CY$3,CLAVE_BIT,$A42)+SUMIFS(SALIDAS_BOV1,FECHA_BOV1,"&gt;="&amp;CY$2,FECHA_BOV1,"&lt;="&amp;CY$3,CLAVE_BOV1,$A42)+SUMIFS(SALIDAS_BOV2,FECHA_BOV2,"&gt;="&amp;CY$2,FECHA_BOV2,"&lt;="&amp;CY$3,CLAVE_BOV2,$A42)+SUMIFS(SALIDAS_BOV3,FECHA_BOV3,"&gt;="&amp;CY$2,FECHA_BOV3,"&lt;="&amp;CY$3,CLAVE_BOV3,$A42)+SUMIFS(SALIDAS_TC,FECHA_TC,"&gt;="&amp;CY$2,FECHA_TC,"&lt;="&amp;CY$3,CLAVE_TC,$A42)+SUMIFS(SALIDAS_COMB,FECHA_COMB,"&gt;="&amp;CY$2,FECHA_COMB,"&lt;="&amp;CY$3,CLAVE_COMB,$A42)+SUMIFS(SALIDAS_DES,FECHA_DESGLOSEN,"&gt;="&amp;CY$2,FECHA_DESGLOSEN,"&lt;="&amp;CY$3,CLAVE_DESGLOSE,$A42)</f>
        <v>123740.64000000001</v>
      </c>
      <c r="CZ42" s="68">
        <f t="shared" si="80"/>
        <v>-44740.640000000014</v>
      </c>
      <c r="DB42" s="17">
        <f>F42+N42+W42+AE42+AM42+AV42+BD42+BL42+BU42+CC42+CK42</f>
        <v>912000</v>
      </c>
      <c r="DC42" s="17">
        <f>K42+T42+AB42+AJ42+AS42+BA42+BI42+BR42+BZ42+CH42+CQ42</f>
        <v>1076964.52</v>
      </c>
    </row>
    <row r="43" spans="1:107" hidden="1">
      <c r="A43" s="12" t="str">
        <f t="shared" si="57"/>
        <v>FINANZASNOMINA ADMONCONTABILIDAD</v>
      </c>
      <c r="B43" s="12">
        <v>37</v>
      </c>
      <c r="C43" t="s">
        <v>23</v>
      </c>
      <c r="D43" s="12" t="s">
        <v>147</v>
      </c>
      <c r="E43" s="12" t="s">
        <v>37</v>
      </c>
      <c r="F43" s="259">
        <f t="shared" si="58"/>
        <v>42008</v>
      </c>
      <c r="G43" s="13">
        <f t="shared" si="102"/>
        <v>13788.4</v>
      </c>
      <c r="H43" s="13">
        <f t="shared" si="102"/>
        <v>10399.6</v>
      </c>
      <c r="I43" s="13">
        <f t="shared" si="102"/>
        <v>10399.799999999999</v>
      </c>
      <c r="J43" s="13">
        <f t="shared" si="102"/>
        <v>10794.4</v>
      </c>
      <c r="K43" s="13">
        <f t="shared" si="102"/>
        <v>45382.200000000004</v>
      </c>
      <c r="L43" s="68">
        <f t="shared" si="59"/>
        <v>-3374.2000000000044</v>
      </c>
      <c r="M43" s="268">
        <f t="shared" si="60"/>
        <v>1.08032279565797</v>
      </c>
      <c r="N43" s="13">
        <f t="shared" si="36"/>
        <v>52510</v>
      </c>
      <c r="O43" s="13">
        <f t="shared" si="103"/>
        <v>14509.14</v>
      </c>
      <c r="P43" s="13">
        <f t="shared" si="103"/>
        <v>12773.4</v>
      </c>
      <c r="Q43" s="13">
        <f t="shared" si="103"/>
        <v>12773.6</v>
      </c>
      <c r="R43" s="13">
        <f t="shared" si="103"/>
        <v>12773.8</v>
      </c>
      <c r="S43" s="13">
        <f t="shared" si="103"/>
        <v>11679.8</v>
      </c>
      <c r="T43" s="13">
        <f t="shared" si="103"/>
        <v>64509.740000000005</v>
      </c>
      <c r="U43" s="68">
        <f t="shared" si="61"/>
        <v>-11999.740000000005</v>
      </c>
      <c r="V43" s="268">
        <f t="shared" si="62"/>
        <v>1.2285229480099029</v>
      </c>
      <c r="W43" s="13">
        <f t="shared" si="38"/>
        <v>42008</v>
      </c>
      <c r="X43" s="13">
        <f t="shared" si="104"/>
        <v>12773.47</v>
      </c>
      <c r="Y43" s="13">
        <f t="shared" si="104"/>
        <v>12773.47</v>
      </c>
      <c r="Z43" s="13">
        <f t="shared" si="104"/>
        <v>12680.47</v>
      </c>
      <c r="AA43" s="13">
        <f t="shared" si="104"/>
        <v>12773.47</v>
      </c>
      <c r="AB43" s="13">
        <f t="shared" si="104"/>
        <v>51000.88</v>
      </c>
      <c r="AC43" s="68">
        <f t="shared" si="63"/>
        <v>-8992.8799999999974</v>
      </c>
      <c r="AD43" s="268">
        <f t="shared" si="64"/>
        <v>1.2140754142068177</v>
      </c>
      <c r="AE43" s="13">
        <f t="shared" si="40"/>
        <v>42008</v>
      </c>
      <c r="AF43" s="13">
        <f t="shared" si="105"/>
        <v>10399.469999999999</v>
      </c>
      <c r="AG43" s="13">
        <f t="shared" si="105"/>
        <v>10399.27</v>
      </c>
      <c r="AH43" s="13">
        <f t="shared" si="105"/>
        <v>10306.07</v>
      </c>
      <c r="AI43" s="13">
        <f t="shared" si="105"/>
        <v>10400.27</v>
      </c>
      <c r="AJ43" s="13">
        <f t="shared" si="105"/>
        <v>41505.08</v>
      </c>
      <c r="AK43" s="68">
        <f t="shared" si="65"/>
        <v>502.91999999999825</v>
      </c>
      <c r="AL43" s="268">
        <f t="shared" si="66"/>
        <v>0.98802799466768243</v>
      </c>
      <c r="AM43" s="13">
        <f t="shared" si="42"/>
        <v>52510</v>
      </c>
      <c r="AN43" s="13">
        <f t="shared" si="106"/>
        <v>10399.27</v>
      </c>
      <c r="AO43" s="13">
        <f t="shared" si="106"/>
        <v>10399.469999999999</v>
      </c>
      <c r="AP43" s="13">
        <f t="shared" si="106"/>
        <v>10010.07</v>
      </c>
      <c r="AQ43" s="13">
        <f t="shared" si="106"/>
        <v>8979.27</v>
      </c>
      <c r="AR43" s="13">
        <f t="shared" si="106"/>
        <v>8481.07</v>
      </c>
      <c r="AS43" s="13">
        <f t="shared" si="106"/>
        <v>48269.15</v>
      </c>
      <c r="AT43" s="68">
        <f>AM43-AS43</f>
        <v>4240.8499999999985</v>
      </c>
      <c r="AU43" s="268">
        <f t="shared" si="67"/>
        <v>0.91923728813559324</v>
      </c>
      <c r="AV43" s="13">
        <f t="shared" si="44"/>
        <v>42008</v>
      </c>
      <c r="AW43" s="13">
        <f t="shared" si="107"/>
        <v>10759.17</v>
      </c>
      <c r="AX43" s="13">
        <f t="shared" si="107"/>
        <v>10304.27</v>
      </c>
      <c r="AY43" s="13">
        <f t="shared" si="107"/>
        <v>9262.67</v>
      </c>
      <c r="AZ43" s="13">
        <f>SUMIFS(SALIDAS_BIT,FECHA_BIT,"&gt;="&amp;AZ$2,FECHA_BIT,"&lt;="&amp;AZ$3,CLAVE_BIT,$A43)+SUMIFS(SALIDAS_BOV1,FECHA_BOV1,"&gt;="&amp;AZ$2,FECHA_BOV1,"&lt;="&amp;AZ$3,CLAVE_BOV1,$A43)+SUMIFS(SALIDAS_BOV2,FECHA_BOV2,"&gt;="&amp;AZ$2,FECHA_BOV2,"&lt;="&amp;AZ$3,CLAVE_BOV2,$A43)+SUMIFS(SALIDAS_BOV3,FECHA_BOV3,"&gt;="&amp;AZ$2,FECHA_BOV3,"&lt;="&amp;AZ$3,CLAVE_BOV3,$A43)+SUMIFS(SALIDAS_TC,FECHA_TC,"&gt;="&amp;AZ$2,FECHA_TC,"&lt;="&amp;AZ$3,CLAVE_TC,$A43)+SUMIFS(SALIDAS_COMB,FECHA_COMB,"&gt;="&amp;AZ$2,FECHA_COMB,"&lt;="&amp;AZ$3,CLAVE_COMB,$A43)+SUMIFS(SALIDAS_DES,FECHA_DESGLOSEN,"&gt;="&amp;AZ$2,FECHA_DESGLOSEN,"&lt;="&amp;AZ$3,CLAVE_DESGLOSE,$A43)</f>
        <v>8314.27</v>
      </c>
      <c r="BA43" s="13">
        <f t="shared" si="107"/>
        <v>38640.380000000005</v>
      </c>
      <c r="BB43" s="68">
        <f t="shared" si="68"/>
        <v>3367.6199999999953</v>
      </c>
      <c r="BC43" s="268">
        <f t="shared" si="69"/>
        <v>0.91983384117310996</v>
      </c>
      <c r="BD43" s="13">
        <f t="shared" si="46"/>
        <v>42008</v>
      </c>
      <c r="BE43" s="13">
        <f>SUMIFS(SALIDAS_BIT,FECHA_BIT,"&gt;="&amp;BE$2,FECHA_BIT,"&lt;="&amp;BE$3,CLAVE_BIT,$A43)+SUMIFS(SALIDAS_BOV1,FECHA_BOV1,"&gt;="&amp;BE$2,FECHA_BOV1,"&lt;="&amp;BE$3,CLAVE_BOV1,$A43)+SUMIFS(SALIDAS_BOV2,FECHA_BOV2,"&gt;="&amp;BE$2,FECHA_BOV2,"&lt;="&amp;BE$3,CLAVE_BOV2,$A43)+SUMIFS(SALIDAS_BOV3,FECHA_BOV3,"&gt;="&amp;BE$2,FECHA_BOV3,"&lt;="&amp;BE$3,CLAVE_BOV3,$A43)+SUMIFS(SALIDAS_TC,FECHA_TC,"&gt;="&amp;BE$2,FECHA_TC,"&lt;="&amp;BE$3,CLAVE_TC,$A43)+SUMIFS(SALIDAS_COMB,FECHA_COMB,"&gt;="&amp;BE$2,FECHA_COMB,"&lt;="&amp;BE$3,CLAVE_COMB,$A43)+SUMIFS(SALIDAS_DES,FECHA_DESGLOSEN,"&gt;="&amp;BE$2,FECHA_DESGLOSEN,"&lt;="&amp;BE$3,CLAVE_DESGLOSE,$A43)</f>
        <v>10397.67</v>
      </c>
      <c r="BF43" s="13">
        <f>SUMIFS(SALIDAS_BIT,FECHA_BIT,"&gt;="&amp;BF$2,FECHA_BIT,"&lt;="&amp;BF$3,CLAVE_BIT,$A43)+SUMIFS(SALIDAS_BOV1,FECHA_BOV1,"&gt;="&amp;BF$2,FECHA_BOV1,"&lt;="&amp;BF$3,CLAVE_BOV1,$A43)+SUMIFS(SALIDAS_BOV2,FECHA_BOV2,"&gt;="&amp;BF$2,FECHA_BOV2,"&lt;="&amp;BF$3,CLAVE_BOV2,$A43)+SUMIFS(SALIDAS_BOV3,FECHA_BOV3,"&gt;="&amp;BF$2,FECHA_BOV3,"&lt;="&amp;BF$3,CLAVE_BOV3,$A43)+SUMIFS(SALIDAS_TC,FECHA_TC,"&gt;="&amp;BF$2,FECHA_TC,"&lt;="&amp;BF$3,CLAVE_TC,$A43)+SUMIFS(SALIDAS_COMB,FECHA_COMB,"&gt;="&amp;BF$2,FECHA_COMB,"&lt;="&amp;BF$3,CLAVE_COMB,$A43)+SUMIFS(SALIDAS_DES,FECHA_DESGLOSEN,"&gt;="&amp;BF$2,FECHA_DESGLOSEN,"&lt;="&amp;BF$3,CLAVE_DESGLOSE,$A43)</f>
        <v>10398.07</v>
      </c>
      <c r="BG43" s="13">
        <f>SUMIFS(SALIDAS_BIT,FECHA_BIT,"&gt;="&amp;BG$2,FECHA_BIT,"&lt;="&amp;BG$3,CLAVE_BIT,$A43)+SUMIFS(SALIDAS_BOV1,FECHA_BOV1,"&gt;="&amp;BG$2,FECHA_BOV1,"&lt;="&amp;BG$3,CLAVE_BOV1,$A43)+SUMIFS(SALIDAS_BOV2,FECHA_BOV2,"&gt;="&amp;BG$2,FECHA_BOV2,"&lt;="&amp;BG$3,CLAVE_BOV2,$A43)+SUMIFS(SALIDAS_BOV3,FECHA_BOV3,"&gt;="&amp;BG$2,FECHA_BOV3,"&lt;="&amp;BG$3,CLAVE_BOV3,$A43)+SUMIFS(SALIDAS_TC,FECHA_TC,"&gt;="&amp;BG$2,FECHA_TC,"&lt;="&amp;BG$3,CLAVE_TC,$A43)+SUMIFS(SALIDAS_COMB,FECHA_COMB,"&gt;="&amp;BG$2,FECHA_COMB,"&lt;="&amp;BG$3,CLAVE_COMB,$A43)+SUMIFS(SALIDAS_DES,FECHA_DESGLOSEN,"&gt;="&amp;BG$2,FECHA_DESGLOSEN,"&lt;="&amp;BG$3,CLAVE_DESGLOSE,$A43)</f>
        <v>9989.4699999999993</v>
      </c>
      <c r="BH43" s="13">
        <f>SUMIFS(SALIDAS_BIT,FECHA_BIT,"&gt;="&amp;BH$2,FECHA_BIT,"&lt;="&amp;BH$3,CLAVE_BIT,$A43)+SUMIFS(SALIDAS_BOV1,FECHA_BOV1,"&gt;="&amp;BH$2,FECHA_BOV1,"&lt;="&amp;BH$3,CLAVE_BOV1,$A43)+SUMIFS(SALIDAS_BOV2,FECHA_BOV2,"&gt;="&amp;BH$2,FECHA_BOV2,"&lt;="&amp;BH$3,CLAVE_BOV2,$A43)+SUMIFS(SALIDAS_BOV3,FECHA_BOV3,"&gt;="&amp;BH$2,FECHA_BOV3,"&lt;="&amp;BH$3,CLAVE_BOV3,$A43)+SUMIFS(SALIDAS_TC,FECHA_TC,"&gt;="&amp;BH$2,FECHA_TC,"&lt;="&amp;BH$3,CLAVE_TC,$A43)+SUMIFS(SALIDAS_COMB,FECHA_COMB,"&gt;="&amp;BH$2,FECHA_COMB,"&lt;="&amp;BH$3,CLAVE_COMB,$A43)+SUMIFS(SALIDAS_DES,FECHA_DESGLOSEN,"&gt;="&amp;BH$2,FECHA_DESGLOSEN,"&lt;="&amp;BH$3,CLAVE_DESGLOSE,$A43)</f>
        <v>10002</v>
      </c>
      <c r="BI43" s="13">
        <f>SUMIFS(SALIDAS_BIT,FECHA_BIT,"&gt;="&amp;BI$2,FECHA_BIT,"&lt;="&amp;BI$3,CLAVE_BIT,$A43)+SUMIFS(SALIDAS_BOV1,FECHA_BOV1,"&gt;="&amp;BI$2,FECHA_BOV1,"&lt;="&amp;BI$3,CLAVE_BOV1,$A43)+SUMIFS(SALIDAS_BOV2,FECHA_BOV2,"&gt;="&amp;BI$2,FECHA_BOV2,"&lt;="&amp;BI$3,CLAVE_BOV2,$A43)+SUMIFS(SALIDAS_BOV3,FECHA_BOV3,"&gt;="&amp;BI$2,FECHA_BOV3,"&lt;="&amp;BI$3,CLAVE_BOV3,$A43)+SUMIFS(SALIDAS_TC,FECHA_TC,"&gt;="&amp;BI$2,FECHA_TC,"&lt;="&amp;BI$3,CLAVE_TC,$A43)+SUMIFS(SALIDAS_COMB,FECHA_COMB,"&gt;="&amp;BI$2,FECHA_COMB,"&lt;="&amp;BI$3,CLAVE_COMB,$A43)+SUMIFS(SALIDAS_DES,FECHA_DESGLOSEN,"&gt;="&amp;BI$2,FECHA_DESGLOSEN,"&lt;="&amp;BI$3,CLAVE_DESGLOSE,$A43)</f>
        <v>40787.21</v>
      </c>
      <c r="BJ43" s="68">
        <f t="shared" si="70"/>
        <v>1220.7900000000009</v>
      </c>
      <c r="BK43" s="268">
        <f t="shared" si="71"/>
        <v>0.97093910683679296</v>
      </c>
      <c r="BL43" s="13">
        <f t="shared" si="47"/>
        <v>52510</v>
      </c>
      <c r="BM43" s="13">
        <f>SUMIFS(SALIDAS_BIT,FECHA_BIT,"&gt;="&amp;BM$2,FECHA_BIT,"&lt;="&amp;BM$3,CLAVE_BIT,$A43)+SUMIFS(SALIDAS_BOV1,FECHA_BOV1,"&gt;="&amp;BM$2,FECHA_BOV1,"&lt;="&amp;BM$3,CLAVE_BOV1,$A43)+SUMIFS(SALIDAS_BOV2,FECHA_BOV2,"&gt;="&amp;BM$2,FECHA_BOV2,"&lt;="&amp;BM$3,CLAVE_BOV2,$A43)+SUMIFS(SALIDAS_BOV3,FECHA_BOV3,"&gt;="&amp;BM$2,FECHA_BOV3,"&lt;="&amp;BM$3,CLAVE_BOV3,$A43)+SUMIFS(SALIDAS_TC,FECHA_TC,"&gt;="&amp;BM$2,FECHA_TC,"&lt;="&amp;BM$3,CLAVE_TC,$A43)+SUMIFS(SALIDAS_COMB,FECHA_COMB,"&gt;="&amp;BM$2,FECHA_COMB,"&lt;="&amp;BM$3,CLAVE_COMB,$A43)+SUMIFS(SALIDAS_DES,FECHA_DESGLOSEN,"&gt;="&amp;BM$2,FECHA_DESGLOSEN,"&lt;="&amp;BM$3,CLAVE_DESGLOSE,$A43)</f>
        <v>9980.4699999999993</v>
      </c>
      <c r="BN43" s="13">
        <f>SUMIFS(SALIDAS_BIT,FECHA_BIT,"&gt;="&amp;BN$2,FECHA_BIT,"&lt;="&amp;BN$3,CLAVE_BIT,$A43)+SUMIFS(SALIDAS_BOV1,FECHA_BOV1,"&gt;="&amp;BN$2,FECHA_BOV1,"&lt;="&amp;BN$3,CLAVE_BOV1,$A43)+SUMIFS(SALIDAS_BOV2,FECHA_BOV2,"&gt;="&amp;BN$2,FECHA_BOV2,"&lt;="&amp;BN$3,CLAVE_BOV2,$A43)+SUMIFS(SALIDAS_BOV3,FECHA_BOV3,"&gt;="&amp;BN$2,FECHA_BOV3,"&lt;="&amp;BN$3,CLAVE_BOV3,$A43)+SUMIFS(SALIDAS_TC,FECHA_TC,"&gt;="&amp;BN$2,FECHA_TC,"&lt;="&amp;BN$3,CLAVE_TC,$A43)+SUMIFS(SALIDAS_COMB,FECHA_COMB,"&gt;="&amp;BN$2,FECHA_COMB,"&lt;="&amp;BN$3,CLAVE_COMB,$A43)+SUMIFS(SALIDAS_DES,FECHA_DESGLOSEN,"&gt;="&amp;BN$2,FECHA_DESGLOSEN,"&lt;="&amp;BN$3,CLAVE_DESGLOSE,$A43)</f>
        <v>9283.65</v>
      </c>
      <c r="BO43" s="13">
        <f>SUMIFS(SALIDAS_BIT,FECHA_BIT,"&gt;="&amp;BO$2,FECHA_BIT,"&lt;="&amp;BO$3,CLAVE_BIT,$A43)+SUMIFS(SALIDAS_BOV1,FECHA_BOV1,"&gt;="&amp;BO$2,FECHA_BOV1,"&lt;="&amp;BO$3,CLAVE_BOV1,$A43)+SUMIFS(SALIDAS_BOV2,FECHA_BOV2,"&gt;="&amp;BO$2,FECHA_BOV2,"&lt;="&amp;BO$3,CLAVE_BOV2,$A43)+SUMIFS(SALIDAS_BOV3,FECHA_BOV3,"&gt;="&amp;BO$2,FECHA_BOV3,"&lt;="&amp;BO$3,CLAVE_BOV3,$A43)+SUMIFS(SALIDAS_TC,FECHA_TC,"&gt;="&amp;BO$2,FECHA_TC,"&lt;="&amp;BO$3,CLAVE_TC,$A43)+SUMIFS(SALIDAS_COMB,FECHA_COMB,"&gt;="&amp;BO$2,FECHA_COMB,"&lt;="&amp;BO$3,CLAVE_COMB,$A43)+SUMIFS(SALIDAS_DES,FECHA_DESGLOSEN,"&gt;="&amp;BO$2,FECHA_DESGLOSEN,"&lt;="&amp;BO$3,CLAVE_DESGLOSE,$A43)</f>
        <v>13559.27</v>
      </c>
      <c r="BP43" s="13">
        <f>SUMIFS(SALIDAS_BIT,FECHA_BIT,"&gt;="&amp;BP$2,FECHA_BIT,"&lt;="&amp;BP$3,CLAVE_BIT,$A43)+SUMIFS(SALIDAS_BOV1,FECHA_BOV1,"&gt;="&amp;BP$2,FECHA_BOV1,"&lt;="&amp;BP$3,CLAVE_BOV1,$A43)+SUMIFS(SALIDAS_BOV2,FECHA_BOV2,"&gt;="&amp;BP$2,FECHA_BOV2,"&lt;="&amp;BP$3,CLAVE_BOV2,$A43)+SUMIFS(SALIDAS_BOV3,FECHA_BOV3,"&gt;="&amp;BP$2,FECHA_BOV3,"&lt;="&amp;BP$3,CLAVE_BOV3,$A43)+SUMIFS(SALIDAS_TC,FECHA_TC,"&gt;="&amp;BP$2,FECHA_TC,"&lt;="&amp;BP$3,CLAVE_TC,$A43)+SUMIFS(SALIDAS_COMB,FECHA_COMB,"&gt;="&amp;BP$2,FECHA_COMB,"&lt;="&amp;BP$3,CLAVE_COMB,$A43)+SUMIFS(SALIDAS_DES,FECHA_DESGLOSEN,"&gt;="&amp;BP$2,FECHA_DESGLOSEN,"&lt;="&amp;BP$3,CLAVE_DESGLOSE,$A43)</f>
        <v>15147.27</v>
      </c>
      <c r="BQ43" s="13">
        <f>SUMIFS(SALIDAS_BIT,FECHA_BIT,"&gt;="&amp;BQ$2,FECHA_BIT,"&lt;="&amp;BQ$3,CLAVE_BIT,$A43)+SUMIFS(SALIDAS_BOV1,FECHA_BOV1,"&gt;="&amp;BQ$2,FECHA_BOV1,"&lt;="&amp;BQ$3,CLAVE_BOV1,$A43)+SUMIFS(SALIDAS_BOV2,FECHA_BOV2,"&gt;="&amp;BQ$2,FECHA_BOV2,"&lt;="&amp;BQ$3,CLAVE_BOV2,$A43)+SUMIFS(SALIDAS_BOV3,FECHA_BOV3,"&gt;="&amp;BQ$2,FECHA_BOV3,"&lt;="&amp;BQ$3,CLAVE_BOV3,$A43)+SUMIFS(SALIDAS_TC,FECHA_TC,"&gt;="&amp;BQ$2,FECHA_TC,"&lt;="&amp;BQ$3,CLAVE_TC,$A43)+SUMIFS(SALIDAS_COMB,FECHA_COMB,"&gt;="&amp;BQ$2,FECHA_COMB,"&lt;="&amp;BQ$3,CLAVE_COMB,$A43)+SUMIFS(SALIDAS_DES,FECHA_DESGLOSEN,"&gt;="&amp;BQ$2,FECHA_DESGLOSEN,"&lt;="&amp;BQ$3,CLAVE_DESGLOSE,$A43)</f>
        <v>15147.27</v>
      </c>
      <c r="BR43" s="13">
        <f>SUMIFS(SALIDAS_BIT,FECHA_BIT,"&gt;="&amp;BR$2,FECHA_BIT,"&lt;="&amp;BR$3,CLAVE_BIT,$A43)+SUMIFS(SALIDAS_BOV1,FECHA_BOV1,"&gt;="&amp;BR$2,FECHA_BOV1,"&lt;="&amp;BR$3,CLAVE_BOV1,$A43)+SUMIFS(SALIDAS_BOV2,FECHA_BOV2,"&gt;="&amp;BR$2,FECHA_BOV2,"&lt;="&amp;BR$3,CLAVE_BOV2,$A43)+SUMIFS(SALIDAS_BOV3,FECHA_BOV3,"&gt;="&amp;BR$2,FECHA_BOV3,"&lt;="&amp;BR$3,CLAVE_BOV3,$A43)+SUMIFS(SALIDAS_TC,FECHA_TC,"&gt;="&amp;BR$2,FECHA_TC,"&lt;="&amp;BR$3,CLAVE_TC,$A43)+SUMIFS(SALIDAS_COMB,FECHA_COMB,"&gt;="&amp;BR$2,FECHA_COMB,"&lt;="&amp;BR$3,CLAVE_COMB,$A43)+SUMIFS(SALIDAS_DES,FECHA_DESGLOSEN,"&gt;="&amp;BR$2,FECHA_DESGLOSEN,"&lt;="&amp;BR$3,CLAVE_DESGLOSE,$A43)</f>
        <v>63117.930000000008</v>
      </c>
      <c r="BS43" s="68">
        <f t="shared" si="72"/>
        <v>-10607.930000000008</v>
      </c>
      <c r="BT43" s="268">
        <f t="shared" si="73"/>
        <v>1.2020173300323749</v>
      </c>
      <c r="BU43" s="13">
        <f t="shared" si="49"/>
        <v>42008</v>
      </c>
      <c r="BV43" s="13">
        <f t="shared" si="90"/>
        <v>14867.47</v>
      </c>
      <c r="BW43" s="13">
        <f t="shared" si="90"/>
        <v>15147.87</v>
      </c>
      <c r="BX43" s="13">
        <f t="shared" si="90"/>
        <v>16304.87</v>
      </c>
      <c r="BY43" s="13">
        <f t="shared" si="90"/>
        <v>15394.07</v>
      </c>
      <c r="BZ43" s="13">
        <f t="shared" si="108"/>
        <v>61714.28</v>
      </c>
      <c r="CA43" s="68">
        <f t="shared" si="74"/>
        <v>-19706.28</v>
      </c>
      <c r="CB43" s="268">
        <f t="shared" si="75"/>
        <v>1.4691077889925728</v>
      </c>
      <c r="CC43" s="13">
        <f t="shared" si="51"/>
        <v>42008</v>
      </c>
      <c r="CD43" s="13">
        <f t="shared" si="91"/>
        <v>15147.27</v>
      </c>
      <c r="CE43" s="13">
        <f t="shared" si="91"/>
        <v>15147.27</v>
      </c>
      <c r="CF43" s="13">
        <f t="shared" si="91"/>
        <v>15237.27</v>
      </c>
      <c r="CG43" s="13">
        <f t="shared" si="91"/>
        <v>16273.47</v>
      </c>
      <c r="CH43" s="13">
        <f t="shared" si="109"/>
        <v>61805.279999999999</v>
      </c>
      <c r="CI43" s="68">
        <f t="shared" si="76"/>
        <v>-19797.28</v>
      </c>
      <c r="CJ43" s="268">
        <f t="shared" si="77"/>
        <v>1.4712740430394211</v>
      </c>
      <c r="CK43" s="13">
        <f t="shared" si="53"/>
        <v>52510</v>
      </c>
      <c r="CL43" s="13">
        <f t="shared" si="92"/>
        <v>16273.27</v>
      </c>
      <c r="CM43" s="13">
        <f t="shared" si="92"/>
        <v>16512.87</v>
      </c>
      <c r="CN43" s="13">
        <f t="shared" si="92"/>
        <v>19011.07</v>
      </c>
      <c r="CO43" s="13">
        <f t="shared" si="92"/>
        <v>21499.47</v>
      </c>
      <c r="CP43" s="13">
        <f t="shared" si="92"/>
        <v>18582.8</v>
      </c>
      <c r="CQ43" s="13">
        <f t="shared" si="110"/>
        <v>91879.48</v>
      </c>
      <c r="CR43" s="68">
        <f t="shared" si="78"/>
        <v>-39369.479999999996</v>
      </c>
      <c r="CS43" s="268">
        <f t="shared" si="79"/>
        <v>1.7497520472290991</v>
      </c>
      <c r="CT43" s="68">
        <f t="shared" si="55"/>
        <v>61000</v>
      </c>
      <c r="CU43" s="13">
        <f>SUMIFS(SALIDAS_BIT,FECHA_BIT,"&gt;="&amp;CU$2,FECHA_BIT,"&lt;="&amp;CU$3,CLAVE_BIT,$A43)+SUMIFS(SALIDAS_BOV1,FECHA_BOV1,"&gt;="&amp;CU$2,FECHA_BOV1,"&lt;="&amp;CU$3,CLAVE_BOV1,$A43)+SUMIFS(SALIDAS_BOV2,FECHA_BOV2,"&gt;="&amp;CU$2,FECHA_BOV2,"&lt;="&amp;CU$3,CLAVE_BOV2,$A43)+SUMIFS(SALIDAS_BOV3,FECHA_BOV3,"&gt;="&amp;CU$2,FECHA_BOV3,"&lt;="&amp;CU$3,CLAVE_BOV3,$A43)+SUMIFS(SALIDAS_TC,FECHA_TC,"&gt;="&amp;CU$2,FECHA_TC,"&lt;="&amp;CU$3,CLAVE_TC,$A43)+SUMIFS(SALIDAS_COMB,FECHA_COMB,"&gt;="&amp;CU$2,FECHA_COMB,"&lt;="&amp;CU$3,CLAVE_COMB,$A43)+SUMIFS(SALIDAS_DES,FECHA_DESGLOSEN,"&gt;="&amp;CU$2,FECHA_DESGLOSEN,"&lt;="&amp;CU$3,CLAVE_DESGLOSE,$A43)</f>
        <v>18350.8</v>
      </c>
      <c r="CV43" s="13">
        <f>SUMIFS(SALIDAS_BIT,FECHA_BIT,"&gt;="&amp;CV$2,FECHA_BIT,"&lt;="&amp;CV$3,CLAVE_BIT,$A43)+SUMIFS(SALIDAS_BOV1,FECHA_BOV1,"&gt;="&amp;CV$2,FECHA_BOV1,"&lt;="&amp;CV$3,CLAVE_BOV1,$A43)+SUMIFS(SALIDAS_BOV2,FECHA_BOV2,"&gt;="&amp;CV$2,FECHA_BOV2,"&lt;="&amp;CV$3,CLAVE_BOV2,$A43)+SUMIFS(SALIDAS_BOV3,FECHA_BOV3,"&gt;="&amp;CV$2,FECHA_BOV3,"&lt;="&amp;CV$3,CLAVE_BOV3,$A43)+SUMIFS(SALIDAS_TC,FECHA_TC,"&gt;="&amp;CV$2,FECHA_TC,"&lt;="&amp;CV$3,CLAVE_TC,$A43)+SUMIFS(SALIDAS_COMB,FECHA_COMB,"&gt;="&amp;CV$2,FECHA_COMB,"&lt;="&amp;CV$3,CLAVE_COMB,$A43)+SUMIFS(SALIDAS_DES,FECHA_DESGLOSEN,"&gt;="&amp;CV$2,FECHA_DESGLOSEN,"&lt;="&amp;CV$3,CLAVE_DESGLOSE,$A43)</f>
        <v>18692</v>
      </c>
      <c r="CW43" s="13">
        <f>SUMIFS(SALIDAS_BIT,FECHA_BIT,"&gt;="&amp;CW$2,FECHA_BIT,"&lt;="&amp;CW$3,CLAVE_BIT,$A43)+SUMIFS(SALIDAS_BOV1,FECHA_BOV1,"&gt;="&amp;CW$2,FECHA_BOV1,"&lt;="&amp;CW$3,CLAVE_BOV1,$A43)+SUMIFS(SALIDAS_BOV2,FECHA_BOV2,"&gt;="&amp;CW$2,FECHA_BOV2,"&lt;="&amp;CW$3,CLAVE_BOV2,$A43)+SUMIFS(SALIDAS_BOV3,FECHA_BOV3,"&gt;="&amp;CW$2,FECHA_BOV3,"&lt;="&amp;CW$3,CLAVE_BOV3,$A43)+SUMIFS(SALIDAS_TC,FECHA_TC,"&gt;="&amp;CW$2,FECHA_TC,"&lt;="&amp;CW$3,CLAVE_TC,$A43)+SUMIFS(SALIDAS_COMB,FECHA_COMB,"&gt;="&amp;CW$2,FECHA_COMB,"&lt;="&amp;CW$3,CLAVE_COMB,$A43)+SUMIFS(SALIDAS_DES,FECHA_DESGLOSEN,"&gt;="&amp;CW$2,FECHA_DESGLOSEN,"&lt;="&amp;CW$3,CLAVE_DESGLOSE,$A43)</f>
        <v>18828</v>
      </c>
      <c r="CX43" s="13">
        <f>SUMIFS(SALIDAS_BIT,FECHA_BIT,"&gt;="&amp;CX$2,FECHA_BIT,"&lt;="&amp;CX$3,CLAVE_BIT,$A43)+SUMIFS(SALIDAS_BOV1,FECHA_BOV1,"&gt;="&amp;CX$2,FECHA_BOV1,"&lt;="&amp;CX$3,CLAVE_BOV1,$A43)+SUMIFS(SALIDAS_BOV2,FECHA_BOV2,"&gt;="&amp;CX$2,FECHA_BOV2,"&lt;="&amp;CX$3,CLAVE_BOV2,$A43)+SUMIFS(SALIDAS_BOV3,FECHA_BOV3,"&gt;="&amp;CX$2,FECHA_BOV3,"&lt;="&amp;CX$3,CLAVE_BOV3,$A43)+SUMIFS(SALIDAS_TC,FECHA_TC,"&gt;="&amp;CX$2,FECHA_TC,"&lt;="&amp;CX$3,CLAVE_TC,$A43)+SUMIFS(SALIDAS_COMB,FECHA_COMB,"&gt;="&amp;CX$2,FECHA_COMB,"&lt;="&amp;CX$3,CLAVE_COMB,$A43)+SUMIFS(SALIDAS_DES,FECHA_DESGLOSEN,"&gt;="&amp;CX$2,FECHA_DESGLOSEN,"&lt;="&amp;CX$3,CLAVE_DESGLOSE,$A43)</f>
        <v>18479.810000000001</v>
      </c>
      <c r="CY43" s="13">
        <f>SUMIFS(SALIDAS_BIT,FECHA_BIT,"&gt;="&amp;CY$2,FECHA_BIT,"&lt;="&amp;CY$3,CLAVE_BIT,$A43)+SUMIFS(SALIDAS_BOV1,FECHA_BOV1,"&gt;="&amp;CY$2,FECHA_BOV1,"&lt;="&amp;CY$3,CLAVE_BOV1,$A43)+SUMIFS(SALIDAS_BOV2,FECHA_BOV2,"&gt;="&amp;CY$2,FECHA_BOV2,"&lt;="&amp;CY$3,CLAVE_BOV2,$A43)+SUMIFS(SALIDAS_BOV3,FECHA_BOV3,"&gt;="&amp;CY$2,FECHA_BOV3,"&lt;="&amp;CY$3,CLAVE_BOV3,$A43)+SUMIFS(SALIDAS_TC,FECHA_TC,"&gt;="&amp;CY$2,FECHA_TC,"&lt;="&amp;CY$3,CLAVE_TC,$A43)+SUMIFS(SALIDAS_COMB,FECHA_COMB,"&gt;="&amp;CY$2,FECHA_COMB,"&lt;="&amp;CY$3,CLAVE_COMB,$A43)+SUMIFS(SALIDAS_DES,FECHA_DESGLOSEN,"&gt;="&amp;CY$2,FECHA_DESGLOSEN,"&lt;="&amp;CY$3,CLAVE_DESGLOSE,$A43)</f>
        <v>74350.61</v>
      </c>
      <c r="CZ43" s="68">
        <f t="shared" si="80"/>
        <v>-13350.61</v>
      </c>
      <c r="DB43" s="17">
        <f>F43+N43+W43+AE43+AM43+AV43+BD43+BL43+BU43+CC43+CK43</f>
        <v>504096</v>
      </c>
      <c r="DC43" s="17">
        <f>K43+T43+AB43+AJ43+AS43+BA43+BI43+BR43+BZ43+CH43+CQ43</f>
        <v>608611.6100000001</v>
      </c>
    </row>
    <row r="44" spans="1:107" hidden="1">
      <c r="A44" s="12" t="str">
        <f t="shared" si="57"/>
        <v>FINANZASNOMINA ADMONFINANZAS/LEGAL</v>
      </c>
      <c r="B44" s="12">
        <v>38</v>
      </c>
      <c r="C44" t="s">
        <v>23</v>
      </c>
      <c r="D44" s="12" t="s">
        <v>147</v>
      </c>
      <c r="E44" s="12" t="s">
        <v>149</v>
      </c>
      <c r="F44" s="259">
        <f t="shared" si="58"/>
        <v>40000</v>
      </c>
      <c r="G44" s="13">
        <f t="shared" si="102"/>
        <v>9710.7900000000009</v>
      </c>
      <c r="H44" s="13">
        <f t="shared" si="102"/>
        <v>6510.39</v>
      </c>
      <c r="I44" s="13">
        <f t="shared" si="102"/>
        <v>12184.59</v>
      </c>
      <c r="J44" s="13">
        <f t="shared" si="102"/>
        <v>9565.59</v>
      </c>
      <c r="K44" s="13">
        <f t="shared" si="102"/>
        <v>37971.360000000001</v>
      </c>
      <c r="L44" s="68">
        <f t="shared" si="59"/>
        <v>2028.6399999999994</v>
      </c>
      <c r="M44" s="268">
        <f t="shared" si="60"/>
        <v>0.94928400000000002</v>
      </c>
      <c r="N44" s="13">
        <f t="shared" si="36"/>
        <v>50000</v>
      </c>
      <c r="O44" s="13">
        <f t="shared" si="103"/>
        <v>10457.99</v>
      </c>
      <c r="P44" s="13">
        <f t="shared" si="103"/>
        <v>10019.39</v>
      </c>
      <c r="Q44" s="13">
        <f t="shared" si="103"/>
        <v>10018.99</v>
      </c>
      <c r="R44" s="13">
        <f t="shared" si="103"/>
        <v>9897.19</v>
      </c>
      <c r="S44" s="13">
        <f t="shared" si="103"/>
        <v>9896.99</v>
      </c>
      <c r="T44" s="13">
        <f t="shared" si="103"/>
        <v>50290.549999999996</v>
      </c>
      <c r="U44" s="68">
        <f t="shared" si="61"/>
        <v>-290.54999999999563</v>
      </c>
      <c r="V44" s="268">
        <f t="shared" si="62"/>
        <v>1.005811</v>
      </c>
      <c r="W44" s="13">
        <f t="shared" si="38"/>
        <v>40000</v>
      </c>
      <c r="X44" s="13">
        <f t="shared" si="104"/>
        <v>10019.19</v>
      </c>
      <c r="Y44" s="13">
        <f t="shared" si="104"/>
        <v>10019.19</v>
      </c>
      <c r="Z44" s="13">
        <f t="shared" si="104"/>
        <v>10428.790000000001</v>
      </c>
      <c r="AA44" s="13">
        <f t="shared" si="104"/>
        <v>9357.99</v>
      </c>
      <c r="AB44" s="13">
        <f t="shared" si="104"/>
        <v>39825.160000000003</v>
      </c>
      <c r="AC44" s="68">
        <f t="shared" si="63"/>
        <v>174.83999999999651</v>
      </c>
      <c r="AD44" s="268">
        <f t="shared" si="64"/>
        <v>0.9956290000000001</v>
      </c>
      <c r="AE44" s="13">
        <f t="shared" si="40"/>
        <v>40000</v>
      </c>
      <c r="AF44" s="13">
        <f t="shared" si="105"/>
        <v>6182.99</v>
      </c>
      <c r="AG44" s="13">
        <f t="shared" si="105"/>
        <v>6845.79</v>
      </c>
      <c r="AH44" s="13">
        <f t="shared" si="105"/>
        <v>7518.39</v>
      </c>
      <c r="AI44" s="13">
        <f t="shared" si="105"/>
        <v>9205.7900000000009</v>
      </c>
      <c r="AJ44" s="13">
        <f t="shared" si="105"/>
        <v>29752.959999999999</v>
      </c>
      <c r="AK44" s="68">
        <f t="shared" si="65"/>
        <v>10247.040000000001</v>
      </c>
      <c r="AL44" s="268">
        <f t="shared" si="66"/>
        <v>0.74382399999999993</v>
      </c>
      <c r="AM44" s="13">
        <f t="shared" si="42"/>
        <v>50000</v>
      </c>
      <c r="AN44" s="13">
        <f t="shared" si="106"/>
        <v>9874.19</v>
      </c>
      <c r="AO44" s="13">
        <f t="shared" si="106"/>
        <v>9892.59</v>
      </c>
      <c r="AP44" s="13">
        <f t="shared" si="106"/>
        <v>9892.39</v>
      </c>
      <c r="AQ44" s="13">
        <f t="shared" si="106"/>
        <v>9892.19</v>
      </c>
      <c r="AR44" s="13">
        <f t="shared" si="106"/>
        <v>9782.39</v>
      </c>
      <c r="AS44" s="13">
        <f t="shared" si="106"/>
        <v>49333.75</v>
      </c>
      <c r="AT44" s="68">
        <f>AM44-AS44</f>
        <v>666.25</v>
      </c>
      <c r="AU44" s="268">
        <f t="shared" si="67"/>
        <v>0.98667499999999997</v>
      </c>
      <c r="AV44" s="13">
        <f t="shared" si="44"/>
        <v>40000</v>
      </c>
      <c r="AW44" s="13">
        <f t="shared" si="107"/>
        <v>6521.79</v>
      </c>
      <c r="AX44" s="13">
        <f t="shared" si="107"/>
        <v>9897.39</v>
      </c>
      <c r="AY44" s="13">
        <f t="shared" si="107"/>
        <v>9874.99</v>
      </c>
      <c r="AZ44" s="13">
        <f>SUMIFS(SALIDAS_BIT,FECHA_BIT,"&gt;="&amp;AZ$2,FECHA_BIT,"&lt;="&amp;AZ$3,CLAVE_BIT,$A44)+SUMIFS(SALIDAS_BOV1,FECHA_BOV1,"&gt;="&amp;AZ$2,FECHA_BOV1,"&lt;="&amp;AZ$3,CLAVE_BOV1,$A44)+SUMIFS(SALIDAS_BOV2,FECHA_BOV2,"&gt;="&amp;AZ$2,FECHA_BOV2,"&lt;="&amp;AZ$3,CLAVE_BOV2,$A44)+SUMIFS(SALIDAS_BOV3,FECHA_BOV3,"&gt;="&amp;AZ$2,FECHA_BOV3,"&lt;="&amp;AZ$3,CLAVE_BOV3,$A44)+SUMIFS(SALIDAS_TC,FECHA_TC,"&gt;="&amp;AZ$2,FECHA_TC,"&lt;="&amp;AZ$3,CLAVE_TC,$A44)+SUMIFS(SALIDAS_COMB,FECHA_COMB,"&gt;="&amp;AZ$2,FECHA_COMB,"&lt;="&amp;AZ$3,CLAVE_COMB,$A44)+SUMIFS(SALIDAS_DES,FECHA_DESGLOSEN,"&gt;="&amp;AZ$2,FECHA_DESGLOSEN,"&lt;="&amp;AZ$3,CLAVE_DESGLOSE,$A44)</f>
        <v>9874.99</v>
      </c>
      <c r="BA44" s="13">
        <f t="shared" si="107"/>
        <v>36169.159999999996</v>
      </c>
      <c r="BB44" s="68">
        <f t="shared" si="68"/>
        <v>3830.8400000000038</v>
      </c>
      <c r="BC44" s="268">
        <f t="shared" si="69"/>
        <v>0.90422899999999995</v>
      </c>
      <c r="BD44" s="13">
        <f t="shared" si="46"/>
        <v>40000</v>
      </c>
      <c r="BE44" s="13">
        <f>SUMIFS(SALIDAS_BIT,FECHA_BIT,"&gt;="&amp;BE$2,FECHA_BIT,"&lt;="&amp;BE$3,CLAVE_BIT,$A44)+SUMIFS(SALIDAS_BOV1,FECHA_BOV1,"&gt;="&amp;BE$2,FECHA_BOV1,"&lt;="&amp;BE$3,CLAVE_BOV1,$A44)+SUMIFS(SALIDAS_BOV2,FECHA_BOV2,"&gt;="&amp;BE$2,FECHA_BOV2,"&lt;="&amp;BE$3,CLAVE_BOV2,$A44)+SUMIFS(SALIDAS_BOV3,FECHA_BOV3,"&gt;="&amp;BE$2,FECHA_BOV3,"&lt;="&amp;BE$3,CLAVE_BOV3,$A44)+SUMIFS(SALIDAS_TC,FECHA_TC,"&gt;="&amp;BE$2,FECHA_TC,"&lt;="&amp;BE$3,CLAVE_TC,$A44)+SUMIFS(SALIDAS_COMB,FECHA_COMB,"&gt;="&amp;BE$2,FECHA_COMB,"&lt;="&amp;BE$3,CLAVE_COMB,$A44)+SUMIFS(SALIDAS_DES,FECHA_DESGLOSEN,"&gt;="&amp;BE$2,FECHA_DESGLOSEN,"&lt;="&amp;BE$3,CLAVE_DESGLOSE,$A44)</f>
        <v>10388.19</v>
      </c>
      <c r="BF44" s="13">
        <f>SUMIFS(SALIDAS_BIT,FECHA_BIT,"&gt;="&amp;BF$2,FECHA_BIT,"&lt;="&amp;BF$3,CLAVE_BIT,$A44)+SUMIFS(SALIDAS_BOV1,FECHA_BOV1,"&gt;="&amp;BF$2,FECHA_BOV1,"&lt;="&amp;BF$3,CLAVE_BOV1,$A44)+SUMIFS(SALIDAS_BOV2,FECHA_BOV2,"&gt;="&amp;BF$2,FECHA_BOV2,"&lt;="&amp;BF$3,CLAVE_BOV2,$A44)+SUMIFS(SALIDAS_BOV3,FECHA_BOV3,"&gt;="&amp;BF$2,FECHA_BOV3,"&lt;="&amp;BF$3,CLAVE_BOV3,$A44)+SUMIFS(SALIDAS_TC,FECHA_TC,"&gt;="&amp;BF$2,FECHA_TC,"&lt;="&amp;BF$3,CLAVE_TC,$A44)+SUMIFS(SALIDAS_COMB,FECHA_COMB,"&gt;="&amp;BF$2,FECHA_COMB,"&lt;="&amp;BF$3,CLAVE_COMB,$A44)+SUMIFS(SALIDAS_DES,FECHA_DESGLOSEN,"&gt;="&amp;BF$2,FECHA_DESGLOSEN,"&lt;="&amp;BF$3,CLAVE_DESGLOSE,$A44)</f>
        <v>9887.99</v>
      </c>
      <c r="BG44" s="13">
        <f>SUMIFS(SALIDAS_BIT,FECHA_BIT,"&gt;="&amp;BG$2,FECHA_BIT,"&lt;="&amp;BG$3,CLAVE_BIT,$A44)+SUMIFS(SALIDAS_BOV1,FECHA_BOV1,"&gt;="&amp;BG$2,FECHA_BOV1,"&lt;="&amp;BG$3,CLAVE_BOV1,$A44)+SUMIFS(SALIDAS_BOV2,FECHA_BOV2,"&gt;="&amp;BG$2,FECHA_BOV2,"&lt;="&amp;BG$3,CLAVE_BOV2,$A44)+SUMIFS(SALIDAS_BOV3,FECHA_BOV3,"&gt;="&amp;BG$2,FECHA_BOV3,"&lt;="&amp;BG$3,CLAVE_BOV3,$A44)+SUMIFS(SALIDAS_TC,FECHA_TC,"&gt;="&amp;BG$2,FECHA_TC,"&lt;="&amp;BG$3,CLAVE_TC,$A44)+SUMIFS(SALIDAS_COMB,FECHA_COMB,"&gt;="&amp;BG$2,FECHA_COMB,"&lt;="&amp;BG$3,CLAVE_COMB,$A44)+SUMIFS(SALIDAS_DES,FECHA_DESGLOSEN,"&gt;="&amp;BG$2,FECHA_DESGLOSEN,"&lt;="&amp;BG$3,CLAVE_DESGLOSE,$A44)</f>
        <v>9888.19</v>
      </c>
      <c r="BH44" s="13">
        <f>SUMIFS(SALIDAS_BIT,FECHA_BIT,"&gt;="&amp;BH$2,FECHA_BIT,"&lt;="&amp;BH$3,CLAVE_BIT,$A44)+SUMIFS(SALIDAS_BOV1,FECHA_BOV1,"&gt;="&amp;BH$2,FECHA_BOV1,"&lt;="&amp;BH$3,CLAVE_BOV1,$A44)+SUMIFS(SALIDAS_BOV2,FECHA_BOV2,"&gt;="&amp;BH$2,FECHA_BOV2,"&lt;="&amp;BH$3,CLAVE_BOV2,$A44)+SUMIFS(SALIDAS_BOV3,FECHA_BOV3,"&gt;="&amp;BH$2,FECHA_BOV3,"&lt;="&amp;BH$3,CLAVE_BOV3,$A44)+SUMIFS(SALIDAS_TC,FECHA_TC,"&gt;="&amp;BH$2,FECHA_TC,"&lt;="&amp;BH$3,CLAVE_TC,$A44)+SUMIFS(SALIDAS_COMB,FECHA_COMB,"&gt;="&amp;BH$2,FECHA_COMB,"&lt;="&amp;BH$3,CLAVE_COMB,$A44)+SUMIFS(SALIDAS_DES,FECHA_DESGLOSEN,"&gt;="&amp;BH$2,FECHA_DESGLOSEN,"&lt;="&amp;BH$3,CLAVE_DESGLOSE,$A44)</f>
        <v>11212</v>
      </c>
      <c r="BI44" s="13">
        <f>SUMIFS(SALIDAS_BIT,FECHA_BIT,"&gt;="&amp;BI$2,FECHA_BIT,"&lt;="&amp;BI$3,CLAVE_BIT,$A44)+SUMIFS(SALIDAS_BOV1,FECHA_BOV1,"&gt;="&amp;BI$2,FECHA_BOV1,"&lt;="&amp;BI$3,CLAVE_BOV1,$A44)+SUMIFS(SALIDAS_BOV2,FECHA_BOV2,"&gt;="&amp;BI$2,FECHA_BOV2,"&lt;="&amp;BI$3,CLAVE_BOV2,$A44)+SUMIFS(SALIDAS_BOV3,FECHA_BOV3,"&gt;="&amp;BI$2,FECHA_BOV3,"&lt;="&amp;BI$3,CLAVE_BOV3,$A44)+SUMIFS(SALIDAS_TC,FECHA_TC,"&gt;="&amp;BI$2,FECHA_TC,"&lt;="&amp;BI$3,CLAVE_TC,$A44)+SUMIFS(SALIDAS_COMB,FECHA_COMB,"&gt;="&amp;BI$2,FECHA_COMB,"&lt;="&amp;BI$3,CLAVE_COMB,$A44)+SUMIFS(SALIDAS_DES,FECHA_DESGLOSEN,"&gt;="&amp;BI$2,FECHA_DESGLOSEN,"&lt;="&amp;BI$3,CLAVE_DESGLOSE,$A44)</f>
        <v>41376.370000000003</v>
      </c>
      <c r="BJ44" s="68">
        <f t="shared" si="70"/>
        <v>-1376.3700000000026</v>
      </c>
      <c r="BK44" s="401">
        <f t="shared" si="71"/>
        <v>1.0344092500000002</v>
      </c>
      <c r="BL44" s="13">
        <f t="shared" si="47"/>
        <v>50000</v>
      </c>
      <c r="BM44" s="13">
        <f>SUMIFS(SALIDAS_BIT,FECHA_BIT,"&gt;="&amp;BM$2,FECHA_BIT,"&lt;="&amp;BM$3,CLAVE_BIT,$A44)+SUMIFS(SALIDAS_BOV1,FECHA_BOV1,"&gt;="&amp;BM$2,FECHA_BOV1,"&lt;="&amp;BM$3,CLAVE_BOV1,$A44)+SUMIFS(SALIDAS_BOV2,FECHA_BOV2,"&gt;="&amp;BM$2,FECHA_BOV2,"&lt;="&amp;BM$3,CLAVE_BOV2,$A44)+SUMIFS(SALIDAS_BOV3,FECHA_BOV3,"&gt;="&amp;BM$2,FECHA_BOV3,"&lt;="&amp;BM$3,CLAVE_BOV3,$A44)+SUMIFS(SALIDAS_TC,FECHA_TC,"&gt;="&amp;BM$2,FECHA_TC,"&lt;="&amp;BM$3,CLAVE_TC,$A44)+SUMIFS(SALIDAS_COMB,FECHA_COMB,"&gt;="&amp;BM$2,FECHA_COMB,"&lt;="&amp;BM$3,CLAVE_COMB,$A44)+SUMIFS(SALIDAS_DES,FECHA_DESGLOSEN,"&gt;="&amp;BM$2,FECHA_DESGLOSEN,"&lt;="&amp;BM$3,CLAVE_DESGLOSE,$A44)</f>
        <v>9874.2900000000009</v>
      </c>
      <c r="BN44" s="13">
        <f>SUMIFS(SALIDAS_BIT,FECHA_BIT,"&gt;="&amp;BN$2,FECHA_BIT,"&lt;="&amp;BN$3,CLAVE_BIT,$A44)+SUMIFS(SALIDAS_BOV1,FECHA_BOV1,"&gt;="&amp;BN$2,FECHA_BOV1,"&lt;="&amp;BN$3,CLAVE_BOV1,$A44)+SUMIFS(SALIDAS_BOV2,FECHA_BOV2,"&gt;="&amp;BN$2,FECHA_BOV2,"&lt;="&amp;BN$3,CLAVE_BOV2,$A44)+SUMIFS(SALIDAS_BOV3,FECHA_BOV3,"&gt;="&amp;BN$2,FECHA_BOV3,"&lt;="&amp;BN$3,CLAVE_BOV3,$A44)+SUMIFS(SALIDAS_TC,FECHA_TC,"&gt;="&amp;BN$2,FECHA_TC,"&lt;="&amp;BN$3,CLAVE_TC,$A44)+SUMIFS(SALIDAS_COMB,FECHA_COMB,"&gt;="&amp;BN$2,FECHA_COMB,"&lt;="&amp;BN$3,CLAVE_COMB,$A44)+SUMIFS(SALIDAS_DES,FECHA_DESGLOSEN,"&gt;="&amp;BN$2,FECHA_DESGLOSEN,"&lt;="&amp;BN$3,CLAVE_DESGLOSE,$A44)</f>
        <v>9874.69</v>
      </c>
      <c r="BO44" s="13">
        <f>SUMIFS(SALIDAS_BIT,FECHA_BIT,"&gt;="&amp;BO$2,FECHA_BIT,"&lt;="&amp;BO$3,CLAVE_BIT,$A44)+SUMIFS(SALIDAS_BOV1,FECHA_BOV1,"&gt;="&amp;BO$2,FECHA_BOV1,"&lt;="&amp;BO$3,CLAVE_BOV1,$A44)+SUMIFS(SALIDAS_BOV2,FECHA_BOV2,"&gt;="&amp;BO$2,FECHA_BOV2,"&lt;="&amp;BO$3,CLAVE_BOV2,$A44)+SUMIFS(SALIDAS_BOV3,FECHA_BOV3,"&gt;="&amp;BO$2,FECHA_BOV3,"&lt;="&amp;BO$3,CLAVE_BOV3,$A44)+SUMIFS(SALIDAS_TC,FECHA_TC,"&gt;="&amp;BO$2,FECHA_TC,"&lt;="&amp;BO$3,CLAVE_TC,$A44)+SUMIFS(SALIDAS_COMB,FECHA_COMB,"&gt;="&amp;BO$2,FECHA_COMB,"&lt;="&amp;BO$3,CLAVE_COMB,$A44)+SUMIFS(SALIDAS_DES,FECHA_DESGLOSEN,"&gt;="&amp;BO$2,FECHA_DESGLOSEN,"&lt;="&amp;BO$3,CLAVE_DESGLOSE,$A44)</f>
        <v>9874.89</v>
      </c>
      <c r="BP44" s="13">
        <f>SUMIFS(SALIDAS_BIT,FECHA_BIT,"&gt;="&amp;BP$2,FECHA_BIT,"&lt;="&amp;BP$3,CLAVE_BIT,$A44)+SUMIFS(SALIDAS_BOV1,FECHA_BOV1,"&gt;="&amp;BP$2,FECHA_BOV1,"&lt;="&amp;BP$3,CLAVE_BOV1,$A44)+SUMIFS(SALIDAS_BOV2,FECHA_BOV2,"&gt;="&amp;BP$2,FECHA_BOV2,"&lt;="&amp;BP$3,CLAVE_BOV2,$A44)+SUMIFS(SALIDAS_BOV3,FECHA_BOV3,"&gt;="&amp;BP$2,FECHA_BOV3,"&lt;="&amp;BP$3,CLAVE_BOV3,$A44)+SUMIFS(SALIDAS_TC,FECHA_TC,"&gt;="&amp;BP$2,FECHA_TC,"&lt;="&amp;BP$3,CLAVE_TC,$A44)+SUMIFS(SALIDAS_COMB,FECHA_COMB,"&gt;="&amp;BP$2,FECHA_COMB,"&lt;="&amp;BP$3,CLAVE_COMB,$A44)+SUMIFS(SALIDAS_DES,FECHA_DESGLOSEN,"&gt;="&amp;BP$2,FECHA_DESGLOSEN,"&lt;="&amp;BP$3,CLAVE_DESGLOSE,$A44)</f>
        <v>9205</v>
      </c>
      <c r="BQ44" s="13">
        <f>SUMIFS(SALIDAS_BIT,FECHA_BIT,"&gt;="&amp;BQ$2,FECHA_BIT,"&lt;="&amp;BQ$3,CLAVE_BIT,$A44)+SUMIFS(SALIDAS_BOV1,FECHA_BOV1,"&gt;="&amp;BQ$2,FECHA_BOV1,"&lt;="&amp;BQ$3,CLAVE_BOV1,$A44)+SUMIFS(SALIDAS_BOV2,FECHA_BOV2,"&gt;="&amp;BQ$2,FECHA_BOV2,"&lt;="&amp;BQ$3,CLAVE_BOV2,$A44)+SUMIFS(SALIDAS_BOV3,FECHA_BOV3,"&gt;="&amp;BQ$2,FECHA_BOV3,"&lt;="&amp;BQ$3,CLAVE_BOV3,$A44)+SUMIFS(SALIDAS_TC,FECHA_TC,"&gt;="&amp;BQ$2,FECHA_TC,"&lt;="&amp;BQ$3,CLAVE_TC,$A44)+SUMIFS(SALIDAS_COMB,FECHA_COMB,"&gt;="&amp;BQ$2,FECHA_COMB,"&lt;="&amp;BQ$3,CLAVE_COMB,$A44)+SUMIFS(SALIDAS_DES,FECHA_DESGLOSEN,"&gt;="&amp;BQ$2,FECHA_DESGLOSEN,"&lt;="&amp;BQ$3,CLAVE_DESGLOSE,$A44)</f>
        <v>9874</v>
      </c>
      <c r="BR44" s="13">
        <f>SUMIFS(SALIDAS_BIT,FECHA_BIT,"&gt;="&amp;BR$2,FECHA_BIT,"&lt;="&amp;BR$3,CLAVE_BIT,$A44)+SUMIFS(SALIDAS_BOV1,FECHA_BOV1,"&gt;="&amp;BR$2,FECHA_BOV1,"&lt;="&amp;BR$3,CLAVE_BOV1,$A44)+SUMIFS(SALIDAS_BOV2,FECHA_BOV2,"&gt;="&amp;BR$2,FECHA_BOV2,"&lt;="&amp;BR$3,CLAVE_BOV2,$A44)+SUMIFS(SALIDAS_BOV3,FECHA_BOV3,"&gt;="&amp;BR$2,FECHA_BOV3,"&lt;="&amp;BR$3,CLAVE_BOV3,$A44)+SUMIFS(SALIDAS_TC,FECHA_TC,"&gt;="&amp;BR$2,FECHA_TC,"&lt;="&amp;BR$3,CLAVE_TC,$A44)+SUMIFS(SALIDAS_COMB,FECHA_COMB,"&gt;="&amp;BR$2,FECHA_COMB,"&lt;="&amp;BR$3,CLAVE_COMB,$A44)+SUMIFS(SALIDAS_DES,FECHA_DESGLOSEN,"&gt;="&amp;BR$2,FECHA_DESGLOSEN,"&lt;="&amp;BR$3,CLAVE_DESGLOSE,$A44)</f>
        <v>48702.87</v>
      </c>
      <c r="BS44" s="68">
        <f t="shared" si="72"/>
        <v>1297.1299999999974</v>
      </c>
      <c r="BT44" s="268">
        <f t="shared" si="73"/>
        <v>0.97405740000000007</v>
      </c>
      <c r="BU44" s="13">
        <f t="shared" si="49"/>
        <v>40000</v>
      </c>
      <c r="BV44" s="13">
        <f t="shared" si="90"/>
        <v>9205.4</v>
      </c>
      <c r="BW44" s="13">
        <f t="shared" si="90"/>
        <v>9205.4</v>
      </c>
      <c r="BX44" s="13">
        <f t="shared" si="90"/>
        <v>10074</v>
      </c>
      <c r="BY44" s="13">
        <f t="shared" si="90"/>
        <v>9875.2000000000007</v>
      </c>
      <c r="BZ44" s="13">
        <f t="shared" si="108"/>
        <v>38360</v>
      </c>
      <c r="CA44" s="68">
        <f t="shared" si="74"/>
        <v>1640</v>
      </c>
      <c r="CB44" s="268">
        <f t="shared" si="75"/>
        <v>0.95899999999999996</v>
      </c>
      <c r="CC44" s="13">
        <f t="shared" si="51"/>
        <v>40000</v>
      </c>
      <c r="CD44" s="13">
        <f t="shared" si="91"/>
        <v>9874.2000000000007</v>
      </c>
      <c r="CE44" s="13">
        <f t="shared" si="91"/>
        <v>8874.4</v>
      </c>
      <c r="CF44" s="13">
        <f t="shared" si="91"/>
        <v>6583.6</v>
      </c>
      <c r="CG44" s="13">
        <f t="shared" si="91"/>
        <v>9874.2000000000007</v>
      </c>
      <c r="CH44" s="13">
        <f t="shared" si="109"/>
        <v>35206.399999999994</v>
      </c>
      <c r="CI44" s="68">
        <f t="shared" si="76"/>
        <v>4793.6000000000058</v>
      </c>
      <c r="CJ44" s="268">
        <f t="shared" si="77"/>
        <v>0.88015999999999983</v>
      </c>
      <c r="CK44" s="13">
        <f t="shared" si="53"/>
        <v>50000</v>
      </c>
      <c r="CL44" s="13">
        <f t="shared" si="92"/>
        <v>9874</v>
      </c>
      <c r="CM44" s="13">
        <f t="shared" si="92"/>
        <v>10224</v>
      </c>
      <c r="CN44" s="13">
        <f t="shared" si="92"/>
        <v>10436.799999999999</v>
      </c>
      <c r="CO44" s="13">
        <f t="shared" si="92"/>
        <v>9635.2000000000007</v>
      </c>
      <c r="CP44" s="13">
        <f t="shared" si="92"/>
        <v>10874</v>
      </c>
      <c r="CQ44" s="13">
        <f t="shared" si="110"/>
        <v>51044</v>
      </c>
      <c r="CR44" s="68">
        <f t="shared" si="78"/>
        <v>-1044</v>
      </c>
      <c r="CS44" s="268">
        <f t="shared" si="79"/>
        <v>1.02088</v>
      </c>
      <c r="CT44" s="68">
        <f t="shared" si="55"/>
        <v>48000</v>
      </c>
      <c r="CU44" s="13">
        <f>SUMIFS(SALIDAS_BIT,FECHA_BIT,"&gt;="&amp;CU$2,FECHA_BIT,"&lt;="&amp;CU$3,CLAVE_BIT,$A44)+SUMIFS(SALIDAS_BOV1,FECHA_BOV1,"&gt;="&amp;CU$2,FECHA_BOV1,"&lt;="&amp;CU$3,CLAVE_BOV1,$A44)+SUMIFS(SALIDAS_BOV2,FECHA_BOV2,"&gt;="&amp;CU$2,FECHA_BOV2,"&lt;="&amp;CU$3,CLAVE_BOV2,$A44)+SUMIFS(SALIDAS_BOV3,FECHA_BOV3,"&gt;="&amp;CU$2,FECHA_BOV3,"&lt;="&amp;CU$3,CLAVE_BOV3,$A44)+SUMIFS(SALIDAS_TC,FECHA_TC,"&gt;="&amp;CU$2,FECHA_TC,"&lt;="&amp;CU$3,CLAVE_TC,$A44)+SUMIFS(SALIDAS_COMB,FECHA_COMB,"&gt;="&amp;CU$2,FECHA_COMB,"&lt;="&amp;CU$3,CLAVE_COMB,$A44)+SUMIFS(SALIDAS_DES,FECHA_DESGLOSEN,"&gt;="&amp;CU$2,FECHA_DESGLOSEN,"&lt;="&amp;CU$3,CLAVE_DESGLOSE,$A44)</f>
        <v>9900</v>
      </c>
      <c r="CV44" s="13">
        <f>SUMIFS(SALIDAS_BIT,FECHA_BIT,"&gt;="&amp;CV$2,FECHA_BIT,"&lt;="&amp;CV$3,CLAVE_BIT,$A44)+SUMIFS(SALIDAS_BOV1,FECHA_BOV1,"&gt;="&amp;CV$2,FECHA_BOV1,"&lt;="&amp;CV$3,CLAVE_BOV1,$A44)+SUMIFS(SALIDAS_BOV2,FECHA_BOV2,"&gt;="&amp;CV$2,FECHA_BOV2,"&lt;="&amp;CV$3,CLAVE_BOV2,$A44)+SUMIFS(SALIDAS_BOV3,FECHA_BOV3,"&gt;="&amp;CV$2,FECHA_BOV3,"&lt;="&amp;CV$3,CLAVE_BOV3,$A44)+SUMIFS(SALIDAS_TC,FECHA_TC,"&gt;="&amp;CV$2,FECHA_TC,"&lt;="&amp;CV$3,CLAVE_TC,$A44)+SUMIFS(SALIDAS_COMB,FECHA_COMB,"&gt;="&amp;CV$2,FECHA_COMB,"&lt;="&amp;CV$3,CLAVE_COMB,$A44)+SUMIFS(SALIDAS_DES,FECHA_DESGLOSEN,"&gt;="&amp;CV$2,FECHA_DESGLOSEN,"&lt;="&amp;CV$3,CLAVE_DESGLOSE,$A44)</f>
        <v>9900.2000000000007</v>
      </c>
      <c r="CW44" s="13">
        <f>SUMIFS(SALIDAS_BIT,FECHA_BIT,"&gt;="&amp;CW$2,FECHA_BIT,"&lt;="&amp;CW$3,CLAVE_BIT,$A44)+SUMIFS(SALIDAS_BOV1,FECHA_BOV1,"&gt;="&amp;CW$2,FECHA_BOV1,"&lt;="&amp;CW$3,CLAVE_BOV1,$A44)+SUMIFS(SALIDAS_BOV2,FECHA_BOV2,"&gt;="&amp;CW$2,FECHA_BOV2,"&lt;="&amp;CW$3,CLAVE_BOV2,$A44)+SUMIFS(SALIDAS_BOV3,FECHA_BOV3,"&gt;="&amp;CW$2,FECHA_BOV3,"&lt;="&amp;CW$3,CLAVE_BOV3,$A44)+SUMIFS(SALIDAS_TC,FECHA_TC,"&gt;="&amp;CW$2,FECHA_TC,"&lt;="&amp;CW$3,CLAVE_TC,$A44)+SUMIFS(SALIDAS_COMB,FECHA_COMB,"&gt;="&amp;CW$2,FECHA_COMB,"&lt;="&amp;CW$3,CLAVE_COMB,$A44)+SUMIFS(SALIDAS_DES,FECHA_DESGLOSEN,"&gt;="&amp;CW$2,FECHA_DESGLOSEN,"&lt;="&amp;CW$3,CLAVE_DESGLOSE,$A44)</f>
        <v>10090</v>
      </c>
      <c r="CX44" s="13">
        <f>SUMIFS(SALIDAS_BIT,FECHA_BIT,"&gt;="&amp;CX$2,FECHA_BIT,"&lt;="&amp;CX$3,CLAVE_BIT,$A44)+SUMIFS(SALIDAS_BOV1,FECHA_BOV1,"&gt;="&amp;CX$2,FECHA_BOV1,"&lt;="&amp;CX$3,CLAVE_BOV1,$A44)+SUMIFS(SALIDAS_BOV2,FECHA_BOV2,"&gt;="&amp;CX$2,FECHA_BOV2,"&lt;="&amp;CX$3,CLAVE_BOV2,$A44)+SUMIFS(SALIDAS_BOV3,FECHA_BOV3,"&gt;="&amp;CX$2,FECHA_BOV3,"&lt;="&amp;CX$3,CLAVE_BOV3,$A44)+SUMIFS(SALIDAS_TC,FECHA_TC,"&gt;="&amp;CX$2,FECHA_TC,"&lt;="&amp;CX$3,CLAVE_TC,$A44)+SUMIFS(SALIDAS_COMB,FECHA_COMB,"&gt;="&amp;CX$2,FECHA_COMB,"&lt;="&amp;CX$3,CLAVE_COMB,$A44)+SUMIFS(SALIDAS_DES,FECHA_DESGLOSEN,"&gt;="&amp;CX$2,FECHA_DESGLOSEN,"&lt;="&amp;CX$3,CLAVE_DESGLOSE,$A44)</f>
        <v>10090</v>
      </c>
      <c r="CY44" s="13">
        <f>SUMIFS(SALIDAS_BIT,FECHA_BIT,"&gt;="&amp;CY$2,FECHA_BIT,"&lt;="&amp;CY$3,CLAVE_BIT,$A44)+SUMIFS(SALIDAS_BOV1,FECHA_BOV1,"&gt;="&amp;CY$2,FECHA_BOV1,"&lt;="&amp;CY$3,CLAVE_BOV1,$A44)+SUMIFS(SALIDAS_BOV2,FECHA_BOV2,"&gt;="&amp;CY$2,FECHA_BOV2,"&lt;="&amp;CY$3,CLAVE_BOV2,$A44)+SUMIFS(SALIDAS_BOV3,FECHA_BOV3,"&gt;="&amp;CY$2,FECHA_BOV3,"&lt;="&amp;CY$3,CLAVE_BOV3,$A44)+SUMIFS(SALIDAS_TC,FECHA_TC,"&gt;="&amp;CY$2,FECHA_TC,"&lt;="&amp;CY$3,CLAVE_TC,$A44)+SUMIFS(SALIDAS_COMB,FECHA_COMB,"&gt;="&amp;CY$2,FECHA_COMB,"&lt;="&amp;CY$3,CLAVE_COMB,$A44)+SUMIFS(SALIDAS_DES,FECHA_DESGLOSEN,"&gt;="&amp;CY$2,FECHA_DESGLOSEN,"&lt;="&amp;CY$3,CLAVE_DESGLOSE,$A44)</f>
        <v>39980.199999999997</v>
      </c>
      <c r="CZ44" s="68">
        <f t="shared" si="80"/>
        <v>8019.8000000000029</v>
      </c>
      <c r="DB44" s="17">
        <f>F44+N44+W44+AE44+AM44+AV44+BD44+BL44+BU44+CC44+CK44</f>
        <v>480000</v>
      </c>
      <c r="DC44" s="17">
        <f>K44+T44+AB44+AJ44+AS44+BA44+BI44+BR44+BZ44+CH44+CQ44</f>
        <v>458032.57999999996</v>
      </c>
    </row>
    <row r="45" spans="1:107" hidden="1">
      <c r="A45" s="12" t="str">
        <f t="shared" si="57"/>
        <v>FINANZASNOMINA ADMONRECURSOS HUMANOS</v>
      </c>
      <c r="B45" s="12">
        <v>39</v>
      </c>
      <c r="C45" t="s">
        <v>23</v>
      </c>
      <c r="D45" s="12" t="s">
        <v>147</v>
      </c>
      <c r="E45" s="12" t="s">
        <v>125</v>
      </c>
      <c r="F45" s="259">
        <f t="shared" si="58"/>
        <v>43208</v>
      </c>
      <c r="G45" s="13">
        <f t="shared" si="102"/>
        <v>10623.2</v>
      </c>
      <c r="H45" s="13">
        <f t="shared" si="102"/>
        <v>9440.7999999999993</v>
      </c>
      <c r="I45" s="13">
        <f t="shared" si="102"/>
        <v>11149.2</v>
      </c>
      <c r="J45" s="13">
        <f t="shared" si="102"/>
        <v>13124.4</v>
      </c>
      <c r="K45" s="13">
        <f t="shared" si="102"/>
        <v>44337.599999999999</v>
      </c>
      <c r="L45" s="68">
        <f t="shared" si="59"/>
        <v>-1129.5999999999985</v>
      </c>
      <c r="M45" s="268">
        <f t="shared" si="60"/>
        <v>1.0261433067950378</v>
      </c>
      <c r="N45" s="13">
        <f t="shared" si="36"/>
        <v>54010</v>
      </c>
      <c r="O45" s="13">
        <f t="shared" si="103"/>
        <v>10360.379999999999</v>
      </c>
      <c r="P45" s="13">
        <f t="shared" si="103"/>
        <v>10749.78</v>
      </c>
      <c r="Q45" s="13">
        <f t="shared" si="103"/>
        <v>10530.18</v>
      </c>
      <c r="R45" s="13">
        <f t="shared" si="103"/>
        <v>10931.76</v>
      </c>
      <c r="S45" s="13">
        <f t="shared" si="103"/>
        <v>10748.98</v>
      </c>
      <c r="T45" s="13">
        <f t="shared" si="103"/>
        <v>53321.08</v>
      </c>
      <c r="U45" s="68">
        <f t="shared" si="61"/>
        <v>688.91999999999825</v>
      </c>
      <c r="V45" s="268">
        <f t="shared" si="62"/>
        <v>0.98724458433623408</v>
      </c>
      <c r="W45" s="13">
        <f t="shared" si="38"/>
        <v>43208</v>
      </c>
      <c r="X45" s="13">
        <f t="shared" si="104"/>
        <v>10749.78</v>
      </c>
      <c r="Y45" s="13">
        <f t="shared" si="104"/>
        <v>10749.58</v>
      </c>
      <c r="Z45" s="13">
        <f t="shared" si="104"/>
        <v>9498.98</v>
      </c>
      <c r="AA45" s="13">
        <f t="shared" si="104"/>
        <v>9578.7800000000007</v>
      </c>
      <c r="AB45" s="13">
        <f t="shared" si="104"/>
        <v>40577.120000000003</v>
      </c>
      <c r="AC45" s="68">
        <f t="shared" si="63"/>
        <v>2630.8799999999974</v>
      </c>
      <c r="AD45" s="268">
        <f t="shared" si="64"/>
        <v>0.93911127568968711</v>
      </c>
      <c r="AE45" s="13">
        <f t="shared" si="40"/>
        <v>43208</v>
      </c>
      <c r="AF45" s="13">
        <f t="shared" si="105"/>
        <v>9578.7800000000007</v>
      </c>
      <c r="AG45" s="13">
        <f t="shared" si="105"/>
        <v>9964.4</v>
      </c>
      <c r="AH45" s="13">
        <f t="shared" si="105"/>
        <v>11049.18</v>
      </c>
      <c r="AI45" s="13">
        <f t="shared" si="105"/>
        <v>10750.18</v>
      </c>
      <c r="AJ45" s="13">
        <f t="shared" si="105"/>
        <v>41342.54</v>
      </c>
      <c r="AK45" s="68">
        <f t="shared" si="65"/>
        <v>1865.4599999999991</v>
      </c>
      <c r="AL45" s="268">
        <f t="shared" si="66"/>
        <v>0.95682605073134608</v>
      </c>
      <c r="AM45" s="13">
        <f t="shared" si="42"/>
        <v>54010</v>
      </c>
      <c r="AN45" s="13">
        <f t="shared" si="106"/>
        <v>9956.7800000000007</v>
      </c>
      <c r="AO45" s="13">
        <f t="shared" si="106"/>
        <v>11048.98</v>
      </c>
      <c r="AP45" s="13">
        <f t="shared" si="106"/>
        <v>10458.98</v>
      </c>
      <c r="AQ45" s="13">
        <f t="shared" si="106"/>
        <v>10333.98</v>
      </c>
      <c r="AR45" s="13">
        <f t="shared" si="106"/>
        <v>11715.78</v>
      </c>
      <c r="AS45" s="13">
        <f t="shared" si="106"/>
        <v>53514.5</v>
      </c>
      <c r="AT45" s="68">
        <f>AM45-AS45</f>
        <v>495.5</v>
      </c>
      <c r="AU45" s="268">
        <f t="shared" si="67"/>
        <v>0.99082577300499908</v>
      </c>
      <c r="AV45" s="13">
        <f t="shared" si="44"/>
        <v>43208</v>
      </c>
      <c r="AW45" s="13">
        <f t="shared" si="107"/>
        <v>10759.18</v>
      </c>
      <c r="AX45" s="13">
        <f t="shared" si="107"/>
        <v>10759.18</v>
      </c>
      <c r="AY45" s="13">
        <f t="shared" si="107"/>
        <v>11059.18</v>
      </c>
      <c r="AZ45" s="13">
        <f>SUMIFS(SALIDAS_BIT,FECHA_BIT,"&gt;="&amp;AZ$2,FECHA_BIT,"&lt;="&amp;AZ$3,CLAVE_BIT,$A45)+SUMIFS(SALIDAS_BOV1,FECHA_BOV1,"&gt;="&amp;AZ$2,FECHA_BOV1,"&lt;="&amp;AZ$3,CLAVE_BOV1,$A45)+SUMIFS(SALIDAS_BOV2,FECHA_BOV2,"&gt;="&amp;AZ$2,FECHA_BOV2,"&lt;="&amp;AZ$3,CLAVE_BOV2,$A45)+SUMIFS(SALIDAS_BOV3,FECHA_BOV3,"&gt;="&amp;AZ$2,FECHA_BOV3,"&lt;="&amp;AZ$3,CLAVE_BOV3,$A45)+SUMIFS(SALIDAS_TC,FECHA_TC,"&gt;="&amp;AZ$2,FECHA_TC,"&lt;="&amp;AZ$3,CLAVE_TC,$A45)+SUMIFS(SALIDAS_COMB,FECHA_COMB,"&gt;="&amp;AZ$2,FECHA_COMB,"&lt;="&amp;AZ$3,CLAVE_COMB,$A45)+SUMIFS(SALIDAS_DES,FECHA_DESGLOSEN,"&gt;="&amp;AZ$2,FECHA_DESGLOSEN,"&lt;="&amp;AZ$3,CLAVE_DESGLOSE,$A45)</f>
        <v>10759.18</v>
      </c>
      <c r="BA45" s="13">
        <f t="shared" si="107"/>
        <v>43336.72</v>
      </c>
      <c r="BB45" s="68">
        <f t="shared" si="68"/>
        <v>-128.72000000000116</v>
      </c>
      <c r="BC45" s="268">
        <f t="shared" si="69"/>
        <v>1.0029790779485281</v>
      </c>
      <c r="BD45" s="13">
        <f t="shared" si="46"/>
        <v>43208</v>
      </c>
      <c r="BE45" s="13">
        <f>SUMIFS(SALIDAS_BIT,FECHA_BIT,"&gt;="&amp;BE$2,FECHA_BIT,"&lt;="&amp;BE$3,CLAVE_BIT,$A45)+SUMIFS(SALIDAS_BOV1,FECHA_BOV1,"&gt;="&amp;BE$2,FECHA_BOV1,"&lt;="&amp;BE$3,CLAVE_BOV1,$A45)+SUMIFS(SALIDAS_BOV2,FECHA_BOV2,"&gt;="&amp;BE$2,FECHA_BOV2,"&lt;="&amp;BE$3,CLAVE_BOV2,$A45)+SUMIFS(SALIDAS_BOV3,FECHA_BOV3,"&gt;="&amp;BE$2,FECHA_BOV3,"&lt;="&amp;BE$3,CLAVE_BOV3,$A45)+SUMIFS(SALIDAS_TC,FECHA_TC,"&gt;="&amp;BE$2,FECHA_TC,"&lt;="&amp;BE$3,CLAVE_TC,$A45)+SUMIFS(SALIDAS_COMB,FECHA_COMB,"&gt;="&amp;BE$2,FECHA_COMB,"&lt;="&amp;BE$3,CLAVE_COMB,$A45)+SUMIFS(SALIDAS_DES,FECHA_DESGLOSEN,"&gt;="&amp;BE$2,FECHA_DESGLOSEN,"&lt;="&amp;BE$3,CLAVE_DESGLOSE,$A45)</f>
        <v>10375.98</v>
      </c>
      <c r="BF45" s="13">
        <f>SUMIFS(SALIDAS_BIT,FECHA_BIT,"&gt;="&amp;BF$2,FECHA_BIT,"&lt;="&amp;BF$3,CLAVE_BIT,$A45)+SUMIFS(SALIDAS_BOV1,FECHA_BOV1,"&gt;="&amp;BF$2,FECHA_BOV1,"&lt;="&amp;BF$3,CLAVE_BOV1,$A45)+SUMIFS(SALIDAS_BOV2,FECHA_BOV2,"&gt;="&amp;BF$2,FECHA_BOV2,"&lt;="&amp;BF$3,CLAVE_BOV2,$A45)+SUMIFS(SALIDAS_BOV3,FECHA_BOV3,"&gt;="&amp;BF$2,FECHA_BOV3,"&lt;="&amp;BF$3,CLAVE_BOV3,$A45)+SUMIFS(SALIDAS_TC,FECHA_TC,"&gt;="&amp;BF$2,FECHA_TC,"&lt;="&amp;BF$3,CLAVE_TC,$A45)+SUMIFS(SALIDAS_COMB,FECHA_COMB,"&gt;="&amp;BF$2,FECHA_COMB,"&lt;="&amp;BF$3,CLAVE_COMB,$A45)+SUMIFS(SALIDAS_DES,FECHA_DESGLOSEN,"&gt;="&amp;BF$2,FECHA_DESGLOSEN,"&lt;="&amp;BF$3,CLAVE_DESGLOSE,$A45)</f>
        <v>10659.58</v>
      </c>
      <c r="BG45" s="13">
        <f>SUMIFS(SALIDAS_BIT,FECHA_BIT,"&gt;="&amp;BG$2,FECHA_BIT,"&lt;="&amp;BG$3,CLAVE_BIT,$A45)+SUMIFS(SALIDAS_BOV1,FECHA_BOV1,"&gt;="&amp;BG$2,FECHA_BOV1,"&lt;="&amp;BG$3,CLAVE_BOV1,$A45)+SUMIFS(SALIDAS_BOV2,FECHA_BOV2,"&gt;="&amp;BG$2,FECHA_BOV2,"&lt;="&amp;BG$3,CLAVE_BOV2,$A45)+SUMIFS(SALIDAS_BOV3,FECHA_BOV3,"&gt;="&amp;BG$2,FECHA_BOV3,"&lt;="&amp;BG$3,CLAVE_BOV3,$A45)+SUMIFS(SALIDAS_TC,FECHA_TC,"&gt;="&amp;BG$2,FECHA_TC,"&lt;="&amp;BG$3,CLAVE_TC,$A45)+SUMIFS(SALIDAS_COMB,FECHA_COMB,"&gt;="&amp;BG$2,FECHA_COMB,"&lt;="&amp;BG$3,CLAVE_COMB,$A45)+SUMIFS(SALIDAS_DES,FECHA_DESGLOSEN,"&gt;="&amp;BG$2,FECHA_DESGLOSEN,"&lt;="&amp;BG$3,CLAVE_DESGLOSE,$A45)</f>
        <v>9769.7800000000007</v>
      </c>
      <c r="BH45" s="13">
        <f>SUMIFS(SALIDAS_BIT,FECHA_BIT,"&gt;="&amp;BH$2,FECHA_BIT,"&lt;="&amp;BH$3,CLAVE_BIT,$A45)+SUMIFS(SALIDAS_BOV1,FECHA_BOV1,"&gt;="&amp;BH$2,FECHA_BOV1,"&lt;="&amp;BH$3,CLAVE_BOV1,$A45)+SUMIFS(SALIDAS_BOV2,FECHA_BOV2,"&gt;="&amp;BH$2,FECHA_BOV2,"&lt;="&amp;BH$3,CLAVE_BOV2,$A45)+SUMIFS(SALIDAS_BOV3,FECHA_BOV3,"&gt;="&amp;BH$2,FECHA_BOV3,"&lt;="&amp;BH$3,CLAVE_BOV3,$A45)+SUMIFS(SALIDAS_TC,FECHA_TC,"&gt;="&amp;BH$2,FECHA_TC,"&lt;="&amp;BH$3,CLAVE_TC,$A45)+SUMIFS(SALIDAS_COMB,FECHA_COMB,"&gt;="&amp;BH$2,FECHA_COMB,"&lt;="&amp;BH$3,CLAVE_COMB,$A45)+SUMIFS(SALIDAS_DES,FECHA_DESGLOSEN,"&gt;="&amp;BH$2,FECHA_DESGLOSEN,"&lt;="&amp;BH$3,CLAVE_DESGLOSE,$A45)</f>
        <v>10156</v>
      </c>
      <c r="BI45" s="13">
        <f>SUMIFS(SALIDAS_BIT,FECHA_BIT,"&gt;="&amp;BI$2,FECHA_BIT,"&lt;="&amp;BI$3,CLAVE_BIT,$A45)+SUMIFS(SALIDAS_BOV1,FECHA_BOV1,"&gt;="&amp;BI$2,FECHA_BOV1,"&lt;="&amp;BI$3,CLAVE_BOV1,$A45)+SUMIFS(SALIDAS_BOV2,FECHA_BOV2,"&gt;="&amp;BI$2,FECHA_BOV2,"&lt;="&amp;BI$3,CLAVE_BOV2,$A45)+SUMIFS(SALIDAS_BOV3,FECHA_BOV3,"&gt;="&amp;BI$2,FECHA_BOV3,"&lt;="&amp;BI$3,CLAVE_BOV3,$A45)+SUMIFS(SALIDAS_TC,FECHA_TC,"&gt;="&amp;BI$2,FECHA_TC,"&lt;="&amp;BI$3,CLAVE_TC,$A45)+SUMIFS(SALIDAS_COMB,FECHA_COMB,"&gt;="&amp;BI$2,FECHA_COMB,"&lt;="&amp;BI$3,CLAVE_COMB,$A45)+SUMIFS(SALIDAS_DES,FECHA_DESGLOSEN,"&gt;="&amp;BI$2,FECHA_DESGLOSEN,"&lt;="&amp;BI$3,CLAVE_DESGLOSE,$A45)</f>
        <v>40961.339999999997</v>
      </c>
      <c r="BJ45" s="68">
        <f t="shared" si="70"/>
        <v>2246.6600000000035</v>
      </c>
      <c r="BK45" s="268">
        <f t="shared" si="71"/>
        <v>0.94800361044251058</v>
      </c>
      <c r="BL45" s="13">
        <f t="shared" si="47"/>
        <v>54010</v>
      </c>
      <c r="BM45" s="13">
        <f>SUMIFS(SALIDAS_BIT,FECHA_BIT,"&gt;="&amp;BM$2,FECHA_BIT,"&lt;="&amp;BM$3,CLAVE_BIT,$A45)+SUMIFS(SALIDAS_BOV1,FECHA_BOV1,"&gt;="&amp;BM$2,FECHA_BOV1,"&lt;="&amp;BM$3,CLAVE_BOV1,$A45)+SUMIFS(SALIDAS_BOV2,FECHA_BOV2,"&gt;="&amp;BM$2,FECHA_BOV2,"&lt;="&amp;BM$3,CLAVE_BOV2,$A45)+SUMIFS(SALIDAS_BOV3,FECHA_BOV3,"&gt;="&amp;BM$2,FECHA_BOV3,"&lt;="&amp;BM$3,CLAVE_BOV3,$A45)+SUMIFS(SALIDAS_TC,FECHA_TC,"&gt;="&amp;BM$2,FECHA_TC,"&lt;="&amp;BM$3,CLAVE_TC,$A45)+SUMIFS(SALIDAS_COMB,FECHA_COMB,"&gt;="&amp;BM$2,FECHA_COMB,"&lt;="&amp;BM$3,CLAVE_COMB,$A45)+SUMIFS(SALIDAS_DES,FECHA_DESGLOSEN,"&gt;="&amp;BM$2,FECHA_DESGLOSEN,"&lt;="&amp;BM$3,CLAVE_DESGLOSE,$A45)</f>
        <v>9592.98</v>
      </c>
      <c r="BN45" s="13">
        <f>SUMIFS(SALIDAS_BIT,FECHA_BIT,"&gt;="&amp;BN$2,FECHA_BIT,"&lt;="&amp;BN$3,CLAVE_BIT,$A45)+SUMIFS(SALIDAS_BOV1,FECHA_BOV1,"&gt;="&amp;BN$2,FECHA_BOV1,"&lt;="&amp;BN$3,CLAVE_BOV1,$A45)+SUMIFS(SALIDAS_BOV2,FECHA_BOV2,"&gt;="&amp;BN$2,FECHA_BOV2,"&lt;="&amp;BN$3,CLAVE_BOV2,$A45)+SUMIFS(SALIDAS_BOV3,FECHA_BOV3,"&gt;="&amp;BN$2,FECHA_BOV3,"&lt;="&amp;BN$3,CLAVE_BOV3,$A45)+SUMIFS(SALIDAS_TC,FECHA_TC,"&gt;="&amp;BN$2,FECHA_TC,"&lt;="&amp;BN$3,CLAVE_TC,$A45)+SUMIFS(SALIDAS_COMB,FECHA_COMB,"&gt;="&amp;BN$2,FECHA_COMB,"&lt;="&amp;BN$3,CLAVE_COMB,$A45)+SUMIFS(SALIDAS_DES,FECHA_DESGLOSEN,"&gt;="&amp;BN$2,FECHA_DESGLOSEN,"&lt;="&amp;BN$3,CLAVE_DESGLOSE,$A45)</f>
        <v>11348.78</v>
      </c>
      <c r="BO45" s="13">
        <f>SUMIFS(SALIDAS_BIT,FECHA_BIT,"&gt;="&amp;BO$2,FECHA_BIT,"&lt;="&amp;BO$3,CLAVE_BIT,$A45)+SUMIFS(SALIDAS_BOV1,FECHA_BOV1,"&gt;="&amp;BO$2,FECHA_BOV1,"&lt;="&amp;BO$3,CLAVE_BOV1,$A45)+SUMIFS(SALIDAS_BOV2,FECHA_BOV2,"&gt;="&amp;BO$2,FECHA_BOV2,"&lt;="&amp;BO$3,CLAVE_BOV2,$A45)+SUMIFS(SALIDAS_BOV3,FECHA_BOV3,"&gt;="&amp;BO$2,FECHA_BOV3,"&lt;="&amp;BO$3,CLAVE_BOV3,$A45)+SUMIFS(SALIDAS_TC,FECHA_TC,"&gt;="&amp;BO$2,FECHA_TC,"&lt;="&amp;BO$3,CLAVE_TC,$A45)+SUMIFS(SALIDAS_COMB,FECHA_COMB,"&gt;="&amp;BO$2,FECHA_COMB,"&lt;="&amp;BO$3,CLAVE_COMB,$A45)+SUMIFS(SALIDAS_DES,FECHA_DESGLOSEN,"&gt;="&amp;BO$2,FECHA_DESGLOSEN,"&lt;="&amp;BO$3,CLAVE_DESGLOSE,$A45)</f>
        <v>9578.7800000000007</v>
      </c>
      <c r="BP45" s="13">
        <f>SUMIFS(SALIDAS_BIT,FECHA_BIT,"&gt;="&amp;BP$2,FECHA_BIT,"&lt;="&amp;BP$3,CLAVE_BIT,$A45)+SUMIFS(SALIDAS_BOV1,FECHA_BOV1,"&gt;="&amp;BP$2,FECHA_BOV1,"&lt;="&amp;BP$3,CLAVE_BOV1,$A45)+SUMIFS(SALIDAS_BOV2,FECHA_BOV2,"&gt;="&amp;BP$2,FECHA_BOV2,"&lt;="&amp;BP$3,CLAVE_BOV2,$A45)+SUMIFS(SALIDAS_BOV3,FECHA_BOV3,"&gt;="&amp;BP$2,FECHA_BOV3,"&lt;="&amp;BP$3,CLAVE_BOV3,$A45)+SUMIFS(SALIDAS_TC,FECHA_TC,"&gt;="&amp;BP$2,FECHA_TC,"&lt;="&amp;BP$3,CLAVE_TC,$A45)+SUMIFS(SALIDAS_COMB,FECHA_COMB,"&gt;="&amp;BP$2,FECHA_COMB,"&lt;="&amp;BP$3,CLAVE_COMB,$A45)+SUMIFS(SALIDAS_DES,FECHA_DESGLOSEN,"&gt;="&amp;BP$2,FECHA_DESGLOSEN,"&lt;="&amp;BP$3,CLAVE_DESGLOSE,$A45)</f>
        <v>10278.58</v>
      </c>
      <c r="BQ45" s="13">
        <f>SUMIFS(SALIDAS_BIT,FECHA_BIT,"&gt;="&amp;BQ$2,FECHA_BIT,"&lt;="&amp;BQ$3,CLAVE_BIT,$A45)+SUMIFS(SALIDAS_BOV1,FECHA_BOV1,"&gt;="&amp;BQ$2,FECHA_BOV1,"&lt;="&amp;BQ$3,CLAVE_BOV1,$A45)+SUMIFS(SALIDAS_BOV2,FECHA_BOV2,"&gt;="&amp;BQ$2,FECHA_BOV2,"&lt;="&amp;BQ$3,CLAVE_BOV2,$A45)+SUMIFS(SALIDAS_BOV3,FECHA_BOV3,"&gt;="&amp;BQ$2,FECHA_BOV3,"&lt;="&amp;BQ$3,CLAVE_BOV3,$A45)+SUMIFS(SALIDAS_TC,FECHA_TC,"&gt;="&amp;BQ$2,FECHA_TC,"&lt;="&amp;BQ$3,CLAVE_TC,$A45)+SUMIFS(SALIDAS_COMB,FECHA_COMB,"&gt;="&amp;BQ$2,FECHA_COMB,"&lt;="&amp;BQ$3,CLAVE_COMB,$A45)+SUMIFS(SALIDAS_DES,FECHA_DESGLOSEN,"&gt;="&amp;BQ$2,FECHA_DESGLOSEN,"&lt;="&amp;BQ$3,CLAVE_DESGLOSE,$A45)</f>
        <v>10748.98</v>
      </c>
      <c r="BR45" s="13">
        <f>SUMIFS(SALIDAS_BIT,FECHA_BIT,"&gt;="&amp;BR$2,FECHA_BIT,"&lt;="&amp;BR$3,CLAVE_BIT,$A45)+SUMIFS(SALIDAS_BOV1,FECHA_BOV1,"&gt;="&amp;BR$2,FECHA_BOV1,"&lt;="&amp;BR$3,CLAVE_BOV1,$A45)+SUMIFS(SALIDAS_BOV2,FECHA_BOV2,"&gt;="&amp;BR$2,FECHA_BOV2,"&lt;="&amp;BR$3,CLAVE_BOV2,$A45)+SUMIFS(SALIDAS_BOV3,FECHA_BOV3,"&gt;="&amp;BR$2,FECHA_BOV3,"&lt;="&amp;BR$3,CLAVE_BOV3,$A45)+SUMIFS(SALIDAS_TC,FECHA_TC,"&gt;="&amp;BR$2,FECHA_TC,"&lt;="&amp;BR$3,CLAVE_TC,$A45)+SUMIFS(SALIDAS_COMB,FECHA_COMB,"&gt;="&amp;BR$2,FECHA_COMB,"&lt;="&amp;BR$3,CLAVE_COMB,$A45)+SUMIFS(SALIDAS_DES,FECHA_DESGLOSEN,"&gt;="&amp;BR$2,FECHA_DESGLOSEN,"&lt;="&amp;BR$3,CLAVE_DESGLOSE,$A45)</f>
        <v>51548.100000000006</v>
      </c>
      <c r="BS45" s="68">
        <f t="shared" si="72"/>
        <v>2461.8999999999942</v>
      </c>
      <c r="BT45" s="268">
        <f t="shared" si="73"/>
        <v>0.95441770042584717</v>
      </c>
      <c r="BU45" s="13">
        <f t="shared" si="49"/>
        <v>43208</v>
      </c>
      <c r="BV45" s="13">
        <f t="shared" si="90"/>
        <v>10582.98</v>
      </c>
      <c r="BW45" s="13">
        <f t="shared" si="90"/>
        <v>10731.38</v>
      </c>
      <c r="BX45" s="13">
        <f t="shared" si="90"/>
        <v>12208.98</v>
      </c>
      <c r="BY45" s="13">
        <f t="shared" si="90"/>
        <v>11151.38</v>
      </c>
      <c r="BZ45" s="13">
        <f t="shared" si="108"/>
        <v>44674.719999999994</v>
      </c>
      <c r="CA45" s="68">
        <f t="shared" si="74"/>
        <v>-1466.7199999999939</v>
      </c>
      <c r="CB45" s="268">
        <f t="shared" si="75"/>
        <v>1.0339455656359933</v>
      </c>
      <c r="CC45" s="13">
        <f t="shared" si="51"/>
        <v>43208</v>
      </c>
      <c r="CD45" s="13">
        <f t="shared" si="91"/>
        <v>11296.03</v>
      </c>
      <c r="CE45" s="13">
        <f t="shared" si="91"/>
        <v>11500.85</v>
      </c>
      <c r="CF45" s="13">
        <f t="shared" si="91"/>
        <v>11908.65</v>
      </c>
      <c r="CG45" s="13">
        <f t="shared" si="91"/>
        <v>12001.05</v>
      </c>
      <c r="CH45" s="13">
        <f t="shared" si="109"/>
        <v>46706.58</v>
      </c>
      <c r="CI45" s="68">
        <f t="shared" si="76"/>
        <v>-3498.5800000000017</v>
      </c>
      <c r="CJ45" s="268">
        <f t="shared" si="77"/>
        <v>1.08097065358267</v>
      </c>
      <c r="CK45" s="13">
        <f t="shared" si="53"/>
        <v>54010</v>
      </c>
      <c r="CL45" s="13">
        <f t="shared" si="92"/>
        <v>12000.85</v>
      </c>
      <c r="CM45" s="13">
        <f t="shared" si="92"/>
        <v>12001.25</v>
      </c>
      <c r="CN45" s="13">
        <f t="shared" si="92"/>
        <v>12936.85</v>
      </c>
      <c r="CO45" s="13">
        <f t="shared" si="92"/>
        <v>12757.03</v>
      </c>
      <c r="CP45" s="13">
        <f t="shared" si="92"/>
        <v>17671.43</v>
      </c>
      <c r="CQ45" s="13">
        <f t="shared" si="110"/>
        <v>67367.41</v>
      </c>
      <c r="CR45" s="68">
        <f t="shared" si="78"/>
        <v>-13357.410000000003</v>
      </c>
      <c r="CS45" s="268">
        <f t="shared" si="79"/>
        <v>1.2473136456211813</v>
      </c>
      <c r="CT45" s="68">
        <f t="shared" si="55"/>
        <v>44000</v>
      </c>
      <c r="CU45" s="13">
        <f>SUMIFS(SALIDAS_BIT,FECHA_BIT,"&gt;="&amp;CU$2,FECHA_BIT,"&lt;="&amp;CU$3,CLAVE_BIT,$A45)+SUMIFS(SALIDAS_BOV1,FECHA_BOV1,"&gt;="&amp;CU$2,FECHA_BOV1,"&lt;="&amp;CU$3,CLAVE_BOV1,$A45)+SUMIFS(SALIDAS_BOV2,FECHA_BOV2,"&gt;="&amp;CU$2,FECHA_BOV2,"&lt;="&amp;CU$3,CLAVE_BOV2,$A45)+SUMIFS(SALIDAS_BOV3,FECHA_BOV3,"&gt;="&amp;CU$2,FECHA_BOV3,"&lt;="&amp;CU$3,CLAVE_BOV3,$A45)+SUMIFS(SALIDAS_TC,FECHA_TC,"&gt;="&amp;CU$2,FECHA_TC,"&lt;="&amp;CU$3,CLAVE_TC,$A45)+SUMIFS(SALIDAS_COMB,FECHA_COMB,"&gt;="&amp;CU$2,FECHA_COMB,"&lt;="&amp;CU$3,CLAVE_COMB,$A45)+SUMIFS(SALIDAS_DES,FECHA_DESGLOSEN,"&gt;="&amp;CU$2,FECHA_DESGLOSEN,"&lt;="&amp;CU$3,CLAVE_DESGLOSE,$A45)</f>
        <v>12381.43</v>
      </c>
      <c r="CV45" s="13">
        <f>SUMIFS(SALIDAS_BIT,FECHA_BIT,"&gt;="&amp;CV$2,FECHA_BIT,"&lt;="&amp;CV$3,CLAVE_BIT,$A45)+SUMIFS(SALIDAS_BOV1,FECHA_BOV1,"&gt;="&amp;CV$2,FECHA_BOV1,"&lt;="&amp;CV$3,CLAVE_BOV1,$A45)+SUMIFS(SALIDAS_BOV2,FECHA_BOV2,"&gt;="&amp;CV$2,FECHA_BOV2,"&lt;="&amp;CV$3,CLAVE_BOV2,$A45)+SUMIFS(SALIDAS_BOV3,FECHA_BOV3,"&gt;="&amp;CV$2,FECHA_BOV3,"&lt;="&amp;CV$3,CLAVE_BOV3,$A45)+SUMIFS(SALIDAS_TC,FECHA_TC,"&gt;="&amp;CV$2,FECHA_TC,"&lt;="&amp;CV$3,CLAVE_TC,$A45)+SUMIFS(SALIDAS_COMB,FECHA_COMB,"&gt;="&amp;CV$2,FECHA_COMB,"&lt;="&amp;CV$3,CLAVE_COMB,$A45)+SUMIFS(SALIDAS_DES,FECHA_DESGLOSEN,"&gt;="&amp;CV$2,FECHA_DESGLOSEN,"&lt;="&amp;CV$3,CLAVE_DESGLOSE,$A45)</f>
        <v>12201.43</v>
      </c>
      <c r="CW45" s="13">
        <f>SUMIFS(SALIDAS_BIT,FECHA_BIT,"&gt;="&amp;CW$2,FECHA_BIT,"&lt;="&amp;CW$3,CLAVE_BIT,$A45)+SUMIFS(SALIDAS_BOV1,FECHA_BOV1,"&gt;="&amp;CW$2,FECHA_BOV1,"&lt;="&amp;CW$3,CLAVE_BOV1,$A45)+SUMIFS(SALIDAS_BOV2,FECHA_BOV2,"&gt;="&amp;CW$2,FECHA_BOV2,"&lt;="&amp;CW$3,CLAVE_BOV2,$A45)+SUMIFS(SALIDAS_BOV3,FECHA_BOV3,"&gt;="&amp;CW$2,FECHA_BOV3,"&lt;="&amp;CW$3,CLAVE_BOV3,$A45)+SUMIFS(SALIDAS_TC,FECHA_TC,"&gt;="&amp;CW$2,FECHA_TC,"&lt;="&amp;CW$3,CLAVE_TC,$A45)+SUMIFS(SALIDAS_COMB,FECHA_COMB,"&gt;="&amp;CW$2,FECHA_COMB,"&lt;="&amp;CW$3,CLAVE_COMB,$A45)+SUMIFS(SALIDAS_DES,FECHA_DESGLOSEN,"&gt;="&amp;CW$2,FECHA_DESGLOSEN,"&lt;="&amp;CW$3,CLAVE_DESGLOSE,$A45)</f>
        <v>12321.63</v>
      </c>
      <c r="CX45" s="13">
        <f>SUMIFS(SALIDAS_BIT,FECHA_BIT,"&gt;="&amp;CX$2,FECHA_BIT,"&lt;="&amp;CX$3,CLAVE_BIT,$A45)+SUMIFS(SALIDAS_BOV1,FECHA_BOV1,"&gt;="&amp;CX$2,FECHA_BOV1,"&lt;="&amp;CX$3,CLAVE_BOV1,$A45)+SUMIFS(SALIDAS_BOV2,FECHA_BOV2,"&gt;="&amp;CX$2,FECHA_BOV2,"&lt;="&amp;CX$3,CLAVE_BOV2,$A45)+SUMIFS(SALIDAS_BOV3,FECHA_BOV3,"&gt;="&amp;CX$2,FECHA_BOV3,"&lt;="&amp;CX$3,CLAVE_BOV3,$A45)+SUMIFS(SALIDAS_TC,FECHA_TC,"&gt;="&amp;CX$2,FECHA_TC,"&lt;="&amp;CX$3,CLAVE_TC,$A45)+SUMIFS(SALIDAS_COMB,FECHA_COMB,"&gt;="&amp;CX$2,FECHA_COMB,"&lt;="&amp;CX$3,CLAVE_COMB,$A45)+SUMIFS(SALIDAS_DES,FECHA_DESGLOSEN,"&gt;="&amp;CX$2,FECHA_DESGLOSEN,"&lt;="&amp;CX$3,CLAVE_DESGLOSE,$A45)</f>
        <v>10040.629999999999</v>
      </c>
      <c r="CY45" s="13">
        <f>SUMIFS(SALIDAS_BIT,FECHA_BIT,"&gt;="&amp;CY$2,FECHA_BIT,"&lt;="&amp;CY$3,CLAVE_BIT,$A45)+SUMIFS(SALIDAS_BOV1,FECHA_BOV1,"&gt;="&amp;CY$2,FECHA_BOV1,"&lt;="&amp;CY$3,CLAVE_BOV1,$A45)+SUMIFS(SALIDAS_BOV2,FECHA_BOV2,"&gt;="&amp;CY$2,FECHA_BOV2,"&lt;="&amp;CY$3,CLAVE_BOV2,$A45)+SUMIFS(SALIDAS_BOV3,FECHA_BOV3,"&gt;="&amp;CY$2,FECHA_BOV3,"&lt;="&amp;CY$3,CLAVE_BOV3,$A45)+SUMIFS(SALIDAS_TC,FECHA_TC,"&gt;="&amp;CY$2,FECHA_TC,"&lt;="&amp;CY$3,CLAVE_TC,$A45)+SUMIFS(SALIDAS_COMB,FECHA_COMB,"&gt;="&amp;CY$2,FECHA_COMB,"&lt;="&amp;CY$3,CLAVE_COMB,$A45)+SUMIFS(SALIDAS_DES,FECHA_DESGLOSEN,"&gt;="&amp;CY$2,FECHA_DESGLOSEN,"&lt;="&amp;CY$3,CLAVE_DESGLOSE,$A45)</f>
        <v>46945.119999999995</v>
      </c>
      <c r="CZ45" s="68">
        <f t="shared" si="80"/>
        <v>-2945.1199999999953</v>
      </c>
      <c r="DB45" s="17">
        <f>F45+N45+W45+AE45+AM45+AV45+BD45+BL45+BU45+CC45+CK45</f>
        <v>518496</v>
      </c>
      <c r="DC45" s="17">
        <f>K45+T45+AB45+AJ45+AS45+BA45+BI45+BR45+BZ45+CH45+CQ45</f>
        <v>527687.71</v>
      </c>
    </row>
    <row r="46" spans="1:107" hidden="1">
      <c r="A46" s="12" t="str">
        <f>C46&amp;D46&amp;E46</f>
        <v>FINANZASNOMINA ADMONTESORERIA</v>
      </c>
      <c r="B46" s="12">
        <v>40</v>
      </c>
      <c r="C46" t="s">
        <v>23</v>
      </c>
      <c r="D46" s="12" t="s">
        <v>147</v>
      </c>
      <c r="E46" s="12" t="s">
        <v>38</v>
      </c>
      <c r="F46" s="259">
        <f t="shared" si="58"/>
        <v>49196</v>
      </c>
      <c r="G46" s="13">
        <f t="shared" si="102"/>
        <v>12203</v>
      </c>
      <c r="H46" s="13">
        <f t="shared" si="102"/>
        <v>12050.8</v>
      </c>
      <c r="I46" s="13">
        <f t="shared" si="102"/>
        <v>11893</v>
      </c>
      <c r="J46" s="13">
        <f t="shared" si="102"/>
        <v>11946.8</v>
      </c>
      <c r="K46" s="13">
        <f t="shared" si="102"/>
        <v>48093.600000000006</v>
      </c>
      <c r="L46" s="68">
        <f t="shared" si="59"/>
        <v>1102.3999999999942</v>
      </c>
      <c r="M46" s="268">
        <f t="shared" si="60"/>
        <v>0.97759167411984726</v>
      </c>
      <c r="N46" s="13">
        <f t="shared" si="36"/>
        <v>61495</v>
      </c>
      <c r="O46" s="13">
        <f t="shared" si="103"/>
        <v>11825</v>
      </c>
      <c r="P46" s="13">
        <f t="shared" si="103"/>
        <v>12203</v>
      </c>
      <c r="Q46" s="13">
        <f t="shared" si="103"/>
        <v>12123</v>
      </c>
      <c r="R46" s="13">
        <f t="shared" si="103"/>
        <v>12109.4</v>
      </c>
      <c r="S46" s="13">
        <f t="shared" si="103"/>
        <v>12122.8</v>
      </c>
      <c r="T46" s="13">
        <f t="shared" si="103"/>
        <v>60383.199999999997</v>
      </c>
      <c r="U46" s="68">
        <f t="shared" si="61"/>
        <v>1111.8000000000029</v>
      </c>
      <c r="V46" s="268">
        <f t="shared" si="62"/>
        <v>0.98192048133994625</v>
      </c>
      <c r="W46" s="13">
        <f t="shared" si="38"/>
        <v>49196</v>
      </c>
      <c r="X46" s="13">
        <f t="shared" si="104"/>
        <v>12123</v>
      </c>
      <c r="Y46" s="13">
        <f t="shared" si="104"/>
        <v>10935.8</v>
      </c>
      <c r="Z46" s="13">
        <f t="shared" si="104"/>
        <v>11916.8</v>
      </c>
      <c r="AA46" s="13">
        <f t="shared" si="104"/>
        <v>11871.2</v>
      </c>
      <c r="AB46" s="13">
        <f t="shared" si="104"/>
        <v>46846.8</v>
      </c>
      <c r="AC46" s="68">
        <f t="shared" si="63"/>
        <v>2349.1999999999971</v>
      </c>
      <c r="AD46" s="268">
        <f t="shared" si="64"/>
        <v>0.95224815025611842</v>
      </c>
      <c r="AE46" s="13">
        <f t="shared" si="40"/>
        <v>49196</v>
      </c>
      <c r="AF46" s="13">
        <f t="shared" si="105"/>
        <v>11931</v>
      </c>
      <c r="AG46" s="13">
        <f t="shared" si="105"/>
        <v>15112.8</v>
      </c>
      <c r="AH46" s="13">
        <f t="shared" si="105"/>
        <v>12886.62</v>
      </c>
      <c r="AI46" s="13">
        <f>SUMIFS(SALIDAS_BIT,FECHA_BIT,"&gt;="&amp;AI$2,FECHA_BIT,"&lt;="&amp;AI$3,CLAVE_BIT,$A46)+SUMIFS(SALIDAS_BOV1,FECHA_BOV1,"&gt;="&amp;AI$2,FECHA_BOV1,"&lt;="&amp;AI$3,CLAVE_BOV1,$A46)+SUMIFS(SALIDAS_BOV2,FECHA_BOV2,"&gt;="&amp;AI$2,FECHA_BOV2,"&lt;="&amp;AI$3,CLAVE_BOV2,$A46)+SUMIFS(SALIDAS_BOV3,FECHA_BOV3,"&gt;="&amp;AI$2,FECHA_BOV3,"&lt;="&amp;AI$3,CLAVE_BOV3,$A46)+SUMIFS(SALIDAS_TC,FECHA_TC,"&gt;="&amp;AI$2,FECHA_TC,"&lt;="&amp;AI$3,CLAVE_TC,$A46)+SUMIFS(SALIDAS_COMB,FECHA_COMB,"&gt;="&amp;AI$2,FECHA_COMB,"&lt;="&amp;AI$3,CLAVE_COMB,$A46)+SUMIFS(SALIDAS_DES,FECHA_DESGLOSEN,"&gt;="&amp;AI$2,FECHA_DESGLOSEN,"&lt;="&amp;AI$3,CLAVE_DESGLOSE,$A46)</f>
        <v>14363.4</v>
      </c>
      <c r="AJ46" s="13">
        <f t="shared" si="105"/>
        <v>54293.82</v>
      </c>
      <c r="AK46" s="68">
        <f t="shared" si="65"/>
        <v>-5097.82</v>
      </c>
      <c r="AL46" s="268">
        <f t="shared" si="66"/>
        <v>1.1036226522481503</v>
      </c>
      <c r="AM46" s="13">
        <f t="shared" si="42"/>
        <v>61495</v>
      </c>
      <c r="AN46" s="13">
        <f t="shared" si="106"/>
        <v>12409.2</v>
      </c>
      <c r="AO46" s="13">
        <f t="shared" si="106"/>
        <v>12153.2</v>
      </c>
      <c r="AP46" s="13">
        <f t="shared" si="106"/>
        <v>12564.8</v>
      </c>
      <c r="AQ46" s="13">
        <f t="shared" si="106"/>
        <v>12248.8</v>
      </c>
      <c r="AR46" s="13">
        <f t="shared" si="106"/>
        <v>12155.4</v>
      </c>
      <c r="AS46" s="13">
        <f t="shared" si="106"/>
        <v>61531.4</v>
      </c>
      <c r="AT46" s="68">
        <f>AM46-AS46</f>
        <v>-36.400000000001455</v>
      </c>
      <c r="AU46" s="268">
        <f t="shared" si="67"/>
        <v>1.0005919180421172</v>
      </c>
      <c r="AV46" s="13">
        <f t="shared" si="44"/>
        <v>49196</v>
      </c>
      <c r="AW46" s="13">
        <f t="shared" si="107"/>
        <v>12249</v>
      </c>
      <c r="AX46" s="13">
        <f t="shared" si="107"/>
        <v>12224</v>
      </c>
      <c r="AY46" s="13">
        <f t="shared" si="107"/>
        <v>13086.81</v>
      </c>
      <c r="AZ46" s="13">
        <f>SUMIFS(SALIDAS_BIT,FECHA_BIT,"&gt;="&amp;AZ$2,FECHA_BIT,"&lt;="&amp;AZ$3,CLAVE_BIT,$A46)+SUMIFS(SALIDAS_BOV1,FECHA_BOV1,"&gt;="&amp;AZ$2,FECHA_BOV1,"&lt;="&amp;AZ$3,CLAVE_BOV1,$A46)+SUMIFS(SALIDAS_BOV2,FECHA_BOV2,"&gt;="&amp;AZ$2,FECHA_BOV2,"&lt;="&amp;AZ$3,CLAVE_BOV2,$A46)+SUMIFS(SALIDAS_BOV3,FECHA_BOV3,"&gt;="&amp;AZ$2,FECHA_BOV3,"&lt;="&amp;AZ$3,CLAVE_BOV3,$A46)+SUMIFS(SALIDAS_TC,FECHA_TC,"&gt;="&amp;AZ$2,FECHA_TC,"&lt;="&amp;AZ$3,CLAVE_TC,$A46)+SUMIFS(SALIDAS_COMB,FECHA_COMB,"&gt;="&amp;AZ$2,FECHA_COMB,"&lt;="&amp;AZ$3,CLAVE_COMB,$A46)+SUMIFS(SALIDAS_DES,FECHA_DESGLOSEN,"&gt;="&amp;AZ$2,FECHA_DESGLOSEN,"&lt;="&amp;AZ$3,CLAVE_DESGLOSE,$A46)</f>
        <v>11755.01</v>
      </c>
      <c r="BA46" s="13">
        <f t="shared" si="107"/>
        <v>49314.82</v>
      </c>
      <c r="BB46" s="68">
        <f t="shared" si="68"/>
        <v>-118.81999999999971</v>
      </c>
      <c r="BC46" s="268">
        <f t="shared" si="69"/>
        <v>1.0024152370111392</v>
      </c>
      <c r="BD46" s="13">
        <f t="shared" si="46"/>
        <v>49196</v>
      </c>
      <c r="BE46" s="13">
        <f>SUMIFS(SALIDAS_BIT,FECHA_BIT,"&gt;="&amp;BE$2,FECHA_BIT,"&lt;="&amp;BE$3,CLAVE_BIT,$A46)+SUMIFS(SALIDAS_BOV1,FECHA_BOV1,"&gt;="&amp;BE$2,FECHA_BOV1,"&lt;="&amp;BE$3,CLAVE_BOV1,$A46)+SUMIFS(SALIDAS_BOV2,FECHA_BOV2,"&gt;="&amp;BE$2,FECHA_BOV2,"&lt;="&amp;BE$3,CLAVE_BOV2,$A46)+SUMIFS(SALIDAS_BOV3,FECHA_BOV3,"&gt;="&amp;BE$2,FECHA_BOV3,"&lt;="&amp;BE$3,CLAVE_BOV3,$A46)+SUMIFS(SALIDAS_TC,FECHA_TC,"&gt;="&amp;BE$2,FECHA_TC,"&lt;="&amp;BE$3,CLAVE_TC,$A46)+SUMIFS(SALIDAS_COMB,FECHA_COMB,"&gt;="&amp;BE$2,FECHA_COMB,"&lt;="&amp;BE$3,CLAVE_COMB,$A46)+SUMIFS(SALIDAS_DES,FECHA_DESGLOSEN,"&gt;="&amp;BE$2,FECHA_DESGLOSEN,"&lt;="&amp;BE$3,CLAVE_DESGLOSE,$A46)</f>
        <v>12408.2</v>
      </c>
      <c r="BF46" s="13">
        <f>SUMIFS(SALIDAS_BIT,FECHA_BIT,"&gt;="&amp;BF$2,FECHA_BIT,"&lt;="&amp;BF$3,CLAVE_BIT,$A46)+SUMIFS(SALIDAS_BOV1,FECHA_BOV1,"&gt;="&amp;BF$2,FECHA_BOV1,"&lt;="&amp;BF$3,CLAVE_BOV1,$A46)+SUMIFS(SALIDAS_BOV2,FECHA_BOV2,"&gt;="&amp;BF$2,FECHA_BOV2,"&lt;="&amp;BF$3,CLAVE_BOV2,$A46)+SUMIFS(SALIDAS_BOV3,FECHA_BOV3,"&gt;="&amp;BF$2,FECHA_BOV3,"&lt;="&amp;BF$3,CLAVE_BOV3,$A46)+SUMIFS(SALIDAS_TC,FECHA_TC,"&gt;="&amp;BF$2,FECHA_TC,"&lt;="&amp;BF$3,CLAVE_TC,$A46)+SUMIFS(SALIDAS_COMB,FECHA_COMB,"&gt;="&amp;BF$2,FECHA_COMB,"&lt;="&amp;BF$3,CLAVE_COMB,$A46)+SUMIFS(SALIDAS_DES,FECHA_DESGLOSEN,"&gt;="&amp;BF$2,FECHA_DESGLOSEN,"&lt;="&amp;BF$3,CLAVE_DESGLOSE,$A46)</f>
        <v>12300.02</v>
      </c>
      <c r="BG46" s="13">
        <f>SUMIFS(SALIDAS_BIT,FECHA_BIT,"&gt;="&amp;BG$2,FECHA_BIT,"&lt;="&amp;BG$3,CLAVE_BIT,$A46)+SUMIFS(SALIDAS_BOV1,FECHA_BOV1,"&gt;="&amp;BG$2,FECHA_BOV1,"&lt;="&amp;BG$3,CLAVE_BOV1,$A46)+SUMIFS(SALIDAS_BOV2,FECHA_BOV2,"&gt;="&amp;BG$2,FECHA_BOV2,"&lt;="&amp;BG$3,CLAVE_BOV2,$A46)+SUMIFS(SALIDAS_BOV3,FECHA_BOV3,"&gt;="&amp;BG$2,FECHA_BOV3,"&lt;="&amp;BG$3,CLAVE_BOV3,$A46)+SUMIFS(SALIDAS_TC,FECHA_TC,"&gt;="&amp;BG$2,FECHA_TC,"&lt;="&amp;BG$3,CLAVE_TC,$A46)+SUMIFS(SALIDAS_COMB,FECHA_COMB,"&gt;="&amp;BG$2,FECHA_COMB,"&lt;="&amp;BG$3,CLAVE_COMB,$A46)+SUMIFS(SALIDAS_DES,FECHA_DESGLOSEN,"&gt;="&amp;BG$2,FECHA_DESGLOSEN,"&lt;="&amp;BG$3,CLAVE_DESGLOSE,$A46)</f>
        <v>11851.2</v>
      </c>
      <c r="BH46" s="13">
        <f>SUMIFS(SALIDAS_BIT,FECHA_BIT,"&gt;="&amp;BH$2,FECHA_BIT,"&lt;="&amp;BH$3,CLAVE_BIT,$A46)+SUMIFS(SALIDAS_BOV1,FECHA_BOV1,"&gt;="&amp;BH$2,FECHA_BOV1,"&lt;="&amp;BH$3,CLAVE_BOV1,$A46)+SUMIFS(SALIDAS_BOV2,FECHA_BOV2,"&gt;="&amp;BH$2,FECHA_BOV2,"&lt;="&amp;BH$3,CLAVE_BOV2,$A46)+SUMIFS(SALIDAS_BOV3,FECHA_BOV3,"&gt;="&amp;BH$2,FECHA_BOV3,"&lt;="&amp;BH$3,CLAVE_BOV3,$A46)+SUMIFS(SALIDAS_TC,FECHA_TC,"&gt;="&amp;BH$2,FECHA_TC,"&lt;="&amp;BH$3,CLAVE_TC,$A46)+SUMIFS(SALIDAS_COMB,FECHA_COMB,"&gt;="&amp;BH$2,FECHA_COMB,"&lt;="&amp;BH$3,CLAVE_COMB,$A46)+SUMIFS(SALIDAS_DES,FECHA_DESGLOSEN,"&gt;="&amp;BH$2,FECHA_DESGLOSEN,"&lt;="&amp;BH$3,CLAVE_DESGLOSE,$A46)</f>
        <v>12249</v>
      </c>
      <c r="BI46" s="13">
        <f>SUMIFS(SALIDAS_BIT,FECHA_BIT,"&gt;="&amp;BI$2,FECHA_BIT,"&lt;="&amp;BI$3,CLAVE_BIT,$A46)+SUMIFS(SALIDAS_BOV1,FECHA_BOV1,"&gt;="&amp;BI$2,FECHA_BOV1,"&lt;="&amp;BI$3,CLAVE_BOV1,$A46)+SUMIFS(SALIDAS_BOV2,FECHA_BOV2,"&gt;="&amp;BI$2,FECHA_BOV2,"&lt;="&amp;BI$3,CLAVE_BOV2,$A46)+SUMIFS(SALIDAS_BOV3,FECHA_BOV3,"&gt;="&amp;BI$2,FECHA_BOV3,"&lt;="&amp;BI$3,CLAVE_BOV3,$A46)+SUMIFS(SALIDAS_TC,FECHA_TC,"&gt;="&amp;BI$2,FECHA_TC,"&lt;="&amp;BI$3,CLAVE_TC,$A46)+SUMIFS(SALIDAS_COMB,FECHA_COMB,"&gt;="&amp;BI$2,FECHA_COMB,"&lt;="&amp;BI$3,CLAVE_COMB,$A46)+SUMIFS(SALIDAS_DES,FECHA_DESGLOSEN,"&gt;="&amp;BI$2,FECHA_DESGLOSEN,"&lt;="&amp;BI$3,CLAVE_DESGLOSE,$A46)</f>
        <v>48808.42</v>
      </c>
      <c r="BJ46" s="68">
        <f t="shared" si="70"/>
        <v>387.58000000000175</v>
      </c>
      <c r="BK46" s="401">
        <f t="shared" si="71"/>
        <v>0.99212171721278153</v>
      </c>
      <c r="BL46" s="13">
        <f t="shared" si="47"/>
        <v>61495</v>
      </c>
      <c r="BM46" s="13">
        <f>SUMIFS(SALIDAS_BIT,FECHA_BIT,"&gt;="&amp;BM$2,FECHA_BIT,"&lt;="&amp;BM$3,CLAVE_BIT,$A46)+SUMIFS(SALIDAS_BOV1,FECHA_BOV1,"&gt;="&amp;BM$2,FECHA_BOV1,"&lt;="&amp;BM$3,CLAVE_BOV1,$A46)+SUMIFS(SALIDAS_BOV2,FECHA_BOV2,"&gt;="&amp;BM$2,FECHA_BOV2,"&lt;="&amp;BM$3,CLAVE_BOV2,$A46)+SUMIFS(SALIDAS_BOV3,FECHA_BOV3,"&gt;="&amp;BM$2,FECHA_BOV3,"&lt;="&amp;BM$3,CLAVE_BOV3,$A46)+SUMIFS(SALIDAS_TC,FECHA_TC,"&gt;="&amp;BM$2,FECHA_TC,"&lt;="&amp;BM$3,CLAVE_TC,$A46)+SUMIFS(SALIDAS_COMB,FECHA_COMB,"&gt;="&amp;BM$2,FECHA_COMB,"&lt;="&amp;BM$3,CLAVE_COMB,$A46)+SUMIFS(SALIDAS_DES,FECHA_DESGLOSEN,"&gt;="&amp;BM$2,FECHA_DESGLOSEN,"&lt;="&amp;BM$3,CLAVE_DESGLOSE,$A46)</f>
        <v>13323.2</v>
      </c>
      <c r="BN46" s="13">
        <f>SUMIFS(SALIDAS_BIT,FECHA_BIT,"&gt;="&amp;BN$2,FECHA_BIT,"&lt;="&amp;BN$3,CLAVE_BIT,$A46)+SUMIFS(SALIDAS_BOV1,FECHA_BOV1,"&gt;="&amp;BN$2,FECHA_BOV1,"&lt;="&amp;BN$3,CLAVE_BOV1,$A46)+SUMIFS(SALIDAS_BOV2,FECHA_BOV2,"&gt;="&amp;BN$2,FECHA_BOV2,"&lt;="&amp;BN$3,CLAVE_BOV2,$A46)+SUMIFS(SALIDAS_BOV3,FECHA_BOV3,"&gt;="&amp;BN$2,FECHA_BOV3,"&lt;="&amp;BN$3,CLAVE_BOV3,$A46)+SUMIFS(SALIDAS_TC,FECHA_TC,"&gt;="&amp;BN$2,FECHA_TC,"&lt;="&amp;BN$3,CLAVE_TC,$A46)+SUMIFS(SALIDAS_COMB,FECHA_COMB,"&gt;="&amp;BN$2,FECHA_COMB,"&lt;="&amp;BN$3,CLAVE_COMB,$A46)+SUMIFS(SALIDAS_DES,FECHA_DESGLOSEN,"&gt;="&amp;BN$2,FECHA_DESGLOSEN,"&lt;="&amp;BN$3,CLAVE_DESGLOSE,$A46)</f>
        <v>12388.4</v>
      </c>
      <c r="BO46" s="13">
        <f>SUMIFS(SALIDAS_BIT,FECHA_BIT,"&gt;="&amp;BO$2,FECHA_BIT,"&lt;="&amp;BO$3,CLAVE_BIT,$A46)+SUMIFS(SALIDAS_BOV1,FECHA_BOV1,"&gt;="&amp;BO$2,FECHA_BOV1,"&lt;="&amp;BO$3,CLAVE_BOV1,$A46)+SUMIFS(SALIDAS_BOV2,FECHA_BOV2,"&gt;="&amp;BO$2,FECHA_BOV2,"&lt;="&amp;BO$3,CLAVE_BOV2,$A46)+SUMIFS(SALIDAS_BOV3,FECHA_BOV3,"&gt;="&amp;BO$2,FECHA_BOV3,"&lt;="&amp;BO$3,CLAVE_BOV3,$A46)+SUMIFS(SALIDAS_TC,FECHA_TC,"&gt;="&amp;BO$2,FECHA_TC,"&lt;="&amp;BO$3,CLAVE_TC,$A46)+SUMIFS(SALIDAS_COMB,FECHA_COMB,"&gt;="&amp;BO$2,FECHA_COMB,"&lt;="&amp;BO$3,CLAVE_COMB,$A46)+SUMIFS(SALIDAS_DES,FECHA_DESGLOSEN,"&gt;="&amp;BO$2,FECHA_DESGLOSEN,"&lt;="&amp;BO$3,CLAVE_DESGLOSE,$A46)</f>
        <v>12248</v>
      </c>
      <c r="BP46" s="13">
        <f>SUMIFS(SALIDAS_BIT,FECHA_BIT,"&gt;="&amp;BP$2,FECHA_BIT,"&lt;="&amp;BP$3,CLAVE_BIT,$A46)+SUMIFS(SALIDAS_BOV1,FECHA_BOV1,"&gt;="&amp;BP$2,FECHA_BOV1,"&lt;="&amp;BP$3,CLAVE_BOV1,$A46)+SUMIFS(SALIDAS_BOV2,FECHA_BOV2,"&gt;="&amp;BP$2,FECHA_BOV2,"&lt;="&amp;BP$3,CLAVE_BOV2,$A46)+SUMIFS(SALIDAS_BOV3,FECHA_BOV3,"&gt;="&amp;BP$2,FECHA_BOV3,"&lt;="&amp;BP$3,CLAVE_BOV3,$A46)+SUMIFS(SALIDAS_TC,FECHA_TC,"&gt;="&amp;BP$2,FECHA_TC,"&lt;="&amp;BP$3,CLAVE_TC,$A46)+SUMIFS(SALIDAS_COMB,FECHA_COMB,"&gt;="&amp;BP$2,FECHA_COMB,"&lt;="&amp;BP$3,CLAVE_COMB,$A46)+SUMIFS(SALIDAS_DES,FECHA_DESGLOSEN,"&gt;="&amp;BP$2,FECHA_DESGLOSEN,"&lt;="&amp;BP$3,CLAVE_DESGLOSE,$A46)</f>
        <v>11538.58</v>
      </c>
      <c r="BQ46" s="13">
        <f>SUMIFS(SALIDAS_BIT,FECHA_BIT,"&gt;="&amp;BQ$2,FECHA_BIT,"&lt;="&amp;BQ$3,CLAVE_BIT,$A46)+SUMIFS(SALIDAS_BOV1,FECHA_BOV1,"&gt;="&amp;BQ$2,FECHA_BOV1,"&lt;="&amp;BQ$3,CLAVE_BOV1,$A46)+SUMIFS(SALIDAS_BOV2,FECHA_BOV2,"&gt;="&amp;BQ$2,FECHA_BOV2,"&lt;="&amp;BQ$3,CLAVE_BOV2,$A46)+SUMIFS(SALIDAS_BOV3,FECHA_BOV3,"&gt;="&amp;BQ$2,FECHA_BOV3,"&lt;="&amp;BQ$3,CLAVE_BOV3,$A46)+SUMIFS(SALIDAS_TC,FECHA_TC,"&gt;="&amp;BQ$2,FECHA_TC,"&lt;="&amp;BQ$3,CLAVE_TC,$A46)+SUMIFS(SALIDAS_COMB,FECHA_COMB,"&gt;="&amp;BQ$2,FECHA_COMB,"&lt;="&amp;BQ$3,CLAVE_COMB,$A46)+SUMIFS(SALIDAS_DES,FECHA_DESGLOSEN,"&gt;="&amp;BQ$2,FECHA_DESGLOSEN,"&lt;="&amp;BQ$3,CLAVE_DESGLOSE,$A46)</f>
        <v>11373.6</v>
      </c>
      <c r="BR46" s="13">
        <f>SUMIFS(SALIDAS_BIT,FECHA_BIT,"&gt;="&amp;BR$2,FECHA_BIT,"&lt;="&amp;BR$3,CLAVE_BIT,$A46)+SUMIFS(SALIDAS_BOV1,FECHA_BOV1,"&gt;="&amp;BR$2,FECHA_BOV1,"&lt;="&amp;BR$3,CLAVE_BOV1,$A46)+SUMIFS(SALIDAS_BOV2,FECHA_BOV2,"&gt;="&amp;BR$2,FECHA_BOV2,"&lt;="&amp;BR$3,CLAVE_BOV2,$A46)+SUMIFS(SALIDAS_BOV3,FECHA_BOV3,"&gt;="&amp;BR$2,FECHA_BOV3,"&lt;="&amp;BR$3,CLAVE_BOV3,$A46)+SUMIFS(SALIDAS_TC,FECHA_TC,"&gt;="&amp;BR$2,FECHA_TC,"&lt;="&amp;BR$3,CLAVE_TC,$A46)+SUMIFS(SALIDAS_COMB,FECHA_COMB,"&gt;="&amp;BR$2,FECHA_COMB,"&lt;="&amp;BR$3,CLAVE_COMB,$A46)+SUMIFS(SALIDAS_DES,FECHA_DESGLOSEN,"&gt;="&amp;BR$2,FECHA_DESGLOSEN,"&lt;="&amp;BR$3,CLAVE_DESGLOSE,$A46)</f>
        <v>60871.78</v>
      </c>
      <c r="BS46" s="68">
        <f t="shared" si="72"/>
        <v>623.22000000000116</v>
      </c>
      <c r="BT46" s="268">
        <f t="shared" si="73"/>
        <v>0.98986551752174967</v>
      </c>
      <c r="BU46" s="13">
        <f t="shared" si="49"/>
        <v>49196</v>
      </c>
      <c r="BV46" s="13">
        <f t="shared" si="90"/>
        <v>15421.2</v>
      </c>
      <c r="BW46" s="13">
        <f t="shared" si="90"/>
        <v>11830.2</v>
      </c>
      <c r="BX46" s="13">
        <f t="shared" si="90"/>
        <v>12914.2</v>
      </c>
      <c r="BY46" s="13">
        <f t="shared" si="90"/>
        <v>12975.8</v>
      </c>
      <c r="BZ46" s="13">
        <f t="shared" si="108"/>
        <v>53141.400000000009</v>
      </c>
      <c r="CA46" s="68">
        <f t="shared" si="74"/>
        <v>-3945.4000000000087</v>
      </c>
      <c r="CB46" s="268">
        <f t="shared" si="75"/>
        <v>1.0801975770387837</v>
      </c>
      <c r="CC46" s="13">
        <f t="shared" si="51"/>
        <v>49196</v>
      </c>
      <c r="CD46" s="13">
        <f t="shared" si="91"/>
        <v>12674</v>
      </c>
      <c r="CE46" s="13">
        <f t="shared" si="91"/>
        <v>12674.2</v>
      </c>
      <c r="CF46" s="13">
        <f t="shared" si="91"/>
        <v>12980.6</v>
      </c>
      <c r="CG46" s="13">
        <f t="shared" si="91"/>
        <v>13174.2</v>
      </c>
      <c r="CH46" s="13">
        <f t="shared" si="109"/>
        <v>51503</v>
      </c>
      <c r="CI46" s="68">
        <f t="shared" si="76"/>
        <v>-2307</v>
      </c>
      <c r="CJ46" s="268">
        <f t="shared" si="77"/>
        <v>1.0468940564273519</v>
      </c>
      <c r="CK46" s="13">
        <f t="shared" si="53"/>
        <v>61495</v>
      </c>
      <c r="CL46" s="13">
        <f t="shared" si="92"/>
        <v>12674</v>
      </c>
      <c r="CM46" s="13">
        <f t="shared" si="92"/>
        <v>14174.2</v>
      </c>
      <c r="CN46" s="13">
        <f t="shared" si="92"/>
        <v>16585.8</v>
      </c>
      <c r="CO46" s="13">
        <f t="shared" si="92"/>
        <v>14174.2</v>
      </c>
      <c r="CP46" s="13">
        <f t="shared" si="92"/>
        <v>16199.2</v>
      </c>
      <c r="CQ46" s="13">
        <f t="shared" si="110"/>
        <v>73807.399999999994</v>
      </c>
      <c r="CR46" s="68">
        <f t="shared" si="78"/>
        <v>-12312.399999999994</v>
      </c>
      <c r="CS46" s="268">
        <f t="shared" si="79"/>
        <v>1.2002179038946255</v>
      </c>
      <c r="CT46" s="68">
        <f t="shared" si="55"/>
        <v>49000</v>
      </c>
      <c r="CU46" s="13">
        <f>SUMIFS(SALIDAS_BIT,FECHA_BIT,"&gt;="&amp;CU$2,FECHA_BIT,"&lt;="&amp;CU$3,CLAVE_BIT,$A46)+SUMIFS(SALIDAS_BOV1,FECHA_BOV1,"&gt;="&amp;CU$2,FECHA_BOV1,"&lt;="&amp;CU$3,CLAVE_BOV1,$A46)+SUMIFS(SALIDAS_BOV2,FECHA_BOV2,"&gt;="&amp;CU$2,FECHA_BOV2,"&lt;="&amp;CU$3,CLAVE_BOV2,$A46)+SUMIFS(SALIDAS_BOV3,FECHA_BOV3,"&gt;="&amp;CU$2,FECHA_BOV3,"&lt;="&amp;CU$3,CLAVE_BOV3,$A46)+SUMIFS(SALIDAS_TC,FECHA_TC,"&gt;="&amp;CU$2,FECHA_TC,"&lt;="&amp;CU$3,CLAVE_TC,$A46)+SUMIFS(SALIDAS_COMB,FECHA_COMB,"&gt;="&amp;CU$2,FECHA_COMB,"&lt;="&amp;CU$3,CLAVE_COMB,$A46)+SUMIFS(SALIDAS_DES,FECHA_DESGLOSEN,"&gt;="&amp;CU$2,FECHA_DESGLOSEN,"&lt;="&amp;CU$3,CLAVE_DESGLOSE,$A46)</f>
        <v>12825</v>
      </c>
      <c r="CV46" s="13">
        <f>SUMIFS(SALIDAS_BIT,FECHA_BIT,"&gt;="&amp;CV$2,FECHA_BIT,"&lt;="&amp;CV$3,CLAVE_BIT,$A46)+SUMIFS(SALIDAS_BOV1,FECHA_BOV1,"&gt;="&amp;CV$2,FECHA_BOV1,"&lt;="&amp;CV$3,CLAVE_BOV1,$A46)+SUMIFS(SALIDAS_BOV2,FECHA_BOV2,"&gt;="&amp;CV$2,FECHA_BOV2,"&lt;="&amp;CV$3,CLAVE_BOV2,$A46)+SUMIFS(SALIDAS_BOV3,FECHA_BOV3,"&gt;="&amp;CV$2,FECHA_BOV3,"&lt;="&amp;CV$3,CLAVE_BOV3,$A46)+SUMIFS(SALIDAS_TC,FECHA_TC,"&gt;="&amp;CV$2,FECHA_TC,"&lt;="&amp;CV$3,CLAVE_TC,$A46)+SUMIFS(SALIDAS_COMB,FECHA_COMB,"&gt;="&amp;CV$2,FECHA_COMB,"&lt;="&amp;CV$3,CLAVE_COMB,$A46)+SUMIFS(SALIDAS_DES,FECHA_DESGLOSEN,"&gt;="&amp;CV$2,FECHA_DESGLOSEN,"&lt;="&amp;CV$3,CLAVE_DESGLOSE,$A46)</f>
        <v>12600.2</v>
      </c>
      <c r="CW46" s="13">
        <f>SUMIFS(SALIDAS_BIT,FECHA_BIT,"&gt;="&amp;CW$2,FECHA_BIT,"&lt;="&amp;CW$3,CLAVE_BIT,$A46)+SUMIFS(SALIDAS_BOV1,FECHA_BOV1,"&gt;="&amp;CW$2,FECHA_BOV1,"&lt;="&amp;CW$3,CLAVE_BOV1,$A46)+SUMIFS(SALIDAS_BOV2,FECHA_BOV2,"&gt;="&amp;CW$2,FECHA_BOV2,"&lt;="&amp;CW$3,CLAVE_BOV2,$A46)+SUMIFS(SALIDAS_BOV3,FECHA_BOV3,"&gt;="&amp;CW$2,FECHA_BOV3,"&lt;="&amp;CW$3,CLAVE_BOV3,$A46)+SUMIFS(SALIDAS_TC,FECHA_TC,"&gt;="&amp;CW$2,FECHA_TC,"&lt;="&amp;CW$3,CLAVE_TC,$A46)+SUMIFS(SALIDAS_COMB,FECHA_COMB,"&gt;="&amp;CW$2,FECHA_COMB,"&lt;="&amp;CW$3,CLAVE_COMB,$A46)+SUMIFS(SALIDAS_DES,FECHA_DESGLOSEN,"&gt;="&amp;CW$2,FECHA_DESGLOSEN,"&lt;="&amp;CW$3,CLAVE_DESGLOSE,$A46)</f>
        <v>12790.6</v>
      </c>
      <c r="CX46" s="13">
        <f>SUMIFS(SALIDAS_BIT,FECHA_BIT,"&gt;="&amp;CX$2,FECHA_BIT,"&lt;="&amp;CX$3,CLAVE_BIT,$A46)+SUMIFS(SALIDAS_BOV1,FECHA_BOV1,"&gt;="&amp;CX$2,FECHA_BOV1,"&lt;="&amp;CX$3,CLAVE_BOV1,$A46)+SUMIFS(SALIDAS_BOV2,FECHA_BOV2,"&gt;="&amp;CX$2,FECHA_BOV2,"&lt;="&amp;CX$3,CLAVE_BOV2,$A46)+SUMIFS(SALIDAS_BOV3,FECHA_BOV3,"&gt;="&amp;CX$2,FECHA_BOV3,"&lt;="&amp;CX$3,CLAVE_BOV3,$A46)+SUMIFS(SALIDAS_TC,FECHA_TC,"&gt;="&amp;CX$2,FECHA_TC,"&lt;="&amp;CX$3,CLAVE_TC,$A46)+SUMIFS(SALIDAS_COMB,FECHA_COMB,"&gt;="&amp;CX$2,FECHA_COMB,"&lt;="&amp;CX$3,CLAVE_COMB,$A46)+SUMIFS(SALIDAS_DES,FECHA_DESGLOSEN,"&gt;="&amp;CX$2,FECHA_DESGLOSEN,"&lt;="&amp;CX$3,CLAVE_DESGLOSE,$A46)</f>
        <v>12810.6</v>
      </c>
      <c r="CY46" s="13">
        <f>SUMIFS(SALIDAS_BIT,FECHA_BIT,"&gt;="&amp;CY$2,FECHA_BIT,"&lt;="&amp;CY$3,CLAVE_BIT,$A46)+SUMIFS(SALIDAS_BOV1,FECHA_BOV1,"&gt;="&amp;CY$2,FECHA_BOV1,"&lt;="&amp;CY$3,CLAVE_BOV1,$A46)+SUMIFS(SALIDAS_BOV2,FECHA_BOV2,"&gt;="&amp;CY$2,FECHA_BOV2,"&lt;="&amp;CY$3,CLAVE_BOV2,$A46)+SUMIFS(SALIDAS_BOV3,FECHA_BOV3,"&gt;="&amp;CY$2,FECHA_BOV3,"&lt;="&amp;CY$3,CLAVE_BOV3,$A46)+SUMIFS(SALIDAS_TC,FECHA_TC,"&gt;="&amp;CY$2,FECHA_TC,"&lt;="&amp;CY$3,CLAVE_TC,$A46)+SUMIFS(SALIDAS_COMB,FECHA_COMB,"&gt;="&amp;CY$2,FECHA_COMB,"&lt;="&amp;CY$3,CLAVE_COMB,$A46)+SUMIFS(SALIDAS_DES,FECHA_DESGLOSEN,"&gt;="&amp;CY$2,FECHA_DESGLOSEN,"&lt;="&amp;CY$3,CLAVE_DESGLOSE,$A46)</f>
        <v>51026.400000000001</v>
      </c>
      <c r="CZ46" s="68">
        <f t="shared" si="80"/>
        <v>-2026.4000000000015</v>
      </c>
      <c r="DB46" s="17">
        <f>F46+N46+W46+AE46+AM46+AV46+BD46+BL46+BU46+CC46+CK46</f>
        <v>590352</v>
      </c>
      <c r="DC46" s="17">
        <f>K46+T46+AB46+AJ46+AS46+BA46+BI46+BR46+BZ46+CH46+CQ46</f>
        <v>608595.64</v>
      </c>
    </row>
    <row r="47" spans="1:107" hidden="1">
      <c r="A47" s="12" t="str">
        <f t="shared" si="57"/>
        <v>FINANZASNOMINA ADMONHBG FINANZAS</v>
      </c>
      <c r="B47" s="12">
        <v>41</v>
      </c>
      <c r="C47" t="s">
        <v>23</v>
      </c>
      <c r="D47" s="14" t="s">
        <v>147</v>
      </c>
      <c r="E47" s="14" t="s">
        <v>150</v>
      </c>
      <c r="F47" s="259">
        <f t="shared" si="58"/>
        <v>54000</v>
      </c>
      <c r="G47" s="13">
        <f t="shared" ref="G47:K56" si="111">SUMIFS(SALIDAS_BIT,FECHA_BIT,"&gt;="&amp;G$2,FECHA_BIT,"&lt;="&amp;G$3,CLAVE_BIT,$A47)+SUMIFS(SALIDAS_BOV1,FECHA_BOV1,"&gt;="&amp;G$2,FECHA_BOV1,"&lt;="&amp;G$3,CLAVE_BOV1,$A47)+SUMIFS(SALIDAS_BOV2,FECHA_BOV2,"&gt;="&amp;G$2,FECHA_BOV2,"&lt;="&amp;G$3,CLAVE_BOV2,$A47)+SUMIFS(SALIDAS_BOV3,FECHA_BOV3,"&gt;="&amp;G$2,FECHA_BOV3,"&lt;="&amp;G$3,CLAVE_BOV3,$A47)+SUMIFS(SALIDAS_TC,FECHA_TC,"&gt;="&amp;G$2,FECHA_TC,"&lt;="&amp;G$3,CLAVE_TC,$A47)+SUMIFS(SALIDAS_COMB,FECHA_COMB,"&gt;="&amp;G$2,FECHA_COMB,"&lt;="&amp;G$3,CLAVE_COMB,$A47)+SUMIFS(SALIDAS_DES,FECHA_DESGLOSEN,"&gt;="&amp;G$2,FECHA_DESGLOSEN,"&lt;="&amp;G$3,CLAVE_DESGLOSE,$A47)</f>
        <v>16007</v>
      </c>
      <c r="H47" s="13">
        <f t="shared" si="111"/>
        <v>14507</v>
      </c>
      <c r="I47" s="13">
        <f t="shared" si="111"/>
        <v>14507</v>
      </c>
      <c r="J47" s="13">
        <f t="shared" si="111"/>
        <v>14506.8</v>
      </c>
      <c r="K47" s="13">
        <f t="shared" si="111"/>
        <v>59527.8</v>
      </c>
      <c r="L47" s="68">
        <f t="shared" si="59"/>
        <v>-5527.8000000000029</v>
      </c>
      <c r="M47" s="268">
        <f t="shared" si="60"/>
        <v>1.1023666666666667</v>
      </c>
      <c r="N47" s="13">
        <f t="shared" si="36"/>
        <v>67500</v>
      </c>
      <c r="O47" s="13">
        <f t="shared" ref="O47:T56" si="112">SUMIFS(SALIDAS_BIT,FECHA_BIT,"&gt;="&amp;O$2,FECHA_BIT,"&lt;="&amp;O$3,CLAVE_BIT,$A47)+SUMIFS(SALIDAS_BOV1,FECHA_BOV1,"&gt;="&amp;O$2,FECHA_BOV1,"&lt;="&amp;O$3,CLAVE_BOV1,$A47)+SUMIFS(SALIDAS_BOV2,FECHA_BOV2,"&gt;="&amp;O$2,FECHA_BOV2,"&lt;="&amp;O$3,CLAVE_BOV2,$A47)+SUMIFS(SALIDAS_BOV3,FECHA_BOV3,"&gt;="&amp;O$2,FECHA_BOV3,"&lt;="&amp;O$3,CLAVE_BOV3,$A47)+SUMIFS(SALIDAS_TC,FECHA_TC,"&gt;="&amp;O$2,FECHA_TC,"&lt;="&amp;O$3,CLAVE_TC,$A47)+SUMIFS(SALIDAS_COMB,FECHA_COMB,"&gt;="&amp;O$2,FECHA_COMB,"&lt;="&amp;O$3,CLAVE_COMB,$A47)+SUMIFS(SALIDAS_DES,FECHA_DESGLOSEN,"&gt;="&amp;O$2,FECHA_DESGLOSEN,"&lt;="&amp;O$3,CLAVE_DESGLOSE,$A47)</f>
        <v>14007</v>
      </c>
      <c r="P47" s="13">
        <f t="shared" si="112"/>
        <v>14007</v>
      </c>
      <c r="Q47" s="13">
        <f t="shared" si="112"/>
        <v>14007</v>
      </c>
      <c r="R47" s="13">
        <f t="shared" si="112"/>
        <v>14007</v>
      </c>
      <c r="S47" s="13">
        <f t="shared" si="112"/>
        <v>14007</v>
      </c>
      <c r="T47" s="13">
        <f t="shared" si="112"/>
        <v>70035</v>
      </c>
      <c r="U47" s="68">
        <f t="shared" si="61"/>
        <v>-2535</v>
      </c>
      <c r="V47" s="268">
        <f t="shared" si="62"/>
        <v>1.0375555555555556</v>
      </c>
      <c r="W47" s="13">
        <f t="shared" si="38"/>
        <v>54000</v>
      </c>
      <c r="X47" s="13">
        <f t="shared" ref="X47:AB56" si="113">SUMIFS(SALIDAS_BIT,FECHA_BIT,"&gt;="&amp;X$2,FECHA_BIT,"&lt;="&amp;X$3,CLAVE_BIT,$A47)+SUMIFS(SALIDAS_BOV1,FECHA_BOV1,"&gt;="&amp;X$2,FECHA_BOV1,"&lt;="&amp;X$3,CLAVE_BOV1,$A47)+SUMIFS(SALIDAS_BOV2,FECHA_BOV2,"&gt;="&amp;X$2,FECHA_BOV2,"&lt;="&amp;X$3,CLAVE_BOV2,$A47)+SUMIFS(SALIDAS_BOV3,FECHA_BOV3,"&gt;="&amp;X$2,FECHA_BOV3,"&lt;="&amp;X$3,CLAVE_BOV3,$A47)+SUMIFS(SALIDAS_TC,FECHA_TC,"&gt;="&amp;X$2,FECHA_TC,"&lt;="&amp;X$3,CLAVE_TC,$A47)+SUMIFS(SALIDAS_COMB,FECHA_COMB,"&gt;="&amp;X$2,FECHA_COMB,"&lt;="&amp;X$3,CLAVE_COMB,$A47)+SUMIFS(SALIDAS_DES,FECHA_DESGLOSEN,"&gt;="&amp;X$2,FECHA_DESGLOSEN,"&lt;="&amp;X$3,CLAVE_DESGLOSE,$A47)</f>
        <v>14007</v>
      </c>
      <c r="Y47" s="13">
        <f t="shared" si="113"/>
        <v>13885.4</v>
      </c>
      <c r="Z47" s="13">
        <f t="shared" si="113"/>
        <v>14007</v>
      </c>
      <c r="AA47" s="13">
        <f t="shared" si="113"/>
        <v>14007</v>
      </c>
      <c r="AB47" s="13">
        <f t="shared" si="113"/>
        <v>55906.400000000001</v>
      </c>
      <c r="AC47" s="68">
        <f t="shared" si="63"/>
        <v>-1906.4000000000015</v>
      </c>
      <c r="AD47" s="268">
        <f t="shared" si="64"/>
        <v>1.0353037037037038</v>
      </c>
      <c r="AE47" s="13">
        <f t="shared" si="40"/>
        <v>54000</v>
      </c>
      <c r="AF47" s="13">
        <f t="shared" ref="AF47:AJ56" si="114">SUMIFS(SALIDAS_BIT,FECHA_BIT,"&gt;="&amp;AF$2,FECHA_BIT,"&lt;="&amp;AF$3,CLAVE_BIT,$A47)+SUMIFS(SALIDAS_BOV1,FECHA_BOV1,"&gt;="&amp;AF$2,FECHA_BOV1,"&lt;="&amp;AF$3,CLAVE_BOV1,$A47)+SUMIFS(SALIDAS_BOV2,FECHA_BOV2,"&gt;="&amp;AF$2,FECHA_BOV2,"&lt;="&amp;AF$3,CLAVE_BOV2,$A47)+SUMIFS(SALIDAS_BOV3,FECHA_BOV3,"&gt;="&amp;AF$2,FECHA_BOV3,"&lt;="&amp;AF$3,CLAVE_BOV3,$A47)+SUMIFS(SALIDAS_TC,FECHA_TC,"&gt;="&amp;AF$2,FECHA_TC,"&lt;="&amp;AF$3,CLAVE_TC,$A47)+SUMIFS(SALIDAS_COMB,FECHA_COMB,"&gt;="&amp;AF$2,FECHA_COMB,"&lt;="&amp;AF$3,CLAVE_COMB,$A47)+SUMIFS(SALIDAS_DES,FECHA_DESGLOSEN,"&gt;="&amp;AF$2,FECHA_DESGLOSEN,"&lt;="&amp;AF$3,CLAVE_DESGLOSE,$A47)</f>
        <v>14007</v>
      </c>
      <c r="AG47" s="13">
        <f t="shared" si="114"/>
        <v>13596</v>
      </c>
      <c r="AH47" s="13">
        <f t="shared" si="114"/>
        <v>13512.2</v>
      </c>
      <c r="AI47" s="13">
        <f t="shared" si="114"/>
        <v>14007</v>
      </c>
      <c r="AJ47" s="13">
        <f t="shared" si="114"/>
        <v>55122.2</v>
      </c>
      <c r="AK47" s="68">
        <f t="shared" si="65"/>
        <v>-1122.1999999999971</v>
      </c>
      <c r="AL47" s="268">
        <f t="shared" si="66"/>
        <v>1.0207814814814815</v>
      </c>
      <c r="AM47" s="13">
        <f t="shared" si="42"/>
        <v>67500</v>
      </c>
      <c r="AN47" s="13">
        <f t="shared" ref="AN47:AS56" si="115">SUMIFS(SALIDAS_BIT,FECHA_BIT,"&gt;="&amp;AN$2,FECHA_BIT,"&lt;="&amp;AN$3,CLAVE_BIT,$A47)+SUMIFS(SALIDAS_BOV1,FECHA_BOV1,"&gt;="&amp;AN$2,FECHA_BOV1,"&lt;="&amp;AN$3,CLAVE_BOV1,$A47)+SUMIFS(SALIDAS_BOV2,FECHA_BOV2,"&gt;="&amp;AN$2,FECHA_BOV2,"&lt;="&amp;AN$3,CLAVE_BOV2,$A47)+SUMIFS(SALIDAS_BOV3,FECHA_BOV3,"&gt;="&amp;AN$2,FECHA_BOV3,"&lt;="&amp;AN$3,CLAVE_BOV3,$A47)+SUMIFS(SALIDAS_TC,FECHA_TC,"&gt;="&amp;AN$2,FECHA_TC,"&lt;="&amp;AN$3,CLAVE_TC,$A47)+SUMIFS(SALIDAS_COMB,FECHA_COMB,"&gt;="&amp;AN$2,FECHA_COMB,"&lt;="&amp;AN$3,CLAVE_COMB,$A47)+SUMIFS(SALIDAS_DES,FECHA_DESGLOSEN,"&gt;="&amp;AN$2,FECHA_DESGLOSEN,"&lt;="&amp;AN$3,CLAVE_DESGLOSE,$A47)</f>
        <v>13495.4</v>
      </c>
      <c r="AO47" s="13">
        <f t="shared" si="115"/>
        <v>13504</v>
      </c>
      <c r="AP47" s="13">
        <f t="shared" si="115"/>
        <v>14007</v>
      </c>
      <c r="AQ47" s="13">
        <f t="shared" si="115"/>
        <v>14007</v>
      </c>
      <c r="AR47" s="13">
        <f t="shared" si="115"/>
        <v>14006.8</v>
      </c>
      <c r="AS47" s="13">
        <f t="shared" si="115"/>
        <v>69020.200000000012</v>
      </c>
      <c r="AT47" s="68">
        <f>AM47-AS47</f>
        <v>-1520.2000000000116</v>
      </c>
      <c r="AU47" s="268">
        <f t="shared" si="67"/>
        <v>1.0225214814814816</v>
      </c>
      <c r="AV47" s="13">
        <f t="shared" si="44"/>
        <v>54000</v>
      </c>
      <c r="AW47" s="13">
        <f t="shared" si="107"/>
        <v>13499.8</v>
      </c>
      <c r="AX47" s="13">
        <f t="shared" si="107"/>
        <v>14007</v>
      </c>
      <c r="AY47" s="13">
        <f t="shared" si="107"/>
        <v>14007</v>
      </c>
      <c r="AZ47" s="13">
        <f>SUMIFS(SALIDAS_BIT,FECHA_BIT,"&gt;="&amp;AZ$2,FECHA_BIT,"&lt;="&amp;AZ$3,CLAVE_BIT,$A47)+SUMIFS(SALIDAS_BOV1,FECHA_BOV1,"&gt;="&amp;AZ$2,FECHA_BOV1,"&lt;="&amp;AZ$3,CLAVE_BOV1,$A47)+SUMIFS(SALIDAS_BOV2,FECHA_BOV2,"&gt;="&amp;AZ$2,FECHA_BOV2,"&lt;="&amp;AZ$3,CLAVE_BOV2,$A47)+SUMIFS(SALIDAS_BOV3,FECHA_BOV3,"&gt;="&amp;AZ$2,FECHA_BOV3,"&lt;="&amp;AZ$3,CLAVE_BOV3,$A47)+SUMIFS(SALIDAS_TC,FECHA_TC,"&gt;="&amp;AZ$2,FECHA_TC,"&lt;="&amp;AZ$3,CLAVE_TC,$A47)+SUMIFS(SALIDAS_COMB,FECHA_COMB,"&gt;="&amp;AZ$2,FECHA_COMB,"&lt;="&amp;AZ$3,CLAVE_COMB,$A47)+SUMIFS(SALIDAS_DES,FECHA_DESGLOSEN,"&gt;="&amp;AZ$2,FECHA_DESGLOSEN,"&lt;="&amp;AZ$3,CLAVE_DESGLOSE,$A47)</f>
        <v>14007</v>
      </c>
      <c r="BA47" s="13">
        <f t="shared" si="107"/>
        <v>55520.800000000003</v>
      </c>
      <c r="BB47" s="68">
        <f t="shared" si="68"/>
        <v>-1520.8000000000029</v>
      </c>
      <c r="BC47" s="268">
        <f t="shared" si="69"/>
        <v>1.0281629629629629</v>
      </c>
      <c r="BD47" s="13">
        <f t="shared" si="46"/>
        <v>54000</v>
      </c>
      <c r="BE47" s="13">
        <f>SUMIFS(SALIDAS_BIT,FECHA_BIT,"&gt;="&amp;BE$2,FECHA_BIT,"&lt;="&amp;BE$3,CLAVE_BIT,$A47)+SUMIFS(SALIDAS_BOV1,FECHA_BOV1,"&gt;="&amp;BE$2,FECHA_BOV1,"&lt;="&amp;BE$3,CLAVE_BOV1,$A47)+SUMIFS(SALIDAS_BOV2,FECHA_BOV2,"&gt;="&amp;BE$2,FECHA_BOV2,"&lt;="&amp;BE$3,CLAVE_BOV2,$A47)+SUMIFS(SALIDAS_BOV3,FECHA_BOV3,"&gt;="&amp;BE$2,FECHA_BOV3,"&lt;="&amp;BE$3,CLAVE_BOV3,$A47)+SUMIFS(SALIDAS_TC,FECHA_TC,"&gt;="&amp;BE$2,FECHA_TC,"&lt;="&amp;BE$3,CLAVE_TC,$A47)+SUMIFS(SALIDAS_COMB,FECHA_COMB,"&gt;="&amp;BE$2,FECHA_COMB,"&lt;="&amp;BE$3,CLAVE_COMB,$A47)+SUMIFS(SALIDAS_DES,FECHA_DESGLOSEN,"&gt;="&amp;BE$2,FECHA_DESGLOSEN,"&lt;="&amp;BE$3,CLAVE_DESGLOSE,$A47)</f>
        <v>13507</v>
      </c>
      <c r="BF47" s="13">
        <f>SUMIFS(SALIDAS_BIT,FECHA_BIT,"&gt;="&amp;BF$2,FECHA_BIT,"&lt;="&amp;BF$3,CLAVE_BIT,$A47)+SUMIFS(SALIDAS_BOV1,FECHA_BOV1,"&gt;="&amp;BF$2,FECHA_BOV1,"&lt;="&amp;BF$3,CLAVE_BOV1,$A47)+SUMIFS(SALIDAS_BOV2,FECHA_BOV2,"&gt;="&amp;BF$2,FECHA_BOV2,"&lt;="&amp;BF$3,CLAVE_BOV2,$A47)+SUMIFS(SALIDAS_BOV3,FECHA_BOV3,"&gt;="&amp;BF$2,FECHA_BOV3,"&lt;="&amp;BF$3,CLAVE_BOV3,$A47)+SUMIFS(SALIDAS_TC,FECHA_TC,"&gt;="&amp;BF$2,FECHA_TC,"&lt;="&amp;BF$3,CLAVE_TC,$A47)+SUMIFS(SALIDAS_COMB,FECHA_COMB,"&gt;="&amp;BF$2,FECHA_COMB,"&lt;="&amp;BF$3,CLAVE_COMB,$A47)+SUMIFS(SALIDAS_DES,FECHA_DESGLOSEN,"&gt;="&amp;BF$2,FECHA_DESGLOSEN,"&lt;="&amp;BF$3,CLAVE_DESGLOSE,$A47)</f>
        <v>13507</v>
      </c>
      <c r="BG47" s="13">
        <f>SUMIFS(SALIDAS_BIT,FECHA_BIT,"&gt;="&amp;BG$2,FECHA_BIT,"&lt;="&amp;BG$3,CLAVE_BIT,$A47)+SUMIFS(SALIDAS_BOV1,FECHA_BOV1,"&gt;="&amp;BG$2,FECHA_BOV1,"&lt;="&amp;BG$3,CLAVE_BOV1,$A47)+SUMIFS(SALIDAS_BOV2,FECHA_BOV2,"&gt;="&amp;BG$2,FECHA_BOV2,"&lt;="&amp;BG$3,CLAVE_BOV2,$A47)+SUMIFS(SALIDAS_BOV3,FECHA_BOV3,"&gt;="&amp;BG$2,FECHA_BOV3,"&lt;="&amp;BG$3,CLAVE_BOV3,$A47)+SUMIFS(SALIDAS_TC,FECHA_TC,"&gt;="&amp;BG$2,FECHA_TC,"&lt;="&amp;BG$3,CLAVE_TC,$A47)+SUMIFS(SALIDAS_COMB,FECHA_COMB,"&gt;="&amp;BG$2,FECHA_COMB,"&lt;="&amp;BG$3,CLAVE_COMB,$A47)+SUMIFS(SALIDAS_DES,FECHA_DESGLOSEN,"&gt;="&amp;BG$2,FECHA_DESGLOSEN,"&lt;="&amp;BG$3,CLAVE_DESGLOSE,$A47)</f>
        <v>14007</v>
      </c>
      <c r="BH47" s="13">
        <f>SUMIFS(SALIDAS_BIT,FECHA_BIT,"&gt;="&amp;BH$2,FECHA_BIT,"&lt;="&amp;BH$3,CLAVE_BIT,$A47)+SUMIFS(SALIDAS_BOV1,FECHA_BOV1,"&gt;="&amp;BH$2,FECHA_BOV1,"&lt;="&amp;BH$3,CLAVE_BOV1,$A47)+SUMIFS(SALIDAS_BOV2,FECHA_BOV2,"&gt;="&amp;BH$2,FECHA_BOV2,"&lt;="&amp;BH$3,CLAVE_BOV2,$A47)+SUMIFS(SALIDAS_BOV3,FECHA_BOV3,"&gt;="&amp;BH$2,FECHA_BOV3,"&lt;="&amp;BH$3,CLAVE_BOV3,$A47)+SUMIFS(SALIDAS_TC,FECHA_TC,"&gt;="&amp;BH$2,FECHA_TC,"&lt;="&amp;BH$3,CLAVE_TC,$A47)+SUMIFS(SALIDAS_COMB,FECHA_COMB,"&gt;="&amp;BH$2,FECHA_COMB,"&lt;="&amp;BH$3,CLAVE_COMB,$A47)+SUMIFS(SALIDAS_DES,FECHA_DESGLOSEN,"&gt;="&amp;BH$2,FECHA_DESGLOSEN,"&lt;="&amp;BH$3,CLAVE_DESGLOSE,$A47)</f>
        <v>16456</v>
      </c>
      <c r="BI47" s="13">
        <f>SUMIFS(SALIDAS_BIT,FECHA_BIT,"&gt;="&amp;BI$2,FECHA_BIT,"&lt;="&amp;BI$3,CLAVE_BIT,$A47)+SUMIFS(SALIDAS_BOV1,FECHA_BOV1,"&gt;="&amp;BI$2,FECHA_BOV1,"&lt;="&amp;BI$3,CLAVE_BOV1,$A47)+SUMIFS(SALIDAS_BOV2,FECHA_BOV2,"&gt;="&amp;BI$2,FECHA_BOV2,"&lt;="&amp;BI$3,CLAVE_BOV2,$A47)+SUMIFS(SALIDAS_BOV3,FECHA_BOV3,"&gt;="&amp;BI$2,FECHA_BOV3,"&lt;="&amp;BI$3,CLAVE_BOV3,$A47)+SUMIFS(SALIDAS_TC,FECHA_TC,"&gt;="&amp;BI$2,FECHA_TC,"&lt;="&amp;BI$3,CLAVE_TC,$A47)+SUMIFS(SALIDAS_COMB,FECHA_COMB,"&gt;="&amp;BI$2,FECHA_COMB,"&lt;="&amp;BI$3,CLAVE_COMB,$A47)+SUMIFS(SALIDAS_DES,FECHA_DESGLOSEN,"&gt;="&amp;BI$2,FECHA_DESGLOSEN,"&lt;="&amp;BI$3,CLAVE_DESGLOSE,$A47)</f>
        <v>57477</v>
      </c>
      <c r="BJ47" s="68">
        <f t="shared" si="70"/>
        <v>-3477</v>
      </c>
      <c r="BK47" s="401">
        <f t="shared" si="71"/>
        <v>1.0643888888888888</v>
      </c>
      <c r="BL47" s="13">
        <f t="shared" si="47"/>
        <v>67500</v>
      </c>
      <c r="BM47" s="13">
        <f>SUMIFS(SALIDAS_BIT,FECHA_BIT,"&gt;="&amp;BM$2,FECHA_BIT,"&lt;="&amp;BM$3,CLAVE_BIT,$A47)+SUMIFS(SALIDAS_BOV1,FECHA_BOV1,"&gt;="&amp;BM$2,FECHA_BOV1,"&lt;="&amp;BM$3,CLAVE_BOV1,$A47)+SUMIFS(SALIDAS_BOV2,FECHA_BOV2,"&gt;="&amp;BM$2,FECHA_BOV2,"&lt;="&amp;BM$3,CLAVE_BOV2,$A47)+SUMIFS(SALIDAS_BOV3,FECHA_BOV3,"&gt;="&amp;BM$2,FECHA_BOV3,"&lt;="&amp;BM$3,CLAVE_BOV3,$A47)+SUMIFS(SALIDAS_TC,FECHA_TC,"&gt;="&amp;BM$2,FECHA_TC,"&lt;="&amp;BM$3,CLAVE_TC,$A47)+SUMIFS(SALIDAS_COMB,FECHA_COMB,"&gt;="&amp;BM$2,FECHA_COMB,"&lt;="&amp;BM$3,CLAVE_COMB,$A47)+SUMIFS(SALIDAS_DES,FECHA_DESGLOSEN,"&gt;="&amp;BM$2,FECHA_DESGLOSEN,"&lt;="&amp;BM$3,CLAVE_DESGLOSE,$A47)</f>
        <v>14007</v>
      </c>
      <c r="BN47" s="13">
        <f>SUMIFS(SALIDAS_BIT,FECHA_BIT,"&gt;="&amp;BN$2,FECHA_BIT,"&lt;="&amp;BN$3,CLAVE_BIT,$A47)+SUMIFS(SALIDAS_BOV1,FECHA_BOV1,"&gt;="&amp;BN$2,FECHA_BOV1,"&lt;="&amp;BN$3,CLAVE_BOV1,$A47)+SUMIFS(SALIDAS_BOV2,FECHA_BOV2,"&gt;="&amp;BN$2,FECHA_BOV2,"&lt;="&amp;BN$3,CLAVE_BOV2,$A47)+SUMIFS(SALIDAS_BOV3,FECHA_BOV3,"&gt;="&amp;BN$2,FECHA_BOV3,"&lt;="&amp;BN$3,CLAVE_BOV3,$A47)+SUMIFS(SALIDAS_TC,FECHA_TC,"&gt;="&amp;BN$2,FECHA_TC,"&lt;="&amp;BN$3,CLAVE_TC,$A47)+SUMIFS(SALIDAS_COMB,FECHA_COMB,"&gt;="&amp;BN$2,FECHA_COMB,"&lt;="&amp;BN$3,CLAVE_COMB,$A47)+SUMIFS(SALIDAS_DES,FECHA_DESGLOSEN,"&gt;="&amp;BN$2,FECHA_DESGLOSEN,"&lt;="&amp;BN$3,CLAVE_DESGLOSE,$A47)</f>
        <v>13496</v>
      </c>
      <c r="BO47" s="13">
        <f>SUMIFS(SALIDAS_BIT,FECHA_BIT,"&gt;="&amp;BO$2,FECHA_BIT,"&lt;="&amp;BO$3,CLAVE_BIT,$A47)+SUMIFS(SALIDAS_BOV1,FECHA_BOV1,"&gt;="&amp;BO$2,FECHA_BOV1,"&lt;="&amp;BO$3,CLAVE_BOV1,$A47)+SUMIFS(SALIDAS_BOV2,FECHA_BOV2,"&gt;="&amp;BO$2,FECHA_BOV2,"&lt;="&amp;BO$3,CLAVE_BOV2,$A47)+SUMIFS(SALIDAS_BOV3,FECHA_BOV3,"&gt;="&amp;BO$2,FECHA_BOV3,"&lt;="&amp;BO$3,CLAVE_BOV3,$A47)+SUMIFS(SALIDAS_TC,FECHA_TC,"&gt;="&amp;BO$2,FECHA_TC,"&lt;="&amp;BO$3,CLAVE_TC,$A47)+SUMIFS(SALIDAS_COMB,FECHA_COMB,"&gt;="&amp;BO$2,FECHA_COMB,"&lt;="&amp;BO$3,CLAVE_COMB,$A47)+SUMIFS(SALIDAS_DES,FECHA_DESGLOSEN,"&gt;="&amp;BO$2,FECHA_DESGLOSEN,"&lt;="&amp;BO$3,CLAVE_DESGLOSE,$A47)</f>
        <v>14007</v>
      </c>
      <c r="BP47" s="13">
        <f>SUMIFS(SALIDAS_BIT,FECHA_BIT,"&gt;="&amp;BP$2,FECHA_BIT,"&lt;="&amp;BP$3,CLAVE_BIT,$A47)+SUMIFS(SALIDAS_BOV1,FECHA_BOV1,"&gt;="&amp;BP$2,FECHA_BOV1,"&lt;="&amp;BP$3,CLAVE_BOV1,$A47)+SUMIFS(SALIDAS_BOV2,FECHA_BOV2,"&gt;="&amp;BP$2,FECHA_BOV2,"&lt;="&amp;BP$3,CLAVE_BOV2,$A47)+SUMIFS(SALIDAS_BOV3,FECHA_BOV3,"&gt;="&amp;BP$2,FECHA_BOV3,"&lt;="&amp;BP$3,CLAVE_BOV3,$A47)+SUMIFS(SALIDAS_TC,FECHA_TC,"&gt;="&amp;BP$2,FECHA_TC,"&lt;="&amp;BP$3,CLAVE_TC,$A47)+SUMIFS(SALIDAS_COMB,FECHA_COMB,"&gt;="&amp;BP$2,FECHA_COMB,"&lt;="&amp;BP$3,CLAVE_COMB,$A47)+SUMIFS(SALIDAS_DES,FECHA_DESGLOSEN,"&gt;="&amp;BP$2,FECHA_DESGLOSEN,"&lt;="&amp;BP$3,CLAVE_DESGLOSE,$A47)</f>
        <v>14007</v>
      </c>
      <c r="BQ47" s="13">
        <f>SUMIFS(SALIDAS_BIT,FECHA_BIT,"&gt;="&amp;BQ$2,FECHA_BIT,"&lt;="&amp;BQ$3,CLAVE_BIT,$A47)+SUMIFS(SALIDAS_BOV1,FECHA_BOV1,"&gt;="&amp;BQ$2,FECHA_BOV1,"&lt;="&amp;BQ$3,CLAVE_BOV1,$A47)+SUMIFS(SALIDAS_BOV2,FECHA_BOV2,"&gt;="&amp;BQ$2,FECHA_BOV2,"&lt;="&amp;BQ$3,CLAVE_BOV2,$A47)+SUMIFS(SALIDAS_BOV3,FECHA_BOV3,"&gt;="&amp;BQ$2,FECHA_BOV3,"&lt;="&amp;BQ$3,CLAVE_BOV3,$A47)+SUMIFS(SALIDAS_TC,FECHA_TC,"&gt;="&amp;BQ$2,FECHA_TC,"&lt;="&amp;BQ$3,CLAVE_TC,$A47)+SUMIFS(SALIDAS_COMB,FECHA_COMB,"&gt;="&amp;BQ$2,FECHA_COMB,"&lt;="&amp;BQ$3,CLAVE_COMB,$A47)+SUMIFS(SALIDAS_DES,FECHA_DESGLOSEN,"&gt;="&amp;BQ$2,FECHA_DESGLOSEN,"&lt;="&amp;BQ$3,CLAVE_DESGLOSE,$A47)</f>
        <v>14007</v>
      </c>
      <c r="BR47" s="13">
        <f>SUMIFS(SALIDAS_BIT,FECHA_BIT,"&gt;="&amp;BR$2,FECHA_BIT,"&lt;="&amp;BR$3,CLAVE_BIT,$A47)+SUMIFS(SALIDAS_BOV1,FECHA_BOV1,"&gt;="&amp;BR$2,FECHA_BOV1,"&lt;="&amp;BR$3,CLAVE_BOV1,$A47)+SUMIFS(SALIDAS_BOV2,FECHA_BOV2,"&gt;="&amp;BR$2,FECHA_BOV2,"&lt;="&amp;BR$3,CLAVE_BOV2,$A47)+SUMIFS(SALIDAS_BOV3,FECHA_BOV3,"&gt;="&amp;BR$2,FECHA_BOV3,"&lt;="&amp;BR$3,CLAVE_BOV3,$A47)+SUMIFS(SALIDAS_TC,FECHA_TC,"&gt;="&amp;BR$2,FECHA_TC,"&lt;="&amp;BR$3,CLAVE_TC,$A47)+SUMIFS(SALIDAS_COMB,FECHA_COMB,"&gt;="&amp;BR$2,FECHA_COMB,"&lt;="&amp;BR$3,CLAVE_COMB,$A47)+SUMIFS(SALIDAS_DES,FECHA_DESGLOSEN,"&gt;="&amp;BR$2,FECHA_DESGLOSEN,"&lt;="&amp;BR$3,CLAVE_DESGLOSE,$A47)</f>
        <v>69524</v>
      </c>
      <c r="BS47" s="68">
        <f t="shared" si="72"/>
        <v>-2024</v>
      </c>
      <c r="BT47" s="268">
        <f t="shared" si="73"/>
        <v>1.0299851851851851</v>
      </c>
      <c r="BU47" s="13">
        <f t="shared" si="49"/>
        <v>54000</v>
      </c>
      <c r="BV47" s="13">
        <f t="shared" si="90"/>
        <v>14007</v>
      </c>
      <c r="BW47" s="13">
        <f t="shared" si="90"/>
        <v>14007</v>
      </c>
      <c r="BX47" s="13">
        <f t="shared" si="90"/>
        <v>14007</v>
      </c>
      <c r="BY47" s="13">
        <f t="shared" si="90"/>
        <v>14007</v>
      </c>
      <c r="BZ47" s="13">
        <f t="shared" ref="BV47:BZ56" si="116">SUMIFS(SALIDAS_BIT,FECHA_BIT,"&gt;="&amp;BZ$2,FECHA_BIT,"&lt;="&amp;BZ$3,CLAVE_BIT,$A47)+SUMIFS(SALIDAS_BOV1,FECHA_BOV1,"&gt;="&amp;BZ$2,FECHA_BOV1,"&lt;="&amp;BZ$3,CLAVE_BOV1,$A47)+SUMIFS(SALIDAS_BOV2,FECHA_BOV2,"&gt;="&amp;BZ$2,FECHA_BOV2,"&lt;="&amp;BZ$3,CLAVE_BOV2,$A47)+SUMIFS(SALIDAS_BOV3,FECHA_BOV3,"&gt;="&amp;BZ$2,FECHA_BOV3,"&lt;="&amp;BZ$3,CLAVE_BOV3,$A47)+SUMIFS(SALIDAS_TC,FECHA_TC,"&gt;="&amp;BZ$2,FECHA_TC,"&lt;="&amp;BZ$3,CLAVE_TC,$A47)+SUMIFS(SALIDAS_COMB,FECHA_COMB,"&gt;="&amp;BZ$2,FECHA_COMB,"&lt;="&amp;BZ$3,CLAVE_COMB,$A47)+SUMIFS(SALIDAS_DES,FECHA_DESGLOSEN,"&gt;="&amp;BZ$2,FECHA_DESGLOSEN,"&lt;="&amp;BZ$3,CLAVE_DESGLOSE,$A47)</f>
        <v>56028</v>
      </c>
      <c r="CA47" s="68">
        <f t="shared" si="74"/>
        <v>-2028</v>
      </c>
      <c r="CB47" s="268">
        <f t="shared" si="75"/>
        <v>1.0375555555555556</v>
      </c>
      <c r="CC47" s="13">
        <f t="shared" si="51"/>
        <v>54000</v>
      </c>
      <c r="CD47" s="13">
        <f t="shared" si="91"/>
        <v>14007</v>
      </c>
      <c r="CE47" s="13">
        <f t="shared" si="91"/>
        <v>14007</v>
      </c>
      <c r="CF47" s="13">
        <f t="shared" si="91"/>
        <v>14007</v>
      </c>
      <c r="CG47" s="13">
        <f t="shared" si="91"/>
        <v>14007</v>
      </c>
      <c r="CH47" s="13">
        <f t="shared" ref="CD47:CH56" si="117">SUMIFS(SALIDAS_BIT,FECHA_BIT,"&gt;="&amp;CH$2,FECHA_BIT,"&lt;="&amp;CH$3,CLAVE_BIT,$A47)+SUMIFS(SALIDAS_BOV1,FECHA_BOV1,"&gt;="&amp;CH$2,FECHA_BOV1,"&lt;="&amp;CH$3,CLAVE_BOV1,$A47)+SUMIFS(SALIDAS_BOV2,FECHA_BOV2,"&gt;="&amp;CH$2,FECHA_BOV2,"&lt;="&amp;CH$3,CLAVE_BOV2,$A47)+SUMIFS(SALIDAS_BOV3,FECHA_BOV3,"&gt;="&amp;CH$2,FECHA_BOV3,"&lt;="&amp;CH$3,CLAVE_BOV3,$A47)+SUMIFS(SALIDAS_TC,FECHA_TC,"&gt;="&amp;CH$2,FECHA_TC,"&lt;="&amp;CH$3,CLAVE_TC,$A47)+SUMIFS(SALIDAS_COMB,FECHA_COMB,"&gt;="&amp;CH$2,FECHA_COMB,"&lt;="&amp;CH$3,CLAVE_COMB,$A47)+SUMIFS(SALIDAS_DES,FECHA_DESGLOSEN,"&gt;="&amp;CH$2,FECHA_DESGLOSEN,"&lt;="&amp;CH$3,CLAVE_DESGLOSE,$A47)</f>
        <v>56028</v>
      </c>
      <c r="CI47" s="68">
        <f t="shared" si="76"/>
        <v>-2028</v>
      </c>
      <c r="CJ47" s="268">
        <f t="shared" si="77"/>
        <v>1.0375555555555556</v>
      </c>
      <c r="CK47" s="13">
        <f t="shared" si="53"/>
        <v>67500</v>
      </c>
      <c r="CL47" s="13">
        <f t="shared" si="92"/>
        <v>14007</v>
      </c>
      <c r="CM47" s="13">
        <f t="shared" si="92"/>
        <v>14007</v>
      </c>
      <c r="CN47" s="13">
        <f t="shared" si="92"/>
        <v>14007</v>
      </c>
      <c r="CO47" s="13">
        <f t="shared" si="92"/>
        <v>14007</v>
      </c>
      <c r="CP47" s="13">
        <f t="shared" si="92"/>
        <v>14007</v>
      </c>
      <c r="CQ47" s="13">
        <f t="shared" ref="CL47:CQ56" si="118">SUMIFS(SALIDAS_BIT,FECHA_BIT,"&gt;="&amp;CQ$2,FECHA_BIT,"&lt;="&amp;CQ$3,CLAVE_BIT,$A47)+SUMIFS(SALIDAS_BOV1,FECHA_BOV1,"&gt;="&amp;CQ$2,FECHA_BOV1,"&lt;="&amp;CQ$3,CLAVE_BOV1,$A47)+SUMIFS(SALIDAS_BOV2,FECHA_BOV2,"&gt;="&amp;CQ$2,FECHA_BOV2,"&lt;="&amp;CQ$3,CLAVE_BOV2,$A47)+SUMIFS(SALIDAS_BOV3,FECHA_BOV3,"&gt;="&amp;CQ$2,FECHA_BOV3,"&lt;="&amp;CQ$3,CLAVE_BOV3,$A47)+SUMIFS(SALIDAS_TC,FECHA_TC,"&gt;="&amp;CQ$2,FECHA_TC,"&lt;="&amp;CQ$3,CLAVE_TC,$A47)+SUMIFS(SALIDAS_COMB,FECHA_COMB,"&gt;="&amp;CQ$2,FECHA_COMB,"&lt;="&amp;CQ$3,CLAVE_COMB,$A47)+SUMIFS(SALIDAS_DES,FECHA_DESGLOSEN,"&gt;="&amp;CQ$2,FECHA_DESGLOSEN,"&lt;="&amp;CQ$3,CLAVE_DESGLOSE,$A47)</f>
        <v>70035</v>
      </c>
      <c r="CR47" s="68">
        <f t="shared" si="78"/>
        <v>-2535</v>
      </c>
      <c r="CS47" s="268">
        <f t="shared" si="79"/>
        <v>1.0375555555555556</v>
      </c>
      <c r="CT47" s="68">
        <f t="shared" si="55"/>
        <v>54000</v>
      </c>
      <c r="CU47" s="13">
        <f>SUMIFS(SALIDAS_BIT,FECHA_BIT,"&gt;="&amp;CU$2,FECHA_BIT,"&lt;="&amp;CU$3,CLAVE_BIT,$A47)+SUMIFS(SALIDAS_BOV1,FECHA_BOV1,"&gt;="&amp;CU$2,FECHA_BOV1,"&lt;="&amp;CU$3,CLAVE_BOV1,$A47)+SUMIFS(SALIDAS_BOV2,FECHA_BOV2,"&gt;="&amp;CU$2,FECHA_BOV2,"&lt;="&amp;CU$3,CLAVE_BOV2,$A47)+SUMIFS(SALIDAS_BOV3,FECHA_BOV3,"&gt;="&amp;CU$2,FECHA_BOV3,"&lt;="&amp;CU$3,CLAVE_BOV3,$A47)+SUMIFS(SALIDAS_TC,FECHA_TC,"&gt;="&amp;CU$2,FECHA_TC,"&lt;="&amp;CU$3,CLAVE_TC,$A47)+SUMIFS(SALIDAS_COMB,FECHA_COMB,"&gt;="&amp;CU$2,FECHA_COMB,"&lt;="&amp;CU$3,CLAVE_COMB,$A47)+SUMIFS(SALIDAS_DES,FECHA_DESGLOSEN,"&gt;="&amp;CU$2,FECHA_DESGLOSEN,"&lt;="&amp;CU$3,CLAVE_DESGLOSE,$A47)</f>
        <v>14052.4</v>
      </c>
      <c r="CV47" s="13">
        <f>SUMIFS(SALIDAS_BIT,FECHA_BIT,"&gt;="&amp;CV$2,FECHA_BIT,"&lt;="&amp;CV$3,CLAVE_BIT,$A47)+SUMIFS(SALIDAS_BOV1,FECHA_BOV1,"&gt;="&amp;CV$2,FECHA_BOV1,"&lt;="&amp;CV$3,CLAVE_BOV1,$A47)+SUMIFS(SALIDAS_BOV2,FECHA_BOV2,"&gt;="&amp;CV$2,FECHA_BOV2,"&lt;="&amp;CV$3,CLAVE_BOV2,$A47)+SUMIFS(SALIDAS_BOV3,FECHA_BOV3,"&gt;="&amp;CV$2,FECHA_BOV3,"&lt;="&amp;CV$3,CLAVE_BOV3,$A47)+SUMIFS(SALIDAS_TC,FECHA_TC,"&gt;="&amp;CV$2,FECHA_TC,"&lt;="&amp;CV$3,CLAVE_TC,$A47)+SUMIFS(SALIDAS_COMB,FECHA_COMB,"&gt;="&amp;CV$2,FECHA_COMB,"&lt;="&amp;CV$3,CLAVE_COMB,$A47)+SUMIFS(SALIDAS_DES,FECHA_DESGLOSEN,"&gt;="&amp;CV$2,FECHA_DESGLOSEN,"&lt;="&amp;CV$3,CLAVE_DESGLOSE,$A47)</f>
        <v>14052.4</v>
      </c>
      <c r="CW47" s="13">
        <f>SUMIFS(SALIDAS_BIT,FECHA_BIT,"&gt;="&amp;CW$2,FECHA_BIT,"&lt;="&amp;CW$3,CLAVE_BIT,$A47)+SUMIFS(SALIDAS_BOV1,FECHA_BOV1,"&gt;="&amp;CW$2,FECHA_BOV1,"&lt;="&amp;CW$3,CLAVE_BOV1,$A47)+SUMIFS(SALIDAS_BOV2,FECHA_BOV2,"&gt;="&amp;CW$2,FECHA_BOV2,"&lt;="&amp;CW$3,CLAVE_BOV2,$A47)+SUMIFS(SALIDAS_BOV3,FECHA_BOV3,"&gt;="&amp;CW$2,FECHA_BOV3,"&lt;="&amp;CW$3,CLAVE_BOV3,$A47)+SUMIFS(SALIDAS_TC,FECHA_TC,"&gt;="&amp;CW$2,FECHA_TC,"&lt;="&amp;CW$3,CLAVE_TC,$A47)+SUMIFS(SALIDAS_COMB,FECHA_COMB,"&gt;="&amp;CW$2,FECHA_COMB,"&lt;="&amp;CW$3,CLAVE_COMB,$A47)+SUMIFS(SALIDAS_DES,FECHA_DESGLOSEN,"&gt;="&amp;CW$2,FECHA_DESGLOSEN,"&lt;="&amp;CW$3,CLAVE_DESGLOSE,$A47)</f>
        <v>14052.4</v>
      </c>
      <c r="CX47" s="13">
        <f>SUMIFS(SALIDAS_BIT,FECHA_BIT,"&gt;="&amp;CX$2,FECHA_BIT,"&lt;="&amp;CX$3,CLAVE_BIT,$A47)+SUMIFS(SALIDAS_BOV1,FECHA_BOV1,"&gt;="&amp;CX$2,FECHA_BOV1,"&lt;="&amp;CX$3,CLAVE_BOV1,$A47)+SUMIFS(SALIDAS_BOV2,FECHA_BOV2,"&gt;="&amp;CX$2,FECHA_BOV2,"&lt;="&amp;CX$3,CLAVE_BOV2,$A47)+SUMIFS(SALIDAS_BOV3,FECHA_BOV3,"&gt;="&amp;CX$2,FECHA_BOV3,"&lt;="&amp;CX$3,CLAVE_BOV3,$A47)+SUMIFS(SALIDAS_TC,FECHA_TC,"&gt;="&amp;CX$2,FECHA_TC,"&lt;="&amp;CX$3,CLAVE_TC,$A47)+SUMIFS(SALIDAS_COMB,FECHA_COMB,"&gt;="&amp;CX$2,FECHA_COMB,"&lt;="&amp;CX$3,CLAVE_COMB,$A47)+SUMIFS(SALIDAS_DES,FECHA_DESGLOSEN,"&gt;="&amp;CX$2,FECHA_DESGLOSEN,"&lt;="&amp;CX$3,CLAVE_DESGLOSE,$A47)</f>
        <v>14052.8</v>
      </c>
      <c r="CY47" s="13">
        <f>SUMIFS(SALIDAS_BIT,FECHA_BIT,"&gt;="&amp;CY$2,FECHA_BIT,"&lt;="&amp;CY$3,CLAVE_BIT,$A47)+SUMIFS(SALIDAS_BOV1,FECHA_BOV1,"&gt;="&amp;CY$2,FECHA_BOV1,"&lt;="&amp;CY$3,CLAVE_BOV1,$A47)+SUMIFS(SALIDAS_BOV2,FECHA_BOV2,"&gt;="&amp;CY$2,FECHA_BOV2,"&lt;="&amp;CY$3,CLAVE_BOV2,$A47)+SUMIFS(SALIDAS_BOV3,FECHA_BOV3,"&gt;="&amp;CY$2,FECHA_BOV3,"&lt;="&amp;CY$3,CLAVE_BOV3,$A47)+SUMIFS(SALIDAS_TC,FECHA_TC,"&gt;="&amp;CY$2,FECHA_TC,"&lt;="&amp;CY$3,CLAVE_TC,$A47)+SUMIFS(SALIDAS_COMB,FECHA_COMB,"&gt;="&amp;CY$2,FECHA_COMB,"&lt;="&amp;CY$3,CLAVE_COMB,$A47)+SUMIFS(SALIDAS_DES,FECHA_DESGLOSEN,"&gt;="&amp;CY$2,FECHA_DESGLOSEN,"&lt;="&amp;CY$3,CLAVE_DESGLOSE,$A47)</f>
        <v>56210</v>
      </c>
      <c r="CZ47" s="68">
        <f t="shared" si="80"/>
        <v>-2210</v>
      </c>
      <c r="DB47" s="17">
        <f>F47+N47+W47+AE47+AM47+AV47+BD47+BL47+BU47+CC47+CK47</f>
        <v>648000</v>
      </c>
      <c r="DC47" s="17">
        <f>K47+T47+AB47+AJ47+AS47+BA47+BI47+BR47+BZ47+CH47+CQ47</f>
        <v>674224.4</v>
      </c>
    </row>
    <row r="48" spans="1:107" hidden="1">
      <c r="A48" s="12" t="str">
        <f t="shared" si="57"/>
        <v>SGENOMINA ADMONGESTION EMPRESARIAL</v>
      </c>
      <c r="B48" s="12">
        <v>42</v>
      </c>
      <c r="C48" t="s">
        <v>39</v>
      </c>
      <c r="D48" s="14" t="s">
        <v>147</v>
      </c>
      <c r="E48" s="14" t="s">
        <v>40</v>
      </c>
      <c r="F48" s="259">
        <f t="shared" si="58"/>
        <v>96816</v>
      </c>
      <c r="G48" s="13">
        <f t="shared" si="111"/>
        <v>22128.400000000001</v>
      </c>
      <c r="H48" s="13">
        <f t="shared" si="111"/>
        <v>24250.400000000001</v>
      </c>
      <c r="I48" s="13">
        <f t="shared" si="111"/>
        <v>25950.6</v>
      </c>
      <c r="J48" s="13">
        <f t="shared" si="111"/>
        <v>24251.200000000001</v>
      </c>
      <c r="K48" s="13">
        <f t="shared" si="111"/>
        <v>96580.599999999991</v>
      </c>
      <c r="L48" s="68">
        <f t="shared" si="59"/>
        <v>235.40000000000873</v>
      </c>
      <c r="M48" s="268">
        <f t="shared" si="60"/>
        <v>0.99756858370517265</v>
      </c>
      <c r="N48" s="13">
        <f t="shared" si="36"/>
        <v>121250</v>
      </c>
      <c r="O48" s="13">
        <f t="shared" si="112"/>
        <v>24251.4</v>
      </c>
      <c r="P48" s="13">
        <f t="shared" si="112"/>
        <v>21850.400000000001</v>
      </c>
      <c r="Q48" s="13">
        <f t="shared" si="112"/>
        <v>24602.799999999999</v>
      </c>
      <c r="R48" s="13">
        <f t="shared" si="112"/>
        <v>24250.400000000001</v>
      </c>
      <c r="S48" s="13">
        <f t="shared" si="112"/>
        <v>24251.4</v>
      </c>
      <c r="T48" s="13">
        <f t="shared" si="112"/>
        <v>119206.39999999999</v>
      </c>
      <c r="U48" s="68">
        <f t="shared" si="61"/>
        <v>2043.6000000000058</v>
      </c>
      <c r="V48" s="268">
        <f t="shared" si="62"/>
        <v>0.9831455670103092</v>
      </c>
      <c r="W48" s="13">
        <f t="shared" si="38"/>
        <v>97000</v>
      </c>
      <c r="X48" s="13">
        <f t="shared" si="113"/>
        <v>21350.799999999999</v>
      </c>
      <c r="Y48" s="13">
        <f t="shared" si="113"/>
        <v>24250.2</v>
      </c>
      <c r="Z48" s="13">
        <f t="shared" si="113"/>
        <v>23260.799999999999</v>
      </c>
      <c r="AA48" s="13">
        <f t="shared" si="113"/>
        <v>22900.799999999999</v>
      </c>
      <c r="AB48" s="13">
        <f t="shared" si="113"/>
        <v>91762.6</v>
      </c>
      <c r="AC48" s="68">
        <f t="shared" si="63"/>
        <v>5237.3999999999942</v>
      </c>
      <c r="AD48" s="268">
        <f t="shared" si="64"/>
        <v>0.94600618556701033</v>
      </c>
      <c r="AE48" s="13">
        <f t="shared" si="40"/>
        <v>97000</v>
      </c>
      <c r="AF48" s="13">
        <f t="shared" si="114"/>
        <v>23150.7</v>
      </c>
      <c r="AG48" s="13">
        <f t="shared" si="114"/>
        <v>24450.3</v>
      </c>
      <c r="AH48" s="13">
        <f t="shared" si="114"/>
        <v>21650.9</v>
      </c>
      <c r="AI48" s="13">
        <f t="shared" si="114"/>
        <v>22253.9</v>
      </c>
      <c r="AJ48" s="13">
        <f t="shared" si="114"/>
        <v>91505.799999999988</v>
      </c>
      <c r="AK48" s="68">
        <f t="shared" si="65"/>
        <v>5494.2000000000116</v>
      </c>
      <c r="AL48" s="268">
        <f t="shared" si="66"/>
        <v>0.94335876288659781</v>
      </c>
      <c r="AM48" s="13">
        <f t="shared" si="42"/>
        <v>121250</v>
      </c>
      <c r="AN48" s="13">
        <f t="shared" si="115"/>
        <v>24238.3</v>
      </c>
      <c r="AO48" s="13">
        <f t="shared" si="115"/>
        <v>24325.1</v>
      </c>
      <c r="AP48" s="13">
        <f t="shared" si="115"/>
        <v>22250.2</v>
      </c>
      <c r="AQ48" s="13">
        <f t="shared" si="115"/>
        <v>21050.6</v>
      </c>
      <c r="AR48" s="13">
        <f t="shared" si="115"/>
        <v>22551.4</v>
      </c>
      <c r="AS48" s="13">
        <f t="shared" si="115"/>
        <v>114415.59999999998</v>
      </c>
      <c r="AT48" s="68">
        <f>AM48-AS48</f>
        <v>6834.4000000000233</v>
      </c>
      <c r="AU48" s="268">
        <f t="shared" si="67"/>
        <v>0.94363381443298955</v>
      </c>
      <c r="AV48" s="13">
        <f t="shared" si="44"/>
        <v>97000</v>
      </c>
      <c r="AW48" s="13">
        <f t="shared" si="107"/>
        <v>22350</v>
      </c>
      <c r="AX48" s="13">
        <f t="shared" si="107"/>
        <v>23851</v>
      </c>
      <c r="AY48" s="13">
        <f t="shared" si="107"/>
        <v>24850.2</v>
      </c>
      <c r="AZ48" s="13">
        <f>SUMIFS(SALIDAS_BIT,FECHA_BIT,"&gt;="&amp;AZ$2,FECHA_BIT,"&lt;="&amp;AZ$3,CLAVE_BIT,$A48)+SUMIFS(SALIDAS_BOV1,FECHA_BOV1,"&gt;="&amp;AZ$2,FECHA_BOV1,"&lt;="&amp;AZ$3,CLAVE_BOV1,$A48)+SUMIFS(SALIDAS_BOV2,FECHA_BOV2,"&gt;="&amp;AZ$2,FECHA_BOV2,"&lt;="&amp;AZ$3,CLAVE_BOV2,$A48)+SUMIFS(SALIDAS_BOV3,FECHA_BOV3,"&gt;="&amp;AZ$2,FECHA_BOV3,"&lt;="&amp;AZ$3,CLAVE_BOV3,$A48)+SUMIFS(SALIDAS_TC,FECHA_TC,"&gt;="&amp;AZ$2,FECHA_TC,"&lt;="&amp;AZ$3,CLAVE_TC,$A48)+SUMIFS(SALIDAS_COMB,FECHA_COMB,"&gt;="&amp;AZ$2,FECHA_COMB,"&lt;="&amp;AZ$3,CLAVE_COMB,$A48)+SUMIFS(SALIDAS_DES,FECHA_DESGLOSEN,"&gt;="&amp;AZ$2,FECHA_DESGLOSEN,"&lt;="&amp;AZ$3,CLAVE_DESGLOSE,$A48)</f>
        <v>24450.400000000001</v>
      </c>
      <c r="BA48" s="13">
        <f t="shared" si="107"/>
        <v>95501.6</v>
      </c>
      <c r="BB48" s="68">
        <f t="shared" si="68"/>
        <v>1498.3999999999942</v>
      </c>
      <c r="BC48" s="268">
        <f t="shared" si="69"/>
        <v>0.98455257731958767</v>
      </c>
      <c r="BD48" s="13">
        <f t="shared" si="46"/>
        <v>97000</v>
      </c>
      <c r="BE48" s="13">
        <f>SUMIFS(SALIDAS_BIT,FECHA_BIT,"&gt;="&amp;BE$2,FECHA_BIT,"&lt;="&amp;BE$3,CLAVE_BIT,$A48)+SUMIFS(SALIDAS_BOV1,FECHA_BOV1,"&gt;="&amp;BE$2,FECHA_BOV1,"&lt;="&amp;BE$3,CLAVE_BOV1,$A48)+SUMIFS(SALIDAS_BOV2,FECHA_BOV2,"&gt;="&amp;BE$2,FECHA_BOV2,"&lt;="&amp;BE$3,CLAVE_BOV2,$A48)+SUMIFS(SALIDAS_BOV3,FECHA_BOV3,"&gt;="&amp;BE$2,FECHA_BOV3,"&lt;="&amp;BE$3,CLAVE_BOV3,$A48)+SUMIFS(SALIDAS_TC,FECHA_TC,"&gt;="&amp;BE$2,FECHA_TC,"&lt;="&amp;BE$3,CLAVE_TC,$A48)+SUMIFS(SALIDAS_COMB,FECHA_COMB,"&gt;="&amp;BE$2,FECHA_COMB,"&lt;="&amp;BE$3,CLAVE_COMB,$A48)+SUMIFS(SALIDAS_DES,FECHA_DESGLOSEN,"&gt;="&amp;BE$2,FECHA_DESGLOSEN,"&lt;="&amp;BE$3,CLAVE_DESGLOSE,$A48)</f>
        <v>22501.39</v>
      </c>
      <c r="BF48" s="13">
        <f>SUMIFS(SALIDAS_BIT,FECHA_BIT,"&gt;="&amp;BF$2,FECHA_BIT,"&lt;="&amp;BF$3,CLAVE_BIT,$A48)+SUMIFS(SALIDAS_BOV1,FECHA_BOV1,"&gt;="&amp;BF$2,FECHA_BOV1,"&lt;="&amp;BF$3,CLAVE_BOV1,$A48)+SUMIFS(SALIDAS_BOV2,FECHA_BOV2,"&gt;="&amp;BF$2,FECHA_BOV2,"&lt;="&amp;BF$3,CLAVE_BOV2,$A48)+SUMIFS(SALIDAS_BOV3,FECHA_BOV3,"&gt;="&amp;BF$2,FECHA_BOV3,"&lt;="&amp;BF$3,CLAVE_BOV3,$A48)+SUMIFS(SALIDAS_TC,FECHA_TC,"&gt;="&amp;BF$2,FECHA_TC,"&lt;="&amp;BF$3,CLAVE_TC,$A48)+SUMIFS(SALIDAS_COMB,FECHA_COMB,"&gt;="&amp;BF$2,FECHA_COMB,"&lt;="&amp;BF$3,CLAVE_COMB,$A48)+SUMIFS(SALIDAS_DES,FECHA_DESGLOSEN,"&gt;="&amp;BF$2,FECHA_DESGLOSEN,"&lt;="&amp;BF$3,CLAVE_DESGLOSE,$A48)</f>
        <v>19950</v>
      </c>
      <c r="BG48" s="13">
        <f>SUMIFS(SALIDAS_BIT,FECHA_BIT,"&gt;="&amp;BG$2,FECHA_BIT,"&lt;="&amp;BG$3,CLAVE_BIT,$A48)+SUMIFS(SALIDAS_BOV1,FECHA_BOV1,"&gt;="&amp;BG$2,FECHA_BOV1,"&lt;="&amp;BG$3,CLAVE_BOV1,$A48)+SUMIFS(SALIDAS_BOV2,FECHA_BOV2,"&gt;="&amp;BG$2,FECHA_BOV2,"&lt;="&amp;BG$3,CLAVE_BOV2,$A48)+SUMIFS(SALIDAS_BOV3,FECHA_BOV3,"&gt;="&amp;BG$2,FECHA_BOV3,"&lt;="&amp;BG$3,CLAVE_BOV3,$A48)+SUMIFS(SALIDAS_TC,FECHA_TC,"&gt;="&amp;BG$2,FECHA_TC,"&lt;="&amp;BG$3,CLAVE_TC,$A48)+SUMIFS(SALIDAS_COMB,FECHA_COMB,"&gt;="&amp;BG$2,FECHA_COMB,"&lt;="&amp;BG$3,CLAVE_COMB,$A48)+SUMIFS(SALIDAS_DES,FECHA_DESGLOSEN,"&gt;="&amp;BG$2,FECHA_DESGLOSEN,"&lt;="&amp;BG$3,CLAVE_DESGLOSE,$A48)</f>
        <v>23850.400000000001</v>
      </c>
      <c r="BH48" s="13">
        <f>SUMIFS(SALIDAS_BIT,FECHA_BIT,"&gt;="&amp;BH$2,FECHA_BIT,"&lt;="&amp;BH$3,CLAVE_BIT,$A48)+SUMIFS(SALIDAS_BOV1,FECHA_BOV1,"&gt;="&amp;BH$2,FECHA_BOV1,"&lt;="&amp;BH$3,CLAVE_BOV1,$A48)+SUMIFS(SALIDAS_BOV2,FECHA_BOV2,"&gt;="&amp;BH$2,FECHA_BOV2,"&lt;="&amp;BH$3,CLAVE_BOV2,$A48)+SUMIFS(SALIDAS_BOV3,FECHA_BOV3,"&gt;="&amp;BH$2,FECHA_BOV3,"&lt;="&amp;BH$3,CLAVE_BOV3,$A48)+SUMIFS(SALIDAS_TC,FECHA_TC,"&gt;="&amp;BH$2,FECHA_TC,"&lt;="&amp;BH$3,CLAVE_TC,$A48)+SUMIFS(SALIDAS_COMB,FECHA_COMB,"&gt;="&amp;BH$2,FECHA_COMB,"&lt;="&amp;BH$3,CLAVE_COMB,$A48)+SUMIFS(SALIDAS_DES,FECHA_DESGLOSEN,"&gt;="&amp;BH$2,FECHA_DESGLOSEN,"&lt;="&amp;BH$3,CLAVE_DESGLOSE,$A48)</f>
        <v>22553</v>
      </c>
      <c r="BI48" s="13">
        <f>SUMIFS(SALIDAS_BIT,FECHA_BIT,"&gt;="&amp;BI$2,FECHA_BIT,"&lt;="&amp;BI$3,CLAVE_BIT,$A48)+SUMIFS(SALIDAS_BOV1,FECHA_BOV1,"&gt;="&amp;BI$2,FECHA_BOV1,"&lt;="&amp;BI$3,CLAVE_BOV1,$A48)+SUMIFS(SALIDAS_BOV2,FECHA_BOV2,"&gt;="&amp;BI$2,FECHA_BOV2,"&lt;="&amp;BI$3,CLAVE_BOV2,$A48)+SUMIFS(SALIDAS_BOV3,FECHA_BOV3,"&gt;="&amp;BI$2,FECHA_BOV3,"&lt;="&amp;BI$3,CLAVE_BOV3,$A48)+SUMIFS(SALIDAS_TC,FECHA_TC,"&gt;="&amp;BI$2,FECHA_TC,"&lt;="&amp;BI$3,CLAVE_TC,$A48)+SUMIFS(SALIDAS_COMB,FECHA_COMB,"&gt;="&amp;BI$2,FECHA_COMB,"&lt;="&amp;BI$3,CLAVE_COMB,$A48)+SUMIFS(SALIDAS_DES,FECHA_DESGLOSEN,"&gt;="&amp;BI$2,FECHA_DESGLOSEN,"&lt;="&amp;BI$3,CLAVE_DESGLOSE,$A48)</f>
        <v>88854.790000000008</v>
      </c>
      <c r="BJ48" s="68">
        <f t="shared" si="70"/>
        <v>8145.2099999999919</v>
      </c>
      <c r="BK48" s="268">
        <f t="shared" si="71"/>
        <v>0.91602876288659807</v>
      </c>
      <c r="BL48" s="13">
        <f t="shared" si="47"/>
        <v>121250</v>
      </c>
      <c r="BM48" s="13">
        <f>SUMIFS(SALIDAS_BIT,FECHA_BIT,"&gt;="&amp;BM$2,FECHA_BIT,"&lt;="&amp;BM$3,CLAVE_BIT,$A48)+SUMIFS(SALIDAS_BOV1,FECHA_BOV1,"&gt;="&amp;BM$2,FECHA_BOV1,"&lt;="&amp;BM$3,CLAVE_BOV1,$A48)+SUMIFS(SALIDAS_BOV2,FECHA_BOV2,"&gt;="&amp;BM$2,FECHA_BOV2,"&lt;="&amp;BM$3,CLAVE_BOV2,$A48)+SUMIFS(SALIDAS_BOV3,FECHA_BOV3,"&gt;="&amp;BM$2,FECHA_BOV3,"&lt;="&amp;BM$3,CLAVE_BOV3,$A48)+SUMIFS(SALIDAS_TC,FECHA_TC,"&gt;="&amp;BM$2,FECHA_TC,"&lt;="&amp;BM$3,CLAVE_TC,$A48)+SUMIFS(SALIDAS_COMB,FECHA_COMB,"&gt;="&amp;BM$2,FECHA_COMB,"&lt;="&amp;BM$3,CLAVE_COMB,$A48)+SUMIFS(SALIDAS_DES,FECHA_DESGLOSEN,"&gt;="&amp;BM$2,FECHA_DESGLOSEN,"&lt;="&amp;BM$3,CLAVE_DESGLOSE,$A48)</f>
        <v>23332.2</v>
      </c>
      <c r="BN48" s="13">
        <f>SUMIFS(SALIDAS_BIT,FECHA_BIT,"&gt;="&amp;BN$2,FECHA_BIT,"&lt;="&amp;BN$3,CLAVE_BIT,$A48)+SUMIFS(SALIDAS_BOV1,FECHA_BOV1,"&gt;="&amp;BN$2,FECHA_BOV1,"&lt;="&amp;BN$3,CLAVE_BOV1,$A48)+SUMIFS(SALIDAS_BOV2,FECHA_BOV2,"&gt;="&amp;BN$2,FECHA_BOV2,"&lt;="&amp;BN$3,CLAVE_BOV2,$A48)+SUMIFS(SALIDAS_BOV3,FECHA_BOV3,"&gt;="&amp;BN$2,FECHA_BOV3,"&lt;="&amp;BN$3,CLAVE_BOV3,$A48)+SUMIFS(SALIDAS_TC,FECHA_TC,"&gt;="&amp;BN$2,FECHA_TC,"&lt;="&amp;BN$3,CLAVE_TC,$A48)+SUMIFS(SALIDAS_COMB,FECHA_COMB,"&gt;="&amp;BN$2,FECHA_COMB,"&lt;="&amp;BN$3,CLAVE_COMB,$A48)+SUMIFS(SALIDAS_DES,FECHA_DESGLOSEN,"&gt;="&amp;BN$2,FECHA_DESGLOSEN,"&lt;="&amp;BN$3,CLAVE_DESGLOSE,$A48)</f>
        <v>25700.2</v>
      </c>
      <c r="BO48" s="13">
        <f>SUMIFS(SALIDAS_BIT,FECHA_BIT,"&gt;="&amp;BO$2,FECHA_BIT,"&lt;="&amp;BO$3,CLAVE_BIT,$A48)+SUMIFS(SALIDAS_BOV1,FECHA_BOV1,"&gt;="&amp;BO$2,FECHA_BOV1,"&lt;="&amp;BO$3,CLAVE_BOV1,$A48)+SUMIFS(SALIDAS_BOV2,FECHA_BOV2,"&gt;="&amp;BO$2,FECHA_BOV2,"&lt;="&amp;BO$3,CLAVE_BOV2,$A48)+SUMIFS(SALIDAS_BOV3,FECHA_BOV3,"&gt;="&amp;BO$2,FECHA_BOV3,"&lt;="&amp;BO$3,CLAVE_BOV3,$A48)+SUMIFS(SALIDAS_TC,FECHA_TC,"&gt;="&amp;BO$2,FECHA_TC,"&lt;="&amp;BO$3,CLAVE_TC,$A48)+SUMIFS(SALIDAS_COMB,FECHA_COMB,"&gt;="&amp;BO$2,FECHA_COMB,"&lt;="&amp;BO$3,CLAVE_COMB,$A48)+SUMIFS(SALIDAS_DES,FECHA_DESGLOSEN,"&gt;="&amp;BO$2,FECHA_DESGLOSEN,"&lt;="&amp;BO$3,CLAVE_DESGLOSE,$A48)</f>
        <v>26000.400000000001</v>
      </c>
      <c r="BP48" s="13">
        <f>SUMIFS(SALIDAS_BIT,FECHA_BIT,"&gt;="&amp;BP$2,FECHA_BIT,"&lt;="&amp;BP$3,CLAVE_BIT,$A48)+SUMIFS(SALIDAS_BOV1,FECHA_BOV1,"&gt;="&amp;BP$2,FECHA_BOV1,"&lt;="&amp;BP$3,CLAVE_BOV1,$A48)+SUMIFS(SALIDAS_BOV2,FECHA_BOV2,"&gt;="&amp;BP$2,FECHA_BOV2,"&lt;="&amp;BP$3,CLAVE_BOV2,$A48)+SUMIFS(SALIDAS_BOV3,FECHA_BOV3,"&gt;="&amp;BP$2,FECHA_BOV3,"&lt;="&amp;BP$3,CLAVE_BOV3,$A48)+SUMIFS(SALIDAS_TC,FECHA_TC,"&gt;="&amp;BP$2,FECHA_TC,"&lt;="&amp;BP$3,CLAVE_TC,$A48)+SUMIFS(SALIDAS_COMB,FECHA_COMB,"&gt;="&amp;BP$2,FECHA_COMB,"&lt;="&amp;BP$3,CLAVE_COMB,$A48)+SUMIFS(SALIDAS_DES,FECHA_DESGLOSEN,"&gt;="&amp;BP$2,FECHA_DESGLOSEN,"&lt;="&amp;BP$3,CLAVE_DESGLOSE,$A48)</f>
        <v>26218.7</v>
      </c>
      <c r="BQ48" s="13">
        <f>SUMIFS(SALIDAS_BIT,FECHA_BIT,"&gt;="&amp;BQ$2,FECHA_BIT,"&lt;="&amp;BQ$3,CLAVE_BIT,$A48)+SUMIFS(SALIDAS_BOV1,FECHA_BOV1,"&gt;="&amp;BQ$2,FECHA_BOV1,"&lt;="&amp;BQ$3,CLAVE_BOV1,$A48)+SUMIFS(SALIDAS_BOV2,FECHA_BOV2,"&gt;="&amp;BQ$2,FECHA_BOV2,"&lt;="&amp;BQ$3,CLAVE_BOV2,$A48)+SUMIFS(SALIDAS_BOV3,FECHA_BOV3,"&gt;="&amp;BQ$2,FECHA_BOV3,"&lt;="&amp;BQ$3,CLAVE_BOV3,$A48)+SUMIFS(SALIDAS_TC,FECHA_TC,"&gt;="&amp;BQ$2,FECHA_TC,"&lt;="&amp;BQ$3,CLAVE_TC,$A48)+SUMIFS(SALIDAS_COMB,FECHA_COMB,"&gt;="&amp;BQ$2,FECHA_COMB,"&lt;="&amp;BQ$3,CLAVE_COMB,$A48)+SUMIFS(SALIDAS_DES,FECHA_DESGLOSEN,"&gt;="&amp;BQ$2,FECHA_DESGLOSEN,"&lt;="&amp;BQ$3,CLAVE_DESGLOSE,$A48)</f>
        <v>25700.400000000001</v>
      </c>
      <c r="BR48" s="13">
        <f>SUMIFS(SALIDAS_BIT,FECHA_BIT,"&gt;="&amp;BR$2,FECHA_BIT,"&lt;="&amp;BR$3,CLAVE_BIT,$A48)+SUMIFS(SALIDAS_BOV1,FECHA_BOV1,"&gt;="&amp;BR$2,FECHA_BOV1,"&lt;="&amp;BR$3,CLAVE_BOV1,$A48)+SUMIFS(SALIDAS_BOV2,FECHA_BOV2,"&gt;="&amp;BR$2,FECHA_BOV2,"&lt;="&amp;BR$3,CLAVE_BOV2,$A48)+SUMIFS(SALIDAS_BOV3,FECHA_BOV3,"&gt;="&amp;BR$2,FECHA_BOV3,"&lt;="&amp;BR$3,CLAVE_BOV3,$A48)+SUMIFS(SALIDAS_TC,FECHA_TC,"&gt;="&amp;BR$2,FECHA_TC,"&lt;="&amp;BR$3,CLAVE_TC,$A48)+SUMIFS(SALIDAS_COMB,FECHA_COMB,"&gt;="&amp;BR$2,FECHA_COMB,"&lt;="&amp;BR$3,CLAVE_COMB,$A48)+SUMIFS(SALIDAS_DES,FECHA_DESGLOSEN,"&gt;="&amp;BR$2,FECHA_DESGLOSEN,"&lt;="&amp;BR$3,CLAVE_DESGLOSE,$A48)</f>
        <v>126951.9</v>
      </c>
      <c r="BS48" s="68">
        <f t="shared" si="72"/>
        <v>-5701.8999999999942</v>
      </c>
      <c r="BT48" s="268">
        <f t="shared" si="73"/>
        <v>1.0470259793814432</v>
      </c>
      <c r="BU48" s="13">
        <f t="shared" si="49"/>
        <v>97000</v>
      </c>
      <c r="BV48" s="13">
        <f t="shared" si="90"/>
        <v>25700.2</v>
      </c>
      <c r="BW48" s="13">
        <f t="shared" si="90"/>
        <v>25700.2</v>
      </c>
      <c r="BX48" s="13">
        <f t="shared" si="90"/>
        <v>26308</v>
      </c>
      <c r="BY48" s="13">
        <f t="shared" si="90"/>
        <v>26391.8</v>
      </c>
      <c r="BZ48" s="13">
        <f t="shared" si="116"/>
        <v>104100.2</v>
      </c>
      <c r="CA48" s="68">
        <f t="shared" si="74"/>
        <v>-7100.1999999999971</v>
      </c>
      <c r="CB48" s="268">
        <f t="shared" si="75"/>
        <v>1.07319793814433</v>
      </c>
      <c r="CC48" s="13">
        <f t="shared" si="51"/>
        <v>97000</v>
      </c>
      <c r="CD48" s="13">
        <f t="shared" si="91"/>
        <v>26601.200000000001</v>
      </c>
      <c r="CE48" s="13">
        <f t="shared" si="91"/>
        <v>23707.4</v>
      </c>
      <c r="CF48" s="13">
        <f t="shared" si="91"/>
        <v>27507.4</v>
      </c>
      <c r="CG48" s="13">
        <f t="shared" si="91"/>
        <v>26602.799999999999</v>
      </c>
      <c r="CH48" s="13">
        <f t="shared" si="117"/>
        <v>104418.8</v>
      </c>
      <c r="CI48" s="68">
        <f t="shared" si="76"/>
        <v>-7418.8000000000029</v>
      </c>
      <c r="CJ48" s="268">
        <f t="shared" si="77"/>
        <v>1.0764824742268042</v>
      </c>
      <c r="CK48" s="13">
        <f t="shared" si="53"/>
        <v>121250</v>
      </c>
      <c r="CL48" s="13">
        <f t="shared" si="92"/>
        <v>26000.2</v>
      </c>
      <c r="CM48" s="13">
        <f t="shared" si="92"/>
        <v>26801.4</v>
      </c>
      <c r="CN48" s="13">
        <f t="shared" si="92"/>
        <v>28401.200000000001</v>
      </c>
      <c r="CO48" s="13">
        <f t="shared" si="92"/>
        <v>26700.6</v>
      </c>
      <c r="CP48" s="13">
        <f t="shared" si="92"/>
        <v>26700.6</v>
      </c>
      <c r="CQ48" s="13">
        <f t="shared" si="118"/>
        <v>134604</v>
      </c>
      <c r="CR48" s="68">
        <f t="shared" si="78"/>
        <v>-13354</v>
      </c>
      <c r="CS48" s="268">
        <f t="shared" si="79"/>
        <v>1.1101360824742268</v>
      </c>
      <c r="CT48" s="68">
        <f t="shared" si="55"/>
        <v>102000</v>
      </c>
      <c r="CU48" s="13">
        <f>SUMIFS(SALIDAS_BIT,FECHA_BIT,"&gt;="&amp;CU$2,FECHA_BIT,"&lt;="&amp;CU$3,CLAVE_BIT,$A48)+SUMIFS(SALIDAS_BOV1,FECHA_BOV1,"&gt;="&amp;CU$2,FECHA_BOV1,"&lt;="&amp;CU$3,CLAVE_BOV1,$A48)+SUMIFS(SALIDAS_BOV2,FECHA_BOV2,"&gt;="&amp;CU$2,FECHA_BOV2,"&lt;="&amp;CU$3,CLAVE_BOV2,$A48)+SUMIFS(SALIDAS_BOV3,FECHA_BOV3,"&gt;="&amp;CU$2,FECHA_BOV3,"&lt;="&amp;CU$3,CLAVE_BOV3,$A48)+SUMIFS(SALIDAS_TC,FECHA_TC,"&gt;="&amp;CU$2,FECHA_TC,"&lt;="&amp;CU$3,CLAVE_TC,$A48)+SUMIFS(SALIDAS_COMB,FECHA_COMB,"&gt;="&amp;CU$2,FECHA_COMB,"&lt;="&amp;CU$3,CLAVE_COMB,$A48)+SUMIFS(SALIDAS_DES,FECHA_DESGLOSEN,"&gt;="&amp;CU$2,FECHA_DESGLOSEN,"&lt;="&amp;CU$3,CLAVE_DESGLOSE,$A48)</f>
        <v>27300.799999999999</v>
      </c>
      <c r="CV48" s="13">
        <f>SUMIFS(SALIDAS_BIT,FECHA_BIT,"&gt;="&amp;CV$2,FECHA_BIT,"&lt;="&amp;CV$3,CLAVE_BIT,$A48)+SUMIFS(SALIDAS_BOV1,FECHA_BOV1,"&gt;="&amp;CV$2,FECHA_BOV1,"&lt;="&amp;CV$3,CLAVE_BOV1,$A48)+SUMIFS(SALIDAS_BOV2,FECHA_BOV2,"&gt;="&amp;CV$2,FECHA_BOV2,"&lt;="&amp;CV$3,CLAVE_BOV2,$A48)+SUMIFS(SALIDAS_BOV3,FECHA_BOV3,"&gt;="&amp;CV$2,FECHA_BOV3,"&lt;="&amp;CV$3,CLAVE_BOV3,$A48)+SUMIFS(SALIDAS_TC,FECHA_TC,"&gt;="&amp;CV$2,FECHA_TC,"&lt;="&amp;CV$3,CLAVE_TC,$A48)+SUMIFS(SALIDAS_COMB,FECHA_COMB,"&gt;="&amp;CV$2,FECHA_COMB,"&lt;="&amp;CV$3,CLAVE_COMB,$A48)+SUMIFS(SALIDAS_DES,FECHA_DESGLOSEN,"&gt;="&amp;CV$2,FECHA_DESGLOSEN,"&lt;="&amp;CV$3,CLAVE_DESGLOSE,$A48)</f>
        <v>27300.400000000001</v>
      </c>
      <c r="CW48" s="13">
        <f>SUMIFS(SALIDAS_BIT,FECHA_BIT,"&gt;="&amp;CW$2,FECHA_BIT,"&lt;="&amp;CW$3,CLAVE_BIT,$A48)+SUMIFS(SALIDAS_BOV1,FECHA_BOV1,"&gt;="&amp;CW$2,FECHA_BOV1,"&lt;="&amp;CW$3,CLAVE_BOV1,$A48)+SUMIFS(SALIDAS_BOV2,FECHA_BOV2,"&gt;="&amp;CW$2,FECHA_BOV2,"&lt;="&amp;CW$3,CLAVE_BOV2,$A48)+SUMIFS(SALIDAS_BOV3,FECHA_BOV3,"&gt;="&amp;CW$2,FECHA_BOV3,"&lt;="&amp;CW$3,CLAVE_BOV3,$A48)+SUMIFS(SALIDAS_TC,FECHA_TC,"&gt;="&amp;CW$2,FECHA_TC,"&lt;="&amp;CW$3,CLAVE_TC,$A48)+SUMIFS(SALIDAS_COMB,FECHA_COMB,"&gt;="&amp;CW$2,FECHA_COMB,"&lt;="&amp;CW$3,CLAVE_COMB,$A48)+SUMIFS(SALIDAS_DES,FECHA_DESGLOSEN,"&gt;="&amp;CW$2,FECHA_DESGLOSEN,"&lt;="&amp;CW$3,CLAVE_DESGLOSE,$A48)</f>
        <v>29202.6</v>
      </c>
      <c r="CX48" s="13">
        <f>SUMIFS(SALIDAS_BIT,FECHA_BIT,"&gt;="&amp;CX$2,FECHA_BIT,"&lt;="&amp;CX$3,CLAVE_BIT,$A48)+SUMIFS(SALIDAS_BOV1,FECHA_BOV1,"&gt;="&amp;CX$2,FECHA_BOV1,"&lt;="&amp;CX$3,CLAVE_BOV1,$A48)+SUMIFS(SALIDAS_BOV2,FECHA_BOV2,"&gt;="&amp;CX$2,FECHA_BOV2,"&lt;="&amp;CX$3,CLAVE_BOV2,$A48)+SUMIFS(SALIDAS_BOV3,FECHA_BOV3,"&gt;="&amp;CX$2,FECHA_BOV3,"&lt;="&amp;CX$3,CLAVE_BOV3,$A48)+SUMIFS(SALIDAS_TC,FECHA_TC,"&gt;="&amp;CX$2,FECHA_TC,"&lt;="&amp;CX$3,CLAVE_TC,$A48)+SUMIFS(SALIDAS_COMB,FECHA_COMB,"&gt;="&amp;CX$2,FECHA_COMB,"&lt;="&amp;CX$3,CLAVE_COMB,$A48)+SUMIFS(SALIDAS_DES,FECHA_DESGLOSEN,"&gt;="&amp;CX$2,FECHA_DESGLOSEN,"&lt;="&amp;CX$3,CLAVE_DESGLOSE,$A48)</f>
        <v>28202.02</v>
      </c>
      <c r="CY48" s="13">
        <f>SUMIFS(SALIDAS_BIT,FECHA_BIT,"&gt;="&amp;CY$2,FECHA_BIT,"&lt;="&amp;CY$3,CLAVE_BIT,$A48)+SUMIFS(SALIDAS_BOV1,FECHA_BOV1,"&gt;="&amp;CY$2,FECHA_BOV1,"&lt;="&amp;CY$3,CLAVE_BOV1,$A48)+SUMIFS(SALIDAS_BOV2,FECHA_BOV2,"&gt;="&amp;CY$2,FECHA_BOV2,"&lt;="&amp;CY$3,CLAVE_BOV2,$A48)+SUMIFS(SALIDAS_BOV3,FECHA_BOV3,"&gt;="&amp;CY$2,FECHA_BOV3,"&lt;="&amp;CY$3,CLAVE_BOV3,$A48)+SUMIFS(SALIDAS_TC,FECHA_TC,"&gt;="&amp;CY$2,FECHA_TC,"&lt;="&amp;CY$3,CLAVE_TC,$A48)+SUMIFS(SALIDAS_COMB,FECHA_COMB,"&gt;="&amp;CY$2,FECHA_COMB,"&lt;="&amp;CY$3,CLAVE_COMB,$A48)+SUMIFS(SALIDAS_DES,FECHA_DESGLOSEN,"&gt;="&amp;CY$2,FECHA_DESGLOSEN,"&lt;="&amp;CY$3,CLAVE_DESGLOSE,$A48)</f>
        <v>112005.81999999999</v>
      </c>
      <c r="CZ48" s="68">
        <f t="shared" si="80"/>
        <v>-10005.819999999992</v>
      </c>
      <c r="DB48" s="17">
        <f>F48+N48+W48+AE48+AM48+AV48+BD48+BL48+BU48+CC48+CK48</f>
        <v>1163816</v>
      </c>
      <c r="DC48" s="17">
        <f>K48+T48+AB48+AJ48+AS48+BA48+BI48+BR48+BZ48+CH48+CQ48</f>
        <v>1167902.29</v>
      </c>
    </row>
    <row r="49" spans="1:107" hidden="1">
      <c r="A49" s="12" t="str">
        <f t="shared" si="57"/>
        <v>DENOMINA ADMONDIRECCION</v>
      </c>
      <c r="B49" s="12">
        <v>43</v>
      </c>
      <c r="C49" t="s">
        <v>41</v>
      </c>
      <c r="D49" s="14" t="s">
        <v>147</v>
      </c>
      <c r="E49" s="14" t="s">
        <v>42</v>
      </c>
      <c r="F49" s="259">
        <f t="shared" si="58"/>
        <v>52000</v>
      </c>
      <c r="G49" s="13">
        <f t="shared" si="111"/>
        <v>26751</v>
      </c>
      <c r="H49" s="13">
        <f t="shared" si="111"/>
        <v>11751.2</v>
      </c>
      <c r="I49" s="13">
        <f t="shared" si="111"/>
        <v>11750</v>
      </c>
      <c r="J49" s="13">
        <f t="shared" si="111"/>
        <v>11750.6</v>
      </c>
      <c r="K49" s="13">
        <f t="shared" si="111"/>
        <v>62002.799999999996</v>
      </c>
      <c r="L49" s="68">
        <f t="shared" si="59"/>
        <v>-10002.799999999996</v>
      </c>
      <c r="M49" s="268">
        <f t="shared" si="60"/>
        <v>1.1923615384615385</v>
      </c>
      <c r="N49" s="13">
        <f t="shared" si="36"/>
        <v>65000</v>
      </c>
      <c r="O49" s="13">
        <f t="shared" si="112"/>
        <v>26750</v>
      </c>
      <c r="P49" s="13">
        <f t="shared" si="112"/>
        <v>11750.4</v>
      </c>
      <c r="Q49" s="13">
        <f t="shared" si="112"/>
        <v>11750.4</v>
      </c>
      <c r="R49" s="13">
        <f t="shared" si="112"/>
        <v>26750.2</v>
      </c>
      <c r="S49" s="13">
        <f t="shared" si="112"/>
        <v>11750.4</v>
      </c>
      <c r="T49" s="13">
        <f t="shared" si="112"/>
        <v>88751.4</v>
      </c>
      <c r="U49" s="68">
        <f t="shared" si="61"/>
        <v>-23751.399999999994</v>
      </c>
      <c r="V49" s="268">
        <f t="shared" si="62"/>
        <v>1.3654061538461537</v>
      </c>
      <c r="W49" s="13">
        <f t="shared" si="38"/>
        <v>52000</v>
      </c>
      <c r="X49" s="13">
        <f t="shared" si="113"/>
        <v>16750.2</v>
      </c>
      <c r="Y49" s="13">
        <f t="shared" si="113"/>
        <v>12164</v>
      </c>
      <c r="Z49" s="13">
        <f t="shared" si="113"/>
        <v>11750.2</v>
      </c>
      <c r="AA49" s="13">
        <f t="shared" si="113"/>
        <v>26750</v>
      </c>
      <c r="AB49" s="13">
        <f t="shared" si="113"/>
        <v>67414.399999999994</v>
      </c>
      <c r="AC49" s="68">
        <f t="shared" si="63"/>
        <v>-15414.399999999994</v>
      </c>
      <c r="AD49" s="268">
        <f t="shared" si="64"/>
        <v>1.2964307692307691</v>
      </c>
      <c r="AE49" s="13">
        <f t="shared" si="40"/>
        <v>67000</v>
      </c>
      <c r="AF49" s="13">
        <f t="shared" si="114"/>
        <v>11750</v>
      </c>
      <c r="AG49" s="13">
        <f t="shared" si="114"/>
        <v>11750</v>
      </c>
      <c r="AH49" s="13">
        <f t="shared" si="114"/>
        <v>13830</v>
      </c>
      <c r="AI49" s="13">
        <f t="shared" si="114"/>
        <v>5420.6</v>
      </c>
      <c r="AJ49" s="13">
        <f t="shared" si="114"/>
        <v>42750.6</v>
      </c>
      <c r="AK49" s="68">
        <f t="shared" si="65"/>
        <v>24249.4</v>
      </c>
      <c r="AL49" s="268">
        <f t="shared" si="66"/>
        <v>0.63806865671641788</v>
      </c>
      <c r="AM49" s="13">
        <f t="shared" si="42"/>
        <v>105357</v>
      </c>
      <c r="AN49" s="13">
        <f t="shared" si="115"/>
        <v>26750</v>
      </c>
      <c r="AO49" s="13">
        <f t="shared" si="115"/>
        <v>11750.2</v>
      </c>
      <c r="AP49" s="13">
        <f t="shared" si="115"/>
        <v>11750</v>
      </c>
      <c r="AQ49" s="13">
        <f t="shared" si="115"/>
        <v>27083</v>
      </c>
      <c r="AR49" s="13">
        <f>SUMIFS(SALIDAS_BIT,FECHA_BIT,"&gt;="&amp;AR$2,FECHA_BIT,"&lt;="&amp;AR$3,CLAVE_BIT,$A49)+SUMIFS(SALIDAS_BOV1,FECHA_BOV1,"&gt;="&amp;AR$2,FECHA_BOV1,"&lt;="&amp;AR$3,CLAVE_BOV1,$A49)+SUMIFS(SALIDAS_BOV2,FECHA_BOV2,"&gt;="&amp;AR$2,FECHA_BOV2,"&lt;="&amp;AR$3,CLAVE_BOV2,$A49)+SUMIFS(SALIDAS_BOV3,FECHA_BOV3,"&gt;="&amp;AR$2,FECHA_BOV3,"&lt;="&amp;AR$3,CLAVE_BOV3,$A49)+SUMIFS(SALIDAS_TC,FECHA_TC,"&gt;="&amp;AR$2,FECHA_TC,"&lt;="&amp;AR$3,CLAVE_TC,$A49)+SUMIFS(SALIDAS_COMB,FECHA_COMB,"&gt;="&amp;AR$2,FECHA_COMB,"&lt;="&amp;AR$3,CLAVE_COMB,$A49)+SUMIFS(SALIDAS_DES,FECHA_DESGLOSEN,"&gt;="&amp;AR$2,FECHA_DESGLOSEN,"&lt;="&amp;AR$3,CLAVE_DESGLOSE,$A49)</f>
        <v>26750</v>
      </c>
      <c r="AS49" s="13">
        <f t="shared" si="115"/>
        <v>104083.2</v>
      </c>
      <c r="AT49" s="68">
        <f>AM49-AS49</f>
        <v>1273.8000000000029</v>
      </c>
      <c r="AU49" s="268">
        <f t="shared" si="67"/>
        <v>0.98790967852159794</v>
      </c>
      <c r="AV49" s="13">
        <f t="shared" si="44"/>
        <v>57750</v>
      </c>
      <c r="AW49" s="13">
        <f t="shared" si="107"/>
        <v>11750</v>
      </c>
      <c r="AX49" s="13">
        <f t="shared" si="107"/>
        <v>11750.2</v>
      </c>
      <c r="AY49" s="13">
        <f t="shared" si="107"/>
        <v>11750</v>
      </c>
      <c r="AZ49" s="13">
        <f>SUMIFS(SALIDAS_BIT,FECHA_BIT,"&gt;="&amp;AZ$2,FECHA_BIT,"&lt;="&amp;AZ$3,CLAVE_BIT,$A49)+SUMIFS(SALIDAS_BOV1,FECHA_BOV1,"&gt;="&amp;AZ$2,FECHA_BOV1,"&lt;="&amp;AZ$3,CLAVE_BOV1,$A49)+SUMIFS(SALIDAS_BOV2,FECHA_BOV2,"&gt;="&amp;AZ$2,FECHA_BOV2,"&lt;="&amp;AZ$3,CLAVE_BOV2,$A49)+SUMIFS(SALIDAS_BOV3,FECHA_BOV3,"&gt;="&amp;AZ$2,FECHA_BOV3,"&lt;="&amp;AZ$3,CLAVE_BOV3,$A49)+SUMIFS(SALIDAS_TC,FECHA_TC,"&gt;="&amp;AZ$2,FECHA_TC,"&lt;="&amp;AZ$3,CLAVE_TC,$A49)+SUMIFS(SALIDAS_COMB,FECHA_COMB,"&gt;="&amp;AZ$2,FECHA_COMB,"&lt;="&amp;AZ$3,CLAVE_COMB,$A49)+SUMIFS(SALIDAS_DES,FECHA_DESGLOSEN,"&gt;="&amp;AZ$2,FECHA_DESGLOSEN,"&lt;="&amp;AZ$3,CLAVE_DESGLOSE,$A49)</f>
        <v>11750</v>
      </c>
      <c r="BA49" s="13">
        <f t="shared" si="107"/>
        <v>47000.2</v>
      </c>
      <c r="BB49" s="68">
        <f t="shared" si="68"/>
        <v>10749.800000000003</v>
      </c>
      <c r="BC49" s="268">
        <f t="shared" si="69"/>
        <v>0.81385627705627706</v>
      </c>
      <c r="BD49" s="13">
        <f t="shared" si="46"/>
        <v>40500</v>
      </c>
      <c r="BE49" s="13">
        <f>SUMIFS(SALIDAS_BIT,FECHA_BIT,"&gt;="&amp;BE$2,FECHA_BIT,"&lt;="&amp;BE$3,CLAVE_BIT,$A49)+SUMIFS(SALIDAS_BOV1,FECHA_BOV1,"&gt;="&amp;BE$2,FECHA_BOV1,"&lt;="&amp;BE$3,CLAVE_BOV1,$A49)+SUMIFS(SALIDAS_BOV2,FECHA_BOV2,"&gt;="&amp;BE$2,FECHA_BOV2,"&lt;="&amp;BE$3,CLAVE_BOV2,$A49)+SUMIFS(SALIDAS_BOV3,FECHA_BOV3,"&gt;="&amp;BE$2,FECHA_BOV3,"&lt;="&amp;BE$3,CLAVE_BOV3,$A49)+SUMIFS(SALIDAS_TC,FECHA_TC,"&gt;="&amp;BE$2,FECHA_TC,"&lt;="&amp;BE$3,CLAVE_TC,$A49)+SUMIFS(SALIDAS_COMB,FECHA_COMB,"&gt;="&amp;BE$2,FECHA_COMB,"&lt;="&amp;BE$3,CLAVE_COMB,$A49)+SUMIFS(SALIDAS_DES,FECHA_DESGLOSEN,"&gt;="&amp;BE$2,FECHA_DESGLOSEN,"&lt;="&amp;BE$3,CLAVE_DESGLOSE,$A49)</f>
        <v>26750</v>
      </c>
      <c r="BF49" s="13">
        <f>SUMIFS(SALIDAS_BIT,FECHA_BIT,"&gt;="&amp;BF$2,FECHA_BIT,"&lt;="&amp;BF$3,CLAVE_BIT,$A49)+SUMIFS(SALIDAS_BOV1,FECHA_BOV1,"&gt;="&amp;BF$2,FECHA_BOV1,"&lt;="&amp;BF$3,CLAVE_BOV1,$A49)+SUMIFS(SALIDAS_BOV2,FECHA_BOV2,"&gt;="&amp;BF$2,FECHA_BOV2,"&lt;="&amp;BF$3,CLAVE_BOV2,$A49)+SUMIFS(SALIDAS_BOV3,FECHA_BOV3,"&gt;="&amp;BF$2,FECHA_BOV3,"&lt;="&amp;BF$3,CLAVE_BOV3,$A49)+SUMIFS(SALIDAS_TC,FECHA_TC,"&gt;="&amp;BF$2,FECHA_TC,"&lt;="&amp;BF$3,CLAVE_TC,$A49)+SUMIFS(SALIDAS_COMB,FECHA_COMB,"&gt;="&amp;BF$2,FECHA_COMB,"&lt;="&amp;BF$3,CLAVE_COMB,$A49)+SUMIFS(SALIDAS_DES,FECHA_DESGLOSEN,"&gt;="&amp;BF$2,FECHA_DESGLOSEN,"&lt;="&amp;BF$3,CLAVE_DESGLOSE,$A49)</f>
        <v>11750</v>
      </c>
      <c r="BG49" s="13">
        <f>SUMIFS(SALIDAS_BIT,FECHA_BIT,"&gt;="&amp;BG$2,FECHA_BIT,"&lt;="&amp;BG$3,CLAVE_BIT,$A49)+SUMIFS(SALIDAS_BOV1,FECHA_BOV1,"&gt;="&amp;BG$2,FECHA_BOV1,"&lt;="&amp;BG$3,CLAVE_BOV1,$A49)+SUMIFS(SALIDAS_BOV2,FECHA_BOV2,"&gt;="&amp;BG$2,FECHA_BOV2,"&lt;="&amp;BG$3,CLAVE_BOV2,$A49)+SUMIFS(SALIDAS_BOV3,FECHA_BOV3,"&gt;="&amp;BG$2,FECHA_BOV3,"&lt;="&amp;BG$3,CLAVE_BOV3,$A49)+SUMIFS(SALIDAS_TC,FECHA_TC,"&gt;="&amp;BG$2,FECHA_TC,"&lt;="&amp;BG$3,CLAVE_TC,$A49)+SUMIFS(SALIDAS_COMB,FECHA_COMB,"&gt;="&amp;BG$2,FECHA_COMB,"&lt;="&amp;BG$3,CLAVE_COMB,$A49)+SUMIFS(SALIDAS_DES,FECHA_DESGLOSEN,"&gt;="&amp;BG$2,FECHA_DESGLOSEN,"&lt;="&amp;BG$3,CLAVE_DESGLOSE,$A49)</f>
        <v>11750</v>
      </c>
      <c r="BH49" s="13">
        <f>SUMIFS(SALIDAS_BIT,FECHA_BIT,"&gt;="&amp;BH$2,FECHA_BIT,"&lt;="&amp;BH$3,CLAVE_BIT,$A49)+SUMIFS(SALIDAS_BOV1,FECHA_BOV1,"&gt;="&amp;BH$2,FECHA_BOV1,"&lt;="&amp;BH$3,CLAVE_BOV1,$A49)+SUMIFS(SALIDAS_BOV2,FECHA_BOV2,"&gt;="&amp;BH$2,FECHA_BOV2,"&lt;="&amp;BH$3,CLAVE_BOV2,$A49)+SUMIFS(SALIDAS_BOV3,FECHA_BOV3,"&gt;="&amp;BH$2,FECHA_BOV3,"&lt;="&amp;BH$3,CLAVE_BOV3,$A49)+SUMIFS(SALIDAS_TC,FECHA_TC,"&gt;="&amp;BH$2,FECHA_TC,"&lt;="&amp;BH$3,CLAVE_TC,$A49)+SUMIFS(SALIDAS_COMB,FECHA_COMB,"&gt;="&amp;BH$2,FECHA_COMB,"&lt;="&amp;BH$3,CLAVE_COMB,$A49)+SUMIFS(SALIDAS_DES,FECHA_DESGLOSEN,"&gt;="&amp;BH$2,FECHA_DESGLOSEN,"&lt;="&amp;BH$3,CLAVE_DESGLOSE,$A49)</f>
        <v>26750</v>
      </c>
      <c r="BI49" s="13">
        <f>SUMIFS(SALIDAS_BIT,FECHA_BIT,"&gt;="&amp;BI$2,FECHA_BIT,"&lt;="&amp;BI$3,CLAVE_BIT,$A49)+SUMIFS(SALIDAS_BOV1,FECHA_BOV1,"&gt;="&amp;BI$2,FECHA_BOV1,"&lt;="&amp;BI$3,CLAVE_BOV1,$A49)+SUMIFS(SALIDAS_BOV2,FECHA_BOV2,"&gt;="&amp;BI$2,FECHA_BOV2,"&lt;="&amp;BI$3,CLAVE_BOV2,$A49)+SUMIFS(SALIDAS_BOV3,FECHA_BOV3,"&gt;="&amp;BI$2,FECHA_BOV3,"&lt;="&amp;BI$3,CLAVE_BOV3,$A49)+SUMIFS(SALIDAS_TC,FECHA_TC,"&gt;="&amp;BI$2,FECHA_TC,"&lt;="&amp;BI$3,CLAVE_TC,$A49)+SUMIFS(SALIDAS_COMB,FECHA_COMB,"&gt;="&amp;BI$2,FECHA_COMB,"&lt;="&amp;BI$3,CLAVE_COMB,$A49)+SUMIFS(SALIDAS_DES,FECHA_DESGLOSEN,"&gt;="&amp;BI$2,FECHA_DESGLOSEN,"&lt;="&amp;BI$3,CLAVE_DESGLOSE,$A49)</f>
        <v>77000</v>
      </c>
      <c r="BJ49" s="68">
        <f>BD49-BI49</f>
        <v>-36500</v>
      </c>
      <c r="BK49" s="401">
        <f t="shared" si="71"/>
        <v>1.9012345679012346</v>
      </c>
      <c r="BL49" s="13">
        <f t="shared" si="47"/>
        <v>57053</v>
      </c>
      <c r="BM49" s="13">
        <f>SUMIFS(SALIDAS_BIT,FECHA_BIT,"&gt;="&amp;BM$2,FECHA_BIT,"&lt;="&amp;BM$3,CLAVE_BIT,$A49)+SUMIFS(SALIDAS_BOV1,FECHA_BOV1,"&gt;="&amp;BM$2,FECHA_BOV1,"&lt;="&amp;BM$3,CLAVE_BOV1,$A49)+SUMIFS(SALIDAS_BOV2,FECHA_BOV2,"&gt;="&amp;BM$2,FECHA_BOV2,"&lt;="&amp;BM$3,CLAVE_BOV2,$A49)+SUMIFS(SALIDAS_BOV3,FECHA_BOV3,"&gt;="&amp;BM$2,FECHA_BOV3,"&lt;="&amp;BM$3,CLAVE_BOV3,$A49)+SUMIFS(SALIDAS_TC,FECHA_TC,"&gt;="&amp;BM$2,FECHA_TC,"&lt;="&amp;BM$3,CLAVE_TC,$A49)+SUMIFS(SALIDAS_COMB,FECHA_COMB,"&gt;="&amp;BM$2,FECHA_COMB,"&lt;="&amp;BM$3,CLAVE_COMB,$A49)+SUMIFS(SALIDAS_DES,FECHA_DESGLOSEN,"&gt;="&amp;BM$2,FECHA_DESGLOSEN,"&lt;="&amp;BM$3,CLAVE_DESGLOSE,$A49)</f>
        <v>11750.2</v>
      </c>
      <c r="BN49" s="13">
        <f>SUMIFS(SALIDAS_BIT,FECHA_BIT,"&gt;="&amp;BN$2,FECHA_BIT,"&lt;="&amp;BN$3,CLAVE_BIT,$A49)+SUMIFS(SALIDAS_BOV1,FECHA_BOV1,"&gt;="&amp;BN$2,FECHA_BOV1,"&lt;="&amp;BN$3,CLAVE_BOV1,$A49)+SUMIFS(SALIDAS_BOV2,FECHA_BOV2,"&gt;="&amp;BN$2,FECHA_BOV2,"&lt;="&amp;BN$3,CLAVE_BOV2,$A49)+SUMIFS(SALIDAS_BOV3,FECHA_BOV3,"&gt;="&amp;BN$2,FECHA_BOV3,"&lt;="&amp;BN$3,CLAVE_BOV3,$A49)+SUMIFS(SALIDAS_TC,FECHA_TC,"&gt;="&amp;BN$2,FECHA_TC,"&lt;="&amp;BN$3,CLAVE_TC,$A49)+SUMIFS(SALIDAS_COMB,FECHA_COMB,"&gt;="&amp;BN$2,FECHA_COMB,"&lt;="&amp;BN$3,CLAVE_COMB,$A49)+SUMIFS(SALIDAS_DES,FECHA_DESGLOSEN,"&gt;="&amp;BN$2,FECHA_DESGLOSEN,"&lt;="&amp;BN$3,CLAVE_DESGLOSE,$A49)</f>
        <v>27750</v>
      </c>
      <c r="BO49" s="13">
        <f>SUMIFS(SALIDAS_BIT,FECHA_BIT,"&gt;="&amp;BO$2,FECHA_BIT,"&lt;="&amp;BO$3,CLAVE_BIT,$A49)+SUMIFS(SALIDAS_BOV1,FECHA_BOV1,"&gt;="&amp;BO$2,FECHA_BOV1,"&lt;="&amp;BO$3,CLAVE_BOV1,$A49)+SUMIFS(SALIDAS_BOV2,FECHA_BOV2,"&gt;="&amp;BO$2,FECHA_BOV2,"&lt;="&amp;BO$3,CLAVE_BOV2,$A49)+SUMIFS(SALIDAS_BOV3,FECHA_BOV3,"&gt;="&amp;BO$2,FECHA_BOV3,"&lt;="&amp;BO$3,CLAVE_BOV3,$A49)+SUMIFS(SALIDAS_TC,FECHA_TC,"&gt;="&amp;BO$2,FECHA_TC,"&lt;="&amp;BO$3,CLAVE_TC,$A49)+SUMIFS(SALIDAS_COMB,FECHA_COMB,"&gt;="&amp;BO$2,FECHA_COMB,"&lt;="&amp;BO$3,CLAVE_COMB,$A49)+SUMIFS(SALIDAS_DES,FECHA_DESGLOSEN,"&gt;="&amp;BO$2,FECHA_DESGLOSEN,"&lt;="&amp;BO$3,CLAVE_DESGLOSE,$A49)</f>
        <v>12750</v>
      </c>
      <c r="BP49" s="13">
        <f>SUMIFS(SALIDAS_BIT,FECHA_BIT,"&gt;="&amp;BP$2,FECHA_BIT,"&lt;="&amp;BP$3,CLAVE_BIT,$A49)+SUMIFS(SALIDAS_BOV1,FECHA_BOV1,"&gt;="&amp;BP$2,FECHA_BOV1,"&lt;="&amp;BP$3,CLAVE_BOV1,$A49)+SUMIFS(SALIDAS_BOV2,FECHA_BOV2,"&gt;="&amp;BP$2,FECHA_BOV2,"&lt;="&amp;BP$3,CLAVE_BOV2,$A49)+SUMIFS(SALIDAS_BOV3,FECHA_BOV3,"&gt;="&amp;BP$2,FECHA_BOV3,"&lt;="&amp;BP$3,CLAVE_BOV3,$A49)+SUMIFS(SALIDAS_TC,FECHA_TC,"&gt;="&amp;BP$2,FECHA_TC,"&lt;="&amp;BP$3,CLAVE_TC,$A49)+SUMIFS(SALIDAS_COMB,FECHA_COMB,"&gt;="&amp;BP$2,FECHA_COMB,"&lt;="&amp;BP$3,CLAVE_COMB,$A49)+SUMIFS(SALIDAS_DES,FECHA_DESGLOSEN,"&gt;="&amp;BP$2,FECHA_DESGLOSEN,"&lt;="&amp;BP$3,CLAVE_DESGLOSE,$A49)</f>
        <v>12750</v>
      </c>
      <c r="BQ49" s="13">
        <f>SUMIFS(SALIDAS_BIT,FECHA_BIT,"&gt;="&amp;BQ$2,FECHA_BIT,"&lt;="&amp;BQ$3,CLAVE_BIT,$A49)+SUMIFS(SALIDAS_BOV1,FECHA_BOV1,"&gt;="&amp;BQ$2,FECHA_BOV1,"&lt;="&amp;BQ$3,CLAVE_BOV1,$A49)+SUMIFS(SALIDAS_BOV2,FECHA_BOV2,"&gt;="&amp;BQ$2,FECHA_BOV2,"&lt;="&amp;BQ$3,CLAVE_BOV2,$A49)+SUMIFS(SALIDAS_BOV3,FECHA_BOV3,"&gt;="&amp;BQ$2,FECHA_BOV3,"&lt;="&amp;BQ$3,CLAVE_BOV3,$A49)+SUMIFS(SALIDAS_TC,FECHA_TC,"&gt;="&amp;BQ$2,FECHA_TC,"&lt;="&amp;BQ$3,CLAVE_TC,$A49)+SUMIFS(SALIDAS_COMB,FECHA_COMB,"&gt;="&amp;BQ$2,FECHA_COMB,"&lt;="&amp;BQ$3,CLAVE_COMB,$A49)+SUMIFS(SALIDAS_DES,FECHA_DESGLOSEN,"&gt;="&amp;BQ$2,FECHA_DESGLOSEN,"&lt;="&amp;BQ$3,CLAVE_DESGLOSE,$A49)</f>
        <v>12750</v>
      </c>
      <c r="BR49" s="13">
        <f>SUMIFS(SALIDAS_BIT,FECHA_BIT,"&gt;="&amp;BR$2,FECHA_BIT,"&lt;="&amp;BR$3,CLAVE_BIT,$A49)+SUMIFS(SALIDAS_BOV1,FECHA_BOV1,"&gt;="&amp;BR$2,FECHA_BOV1,"&lt;="&amp;BR$3,CLAVE_BOV1,$A49)+SUMIFS(SALIDAS_BOV2,FECHA_BOV2,"&gt;="&amp;BR$2,FECHA_BOV2,"&lt;="&amp;BR$3,CLAVE_BOV2,$A49)+SUMIFS(SALIDAS_BOV3,FECHA_BOV3,"&gt;="&amp;BR$2,FECHA_BOV3,"&lt;="&amp;BR$3,CLAVE_BOV3,$A49)+SUMIFS(SALIDAS_TC,FECHA_TC,"&gt;="&amp;BR$2,FECHA_TC,"&lt;="&amp;BR$3,CLAVE_TC,$A49)+SUMIFS(SALIDAS_COMB,FECHA_COMB,"&gt;="&amp;BR$2,FECHA_COMB,"&lt;="&amp;BR$3,CLAVE_COMB,$A49)+SUMIFS(SALIDAS_DES,FECHA_DESGLOSEN,"&gt;="&amp;BR$2,FECHA_DESGLOSEN,"&lt;="&amp;BR$3,CLAVE_DESGLOSE,$A49)</f>
        <v>77750.2</v>
      </c>
      <c r="BS49" s="68">
        <f t="shared" si="72"/>
        <v>-20697.199999999997</v>
      </c>
      <c r="BT49" s="268">
        <f t="shared" si="73"/>
        <v>1.3627714581178902</v>
      </c>
      <c r="BU49" s="13">
        <f t="shared" si="49"/>
        <v>58250</v>
      </c>
      <c r="BV49" s="13">
        <f t="shared" si="90"/>
        <v>12750.2</v>
      </c>
      <c r="BW49" s="13">
        <f t="shared" si="90"/>
        <v>27750</v>
      </c>
      <c r="BX49" s="13">
        <f t="shared" si="90"/>
        <v>13100</v>
      </c>
      <c r="BY49" s="13">
        <f t="shared" si="90"/>
        <v>12750.6</v>
      </c>
      <c r="BZ49" s="13">
        <f t="shared" si="116"/>
        <v>66350.799999999988</v>
      </c>
      <c r="CA49" s="68">
        <f t="shared" si="74"/>
        <v>-8100.7999999999884</v>
      </c>
      <c r="CB49" s="268">
        <f t="shared" si="75"/>
        <v>1.1390695278969956</v>
      </c>
      <c r="CC49" s="13">
        <f t="shared" si="51"/>
        <v>82912</v>
      </c>
      <c r="CD49" s="13">
        <f t="shared" si="91"/>
        <v>12750</v>
      </c>
      <c r="CE49" s="13">
        <f t="shared" si="91"/>
        <v>12750</v>
      </c>
      <c r="CF49" s="13">
        <f t="shared" si="91"/>
        <v>12750</v>
      </c>
      <c r="CG49" s="13">
        <f t="shared" si="91"/>
        <v>27750.2</v>
      </c>
      <c r="CH49" s="13">
        <f t="shared" si="117"/>
        <v>66000.2</v>
      </c>
      <c r="CI49" s="68">
        <f t="shared" si="76"/>
        <v>16911.800000000003</v>
      </c>
      <c r="CJ49" s="268">
        <f t="shared" si="77"/>
        <v>0.7960271130837514</v>
      </c>
      <c r="CK49" s="13">
        <f t="shared" si="53"/>
        <v>69500</v>
      </c>
      <c r="CL49" s="13">
        <f t="shared" si="92"/>
        <v>13330</v>
      </c>
      <c r="CM49" s="13">
        <f t="shared" si="92"/>
        <v>13370</v>
      </c>
      <c r="CN49" s="13">
        <f t="shared" si="92"/>
        <v>16485.2</v>
      </c>
      <c r="CO49" s="13">
        <f t="shared" si="92"/>
        <v>18651.2</v>
      </c>
      <c r="CP49" s="13">
        <f t="shared" si="92"/>
        <v>12750</v>
      </c>
      <c r="CQ49" s="13">
        <f t="shared" si="118"/>
        <v>74586.399999999994</v>
      </c>
      <c r="CR49" s="68">
        <f t="shared" si="78"/>
        <v>-5086.3999999999942</v>
      </c>
      <c r="CS49" s="268">
        <f t="shared" si="79"/>
        <v>1.0731856115107914</v>
      </c>
      <c r="CT49" s="68">
        <f t="shared" si="55"/>
        <v>62000</v>
      </c>
      <c r="CU49" s="13">
        <f>SUMIFS(SALIDAS_BIT,FECHA_BIT,"&gt;="&amp;CU$2,FECHA_BIT,"&lt;="&amp;CU$3,CLAVE_BIT,$A49)+SUMIFS(SALIDAS_BOV1,FECHA_BOV1,"&gt;="&amp;CU$2,FECHA_BOV1,"&lt;="&amp;CU$3,CLAVE_BOV1,$A49)+SUMIFS(SALIDAS_BOV2,FECHA_BOV2,"&gt;="&amp;CU$2,FECHA_BOV2,"&lt;="&amp;CU$3,CLAVE_BOV2,$A49)+SUMIFS(SALIDAS_BOV3,FECHA_BOV3,"&gt;="&amp;CU$2,FECHA_BOV3,"&lt;="&amp;CU$3,CLAVE_BOV3,$A49)+SUMIFS(SALIDAS_TC,FECHA_TC,"&gt;="&amp;CU$2,FECHA_TC,"&lt;="&amp;CU$3,CLAVE_TC,$A49)+SUMIFS(SALIDAS_COMB,FECHA_COMB,"&gt;="&amp;CU$2,FECHA_COMB,"&lt;="&amp;CU$3,CLAVE_COMB,$A49)+SUMIFS(SALIDAS_DES,FECHA_DESGLOSEN,"&gt;="&amp;CU$2,FECHA_DESGLOSEN,"&lt;="&amp;CU$3,CLAVE_DESGLOSE,$A49)</f>
        <v>27870</v>
      </c>
      <c r="CV49" s="13">
        <f>SUMIFS(SALIDAS_BIT,FECHA_BIT,"&gt;="&amp;CV$2,FECHA_BIT,"&lt;="&amp;CV$3,CLAVE_BIT,$A49)+SUMIFS(SALIDAS_BOV1,FECHA_BOV1,"&gt;="&amp;CV$2,FECHA_BOV1,"&lt;="&amp;CV$3,CLAVE_BOV1,$A49)+SUMIFS(SALIDAS_BOV2,FECHA_BOV2,"&gt;="&amp;CV$2,FECHA_BOV2,"&lt;="&amp;CV$3,CLAVE_BOV2,$A49)+SUMIFS(SALIDAS_BOV3,FECHA_BOV3,"&gt;="&amp;CV$2,FECHA_BOV3,"&lt;="&amp;CV$3,CLAVE_BOV3,$A49)+SUMIFS(SALIDAS_TC,FECHA_TC,"&gt;="&amp;CV$2,FECHA_TC,"&lt;="&amp;CV$3,CLAVE_TC,$A49)+SUMIFS(SALIDAS_COMB,FECHA_COMB,"&gt;="&amp;CV$2,FECHA_COMB,"&lt;="&amp;CV$3,CLAVE_COMB,$A49)+SUMIFS(SALIDAS_DES,FECHA_DESGLOSEN,"&gt;="&amp;CV$2,FECHA_DESGLOSEN,"&lt;="&amp;CV$3,CLAVE_DESGLOSE,$A49)</f>
        <v>14850</v>
      </c>
      <c r="CW49" s="13">
        <f>SUMIFS(SALIDAS_BIT,FECHA_BIT,"&gt;="&amp;CW$2,FECHA_BIT,"&lt;="&amp;CW$3,CLAVE_BIT,$A49)+SUMIFS(SALIDAS_BOV1,FECHA_BOV1,"&gt;="&amp;CW$2,FECHA_BOV1,"&lt;="&amp;CW$3,CLAVE_BOV1,$A49)+SUMIFS(SALIDAS_BOV2,FECHA_BOV2,"&gt;="&amp;CW$2,FECHA_BOV2,"&lt;="&amp;CW$3,CLAVE_BOV2,$A49)+SUMIFS(SALIDAS_BOV3,FECHA_BOV3,"&gt;="&amp;CW$2,FECHA_BOV3,"&lt;="&amp;CW$3,CLAVE_BOV3,$A49)+SUMIFS(SALIDAS_TC,FECHA_TC,"&gt;="&amp;CW$2,FECHA_TC,"&lt;="&amp;CW$3,CLAVE_TC,$A49)+SUMIFS(SALIDAS_COMB,FECHA_COMB,"&gt;="&amp;CW$2,FECHA_COMB,"&lt;="&amp;CW$3,CLAVE_COMB,$A49)+SUMIFS(SALIDAS_DES,FECHA_DESGLOSEN,"&gt;="&amp;CW$2,FECHA_DESGLOSEN,"&lt;="&amp;CW$3,CLAVE_DESGLOSE,$A49)</f>
        <v>9250</v>
      </c>
      <c r="CX49" s="13">
        <f>SUMIFS(SALIDAS_BIT,FECHA_BIT,"&gt;="&amp;CX$2,FECHA_BIT,"&lt;="&amp;CX$3,CLAVE_BIT,$A49)+SUMIFS(SALIDAS_BOV1,FECHA_BOV1,"&gt;="&amp;CX$2,FECHA_BOV1,"&lt;="&amp;CX$3,CLAVE_BOV1,$A49)+SUMIFS(SALIDAS_BOV2,FECHA_BOV2,"&gt;="&amp;CX$2,FECHA_BOV2,"&lt;="&amp;CX$3,CLAVE_BOV2,$A49)+SUMIFS(SALIDAS_BOV3,FECHA_BOV3,"&gt;="&amp;CX$2,FECHA_BOV3,"&lt;="&amp;CX$3,CLAVE_BOV3,$A49)+SUMIFS(SALIDAS_TC,FECHA_TC,"&gt;="&amp;CX$2,FECHA_TC,"&lt;="&amp;CX$3,CLAVE_TC,$A49)+SUMIFS(SALIDAS_COMB,FECHA_COMB,"&gt;="&amp;CX$2,FECHA_COMB,"&lt;="&amp;CX$3,CLAVE_COMB,$A49)+SUMIFS(SALIDAS_DES,FECHA_DESGLOSEN,"&gt;="&amp;CX$2,FECHA_DESGLOSEN,"&lt;="&amp;CX$3,CLAVE_DESGLOSE,$A49)</f>
        <v>24250</v>
      </c>
      <c r="CY49" s="13">
        <f>SUMIFS(SALIDAS_BIT,FECHA_BIT,"&gt;="&amp;CY$2,FECHA_BIT,"&lt;="&amp;CY$3,CLAVE_BIT,$A49)+SUMIFS(SALIDAS_BOV1,FECHA_BOV1,"&gt;="&amp;CY$2,FECHA_BOV1,"&lt;="&amp;CY$3,CLAVE_BOV1,$A49)+SUMIFS(SALIDAS_BOV2,FECHA_BOV2,"&gt;="&amp;CY$2,FECHA_BOV2,"&lt;="&amp;CY$3,CLAVE_BOV2,$A49)+SUMIFS(SALIDAS_BOV3,FECHA_BOV3,"&gt;="&amp;CY$2,FECHA_BOV3,"&lt;="&amp;CY$3,CLAVE_BOV3,$A49)+SUMIFS(SALIDAS_TC,FECHA_TC,"&gt;="&amp;CY$2,FECHA_TC,"&lt;="&amp;CY$3,CLAVE_TC,$A49)+SUMIFS(SALIDAS_COMB,FECHA_COMB,"&gt;="&amp;CY$2,FECHA_COMB,"&lt;="&amp;CY$3,CLAVE_COMB,$A49)+SUMIFS(SALIDAS_DES,FECHA_DESGLOSEN,"&gt;="&amp;CY$2,FECHA_DESGLOSEN,"&lt;="&amp;CY$3,CLAVE_DESGLOSE,$A49)</f>
        <v>76220</v>
      </c>
      <c r="CZ49" s="68">
        <f t="shared" si="80"/>
        <v>-14220</v>
      </c>
      <c r="DB49" s="17">
        <f>F49+N49+W49+AE49+AM49+AV49+BD49+BL49+BU49+CC49+CK49</f>
        <v>707322</v>
      </c>
      <c r="DC49" s="17">
        <f>K49+T49+AB49+AJ49+AS49+BA49+BI49+BR49+BZ49+CH49+CQ49</f>
        <v>773690.19999999984</v>
      </c>
    </row>
    <row r="50" spans="1:107" hidden="1">
      <c r="A50" s="12" t="str">
        <f t="shared" si="57"/>
        <v>MELNOMINA ADMONMELISSA</v>
      </c>
      <c r="B50" s="12">
        <v>44</v>
      </c>
      <c r="C50" t="s">
        <v>43</v>
      </c>
      <c r="D50" s="12" t="s">
        <v>147</v>
      </c>
      <c r="E50" s="12" t="s">
        <v>44</v>
      </c>
      <c r="F50" s="259">
        <f t="shared" si="58"/>
        <v>0</v>
      </c>
      <c r="G50" s="13">
        <f t="shared" si="111"/>
        <v>0</v>
      </c>
      <c r="H50" s="13">
        <f t="shared" si="111"/>
        <v>0</v>
      </c>
      <c r="I50" s="13">
        <f t="shared" si="111"/>
        <v>0</v>
      </c>
      <c r="J50" s="13">
        <f t="shared" si="111"/>
        <v>0</v>
      </c>
      <c r="K50" s="13">
        <f t="shared" si="111"/>
        <v>0</v>
      </c>
      <c r="L50" s="68">
        <f t="shared" si="59"/>
        <v>0</v>
      </c>
      <c r="M50" s="268">
        <f t="shared" si="60"/>
        <v>0</v>
      </c>
      <c r="N50" s="13">
        <f t="shared" si="36"/>
        <v>0</v>
      </c>
      <c r="O50" s="13">
        <f t="shared" si="112"/>
        <v>0</v>
      </c>
      <c r="P50" s="13">
        <f t="shared" si="112"/>
        <v>0</v>
      </c>
      <c r="Q50" s="13">
        <f t="shared" si="112"/>
        <v>0</v>
      </c>
      <c r="R50" s="13">
        <f t="shared" si="112"/>
        <v>0</v>
      </c>
      <c r="S50" s="13">
        <f t="shared" si="112"/>
        <v>0</v>
      </c>
      <c r="T50" s="13">
        <f t="shared" si="112"/>
        <v>0</v>
      </c>
      <c r="U50" s="68">
        <f t="shared" si="61"/>
        <v>0</v>
      </c>
      <c r="V50" s="268">
        <f t="shared" si="62"/>
        <v>0</v>
      </c>
      <c r="W50" s="13">
        <f t="shared" si="38"/>
        <v>0</v>
      </c>
      <c r="X50" s="13">
        <f t="shared" si="113"/>
        <v>0</v>
      </c>
      <c r="Y50" s="13">
        <f t="shared" si="113"/>
        <v>0</v>
      </c>
      <c r="Z50" s="13">
        <f t="shared" si="113"/>
        <v>0</v>
      </c>
      <c r="AA50" s="13">
        <f t="shared" si="113"/>
        <v>0</v>
      </c>
      <c r="AB50" s="13">
        <f t="shared" si="113"/>
        <v>0</v>
      </c>
      <c r="AC50" s="68">
        <f t="shared" si="63"/>
        <v>0</v>
      </c>
      <c r="AD50" s="268">
        <f t="shared" si="64"/>
        <v>0</v>
      </c>
      <c r="AE50" s="13">
        <f t="shared" si="40"/>
        <v>0</v>
      </c>
      <c r="AF50" s="13">
        <f t="shared" si="114"/>
        <v>0</v>
      </c>
      <c r="AG50" s="13">
        <f t="shared" si="114"/>
        <v>0</v>
      </c>
      <c r="AH50" s="13">
        <f t="shared" si="114"/>
        <v>0</v>
      </c>
      <c r="AI50" s="13">
        <f t="shared" si="114"/>
        <v>0</v>
      </c>
      <c r="AJ50" s="13">
        <f t="shared" si="114"/>
        <v>0</v>
      </c>
      <c r="AK50" s="68">
        <f t="shared" si="65"/>
        <v>0</v>
      </c>
      <c r="AL50" s="268">
        <f t="shared" si="66"/>
        <v>0</v>
      </c>
      <c r="AM50" s="13">
        <f t="shared" si="42"/>
        <v>0</v>
      </c>
      <c r="AN50" s="13">
        <f t="shared" si="115"/>
        <v>0</v>
      </c>
      <c r="AO50" s="13">
        <f t="shared" si="115"/>
        <v>0</v>
      </c>
      <c r="AP50" s="13">
        <f t="shared" si="115"/>
        <v>0</v>
      </c>
      <c r="AQ50" s="13">
        <f t="shared" si="115"/>
        <v>0</v>
      </c>
      <c r="AR50" s="13">
        <f t="shared" si="115"/>
        <v>0</v>
      </c>
      <c r="AS50" s="13">
        <f t="shared" si="115"/>
        <v>0</v>
      </c>
      <c r="AT50" s="68">
        <f>AM50-AS50</f>
        <v>0</v>
      </c>
      <c r="AU50" s="268">
        <f t="shared" si="67"/>
        <v>0</v>
      </c>
      <c r="AV50" s="13">
        <f t="shared" si="44"/>
        <v>0</v>
      </c>
      <c r="AW50" s="13">
        <f t="shared" si="107"/>
        <v>0</v>
      </c>
      <c r="AX50" s="13">
        <f t="shared" si="107"/>
        <v>0</v>
      </c>
      <c r="AY50" s="13">
        <f t="shared" si="107"/>
        <v>0</v>
      </c>
      <c r="AZ50" s="13">
        <f>SUMIFS(SALIDAS_BIT,FECHA_BIT,"&gt;="&amp;AZ$2,FECHA_BIT,"&lt;="&amp;AZ$3,CLAVE_BIT,$A50)+SUMIFS(SALIDAS_BOV1,FECHA_BOV1,"&gt;="&amp;AZ$2,FECHA_BOV1,"&lt;="&amp;AZ$3,CLAVE_BOV1,$A50)+SUMIFS(SALIDAS_BOV2,FECHA_BOV2,"&gt;="&amp;AZ$2,FECHA_BOV2,"&lt;="&amp;AZ$3,CLAVE_BOV2,$A50)+SUMIFS(SALIDAS_BOV3,FECHA_BOV3,"&gt;="&amp;AZ$2,FECHA_BOV3,"&lt;="&amp;AZ$3,CLAVE_BOV3,$A50)+SUMIFS(SALIDAS_TC,FECHA_TC,"&gt;="&amp;AZ$2,FECHA_TC,"&lt;="&amp;AZ$3,CLAVE_TC,$A50)+SUMIFS(SALIDAS_COMB,FECHA_COMB,"&gt;="&amp;AZ$2,FECHA_COMB,"&lt;="&amp;AZ$3,CLAVE_COMB,$A50)+SUMIFS(SALIDAS_DES,FECHA_DESGLOSEN,"&gt;="&amp;AZ$2,FECHA_DESGLOSEN,"&lt;="&amp;AZ$3,CLAVE_DESGLOSE,$A50)</f>
        <v>0</v>
      </c>
      <c r="BA50" s="13">
        <f t="shared" si="107"/>
        <v>0</v>
      </c>
      <c r="BB50" s="68">
        <f t="shared" si="68"/>
        <v>0</v>
      </c>
      <c r="BC50" s="268">
        <f t="shared" si="69"/>
        <v>0</v>
      </c>
      <c r="BD50" s="13">
        <f t="shared" si="46"/>
        <v>0</v>
      </c>
      <c r="BE50" s="13">
        <f>SUMIFS(SALIDAS_BIT,FECHA_BIT,"&gt;="&amp;BE$2,FECHA_BIT,"&lt;="&amp;BE$3,CLAVE_BIT,$A50)+SUMIFS(SALIDAS_BOV1,FECHA_BOV1,"&gt;="&amp;BE$2,FECHA_BOV1,"&lt;="&amp;BE$3,CLAVE_BOV1,$A50)+SUMIFS(SALIDAS_BOV2,FECHA_BOV2,"&gt;="&amp;BE$2,FECHA_BOV2,"&lt;="&amp;BE$3,CLAVE_BOV2,$A50)+SUMIFS(SALIDAS_BOV3,FECHA_BOV3,"&gt;="&amp;BE$2,FECHA_BOV3,"&lt;="&amp;BE$3,CLAVE_BOV3,$A50)+SUMIFS(SALIDAS_TC,FECHA_TC,"&gt;="&amp;BE$2,FECHA_TC,"&lt;="&amp;BE$3,CLAVE_TC,$A50)+SUMIFS(SALIDAS_COMB,FECHA_COMB,"&gt;="&amp;BE$2,FECHA_COMB,"&lt;="&amp;BE$3,CLAVE_COMB,$A50)+SUMIFS(SALIDAS_DES,FECHA_DESGLOSEN,"&gt;="&amp;BE$2,FECHA_DESGLOSEN,"&lt;="&amp;BE$3,CLAVE_DESGLOSE,$A50)</f>
        <v>0</v>
      </c>
      <c r="BF50" s="13">
        <f>SUMIFS(SALIDAS_BIT,FECHA_BIT,"&gt;="&amp;BF$2,FECHA_BIT,"&lt;="&amp;BF$3,CLAVE_BIT,$A50)+SUMIFS(SALIDAS_BOV1,FECHA_BOV1,"&gt;="&amp;BF$2,FECHA_BOV1,"&lt;="&amp;BF$3,CLAVE_BOV1,$A50)+SUMIFS(SALIDAS_BOV2,FECHA_BOV2,"&gt;="&amp;BF$2,FECHA_BOV2,"&lt;="&amp;BF$3,CLAVE_BOV2,$A50)+SUMIFS(SALIDAS_BOV3,FECHA_BOV3,"&gt;="&amp;BF$2,FECHA_BOV3,"&lt;="&amp;BF$3,CLAVE_BOV3,$A50)+SUMIFS(SALIDAS_TC,FECHA_TC,"&gt;="&amp;BF$2,FECHA_TC,"&lt;="&amp;BF$3,CLAVE_TC,$A50)+SUMIFS(SALIDAS_COMB,FECHA_COMB,"&gt;="&amp;BF$2,FECHA_COMB,"&lt;="&amp;BF$3,CLAVE_COMB,$A50)+SUMIFS(SALIDAS_DES,FECHA_DESGLOSEN,"&gt;="&amp;BF$2,FECHA_DESGLOSEN,"&lt;="&amp;BF$3,CLAVE_DESGLOSE,$A50)</f>
        <v>0</v>
      </c>
      <c r="BG50" s="13">
        <f>SUMIFS(SALIDAS_BIT,FECHA_BIT,"&gt;="&amp;BG$2,FECHA_BIT,"&lt;="&amp;BG$3,CLAVE_BIT,$A50)+SUMIFS(SALIDAS_BOV1,FECHA_BOV1,"&gt;="&amp;BG$2,FECHA_BOV1,"&lt;="&amp;BG$3,CLAVE_BOV1,$A50)+SUMIFS(SALIDAS_BOV2,FECHA_BOV2,"&gt;="&amp;BG$2,FECHA_BOV2,"&lt;="&amp;BG$3,CLAVE_BOV2,$A50)+SUMIFS(SALIDAS_BOV3,FECHA_BOV3,"&gt;="&amp;BG$2,FECHA_BOV3,"&lt;="&amp;BG$3,CLAVE_BOV3,$A50)+SUMIFS(SALIDAS_TC,FECHA_TC,"&gt;="&amp;BG$2,FECHA_TC,"&lt;="&amp;BG$3,CLAVE_TC,$A50)+SUMIFS(SALIDAS_COMB,FECHA_COMB,"&gt;="&amp;BG$2,FECHA_COMB,"&lt;="&amp;BG$3,CLAVE_COMB,$A50)+SUMIFS(SALIDAS_DES,FECHA_DESGLOSEN,"&gt;="&amp;BG$2,FECHA_DESGLOSEN,"&lt;="&amp;BG$3,CLAVE_DESGLOSE,$A50)</f>
        <v>0</v>
      </c>
      <c r="BH50" s="13">
        <f>SUMIFS(SALIDAS_BIT,FECHA_BIT,"&gt;="&amp;BH$2,FECHA_BIT,"&lt;="&amp;BH$3,CLAVE_BIT,$A50)+SUMIFS(SALIDAS_BOV1,FECHA_BOV1,"&gt;="&amp;BH$2,FECHA_BOV1,"&lt;="&amp;BH$3,CLAVE_BOV1,$A50)+SUMIFS(SALIDAS_BOV2,FECHA_BOV2,"&gt;="&amp;BH$2,FECHA_BOV2,"&lt;="&amp;BH$3,CLAVE_BOV2,$A50)+SUMIFS(SALIDAS_BOV3,FECHA_BOV3,"&gt;="&amp;BH$2,FECHA_BOV3,"&lt;="&amp;BH$3,CLAVE_BOV3,$A50)+SUMIFS(SALIDAS_TC,FECHA_TC,"&gt;="&amp;BH$2,FECHA_TC,"&lt;="&amp;BH$3,CLAVE_TC,$A50)+SUMIFS(SALIDAS_COMB,FECHA_COMB,"&gt;="&amp;BH$2,FECHA_COMB,"&lt;="&amp;BH$3,CLAVE_COMB,$A50)+SUMIFS(SALIDAS_DES,FECHA_DESGLOSEN,"&gt;="&amp;BH$2,FECHA_DESGLOSEN,"&lt;="&amp;BH$3,CLAVE_DESGLOSE,$A50)</f>
        <v>4191</v>
      </c>
      <c r="BI50" s="13">
        <f>SUMIFS(SALIDAS_BIT,FECHA_BIT,"&gt;="&amp;BI$2,FECHA_BIT,"&lt;="&amp;BI$3,CLAVE_BIT,$A50)+SUMIFS(SALIDAS_BOV1,FECHA_BOV1,"&gt;="&amp;BI$2,FECHA_BOV1,"&lt;="&amp;BI$3,CLAVE_BOV1,$A50)+SUMIFS(SALIDAS_BOV2,FECHA_BOV2,"&gt;="&amp;BI$2,FECHA_BOV2,"&lt;="&amp;BI$3,CLAVE_BOV2,$A50)+SUMIFS(SALIDAS_BOV3,FECHA_BOV3,"&gt;="&amp;BI$2,FECHA_BOV3,"&lt;="&amp;BI$3,CLAVE_BOV3,$A50)+SUMIFS(SALIDAS_TC,FECHA_TC,"&gt;="&amp;BI$2,FECHA_TC,"&lt;="&amp;BI$3,CLAVE_TC,$A50)+SUMIFS(SALIDAS_COMB,FECHA_COMB,"&gt;="&amp;BI$2,FECHA_COMB,"&lt;="&amp;BI$3,CLAVE_COMB,$A50)+SUMIFS(SALIDAS_DES,FECHA_DESGLOSEN,"&gt;="&amp;BI$2,FECHA_DESGLOSEN,"&lt;="&amp;BI$3,CLAVE_DESGLOSE,$A50)</f>
        <v>4191</v>
      </c>
      <c r="BJ50" s="68">
        <f>BD50-BI50</f>
        <v>-4191</v>
      </c>
      <c r="BK50" s="268">
        <f t="shared" si="71"/>
        <v>0</v>
      </c>
      <c r="BL50" s="13">
        <f t="shared" si="47"/>
        <v>0</v>
      </c>
      <c r="BM50" s="13">
        <f>SUMIFS(SALIDAS_BIT,FECHA_BIT,"&gt;="&amp;BM$2,FECHA_BIT,"&lt;="&amp;BM$3,CLAVE_BIT,$A50)+SUMIFS(SALIDAS_BOV1,FECHA_BOV1,"&gt;="&amp;BM$2,FECHA_BOV1,"&lt;="&amp;BM$3,CLAVE_BOV1,$A50)+SUMIFS(SALIDAS_BOV2,FECHA_BOV2,"&gt;="&amp;BM$2,FECHA_BOV2,"&lt;="&amp;BM$3,CLAVE_BOV2,$A50)+SUMIFS(SALIDAS_BOV3,FECHA_BOV3,"&gt;="&amp;BM$2,FECHA_BOV3,"&lt;="&amp;BM$3,CLAVE_BOV3,$A50)+SUMIFS(SALIDAS_TC,FECHA_TC,"&gt;="&amp;BM$2,FECHA_TC,"&lt;="&amp;BM$3,CLAVE_TC,$A50)+SUMIFS(SALIDAS_COMB,FECHA_COMB,"&gt;="&amp;BM$2,FECHA_COMB,"&lt;="&amp;BM$3,CLAVE_COMB,$A50)+SUMIFS(SALIDAS_DES,FECHA_DESGLOSEN,"&gt;="&amp;BM$2,FECHA_DESGLOSEN,"&lt;="&amp;BM$3,CLAVE_DESGLOSE,$A50)</f>
        <v>4190.6000000000004</v>
      </c>
      <c r="BN50" s="13">
        <f>SUMIFS(SALIDAS_BIT,FECHA_BIT,"&gt;="&amp;BN$2,FECHA_BIT,"&lt;="&amp;BN$3,CLAVE_BIT,$A50)+SUMIFS(SALIDAS_BOV1,FECHA_BOV1,"&gt;="&amp;BN$2,FECHA_BOV1,"&lt;="&amp;BN$3,CLAVE_BOV1,$A50)+SUMIFS(SALIDAS_BOV2,FECHA_BOV2,"&gt;="&amp;BN$2,FECHA_BOV2,"&lt;="&amp;BN$3,CLAVE_BOV2,$A50)+SUMIFS(SALIDAS_BOV3,FECHA_BOV3,"&gt;="&amp;BN$2,FECHA_BOV3,"&lt;="&amp;BN$3,CLAVE_BOV3,$A50)+SUMIFS(SALIDAS_TC,FECHA_TC,"&gt;="&amp;BN$2,FECHA_TC,"&lt;="&amp;BN$3,CLAVE_TC,$A50)+SUMIFS(SALIDAS_COMB,FECHA_COMB,"&gt;="&amp;BN$2,FECHA_COMB,"&lt;="&amp;BN$3,CLAVE_COMB,$A50)+SUMIFS(SALIDAS_DES,FECHA_DESGLOSEN,"&gt;="&amp;BN$2,FECHA_DESGLOSEN,"&lt;="&amp;BN$3,CLAVE_DESGLOSE,$A50)</f>
        <v>4255.6000000000004</v>
      </c>
      <c r="BO50" s="13">
        <f>SUMIFS(SALIDAS_BIT,FECHA_BIT,"&gt;="&amp;BO$2,FECHA_BIT,"&lt;="&amp;BO$3,CLAVE_BIT,$A50)+SUMIFS(SALIDAS_BOV1,FECHA_BOV1,"&gt;="&amp;BO$2,FECHA_BOV1,"&lt;="&amp;BO$3,CLAVE_BOV1,$A50)+SUMIFS(SALIDAS_BOV2,FECHA_BOV2,"&gt;="&amp;BO$2,FECHA_BOV2,"&lt;="&amp;BO$3,CLAVE_BOV2,$A50)+SUMIFS(SALIDAS_BOV3,FECHA_BOV3,"&gt;="&amp;BO$2,FECHA_BOV3,"&lt;="&amp;BO$3,CLAVE_BOV3,$A50)+SUMIFS(SALIDAS_TC,FECHA_TC,"&gt;="&amp;BO$2,FECHA_TC,"&lt;="&amp;BO$3,CLAVE_TC,$A50)+SUMIFS(SALIDAS_COMB,FECHA_COMB,"&gt;="&amp;BO$2,FECHA_COMB,"&lt;="&amp;BO$3,CLAVE_COMB,$A50)+SUMIFS(SALIDAS_DES,FECHA_DESGLOSEN,"&gt;="&amp;BO$2,FECHA_DESGLOSEN,"&lt;="&amp;BO$3,CLAVE_DESGLOSE,$A50)</f>
        <v>3769.2</v>
      </c>
      <c r="BP50" s="13">
        <f>SUMIFS(SALIDAS_BIT,FECHA_BIT,"&gt;="&amp;BP$2,FECHA_BIT,"&lt;="&amp;BP$3,CLAVE_BIT,$A50)+SUMIFS(SALIDAS_BOV1,FECHA_BOV1,"&gt;="&amp;BP$2,FECHA_BOV1,"&lt;="&amp;BP$3,CLAVE_BOV1,$A50)+SUMIFS(SALIDAS_BOV2,FECHA_BOV2,"&gt;="&amp;BP$2,FECHA_BOV2,"&lt;="&amp;BP$3,CLAVE_BOV2,$A50)+SUMIFS(SALIDAS_BOV3,FECHA_BOV3,"&gt;="&amp;BP$2,FECHA_BOV3,"&lt;="&amp;BP$3,CLAVE_BOV3,$A50)+SUMIFS(SALIDAS_TC,FECHA_TC,"&gt;="&amp;BP$2,FECHA_TC,"&lt;="&amp;BP$3,CLAVE_TC,$A50)+SUMIFS(SALIDAS_COMB,FECHA_COMB,"&gt;="&amp;BP$2,FECHA_COMB,"&lt;="&amp;BP$3,CLAVE_COMB,$A50)+SUMIFS(SALIDAS_DES,FECHA_DESGLOSEN,"&gt;="&amp;BP$2,FECHA_DESGLOSEN,"&lt;="&amp;BP$3,CLAVE_DESGLOSE,$A50)</f>
        <v>2578</v>
      </c>
      <c r="BQ50" s="13">
        <f>SUMIFS(SALIDAS_BIT,FECHA_BIT,"&gt;="&amp;BQ$2,FECHA_BIT,"&lt;="&amp;BQ$3,CLAVE_BIT,$A50)+SUMIFS(SALIDAS_BOV1,FECHA_BOV1,"&gt;="&amp;BQ$2,FECHA_BOV1,"&lt;="&amp;BQ$3,CLAVE_BOV1,$A50)+SUMIFS(SALIDAS_BOV2,FECHA_BOV2,"&gt;="&amp;BQ$2,FECHA_BOV2,"&lt;="&amp;BQ$3,CLAVE_BOV2,$A50)+SUMIFS(SALIDAS_BOV3,FECHA_BOV3,"&gt;="&amp;BQ$2,FECHA_BOV3,"&lt;="&amp;BQ$3,CLAVE_BOV3,$A50)+SUMIFS(SALIDAS_TC,FECHA_TC,"&gt;="&amp;BQ$2,FECHA_TC,"&lt;="&amp;BQ$3,CLAVE_TC,$A50)+SUMIFS(SALIDAS_COMB,FECHA_COMB,"&gt;="&amp;BQ$2,FECHA_COMB,"&lt;="&amp;BQ$3,CLAVE_COMB,$A50)+SUMIFS(SALIDAS_DES,FECHA_DESGLOSEN,"&gt;="&amp;BQ$2,FECHA_DESGLOSEN,"&lt;="&amp;BQ$3,CLAVE_DESGLOSE,$A50)</f>
        <v>3020.8</v>
      </c>
      <c r="BR50" s="13">
        <f>SUMIFS(SALIDAS_BIT,FECHA_BIT,"&gt;="&amp;BR$2,FECHA_BIT,"&lt;="&amp;BR$3,CLAVE_BIT,$A50)+SUMIFS(SALIDAS_BOV1,FECHA_BOV1,"&gt;="&amp;BR$2,FECHA_BOV1,"&lt;="&amp;BR$3,CLAVE_BOV1,$A50)+SUMIFS(SALIDAS_BOV2,FECHA_BOV2,"&gt;="&amp;BR$2,FECHA_BOV2,"&lt;="&amp;BR$3,CLAVE_BOV2,$A50)+SUMIFS(SALIDAS_BOV3,FECHA_BOV3,"&gt;="&amp;BR$2,FECHA_BOV3,"&lt;="&amp;BR$3,CLAVE_BOV3,$A50)+SUMIFS(SALIDAS_TC,FECHA_TC,"&gt;="&amp;BR$2,FECHA_TC,"&lt;="&amp;BR$3,CLAVE_TC,$A50)+SUMIFS(SALIDAS_COMB,FECHA_COMB,"&gt;="&amp;BR$2,FECHA_COMB,"&lt;="&amp;BR$3,CLAVE_COMB,$A50)+SUMIFS(SALIDAS_DES,FECHA_DESGLOSEN,"&gt;="&amp;BR$2,FECHA_DESGLOSEN,"&lt;="&amp;BR$3,CLAVE_DESGLOSE,$A50)</f>
        <v>17814.2</v>
      </c>
      <c r="BS50" s="68">
        <f t="shared" si="72"/>
        <v>-17814.2</v>
      </c>
      <c r="BT50" s="268">
        <f t="shared" si="73"/>
        <v>0</v>
      </c>
      <c r="BU50" s="13">
        <f t="shared" si="49"/>
        <v>0</v>
      </c>
      <c r="BV50" s="13">
        <f t="shared" si="90"/>
        <v>4253.6000000000004</v>
      </c>
      <c r="BW50" s="13">
        <f t="shared" si="90"/>
        <v>4549</v>
      </c>
      <c r="BX50" s="13">
        <f t="shared" si="90"/>
        <v>4403.8</v>
      </c>
      <c r="BY50" s="13">
        <f t="shared" si="90"/>
        <v>4402.8</v>
      </c>
      <c r="BZ50" s="13">
        <f t="shared" si="116"/>
        <v>17609.2</v>
      </c>
      <c r="CA50" s="68">
        <f t="shared" si="74"/>
        <v>-17609.2</v>
      </c>
      <c r="CB50" s="268">
        <f t="shared" si="75"/>
        <v>0</v>
      </c>
      <c r="CC50" s="13">
        <f t="shared" si="51"/>
        <v>0</v>
      </c>
      <c r="CD50" s="13">
        <f t="shared" si="91"/>
        <v>5900.4</v>
      </c>
      <c r="CE50" s="13">
        <f t="shared" si="91"/>
        <v>5702.4</v>
      </c>
      <c r="CF50" s="13">
        <f t="shared" si="91"/>
        <v>6903.8</v>
      </c>
      <c r="CG50" s="13">
        <f t="shared" si="91"/>
        <v>5702.8</v>
      </c>
      <c r="CH50" s="13">
        <f t="shared" si="117"/>
        <v>24209.399999999998</v>
      </c>
      <c r="CI50" s="68">
        <f t="shared" si="76"/>
        <v>-24209.399999999998</v>
      </c>
      <c r="CJ50" s="268">
        <f t="shared" si="77"/>
        <v>0</v>
      </c>
      <c r="CK50" s="13">
        <f t="shared" si="53"/>
        <v>0</v>
      </c>
      <c r="CL50" s="13">
        <f t="shared" si="92"/>
        <v>5702</v>
      </c>
      <c r="CM50" s="13">
        <f t="shared" si="92"/>
        <v>5062</v>
      </c>
      <c r="CN50" s="13">
        <f t="shared" si="92"/>
        <v>5800.2</v>
      </c>
      <c r="CO50" s="13">
        <f t="shared" si="92"/>
        <v>5500.4</v>
      </c>
      <c r="CP50" s="13">
        <f t="shared" si="92"/>
        <v>5622.4</v>
      </c>
      <c r="CQ50" s="13">
        <f t="shared" si="118"/>
        <v>27687</v>
      </c>
      <c r="CR50" s="68">
        <f t="shared" si="78"/>
        <v>-27687</v>
      </c>
      <c r="CS50" s="268">
        <f t="shared" si="79"/>
        <v>0</v>
      </c>
      <c r="CT50" s="68">
        <f t="shared" si="55"/>
        <v>26400</v>
      </c>
      <c r="CU50" s="13">
        <f>SUMIFS(SALIDAS_BIT,FECHA_BIT,"&gt;="&amp;CU$2,FECHA_BIT,"&lt;="&amp;CU$3,CLAVE_BIT,$A50)+SUMIFS(SALIDAS_BOV1,FECHA_BOV1,"&gt;="&amp;CU$2,FECHA_BOV1,"&lt;="&amp;CU$3,CLAVE_BOV1,$A50)+SUMIFS(SALIDAS_BOV2,FECHA_BOV2,"&gt;="&amp;CU$2,FECHA_BOV2,"&lt;="&amp;CU$3,CLAVE_BOV2,$A50)+SUMIFS(SALIDAS_BOV3,FECHA_BOV3,"&gt;="&amp;CU$2,FECHA_BOV3,"&lt;="&amp;CU$3,CLAVE_BOV3,$A50)+SUMIFS(SALIDAS_TC,FECHA_TC,"&gt;="&amp;CU$2,FECHA_TC,"&lt;="&amp;CU$3,CLAVE_TC,$A50)+SUMIFS(SALIDAS_COMB,FECHA_COMB,"&gt;="&amp;CU$2,FECHA_COMB,"&lt;="&amp;CU$3,CLAVE_COMB,$A50)+SUMIFS(SALIDAS_DES,FECHA_DESGLOSEN,"&gt;="&amp;CU$2,FECHA_DESGLOSEN,"&lt;="&amp;CU$3,CLAVE_DESGLOSE,$A50)</f>
        <v>5801</v>
      </c>
      <c r="CV50" s="13">
        <f>SUMIFS(SALIDAS_BIT,FECHA_BIT,"&gt;="&amp;CV$2,FECHA_BIT,"&lt;="&amp;CV$3,CLAVE_BIT,$A50)+SUMIFS(SALIDAS_BOV1,FECHA_BOV1,"&gt;="&amp;CV$2,FECHA_BOV1,"&lt;="&amp;CV$3,CLAVE_BOV1,$A50)+SUMIFS(SALIDAS_BOV2,FECHA_BOV2,"&gt;="&amp;CV$2,FECHA_BOV2,"&lt;="&amp;CV$3,CLAVE_BOV2,$A50)+SUMIFS(SALIDAS_BOV3,FECHA_BOV3,"&gt;="&amp;CV$2,FECHA_BOV3,"&lt;="&amp;CV$3,CLAVE_BOV3,$A50)+SUMIFS(SALIDAS_TC,FECHA_TC,"&gt;="&amp;CV$2,FECHA_TC,"&lt;="&amp;CV$3,CLAVE_TC,$A50)+SUMIFS(SALIDAS_COMB,FECHA_COMB,"&gt;="&amp;CV$2,FECHA_COMB,"&lt;="&amp;CV$3,CLAVE_COMB,$A50)+SUMIFS(SALIDAS_DES,FECHA_DESGLOSEN,"&gt;="&amp;CV$2,FECHA_DESGLOSEN,"&lt;="&amp;CV$3,CLAVE_DESGLOSE,$A50)</f>
        <v>5801</v>
      </c>
      <c r="CW50" s="13">
        <f>SUMIFS(SALIDAS_BIT,FECHA_BIT,"&gt;="&amp;CW$2,FECHA_BIT,"&lt;="&amp;CW$3,CLAVE_BIT,$A50)+SUMIFS(SALIDAS_BOV1,FECHA_BOV1,"&gt;="&amp;CW$2,FECHA_BOV1,"&lt;="&amp;CW$3,CLAVE_BOV1,$A50)+SUMIFS(SALIDAS_BOV2,FECHA_BOV2,"&gt;="&amp;CW$2,FECHA_BOV2,"&lt;="&amp;CW$3,CLAVE_BOV2,$A50)+SUMIFS(SALIDAS_BOV3,FECHA_BOV3,"&gt;="&amp;CW$2,FECHA_BOV3,"&lt;="&amp;CW$3,CLAVE_BOV3,$A50)+SUMIFS(SALIDAS_TC,FECHA_TC,"&gt;="&amp;CW$2,FECHA_TC,"&lt;="&amp;CW$3,CLAVE_TC,$A50)+SUMIFS(SALIDAS_COMB,FECHA_COMB,"&gt;="&amp;CW$2,FECHA_COMB,"&lt;="&amp;CW$3,CLAVE_COMB,$A50)+SUMIFS(SALIDAS_DES,FECHA_DESGLOSEN,"&gt;="&amp;CW$2,FECHA_DESGLOSEN,"&lt;="&amp;CW$3,CLAVE_DESGLOSE,$A50)</f>
        <v>5807.8</v>
      </c>
      <c r="CX50" s="13">
        <f>SUMIFS(SALIDAS_BIT,FECHA_BIT,"&gt;="&amp;CX$2,FECHA_BIT,"&lt;="&amp;CX$3,CLAVE_BIT,$A50)+SUMIFS(SALIDAS_BOV1,FECHA_BOV1,"&gt;="&amp;CX$2,FECHA_BOV1,"&lt;="&amp;CX$3,CLAVE_BOV1,$A50)+SUMIFS(SALIDAS_BOV2,FECHA_BOV2,"&gt;="&amp;CX$2,FECHA_BOV2,"&lt;="&amp;CX$3,CLAVE_BOV2,$A50)+SUMIFS(SALIDAS_BOV3,FECHA_BOV3,"&gt;="&amp;CX$2,FECHA_BOV3,"&lt;="&amp;CX$3,CLAVE_BOV3,$A50)+SUMIFS(SALIDAS_TC,FECHA_TC,"&gt;="&amp;CX$2,FECHA_TC,"&lt;="&amp;CX$3,CLAVE_TC,$A50)+SUMIFS(SALIDAS_COMB,FECHA_COMB,"&gt;="&amp;CX$2,FECHA_COMB,"&lt;="&amp;CX$3,CLAVE_COMB,$A50)+SUMIFS(SALIDAS_DES,FECHA_DESGLOSEN,"&gt;="&amp;CX$2,FECHA_DESGLOSEN,"&lt;="&amp;CX$3,CLAVE_DESGLOSE,$A50)</f>
        <v>6325</v>
      </c>
      <c r="CY50" s="13">
        <f>SUMIFS(SALIDAS_BIT,FECHA_BIT,"&gt;="&amp;CY$2,FECHA_BIT,"&lt;="&amp;CY$3,CLAVE_BIT,$A50)+SUMIFS(SALIDAS_BOV1,FECHA_BOV1,"&gt;="&amp;CY$2,FECHA_BOV1,"&lt;="&amp;CY$3,CLAVE_BOV1,$A50)+SUMIFS(SALIDAS_BOV2,FECHA_BOV2,"&gt;="&amp;CY$2,FECHA_BOV2,"&lt;="&amp;CY$3,CLAVE_BOV2,$A50)+SUMIFS(SALIDAS_BOV3,FECHA_BOV3,"&gt;="&amp;CY$2,FECHA_BOV3,"&lt;="&amp;CY$3,CLAVE_BOV3,$A50)+SUMIFS(SALIDAS_TC,FECHA_TC,"&gt;="&amp;CY$2,FECHA_TC,"&lt;="&amp;CY$3,CLAVE_TC,$A50)+SUMIFS(SALIDAS_COMB,FECHA_COMB,"&gt;="&amp;CY$2,FECHA_COMB,"&lt;="&amp;CY$3,CLAVE_COMB,$A50)+SUMIFS(SALIDAS_DES,FECHA_DESGLOSEN,"&gt;="&amp;CY$2,FECHA_DESGLOSEN,"&lt;="&amp;CY$3,CLAVE_DESGLOSE,$A50)</f>
        <v>23734.799999999999</v>
      </c>
      <c r="CZ50" s="68">
        <f t="shared" si="80"/>
        <v>2665.2000000000007</v>
      </c>
      <c r="DB50" s="17">
        <f>F50+N50+W50+AE50+AM50+AV50+BD50+BL50+BU50+CC50+CK50</f>
        <v>0</v>
      </c>
      <c r="DC50" s="17">
        <f>K50+T50+AB50+AJ50+AS50+BA50+BI50+BR50+BZ50+CH50+CQ50</f>
        <v>91510.8</v>
      </c>
    </row>
    <row r="51" spans="1:107" hidden="1">
      <c r="A51" s="12" t="str">
        <f t="shared" si="57"/>
        <v>MMNOMINA ADMONMARKET MAX</v>
      </c>
      <c r="B51" s="12">
        <v>45</v>
      </c>
      <c r="C51" t="s">
        <v>45</v>
      </c>
      <c r="D51" s="12" t="s">
        <v>147</v>
      </c>
      <c r="E51" s="12" t="s">
        <v>46</v>
      </c>
      <c r="F51" s="259">
        <f t="shared" si="58"/>
        <v>0</v>
      </c>
      <c r="G51" s="13">
        <f t="shared" si="111"/>
        <v>2000</v>
      </c>
      <c r="H51" s="13">
        <f t="shared" si="111"/>
        <v>2000</v>
      </c>
      <c r="I51" s="13">
        <f t="shared" si="111"/>
        <v>2000</v>
      </c>
      <c r="J51" s="13">
        <f t="shared" si="111"/>
        <v>2000</v>
      </c>
      <c r="K51" s="13">
        <f t="shared" si="111"/>
        <v>8000</v>
      </c>
      <c r="L51" s="68">
        <f t="shared" si="59"/>
        <v>-8000</v>
      </c>
      <c r="M51" s="268">
        <f t="shared" si="60"/>
        <v>0</v>
      </c>
      <c r="N51" s="13">
        <f t="shared" si="36"/>
        <v>0</v>
      </c>
      <c r="O51" s="13">
        <f t="shared" si="112"/>
        <v>2000</v>
      </c>
      <c r="P51" s="13">
        <f t="shared" si="112"/>
        <v>2000</v>
      </c>
      <c r="Q51" s="13">
        <f t="shared" si="112"/>
        <v>2000</v>
      </c>
      <c r="R51" s="13">
        <f t="shared" si="112"/>
        <v>2000</v>
      </c>
      <c r="S51" s="13">
        <f t="shared" si="112"/>
        <v>2000</v>
      </c>
      <c r="T51" s="13">
        <f t="shared" si="112"/>
        <v>10000</v>
      </c>
      <c r="U51" s="68">
        <f t="shared" si="61"/>
        <v>-10000</v>
      </c>
      <c r="V51" s="268">
        <f t="shared" si="62"/>
        <v>0</v>
      </c>
      <c r="W51" s="13">
        <f t="shared" si="38"/>
        <v>0</v>
      </c>
      <c r="X51" s="13">
        <f t="shared" si="113"/>
        <v>2000</v>
      </c>
      <c r="Y51" s="13">
        <f t="shared" si="113"/>
        <v>2000</v>
      </c>
      <c r="Z51" s="13">
        <f t="shared" si="113"/>
        <v>2000</v>
      </c>
      <c r="AA51" s="13">
        <f t="shared" si="113"/>
        <v>0</v>
      </c>
      <c r="AB51" s="13">
        <f t="shared" si="113"/>
        <v>6000</v>
      </c>
      <c r="AC51" s="68">
        <f t="shared" si="63"/>
        <v>-6000</v>
      </c>
      <c r="AD51" s="268">
        <f t="shared" si="64"/>
        <v>0</v>
      </c>
      <c r="AE51" s="13">
        <f t="shared" si="40"/>
        <v>0</v>
      </c>
      <c r="AF51" s="13">
        <f t="shared" si="114"/>
        <v>2000</v>
      </c>
      <c r="AG51" s="13">
        <f t="shared" si="114"/>
        <v>2000</v>
      </c>
      <c r="AH51" s="13">
        <f t="shared" si="114"/>
        <v>8000.94</v>
      </c>
      <c r="AI51" s="13">
        <f t="shared" si="114"/>
        <v>7983.54</v>
      </c>
      <c r="AJ51" s="13">
        <f t="shared" si="114"/>
        <v>19984.48</v>
      </c>
      <c r="AK51" s="68">
        <f t="shared" si="65"/>
        <v>-19984.48</v>
      </c>
      <c r="AL51" s="268">
        <f t="shared" si="66"/>
        <v>0</v>
      </c>
      <c r="AM51" s="13">
        <f t="shared" si="42"/>
        <v>0</v>
      </c>
      <c r="AN51" s="13">
        <f t="shared" si="115"/>
        <v>8000.94</v>
      </c>
      <c r="AO51" s="13">
        <f t="shared" si="115"/>
        <v>8000.94</v>
      </c>
      <c r="AP51" s="13">
        <f t="shared" si="115"/>
        <v>8001.14</v>
      </c>
      <c r="AQ51" s="13">
        <f t="shared" si="115"/>
        <v>8000.94</v>
      </c>
      <c r="AR51" s="13">
        <f t="shared" si="115"/>
        <v>8002.74</v>
      </c>
      <c r="AS51" s="13">
        <f t="shared" si="115"/>
        <v>40006.699999999997</v>
      </c>
      <c r="AT51" s="68">
        <f>AM51-AS51</f>
        <v>-40006.699999999997</v>
      </c>
      <c r="AU51" s="268">
        <f t="shared" si="67"/>
        <v>0</v>
      </c>
      <c r="AV51" s="13">
        <f t="shared" si="44"/>
        <v>0</v>
      </c>
      <c r="AW51" s="13">
        <f t="shared" si="107"/>
        <v>8502.5400000000009</v>
      </c>
      <c r="AX51" s="13">
        <f t="shared" si="107"/>
        <v>5502.74</v>
      </c>
      <c r="AY51" s="13">
        <f t="shared" si="107"/>
        <v>5895.74</v>
      </c>
      <c r="AZ51" s="13">
        <f>SUMIFS(SALIDAS_BIT,FECHA_BIT,"&gt;="&amp;AZ$2,FECHA_BIT,"&lt;="&amp;AZ$3,CLAVE_BIT,$A51)+SUMIFS(SALIDAS_BOV1,FECHA_BOV1,"&gt;="&amp;AZ$2,FECHA_BOV1,"&lt;="&amp;AZ$3,CLAVE_BOV1,$A51)+SUMIFS(SALIDAS_BOV2,FECHA_BOV2,"&gt;="&amp;AZ$2,FECHA_BOV2,"&lt;="&amp;AZ$3,CLAVE_BOV2,$A51)+SUMIFS(SALIDAS_BOV3,FECHA_BOV3,"&gt;="&amp;AZ$2,FECHA_BOV3,"&lt;="&amp;AZ$3,CLAVE_BOV3,$A51)+SUMIFS(SALIDAS_TC,FECHA_TC,"&gt;="&amp;AZ$2,FECHA_TC,"&lt;="&amp;AZ$3,CLAVE_TC,$A51)+SUMIFS(SALIDAS_COMB,FECHA_COMB,"&gt;="&amp;AZ$2,FECHA_COMB,"&lt;="&amp;AZ$3,CLAVE_COMB,$A51)+SUMIFS(SALIDAS_DES,FECHA_DESGLOSEN,"&gt;="&amp;AZ$2,FECHA_DESGLOSEN,"&lt;="&amp;AZ$3,CLAVE_DESGLOSE,$A51)</f>
        <v>7876.54</v>
      </c>
      <c r="BA51" s="13">
        <f t="shared" si="107"/>
        <v>27777.56</v>
      </c>
      <c r="BB51" s="68">
        <f t="shared" si="68"/>
        <v>-27777.56</v>
      </c>
      <c r="BC51" s="268">
        <f t="shared" si="69"/>
        <v>0</v>
      </c>
      <c r="BD51" s="13">
        <f t="shared" si="46"/>
        <v>0</v>
      </c>
      <c r="BE51" s="13">
        <f>SUMIFS(SALIDAS_BIT,FECHA_BIT,"&gt;="&amp;BE$2,FECHA_BIT,"&lt;="&amp;BE$3,CLAVE_BIT,$A51)+SUMIFS(SALIDAS_BOV1,FECHA_BOV1,"&gt;="&amp;BE$2,FECHA_BOV1,"&lt;="&amp;BE$3,CLAVE_BOV1,$A51)+SUMIFS(SALIDAS_BOV2,FECHA_BOV2,"&gt;="&amp;BE$2,FECHA_BOV2,"&lt;="&amp;BE$3,CLAVE_BOV2,$A51)+SUMIFS(SALIDAS_BOV3,FECHA_BOV3,"&gt;="&amp;BE$2,FECHA_BOV3,"&lt;="&amp;BE$3,CLAVE_BOV3,$A51)+SUMIFS(SALIDAS_TC,FECHA_TC,"&gt;="&amp;BE$2,FECHA_TC,"&lt;="&amp;BE$3,CLAVE_TC,$A51)+SUMIFS(SALIDAS_COMB,FECHA_COMB,"&gt;="&amp;BE$2,FECHA_COMB,"&lt;="&amp;BE$3,CLAVE_COMB,$A51)+SUMIFS(SALIDAS_DES,FECHA_DESGLOSEN,"&gt;="&amp;BE$2,FECHA_DESGLOSEN,"&lt;="&amp;BE$3,CLAVE_DESGLOSE,$A51)</f>
        <v>7876.54</v>
      </c>
      <c r="BF51" s="13">
        <f>SUMIFS(SALIDAS_BIT,FECHA_BIT,"&gt;="&amp;BF$2,FECHA_BIT,"&lt;="&amp;BF$3,CLAVE_BIT,$A51)+SUMIFS(SALIDAS_BOV1,FECHA_BOV1,"&gt;="&amp;BF$2,FECHA_BOV1,"&lt;="&amp;BF$3,CLAVE_BOV1,$A51)+SUMIFS(SALIDAS_BOV2,FECHA_BOV2,"&gt;="&amp;BF$2,FECHA_BOV2,"&lt;="&amp;BF$3,CLAVE_BOV2,$A51)+SUMIFS(SALIDAS_BOV3,FECHA_BOV3,"&gt;="&amp;BF$2,FECHA_BOV3,"&lt;="&amp;BF$3,CLAVE_BOV3,$A51)+SUMIFS(SALIDAS_TC,FECHA_TC,"&gt;="&amp;BF$2,FECHA_TC,"&lt;="&amp;BF$3,CLAVE_TC,$A51)+SUMIFS(SALIDAS_COMB,FECHA_COMB,"&gt;="&amp;BF$2,FECHA_COMB,"&lt;="&amp;BF$3,CLAVE_COMB,$A51)+SUMIFS(SALIDAS_DES,FECHA_DESGLOSEN,"&gt;="&amp;BF$2,FECHA_DESGLOSEN,"&lt;="&amp;BF$3,CLAVE_DESGLOSE,$A51)</f>
        <v>7876.94</v>
      </c>
      <c r="BG51" s="13">
        <f>SUMIFS(SALIDAS_BIT,FECHA_BIT,"&gt;="&amp;BG$2,FECHA_BIT,"&lt;="&amp;BG$3,CLAVE_BIT,$A51)+SUMIFS(SALIDAS_BOV1,FECHA_BOV1,"&gt;="&amp;BG$2,FECHA_BOV1,"&lt;="&amp;BG$3,CLAVE_BOV1,$A51)+SUMIFS(SALIDAS_BOV2,FECHA_BOV2,"&gt;="&amp;BG$2,FECHA_BOV2,"&lt;="&amp;BG$3,CLAVE_BOV2,$A51)+SUMIFS(SALIDAS_BOV3,FECHA_BOV3,"&gt;="&amp;BG$2,FECHA_BOV3,"&lt;="&amp;BG$3,CLAVE_BOV3,$A51)+SUMIFS(SALIDAS_TC,FECHA_TC,"&gt;="&amp;BG$2,FECHA_TC,"&lt;="&amp;BG$3,CLAVE_TC,$A51)+SUMIFS(SALIDAS_COMB,FECHA_COMB,"&gt;="&amp;BG$2,FECHA_COMB,"&lt;="&amp;BG$3,CLAVE_COMB,$A51)+SUMIFS(SALIDAS_DES,FECHA_DESGLOSEN,"&gt;="&amp;BG$2,FECHA_DESGLOSEN,"&lt;="&amp;BG$3,CLAVE_DESGLOSE,$A51)</f>
        <v>7876.74</v>
      </c>
      <c r="BH51" s="13">
        <f>SUMIFS(SALIDAS_BIT,FECHA_BIT,"&gt;="&amp;BH$2,FECHA_BIT,"&lt;="&amp;BH$3,CLAVE_BIT,$A51)+SUMIFS(SALIDAS_BOV1,FECHA_BOV1,"&gt;="&amp;BH$2,FECHA_BOV1,"&lt;="&amp;BH$3,CLAVE_BOV1,$A51)+SUMIFS(SALIDAS_BOV2,FECHA_BOV2,"&gt;="&amp;BH$2,FECHA_BOV2,"&lt;="&amp;BH$3,CLAVE_BOV2,$A51)+SUMIFS(SALIDAS_BOV3,FECHA_BOV3,"&gt;="&amp;BH$2,FECHA_BOV3,"&lt;="&amp;BH$3,CLAVE_BOV3,$A51)+SUMIFS(SALIDAS_TC,FECHA_TC,"&gt;="&amp;BH$2,FECHA_TC,"&lt;="&amp;BH$3,CLAVE_TC,$A51)+SUMIFS(SALIDAS_COMB,FECHA_COMB,"&gt;="&amp;BH$2,FECHA_COMB,"&lt;="&amp;BH$3,CLAVE_COMB,$A51)+SUMIFS(SALIDAS_DES,FECHA_DESGLOSEN,"&gt;="&amp;BH$2,FECHA_DESGLOSEN,"&lt;="&amp;BH$3,CLAVE_DESGLOSE,$A51)</f>
        <v>7875</v>
      </c>
      <c r="BI51" s="13">
        <f>SUMIFS(SALIDAS_BIT,FECHA_BIT,"&gt;="&amp;BI$2,FECHA_BIT,"&lt;="&amp;BI$3,CLAVE_BIT,$A51)+SUMIFS(SALIDAS_BOV1,FECHA_BOV1,"&gt;="&amp;BI$2,FECHA_BOV1,"&lt;="&amp;BI$3,CLAVE_BOV1,$A51)+SUMIFS(SALIDAS_BOV2,FECHA_BOV2,"&gt;="&amp;BI$2,FECHA_BOV2,"&lt;="&amp;BI$3,CLAVE_BOV2,$A51)+SUMIFS(SALIDAS_BOV3,FECHA_BOV3,"&gt;="&amp;BI$2,FECHA_BOV3,"&lt;="&amp;BI$3,CLAVE_BOV3,$A51)+SUMIFS(SALIDAS_TC,FECHA_TC,"&gt;="&amp;BI$2,FECHA_TC,"&lt;="&amp;BI$3,CLAVE_TC,$A51)+SUMIFS(SALIDAS_COMB,FECHA_COMB,"&gt;="&amp;BI$2,FECHA_COMB,"&lt;="&amp;BI$3,CLAVE_COMB,$A51)+SUMIFS(SALIDAS_DES,FECHA_DESGLOSEN,"&gt;="&amp;BI$2,FECHA_DESGLOSEN,"&lt;="&amp;BI$3,CLAVE_DESGLOSE,$A51)</f>
        <v>31505.22</v>
      </c>
      <c r="BJ51" s="68">
        <f>BD51-BI51</f>
        <v>-31505.22</v>
      </c>
      <c r="BK51" s="268">
        <f t="shared" si="71"/>
        <v>0</v>
      </c>
      <c r="BL51" s="13">
        <f t="shared" si="47"/>
        <v>0</v>
      </c>
      <c r="BM51" s="13">
        <f>SUMIFS(SALIDAS_BIT,FECHA_BIT,"&gt;="&amp;BM$2,FECHA_BIT,"&lt;="&amp;BM$3,CLAVE_BIT,$A51)+SUMIFS(SALIDAS_BOV1,FECHA_BOV1,"&gt;="&amp;BM$2,FECHA_BOV1,"&lt;="&amp;BM$3,CLAVE_BOV1,$A51)+SUMIFS(SALIDAS_BOV2,FECHA_BOV2,"&gt;="&amp;BM$2,FECHA_BOV2,"&lt;="&amp;BM$3,CLAVE_BOV2,$A51)+SUMIFS(SALIDAS_BOV3,FECHA_BOV3,"&gt;="&amp;BM$2,FECHA_BOV3,"&lt;="&amp;BM$3,CLAVE_BOV3,$A51)+SUMIFS(SALIDAS_TC,FECHA_TC,"&gt;="&amp;BM$2,FECHA_TC,"&lt;="&amp;BM$3,CLAVE_TC,$A51)+SUMIFS(SALIDAS_COMB,FECHA_COMB,"&gt;="&amp;BM$2,FECHA_COMB,"&lt;="&amp;BM$3,CLAVE_COMB,$A51)+SUMIFS(SALIDAS_DES,FECHA_DESGLOSEN,"&gt;="&amp;BM$2,FECHA_DESGLOSEN,"&lt;="&amp;BM$3,CLAVE_DESGLOSE,$A51)</f>
        <v>8002.54</v>
      </c>
      <c r="BN51" s="13">
        <f>SUMIFS(SALIDAS_BIT,FECHA_BIT,"&gt;="&amp;BN$2,FECHA_BIT,"&lt;="&amp;BN$3,CLAVE_BIT,$A51)+SUMIFS(SALIDAS_BOV1,FECHA_BOV1,"&gt;="&amp;BN$2,FECHA_BOV1,"&lt;="&amp;BN$3,CLAVE_BOV1,$A51)+SUMIFS(SALIDAS_BOV2,FECHA_BOV2,"&gt;="&amp;BN$2,FECHA_BOV2,"&lt;="&amp;BN$3,CLAVE_BOV2,$A51)+SUMIFS(SALIDAS_BOV3,FECHA_BOV3,"&gt;="&amp;BN$2,FECHA_BOV3,"&lt;="&amp;BN$3,CLAVE_BOV3,$A51)+SUMIFS(SALIDAS_TC,FECHA_TC,"&gt;="&amp;BN$2,FECHA_TC,"&lt;="&amp;BN$3,CLAVE_TC,$A51)+SUMIFS(SALIDAS_COMB,FECHA_COMB,"&gt;="&amp;BN$2,FECHA_COMB,"&lt;="&amp;BN$3,CLAVE_COMB,$A51)+SUMIFS(SALIDAS_DES,FECHA_DESGLOSEN,"&gt;="&amp;BN$2,FECHA_DESGLOSEN,"&lt;="&amp;BN$3,CLAVE_DESGLOSE,$A51)</f>
        <v>7874.94</v>
      </c>
      <c r="BO51" s="13">
        <f>SUMIFS(SALIDAS_BIT,FECHA_BIT,"&gt;="&amp;BO$2,FECHA_BIT,"&lt;="&amp;BO$3,CLAVE_BIT,$A51)+SUMIFS(SALIDAS_BOV1,FECHA_BOV1,"&gt;="&amp;BO$2,FECHA_BOV1,"&lt;="&amp;BO$3,CLAVE_BOV1,$A51)+SUMIFS(SALIDAS_BOV2,FECHA_BOV2,"&gt;="&amp;BO$2,FECHA_BOV2,"&lt;="&amp;BO$3,CLAVE_BOV2,$A51)+SUMIFS(SALIDAS_BOV3,FECHA_BOV3,"&gt;="&amp;BO$2,FECHA_BOV3,"&lt;="&amp;BO$3,CLAVE_BOV3,$A51)+SUMIFS(SALIDAS_TC,FECHA_TC,"&gt;="&amp;BO$2,FECHA_TC,"&lt;="&amp;BO$3,CLAVE_TC,$A51)+SUMIFS(SALIDAS_COMB,FECHA_COMB,"&gt;="&amp;BO$2,FECHA_COMB,"&lt;="&amp;BO$3,CLAVE_COMB,$A51)+SUMIFS(SALIDAS_DES,FECHA_DESGLOSEN,"&gt;="&amp;BO$2,FECHA_DESGLOSEN,"&lt;="&amp;BO$3,CLAVE_DESGLOSE,$A51)</f>
        <v>7874.94</v>
      </c>
      <c r="BP51" s="13">
        <f>SUMIFS(SALIDAS_BIT,FECHA_BIT,"&gt;="&amp;BP$2,FECHA_BIT,"&lt;="&amp;BP$3,CLAVE_BIT,$A51)+SUMIFS(SALIDAS_BOV1,FECHA_BOV1,"&gt;="&amp;BP$2,FECHA_BOV1,"&lt;="&amp;BP$3,CLAVE_BOV1,$A51)+SUMIFS(SALIDAS_BOV2,FECHA_BOV2,"&gt;="&amp;BP$2,FECHA_BOV2,"&lt;="&amp;BP$3,CLAVE_BOV2,$A51)+SUMIFS(SALIDAS_BOV3,FECHA_BOV3,"&gt;="&amp;BP$2,FECHA_BOV3,"&lt;="&amp;BP$3,CLAVE_BOV3,$A51)+SUMIFS(SALIDAS_TC,FECHA_TC,"&gt;="&amp;BP$2,FECHA_TC,"&lt;="&amp;BP$3,CLAVE_TC,$A51)+SUMIFS(SALIDAS_COMB,FECHA_COMB,"&gt;="&amp;BP$2,FECHA_COMB,"&lt;="&amp;BP$3,CLAVE_COMB,$A51)+SUMIFS(SALIDAS_DES,FECHA_DESGLOSEN,"&gt;="&amp;BP$2,FECHA_DESGLOSEN,"&lt;="&amp;BP$3,CLAVE_DESGLOSE,$A51)</f>
        <v>7874.94</v>
      </c>
      <c r="BQ51" s="13">
        <f>SUMIFS(SALIDAS_BIT,FECHA_BIT,"&gt;="&amp;BQ$2,FECHA_BIT,"&lt;="&amp;BQ$3,CLAVE_BIT,$A51)+SUMIFS(SALIDAS_BOV1,FECHA_BOV1,"&gt;="&amp;BQ$2,FECHA_BOV1,"&lt;="&amp;BQ$3,CLAVE_BOV1,$A51)+SUMIFS(SALIDAS_BOV2,FECHA_BOV2,"&gt;="&amp;BQ$2,FECHA_BOV2,"&lt;="&amp;BQ$3,CLAVE_BOV2,$A51)+SUMIFS(SALIDAS_BOV3,FECHA_BOV3,"&gt;="&amp;BQ$2,FECHA_BOV3,"&lt;="&amp;BQ$3,CLAVE_BOV3,$A51)+SUMIFS(SALIDAS_TC,FECHA_TC,"&gt;="&amp;BQ$2,FECHA_TC,"&lt;="&amp;BQ$3,CLAVE_TC,$A51)+SUMIFS(SALIDAS_COMB,FECHA_COMB,"&gt;="&amp;BQ$2,FECHA_COMB,"&lt;="&amp;BQ$3,CLAVE_COMB,$A51)+SUMIFS(SALIDAS_DES,FECHA_DESGLOSEN,"&gt;="&amp;BQ$2,FECHA_DESGLOSEN,"&lt;="&amp;BQ$3,CLAVE_DESGLOSE,$A51)</f>
        <v>7875.14</v>
      </c>
      <c r="BR51" s="13">
        <f>SUMIFS(SALIDAS_BIT,FECHA_BIT,"&gt;="&amp;BR$2,FECHA_BIT,"&lt;="&amp;BR$3,CLAVE_BIT,$A51)+SUMIFS(SALIDAS_BOV1,FECHA_BOV1,"&gt;="&amp;BR$2,FECHA_BOV1,"&lt;="&amp;BR$3,CLAVE_BOV1,$A51)+SUMIFS(SALIDAS_BOV2,FECHA_BOV2,"&gt;="&amp;BR$2,FECHA_BOV2,"&lt;="&amp;BR$3,CLAVE_BOV2,$A51)+SUMIFS(SALIDAS_BOV3,FECHA_BOV3,"&gt;="&amp;BR$2,FECHA_BOV3,"&lt;="&amp;BR$3,CLAVE_BOV3,$A51)+SUMIFS(SALIDAS_TC,FECHA_TC,"&gt;="&amp;BR$2,FECHA_TC,"&lt;="&amp;BR$3,CLAVE_TC,$A51)+SUMIFS(SALIDAS_COMB,FECHA_COMB,"&gt;="&amp;BR$2,FECHA_COMB,"&lt;="&amp;BR$3,CLAVE_COMB,$A51)+SUMIFS(SALIDAS_DES,FECHA_DESGLOSEN,"&gt;="&amp;BR$2,FECHA_DESGLOSEN,"&lt;="&amp;BR$3,CLAVE_DESGLOSE,$A51)</f>
        <v>39502.5</v>
      </c>
      <c r="BS51" s="68">
        <f t="shared" si="72"/>
        <v>-39502.5</v>
      </c>
      <c r="BT51" s="268">
        <f t="shared" si="73"/>
        <v>0</v>
      </c>
      <c r="BU51" s="13">
        <f t="shared" si="49"/>
        <v>0</v>
      </c>
      <c r="BV51" s="13">
        <f t="shared" si="90"/>
        <v>10755.54</v>
      </c>
      <c r="BW51" s="13">
        <f t="shared" si="90"/>
        <v>10435.540000000001</v>
      </c>
      <c r="BX51" s="13">
        <f t="shared" si="90"/>
        <v>10594.94</v>
      </c>
      <c r="BY51" s="13">
        <f t="shared" si="90"/>
        <v>10514.94</v>
      </c>
      <c r="BZ51" s="13">
        <f t="shared" si="116"/>
        <v>42300.960000000006</v>
      </c>
      <c r="CA51" s="68">
        <f t="shared" si="74"/>
        <v>-42300.960000000006</v>
      </c>
      <c r="CB51" s="268">
        <f t="shared" si="75"/>
        <v>0</v>
      </c>
      <c r="CC51" s="13">
        <f t="shared" si="51"/>
        <v>0</v>
      </c>
      <c r="CD51" s="13">
        <f t="shared" si="91"/>
        <v>10274.94</v>
      </c>
      <c r="CE51" s="13">
        <f t="shared" si="91"/>
        <v>10835.14</v>
      </c>
      <c r="CF51" s="13">
        <f t="shared" si="91"/>
        <v>11215.74</v>
      </c>
      <c r="CG51" s="13">
        <f t="shared" si="91"/>
        <v>13615.14</v>
      </c>
      <c r="CH51" s="13">
        <f t="shared" si="117"/>
        <v>45940.959999999999</v>
      </c>
      <c r="CI51" s="68">
        <f t="shared" si="76"/>
        <v>-45940.959999999999</v>
      </c>
      <c r="CJ51" s="268">
        <f t="shared" si="77"/>
        <v>0</v>
      </c>
      <c r="CK51" s="13">
        <f t="shared" si="53"/>
        <v>0</v>
      </c>
      <c r="CL51" s="13">
        <f t="shared" si="92"/>
        <v>13295.14</v>
      </c>
      <c r="CM51" s="13">
        <f t="shared" si="92"/>
        <v>15966.54</v>
      </c>
      <c r="CN51" s="13">
        <f t="shared" si="92"/>
        <v>16537.34</v>
      </c>
      <c r="CO51" s="13">
        <f t="shared" si="92"/>
        <v>17241.14</v>
      </c>
      <c r="CP51" s="13">
        <f t="shared" si="92"/>
        <v>15441.14</v>
      </c>
      <c r="CQ51" s="13">
        <f t="shared" si="118"/>
        <v>78481.3</v>
      </c>
      <c r="CR51" s="68">
        <f t="shared" si="78"/>
        <v>-78481.3</v>
      </c>
      <c r="CS51" s="268">
        <f t="shared" si="79"/>
        <v>0</v>
      </c>
      <c r="CT51" s="68">
        <f t="shared" si="55"/>
        <v>56000</v>
      </c>
      <c r="CU51" s="13">
        <f>SUMIFS(SALIDAS_BIT,FECHA_BIT,"&gt;="&amp;CU$2,FECHA_BIT,"&lt;="&amp;CU$3,CLAVE_BIT,$A51)+SUMIFS(SALIDAS_BOV1,FECHA_BOV1,"&gt;="&amp;CU$2,FECHA_BOV1,"&lt;="&amp;CU$3,CLAVE_BOV1,$A51)+SUMIFS(SALIDAS_BOV2,FECHA_BOV2,"&gt;="&amp;CU$2,FECHA_BOV2,"&lt;="&amp;CU$3,CLAVE_BOV2,$A51)+SUMIFS(SALIDAS_BOV3,FECHA_BOV3,"&gt;="&amp;CU$2,FECHA_BOV3,"&lt;="&amp;CU$3,CLAVE_BOV3,$A51)+SUMIFS(SALIDAS_TC,FECHA_TC,"&gt;="&amp;CU$2,FECHA_TC,"&lt;="&amp;CU$3,CLAVE_TC,$A51)+SUMIFS(SALIDAS_COMB,FECHA_COMB,"&gt;="&amp;CU$2,FECHA_COMB,"&lt;="&amp;CU$3,CLAVE_COMB,$A51)+SUMIFS(SALIDAS_DES,FECHA_DESGLOSEN,"&gt;="&amp;CU$2,FECHA_DESGLOSEN,"&lt;="&amp;CU$3,CLAVE_DESGLOSE,$A51)</f>
        <v>15441.14</v>
      </c>
      <c r="CV51" s="13">
        <f>SUMIFS(SALIDAS_BIT,FECHA_BIT,"&gt;="&amp;CV$2,FECHA_BIT,"&lt;="&amp;CV$3,CLAVE_BIT,$A51)+SUMIFS(SALIDAS_BOV1,FECHA_BOV1,"&gt;="&amp;CV$2,FECHA_BOV1,"&lt;="&amp;CV$3,CLAVE_BOV1,$A51)+SUMIFS(SALIDAS_BOV2,FECHA_BOV2,"&gt;="&amp;CV$2,FECHA_BOV2,"&lt;="&amp;CV$3,CLAVE_BOV2,$A51)+SUMIFS(SALIDAS_BOV3,FECHA_BOV3,"&gt;="&amp;CV$2,FECHA_BOV3,"&lt;="&amp;CV$3,CLAVE_BOV3,$A51)+SUMIFS(SALIDAS_TC,FECHA_TC,"&gt;="&amp;CV$2,FECHA_TC,"&lt;="&amp;CV$3,CLAVE_TC,$A51)+SUMIFS(SALIDAS_COMB,FECHA_COMB,"&gt;="&amp;CV$2,FECHA_COMB,"&lt;="&amp;CV$3,CLAVE_COMB,$A51)+SUMIFS(SALIDAS_DES,FECHA_DESGLOSEN,"&gt;="&amp;CV$2,FECHA_DESGLOSEN,"&lt;="&amp;CV$3,CLAVE_DESGLOSE,$A51)</f>
        <v>15560.54</v>
      </c>
      <c r="CW51" s="13">
        <f>SUMIFS(SALIDAS_BIT,FECHA_BIT,"&gt;="&amp;CW$2,FECHA_BIT,"&lt;="&amp;CW$3,CLAVE_BIT,$A51)+SUMIFS(SALIDAS_BOV1,FECHA_BOV1,"&gt;="&amp;CW$2,FECHA_BOV1,"&lt;="&amp;CW$3,CLAVE_BOV1,$A51)+SUMIFS(SALIDAS_BOV2,FECHA_BOV2,"&gt;="&amp;CW$2,FECHA_BOV2,"&lt;="&amp;CW$3,CLAVE_BOV2,$A51)+SUMIFS(SALIDAS_BOV3,FECHA_BOV3,"&gt;="&amp;CW$2,FECHA_BOV3,"&lt;="&amp;CW$3,CLAVE_BOV3,$A51)+SUMIFS(SALIDAS_TC,FECHA_TC,"&gt;="&amp;CW$2,FECHA_TC,"&lt;="&amp;CW$3,CLAVE_TC,$A51)+SUMIFS(SALIDAS_COMB,FECHA_COMB,"&gt;="&amp;CW$2,FECHA_COMB,"&lt;="&amp;CW$3,CLAVE_COMB,$A51)+SUMIFS(SALIDAS_DES,FECHA_DESGLOSEN,"&gt;="&amp;CW$2,FECHA_DESGLOSEN,"&lt;="&amp;CW$3,CLAVE_DESGLOSE,$A51)</f>
        <v>17811.2</v>
      </c>
      <c r="CX51" s="13">
        <f>SUMIFS(SALIDAS_BIT,FECHA_BIT,"&gt;="&amp;CX$2,FECHA_BIT,"&lt;="&amp;CX$3,CLAVE_BIT,$A51)+SUMIFS(SALIDAS_BOV1,FECHA_BOV1,"&gt;="&amp;CX$2,FECHA_BOV1,"&lt;="&amp;CX$3,CLAVE_BOV1,$A51)+SUMIFS(SALIDAS_BOV2,FECHA_BOV2,"&gt;="&amp;CX$2,FECHA_BOV2,"&lt;="&amp;CX$3,CLAVE_BOV2,$A51)+SUMIFS(SALIDAS_BOV3,FECHA_BOV3,"&gt;="&amp;CX$2,FECHA_BOV3,"&lt;="&amp;CX$3,CLAVE_BOV3,$A51)+SUMIFS(SALIDAS_TC,FECHA_TC,"&gt;="&amp;CX$2,FECHA_TC,"&lt;="&amp;CX$3,CLAVE_TC,$A51)+SUMIFS(SALIDAS_COMB,FECHA_COMB,"&gt;="&amp;CX$2,FECHA_COMB,"&lt;="&amp;CX$3,CLAVE_COMB,$A51)+SUMIFS(SALIDAS_DES,FECHA_DESGLOSEN,"&gt;="&amp;CX$2,FECHA_DESGLOSEN,"&lt;="&amp;CX$3,CLAVE_DESGLOSE,$A51)</f>
        <v>15645.54</v>
      </c>
      <c r="CY51" s="13">
        <f>SUMIFS(SALIDAS_BIT,FECHA_BIT,"&gt;="&amp;CY$2,FECHA_BIT,"&lt;="&amp;CY$3,CLAVE_BIT,$A51)+SUMIFS(SALIDAS_BOV1,FECHA_BOV1,"&gt;="&amp;CY$2,FECHA_BOV1,"&lt;="&amp;CY$3,CLAVE_BOV1,$A51)+SUMIFS(SALIDAS_BOV2,FECHA_BOV2,"&gt;="&amp;CY$2,FECHA_BOV2,"&lt;="&amp;CY$3,CLAVE_BOV2,$A51)+SUMIFS(SALIDAS_BOV3,FECHA_BOV3,"&gt;="&amp;CY$2,FECHA_BOV3,"&lt;="&amp;CY$3,CLAVE_BOV3,$A51)+SUMIFS(SALIDAS_TC,FECHA_TC,"&gt;="&amp;CY$2,FECHA_TC,"&lt;="&amp;CY$3,CLAVE_TC,$A51)+SUMIFS(SALIDAS_COMB,FECHA_COMB,"&gt;="&amp;CY$2,FECHA_COMB,"&lt;="&amp;CY$3,CLAVE_COMB,$A51)+SUMIFS(SALIDAS_DES,FECHA_DESGLOSEN,"&gt;="&amp;CY$2,FECHA_DESGLOSEN,"&lt;="&amp;CY$3,CLAVE_DESGLOSE,$A51)</f>
        <v>64458.420000000006</v>
      </c>
      <c r="CZ51" s="68">
        <f t="shared" si="80"/>
        <v>-8458.4200000000055</v>
      </c>
      <c r="DB51" s="17">
        <f>F51+N51+W51+AE51+AM51+AV51+BD51+BL51+BU51+CC51+CK51</f>
        <v>0</v>
      </c>
      <c r="DC51" s="17">
        <f>K51+T51+AB51+AJ51+AS51+BA51+BI51+BR51+BZ51+CH51+CQ51</f>
        <v>349499.68</v>
      </c>
    </row>
    <row r="52" spans="1:107" hidden="1">
      <c r="A52" s="12" t="str">
        <f t="shared" si="57"/>
        <v>ELINOMINA SUCURSALL1</v>
      </c>
      <c r="B52" s="12">
        <v>46</v>
      </c>
      <c r="C52" t="s">
        <v>130</v>
      </c>
      <c r="D52" s="12" t="s">
        <v>154</v>
      </c>
      <c r="E52" s="12" t="s">
        <v>136</v>
      </c>
      <c r="F52" s="259">
        <f t="shared" si="58"/>
        <v>48000</v>
      </c>
      <c r="G52" s="13">
        <f t="shared" si="111"/>
        <v>11583</v>
      </c>
      <c r="H52" s="13">
        <f t="shared" si="111"/>
        <v>9483.7999999999993</v>
      </c>
      <c r="I52" s="13">
        <f t="shared" si="111"/>
        <v>8659.7999999999993</v>
      </c>
      <c r="J52" s="13">
        <f t="shared" si="111"/>
        <v>898</v>
      </c>
      <c r="K52" s="13">
        <f t="shared" si="111"/>
        <v>30624.6</v>
      </c>
      <c r="L52" s="68">
        <f t="shared" si="59"/>
        <v>17375.400000000001</v>
      </c>
      <c r="M52" s="268">
        <f t="shared" si="60"/>
        <v>0.63801249999999998</v>
      </c>
      <c r="N52" s="13">
        <f t="shared" si="36"/>
        <v>60000</v>
      </c>
      <c r="O52" s="13">
        <f t="shared" si="112"/>
        <v>5922</v>
      </c>
      <c r="P52" s="13">
        <f t="shared" si="112"/>
        <v>8928.7999999999993</v>
      </c>
      <c r="Q52" s="13">
        <f t="shared" si="112"/>
        <v>10790</v>
      </c>
      <c r="R52" s="13">
        <f t="shared" si="112"/>
        <v>8546.4</v>
      </c>
      <c r="S52" s="13">
        <f t="shared" si="112"/>
        <v>7443</v>
      </c>
      <c r="T52" s="13">
        <f t="shared" si="112"/>
        <v>41630.199999999997</v>
      </c>
      <c r="U52" s="68">
        <f t="shared" si="61"/>
        <v>18369.800000000003</v>
      </c>
      <c r="V52" s="268">
        <f t="shared" si="62"/>
        <v>0.69383666666666666</v>
      </c>
      <c r="W52" s="13">
        <f t="shared" si="38"/>
        <v>48000</v>
      </c>
      <c r="X52" s="13">
        <f t="shared" si="113"/>
        <v>10658.6</v>
      </c>
      <c r="Y52" s="13">
        <f t="shared" si="113"/>
        <v>11580.4</v>
      </c>
      <c r="Z52" s="13">
        <f t="shared" si="113"/>
        <v>3245</v>
      </c>
      <c r="AA52" s="13">
        <f t="shared" si="113"/>
        <v>11539</v>
      </c>
      <c r="AB52" s="13">
        <f t="shared" si="113"/>
        <v>37023</v>
      </c>
      <c r="AC52" s="68">
        <f t="shared" si="63"/>
        <v>10977</v>
      </c>
      <c r="AD52" s="268">
        <f t="shared" si="64"/>
        <v>0.77131249999999996</v>
      </c>
      <c r="AE52" s="13">
        <f t="shared" si="40"/>
        <v>48000</v>
      </c>
      <c r="AF52" s="13">
        <f t="shared" si="114"/>
        <v>12422.8</v>
      </c>
      <c r="AG52" s="13">
        <f t="shared" si="114"/>
        <v>9439.7999999999993</v>
      </c>
      <c r="AH52" s="13">
        <f t="shared" si="114"/>
        <v>9998</v>
      </c>
      <c r="AI52" s="13">
        <f t="shared" si="114"/>
        <v>9796.2000000000007</v>
      </c>
      <c r="AJ52" s="13">
        <f t="shared" si="114"/>
        <v>41656.800000000003</v>
      </c>
      <c r="AK52" s="68">
        <f t="shared" si="65"/>
        <v>6343.1999999999971</v>
      </c>
      <c r="AL52" s="268">
        <f t="shared" si="66"/>
        <v>0.86785000000000001</v>
      </c>
      <c r="AM52" s="13">
        <f t="shared" si="42"/>
        <v>60000</v>
      </c>
      <c r="AN52" s="13">
        <f t="shared" si="115"/>
        <v>9795.7999999999993</v>
      </c>
      <c r="AO52" s="13">
        <f t="shared" si="115"/>
        <v>10087.799999999999</v>
      </c>
      <c r="AP52" s="13">
        <f t="shared" si="115"/>
        <v>10232.6</v>
      </c>
      <c r="AQ52" s="13">
        <f t="shared" si="115"/>
        <v>10087</v>
      </c>
      <c r="AR52" s="13">
        <f t="shared" si="115"/>
        <v>10088.799999999999</v>
      </c>
      <c r="AS52" s="13">
        <f t="shared" si="115"/>
        <v>50292</v>
      </c>
      <c r="AT52" s="68">
        <f>AM52-AS52</f>
        <v>9708</v>
      </c>
      <c r="AU52" s="268">
        <f t="shared" si="67"/>
        <v>0.83819999999999995</v>
      </c>
      <c r="AV52" s="13">
        <f t="shared" si="44"/>
        <v>48000</v>
      </c>
      <c r="AW52" s="13">
        <f t="shared" si="107"/>
        <v>7025.2</v>
      </c>
      <c r="AX52" s="13">
        <f t="shared" si="107"/>
        <v>9226.7999999999993</v>
      </c>
      <c r="AY52" s="13">
        <f t="shared" si="107"/>
        <v>10087.200000000001</v>
      </c>
      <c r="AZ52" s="13">
        <f>SUMIFS(SALIDAS_BIT,FECHA_BIT,"&gt;="&amp;AZ$2,FECHA_BIT,"&lt;="&amp;AZ$3,CLAVE_BIT,$A52)+SUMIFS(SALIDAS_BOV1,FECHA_BOV1,"&gt;="&amp;AZ$2,FECHA_BOV1,"&lt;="&amp;AZ$3,CLAVE_BOV1,$A52)+SUMIFS(SALIDAS_BOV2,FECHA_BOV2,"&gt;="&amp;AZ$2,FECHA_BOV2,"&lt;="&amp;AZ$3,CLAVE_BOV2,$A52)+SUMIFS(SALIDAS_BOV3,FECHA_BOV3,"&gt;="&amp;AZ$2,FECHA_BOV3,"&lt;="&amp;AZ$3,CLAVE_BOV3,$A52)+SUMIFS(SALIDAS_TC,FECHA_TC,"&gt;="&amp;AZ$2,FECHA_TC,"&lt;="&amp;AZ$3,CLAVE_TC,$A52)+SUMIFS(SALIDAS_COMB,FECHA_COMB,"&gt;="&amp;AZ$2,FECHA_COMB,"&lt;="&amp;AZ$3,CLAVE_COMB,$A52)+SUMIFS(SALIDAS_DES,FECHA_DESGLOSEN,"&gt;="&amp;AZ$2,FECHA_DESGLOSEN,"&lt;="&amp;AZ$3,CLAVE_DESGLOSE,$A52)</f>
        <v>10211</v>
      </c>
      <c r="BA52" s="13">
        <f t="shared" si="107"/>
        <v>36550.199999999997</v>
      </c>
      <c r="BB52" s="68">
        <f t="shared" si="68"/>
        <v>11449.800000000003</v>
      </c>
      <c r="BC52" s="268">
        <f t="shared" si="69"/>
        <v>0.76146249999999993</v>
      </c>
      <c r="BD52" s="13">
        <f t="shared" si="46"/>
        <v>48000</v>
      </c>
      <c r="BE52" s="13">
        <f>SUMIFS(SALIDAS_BIT,FECHA_BIT,"&gt;="&amp;BE$2,FECHA_BIT,"&lt;="&amp;BE$3,CLAVE_BIT,$A52)+SUMIFS(SALIDAS_BOV1,FECHA_BOV1,"&gt;="&amp;BE$2,FECHA_BOV1,"&lt;="&amp;BE$3,CLAVE_BOV1,$A52)+SUMIFS(SALIDAS_BOV2,FECHA_BOV2,"&gt;="&amp;BE$2,FECHA_BOV2,"&lt;="&amp;BE$3,CLAVE_BOV2,$A52)+SUMIFS(SALIDAS_BOV3,FECHA_BOV3,"&gt;="&amp;BE$2,FECHA_BOV3,"&lt;="&amp;BE$3,CLAVE_BOV3,$A52)+SUMIFS(SALIDAS_TC,FECHA_TC,"&gt;="&amp;BE$2,FECHA_TC,"&lt;="&amp;BE$3,CLAVE_TC,$A52)+SUMIFS(SALIDAS_COMB,FECHA_COMB,"&gt;="&amp;BE$2,FECHA_COMB,"&lt;="&amp;BE$3,CLAVE_COMB,$A52)+SUMIFS(SALIDAS_DES,FECHA_DESGLOSEN,"&gt;="&amp;BE$2,FECHA_DESGLOSEN,"&lt;="&amp;BE$3,CLAVE_DESGLOSE,$A52)</f>
        <v>10186.799999999999</v>
      </c>
      <c r="BF52" s="13">
        <f>SUMIFS(SALIDAS_BIT,FECHA_BIT,"&gt;="&amp;BF$2,FECHA_BIT,"&lt;="&amp;BF$3,CLAVE_BIT,$A52)+SUMIFS(SALIDAS_BOV1,FECHA_BOV1,"&gt;="&amp;BF$2,FECHA_BOV1,"&lt;="&amp;BF$3,CLAVE_BOV1,$A52)+SUMIFS(SALIDAS_BOV2,FECHA_BOV2,"&gt;="&amp;BF$2,FECHA_BOV2,"&lt;="&amp;BF$3,CLAVE_BOV2,$A52)+SUMIFS(SALIDAS_BOV3,FECHA_BOV3,"&gt;="&amp;BF$2,FECHA_BOV3,"&lt;="&amp;BF$3,CLAVE_BOV3,$A52)+SUMIFS(SALIDAS_TC,FECHA_TC,"&gt;="&amp;BF$2,FECHA_TC,"&lt;="&amp;BF$3,CLAVE_TC,$A52)+SUMIFS(SALIDAS_COMB,FECHA_COMB,"&gt;="&amp;BF$2,FECHA_COMB,"&lt;="&amp;BF$3,CLAVE_COMB,$A52)+SUMIFS(SALIDAS_DES,FECHA_DESGLOSEN,"&gt;="&amp;BF$2,FECHA_DESGLOSEN,"&lt;="&amp;BF$3,CLAVE_DESGLOSE,$A52)</f>
        <v>10189</v>
      </c>
      <c r="BG52" s="13">
        <f>SUMIFS(SALIDAS_BIT,FECHA_BIT,"&gt;="&amp;BG$2,FECHA_BIT,"&lt;="&amp;BG$3,CLAVE_BIT,$A52)+SUMIFS(SALIDAS_BOV1,FECHA_BOV1,"&gt;="&amp;BG$2,FECHA_BOV1,"&lt;="&amp;BG$3,CLAVE_BOV1,$A52)+SUMIFS(SALIDAS_BOV2,FECHA_BOV2,"&gt;="&amp;BG$2,FECHA_BOV2,"&lt;="&amp;BG$3,CLAVE_BOV2,$A52)+SUMIFS(SALIDAS_BOV3,FECHA_BOV3,"&gt;="&amp;BG$2,FECHA_BOV3,"&lt;="&amp;BG$3,CLAVE_BOV3,$A52)+SUMIFS(SALIDAS_TC,FECHA_TC,"&gt;="&amp;BG$2,FECHA_TC,"&lt;="&amp;BG$3,CLAVE_TC,$A52)+SUMIFS(SALIDAS_COMB,FECHA_COMB,"&gt;="&amp;BG$2,FECHA_COMB,"&lt;="&amp;BG$3,CLAVE_COMB,$A52)+SUMIFS(SALIDAS_DES,FECHA_DESGLOSEN,"&gt;="&amp;BG$2,FECHA_DESGLOSEN,"&lt;="&amp;BG$3,CLAVE_DESGLOSE,$A52)</f>
        <v>8494.7999999999993</v>
      </c>
      <c r="BH52" s="13">
        <f>SUMIFS(SALIDAS_BIT,FECHA_BIT,"&gt;="&amp;BH$2,FECHA_BIT,"&lt;="&amp;BH$3,CLAVE_BIT,$A52)+SUMIFS(SALIDAS_BOV1,FECHA_BOV1,"&gt;="&amp;BH$2,FECHA_BOV1,"&lt;="&amp;BH$3,CLAVE_BOV1,$A52)+SUMIFS(SALIDAS_BOV2,FECHA_BOV2,"&gt;="&amp;BH$2,FECHA_BOV2,"&lt;="&amp;BH$3,CLAVE_BOV2,$A52)+SUMIFS(SALIDAS_BOV3,FECHA_BOV3,"&gt;="&amp;BH$2,FECHA_BOV3,"&lt;="&amp;BH$3,CLAVE_BOV3,$A52)+SUMIFS(SALIDAS_TC,FECHA_TC,"&gt;="&amp;BH$2,FECHA_TC,"&lt;="&amp;BH$3,CLAVE_TC,$A52)+SUMIFS(SALIDAS_COMB,FECHA_COMB,"&gt;="&amp;BH$2,FECHA_COMB,"&lt;="&amp;BH$3,CLAVE_COMB,$A52)+SUMIFS(SALIDAS_DES,FECHA_DESGLOSEN,"&gt;="&amp;BH$2,FECHA_DESGLOSEN,"&lt;="&amp;BH$3,CLAVE_DESGLOSE,$A52)</f>
        <v>7687</v>
      </c>
      <c r="BI52" s="13">
        <f>SUMIFS(SALIDAS_BIT,FECHA_BIT,"&gt;="&amp;BI$2,FECHA_BIT,"&lt;="&amp;BI$3,CLAVE_BIT,$A52)+SUMIFS(SALIDAS_BOV1,FECHA_BOV1,"&gt;="&amp;BI$2,FECHA_BOV1,"&lt;="&amp;BI$3,CLAVE_BOV1,$A52)+SUMIFS(SALIDAS_BOV2,FECHA_BOV2,"&gt;="&amp;BI$2,FECHA_BOV2,"&lt;="&amp;BI$3,CLAVE_BOV2,$A52)+SUMIFS(SALIDAS_BOV3,FECHA_BOV3,"&gt;="&amp;BI$2,FECHA_BOV3,"&lt;="&amp;BI$3,CLAVE_BOV3,$A52)+SUMIFS(SALIDAS_TC,FECHA_TC,"&gt;="&amp;BI$2,FECHA_TC,"&lt;="&amp;BI$3,CLAVE_TC,$A52)+SUMIFS(SALIDAS_COMB,FECHA_COMB,"&gt;="&amp;BI$2,FECHA_COMB,"&lt;="&amp;BI$3,CLAVE_COMB,$A52)+SUMIFS(SALIDAS_DES,FECHA_DESGLOSEN,"&gt;="&amp;BI$2,FECHA_DESGLOSEN,"&lt;="&amp;BI$3,CLAVE_DESGLOSE,$A52)</f>
        <v>36557.599999999999</v>
      </c>
      <c r="BJ52" s="68">
        <f t="shared" si="70"/>
        <v>11442.400000000001</v>
      </c>
      <c r="BK52" s="268">
        <f t="shared" si="71"/>
        <v>0.76161666666666661</v>
      </c>
      <c r="BL52" s="13">
        <f t="shared" si="47"/>
        <v>60000</v>
      </c>
      <c r="BM52" s="13">
        <f>SUMIFS(SALIDAS_BIT,FECHA_BIT,"&gt;="&amp;BM$2,FECHA_BIT,"&lt;="&amp;BM$3,CLAVE_BIT,$A52)+SUMIFS(SALIDAS_BOV1,FECHA_BOV1,"&gt;="&amp;BM$2,FECHA_BOV1,"&lt;="&amp;BM$3,CLAVE_BOV1,$A52)+SUMIFS(SALIDAS_BOV2,FECHA_BOV2,"&gt;="&amp;BM$2,FECHA_BOV2,"&lt;="&amp;BM$3,CLAVE_BOV2,$A52)+SUMIFS(SALIDAS_BOV3,FECHA_BOV3,"&gt;="&amp;BM$2,FECHA_BOV3,"&lt;="&amp;BM$3,CLAVE_BOV3,$A52)+SUMIFS(SALIDAS_TC,FECHA_TC,"&gt;="&amp;BM$2,FECHA_TC,"&lt;="&amp;BM$3,CLAVE_TC,$A52)+SUMIFS(SALIDAS_COMB,FECHA_COMB,"&gt;="&amp;BM$2,FECHA_COMB,"&lt;="&amp;BM$3,CLAVE_COMB,$A52)+SUMIFS(SALIDAS_DES,FECHA_DESGLOSEN,"&gt;="&amp;BM$2,FECHA_DESGLOSEN,"&lt;="&amp;BM$3,CLAVE_DESGLOSE,$A52)</f>
        <v>6030</v>
      </c>
      <c r="BN52" s="13">
        <f>SUMIFS(SALIDAS_BIT,FECHA_BIT,"&gt;="&amp;BN$2,FECHA_BIT,"&lt;="&amp;BN$3,CLAVE_BIT,$A52)+SUMIFS(SALIDAS_BOV1,FECHA_BOV1,"&gt;="&amp;BN$2,FECHA_BOV1,"&lt;="&amp;BN$3,CLAVE_BOV1,$A52)+SUMIFS(SALIDAS_BOV2,FECHA_BOV2,"&gt;="&amp;BN$2,FECHA_BOV2,"&lt;="&amp;BN$3,CLAVE_BOV2,$A52)+SUMIFS(SALIDAS_BOV3,FECHA_BOV3,"&gt;="&amp;BN$2,FECHA_BOV3,"&lt;="&amp;BN$3,CLAVE_BOV3,$A52)+SUMIFS(SALIDAS_TC,FECHA_TC,"&gt;="&amp;BN$2,FECHA_TC,"&lt;="&amp;BN$3,CLAVE_TC,$A52)+SUMIFS(SALIDAS_COMB,FECHA_COMB,"&gt;="&amp;BN$2,FECHA_COMB,"&lt;="&amp;BN$3,CLAVE_COMB,$A52)+SUMIFS(SALIDAS_DES,FECHA_DESGLOSEN,"&gt;="&amp;BN$2,FECHA_DESGLOSEN,"&lt;="&amp;BN$3,CLAVE_DESGLOSE,$A52)</f>
        <v>8531.7999999999993</v>
      </c>
      <c r="BO52" s="13">
        <f>SUMIFS(SALIDAS_BIT,FECHA_BIT,"&gt;="&amp;BO$2,FECHA_BIT,"&lt;="&amp;BO$3,CLAVE_BIT,$A52)+SUMIFS(SALIDAS_BOV1,FECHA_BOV1,"&gt;="&amp;BO$2,FECHA_BOV1,"&lt;="&amp;BO$3,CLAVE_BOV1,$A52)+SUMIFS(SALIDAS_BOV2,FECHA_BOV2,"&gt;="&amp;BO$2,FECHA_BOV2,"&lt;="&amp;BO$3,CLAVE_BOV2,$A52)+SUMIFS(SALIDAS_BOV3,FECHA_BOV3,"&gt;="&amp;BO$2,FECHA_BOV3,"&lt;="&amp;BO$3,CLAVE_BOV3,$A52)+SUMIFS(SALIDAS_TC,FECHA_TC,"&gt;="&amp;BO$2,FECHA_TC,"&lt;="&amp;BO$3,CLAVE_TC,$A52)+SUMIFS(SALIDAS_COMB,FECHA_COMB,"&gt;="&amp;BO$2,FECHA_COMB,"&lt;="&amp;BO$3,CLAVE_COMB,$A52)+SUMIFS(SALIDAS_DES,FECHA_DESGLOSEN,"&gt;="&amp;BO$2,FECHA_DESGLOSEN,"&lt;="&amp;BO$3,CLAVE_DESGLOSE,$A52)</f>
        <v>8148</v>
      </c>
      <c r="BP52" s="13">
        <f>SUMIFS(SALIDAS_BIT,FECHA_BIT,"&gt;="&amp;BP$2,FECHA_BIT,"&lt;="&amp;BP$3,CLAVE_BIT,$A52)+SUMIFS(SALIDAS_BOV1,FECHA_BOV1,"&gt;="&amp;BP$2,FECHA_BOV1,"&lt;="&amp;BP$3,CLAVE_BOV1,$A52)+SUMIFS(SALIDAS_BOV2,FECHA_BOV2,"&gt;="&amp;BP$2,FECHA_BOV2,"&lt;="&amp;BP$3,CLAVE_BOV2,$A52)+SUMIFS(SALIDAS_BOV3,FECHA_BOV3,"&gt;="&amp;BP$2,FECHA_BOV3,"&lt;="&amp;BP$3,CLAVE_BOV3,$A52)+SUMIFS(SALIDAS_TC,FECHA_TC,"&gt;="&amp;BP$2,FECHA_TC,"&lt;="&amp;BP$3,CLAVE_TC,$A52)+SUMIFS(SALIDAS_COMB,FECHA_COMB,"&gt;="&amp;BP$2,FECHA_COMB,"&lt;="&amp;BP$3,CLAVE_COMB,$A52)+SUMIFS(SALIDAS_DES,FECHA_DESGLOSEN,"&gt;="&amp;BP$2,FECHA_DESGLOSEN,"&lt;="&amp;BP$3,CLAVE_DESGLOSE,$A52)</f>
        <v>11202.4</v>
      </c>
      <c r="BQ52" s="13">
        <f>SUMIFS(SALIDAS_BIT,FECHA_BIT,"&gt;="&amp;BQ$2,FECHA_BIT,"&lt;="&amp;BQ$3,CLAVE_BIT,$A52)+SUMIFS(SALIDAS_BOV1,FECHA_BOV1,"&gt;="&amp;BQ$2,FECHA_BOV1,"&lt;="&amp;BQ$3,CLAVE_BOV1,$A52)+SUMIFS(SALIDAS_BOV2,FECHA_BOV2,"&gt;="&amp;BQ$2,FECHA_BOV2,"&lt;="&amp;BQ$3,CLAVE_BOV2,$A52)+SUMIFS(SALIDAS_BOV3,FECHA_BOV3,"&gt;="&amp;BQ$2,FECHA_BOV3,"&lt;="&amp;BQ$3,CLAVE_BOV3,$A52)+SUMIFS(SALIDAS_TC,FECHA_TC,"&gt;="&amp;BQ$2,FECHA_TC,"&lt;="&amp;BQ$3,CLAVE_TC,$A52)+SUMIFS(SALIDAS_COMB,FECHA_COMB,"&gt;="&amp;BQ$2,FECHA_COMB,"&lt;="&amp;BQ$3,CLAVE_COMB,$A52)+SUMIFS(SALIDAS_DES,FECHA_DESGLOSEN,"&gt;="&amp;BQ$2,FECHA_DESGLOSEN,"&lt;="&amp;BQ$3,CLAVE_DESGLOSE,$A52)</f>
        <v>9938.4</v>
      </c>
      <c r="BR52" s="13">
        <f>SUMIFS(SALIDAS_BIT,FECHA_BIT,"&gt;="&amp;BR$2,FECHA_BIT,"&lt;="&amp;BR$3,CLAVE_BIT,$A52)+SUMIFS(SALIDAS_BOV1,FECHA_BOV1,"&gt;="&amp;BR$2,FECHA_BOV1,"&lt;="&amp;BR$3,CLAVE_BOV1,$A52)+SUMIFS(SALIDAS_BOV2,FECHA_BOV2,"&gt;="&amp;BR$2,FECHA_BOV2,"&lt;="&amp;BR$3,CLAVE_BOV2,$A52)+SUMIFS(SALIDAS_BOV3,FECHA_BOV3,"&gt;="&amp;BR$2,FECHA_BOV3,"&lt;="&amp;BR$3,CLAVE_BOV3,$A52)+SUMIFS(SALIDAS_TC,FECHA_TC,"&gt;="&amp;BR$2,FECHA_TC,"&lt;="&amp;BR$3,CLAVE_TC,$A52)+SUMIFS(SALIDAS_COMB,FECHA_COMB,"&gt;="&amp;BR$2,FECHA_COMB,"&lt;="&amp;BR$3,CLAVE_COMB,$A52)+SUMIFS(SALIDAS_DES,FECHA_DESGLOSEN,"&gt;="&amp;BR$2,FECHA_DESGLOSEN,"&lt;="&amp;BR$3,CLAVE_DESGLOSE,$A52)</f>
        <v>43850.6</v>
      </c>
      <c r="BS52" s="68">
        <f t="shared" si="72"/>
        <v>16149.400000000001</v>
      </c>
      <c r="BT52" s="268">
        <f t="shared" si="73"/>
        <v>0.73084333333333329</v>
      </c>
      <c r="BU52" s="13">
        <f t="shared" si="49"/>
        <v>48000</v>
      </c>
      <c r="BV52" s="13">
        <f t="shared" si="90"/>
        <v>9990</v>
      </c>
      <c r="BW52" s="13">
        <f t="shared" si="90"/>
        <v>10172.200000000001</v>
      </c>
      <c r="BX52" s="13">
        <f t="shared" si="90"/>
        <v>10102.200000000001</v>
      </c>
      <c r="BY52" s="13">
        <f t="shared" si="90"/>
        <v>10369</v>
      </c>
      <c r="BZ52" s="13">
        <f t="shared" si="116"/>
        <v>40633.4</v>
      </c>
      <c r="CA52" s="68">
        <f t="shared" si="74"/>
        <v>7366.5999999999985</v>
      </c>
      <c r="CB52" s="268">
        <f t="shared" si="75"/>
        <v>0.84652916666666667</v>
      </c>
      <c r="CC52" s="13">
        <f t="shared" si="51"/>
        <v>48000</v>
      </c>
      <c r="CD52" s="13">
        <f t="shared" si="91"/>
        <v>11207.2</v>
      </c>
      <c r="CE52" s="13">
        <f t="shared" si="91"/>
        <v>11140.8</v>
      </c>
      <c r="CF52" s="13">
        <f t="shared" si="91"/>
        <v>13328</v>
      </c>
      <c r="CG52" s="13">
        <f t="shared" si="91"/>
        <v>12389.8</v>
      </c>
      <c r="CH52" s="13">
        <f t="shared" si="117"/>
        <v>48065.8</v>
      </c>
      <c r="CI52" s="68">
        <f t="shared" si="76"/>
        <v>-65.80000000000291</v>
      </c>
      <c r="CJ52" s="268">
        <f t="shared" si="77"/>
        <v>1.0013708333333333</v>
      </c>
      <c r="CK52" s="13">
        <f t="shared" si="53"/>
        <v>60000</v>
      </c>
      <c r="CL52" s="13">
        <f t="shared" si="92"/>
        <v>12392</v>
      </c>
      <c r="CM52" s="13">
        <f t="shared" si="92"/>
        <v>12740.4</v>
      </c>
      <c r="CN52" s="13">
        <f t="shared" si="92"/>
        <v>13300.8</v>
      </c>
      <c r="CO52" s="13">
        <f t="shared" si="92"/>
        <v>15319.6</v>
      </c>
      <c r="CP52" s="13">
        <f t="shared" si="92"/>
        <v>12577.4</v>
      </c>
      <c r="CQ52" s="13">
        <f t="shared" si="118"/>
        <v>66330.2</v>
      </c>
      <c r="CR52" s="68">
        <f t="shared" si="78"/>
        <v>-6330.1999999999971</v>
      </c>
      <c r="CS52" s="268">
        <f t="shared" si="79"/>
        <v>1.1055033333333333</v>
      </c>
      <c r="CT52" s="68">
        <f t="shared" si="55"/>
        <v>50400</v>
      </c>
      <c r="CU52" s="13">
        <f>SUMIFS(SALIDAS_BIT,FECHA_BIT,"&gt;="&amp;CU$2,FECHA_BIT,"&lt;="&amp;CU$3,CLAVE_BIT,$A52)+SUMIFS(SALIDAS_BOV1,FECHA_BOV1,"&gt;="&amp;CU$2,FECHA_BOV1,"&lt;="&amp;CU$3,CLAVE_BOV1,$A52)+SUMIFS(SALIDAS_BOV2,FECHA_BOV2,"&gt;="&amp;CU$2,FECHA_BOV2,"&lt;="&amp;CU$3,CLAVE_BOV2,$A52)+SUMIFS(SALIDAS_BOV3,FECHA_BOV3,"&gt;="&amp;CU$2,FECHA_BOV3,"&lt;="&amp;CU$3,CLAVE_BOV3,$A52)+SUMIFS(SALIDAS_TC,FECHA_TC,"&gt;="&amp;CU$2,FECHA_TC,"&lt;="&amp;CU$3,CLAVE_TC,$A52)+SUMIFS(SALIDAS_COMB,FECHA_COMB,"&gt;="&amp;CU$2,FECHA_COMB,"&lt;="&amp;CU$3,CLAVE_COMB,$A52)+SUMIFS(SALIDAS_DES,FECHA_DESGLOSEN,"&gt;="&amp;CU$2,FECHA_DESGLOSEN,"&lt;="&amp;CU$3,CLAVE_DESGLOSE,$A52)</f>
        <v>12651.6</v>
      </c>
      <c r="CV52" s="13">
        <f>SUMIFS(SALIDAS_BIT,FECHA_BIT,"&gt;="&amp;CV$2,FECHA_BIT,"&lt;="&amp;CV$3,CLAVE_BIT,$A52)+SUMIFS(SALIDAS_BOV1,FECHA_BOV1,"&gt;="&amp;CV$2,FECHA_BOV1,"&lt;="&amp;CV$3,CLAVE_BOV1,$A52)+SUMIFS(SALIDAS_BOV2,FECHA_BOV2,"&gt;="&amp;CV$2,FECHA_BOV2,"&lt;="&amp;CV$3,CLAVE_BOV2,$A52)+SUMIFS(SALIDAS_BOV3,FECHA_BOV3,"&gt;="&amp;CV$2,FECHA_BOV3,"&lt;="&amp;CV$3,CLAVE_BOV3,$A52)+SUMIFS(SALIDAS_TC,FECHA_TC,"&gt;="&amp;CV$2,FECHA_TC,"&lt;="&amp;CV$3,CLAVE_TC,$A52)+SUMIFS(SALIDAS_COMB,FECHA_COMB,"&gt;="&amp;CV$2,FECHA_COMB,"&lt;="&amp;CV$3,CLAVE_COMB,$A52)+SUMIFS(SALIDAS_DES,FECHA_DESGLOSEN,"&gt;="&amp;CV$2,FECHA_DESGLOSEN,"&lt;="&amp;CV$3,CLAVE_DESGLOSE,$A52)</f>
        <v>12196.4</v>
      </c>
      <c r="CW52" s="13">
        <f>SUMIFS(SALIDAS_BIT,FECHA_BIT,"&gt;="&amp;CW$2,FECHA_BIT,"&lt;="&amp;CW$3,CLAVE_BIT,$A52)+SUMIFS(SALIDAS_BOV1,FECHA_BOV1,"&gt;="&amp;CW$2,FECHA_BOV1,"&lt;="&amp;CW$3,CLAVE_BOV1,$A52)+SUMIFS(SALIDAS_BOV2,FECHA_BOV2,"&gt;="&amp;CW$2,FECHA_BOV2,"&lt;="&amp;CW$3,CLAVE_BOV2,$A52)+SUMIFS(SALIDAS_BOV3,FECHA_BOV3,"&gt;="&amp;CW$2,FECHA_BOV3,"&lt;="&amp;CW$3,CLAVE_BOV3,$A52)+SUMIFS(SALIDAS_TC,FECHA_TC,"&gt;="&amp;CW$2,FECHA_TC,"&lt;="&amp;CW$3,CLAVE_TC,$A52)+SUMIFS(SALIDAS_COMB,FECHA_COMB,"&gt;="&amp;CW$2,FECHA_COMB,"&lt;="&amp;CW$3,CLAVE_COMB,$A52)+SUMIFS(SALIDAS_DES,FECHA_DESGLOSEN,"&gt;="&amp;CW$2,FECHA_DESGLOSEN,"&lt;="&amp;CW$3,CLAVE_DESGLOSE,$A52)</f>
        <v>17671.2</v>
      </c>
      <c r="CX52" s="13">
        <f>SUMIFS(SALIDAS_BIT,FECHA_BIT,"&gt;="&amp;CX$2,FECHA_BIT,"&lt;="&amp;CX$3,CLAVE_BIT,$A52)+SUMIFS(SALIDAS_BOV1,FECHA_BOV1,"&gt;="&amp;CX$2,FECHA_BOV1,"&lt;="&amp;CX$3,CLAVE_BOV1,$A52)+SUMIFS(SALIDAS_BOV2,FECHA_BOV2,"&gt;="&amp;CX$2,FECHA_BOV2,"&lt;="&amp;CX$3,CLAVE_BOV2,$A52)+SUMIFS(SALIDAS_BOV3,FECHA_BOV3,"&gt;="&amp;CX$2,FECHA_BOV3,"&lt;="&amp;CX$3,CLAVE_BOV3,$A52)+SUMIFS(SALIDAS_TC,FECHA_TC,"&gt;="&amp;CX$2,FECHA_TC,"&lt;="&amp;CX$3,CLAVE_TC,$A52)+SUMIFS(SALIDAS_COMB,FECHA_COMB,"&gt;="&amp;CX$2,FECHA_COMB,"&lt;="&amp;CX$3,CLAVE_COMB,$A52)+SUMIFS(SALIDAS_DES,FECHA_DESGLOSEN,"&gt;="&amp;CX$2,FECHA_DESGLOSEN,"&lt;="&amp;CX$3,CLAVE_DESGLOSE,$A52)</f>
        <v>24025.4</v>
      </c>
      <c r="CY52" s="13">
        <f>SUMIFS(SALIDAS_BIT,FECHA_BIT,"&gt;="&amp;CY$2,FECHA_BIT,"&lt;="&amp;CY$3,CLAVE_BIT,$A52)+SUMIFS(SALIDAS_BOV1,FECHA_BOV1,"&gt;="&amp;CY$2,FECHA_BOV1,"&lt;="&amp;CY$3,CLAVE_BOV1,$A52)+SUMIFS(SALIDAS_BOV2,FECHA_BOV2,"&gt;="&amp;CY$2,FECHA_BOV2,"&lt;="&amp;CY$3,CLAVE_BOV2,$A52)+SUMIFS(SALIDAS_BOV3,FECHA_BOV3,"&gt;="&amp;CY$2,FECHA_BOV3,"&lt;="&amp;CY$3,CLAVE_BOV3,$A52)+SUMIFS(SALIDAS_TC,FECHA_TC,"&gt;="&amp;CY$2,FECHA_TC,"&lt;="&amp;CY$3,CLAVE_TC,$A52)+SUMIFS(SALIDAS_COMB,FECHA_COMB,"&gt;="&amp;CY$2,FECHA_COMB,"&lt;="&amp;CY$3,CLAVE_COMB,$A52)+SUMIFS(SALIDAS_DES,FECHA_DESGLOSEN,"&gt;="&amp;CY$2,FECHA_DESGLOSEN,"&lt;="&amp;CY$3,CLAVE_DESGLOSE,$A52)</f>
        <v>66544.600000000006</v>
      </c>
      <c r="CZ52" s="68">
        <f t="shared" si="80"/>
        <v>-16144.600000000006</v>
      </c>
      <c r="DB52" s="17">
        <f>F52+N52+W52+AE52+AM52+AV52+BD52+BL52+BU52+CC52+CK52</f>
        <v>576000</v>
      </c>
      <c r="DC52" s="17">
        <f>K52+T52+AB52+AJ52+AS52+BA52+BI52+BR52+BZ52+CH52+CQ52</f>
        <v>473214.39999999997</v>
      </c>
    </row>
    <row r="53" spans="1:107" hidden="1">
      <c r="A53" s="12" t="str">
        <f t="shared" si="57"/>
        <v>NOMINANOMINA SUCURSALINCREMENTO 2025</v>
      </c>
      <c r="B53" s="12">
        <v>47</v>
      </c>
      <c r="C53" t="s">
        <v>155</v>
      </c>
      <c r="D53" s="12" t="s">
        <v>154</v>
      </c>
      <c r="E53" s="12" t="s">
        <v>115</v>
      </c>
      <c r="F53" s="259">
        <f t="shared" si="58"/>
        <v>0</v>
      </c>
      <c r="G53" s="13">
        <f t="shared" si="111"/>
        <v>0</v>
      </c>
      <c r="H53" s="13">
        <f t="shared" si="111"/>
        <v>0</v>
      </c>
      <c r="I53" s="13">
        <f t="shared" si="111"/>
        <v>0</v>
      </c>
      <c r="J53" s="13">
        <f t="shared" si="111"/>
        <v>0</v>
      </c>
      <c r="K53" s="13">
        <f t="shared" si="111"/>
        <v>0</v>
      </c>
      <c r="L53" s="68">
        <f t="shared" si="59"/>
        <v>0</v>
      </c>
      <c r="M53" s="268">
        <f t="shared" si="60"/>
        <v>0</v>
      </c>
      <c r="N53" s="13">
        <f t="shared" si="36"/>
        <v>0</v>
      </c>
      <c r="O53" s="13">
        <f t="shared" si="112"/>
        <v>0</v>
      </c>
      <c r="P53" s="13">
        <f t="shared" si="112"/>
        <v>0</v>
      </c>
      <c r="Q53" s="13">
        <f t="shared" si="112"/>
        <v>0</v>
      </c>
      <c r="R53" s="13">
        <f t="shared" si="112"/>
        <v>0</v>
      </c>
      <c r="S53" s="13">
        <f t="shared" si="112"/>
        <v>0</v>
      </c>
      <c r="T53" s="13">
        <f t="shared" si="112"/>
        <v>0</v>
      </c>
      <c r="U53" s="68">
        <f t="shared" si="61"/>
        <v>0</v>
      </c>
      <c r="V53" s="268">
        <f t="shared" si="62"/>
        <v>0</v>
      </c>
      <c r="W53" s="13">
        <f t="shared" si="38"/>
        <v>0</v>
      </c>
      <c r="X53" s="13">
        <f t="shared" si="113"/>
        <v>0</v>
      </c>
      <c r="Y53" s="13">
        <f t="shared" si="113"/>
        <v>0</v>
      </c>
      <c r="Z53" s="13">
        <f t="shared" si="113"/>
        <v>0</v>
      </c>
      <c r="AA53" s="13">
        <f t="shared" si="113"/>
        <v>0</v>
      </c>
      <c r="AB53" s="13">
        <f t="shared" si="113"/>
        <v>0</v>
      </c>
      <c r="AC53" s="68">
        <f t="shared" si="63"/>
        <v>0</v>
      </c>
      <c r="AD53" s="268">
        <f t="shared" si="64"/>
        <v>0</v>
      </c>
      <c r="AE53" s="13">
        <f t="shared" si="40"/>
        <v>0</v>
      </c>
      <c r="AF53" s="13">
        <f t="shared" si="114"/>
        <v>0</v>
      </c>
      <c r="AG53" s="13">
        <f t="shared" si="114"/>
        <v>0</v>
      </c>
      <c r="AH53" s="13">
        <f t="shared" si="114"/>
        <v>0</v>
      </c>
      <c r="AI53" s="13">
        <f t="shared" si="114"/>
        <v>0</v>
      </c>
      <c r="AJ53" s="13">
        <f t="shared" si="114"/>
        <v>0</v>
      </c>
      <c r="AK53" s="68">
        <f t="shared" si="65"/>
        <v>0</v>
      </c>
      <c r="AL53" s="268">
        <f t="shared" si="66"/>
        <v>0</v>
      </c>
      <c r="AM53" s="13">
        <f t="shared" si="42"/>
        <v>0</v>
      </c>
      <c r="AN53" s="13">
        <f t="shared" si="115"/>
        <v>0</v>
      </c>
      <c r="AO53" s="13">
        <f t="shared" si="115"/>
        <v>0</v>
      </c>
      <c r="AP53" s="13">
        <f t="shared" si="115"/>
        <v>0</v>
      </c>
      <c r="AQ53" s="13">
        <f t="shared" si="115"/>
        <v>0</v>
      </c>
      <c r="AR53" s="13">
        <f t="shared" si="115"/>
        <v>0</v>
      </c>
      <c r="AS53" s="13">
        <f t="shared" si="115"/>
        <v>0</v>
      </c>
      <c r="AT53" s="68">
        <f>AM53-AS53</f>
        <v>0</v>
      </c>
      <c r="AU53" s="268">
        <f t="shared" si="67"/>
        <v>0</v>
      </c>
      <c r="AV53" s="13">
        <f t="shared" si="44"/>
        <v>0</v>
      </c>
      <c r="AW53" s="13">
        <f t="shared" ref="AW53:AZ116" si="119">SUMIFS(SALIDAS_BIT,FECHA_BIT,"&gt;="&amp;AW$2,FECHA_BIT,"&lt;="&amp;AW$3,CLAVE_BIT,$A53)+SUMIFS(SALIDAS_BOV1,FECHA_BOV1,"&gt;="&amp;AW$2,FECHA_BOV1,"&lt;="&amp;AW$3,CLAVE_BOV1,$A53)+SUMIFS(SALIDAS_BOV2,FECHA_BOV2,"&gt;="&amp;AW$2,FECHA_BOV2,"&lt;="&amp;AW$3,CLAVE_BOV2,$A53)+SUMIFS(SALIDAS_BOV3,FECHA_BOV3,"&gt;="&amp;AW$2,FECHA_BOV3,"&lt;="&amp;AW$3,CLAVE_BOV3,$A53)+SUMIFS(SALIDAS_TC,FECHA_TC,"&gt;="&amp;AW$2,FECHA_TC,"&lt;="&amp;AW$3,CLAVE_TC,$A53)+SUMIFS(SALIDAS_COMB,FECHA_COMB,"&gt;="&amp;AW$2,FECHA_COMB,"&lt;="&amp;AW$3,CLAVE_COMB,$A53)+SUMIFS(SALIDAS_DES,FECHA_DESGLOSEN,"&gt;="&amp;AW$2,FECHA_DESGLOSEN,"&lt;="&amp;AW$3,CLAVE_DESGLOSE,$A53)</f>
        <v>0</v>
      </c>
      <c r="AX53" s="13">
        <f t="shared" si="119"/>
        <v>0</v>
      </c>
      <c r="AY53" s="13">
        <f t="shared" si="119"/>
        <v>0</v>
      </c>
      <c r="AZ53" s="13">
        <f>SUMIFS(SALIDAS_BIT,FECHA_BIT,"&gt;="&amp;AZ$2,FECHA_BIT,"&lt;="&amp;AZ$3,CLAVE_BIT,$A53)+SUMIFS(SALIDAS_BOV1,FECHA_BOV1,"&gt;="&amp;AZ$2,FECHA_BOV1,"&lt;="&amp;AZ$3,CLAVE_BOV1,$A53)+SUMIFS(SALIDAS_BOV2,FECHA_BOV2,"&gt;="&amp;AZ$2,FECHA_BOV2,"&lt;="&amp;AZ$3,CLAVE_BOV2,$A53)+SUMIFS(SALIDAS_BOV3,FECHA_BOV3,"&gt;="&amp;AZ$2,FECHA_BOV3,"&lt;="&amp;AZ$3,CLAVE_BOV3,$A53)+SUMIFS(SALIDAS_TC,FECHA_TC,"&gt;="&amp;AZ$2,FECHA_TC,"&lt;="&amp;AZ$3,CLAVE_TC,$A53)+SUMIFS(SALIDAS_COMB,FECHA_COMB,"&gt;="&amp;AZ$2,FECHA_COMB,"&lt;="&amp;AZ$3,CLAVE_COMB,$A53)+SUMIFS(SALIDAS_DES,FECHA_DESGLOSEN,"&gt;="&amp;AZ$2,FECHA_DESGLOSEN,"&lt;="&amp;AZ$3,CLAVE_DESGLOSE,$A53)</f>
        <v>0</v>
      </c>
      <c r="BA53" s="13">
        <f t="shared" ref="BA53:BA116" si="120">SUMIFS(SALIDAS_BIT,FECHA_BIT,"&gt;="&amp;BA$2,FECHA_BIT,"&lt;="&amp;BA$3,CLAVE_BIT,$A53)+SUMIFS(SALIDAS_BOV1,FECHA_BOV1,"&gt;="&amp;BA$2,FECHA_BOV1,"&lt;="&amp;BA$3,CLAVE_BOV1,$A53)+SUMIFS(SALIDAS_BOV2,FECHA_BOV2,"&gt;="&amp;BA$2,FECHA_BOV2,"&lt;="&amp;BA$3,CLAVE_BOV2,$A53)+SUMIFS(SALIDAS_BOV3,FECHA_BOV3,"&gt;="&amp;BA$2,FECHA_BOV3,"&lt;="&amp;BA$3,CLAVE_BOV3,$A53)+SUMIFS(SALIDAS_TC,FECHA_TC,"&gt;="&amp;BA$2,FECHA_TC,"&lt;="&amp;BA$3,CLAVE_TC,$A53)+SUMIFS(SALIDAS_COMB,FECHA_COMB,"&gt;="&amp;BA$2,FECHA_COMB,"&lt;="&amp;BA$3,CLAVE_COMB,$A53)+SUMIFS(SALIDAS_DES,FECHA_DESGLOSEN,"&gt;="&amp;BA$2,FECHA_DESGLOSEN,"&lt;="&amp;BA$3,CLAVE_DESGLOSE,$A53)</f>
        <v>0</v>
      </c>
      <c r="BB53" s="68">
        <f t="shared" si="68"/>
        <v>0</v>
      </c>
      <c r="BC53" s="268">
        <f t="shared" si="69"/>
        <v>0</v>
      </c>
      <c r="BD53" s="13">
        <f t="shared" si="46"/>
        <v>0</v>
      </c>
      <c r="BE53" s="13">
        <f>SUMIFS(SALIDAS_BIT,FECHA_BIT,"&gt;="&amp;BE$2,FECHA_BIT,"&lt;="&amp;BE$3,CLAVE_BIT,$A53)+SUMIFS(SALIDAS_BOV1,FECHA_BOV1,"&gt;="&amp;BE$2,FECHA_BOV1,"&lt;="&amp;BE$3,CLAVE_BOV1,$A53)+SUMIFS(SALIDAS_BOV2,FECHA_BOV2,"&gt;="&amp;BE$2,FECHA_BOV2,"&lt;="&amp;BE$3,CLAVE_BOV2,$A53)+SUMIFS(SALIDAS_BOV3,FECHA_BOV3,"&gt;="&amp;BE$2,FECHA_BOV3,"&lt;="&amp;BE$3,CLAVE_BOV3,$A53)+SUMIFS(SALIDAS_TC,FECHA_TC,"&gt;="&amp;BE$2,FECHA_TC,"&lt;="&amp;BE$3,CLAVE_TC,$A53)+SUMIFS(SALIDAS_COMB,FECHA_COMB,"&gt;="&amp;BE$2,FECHA_COMB,"&lt;="&amp;BE$3,CLAVE_COMB,$A53)+SUMIFS(SALIDAS_DES,FECHA_DESGLOSEN,"&gt;="&amp;BE$2,FECHA_DESGLOSEN,"&lt;="&amp;BE$3,CLAVE_DESGLOSE,$A53)</f>
        <v>0</v>
      </c>
      <c r="BF53" s="13">
        <f>SUMIFS(SALIDAS_BIT,FECHA_BIT,"&gt;="&amp;BF$2,FECHA_BIT,"&lt;="&amp;BF$3,CLAVE_BIT,$A53)+SUMIFS(SALIDAS_BOV1,FECHA_BOV1,"&gt;="&amp;BF$2,FECHA_BOV1,"&lt;="&amp;BF$3,CLAVE_BOV1,$A53)+SUMIFS(SALIDAS_BOV2,FECHA_BOV2,"&gt;="&amp;BF$2,FECHA_BOV2,"&lt;="&amp;BF$3,CLAVE_BOV2,$A53)+SUMIFS(SALIDAS_BOV3,FECHA_BOV3,"&gt;="&amp;BF$2,FECHA_BOV3,"&lt;="&amp;BF$3,CLAVE_BOV3,$A53)+SUMIFS(SALIDAS_TC,FECHA_TC,"&gt;="&amp;BF$2,FECHA_TC,"&lt;="&amp;BF$3,CLAVE_TC,$A53)+SUMIFS(SALIDAS_COMB,FECHA_COMB,"&gt;="&amp;BF$2,FECHA_COMB,"&lt;="&amp;BF$3,CLAVE_COMB,$A53)+SUMIFS(SALIDAS_DES,FECHA_DESGLOSEN,"&gt;="&amp;BF$2,FECHA_DESGLOSEN,"&lt;="&amp;BF$3,CLAVE_DESGLOSE,$A53)</f>
        <v>0</v>
      </c>
      <c r="BG53" s="13">
        <f>SUMIFS(SALIDAS_BIT,FECHA_BIT,"&gt;="&amp;BG$2,FECHA_BIT,"&lt;="&amp;BG$3,CLAVE_BIT,$A53)+SUMIFS(SALIDAS_BOV1,FECHA_BOV1,"&gt;="&amp;BG$2,FECHA_BOV1,"&lt;="&amp;BG$3,CLAVE_BOV1,$A53)+SUMIFS(SALIDAS_BOV2,FECHA_BOV2,"&gt;="&amp;BG$2,FECHA_BOV2,"&lt;="&amp;BG$3,CLAVE_BOV2,$A53)+SUMIFS(SALIDAS_BOV3,FECHA_BOV3,"&gt;="&amp;BG$2,FECHA_BOV3,"&lt;="&amp;BG$3,CLAVE_BOV3,$A53)+SUMIFS(SALIDAS_TC,FECHA_TC,"&gt;="&amp;BG$2,FECHA_TC,"&lt;="&amp;BG$3,CLAVE_TC,$A53)+SUMIFS(SALIDAS_COMB,FECHA_COMB,"&gt;="&amp;BG$2,FECHA_COMB,"&lt;="&amp;BG$3,CLAVE_COMB,$A53)+SUMIFS(SALIDAS_DES,FECHA_DESGLOSEN,"&gt;="&amp;BG$2,FECHA_DESGLOSEN,"&lt;="&amp;BG$3,CLAVE_DESGLOSE,$A53)</f>
        <v>0</v>
      </c>
      <c r="BH53" s="13">
        <f>SUMIFS(SALIDAS_BIT,FECHA_BIT,"&gt;="&amp;BH$2,FECHA_BIT,"&lt;="&amp;BH$3,CLAVE_BIT,$A53)+SUMIFS(SALIDAS_BOV1,FECHA_BOV1,"&gt;="&amp;BH$2,FECHA_BOV1,"&lt;="&amp;BH$3,CLAVE_BOV1,$A53)+SUMIFS(SALIDAS_BOV2,FECHA_BOV2,"&gt;="&amp;BH$2,FECHA_BOV2,"&lt;="&amp;BH$3,CLAVE_BOV2,$A53)+SUMIFS(SALIDAS_BOV3,FECHA_BOV3,"&gt;="&amp;BH$2,FECHA_BOV3,"&lt;="&amp;BH$3,CLAVE_BOV3,$A53)+SUMIFS(SALIDAS_TC,FECHA_TC,"&gt;="&amp;BH$2,FECHA_TC,"&lt;="&amp;BH$3,CLAVE_TC,$A53)+SUMIFS(SALIDAS_COMB,FECHA_COMB,"&gt;="&amp;BH$2,FECHA_COMB,"&lt;="&amp;BH$3,CLAVE_COMB,$A53)+SUMIFS(SALIDAS_DES,FECHA_DESGLOSEN,"&gt;="&amp;BH$2,FECHA_DESGLOSEN,"&lt;="&amp;BH$3,CLAVE_DESGLOSE,$A53)</f>
        <v>0</v>
      </c>
      <c r="BI53" s="13">
        <f>SUMIFS(SALIDAS_BIT,FECHA_BIT,"&gt;="&amp;BI$2,FECHA_BIT,"&lt;="&amp;BI$3,CLAVE_BIT,$A53)+SUMIFS(SALIDAS_BOV1,FECHA_BOV1,"&gt;="&amp;BI$2,FECHA_BOV1,"&lt;="&amp;BI$3,CLAVE_BOV1,$A53)+SUMIFS(SALIDAS_BOV2,FECHA_BOV2,"&gt;="&amp;BI$2,FECHA_BOV2,"&lt;="&amp;BI$3,CLAVE_BOV2,$A53)+SUMIFS(SALIDAS_BOV3,FECHA_BOV3,"&gt;="&amp;BI$2,FECHA_BOV3,"&lt;="&amp;BI$3,CLAVE_BOV3,$A53)+SUMIFS(SALIDAS_TC,FECHA_TC,"&gt;="&amp;BI$2,FECHA_TC,"&lt;="&amp;BI$3,CLAVE_TC,$A53)+SUMIFS(SALIDAS_COMB,FECHA_COMB,"&gt;="&amp;BI$2,FECHA_COMB,"&lt;="&amp;BI$3,CLAVE_COMB,$A53)+SUMIFS(SALIDAS_DES,FECHA_DESGLOSEN,"&gt;="&amp;BI$2,FECHA_DESGLOSEN,"&lt;="&amp;BI$3,CLAVE_DESGLOSE,$A53)</f>
        <v>0</v>
      </c>
      <c r="BJ53" s="68">
        <f t="shared" si="70"/>
        <v>0</v>
      </c>
      <c r="BK53" s="268">
        <f t="shared" si="71"/>
        <v>0</v>
      </c>
      <c r="BL53" s="13">
        <f t="shared" si="47"/>
        <v>0</v>
      </c>
      <c r="BM53" s="13">
        <f>SUMIFS(SALIDAS_BIT,FECHA_BIT,"&gt;="&amp;BM$2,FECHA_BIT,"&lt;="&amp;BM$3,CLAVE_BIT,$A53)+SUMIFS(SALIDAS_BOV1,FECHA_BOV1,"&gt;="&amp;BM$2,FECHA_BOV1,"&lt;="&amp;BM$3,CLAVE_BOV1,$A53)+SUMIFS(SALIDAS_BOV2,FECHA_BOV2,"&gt;="&amp;BM$2,FECHA_BOV2,"&lt;="&amp;BM$3,CLAVE_BOV2,$A53)+SUMIFS(SALIDAS_BOV3,FECHA_BOV3,"&gt;="&amp;BM$2,FECHA_BOV3,"&lt;="&amp;BM$3,CLAVE_BOV3,$A53)+SUMIFS(SALIDAS_TC,FECHA_TC,"&gt;="&amp;BM$2,FECHA_TC,"&lt;="&amp;BM$3,CLAVE_TC,$A53)+SUMIFS(SALIDAS_COMB,FECHA_COMB,"&gt;="&amp;BM$2,FECHA_COMB,"&lt;="&amp;BM$3,CLAVE_COMB,$A53)+SUMIFS(SALIDAS_DES,FECHA_DESGLOSEN,"&gt;="&amp;BM$2,FECHA_DESGLOSEN,"&lt;="&amp;BM$3,CLAVE_DESGLOSE,$A53)</f>
        <v>0</v>
      </c>
      <c r="BN53" s="13">
        <f>SUMIFS(SALIDAS_BIT,FECHA_BIT,"&gt;="&amp;BN$2,FECHA_BIT,"&lt;="&amp;BN$3,CLAVE_BIT,$A53)+SUMIFS(SALIDAS_BOV1,FECHA_BOV1,"&gt;="&amp;BN$2,FECHA_BOV1,"&lt;="&amp;BN$3,CLAVE_BOV1,$A53)+SUMIFS(SALIDAS_BOV2,FECHA_BOV2,"&gt;="&amp;BN$2,FECHA_BOV2,"&lt;="&amp;BN$3,CLAVE_BOV2,$A53)+SUMIFS(SALIDAS_BOV3,FECHA_BOV3,"&gt;="&amp;BN$2,FECHA_BOV3,"&lt;="&amp;BN$3,CLAVE_BOV3,$A53)+SUMIFS(SALIDAS_TC,FECHA_TC,"&gt;="&amp;BN$2,FECHA_TC,"&lt;="&amp;BN$3,CLAVE_TC,$A53)+SUMIFS(SALIDAS_COMB,FECHA_COMB,"&gt;="&amp;BN$2,FECHA_COMB,"&lt;="&amp;BN$3,CLAVE_COMB,$A53)+SUMIFS(SALIDAS_DES,FECHA_DESGLOSEN,"&gt;="&amp;BN$2,FECHA_DESGLOSEN,"&lt;="&amp;BN$3,CLAVE_DESGLOSE,$A53)</f>
        <v>0</v>
      </c>
      <c r="BO53" s="13">
        <f>SUMIFS(SALIDAS_BIT,FECHA_BIT,"&gt;="&amp;BO$2,FECHA_BIT,"&lt;="&amp;BO$3,CLAVE_BIT,$A53)+SUMIFS(SALIDAS_BOV1,FECHA_BOV1,"&gt;="&amp;BO$2,FECHA_BOV1,"&lt;="&amp;BO$3,CLAVE_BOV1,$A53)+SUMIFS(SALIDAS_BOV2,FECHA_BOV2,"&gt;="&amp;BO$2,FECHA_BOV2,"&lt;="&amp;BO$3,CLAVE_BOV2,$A53)+SUMIFS(SALIDAS_BOV3,FECHA_BOV3,"&gt;="&amp;BO$2,FECHA_BOV3,"&lt;="&amp;BO$3,CLAVE_BOV3,$A53)+SUMIFS(SALIDAS_TC,FECHA_TC,"&gt;="&amp;BO$2,FECHA_TC,"&lt;="&amp;BO$3,CLAVE_TC,$A53)+SUMIFS(SALIDAS_COMB,FECHA_COMB,"&gt;="&amp;BO$2,FECHA_COMB,"&lt;="&amp;BO$3,CLAVE_COMB,$A53)+SUMIFS(SALIDAS_DES,FECHA_DESGLOSEN,"&gt;="&amp;BO$2,FECHA_DESGLOSEN,"&lt;="&amp;BO$3,CLAVE_DESGLOSE,$A53)</f>
        <v>0</v>
      </c>
      <c r="BP53" s="13">
        <f>SUMIFS(SALIDAS_BIT,FECHA_BIT,"&gt;="&amp;BP$2,FECHA_BIT,"&lt;="&amp;BP$3,CLAVE_BIT,$A53)+SUMIFS(SALIDAS_BOV1,FECHA_BOV1,"&gt;="&amp;BP$2,FECHA_BOV1,"&lt;="&amp;BP$3,CLAVE_BOV1,$A53)+SUMIFS(SALIDAS_BOV2,FECHA_BOV2,"&gt;="&amp;BP$2,FECHA_BOV2,"&lt;="&amp;BP$3,CLAVE_BOV2,$A53)+SUMIFS(SALIDAS_BOV3,FECHA_BOV3,"&gt;="&amp;BP$2,FECHA_BOV3,"&lt;="&amp;BP$3,CLAVE_BOV3,$A53)+SUMIFS(SALIDAS_TC,FECHA_TC,"&gt;="&amp;BP$2,FECHA_TC,"&lt;="&amp;BP$3,CLAVE_TC,$A53)+SUMIFS(SALIDAS_COMB,FECHA_COMB,"&gt;="&amp;BP$2,FECHA_COMB,"&lt;="&amp;BP$3,CLAVE_COMB,$A53)+SUMIFS(SALIDAS_DES,FECHA_DESGLOSEN,"&gt;="&amp;BP$2,FECHA_DESGLOSEN,"&lt;="&amp;BP$3,CLAVE_DESGLOSE,$A53)</f>
        <v>0</v>
      </c>
      <c r="BQ53" s="13">
        <f>SUMIFS(SALIDAS_BIT,FECHA_BIT,"&gt;="&amp;BQ$2,FECHA_BIT,"&lt;="&amp;BQ$3,CLAVE_BIT,$A53)+SUMIFS(SALIDAS_BOV1,FECHA_BOV1,"&gt;="&amp;BQ$2,FECHA_BOV1,"&lt;="&amp;BQ$3,CLAVE_BOV1,$A53)+SUMIFS(SALIDAS_BOV2,FECHA_BOV2,"&gt;="&amp;BQ$2,FECHA_BOV2,"&lt;="&amp;BQ$3,CLAVE_BOV2,$A53)+SUMIFS(SALIDAS_BOV3,FECHA_BOV3,"&gt;="&amp;BQ$2,FECHA_BOV3,"&lt;="&amp;BQ$3,CLAVE_BOV3,$A53)+SUMIFS(SALIDAS_TC,FECHA_TC,"&gt;="&amp;BQ$2,FECHA_TC,"&lt;="&amp;BQ$3,CLAVE_TC,$A53)+SUMIFS(SALIDAS_COMB,FECHA_COMB,"&gt;="&amp;BQ$2,FECHA_COMB,"&lt;="&amp;BQ$3,CLAVE_COMB,$A53)+SUMIFS(SALIDAS_DES,FECHA_DESGLOSEN,"&gt;="&amp;BQ$2,FECHA_DESGLOSEN,"&lt;="&amp;BQ$3,CLAVE_DESGLOSE,$A53)</f>
        <v>0</v>
      </c>
      <c r="BR53" s="13">
        <f>SUMIFS(SALIDAS_BIT,FECHA_BIT,"&gt;="&amp;BR$2,FECHA_BIT,"&lt;="&amp;BR$3,CLAVE_BIT,$A53)+SUMIFS(SALIDAS_BOV1,FECHA_BOV1,"&gt;="&amp;BR$2,FECHA_BOV1,"&lt;="&amp;BR$3,CLAVE_BOV1,$A53)+SUMIFS(SALIDAS_BOV2,FECHA_BOV2,"&gt;="&amp;BR$2,FECHA_BOV2,"&lt;="&amp;BR$3,CLAVE_BOV2,$A53)+SUMIFS(SALIDAS_BOV3,FECHA_BOV3,"&gt;="&amp;BR$2,FECHA_BOV3,"&lt;="&amp;BR$3,CLAVE_BOV3,$A53)+SUMIFS(SALIDAS_TC,FECHA_TC,"&gt;="&amp;BR$2,FECHA_TC,"&lt;="&amp;BR$3,CLAVE_TC,$A53)+SUMIFS(SALIDAS_COMB,FECHA_COMB,"&gt;="&amp;BR$2,FECHA_COMB,"&lt;="&amp;BR$3,CLAVE_COMB,$A53)+SUMIFS(SALIDAS_DES,FECHA_DESGLOSEN,"&gt;="&amp;BR$2,FECHA_DESGLOSEN,"&lt;="&amp;BR$3,CLAVE_DESGLOSE,$A53)</f>
        <v>0</v>
      </c>
      <c r="BS53" s="68">
        <f t="shared" si="72"/>
        <v>0</v>
      </c>
      <c r="BT53" s="268">
        <f t="shared" si="73"/>
        <v>0</v>
      </c>
      <c r="BU53" s="13">
        <f t="shared" si="49"/>
        <v>0</v>
      </c>
      <c r="BV53" s="13">
        <f t="shared" si="90"/>
        <v>0</v>
      </c>
      <c r="BW53" s="13">
        <f t="shared" si="90"/>
        <v>0</v>
      </c>
      <c r="BX53" s="13">
        <f t="shared" si="90"/>
        <v>0</v>
      </c>
      <c r="BY53" s="13">
        <f t="shared" si="90"/>
        <v>0</v>
      </c>
      <c r="BZ53" s="13">
        <f t="shared" si="116"/>
        <v>0</v>
      </c>
      <c r="CA53" s="68">
        <f t="shared" si="74"/>
        <v>0</v>
      </c>
      <c r="CB53" s="268">
        <f t="shared" si="75"/>
        <v>0</v>
      </c>
      <c r="CC53" s="13">
        <f t="shared" si="51"/>
        <v>0</v>
      </c>
      <c r="CD53" s="13">
        <f t="shared" si="91"/>
        <v>0</v>
      </c>
      <c r="CE53" s="13">
        <f t="shared" si="91"/>
        <v>0</v>
      </c>
      <c r="CF53" s="13">
        <f t="shared" si="91"/>
        <v>0</v>
      </c>
      <c r="CG53" s="13">
        <f t="shared" si="91"/>
        <v>0</v>
      </c>
      <c r="CH53" s="13">
        <f t="shared" si="117"/>
        <v>0</v>
      </c>
      <c r="CI53" s="68">
        <f t="shared" si="76"/>
        <v>0</v>
      </c>
      <c r="CJ53" s="268">
        <f t="shared" si="77"/>
        <v>0</v>
      </c>
      <c r="CK53" s="13">
        <f t="shared" si="53"/>
        <v>0</v>
      </c>
      <c r="CL53" s="13">
        <f t="shared" si="92"/>
        <v>0</v>
      </c>
      <c r="CM53" s="13">
        <f t="shared" si="92"/>
        <v>0</v>
      </c>
      <c r="CN53" s="13">
        <f t="shared" si="92"/>
        <v>0</v>
      </c>
      <c r="CO53" s="13">
        <f t="shared" si="92"/>
        <v>0</v>
      </c>
      <c r="CP53" s="13">
        <f t="shared" si="92"/>
        <v>0</v>
      </c>
      <c r="CQ53" s="13">
        <f t="shared" si="118"/>
        <v>0</v>
      </c>
      <c r="CR53" s="68">
        <f t="shared" si="78"/>
        <v>0</v>
      </c>
      <c r="CS53" s="268">
        <f t="shared" si="79"/>
        <v>0</v>
      </c>
      <c r="CT53" s="68">
        <f t="shared" si="55"/>
        <v>0</v>
      </c>
      <c r="CU53" s="13">
        <f>SUMIFS(SALIDAS_BIT,FECHA_BIT,"&gt;="&amp;CU$2,FECHA_BIT,"&lt;="&amp;CU$3,CLAVE_BIT,$A53)+SUMIFS(SALIDAS_BOV1,FECHA_BOV1,"&gt;="&amp;CU$2,FECHA_BOV1,"&lt;="&amp;CU$3,CLAVE_BOV1,$A53)+SUMIFS(SALIDAS_BOV2,FECHA_BOV2,"&gt;="&amp;CU$2,FECHA_BOV2,"&lt;="&amp;CU$3,CLAVE_BOV2,$A53)+SUMIFS(SALIDAS_BOV3,FECHA_BOV3,"&gt;="&amp;CU$2,FECHA_BOV3,"&lt;="&amp;CU$3,CLAVE_BOV3,$A53)+SUMIFS(SALIDAS_TC,FECHA_TC,"&gt;="&amp;CU$2,FECHA_TC,"&lt;="&amp;CU$3,CLAVE_TC,$A53)+SUMIFS(SALIDAS_COMB,FECHA_COMB,"&gt;="&amp;CU$2,FECHA_COMB,"&lt;="&amp;CU$3,CLAVE_COMB,$A53)+SUMIFS(SALIDAS_DES,FECHA_DESGLOSEN,"&gt;="&amp;CU$2,FECHA_DESGLOSEN,"&lt;="&amp;CU$3,CLAVE_DESGLOSE,$A53)</f>
        <v>0</v>
      </c>
      <c r="CV53" s="13">
        <f>SUMIFS(SALIDAS_BIT,FECHA_BIT,"&gt;="&amp;CV$2,FECHA_BIT,"&lt;="&amp;CV$3,CLAVE_BIT,$A53)+SUMIFS(SALIDAS_BOV1,FECHA_BOV1,"&gt;="&amp;CV$2,FECHA_BOV1,"&lt;="&amp;CV$3,CLAVE_BOV1,$A53)+SUMIFS(SALIDAS_BOV2,FECHA_BOV2,"&gt;="&amp;CV$2,FECHA_BOV2,"&lt;="&amp;CV$3,CLAVE_BOV2,$A53)+SUMIFS(SALIDAS_BOV3,FECHA_BOV3,"&gt;="&amp;CV$2,FECHA_BOV3,"&lt;="&amp;CV$3,CLAVE_BOV3,$A53)+SUMIFS(SALIDAS_TC,FECHA_TC,"&gt;="&amp;CV$2,FECHA_TC,"&lt;="&amp;CV$3,CLAVE_TC,$A53)+SUMIFS(SALIDAS_COMB,FECHA_COMB,"&gt;="&amp;CV$2,FECHA_COMB,"&lt;="&amp;CV$3,CLAVE_COMB,$A53)+SUMIFS(SALIDAS_DES,FECHA_DESGLOSEN,"&gt;="&amp;CV$2,FECHA_DESGLOSEN,"&lt;="&amp;CV$3,CLAVE_DESGLOSE,$A53)</f>
        <v>0</v>
      </c>
      <c r="CW53" s="13">
        <f>SUMIFS(SALIDAS_BIT,FECHA_BIT,"&gt;="&amp;CW$2,FECHA_BIT,"&lt;="&amp;CW$3,CLAVE_BIT,$A53)+SUMIFS(SALIDAS_BOV1,FECHA_BOV1,"&gt;="&amp;CW$2,FECHA_BOV1,"&lt;="&amp;CW$3,CLAVE_BOV1,$A53)+SUMIFS(SALIDAS_BOV2,FECHA_BOV2,"&gt;="&amp;CW$2,FECHA_BOV2,"&lt;="&amp;CW$3,CLAVE_BOV2,$A53)+SUMIFS(SALIDAS_BOV3,FECHA_BOV3,"&gt;="&amp;CW$2,FECHA_BOV3,"&lt;="&amp;CW$3,CLAVE_BOV3,$A53)+SUMIFS(SALIDAS_TC,FECHA_TC,"&gt;="&amp;CW$2,FECHA_TC,"&lt;="&amp;CW$3,CLAVE_TC,$A53)+SUMIFS(SALIDAS_COMB,FECHA_COMB,"&gt;="&amp;CW$2,FECHA_COMB,"&lt;="&amp;CW$3,CLAVE_COMB,$A53)+SUMIFS(SALIDAS_DES,FECHA_DESGLOSEN,"&gt;="&amp;CW$2,FECHA_DESGLOSEN,"&lt;="&amp;CW$3,CLAVE_DESGLOSE,$A53)</f>
        <v>0</v>
      </c>
      <c r="CX53" s="13">
        <f>SUMIFS(SALIDAS_BIT,FECHA_BIT,"&gt;="&amp;CX$2,FECHA_BIT,"&lt;="&amp;CX$3,CLAVE_BIT,$A53)+SUMIFS(SALIDAS_BOV1,FECHA_BOV1,"&gt;="&amp;CX$2,FECHA_BOV1,"&lt;="&amp;CX$3,CLAVE_BOV1,$A53)+SUMIFS(SALIDAS_BOV2,FECHA_BOV2,"&gt;="&amp;CX$2,FECHA_BOV2,"&lt;="&amp;CX$3,CLAVE_BOV2,$A53)+SUMIFS(SALIDAS_BOV3,FECHA_BOV3,"&gt;="&amp;CX$2,FECHA_BOV3,"&lt;="&amp;CX$3,CLAVE_BOV3,$A53)+SUMIFS(SALIDAS_TC,FECHA_TC,"&gt;="&amp;CX$2,FECHA_TC,"&lt;="&amp;CX$3,CLAVE_TC,$A53)+SUMIFS(SALIDAS_COMB,FECHA_COMB,"&gt;="&amp;CX$2,FECHA_COMB,"&lt;="&amp;CX$3,CLAVE_COMB,$A53)+SUMIFS(SALIDAS_DES,FECHA_DESGLOSEN,"&gt;="&amp;CX$2,FECHA_DESGLOSEN,"&lt;="&amp;CX$3,CLAVE_DESGLOSE,$A53)</f>
        <v>0</v>
      </c>
      <c r="CY53" s="13">
        <f>SUMIFS(SALIDAS_BIT,FECHA_BIT,"&gt;="&amp;CY$2,FECHA_BIT,"&lt;="&amp;CY$3,CLAVE_BIT,$A53)+SUMIFS(SALIDAS_BOV1,FECHA_BOV1,"&gt;="&amp;CY$2,FECHA_BOV1,"&lt;="&amp;CY$3,CLAVE_BOV1,$A53)+SUMIFS(SALIDAS_BOV2,FECHA_BOV2,"&gt;="&amp;CY$2,FECHA_BOV2,"&lt;="&amp;CY$3,CLAVE_BOV2,$A53)+SUMIFS(SALIDAS_BOV3,FECHA_BOV3,"&gt;="&amp;CY$2,FECHA_BOV3,"&lt;="&amp;CY$3,CLAVE_BOV3,$A53)+SUMIFS(SALIDAS_TC,FECHA_TC,"&gt;="&amp;CY$2,FECHA_TC,"&lt;="&amp;CY$3,CLAVE_TC,$A53)+SUMIFS(SALIDAS_COMB,FECHA_COMB,"&gt;="&amp;CY$2,FECHA_COMB,"&lt;="&amp;CY$3,CLAVE_COMB,$A53)+SUMIFS(SALIDAS_DES,FECHA_DESGLOSEN,"&gt;="&amp;CY$2,FECHA_DESGLOSEN,"&lt;="&amp;CY$3,CLAVE_DESGLOSE,$A53)</f>
        <v>0</v>
      </c>
      <c r="CZ53" s="68">
        <f t="shared" si="80"/>
        <v>0</v>
      </c>
      <c r="DB53" s="17">
        <f>F53+N53+W53+AE53+AM53+AV53+BD53+BL53+BU53+CC53+CK53</f>
        <v>0</v>
      </c>
      <c r="DC53" s="17">
        <f>K53+T53+AB53+AJ53+AS53+BA53+BI53+BR53+BZ53+CH53+CQ53</f>
        <v>0</v>
      </c>
    </row>
    <row r="54" spans="1:107" hidden="1">
      <c r="A54" s="12" t="str">
        <f t="shared" si="57"/>
        <v>HRVACACIONES/FINIQUITOSHR</v>
      </c>
      <c r="B54" s="12">
        <v>48</v>
      </c>
      <c r="C54" t="s">
        <v>29</v>
      </c>
      <c r="D54" s="12" t="s">
        <v>190</v>
      </c>
      <c r="E54" s="12" t="s">
        <v>29</v>
      </c>
      <c r="F54" s="259">
        <f t="shared" si="58"/>
        <v>42875</v>
      </c>
      <c r="G54" s="13">
        <f t="shared" si="111"/>
        <v>20660</v>
      </c>
      <c r="H54" s="13">
        <f t="shared" si="111"/>
        <v>21428.57</v>
      </c>
      <c r="I54" s="13">
        <f t="shared" si="111"/>
        <v>30545.86</v>
      </c>
      <c r="J54" s="13">
        <f t="shared" si="111"/>
        <v>0</v>
      </c>
      <c r="K54" s="13">
        <f t="shared" si="111"/>
        <v>72634.429999999993</v>
      </c>
      <c r="L54" s="68">
        <f t="shared" si="59"/>
        <v>-29759.429999999993</v>
      </c>
      <c r="M54" s="268">
        <f t="shared" si="60"/>
        <v>1.6940974927113701</v>
      </c>
      <c r="N54" s="13">
        <f t="shared" si="36"/>
        <v>50072</v>
      </c>
      <c r="O54" s="13">
        <f t="shared" si="112"/>
        <v>11753</v>
      </c>
      <c r="P54" s="13">
        <f t="shared" si="112"/>
        <v>17280.43</v>
      </c>
      <c r="Q54" s="13">
        <f t="shared" si="112"/>
        <v>17511</v>
      </c>
      <c r="R54" s="13">
        <f t="shared" si="112"/>
        <v>1789</v>
      </c>
      <c r="S54" s="13">
        <f t="shared" si="112"/>
        <v>17589</v>
      </c>
      <c r="T54" s="13">
        <f t="shared" si="112"/>
        <v>65922.429999999993</v>
      </c>
      <c r="U54" s="68">
        <f t="shared" si="61"/>
        <v>-15850.429999999993</v>
      </c>
      <c r="V54" s="268">
        <f t="shared" si="62"/>
        <v>1.3165527640198114</v>
      </c>
      <c r="W54" s="13">
        <f t="shared" si="38"/>
        <v>107936</v>
      </c>
      <c r="X54" s="13">
        <f t="shared" si="113"/>
        <v>33362</v>
      </c>
      <c r="Y54" s="13">
        <f t="shared" si="113"/>
        <v>40205.43</v>
      </c>
      <c r="Z54" s="13">
        <f t="shared" si="113"/>
        <v>0</v>
      </c>
      <c r="AA54" s="13">
        <f t="shared" si="113"/>
        <v>24967</v>
      </c>
      <c r="AB54" s="13">
        <f t="shared" si="113"/>
        <v>98534.43</v>
      </c>
      <c r="AC54" s="68">
        <f t="shared" si="63"/>
        <v>9401.570000000007</v>
      </c>
      <c r="AD54" s="268">
        <f t="shared" si="64"/>
        <v>0.9128968092202786</v>
      </c>
      <c r="AE54" s="13">
        <f t="shared" si="40"/>
        <v>3335</v>
      </c>
      <c r="AF54" s="13">
        <f t="shared" si="114"/>
        <v>16231</v>
      </c>
      <c r="AG54" s="13">
        <f t="shared" si="114"/>
        <v>16836</v>
      </c>
      <c r="AH54" s="13">
        <f t="shared" si="114"/>
        <v>14716</v>
      </c>
      <c r="AI54" s="13">
        <f t="shared" si="114"/>
        <v>4221</v>
      </c>
      <c r="AJ54" s="13">
        <f t="shared" si="114"/>
        <v>52004</v>
      </c>
      <c r="AK54" s="68">
        <f t="shared" si="65"/>
        <v>-48669</v>
      </c>
      <c r="AL54" s="268">
        <f t="shared" si="66"/>
        <v>15.593403298350825</v>
      </c>
      <c r="AM54" s="13">
        <f t="shared" si="42"/>
        <v>20657.8</v>
      </c>
      <c r="AN54" s="13">
        <f t="shared" si="115"/>
        <v>22064.86</v>
      </c>
      <c r="AO54" s="13">
        <f t="shared" si="115"/>
        <v>6700</v>
      </c>
      <c r="AP54" s="13">
        <f t="shared" si="115"/>
        <v>18169</v>
      </c>
      <c r="AQ54" s="13">
        <f t="shared" si="115"/>
        <v>7840</v>
      </c>
      <c r="AR54" s="13">
        <f t="shared" si="115"/>
        <v>30460</v>
      </c>
      <c r="AS54" s="13">
        <f t="shared" si="115"/>
        <v>85233.86</v>
      </c>
      <c r="AT54" s="68">
        <f>AM54-AS54</f>
        <v>-64576.06</v>
      </c>
      <c r="AU54" s="268">
        <f t="shared" si="67"/>
        <v>4.1259892147276087</v>
      </c>
      <c r="AV54" s="13">
        <f t="shared" si="44"/>
        <v>97066</v>
      </c>
      <c r="AW54" s="13">
        <f t="shared" si="119"/>
        <v>29367.14</v>
      </c>
      <c r="AX54" s="13">
        <f t="shared" si="119"/>
        <v>37114.14</v>
      </c>
      <c r="AY54" s="13">
        <f t="shared" si="119"/>
        <v>10918</v>
      </c>
      <c r="AZ54" s="13">
        <f t="shared" si="119"/>
        <v>12238</v>
      </c>
      <c r="BA54" s="13">
        <f t="shared" si="120"/>
        <v>89637.28</v>
      </c>
      <c r="BB54" s="68">
        <f t="shared" si="68"/>
        <v>7428.7200000000012</v>
      </c>
      <c r="BC54" s="268">
        <f t="shared" si="69"/>
        <v>0.9234673315063977</v>
      </c>
      <c r="BD54" s="13">
        <f t="shared" si="46"/>
        <v>116272</v>
      </c>
      <c r="BE54" s="13">
        <f>SUMIFS(SALIDAS_BIT,FECHA_BIT,"&gt;="&amp;BE$2,FECHA_BIT,"&lt;="&amp;BE$3,CLAVE_BIT,$A54)+SUMIFS(SALIDAS_BOV1,FECHA_BOV1,"&gt;="&amp;BE$2,FECHA_BOV1,"&lt;="&amp;BE$3,CLAVE_BOV1,$A54)+SUMIFS(SALIDAS_BOV2,FECHA_BOV2,"&gt;="&amp;BE$2,FECHA_BOV2,"&lt;="&amp;BE$3,CLAVE_BOV2,$A54)+SUMIFS(SALIDAS_BOV3,FECHA_BOV3,"&gt;="&amp;BE$2,FECHA_BOV3,"&lt;="&amp;BE$3,CLAVE_BOV3,$A54)+SUMIFS(SALIDAS_TC,FECHA_TC,"&gt;="&amp;BE$2,FECHA_TC,"&lt;="&amp;BE$3,CLAVE_TC,$A54)+SUMIFS(SALIDAS_COMB,FECHA_COMB,"&gt;="&amp;BE$2,FECHA_COMB,"&lt;="&amp;BE$3,CLAVE_COMB,$A54)+SUMIFS(SALIDAS_DES,FECHA_DESGLOSEN,"&gt;="&amp;BE$2,FECHA_DESGLOSEN,"&lt;="&amp;BE$3,CLAVE_DESGLOSE,$A54)</f>
        <v>2842</v>
      </c>
      <c r="BF54" s="13">
        <f>SUMIFS(SALIDAS_BIT,FECHA_BIT,"&gt;="&amp;BF$2,FECHA_BIT,"&lt;="&amp;BF$3,CLAVE_BIT,$A54)+SUMIFS(SALIDAS_BOV1,FECHA_BOV1,"&gt;="&amp;BF$2,FECHA_BOV1,"&lt;="&amp;BF$3,CLAVE_BOV1,$A54)+SUMIFS(SALIDAS_BOV2,FECHA_BOV2,"&gt;="&amp;BF$2,FECHA_BOV2,"&lt;="&amp;BF$3,CLAVE_BOV2,$A54)+SUMIFS(SALIDAS_BOV3,FECHA_BOV3,"&gt;="&amp;BF$2,FECHA_BOV3,"&lt;="&amp;BF$3,CLAVE_BOV3,$A54)+SUMIFS(SALIDAS_TC,FECHA_TC,"&gt;="&amp;BF$2,FECHA_TC,"&lt;="&amp;BF$3,CLAVE_TC,$A54)+SUMIFS(SALIDAS_COMB,FECHA_COMB,"&gt;="&amp;BF$2,FECHA_COMB,"&lt;="&amp;BF$3,CLAVE_COMB,$A54)+SUMIFS(SALIDAS_DES,FECHA_DESGLOSEN,"&gt;="&amp;BF$2,FECHA_DESGLOSEN,"&lt;="&amp;BF$3,CLAVE_DESGLOSE,$A54)</f>
        <v>10441</v>
      </c>
      <c r="BG54" s="13">
        <f>SUMIFS(SALIDAS_BIT,FECHA_BIT,"&gt;="&amp;BG$2,FECHA_BIT,"&lt;="&amp;BG$3,CLAVE_BIT,$A54)+SUMIFS(SALIDAS_BOV1,FECHA_BOV1,"&gt;="&amp;BG$2,FECHA_BOV1,"&lt;="&amp;BG$3,CLAVE_BOV1,$A54)+SUMIFS(SALIDAS_BOV2,FECHA_BOV2,"&gt;="&amp;BG$2,FECHA_BOV2,"&lt;="&amp;BG$3,CLAVE_BOV2,$A54)+SUMIFS(SALIDAS_BOV3,FECHA_BOV3,"&gt;="&amp;BG$2,FECHA_BOV3,"&lt;="&amp;BG$3,CLAVE_BOV3,$A54)+SUMIFS(SALIDAS_TC,FECHA_TC,"&gt;="&amp;BG$2,FECHA_TC,"&lt;="&amp;BG$3,CLAVE_TC,$A54)+SUMIFS(SALIDAS_COMB,FECHA_COMB,"&gt;="&amp;BG$2,FECHA_COMB,"&lt;="&amp;BG$3,CLAVE_COMB,$A54)+SUMIFS(SALIDAS_DES,FECHA_DESGLOSEN,"&gt;="&amp;BG$2,FECHA_DESGLOSEN,"&lt;="&amp;BG$3,CLAVE_DESGLOSE,$A54)</f>
        <v>23867</v>
      </c>
      <c r="BH54" s="13">
        <f>SUMIFS(SALIDAS_BIT,FECHA_BIT,"&gt;="&amp;BH$2,FECHA_BIT,"&lt;="&amp;BH$3,CLAVE_BIT,$A54)+SUMIFS(SALIDAS_BOV1,FECHA_BOV1,"&gt;="&amp;BH$2,FECHA_BOV1,"&lt;="&amp;BH$3,CLAVE_BOV1,$A54)+SUMIFS(SALIDAS_BOV2,FECHA_BOV2,"&gt;="&amp;BH$2,FECHA_BOV2,"&lt;="&amp;BH$3,CLAVE_BOV2,$A54)+SUMIFS(SALIDAS_BOV3,FECHA_BOV3,"&gt;="&amp;BH$2,FECHA_BOV3,"&lt;="&amp;BH$3,CLAVE_BOV3,$A54)+SUMIFS(SALIDAS_TC,FECHA_TC,"&gt;="&amp;BH$2,FECHA_TC,"&lt;="&amp;BH$3,CLAVE_TC,$A54)+SUMIFS(SALIDAS_COMB,FECHA_COMB,"&gt;="&amp;BH$2,FECHA_COMB,"&lt;="&amp;BH$3,CLAVE_COMB,$A54)+SUMIFS(SALIDAS_DES,FECHA_DESGLOSEN,"&gt;="&amp;BH$2,FECHA_DESGLOSEN,"&lt;="&amp;BH$3,CLAVE_DESGLOSE,$A54)</f>
        <v>17194.47</v>
      </c>
      <c r="BI54" s="13">
        <f t="shared" ref="BI46:BI109" si="121">SUMIFS(SALIDAS_BIT,FECHA_BIT,"&gt;="&amp;BI$2,FECHA_BIT,"&lt;="&amp;BI$3,CLAVE_BIT,$A54)+SUMIFS(SALIDAS_BOV1,FECHA_BOV1,"&gt;="&amp;BI$2,FECHA_BOV1,"&lt;="&amp;BI$3,CLAVE_BOV1,$A54)+SUMIFS(SALIDAS_BOV2,FECHA_BOV2,"&gt;="&amp;BI$2,FECHA_BOV2,"&lt;="&amp;BI$3,CLAVE_BOV2,$A54)+SUMIFS(SALIDAS_BOV3,FECHA_BOV3,"&gt;="&amp;BI$2,FECHA_BOV3,"&lt;="&amp;BI$3,CLAVE_BOV3,$A54)+SUMIFS(SALIDAS_TC,FECHA_TC,"&gt;="&amp;BI$2,FECHA_TC,"&lt;="&amp;BI$3,CLAVE_TC,$A54)+SUMIFS(SALIDAS_COMB,FECHA_COMB,"&gt;="&amp;BI$2,FECHA_COMB,"&lt;="&amp;BI$3,CLAVE_COMB,$A54)+SUMIFS(SALIDAS_DES,FECHA_DESGLOSEN,"&gt;="&amp;BI$2,FECHA_DESGLOSEN,"&lt;="&amp;BI$3,CLAVE_DESGLOSE,$A54)</f>
        <v>54344.47</v>
      </c>
      <c r="BJ54" s="68">
        <f t="shared" si="70"/>
        <v>61927.53</v>
      </c>
      <c r="BK54" s="268">
        <f t="shared" si="71"/>
        <v>0.46739085936424934</v>
      </c>
      <c r="BL54" s="13">
        <f t="shared" si="47"/>
        <v>122912</v>
      </c>
      <c r="BM54" s="13">
        <f>SUMIFS(SALIDAS_BIT,FECHA_BIT,"&gt;="&amp;BM$2,FECHA_BIT,"&lt;="&amp;BM$3,CLAVE_BIT,$A54)+SUMIFS(SALIDAS_BOV1,FECHA_BOV1,"&gt;="&amp;BM$2,FECHA_BOV1,"&lt;="&amp;BM$3,CLAVE_BOV1,$A54)+SUMIFS(SALIDAS_BOV2,FECHA_BOV2,"&gt;="&amp;BM$2,FECHA_BOV2,"&lt;="&amp;BM$3,CLAVE_BOV2,$A54)+SUMIFS(SALIDAS_BOV3,FECHA_BOV3,"&gt;="&amp;BM$2,FECHA_BOV3,"&lt;="&amp;BM$3,CLAVE_BOV3,$A54)+SUMIFS(SALIDAS_TC,FECHA_TC,"&gt;="&amp;BM$2,FECHA_TC,"&lt;="&amp;BM$3,CLAVE_TC,$A54)+SUMIFS(SALIDAS_COMB,FECHA_COMB,"&gt;="&amp;BM$2,FECHA_COMB,"&lt;="&amp;BM$3,CLAVE_COMB,$A54)+SUMIFS(SALIDAS_DES,FECHA_DESGLOSEN,"&gt;="&amp;BM$2,FECHA_DESGLOSEN,"&lt;="&amp;BM$3,CLAVE_DESGLOSE,$A54)</f>
        <v>6515</v>
      </c>
      <c r="BN54" s="13">
        <f>SUMIFS(SALIDAS_BIT,FECHA_BIT,"&gt;="&amp;BN$2,FECHA_BIT,"&lt;="&amp;BN$3,CLAVE_BIT,$A54)+SUMIFS(SALIDAS_BOV1,FECHA_BOV1,"&gt;="&amp;BN$2,FECHA_BOV1,"&lt;="&amp;BN$3,CLAVE_BOV1,$A54)+SUMIFS(SALIDAS_BOV2,FECHA_BOV2,"&gt;="&amp;BN$2,FECHA_BOV2,"&lt;="&amp;BN$3,CLAVE_BOV2,$A54)+SUMIFS(SALIDAS_BOV3,FECHA_BOV3,"&gt;="&amp;BN$2,FECHA_BOV3,"&lt;="&amp;BN$3,CLAVE_BOV3,$A54)+SUMIFS(SALIDAS_TC,FECHA_TC,"&gt;="&amp;BN$2,FECHA_TC,"&lt;="&amp;BN$3,CLAVE_TC,$A54)+SUMIFS(SALIDAS_COMB,FECHA_COMB,"&gt;="&amp;BN$2,FECHA_COMB,"&lt;="&amp;BN$3,CLAVE_COMB,$A54)+SUMIFS(SALIDAS_DES,FECHA_DESGLOSEN,"&gt;="&amp;BN$2,FECHA_DESGLOSEN,"&lt;="&amp;BN$3,CLAVE_DESGLOSE,$A54)</f>
        <v>8462</v>
      </c>
      <c r="BO54" s="13">
        <f>SUMIFS(SALIDAS_BIT,FECHA_BIT,"&gt;="&amp;BO$2,FECHA_BIT,"&lt;="&amp;BO$3,CLAVE_BIT,$A54)+SUMIFS(SALIDAS_BOV1,FECHA_BOV1,"&gt;="&amp;BO$2,FECHA_BOV1,"&lt;="&amp;BO$3,CLAVE_BOV1,$A54)+SUMIFS(SALIDAS_BOV2,FECHA_BOV2,"&gt;="&amp;BO$2,FECHA_BOV2,"&lt;="&amp;BO$3,CLAVE_BOV2,$A54)+SUMIFS(SALIDAS_BOV3,FECHA_BOV3,"&gt;="&amp;BO$2,FECHA_BOV3,"&lt;="&amp;BO$3,CLAVE_BOV3,$A54)+SUMIFS(SALIDAS_TC,FECHA_TC,"&gt;="&amp;BO$2,FECHA_TC,"&lt;="&amp;BO$3,CLAVE_TC,$A54)+SUMIFS(SALIDAS_COMB,FECHA_COMB,"&gt;="&amp;BO$2,FECHA_COMB,"&lt;="&amp;BO$3,CLAVE_COMB,$A54)+SUMIFS(SALIDAS_DES,FECHA_DESGLOSEN,"&gt;="&amp;BO$2,FECHA_DESGLOSEN,"&lt;="&amp;BO$3,CLAVE_DESGLOSE,$A54)</f>
        <v>24199</v>
      </c>
      <c r="BP54" s="13">
        <f>SUMIFS(SALIDAS_BIT,FECHA_BIT,"&gt;="&amp;BP$2,FECHA_BIT,"&lt;="&amp;BP$3,CLAVE_BIT,$A54)+SUMIFS(SALIDAS_BOV1,FECHA_BOV1,"&gt;="&amp;BP$2,FECHA_BOV1,"&lt;="&amp;BP$3,CLAVE_BOV1,$A54)+SUMIFS(SALIDAS_BOV2,FECHA_BOV2,"&gt;="&amp;BP$2,FECHA_BOV2,"&lt;="&amp;BP$3,CLAVE_BOV2,$A54)+SUMIFS(SALIDAS_BOV3,FECHA_BOV3,"&gt;="&amp;BP$2,FECHA_BOV3,"&lt;="&amp;BP$3,CLAVE_BOV3,$A54)+SUMIFS(SALIDAS_TC,FECHA_TC,"&gt;="&amp;BP$2,FECHA_TC,"&lt;="&amp;BP$3,CLAVE_TC,$A54)+SUMIFS(SALIDAS_COMB,FECHA_COMB,"&gt;="&amp;BP$2,FECHA_COMB,"&lt;="&amp;BP$3,CLAVE_COMB,$A54)+SUMIFS(SALIDAS_DES,FECHA_DESGLOSEN,"&gt;="&amp;BP$2,FECHA_DESGLOSEN,"&lt;="&amp;BP$3,CLAVE_DESGLOSE,$A54)</f>
        <v>3321</v>
      </c>
      <c r="BQ54" s="13">
        <f>SUMIFS(SALIDAS_BIT,FECHA_BIT,"&gt;="&amp;BQ$2,FECHA_BIT,"&lt;="&amp;BQ$3,CLAVE_BIT,$A54)+SUMIFS(SALIDAS_BOV1,FECHA_BOV1,"&gt;="&amp;BQ$2,FECHA_BOV1,"&lt;="&amp;BQ$3,CLAVE_BOV1,$A54)+SUMIFS(SALIDAS_BOV2,FECHA_BOV2,"&gt;="&amp;BQ$2,FECHA_BOV2,"&lt;="&amp;BQ$3,CLAVE_BOV2,$A54)+SUMIFS(SALIDAS_BOV3,FECHA_BOV3,"&gt;="&amp;BQ$2,FECHA_BOV3,"&lt;="&amp;BQ$3,CLAVE_BOV3,$A54)+SUMIFS(SALIDAS_TC,FECHA_TC,"&gt;="&amp;BQ$2,FECHA_TC,"&lt;="&amp;BQ$3,CLAVE_TC,$A54)+SUMIFS(SALIDAS_COMB,FECHA_COMB,"&gt;="&amp;BQ$2,FECHA_COMB,"&lt;="&amp;BQ$3,CLAVE_COMB,$A54)+SUMIFS(SALIDAS_DES,FECHA_DESGLOSEN,"&gt;="&amp;BQ$2,FECHA_DESGLOSEN,"&lt;="&amp;BQ$3,CLAVE_DESGLOSE,$A54)</f>
        <v>16197</v>
      </c>
      <c r="BR54" s="13">
        <f t="shared" ref="BM47:BR56" si="122">SUMIFS(SALIDAS_BIT,FECHA_BIT,"&gt;="&amp;BR$2,FECHA_BIT,"&lt;="&amp;BR$3,CLAVE_BIT,$A54)+SUMIFS(SALIDAS_BOV1,FECHA_BOV1,"&gt;="&amp;BR$2,FECHA_BOV1,"&lt;="&amp;BR$3,CLAVE_BOV1,$A54)+SUMIFS(SALIDAS_BOV2,FECHA_BOV2,"&gt;="&amp;BR$2,FECHA_BOV2,"&lt;="&amp;BR$3,CLAVE_BOV2,$A54)+SUMIFS(SALIDAS_BOV3,FECHA_BOV3,"&gt;="&amp;BR$2,FECHA_BOV3,"&lt;="&amp;BR$3,CLAVE_BOV3,$A54)+SUMIFS(SALIDAS_TC,FECHA_TC,"&gt;="&amp;BR$2,FECHA_TC,"&lt;="&amp;BR$3,CLAVE_TC,$A54)+SUMIFS(SALIDAS_COMB,FECHA_COMB,"&gt;="&amp;BR$2,FECHA_COMB,"&lt;="&amp;BR$3,CLAVE_COMB,$A54)+SUMIFS(SALIDAS_DES,FECHA_DESGLOSEN,"&gt;="&amp;BR$2,FECHA_DESGLOSEN,"&lt;="&amp;BR$3,CLAVE_DESGLOSE,$A54)</f>
        <v>58694</v>
      </c>
      <c r="BS54" s="68">
        <f t="shared" si="72"/>
        <v>64218</v>
      </c>
      <c r="BT54" s="268">
        <f t="shared" si="73"/>
        <v>0.47752863837542309</v>
      </c>
      <c r="BU54" s="13">
        <f t="shared" si="49"/>
        <v>94923</v>
      </c>
      <c r="BV54" s="13">
        <f t="shared" si="90"/>
        <v>6679</v>
      </c>
      <c r="BW54" s="13">
        <f t="shared" si="90"/>
        <v>8778.7099999999991</v>
      </c>
      <c r="BX54" s="13">
        <f t="shared" si="90"/>
        <v>9507</v>
      </c>
      <c r="BY54" s="13">
        <f t="shared" si="90"/>
        <v>912</v>
      </c>
      <c r="BZ54" s="13">
        <f t="shared" si="116"/>
        <v>25876.71</v>
      </c>
      <c r="CA54" s="68">
        <f t="shared" si="74"/>
        <v>69046.290000000008</v>
      </c>
      <c r="CB54" s="268">
        <f t="shared" si="75"/>
        <v>0.27260737650516731</v>
      </c>
      <c r="CC54" s="13">
        <f t="shared" si="51"/>
        <v>65306</v>
      </c>
      <c r="CD54" s="13">
        <f>SUMIFS(SALIDAS_BIT,FECHA_BIT,"&gt;="&amp;CD$2,FECHA_BIT,"&lt;="&amp;CD$3,CLAVE_BIT,$A54)+SUMIFS(SALIDAS_BOV1,FECHA_BOV1,"&gt;="&amp;CD$2,FECHA_BOV1,"&lt;="&amp;CD$3,CLAVE_BOV1,$A54)+SUMIFS(SALIDAS_BOV2,FECHA_BOV2,"&gt;="&amp;CD$2,FECHA_BOV2,"&lt;="&amp;CD$3,CLAVE_BOV2,$A54)+SUMIFS(SALIDAS_BOV3,FECHA_BOV3,"&gt;="&amp;CD$2,FECHA_BOV3,"&lt;="&amp;CD$3,CLAVE_BOV3,$A54)+SUMIFS(SALIDAS_TC,FECHA_TC,"&gt;="&amp;CD$2,FECHA_TC,"&lt;="&amp;CD$3,CLAVE_TC,$A54)+SUMIFS(SALIDAS_COMB,FECHA_COMB,"&gt;="&amp;CD$2,FECHA_COMB,"&lt;="&amp;CD$3,CLAVE_COMB,$A54)+SUMIFS(SALIDAS_DES,FECHA_DESGLOSEN,"&gt;="&amp;CD$2,FECHA_DESGLOSEN,"&lt;="&amp;CD$3,CLAVE_DESGLOSE,$A54)</f>
        <v>7172.29</v>
      </c>
      <c r="CE54" s="13">
        <f t="shared" si="91"/>
        <v>1326</v>
      </c>
      <c r="CF54" s="13">
        <f t="shared" si="91"/>
        <v>19014</v>
      </c>
      <c r="CG54" s="13">
        <f t="shared" si="91"/>
        <v>0</v>
      </c>
      <c r="CH54" s="13">
        <f t="shared" si="117"/>
        <v>27512.29</v>
      </c>
      <c r="CI54" s="68">
        <f t="shared" si="76"/>
        <v>37793.71</v>
      </c>
      <c r="CJ54" s="268">
        <f t="shared" si="77"/>
        <v>0.42128273053011978</v>
      </c>
      <c r="CK54" s="13">
        <f t="shared" si="53"/>
        <v>130533</v>
      </c>
      <c r="CL54" s="13">
        <f t="shared" si="92"/>
        <v>34467.29</v>
      </c>
      <c r="CM54" s="13">
        <f t="shared" si="92"/>
        <v>0</v>
      </c>
      <c r="CN54" s="13">
        <f t="shared" si="92"/>
        <v>6030.71</v>
      </c>
      <c r="CO54" s="13">
        <f t="shared" si="92"/>
        <v>14884</v>
      </c>
      <c r="CP54" s="13">
        <f t="shared" si="92"/>
        <v>4858.8599999999997</v>
      </c>
      <c r="CQ54" s="13">
        <f t="shared" si="118"/>
        <v>60240.86</v>
      </c>
      <c r="CR54" s="68">
        <f t="shared" si="78"/>
        <v>70292.14</v>
      </c>
      <c r="CS54" s="268">
        <f t="shared" si="79"/>
        <v>0.46149908452268773</v>
      </c>
      <c r="CT54" s="68">
        <f t="shared" si="55"/>
        <v>0</v>
      </c>
      <c r="CU54" s="13">
        <f>SUMIFS(SALIDAS_BIT,FECHA_BIT,"&gt;="&amp;CU$2,FECHA_BIT,"&lt;="&amp;CU$3,CLAVE_BIT,$A54)+SUMIFS(SALIDAS_BOV1,FECHA_BOV1,"&gt;="&amp;CU$2,FECHA_BOV1,"&lt;="&amp;CU$3,CLAVE_BOV1,$A54)+SUMIFS(SALIDAS_BOV2,FECHA_BOV2,"&gt;="&amp;CU$2,FECHA_BOV2,"&lt;="&amp;CU$3,CLAVE_BOV2,$A54)+SUMIFS(SALIDAS_BOV3,FECHA_BOV3,"&gt;="&amp;CU$2,FECHA_BOV3,"&lt;="&amp;CU$3,CLAVE_BOV3,$A54)+SUMIFS(SALIDAS_TC,FECHA_TC,"&gt;="&amp;CU$2,FECHA_TC,"&lt;="&amp;CU$3,CLAVE_TC,$A54)+SUMIFS(SALIDAS_COMB,FECHA_COMB,"&gt;="&amp;CU$2,FECHA_COMB,"&lt;="&amp;CU$3,CLAVE_COMB,$A54)+SUMIFS(SALIDAS_DES,FECHA_DESGLOSEN,"&gt;="&amp;CU$2,FECHA_DESGLOSEN,"&lt;="&amp;CU$3,CLAVE_DESGLOSE,$A54)</f>
        <v>21997</v>
      </c>
      <c r="CV54" s="13">
        <f>SUMIFS(SALIDAS_BIT,FECHA_BIT,"&gt;="&amp;CV$2,FECHA_BIT,"&lt;="&amp;CV$3,CLAVE_BIT,$A54)+SUMIFS(SALIDAS_BOV1,FECHA_BOV1,"&gt;="&amp;CV$2,FECHA_BOV1,"&lt;="&amp;CV$3,CLAVE_BOV1,$A54)+SUMIFS(SALIDAS_BOV2,FECHA_BOV2,"&gt;="&amp;CV$2,FECHA_BOV2,"&lt;="&amp;CV$3,CLAVE_BOV2,$A54)+SUMIFS(SALIDAS_BOV3,FECHA_BOV3,"&gt;="&amp;CV$2,FECHA_BOV3,"&lt;="&amp;CV$3,CLAVE_BOV3,$A54)+SUMIFS(SALIDAS_TC,FECHA_TC,"&gt;="&amp;CV$2,FECHA_TC,"&lt;="&amp;CV$3,CLAVE_TC,$A54)+SUMIFS(SALIDAS_COMB,FECHA_COMB,"&gt;="&amp;CV$2,FECHA_COMB,"&lt;="&amp;CV$3,CLAVE_COMB,$A54)+SUMIFS(SALIDAS_DES,FECHA_DESGLOSEN,"&gt;="&amp;CV$2,FECHA_DESGLOSEN,"&lt;="&amp;CV$3,CLAVE_DESGLOSE,$A54)</f>
        <v>7877</v>
      </c>
      <c r="CW54" s="13">
        <f>SUMIFS(SALIDAS_BIT,FECHA_BIT,"&gt;="&amp;CW$2,FECHA_BIT,"&lt;="&amp;CW$3,CLAVE_BIT,$A54)+SUMIFS(SALIDAS_BOV1,FECHA_BOV1,"&gt;="&amp;CW$2,FECHA_BOV1,"&lt;="&amp;CW$3,CLAVE_BOV1,$A54)+SUMIFS(SALIDAS_BOV2,FECHA_BOV2,"&gt;="&amp;CW$2,FECHA_BOV2,"&lt;="&amp;CW$3,CLAVE_BOV2,$A54)+SUMIFS(SALIDAS_BOV3,FECHA_BOV3,"&gt;="&amp;CW$2,FECHA_BOV3,"&lt;="&amp;CW$3,CLAVE_BOV3,$A54)+SUMIFS(SALIDAS_TC,FECHA_TC,"&gt;="&amp;CW$2,FECHA_TC,"&lt;="&amp;CW$3,CLAVE_TC,$A54)+SUMIFS(SALIDAS_COMB,FECHA_COMB,"&gt;="&amp;CW$2,FECHA_COMB,"&lt;="&amp;CW$3,CLAVE_COMB,$A54)+SUMIFS(SALIDAS_DES,FECHA_DESGLOSEN,"&gt;="&amp;CW$2,FECHA_DESGLOSEN,"&lt;="&amp;CW$3,CLAVE_DESGLOSE,$A54)</f>
        <v>14108</v>
      </c>
      <c r="CX54" s="13">
        <f>SUMIFS(SALIDAS_BIT,FECHA_BIT,"&gt;="&amp;CX$2,FECHA_BIT,"&lt;="&amp;CX$3,CLAVE_BIT,$A54)+SUMIFS(SALIDAS_BOV1,FECHA_BOV1,"&gt;="&amp;CX$2,FECHA_BOV1,"&lt;="&amp;CX$3,CLAVE_BOV1,$A54)+SUMIFS(SALIDAS_BOV2,FECHA_BOV2,"&gt;="&amp;CX$2,FECHA_BOV2,"&lt;="&amp;CX$3,CLAVE_BOV2,$A54)+SUMIFS(SALIDAS_BOV3,FECHA_BOV3,"&gt;="&amp;CX$2,FECHA_BOV3,"&lt;="&amp;CX$3,CLAVE_BOV3,$A54)+SUMIFS(SALIDAS_TC,FECHA_TC,"&gt;="&amp;CX$2,FECHA_TC,"&lt;="&amp;CX$3,CLAVE_TC,$A54)+SUMIFS(SALIDAS_COMB,FECHA_COMB,"&gt;="&amp;CX$2,FECHA_COMB,"&lt;="&amp;CX$3,CLAVE_COMB,$A54)+SUMIFS(SALIDAS_DES,FECHA_DESGLOSEN,"&gt;="&amp;CX$2,FECHA_DESGLOSEN,"&lt;="&amp;CX$3,CLAVE_DESGLOSE,$A54)</f>
        <v>12270</v>
      </c>
      <c r="CY54" s="13">
        <f>SUMIFS(SALIDAS_BIT,FECHA_BIT,"&gt;="&amp;CY$2,FECHA_BIT,"&lt;="&amp;CY$3,CLAVE_BIT,$A54)+SUMIFS(SALIDAS_BOV1,FECHA_BOV1,"&gt;="&amp;CY$2,FECHA_BOV1,"&lt;="&amp;CY$3,CLAVE_BOV1,$A54)+SUMIFS(SALIDAS_BOV2,FECHA_BOV2,"&gt;="&amp;CY$2,FECHA_BOV2,"&lt;="&amp;CY$3,CLAVE_BOV2,$A54)+SUMIFS(SALIDAS_BOV3,FECHA_BOV3,"&gt;="&amp;CY$2,FECHA_BOV3,"&lt;="&amp;CY$3,CLAVE_BOV3,$A54)+SUMIFS(SALIDAS_TC,FECHA_TC,"&gt;="&amp;CY$2,FECHA_TC,"&lt;="&amp;CY$3,CLAVE_TC,$A54)+SUMIFS(SALIDAS_COMB,FECHA_COMB,"&gt;="&amp;CY$2,FECHA_COMB,"&lt;="&amp;CY$3,CLAVE_COMB,$A54)+SUMIFS(SALIDAS_DES,FECHA_DESGLOSEN,"&gt;="&amp;CY$2,FECHA_DESGLOSEN,"&lt;="&amp;CY$3,CLAVE_DESGLOSE,$A54)</f>
        <v>56252</v>
      </c>
      <c r="CZ54" s="68">
        <f t="shared" si="80"/>
        <v>-56252</v>
      </c>
      <c r="DB54" s="17">
        <f>F54+N54+W54+AE54+AM54+AV54+BD54+BL54+BU54+CC54+CK54</f>
        <v>851887.8</v>
      </c>
      <c r="DC54" s="17">
        <f>K54+T54+AB54+AJ54+AS54+BA54+BI54+BR54+BZ54+CH54+CQ54</f>
        <v>690634.75999999989</v>
      </c>
    </row>
    <row r="55" spans="1:107" hidden="1">
      <c r="A55" s="12" t="str">
        <f t="shared" si="57"/>
        <v>CAPVACACIONES/FINIQUITOSCAPRICHOS</v>
      </c>
      <c r="B55" s="12">
        <v>50</v>
      </c>
      <c r="C55" t="s">
        <v>31</v>
      </c>
      <c r="D55" s="12" t="s">
        <v>190</v>
      </c>
      <c r="E55" s="12" t="s">
        <v>33</v>
      </c>
      <c r="F55" s="259">
        <f t="shared" si="58"/>
        <v>20178</v>
      </c>
      <c r="G55" s="13">
        <f t="shared" si="111"/>
        <v>15020</v>
      </c>
      <c r="H55" s="13">
        <f t="shared" si="111"/>
        <v>2357.14</v>
      </c>
      <c r="I55" s="13">
        <f t="shared" si="111"/>
        <v>1401</v>
      </c>
      <c r="J55" s="13">
        <f t="shared" si="111"/>
        <v>17310</v>
      </c>
      <c r="K55" s="13">
        <f t="shared" si="111"/>
        <v>36088.14</v>
      </c>
      <c r="L55" s="68">
        <f t="shared" si="59"/>
        <v>-15910.14</v>
      </c>
      <c r="M55" s="268">
        <f t="shared" si="60"/>
        <v>1.7884894439488552</v>
      </c>
      <c r="N55" s="13">
        <f t="shared" si="36"/>
        <v>32761</v>
      </c>
      <c r="O55" s="13">
        <f t="shared" si="112"/>
        <v>5761</v>
      </c>
      <c r="P55" s="13">
        <f t="shared" si="112"/>
        <v>14956</v>
      </c>
      <c r="Q55" s="13">
        <f t="shared" si="112"/>
        <v>2864</v>
      </c>
      <c r="R55" s="13">
        <f t="shared" si="112"/>
        <v>22365</v>
      </c>
      <c r="S55" s="13">
        <f t="shared" si="112"/>
        <v>12964.29</v>
      </c>
      <c r="T55" s="13">
        <f t="shared" si="112"/>
        <v>58910.29</v>
      </c>
      <c r="U55" s="68">
        <f t="shared" si="61"/>
        <v>-26149.29</v>
      </c>
      <c r="V55" s="268">
        <f t="shared" si="62"/>
        <v>1.7981835108818411</v>
      </c>
      <c r="W55" s="13">
        <f t="shared" si="38"/>
        <v>34310</v>
      </c>
      <c r="X55" s="13">
        <f t="shared" si="113"/>
        <v>18046</v>
      </c>
      <c r="Y55" s="13">
        <f t="shared" si="113"/>
        <v>26565.86</v>
      </c>
      <c r="Z55" s="13">
        <f t="shared" si="113"/>
        <v>3100</v>
      </c>
      <c r="AA55" s="13">
        <f t="shared" si="113"/>
        <v>0</v>
      </c>
      <c r="AB55" s="13">
        <f t="shared" si="113"/>
        <v>47711.86</v>
      </c>
      <c r="AC55" s="68">
        <f t="shared" si="63"/>
        <v>-13401.86</v>
      </c>
      <c r="AD55" s="268">
        <f t="shared" si="64"/>
        <v>1.3906109006120664</v>
      </c>
      <c r="AE55" s="13">
        <f t="shared" si="40"/>
        <v>6059.2</v>
      </c>
      <c r="AF55" s="13">
        <f t="shared" si="114"/>
        <v>23962</v>
      </c>
      <c r="AG55" s="13">
        <f t="shared" si="114"/>
        <v>912</v>
      </c>
      <c r="AH55" s="13">
        <f t="shared" si="114"/>
        <v>5248</v>
      </c>
      <c r="AI55" s="13">
        <f t="shared" si="114"/>
        <v>14899</v>
      </c>
      <c r="AJ55" s="13">
        <f t="shared" si="114"/>
        <v>45021</v>
      </c>
      <c r="AK55" s="68">
        <f t="shared" si="65"/>
        <v>-38961.800000000003</v>
      </c>
      <c r="AL55" s="268">
        <f t="shared" si="66"/>
        <v>7.4301888038024826</v>
      </c>
      <c r="AM55" s="13">
        <f t="shared" si="42"/>
        <v>7281.4</v>
      </c>
      <c r="AN55" s="13">
        <f t="shared" si="115"/>
        <v>3756</v>
      </c>
      <c r="AO55" s="13">
        <f t="shared" si="115"/>
        <v>9775</v>
      </c>
      <c r="AP55" s="13">
        <f t="shared" si="115"/>
        <v>2397</v>
      </c>
      <c r="AQ55" s="13">
        <f t="shared" si="115"/>
        <v>20412</v>
      </c>
      <c r="AR55" s="13">
        <f t="shared" si="115"/>
        <v>1567</v>
      </c>
      <c r="AS55" s="13">
        <f t="shared" si="115"/>
        <v>37907</v>
      </c>
      <c r="AT55" s="68">
        <f>AM55-AS55</f>
        <v>-30625.599999999999</v>
      </c>
      <c r="AU55" s="268">
        <f t="shared" si="67"/>
        <v>5.2060043398247595</v>
      </c>
      <c r="AV55" s="13">
        <f t="shared" si="44"/>
        <v>19211</v>
      </c>
      <c r="AW55" s="13">
        <f t="shared" si="119"/>
        <v>39273.21</v>
      </c>
      <c r="AX55" s="13">
        <f t="shared" si="119"/>
        <v>7337</v>
      </c>
      <c r="AY55" s="13">
        <f t="shared" si="119"/>
        <v>1071</v>
      </c>
      <c r="AZ55" s="13">
        <f t="shared" si="119"/>
        <v>5597</v>
      </c>
      <c r="BA55" s="13">
        <f t="shared" si="120"/>
        <v>53278.21</v>
      </c>
      <c r="BB55" s="68">
        <f t="shared" si="68"/>
        <v>-34067.21</v>
      </c>
      <c r="BC55" s="268">
        <f t="shared" si="69"/>
        <v>2.7733178907917337</v>
      </c>
      <c r="BD55" s="13">
        <f t="shared" si="46"/>
        <v>92716</v>
      </c>
      <c r="BE55" s="13">
        <f>SUMIFS(SALIDAS_BIT,FECHA_BIT,"&gt;="&amp;BE$2,FECHA_BIT,"&lt;="&amp;BE$3,CLAVE_BIT,$A55)+SUMIFS(SALIDAS_BOV1,FECHA_BOV1,"&gt;="&amp;BE$2,FECHA_BOV1,"&lt;="&amp;BE$3,CLAVE_BOV1,$A55)+SUMIFS(SALIDAS_BOV2,FECHA_BOV2,"&gt;="&amp;BE$2,FECHA_BOV2,"&lt;="&amp;BE$3,CLAVE_BOV2,$A55)+SUMIFS(SALIDAS_BOV3,FECHA_BOV3,"&gt;="&amp;BE$2,FECHA_BOV3,"&lt;="&amp;BE$3,CLAVE_BOV3,$A55)+SUMIFS(SALIDAS_TC,FECHA_TC,"&gt;="&amp;BE$2,FECHA_TC,"&lt;="&amp;BE$3,CLAVE_TC,$A55)+SUMIFS(SALIDAS_COMB,FECHA_COMB,"&gt;="&amp;BE$2,FECHA_COMB,"&lt;="&amp;BE$3,CLAVE_COMB,$A55)+SUMIFS(SALIDAS_DES,FECHA_DESGLOSEN,"&gt;="&amp;BE$2,FECHA_DESGLOSEN,"&lt;="&amp;BE$3,CLAVE_DESGLOSE,$A55)</f>
        <v>5901</v>
      </c>
      <c r="BF55" s="13">
        <f>SUMIFS(SALIDAS_BIT,FECHA_BIT,"&gt;="&amp;BF$2,FECHA_BIT,"&lt;="&amp;BF$3,CLAVE_BIT,$A55)+SUMIFS(SALIDAS_BOV1,FECHA_BOV1,"&gt;="&amp;BF$2,FECHA_BOV1,"&lt;="&amp;BF$3,CLAVE_BOV1,$A55)+SUMIFS(SALIDAS_BOV2,FECHA_BOV2,"&gt;="&amp;BF$2,FECHA_BOV2,"&lt;="&amp;BF$3,CLAVE_BOV2,$A55)+SUMIFS(SALIDAS_BOV3,FECHA_BOV3,"&gt;="&amp;BF$2,FECHA_BOV3,"&lt;="&amp;BF$3,CLAVE_BOV3,$A55)+SUMIFS(SALIDAS_TC,FECHA_TC,"&gt;="&amp;BF$2,FECHA_TC,"&lt;="&amp;BF$3,CLAVE_TC,$A55)+SUMIFS(SALIDAS_COMB,FECHA_COMB,"&gt;="&amp;BF$2,FECHA_COMB,"&lt;="&amp;BF$3,CLAVE_COMB,$A55)+SUMIFS(SALIDAS_DES,FECHA_DESGLOSEN,"&gt;="&amp;BF$2,FECHA_DESGLOSEN,"&lt;="&amp;BF$3,CLAVE_DESGLOSE,$A55)</f>
        <v>18048</v>
      </c>
      <c r="BG55" s="13">
        <f>SUMIFS(SALIDAS_BIT,FECHA_BIT,"&gt;="&amp;BG$2,FECHA_BIT,"&lt;="&amp;BG$3,CLAVE_BIT,$A55)+SUMIFS(SALIDAS_BOV1,FECHA_BOV1,"&gt;="&amp;BG$2,FECHA_BOV1,"&lt;="&amp;BG$3,CLAVE_BOV1,$A55)+SUMIFS(SALIDAS_BOV2,FECHA_BOV2,"&gt;="&amp;BG$2,FECHA_BOV2,"&lt;="&amp;BG$3,CLAVE_BOV2,$A55)+SUMIFS(SALIDAS_BOV3,FECHA_BOV3,"&gt;="&amp;BG$2,FECHA_BOV3,"&lt;="&amp;BG$3,CLAVE_BOV3,$A55)+SUMIFS(SALIDAS_TC,FECHA_TC,"&gt;="&amp;BG$2,FECHA_TC,"&lt;="&amp;BG$3,CLAVE_TC,$A55)+SUMIFS(SALIDAS_COMB,FECHA_COMB,"&gt;="&amp;BG$2,FECHA_COMB,"&lt;="&amp;BG$3,CLAVE_COMB,$A55)+SUMIFS(SALIDAS_DES,FECHA_DESGLOSEN,"&gt;="&amp;BG$2,FECHA_DESGLOSEN,"&lt;="&amp;BG$3,CLAVE_DESGLOSE,$A55)</f>
        <v>13937</v>
      </c>
      <c r="BH55" s="13">
        <f>SUMIFS(SALIDAS_BIT,FECHA_BIT,"&gt;="&amp;BH$2,FECHA_BIT,"&lt;="&amp;BH$3,CLAVE_BIT,$A55)+SUMIFS(SALIDAS_BOV1,FECHA_BOV1,"&gt;="&amp;BH$2,FECHA_BOV1,"&lt;="&amp;BH$3,CLAVE_BOV1,$A55)+SUMIFS(SALIDAS_BOV2,FECHA_BOV2,"&gt;="&amp;BH$2,FECHA_BOV2,"&lt;="&amp;BH$3,CLAVE_BOV2,$A55)+SUMIFS(SALIDAS_BOV3,FECHA_BOV3,"&gt;="&amp;BH$2,FECHA_BOV3,"&lt;="&amp;BH$3,CLAVE_BOV3,$A55)+SUMIFS(SALIDAS_TC,FECHA_TC,"&gt;="&amp;BH$2,FECHA_TC,"&lt;="&amp;BH$3,CLAVE_TC,$A55)+SUMIFS(SALIDAS_COMB,FECHA_COMB,"&gt;="&amp;BH$2,FECHA_COMB,"&lt;="&amp;BH$3,CLAVE_COMB,$A55)+SUMIFS(SALIDAS_DES,FECHA_DESGLOSEN,"&gt;="&amp;BH$2,FECHA_DESGLOSEN,"&lt;="&amp;BH$3,CLAVE_DESGLOSE,$A55)</f>
        <v>12296.71</v>
      </c>
      <c r="BI55" s="13">
        <f t="shared" si="121"/>
        <v>50182.71</v>
      </c>
      <c r="BJ55" s="68">
        <f t="shared" si="70"/>
        <v>42533.29</v>
      </c>
      <c r="BK55" s="268">
        <f t="shared" si="71"/>
        <v>0.54125188748436082</v>
      </c>
      <c r="BL55" s="13">
        <f t="shared" si="47"/>
        <v>59540</v>
      </c>
      <c r="BM55" s="13">
        <f>SUMIFS(SALIDAS_BIT,FECHA_BIT,"&gt;="&amp;BM$2,FECHA_BIT,"&lt;="&amp;BM$3,CLAVE_BIT,$A55)+SUMIFS(SALIDAS_BOV1,FECHA_BOV1,"&gt;="&amp;BM$2,FECHA_BOV1,"&lt;="&amp;BM$3,CLAVE_BOV1,$A55)+SUMIFS(SALIDAS_BOV2,FECHA_BOV2,"&gt;="&amp;BM$2,FECHA_BOV2,"&lt;="&amp;BM$3,CLAVE_BOV2,$A55)+SUMIFS(SALIDAS_BOV3,FECHA_BOV3,"&gt;="&amp;BM$2,FECHA_BOV3,"&lt;="&amp;BM$3,CLAVE_BOV3,$A55)+SUMIFS(SALIDAS_TC,FECHA_TC,"&gt;="&amp;BM$2,FECHA_TC,"&lt;="&amp;BM$3,CLAVE_TC,$A55)+SUMIFS(SALIDAS_COMB,FECHA_COMB,"&gt;="&amp;BM$2,FECHA_COMB,"&lt;="&amp;BM$3,CLAVE_COMB,$A55)+SUMIFS(SALIDAS_DES,FECHA_DESGLOSEN,"&gt;="&amp;BM$2,FECHA_DESGLOSEN,"&lt;="&amp;BM$3,CLAVE_DESGLOSE,$A55)</f>
        <v>33317</v>
      </c>
      <c r="BN55" s="13">
        <f>SUMIFS(SALIDAS_BIT,FECHA_BIT,"&gt;="&amp;BN$2,FECHA_BIT,"&lt;="&amp;BN$3,CLAVE_BIT,$A55)+SUMIFS(SALIDAS_BOV1,FECHA_BOV1,"&gt;="&amp;BN$2,FECHA_BOV1,"&lt;="&amp;BN$3,CLAVE_BOV1,$A55)+SUMIFS(SALIDAS_BOV2,FECHA_BOV2,"&gt;="&amp;BN$2,FECHA_BOV2,"&lt;="&amp;BN$3,CLAVE_BOV2,$A55)+SUMIFS(SALIDAS_BOV3,FECHA_BOV3,"&gt;="&amp;BN$2,FECHA_BOV3,"&lt;="&amp;BN$3,CLAVE_BOV3,$A55)+SUMIFS(SALIDAS_TC,FECHA_TC,"&gt;="&amp;BN$2,FECHA_TC,"&lt;="&amp;BN$3,CLAVE_TC,$A55)+SUMIFS(SALIDAS_COMB,FECHA_COMB,"&gt;="&amp;BN$2,FECHA_COMB,"&lt;="&amp;BN$3,CLAVE_COMB,$A55)+SUMIFS(SALIDAS_DES,FECHA_DESGLOSEN,"&gt;="&amp;BN$2,FECHA_DESGLOSEN,"&lt;="&amp;BN$3,CLAVE_DESGLOSE,$A55)</f>
        <v>16077</v>
      </c>
      <c r="BO55" s="13">
        <f>SUMIFS(SALIDAS_BIT,FECHA_BIT,"&gt;="&amp;BO$2,FECHA_BIT,"&lt;="&amp;BO$3,CLAVE_BIT,$A55)+SUMIFS(SALIDAS_BOV1,FECHA_BOV1,"&gt;="&amp;BO$2,FECHA_BOV1,"&lt;="&amp;BO$3,CLAVE_BOV1,$A55)+SUMIFS(SALIDAS_BOV2,FECHA_BOV2,"&gt;="&amp;BO$2,FECHA_BOV2,"&lt;="&amp;BO$3,CLAVE_BOV2,$A55)+SUMIFS(SALIDAS_BOV3,FECHA_BOV3,"&gt;="&amp;BO$2,FECHA_BOV3,"&lt;="&amp;BO$3,CLAVE_BOV3,$A55)+SUMIFS(SALIDAS_TC,FECHA_TC,"&gt;="&amp;BO$2,FECHA_TC,"&lt;="&amp;BO$3,CLAVE_TC,$A55)+SUMIFS(SALIDAS_COMB,FECHA_COMB,"&gt;="&amp;BO$2,FECHA_COMB,"&lt;="&amp;BO$3,CLAVE_COMB,$A55)+SUMIFS(SALIDAS_DES,FECHA_DESGLOSEN,"&gt;="&amp;BO$2,FECHA_DESGLOSEN,"&lt;="&amp;BO$3,CLAVE_DESGLOSE,$A55)</f>
        <v>7353</v>
      </c>
      <c r="BP55" s="13">
        <f>SUMIFS(SALIDAS_BIT,FECHA_BIT,"&gt;="&amp;BP$2,FECHA_BIT,"&lt;="&amp;BP$3,CLAVE_BIT,$A55)+SUMIFS(SALIDAS_BOV1,FECHA_BOV1,"&gt;="&amp;BP$2,FECHA_BOV1,"&lt;="&amp;BP$3,CLAVE_BOV1,$A55)+SUMIFS(SALIDAS_BOV2,FECHA_BOV2,"&gt;="&amp;BP$2,FECHA_BOV2,"&lt;="&amp;BP$3,CLAVE_BOV2,$A55)+SUMIFS(SALIDAS_BOV3,FECHA_BOV3,"&gt;="&amp;BP$2,FECHA_BOV3,"&lt;="&amp;BP$3,CLAVE_BOV3,$A55)+SUMIFS(SALIDAS_TC,FECHA_TC,"&gt;="&amp;BP$2,FECHA_TC,"&lt;="&amp;BP$3,CLAVE_TC,$A55)+SUMIFS(SALIDAS_COMB,FECHA_COMB,"&gt;="&amp;BP$2,FECHA_COMB,"&lt;="&amp;BP$3,CLAVE_COMB,$A55)+SUMIFS(SALIDAS_DES,FECHA_DESGLOSEN,"&gt;="&amp;BP$2,FECHA_DESGLOSEN,"&lt;="&amp;BP$3,CLAVE_DESGLOSE,$A55)</f>
        <v>14329</v>
      </c>
      <c r="BQ55" s="13">
        <f>SUMIFS(SALIDAS_BIT,FECHA_BIT,"&gt;="&amp;BQ$2,FECHA_BIT,"&lt;="&amp;BQ$3,CLAVE_BIT,$A55)+SUMIFS(SALIDAS_BOV1,FECHA_BOV1,"&gt;="&amp;BQ$2,FECHA_BOV1,"&lt;="&amp;BQ$3,CLAVE_BOV1,$A55)+SUMIFS(SALIDAS_BOV2,FECHA_BOV2,"&gt;="&amp;BQ$2,FECHA_BOV2,"&lt;="&amp;BQ$3,CLAVE_BOV2,$A55)+SUMIFS(SALIDAS_BOV3,FECHA_BOV3,"&gt;="&amp;BQ$2,FECHA_BOV3,"&lt;="&amp;BQ$3,CLAVE_BOV3,$A55)+SUMIFS(SALIDAS_TC,FECHA_TC,"&gt;="&amp;BQ$2,FECHA_TC,"&lt;="&amp;BQ$3,CLAVE_TC,$A55)+SUMIFS(SALIDAS_COMB,FECHA_COMB,"&gt;="&amp;BQ$2,FECHA_COMB,"&lt;="&amp;BQ$3,CLAVE_COMB,$A55)+SUMIFS(SALIDAS_DES,FECHA_DESGLOSEN,"&gt;="&amp;BQ$2,FECHA_DESGLOSEN,"&lt;="&amp;BQ$3,CLAVE_DESGLOSE,$A55)</f>
        <v>18783</v>
      </c>
      <c r="BR55" s="13">
        <f t="shared" si="122"/>
        <v>89859</v>
      </c>
      <c r="BS55" s="68">
        <f t="shared" si="72"/>
        <v>-30319</v>
      </c>
      <c r="BT55" s="268">
        <f t="shared" si="73"/>
        <v>1.5092206919717837</v>
      </c>
      <c r="BU55" s="13">
        <f t="shared" si="49"/>
        <v>37815</v>
      </c>
      <c r="BV55" s="13">
        <f t="shared" si="90"/>
        <v>10750</v>
      </c>
      <c r="BW55" s="13">
        <f t="shared" si="90"/>
        <v>6856.5</v>
      </c>
      <c r="BX55" s="13">
        <f t="shared" si="90"/>
        <v>13047.71</v>
      </c>
      <c r="BY55" s="13">
        <f t="shared" si="90"/>
        <v>6179.4</v>
      </c>
      <c r="BZ55" s="13">
        <f t="shared" si="116"/>
        <v>36833.61</v>
      </c>
      <c r="CA55" s="68">
        <f t="shared" si="74"/>
        <v>981.38999999999942</v>
      </c>
      <c r="CB55" s="268">
        <f t="shared" si="75"/>
        <v>0.9740476001586672</v>
      </c>
      <c r="CC55" s="13">
        <f t="shared" si="51"/>
        <v>35059</v>
      </c>
      <c r="CD55" s="13">
        <f t="shared" si="91"/>
        <v>6293</v>
      </c>
      <c r="CE55" s="13">
        <f t="shared" si="91"/>
        <v>17225.71</v>
      </c>
      <c r="CF55" s="13">
        <f t="shared" si="91"/>
        <v>250</v>
      </c>
      <c r="CG55" s="13">
        <f t="shared" si="91"/>
        <v>3777</v>
      </c>
      <c r="CH55" s="13">
        <f t="shared" si="117"/>
        <v>27545.71</v>
      </c>
      <c r="CI55" s="68">
        <f t="shared" si="76"/>
        <v>7513.2900000000009</v>
      </c>
      <c r="CJ55" s="268">
        <f t="shared" si="77"/>
        <v>0.78569582703442764</v>
      </c>
      <c r="CK55" s="13">
        <f t="shared" si="53"/>
        <v>48402</v>
      </c>
      <c r="CL55" s="13">
        <f t="shared" si="92"/>
        <v>1873</v>
      </c>
      <c r="CM55" s="13">
        <f t="shared" si="92"/>
        <v>0</v>
      </c>
      <c r="CN55" s="13">
        <f t="shared" si="92"/>
        <v>3684.29</v>
      </c>
      <c r="CO55" s="13">
        <f t="shared" si="92"/>
        <v>0</v>
      </c>
      <c r="CP55" s="13">
        <f t="shared" si="92"/>
        <v>0</v>
      </c>
      <c r="CQ55" s="13">
        <f t="shared" si="118"/>
        <v>5557.29</v>
      </c>
      <c r="CR55" s="68">
        <f t="shared" si="78"/>
        <v>42844.71</v>
      </c>
      <c r="CS55" s="268">
        <f t="shared" si="79"/>
        <v>0.11481529688855832</v>
      </c>
      <c r="CT55" s="68">
        <f t="shared" si="55"/>
        <v>0</v>
      </c>
      <c r="CU55" s="13">
        <f>SUMIFS(SALIDAS_BIT,FECHA_BIT,"&gt;="&amp;CU$2,FECHA_BIT,"&lt;="&amp;CU$3,CLAVE_BIT,$A55)+SUMIFS(SALIDAS_BOV1,FECHA_BOV1,"&gt;="&amp;CU$2,FECHA_BOV1,"&lt;="&amp;CU$3,CLAVE_BOV1,$A55)+SUMIFS(SALIDAS_BOV2,FECHA_BOV2,"&gt;="&amp;CU$2,FECHA_BOV2,"&lt;="&amp;CU$3,CLAVE_BOV2,$A55)+SUMIFS(SALIDAS_BOV3,FECHA_BOV3,"&gt;="&amp;CU$2,FECHA_BOV3,"&lt;="&amp;CU$3,CLAVE_BOV3,$A55)+SUMIFS(SALIDAS_TC,FECHA_TC,"&gt;="&amp;CU$2,FECHA_TC,"&lt;="&amp;CU$3,CLAVE_TC,$A55)+SUMIFS(SALIDAS_COMB,FECHA_COMB,"&gt;="&amp;CU$2,FECHA_COMB,"&lt;="&amp;CU$3,CLAVE_COMB,$A55)+SUMIFS(SALIDAS_DES,FECHA_DESGLOSEN,"&gt;="&amp;CU$2,FECHA_DESGLOSEN,"&lt;="&amp;CU$3,CLAVE_DESGLOSE,$A55)</f>
        <v>3630</v>
      </c>
      <c r="CV55" s="13">
        <f>SUMIFS(SALIDAS_BIT,FECHA_BIT,"&gt;="&amp;CV$2,FECHA_BIT,"&lt;="&amp;CV$3,CLAVE_BIT,$A55)+SUMIFS(SALIDAS_BOV1,FECHA_BOV1,"&gt;="&amp;CV$2,FECHA_BOV1,"&lt;="&amp;CV$3,CLAVE_BOV1,$A55)+SUMIFS(SALIDAS_BOV2,FECHA_BOV2,"&gt;="&amp;CV$2,FECHA_BOV2,"&lt;="&amp;CV$3,CLAVE_BOV2,$A55)+SUMIFS(SALIDAS_BOV3,FECHA_BOV3,"&gt;="&amp;CV$2,FECHA_BOV3,"&lt;="&amp;CV$3,CLAVE_BOV3,$A55)+SUMIFS(SALIDAS_TC,FECHA_TC,"&gt;="&amp;CV$2,FECHA_TC,"&lt;="&amp;CV$3,CLAVE_TC,$A55)+SUMIFS(SALIDAS_COMB,FECHA_COMB,"&gt;="&amp;CV$2,FECHA_COMB,"&lt;="&amp;CV$3,CLAVE_COMB,$A55)+SUMIFS(SALIDAS_DES,FECHA_DESGLOSEN,"&gt;="&amp;CV$2,FECHA_DESGLOSEN,"&lt;="&amp;CV$3,CLAVE_DESGLOSE,$A55)</f>
        <v>3532</v>
      </c>
      <c r="CW55" s="13">
        <f>SUMIFS(SALIDAS_BIT,FECHA_BIT,"&gt;="&amp;CW$2,FECHA_BIT,"&lt;="&amp;CW$3,CLAVE_BIT,$A55)+SUMIFS(SALIDAS_BOV1,FECHA_BOV1,"&gt;="&amp;CW$2,FECHA_BOV1,"&lt;="&amp;CW$3,CLAVE_BOV1,$A55)+SUMIFS(SALIDAS_BOV2,FECHA_BOV2,"&gt;="&amp;CW$2,FECHA_BOV2,"&lt;="&amp;CW$3,CLAVE_BOV2,$A55)+SUMIFS(SALIDAS_BOV3,FECHA_BOV3,"&gt;="&amp;CW$2,FECHA_BOV3,"&lt;="&amp;CW$3,CLAVE_BOV3,$A55)+SUMIFS(SALIDAS_TC,FECHA_TC,"&gt;="&amp;CW$2,FECHA_TC,"&lt;="&amp;CW$3,CLAVE_TC,$A55)+SUMIFS(SALIDAS_COMB,FECHA_COMB,"&gt;="&amp;CW$2,FECHA_COMB,"&lt;="&amp;CW$3,CLAVE_COMB,$A55)+SUMIFS(SALIDAS_DES,FECHA_DESGLOSEN,"&gt;="&amp;CW$2,FECHA_DESGLOSEN,"&lt;="&amp;CW$3,CLAVE_DESGLOSE,$A55)</f>
        <v>1414.29</v>
      </c>
      <c r="CX55" s="13">
        <f>SUMIFS(SALIDAS_BIT,FECHA_BIT,"&gt;="&amp;CX$2,FECHA_BIT,"&lt;="&amp;CX$3,CLAVE_BIT,$A55)+SUMIFS(SALIDAS_BOV1,FECHA_BOV1,"&gt;="&amp;CX$2,FECHA_BOV1,"&lt;="&amp;CX$3,CLAVE_BOV1,$A55)+SUMIFS(SALIDAS_BOV2,FECHA_BOV2,"&gt;="&amp;CX$2,FECHA_BOV2,"&lt;="&amp;CX$3,CLAVE_BOV2,$A55)+SUMIFS(SALIDAS_BOV3,FECHA_BOV3,"&gt;="&amp;CX$2,FECHA_BOV3,"&lt;="&amp;CX$3,CLAVE_BOV3,$A55)+SUMIFS(SALIDAS_TC,FECHA_TC,"&gt;="&amp;CX$2,FECHA_TC,"&lt;="&amp;CX$3,CLAVE_TC,$A55)+SUMIFS(SALIDAS_COMB,FECHA_COMB,"&gt;="&amp;CX$2,FECHA_COMB,"&lt;="&amp;CX$3,CLAVE_COMB,$A55)+SUMIFS(SALIDAS_DES,FECHA_DESGLOSEN,"&gt;="&amp;CX$2,FECHA_DESGLOSEN,"&lt;="&amp;CX$3,CLAVE_DESGLOSE,$A55)</f>
        <v>0</v>
      </c>
      <c r="CY55" s="13">
        <f>SUMIFS(SALIDAS_BIT,FECHA_BIT,"&gt;="&amp;CY$2,FECHA_BIT,"&lt;="&amp;CY$3,CLAVE_BIT,$A55)+SUMIFS(SALIDAS_BOV1,FECHA_BOV1,"&gt;="&amp;CY$2,FECHA_BOV1,"&lt;="&amp;CY$3,CLAVE_BOV1,$A55)+SUMIFS(SALIDAS_BOV2,FECHA_BOV2,"&gt;="&amp;CY$2,FECHA_BOV2,"&lt;="&amp;CY$3,CLAVE_BOV2,$A55)+SUMIFS(SALIDAS_BOV3,FECHA_BOV3,"&gt;="&amp;CY$2,FECHA_BOV3,"&lt;="&amp;CY$3,CLAVE_BOV3,$A55)+SUMIFS(SALIDAS_TC,FECHA_TC,"&gt;="&amp;CY$2,FECHA_TC,"&lt;="&amp;CY$3,CLAVE_TC,$A55)+SUMIFS(SALIDAS_COMB,FECHA_COMB,"&gt;="&amp;CY$2,FECHA_COMB,"&lt;="&amp;CY$3,CLAVE_COMB,$A55)+SUMIFS(SALIDAS_DES,FECHA_DESGLOSEN,"&gt;="&amp;CY$2,FECHA_DESGLOSEN,"&lt;="&amp;CY$3,CLAVE_DESGLOSE,$A55)</f>
        <v>8576.2900000000009</v>
      </c>
      <c r="CZ55" s="68">
        <f t="shared" si="80"/>
        <v>-8576.2900000000009</v>
      </c>
      <c r="DB55" s="17">
        <f>F55+N55+W55+AE55+AM55+AV55+BD55+BL55+BU55+CC55+CK55</f>
        <v>393332.6</v>
      </c>
      <c r="DC55" s="17">
        <f>K55+T55+AB55+AJ55+AS55+BA55+BI55+BR55+BZ55+CH55+CQ55</f>
        <v>488894.82</v>
      </c>
    </row>
    <row r="56" spans="1:107" hidden="1">
      <c r="A56" s="12" t="str">
        <f t="shared" si="57"/>
        <v>SERVICIOSVACACIONES/FINIQUITOSSERVICIOS</v>
      </c>
      <c r="B56" s="12">
        <v>52</v>
      </c>
      <c r="C56" t="s">
        <v>21</v>
      </c>
      <c r="D56" s="12" t="s">
        <v>190</v>
      </c>
      <c r="E56" s="12" t="s">
        <v>21</v>
      </c>
      <c r="F56" s="259">
        <f t="shared" si="58"/>
        <v>45424</v>
      </c>
      <c r="G56" s="13">
        <f t="shared" si="111"/>
        <v>13289.86</v>
      </c>
      <c r="H56" s="13">
        <f t="shared" si="111"/>
        <v>0</v>
      </c>
      <c r="I56" s="13">
        <f t="shared" si="111"/>
        <v>0</v>
      </c>
      <c r="J56" s="13">
        <f t="shared" si="111"/>
        <v>10000</v>
      </c>
      <c r="K56" s="13">
        <f t="shared" si="111"/>
        <v>23289.86</v>
      </c>
      <c r="L56" s="68">
        <f t="shared" si="59"/>
        <v>22134.14</v>
      </c>
      <c r="M56" s="268">
        <f t="shared" si="60"/>
        <v>0.51272146882705183</v>
      </c>
      <c r="N56" s="13">
        <f t="shared" si="36"/>
        <v>18742</v>
      </c>
      <c r="O56" s="13">
        <f t="shared" si="112"/>
        <v>10214.290000000001</v>
      </c>
      <c r="P56" s="13">
        <f t="shared" si="112"/>
        <v>23810</v>
      </c>
      <c r="Q56" s="13">
        <f t="shared" si="112"/>
        <v>22053.57</v>
      </c>
      <c r="R56" s="13">
        <f t="shared" si="112"/>
        <v>6782.86</v>
      </c>
      <c r="S56" s="13">
        <f t="shared" si="112"/>
        <v>0</v>
      </c>
      <c r="T56" s="13">
        <f t="shared" si="112"/>
        <v>62860.72</v>
      </c>
      <c r="U56" s="68">
        <f t="shared" si="61"/>
        <v>-44118.720000000001</v>
      </c>
      <c r="V56" s="268">
        <f t="shared" si="62"/>
        <v>3.3540027745171272</v>
      </c>
      <c r="W56" s="13">
        <f t="shared" si="38"/>
        <v>25572</v>
      </c>
      <c r="X56" s="13">
        <f t="shared" si="113"/>
        <v>0</v>
      </c>
      <c r="Y56" s="13">
        <f t="shared" si="113"/>
        <v>31178.71</v>
      </c>
      <c r="Z56" s="13">
        <f t="shared" si="113"/>
        <v>11262.28</v>
      </c>
      <c r="AA56" s="13">
        <f t="shared" si="113"/>
        <v>19285.71</v>
      </c>
      <c r="AB56" s="13">
        <f t="shared" si="113"/>
        <v>61726.7</v>
      </c>
      <c r="AC56" s="68">
        <f t="shared" si="63"/>
        <v>-36154.699999999997</v>
      </c>
      <c r="AD56" s="268">
        <f t="shared" si="64"/>
        <v>2.4138393555451274</v>
      </c>
      <c r="AE56" s="13">
        <f t="shared" si="40"/>
        <v>9887.2000000000007</v>
      </c>
      <c r="AF56" s="13">
        <f t="shared" si="114"/>
        <v>50000</v>
      </c>
      <c r="AG56" s="13">
        <f t="shared" si="114"/>
        <v>0</v>
      </c>
      <c r="AH56" s="13">
        <f t="shared" si="114"/>
        <v>10017</v>
      </c>
      <c r="AI56" s="13">
        <f t="shared" si="114"/>
        <v>0</v>
      </c>
      <c r="AJ56" s="13">
        <f t="shared" si="114"/>
        <v>60017</v>
      </c>
      <c r="AK56" s="68">
        <f t="shared" si="65"/>
        <v>-50129.8</v>
      </c>
      <c r="AL56" s="268">
        <f t="shared" si="66"/>
        <v>6.0701715349138272</v>
      </c>
      <c r="AM56" s="13">
        <f t="shared" si="42"/>
        <v>12125.8</v>
      </c>
      <c r="AN56" s="13">
        <f t="shared" si="115"/>
        <v>16951</v>
      </c>
      <c r="AO56" s="13">
        <f t="shared" si="115"/>
        <v>2035</v>
      </c>
      <c r="AP56" s="13">
        <f t="shared" si="115"/>
        <v>0</v>
      </c>
      <c r="AQ56" s="13">
        <f t="shared" si="115"/>
        <v>5142</v>
      </c>
      <c r="AR56" s="13">
        <f t="shared" si="115"/>
        <v>3004</v>
      </c>
      <c r="AS56" s="13">
        <f t="shared" si="115"/>
        <v>27132</v>
      </c>
      <c r="AT56" s="68">
        <f>AM56-AS56</f>
        <v>-15006.2</v>
      </c>
      <c r="AU56" s="268">
        <f t="shared" si="67"/>
        <v>2.2375430899404578</v>
      </c>
      <c r="AV56" s="13">
        <f t="shared" si="44"/>
        <v>88631</v>
      </c>
      <c r="AW56" s="13">
        <f t="shared" si="119"/>
        <v>0</v>
      </c>
      <c r="AX56" s="13">
        <f t="shared" si="119"/>
        <v>4361</v>
      </c>
      <c r="AY56" s="13">
        <f t="shared" si="119"/>
        <v>9398</v>
      </c>
      <c r="AZ56" s="13">
        <f t="shared" si="119"/>
        <v>1240</v>
      </c>
      <c r="BA56" s="13">
        <f t="shared" si="120"/>
        <v>14999</v>
      </c>
      <c r="BB56" s="68">
        <f t="shared" si="68"/>
        <v>73632</v>
      </c>
      <c r="BC56" s="268">
        <f t="shared" si="69"/>
        <v>0.16922972774762782</v>
      </c>
      <c r="BD56" s="13">
        <f t="shared" si="46"/>
        <v>3946</v>
      </c>
      <c r="BE56" s="13">
        <f>SUMIFS(SALIDAS_BIT,FECHA_BIT,"&gt;="&amp;BE$2,FECHA_BIT,"&lt;="&amp;BE$3,CLAVE_BIT,$A56)+SUMIFS(SALIDAS_BOV1,FECHA_BOV1,"&gt;="&amp;BE$2,FECHA_BOV1,"&lt;="&amp;BE$3,CLAVE_BOV1,$A56)+SUMIFS(SALIDAS_BOV2,FECHA_BOV2,"&gt;="&amp;BE$2,FECHA_BOV2,"&lt;="&amp;BE$3,CLAVE_BOV2,$A56)+SUMIFS(SALIDAS_BOV3,FECHA_BOV3,"&gt;="&amp;BE$2,FECHA_BOV3,"&lt;="&amp;BE$3,CLAVE_BOV3,$A56)+SUMIFS(SALIDAS_TC,FECHA_TC,"&gt;="&amp;BE$2,FECHA_TC,"&lt;="&amp;BE$3,CLAVE_TC,$A56)+SUMIFS(SALIDAS_COMB,FECHA_COMB,"&gt;="&amp;BE$2,FECHA_COMB,"&lt;="&amp;BE$3,CLAVE_COMB,$A56)+SUMIFS(SALIDAS_DES,FECHA_DESGLOSEN,"&gt;="&amp;BE$2,FECHA_DESGLOSEN,"&lt;="&amp;BE$3,CLAVE_DESGLOSE,$A56)</f>
        <v>6422</v>
      </c>
      <c r="BF56" s="13">
        <f>SUMIFS(SALIDAS_BIT,FECHA_BIT,"&gt;="&amp;BF$2,FECHA_BIT,"&lt;="&amp;BF$3,CLAVE_BIT,$A56)+SUMIFS(SALIDAS_BOV1,FECHA_BOV1,"&gt;="&amp;BF$2,FECHA_BOV1,"&lt;="&amp;BF$3,CLAVE_BOV1,$A56)+SUMIFS(SALIDAS_BOV2,FECHA_BOV2,"&gt;="&amp;BF$2,FECHA_BOV2,"&lt;="&amp;BF$3,CLAVE_BOV2,$A56)+SUMIFS(SALIDAS_BOV3,FECHA_BOV3,"&gt;="&amp;BF$2,FECHA_BOV3,"&lt;="&amp;BF$3,CLAVE_BOV3,$A56)+SUMIFS(SALIDAS_TC,FECHA_TC,"&gt;="&amp;BF$2,FECHA_TC,"&lt;="&amp;BF$3,CLAVE_TC,$A56)+SUMIFS(SALIDAS_COMB,FECHA_COMB,"&gt;="&amp;BF$2,FECHA_COMB,"&lt;="&amp;BF$3,CLAVE_COMB,$A56)+SUMIFS(SALIDAS_DES,FECHA_DESGLOSEN,"&gt;="&amp;BF$2,FECHA_DESGLOSEN,"&lt;="&amp;BF$3,CLAVE_DESGLOSE,$A56)</f>
        <v>5714</v>
      </c>
      <c r="BG56" s="13">
        <f>SUMIFS(SALIDAS_BIT,FECHA_BIT,"&gt;="&amp;BG$2,FECHA_BIT,"&lt;="&amp;BG$3,CLAVE_BIT,$A56)+SUMIFS(SALIDAS_BOV1,FECHA_BOV1,"&gt;="&amp;BG$2,FECHA_BOV1,"&lt;="&amp;BG$3,CLAVE_BOV1,$A56)+SUMIFS(SALIDAS_BOV2,FECHA_BOV2,"&gt;="&amp;BG$2,FECHA_BOV2,"&lt;="&amp;BG$3,CLAVE_BOV2,$A56)+SUMIFS(SALIDAS_BOV3,FECHA_BOV3,"&gt;="&amp;BG$2,FECHA_BOV3,"&lt;="&amp;BG$3,CLAVE_BOV3,$A56)+SUMIFS(SALIDAS_TC,FECHA_TC,"&gt;="&amp;BG$2,FECHA_TC,"&lt;="&amp;BG$3,CLAVE_TC,$A56)+SUMIFS(SALIDAS_COMB,FECHA_COMB,"&gt;="&amp;BG$2,FECHA_COMB,"&lt;="&amp;BG$3,CLAVE_COMB,$A56)+SUMIFS(SALIDAS_DES,FECHA_DESGLOSEN,"&gt;="&amp;BG$2,FECHA_DESGLOSEN,"&lt;="&amp;BG$3,CLAVE_DESGLOSE,$A56)</f>
        <v>18778</v>
      </c>
      <c r="BH56" s="13">
        <f>SUMIFS(SALIDAS_BIT,FECHA_BIT,"&gt;="&amp;BH$2,FECHA_BIT,"&lt;="&amp;BH$3,CLAVE_BIT,$A56)+SUMIFS(SALIDAS_BOV1,FECHA_BOV1,"&gt;="&amp;BH$2,FECHA_BOV1,"&lt;="&amp;BH$3,CLAVE_BOV1,$A56)+SUMIFS(SALIDAS_BOV2,FECHA_BOV2,"&gt;="&amp;BH$2,FECHA_BOV2,"&lt;="&amp;BH$3,CLAVE_BOV2,$A56)+SUMIFS(SALIDAS_BOV3,FECHA_BOV3,"&gt;="&amp;BH$2,FECHA_BOV3,"&lt;="&amp;BH$3,CLAVE_BOV3,$A56)+SUMIFS(SALIDAS_TC,FECHA_TC,"&gt;="&amp;BH$2,FECHA_TC,"&lt;="&amp;BH$3,CLAVE_TC,$A56)+SUMIFS(SALIDAS_COMB,FECHA_COMB,"&gt;="&amp;BH$2,FECHA_COMB,"&lt;="&amp;BH$3,CLAVE_COMB,$A56)+SUMIFS(SALIDAS_DES,FECHA_DESGLOSEN,"&gt;="&amp;BH$2,FECHA_DESGLOSEN,"&lt;="&amp;BH$3,CLAVE_DESGLOSE,$A56)</f>
        <v>12889</v>
      </c>
      <c r="BI56" s="13">
        <f t="shared" si="121"/>
        <v>43803</v>
      </c>
      <c r="BJ56" s="68">
        <f t="shared" si="70"/>
        <v>-39857</v>
      </c>
      <c r="BK56" s="268">
        <f t="shared" si="71"/>
        <v>11.100608210846426</v>
      </c>
      <c r="BL56" s="13">
        <f t="shared" si="47"/>
        <v>35033</v>
      </c>
      <c r="BM56" s="13">
        <f>SUMIFS(SALIDAS_BIT,FECHA_BIT,"&gt;="&amp;BM$2,FECHA_BIT,"&lt;="&amp;BM$3,CLAVE_BIT,$A56)+SUMIFS(SALIDAS_BOV1,FECHA_BOV1,"&gt;="&amp;BM$2,FECHA_BOV1,"&lt;="&amp;BM$3,CLAVE_BOV1,$A56)+SUMIFS(SALIDAS_BOV2,FECHA_BOV2,"&gt;="&amp;BM$2,FECHA_BOV2,"&lt;="&amp;BM$3,CLAVE_BOV2,$A56)+SUMIFS(SALIDAS_BOV3,FECHA_BOV3,"&gt;="&amp;BM$2,FECHA_BOV3,"&lt;="&amp;BM$3,CLAVE_BOV3,$A56)+SUMIFS(SALIDAS_TC,FECHA_TC,"&gt;="&amp;BM$2,FECHA_TC,"&lt;="&amp;BM$3,CLAVE_TC,$A56)+SUMIFS(SALIDAS_COMB,FECHA_COMB,"&gt;="&amp;BM$2,FECHA_COMB,"&lt;="&amp;BM$3,CLAVE_COMB,$A56)+SUMIFS(SALIDAS_DES,FECHA_DESGLOSEN,"&gt;="&amp;BM$2,FECHA_DESGLOSEN,"&lt;="&amp;BM$3,CLAVE_DESGLOSE,$A56)</f>
        <v>0</v>
      </c>
      <c r="BN56" s="13">
        <f>SUMIFS(SALIDAS_BIT,FECHA_BIT,"&gt;="&amp;BN$2,FECHA_BIT,"&lt;="&amp;BN$3,CLAVE_BIT,$A56)+SUMIFS(SALIDAS_BOV1,FECHA_BOV1,"&gt;="&amp;BN$2,FECHA_BOV1,"&lt;="&amp;BN$3,CLAVE_BOV1,$A56)+SUMIFS(SALIDAS_BOV2,FECHA_BOV2,"&gt;="&amp;BN$2,FECHA_BOV2,"&lt;="&amp;BN$3,CLAVE_BOV2,$A56)+SUMIFS(SALIDAS_BOV3,FECHA_BOV3,"&gt;="&amp;BN$2,FECHA_BOV3,"&lt;="&amp;BN$3,CLAVE_BOV3,$A56)+SUMIFS(SALIDAS_TC,FECHA_TC,"&gt;="&amp;BN$2,FECHA_TC,"&lt;="&amp;BN$3,CLAVE_TC,$A56)+SUMIFS(SALIDAS_COMB,FECHA_COMB,"&gt;="&amp;BN$2,FECHA_COMB,"&lt;="&amp;BN$3,CLAVE_COMB,$A56)+SUMIFS(SALIDAS_DES,FECHA_DESGLOSEN,"&gt;="&amp;BN$2,FECHA_DESGLOSEN,"&lt;="&amp;BN$3,CLAVE_DESGLOSE,$A56)</f>
        <v>4315</v>
      </c>
      <c r="BO56" s="13">
        <f>SUMIFS(SALIDAS_BIT,FECHA_BIT,"&gt;="&amp;BO$2,FECHA_BIT,"&lt;="&amp;BO$3,CLAVE_BIT,$A56)+SUMIFS(SALIDAS_BOV1,FECHA_BOV1,"&gt;="&amp;BO$2,FECHA_BOV1,"&lt;="&amp;BO$3,CLAVE_BOV1,$A56)+SUMIFS(SALIDAS_BOV2,FECHA_BOV2,"&gt;="&amp;BO$2,FECHA_BOV2,"&lt;="&amp;BO$3,CLAVE_BOV2,$A56)+SUMIFS(SALIDAS_BOV3,FECHA_BOV3,"&gt;="&amp;BO$2,FECHA_BOV3,"&lt;="&amp;BO$3,CLAVE_BOV3,$A56)+SUMIFS(SALIDAS_TC,FECHA_TC,"&gt;="&amp;BO$2,FECHA_TC,"&lt;="&amp;BO$3,CLAVE_TC,$A56)+SUMIFS(SALIDAS_COMB,FECHA_COMB,"&gt;="&amp;BO$2,FECHA_COMB,"&lt;="&amp;BO$3,CLAVE_COMB,$A56)+SUMIFS(SALIDAS_DES,FECHA_DESGLOSEN,"&gt;="&amp;BO$2,FECHA_DESGLOSEN,"&lt;="&amp;BO$3,CLAVE_DESGLOSE,$A56)</f>
        <v>2937</v>
      </c>
      <c r="BP56" s="13">
        <f>SUMIFS(SALIDAS_BIT,FECHA_BIT,"&gt;="&amp;BP$2,FECHA_BIT,"&lt;="&amp;BP$3,CLAVE_BIT,$A56)+SUMIFS(SALIDAS_BOV1,FECHA_BOV1,"&gt;="&amp;BP$2,FECHA_BOV1,"&lt;="&amp;BP$3,CLAVE_BOV1,$A56)+SUMIFS(SALIDAS_BOV2,FECHA_BOV2,"&gt;="&amp;BP$2,FECHA_BOV2,"&lt;="&amp;BP$3,CLAVE_BOV2,$A56)+SUMIFS(SALIDAS_BOV3,FECHA_BOV3,"&gt;="&amp;BP$2,FECHA_BOV3,"&lt;="&amp;BP$3,CLAVE_BOV3,$A56)+SUMIFS(SALIDAS_TC,FECHA_TC,"&gt;="&amp;BP$2,FECHA_TC,"&lt;="&amp;BP$3,CLAVE_TC,$A56)+SUMIFS(SALIDAS_COMB,FECHA_COMB,"&gt;="&amp;BP$2,FECHA_COMB,"&lt;="&amp;BP$3,CLAVE_COMB,$A56)+SUMIFS(SALIDAS_DES,FECHA_DESGLOSEN,"&gt;="&amp;BP$2,FECHA_DESGLOSEN,"&lt;="&amp;BP$3,CLAVE_DESGLOSE,$A56)</f>
        <v>3937</v>
      </c>
      <c r="BQ56" s="13">
        <f>SUMIFS(SALIDAS_BIT,FECHA_BIT,"&gt;="&amp;BQ$2,FECHA_BIT,"&lt;="&amp;BQ$3,CLAVE_BIT,$A56)+SUMIFS(SALIDAS_BOV1,FECHA_BOV1,"&gt;="&amp;BQ$2,FECHA_BOV1,"&lt;="&amp;BQ$3,CLAVE_BOV1,$A56)+SUMIFS(SALIDAS_BOV2,FECHA_BOV2,"&gt;="&amp;BQ$2,FECHA_BOV2,"&lt;="&amp;BQ$3,CLAVE_BOV2,$A56)+SUMIFS(SALIDAS_BOV3,FECHA_BOV3,"&gt;="&amp;BQ$2,FECHA_BOV3,"&lt;="&amp;BQ$3,CLAVE_BOV3,$A56)+SUMIFS(SALIDAS_TC,FECHA_TC,"&gt;="&amp;BQ$2,FECHA_TC,"&lt;="&amp;BQ$3,CLAVE_TC,$A56)+SUMIFS(SALIDAS_COMB,FECHA_COMB,"&gt;="&amp;BQ$2,FECHA_COMB,"&lt;="&amp;BQ$3,CLAVE_COMB,$A56)+SUMIFS(SALIDAS_DES,FECHA_DESGLOSEN,"&gt;="&amp;BQ$2,FECHA_DESGLOSEN,"&lt;="&amp;BQ$3,CLAVE_DESGLOSE,$A56)</f>
        <v>1366</v>
      </c>
      <c r="BR56" s="13">
        <f t="shared" si="122"/>
        <v>12555</v>
      </c>
      <c r="BS56" s="68">
        <f t="shared" si="72"/>
        <v>22478</v>
      </c>
      <c r="BT56" s="268">
        <f t="shared" si="73"/>
        <v>0.35837638797705024</v>
      </c>
      <c r="BU56" s="13">
        <f t="shared" si="49"/>
        <v>11750</v>
      </c>
      <c r="BV56" s="13">
        <f t="shared" si="90"/>
        <v>0</v>
      </c>
      <c r="BW56" s="13">
        <f t="shared" si="90"/>
        <v>12045</v>
      </c>
      <c r="BX56" s="13">
        <f t="shared" si="90"/>
        <v>1500</v>
      </c>
      <c r="BY56" s="13">
        <f t="shared" si="90"/>
        <v>1017.43</v>
      </c>
      <c r="BZ56" s="13">
        <f t="shared" si="116"/>
        <v>14562.43</v>
      </c>
      <c r="CA56" s="68">
        <f t="shared" si="74"/>
        <v>-2812.4300000000003</v>
      </c>
      <c r="CB56" s="268">
        <f t="shared" si="75"/>
        <v>1.2393557446808512</v>
      </c>
      <c r="CC56" s="13">
        <f t="shared" si="51"/>
        <v>5770</v>
      </c>
      <c r="CD56" s="13">
        <f t="shared" si="91"/>
        <v>0</v>
      </c>
      <c r="CE56" s="13">
        <f t="shared" si="91"/>
        <v>2566</v>
      </c>
      <c r="CF56" s="13">
        <f t="shared" si="91"/>
        <v>21670</v>
      </c>
      <c r="CG56" s="13">
        <f t="shared" si="91"/>
        <v>2510</v>
      </c>
      <c r="CH56" s="13">
        <f t="shared" si="117"/>
        <v>26746</v>
      </c>
      <c r="CI56" s="68">
        <f t="shared" si="76"/>
        <v>-20976</v>
      </c>
      <c r="CJ56" s="268">
        <f t="shared" si="77"/>
        <v>4.6353552859618716</v>
      </c>
      <c r="CK56" s="13">
        <f t="shared" si="53"/>
        <v>25370</v>
      </c>
      <c r="CL56" s="13">
        <f t="shared" si="92"/>
        <v>0</v>
      </c>
      <c r="CM56" s="13">
        <f t="shared" si="92"/>
        <v>0</v>
      </c>
      <c r="CN56" s="13">
        <f t="shared" si="92"/>
        <v>4160.29</v>
      </c>
      <c r="CO56" s="13">
        <f t="shared" si="92"/>
        <v>8998</v>
      </c>
      <c r="CP56" s="13">
        <f t="shared" si="92"/>
        <v>4910.71</v>
      </c>
      <c r="CQ56" s="13">
        <f t="shared" si="118"/>
        <v>18069</v>
      </c>
      <c r="CR56" s="68">
        <f t="shared" si="78"/>
        <v>7301</v>
      </c>
      <c r="CS56" s="268">
        <f t="shared" si="79"/>
        <v>0.71221915648403622</v>
      </c>
      <c r="CT56" s="68">
        <f t="shared" si="55"/>
        <v>0</v>
      </c>
      <c r="CU56" s="13">
        <f>SUMIFS(SALIDAS_BIT,FECHA_BIT,"&gt;="&amp;CU$2,FECHA_BIT,"&lt;="&amp;CU$3,CLAVE_BIT,$A56)+SUMIFS(SALIDAS_BOV1,FECHA_BOV1,"&gt;="&amp;CU$2,FECHA_BOV1,"&lt;="&amp;CU$3,CLAVE_BOV1,$A56)+SUMIFS(SALIDAS_BOV2,FECHA_BOV2,"&gt;="&amp;CU$2,FECHA_BOV2,"&lt;="&amp;CU$3,CLAVE_BOV2,$A56)+SUMIFS(SALIDAS_BOV3,FECHA_BOV3,"&gt;="&amp;CU$2,FECHA_BOV3,"&lt;="&amp;CU$3,CLAVE_BOV3,$A56)+SUMIFS(SALIDAS_TC,FECHA_TC,"&gt;="&amp;CU$2,FECHA_TC,"&lt;="&amp;CU$3,CLAVE_TC,$A56)+SUMIFS(SALIDAS_COMB,FECHA_COMB,"&gt;="&amp;CU$2,FECHA_COMB,"&lt;="&amp;CU$3,CLAVE_COMB,$A56)+SUMIFS(SALIDAS_DES,FECHA_DESGLOSEN,"&gt;="&amp;CU$2,FECHA_DESGLOSEN,"&lt;="&amp;CU$3,CLAVE_DESGLOSE,$A56)</f>
        <v>4085.14</v>
      </c>
      <c r="CV56" s="13">
        <f>SUMIFS(SALIDAS_BIT,FECHA_BIT,"&gt;="&amp;CV$2,FECHA_BIT,"&lt;="&amp;CV$3,CLAVE_BIT,$A56)+SUMIFS(SALIDAS_BOV1,FECHA_BOV1,"&gt;="&amp;CV$2,FECHA_BOV1,"&lt;="&amp;CV$3,CLAVE_BOV1,$A56)+SUMIFS(SALIDAS_BOV2,FECHA_BOV2,"&gt;="&amp;CV$2,FECHA_BOV2,"&lt;="&amp;CV$3,CLAVE_BOV2,$A56)+SUMIFS(SALIDAS_BOV3,FECHA_BOV3,"&gt;="&amp;CV$2,FECHA_BOV3,"&lt;="&amp;CV$3,CLAVE_BOV3,$A56)+SUMIFS(SALIDAS_TC,FECHA_TC,"&gt;="&amp;CV$2,FECHA_TC,"&lt;="&amp;CV$3,CLAVE_TC,$A56)+SUMIFS(SALIDAS_COMB,FECHA_COMB,"&gt;="&amp;CV$2,FECHA_COMB,"&lt;="&amp;CV$3,CLAVE_COMB,$A56)+SUMIFS(SALIDAS_DES,FECHA_DESGLOSEN,"&gt;="&amp;CV$2,FECHA_DESGLOSEN,"&lt;="&amp;CV$3,CLAVE_DESGLOSE,$A56)</f>
        <v>1387</v>
      </c>
      <c r="CW56" s="13">
        <f>SUMIFS(SALIDAS_BIT,FECHA_BIT,"&gt;="&amp;CW$2,FECHA_BIT,"&lt;="&amp;CW$3,CLAVE_BIT,$A56)+SUMIFS(SALIDAS_BOV1,FECHA_BOV1,"&gt;="&amp;CW$2,FECHA_BOV1,"&lt;="&amp;CW$3,CLAVE_BOV1,$A56)+SUMIFS(SALIDAS_BOV2,FECHA_BOV2,"&gt;="&amp;CW$2,FECHA_BOV2,"&lt;="&amp;CW$3,CLAVE_BOV2,$A56)+SUMIFS(SALIDAS_BOV3,FECHA_BOV3,"&gt;="&amp;CW$2,FECHA_BOV3,"&lt;="&amp;CW$3,CLAVE_BOV3,$A56)+SUMIFS(SALIDAS_TC,FECHA_TC,"&gt;="&amp;CW$2,FECHA_TC,"&lt;="&amp;CW$3,CLAVE_TC,$A56)+SUMIFS(SALIDAS_COMB,FECHA_COMB,"&gt;="&amp;CW$2,FECHA_COMB,"&lt;="&amp;CW$3,CLAVE_COMB,$A56)+SUMIFS(SALIDAS_DES,FECHA_DESGLOSEN,"&gt;="&amp;CW$2,FECHA_DESGLOSEN,"&lt;="&amp;CW$3,CLAVE_DESGLOSE,$A56)</f>
        <v>2357.14</v>
      </c>
      <c r="CX56" s="13">
        <f>SUMIFS(SALIDAS_BIT,FECHA_BIT,"&gt;="&amp;CX$2,FECHA_BIT,"&lt;="&amp;CX$3,CLAVE_BIT,$A56)+SUMIFS(SALIDAS_BOV1,FECHA_BOV1,"&gt;="&amp;CX$2,FECHA_BOV1,"&lt;="&amp;CX$3,CLAVE_BOV1,$A56)+SUMIFS(SALIDAS_BOV2,FECHA_BOV2,"&gt;="&amp;CX$2,FECHA_BOV2,"&lt;="&amp;CX$3,CLAVE_BOV2,$A56)+SUMIFS(SALIDAS_BOV3,FECHA_BOV3,"&gt;="&amp;CX$2,FECHA_BOV3,"&lt;="&amp;CX$3,CLAVE_BOV3,$A56)+SUMIFS(SALIDAS_TC,FECHA_TC,"&gt;="&amp;CX$2,FECHA_TC,"&lt;="&amp;CX$3,CLAVE_TC,$A56)+SUMIFS(SALIDAS_COMB,FECHA_COMB,"&gt;="&amp;CX$2,FECHA_COMB,"&lt;="&amp;CX$3,CLAVE_COMB,$A56)+SUMIFS(SALIDAS_DES,FECHA_DESGLOSEN,"&gt;="&amp;CX$2,FECHA_DESGLOSEN,"&lt;="&amp;CX$3,CLAVE_DESGLOSE,$A56)</f>
        <v>0</v>
      </c>
      <c r="CY56" s="13">
        <f>SUMIFS(SALIDAS_BIT,FECHA_BIT,"&gt;="&amp;CY$2,FECHA_BIT,"&lt;="&amp;CY$3,CLAVE_BIT,$A56)+SUMIFS(SALIDAS_BOV1,FECHA_BOV1,"&gt;="&amp;CY$2,FECHA_BOV1,"&lt;="&amp;CY$3,CLAVE_BOV1,$A56)+SUMIFS(SALIDAS_BOV2,FECHA_BOV2,"&gt;="&amp;CY$2,FECHA_BOV2,"&lt;="&amp;CY$3,CLAVE_BOV2,$A56)+SUMIFS(SALIDAS_BOV3,FECHA_BOV3,"&gt;="&amp;CY$2,FECHA_BOV3,"&lt;="&amp;CY$3,CLAVE_BOV3,$A56)+SUMIFS(SALIDAS_TC,FECHA_TC,"&gt;="&amp;CY$2,FECHA_TC,"&lt;="&amp;CY$3,CLAVE_TC,$A56)+SUMIFS(SALIDAS_COMB,FECHA_COMB,"&gt;="&amp;CY$2,FECHA_COMB,"&lt;="&amp;CY$3,CLAVE_COMB,$A56)+SUMIFS(SALIDAS_DES,FECHA_DESGLOSEN,"&gt;="&amp;CY$2,FECHA_DESGLOSEN,"&lt;="&amp;CY$3,CLAVE_DESGLOSE,$A56)</f>
        <v>7829.28</v>
      </c>
      <c r="CZ56" s="68">
        <f t="shared" si="80"/>
        <v>-7829.28</v>
      </c>
      <c r="DB56" s="17">
        <f>F56+N56+W56+AE56+AM56+AV56+BD56+BL56+BU56+CC56+CK56</f>
        <v>282251</v>
      </c>
      <c r="DC56" s="17">
        <f>K56+T56+AB56+AJ56+AS56+BA56+BI56+BR56+BZ56+CH56+CQ56</f>
        <v>365760.71</v>
      </c>
    </row>
    <row r="57" spans="1:107" hidden="1">
      <c r="A57" s="12" t="str">
        <f t="shared" si="57"/>
        <v>FINANZASVACACIONES/FINIQUITOSFINANZAS</v>
      </c>
      <c r="B57" s="12">
        <v>54</v>
      </c>
      <c r="C57" t="s">
        <v>23</v>
      </c>
      <c r="D57" s="12" t="s">
        <v>190</v>
      </c>
      <c r="E57" s="12" t="s">
        <v>23</v>
      </c>
      <c r="F57" s="259">
        <f t="shared" si="58"/>
        <v>10615</v>
      </c>
      <c r="G57" s="13">
        <f t="shared" ref="G57:K66" si="123">SUMIFS(SALIDAS_BIT,FECHA_BIT,"&gt;="&amp;G$2,FECHA_BIT,"&lt;="&amp;G$3,CLAVE_BIT,$A57)+SUMIFS(SALIDAS_BOV1,FECHA_BOV1,"&gt;="&amp;G$2,FECHA_BOV1,"&lt;="&amp;G$3,CLAVE_BOV1,$A57)+SUMIFS(SALIDAS_BOV2,FECHA_BOV2,"&gt;="&amp;G$2,FECHA_BOV2,"&lt;="&amp;G$3,CLAVE_BOV2,$A57)+SUMIFS(SALIDAS_BOV3,FECHA_BOV3,"&gt;="&amp;G$2,FECHA_BOV3,"&lt;="&amp;G$3,CLAVE_BOV3,$A57)+SUMIFS(SALIDAS_TC,FECHA_TC,"&gt;="&amp;G$2,FECHA_TC,"&lt;="&amp;G$3,CLAVE_TC,$A57)+SUMIFS(SALIDAS_COMB,FECHA_COMB,"&gt;="&amp;G$2,FECHA_COMB,"&lt;="&amp;G$3,CLAVE_COMB,$A57)+SUMIFS(SALIDAS_DES,FECHA_DESGLOSEN,"&gt;="&amp;G$2,FECHA_DESGLOSEN,"&lt;="&amp;G$3,CLAVE_DESGLOSE,$A57)</f>
        <v>53240.43</v>
      </c>
      <c r="H57" s="13">
        <f t="shared" si="123"/>
        <v>0</v>
      </c>
      <c r="I57" s="13">
        <f t="shared" si="123"/>
        <v>0</v>
      </c>
      <c r="J57" s="13">
        <f t="shared" si="123"/>
        <v>13211</v>
      </c>
      <c r="K57" s="13">
        <f t="shared" si="123"/>
        <v>66451.429999999993</v>
      </c>
      <c r="L57" s="68">
        <f t="shared" si="59"/>
        <v>-55836.429999999993</v>
      </c>
      <c r="M57" s="268">
        <f t="shared" si="60"/>
        <v>6.2601441356570886</v>
      </c>
      <c r="N57" s="13">
        <f t="shared" si="36"/>
        <v>11962</v>
      </c>
      <c r="O57" s="13">
        <f t="shared" ref="O57:T66" si="124">SUMIFS(SALIDAS_BIT,FECHA_BIT,"&gt;="&amp;O$2,FECHA_BIT,"&lt;="&amp;O$3,CLAVE_BIT,$A57)+SUMIFS(SALIDAS_BOV1,FECHA_BOV1,"&gt;="&amp;O$2,FECHA_BOV1,"&lt;="&amp;O$3,CLAVE_BOV1,$A57)+SUMIFS(SALIDAS_BOV2,FECHA_BOV2,"&gt;="&amp;O$2,FECHA_BOV2,"&lt;="&amp;O$3,CLAVE_BOV2,$A57)+SUMIFS(SALIDAS_BOV3,FECHA_BOV3,"&gt;="&amp;O$2,FECHA_BOV3,"&lt;="&amp;O$3,CLAVE_BOV3,$A57)+SUMIFS(SALIDAS_TC,FECHA_TC,"&gt;="&amp;O$2,FECHA_TC,"&lt;="&amp;O$3,CLAVE_TC,$A57)+SUMIFS(SALIDAS_COMB,FECHA_COMB,"&gt;="&amp;O$2,FECHA_COMB,"&lt;="&amp;O$3,CLAVE_COMB,$A57)+SUMIFS(SALIDAS_DES,FECHA_DESGLOSEN,"&gt;="&amp;O$2,FECHA_DESGLOSEN,"&lt;="&amp;O$3,CLAVE_DESGLOSE,$A57)</f>
        <v>0</v>
      </c>
      <c r="P57" s="13">
        <f t="shared" si="124"/>
        <v>0</v>
      </c>
      <c r="Q57" s="13">
        <f t="shared" si="124"/>
        <v>5087.1400000000003</v>
      </c>
      <c r="R57" s="13">
        <f t="shared" si="124"/>
        <v>0</v>
      </c>
      <c r="S57" s="13">
        <f t="shared" si="124"/>
        <v>13750</v>
      </c>
      <c r="T57" s="13">
        <f t="shared" si="124"/>
        <v>18837.14</v>
      </c>
      <c r="U57" s="68">
        <f t="shared" si="61"/>
        <v>-6875.1399999999994</v>
      </c>
      <c r="V57" s="268">
        <f t="shared" si="62"/>
        <v>1.5747483698378197</v>
      </c>
      <c r="W57" s="13">
        <f t="shared" si="38"/>
        <v>9821</v>
      </c>
      <c r="X57" s="13">
        <f t="shared" ref="X57:AB66" si="125">SUMIFS(SALIDAS_BIT,FECHA_BIT,"&gt;="&amp;X$2,FECHA_BIT,"&lt;="&amp;X$3,CLAVE_BIT,$A57)+SUMIFS(SALIDAS_BOV1,FECHA_BOV1,"&gt;="&amp;X$2,FECHA_BOV1,"&lt;="&amp;X$3,CLAVE_BOV1,$A57)+SUMIFS(SALIDAS_BOV2,FECHA_BOV2,"&gt;="&amp;X$2,FECHA_BOV2,"&lt;="&amp;X$3,CLAVE_BOV2,$A57)+SUMIFS(SALIDAS_BOV3,FECHA_BOV3,"&gt;="&amp;X$2,FECHA_BOV3,"&lt;="&amp;X$3,CLAVE_BOV3,$A57)+SUMIFS(SALIDAS_TC,FECHA_TC,"&gt;="&amp;X$2,FECHA_TC,"&lt;="&amp;X$3,CLAVE_TC,$A57)+SUMIFS(SALIDAS_COMB,FECHA_COMB,"&gt;="&amp;X$2,FECHA_COMB,"&lt;="&amp;X$3,CLAVE_COMB,$A57)+SUMIFS(SALIDAS_DES,FECHA_DESGLOSEN,"&gt;="&amp;X$2,FECHA_DESGLOSEN,"&lt;="&amp;X$3,CLAVE_DESGLOSE,$A57)</f>
        <v>0</v>
      </c>
      <c r="Y57" s="13">
        <f t="shared" si="125"/>
        <v>0</v>
      </c>
      <c r="Z57" s="13">
        <f t="shared" si="125"/>
        <v>0</v>
      </c>
      <c r="AA57" s="13">
        <f t="shared" si="125"/>
        <v>0</v>
      </c>
      <c r="AB57" s="13">
        <f t="shared" si="125"/>
        <v>0</v>
      </c>
      <c r="AC57" s="68">
        <f t="shared" si="63"/>
        <v>9821</v>
      </c>
      <c r="AD57" s="268">
        <f t="shared" si="64"/>
        <v>0</v>
      </c>
      <c r="AE57" s="13">
        <f t="shared" si="40"/>
        <v>3000</v>
      </c>
      <c r="AF57" s="13">
        <f t="shared" ref="AF57:AJ66" si="126">SUMIFS(SALIDAS_BIT,FECHA_BIT,"&gt;="&amp;AF$2,FECHA_BIT,"&lt;="&amp;AF$3,CLAVE_BIT,$A57)+SUMIFS(SALIDAS_BOV1,FECHA_BOV1,"&gt;="&amp;AF$2,FECHA_BOV1,"&lt;="&amp;AF$3,CLAVE_BOV1,$A57)+SUMIFS(SALIDAS_BOV2,FECHA_BOV2,"&gt;="&amp;AF$2,FECHA_BOV2,"&lt;="&amp;AF$3,CLAVE_BOV2,$A57)+SUMIFS(SALIDAS_BOV3,FECHA_BOV3,"&gt;="&amp;AF$2,FECHA_BOV3,"&lt;="&amp;AF$3,CLAVE_BOV3,$A57)+SUMIFS(SALIDAS_TC,FECHA_TC,"&gt;="&amp;AF$2,FECHA_TC,"&lt;="&amp;AF$3,CLAVE_TC,$A57)+SUMIFS(SALIDAS_COMB,FECHA_COMB,"&gt;="&amp;AF$2,FECHA_COMB,"&lt;="&amp;AF$3,CLAVE_COMB,$A57)+SUMIFS(SALIDAS_DES,FECHA_DESGLOSEN,"&gt;="&amp;AF$2,FECHA_DESGLOSEN,"&lt;="&amp;AF$3,CLAVE_DESGLOSE,$A57)</f>
        <v>6943</v>
      </c>
      <c r="AG57" s="13">
        <f t="shared" si="126"/>
        <v>0</v>
      </c>
      <c r="AH57" s="13">
        <f t="shared" si="126"/>
        <v>3000</v>
      </c>
      <c r="AI57" s="13">
        <f t="shared" si="126"/>
        <v>6557</v>
      </c>
      <c r="AJ57" s="13">
        <f t="shared" si="126"/>
        <v>16500</v>
      </c>
      <c r="AK57" s="68">
        <f t="shared" si="65"/>
        <v>-13500</v>
      </c>
      <c r="AL57" s="268">
        <f t="shared" si="66"/>
        <v>5.5</v>
      </c>
      <c r="AM57" s="13">
        <f t="shared" si="42"/>
        <v>2966.4</v>
      </c>
      <c r="AN57" s="13">
        <f t="shared" ref="AN57:AS66" si="127">SUMIFS(SALIDAS_BIT,FECHA_BIT,"&gt;="&amp;AN$2,FECHA_BIT,"&lt;="&amp;AN$3,CLAVE_BIT,$A57)+SUMIFS(SALIDAS_BOV1,FECHA_BOV1,"&gt;="&amp;AN$2,FECHA_BOV1,"&lt;="&amp;AN$3,CLAVE_BOV1,$A57)+SUMIFS(SALIDAS_BOV2,FECHA_BOV2,"&gt;="&amp;AN$2,FECHA_BOV2,"&lt;="&amp;AN$3,CLAVE_BOV2,$A57)+SUMIFS(SALIDAS_BOV3,FECHA_BOV3,"&gt;="&amp;AN$2,FECHA_BOV3,"&lt;="&amp;AN$3,CLAVE_BOV3,$A57)+SUMIFS(SALIDAS_TC,FECHA_TC,"&gt;="&amp;AN$2,FECHA_TC,"&lt;="&amp;AN$3,CLAVE_TC,$A57)+SUMIFS(SALIDAS_COMB,FECHA_COMB,"&gt;="&amp;AN$2,FECHA_COMB,"&lt;="&amp;AN$3,CLAVE_COMB,$A57)+SUMIFS(SALIDAS_DES,FECHA_DESGLOSEN,"&gt;="&amp;AN$2,FECHA_DESGLOSEN,"&lt;="&amp;AN$3,CLAVE_DESGLOSE,$A57)</f>
        <v>0</v>
      </c>
      <c r="AO57" s="13">
        <f t="shared" si="127"/>
        <v>0</v>
      </c>
      <c r="AP57" s="13">
        <f t="shared" si="127"/>
        <v>0</v>
      </c>
      <c r="AQ57" s="13">
        <f t="shared" si="127"/>
        <v>0</v>
      </c>
      <c r="AR57" s="13">
        <f t="shared" si="127"/>
        <v>0</v>
      </c>
      <c r="AS57" s="13">
        <f t="shared" si="127"/>
        <v>0</v>
      </c>
      <c r="AT57" s="68">
        <f>AM57-AS57</f>
        <v>2966.4</v>
      </c>
      <c r="AU57" s="268">
        <f t="shared" si="67"/>
        <v>0</v>
      </c>
      <c r="AV57" s="13">
        <f t="shared" si="44"/>
        <v>0</v>
      </c>
      <c r="AW57" s="13">
        <f t="shared" si="119"/>
        <v>0</v>
      </c>
      <c r="AX57" s="13">
        <f t="shared" si="119"/>
        <v>0</v>
      </c>
      <c r="AY57" s="13">
        <f t="shared" si="119"/>
        <v>6460</v>
      </c>
      <c r="AZ57" s="13">
        <f t="shared" si="119"/>
        <v>0</v>
      </c>
      <c r="BA57" s="13">
        <f t="shared" si="120"/>
        <v>6460</v>
      </c>
      <c r="BB57" s="68">
        <f t="shared" si="68"/>
        <v>-6460</v>
      </c>
      <c r="BC57" s="268">
        <f t="shared" si="69"/>
        <v>0</v>
      </c>
      <c r="BD57" s="13">
        <f t="shared" si="46"/>
        <v>21128</v>
      </c>
      <c r="BE57" s="13">
        <f>SUMIFS(SALIDAS_BIT,FECHA_BIT,"&gt;="&amp;BE$2,FECHA_BIT,"&lt;="&amp;BE$3,CLAVE_BIT,$A57)+SUMIFS(SALIDAS_BOV1,FECHA_BOV1,"&gt;="&amp;BE$2,FECHA_BOV1,"&lt;="&amp;BE$3,CLAVE_BOV1,$A57)+SUMIFS(SALIDAS_BOV2,FECHA_BOV2,"&gt;="&amp;BE$2,FECHA_BOV2,"&lt;="&amp;BE$3,CLAVE_BOV2,$A57)+SUMIFS(SALIDAS_BOV3,FECHA_BOV3,"&gt;="&amp;BE$2,FECHA_BOV3,"&lt;="&amp;BE$3,CLAVE_BOV3,$A57)+SUMIFS(SALIDAS_TC,FECHA_TC,"&gt;="&amp;BE$2,FECHA_TC,"&lt;="&amp;BE$3,CLAVE_TC,$A57)+SUMIFS(SALIDAS_COMB,FECHA_COMB,"&gt;="&amp;BE$2,FECHA_COMB,"&lt;="&amp;BE$3,CLAVE_COMB,$A57)+SUMIFS(SALIDAS_DES,FECHA_DESGLOSEN,"&gt;="&amp;BE$2,FECHA_DESGLOSEN,"&lt;="&amp;BE$3,CLAVE_DESGLOSE,$A57)</f>
        <v>0</v>
      </c>
      <c r="BF57" s="13">
        <f>SUMIFS(SALIDAS_BIT,FECHA_BIT,"&gt;="&amp;BF$2,FECHA_BIT,"&lt;="&amp;BF$3,CLAVE_BIT,$A57)+SUMIFS(SALIDAS_BOV1,FECHA_BOV1,"&gt;="&amp;BF$2,FECHA_BOV1,"&lt;="&amp;BF$3,CLAVE_BOV1,$A57)+SUMIFS(SALIDAS_BOV2,FECHA_BOV2,"&gt;="&amp;BF$2,FECHA_BOV2,"&lt;="&amp;BF$3,CLAVE_BOV2,$A57)+SUMIFS(SALIDAS_BOV3,FECHA_BOV3,"&gt;="&amp;BF$2,FECHA_BOV3,"&lt;="&amp;BF$3,CLAVE_BOV3,$A57)+SUMIFS(SALIDAS_TC,FECHA_TC,"&gt;="&amp;BF$2,FECHA_TC,"&lt;="&amp;BF$3,CLAVE_TC,$A57)+SUMIFS(SALIDAS_COMB,FECHA_COMB,"&gt;="&amp;BF$2,FECHA_COMB,"&lt;="&amp;BF$3,CLAVE_COMB,$A57)+SUMIFS(SALIDAS_DES,FECHA_DESGLOSEN,"&gt;="&amp;BF$2,FECHA_DESGLOSEN,"&lt;="&amp;BF$3,CLAVE_DESGLOSE,$A57)</f>
        <v>0</v>
      </c>
      <c r="BG57" s="13">
        <f>SUMIFS(SALIDAS_BIT,FECHA_BIT,"&gt;="&amp;BG$2,FECHA_BIT,"&lt;="&amp;BG$3,CLAVE_BIT,$A57)+SUMIFS(SALIDAS_BOV1,FECHA_BOV1,"&gt;="&amp;BG$2,FECHA_BOV1,"&lt;="&amp;BG$3,CLAVE_BOV1,$A57)+SUMIFS(SALIDAS_BOV2,FECHA_BOV2,"&gt;="&amp;BG$2,FECHA_BOV2,"&lt;="&amp;BG$3,CLAVE_BOV2,$A57)+SUMIFS(SALIDAS_BOV3,FECHA_BOV3,"&gt;="&amp;BG$2,FECHA_BOV3,"&lt;="&amp;BG$3,CLAVE_BOV3,$A57)+SUMIFS(SALIDAS_TC,FECHA_TC,"&gt;="&amp;BG$2,FECHA_TC,"&lt;="&amp;BG$3,CLAVE_TC,$A57)+SUMIFS(SALIDAS_COMB,FECHA_COMB,"&gt;="&amp;BG$2,FECHA_COMB,"&lt;="&amp;BG$3,CLAVE_COMB,$A57)+SUMIFS(SALIDAS_DES,FECHA_DESGLOSEN,"&gt;="&amp;BG$2,FECHA_DESGLOSEN,"&lt;="&amp;BG$3,CLAVE_DESGLOSE,$A57)</f>
        <v>0</v>
      </c>
      <c r="BH57" s="13">
        <f>SUMIFS(SALIDAS_BIT,FECHA_BIT,"&gt;="&amp;BH$2,FECHA_BIT,"&lt;="&amp;BH$3,CLAVE_BIT,$A57)+SUMIFS(SALIDAS_BOV1,FECHA_BOV1,"&gt;="&amp;BH$2,FECHA_BOV1,"&lt;="&amp;BH$3,CLAVE_BOV1,$A57)+SUMIFS(SALIDAS_BOV2,FECHA_BOV2,"&gt;="&amp;BH$2,FECHA_BOV2,"&lt;="&amp;BH$3,CLAVE_BOV2,$A57)+SUMIFS(SALIDAS_BOV3,FECHA_BOV3,"&gt;="&amp;BH$2,FECHA_BOV3,"&lt;="&amp;BH$3,CLAVE_BOV3,$A57)+SUMIFS(SALIDAS_TC,FECHA_TC,"&gt;="&amp;BH$2,FECHA_TC,"&lt;="&amp;BH$3,CLAVE_TC,$A57)+SUMIFS(SALIDAS_COMB,FECHA_COMB,"&gt;="&amp;BH$2,FECHA_COMB,"&lt;="&amp;BH$3,CLAVE_COMB,$A57)+SUMIFS(SALIDAS_DES,FECHA_DESGLOSEN,"&gt;="&amp;BH$2,FECHA_DESGLOSEN,"&lt;="&amp;BH$3,CLAVE_DESGLOSE,$A57)</f>
        <v>0</v>
      </c>
      <c r="BI57" s="13">
        <f t="shared" si="121"/>
        <v>0</v>
      </c>
      <c r="BJ57" s="68">
        <f t="shared" si="70"/>
        <v>21128</v>
      </c>
      <c r="BK57" s="268">
        <f t="shared" si="71"/>
        <v>0</v>
      </c>
      <c r="BL57" s="13">
        <f t="shared" si="47"/>
        <v>0</v>
      </c>
      <c r="BM57" s="13">
        <f>SUMIFS(SALIDAS_BIT,FECHA_BIT,"&gt;="&amp;BM$2,FECHA_BIT,"&lt;="&amp;BM$3,CLAVE_BIT,$A57)+SUMIFS(SALIDAS_BOV1,FECHA_BOV1,"&gt;="&amp;BM$2,FECHA_BOV1,"&lt;="&amp;BM$3,CLAVE_BOV1,$A57)+SUMIFS(SALIDAS_BOV2,FECHA_BOV2,"&gt;="&amp;BM$2,FECHA_BOV2,"&lt;="&amp;BM$3,CLAVE_BOV2,$A57)+SUMIFS(SALIDAS_BOV3,FECHA_BOV3,"&gt;="&amp;BM$2,FECHA_BOV3,"&lt;="&amp;BM$3,CLAVE_BOV3,$A57)+SUMIFS(SALIDAS_TC,FECHA_TC,"&gt;="&amp;BM$2,FECHA_TC,"&lt;="&amp;BM$3,CLAVE_TC,$A57)+SUMIFS(SALIDAS_COMB,FECHA_COMB,"&gt;="&amp;BM$2,FECHA_COMB,"&lt;="&amp;BM$3,CLAVE_COMB,$A57)+SUMIFS(SALIDAS_DES,FECHA_DESGLOSEN,"&gt;="&amp;BM$2,FECHA_DESGLOSEN,"&lt;="&amp;BM$3,CLAVE_DESGLOSE,$A57)</f>
        <v>0</v>
      </c>
      <c r="BN57" s="13">
        <f>SUMIFS(SALIDAS_BIT,FECHA_BIT,"&gt;="&amp;BN$2,FECHA_BIT,"&lt;="&amp;BN$3,CLAVE_BIT,$A57)+SUMIFS(SALIDAS_BOV1,FECHA_BOV1,"&gt;="&amp;BN$2,FECHA_BOV1,"&lt;="&amp;BN$3,CLAVE_BOV1,$A57)+SUMIFS(SALIDAS_BOV2,FECHA_BOV2,"&gt;="&amp;BN$2,FECHA_BOV2,"&lt;="&amp;BN$3,CLAVE_BOV2,$A57)+SUMIFS(SALIDAS_BOV3,FECHA_BOV3,"&gt;="&amp;BN$2,FECHA_BOV3,"&lt;="&amp;BN$3,CLAVE_BOV3,$A57)+SUMIFS(SALIDAS_TC,FECHA_TC,"&gt;="&amp;BN$2,FECHA_TC,"&lt;="&amp;BN$3,CLAVE_TC,$A57)+SUMIFS(SALIDAS_COMB,FECHA_COMB,"&gt;="&amp;BN$2,FECHA_COMB,"&lt;="&amp;BN$3,CLAVE_COMB,$A57)+SUMIFS(SALIDAS_DES,FECHA_DESGLOSEN,"&gt;="&amp;BN$2,FECHA_DESGLOSEN,"&lt;="&amp;BN$3,CLAVE_DESGLOSE,$A57)</f>
        <v>0</v>
      </c>
      <c r="BO57" s="13">
        <f>SUMIFS(SALIDAS_BIT,FECHA_BIT,"&gt;="&amp;BO$2,FECHA_BIT,"&lt;="&amp;BO$3,CLAVE_BIT,$A57)+SUMIFS(SALIDAS_BOV1,FECHA_BOV1,"&gt;="&amp;BO$2,FECHA_BOV1,"&lt;="&amp;BO$3,CLAVE_BOV1,$A57)+SUMIFS(SALIDAS_BOV2,FECHA_BOV2,"&gt;="&amp;BO$2,FECHA_BOV2,"&lt;="&amp;BO$3,CLAVE_BOV2,$A57)+SUMIFS(SALIDAS_BOV3,FECHA_BOV3,"&gt;="&amp;BO$2,FECHA_BOV3,"&lt;="&amp;BO$3,CLAVE_BOV3,$A57)+SUMIFS(SALIDAS_TC,FECHA_TC,"&gt;="&amp;BO$2,FECHA_TC,"&lt;="&amp;BO$3,CLAVE_TC,$A57)+SUMIFS(SALIDAS_COMB,FECHA_COMB,"&gt;="&amp;BO$2,FECHA_COMB,"&lt;="&amp;BO$3,CLAVE_COMB,$A57)+SUMIFS(SALIDAS_DES,FECHA_DESGLOSEN,"&gt;="&amp;BO$2,FECHA_DESGLOSEN,"&lt;="&amp;BO$3,CLAVE_DESGLOSE,$A57)</f>
        <v>3929</v>
      </c>
      <c r="BP57" s="13">
        <f>SUMIFS(SALIDAS_BIT,FECHA_BIT,"&gt;="&amp;BP$2,FECHA_BIT,"&lt;="&amp;BP$3,CLAVE_BIT,$A57)+SUMIFS(SALIDAS_BOV1,FECHA_BOV1,"&gt;="&amp;BP$2,FECHA_BOV1,"&lt;="&amp;BP$3,CLAVE_BOV1,$A57)+SUMIFS(SALIDAS_BOV2,FECHA_BOV2,"&gt;="&amp;BP$2,FECHA_BOV2,"&lt;="&amp;BP$3,CLAVE_BOV2,$A57)+SUMIFS(SALIDAS_BOV3,FECHA_BOV3,"&gt;="&amp;BP$2,FECHA_BOV3,"&lt;="&amp;BP$3,CLAVE_BOV3,$A57)+SUMIFS(SALIDAS_TC,FECHA_TC,"&gt;="&amp;BP$2,FECHA_TC,"&lt;="&amp;BP$3,CLAVE_TC,$A57)+SUMIFS(SALIDAS_COMB,FECHA_COMB,"&gt;="&amp;BP$2,FECHA_COMB,"&lt;="&amp;BP$3,CLAVE_COMB,$A57)+SUMIFS(SALIDAS_DES,FECHA_DESGLOSEN,"&gt;="&amp;BP$2,FECHA_DESGLOSEN,"&lt;="&amp;BP$3,CLAVE_DESGLOSE,$A57)</f>
        <v>1964</v>
      </c>
      <c r="BQ57" s="13">
        <f>SUMIFS(SALIDAS_BIT,FECHA_BIT,"&gt;="&amp;BQ$2,FECHA_BIT,"&lt;="&amp;BQ$3,CLAVE_BIT,$A57)+SUMIFS(SALIDAS_BOV1,FECHA_BOV1,"&gt;="&amp;BQ$2,FECHA_BOV1,"&lt;="&amp;BQ$3,CLAVE_BOV1,$A57)+SUMIFS(SALIDAS_BOV2,FECHA_BOV2,"&gt;="&amp;BQ$2,FECHA_BOV2,"&lt;="&amp;BQ$3,CLAVE_BOV2,$A57)+SUMIFS(SALIDAS_BOV3,FECHA_BOV3,"&gt;="&amp;BQ$2,FECHA_BOV3,"&lt;="&amp;BQ$3,CLAVE_BOV3,$A57)+SUMIFS(SALIDAS_TC,FECHA_TC,"&gt;="&amp;BQ$2,FECHA_TC,"&lt;="&amp;BQ$3,CLAVE_TC,$A57)+SUMIFS(SALIDAS_COMB,FECHA_COMB,"&gt;="&amp;BQ$2,FECHA_COMB,"&lt;="&amp;BQ$3,CLAVE_COMB,$A57)+SUMIFS(SALIDAS_DES,FECHA_DESGLOSEN,"&gt;="&amp;BQ$2,FECHA_DESGLOSEN,"&lt;="&amp;BQ$3,CLAVE_DESGLOSE,$A57)</f>
        <v>1071</v>
      </c>
      <c r="BR57" s="13">
        <f t="shared" ref="BM57:BR66" si="128">SUMIFS(SALIDAS_BIT,FECHA_BIT,"&gt;="&amp;BR$2,FECHA_BIT,"&lt;="&amp;BR$3,CLAVE_BIT,$A57)+SUMIFS(SALIDAS_BOV1,FECHA_BOV1,"&gt;="&amp;BR$2,FECHA_BOV1,"&lt;="&amp;BR$3,CLAVE_BOV1,$A57)+SUMIFS(SALIDAS_BOV2,FECHA_BOV2,"&gt;="&amp;BR$2,FECHA_BOV2,"&lt;="&amp;BR$3,CLAVE_BOV2,$A57)+SUMIFS(SALIDAS_BOV3,FECHA_BOV3,"&gt;="&amp;BR$2,FECHA_BOV3,"&lt;="&amp;BR$3,CLAVE_BOV3,$A57)+SUMIFS(SALIDAS_TC,FECHA_TC,"&gt;="&amp;BR$2,FECHA_TC,"&lt;="&amp;BR$3,CLAVE_TC,$A57)+SUMIFS(SALIDAS_COMB,FECHA_COMB,"&gt;="&amp;BR$2,FECHA_COMB,"&lt;="&amp;BR$3,CLAVE_COMB,$A57)+SUMIFS(SALIDAS_DES,FECHA_DESGLOSEN,"&gt;="&amp;BR$2,FECHA_DESGLOSEN,"&lt;="&amp;BR$3,CLAVE_DESGLOSE,$A57)</f>
        <v>6964</v>
      </c>
      <c r="BS57" s="68">
        <f t="shared" si="72"/>
        <v>-6964</v>
      </c>
      <c r="BT57" s="268">
        <f t="shared" si="73"/>
        <v>0</v>
      </c>
      <c r="BU57" s="13">
        <f t="shared" si="49"/>
        <v>15000</v>
      </c>
      <c r="BV57" s="13">
        <f t="shared" si="90"/>
        <v>14655</v>
      </c>
      <c r="BW57" s="13">
        <f t="shared" si="90"/>
        <v>0</v>
      </c>
      <c r="BX57" s="13">
        <f t="shared" si="90"/>
        <v>0</v>
      </c>
      <c r="BY57" s="13">
        <f t="shared" si="90"/>
        <v>0</v>
      </c>
      <c r="BZ57" s="13">
        <f t="shared" ref="BV57:BZ66" si="129">SUMIFS(SALIDAS_BIT,FECHA_BIT,"&gt;="&amp;BZ$2,FECHA_BIT,"&lt;="&amp;BZ$3,CLAVE_BIT,$A57)+SUMIFS(SALIDAS_BOV1,FECHA_BOV1,"&gt;="&amp;BZ$2,FECHA_BOV1,"&lt;="&amp;BZ$3,CLAVE_BOV1,$A57)+SUMIFS(SALIDAS_BOV2,FECHA_BOV2,"&gt;="&amp;BZ$2,FECHA_BOV2,"&lt;="&amp;BZ$3,CLAVE_BOV2,$A57)+SUMIFS(SALIDAS_BOV3,FECHA_BOV3,"&gt;="&amp;BZ$2,FECHA_BOV3,"&lt;="&amp;BZ$3,CLAVE_BOV3,$A57)+SUMIFS(SALIDAS_TC,FECHA_TC,"&gt;="&amp;BZ$2,FECHA_TC,"&lt;="&amp;BZ$3,CLAVE_TC,$A57)+SUMIFS(SALIDAS_COMB,FECHA_COMB,"&gt;="&amp;BZ$2,FECHA_COMB,"&lt;="&amp;BZ$3,CLAVE_COMB,$A57)+SUMIFS(SALIDAS_DES,FECHA_DESGLOSEN,"&gt;="&amp;BZ$2,FECHA_DESGLOSEN,"&lt;="&amp;BZ$3,CLAVE_DESGLOSE,$A57)</f>
        <v>14655</v>
      </c>
      <c r="CA57" s="68">
        <f t="shared" si="74"/>
        <v>345</v>
      </c>
      <c r="CB57" s="268">
        <f t="shared" si="75"/>
        <v>0.97699999999999998</v>
      </c>
      <c r="CC57" s="13">
        <f t="shared" si="51"/>
        <v>0</v>
      </c>
      <c r="CD57" s="13">
        <f t="shared" si="91"/>
        <v>1071.43</v>
      </c>
      <c r="CE57" s="13">
        <f t="shared" si="91"/>
        <v>0</v>
      </c>
      <c r="CF57" s="13">
        <f t="shared" si="91"/>
        <v>0</v>
      </c>
      <c r="CG57" s="13">
        <f t="shared" si="91"/>
        <v>0</v>
      </c>
      <c r="CH57" s="13">
        <f t="shared" ref="CD57:CH66" si="130">SUMIFS(SALIDAS_BIT,FECHA_BIT,"&gt;="&amp;CH$2,FECHA_BIT,"&lt;="&amp;CH$3,CLAVE_BIT,$A57)+SUMIFS(SALIDAS_BOV1,FECHA_BOV1,"&gt;="&amp;CH$2,FECHA_BOV1,"&lt;="&amp;CH$3,CLAVE_BOV1,$A57)+SUMIFS(SALIDAS_BOV2,FECHA_BOV2,"&gt;="&amp;CH$2,FECHA_BOV2,"&lt;="&amp;CH$3,CLAVE_BOV2,$A57)+SUMIFS(SALIDAS_BOV3,FECHA_BOV3,"&gt;="&amp;CH$2,FECHA_BOV3,"&lt;="&amp;CH$3,CLAVE_BOV3,$A57)+SUMIFS(SALIDAS_TC,FECHA_TC,"&gt;="&amp;CH$2,FECHA_TC,"&lt;="&amp;CH$3,CLAVE_TC,$A57)+SUMIFS(SALIDAS_COMB,FECHA_COMB,"&gt;="&amp;CH$2,FECHA_COMB,"&lt;="&amp;CH$3,CLAVE_COMB,$A57)+SUMIFS(SALIDAS_DES,FECHA_DESGLOSEN,"&gt;="&amp;CH$2,FECHA_DESGLOSEN,"&lt;="&amp;CH$3,CLAVE_DESGLOSE,$A57)</f>
        <v>1071.43</v>
      </c>
      <c r="CI57" s="68">
        <f t="shared" si="76"/>
        <v>-1071.43</v>
      </c>
      <c r="CJ57" s="268">
        <f t="shared" si="77"/>
        <v>0</v>
      </c>
      <c r="CK57" s="13">
        <f t="shared" si="53"/>
        <v>0</v>
      </c>
      <c r="CL57" s="13">
        <f t="shared" si="92"/>
        <v>0</v>
      </c>
      <c r="CM57" s="13">
        <f t="shared" si="92"/>
        <v>0</v>
      </c>
      <c r="CN57" s="13">
        <f t="shared" si="92"/>
        <v>0</v>
      </c>
      <c r="CO57" s="13">
        <f t="shared" si="92"/>
        <v>7285</v>
      </c>
      <c r="CP57" s="13">
        <f t="shared" si="92"/>
        <v>0</v>
      </c>
      <c r="CQ57" s="13">
        <f t="shared" ref="CL57:CQ66" si="131">SUMIFS(SALIDAS_BIT,FECHA_BIT,"&gt;="&amp;CQ$2,FECHA_BIT,"&lt;="&amp;CQ$3,CLAVE_BIT,$A57)+SUMIFS(SALIDAS_BOV1,FECHA_BOV1,"&gt;="&amp;CQ$2,FECHA_BOV1,"&lt;="&amp;CQ$3,CLAVE_BOV1,$A57)+SUMIFS(SALIDAS_BOV2,FECHA_BOV2,"&gt;="&amp;CQ$2,FECHA_BOV2,"&lt;="&amp;CQ$3,CLAVE_BOV2,$A57)+SUMIFS(SALIDAS_BOV3,FECHA_BOV3,"&gt;="&amp;CQ$2,FECHA_BOV3,"&lt;="&amp;CQ$3,CLAVE_BOV3,$A57)+SUMIFS(SALIDAS_TC,FECHA_TC,"&gt;="&amp;CQ$2,FECHA_TC,"&lt;="&amp;CQ$3,CLAVE_TC,$A57)+SUMIFS(SALIDAS_COMB,FECHA_COMB,"&gt;="&amp;CQ$2,FECHA_COMB,"&lt;="&amp;CQ$3,CLAVE_COMB,$A57)+SUMIFS(SALIDAS_DES,FECHA_DESGLOSEN,"&gt;="&amp;CQ$2,FECHA_DESGLOSEN,"&lt;="&amp;CQ$3,CLAVE_DESGLOSE,$A57)</f>
        <v>7285</v>
      </c>
      <c r="CR57" s="68">
        <f t="shared" si="78"/>
        <v>-7285</v>
      </c>
      <c r="CS57" s="268">
        <f t="shared" si="79"/>
        <v>0</v>
      </c>
      <c r="CT57" s="68">
        <f t="shared" si="55"/>
        <v>0</v>
      </c>
      <c r="CU57" s="13">
        <f>SUMIFS(SALIDAS_BIT,FECHA_BIT,"&gt;="&amp;CU$2,FECHA_BIT,"&lt;="&amp;CU$3,CLAVE_BIT,$A57)+SUMIFS(SALIDAS_BOV1,FECHA_BOV1,"&gt;="&amp;CU$2,FECHA_BOV1,"&lt;="&amp;CU$3,CLAVE_BOV1,$A57)+SUMIFS(SALIDAS_BOV2,FECHA_BOV2,"&gt;="&amp;CU$2,FECHA_BOV2,"&lt;="&amp;CU$3,CLAVE_BOV2,$A57)+SUMIFS(SALIDAS_BOV3,FECHA_BOV3,"&gt;="&amp;CU$2,FECHA_BOV3,"&lt;="&amp;CU$3,CLAVE_BOV3,$A57)+SUMIFS(SALIDAS_TC,FECHA_TC,"&gt;="&amp;CU$2,FECHA_TC,"&lt;="&amp;CU$3,CLAVE_TC,$A57)+SUMIFS(SALIDAS_COMB,FECHA_COMB,"&gt;="&amp;CU$2,FECHA_COMB,"&lt;="&amp;CU$3,CLAVE_COMB,$A57)+SUMIFS(SALIDAS_DES,FECHA_DESGLOSEN,"&gt;="&amp;CU$2,FECHA_DESGLOSEN,"&lt;="&amp;CU$3,CLAVE_DESGLOSE,$A57)</f>
        <v>0</v>
      </c>
      <c r="CV57" s="13">
        <f>SUMIFS(SALIDAS_BIT,FECHA_BIT,"&gt;="&amp;CV$2,FECHA_BIT,"&lt;="&amp;CV$3,CLAVE_BIT,$A57)+SUMIFS(SALIDAS_BOV1,FECHA_BOV1,"&gt;="&amp;CV$2,FECHA_BOV1,"&lt;="&amp;CV$3,CLAVE_BOV1,$A57)+SUMIFS(SALIDAS_BOV2,FECHA_BOV2,"&gt;="&amp;CV$2,FECHA_BOV2,"&lt;="&amp;CV$3,CLAVE_BOV2,$A57)+SUMIFS(SALIDAS_BOV3,FECHA_BOV3,"&gt;="&amp;CV$2,FECHA_BOV3,"&lt;="&amp;CV$3,CLAVE_BOV3,$A57)+SUMIFS(SALIDAS_TC,FECHA_TC,"&gt;="&amp;CV$2,FECHA_TC,"&lt;="&amp;CV$3,CLAVE_TC,$A57)+SUMIFS(SALIDAS_COMB,FECHA_COMB,"&gt;="&amp;CV$2,FECHA_COMB,"&lt;="&amp;CV$3,CLAVE_COMB,$A57)+SUMIFS(SALIDAS_DES,FECHA_DESGLOSEN,"&gt;="&amp;CV$2,FECHA_DESGLOSEN,"&lt;="&amp;CV$3,CLAVE_DESGLOSE,$A57)</f>
        <v>0</v>
      </c>
      <c r="CW57" s="13">
        <f>SUMIFS(SALIDAS_BIT,FECHA_BIT,"&gt;="&amp;CW$2,FECHA_BIT,"&lt;="&amp;CW$3,CLAVE_BIT,$A57)+SUMIFS(SALIDAS_BOV1,FECHA_BOV1,"&gt;="&amp;CW$2,FECHA_BOV1,"&lt;="&amp;CW$3,CLAVE_BOV1,$A57)+SUMIFS(SALIDAS_BOV2,FECHA_BOV2,"&gt;="&amp;CW$2,FECHA_BOV2,"&lt;="&amp;CW$3,CLAVE_BOV2,$A57)+SUMIFS(SALIDAS_BOV3,FECHA_BOV3,"&gt;="&amp;CW$2,FECHA_BOV3,"&lt;="&amp;CW$3,CLAVE_BOV3,$A57)+SUMIFS(SALIDAS_TC,FECHA_TC,"&gt;="&amp;CW$2,FECHA_TC,"&lt;="&amp;CW$3,CLAVE_TC,$A57)+SUMIFS(SALIDAS_COMB,FECHA_COMB,"&gt;="&amp;CW$2,FECHA_COMB,"&lt;="&amp;CW$3,CLAVE_COMB,$A57)+SUMIFS(SALIDAS_DES,FECHA_DESGLOSEN,"&gt;="&amp;CW$2,FECHA_DESGLOSEN,"&lt;="&amp;CW$3,CLAVE_DESGLOSE,$A57)</f>
        <v>0</v>
      </c>
      <c r="CX57" s="13">
        <f>SUMIFS(SALIDAS_BIT,FECHA_BIT,"&gt;="&amp;CX$2,FECHA_BIT,"&lt;="&amp;CX$3,CLAVE_BIT,$A57)+SUMIFS(SALIDAS_BOV1,FECHA_BOV1,"&gt;="&amp;CX$2,FECHA_BOV1,"&lt;="&amp;CX$3,CLAVE_BOV1,$A57)+SUMIFS(SALIDAS_BOV2,FECHA_BOV2,"&gt;="&amp;CX$2,FECHA_BOV2,"&lt;="&amp;CX$3,CLAVE_BOV2,$A57)+SUMIFS(SALIDAS_BOV3,FECHA_BOV3,"&gt;="&amp;CX$2,FECHA_BOV3,"&lt;="&amp;CX$3,CLAVE_BOV3,$A57)+SUMIFS(SALIDAS_TC,FECHA_TC,"&gt;="&amp;CX$2,FECHA_TC,"&lt;="&amp;CX$3,CLAVE_TC,$A57)+SUMIFS(SALIDAS_COMB,FECHA_COMB,"&gt;="&amp;CX$2,FECHA_COMB,"&lt;="&amp;CX$3,CLAVE_COMB,$A57)+SUMIFS(SALIDAS_DES,FECHA_DESGLOSEN,"&gt;="&amp;CX$2,FECHA_DESGLOSEN,"&lt;="&amp;CX$3,CLAVE_DESGLOSE,$A57)</f>
        <v>0</v>
      </c>
      <c r="CY57" s="13">
        <f>SUMIFS(SALIDAS_BIT,FECHA_BIT,"&gt;="&amp;CY$2,FECHA_BIT,"&lt;="&amp;CY$3,CLAVE_BIT,$A57)+SUMIFS(SALIDAS_BOV1,FECHA_BOV1,"&gt;="&amp;CY$2,FECHA_BOV1,"&lt;="&amp;CY$3,CLAVE_BOV1,$A57)+SUMIFS(SALIDAS_BOV2,FECHA_BOV2,"&gt;="&amp;CY$2,FECHA_BOV2,"&lt;="&amp;CY$3,CLAVE_BOV2,$A57)+SUMIFS(SALIDAS_BOV3,FECHA_BOV3,"&gt;="&amp;CY$2,FECHA_BOV3,"&lt;="&amp;CY$3,CLAVE_BOV3,$A57)+SUMIFS(SALIDAS_TC,FECHA_TC,"&gt;="&amp;CY$2,FECHA_TC,"&lt;="&amp;CY$3,CLAVE_TC,$A57)+SUMIFS(SALIDAS_COMB,FECHA_COMB,"&gt;="&amp;CY$2,FECHA_COMB,"&lt;="&amp;CY$3,CLAVE_COMB,$A57)+SUMIFS(SALIDAS_DES,FECHA_DESGLOSEN,"&gt;="&amp;CY$2,FECHA_DESGLOSEN,"&lt;="&amp;CY$3,CLAVE_DESGLOSE,$A57)</f>
        <v>0</v>
      </c>
      <c r="CZ57" s="68">
        <f t="shared" si="80"/>
        <v>0</v>
      </c>
      <c r="DB57" s="17">
        <f>F57+N57+W57+AE57+AM57+AV57+BD57+BL57+BU57+CC57+CK57</f>
        <v>74492.399999999994</v>
      </c>
      <c r="DC57" s="17">
        <f>K57+T57+AB57+AJ57+AS57+BA57+BI57+BR57+BZ57+CH57+CQ57</f>
        <v>138224</v>
      </c>
    </row>
    <row r="58" spans="1:107" hidden="1">
      <c r="A58" s="12" t="str">
        <f t="shared" si="57"/>
        <v>SGEVACACIONES/FINIQUITOSGESTION EMPRESARIAL</v>
      </c>
      <c r="B58" s="12">
        <v>56</v>
      </c>
      <c r="C58" t="s">
        <v>39</v>
      </c>
      <c r="D58" s="12" t="s">
        <v>190</v>
      </c>
      <c r="E58" s="12" t="s">
        <v>40</v>
      </c>
      <c r="F58" s="259">
        <f t="shared" si="58"/>
        <v>23595</v>
      </c>
      <c r="G58" s="13">
        <f t="shared" si="123"/>
        <v>0</v>
      </c>
      <c r="H58" s="13">
        <f t="shared" si="123"/>
        <v>0</v>
      </c>
      <c r="I58" s="13">
        <f t="shared" si="123"/>
        <v>5087.1400000000003</v>
      </c>
      <c r="J58" s="13">
        <f t="shared" si="123"/>
        <v>0</v>
      </c>
      <c r="K58" s="13">
        <f t="shared" si="123"/>
        <v>5087.1400000000003</v>
      </c>
      <c r="L58" s="68">
        <f t="shared" si="59"/>
        <v>18507.86</v>
      </c>
      <c r="M58" s="268">
        <f t="shared" si="60"/>
        <v>0.21560245814791271</v>
      </c>
      <c r="N58" s="13">
        <f t="shared" si="36"/>
        <v>0</v>
      </c>
      <c r="O58" s="13">
        <f t="shared" si="124"/>
        <v>0</v>
      </c>
      <c r="P58" s="13">
        <f t="shared" si="124"/>
        <v>0</v>
      </c>
      <c r="Q58" s="13">
        <f t="shared" si="124"/>
        <v>0</v>
      </c>
      <c r="R58" s="13">
        <f t="shared" si="124"/>
        <v>0</v>
      </c>
      <c r="S58" s="13">
        <f t="shared" si="124"/>
        <v>0</v>
      </c>
      <c r="T58" s="13">
        <f t="shared" si="124"/>
        <v>0</v>
      </c>
      <c r="U58" s="68">
        <f t="shared" si="61"/>
        <v>0</v>
      </c>
      <c r="V58" s="268">
        <f t="shared" si="62"/>
        <v>0</v>
      </c>
      <c r="W58" s="13">
        <f t="shared" si="38"/>
        <v>803</v>
      </c>
      <c r="X58" s="13">
        <f t="shared" si="125"/>
        <v>5087.1400000000003</v>
      </c>
      <c r="Y58" s="13">
        <f t="shared" si="125"/>
        <v>9428.57</v>
      </c>
      <c r="Z58" s="13">
        <f t="shared" si="125"/>
        <v>0</v>
      </c>
      <c r="AA58" s="13">
        <f t="shared" si="125"/>
        <v>8678.57</v>
      </c>
      <c r="AB58" s="13">
        <f t="shared" si="125"/>
        <v>23194.28</v>
      </c>
      <c r="AC58" s="68">
        <f t="shared" si="63"/>
        <v>-22391.279999999999</v>
      </c>
      <c r="AD58" s="268">
        <f t="shared" si="64"/>
        <v>28.88453300124533</v>
      </c>
      <c r="AE58" s="13">
        <f t="shared" si="40"/>
        <v>0</v>
      </c>
      <c r="AF58" s="13">
        <f t="shared" si="126"/>
        <v>0</v>
      </c>
      <c r="AG58" s="13">
        <f t="shared" si="126"/>
        <v>0</v>
      </c>
      <c r="AH58" s="13">
        <f t="shared" si="126"/>
        <v>0</v>
      </c>
      <c r="AI58" s="13">
        <f t="shared" si="126"/>
        <v>0</v>
      </c>
      <c r="AJ58" s="13">
        <f t="shared" si="126"/>
        <v>0</v>
      </c>
      <c r="AK58" s="68">
        <f t="shared" si="65"/>
        <v>0</v>
      </c>
      <c r="AL58" s="268">
        <f t="shared" si="66"/>
        <v>0</v>
      </c>
      <c r="AM58" s="13">
        <f t="shared" si="42"/>
        <v>0</v>
      </c>
      <c r="AN58" s="13">
        <f t="shared" si="127"/>
        <v>3724</v>
      </c>
      <c r="AO58" s="13">
        <f t="shared" si="127"/>
        <v>0</v>
      </c>
      <c r="AP58" s="13">
        <f t="shared" si="127"/>
        <v>0</v>
      </c>
      <c r="AQ58" s="13">
        <f t="shared" si="127"/>
        <v>0</v>
      </c>
      <c r="AR58" s="13">
        <f t="shared" si="127"/>
        <v>0</v>
      </c>
      <c r="AS58" s="13">
        <f t="shared" si="127"/>
        <v>3724</v>
      </c>
      <c r="AT58" s="68">
        <f>AM58-AS58</f>
        <v>-3724</v>
      </c>
      <c r="AU58" s="268">
        <f t="shared" si="67"/>
        <v>0</v>
      </c>
      <c r="AV58" s="13">
        <f t="shared" si="44"/>
        <v>6729</v>
      </c>
      <c r="AW58" s="13">
        <f t="shared" si="119"/>
        <v>0</v>
      </c>
      <c r="AX58" s="13">
        <f t="shared" si="119"/>
        <v>0</v>
      </c>
      <c r="AY58" s="13">
        <f t="shared" si="119"/>
        <v>0</v>
      </c>
      <c r="AZ58" s="13">
        <f t="shared" si="119"/>
        <v>5756</v>
      </c>
      <c r="BA58" s="13">
        <f t="shared" si="120"/>
        <v>5756</v>
      </c>
      <c r="BB58" s="68">
        <f t="shared" si="68"/>
        <v>973</v>
      </c>
      <c r="BC58" s="268">
        <f t="shared" si="69"/>
        <v>0.85540199138059148</v>
      </c>
      <c r="BD58" s="13">
        <f t="shared" si="46"/>
        <v>0</v>
      </c>
      <c r="BE58" s="13">
        <f>SUMIFS(SALIDAS_BIT,FECHA_BIT,"&gt;="&amp;BE$2,FECHA_BIT,"&lt;="&amp;BE$3,CLAVE_BIT,$A58)+SUMIFS(SALIDAS_BOV1,FECHA_BOV1,"&gt;="&amp;BE$2,FECHA_BOV1,"&lt;="&amp;BE$3,CLAVE_BOV1,$A58)+SUMIFS(SALIDAS_BOV2,FECHA_BOV2,"&gt;="&amp;BE$2,FECHA_BOV2,"&lt;="&amp;BE$3,CLAVE_BOV2,$A58)+SUMIFS(SALIDAS_BOV3,FECHA_BOV3,"&gt;="&amp;BE$2,FECHA_BOV3,"&lt;="&amp;BE$3,CLAVE_BOV3,$A58)+SUMIFS(SALIDAS_TC,FECHA_TC,"&gt;="&amp;BE$2,FECHA_TC,"&lt;="&amp;BE$3,CLAVE_TC,$A58)+SUMIFS(SALIDAS_COMB,FECHA_COMB,"&gt;="&amp;BE$2,FECHA_COMB,"&lt;="&amp;BE$3,CLAVE_COMB,$A58)+SUMIFS(SALIDAS_DES,FECHA_DESGLOSEN,"&gt;="&amp;BE$2,FECHA_DESGLOSEN,"&lt;="&amp;BE$3,CLAVE_DESGLOSE,$A58)</f>
        <v>2036</v>
      </c>
      <c r="BF58" s="13">
        <f>SUMIFS(SALIDAS_BIT,FECHA_BIT,"&gt;="&amp;BF$2,FECHA_BIT,"&lt;="&amp;BF$3,CLAVE_BIT,$A58)+SUMIFS(SALIDAS_BOV1,FECHA_BOV1,"&gt;="&amp;BF$2,FECHA_BOV1,"&lt;="&amp;BF$3,CLAVE_BOV1,$A58)+SUMIFS(SALIDAS_BOV2,FECHA_BOV2,"&gt;="&amp;BF$2,FECHA_BOV2,"&lt;="&amp;BF$3,CLAVE_BOV2,$A58)+SUMIFS(SALIDAS_BOV3,FECHA_BOV3,"&gt;="&amp;BF$2,FECHA_BOV3,"&lt;="&amp;BF$3,CLAVE_BOV3,$A58)+SUMIFS(SALIDAS_TC,FECHA_TC,"&gt;="&amp;BF$2,FECHA_TC,"&lt;="&amp;BF$3,CLAVE_TC,$A58)+SUMIFS(SALIDAS_COMB,FECHA_COMB,"&gt;="&amp;BF$2,FECHA_COMB,"&lt;="&amp;BF$3,CLAVE_COMB,$A58)+SUMIFS(SALIDAS_DES,FECHA_DESGLOSEN,"&gt;="&amp;BF$2,FECHA_DESGLOSEN,"&lt;="&amp;BF$3,CLAVE_DESGLOSE,$A58)</f>
        <v>0</v>
      </c>
      <c r="BG58" s="13">
        <f>SUMIFS(SALIDAS_BIT,FECHA_BIT,"&gt;="&amp;BG$2,FECHA_BIT,"&lt;="&amp;BG$3,CLAVE_BIT,$A58)+SUMIFS(SALIDAS_BOV1,FECHA_BOV1,"&gt;="&amp;BG$2,FECHA_BOV1,"&lt;="&amp;BG$3,CLAVE_BOV1,$A58)+SUMIFS(SALIDAS_BOV2,FECHA_BOV2,"&gt;="&amp;BG$2,FECHA_BOV2,"&lt;="&amp;BG$3,CLAVE_BOV2,$A58)+SUMIFS(SALIDAS_BOV3,FECHA_BOV3,"&gt;="&amp;BG$2,FECHA_BOV3,"&lt;="&amp;BG$3,CLAVE_BOV3,$A58)+SUMIFS(SALIDAS_TC,FECHA_TC,"&gt;="&amp;BG$2,FECHA_TC,"&lt;="&amp;BG$3,CLAVE_TC,$A58)+SUMIFS(SALIDAS_COMB,FECHA_COMB,"&gt;="&amp;BG$2,FECHA_COMB,"&lt;="&amp;BG$3,CLAVE_COMB,$A58)+SUMIFS(SALIDAS_DES,FECHA_DESGLOSEN,"&gt;="&amp;BG$2,FECHA_DESGLOSEN,"&lt;="&amp;BG$3,CLAVE_DESGLOSE,$A58)</f>
        <v>0</v>
      </c>
      <c r="BH58" s="13">
        <f>SUMIFS(SALIDAS_BIT,FECHA_BIT,"&gt;="&amp;BH$2,FECHA_BIT,"&lt;="&amp;BH$3,CLAVE_BIT,$A58)+SUMIFS(SALIDAS_BOV1,FECHA_BOV1,"&gt;="&amp;BH$2,FECHA_BOV1,"&lt;="&amp;BH$3,CLAVE_BOV1,$A58)+SUMIFS(SALIDAS_BOV2,FECHA_BOV2,"&gt;="&amp;BH$2,FECHA_BOV2,"&lt;="&amp;BH$3,CLAVE_BOV2,$A58)+SUMIFS(SALIDAS_BOV3,FECHA_BOV3,"&gt;="&amp;BH$2,FECHA_BOV3,"&lt;="&amp;BH$3,CLAVE_BOV3,$A58)+SUMIFS(SALIDAS_TC,FECHA_TC,"&gt;="&amp;BH$2,FECHA_TC,"&lt;="&amp;BH$3,CLAVE_TC,$A58)+SUMIFS(SALIDAS_COMB,FECHA_COMB,"&gt;="&amp;BH$2,FECHA_COMB,"&lt;="&amp;BH$3,CLAVE_COMB,$A58)+SUMIFS(SALIDAS_DES,FECHA_DESGLOSEN,"&gt;="&amp;BH$2,FECHA_DESGLOSEN,"&lt;="&amp;BH$3,CLAVE_DESGLOSE,$A58)</f>
        <v>6285</v>
      </c>
      <c r="BI58" s="13">
        <f t="shared" si="121"/>
        <v>8321</v>
      </c>
      <c r="BJ58" s="68">
        <f t="shared" si="70"/>
        <v>-8321</v>
      </c>
      <c r="BK58" s="268">
        <f t="shared" si="71"/>
        <v>0</v>
      </c>
      <c r="BL58" s="13">
        <f t="shared" si="47"/>
        <v>13750</v>
      </c>
      <c r="BM58" s="13">
        <f>SUMIFS(SALIDAS_BIT,FECHA_BIT,"&gt;="&amp;BM$2,FECHA_BIT,"&lt;="&amp;BM$3,CLAVE_BIT,$A58)+SUMIFS(SALIDAS_BOV1,FECHA_BOV1,"&gt;="&amp;BM$2,FECHA_BOV1,"&lt;="&amp;BM$3,CLAVE_BOV1,$A58)+SUMIFS(SALIDAS_BOV2,FECHA_BOV2,"&gt;="&amp;BM$2,FECHA_BOV2,"&lt;="&amp;BM$3,CLAVE_BOV2,$A58)+SUMIFS(SALIDAS_BOV3,FECHA_BOV3,"&gt;="&amp;BM$2,FECHA_BOV3,"&lt;="&amp;BM$3,CLAVE_BOV3,$A58)+SUMIFS(SALIDAS_TC,FECHA_TC,"&gt;="&amp;BM$2,FECHA_TC,"&lt;="&amp;BM$3,CLAVE_TC,$A58)+SUMIFS(SALIDAS_COMB,FECHA_COMB,"&gt;="&amp;BM$2,FECHA_COMB,"&lt;="&amp;BM$3,CLAVE_COMB,$A58)+SUMIFS(SALIDAS_DES,FECHA_DESGLOSEN,"&gt;="&amp;BM$2,FECHA_DESGLOSEN,"&lt;="&amp;BM$3,CLAVE_DESGLOSE,$A58)</f>
        <v>2034</v>
      </c>
      <c r="BN58" s="13">
        <f>SUMIFS(SALIDAS_BIT,FECHA_BIT,"&gt;="&amp;BN$2,FECHA_BIT,"&lt;="&amp;BN$3,CLAVE_BIT,$A58)+SUMIFS(SALIDAS_BOV1,FECHA_BOV1,"&gt;="&amp;BN$2,FECHA_BOV1,"&lt;="&amp;BN$3,CLAVE_BOV1,$A58)+SUMIFS(SALIDAS_BOV2,FECHA_BOV2,"&gt;="&amp;BN$2,FECHA_BOV2,"&lt;="&amp;BN$3,CLAVE_BOV2,$A58)+SUMIFS(SALIDAS_BOV3,FECHA_BOV3,"&gt;="&amp;BN$2,FECHA_BOV3,"&lt;="&amp;BN$3,CLAVE_BOV3,$A58)+SUMIFS(SALIDAS_TC,FECHA_TC,"&gt;="&amp;BN$2,FECHA_TC,"&lt;="&amp;BN$3,CLAVE_TC,$A58)+SUMIFS(SALIDAS_COMB,FECHA_COMB,"&gt;="&amp;BN$2,FECHA_COMB,"&lt;="&amp;BN$3,CLAVE_COMB,$A58)+SUMIFS(SALIDAS_DES,FECHA_DESGLOSEN,"&gt;="&amp;BN$2,FECHA_DESGLOSEN,"&lt;="&amp;BN$3,CLAVE_DESGLOSE,$A58)</f>
        <v>0</v>
      </c>
      <c r="BO58" s="13">
        <f>SUMIFS(SALIDAS_BIT,FECHA_BIT,"&gt;="&amp;BO$2,FECHA_BIT,"&lt;="&amp;BO$3,CLAVE_BIT,$A58)+SUMIFS(SALIDAS_BOV1,FECHA_BOV1,"&gt;="&amp;BO$2,FECHA_BOV1,"&lt;="&amp;BO$3,CLAVE_BOV1,$A58)+SUMIFS(SALIDAS_BOV2,FECHA_BOV2,"&gt;="&amp;BO$2,FECHA_BOV2,"&lt;="&amp;BO$3,CLAVE_BOV2,$A58)+SUMIFS(SALIDAS_BOV3,FECHA_BOV3,"&gt;="&amp;BO$2,FECHA_BOV3,"&lt;="&amp;BO$3,CLAVE_BOV3,$A58)+SUMIFS(SALIDAS_TC,FECHA_TC,"&gt;="&amp;BO$2,FECHA_TC,"&lt;="&amp;BO$3,CLAVE_TC,$A58)+SUMIFS(SALIDAS_COMB,FECHA_COMB,"&gt;="&amp;BO$2,FECHA_COMB,"&lt;="&amp;BO$3,CLAVE_COMB,$A58)+SUMIFS(SALIDAS_DES,FECHA_DESGLOSEN,"&gt;="&amp;BO$2,FECHA_DESGLOSEN,"&lt;="&amp;BO$3,CLAVE_DESGLOSE,$A58)</f>
        <v>0</v>
      </c>
      <c r="BP58" s="13">
        <f>SUMIFS(SALIDAS_BIT,FECHA_BIT,"&gt;="&amp;BP$2,FECHA_BIT,"&lt;="&amp;BP$3,CLAVE_BIT,$A58)+SUMIFS(SALIDAS_BOV1,FECHA_BOV1,"&gt;="&amp;BP$2,FECHA_BOV1,"&lt;="&amp;BP$3,CLAVE_BOV1,$A58)+SUMIFS(SALIDAS_BOV2,FECHA_BOV2,"&gt;="&amp;BP$2,FECHA_BOV2,"&lt;="&amp;BP$3,CLAVE_BOV2,$A58)+SUMIFS(SALIDAS_BOV3,FECHA_BOV3,"&gt;="&amp;BP$2,FECHA_BOV3,"&lt;="&amp;BP$3,CLAVE_BOV3,$A58)+SUMIFS(SALIDAS_TC,FECHA_TC,"&gt;="&amp;BP$2,FECHA_TC,"&lt;="&amp;BP$3,CLAVE_TC,$A58)+SUMIFS(SALIDAS_COMB,FECHA_COMB,"&gt;="&amp;BP$2,FECHA_COMB,"&lt;="&amp;BP$3,CLAVE_COMB,$A58)+SUMIFS(SALIDAS_DES,FECHA_DESGLOSEN,"&gt;="&amp;BP$2,FECHA_DESGLOSEN,"&lt;="&amp;BP$3,CLAVE_DESGLOSE,$A58)</f>
        <v>5892</v>
      </c>
      <c r="BQ58" s="13">
        <f>SUMIFS(SALIDAS_BIT,FECHA_BIT,"&gt;="&amp;BQ$2,FECHA_BIT,"&lt;="&amp;BQ$3,CLAVE_BIT,$A58)+SUMIFS(SALIDAS_BOV1,FECHA_BOV1,"&gt;="&amp;BQ$2,FECHA_BOV1,"&lt;="&amp;BQ$3,CLAVE_BOV1,$A58)+SUMIFS(SALIDAS_BOV2,FECHA_BOV2,"&gt;="&amp;BQ$2,FECHA_BOV2,"&lt;="&amp;BQ$3,CLAVE_BOV2,$A58)+SUMIFS(SALIDAS_BOV3,FECHA_BOV3,"&gt;="&amp;BQ$2,FECHA_BOV3,"&lt;="&amp;BQ$3,CLAVE_BOV3,$A58)+SUMIFS(SALIDAS_TC,FECHA_TC,"&gt;="&amp;BQ$2,FECHA_TC,"&lt;="&amp;BQ$3,CLAVE_TC,$A58)+SUMIFS(SALIDAS_COMB,FECHA_COMB,"&gt;="&amp;BQ$2,FECHA_COMB,"&lt;="&amp;BQ$3,CLAVE_COMB,$A58)+SUMIFS(SALIDAS_DES,FECHA_DESGLOSEN,"&gt;="&amp;BQ$2,FECHA_DESGLOSEN,"&lt;="&amp;BQ$3,CLAVE_DESGLOSE,$A58)</f>
        <v>0</v>
      </c>
      <c r="BR58" s="13">
        <f t="shared" si="128"/>
        <v>7926</v>
      </c>
      <c r="BS58" s="68">
        <f t="shared" si="72"/>
        <v>5824</v>
      </c>
      <c r="BT58" s="268">
        <f t="shared" si="73"/>
        <v>0.57643636363636364</v>
      </c>
      <c r="BU58" s="13">
        <f t="shared" si="49"/>
        <v>0</v>
      </c>
      <c r="BV58" s="13">
        <f t="shared" si="90"/>
        <v>0</v>
      </c>
      <c r="BW58" s="13">
        <f t="shared" si="90"/>
        <v>0</v>
      </c>
      <c r="BX58" s="13">
        <f t="shared" si="90"/>
        <v>0</v>
      </c>
      <c r="BY58" s="13">
        <f t="shared" si="90"/>
        <v>0</v>
      </c>
      <c r="BZ58" s="13">
        <f t="shared" si="129"/>
        <v>0</v>
      </c>
      <c r="CA58" s="68">
        <f t="shared" si="74"/>
        <v>0</v>
      </c>
      <c r="CB58" s="268">
        <f t="shared" si="75"/>
        <v>0</v>
      </c>
      <c r="CC58" s="13">
        <f t="shared" si="51"/>
        <v>0</v>
      </c>
      <c r="CD58" s="13">
        <f t="shared" si="91"/>
        <v>0</v>
      </c>
      <c r="CE58" s="13">
        <f t="shared" si="91"/>
        <v>0</v>
      </c>
      <c r="CF58" s="13">
        <f t="shared" si="91"/>
        <v>0</v>
      </c>
      <c r="CG58" s="13">
        <f t="shared" si="91"/>
        <v>0</v>
      </c>
      <c r="CH58" s="13">
        <f t="shared" si="130"/>
        <v>0</v>
      </c>
      <c r="CI58" s="68">
        <f t="shared" si="76"/>
        <v>0</v>
      </c>
      <c r="CJ58" s="268">
        <f t="shared" si="77"/>
        <v>0</v>
      </c>
      <c r="CK58" s="13">
        <f t="shared" si="53"/>
        <v>0</v>
      </c>
      <c r="CL58" s="13">
        <f t="shared" si="92"/>
        <v>0</v>
      </c>
      <c r="CM58" s="13">
        <f t="shared" si="92"/>
        <v>0</v>
      </c>
      <c r="CN58" s="13">
        <f t="shared" si="92"/>
        <v>0</v>
      </c>
      <c r="CO58" s="13">
        <f t="shared" si="92"/>
        <v>0</v>
      </c>
      <c r="CP58" s="13">
        <f t="shared" si="92"/>
        <v>0</v>
      </c>
      <c r="CQ58" s="13">
        <f t="shared" si="131"/>
        <v>0</v>
      </c>
      <c r="CR58" s="68">
        <f t="shared" si="78"/>
        <v>0</v>
      </c>
      <c r="CS58" s="268">
        <f t="shared" si="79"/>
        <v>0</v>
      </c>
      <c r="CT58" s="68">
        <f t="shared" si="55"/>
        <v>0</v>
      </c>
      <c r="CU58" s="13">
        <f>SUMIFS(SALIDAS_BIT,FECHA_BIT,"&gt;="&amp;CU$2,FECHA_BIT,"&lt;="&amp;CU$3,CLAVE_BIT,$A58)+SUMIFS(SALIDAS_BOV1,FECHA_BOV1,"&gt;="&amp;CU$2,FECHA_BOV1,"&lt;="&amp;CU$3,CLAVE_BOV1,$A58)+SUMIFS(SALIDAS_BOV2,FECHA_BOV2,"&gt;="&amp;CU$2,FECHA_BOV2,"&lt;="&amp;CU$3,CLAVE_BOV2,$A58)+SUMIFS(SALIDAS_BOV3,FECHA_BOV3,"&gt;="&amp;CU$2,FECHA_BOV3,"&lt;="&amp;CU$3,CLAVE_BOV3,$A58)+SUMIFS(SALIDAS_TC,FECHA_TC,"&gt;="&amp;CU$2,FECHA_TC,"&lt;="&amp;CU$3,CLAVE_TC,$A58)+SUMIFS(SALIDAS_COMB,FECHA_COMB,"&gt;="&amp;CU$2,FECHA_COMB,"&lt;="&amp;CU$3,CLAVE_COMB,$A58)+SUMIFS(SALIDAS_DES,FECHA_DESGLOSEN,"&gt;="&amp;CU$2,FECHA_DESGLOSEN,"&lt;="&amp;CU$3,CLAVE_DESGLOSE,$A58)</f>
        <v>0</v>
      </c>
      <c r="CV58" s="13">
        <f>SUMIFS(SALIDAS_BIT,FECHA_BIT,"&gt;="&amp;CV$2,FECHA_BIT,"&lt;="&amp;CV$3,CLAVE_BIT,$A58)+SUMIFS(SALIDAS_BOV1,FECHA_BOV1,"&gt;="&amp;CV$2,FECHA_BOV1,"&lt;="&amp;CV$3,CLAVE_BOV1,$A58)+SUMIFS(SALIDAS_BOV2,FECHA_BOV2,"&gt;="&amp;CV$2,FECHA_BOV2,"&lt;="&amp;CV$3,CLAVE_BOV2,$A58)+SUMIFS(SALIDAS_BOV3,FECHA_BOV3,"&gt;="&amp;CV$2,FECHA_BOV3,"&lt;="&amp;CV$3,CLAVE_BOV3,$A58)+SUMIFS(SALIDAS_TC,FECHA_TC,"&gt;="&amp;CV$2,FECHA_TC,"&lt;="&amp;CV$3,CLAVE_TC,$A58)+SUMIFS(SALIDAS_COMB,FECHA_COMB,"&gt;="&amp;CV$2,FECHA_COMB,"&lt;="&amp;CV$3,CLAVE_COMB,$A58)+SUMIFS(SALIDAS_DES,FECHA_DESGLOSEN,"&gt;="&amp;CV$2,FECHA_DESGLOSEN,"&lt;="&amp;CV$3,CLAVE_DESGLOSE,$A58)</f>
        <v>0</v>
      </c>
      <c r="CW58" s="13">
        <f>SUMIFS(SALIDAS_BIT,FECHA_BIT,"&gt;="&amp;CW$2,FECHA_BIT,"&lt;="&amp;CW$3,CLAVE_BIT,$A58)+SUMIFS(SALIDAS_BOV1,FECHA_BOV1,"&gt;="&amp;CW$2,FECHA_BOV1,"&lt;="&amp;CW$3,CLAVE_BOV1,$A58)+SUMIFS(SALIDAS_BOV2,FECHA_BOV2,"&gt;="&amp;CW$2,FECHA_BOV2,"&lt;="&amp;CW$3,CLAVE_BOV2,$A58)+SUMIFS(SALIDAS_BOV3,FECHA_BOV3,"&gt;="&amp;CW$2,FECHA_BOV3,"&lt;="&amp;CW$3,CLAVE_BOV3,$A58)+SUMIFS(SALIDAS_TC,FECHA_TC,"&gt;="&amp;CW$2,FECHA_TC,"&lt;="&amp;CW$3,CLAVE_TC,$A58)+SUMIFS(SALIDAS_COMB,FECHA_COMB,"&gt;="&amp;CW$2,FECHA_COMB,"&lt;="&amp;CW$3,CLAVE_COMB,$A58)+SUMIFS(SALIDAS_DES,FECHA_DESGLOSEN,"&gt;="&amp;CW$2,FECHA_DESGLOSEN,"&lt;="&amp;CW$3,CLAVE_DESGLOSE,$A58)</f>
        <v>0</v>
      </c>
      <c r="CX58" s="13">
        <f>SUMIFS(SALIDAS_BIT,FECHA_BIT,"&gt;="&amp;CX$2,FECHA_BIT,"&lt;="&amp;CX$3,CLAVE_BIT,$A58)+SUMIFS(SALIDAS_BOV1,FECHA_BOV1,"&gt;="&amp;CX$2,FECHA_BOV1,"&lt;="&amp;CX$3,CLAVE_BOV1,$A58)+SUMIFS(SALIDAS_BOV2,FECHA_BOV2,"&gt;="&amp;CX$2,FECHA_BOV2,"&lt;="&amp;CX$3,CLAVE_BOV2,$A58)+SUMIFS(SALIDAS_BOV3,FECHA_BOV3,"&gt;="&amp;CX$2,FECHA_BOV3,"&lt;="&amp;CX$3,CLAVE_BOV3,$A58)+SUMIFS(SALIDAS_TC,FECHA_TC,"&gt;="&amp;CX$2,FECHA_TC,"&lt;="&amp;CX$3,CLAVE_TC,$A58)+SUMIFS(SALIDAS_COMB,FECHA_COMB,"&gt;="&amp;CX$2,FECHA_COMB,"&lt;="&amp;CX$3,CLAVE_COMB,$A58)+SUMIFS(SALIDAS_DES,FECHA_DESGLOSEN,"&gt;="&amp;CX$2,FECHA_DESGLOSEN,"&lt;="&amp;CX$3,CLAVE_DESGLOSE,$A58)</f>
        <v>0</v>
      </c>
      <c r="CY58" s="13">
        <f>SUMIFS(SALIDAS_BIT,FECHA_BIT,"&gt;="&amp;CY$2,FECHA_BIT,"&lt;="&amp;CY$3,CLAVE_BIT,$A58)+SUMIFS(SALIDAS_BOV1,FECHA_BOV1,"&gt;="&amp;CY$2,FECHA_BOV1,"&lt;="&amp;CY$3,CLAVE_BOV1,$A58)+SUMIFS(SALIDAS_BOV2,FECHA_BOV2,"&gt;="&amp;CY$2,FECHA_BOV2,"&lt;="&amp;CY$3,CLAVE_BOV2,$A58)+SUMIFS(SALIDAS_BOV3,FECHA_BOV3,"&gt;="&amp;CY$2,FECHA_BOV3,"&lt;="&amp;CY$3,CLAVE_BOV3,$A58)+SUMIFS(SALIDAS_TC,FECHA_TC,"&gt;="&amp;CY$2,FECHA_TC,"&lt;="&amp;CY$3,CLAVE_TC,$A58)+SUMIFS(SALIDAS_COMB,FECHA_COMB,"&gt;="&amp;CY$2,FECHA_COMB,"&lt;="&amp;CY$3,CLAVE_COMB,$A58)+SUMIFS(SALIDAS_DES,FECHA_DESGLOSEN,"&gt;="&amp;CY$2,FECHA_DESGLOSEN,"&lt;="&amp;CY$3,CLAVE_DESGLOSE,$A58)</f>
        <v>0</v>
      </c>
      <c r="CZ58" s="68">
        <f t="shared" si="80"/>
        <v>0</v>
      </c>
      <c r="DB58" s="17">
        <f>F58+N58+W58+AE58+AM58+AV58+BD58+BL58+BU58+CC58+CK58</f>
        <v>44877</v>
      </c>
      <c r="DC58" s="17">
        <f>K58+T58+AB58+AJ58+AS58+BA58+BI58+BR58+BZ58+CH58+CQ58</f>
        <v>54008.42</v>
      </c>
    </row>
    <row r="59" spans="1:107" hidden="1">
      <c r="A59" s="12" t="str">
        <f t="shared" si="57"/>
        <v>MELVACACIONES/FINIQUITOSMELISSA</v>
      </c>
      <c r="B59" s="12">
        <v>58</v>
      </c>
      <c r="C59" t="s">
        <v>43</v>
      </c>
      <c r="D59" s="12" t="s">
        <v>190</v>
      </c>
      <c r="E59" s="12" t="s">
        <v>44</v>
      </c>
      <c r="F59" s="259">
        <f t="shared" si="58"/>
        <v>0</v>
      </c>
      <c r="G59" s="13">
        <f t="shared" si="123"/>
        <v>0</v>
      </c>
      <c r="H59" s="13">
        <f t="shared" si="123"/>
        <v>0</v>
      </c>
      <c r="I59" s="13">
        <f t="shared" si="123"/>
        <v>0</v>
      </c>
      <c r="J59" s="13">
        <f t="shared" si="123"/>
        <v>0</v>
      </c>
      <c r="K59" s="13">
        <f t="shared" si="123"/>
        <v>0</v>
      </c>
      <c r="L59" s="68">
        <f t="shared" si="59"/>
        <v>0</v>
      </c>
      <c r="M59" s="268">
        <f t="shared" si="60"/>
        <v>0</v>
      </c>
      <c r="N59" s="13">
        <f t="shared" si="36"/>
        <v>0</v>
      </c>
      <c r="O59" s="13">
        <f t="shared" si="124"/>
        <v>0</v>
      </c>
      <c r="P59" s="13">
        <f t="shared" si="124"/>
        <v>0</v>
      </c>
      <c r="Q59" s="13">
        <f t="shared" si="124"/>
        <v>0</v>
      </c>
      <c r="R59" s="13">
        <f t="shared" si="124"/>
        <v>0</v>
      </c>
      <c r="S59" s="13">
        <f t="shared" si="124"/>
        <v>0</v>
      </c>
      <c r="T59" s="13">
        <f t="shared" si="124"/>
        <v>0</v>
      </c>
      <c r="U59" s="68">
        <f t="shared" si="61"/>
        <v>0</v>
      </c>
      <c r="V59" s="268">
        <f t="shared" si="62"/>
        <v>0</v>
      </c>
      <c r="W59" s="13">
        <f t="shared" si="38"/>
        <v>0</v>
      </c>
      <c r="X59" s="13">
        <f t="shared" si="125"/>
        <v>0</v>
      </c>
      <c r="Y59" s="13">
        <f t="shared" si="125"/>
        <v>0</v>
      </c>
      <c r="Z59" s="13">
        <f t="shared" si="125"/>
        <v>0</v>
      </c>
      <c r="AA59" s="13">
        <f t="shared" si="125"/>
        <v>0</v>
      </c>
      <c r="AB59" s="13">
        <f t="shared" si="125"/>
        <v>0</v>
      </c>
      <c r="AC59" s="68">
        <f t="shared" si="63"/>
        <v>0</v>
      </c>
      <c r="AD59" s="268">
        <f t="shared" si="64"/>
        <v>0</v>
      </c>
      <c r="AE59" s="13">
        <f t="shared" si="40"/>
        <v>0</v>
      </c>
      <c r="AF59" s="13">
        <f t="shared" si="126"/>
        <v>0</v>
      </c>
      <c r="AG59" s="13">
        <f t="shared" si="126"/>
        <v>0</v>
      </c>
      <c r="AH59" s="13">
        <f t="shared" si="126"/>
        <v>0</v>
      </c>
      <c r="AI59" s="13">
        <f t="shared" si="126"/>
        <v>0</v>
      </c>
      <c r="AJ59" s="13">
        <f t="shared" si="126"/>
        <v>0</v>
      </c>
      <c r="AK59" s="68">
        <f t="shared" si="65"/>
        <v>0</v>
      </c>
      <c r="AL59" s="268">
        <f t="shared" si="66"/>
        <v>0</v>
      </c>
      <c r="AM59" s="13">
        <f t="shared" si="42"/>
        <v>0</v>
      </c>
      <c r="AN59" s="13">
        <f t="shared" si="127"/>
        <v>0</v>
      </c>
      <c r="AO59" s="13">
        <f t="shared" si="127"/>
        <v>0</v>
      </c>
      <c r="AP59" s="13">
        <f t="shared" si="127"/>
        <v>0</v>
      </c>
      <c r="AQ59" s="13">
        <f t="shared" si="127"/>
        <v>0</v>
      </c>
      <c r="AR59" s="13">
        <f t="shared" si="127"/>
        <v>0</v>
      </c>
      <c r="AS59" s="13">
        <f t="shared" si="127"/>
        <v>0</v>
      </c>
      <c r="AT59" s="68">
        <f>AM59-AS59</f>
        <v>0</v>
      </c>
      <c r="AU59" s="268">
        <f t="shared" si="67"/>
        <v>0</v>
      </c>
      <c r="AV59" s="13">
        <f t="shared" si="44"/>
        <v>0</v>
      </c>
      <c r="AW59" s="13">
        <f t="shared" si="119"/>
        <v>0</v>
      </c>
      <c r="AX59" s="13">
        <f t="shared" si="119"/>
        <v>0</v>
      </c>
      <c r="AY59" s="13">
        <f t="shared" si="119"/>
        <v>0</v>
      </c>
      <c r="AZ59" s="13">
        <f t="shared" si="119"/>
        <v>0</v>
      </c>
      <c r="BA59" s="13">
        <f t="shared" si="120"/>
        <v>0</v>
      </c>
      <c r="BB59" s="68">
        <f t="shared" si="68"/>
        <v>0</v>
      </c>
      <c r="BC59" s="268">
        <f t="shared" si="69"/>
        <v>0</v>
      </c>
      <c r="BD59" s="13">
        <f t="shared" si="46"/>
        <v>0</v>
      </c>
      <c r="BE59" s="13">
        <f>SUMIFS(SALIDAS_BIT,FECHA_BIT,"&gt;="&amp;BE$2,FECHA_BIT,"&lt;="&amp;BE$3,CLAVE_BIT,$A59)+SUMIFS(SALIDAS_BOV1,FECHA_BOV1,"&gt;="&amp;BE$2,FECHA_BOV1,"&lt;="&amp;BE$3,CLAVE_BOV1,$A59)+SUMIFS(SALIDAS_BOV2,FECHA_BOV2,"&gt;="&amp;BE$2,FECHA_BOV2,"&lt;="&amp;BE$3,CLAVE_BOV2,$A59)+SUMIFS(SALIDAS_BOV3,FECHA_BOV3,"&gt;="&amp;BE$2,FECHA_BOV3,"&lt;="&amp;BE$3,CLAVE_BOV3,$A59)+SUMIFS(SALIDAS_TC,FECHA_TC,"&gt;="&amp;BE$2,FECHA_TC,"&lt;="&amp;BE$3,CLAVE_TC,$A59)+SUMIFS(SALIDAS_COMB,FECHA_COMB,"&gt;="&amp;BE$2,FECHA_COMB,"&lt;="&amp;BE$3,CLAVE_COMB,$A59)+SUMIFS(SALIDAS_DES,FECHA_DESGLOSEN,"&gt;="&amp;BE$2,FECHA_DESGLOSEN,"&lt;="&amp;BE$3,CLAVE_DESGLOSE,$A59)</f>
        <v>0</v>
      </c>
      <c r="BF59" s="13">
        <f>SUMIFS(SALIDAS_BIT,FECHA_BIT,"&gt;="&amp;BF$2,FECHA_BIT,"&lt;="&amp;BF$3,CLAVE_BIT,$A59)+SUMIFS(SALIDAS_BOV1,FECHA_BOV1,"&gt;="&amp;BF$2,FECHA_BOV1,"&lt;="&amp;BF$3,CLAVE_BOV1,$A59)+SUMIFS(SALIDAS_BOV2,FECHA_BOV2,"&gt;="&amp;BF$2,FECHA_BOV2,"&lt;="&amp;BF$3,CLAVE_BOV2,$A59)+SUMIFS(SALIDAS_BOV3,FECHA_BOV3,"&gt;="&amp;BF$2,FECHA_BOV3,"&lt;="&amp;BF$3,CLAVE_BOV3,$A59)+SUMIFS(SALIDAS_TC,FECHA_TC,"&gt;="&amp;BF$2,FECHA_TC,"&lt;="&amp;BF$3,CLAVE_TC,$A59)+SUMIFS(SALIDAS_COMB,FECHA_COMB,"&gt;="&amp;BF$2,FECHA_COMB,"&lt;="&amp;BF$3,CLAVE_COMB,$A59)+SUMIFS(SALIDAS_DES,FECHA_DESGLOSEN,"&gt;="&amp;BF$2,FECHA_DESGLOSEN,"&lt;="&amp;BF$3,CLAVE_DESGLOSE,$A59)</f>
        <v>0</v>
      </c>
      <c r="BG59" s="13">
        <f>SUMIFS(SALIDAS_BIT,FECHA_BIT,"&gt;="&amp;BG$2,FECHA_BIT,"&lt;="&amp;BG$3,CLAVE_BIT,$A59)+SUMIFS(SALIDAS_BOV1,FECHA_BOV1,"&gt;="&amp;BG$2,FECHA_BOV1,"&lt;="&amp;BG$3,CLAVE_BOV1,$A59)+SUMIFS(SALIDAS_BOV2,FECHA_BOV2,"&gt;="&amp;BG$2,FECHA_BOV2,"&lt;="&amp;BG$3,CLAVE_BOV2,$A59)+SUMIFS(SALIDAS_BOV3,FECHA_BOV3,"&gt;="&amp;BG$2,FECHA_BOV3,"&lt;="&amp;BG$3,CLAVE_BOV3,$A59)+SUMIFS(SALIDAS_TC,FECHA_TC,"&gt;="&amp;BG$2,FECHA_TC,"&lt;="&amp;BG$3,CLAVE_TC,$A59)+SUMIFS(SALIDAS_COMB,FECHA_COMB,"&gt;="&amp;BG$2,FECHA_COMB,"&lt;="&amp;BG$3,CLAVE_COMB,$A59)+SUMIFS(SALIDAS_DES,FECHA_DESGLOSEN,"&gt;="&amp;BG$2,FECHA_DESGLOSEN,"&lt;="&amp;BG$3,CLAVE_DESGLOSE,$A59)</f>
        <v>0</v>
      </c>
      <c r="BH59" s="13">
        <f>SUMIFS(SALIDAS_BIT,FECHA_BIT,"&gt;="&amp;BH$2,FECHA_BIT,"&lt;="&amp;BH$3,CLAVE_BIT,$A59)+SUMIFS(SALIDAS_BOV1,FECHA_BOV1,"&gt;="&amp;BH$2,FECHA_BOV1,"&lt;="&amp;BH$3,CLAVE_BOV1,$A59)+SUMIFS(SALIDAS_BOV2,FECHA_BOV2,"&gt;="&amp;BH$2,FECHA_BOV2,"&lt;="&amp;BH$3,CLAVE_BOV2,$A59)+SUMIFS(SALIDAS_BOV3,FECHA_BOV3,"&gt;="&amp;BH$2,FECHA_BOV3,"&lt;="&amp;BH$3,CLAVE_BOV3,$A59)+SUMIFS(SALIDAS_TC,FECHA_TC,"&gt;="&amp;BH$2,FECHA_TC,"&lt;="&amp;BH$3,CLAVE_TC,$A59)+SUMIFS(SALIDAS_COMB,FECHA_COMB,"&gt;="&amp;BH$2,FECHA_COMB,"&lt;="&amp;BH$3,CLAVE_COMB,$A59)+SUMIFS(SALIDAS_DES,FECHA_DESGLOSEN,"&gt;="&amp;BH$2,FECHA_DESGLOSEN,"&lt;="&amp;BH$3,CLAVE_DESGLOSE,$A59)</f>
        <v>0</v>
      </c>
      <c r="BI59" s="13">
        <f t="shared" si="121"/>
        <v>0</v>
      </c>
      <c r="BJ59" s="68">
        <f t="shared" si="70"/>
        <v>0</v>
      </c>
      <c r="BK59" s="268">
        <f t="shared" si="71"/>
        <v>0</v>
      </c>
      <c r="BL59" s="13">
        <f t="shared" si="47"/>
        <v>0</v>
      </c>
      <c r="BM59" s="13">
        <f>SUMIFS(SALIDAS_BIT,FECHA_BIT,"&gt;="&amp;BM$2,FECHA_BIT,"&lt;="&amp;BM$3,CLAVE_BIT,$A59)+SUMIFS(SALIDAS_BOV1,FECHA_BOV1,"&gt;="&amp;BM$2,FECHA_BOV1,"&lt;="&amp;BM$3,CLAVE_BOV1,$A59)+SUMIFS(SALIDAS_BOV2,FECHA_BOV2,"&gt;="&amp;BM$2,FECHA_BOV2,"&lt;="&amp;BM$3,CLAVE_BOV2,$A59)+SUMIFS(SALIDAS_BOV3,FECHA_BOV3,"&gt;="&amp;BM$2,FECHA_BOV3,"&lt;="&amp;BM$3,CLAVE_BOV3,$A59)+SUMIFS(SALIDAS_TC,FECHA_TC,"&gt;="&amp;BM$2,FECHA_TC,"&lt;="&amp;BM$3,CLAVE_TC,$A59)+SUMIFS(SALIDAS_COMB,FECHA_COMB,"&gt;="&amp;BM$2,FECHA_COMB,"&lt;="&amp;BM$3,CLAVE_COMB,$A59)+SUMIFS(SALIDAS_DES,FECHA_DESGLOSEN,"&gt;="&amp;BM$2,FECHA_DESGLOSEN,"&lt;="&amp;BM$3,CLAVE_DESGLOSE,$A59)</f>
        <v>0</v>
      </c>
      <c r="BN59" s="13">
        <f>SUMIFS(SALIDAS_BIT,FECHA_BIT,"&gt;="&amp;BN$2,FECHA_BIT,"&lt;="&amp;BN$3,CLAVE_BIT,$A59)+SUMIFS(SALIDAS_BOV1,FECHA_BOV1,"&gt;="&amp;BN$2,FECHA_BOV1,"&lt;="&amp;BN$3,CLAVE_BOV1,$A59)+SUMIFS(SALIDAS_BOV2,FECHA_BOV2,"&gt;="&amp;BN$2,FECHA_BOV2,"&lt;="&amp;BN$3,CLAVE_BOV2,$A59)+SUMIFS(SALIDAS_BOV3,FECHA_BOV3,"&gt;="&amp;BN$2,FECHA_BOV3,"&lt;="&amp;BN$3,CLAVE_BOV3,$A59)+SUMIFS(SALIDAS_TC,FECHA_TC,"&gt;="&amp;BN$2,FECHA_TC,"&lt;="&amp;BN$3,CLAVE_TC,$A59)+SUMIFS(SALIDAS_COMB,FECHA_COMB,"&gt;="&amp;BN$2,FECHA_COMB,"&lt;="&amp;BN$3,CLAVE_COMB,$A59)+SUMIFS(SALIDAS_DES,FECHA_DESGLOSEN,"&gt;="&amp;BN$2,FECHA_DESGLOSEN,"&lt;="&amp;BN$3,CLAVE_DESGLOSE,$A59)</f>
        <v>0</v>
      </c>
      <c r="BO59" s="13">
        <f>SUMIFS(SALIDAS_BIT,FECHA_BIT,"&gt;="&amp;BO$2,FECHA_BIT,"&lt;="&amp;BO$3,CLAVE_BIT,$A59)+SUMIFS(SALIDAS_BOV1,FECHA_BOV1,"&gt;="&amp;BO$2,FECHA_BOV1,"&lt;="&amp;BO$3,CLAVE_BOV1,$A59)+SUMIFS(SALIDAS_BOV2,FECHA_BOV2,"&gt;="&amp;BO$2,FECHA_BOV2,"&lt;="&amp;BO$3,CLAVE_BOV2,$A59)+SUMIFS(SALIDAS_BOV3,FECHA_BOV3,"&gt;="&amp;BO$2,FECHA_BOV3,"&lt;="&amp;BO$3,CLAVE_BOV3,$A59)+SUMIFS(SALIDAS_TC,FECHA_TC,"&gt;="&amp;BO$2,FECHA_TC,"&lt;="&amp;BO$3,CLAVE_TC,$A59)+SUMIFS(SALIDAS_COMB,FECHA_COMB,"&gt;="&amp;BO$2,FECHA_COMB,"&lt;="&amp;BO$3,CLAVE_COMB,$A59)+SUMIFS(SALIDAS_DES,FECHA_DESGLOSEN,"&gt;="&amp;BO$2,FECHA_DESGLOSEN,"&lt;="&amp;BO$3,CLAVE_DESGLOSE,$A59)</f>
        <v>0</v>
      </c>
      <c r="BP59" s="13">
        <f>SUMIFS(SALIDAS_BIT,FECHA_BIT,"&gt;="&amp;BP$2,FECHA_BIT,"&lt;="&amp;BP$3,CLAVE_BIT,$A59)+SUMIFS(SALIDAS_BOV1,FECHA_BOV1,"&gt;="&amp;BP$2,FECHA_BOV1,"&lt;="&amp;BP$3,CLAVE_BOV1,$A59)+SUMIFS(SALIDAS_BOV2,FECHA_BOV2,"&gt;="&amp;BP$2,FECHA_BOV2,"&lt;="&amp;BP$3,CLAVE_BOV2,$A59)+SUMIFS(SALIDAS_BOV3,FECHA_BOV3,"&gt;="&amp;BP$2,FECHA_BOV3,"&lt;="&amp;BP$3,CLAVE_BOV3,$A59)+SUMIFS(SALIDAS_TC,FECHA_TC,"&gt;="&amp;BP$2,FECHA_TC,"&lt;="&amp;BP$3,CLAVE_TC,$A59)+SUMIFS(SALIDAS_COMB,FECHA_COMB,"&gt;="&amp;BP$2,FECHA_COMB,"&lt;="&amp;BP$3,CLAVE_COMB,$A59)+SUMIFS(SALIDAS_DES,FECHA_DESGLOSEN,"&gt;="&amp;BP$2,FECHA_DESGLOSEN,"&lt;="&amp;BP$3,CLAVE_DESGLOSE,$A59)</f>
        <v>0</v>
      </c>
      <c r="BQ59" s="13">
        <f>SUMIFS(SALIDAS_BIT,FECHA_BIT,"&gt;="&amp;BQ$2,FECHA_BIT,"&lt;="&amp;BQ$3,CLAVE_BIT,$A59)+SUMIFS(SALIDAS_BOV1,FECHA_BOV1,"&gt;="&amp;BQ$2,FECHA_BOV1,"&lt;="&amp;BQ$3,CLAVE_BOV1,$A59)+SUMIFS(SALIDAS_BOV2,FECHA_BOV2,"&gt;="&amp;BQ$2,FECHA_BOV2,"&lt;="&amp;BQ$3,CLAVE_BOV2,$A59)+SUMIFS(SALIDAS_BOV3,FECHA_BOV3,"&gt;="&amp;BQ$2,FECHA_BOV3,"&lt;="&amp;BQ$3,CLAVE_BOV3,$A59)+SUMIFS(SALIDAS_TC,FECHA_TC,"&gt;="&amp;BQ$2,FECHA_TC,"&lt;="&amp;BQ$3,CLAVE_TC,$A59)+SUMIFS(SALIDAS_COMB,FECHA_COMB,"&gt;="&amp;BQ$2,FECHA_COMB,"&lt;="&amp;BQ$3,CLAVE_COMB,$A59)+SUMIFS(SALIDAS_DES,FECHA_DESGLOSEN,"&gt;="&amp;BQ$2,FECHA_DESGLOSEN,"&lt;="&amp;BQ$3,CLAVE_DESGLOSE,$A59)</f>
        <v>0</v>
      </c>
      <c r="BR59" s="13">
        <f t="shared" si="128"/>
        <v>0</v>
      </c>
      <c r="BS59" s="68">
        <f t="shared" si="72"/>
        <v>0</v>
      </c>
      <c r="BT59" s="268">
        <f t="shared" si="73"/>
        <v>0</v>
      </c>
      <c r="BU59" s="13">
        <f t="shared" si="49"/>
        <v>0</v>
      </c>
      <c r="BV59" s="13">
        <f t="shared" si="90"/>
        <v>0</v>
      </c>
      <c r="BW59" s="13">
        <f t="shared" si="90"/>
        <v>0</v>
      </c>
      <c r="BX59" s="13">
        <f t="shared" si="90"/>
        <v>0</v>
      </c>
      <c r="BY59" s="13">
        <f t="shared" si="90"/>
        <v>0</v>
      </c>
      <c r="BZ59" s="13">
        <f t="shared" si="129"/>
        <v>0</v>
      </c>
      <c r="CA59" s="68">
        <f t="shared" si="74"/>
        <v>0</v>
      </c>
      <c r="CB59" s="268">
        <f t="shared" si="75"/>
        <v>0</v>
      </c>
      <c r="CC59" s="13">
        <f t="shared" si="51"/>
        <v>0</v>
      </c>
      <c r="CD59" s="13">
        <f t="shared" si="91"/>
        <v>0</v>
      </c>
      <c r="CE59" s="13">
        <f t="shared" si="91"/>
        <v>0</v>
      </c>
      <c r="CF59" s="13">
        <f t="shared" si="91"/>
        <v>0</v>
      </c>
      <c r="CG59" s="13">
        <f t="shared" si="91"/>
        <v>0</v>
      </c>
      <c r="CH59" s="13">
        <f t="shared" si="130"/>
        <v>0</v>
      </c>
      <c r="CI59" s="68">
        <f t="shared" si="76"/>
        <v>0</v>
      </c>
      <c r="CJ59" s="268">
        <f t="shared" si="77"/>
        <v>0</v>
      </c>
      <c r="CK59" s="13">
        <f t="shared" si="53"/>
        <v>0</v>
      </c>
      <c r="CL59" s="13">
        <f t="shared" si="92"/>
        <v>520</v>
      </c>
      <c r="CM59" s="13">
        <f t="shared" si="92"/>
        <v>0</v>
      </c>
      <c r="CN59" s="13">
        <f t="shared" si="92"/>
        <v>0</v>
      </c>
      <c r="CO59" s="13">
        <f t="shared" si="92"/>
        <v>1102</v>
      </c>
      <c r="CP59" s="13">
        <f t="shared" si="92"/>
        <v>0</v>
      </c>
      <c r="CQ59" s="13">
        <f t="shared" si="131"/>
        <v>1622</v>
      </c>
      <c r="CR59" s="68">
        <f t="shared" si="78"/>
        <v>-1622</v>
      </c>
      <c r="CS59" s="268">
        <f t="shared" si="79"/>
        <v>0</v>
      </c>
      <c r="CT59" s="68">
        <f t="shared" si="55"/>
        <v>0</v>
      </c>
      <c r="CU59" s="13">
        <f>SUMIFS(SALIDAS_BIT,FECHA_BIT,"&gt;="&amp;CU$2,FECHA_BIT,"&lt;="&amp;CU$3,CLAVE_BIT,$A59)+SUMIFS(SALIDAS_BOV1,FECHA_BOV1,"&gt;="&amp;CU$2,FECHA_BOV1,"&lt;="&amp;CU$3,CLAVE_BOV1,$A59)+SUMIFS(SALIDAS_BOV2,FECHA_BOV2,"&gt;="&amp;CU$2,FECHA_BOV2,"&lt;="&amp;CU$3,CLAVE_BOV2,$A59)+SUMIFS(SALIDAS_BOV3,FECHA_BOV3,"&gt;="&amp;CU$2,FECHA_BOV3,"&lt;="&amp;CU$3,CLAVE_BOV3,$A59)+SUMIFS(SALIDAS_TC,FECHA_TC,"&gt;="&amp;CU$2,FECHA_TC,"&lt;="&amp;CU$3,CLAVE_TC,$A59)+SUMIFS(SALIDAS_COMB,FECHA_COMB,"&gt;="&amp;CU$2,FECHA_COMB,"&lt;="&amp;CU$3,CLAVE_COMB,$A59)+SUMIFS(SALIDAS_DES,FECHA_DESGLOSEN,"&gt;="&amp;CU$2,FECHA_DESGLOSEN,"&lt;="&amp;CU$3,CLAVE_DESGLOSE,$A59)</f>
        <v>0</v>
      </c>
      <c r="CV59" s="13">
        <f>SUMIFS(SALIDAS_BIT,FECHA_BIT,"&gt;="&amp;CV$2,FECHA_BIT,"&lt;="&amp;CV$3,CLAVE_BIT,$A59)+SUMIFS(SALIDAS_BOV1,FECHA_BOV1,"&gt;="&amp;CV$2,FECHA_BOV1,"&lt;="&amp;CV$3,CLAVE_BOV1,$A59)+SUMIFS(SALIDAS_BOV2,FECHA_BOV2,"&gt;="&amp;CV$2,FECHA_BOV2,"&lt;="&amp;CV$3,CLAVE_BOV2,$A59)+SUMIFS(SALIDAS_BOV3,FECHA_BOV3,"&gt;="&amp;CV$2,FECHA_BOV3,"&lt;="&amp;CV$3,CLAVE_BOV3,$A59)+SUMIFS(SALIDAS_TC,FECHA_TC,"&gt;="&amp;CV$2,FECHA_TC,"&lt;="&amp;CV$3,CLAVE_TC,$A59)+SUMIFS(SALIDAS_COMB,FECHA_COMB,"&gt;="&amp;CV$2,FECHA_COMB,"&lt;="&amp;CV$3,CLAVE_COMB,$A59)+SUMIFS(SALIDAS_DES,FECHA_DESGLOSEN,"&gt;="&amp;CV$2,FECHA_DESGLOSEN,"&lt;="&amp;CV$3,CLAVE_DESGLOSE,$A59)</f>
        <v>0</v>
      </c>
      <c r="CW59" s="13">
        <f>SUMIFS(SALIDAS_BIT,FECHA_BIT,"&gt;="&amp;CW$2,FECHA_BIT,"&lt;="&amp;CW$3,CLAVE_BIT,$A59)+SUMIFS(SALIDAS_BOV1,FECHA_BOV1,"&gt;="&amp;CW$2,FECHA_BOV1,"&lt;="&amp;CW$3,CLAVE_BOV1,$A59)+SUMIFS(SALIDAS_BOV2,FECHA_BOV2,"&gt;="&amp;CW$2,FECHA_BOV2,"&lt;="&amp;CW$3,CLAVE_BOV2,$A59)+SUMIFS(SALIDAS_BOV3,FECHA_BOV3,"&gt;="&amp;CW$2,FECHA_BOV3,"&lt;="&amp;CW$3,CLAVE_BOV3,$A59)+SUMIFS(SALIDAS_TC,FECHA_TC,"&gt;="&amp;CW$2,FECHA_TC,"&lt;="&amp;CW$3,CLAVE_TC,$A59)+SUMIFS(SALIDAS_COMB,FECHA_COMB,"&gt;="&amp;CW$2,FECHA_COMB,"&lt;="&amp;CW$3,CLAVE_COMB,$A59)+SUMIFS(SALIDAS_DES,FECHA_DESGLOSEN,"&gt;="&amp;CW$2,FECHA_DESGLOSEN,"&lt;="&amp;CW$3,CLAVE_DESGLOSE,$A59)</f>
        <v>0</v>
      </c>
      <c r="CX59" s="13">
        <f>SUMIFS(SALIDAS_BIT,FECHA_BIT,"&gt;="&amp;CX$2,FECHA_BIT,"&lt;="&amp;CX$3,CLAVE_BIT,$A59)+SUMIFS(SALIDAS_BOV1,FECHA_BOV1,"&gt;="&amp;CX$2,FECHA_BOV1,"&lt;="&amp;CX$3,CLAVE_BOV1,$A59)+SUMIFS(SALIDAS_BOV2,FECHA_BOV2,"&gt;="&amp;CX$2,FECHA_BOV2,"&lt;="&amp;CX$3,CLAVE_BOV2,$A59)+SUMIFS(SALIDAS_BOV3,FECHA_BOV3,"&gt;="&amp;CX$2,FECHA_BOV3,"&lt;="&amp;CX$3,CLAVE_BOV3,$A59)+SUMIFS(SALIDAS_TC,FECHA_TC,"&gt;="&amp;CX$2,FECHA_TC,"&lt;="&amp;CX$3,CLAVE_TC,$A59)+SUMIFS(SALIDAS_COMB,FECHA_COMB,"&gt;="&amp;CX$2,FECHA_COMB,"&lt;="&amp;CX$3,CLAVE_COMB,$A59)+SUMIFS(SALIDAS_DES,FECHA_DESGLOSEN,"&gt;="&amp;CX$2,FECHA_DESGLOSEN,"&lt;="&amp;CX$3,CLAVE_DESGLOSE,$A59)</f>
        <v>0</v>
      </c>
      <c r="CY59" s="13">
        <f>SUMIFS(SALIDAS_BIT,FECHA_BIT,"&gt;="&amp;CY$2,FECHA_BIT,"&lt;="&amp;CY$3,CLAVE_BIT,$A59)+SUMIFS(SALIDAS_BOV1,FECHA_BOV1,"&gt;="&amp;CY$2,FECHA_BOV1,"&lt;="&amp;CY$3,CLAVE_BOV1,$A59)+SUMIFS(SALIDAS_BOV2,FECHA_BOV2,"&gt;="&amp;CY$2,FECHA_BOV2,"&lt;="&amp;CY$3,CLAVE_BOV2,$A59)+SUMIFS(SALIDAS_BOV3,FECHA_BOV3,"&gt;="&amp;CY$2,FECHA_BOV3,"&lt;="&amp;CY$3,CLAVE_BOV3,$A59)+SUMIFS(SALIDAS_TC,FECHA_TC,"&gt;="&amp;CY$2,FECHA_TC,"&lt;="&amp;CY$3,CLAVE_TC,$A59)+SUMIFS(SALIDAS_COMB,FECHA_COMB,"&gt;="&amp;CY$2,FECHA_COMB,"&lt;="&amp;CY$3,CLAVE_COMB,$A59)+SUMIFS(SALIDAS_DES,FECHA_DESGLOSEN,"&gt;="&amp;CY$2,FECHA_DESGLOSEN,"&lt;="&amp;CY$3,CLAVE_DESGLOSE,$A59)</f>
        <v>0</v>
      </c>
      <c r="CZ59" s="68">
        <f t="shared" si="80"/>
        <v>0</v>
      </c>
      <c r="DB59" s="17">
        <f>F59+N59+W59+AE59+AM59+AV59+BD59+BL59+BU59+CC59+CK59</f>
        <v>0</v>
      </c>
      <c r="DC59" s="17">
        <f>K59+T59+AB59+AJ59+AS59+BA59+BI59+BR59+BZ59+CH59+CQ59</f>
        <v>1622</v>
      </c>
    </row>
    <row r="60" spans="1:107" hidden="1">
      <c r="A60" s="12" t="str">
        <f t="shared" si="57"/>
        <v>MMVACACIONES/FINIQUITOSMARKET MAX</v>
      </c>
      <c r="B60" s="12">
        <v>60</v>
      </c>
      <c r="C60" t="s">
        <v>45</v>
      </c>
      <c r="D60" s="12" t="s">
        <v>190</v>
      </c>
      <c r="E60" s="12" t="s">
        <v>46</v>
      </c>
      <c r="F60" s="259">
        <f t="shared" si="58"/>
        <v>0</v>
      </c>
      <c r="G60" s="13">
        <f t="shared" si="123"/>
        <v>0</v>
      </c>
      <c r="H60" s="13">
        <f t="shared" si="123"/>
        <v>0</v>
      </c>
      <c r="I60" s="13">
        <f t="shared" si="123"/>
        <v>0</v>
      </c>
      <c r="J60" s="13">
        <f t="shared" si="123"/>
        <v>0</v>
      </c>
      <c r="K60" s="13">
        <f t="shared" si="123"/>
        <v>0</v>
      </c>
      <c r="L60" s="68">
        <f t="shared" si="59"/>
        <v>0</v>
      </c>
      <c r="M60" s="268">
        <f t="shared" si="60"/>
        <v>0</v>
      </c>
      <c r="N60" s="13">
        <f t="shared" si="36"/>
        <v>0</v>
      </c>
      <c r="O60" s="13">
        <f t="shared" si="124"/>
        <v>0</v>
      </c>
      <c r="P60" s="13">
        <f t="shared" si="124"/>
        <v>0</v>
      </c>
      <c r="Q60" s="13">
        <f t="shared" si="124"/>
        <v>0</v>
      </c>
      <c r="R60" s="13">
        <f t="shared" si="124"/>
        <v>0</v>
      </c>
      <c r="S60" s="13">
        <f t="shared" si="124"/>
        <v>0</v>
      </c>
      <c r="T60" s="13">
        <f t="shared" si="124"/>
        <v>0</v>
      </c>
      <c r="U60" s="68">
        <f t="shared" si="61"/>
        <v>0</v>
      </c>
      <c r="V60" s="268">
        <f t="shared" si="62"/>
        <v>0</v>
      </c>
      <c r="W60" s="13">
        <f t="shared" si="38"/>
        <v>0</v>
      </c>
      <c r="X60" s="13">
        <f t="shared" si="125"/>
        <v>0</v>
      </c>
      <c r="Y60" s="13">
        <f t="shared" si="125"/>
        <v>0</v>
      </c>
      <c r="Z60" s="13">
        <f t="shared" si="125"/>
        <v>0</v>
      </c>
      <c r="AA60" s="13">
        <f t="shared" si="125"/>
        <v>0</v>
      </c>
      <c r="AB60" s="13">
        <f t="shared" si="125"/>
        <v>0</v>
      </c>
      <c r="AC60" s="68">
        <f t="shared" si="63"/>
        <v>0</v>
      </c>
      <c r="AD60" s="268">
        <f t="shared" si="64"/>
        <v>0</v>
      </c>
      <c r="AE60" s="13">
        <f t="shared" si="40"/>
        <v>0</v>
      </c>
      <c r="AF60" s="13">
        <f t="shared" si="126"/>
        <v>0</v>
      </c>
      <c r="AG60" s="13">
        <f t="shared" si="126"/>
        <v>0</v>
      </c>
      <c r="AH60" s="13">
        <f t="shared" si="126"/>
        <v>0</v>
      </c>
      <c r="AI60" s="13">
        <f t="shared" si="126"/>
        <v>0</v>
      </c>
      <c r="AJ60" s="13">
        <f t="shared" si="126"/>
        <v>0</v>
      </c>
      <c r="AK60" s="68">
        <f t="shared" si="65"/>
        <v>0</v>
      </c>
      <c r="AL60" s="268">
        <f t="shared" si="66"/>
        <v>0</v>
      </c>
      <c r="AM60" s="13">
        <f t="shared" si="42"/>
        <v>0</v>
      </c>
      <c r="AN60" s="13">
        <f t="shared" si="127"/>
        <v>0</v>
      </c>
      <c r="AO60" s="13">
        <f t="shared" si="127"/>
        <v>0</v>
      </c>
      <c r="AP60" s="13">
        <f t="shared" si="127"/>
        <v>0</v>
      </c>
      <c r="AQ60" s="13">
        <f t="shared" si="127"/>
        <v>0</v>
      </c>
      <c r="AR60" s="13">
        <f t="shared" si="127"/>
        <v>0</v>
      </c>
      <c r="AS60" s="13">
        <f t="shared" si="127"/>
        <v>0</v>
      </c>
      <c r="AT60" s="68">
        <f>AM60-AS60</f>
        <v>0</v>
      </c>
      <c r="AU60" s="268">
        <f t="shared" si="67"/>
        <v>0</v>
      </c>
      <c r="AV60" s="13">
        <f t="shared" si="44"/>
        <v>0</v>
      </c>
      <c r="AW60" s="13">
        <f t="shared" si="119"/>
        <v>0</v>
      </c>
      <c r="AX60" s="13">
        <f t="shared" si="119"/>
        <v>0</v>
      </c>
      <c r="AY60" s="13">
        <f t="shared" si="119"/>
        <v>0</v>
      </c>
      <c r="AZ60" s="13">
        <f t="shared" si="119"/>
        <v>0</v>
      </c>
      <c r="BA60" s="13">
        <f t="shared" si="120"/>
        <v>0</v>
      </c>
      <c r="BB60" s="68">
        <f t="shared" si="68"/>
        <v>0</v>
      </c>
      <c r="BC60" s="268">
        <f t="shared" si="69"/>
        <v>0</v>
      </c>
      <c r="BD60" s="13">
        <f t="shared" si="46"/>
        <v>0</v>
      </c>
      <c r="BE60" s="13">
        <f>SUMIFS(SALIDAS_BIT,FECHA_BIT,"&gt;="&amp;BE$2,FECHA_BIT,"&lt;="&amp;BE$3,CLAVE_BIT,$A60)+SUMIFS(SALIDAS_BOV1,FECHA_BOV1,"&gt;="&amp;BE$2,FECHA_BOV1,"&lt;="&amp;BE$3,CLAVE_BOV1,$A60)+SUMIFS(SALIDAS_BOV2,FECHA_BOV2,"&gt;="&amp;BE$2,FECHA_BOV2,"&lt;="&amp;BE$3,CLAVE_BOV2,$A60)+SUMIFS(SALIDAS_BOV3,FECHA_BOV3,"&gt;="&amp;BE$2,FECHA_BOV3,"&lt;="&amp;BE$3,CLAVE_BOV3,$A60)+SUMIFS(SALIDAS_TC,FECHA_TC,"&gt;="&amp;BE$2,FECHA_TC,"&lt;="&amp;BE$3,CLAVE_TC,$A60)+SUMIFS(SALIDAS_COMB,FECHA_COMB,"&gt;="&amp;BE$2,FECHA_COMB,"&lt;="&amp;BE$3,CLAVE_COMB,$A60)+SUMIFS(SALIDAS_DES,FECHA_DESGLOSEN,"&gt;="&amp;BE$2,FECHA_DESGLOSEN,"&lt;="&amp;BE$3,CLAVE_DESGLOSE,$A60)</f>
        <v>0</v>
      </c>
      <c r="BF60" s="13">
        <f>SUMIFS(SALIDAS_BIT,FECHA_BIT,"&gt;="&amp;BF$2,FECHA_BIT,"&lt;="&amp;BF$3,CLAVE_BIT,$A60)+SUMIFS(SALIDAS_BOV1,FECHA_BOV1,"&gt;="&amp;BF$2,FECHA_BOV1,"&lt;="&amp;BF$3,CLAVE_BOV1,$A60)+SUMIFS(SALIDAS_BOV2,FECHA_BOV2,"&gt;="&amp;BF$2,FECHA_BOV2,"&lt;="&amp;BF$3,CLAVE_BOV2,$A60)+SUMIFS(SALIDAS_BOV3,FECHA_BOV3,"&gt;="&amp;BF$2,FECHA_BOV3,"&lt;="&amp;BF$3,CLAVE_BOV3,$A60)+SUMIFS(SALIDAS_TC,FECHA_TC,"&gt;="&amp;BF$2,FECHA_TC,"&lt;="&amp;BF$3,CLAVE_TC,$A60)+SUMIFS(SALIDAS_COMB,FECHA_COMB,"&gt;="&amp;BF$2,FECHA_COMB,"&lt;="&amp;BF$3,CLAVE_COMB,$A60)+SUMIFS(SALIDAS_DES,FECHA_DESGLOSEN,"&gt;="&amp;BF$2,FECHA_DESGLOSEN,"&lt;="&amp;BF$3,CLAVE_DESGLOSE,$A60)</f>
        <v>0</v>
      </c>
      <c r="BG60" s="13">
        <f>SUMIFS(SALIDAS_BIT,FECHA_BIT,"&gt;="&amp;BG$2,FECHA_BIT,"&lt;="&amp;BG$3,CLAVE_BIT,$A60)+SUMIFS(SALIDAS_BOV1,FECHA_BOV1,"&gt;="&amp;BG$2,FECHA_BOV1,"&lt;="&amp;BG$3,CLAVE_BOV1,$A60)+SUMIFS(SALIDAS_BOV2,FECHA_BOV2,"&gt;="&amp;BG$2,FECHA_BOV2,"&lt;="&amp;BG$3,CLAVE_BOV2,$A60)+SUMIFS(SALIDAS_BOV3,FECHA_BOV3,"&gt;="&amp;BG$2,FECHA_BOV3,"&lt;="&amp;BG$3,CLAVE_BOV3,$A60)+SUMIFS(SALIDAS_TC,FECHA_TC,"&gt;="&amp;BG$2,FECHA_TC,"&lt;="&amp;BG$3,CLAVE_TC,$A60)+SUMIFS(SALIDAS_COMB,FECHA_COMB,"&gt;="&amp;BG$2,FECHA_COMB,"&lt;="&amp;BG$3,CLAVE_COMB,$A60)+SUMIFS(SALIDAS_DES,FECHA_DESGLOSEN,"&gt;="&amp;BG$2,FECHA_DESGLOSEN,"&lt;="&amp;BG$3,CLAVE_DESGLOSE,$A60)</f>
        <v>0</v>
      </c>
      <c r="BH60" s="13">
        <f>SUMIFS(SALIDAS_BIT,FECHA_BIT,"&gt;="&amp;BH$2,FECHA_BIT,"&lt;="&amp;BH$3,CLAVE_BIT,$A60)+SUMIFS(SALIDAS_BOV1,FECHA_BOV1,"&gt;="&amp;BH$2,FECHA_BOV1,"&lt;="&amp;BH$3,CLAVE_BOV1,$A60)+SUMIFS(SALIDAS_BOV2,FECHA_BOV2,"&gt;="&amp;BH$2,FECHA_BOV2,"&lt;="&amp;BH$3,CLAVE_BOV2,$A60)+SUMIFS(SALIDAS_BOV3,FECHA_BOV3,"&gt;="&amp;BH$2,FECHA_BOV3,"&lt;="&amp;BH$3,CLAVE_BOV3,$A60)+SUMIFS(SALIDAS_TC,FECHA_TC,"&gt;="&amp;BH$2,FECHA_TC,"&lt;="&amp;BH$3,CLAVE_TC,$A60)+SUMIFS(SALIDAS_COMB,FECHA_COMB,"&gt;="&amp;BH$2,FECHA_COMB,"&lt;="&amp;BH$3,CLAVE_COMB,$A60)+SUMIFS(SALIDAS_DES,FECHA_DESGLOSEN,"&gt;="&amp;BH$2,FECHA_DESGLOSEN,"&lt;="&amp;BH$3,CLAVE_DESGLOSE,$A60)</f>
        <v>4285.68</v>
      </c>
      <c r="BI60" s="13">
        <f t="shared" si="121"/>
        <v>4285.68</v>
      </c>
      <c r="BJ60" s="68">
        <f t="shared" si="70"/>
        <v>-4285.68</v>
      </c>
      <c r="BK60" s="268">
        <f t="shared" si="71"/>
        <v>0</v>
      </c>
      <c r="BL60" s="13">
        <f t="shared" si="47"/>
        <v>0</v>
      </c>
      <c r="BM60" s="13">
        <f>SUMIFS(SALIDAS_BIT,FECHA_BIT,"&gt;="&amp;BM$2,FECHA_BIT,"&lt;="&amp;BM$3,CLAVE_BIT,$A60)+SUMIFS(SALIDAS_BOV1,FECHA_BOV1,"&gt;="&amp;BM$2,FECHA_BOV1,"&lt;="&amp;BM$3,CLAVE_BOV1,$A60)+SUMIFS(SALIDAS_BOV2,FECHA_BOV2,"&gt;="&amp;BM$2,FECHA_BOV2,"&lt;="&amp;BM$3,CLAVE_BOV2,$A60)+SUMIFS(SALIDAS_BOV3,FECHA_BOV3,"&gt;="&amp;BM$2,FECHA_BOV3,"&lt;="&amp;BM$3,CLAVE_BOV3,$A60)+SUMIFS(SALIDAS_TC,FECHA_TC,"&gt;="&amp;BM$2,FECHA_TC,"&lt;="&amp;BM$3,CLAVE_TC,$A60)+SUMIFS(SALIDAS_COMB,FECHA_COMB,"&gt;="&amp;BM$2,FECHA_COMB,"&lt;="&amp;BM$3,CLAVE_COMB,$A60)+SUMIFS(SALIDAS_DES,FECHA_DESGLOSEN,"&gt;="&amp;BM$2,FECHA_DESGLOSEN,"&lt;="&amp;BM$3,CLAVE_DESGLOSE,$A60)</f>
        <v>0</v>
      </c>
      <c r="BN60" s="13">
        <f>SUMIFS(SALIDAS_BIT,FECHA_BIT,"&gt;="&amp;BN$2,FECHA_BIT,"&lt;="&amp;BN$3,CLAVE_BIT,$A60)+SUMIFS(SALIDAS_BOV1,FECHA_BOV1,"&gt;="&amp;BN$2,FECHA_BOV1,"&lt;="&amp;BN$3,CLAVE_BOV1,$A60)+SUMIFS(SALIDAS_BOV2,FECHA_BOV2,"&gt;="&amp;BN$2,FECHA_BOV2,"&lt;="&amp;BN$3,CLAVE_BOV2,$A60)+SUMIFS(SALIDAS_BOV3,FECHA_BOV3,"&gt;="&amp;BN$2,FECHA_BOV3,"&lt;="&amp;BN$3,CLAVE_BOV3,$A60)+SUMIFS(SALIDAS_TC,FECHA_TC,"&gt;="&amp;BN$2,FECHA_TC,"&lt;="&amp;BN$3,CLAVE_TC,$A60)+SUMIFS(SALIDAS_COMB,FECHA_COMB,"&gt;="&amp;BN$2,FECHA_COMB,"&lt;="&amp;BN$3,CLAVE_COMB,$A60)+SUMIFS(SALIDAS_DES,FECHA_DESGLOSEN,"&gt;="&amp;BN$2,FECHA_DESGLOSEN,"&lt;="&amp;BN$3,CLAVE_DESGLOSE,$A60)</f>
        <v>0</v>
      </c>
      <c r="BO60" s="13">
        <f>SUMIFS(SALIDAS_BIT,FECHA_BIT,"&gt;="&amp;BO$2,FECHA_BIT,"&lt;="&amp;BO$3,CLAVE_BIT,$A60)+SUMIFS(SALIDAS_BOV1,FECHA_BOV1,"&gt;="&amp;BO$2,FECHA_BOV1,"&lt;="&amp;BO$3,CLAVE_BOV1,$A60)+SUMIFS(SALIDAS_BOV2,FECHA_BOV2,"&gt;="&amp;BO$2,FECHA_BOV2,"&lt;="&amp;BO$3,CLAVE_BOV2,$A60)+SUMIFS(SALIDAS_BOV3,FECHA_BOV3,"&gt;="&amp;BO$2,FECHA_BOV3,"&lt;="&amp;BO$3,CLAVE_BOV3,$A60)+SUMIFS(SALIDAS_TC,FECHA_TC,"&gt;="&amp;BO$2,FECHA_TC,"&lt;="&amp;BO$3,CLAVE_TC,$A60)+SUMIFS(SALIDAS_COMB,FECHA_COMB,"&gt;="&amp;BO$2,FECHA_COMB,"&lt;="&amp;BO$3,CLAVE_COMB,$A60)+SUMIFS(SALIDAS_DES,FECHA_DESGLOSEN,"&gt;="&amp;BO$2,FECHA_DESGLOSEN,"&lt;="&amp;BO$3,CLAVE_DESGLOSE,$A60)</f>
        <v>0</v>
      </c>
      <c r="BP60" s="13">
        <f>SUMIFS(SALIDAS_BIT,FECHA_BIT,"&gt;="&amp;BP$2,FECHA_BIT,"&lt;="&amp;BP$3,CLAVE_BIT,$A60)+SUMIFS(SALIDAS_BOV1,FECHA_BOV1,"&gt;="&amp;BP$2,FECHA_BOV1,"&lt;="&amp;BP$3,CLAVE_BOV1,$A60)+SUMIFS(SALIDAS_BOV2,FECHA_BOV2,"&gt;="&amp;BP$2,FECHA_BOV2,"&lt;="&amp;BP$3,CLAVE_BOV2,$A60)+SUMIFS(SALIDAS_BOV3,FECHA_BOV3,"&gt;="&amp;BP$2,FECHA_BOV3,"&lt;="&amp;BP$3,CLAVE_BOV3,$A60)+SUMIFS(SALIDAS_TC,FECHA_TC,"&gt;="&amp;BP$2,FECHA_TC,"&lt;="&amp;BP$3,CLAVE_TC,$A60)+SUMIFS(SALIDAS_COMB,FECHA_COMB,"&gt;="&amp;BP$2,FECHA_COMB,"&lt;="&amp;BP$3,CLAVE_COMB,$A60)+SUMIFS(SALIDAS_DES,FECHA_DESGLOSEN,"&gt;="&amp;BP$2,FECHA_DESGLOSEN,"&lt;="&amp;BP$3,CLAVE_DESGLOSE,$A60)</f>
        <v>0</v>
      </c>
      <c r="BQ60" s="13">
        <f>SUMIFS(SALIDAS_BIT,FECHA_BIT,"&gt;="&amp;BQ$2,FECHA_BIT,"&lt;="&amp;BQ$3,CLAVE_BIT,$A60)+SUMIFS(SALIDAS_BOV1,FECHA_BOV1,"&gt;="&amp;BQ$2,FECHA_BOV1,"&lt;="&amp;BQ$3,CLAVE_BOV1,$A60)+SUMIFS(SALIDAS_BOV2,FECHA_BOV2,"&gt;="&amp;BQ$2,FECHA_BOV2,"&lt;="&amp;BQ$3,CLAVE_BOV2,$A60)+SUMIFS(SALIDAS_BOV3,FECHA_BOV3,"&gt;="&amp;BQ$2,FECHA_BOV3,"&lt;="&amp;BQ$3,CLAVE_BOV3,$A60)+SUMIFS(SALIDAS_TC,FECHA_TC,"&gt;="&amp;BQ$2,FECHA_TC,"&lt;="&amp;BQ$3,CLAVE_TC,$A60)+SUMIFS(SALIDAS_COMB,FECHA_COMB,"&gt;="&amp;BQ$2,FECHA_COMB,"&lt;="&amp;BQ$3,CLAVE_COMB,$A60)+SUMIFS(SALIDAS_DES,FECHA_DESGLOSEN,"&gt;="&amp;BQ$2,FECHA_DESGLOSEN,"&lt;="&amp;BQ$3,CLAVE_DESGLOSE,$A60)</f>
        <v>0</v>
      </c>
      <c r="BR60" s="13">
        <f t="shared" si="128"/>
        <v>0</v>
      </c>
      <c r="BS60" s="68">
        <f t="shared" si="72"/>
        <v>0</v>
      </c>
      <c r="BT60" s="268">
        <f t="shared" si="73"/>
        <v>0</v>
      </c>
      <c r="BU60" s="13">
        <f t="shared" si="49"/>
        <v>0</v>
      </c>
      <c r="BV60" s="13">
        <f t="shared" si="90"/>
        <v>0</v>
      </c>
      <c r="BW60" s="13">
        <f t="shared" si="90"/>
        <v>0</v>
      </c>
      <c r="BX60" s="13">
        <f t="shared" si="90"/>
        <v>1028.57</v>
      </c>
      <c r="BY60" s="13">
        <f t="shared" si="90"/>
        <v>0</v>
      </c>
      <c r="BZ60" s="13">
        <f t="shared" si="129"/>
        <v>1028.57</v>
      </c>
      <c r="CA60" s="68">
        <f t="shared" si="74"/>
        <v>-1028.57</v>
      </c>
      <c r="CB60" s="268">
        <f t="shared" si="75"/>
        <v>0</v>
      </c>
      <c r="CC60" s="13">
        <f t="shared" si="51"/>
        <v>0</v>
      </c>
      <c r="CD60" s="13">
        <f t="shared" si="91"/>
        <v>0</v>
      </c>
      <c r="CE60" s="13">
        <f t="shared" si="91"/>
        <v>0</v>
      </c>
      <c r="CF60" s="13">
        <f t="shared" si="91"/>
        <v>0</v>
      </c>
      <c r="CG60" s="13">
        <f t="shared" si="91"/>
        <v>0</v>
      </c>
      <c r="CH60" s="13">
        <f t="shared" si="130"/>
        <v>0</v>
      </c>
      <c r="CI60" s="68">
        <f t="shared" si="76"/>
        <v>0</v>
      </c>
      <c r="CJ60" s="268">
        <f t="shared" si="77"/>
        <v>0</v>
      </c>
      <c r="CK60" s="13">
        <f t="shared" si="53"/>
        <v>0</v>
      </c>
      <c r="CL60" s="13">
        <f t="shared" si="92"/>
        <v>0</v>
      </c>
      <c r="CM60" s="13">
        <f t="shared" si="92"/>
        <v>0</v>
      </c>
      <c r="CN60" s="13">
        <f t="shared" si="92"/>
        <v>0</v>
      </c>
      <c r="CO60" s="13">
        <f t="shared" si="92"/>
        <v>0</v>
      </c>
      <c r="CP60" s="13">
        <f t="shared" si="92"/>
        <v>0</v>
      </c>
      <c r="CQ60" s="13">
        <f t="shared" si="131"/>
        <v>0</v>
      </c>
      <c r="CR60" s="68">
        <f t="shared" si="78"/>
        <v>0</v>
      </c>
      <c r="CS60" s="268">
        <f t="shared" si="79"/>
        <v>0</v>
      </c>
      <c r="CT60" s="68">
        <f t="shared" si="55"/>
        <v>0</v>
      </c>
      <c r="CU60" s="13">
        <f>SUMIFS(SALIDAS_BIT,FECHA_BIT,"&gt;="&amp;CU$2,FECHA_BIT,"&lt;="&amp;CU$3,CLAVE_BIT,$A60)+SUMIFS(SALIDAS_BOV1,FECHA_BOV1,"&gt;="&amp;CU$2,FECHA_BOV1,"&lt;="&amp;CU$3,CLAVE_BOV1,$A60)+SUMIFS(SALIDAS_BOV2,FECHA_BOV2,"&gt;="&amp;CU$2,FECHA_BOV2,"&lt;="&amp;CU$3,CLAVE_BOV2,$A60)+SUMIFS(SALIDAS_BOV3,FECHA_BOV3,"&gt;="&amp;CU$2,FECHA_BOV3,"&lt;="&amp;CU$3,CLAVE_BOV3,$A60)+SUMIFS(SALIDAS_TC,FECHA_TC,"&gt;="&amp;CU$2,FECHA_TC,"&lt;="&amp;CU$3,CLAVE_TC,$A60)+SUMIFS(SALIDAS_COMB,FECHA_COMB,"&gt;="&amp;CU$2,FECHA_COMB,"&lt;="&amp;CU$3,CLAVE_COMB,$A60)+SUMIFS(SALIDAS_DES,FECHA_DESGLOSEN,"&gt;="&amp;CU$2,FECHA_DESGLOSEN,"&lt;="&amp;CU$3,CLAVE_DESGLOSE,$A60)</f>
        <v>0</v>
      </c>
      <c r="CV60" s="13">
        <f>SUMIFS(SALIDAS_BIT,FECHA_BIT,"&gt;="&amp;CV$2,FECHA_BIT,"&lt;="&amp;CV$3,CLAVE_BIT,$A60)+SUMIFS(SALIDAS_BOV1,FECHA_BOV1,"&gt;="&amp;CV$2,FECHA_BOV1,"&lt;="&amp;CV$3,CLAVE_BOV1,$A60)+SUMIFS(SALIDAS_BOV2,FECHA_BOV2,"&gt;="&amp;CV$2,FECHA_BOV2,"&lt;="&amp;CV$3,CLAVE_BOV2,$A60)+SUMIFS(SALIDAS_BOV3,FECHA_BOV3,"&gt;="&amp;CV$2,FECHA_BOV3,"&lt;="&amp;CV$3,CLAVE_BOV3,$A60)+SUMIFS(SALIDAS_TC,FECHA_TC,"&gt;="&amp;CV$2,FECHA_TC,"&lt;="&amp;CV$3,CLAVE_TC,$A60)+SUMIFS(SALIDAS_COMB,FECHA_COMB,"&gt;="&amp;CV$2,FECHA_COMB,"&lt;="&amp;CV$3,CLAVE_COMB,$A60)+SUMIFS(SALIDAS_DES,FECHA_DESGLOSEN,"&gt;="&amp;CV$2,FECHA_DESGLOSEN,"&lt;="&amp;CV$3,CLAVE_DESGLOSE,$A60)</f>
        <v>0</v>
      </c>
      <c r="CW60" s="13">
        <f>SUMIFS(SALIDAS_BIT,FECHA_BIT,"&gt;="&amp;CW$2,FECHA_BIT,"&lt;="&amp;CW$3,CLAVE_BIT,$A60)+SUMIFS(SALIDAS_BOV1,FECHA_BOV1,"&gt;="&amp;CW$2,FECHA_BOV1,"&lt;="&amp;CW$3,CLAVE_BOV1,$A60)+SUMIFS(SALIDAS_BOV2,FECHA_BOV2,"&gt;="&amp;CW$2,FECHA_BOV2,"&lt;="&amp;CW$3,CLAVE_BOV2,$A60)+SUMIFS(SALIDAS_BOV3,FECHA_BOV3,"&gt;="&amp;CW$2,FECHA_BOV3,"&lt;="&amp;CW$3,CLAVE_BOV3,$A60)+SUMIFS(SALIDAS_TC,FECHA_TC,"&gt;="&amp;CW$2,FECHA_TC,"&lt;="&amp;CW$3,CLAVE_TC,$A60)+SUMIFS(SALIDAS_COMB,FECHA_COMB,"&gt;="&amp;CW$2,FECHA_COMB,"&lt;="&amp;CW$3,CLAVE_COMB,$A60)+SUMIFS(SALIDAS_DES,FECHA_DESGLOSEN,"&gt;="&amp;CW$2,FECHA_DESGLOSEN,"&lt;="&amp;CW$3,CLAVE_DESGLOSE,$A60)</f>
        <v>0</v>
      </c>
      <c r="CX60" s="13">
        <f>SUMIFS(SALIDAS_BIT,FECHA_BIT,"&gt;="&amp;CX$2,FECHA_BIT,"&lt;="&amp;CX$3,CLAVE_BIT,$A60)+SUMIFS(SALIDAS_BOV1,FECHA_BOV1,"&gt;="&amp;CX$2,FECHA_BOV1,"&lt;="&amp;CX$3,CLAVE_BOV1,$A60)+SUMIFS(SALIDAS_BOV2,FECHA_BOV2,"&gt;="&amp;CX$2,FECHA_BOV2,"&lt;="&amp;CX$3,CLAVE_BOV2,$A60)+SUMIFS(SALIDAS_BOV3,FECHA_BOV3,"&gt;="&amp;CX$2,FECHA_BOV3,"&lt;="&amp;CX$3,CLAVE_BOV3,$A60)+SUMIFS(SALIDAS_TC,FECHA_TC,"&gt;="&amp;CX$2,FECHA_TC,"&lt;="&amp;CX$3,CLAVE_TC,$A60)+SUMIFS(SALIDAS_COMB,FECHA_COMB,"&gt;="&amp;CX$2,FECHA_COMB,"&lt;="&amp;CX$3,CLAVE_COMB,$A60)+SUMIFS(SALIDAS_DES,FECHA_DESGLOSEN,"&gt;="&amp;CX$2,FECHA_DESGLOSEN,"&lt;="&amp;CX$3,CLAVE_DESGLOSE,$A60)</f>
        <v>0</v>
      </c>
      <c r="CY60" s="13">
        <f>SUMIFS(SALIDAS_BIT,FECHA_BIT,"&gt;="&amp;CY$2,FECHA_BIT,"&lt;="&amp;CY$3,CLAVE_BIT,$A60)+SUMIFS(SALIDAS_BOV1,FECHA_BOV1,"&gt;="&amp;CY$2,FECHA_BOV1,"&lt;="&amp;CY$3,CLAVE_BOV1,$A60)+SUMIFS(SALIDAS_BOV2,FECHA_BOV2,"&gt;="&amp;CY$2,FECHA_BOV2,"&lt;="&amp;CY$3,CLAVE_BOV2,$A60)+SUMIFS(SALIDAS_BOV3,FECHA_BOV3,"&gt;="&amp;CY$2,FECHA_BOV3,"&lt;="&amp;CY$3,CLAVE_BOV3,$A60)+SUMIFS(SALIDAS_TC,FECHA_TC,"&gt;="&amp;CY$2,FECHA_TC,"&lt;="&amp;CY$3,CLAVE_TC,$A60)+SUMIFS(SALIDAS_COMB,FECHA_COMB,"&gt;="&amp;CY$2,FECHA_COMB,"&lt;="&amp;CY$3,CLAVE_COMB,$A60)+SUMIFS(SALIDAS_DES,FECHA_DESGLOSEN,"&gt;="&amp;CY$2,FECHA_DESGLOSEN,"&lt;="&amp;CY$3,CLAVE_DESGLOSE,$A60)</f>
        <v>0</v>
      </c>
      <c r="CZ60" s="68">
        <f t="shared" si="80"/>
        <v>0</v>
      </c>
      <c r="DB60" s="17">
        <f>F60+N60+W60+AE60+AM60+AV60+BD60+BL60+BU60+CC60+CK60</f>
        <v>0</v>
      </c>
      <c r="DC60" s="17">
        <f>K60+T60+AB60+AJ60+AS60+BA60+BI60+BR60+BZ60+CH60+CQ60</f>
        <v>5314.25</v>
      </c>
    </row>
    <row r="61" spans="1:107" hidden="1">
      <c r="A61" s="12" t="str">
        <f t="shared" si="57"/>
        <v>DEVACACIONES/FINIQUITOSDIRECCION</v>
      </c>
      <c r="B61" s="12">
        <v>62</v>
      </c>
      <c r="C61" t="s">
        <v>41</v>
      </c>
      <c r="D61" s="12" t="s">
        <v>190</v>
      </c>
      <c r="E61" s="12" t="s">
        <v>42</v>
      </c>
      <c r="F61" s="259">
        <f t="shared" si="58"/>
        <v>5500</v>
      </c>
      <c r="G61" s="13">
        <f t="shared" si="123"/>
        <v>0</v>
      </c>
      <c r="H61" s="13">
        <f t="shared" si="123"/>
        <v>0</v>
      </c>
      <c r="I61" s="13">
        <f t="shared" si="123"/>
        <v>0</v>
      </c>
      <c r="J61" s="13">
        <f t="shared" si="123"/>
        <v>0</v>
      </c>
      <c r="K61" s="13">
        <f t="shared" si="123"/>
        <v>0</v>
      </c>
      <c r="L61" s="68">
        <f t="shared" si="59"/>
        <v>5500</v>
      </c>
      <c r="M61" s="268">
        <f t="shared" si="60"/>
        <v>0</v>
      </c>
      <c r="N61" s="13">
        <f t="shared" si="36"/>
        <v>0</v>
      </c>
      <c r="O61" s="13">
        <f t="shared" si="124"/>
        <v>0</v>
      </c>
      <c r="P61" s="13">
        <f t="shared" si="124"/>
        <v>0</v>
      </c>
      <c r="Q61" s="13">
        <f t="shared" si="124"/>
        <v>0</v>
      </c>
      <c r="R61" s="13">
        <f t="shared" si="124"/>
        <v>0</v>
      </c>
      <c r="S61" s="13">
        <f t="shared" si="124"/>
        <v>0</v>
      </c>
      <c r="T61" s="13">
        <f t="shared" si="124"/>
        <v>0</v>
      </c>
      <c r="U61" s="68">
        <f t="shared" si="61"/>
        <v>0</v>
      </c>
      <c r="V61" s="268">
        <f t="shared" si="62"/>
        <v>0</v>
      </c>
      <c r="W61" s="13">
        <f t="shared" si="38"/>
        <v>0</v>
      </c>
      <c r="X61" s="13">
        <f t="shared" si="125"/>
        <v>0</v>
      </c>
      <c r="Y61" s="13">
        <f t="shared" si="125"/>
        <v>0</v>
      </c>
      <c r="Z61" s="13">
        <f t="shared" si="125"/>
        <v>0</v>
      </c>
      <c r="AA61" s="13">
        <f t="shared" si="125"/>
        <v>0</v>
      </c>
      <c r="AB61" s="13">
        <f t="shared" si="125"/>
        <v>0</v>
      </c>
      <c r="AC61" s="68">
        <f t="shared" si="63"/>
        <v>0</v>
      </c>
      <c r="AD61" s="268">
        <f t="shared" si="64"/>
        <v>0</v>
      </c>
      <c r="AE61" s="13">
        <f t="shared" si="40"/>
        <v>0</v>
      </c>
      <c r="AF61" s="13">
        <f t="shared" si="126"/>
        <v>0</v>
      </c>
      <c r="AG61" s="13">
        <f t="shared" si="126"/>
        <v>0</v>
      </c>
      <c r="AH61" s="13">
        <f t="shared" si="126"/>
        <v>0</v>
      </c>
      <c r="AI61" s="13">
        <f t="shared" si="126"/>
        <v>0</v>
      </c>
      <c r="AJ61" s="13">
        <f t="shared" si="126"/>
        <v>0</v>
      </c>
      <c r="AK61" s="68">
        <f t="shared" si="65"/>
        <v>0</v>
      </c>
      <c r="AL61" s="268">
        <f t="shared" si="66"/>
        <v>0</v>
      </c>
      <c r="AM61" s="13">
        <f t="shared" si="42"/>
        <v>3250</v>
      </c>
      <c r="AN61" s="13">
        <f t="shared" si="127"/>
        <v>0</v>
      </c>
      <c r="AO61" s="13">
        <f t="shared" si="127"/>
        <v>0</v>
      </c>
      <c r="AP61" s="13">
        <f t="shared" si="127"/>
        <v>0</v>
      </c>
      <c r="AQ61" s="13">
        <f t="shared" si="127"/>
        <v>0</v>
      </c>
      <c r="AR61" s="13">
        <f t="shared" si="127"/>
        <v>0</v>
      </c>
      <c r="AS61" s="13">
        <f t="shared" si="127"/>
        <v>0</v>
      </c>
      <c r="AT61" s="68">
        <f>AM61-AS61</f>
        <v>3250</v>
      </c>
      <c r="AU61" s="268">
        <f t="shared" si="67"/>
        <v>0</v>
      </c>
      <c r="AV61" s="13">
        <f t="shared" si="44"/>
        <v>0</v>
      </c>
      <c r="AW61" s="13">
        <f t="shared" si="119"/>
        <v>0</v>
      </c>
      <c r="AX61" s="13">
        <f t="shared" si="119"/>
        <v>0</v>
      </c>
      <c r="AY61" s="13">
        <f t="shared" si="119"/>
        <v>0</v>
      </c>
      <c r="AZ61" s="13">
        <f t="shared" si="119"/>
        <v>0</v>
      </c>
      <c r="BA61" s="13">
        <f t="shared" si="120"/>
        <v>0</v>
      </c>
      <c r="BB61" s="68">
        <f t="shared" si="68"/>
        <v>0</v>
      </c>
      <c r="BC61" s="268">
        <f t="shared" si="69"/>
        <v>0</v>
      </c>
      <c r="BD61" s="13">
        <f t="shared" si="46"/>
        <v>0</v>
      </c>
      <c r="BE61" s="13">
        <f>SUMIFS(SALIDAS_BIT,FECHA_BIT,"&gt;="&amp;BE$2,FECHA_BIT,"&lt;="&amp;BE$3,CLAVE_BIT,$A61)+SUMIFS(SALIDAS_BOV1,FECHA_BOV1,"&gt;="&amp;BE$2,FECHA_BOV1,"&lt;="&amp;BE$3,CLAVE_BOV1,$A61)+SUMIFS(SALIDAS_BOV2,FECHA_BOV2,"&gt;="&amp;BE$2,FECHA_BOV2,"&lt;="&amp;BE$3,CLAVE_BOV2,$A61)+SUMIFS(SALIDAS_BOV3,FECHA_BOV3,"&gt;="&amp;BE$2,FECHA_BOV3,"&lt;="&amp;BE$3,CLAVE_BOV3,$A61)+SUMIFS(SALIDAS_TC,FECHA_TC,"&gt;="&amp;BE$2,FECHA_TC,"&lt;="&amp;BE$3,CLAVE_TC,$A61)+SUMIFS(SALIDAS_COMB,FECHA_COMB,"&gt;="&amp;BE$2,FECHA_COMB,"&lt;="&amp;BE$3,CLAVE_COMB,$A61)+SUMIFS(SALIDAS_DES,FECHA_DESGLOSEN,"&gt;="&amp;BE$2,FECHA_DESGLOSEN,"&lt;="&amp;BE$3,CLAVE_DESGLOSE,$A61)</f>
        <v>0</v>
      </c>
      <c r="BF61" s="13">
        <f>SUMIFS(SALIDAS_BIT,FECHA_BIT,"&gt;="&amp;BF$2,FECHA_BIT,"&lt;="&amp;BF$3,CLAVE_BIT,$A61)+SUMIFS(SALIDAS_BOV1,FECHA_BOV1,"&gt;="&amp;BF$2,FECHA_BOV1,"&lt;="&amp;BF$3,CLAVE_BOV1,$A61)+SUMIFS(SALIDAS_BOV2,FECHA_BOV2,"&gt;="&amp;BF$2,FECHA_BOV2,"&lt;="&amp;BF$3,CLAVE_BOV2,$A61)+SUMIFS(SALIDAS_BOV3,FECHA_BOV3,"&gt;="&amp;BF$2,FECHA_BOV3,"&lt;="&amp;BF$3,CLAVE_BOV3,$A61)+SUMIFS(SALIDAS_TC,FECHA_TC,"&gt;="&amp;BF$2,FECHA_TC,"&lt;="&amp;BF$3,CLAVE_TC,$A61)+SUMIFS(SALIDAS_COMB,FECHA_COMB,"&gt;="&amp;BF$2,FECHA_COMB,"&lt;="&amp;BF$3,CLAVE_COMB,$A61)+SUMIFS(SALIDAS_DES,FECHA_DESGLOSEN,"&gt;="&amp;BF$2,FECHA_DESGLOSEN,"&lt;="&amp;BF$3,CLAVE_DESGLOSE,$A61)</f>
        <v>0</v>
      </c>
      <c r="BG61" s="13">
        <f>SUMIFS(SALIDAS_BIT,FECHA_BIT,"&gt;="&amp;BG$2,FECHA_BIT,"&lt;="&amp;BG$3,CLAVE_BIT,$A61)+SUMIFS(SALIDAS_BOV1,FECHA_BOV1,"&gt;="&amp;BG$2,FECHA_BOV1,"&lt;="&amp;BG$3,CLAVE_BOV1,$A61)+SUMIFS(SALIDAS_BOV2,FECHA_BOV2,"&gt;="&amp;BG$2,FECHA_BOV2,"&lt;="&amp;BG$3,CLAVE_BOV2,$A61)+SUMIFS(SALIDAS_BOV3,FECHA_BOV3,"&gt;="&amp;BG$2,FECHA_BOV3,"&lt;="&amp;BG$3,CLAVE_BOV3,$A61)+SUMIFS(SALIDAS_TC,FECHA_TC,"&gt;="&amp;BG$2,FECHA_TC,"&lt;="&amp;BG$3,CLAVE_TC,$A61)+SUMIFS(SALIDAS_COMB,FECHA_COMB,"&gt;="&amp;BG$2,FECHA_COMB,"&lt;="&amp;BG$3,CLAVE_COMB,$A61)+SUMIFS(SALIDAS_DES,FECHA_DESGLOSEN,"&gt;="&amp;BG$2,FECHA_DESGLOSEN,"&lt;="&amp;BG$3,CLAVE_DESGLOSE,$A61)</f>
        <v>0</v>
      </c>
      <c r="BH61" s="13">
        <f>SUMIFS(SALIDAS_BIT,FECHA_BIT,"&gt;="&amp;BH$2,FECHA_BIT,"&lt;="&amp;BH$3,CLAVE_BIT,$A61)+SUMIFS(SALIDAS_BOV1,FECHA_BOV1,"&gt;="&amp;BH$2,FECHA_BOV1,"&lt;="&amp;BH$3,CLAVE_BOV1,$A61)+SUMIFS(SALIDAS_BOV2,FECHA_BOV2,"&gt;="&amp;BH$2,FECHA_BOV2,"&lt;="&amp;BH$3,CLAVE_BOV2,$A61)+SUMIFS(SALIDAS_BOV3,FECHA_BOV3,"&gt;="&amp;BH$2,FECHA_BOV3,"&lt;="&amp;BH$3,CLAVE_BOV3,$A61)+SUMIFS(SALIDAS_TC,FECHA_TC,"&gt;="&amp;BH$2,FECHA_TC,"&lt;="&amp;BH$3,CLAVE_TC,$A61)+SUMIFS(SALIDAS_COMB,FECHA_COMB,"&gt;="&amp;BH$2,FECHA_COMB,"&lt;="&amp;BH$3,CLAVE_COMB,$A61)+SUMIFS(SALIDAS_DES,FECHA_DESGLOSEN,"&gt;="&amp;BH$2,FECHA_DESGLOSEN,"&lt;="&amp;BH$3,CLAVE_DESGLOSE,$A61)</f>
        <v>0</v>
      </c>
      <c r="BI61" s="13">
        <f t="shared" si="121"/>
        <v>0</v>
      </c>
      <c r="BJ61" s="68">
        <f t="shared" si="70"/>
        <v>0</v>
      </c>
      <c r="BK61" s="268">
        <f t="shared" si="71"/>
        <v>0</v>
      </c>
      <c r="BL61" s="13">
        <f t="shared" si="47"/>
        <v>0</v>
      </c>
      <c r="BM61" s="13">
        <f>SUMIFS(SALIDAS_BIT,FECHA_BIT,"&gt;="&amp;BM$2,FECHA_BIT,"&lt;="&amp;BM$3,CLAVE_BIT,$A61)+SUMIFS(SALIDAS_BOV1,FECHA_BOV1,"&gt;="&amp;BM$2,FECHA_BOV1,"&lt;="&amp;BM$3,CLAVE_BOV1,$A61)+SUMIFS(SALIDAS_BOV2,FECHA_BOV2,"&gt;="&amp;BM$2,FECHA_BOV2,"&lt;="&amp;BM$3,CLAVE_BOV2,$A61)+SUMIFS(SALIDAS_BOV3,FECHA_BOV3,"&gt;="&amp;BM$2,FECHA_BOV3,"&lt;="&amp;BM$3,CLAVE_BOV3,$A61)+SUMIFS(SALIDAS_TC,FECHA_TC,"&gt;="&amp;BM$2,FECHA_TC,"&lt;="&amp;BM$3,CLAVE_TC,$A61)+SUMIFS(SALIDAS_COMB,FECHA_COMB,"&gt;="&amp;BM$2,FECHA_COMB,"&lt;="&amp;BM$3,CLAVE_COMB,$A61)+SUMIFS(SALIDAS_DES,FECHA_DESGLOSEN,"&gt;="&amp;BM$2,FECHA_DESGLOSEN,"&lt;="&amp;BM$3,CLAVE_DESGLOSE,$A61)</f>
        <v>0</v>
      </c>
      <c r="BN61" s="13">
        <f>SUMIFS(SALIDAS_BIT,FECHA_BIT,"&gt;="&amp;BN$2,FECHA_BIT,"&lt;="&amp;BN$3,CLAVE_BIT,$A61)+SUMIFS(SALIDAS_BOV1,FECHA_BOV1,"&gt;="&amp;BN$2,FECHA_BOV1,"&lt;="&amp;BN$3,CLAVE_BOV1,$A61)+SUMIFS(SALIDAS_BOV2,FECHA_BOV2,"&gt;="&amp;BN$2,FECHA_BOV2,"&lt;="&amp;BN$3,CLAVE_BOV2,$A61)+SUMIFS(SALIDAS_BOV3,FECHA_BOV3,"&gt;="&amp;BN$2,FECHA_BOV3,"&lt;="&amp;BN$3,CLAVE_BOV3,$A61)+SUMIFS(SALIDAS_TC,FECHA_TC,"&gt;="&amp;BN$2,FECHA_TC,"&lt;="&amp;BN$3,CLAVE_TC,$A61)+SUMIFS(SALIDAS_COMB,FECHA_COMB,"&gt;="&amp;BN$2,FECHA_COMB,"&lt;="&amp;BN$3,CLAVE_COMB,$A61)+SUMIFS(SALIDAS_DES,FECHA_DESGLOSEN,"&gt;="&amp;BN$2,FECHA_DESGLOSEN,"&lt;="&amp;BN$3,CLAVE_DESGLOSE,$A61)</f>
        <v>0</v>
      </c>
      <c r="BO61" s="13">
        <f>SUMIFS(SALIDAS_BIT,FECHA_BIT,"&gt;="&amp;BO$2,FECHA_BIT,"&lt;="&amp;BO$3,CLAVE_BIT,$A61)+SUMIFS(SALIDAS_BOV1,FECHA_BOV1,"&gt;="&amp;BO$2,FECHA_BOV1,"&lt;="&amp;BO$3,CLAVE_BOV1,$A61)+SUMIFS(SALIDAS_BOV2,FECHA_BOV2,"&gt;="&amp;BO$2,FECHA_BOV2,"&lt;="&amp;BO$3,CLAVE_BOV2,$A61)+SUMIFS(SALIDAS_BOV3,FECHA_BOV3,"&gt;="&amp;BO$2,FECHA_BOV3,"&lt;="&amp;BO$3,CLAVE_BOV3,$A61)+SUMIFS(SALIDAS_TC,FECHA_TC,"&gt;="&amp;BO$2,FECHA_TC,"&lt;="&amp;BO$3,CLAVE_TC,$A61)+SUMIFS(SALIDAS_COMB,FECHA_COMB,"&gt;="&amp;BO$2,FECHA_COMB,"&lt;="&amp;BO$3,CLAVE_COMB,$A61)+SUMIFS(SALIDAS_DES,FECHA_DESGLOSEN,"&gt;="&amp;BO$2,FECHA_DESGLOSEN,"&lt;="&amp;BO$3,CLAVE_DESGLOSE,$A61)</f>
        <v>0</v>
      </c>
      <c r="BP61" s="13">
        <f>SUMIFS(SALIDAS_BIT,FECHA_BIT,"&gt;="&amp;BP$2,FECHA_BIT,"&lt;="&amp;BP$3,CLAVE_BIT,$A61)+SUMIFS(SALIDAS_BOV1,FECHA_BOV1,"&gt;="&amp;BP$2,FECHA_BOV1,"&lt;="&amp;BP$3,CLAVE_BOV1,$A61)+SUMIFS(SALIDAS_BOV2,FECHA_BOV2,"&gt;="&amp;BP$2,FECHA_BOV2,"&lt;="&amp;BP$3,CLAVE_BOV2,$A61)+SUMIFS(SALIDAS_BOV3,FECHA_BOV3,"&gt;="&amp;BP$2,FECHA_BOV3,"&lt;="&amp;BP$3,CLAVE_BOV3,$A61)+SUMIFS(SALIDAS_TC,FECHA_TC,"&gt;="&amp;BP$2,FECHA_TC,"&lt;="&amp;BP$3,CLAVE_TC,$A61)+SUMIFS(SALIDAS_COMB,FECHA_COMB,"&gt;="&amp;BP$2,FECHA_COMB,"&lt;="&amp;BP$3,CLAVE_COMB,$A61)+SUMIFS(SALIDAS_DES,FECHA_DESGLOSEN,"&gt;="&amp;BP$2,FECHA_DESGLOSEN,"&lt;="&amp;BP$3,CLAVE_DESGLOSE,$A61)</f>
        <v>0</v>
      </c>
      <c r="BQ61" s="13">
        <f>SUMIFS(SALIDAS_BIT,FECHA_BIT,"&gt;="&amp;BQ$2,FECHA_BIT,"&lt;="&amp;BQ$3,CLAVE_BIT,$A61)+SUMIFS(SALIDAS_BOV1,FECHA_BOV1,"&gt;="&amp;BQ$2,FECHA_BOV1,"&lt;="&amp;BQ$3,CLAVE_BOV1,$A61)+SUMIFS(SALIDAS_BOV2,FECHA_BOV2,"&gt;="&amp;BQ$2,FECHA_BOV2,"&lt;="&amp;BQ$3,CLAVE_BOV2,$A61)+SUMIFS(SALIDAS_BOV3,FECHA_BOV3,"&gt;="&amp;BQ$2,FECHA_BOV3,"&lt;="&amp;BQ$3,CLAVE_BOV3,$A61)+SUMIFS(SALIDAS_TC,FECHA_TC,"&gt;="&amp;BQ$2,FECHA_TC,"&lt;="&amp;BQ$3,CLAVE_TC,$A61)+SUMIFS(SALIDAS_COMB,FECHA_COMB,"&gt;="&amp;BQ$2,FECHA_COMB,"&lt;="&amp;BQ$3,CLAVE_COMB,$A61)+SUMIFS(SALIDAS_DES,FECHA_DESGLOSEN,"&gt;="&amp;BQ$2,FECHA_DESGLOSEN,"&lt;="&amp;BQ$3,CLAVE_DESGLOSE,$A61)</f>
        <v>0</v>
      </c>
      <c r="BR61" s="13">
        <f t="shared" si="128"/>
        <v>0</v>
      </c>
      <c r="BS61" s="68">
        <f t="shared" si="72"/>
        <v>0</v>
      </c>
      <c r="BT61" s="268">
        <f t="shared" si="73"/>
        <v>0</v>
      </c>
      <c r="BU61" s="13">
        <f t="shared" si="49"/>
        <v>0</v>
      </c>
      <c r="BV61" s="13">
        <f t="shared" si="90"/>
        <v>0</v>
      </c>
      <c r="BW61" s="13">
        <f t="shared" si="90"/>
        <v>0</v>
      </c>
      <c r="BX61" s="13">
        <f t="shared" si="90"/>
        <v>0</v>
      </c>
      <c r="BY61" s="13">
        <f t="shared" si="90"/>
        <v>0</v>
      </c>
      <c r="BZ61" s="13">
        <f t="shared" si="129"/>
        <v>0</v>
      </c>
      <c r="CA61" s="68">
        <f t="shared" si="74"/>
        <v>0</v>
      </c>
      <c r="CB61" s="268">
        <f t="shared" si="75"/>
        <v>0</v>
      </c>
      <c r="CC61" s="13">
        <f t="shared" si="51"/>
        <v>16250</v>
      </c>
      <c r="CD61" s="13">
        <f t="shared" si="91"/>
        <v>0</v>
      </c>
      <c r="CE61" s="13">
        <f t="shared" si="91"/>
        <v>3500</v>
      </c>
      <c r="CF61" s="13">
        <f t="shared" si="91"/>
        <v>0</v>
      </c>
      <c r="CG61" s="13">
        <f t="shared" si="91"/>
        <v>0</v>
      </c>
      <c r="CH61" s="13">
        <f t="shared" si="130"/>
        <v>3500</v>
      </c>
      <c r="CI61" s="68">
        <f t="shared" si="76"/>
        <v>12750</v>
      </c>
      <c r="CJ61" s="268">
        <f t="shared" si="77"/>
        <v>0.2153846153846154</v>
      </c>
      <c r="CK61" s="13">
        <f t="shared" si="53"/>
        <v>0</v>
      </c>
      <c r="CL61" s="13">
        <f t="shared" si="92"/>
        <v>0</v>
      </c>
      <c r="CM61" s="13">
        <f t="shared" si="92"/>
        <v>0</v>
      </c>
      <c r="CN61" s="13">
        <f t="shared" si="92"/>
        <v>0</v>
      </c>
      <c r="CO61" s="13">
        <f t="shared" si="92"/>
        <v>0</v>
      </c>
      <c r="CP61" s="13">
        <f t="shared" si="92"/>
        <v>0</v>
      </c>
      <c r="CQ61" s="13">
        <f t="shared" si="131"/>
        <v>0</v>
      </c>
      <c r="CR61" s="68">
        <f t="shared" si="78"/>
        <v>0</v>
      </c>
      <c r="CS61" s="268">
        <f t="shared" si="79"/>
        <v>0</v>
      </c>
      <c r="CT61" s="68">
        <f t="shared" si="55"/>
        <v>0</v>
      </c>
      <c r="CU61" s="13">
        <f>SUMIFS(SALIDAS_BIT,FECHA_BIT,"&gt;="&amp;CU$2,FECHA_BIT,"&lt;="&amp;CU$3,CLAVE_BIT,$A61)+SUMIFS(SALIDAS_BOV1,FECHA_BOV1,"&gt;="&amp;CU$2,FECHA_BOV1,"&lt;="&amp;CU$3,CLAVE_BOV1,$A61)+SUMIFS(SALIDAS_BOV2,FECHA_BOV2,"&gt;="&amp;CU$2,FECHA_BOV2,"&lt;="&amp;CU$3,CLAVE_BOV2,$A61)+SUMIFS(SALIDAS_BOV3,FECHA_BOV3,"&gt;="&amp;CU$2,FECHA_BOV3,"&lt;="&amp;CU$3,CLAVE_BOV3,$A61)+SUMIFS(SALIDAS_TC,FECHA_TC,"&gt;="&amp;CU$2,FECHA_TC,"&lt;="&amp;CU$3,CLAVE_TC,$A61)+SUMIFS(SALIDAS_COMB,FECHA_COMB,"&gt;="&amp;CU$2,FECHA_COMB,"&lt;="&amp;CU$3,CLAVE_COMB,$A61)+SUMIFS(SALIDAS_DES,FECHA_DESGLOSEN,"&gt;="&amp;CU$2,FECHA_DESGLOSEN,"&lt;="&amp;CU$3,CLAVE_DESGLOSE,$A61)</f>
        <v>0</v>
      </c>
      <c r="CV61" s="13">
        <f>SUMIFS(SALIDAS_BIT,FECHA_BIT,"&gt;="&amp;CV$2,FECHA_BIT,"&lt;="&amp;CV$3,CLAVE_BIT,$A61)+SUMIFS(SALIDAS_BOV1,FECHA_BOV1,"&gt;="&amp;CV$2,FECHA_BOV1,"&lt;="&amp;CV$3,CLAVE_BOV1,$A61)+SUMIFS(SALIDAS_BOV2,FECHA_BOV2,"&gt;="&amp;CV$2,FECHA_BOV2,"&lt;="&amp;CV$3,CLAVE_BOV2,$A61)+SUMIFS(SALIDAS_BOV3,FECHA_BOV3,"&gt;="&amp;CV$2,FECHA_BOV3,"&lt;="&amp;CV$3,CLAVE_BOV3,$A61)+SUMIFS(SALIDAS_TC,FECHA_TC,"&gt;="&amp;CV$2,FECHA_TC,"&lt;="&amp;CV$3,CLAVE_TC,$A61)+SUMIFS(SALIDAS_COMB,FECHA_COMB,"&gt;="&amp;CV$2,FECHA_COMB,"&lt;="&amp;CV$3,CLAVE_COMB,$A61)+SUMIFS(SALIDAS_DES,FECHA_DESGLOSEN,"&gt;="&amp;CV$2,FECHA_DESGLOSEN,"&lt;="&amp;CV$3,CLAVE_DESGLOSE,$A61)</f>
        <v>0</v>
      </c>
      <c r="CW61" s="13">
        <f>SUMIFS(SALIDAS_BIT,FECHA_BIT,"&gt;="&amp;CW$2,FECHA_BIT,"&lt;="&amp;CW$3,CLAVE_BIT,$A61)+SUMIFS(SALIDAS_BOV1,FECHA_BOV1,"&gt;="&amp;CW$2,FECHA_BOV1,"&lt;="&amp;CW$3,CLAVE_BOV1,$A61)+SUMIFS(SALIDAS_BOV2,FECHA_BOV2,"&gt;="&amp;CW$2,FECHA_BOV2,"&lt;="&amp;CW$3,CLAVE_BOV2,$A61)+SUMIFS(SALIDAS_BOV3,FECHA_BOV3,"&gt;="&amp;CW$2,FECHA_BOV3,"&lt;="&amp;CW$3,CLAVE_BOV3,$A61)+SUMIFS(SALIDAS_TC,FECHA_TC,"&gt;="&amp;CW$2,FECHA_TC,"&lt;="&amp;CW$3,CLAVE_TC,$A61)+SUMIFS(SALIDAS_COMB,FECHA_COMB,"&gt;="&amp;CW$2,FECHA_COMB,"&lt;="&amp;CW$3,CLAVE_COMB,$A61)+SUMIFS(SALIDAS_DES,FECHA_DESGLOSEN,"&gt;="&amp;CW$2,FECHA_DESGLOSEN,"&lt;="&amp;CW$3,CLAVE_DESGLOSE,$A61)</f>
        <v>0</v>
      </c>
      <c r="CX61" s="13">
        <f>SUMIFS(SALIDAS_BIT,FECHA_BIT,"&gt;="&amp;CX$2,FECHA_BIT,"&lt;="&amp;CX$3,CLAVE_BIT,$A61)+SUMIFS(SALIDAS_BOV1,FECHA_BOV1,"&gt;="&amp;CX$2,FECHA_BOV1,"&lt;="&amp;CX$3,CLAVE_BOV1,$A61)+SUMIFS(SALIDAS_BOV2,FECHA_BOV2,"&gt;="&amp;CX$2,FECHA_BOV2,"&lt;="&amp;CX$3,CLAVE_BOV2,$A61)+SUMIFS(SALIDAS_BOV3,FECHA_BOV3,"&gt;="&amp;CX$2,FECHA_BOV3,"&lt;="&amp;CX$3,CLAVE_BOV3,$A61)+SUMIFS(SALIDAS_TC,FECHA_TC,"&gt;="&amp;CX$2,FECHA_TC,"&lt;="&amp;CX$3,CLAVE_TC,$A61)+SUMIFS(SALIDAS_COMB,FECHA_COMB,"&gt;="&amp;CX$2,FECHA_COMB,"&lt;="&amp;CX$3,CLAVE_COMB,$A61)+SUMIFS(SALIDAS_DES,FECHA_DESGLOSEN,"&gt;="&amp;CX$2,FECHA_DESGLOSEN,"&lt;="&amp;CX$3,CLAVE_DESGLOSE,$A61)</f>
        <v>0</v>
      </c>
      <c r="CY61" s="13">
        <f>SUMIFS(SALIDAS_BIT,FECHA_BIT,"&gt;="&amp;CY$2,FECHA_BIT,"&lt;="&amp;CY$3,CLAVE_BIT,$A61)+SUMIFS(SALIDAS_BOV1,FECHA_BOV1,"&gt;="&amp;CY$2,FECHA_BOV1,"&lt;="&amp;CY$3,CLAVE_BOV1,$A61)+SUMIFS(SALIDAS_BOV2,FECHA_BOV2,"&gt;="&amp;CY$2,FECHA_BOV2,"&lt;="&amp;CY$3,CLAVE_BOV2,$A61)+SUMIFS(SALIDAS_BOV3,FECHA_BOV3,"&gt;="&amp;CY$2,FECHA_BOV3,"&lt;="&amp;CY$3,CLAVE_BOV3,$A61)+SUMIFS(SALIDAS_TC,FECHA_TC,"&gt;="&amp;CY$2,FECHA_TC,"&lt;="&amp;CY$3,CLAVE_TC,$A61)+SUMIFS(SALIDAS_COMB,FECHA_COMB,"&gt;="&amp;CY$2,FECHA_COMB,"&lt;="&amp;CY$3,CLAVE_COMB,$A61)+SUMIFS(SALIDAS_DES,FECHA_DESGLOSEN,"&gt;="&amp;CY$2,FECHA_DESGLOSEN,"&lt;="&amp;CY$3,CLAVE_DESGLOSE,$A61)</f>
        <v>0</v>
      </c>
      <c r="CZ61" s="68">
        <f t="shared" si="80"/>
        <v>0</v>
      </c>
      <c r="DB61" s="17">
        <f>F61+N61+W61+AE61+AM61+AV61+BD61+BL61+BU61+CC61+CK61</f>
        <v>25000</v>
      </c>
      <c r="DC61" s="17">
        <f>K61+T61+AB61+AJ61+AS61+BA61+BI61+BR61+BZ61+CH61+CQ61</f>
        <v>3500</v>
      </c>
    </row>
    <row r="62" spans="1:107" hidden="1">
      <c r="A62" s="12" t="str">
        <f t="shared" si="57"/>
        <v>FINANZASAGUINALDOAGUINALDO</v>
      </c>
      <c r="B62" s="12">
        <v>64</v>
      </c>
      <c r="C62" t="s">
        <v>23</v>
      </c>
      <c r="D62" s="12" t="s">
        <v>24</v>
      </c>
      <c r="E62" s="12" t="s">
        <v>24</v>
      </c>
      <c r="F62" s="259">
        <f t="shared" si="58"/>
        <v>0</v>
      </c>
      <c r="G62" s="13">
        <f t="shared" si="123"/>
        <v>0</v>
      </c>
      <c r="H62" s="13">
        <f t="shared" si="123"/>
        <v>0</v>
      </c>
      <c r="I62" s="13">
        <f t="shared" si="123"/>
        <v>0</v>
      </c>
      <c r="J62" s="13">
        <f t="shared" si="123"/>
        <v>0</v>
      </c>
      <c r="K62" s="13">
        <f t="shared" si="123"/>
        <v>0</v>
      </c>
      <c r="L62" s="68">
        <f t="shared" si="59"/>
        <v>0</v>
      </c>
      <c r="M62" s="268">
        <f t="shared" si="60"/>
        <v>0</v>
      </c>
      <c r="N62" s="13">
        <f t="shared" si="36"/>
        <v>0</v>
      </c>
      <c r="O62" s="13">
        <f t="shared" si="124"/>
        <v>0</v>
      </c>
      <c r="P62" s="13">
        <f t="shared" si="124"/>
        <v>0</v>
      </c>
      <c r="Q62" s="13">
        <f t="shared" si="124"/>
        <v>0</v>
      </c>
      <c r="R62" s="13">
        <f t="shared" si="124"/>
        <v>0</v>
      </c>
      <c r="S62" s="13">
        <f t="shared" si="124"/>
        <v>0</v>
      </c>
      <c r="T62" s="13">
        <f t="shared" si="124"/>
        <v>0</v>
      </c>
      <c r="U62" s="68">
        <f t="shared" si="61"/>
        <v>0</v>
      </c>
      <c r="V62" s="268">
        <f t="shared" si="62"/>
        <v>0</v>
      </c>
      <c r="W62" s="13">
        <f t="shared" si="38"/>
        <v>0</v>
      </c>
      <c r="X62" s="13">
        <f t="shared" si="125"/>
        <v>0</v>
      </c>
      <c r="Y62" s="13">
        <f t="shared" si="125"/>
        <v>0</v>
      </c>
      <c r="Z62" s="13">
        <f t="shared" si="125"/>
        <v>0</v>
      </c>
      <c r="AA62" s="13">
        <f t="shared" si="125"/>
        <v>0</v>
      </c>
      <c r="AB62" s="13">
        <f t="shared" si="125"/>
        <v>0</v>
      </c>
      <c r="AC62" s="68">
        <f t="shared" si="63"/>
        <v>0</v>
      </c>
      <c r="AD62" s="268">
        <f t="shared" si="64"/>
        <v>0</v>
      </c>
      <c r="AE62" s="13">
        <f t="shared" si="40"/>
        <v>0</v>
      </c>
      <c r="AF62" s="13">
        <f t="shared" si="126"/>
        <v>0</v>
      </c>
      <c r="AG62" s="13">
        <f t="shared" si="126"/>
        <v>0</v>
      </c>
      <c r="AH62" s="13">
        <f t="shared" si="126"/>
        <v>0</v>
      </c>
      <c r="AI62" s="13">
        <f t="shared" si="126"/>
        <v>0</v>
      </c>
      <c r="AJ62" s="13">
        <f t="shared" si="126"/>
        <v>0</v>
      </c>
      <c r="AK62" s="68">
        <f t="shared" si="65"/>
        <v>0</v>
      </c>
      <c r="AL62" s="268">
        <f t="shared" si="66"/>
        <v>0</v>
      </c>
      <c r="AM62" s="13">
        <f t="shared" si="42"/>
        <v>0</v>
      </c>
      <c r="AN62" s="13">
        <f t="shared" si="127"/>
        <v>0</v>
      </c>
      <c r="AO62" s="13">
        <f t="shared" si="127"/>
        <v>0</v>
      </c>
      <c r="AP62" s="13">
        <f t="shared" si="127"/>
        <v>0</v>
      </c>
      <c r="AQ62" s="13">
        <f t="shared" si="127"/>
        <v>0</v>
      </c>
      <c r="AR62" s="13">
        <f t="shared" si="127"/>
        <v>0</v>
      </c>
      <c r="AS62" s="13">
        <f t="shared" si="127"/>
        <v>0</v>
      </c>
      <c r="AT62" s="68">
        <f>AM62-AS62</f>
        <v>0</v>
      </c>
      <c r="AU62" s="268">
        <f t="shared" si="67"/>
        <v>0</v>
      </c>
      <c r="AV62" s="13">
        <f t="shared" si="44"/>
        <v>0</v>
      </c>
      <c r="AW62" s="13">
        <f t="shared" si="119"/>
        <v>0</v>
      </c>
      <c r="AX62" s="13">
        <f t="shared" si="119"/>
        <v>0</v>
      </c>
      <c r="AY62" s="13">
        <f t="shared" si="119"/>
        <v>0</v>
      </c>
      <c r="AZ62" s="13">
        <f t="shared" si="119"/>
        <v>0</v>
      </c>
      <c r="BA62" s="13">
        <f t="shared" si="120"/>
        <v>0</v>
      </c>
      <c r="BB62" s="68">
        <f t="shared" si="68"/>
        <v>0</v>
      </c>
      <c r="BC62" s="268">
        <f t="shared" si="69"/>
        <v>0</v>
      </c>
      <c r="BD62" s="13">
        <f t="shared" si="46"/>
        <v>0</v>
      </c>
      <c r="BE62" s="13">
        <f>SUMIFS(SALIDAS_BIT,FECHA_BIT,"&gt;="&amp;BE$2,FECHA_BIT,"&lt;="&amp;BE$3,CLAVE_BIT,$A62)+SUMIFS(SALIDAS_BOV1,FECHA_BOV1,"&gt;="&amp;BE$2,FECHA_BOV1,"&lt;="&amp;BE$3,CLAVE_BOV1,$A62)+SUMIFS(SALIDAS_BOV2,FECHA_BOV2,"&gt;="&amp;BE$2,FECHA_BOV2,"&lt;="&amp;BE$3,CLAVE_BOV2,$A62)+SUMIFS(SALIDAS_BOV3,FECHA_BOV3,"&gt;="&amp;BE$2,FECHA_BOV3,"&lt;="&amp;BE$3,CLAVE_BOV3,$A62)+SUMIFS(SALIDAS_TC,FECHA_TC,"&gt;="&amp;BE$2,FECHA_TC,"&lt;="&amp;BE$3,CLAVE_TC,$A62)+SUMIFS(SALIDAS_COMB,FECHA_COMB,"&gt;="&amp;BE$2,FECHA_COMB,"&lt;="&amp;BE$3,CLAVE_COMB,$A62)+SUMIFS(SALIDAS_DES,FECHA_DESGLOSEN,"&gt;="&amp;BE$2,FECHA_DESGLOSEN,"&lt;="&amp;BE$3,CLAVE_DESGLOSE,$A62)</f>
        <v>0</v>
      </c>
      <c r="BF62" s="13">
        <f>SUMIFS(SALIDAS_BIT,FECHA_BIT,"&gt;="&amp;BF$2,FECHA_BIT,"&lt;="&amp;BF$3,CLAVE_BIT,$A62)+SUMIFS(SALIDAS_BOV1,FECHA_BOV1,"&gt;="&amp;BF$2,FECHA_BOV1,"&lt;="&amp;BF$3,CLAVE_BOV1,$A62)+SUMIFS(SALIDAS_BOV2,FECHA_BOV2,"&gt;="&amp;BF$2,FECHA_BOV2,"&lt;="&amp;BF$3,CLAVE_BOV2,$A62)+SUMIFS(SALIDAS_BOV3,FECHA_BOV3,"&gt;="&amp;BF$2,FECHA_BOV3,"&lt;="&amp;BF$3,CLAVE_BOV3,$A62)+SUMIFS(SALIDAS_TC,FECHA_TC,"&gt;="&amp;BF$2,FECHA_TC,"&lt;="&amp;BF$3,CLAVE_TC,$A62)+SUMIFS(SALIDAS_COMB,FECHA_COMB,"&gt;="&amp;BF$2,FECHA_COMB,"&lt;="&amp;BF$3,CLAVE_COMB,$A62)+SUMIFS(SALIDAS_DES,FECHA_DESGLOSEN,"&gt;="&amp;BF$2,FECHA_DESGLOSEN,"&lt;="&amp;BF$3,CLAVE_DESGLOSE,$A62)</f>
        <v>0</v>
      </c>
      <c r="BG62" s="13">
        <f>SUMIFS(SALIDAS_BIT,FECHA_BIT,"&gt;="&amp;BG$2,FECHA_BIT,"&lt;="&amp;BG$3,CLAVE_BIT,$A62)+SUMIFS(SALIDAS_BOV1,FECHA_BOV1,"&gt;="&amp;BG$2,FECHA_BOV1,"&lt;="&amp;BG$3,CLAVE_BOV1,$A62)+SUMIFS(SALIDAS_BOV2,FECHA_BOV2,"&gt;="&amp;BG$2,FECHA_BOV2,"&lt;="&amp;BG$3,CLAVE_BOV2,$A62)+SUMIFS(SALIDAS_BOV3,FECHA_BOV3,"&gt;="&amp;BG$2,FECHA_BOV3,"&lt;="&amp;BG$3,CLAVE_BOV3,$A62)+SUMIFS(SALIDAS_TC,FECHA_TC,"&gt;="&amp;BG$2,FECHA_TC,"&lt;="&amp;BG$3,CLAVE_TC,$A62)+SUMIFS(SALIDAS_COMB,FECHA_COMB,"&gt;="&amp;BG$2,FECHA_COMB,"&lt;="&amp;BG$3,CLAVE_COMB,$A62)+SUMIFS(SALIDAS_DES,FECHA_DESGLOSEN,"&gt;="&amp;BG$2,FECHA_DESGLOSEN,"&lt;="&amp;BG$3,CLAVE_DESGLOSE,$A62)</f>
        <v>0</v>
      </c>
      <c r="BH62" s="13">
        <f>SUMIFS(SALIDAS_BIT,FECHA_BIT,"&gt;="&amp;BH$2,FECHA_BIT,"&lt;="&amp;BH$3,CLAVE_BIT,$A62)+SUMIFS(SALIDAS_BOV1,FECHA_BOV1,"&gt;="&amp;BH$2,FECHA_BOV1,"&lt;="&amp;BH$3,CLAVE_BOV1,$A62)+SUMIFS(SALIDAS_BOV2,FECHA_BOV2,"&gt;="&amp;BH$2,FECHA_BOV2,"&lt;="&amp;BH$3,CLAVE_BOV2,$A62)+SUMIFS(SALIDAS_BOV3,FECHA_BOV3,"&gt;="&amp;BH$2,FECHA_BOV3,"&lt;="&amp;BH$3,CLAVE_BOV3,$A62)+SUMIFS(SALIDAS_TC,FECHA_TC,"&gt;="&amp;BH$2,FECHA_TC,"&lt;="&amp;BH$3,CLAVE_TC,$A62)+SUMIFS(SALIDAS_COMB,FECHA_COMB,"&gt;="&amp;BH$2,FECHA_COMB,"&lt;="&amp;BH$3,CLAVE_COMB,$A62)+SUMIFS(SALIDAS_DES,FECHA_DESGLOSEN,"&gt;="&amp;BH$2,FECHA_DESGLOSEN,"&lt;="&amp;BH$3,CLAVE_DESGLOSE,$A62)</f>
        <v>0</v>
      </c>
      <c r="BI62" s="13">
        <f t="shared" si="121"/>
        <v>0</v>
      </c>
      <c r="BJ62" s="68">
        <f t="shared" si="70"/>
        <v>0</v>
      </c>
      <c r="BK62" s="268">
        <f t="shared" si="71"/>
        <v>0</v>
      </c>
      <c r="BL62" s="13">
        <f t="shared" si="47"/>
        <v>0</v>
      </c>
      <c r="BM62" s="13">
        <f>SUMIFS(SALIDAS_BIT,FECHA_BIT,"&gt;="&amp;BM$2,FECHA_BIT,"&lt;="&amp;BM$3,CLAVE_BIT,$A62)+SUMIFS(SALIDAS_BOV1,FECHA_BOV1,"&gt;="&amp;BM$2,FECHA_BOV1,"&lt;="&amp;BM$3,CLAVE_BOV1,$A62)+SUMIFS(SALIDAS_BOV2,FECHA_BOV2,"&gt;="&amp;BM$2,FECHA_BOV2,"&lt;="&amp;BM$3,CLAVE_BOV2,$A62)+SUMIFS(SALIDAS_BOV3,FECHA_BOV3,"&gt;="&amp;BM$2,FECHA_BOV3,"&lt;="&amp;BM$3,CLAVE_BOV3,$A62)+SUMIFS(SALIDAS_TC,FECHA_TC,"&gt;="&amp;BM$2,FECHA_TC,"&lt;="&amp;BM$3,CLAVE_TC,$A62)+SUMIFS(SALIDAS_COMB,FECHA_COMB,"&gt;="&amp;BM$2,FECHA_COMB,"&lt;="&amp;BM$3,CLAVE_COMB,$A62)+SUMIFS(SALIDAS_DES,FECHA_DESGLOSEN,"&gt;="&amp;BM$2,FECHA_DESGLOSEN,"&lt;="&amp;BM$3,CLAVE_DESGLOSE,$A62)</f>
        <v>0</v>
      </c>
      <c r="BN62" s="13">
        <f>SUMIFS(SALIDAS_BIT,FECHA_BIT,"&gt;="&amp;BN$2,FECHA_BIT,"&lt;="&amp;BN$3,CLAVE_BIT,$A62)+SUMIFS(SALIDAS_BOV1,FECHA_BOV1,"&gt;="&amp;BN$2,FECHA_BOV1,"&lt;="&amp;BN$3,CLAVE_BOV1,$A62)+SUMIFS(SALIDAS_BOV2,FECHA_BOV2,"&gt;="&amp;BN$2,FECHA_BOV2,"&lt;="&amp;BN$3,CLAVE_BOV2,$A62)+SUMIFS(SALIDAS_BOV3,FECHA_BOV3,"&gt;="&amp;BN$2,FECHA_BOV3,"&lt;="&amp;BN$3,CLAVE_BOV3,$A62)+SUMIFS(SALIDAS_TC,FECHA_TC,"&gt;="&amp;BN$2,FECHA_TC,"&lt;="&amp;BN$3,CLAVE_TC,$A62)+SUMIFS(SALIDAS_COMB,FECHA_COMB,"&gt;="&amp;BN$2,FECHA_COMB,"&lt;="&amp;BN$3,CLAVE_COMB,$A62)+SUMIFS(SALIDAS_DES,FECHA_DESGLOSEN,"&gt;="&amp;BN$2,FECHA_DESGLOSEN,"&lt;="&amp;BN$3,CLAVE_DESGLOSE,$A62)</f>
        <v>0</v>
      </c>
      <c r="BO62" s="13">
        <f>SUMIFS(SALIDAS_BIT,FECHA_BIT,"&gt;="&amp;BO$2,FECHA_BIT,"&lt;="&amp;BO$3,CLAVE_BIT,$A62)+SUMIFS(SALIDAS_BOV1,FECHA_BOV1,"&gt;="&amp;BO$2,FECHA_BOV1,"&lt;="&amp;BO$3,CLAVE_BOV1,$A62)+SUMIFS(SALIDAS_BOV2,FECHA_BOV2,"&gt;="&amp;BO$2,FECHA_BOV2,"&lt;="&amp;BO$3,CLAVE_BOV2,$A62)+SUMIFS(SALIDAS_BOV3,FECHA_BOV3,"&gt;="&amp;BO$2,FECHA_BOV3,"&lt;="&amp;BO$3,CLAVE_BOV3,$A62)+SUMIFS(SALIDAS_TC,FECHA_TC,"&gt;="&amp;BO$2,FECHA_TC,"&lt;="&amp;BO$3,CLAVE_TC,$A62)+SUMIFS(SALIDAS_COMB,FECHA_COMB,"&gt;="&amp;BO$2,FECHA_COMB,"&lt;="&amp;BO$3,CLAVE_COMB,$A62)+SUMIFS(SALIDAS_DES,FECHA_DESGLOSEN,"&gt;="&amp;BO$2,FECHA_DESGLOSEN,"&lt;="&amp;BO$3,CLAVE_DESGLOSE,$A62)</f>
        <v>0</v>
      </c>
      <c r="BP62" s="13">
        <f>SUMIFS(SALIDAS_BIT,FECHA_BIT,"&gt;="&amp;BP$2,FECHA_BIT,"&lt;="&amp;BP$3,CLAVE_BIT,$A62)+SUMIFS(SALIDAS_BOV1,FECHA_BOV1,"&gt;="&amp;BP$2,FECHA_BOV1,"&lt;="&amp;BP$3,CLAVE_BOV1,$A62)+SUMIFS(SALIDAS_BOV2,FECHA_BOV2,"&gt;="&amp;BP$2,FECHA_BOV2,"&lt;="&amp;BP$3,CLAVE_BOV2,$A62)+SUMIFS(SALIDAS_BOV3,FECHA_BOV3,"&gt;="&amp;BP$2,FECHA_BOV3,"&lt;="&amp;BP$3,CLAVE_BOV3,$A62)+SUMIFS(SALIDAS_TC,FECHA_TC,"&gt;="&amp;BP$2,FECHA_TC,"&lt;="&amp;BP$3,CLAVE_TC,$A62)+SUMIFS(SALIDAS_COMB,FECHA_COMB,"&gt;="&amp;BP$2,FECHA_COMB,"&lt;="&amp;BP$3,CLAVE_COMB,$A62)+SUMIFS(SALIDAS_DES,FECHA_DESGLOSEN,"&gt;="&amp;BP$2,FECHA_DESGLOSEN,"&lt;="&amp;BP$3,CLAVE_DESGLOSE,$A62)</f>
        <v>0</v>
      </c>
      <c r="BQ62" s="13">
        <f>SUMIFS(SALIDAS_BIT,FECHA_BIT,"&gt;="&amp;BQ$2,FECHA_BIT,"&lt;="&amp;BQ$3,CLAVE_BIT,$A62)+SUMIFS(SALIDAS_BOV1,FECHA_BOV1,"&gt;="&amp;BQ$2,FECHA_BOV1,"&lt;="&amp;BQ$3,CLAVE_BOV1,$A62)+SUMIFS(SALIDAS_BOV2,FECHA_BOV2,"&gt;="&amp;BQ$2,FECHA_BOV2,"&lt;="&amp;BQ$3,CLAVE_BOV2,$A62)+SUMIFS(SALIDAS_BOV3,FECHA_BOV3,"&gt;="&amp;BQ$2,FECHA_BOV3,"&lt;="&amp;BQ$3,CLAVE_BOV3,$A62)+SUMIFS(SALIDAS_TC,FECHA_TC,"&gt;="&amp;BQ$2,FECHA_TC,"&lt;="&amp;BQ$3,CLAVE_TC,$A62)+SUMIFS(SALIDAS_COMB,FECHA_COMB,"&gt;="&amp;BQ$2,FECHA_COMB,"&lt;="&amp;BQ$3,CLAVE_COMB,$A62)+SUMIFS(SALIDAS_DES,FECHA_DESGLOSEN,"&gt;="&amp;BQ$2,FECHA_DESGLOSEN,"&lt;="&amp;BQ$3,CLAVE_DESGLOSE,$A62)</f>
        <v>0</v>
      </c>
      <c r="BR62" s="13">
        <f t="shared" si="128"/>
        <v>0</v>
      </c>
      <c r="BS62" s="68">
        <f t="shared" si="72"/>
        <v>0</v>
      </c>
      <c r="BT62" s="268">
        <f t="shared" si="73"/>
        <v>0</v>
      </c>
      <c r="BU62" s="13">
        <f t="shared" si="49"/>
        <v>0</v>
      </c>
      <c r="BV62" s="13">
        <f t="shared" si="90"/>
        <v>0</v>
      </c>
      <c r="BW62" s="13">
        <f t="shared" si="90"/>
        <v>0</v>
      </c>
      <c r="BX62" s="13">
        <f t="shared" si="90"/>
        <v>0</v>
      </c>
      <c r="BY62" s="13">
        <f t="shared" si="90"/>
        <v>0</v>
      </c>
      <c r="BZ62" s="13">
        <f t="shared" si="129"/>
        <v>0</v>
      </c>
      <c r="CA62" s="68">
        <f t="shared" si="74"/>
        <v>0</v>
      </c>
      <c r="CB62" s="268">
        <f t="shared" si="75"/>
        <v>0</v>
      </c>
      <c r="CC62" s="13">
        <f t="shared" si="51"/>
        <v>0</v>
      </c>
      <c r="CD62" s="13">
        <f t="shared" si="91"/>
        <v>0</v>
      </c>
      <c r="CE62" s="13">
        <f t="shared" si="91"/>
        <v>0</v>
      </c>
      <c r="CF62" s="13">
        <f t="shared" si="91"/>
        <v>0</v>
      </c>
      <c r="CG62" s="13">
        <f t="shared" si="91"/>
        <v>0</v>
      </c>
      <c r="CH62" s="13">
        <f t="shared" si="130"/>
        <v>0</v>
      </c>
      <c r="CI62" s="68">
        <f t="shared" si="76"/>
        <v>0</v>
      </c>
      <c r="CJ62" s="268">
        <f t="shared" si="77"/>
        <v>0</v>
      </c>
      <c r="CK62" s="13">
        <f t="shared" si="53"/>
        <v>1679051</v>
      </c>
      <c r="CL62" s="13">
        <f t="shared" si="92"/>
        <v>1275260.2</v>
      </c>
      <c r="CM62" s="13">
        <f t="shared" si="92"/>
        <v>0</v>
      </c>
      <c r="CN62" s="13">
        <f t="shared" si="92"/>
        <v>0</v>
      </c>
      <c r="CO62" s="13">
        <f t="shared" si="92"/>
        <v>0</v>
      </c>
      <c r="CP62" s="13">
        <f t="shared" si="92"/>
        <v>0</v>
      </c>
      <c r="CQ62" s="13">
        <f t="shared" si="131"/>
        <v>1275260.2</v>
      </c>
      <c r="CR62" s="68">
        <f t="shared" si="78"/>
        <v>403790.80000000005</v>
      </c>
      <c r="CS62" s="268">
        <f t="shared" si="79"/>
        <v>0.75951248651768166</v>
      </c>
      <c r="CT62" s="68">
        <f t="shared" si="55"/>
        <v>0</v>
      </c>
      <c r="CU62" s="13">
        <f>SUMIFS(SALIDAS_BIT,FECHA_BIT,"&gt;="&amp;CU$2,FECHA_BIT,"&lt;="&amp;CU$3,CLAVE_BIT,$A62)+SUMIFS(SALIDAS_BOV1,FECHA_BOV1,"&gt;="&amp;CU$2,FECHA_BOV1,"&lt;="&amp;CU$3,CLAVE_BOV1,$A62)+SUMIFS(SALIDAS_BOV2,FECHA_BOV2,"&gt;="&amp;CU$2,FECHA_BOV2,"&lt;="&amp;CU$3,CLAVE_BOV2,$A62)+SUMIFS(SALIDAS_BOV3,FECHA_BOV3,"&gt;="&amp;CU$2,FECHA_BOV3,"&lt;="&amp;CU$3,CLAVE_BOV3,$A62)+SUMIFS(SALIDAS_TC,FECHA_TC,"&gt;="&amp;CU$2,FECHA_TC,"&lt;="&amp;CU$3,CLAVE_TC,$A62)+SUMIFS(SALIDAS_COMB,FECHA_COMB,"&gt;="&amp;CU$2,FECHA_COMB,"&lt;="&amp;CU$3,CLAVE_COMB,$A62)+SUMIFS(SALIDAS_DES,FECHA_DESGLOSEN,"&gt;="&amp;CU$2,FECHA_DESGLOSEN,"&lt;="&amp;CU$3,CLAVE_DESGLOSE,$A62)</f>
        <v>0</v>
      </c>
      <c r="CV62" s="13">
        <f>SUMIFS(SALIDAS_BIT,FECHA_BIT,"&gt;="&amp;CV$2,FECHA_BIT,"&lt;="&amp;CV$3,CLAVE_BIT,$A62)+SUMIFS(SALIDAS_BOV1,FECHA_BOV1,"&gt;="&amp;CV$2,FECHA_BOV1,"&lt;="&amp;CV$3,CLAVE_BOV1,$A62)+SUMIFS(SALIDAS_BOV2,FECHA_BOV2,"&gt;="&amp;CV$2,FECHA_BOV2,"&lt;="&amp;CV$3,CLAVE_BOV2,$A62)+SUMIFS(SALIDAS_BOV3,FECHA_BOV3,"&gt;="&amp;CV$2,FECHA_BOV3,"&lt;="&amp;CV$3,CLAVE_BOV3,$A62)+SUMIFS(SALIDAS_TC,FECHA_TC,"&gt;="&amp;CV$2,FECHA_TC,"&lt;="&amp;CV$3,CLAVE_TC,$A62)+SUMIFS(SALIDAS_COMB,FECHA_COMB,"&gt;="&amp;CV$2,FECHA_COMB,"&lt;="&amp;CV$3,CLAVE_COMB,$A62)+SUMIFS(SALIDAS_DES,FECHA_DESGLOSEN,"&gt;="&amp;CV$2,FECHA_DESGLOSEN,"&lt;="&amp;CV$3,CLAVE_DESGLOSE,$A62)</f>
        <v>0</v>
      </c>
      <c r="CW62" s="13">
        <f>SUMIFS(SALIDAS_BIT,FECHA_BIT,"&gt;="&amp;CW$2,FECHA_BIT,"&lt;="&amp;CW$3,CLAVE_BIT,$A62)+SUMIFS(SALIDAS_BOV1,FECHA_BOV1,"&gt;="&amp;CW$2,FECHA_BOV1,"&lt;="&amp;CW$3,CLAVE_BOV1,$A62)+SUMIFS(SALIDAS_BOV2,FECHA_BOV2,"&gt;="&amp;CW$2,FECHA_BOV2,"&lt;="&amp;CW$3,CLAVE_BOV2,$A62)+SUMIFS(SALIDAS_BOV3,FECHA_BOV3,"&gt;="&amp;CW$2,FECHA_BOV3,"&lt;="&amp;CW$3,CLAVE_BOV3,$A62)+SUMIFS(SALIDAS_TC,FECHA_TC,"&gt;="&amp;CW$2,FECHA_TC,"&lt;="&amp;CW$3,CLAVE_TC,$A62)+SUMIFS(SALIDAS_COMB,FECHA_COMB,"&gt;="&amp;CW$2,FECHA_COMB,"&lt;="&amp;CW$3,CLAVE_COMB,$A62)+SUMIFS(SALIDAS_DES,FECHA_DESGLOSEN,"&gt;="&amp;CW$2,FECHA_DESGLOSEN,"&lt;="&amp;CW$3,CLAVE_DESGLOSE,$A62)</f>
        <v>0</v>
      </c>
      <c r="CX62" s="13">
        <f>SUMIFS(SALIDAS_BIT,FECHA_BIT,"&gt;="&amp;CX$2,FECHA_BIT,"&lt;="&amp;CX$3,CLAVE_BIT,$A62)+SUMIFS(SALIDAS_BOV1,FECHA_BOV1,"&gt;="&amp;CX$2,FECHA_BOV1,"&lt;="&amp;CX$3,CLAVE_BOV1,$A62)+SUMIFS(SALIDAS_BOV2,FECHA_BOV2,"&gt;="&amp;CX$2,FECHA_BOV2,"&lt;="&amp;CX$3,CLAVE_BOV2,$A62)+SUMIFS(SALIDAS_BOV3,FECHA_BOV3,"&gt;="&amp;CX$2,FECHA_BOV3,"&lt;="&amp;CX$3,CLAVE_BOV3,$A62)+SUMIFS(SALIDAS_TC,FECHA_TC,"&gt;="&amp;CX$2,FECHA_TC,"&lt;="&amp;CX$3,CLAVE_TC,$A62)+SUMIFS(SALIDAS_COMB,FECHA_COMB,"&gt;="&amp;CX$2,FECHA_COMB,"&lt;="&amp;CX$3,CLAVE_COMB,$A62)+SUMIFS(SALIDAS_DES,FECHA_DESGLOSEN,"&gt;="&amp;CX$2,FECHA_DESGLOSEN,"&lt;="&amp;CX$3,CLAVE_DESGLOSE,$A62)</f>
        <v>0</v>
      </c>
      <c r="CY62" s="13">
        <f>SUMIFS(SALIDAS_BIT,FECHA_BIT,"&gt;="&amp;CY$2,FECHA_BIT,"&lt;="&amp;CY$3,CLAVE_BIT,$A62)+SUMIFS(SALIDAS_BOV1,FECHA_BOV1,"&gt;="&amp;CY$2,FECHA_BOV1,"&lt;="&amp;CY$3,CLAVE_BOV1,$A62)+SUMIFS(SALIDAS_BOV2,FECHA_BOV2,"&gt;="&amp;CY$2,FECHA_BOV2,"&lt;="&amp;CY$3,CLAVE_BOV2,$A62)+SUMIFS(SALIDAS_BOV3,FECHA_BOV3,"&gt;="&amp;CY$2,FECHA_BOV3,"&lt;="&amp;CY$3,CLAVE_BOV3,$A62)+SUMIFS(SALIDAS_TC,FECHA_TC,"&gt;="&amp;CY$2,FECHA_TC,"&lt;="&amp;CY$3,CLAVE_TC,$A62)+SUMIFS(SALIDAS_COMB,FECHA_COMB,"&gt;="&amp;CY$2,FECHA_COMB,"&lt;="&amp;CY$3,CLAVE_COMB,$A62)+SUMIFS(SALIDAS_DES,FECHA_DESGLOSEN,"&gt;="&amp;CY$2,FECHA_DESGLOSEN,"&lt;="&amp;CY$3,CLAVE_DESGLOSE,$A62)</f>
        <v>0</v>
      </c>
      <c r="CZ62" s="68">
        <f t="shared" si="80"/>
        <v>0</v>
      </c>
      <c r="DB62" s="17">
        <f>F62+N62+W62+AE62+AM62+AV62+BD62+BL62+BU62+CC62+CK62</f>
        <v>1679051</v>
      </c>
      <c r="DC62" s="17">
        <f>K62+T62+AB62+AJ62+AS62+BA62+BI62+BR62+BZ62+CH62+CQ62</f>
        <v>1275260.2</v>
      </c>
    </row>
    <row r="63" spans="1:107" hidden="1">
      <c r="A63" s="12" t="str">
        <f t="shared" si="57"/>
        <v>FINANZASIMSS/INFONAVITIMSS/INFONAVIT</v>
      </c>
      <c r="B63" s="12">
        <v>65</v>
      </c>
      <c r="C63" t="s">
        <v>23</v>
      </c>
      <c r="D63" s="12" t="s">
        <v>132</v>
      </c>
      <c r="E63" s="12" t="s">
        <v>132</v>
      </c>
      <c r="F63" s="259">
        <f t="shared" si="58"/>
        <v>400000</v>
      </c>
      <c r="G63" s="13">
        <f t="shared" si="123"/>
        <v>0</v>
      </c>
      <c r="H63" s="13">
        <f t="shared" si="123"/>
        <v>7850</v>
      </c>
      <c r="I63" s="13">
        <f t="shared" si="123"/>
        <v>364002.13999999996</v>
      </c>
      <c r="J63" s="13">
        <f t="shared" si="123"/>
        <v>0</v>
      </c>
      <c r="K63" s="13">
        <f t="shared" si="123"/>
        <v>371852.13999999996</v>
      </c>
      <c r="L63" s="68">
        <f t="shared" si="59"/>
        <v>28147.860000000044</v>
      </c>
      <c r="M63" s="268">
        <f t="shared" si="60"/>
        <v>0.92963034999999994</v>
      </c>
      <c r="N63" s="13">
        <f t="shared" si="36"/>
        <v>1300000</v>
      </c>
      <c r="O63" s="13">
        <f t="shared" si="124"/>
        <v>7840</v>
      </c>
      <c r="P63" s="13">
        <f t="shared" si="124"/>
        <v>14405.53</v>
      </c>
      <c r="Q63" s="13">
        <f t="shared" si="124"/>
        <v>1106529.73</v>
      </c>
      <c r="R63" s="13">
        <f t="shared" si="124"/>
        <v>0</v>
      </c>
      <c r="S63" s="13">
        <f t="shared" si="124"/>
        <v>12840</v>
      </c>
      <c r="T63" s="13">
        <f t="shared" si="124"/>
        <v>1141615.26</v>
      </c>
      <c r="U63" s="68">
        <f t="shared" si="61"/>
        <v>158384.74</v>
      </c>
      <c r="V63" s="268">
        <f t="shared" si="62"/>
        <v>0.87816558461538463</v>
      </c>
      <c r="W63" s="13">
        <f t="shared" si="38"/>
        <v>400000</v>
      </c>
      <c r="X63" s="13">
        <f>SUMIFS(SALIDAS_BIT,FECHA_BIT,"&gt;="&amp;X$2,FECHA_BIT,"&lt;="&amp;X$3,CLAVE_BIT,$A63)+SUMIFS(SALIDAS_BOV1,FECHA_BOV1,"&gt;="&amp;X$2,FECHA_BOV1,"&lt;="&amp;X$3,CLAVE_BOV1,$A63)+SUMIFS(SALIDAS_BOV2,FECHA_BOV2,"&gt;="&amp;X$2,FECHA_BOV2,"&lt;="&amp;X$3,CLAVE_BOV2,$A63)+SUMIFS(SALIDAS_BOV3,FECHA_BOV3,"&gt;="&amp;X$2,FECHA_BOV3,"&lt;="&amp;X$3,CLAVE_BOV3,$A63)+SUMIFS(SALIDAS_TC,FECHA_TC,"&gt;="&amp;X$2,FECHA_TC,"&lt;="&amp;X$3,CLAVE_TC,$A63)+SUMIFS(SALIDAS_COMB,FECHA_COMB,"&gt;="&amp;X$2,FECHA_COMB,"&lt;="&amp;X$3,CLAVE_COMB,$A63)+SUMIFS(SALIDAS_DES,FECHA_DESGLOSEN,"&gt;="&amp;X$2,FECHA_DESGLOSEN,"&lt;="&amp;X$3,CLAVE_DESGLOSE,$A63)</f>
        <v>0</v>
      </c>
      <c r="Y63" s="13">
        <f t="shared" si="125"/>
        <v>0</v>
      </c>
      <c r="Z63" s="13">
        <f t="shared" si="125"/>
        <v>362077.17000000004</v>
      </c>
      <c r="AA63" s="13">
        <f t="shared" si="125"/>
        <v>0</v>
      </c>
      <c r="AB63" s="13">
        <f t="shared" si="125"/>
        <v>362077.17000000004</v>
      </c>
      <c r="AC63" s="68">
        <f t="shared" si="63"/>
        <v>37922.829999999958</v>
      </c>
      <c r="AD63" s="268">
        <f t="shared" si="64"/>
        <v>0.90519292500000015</v>
      </c>
      <c r="AE63" s="13">
        <f t="shared" si="40"/>
        <v>1300000</v>
      </c>
      <c r="AF63" s="13">
        <f t="shared" si="126"/>
        <v>0</v>
      </c>
      <c r="AG63" s="13">
        <f t="shared" si="126"/>
        <v>1183437.23</v>
      </c>
      <c r="AH63" s="13">
        <f t="shared" si="126"/>
        <v>0</v>
      </c>
      <c r="AI63" s="13">
        <f t="shared" si="126"/>
        <v>0</v>
      </c>
      <c r="AJ63" s="13">
        <f t="shared" si="126"/>
        <v>1183437.23</v>
      </c>
      <c r="AK63" s="68">
        <f t="shared" si="65"/>
        <v>116562.77000000002</v>
      </c>
      <c r="AL63" s="268">
        <f t="shared" si="66"/>
        <v>0.91033633076923071</v>
      </c>
      <c r="AM63" s="13">
        <f t="shared" si="42"/>
        <v>400000</v>
      </c>
      <c r="AN63" s="13">
        <f t="shared" si="127"/>
        <v>0</v>
      </c>
      <c r="AO63" s="13">
        <f t="shared" si="127"/>
        <v>362939.30000000005</v>
      </c>
      <c r="AP63" s="13">
        <f t="shared" si="127"/>
        <v>0</v>
      </c>
      <c r="AQ63" s="13">
        <f t="shared" si="127"/>
        <v>2780</v>
      </c>
      <c r="AR63" s="13">
        <f t="shared" si="127"/>
        <v>0</v>
      </c>
      <c r="AS63" s="13">
        <f t="shared" si="127"/>
        <v>365719.30000000005</v>
      </c>
      <c r="AT63" s="68">
        <f>AM63-AS63</f>
        <v>34280.699999999953</v>
      </c>
      <c r="AU63" s="268">
        <f t="shared" si="67"/>
        <v>0.91429825000000009</v>
      </c>
      <c r="AV63" s="13">
        <f t="shared" si="44"/>
        <v>1300000</v>
      </c>
      <c r="AW63" s="13">
        <f t="shared" si="119"/>
        <v>7840</v>
      </c>
      <c r="AX63" s="13">
        <f t="shared" si="119"/>
        <v>1183416.9700000002</v>
      </c>
      <c r="AY63" s="13">
        <f t="shared" si="119"/>
        <v>0</v>
      </c>
      <c r="AZ63" s="13">
        <f t="shared" si="119"/>
        <v>0</v>
      </c>
      <c r="BA63" s="13">
        <f t="shared" si="120"/>
        <v>1191256.9700000002</v>
      </c>
      <c r="BB63" s="68">
        <f t="shared" si="68"/>
        <v>108743.0299999998</v>
      </c>
      <c r="BC63" s="268">
        <f t="shared" si="69"/>
        <v>0.91635151538461557</v>
      </c>
      <c r="BD63" s="13">
        <f t="shared" si="46"/>
        <v>400000</v>
      </c>
      <c r="BE63" s="13">
        <f>SUMIFS(SALIDAS_BIT,FECHA_BIT,"&gt;="&amp;BE$2,FECHA_BIT,"&lt;="&amp;BE$3,CLAVE_BIT,$A63)+SUMIFS(SALIDAS_BOV1,FECHA_BOV1,"&gt;="&amp;BE$2,FECHA_BOV1,"&lt;="&amp;BE$3,CLAVE_BOV1,$A63)+SUMIFS(SALIDAS_BOV2,FECHA_BOV2,"&gt;="&amp;BE$2,FECHA_BOV2,"&lt;="&amp;BE$3,CLAVE_BOV2,$A63)+SUMIFS(SALIDAS_BOV3,FECHA_BOV3,"&gt;="&amp;BE$2,FECHA_BOV3,"&lt;="&amp;BE$3,CLAVE_BOV3,$A63)+SUMIFS(SALIDAS_TC,FECHA_TC,"&gt;="&amp;BE$2,FECHA_TC,"&lt;="&amp;BE$3,CLAVE_TC,$A63)+SUMIFS(SALIDAS_COMB,FECHA_COMB,"&gt;="&amp;BE$2,FECHA_COMB,"&lt;="&amp;BE$3,CLAVE_COMB,$A63)+SUMIFS(SALIDAS_DES,FECHA_DESGLOSEN,"&gt;="&amp;BE$2,FECHA_DESGLOSEN,"&lt;="&amp;BE$3,CLAVE_DESGLOSE,$A63)</f>
        <v>0</v>
      </c>
      <c r="BF63" s="13">
        <f>SUMIFS(SALIDAS_BIT,FECHA_BIT,"&gt;="&amp;BF$2,FECHA_BIT,"&lt;="&amp;BF$3,CLAVE_BIT,$A63)+SUMIFS(SALIDAS_BOV1,FECHA_BOV1,"&gt;="&amp;BF$2,FECHA_BOV1,"&lt;="&amp;BF$3,CLAVE_BOV1,$A63)+SUMIFS(SALIDAS_BOV2,FECHA_BOV2,"&gt;="&amp;BF$2,FECHA_BOV2,"&lt;="&amp;BF$3,CLAVE_BOV2,$A63)+SUMIFS(SALIDAS_BOV3,FECHA_BOV3,"&gt;="&amp;BF$2,FECHA_BOV3,"&lt;="&amp;BF$3,CLAVE_BOV3,$A63)+SUMIFS(SALIDAS_TC,FECHA_TC,"&gt;="&amp;BF$2,FECHA_TC,"&lt;="&amp;BF$3,CLAVE_TC,$A63)+SUMIFS(SALIDAS_COMB,FECHA_COMB,"&gt;="&amp;BF$2,FECHA_COMB,"&lt;="&amp;BF$3,CLAVE_COMB,$A63)+SUMIFS(SALIDAS_DES,FECHA_DESGLOSEN,"&gt;="&amp;BF$2,FECHA_DESGLOSEN,"&lt;="&amp;BF$3,CLAVE_DESGLOSE,$A63)</f>
        <v>390956.23000000004</v>
      </c>
      <c r="BG63" s="13">
        <f>SUMIFS(SALIDAS_BIT,FECHA_BIT,"&gt;="&amp;BG$2,FECHA_BIT,"&lt;="&amp;BG$3,CLAVE_BIT,$A63)+SUMIFS(SALIDAS_BOV1,FECHA_BOV1,"&gt;="&amp;BG$2,FECHA_BOV1,"&lt;="&amp;BG$3,CLAVE_BOV1,$A63)+SUMIFS(SALIDAS_BOV2,FECHA_BOV2,"&gt;="&amp;BG$2,FECHA_BOV2,"&lt;="&amp;BG$3,CLAVE_BOV2,$A63)+SUMIFS(SALIDAS_BOV3,FECHA_BOV3,"&gt;="&amp;BG$2,FECHA_BOV3,"&lt;="&amp;BG$3,CLAVE_BOV3,$A63)+SUMIFS(SALIDAS_TC,FECHA_TC,"&gt;="&amp;BG$2,FECHA_TC,"&lt;="&amp;BG$3,CLAVE_TC,$A63)+SUMIFS(SALIDAS_COMB,FECHA_COMB,"&gt;="&amp;BG$2,FECHA_COMB,"&lt;="&amp;BG$3,CLAVE_COMB,$A63)+SUMIFS(SALIDAS_DES,FECHA_DESGLOSEN,"&gt;="&amp;BG$2,FECHA_DESGLOSEN,"&lt;="&amp;BG$3,CLAVE_DESGLOSE,$A63)</f>
        <v>0</v>
      </c>
      <c r="BH63" s="13">
        <f>SUMIFS(SALIDAS_BIT,FECHA_BIT,"&gt;="&amp;BH$2,FECHA_BIT,"&lt;="&amp;BH$3,CLAVE_BIT,$A63)+SUMIFS(SALIDAS_BOV1,FECHA_BOV1,"&gt;="&amp;BH$2,FECHA_BOV1,"&lt;="&amp;BH$3,CLAVE_BOV1,$A63)+SUMIFS(SALIDAS_BOV2,FECHA_BOV2,"&gt;="&amp;BH$2,FECHA_BOV2,"&lt;="&amp;BH$3,CLAVE_BOV2,$A63)+SUMIFS(SALIDAS_BOV3,FECHA_BOV3,"&gt;="&amp;BH$2,FECHA_BOV3,"&lt;="&amp;BH$3,CLAVE_BOV3,$A63)+SUMIFS(SALIDAS_TC,FECHA_TC,"&gt;="&amp;BH$2,FECHA_TC,"&lt;="&amp;BH$3,CLAVE_TC,$A63)+SUMIFS(SALIDAS_COMB,FECHA_COMB,"&gt;="&amp;BH$2,FECHA_COMB,"&lt;="&amp;BH$3,CLAVE_COMB,$A63)+SUMIFS(SALIDAS_DES,FECHA_DESGLOSEN,"&gt;="&amp;BH$2,FECHA_DESGLOSEN,"&lt;="&amp;BH$3,CLAVE_DESGLOSE,$A63)</f>
        <v>0</v>
      </c>
      <c r="BI63" s="13">
        <f t="shared" si="121"/>
        <v>390956.23000000004</v>
      </c>
      <c r="BJ63" s="68">
        <f t="shared" si="70"/>
        <v>9043.7699999999604</v>
      </c>
      <c r="BK63" s="268">
        <f t="shared" si="71"/>
        <v>0.97739057500000015</v>
      </c>
      <c r="BL63" s="13">
        <f t="shared" si="47"/>
        <v>1300000</v>
      </c>
      <c r="BM63" s="13">
        <f>SUMIFS(SALIDAS_BIT,FECHA_BIT,"&gt;="&amp;BM$2,FECHA_BIT,"&lt;="&amp;BM$3,CLAVE_BIT,$A63)+SUMIFS(SALIDAS_BOV1,FECHA_BOV1,"&gt;="&amp;BM$2,FECHA_BOV1,"&lt;="&amp;BM$3,CLAVE_BOV1,$A63)+SUMIFS(SALIDAS_BOV2,FECHA_BOV2,"&gt;="&amp;BM$2,FECHA_BOV2,"&lt;="&amp;BM$3,CLAVE_BOV2,$A63)+SUMIFS(SALIDAS_BOV3,FECHA_BOV3,"&gt;="&amp;BM$2,FECHA_BOV3,"&lt;="&amp;BM$3,CLAVE_BOV3,$A63)+SUMIFS(SALIDAS_TC,FECHA_TC,"&gt;="&amp;BM$2,FECHA_TC,"&lt;="&amp;BM$3,CLAVE_TC,$A63)+SUMIFS(SALIDAS_COMB,FECHA_COMB,"&gt;="&amp;BM$2,FECHA_COMB,"&lt;="&amp;BM$3,CLAVE_COMB,$A63)+SUMIFS(SALIDAS_DES,FECHA_DESGLOSEN,"&gt;="&amp;BM$2,FECHA_DESGLOSEN,"&lt;="&amp;BM$3,CLAVE_DESGLOSE,$A63)</f>
        <v>2000</v>
      </c>
      <c r="BN63" s="13">
        <f>SUMIFS(SALIDAS_BIT,FECHA_BIT,"&gt;="&amp;BN$2,FECHA_BIT,"&lt;="&amp;BN$3,CLAVE_BIT,$A63)+SUMIFS(SALIDAS_BOV1,FECHA_BOV1,"&gt;="&amp;BN$2,FECHA_BOV1,"&lt;="&amp;BN$3,CLAVE_BOV1,$A63)+SUMIFS(SALIDAS_BOV2,FECHA_BOV2,"&gt;="&amp;BN$2,FECHA_BOV2,"&lt;="&amp;BN$3,CLAVE_BOV2,$A63)+SUMIFS(SALIDAS_BOV3,FECHA_BOV3,"&gt;="&amp;BN$2,FECHA_BOV3,"&lt;="&amp;BN$3,CLAVE_BOV3,$A63)+SUMIFS(SALIDAS_TC,FECHA_TC,"&gt;="&amp;BN$2,FECHA_TC,"&lt;="&amp;BN$3,CLAVE_TC,$A63)+SUMIFS(SALIDAS_COMB,FECHA_COMB,"&gt;="&amp;BN$2,FECHA_COMB,"&lt;="&amp;BN$3,CLAVE_COMB,$A63)+SUMIFS(SALIDAS_DES,FECHA_DESGLOSEN,"&gt;="&amp;BN$2,FECHA_DESGLOSEN,"&lt;="&amp;BN$3,CLAVE_DESGLOSE,$A63)</f>
        <v>7840</v>
      </c>
      <c r="BO63" s="13">
        <f>SUMIFS(SALIDAS_BIT,FECHA_BIT,"&gt;="&amp;BO$2,FECHA_BIT,"&lt;="&amp;BO$3,CLAVE_BIT,$A63)+SUMIFS(SALIDAS_BOV1,FECHA_BOV1,"&gt;="&amp;BO$2,FECHA_BOV1,"&lt;="&amp;BO$3,CLAVE_BOV1,$A63)+SUMIFS(SALIDAS_BOV2,FECHA_BOV2,"&gt;="&amp;BO$2,FECHA_BOV2,"&lt;="&amp;BO$3,CLAVE_BOV2,$A63)+SUMIFS(SALIDAS_BOV3,FECHA_BOV3,"&gt;="&amp;BO$2,FECHA_BOV3,"&lt;="&amp;BO$3,CLAVE_BOV3,$A63)+SUMIFS(SALIDAS_TC,FECHA_TC,"&gt;="&amp;BO$2,FECHA_TC,"&lt;="&amp;BO$3,CLAVE_TC,$A63)+SUMIFS(SALIDAS_COMB,FECHA_COMB,"&gt;="&amp;BO$2,FECHA_COMB,"&lt;="&amp;BO$3,CLAVE_COMB,$A63)+SUMIFS(SALIDAS_DES,FECHA_DESGLOSEN,"&gt;="&amp;BO$2,FECHA_DESGLOSEN,"&lt;="&amp;BO$3,CLAVE_DESGLOSE,$A63)</f>
        <v>1249623.0900000001</v>
      </c>
      <c r="BP63" s="13">
        <f>SUMIFS(SALIDAS_BIT,FECHA_BIT,"&gt;="&amp;BP$2,FECHA_BIT,"&lt;="&amp;BP$3,CLAVE_BIT,$A63)+SUMIFS(SALIDAS_BOV1,FECHA_BOV1,"&gt;="&amp;BP$2,FECHA_BOV1,"&lt;="&amp;BP$3,CLAVE_BOV1,$A63)+SUMIFS(SALIDAS_BOV2,FECHA_BOV2,"&gt;="&amp;BP$2,FECHA_BOV2,"&lt;="&amp;BP$3,CLAVE_BOV2,$A63)+SUMIFS(SALIDAS_BOV3,FECHA_BOV3,"&gt;="&amp;BP$2,FECHA_BOV3,"&lt;="&amp;BP$3,CLAVE_BOV3,$A63)+SUMIFS(SALIDAS_TC,FECHA_TC,"&gt;="&amp;BP$2,FECHA_TC,"&lt;="&amp;BP$3,CLAVE_TC,$A63)+SUMIFS(SALIDAS_COMB,FECHA_COMB,"&gt;="&amp;BP$2,FECHA_COMB,"&lt;="&amp;BP$3,CLAVE_COMB,$A63)+SUMIFS(SALIDAS_DES,FECHA_DESGLOSEN,"&gt;="&amp;BP$2,FECHA_DESGLOSEN,"&lt;="&amp;BP$3,CLAVE_DESGLOSE,$A63)</f>
        <v>0</v>
      </c>
      <c r="BQ63" s="13">
        <f>SUMIFS(SALIDAS_BIT,FECHA_BIT,"&gt;="&amp;BQ$2,FECHA_BIT,"&lt;="&amp;BQ$3,CLAVE_BIT,$A63)+SUMIFS(SALIDAS_BOV1,FECHA_BOV1,"&gt;="&amp;BQ$2,FECHA_BOV1,"&lt;="&amp;BQ$3,CLAVE_BOV1,$A63)+SUMIFS(SALIDAS_BOV2,FECHA_BOV2,"&gt;="&amp;BQ$2,FECHA_BOV2,"&lt;="&amp;BQ$3,CLAVE_BOV2,$A63)+SUMIFS(SALIDAS_BOV3,FECHA_BOV3,"&gt;="&amp;BQ$2,FECHA_BOV3,"&lt;="&amp;BQ$3,CLAVE_BOV3,$A63)+SUMIFS(SALIDAS_TC,FECHA_TC,"&gt;="&amp;BQ$2,FECHA_TC,"&lt;="&amp;BQ$3,CLAVE_TC,$A63)+SUMIFS(SALIDAS_COMB,FECHA_COMB,"&gt;="&amp;BQ$2,FECHA_COMB,"&lt;="&amp;BQ$3,CLAVE_COMB,$A63)+SUMIFS(SALIDAS_DES,FECHA_DESGLOSEN,"&gt;="&amp;BQ$2,FECHA_DESGLOSEN,"&lt;="&amp;BQ$3,CLAVE_DESGLOSE,$A63)</f>
        <v>0</v>
      </c>
      <c r="BR63" s="13">
        <f t="shared" si="128"/>
        <v>1259463.0900000001</v>
      </c>
      <c r="BS63" s="68">
        <f t="shared" si="72"/>
        <v>40536.909999999916</v>
      </c>
      <c r="BT63" s="268">
        <f t="shared" si="73"/>
        <v>0.96881776153846155</v>
      </c>
      <c r="BU63" s="13">
        <f t="shared" si="49"/>
        <v>400000</v>
      </c>
      <c r="BV63" s="13">
        <f t="shared" si="90"/>
        <v>0</v>
      </c>
      <c r="BW63" s="13">
        <f t="shared" si="90"/>
        <v>382817.19999999995</v>
      </c>
      <c r="BX63" s="13">
        <f t="shared" si="90"/>
        <v>0</v>
      </c>
      <c r="BY63" s="13">
        <f t="shared" si="90"/>
        <v>0</v>
      </c>
      <c r="BZ63" s="13">
        <f t="shared" si="129"/>
        <v>382817.19999999995</v>
      </c>
      <c r="CA63" s="68">
        <f t="shared" si="74"/>
        <v>17182.800000000047</v>
      </c>
      <c r="CB63" s="268">
        <f t="shared" si="75"/>
        <v>0.95704299999999987</v>
      </c>
      <c r="CC63" s="13">
        <f t="shared" si="51"/>
        <v>1300000</v>
      </c>
      <c r="CD63" s="13">
        <f t="shared" si="91"/>
        <v>0</v>
      </c>
      <c r="CE63" s="13">
        <f t="shared" si="91"/>
        <v>1259983.0399999998</v>
      </c>
      <c r="CF63" s="13">
        <f t="shared" si="91"/>
        <v>0</v>
      </c>
      <c r="CG63" s="13">
        <f t="shared" si="91"/>
        <v>0</v>
      </c>
      <c r="CH63" s="13">
        <f t="shared" si="130"/>
        <v>1259983.0399999998</v>
      </c>
      <c r="CI63" s="68">
        <f t="shared" si="76"/>
        <v>40016.960000000196</v>
      </c>
      <c r="CJ63" s="268">
        <f t="shared" si="77"/>
        <v>0.96921772307692289</v>
      </c>
      <c r="CK63" s="13">
        <f t="shared" si="53"/>
        <v>400000</v>
      </c>
      <c r="CL63" s="13">
        <f t="shared" si="92"/>
        <v>0</v>
      </c>
      <c r="CM63" s="13">
        <f t="shared" si="92"/>
        <v>257330.38</v>
      </c>
      <c r="CN63" s="13">
        <f t="shared" si="92"/>
        <v>140827.57999999999</v>
      </c>
      <c r="CO63" s="13">
        <f t="shared" si="92"/>
        <v>0</v>
      </c>
      <c r="CP63" s="13">
        <f t="shared" si="92"/>
        <v>0</v>
      </c>
      <c r="CQ63" s="13">
        <f t="shared" si="131"/>
        <v>398157.95999999996</v>
      </c>
      <c r="CR63" s="68">
        <f t="shared" si="78"/>
        <v>1842.0400000000373</v>
      </c>
      <c r="CS63" s="268">
        <f t="shared" si="79"/>
        <v>0.99539489999999986</v>
      </c>
      <c r="CT63" s="68">
        <f t="shared" si="55"/>
        <v>1500000</v>
      </c>
      <c r="CU63" s="13">
        <f>SUMIFS(SALIDAS_BIT,FECHA_BIT,"&gt;="&amp;CU$2,FECHA_BIT,"&lt;="&amp;CU$3,CLAVE_BIT,$A63)+SUMIFS(SALIDAS_BOV1,FECHA_BOV1,"&gt;="&amp;CU$2,FECHA_BOV1,"&lt;="&amp;CU$3,CLAVE_BOV1,$A63)+SUMIFS(SALIDAS_BOV2,FECHA_BOV2,"&gt;="&amp;CU$2,FECHA_BOV2,"&lt;="&amp;CU$3,CLAVE_BOV2,$A63)+SUMIFS(SALIDAS_BOV3,FECHA_BOV3,"&gt;="&amp;CU$2,FECHA_BOV3,"&lt;="&amp;CU$3,CLAVE_BOV3,$A63)+SUMIFS(SALIDAS_TC,FECHA_TC,"&gt;="&amp;CU$2,FECHA_TC,"&lt;="&amp;CU$3,CLAVE_TC,$A63)+SUMIFS(SALIDAS_COMB,FECHA_COMB,"&gt;="&amp;CU$2,FECHA_COMB,"&lt;="&amp;CU$3,CLAVE_COMB,$A63)+SUMIFS(SALIDAS_DES,FECHA_DESGLOSEN,"&gt;="&amp;CU$2,FECHA_DESGLOSEN,"&lt;="&amp;CU$3,CLAVE_DESGLOSE,$A63)</f>
        <v>0</v>
      </c>
      <c r="CV63" s="13">
        <f>SUMIFS(SALIDAS_BIT,FECHA_BIT,"&gt;="&amp;CV$2,FECHA_BIT,"&lt;="&amp;CV$3,CLAVE_BIT,$A63)+SUMIFS(SALIDAS_BOV1,FECHA_BOV1,"&gt;="&amp;CV$2,FECHA_BOV1,"&lt;="&amp;CV$3,CLAVE_BOV1,$A63)+SUMIFS(SALIDAS_BOV2,FECHA_BOV2,"&gt;="&amp;CV$2,FECHA_BOV2,"&lt;="&amp;CV$3,CLAVE_BOV2,$A63)+SUMIFS(SALIDAS_BOV3,FECHA_BOV3,"&gt;="&amp;CV$2,FECHA_BOV3,"&lt;="&amp;CV$3,CLAVE_BOV3,$A63)+SUMIFS(SALIDAS_TC,FECHA_TC,"&gt;="&amp;CV$2,FECHA_TC,"&lt;="&amp;CV$3,CLAVE_TC,$A63)+SUMIFS(SALIDAS_COMB,FECHA_COMB,"&gt;="&amp;CV$2,FECHA_COMB,"&lt;="&amp;CV$3,CLAVE_COMB,$A63)+SUMIFS(SALIDAS_DES,FECHA_DESGLOSEN,"&gt;="&amp;CV$2,FECHA_DESGLOSEN,"&lt;="&amp;CV$3,CLAVE_DESGLOSE,$A63)</f>
        <v>7840</v>
      </c>
      <c r="CW63" s="13">
        <f>SUMIFS(SALIDAS_BIT,FECHA_BIT,"&gt;="&amp;CW$2,FECHA_BIT,"&lt;="&amp;CW$3,CLAVE_BIT,$A63)+SUMIFS(SALIDAS_BOV1,FECHA_BOV1,"&gt;="&amp;CW$2,FECHA_BOV1,"&lt;="&amp;CW$3,CLAVE_BOV1,$A63)+SUMIFS(SALIDAS_BOV2,FECHA_BOV2,"&gt;="&amp;CW$2,FECHA_BOV2,"&lt;="&amp;CW$3,CLAVE_BOV2,$A63)+SUMIFS(SALIDAS_BOV3,FECHA_BOV3,"&gt;="&amp;CW$2,FECHA_BOV3,"&lt;="&amp;CW$3,CLAVE_BOV3,$A63)+SUMIFS(SALIDAS_TC,FECHA_TC,"&gt;="&amp;CW$2,FECHA_TC,"&lt;="&amp;CW$3,CLAVE_TC,$A63)+SUMIFS(SALIDAS_COMB,FECHA_COMB,"&gt;="&amp;CW$2,FECHA_COMB,"&lt;="&amp;CW$3,CLAVE_COMB,$A63)+SUMIFS(SALIDAS_DES,FECHA_DESGLOSEN,"&gt;="&amp;CW$2,FECHA_DESGLOSEN,"&lt;="&amp;CW$3,CLAVE_DESGLOSE,$A63)</f>
        <v>1421183.26</v>
      </c>
      <c r="CX63" s="13">
        <f>SUMIFS(SALIDAS_BIT,FECHA_BIT,"&gt;="&amp;CX$2,FECHA_BIT,"&lt;="&amp;CX$3,CLAVE_BIT,$A63)+SUMIFS(SALIDAS_BOV1,FECHA_BOV1,"&gt;="&amp;CX$2,FECHA_BOV1,"&lt;="&amp;CX$3,CLAVE_BOV1,$A63)+SUMIFS(SALIDAS_BOV2,FECHA_BOV2,"&gt;="&amp;CX$2,FECHA_BOV2,"&lt;="&amp;CX$3,CLAVE_BOV2,$A63)+SUMIFS(SALIDAS_BOV3,FECHA_BOV3,"&gt;="&amp;CX$2,FECHA_BOV3,"&lt;="&amp;CX$3,CLAVE_BOV3,$A63)+SUMIFS(SALIDAS_TC,FECHA_TC,"&gt;="&amp;CX$2,FECHA_TC,"&lt;="&amp;CX$3,CLAVE_TC,$A63)+SUMIFS(SALIDAS_COMB,FECHA_COMB,"&gt;="&amp;CX$2,FECHA_COMB,"&lt;="&amp;CX$3,CLAVE_COMB,$A63)+SUMIFS(SALIDAS_DES,FECHA_DESGLOSEN,"&gt;="&amp;CX$2,FECHA_DESGLOSEN,"&lt;="&amp;CX$3,CLAVE_DESGLOSE,$A63)</f>
        <v>0</v>
      </c>
      <c r="CY63" s="13">
        <f>SUMIFS(SALIDAS_BIT,FECHA_BIT,"&gt;="&amp;CY$2,FECHA_BIT,"&lt;="&amp;CY$3,CLAVE_BIT,$A63)+SUMIFS(SALIDAS_BOV1,FECHA_BOV1,"&gt;="&amp;CY$2,FECHA_BOV1,"&lt;="&amp;CY$3,CLAVE_BOV1,$A63)+SUMIFS(SALIDAS_BOV2,FECHA_BOV2,"&gt;="&amp;CY$2,FECHA_BOV2,"&lt;="&amp;CY$3,CLAVE_BOV2,$A63)+SUMIFS(SALIDAS_BOV3,FECHA_BOV3,"&gt;="&amp;CY$2,FECHA_BOV3,"&lt;="&amp;CY$3,CLAVE_BOV3,$A63)+SUMIFS(SALIDAS_TC,FECHA_TC,"&gt;="&amp;CY$2,FECHA_TC,"&lt;="&amp;CY$3,CLAVE_TC,$A63)+SUMIFS(SALIDAS_COMB,FECHA_COMB,"&gt;="&amp;CY$2,FECHA_COMB,"&lt;="&amp;CY$3,CLAVE_COMB,$A63)+SUMIFS(SALIDAS_DES,FECHA_DESGLOSEN,"&gt;="&amp;CY$2,FECHA_DESGLOSEN,"&lt;="&amp;CY$3,CLAVE_DESGLOSE,$A63)</f>
        <v>1429023.26</v>
      </c>
      <c r="CZ63" s="68">
        <f t="shared" si="80"/>
        <v>70976.739999999991</v>
      </c>
      <c r="DB63" s="17">
        <f>F63+N63+W63+AE63+AM63+AV63+BD63+BL63+BU63+CC63+CK63</f>
        <v>8900000</v>
      </c>
      <c r="DC63" s="17">
        <f>K63+T63+AB63+AJ63+AS63+BA63+BI63+BR63+BZ63+CH63+CQ63</f>
        <v>8307335.5900000008</v>
      </c>
    </row>
    <row r="64" spans="1:107" hidden="1">
      <c r="A64" s="12" t="str">
        <f t="shared" si="57"/>
        <v>FINANZASRENTASA1</v>
      </c>
      <c r="B64" s="12">
        <v>66</v>
      </c>
      <c r="C64" t="s">
        <v>23</v>
      </c>
      <c r="D64" s="12" t="s">
        <v>169</v>
      </c>
      <c r="E64" s="12" t="s">
        <v>88</v>
      </c>
      <c r="F64" s="259">
        <f t="shared" si="58"/>
        <v>0</v>
      </c>
      <c r="G64" s="13">
        <f t="shared" si="123"/>
        <v>0</v>
      </c>
      <c r="H64" s="13">
        <f t="shared" si="123"/>
        <v>0</v>
      </c>
      <c r="I64" s="13">
        <f t="shared" si="123"/>
        <v>0</v>
      </c>
      <c r="J64" s="13">
        <f t="shared" si="123"/>
        <v>0</v>
      </c>
      <c r="K64" s="13">
        <f t="shared" si="123"/>
        <v>0</v>
      </c>
      <c r="L64" s="68">
        <f t="shared" si="59"/>
        <v>0</v>
      </c>
      <c r="M64" s="268">
        <f t="shared" si="60"/>
        <v>0</v>
      </c>
      <c r="N64" s="13">
        <f t="shared" si="36"/>
        <v>0</v>
      </c>
      <c r="O64" s="13">
        <f t="shared" si="124"/>
        <v>34789.440000000002</v>
      </c>
      <c r="P64" s="13">
        <f t="shared" si="124"/>
        <v>0</v>
      </c>
      <c r="Q64" s="13">
        <f t="shared" si="124"/>
        <v>0</v>
      </c>
      <c r="R64" s="13">
        <f t="shared" si="124"/>
        <v>0</v>
      </c>
      <c r="S64" s="13">
        <f t="shared" si="124"/>
        <v>0</v>
      </c>
      <c r="T64" s="13">
        <f t="shared" si="124"/>
        <v>34789.440000000002</v>
      </c>
      <c r="U64" s="68">
        <f t="shared" si="61"/>
        <v>-34789.440000000002</v>
      </c>
      <c r="V64" s="268">
        <f t="shared" si="62"/>
        <v>0</v>
      </c>
      <c r="W64" s="13">
        <f t="shared" si="38"/>
        <v>0</v>
      </c>
      <c r="X64" s="13">
        <f t="shared" si="125"/>
        <v>34790</v>
      </c>
      <c r="Y64" s="13">
        <f t="shared" si="125"/>
        <v>0</v>
      </c>
      <c r="Z64" s="13">
        <f t="shared" si="125"/>
        <v>0</v>
      </c>
      <c r="AA64" s="13">
        <f t="shared" si="125"/>
        <v>34789.440000000002</v>
      </c>
      <c r="AB64" s="13">
        <f t="shared" si="125"/>
        <v>69579.44</v>
      </c>
      <c r="AC64" s="68">
        <f t="shared" si="63"/>
        <v>-69579.44</v>
      </c>
      <c r="AD64" s="268">
        <f t="shared" si="64"/>
        <v>0</v>
      </c>
      <c r="AE64" s="13">
        <f t="shared" si="40"/>
        <v>0</v>
      </c>
      <c r="AF64" s="13">
        <f t="shared" si="126"/>
        <v>0</v>
      </c>
      <c r="AG64" s="13">
        <f t="shared" si="126"/>
        <v>0</v>
      </c>
      <c r="AH64" s="13">
        <f t="shared" si="126"/>
        <v>0</v>
      </c>
      <c r="AI64" s="13">
        <f t="shared" si="126"/>
        <v>34789.440000000002</v>
      </c>
      <c r="AJ64" s="13">
        <f t="shared" si="126"/>
        <v>34789.440000000002</v>
      </c>
      <c r="AK64" s="68">
        <f t="shared" si="65"/>
        <v>-34789.440000000002</v>
      </c>
      <c r="AL64" s="268">
        <f t="shared" si="66"/>
        <v>0</v>
      </c>
      <c r="AM64" s="13">
        <f t="shared" si="42"/>
        <v>0</v>
      </c>
      <c r="AN64" s="13">
        <f t="shared" si="127"/>
        <v>0</v>
      </c>
      <c r="AO64" s="13">
        <f t="shared" si="127"/>
        <v>0</v>
      </c>
      <c r="AP64" s="13">
        <f t="shared" si="127"/>
        <v>0</v>
      </c>
      <c r="AQ64" s="13">
        <f t="shared" si="127"/>
        <v>34789.440000000002</v>
      </c>
      <c r="AR64" s="13">
        <f t="shared" si="127"/>
        <v>0</v>
      </c>
      <c r="AS64" s="13">
        <f t="shared" si="127"/>
        <v>34789.440000000002</v>
      </c>
      <c r="AT64" s="68">
        <f>AM64-AS64</f>
        <v>-34789.440000000002</v>
      </c>
      <c r="AU64" s="268">
        <f t="shared" si="67"/>
        <v>0</v>
      </c>
      <c r="AV64" s="13">
        <f t="shared" si="44"/>
        <v>0</v>
      </c>
      <c r="AW64" s="13">
        <f t="shared" si="119"/>
        <v>0</v>
      </c>
      <c r="AX64" s="13">
        <f t="shared" si="119"/>
        <v>0</v>
      </c>
      <c r="AY64" s="13">
        <f t="shared" si="119"/>
        <v>0</v>
      </c>
      <c r="AZ64" s="13">
        <f t="shared" si="119"/>
        <v>10672.5</v>
      </c>
      <c r="BA64" s="13">
        <f t="shared" si="120"/>
        <v>10672.5</v>
      </c>
      <c r="BB64" s="68">
        <f t="shared" si="68"/>
        <v>-10672.5</v>
      </c>
      <c r="BC64" s="268">
        <f t="shared" si="69"/>
        <v>0</v>
      </c>
      <c r="BD64" s="13">
        <f t="shared" si="46"/>
        <v>0</v>
      </c>
      <c r="BE64" s="13">
        <f>SUMIFS(SALIDAS_BIT,FECHA_BIT,"&gt;="&amp;BE$2,FECHA_BIT,"&lt;="&amp;BE$3,CLAVE_BIT,$A64)+SUMIFS(SALIDAS_BOV1,FECHA_BOV1,"&gt;="&amp;BE$2,FECHA_BOV1,"&lt;="&amp;BE$3,CLAVE_BOV1,$A64)+SUMIFS(SALIDAS_BOV2,FECHA_BOV2,"&gt;="&amp;BE$2,FECHA_BOV2,"&lt;="&amp;BE$3,CLAVE_BOV2,$A64)+SUMIFS(SALIDAS_BOV3,FECHA_BOV3,"&gt;="&amp;BE$2,FECHA_BOV3,"&lt;="&amp;BE$3,CLAVE_BOV3,$A64)+SUMIFS(SALIDAS_TC,FECHA_TC,"&gt;="&amp;BE$2,FECHA_TC,"&lt;="&amp;BE$3,CLAVE_TC,$A64)+SUMIFS(SALIDAS_COMB,FECHA_COMB,"&gt;="&amp;BE$2,FECHA_COMB,"&lt;="&amp;BE$3,CLAVE_COMB,$A64)+SUMIFS(SALIDAS_DES,FECHA_DESGLOSEN,"&gt;="&amp;BE$2,FECHA_DESGLOSEN,"&lt;="&amp;BE$3,CLAVE_DESGLOSE,$A64)</f>
        <v>34789.440000000002</v>
      </c>
      <c r="BF64" s="13">
        <f>SUMIFS(SALIDAS_BIT,FECHA_BIT,"&gt;="&amp;BF$2,FECHA_BIT,"&lt;="&amp;BF$3,CLAVE_BIT,$A64)+SUMIFS(SALIDAS_BOV1,FECHA_BOV1,"&gt;="&amp;BF$2,FECHA_BOV1,"&lt;="&amp;BF$3,CLAVE_BOV1,$A64)+SUMIFS(SALIDAS_BOV2,FECHA_BOV2,"&gt;="&amp;BF$2,FECHA_BOV2,"&lt;="&amp;BF$3,CLAVE_BOV2,$A64)+SUMIFS(SALIDAS_BOV3,FECHA_BOV3,"&gt;="&amp;BF$2,FECHA_BOV3,"&lt;="&amp;BF$3,CLAVE_BOV3,$A64)+SUMIFS(SALIDAS_TC,FECHA_TC,"&gt;="&amp;BF$2,FECHA_TC,"&lt;="&amp;BF$3,CLAVE_TC,$A64)+SUMIFS(SALIDAS_COMB,FECHA_COMB,"&gt;="&amp;BF$2,FECHA_COMB,"&lt;="&amp;BF$3,CLAVE_COMB,$A64)+SUMIFS(SALIDAS_DES,FECHA_DESGLOSEN,"&gt;="&amp;BF$2,FECHA_DESGLOSEN,"&lt;="&amp;BF$3,CLAVE_DESGLOSE,$A64)</f>
        <v>0</v>
      </c>
      <c r="BG64" s="13">
        <f>SUMIFS(SALIDAS_BIT,FECHA_BIT,"&gt;="&amp;BG$2,FECHA_BIT,"&lt;="&amp;BG$3,CLAVE_BIT,$A64)+SUMIFS(SALIDAS_BOV1,FECHA_BOV1,"&gt;="&amp;BG$2,FECHA_BOV1,"&lt;="&amp;BG$3,CLAVE_BOV1,$A64)+SUMIFS(SALIDAS_BOV2,FECHA_BOV2,"&gt;="&amp;BG$2,FECHA_BOV2,"&lt;="&amp;BG$3,CLAVE_BOV2,$A64)+SUMIFS(SALIDAS_BOV3,FECHA_BOV3,"&gt;="&amp;BG$2,FECHA_BOV3,"&lt;="&amp;BG$3,CLAVE_BOV3,$A64)+SUMIFS(SALIDAS_TC,FECHA_TC,"&gt;="&amp;BG$2,FECHA_TC,"&lt;="&amp;BG$3,CLAVE_TC,$A64)+SUMIFS(SALIDAS_COMB,FECHA_COMB,"&gt;="&amp;BG$2,FECHA_COMB,"&lt;="&amp;BG$3,CLAVE_COMB,$A64)+SUMIFS(SALIDAS_DES,FECHA_DESGLOSEN,"&gt;="&amp;BG$2,FECHA_DESGLOSEN,"&lt;="&amp;BG$3,CLAVE_DESGLOSE,$A64)</f>
        <v>0</v>
      </c>
      <c r="BH64" s="13">
        <f>SUMIFS(SALIDAS_BIT,FECHA_BIT,"&gt;="&amp;BH$2,FECHA_BIT,"&lt;="&amp;BH$3,CLAVE_BIT,$A64)+SUMIFS(SALIDAS_BOV1,FECHA_BOV1,"&gt;="&amp;BH$2,FECHA_BOV1,"&lt;="&amp;BH$3,CLAVE_BOV1,$A64)+SUMIFS(SALIDAS_BOV2,FECHA_BOV2,"&gt;="&amp;BH$2,FECHA_BOV2,"&lt;="&amp;BH$3,CLAVE_BOV2,$A64)+SUMIFS(SALIDAS_BOV3,FECHA_BOV3,"&gt;="&amp;BH$2,FECHA_BOV3,"&lt;="&amp;BH$3,CLAVE_BOV3,$A64)+SUMIFS(SALIDAS_TC,FECHA_TC,"&gt;="&amp;BH$2,FECHA_TC,"&lt;="&amp;BH$3,CLAVE_TC,$A64)+SUMIFS(SALIDAS_COMB,FECHA_COMB,"&gt;="&amp;BH$2,FECHA_COMB,"&lt;="&amp;BH$3,CLAVE_COMB,$A64)+SUMIFS(SALIDAS_DES,FECHA_DESGLOSEN,"&gt;="&amp;BH$2,FECHA_DESGLOSEN,"&lt;="&amp;BH$3,CLAVE_DESGLOSE,$A64)</f>
        <v>0</v>
      </c>
      <c r="BI64" s="13">
        <f t="shared" si="121"/>
        <v>34789.440000000002</v>
      </c>
      <c r="BJ64" s="68">
        <f t="shared" si="70"/>
        <v>-34789.440000000002</v>
      </c>
      <c r="BK64" s="268">
        <f t="shared" si="71"/>
        <v>0</v>
      </c>
      <c r="BL64" s="13">
        <f t="shared" si="47"/>
        <v>0</v>
      </c>
      <c r="BM64" s="13">
        <f>SUMIFS(SALIDAS_BIT,FECHA_BIT,"&gt;="&amp;BM$2,FECHA_BIT,"&lt;="&amp;BM$3,CLAVE_BIT,$A64)+SUMIFS(SALIDAS_BOV1,FECHA_BOV1,"&gt;="&amp;BM$2,FECHA_BOV1,"&lt;="&amp;BM$3,CLAVE_BOV1,$A64)+SUMIFS(SALIDAS_BOV2,FECHA_BOV2,"&gt;="&amp;BM$2,FECHA_BOV2,"&lt;="&amp;BM$3,CLAVE_BOV2,$A64)+SUMIFS(SALIDAS_BOV3,FECHA_BOV3,"&gt;="&amp;BM$2,FECHA_BOV3,"&lt;="&amp;BM$3,CLAVE_BOV3,$A64)+SUMIFS(SALIDAS_TC,FECHA_TC,"&gt;="&amp;BM$2,FECHA_TC,"&lt;="&amp;BM$3,CLAVE_TC,$A64)+SUMIFS(SALIDAS_COMB,FECHA_COMB,"&gt;="&amp;BM$2,FECHA_COMB,"&lt;="&amp;BM$3,CLAVE_COMB,$A64)+SUMIFS(SALIDAS_DES,FECHA_DESGLOSEN,"&gt;="&amp;BM$2,FECHA_DESGLOSEN,"&lt;="&amp;BM$3,CLAVE_DESGLOSE,$A64)</f>
        <v>34789</v>
      </c>
      <c r="BN64" s="13">
        <f>SUMIFS(SALIDAS_BIT,FECHA_BIT,"&gt;="&amp;BN$2,FECHA_BIT,"&lt;="&amp;BN$3,CLAVE_BIT,$A64)+SUMIFS(SALIDAS_BOV1,FECHA_BOV1,"&gt;="&amp;BN$2,FECHA_BOV1,"&lt;="&amp;BN$3,CLAVE_BOV1,$A64)+SUMIFS(SALIDAS_BOV2,FECHA_BOV2,"&gt;="&amp;BN$2,FECHA_BOV2,"&lt;="&amp;BN$3,CLAVE_BOV2,$A64)+SUMIFS(SALIDAS_BOV3,FECHA_BOV3,"&gt;="&amp;BN$2,FECHA_BOV3,"&lt;="&amp;BN$3,CLAVE_BOV3,$A64)+SUMIFS(SALIDAS_TC,FECHA_TC,"&gt;="&amp;BN$2,FECHA_TC,"&lt;="&amp;BN$3,CLAVE_TC,$A64)+SUMIFS(SALIDAS_COMB,FECHA_COMB,"&gt;="&amp;BN$2,FECHA_COMB,"&lt;="&amp;BN$3,CLAVE_COMB,$A64)+SUMIFS(SALIDAS_DES,FECHA_DESGLOSEN,"&gt;="&amp;BN$2,FECHA_DESGLOSEN,"&lt;="&amp;BN$3,CLAVE_DESGLOSE,$A64)</f>
        <v>0</v>
      </c>
      <c r="BO64" s="13">
        <f>SUMIFS(SALIDAS_BIT,FECHA_BIT,"&gt;="&amp;BO$2,FECHA_BIT,"&lt;="&amp;BO$3,CLAVE_BIT,$A64)+SUMIFS(SALIDAS_BOV1,FECHA_BOV1,"&gt;="&amp;BO$2,FECHA_BOV1,"&lt;="&amp;BO$3,CLAVE_BOV1,$A64)+SUMIFS(SALIDAS_BOV2,FECHA_BOV2,"&gt;="&amp;BO$2,FECHA_BOV2,"&lt;="&amp;BO$3,CLAVE_BOV2,$A64)+SUMIFS(SALIDAS_BOV3,FECHA_BOV3,"&gt;="&amp;BO$2,FECHA_BOV3,"&lt;="&amp;BO$3,CLAVE_BOV3,$A64)+SUMIFS(SALIDAS_TC,FECHA_TC,"&gt;="&amp;BO$2,FECHA_TC,"&lt;="&amp;BO$3,CLAVE_TC,$A64)+SUMIFS(SALIDAS_COMB,FECHA_COMB,"&gt;="&amp;BO$2,FECHA_COMB,"&lt;="&amp;BO$3,CLAVE_COMB,$A64)+SUMIFS(SALIDAS_DES,FECHA_DESGLOSEN,"&gt;="&amp;BO$2,FECHA_DESGLOSEN,"&lt;="&amp;BO$3,CLAVE_DESGLOSE,$A64)</f>
        <v>0</v>
      </c>
      <c r="BP64" s="13">
        <f>SUMIFS(SALIDAS_BIT,FECHA_BIT,"&gt;="&amp;BP$2,FECHA_BIT,"&lt;="&amp;BP$3,CLAVE_BIT,$A64)+SUMIFS(SALIDAS_BOV1,FECHA_BOV1,"&gt;="&amp;BP$2,FECHA_BOV1,"&lt;="&amp;BP$3,CLAVE_BOV1,$A64)+SUMIFS(SALIDAS_BOV2,FECHA_BOV2,"&gt;="&amp;BP$2,FECHA_BOV2,"&lt;="&amp;BP$3,CLAVE_BOV2,$A64)+SUMIFS(SALIDAS_BOV3,FECHA_BOV3,"&gt;="&amp;BP$2,FECHA_BOV3,"&lt;="&amp;BP$3,CLAVE_BOV3,$A64)+SUMIFS(SALIDAS_TC,FECHA_TC,"&gt;="&amp;BP$2,FECHA_TC,"&lt;="&amp;BP$3,CLAVE_TC,$A64)+SUMIFS(SALIDAS_COMB,FECHA_COMB,"&gt;="&amp;BP$2,FECHA_COMB,"&lt;="&amp;BP$3,CLAVE_COMB,$A64)+SUMIFS(SALIDAS_DES,FECHA_DESGLOSEN,"&gt;="&amp;BP$2,FECHA_DESGLOSEN,"&lt;="&amp;BP$3,CLAVE_DESGLOSE,$A64)</f>
        <v>0</v>
      </c>
      <c r="BQ64" s="13">
        <f>SUMIFS(SALIDAS_BIT,FECHA_BIT,"&gt;="&amp;BQ$2,FECHA_BIT,"&lt;="&amp;BQ$3,CLAVE_BIT,$A64)+SUMIFS(SALIDAS_BOV1,FECHA_BOV1,"&gt;="&amp;BQ$2,FECHA_BOV1,"&lt;="&amp;BQ$3,CLAVE_BOV1,$A64)+SUMIFS(SALIDAS_BOV2,FECHA_BOV2,"&gt;="&amp;BQ$2,FECHA_BOV2,"&lt;="&amp;BQ$3,CLAVE_BOV2,$A64)+SUMIFS(SALIDAS_BOV3,FECHA_BOV3,"&gt;="&amp;BQ$2,FECHA_BOV3,"&lt;="&amp;BQ$3,CLAVE_BOV3,$A64)+SUMIFS(SALIDAS_TC,FECHA_TC,"&gt;="&amp;BQ$2,FECHA_TC,"&lt;="&amp;BQ$3,CLAVE_TC,$A64)+SUMIFS(SALIDAS_COMB,FECHA_COMB,"&gt;="&amp;BQ$2,FECHA_COMB,"&lt;="&amp;BQ$3,CLAVE_COMB,$A64)+SUMIFS(SALIDAS_DES,FECHA_DESGLOSEN,"&gt;="&amp;BQ$2,FECHA_DESGLOSEN,"&lt;="&amp;BQ$3,CLAVE_DESGLOSE,$A64)</f>
        <v>0</v>
      </c>
      <c r="BR64" s="13">
        <f t="shared" si="128"/>
        <v>34789</v>
      </c>
      <c r="BS64" s="68">
        <f t="shared" si="72"/>
        <v>-34789</v>
      </c>
      <c r="BT64" s="268">
        <f t="shared" si="73"/>
        <v>0</v>
      </c>
      <c r="BU64" s="13">
        <f t="shared" si="49"/>
        <v>0</v>
      </c>
      <c r="BV64" s="13">
        <f t="shared" si="90"/>
        <v>0</v>
      </c>
      <c r="BW64" s="13">
        <f t="shared" si="90"/>
        <v>0</v>
      </c>
      <c r="BX64" s="13">
        <f t="shared" si="90"/>
        <v>0</v>
      </c>
      <c r="BY64" s="13">
        <f t="shared" si="90"/>
        <v>0</v>
      </c>
      <c r="BZ64" s="13">
        <f t="shared" si="129"/>
        <v>0</v>
      </c>
      <c r="CA64" s="68">
        <f t="shared" si="74"/>
        <v>0</v>
      </c>
      <c r="CB64" s="268">
        <f t="shared" si="75"/>
        <v>0</v>
      </c>
      <c r="CC64" s="13">
        <f t="shared" si="51"/>
        <v>0</v>
      </c>
      <c r="CD64" s="13">
        <f t="shared" si="91"/>
        <v>69578.880000000005</v>
      </c>
      <c r="CE64" s="13">
        <f t="shared" si="91"/>
        <v>0</v>
      </c>
      <c r="CF64" s="13">
        <f t="shared" si="91"/>
        <v>0</v>
      </c>
      <c r="CG64" s="13">
        <f t="shared" si="91"/>
        <v>34789.440000000002</v>
      </c>
      <c r="CH64" s="13">
        <f t="shared" si="130"/>
        <v>104368.32000000001</v>
      </c>
      <c r="CI64" s="68">
        <f t="shared" si="76"/>
        <v>-104368.32000000001</v>
      </c>
      <c r="CJ64" s="268">
        <f t="shared" si="77"/>
        <v>0</v>
      </c>
      <c r="CK64" s="13">
        <f t="shared" si="53"/>
        <v>0</v>
      </c>
      <c r="CL64" s="13">
        <f t="shared" si="92"/>
        <v>0</v>
      </c>
      <c r="CM64" s="13">
        <f t="shared" si="92"/>
        <v>0</v>
      </c>
      <c r="CN64" s="13">
        <f t="shared" si="92"/>
        <v>0</v>
      </c>
      <c r="CO64" s="13">
        <f t="shared" si="92"/>
        <v>0</v>
      </c>
      <c r="CP64" s="13">
        <f t="shared" si="92"/>
        <v>0</v>
      </c>
      <c r="CQ64" s="13">
        <f t="shared" si="131"/>
        <v>0</v>
      </c>
      <c r="CR64" s="68">
        <f t="shared" si="78"/>
        <v>0</v>
      </c>
      <c r="CS64" s="268">
        <f t="shared" si="79"/>
        <v>0</v>
      </c>
      <c r="CT64" s="68">
        <f t="shared" si="55"/>
        <v>36877</v>
      </c>
      <c r="CU64" s="13">
        <f>SUMIFS(SALIDAS_BIT,FECHA_BIT,"&gt;="&amp;CU$2,FECHA_BIT,"&lt;="&amp;CU$3,CLAVE_BIT,$A64)+SUMIFS(SALIDAS_BOV1,FECHA_BOV1,"&gt;="&amp;CU$2,FECHA_BOV1,"&lt;="&amp;CU$3,CLAVE_BOV1,$A64)+SUMIFS(SALIDAS_BOV2,FECHA_BOV2,"&gt;="&amp;CU$2,FECHA_BOV2,"&lt;="&amp;CU$3,CLAVE_BOV2,$A64)+SUMIFS(SALIDAS_BOV3,FECHA_BOV3,"&gt;="&amp;CU$2,FECHA_BOV3,"&lt;="&amp;CU$3,CLAVE_BOV3,$A64)+SUMIFS(SALIDAS_TC,FECHA_TC,"&gt;="&amp;CU$2,FECHA_TC,"&lt;="&amp;CU$3,CLAVE_TC,$A64)+SUMIFS(SALIDAS_COMB,FECHA_COMB,"&gt;="&amp;CU$2,FECHA_COMB,"&lt;="&amp;CU$3,CLAVE_COMB,$A64)+SUMIFS(SALIDAS_DES,FECHA_DESGLOSEN,"&gt;="&amp;CU$2,FECHA_DESGLOSEN,"&lt;="&amp;CU$3,CLAVE_DESGLOSE,$A64)</f>
        <v>0</v>
      </c>
      <c r="CV64" s="13">
        <f>SUMIFS(SALIDAS_BIT,FECHA_BIT,"&gt;="&amp;CV$2,FECHA_BIT,"&lt;="&amp;CV$3,CLAVE_BIT,$A64)+SUMIFS(SALIDAS_BOV1,FECHA_BOV1,"&gt;="&amp;CV$2,FECHA_BOV1,"&lt;="&amp;CV$3,CLAVE_BOV1,$A64)+SUMIFS(SALIDAS_BOV2,FECHA_BOV2,"&gt;="&amp;CV$2,FECHA_BOV2,"&lt;="&amp;CV$3,CLAVE_BOV2,$A64)+SUMIFS(SALIDAS_BOV3,FECHA_BOV3,"&gt;="&amp;CV$2,FECHA_BOV3,"&lt;="&amp;CV$3,CLAVE_BOV3,$A64)+SUMIFS(SALIDAS_TC,FECHA_TC,"&gt;="&amp;CV$2,FECHA_TC,"&lt;="&amp;CV$3,CLAVE_TC,$A64)+SUMIFS(SALIDAS_COMB,FECHA_COMB,"&gt;="&amp;CV$2,FECHA_COMB,"&lt;="&amp;CV$3,CLAVE_COMB,$A64)+SUMIFS(SALIDAS_DES,FECHA_DESGLOSEN,"&gt;="&amp;CV$2,FECHA_DESGLOSEN,"&lt;="&amp;CV$3,CLAVE_DESGLOSE,$A64)</f>
        <v>0</v>
      </c>
      <c r="CW64" s="13">
        <f>SUMIFS(SALIDAS_BIT,FECHA_BIT,"&gt;="&amp;CW$2,FECHA_BIT,"&lt;="&amp;CW$3,CLAVE_BIT,$A64)+SUMIFS(SALIDAS_BOV1,FECHA_BOV1,"&gt;="&amp;CW$2,FECHA_BOV1,"&lt;="&amp;CW$3,CLAVE_BOV1,$A64)+SUMIFS(SALIDAS_BOV2,FECHA_BOV2,"&gt;="&amp;CW$2,FECHA_BOV2,"&lt;="&amp;CW$3,CLAVE_BOV2,$A64)+SUMIFS(SALIDAS_BOV3,FECHA_BOV3,"&gt;="&amp;CW$2,FECHA_BOV3,"&lt;="&amp;CW$3,CLAVE_BOV3,$A64)+SUMIFS(SALIDAS_TC,FECHA_TC,"&gt;="&amp;CW$2,FECHA_TC,"&lt;="&amp;CW$3,CLAVE_TC,$A64)+SUMIFS(SALIDAS_COMB,FECHA_COMB,"&gt;="&amp;CW$2,FECHA_COMB,"&lt;="&amp;CW$3,CLAVE_COMB,$A64)+SUMIFS(SALIDAS_DES,FECHA_DESGLOSEN,"&gt;="&amp;CW$2,FECHA_DESGLOSEN,"&lt;="&amp;CW$3,CLAVE_DESGLOSE,$A64)</f>
        <v>0</v>
      </c>
      <c r="CX64" s="13">
        <f>SUMIFS(SALIDAS_BIT,FECHA_BIT,"&gt;="&amp;CX$2,FECHA_BIT,"&lt;="&amp;CX$3,CLAVE_BIT,$A64)+SUMIFS(SALIDAS_BOV1,FECHA_BOV1,"&gt;="&amp;CX$2,FECHA_BOV1,"&lt;="&amp;CX$3,CLAVE_BOV1,$A64)+SUMIFS(SALIDAS_BOV2,FECHA_BOV2,"&gt;="&amp;CX$2,FECHA_BOV2,"&lt;="&amp;CX$3,CLAVE_BOV2,$A64)+SUMIFS(SALIDAS_BOV3,FECHA_BOV3,"&gt;="&amp;CX$2,FECHA_BOV3,"&lt;="&amp;CX$3,CLAVE_BOV3,$A64)+SUMIFS(SALIDAS_TC,FECHA_TC,"&gt;="&amp;CX$2,FECHA_TC,"&lt;="&amp;CX$3,CLAVE_TC,$A64)+SUMIFS(SALIDAS_COMB,FECHA_COMB,"&gt;="&amp;CX$2,FECHA_COMB,"&lt;="&amp;CX$3,CLAVE_COMB,$A64)+SUMIFS(SALIDAS_DES,FECHA_DESGLOSEN,"&gt;="&amp;CX$2,FECHA_DESGLOSEN,"&lt;="&amp;CX$3,CLAVE_DESGLOSE,$A64)</f>
        <v>31884</v>
      </c>
      <c r="CY64" s="13">
        <f>SUMIFS(SALIDAS_BIT,FECHA_BIT,"&gt;="&amp;CY$2,FECHA_BIT,"&lt;="&amp;CY$3,CLAVE_BIT,$A64)+SUMIFS(SALIDAS_BOV1,FECHA_BOV1,"&gt;="&amp;CY$2,FECHA_BOV1,"&lt;="&amp;CY$3,CLAVE_BOV1,$A64)+SUMIFS(SALIDAS_BOV2,FECHA_BOV2,"&gt;="&amp;CY$2,FECHA_BOV2,"&lt;="&amp;CY$3,CLAVE_BOV2,$A64)+SUMIFS(SALIDAS_BOV3,FECHA_BOV3,"&gt;="&amp;CY$2,FECHA_BOV3,"&lt;="&amp;CY$3,CLAVE_BOV3,$A64)+SUMIFS(SALIDAS_TC,FECHA_TC,"&gt;="&amp;CY$2,FECHA_TC,"&lt;="&amp;CY$3,CLAVE_TC,$A64)+SUMIFS(SALIDAS_COMB,FECHA_COMB,"&gt;="&amp;CY$2,FECHA_COMB,"&lt;="&amp;CY$3,CLAVE_COMB,$A64)+SUMIFS(SALIDAS_DES,FECHA_DESGLOSEN,"&gt;="&amp;CY$2,FECHA_DESGLOSEN,"&lt;="&amp;CY$3,CLAVE_DESGLOSE,$A64)</f>
        <v>31884</v>
      </c>
      <c r="CZ64" s="68">
        <f t="shared" si="80"/>
        <v>4993</v>
      </c>
      <c r="DB64" s="17">
        <f>F64+N64+W64+AE64+AM64+AV64+BD64+BL64+BU64+CC64+CK64</f>
        <v>0</v>
      </c>
      <c r="DC64" s="17">
        <f>K64+T64+AB64+AJ64+AS64+BA64+BI64+BR64+BZ64+CH64+CQ64</f>
        <v>358567.02</v>
      </c>
    </row>
    <row r="65" spans="1:107" hidden="1">
      <c r="A65" s="12" t="str">
        <f t="shared" si="57"/>
        <v>FINANZASRENTASA2</v>
      </c>
      <c r="B65" s="12">
        <v>67</v>
      </c>
      <c r="C65" t="s">
        <v>23</v>
      </c>
      <c r="D65" s="12" t="s">
        <v>169</v>
      </c>
      <c r="E65" s="12" t="s">
        <v>89</v>
      </c>
      <c r="F65" s="259">
        <f t="shared" si="58"/>
        <v>0</v>
      </c>
      <c r="G65" s="13">
        <f t="shared" si="123"/>
        <v>0</v>
      </c>
      <c r="H65" s="13">
        <f t="shared" si="123"/>
        <v>0</v>
      </c>
      <c r="I65" s="13">
        <f t="shared" si="123"/>
        <v>0</v>
      </c>
      <c r="J65" s="13">
        <f t="shared" si="123"/>
        <v>0</v>
      </c>
      <c r="K65" s="13">
        <f t="shared" si="123"/>
        <v>0</v>
      </c>
      <c r="L65" s="68">
        <f t="shared" si="59"/>
        <v>0</v>
      </c>
      <c r="M65" s="268">
        <f t="shared" si="60"/>
        <v>0</v>
      </c>
      <c r="N65" s="13">
        <f t="shared" si="36"/>
        <v>0</v>
      </c>
      <c r="O65" s="13">
        <f t="shared" si="124"/>
        <v>26459</v>
      </c>
      <c r="P65" s="13">
        <f t="shared" si="124"/>
        <v>0</v>
      </c>
      <c r="Q65" s="13">
        <f t="shared" si="124"/>
        <v>0</v>
      </c>
      <c r="R65" s="13">
        <f t="shared" si="124"/>
        <v>0</v>
      </c>
      <c r="S65" s="13">
        <f t="shared" si="124"/>
        <v>0</v>
      </c>
      <c r="T65" s="13">
        <f t="shared" si="124"/>
        <v>26459</v>
      </c>
      <c r="U65" s="68">
        <f t="shared" si="61"/>
        <v>-26459</v>
      </c>
      <c r="V65" s="268">
        <f t="shared" si="62"/>
        <v>0</v>
      </c>
      <c r="W65" s="13">
        <f t="shared" si="38"/>
        <v>0</v>
      </c>
      <c r="X65" s="13">
        <f t="shared" si="125"/>
        <v>24354</v>
      </c>
      <c r="Y65" s="13">
        <f t="shared" si="125"/>
        <v>0</v>
      </c>
      <c r="Z65" s="13">
        <f t="shared" si="125"/>
        <v>0</v>
      </c>
      <c r="AA65" s="13">
        <f t="shared" si="125"/>
        <v>26459</v>
      </c>
      <c r="AB65" s="13">
        <f t="shared" si="125"/>
        <v>50813</v>
      </c>
      <c r="AC65" s="68">
        <f t="shared" si="63"/>
        <v>-50813</v>
      </c>
      <c r="AD65" s="268">
        <f t="shared" si="64"/>
        <v>0</v>
      </c>
      <c r="AE65" s="13">
        <f t="shared" si="40"/>
        <v>0</v>
      </c>
      <c r="AF65" s="13">
        <f t="shared" si="126"/>
        <v>0</v>
      </c>
      <c r="AG65" s="13">
        <f t="shared" si="126"/>
        <v>0</v>
      </c>
      <c r="AH65" s="13">
        <f t="shared" si="126"/>
        <v>0</v>
      </c>
      <c r="AI65" s="13">
        <f t="shared" si="126"/>
        <v>26459</v>
      </c>
      <c r="AJ65" s="13">
        <f t="shared" si="126"/>
        <v>26459</v>
      </c>
      <c r="AK65" s="68">
        <f t="shared" si="65"/>
        <v>-26459</v>
      </c>
      <c r="AL65" s="268">
        <f t="shared" si="66"/>
        <v>0</v>
      </c>
      <c r="AM65" s="13">
        <f t="shared" si="42"/>
        <v>0</v>
      </c>
      <c r="AN65" s="13">
        <f t="shared" si="127"/>
        <v>0</v>
      </c>
      <c r="AO65" s="13">
        <f t="shared" si="127"/>
        <v>0</v>
      </c>
      <c r="AP65" s="13">
        <f t="shared" si="127"/>
        <v>0</v>
      </c>
      <c r="AQ65" s="13">
        <f t="shared" si="127"/>
        <v>8109</v>
      </c>
      <c r="AR65" s="13">
        <f t="shared" si="127"/>
        <v>0</v>
      </c>
      <c r="AS65" s="13">
        <f t="shared" si="127"/>
        <v>8109</v>
      </c>
      <c r="AT65" s="68">
        <f>AM65-AS65</f>
        <v>-8109</v>
      </c>
      <c r="AU65" s="268">
        <f t="shared" si="67"/>
        <v>0</v>
      </c>
      <c r="AV65" s="13">
        <f t="shared" si="44"/>
        <v>0</v>
      </c>
      <c r="AW65" s="13">
        <f t="shared" si="119"/>
        <v>0</v>
      </c>
      <c r="AX65" s="13">
        <f t="shared" si="119"/>
        <v>0</v>
      </c>
      <c r="AY65" s="13">
        <f t="shared" si="119"/>
        <v>0</v>
      </c>
      <c r="AZ65" s="13">
        <f t="shared" si="119"/>
        <v>0</v>
      </c>
      <c r="BA65" s="13">
        <f t="shared" si="120"/>
        <v>0</v>
      </c>
      <c r="BB65" s="68">
        <f t="shared" si="68"/>
        <v>0</v>
      </c>
      <c r="BC65" s="268">
        <f t="shared" si="69"/>
        <v>0</v>
      </c>
      <c r="BD65" s="13">
        <f t="shared" si="46"/>
        <v>0</v>
      </c>
      <c r="BE65" s="13">
        <f>SUMIFS(SALIDAS_BIT,FECHA_BIT,"&gt;="&amp;BE$2,FECHA_BIT,"&lt;="&amp;BE$3,CLAVE_BIT,$A65)+SUMIFS(SALIDAS_BOV1,FECHA_BOV1,"&gt;="&amp;BE$2,FECHA_BOV1,"&lt;="&amp;BE$3,CLAVE_BOV1,$A65)+SUMIFS(SALIDAS_BOV2,FECHA_BOV2,"&gt;="&amp;BE$2,FECHA_BOV2,"&lt;="&amp;BE$3,CLAVE_BOV2,$A65)+SUMIFS(SALIDAS_BOV3,FECHA_BOV3,"&gt;="&amp;BE$2,FECHA_BOV3,"&lt;="&amp;BE$3,CLAVE_BOV3,$A65)+SUMIFS(SALIDAS_TC,FECHA_TC,"&gt;="&amp;BE$2,FECHA_TC,"&lt;="&amp;BE$3,CLAVE_TC,$A65)+SUMIFS(SALIDAS_COMB,FECHA_COMB,"&gt;="&amp;BE$2,FECHA_COMB,"&lt;="&amp;BE$3,CLAVE_COMB,$A65)+SUMIFS(SALIDAS_DES,FECHA_DESGLOSEN,"&gt;="&amp;BE$2,FECHA_DESGLOSEN,"&lt;="&amp;BE$3,CLAVE_DESGLOSE,$A65)</f>
        <v>0</v>
      </c>
      <c r="BF65" s="13">
        <f>SUMIFS(SALIDAS_BIT,FECHA_BIT,"&gt;="&amp;BF$2,FECHA_BIT,"&lt;="&amp;BF$3,CLAVE_BIT,$A65)+SUMIFS(SALIDAS_BOV1,FECHA_BOV1,"&gt;="&amp;BF$2,FECHA_BOV1,"&lt;="&amp;BF$3,CLAVE_BOV1,$A65)+SUMIFS(SALIDAS_BOV2,FECHA_BOV2,"&gt;="&amp;BF$2,FECHA_BOV2,"&lt;="&amp;BF$3,CLAVE_BOV2,$A65)+SUMIFS(SALIDAS_BOV3,FECHA_BOV3,"&gt;="&amp;BF$2,FECHA_BOV3,"&lt;="&amp;BF$3,CLAVE_BOV3,$A65)+SUMIFS(SALIDAS_TC,FECHA_TC,"&gt;="&amp;BF$2,FECHA_TC,"&lt;="&amp;BF$3,CLAVE_TC,$A65)+SUMIFS(SALIDAS_COMB,FECHA_COMB,"&gt;="&amp;BF$2,FECHA_COMB,"&lt;="&amp;BF$3,CLAVE_COMB,$A65)+SUMIFS(SALIDAS_DES,FECHA_DESGLOSEN,"&gt;="&amp;BF$2,FECHA_DESGLOSEN,"&lt;="&amp;BF$3,CLAVE_DESGLOSE,$A65)</f>
        <v>52184.160000000003</v>
      </c>
      <c r="BG65" s="13">
        <f>SUMIFS(SALIDAS_BIT,FECHA_BIT,"&gt;="&amp;BG$2,FECHA_BIT,"&lt;="&amp;BG$3,CLAVE_BIT,$A65)+SUMIFS(SALIDAS_BOV1,FECHA_BOV1,"&gt;="&amp;BG$2,FECHA_BOV1,"&lt;="&amp;BG$3,CLAVE_BOV1,$A65)+SUMIFS(SALIDAS_BOV2,FECHA_BOV2,"&gt;="&amp;BG$2,FECHA_BOV2,"&lt;="&amp;BG$3,CLAVE_BOV2,$A65)+SUMIFS(SALIDAS_BOV3,FECHA_BOV3,"&gt;="&amp;BG$2,FECHA_BOV3,"&lt;="&amp;BG$3,CLAVE_BOV3,$A65)+SUMIFS(SALIDAS_TC,FECHA_TC,"&gt;="&amp;BG$2,FECHA_TC,"&lt;="&amp;BG$3,CLAVE_TC,$A65)+SUMIFS(SALIDAS_COMB,FECHA_COMB,"&gt;="&amp;BG$2,FECHA_COMB,"&lt;="&amp;BG$3,CLAVE_COMB,$A65)+SUMIFS(SALIDAS_DES,FECHA_DESGLOSEN,"&gt;="&amp;BG$2,FECHA_DESGLOSEN,"&lt;="&amp;BG$3,CLAVE_DESGLOSE,$A65)</f>
        <v>0</v>
      </c>
      <c r="BH65" s="13">
        <f>SUMIFS(SALIDAS_BIT,FECHA_BIT,"&gt;="&amp;BH$2,FECHA_BIT,"&lt;="&amp;BH$3,CLAVE_BIT,$A65)+SUMIFS(SALIDAS_BOV1,FECHA_BOV1,"&gt;="&amp;BH$2,FECHA_BOV1,"&lt;="&amp;BH$3,CLAVE_BOV1,$A65)+SUMIFS(SALIDAS_BOV2,FECHA_BOV2,"&gt;="&amp;BH$2,FECHA_BOV2,"&lt;="&amp;BH$3,CLAVE_BOV2,$A65)+SUMIFS(SALIDAS_BOV3,FECHA_BOV3,"&gt;="&amp;BH$2,FECHA_BOV3,"&lt;="&amp;BH$3,CLAVE_BOV3,$A65)+SUMIFS(SALIDAS_TC,FECHA_TC,"&gt;="&amp;BH$2,FECHA_TC,"&lt;="&amp;BH$3,CLAVE_TC,$A65)+SUMIFS(SALIDAS_COMB,FECHA_COMB,"&gt;="&amp;BH$2,FECHA_COMB,"&lt;="&amp;BH$3,CLAVE_COMB,$A65)+SUMIFS(SALIDAS_DES,FECHA_DESGLOSEN,"&gt;="&amp;BH$2,FECHA_DESGLOSEN,"&lt;="&amp;BH$3,CLAVE_DESGLOSE,$A65)</f>
        <v>0</v>
      </c>
      <c r="BI65" s="13">
        <f t="shared" si="121"/>
        <v>52184.160000000003</v>
      </c>
      <c r="BJ65" s="68">
        <f t="shared" si="70"/>
        <v>-52184.160000000003</v>
      </c>
      <c r="BK65" s="268">
        <f t="shared" si="71"/>
        <v>0</v>
      </c>
      <c r="BL65" s="13">
        <f t="shared" si="47"/>
        <v>0</v>
      </c>
      <c r="BM65" s="13">
        <f>SUMIFS(SALIDAS_BIT,FECHA_BIT,"&gt;="&amp;BM$2,FECHA_BIT,"&lt;="&amp;BM$3,CLAVE_BIT,$A65)+SUMIFS(SALIDAS_BOV1,FECHA_BOV1,"&gt;="&amp;BM$2,FECHA_BOV1,"&lt;="&amp;BM$3,CLAVE_BOV1,$A65)+SUMIFS(SALIDAS_BOV2,FECHA_BOV2,"&gt;="&amp;BM$2,FECHA_BOV2,"&lt;="&amp;BM$3,CLAVE_BOV2,$A65)+SUMIFS(SALIDAS_BOV3,FECHA_BOV3,"&gt;="&amp;BM$2,FECHA_BOV3,"&lt;="&amp;BM$3,CLAVE_BOV3,$A65)+SUMIFS(SALIDAS_TC,FECHA_TC,"&gt;="&amp;BM$2,FECHA_TC,"&lt;="&amp;BM$3,CLAVE_TC,$A65)+SUMIFS(SALIDAS_COMB,FECHA_COMB,"&gt;="&amp;BM$2,FECHA_COMB,"&lt;="&amp;BM$3,CLAVE_COMB,$A65)+SUMIFS(SALIDAS_DES,FECHA_DESGLOSEN,"&gt;="&amp;BM$2,FECHA_DESGLOSEN,"&lt;="&amp;BM$3,CLAVE_DESGLOSE,$A65)</f>
        <v>30600</v>
      </c>
      <c r="BN65" s="13">
        <f>SUMIFS(SALIDAS_BIT,FECHA_BIT,"&gt;="&amp;BN$2,FECHA_BIT,"&lt;="&amp;BN$3,CLAVE_BIT,$A65)+SUMIFS(SALIDAS_BOV1,FECHA_BOV1,"&gt;="&amp;BN$2,FECHA_BOV1,"&lt;="&amp;BN$3,CLAVE_BOV1,$A65)+SUMIFS(SALIDAS_BOV2,FECHA_BOV2,"&gt;="&amp;BN$2,FECHA_BOV2,"&lt;="&amp;BN$3,CLAVE_BOV2,$A65)+SUMIFS(SALIDAS_BOV3,FECHA_BOV3,"&gt;="&amp;BN$2,FECHA_BOV3,"&lt;="&amp;BN$3,CLAVE_BOV3,$A65)+SUMIFS(SALIDAS_TC,FECHA_TC,"&gt;="&amp;BN$2,FECHA_TC,"&lt;="&amp;BN$3,CLAVE_TC,$A65)+SUMIFS(SALIDAS_COMB,FECHA_COMB,"&gt;="&amp;BN$2,FECHA_COMB,"&lt;="&amp;BN$3,CLAVE_COMB,$A65)+SUMIFS(SALIDAS_DES,FECHA_DESGLOSEN,"&gt;="&amp;BN$2,FECHA_DESGLOSEN,"&lt;="&amp;BN$3,CLAVE_DESGLOSE,$A65)</f>
        <v>0</v>
      </c>
      <c r="BO65" s="13">
        <f>SUMIFS(SALIDAS_BIT,FECHA_BIT,"&gt;="&amp;BO$2,FECHA_BIT,"&lt;="&amp;BO$3,CLAVE_BIT,$A65)+SUMIFS(SALIDAS_BOV1,FECHA_BOV1,"&gt;="&amp;BO$2,FECHA_BOV1,"&lt;="&amp;BO$3,CLAVE_BOV1,$A65)+SUMIFS(SALIDAS_BOV2,FECHA_BOV2,"&gt;="&amp;BO$2,FECHA_BOV2,"&lt;="&amp;BO$3,CLAVE_BOV2,$A65)+SUMIFS(SALIDAS_BOV3,FECHA_BOV3,"&gt;="&amp;BO$2,FECHA_BOV3,"&lt;="&amp;BO$3,CLAVE_BOV3,$A65)+SUMIFS(SALIDAS_TC,FECHA_TC,"&gt;="&amp;BO$2,FECHA_TC,"&lt;="&amp;BO$3,CLAVE_TC,$A65)+SUMIFS(SALIDAS_COMB,FECHA_COMB,"&gt;="&amp;BO$2,FECHA_COMB,"&lt;="&amp;BO$3,CLAVE_COMB,$A65)+SUMIFS(SALIDAS_DES,FECHA_DESGLOSEN,"&gt;="&amp;BO$2,FECHA_DESGLOSEN,"&lt;="&amp;BO$3,CLAVE_DESGLOSE,$A65)</f>
        <v>0</v>
      </c>
      <c r="BP65" s="13">
        <f>SUMIFS(SALIDAS_BIT,FECHA_BIT,"&gt;="&amp;BP$2,FECHA_BIT,"&lt;="&amp;BP$3,CLAVE_BIT,$A65)+SUMIFS(SALIDAS_BOV1,FECHA_BOV1,"&gt;="&amp;BP$2,FECHA_BOV1,"&lt;="&amp;BP$3,CLAVE_BOV1,$A65)+SUMIFS(SALIDAS_BOV2,FECHA_BOV2,"&gt;="&amp;BP$2,FECHA_BOV2,"&lt;="&amp;BP$3,CLAVE_BOV2,$A65)+SUMIFS(SALIDAS_BOV3,FECHA_BOV3,"&gt;="&amp;BP$2,FECHA_BOV3,"&lt;="&amp;BP$3,CLAVE_BOV3,$A65)+SUMIFS(SALIDAS_TC,FECHA_TC,"&gt;="&amp;BP$2,FECHA_TC,"&lt;="&amp;BP$3,CLAVE_TC,$A65)+SUMIFS(SALIDAS_COMB,FECHA_COMB,"&gt;="&amp;BP$2,FECHA_COMB,"&lt;="&amp;BP$3,CLAVE_COMB,$A65)+SUMIFS(SALIDAS_DES,FECHA_DESGLOSEN,"&gt;="&amp;BP$2,FECHA_DESGLOSEN,"&lt;="&amp;BP$3,CLAVE_DESGLOSE,$A65)</f>
        <v>0</v>
      </c>
      <c r="BQ65" s="13">
        <f>SUMIFS(SALIDAS_BIT,FECHA_BIT,"&gt;="&amp;BQ$2,FECHA_BIT,"&lt;="&amp;BQ$3,CLAVE_BIT,$A65)+SUMIFS(SALIDAS_BOV1,FECHA_BOV1,"&gt;="&amp;BQ$2,FECHA_BOV1,"&lt;="&amp;BQ$3,CLAVE_BOV1,$A65)+SUMIFS(SALIDAS_BOV2,FECHA_BOV2,"&gt;="&amp;BQ$2,FECHA_BOV2,"&lt;="&amp;BQ$3,CLAVE_BOV2,$A65)+SUMIFS(SALIDAS_BOV3,FECHA_BOV3,"&gt;="&amp;BQ$2,FECHA_BOV3,"&lt;="&amp;BQ$3,CLAVE_BOV3,$A65)+SUMIFS(SALIDAS_TC,FECHA_TC,"&gt;="&amp;BQ$2,FECHA_TC,"&lt;="&amp;BQ$3,CLAVE_TC,$A65)+SUMIFS(SALIDAS_COMB,FECHA_COMB,"&gt;="&amp;BQ$2,FECHA_COMB,"&lt;="&amp;BQ$3,CLAVE_COMB,$A65)+SUMIFS(SALIDAS_DES,FECHA_DESGLOSEN,"&gt;="&amp;BQ$2,FECHA_DESGLOSEN,"&lt;="&amp;BQ$3,CLAVE_DESGLOSE,$A65)</f>
        <v>0</v>
      </c>
      <c r="BR65" s="13">
        <f t="shared" si="128"/>
        <v>30600</v>
      </c>
      <c r="BS65" s="68">
        <f t="shared" si="72"/>
        <v>-30600</v>
      </c>
      <c r="BT65" s="268">
        <f t="shared" si="73"/>
        <v>0</v>
      </c>
      <c r="BU65" s="13">
        <f t="shared" si="49"/>
        <v>0</v>
      </c>
      <c r="BV65" s="13">
        <f t="shared" si="90"/>
        <v>0</v>
      </c>
      <c r="BW65" s="13">
        <f t="shared" si="90"/>
        <v>0</v>
      </c>
      <c r="BX65" s="13">
        <f t="shared" si="90"/>
        <v>0</v>
      </c>
      <c r="BY65" s="13">
        <f t="shared" si="90"/>
        <v>0</v>
      </c>
      <c r="BZ65" s="13">
        <f t="shared" si="129"/>
        <v>0</v>
      </c>
      <c r="CA65" s="68">
        <f t="shared" si="74"/>
        <v>0</v>
      </c>
      <c r="CB65" s="268">
        <f t="shared" si="75"/>
        <v>0</v>
      </c>
      <c r="CC65" s="13">
        <f t="shared" si="51"/>
        <v>0</v>
      </c>
      <c r="CD65" s="13">
        <f t="shared" si="91"/>
        <v>61200</v>
      </c>
      <c r="CE65" s="13">
        <f t="shared" si="91"/>
        <v>0</v>
      </c>
      <c r="CF65" s="13">
        <f t="shared" si="91"/>
        <v>0</v>
      </c>
      <c r="CG65" s="13">
        <f t="shared" si="91"/>
        <v>58668.04</v>
      </c>
      <c r="CH65" s="13">
        <f t="shared" si="130"/>
        <v>119868.04000000001</v>
      </c>
      <c r="CI65" s="68">
        <f t="shared" si="76"/>
        <v>-119868.04000000001</v>
      </c>
      <c r="CJ65" s="268">
        <f t="shared" si="77"/>
        <v>0</v>
      </c>
      <c r="CK65" s="13">
        <f t="shared" si="53"/>
        <v>0</v>
      </c>
      <c r="CL65" s="13">
        <f t="shared" si="92"/>
        <v>0</v>
      </c>
      <c r="CM65" s="13">
        <f t="shared" si="92"/>
        <v>0</v>
      </c>
      <c r="CN65" s="13">
        <f t="shared" si="92"/>
        <v>0</v>
      </c>
      <c r="CO65" s="13">
        <f t="shared" si="92"/>
        <v>0</v>
      </c>
      <c r="CP65" s="13">
        <f t="shared" si="92"/>
        <v>0</v>
      </c>
      <c r="CQ65" s="13">
        <f t="shared" si="131"/>
        <v>0</v>
      </c>
      <c r="CR65" s="68">
        <f t="shared" si="78"/>
        <v>0</v>
      </c>
      <c r="CS65" s="268">
        <f t="shared" si="79"/>
        <v>0</v>
      </c>
      <c r="CT65" s="68">
        <f t="shared" si="55"/>
        <v>32436</v>
      </c>
      <c r="CU65" s="13">
        <f>SUMIFS(SALIDAS_BIT,FECHA_BIT,"&gt;="&amp;CU$2,FECHA_BIT,"&lt;="&amp;CU$3,CLAVE_BIT,$A65)+SUMIFS(SALIDAS_BOV1,FECHA_BOV1,"&gt;="&amp;CU$2,FECHA_BOV1,"&lt;="&amp;CU$3,CLAVE_BOV1,$A65)+SUMIFS(SALIDAS_BOV2,FECHA_BOV2,"&gt;="&amp;CU$2,FECHA_BOV2,"&lt;="&amp;CU$3,CLAVE_BOV2,$A65)+SUMIFS(SALIDAS_BOV3,FECHA_BOV3,"&gt;="&amp;CU$2,FECHA_BOV3,"&lt;="&amp;CU$3,CLAVE_BOV3,$A65)+SUMIFS(SALIDAS_TC,FECHA_TC,"&gt;="&amp;CU$2,FECHA_TC,"&lt;="&amp;CU$3,CLAVE_TC,$A65)+SUMIFS(SALIDAS_COMB,FECHA_COMB,"&gt;="&amp;CU$2,FECHA_COMB,"&lt;="&amp;CU$3,CLAVE_COMB,$A65)+SUMIFS(SALIDAS_DES,FECHA_DESGLOSEN,"&gt;="&amp;CU$2,FECHA_DESGLOSEN,"&lt;="&amp;CU$3,CLAVE_DESGLOSE,$A65)</f>
        <v>0</v>
      </c>
      <c r="CV65" s="13">
        <f>SUMIFS(SALIDAS_BIT,FECHA_BIT,"&gt;="&amp;CV$2,FECHA_BIT,"&lt;="&amp;CV$3,CLAVE_BIT,$A65)+SUMIFS(SALIDAS_BOV1,FECHA_BOV1,"&gt;="&amp;CV$2,FECHA_BOV1,"&lt;="&amp;CV$3,CLAVE_BOV1,$A65)+SUMIFS(SALIDAS_BOV2,FECHA_BOV2,"&gt;="&amp;CV$2,FECHA_BOV2,"&lt;="&amp;CV$3,CLAVE_BOV2,$A65)+SUMIFS(SALIDAS_BOV3,FECHA_BOV3,"&gt;="&amp;CV$2,FECHA_BOV3,"&lt;="&amp;CV$3,CLAVE_BOV3,$A65)+SUMIFS(SALIDAS_TC,FECHA_TC,"&gt;="&amp;CV$2,FECHA_TC,"&lt;="&amp;CV$3,CLAVE_TC,$A65)+SUMIFS(SALIDAS_COMB,FECHA_COMB,"&gt;="&amp;CV$2,FECHA_COMB,"&lt;="&amp;CV$3,CLAVE_COMB,$A65)+SUMIFS(SALIDAS_DES,FECHA_DESGLOSEN,"&gt;="&amp;CV$2,FECHA_DESGLOSEN,"&lt;="&amp;CV$3,CLAVE_DESGLOSE,$A65)</f>
        <v>0</v>
      </c>
      <c r="CW65" s="13">
        <f>SUMIFS(SALIDAS_BIT,FECHA_BIT,"&gt;="&amp;CW$2,FECHA_BIT,"&lt;="&amp;CW$3,CLAVE_BIT,$A65)+SUMIFS(SALIDAS_BOV1,FECHA_BOV1,"&gt;="&amp;CW$2,FECHA_BOV1,"&lt;="&amp;CW$3,CLAVE_BOV1,$A65)+SUMIFS(SALIDAS_BOV2,FECHA_BOV2,"&gt;="&amp;CW$2,FECHA_BOV2,"&lt;="&amp;CW$3,CLAVE_BOV2,$A65)+SUMIFS(SALIDAS_BOV3,FECHA_BOV3,"&gt;="&amp;CW$2,FECHA_BOV3,"&lt;="&amp;CW$3,CLAVE_BOV3,$A65)+SUMIFS(SALIDAS_TC,FECHA_TC,"&gt;="&amp;CW$2,FECHA_TC,"&lt;="&amp;CW$3,CLAVE_TC,$A65)+SUMIFS(SALIDAS_COMB,FECHA_COMB,"&gt;="&amp;CW$2,FECHA_COMB,"&lt;="&amp;CW$3,CLAVE_COMB,$A65)+SUMIFS(SALIDAS_DES,FECHA_DESGLOSEN,"&gt;="&amp;CW$2,FECHA_DESGLOSEN,"&lt;="&amp;CW$3,CLAVE_DESGLOSE,$A65)</f>
        <v>0</v>
      </c>
      <c r="CX65" s="13">
        <f>SUMIFS(SALIDAS_BIT,FECHA_BIT,"&gt;="&amp;CX$2,FECHA_BIT,"&lt;="&amp;CX$3,CLAVE_BIT,$A65)+SUMIFS(SALIDAS_BOV1,FECHA_BOV1,"&gt;="&amp;CX$2,FECHA_BOV1,"&lt;="&amp;CX$3,CLAVE_BOV1,$A65)+SUMIFS(SALIDAS_BOV2,FECHA_BOV2,"&gt;="&amp;CX$2,FECHA_BOV2,"&lt;="&amp;CX$3,CLAVE_BOV2,$A65)+SUMIFS(SALIDAS_BOV3,FECHA_BOV3,"&gt;="&amp;CX$2,FECHA_BOV3,"&lt;="&amp;CX$3,CLAVE_BOV3,$A65)+SUMIFS(SALIDAS_TC,FECHA_TC,"&gt;="&amp;CX$2,FECHA_TC,"&lt;="&amp;CX$3,CLAVE_TC,$A65)+SUMIFS(SALIDAS_COMB,FECHA_COMB,"&gt;="&amp;CX$2,FECHA_COMB,"&lt;="&amp;CX$3,CLAVE_COMB,$A65)+SUMIFS(SALIDAS_DES,FECHA_DESGLOSEN,"&gt;="&amp;CX$2,FECHA_DESGLOSEN,"&lt;="&amp;CX$3,CLAVE_DESGLOSE,$A65)</f>
        <v>0</v>
      </c>
      <c r="CY65" s="13">
        <f>SUMIFS(SALIDAS_BIT,FECHA_BIT,"&gt;="&amp;CY$2,FECHA_BIT,"&lt;="&amp;CY$3,CLAVE_BIT,$A65)+SUMIFS(SALIDAS_BOV1,FECHA_BOV1,"&gt;="&amp;CY$2,FECHA_BOV1,"&lt;="&amp;CY$3,CLAVE_BOV1,$A65)+SUMIFS(SALIDAS_BOV2,FECHA_BOV2,"&gt;="&amp;CY$2,FECHA_BOV2,"&lt;="&amp;CY$3,CLAVE_BOV2,$A65)+SUMIFS(SALIDAS_BOV3,FECHA_BOV3,"&gt;="&amp;CY$2,FECHA_BOV3,"&lt;="&amp;CY$3,CLAVE_BOV3,$A65)+SUMIFS(SALIDAS_TC,FECHA_TC,"&gt;="&amp;CY$2,FECHA_TC,"&lt;="&amp;CY$3,CLAVE_TC,$A65)+SUMIFS(SALIDAS_COMB,FECHA_COMB,"&gt;="&amp;CY$2,FECHA_COMB,"&lt;="&amp;CY$3,CLAVE_COMB,$A65)+SUMIFS(SALIDAS_DES,FECHA_DESGLOSEN,"&gt;="&amp;CY$2,FECHA_DESGLOSEN,"&lt;="&amp;CY$3,CLAVE_DESGLOSE,$A65)</f>
        <v>0</v>
      </c>
      <c r="CZ65" s="68">
        <f t="shared" si="80"/>
        <v>32436</v>
      </c>
      <c r="DB65" s="17">
        <f>F65+N65+W65+AE65+AM65+AV65+BD65+BL65+BU65+CC65+CK65</f>
        <v>0</v>
      </c>
      <c r="DC65" s="17">
        <f>K65+T65+AB65+AJ65+AS65+BA65+BI65+BR65+BZ65+CH65+CQ65</f>
        <v>314492.2</v>
      </c>
    </row>
    <row r="66" spans="1:107" hidden="1">
      <c r="A66" s="12" t="str">
        <f t="shared" si="57"/>
        <v>FINANZASRENTASA3</v>
      </c>
      <c r="B66" s="12">
        <v>68</v>
      </c>
      <c r="C66" t="s">
        <v>23</v>
      </c>
      <c r="D66" s="14" t="s">
        <v>169</v>
      </c>
      <c r="E66" s="14" t="s">
        <v>90</v>
      </c>
      <c r="F66" s="259">
        <f t="shared" si="58"/>
        <v>54203.54</v>
      </c>
      <c r="G66" s="13">
        <f t="shared" si="123"/>
        <v>0</v>
      </c>
      <c r="H66" s="13">
        <f t="shared" si="123"/>
        <v>0</v>
      </c>
      <c r="I66" s="13">
        <f t="shared" si="123"/>
        <v>0</v>
      </c>
      <c r="J66" s="13">
        <f t="shared" si="123"/>
        <v>59122.42</v>
      </c>
      <c r="K66" s="13">
        <f t="shared" si="123"/>
        <v>59122.42</v>
      </c>
      <c r="L66" s="68">
        <f t="shared" si="59"/>
        <v>-4918.8799999999974</v>
      </c>
      <c r="M66" s="268">
        <f t="shared" si="60"/>
        <v>1.0907483164383729</v>
      </c>
      <c r="N66" s="13">
        <f t="shared" si="36"/>
        <v>54203.54</v>
      </c>
      <c r="O66" s="13">
        <f t="shared" si="124"/>
        <v>0</v>
      </c>
      <c r="P66" s="13">
        <f t="shared" si="124"/>
        <v>0</v>
      </c>
      <c r="Q66" s="13">
        <f t="shared" si="124"/>
        <v>0</v>
      </c>
      <c r="R66" s="13">
        <f t="shared" si="124"/>
        <v>0</v>
      </c>
      <c r="S66" s="13">
        <f t="shared" si="124"/>
        <v>76296.97</v>
      </c>
      <c r="T66" s="13">
        <f t="shared" si="124"/>
        <v>76296.97</v>
      </c>
      <c r="U66" s="68">
        <f t="shared" si="61"/>
        <v>-22093.43</v>
      </c>
      <c r="V66" s="268">
        <f t="shared" si="62"/>
        <v>1.4076012378527307</v>
      </c>
      <c r="W66" s="13">
        <f t="shared" si="38"/>
        <v>54203.54</v>
      </c>
      <c r="X66" s="13">
        <f t="shared" si="125"/>
        <v>0</v>
      </c>
      <c r="Y66" s="13">
        <f t="shared" si="125"/>
        <v>0</v>
      </c>
      <c r="Z66" s="13">
        <f t="shared" si="125"/>
        <v>0</v>
      </c>
      <c r="AA66" s="13">
        <f t="shared" si="125"/>
        <v>58145.99</v>
      </c>
      <c r="AB66" s="13">
        <f t="shared" si="125"/>
        <v>58145.99</v>
      </c>
      <c r="AC66" s="68">
        <f t="shared" si="63"/>
        <v>-3942.4499999999971</v>
      </c>
      <c r="AD66" s="268">
        <f t="shared" si="64"/>
        <v>1.0727341793543372</v>
      </c>
      <c r="AE66" s="13">
        <f t="shared" si="40"/>
        <v>54203.54</v>
      </c>
      <c r="AF66" s="13">
        <f t="shared" si="126"/>
        <v>0</v>
      </c>
      <c r="AG66" s="13">
        <f t="shared" si="126"/>
        <v>0</v>
      </c>
      <c r="AH66" s="13">
        <f t="shared" si="126"/>
        <v>0</v>
      </c>
      <c r="AI66" s="13">
        <f t="shared" si="126"/>
        <v>53796.97</v>
      </c>
      <c r="AJ66" s="13">
        <f t="shared" si="126"/>
        <v>53796.97</v>
      </c>
      <c r="AK66" s="68">
        <f t="shared" si="65"/>
        <v>406.56999999999971</v>
      </c>
      <c r="AL66" s="268">
        <f t="shared" si="66"/>
        <v>0.99249919839183931</v>
      </c>
      <c r="AM66" s="13">
        <f t="shared" si="42"/>
        <v>54203.54</v>
      </c>
      <c r="AN66" s="13">
        <f t="shared" si="127"/>
        <v>0</v>
      </c>
      <c r="AO66" s="13">
        <f t="shared" si="127"/>
        <v>0</v>
      </c>
      <c r="AP66" s="13">
        <f t="shared" si="127"/>
        <v>0</v>
      </c>
      <c r="AQ66" s="13">
        <f t="shared" si="127"/>
        <v>58145.99</v>
      </c>
      <c r="AR66" s="13">
        <f t="shared" si="127"/>
        <v>0</v>
      </c>
      <c r="AS66" s="13">
        <f t="shared" si="127"/>
        <v>58145.99</v>
      </c>
      <c r="AT66" s="68">
        <f>AM66-AS66</f>
        <v>-3942.4499999999971</v>
      </c>
      <c r="AU66" s="268">
        <f t="shared" si="67"/>
        <v>1.0727341793543372</v>
      </c>
      <c r="AV66" s="13">
        <f t="shared" si="44"/>
        <v>54203.54</v>
      </c>
      <c r="AW66" s="13">
        <f t="shared" si="119"/>
        <v>0</v>
      </c>
      <c r="AX66" s="13">
        <f t="shared" si="119"/>
        <v>0</v>
      </c>
      <c r="AY66" s="13">
        <f t="shared" si="119"/>
        <v>0</v>
      </c>
      <c r="AZ66" s="13">
        <f t="shared" si="119"/>
        <v>58145.99</v>
      </c>
      <c r="BA66" s="13">
        <f t="shared" si="120"/>
        <v>58145.99</v>
      </c>
      <c r="BB66" s="68">
        <f t="shared" si="68"/>
        <v>-3942.4499999999971</v>
      </c>
      <c r="BC66" s="268">
        <f t="shared" si="69"/>
        <v>1.0727341793543372</v>
      </c>
      <c r="BD66" s="13">
        <f t="shared" si="46"/>
        <v>54203.54</v>
      </c>
      <c r="BE66" s="13">
        <f>SUMIFS(SALIDAS_BIT,FECHA_BIT,"&gt;="&amp;BE$2,FECHA_BIT,"&lt;="&amp;BE$3,CLAVE_BIT,$A66)+SUMIFS(SALIDAS_BOV1,FECHA_BOV1,"&gt;="&amp;BE$2,FECHA_BOV1,"&lt;="&amp;BE$3,CLAVE_BOV1,$A66)+SUMIFS(SALIDAS_BOV2,FECHA_BOV2,"&gt;="&amp;BE$2,FECHA_BOV2,"&lt;="&amp;BE$3,CLAVE_BOV2,$A66)+SUMIFS(SALIDAS_BOV3,FECHA_BOV3,"&gt;="&amp;BE$2,FECHA_BOV3,"&lt;="&amp;BE$3,CLAVE_BOV3,$A66)+SUMIFS(SALIDAS_TC,FECHA_TC,"&gt;="&amp;BE$2,FECHA_TC,"&lt;="&amp;BE$3,CLAVE_TC,$A66)+SUMIFS(SALIDAS_COMB,FECHA_COMB,"&gt;="&amp;BE$2,FECHA_COMB,"&lt;="&amp;BE$3,CLAVE_COMB,$A66)+SUMIFS(SALIDAS_DES,FECHA_DESGLOSEN,"&gt;="&amp;BE$2,FECHA_DESGLOSEN,"&lt;="&amp;BE$3,CLAVE_DESGLOSE,$A66)</f>
        <v>0</v>
      </c>
      <c r="BF66" s="13">
        <f>SUMIFS(SALIDAS_BIT,FECHA_BIT,"&gt;="&amp;BF$2,FECHA_BIT,"&lt;="&amp;BF$3,CLAVE_BIT,$A66)+SUMIFS(SALIDAS_BOV1,FECHA_BOV1,"&gt;="&amp;BF$2,FECHA_BOV1,"&lt;="&amp;BF$3,CLAVE_BOV1,$A66)+SUMIFS(SALIDAS_BOV2,FECHA_BOV2,"&gt;="&amp;BF$2,FECHA_BOV2,"&lt;="&amp;BF$3,CLAVE_BOV2,$A66)+SUMIFS(SALIDAS_BOV3,FECHA_BOV3,"&gt;="&amp;BF$2,FECHA_BOV3,"&lt;="&amp;BF$3,CLAVE_BOV3,$A66)+SUMIFS(SALIDAS_TC,FECHA_TC,"&gt;="&amp;BF$2,FECHA_TC,"&lt;="&amp;BF$3,CLAVE_TC,$A66)+SUMIFS(SALIDAS_COMB,FECHA_COMB,"&gt;="&amp;BF$2,FECHA_COMB,"&lt;="&amp;BF$3,CLAVE_COMB,$A66)+SUMIFS(SALIDAS_DES,FECHA_DESGLOSEN,"&gt;="&amp;BF$2,FECHA_DESGLOSEN,"&lt;="&amp;BF$3,CLAVE_DESGLOSE,$A66)</f>
        <v>0</v>
      </c>
      <c r="BG66" s="13">
        <f>SUMIFS(SALIDAS_BIT,FECHA_BIT,"&gt;="&amp;BG$2,FECHA_BIT,"&lt;="&amp;BG$3,CLAVE_BIT,$A66)+SUMIFS(SALIDAS_BOV1,FECHA_BOV1,"&gt;="&amp;BG$2,FECHA_BOV1,"&lt;="&amp;BG$3,CLAVE_BOV1,$A66)+SUMIFS(SALIDAS_BOV2,FECHA_BOV2,"&gt;="&amp;BG$2,FECHA_BOV2,"&lt;="&amp;BG$3,CLAVE_BOV2,$A66)+SUMIFS(SALIDAS_BOV3,FECHA_BOV3,"&gt;="&amp;BG$2,FECHA_BOV3,"&lt;="&amp;BG$3,CLAVE_BOV3,$A66)+SUMIFS(SALIDAS_TC,FECHA_TC,"&gt;="&amp;BG$2,FECHA_TC,"&lt;="&amp;BG$3,CLAVE_TC,$A66)+SUMIFS(SALIDAS_COMB,FECHA_COMB,"&gt;="&amp;BG$2,FECHA_COMB,"&lt;="&amp;BG$3,CLAVE_COMB,$A66)+SUMIFS(SALIDAS_DES,FECHA_DESGLOSEN,"&gt;="&amp;BG$2,FECHA_DESGLOSEN,"&lt;="&amp;BG$3,CLAVE_DESGLOSE,$A66)</f>
        <v>0</v>
      </c>
      <c r="BH66" s="13">
        <f>SUMIFS(SALIDAS_BIT,FECHA_BIT,"&gt;="&amp;BH$2,FECHA_BIT,"&lt;="&amp;BH$3,CLAVE_BIT,$A66)+SUMIFS(SALIDAS_BOV1,FECHA_BOV1,"&gt;="&amp;BH$2,FECHA_BOV1,"&lt;="&amp;BH$3,CLAVE_BOV1,$A66)+SUMIFS(SALIDAS_BOV2,FECHA_BOV2,"&gt;="&amp;BH$2,FECHA_BOV2,"&lt;="&amp;BH$3,CLAVE_BOV2,$A66)+SUMIFS(SALIDAS_BOV3,FECHA_BOV3,"&gt;="&amp;BH$2,FECHA_BOV3,"&lt;="&amp;BH$3,CLAVE_BOV3,$A66)+SUMIFS(SALIDAS_TC,FECHA_TC,"&gt;="&amp;BH$2,FECHA_TC,"&lt;="&amp;BH$3,CLAVE_TC,$A66)+SUMIFS(SALIDAS_COMB,FECHA_COMB,"&gt;="&amp;BH$2,FECHA_COMB,"&lt;="&amp;BH$3,CLAVE_COMB,$A66)+SUMIFS(SALIDAS_DES,FECHA_DESGLOSEN,"&gt;="&amp;BH$2,FECHA_DESGLOSEN,"&lt;="&amp;BH$3,CLAVE_DESGLOSE,$A66)</f>
        <v>0</v>
      </c>
      <c r="BI66" s="13">
        <f t="shared" si="121"/>
        <v>0</v>
      </c>
      <c r="BJ66" s="68">
        <f t="shared" si="70"/>
        <v>54203.54</v>
      </c>
      <c r="BK66" s="268">
        <f t="shared" si="71"/>
        <v>0</v>
      </c>
      <c r="BL66" s="13">
        <f t="shared" si="47"/>
        <v>54203.54</v>
      </c>
      <c r="BM66" s="13">
        <f>SUMIFS(SALIDAS_BIT,FECHA_BIT,"&gt;="&amp;BM$2,FECHA_BIT,"&lt;="&amp;BM$3,CLAVE_BIT,$A66)+SUMIFS(SALIDAS_BOV1,FECHA_BOV1,"&gt;="&amp;BM$2,FECHA_BOV1,"&lt;="&amp;BM$3,CLAVE_BOV1,$A66)+SUMIFS(SALIDAS_BOV2,FECHA_BOV2,"&gt;="&amp;BM$2,FECHA_BOV2,"&lt;="&amp;BM$3,CLAVE_BOV2,$A66)+SUMIFS(SALIDAS_BOV3,FECHA_BOV3,"&gt;="&amp;BM$2,FECHA_BOV3,"&lt;="&amp;BM$3,CLAVE_BOV3,$A66)+SUMIFS(SALIDAS_TC,FECHA_TC,"&gt;="&amp;BM$2,FECHA_TC,"&lt;="&amp;BM$3,CLAVE_TC,$A66)+SUMIFS(SALIDAS_COMB,FECHA_COMB,"&gt;="&amp;BM$2,FECHA_COMB,"&lt;="&amp;BM$3,CLAVE_COMB,$A66)+SUMIFS(SALIDAS_DES,FECHA_DESGLOSEN,"&gt;="&amp;BM$2,FECHA_DESGLOSEN,"&lt;="&amp;BM$3,CLAVE_DESGLOSE,$A66)</f>
        <v>58145.99</v>
      </c>
      <c r="BN66" s="13">
        <f>SUMIFS(SALIDAS_BIT,FECHA_BIT,"&gt;="&amp;BN$2,FECHA_BIT,"&lt;="&amp;BN$3,CLAVE_BIT,$A66)+SUMIFS(SALIDAS_BOV1,FECHA_BOV1,"&gt;="&amp;BN$2,FECHA_BOV1,"&lt;="&amp;BN$3,CLAVE_BOV1,$A66)+SUMIFS(SALIDAS_BOV2,FECHA_BOV2,"&gt;="&amp;BN$2,FECHA_BOV2,"&lt;="&amp;BN$3,CLAVE_BOV2,$A66)+SUMIFS(SALIDAS_BOV3,FECHA_BOV3,"&gt;="&amp;BN$2,FECHA_BOV3,"&lt;="&amp;BN$3,CLAVE_BOV3,$A66)+SUMIFS(SALIDAS_TC,FECHA_TC,"&gt;="&amp;BN$2,FECHA_TC,"&lt;="&amp;BN$3,CLAVE_TC,$A66)+SUMIFS(SALIDAS_COMB,FECHA_COMB,"&gt;="&amp;BN$2,FECHA_COMB,"&lt;="&amp;BN$3,CLAVE_COMB,$A66)+SUMIFS(SALIDAS_DES,FECHA_DESGLOSEN,"&gt;="&amp;BN$2,FECHA_DESGLOSEN,"&lt;="&amp;BN$3,CLAVE_DESGLOSE,$A66)</f>
        <v>0</v>
      </c>
      <c r="BO66" s="13">
        <f>SUMIFS(SALIDAS_BIT,FECHA_BIT,"&gt;="&amp;BO$2,FECHA_BIT,"&lt;="&amp;BO$3,CLAVE_BIT,$A66)+SUMIFS(SALIDAS_BOV1,FECHA_BOV1,"&gt;="&amp;BO$2,FECHA_BOV1,"&lt;="&amp;BO$3,CLAVE_BOV1,$A66)+SUMIFS(SALIDAS_BOV2,FECHA_BOV2,"&gt;="&amp;BO$2,FECHA_BOV2,"&lt;="&amp;BO$3,CLAVE_BOV2,$A66)+SUMIFS(SALIDAS_BOV3,FECHA_BOV3,"&gt;="&amp;BO$2,FECHA_BOV3,"&lt;="&amp;BO$3,CLAVE_BOV3,$A66)+SUMIFS(SALIDAS_TC,FECHA_TC,"&gt;="&amp;BO$2,FECHA_TC,"&lt;="&amp;BO$3,CLAVE_TC,$A66)+SUMIFS(SALIDAS_COMB,FECHA_COMB,"&gt;="&amp;BO$2,FECHA_COMB,"&lt;="&amp;BO$3,CLAVE_COMB,$A66)+SUMIFS(SALIDAS_DES,FECHA_DESGLOSEN,"&gt;="&amp;BO$2,FECHA_DESGLOSEN,"&lt;="&amp;BO$3,CLAVE_DESGLOSE,$A66)</f>
        <v>0</v>
      </c>
      <c r="BP66" s="13">
        <f>SUMIFS(SALIDAS_BIT,FECHA_BIT,"&gt;="&amp;BP$2,FECHA_BIT,"&lt;="&amp;BP$3,CLAVE_BIT,$A66)+SUMIFS(SALIDAS_BOV1,FECHA_BOV1,"&gt;="&amp;BP$2,FECHA_BOV1,"&lt;="&amp;BP$3,CLAVE_BOV1,$A66)+SUMIFS(SALIDAS_BOV2,FECHA_BOV2,"&gt;="&amp;BP$2,FECHA_BOV2,"&lt;="&amp;BP$3,CLAVE_BOV2,$A66)+SUMIFS(SALIDAS_BOV3,FECHA_BOV3,"&gt;="&amp;BP$2,FECHA_BOV3,"&lt;="&amp;BP$3,CLAVE_BOV3,$A66)+SUMIFS(SALIDAS_TC,FECHA_TC,"&gt;="&amp;BP$2,FECHA_TC,"&lt;="&amp;BP$3,CLAVE_TC,$A66)+SUMIFS(SALIDAS_COMB,FECHA_COMB,"&gt;="&amp;BP$2,FECHA_COMB,"&lt;="&amp;BP$3,CLAVE_COMB,$A66)+SUMIFS(SALIDAS_DES,FECHA_DESGLOSEN,"&gt;="&amp;BP$2,FECHA_DESGLOSEN,"&lt;="&amp;BP$3,CLAVE_DESGLOSE,$A66)</f>
        <v>0</v>
      </c>
      <c r="BQ66" s="13">
        <f>SUMIFS(SALIDAS_BIT,FECHA_BIT,"&gt;="&amp;BQ$2,FECHA_BIT,"&lt;="&amp;BQ$3,CLAVE_BIT,$A66)+SUMIFS(SALIDAS_BOV1,FECHA_BOV1,"&gt;="&amp;BQ$2,FECHA_BOV1,"&lt;="&amp;BQ$3,CLAVE_BOV1,$A66)+SUMIFS(SALIDAS_BOV2,FECHA_BOV2,"&gt;="&amp;BQ$2,FECHA_BOV2,"&lt;="&amp;BQ$3,CLAVE_BOV2,$A66)+SUMIFS(SALIDAS_BOV3,FECHA_BOV3,"&gt;="&amp;BQ$2,FECHA_BOV3,"&lt;="&amp;BQ$3,CLAVE_BOV3,$A66)+SUMIFS(SALIDAS_TC,FECHA_TC,"&gt;="&amp;BQ$2,FECHA_TC,"&lt;="&amp;BQ$3,CLAVE_TC,$A66)+SUMIFS(SALIDAS_COMB,FECHA_COMB,"&gt;="&amp;BQ$2,FECHA_COMB,"&lt;="&amp;BQ$3,CLAVE_COMB,$A66)+SUMIFS(SALIDAS_DES,FECHA_DESGLOSEN,"&gt;="&amp;BQ$2,FECHA_DESGLOSEN,"&lt;="&amp;BQ$3,CLAVE_DESGLOSE,$A66)</f>
        <v>0</v>
      </c>
      <c r="BR66" s="13">
        <f t="shared" si="128"/>
        <v>58145.99</v>
      </c>
      <c r="BS66" s="68">
        <f t="shared" si="72"/>
        <v>-3942.4499999999971</v>
      </c>
      <c r="BT66" s="268">
        <f t="shared" si="73"/>
        <v>1.0727341793543372</v>
      </c>
      <c r="BU66" s="13">
        <f t="shared" si="49"/>
        <v>54203.54</v>
      </c>
      <c r="BV66" s="13">
        <f t="shared" si="90"/>
        <v>0</v>
      </c>
      <c r="BW66" s="13">
        <f t="shared" si="90"/>
        <v>0</v>
      </c>
      <c r="BX66" s="13">
        <f t="shared" si="90"/>
        <v>0</v>
      </c>
      <c r="BY66" s="13">
        <f t="shared" si="90"/>
        <v>58145.99</v>
      </c>
      <c r="BZ66" s="13">
        <f t="shared" si="129"/>
        <v>58145.99</v>
      </c>
      <c r="CA66" s="68">
        <f t="shared" si="74"/>
        <v>-3942.4499999999971</v>
      </c>
      <c r="CB66" s="268">
        <f t="shared" si="75"/>
        <v>1.0727341793543372</v>
      </c>
      <c r="CC66" s="13">
        <f t="shared" si="51"/>
        <v>54203.54</v>
      </c>
      <c r="CD66" s="13">
        <f t="shared" si="91"/>
        <v>0</v>
      </c>
      <c r="CE66" s="13">
        <f t="shared" si="91"/>
        <v>0</v>
      </c>
      <c r="CF66" s="13">
        <f t="shared" si="91"/>
        <v>0</v>
      </c>
      <c r="CG66" s="13">
        <f t="shared" si="91"/>
        <v>58145.99</v>
      </c>
      <c r="CH66" s="13">
        <f t="shared" si="130"/>
        <v>58145.99</v>
      </c>
      <c r="CI66" s="68">
        <f t="shared" si="76"/>
        <v>-3942.4499999999971</v>
      </c>
      <c r="CJ66" s="268">
        <f t="shared" si="77"/>
        <v>1.0727341793543372</v>
      </c>
      <c r="CK66" s="13">
        <f t="shared" si="53"/>
        <v>54203.54</v>
      </c>
      <c r="CL66" s="13">
        <f t="shared" si="92"/>
        <v>0</v>
      </c>
      <c r="CM66" s="13">
        <f t="shared" si="92"/>
        <v>58148.99</v>
      </c>
      <c r="CN66" s="13">
        <f t="shared" si="92"/>
        <v>0</v>
      </c>
      <c r="CO66" s="13">
        <f t="shared" si="92"/>
        <v>0</v>
      </c>
      <c r="CP66" s="13">
        <f t="shared" si="92"/>
        <v>0</v>
      </c>
      <c r="CQ66" s="13">
        <f t="shared" si="131"/>
        <v>58148.99</v>
      </c>
      <c r="CR66" s="68">
        <f t="shared" si="78"/>
        <v>-3945.4499999999971</v>
      </c>
      <c r="CS66" s="268">
        <f t="shared" si="79"/>
        <v>1.0727895262929321</v>
      </c>
      <c r="CT66" s="68">
        <f t="shared" si="55"/>
        <v>61000</v>
      </c>
      <c r="CU66" s="13">
        <f>SUMIFS(SALIDAS_BIT,FECHA_BIT,"&gt;="&amp;CU$2,FECHA_BIT,"&lt;="&amp;CU$3,CLAVE_BIT,$A66)+SUMIFS(SALIDAS_BOV1,FECHA_BOV1,"&gt;="&amp;CU$2,FECHA_BOV1,"&lt;="&amp;CU$3,CLAVE_BOV1,$A66)+SUMIFS(SALIDAS_BOV2,FECHA_BOV2,"&gt;="&amp;CU$2,FECHA_BOV2,"&lt;="&amp;CU$3,CLAVE_BOV2,$A66)+SUMIFS(SALIDAS_BOV3,FECHA_BOV3,"&gt;="&amp;CU$2,FECHA_BOV3,"&lt;="&amp;CU$3,CLAVE_BOV3,$A66)+SUMIFS(SALIDAS_TC,FECHA_TC,"&gt;="&amp;CU$2,FECHA_TC,"&lt;="&amp;CU$3,CLAVE_TC,$A66)+SUMIFS(SALIDAS_COMB,FECHA_COMB,"&gt;="&amp;CU$2,FECHA_COMB,"&lt;="&amp;CU$3,CLAVE_COMB,$A66)+SUMIFS(SALIDAS_DES,FECHA_DESGLOSEN,"&gt;="&amp;CU$2,FECHA_DESGLOSEN,"&lt;="&amp;CU$3,CLAVE_DESGLOSE,$A66)</f>
        <v>0</v>
      </c>
      <c r="CV66" s="13">
        <f>SUMIFS(SALIDAS_BIT,FECHA_BIT,"&gt;="&amp;CV$2,FECHA_BIT,"&lt;="&amp;CV$3,CLAVE_BIT,$A66)+SUMIFS(SALIDAS_BOV1,FECHA_BOV1,"&gt;="&amp;CV$2,FECHA_BOV1,"&lt;="&amp;CV$3,CLAVE_BOV1,$A66)+SUMIFS(SALIDAS_BOV2,FECHA_BOV2,"&gt;="&amp;CV$2,FECHA_BOV2,"&lt;="&amp;CV$3,CLAVE_BOV2,$A66)+SUMIFS(SALIDAS_BOV3,FECHA_BOV3,"&gt;="&amp;CV$2,FECHA_BOV3,"&lt;="&amp;CV$3,CLAVE_BOV3,$A66)+SUMIFS(SALIDAS_TC,FECHA_TC,"&gt;="&amp;CV$2,FECHA_TC,"&lt;="&amp;CV$3,CLAVE_TC,$A66)+SUMIFS(SALIDAS_COMB,FECHA_COMB,"&gt;="&amp;CV$2,FECHA_COMB,"&lt;="&amp;CV$3,CLAVE_COMB,$A66)+SUMIFS(SALIDAS_DES,FECHA_DESGLOSEN,"&gt;="&amp;CV$2,FECHA_DESGLOSEN,"&lt;="&amp;CV$3,CLAVE_DESGLOSE,$A66)</f>
        <v>0</v>
      </c>
      <c r="CW66" s="13">
        <f>SUMIFS(SALIDAS_BIT,FECHA_BIT,"&gt;="&amp;CW$2,FECHA_BIT,"&lt;="&amp;CW$3,CLAVE_BIT,$A66)+SUMIFS(SALIDAS_BOV1,FECHA_BOV1,"&gt;="&amp;CW$2,FECHA_BOV1,"&lt;="&amp;CW$3,CLAVE_BOV1,$A66)+SUMIFS(SALIDAS_BOV2,FECHA_BOV2,"&gt;="&amp;CW$2,FECHA_BOV2,"&lt;="&amp;CW$3,CLAVE_BOV2,$A66)+SUMIFS(SALIDAS_BOV3,FECHA_BOV3,"&gt;="&amp;CW$2,FECHA_BOV3,"&lt;="&amp;CW$3,CLAVE_BOV3,$A66)+SUMIFS(SALIDAS_TC,FECHA_TC,"&gt;="&amp;CW$2,FECHA_TC,"&lt;="&amp;CW$3,CLAVE_TC,$A66)+SUMIFS(SALIDAS_COMB,FECHA_COMB,"&gt;="&amp;CW$2,FECHA_COMB,"&lt;="&amp;CW$3,CLAVE_COMB,$A66)+SUMIFS(SALIDAS_DES,FECHA_DESGLOSEN,"&gt;="&amp;CW$2,FECHA_DESGLOSEN,"&lt;="&amp;CW$3,CLAVE_DESGLOSE,$A66)</f>
        <v>0</v>
      </c>
      <c r="CX66" s="13">
        <f>SUMIFS(SALIDAS_BIT,FECHA_BIT,"&gt;="&amp;CX$2,FECHA_BIT,"&lt;="&amp;CX$3,CLAVE_BIT,$A66)+SUMIFS(SALIDAS_BOV1,FECHA_BOV1,"&gt;="&amp;CX$2,FECHA_BOV1,"&lt;="&amp;CX$3,CLAVE_BOV1,$A66)+SUMIFS(SALIDAS_BOV2,FECHA_BOV2,"&gt;="&amp;CX$2,FECHA_BOV2,"&lt;="&amp;CX$3,CLAVE_BOV2,$A66)+SUMIFS(SALIDAS_BOV3,FECHA_BOV3,"&gt;="&amp;CX$2,FECHA_BOV3,"&lt;="&amp;CX$3,CLAVE_BOV3,$A66)+SUMIFS(SALIDAS_TC,FECHA_TC,"&gt;="&amp;CX$2,FECHA_TC,"&lt;="&amp;CX$3,CLAVE_TC,$A66)+SUMIFS(SALIDAS_COMB,FECHA_COMB,"&gt;="&amp;CX$2,FECHA_COMB,"&lt;="&amp;CX$3,CLAVE_COMB,$A66)+SUMIFS(SALIDAS_DES,FECHA_DESGLOSEN,"&gt;="&amp;CX$2,FECHA_DESGLOSEN,"&lt;="&amp;CX$3,CLAVE_DESGLOSE,$A66)</f>
        <v>58145.99</v>
      </c>
      <c r="CY66" s="13">
        <f>SUMIFS(SALIDAS_BIT,FECHA_BIT,"&gt;="&amp;CY$2,FECHA_BIT,"&lt;="&amp;CY$3,CLAVE_BIT,$A66)+SUMIFS(SALIDAS_BOV1,FECHA_BOV1,"&gt;="&amp;CY$2,FECHA_BOV1,"&lt;="&amp;CY$3,CLAVE_BOV1,$A66)+SUMIFS(SALIDAS_BOV2,FECHA_BOV2,"&gt;="&amp;CY$2,FECHA_BOV2,"&lt;="&amp;CY$3,CLAVE_BOV2,$A66)+SUMIFS(SALIDAS_BOV3,FECHA_BOV3,"&gt;="&amp;CY$2,FECHA_BOV3,"&lt;="&amp;CY$3,CLAVE_BOV3,$A66)+SUMIFS(SALIDAS_TC,FECHA_TC,"&gt;="&amp;CY$2,FECHA_TC,"&lt;="&amp;CY$3,CLAVE_TC,$A66)+SUMIFS(SALIDAS_COMB,FECHA_COMB,"&gt;="&amp;CY$2,FECHA_COMB,"&lt;="&amp;CY$3,CLAVE_COMB,$A66)+SUMIFS(SALIDAS_DES,FECHA_DESGLOSEN,"&gt;="&amp;CY$2,FECHA_DESGLOSEN,"&lt;="&amp;CY$3,CLAVE_DESGLOSE,$A66)</f>
        <v>58145.99</v>
      </c>
      <c r="CZ66" s="68">
        <f t="shared" si="80"/>
        <v>2854.010000000002</v>
      </c>
      <c r="DB66" s="17">
        <f>F66+N66+W66+AE66+AM66+AV66+BD66+BL66+BU66+CC66+CK66</f>
        <v>596238.93999999994</v>
      </c>
      <c r="DC66" s="17">
        <f>K66+T66+AB66+AJ66+AS66+BA66+BI66+BR66+BZ66+CH66+CQ66</f>
        <v>596241.29</v>
      </c>
    </row>
    <row r="67" spans="1:107" hidden="1">
      <c r="A67" s="12" t="str">
        <f t="shared" si="57"/>
        <v>FINANZASRENTASA4</v>
      </c>
      <c r="B67" s="12">
        <v>69</v>
      </c>
      <c r="C67" t="s">
        <v>23</v>
      </c>
      <c r="D67" s="12" t="s">
        <v>169</v>
      </c>
      <c r="E67" s="12" t="s">
        <v>91</v>
      </c>
      <c r="F67" s="259">
        <f t="shared" si="58"/>
        <v>32800</v>
      </c>
      <c r="G67" s="13">
        <f t="shared" ref="G67:K76" si="132">SUMIFS(SALIDAS_BIT,FECHA_BIT,"&gt;="&amp;G$2,FECHA_BIT,"&lt;="&amp;G$3,CLAVE_BIT,$A67)+SUMIFS(SALIDAS_BOV1,FECHA_BOV1,"&gt;="&amp;G$2,FECHA_BOV1,"&lt;="&amp;G$3,CLAVE_BOV1,$A67)+SUMIFS(SALIDAS_BOV2,FECHA_BOV2,"&gt;="&amp;G$2,FECHA_BOV2,"&lt;="&amp;G$3,CLAVE_BOV2,$A67)+SUMIFS(SALIDAS_BOV3,FECHA_BOV3,"&gt;="&amp;G$2,FECHA_BOV3,"&lt;="&amp;G$3,CLAVE_BOV3,$A67)+SUMIFS(SALIDAS_TC,FECHA_TC,"&gt;="&amp;G$2,FECHA_TC,"&lt;="&amp;G$3,CLAVE_TC,$A67)+SUMIFS(SALIDAS_COMB,FECHA_COMB,"&gt;="&amp;G$2,FECHA_COMB,"&lt;="&amp;G$3,CLAVE_COMB,$A67)+SUMIFS(SALIDAS_DES,FECHA_DESGLOSEN,"&gt;="&amp;G$2,FECHA_DESGLOSEN,"&lt;="&amp;G$3,CLAVE_DESGLOSE,$A67)</f>
        <v>0</v>
      </c>
      <c r="H67" s="13">
        <f t="shared" si="132"/>
        <v>0</v>
      </c>
      <c r="I67" s="13">
        <f t="shared" si="132"/>
        <v>0</v>
      </c>
      <c r="J67" s="13">
        <f t="shared" si="132"/>
        <v>58232</v>
      </c>
      <c r="K67" s="13">
        <f t="shared" si="132"/>
        <v>58232</v>
      </c>
      <c r="L67" s="68">
        <f t="shared" si="59"/>
        <v>-25432</v>
      </c>
      <c r="M67" s="268">
        <f t="shared" si="60"/>
        <v>1.7753658536585366</v>
      </c>
      <c r="N67" s="13">
        <f t="shared" si="36"/>
        <v>32800</v>
      </c>
      <c r="O67" s="13">
        <f t="shared" ref="O67:T76" si="133">SUMIFS(SALIDAS_BIT,FECHA_BIT,"&gt;="&amp;O$2,FECHA_BIT,"&lt;="&amp;O$3,CLAVE_BIT,$A67)+SUMIFS(SALIDAS_BOV1,FECHA_BOV1,"&gt;="&amp;O$2,FECHA_BOV1,"&lt;="&amp;O$3,CLAVE_BOV1,$A67)+SUMIFS(SALIDAS_BOV2,FECHA_BOV2,"&gt;="&amp;O$2,FECHA_BOV2,"&lt;="&amp;O$3,CLAVE_BOV2,$A67)+SUMIFS(SALIDAS_BOV3,FECHA_BOV3,"&gt;="&amp;O$2,FECHA_BOV3,"&lt;="&amp;O$3,CLAVE_BOV3,$A67)+SUMIFS(SALIDAS_TC,FECHA_TC,"&gt;="&amp;O$2,FECHA_TC,"&lt;="&amp;O$3,CLAVE_TC,$A67)+SUMIFS(SALIDAS_COMB,FECHA_COMB,"&gt;="&amp;O$2,FECHA_COMB,"&lt;="&amp;O$3,CLAVE_COMB,$A67)+SUMIFS(SALIDAS_DES,FECHA_DESGLOSEN,"&gt;="&amp;O$2,FECHA_DESGLOSEN,"&lt;="&amp;O$3,CLAVE_DESGLOSE,$A67)</f>
        <v>0</v>
      </c>
      <c r="P67" s="13">
        <f t="shared" si="133"/>
        <v>0</v>
      </c>
      <c r="Q67" s="13">
        <f t="shared" si="133"/>
        <v>0</v>
      </c>
      <c r="R67" s="13">
        <f t="shared" si="133"/>
        <v>0</v>
      </c>
      <c r="S67" s="13">
        <f t="shared" si="133"/>
        <v>37800</v>
      </c>
      <c r="T67" s="13">
        <f t="shared" si="133"/>
        <v>37800</v>
      </c>
      <c r="U67" s="68">
        <f t="shared" si="61"/>
        <v>-5000</v>
      </c>
      <c r="V67" s="268">
        <f t="shared" si="62"/>
        <v>1.1524390243902438</v>
      </c>
      <c r="W67" s="13">
        <f t="shared" si="38"/>
        <v>32800</v>
      </c>
      <c r="X67" s="13">
        <f t="shared" ref="X67:AB76" si="134">SUMIFS(SALIDAS_BIT,FECHA_BIT,"&gt;="&amp;X$2,FECHA_BIT,"&lt;="&amp;X$3,CLAVE_BIT,$A67)+SUMIFS(SALIDAS_BOV1,FECHA_BOV1,"&gt;="&amp;X$2,FECHA_BOV1,"&lt;="&amp;X$3,CLAVE_BOV1,$A67)+SUMIFS(SALIDAS_BOV2,FECHA_BOV2,"&gt;="&amp;X$2,FECHA_BOV2,"&lt;="&amp;X$3,CLAVE_BOV2,$A67)+SUMIFS(SALIDAS_BOV3,FECHA_BOV3,"&gt;="&amp;X$2,FECHA_BOV3,"&lt;="&amp;X$3,CLAVE_BOV3,$A67)+SUMIFS(SALIDAS_TC,FECHA_TC,"&gt;="&amp;X$2,FECHA_TC,"&lt;="&amp;X$3,CLAVE_TC,$A67)+SUMIFS(SALIDAS_COMB,FECHA_COMB,"&gt;="&amp;X$2,FECHA_COMB,"&lt;="&amp;X$3,CLAVE_COMB,$A67)+SUMIFS(SALIDAS_DES,FECHA_DESGLOSEN,"&gt;="&amp;X$2,FECHA_DESGLOSEN,"&lt;="&amp;X$3,CLAVE_DESGLOSE,$A67)</f>
        <v>23000</v>
      </c>
      <c r="Y67" s="13">
        <f t="shared" si="134"/>
        <v>0</v>
      </c>
      <c r="Z67" s="13">
        <f t="shared" si="134"/>
        <v>0</v>
      </c>
      <c r="AA67" s="13">
        <f t="shared" si="134"/>
        <v>32800</v>
      </c>
      <c r="AB67" s="13">
        <f t="shared" si="134"/>
        <v>55800</v>
      </c>
      <c r="AC67" s="68">
        <f t="shared" si="63"/>
        <v>-23000</v>
      </c>
      <c r="AD67" s="268">
        <f t="shared" si="64"/>
        <v>1.7012195121951219</v>
      </c>
      <c r="AE67" s="13">
        <f t="shared" si="40"/>
        <v>32800</v>
      </c>
      <c r="AF67" s="13">
        <f t="shared" ref="AF67:AJ76" si="135">SUMIFS(SALIDAS_BIT,FECHA_BIT,"&gt;="&amp;AF$2,FECHA_BIT,"&lt;="&amp;AF$3,CLAVE_BIT,$A67)+SUMIFS(SALIDAS_BOV1,FECHA_BOV1,"&gt;="&amp;AF$2,FECHA_BOV1,"&lt;="&amp;AF$3,CLAVE_BOV1,$A67)+SUMIFS(SALIDAS_BOV2,FECHA_BOV2,"&gt;="&amp;AF$2,FECHA_BOV2,"&lt;="&amp;AF$3,CLAVE_BOV2,$A67)+SUMIFS(SALIDAS_BOV3,FECHA_BOV3,"&gt;="&amp;AF$2,FECHA_BOV3,"&lt;="&amp;AF$3,CLAVE_BOV3,$A67)+SUMIFS(SALIDAS_TC,FECHA_TC,"&gt;="&amp;AF$2,FECHA_TC,"&lt;="&amp;AF$3,CLAVE_TC,$A67)+SUMIFS(SALIDAS_COMB,FECHA_COMB,"&gt;="&amp;AF$2,FECHA_COMB,"&lt;="&amp;AF$3,CLAVE_COMB,$A67)+SUMIFS(SALIDAS_DES,FECHA_DESGLOSEN,"&gt;="&amp;AF$2,FECHA_DESGLOSEN,"&lt;="&amp;AF$3,CLAVE_DESGLOSE,$A67)</f>
        <v>0</v>
      </c>
      <c r="AG67" s="13">
        <f t="shared" si="135"/>
        <v>0</v>
      </c>
      <c r="AH67" s="13">
        <f t="shared" si="135"/>
        <v>0</v>
      </c>
      <c r="AI67" s="13">
        <f t="shared" si="135"/>
        <v>32800</v>
      </c>
      <c r="AJ67" s="13">
        <f t="shared" si="135"/>
        <v>32800</v>
      </c>
      <c r="AK67" s="68">
        <f t="shared" si="65"/>
        <v>0</v>
      </c>
      <c r="AL67" s="268">
        <f t="shared" si="66"/>
        <v>1</v>
      </c>
      <c r="AM67" s="13">
        <f t="shared" si="42"/>
        <v>32800</v>
      </c>
      <c r="AN67" s="13">
        <f t="shared" ref="AN67:AS76" si="136">SUMIFS(SALIDAS_BIT,FECHA_BIT,"&gt;="&amp;AN$2,FECHA_BIT,"&lt;="&amp;AN$3,CLAVE_BIT,$A67)+SUMIFS(SALIDAS_BOV1,FECHA_BOV1,"&gt;="&amp;AN$2,FECHA_BOV1,"&lt;="&amp;AN$3,CLAVE_BOV1,$A67)+SUMIFS(SALIDAS_BOV2,FECHA_BOV2,"&gt;="&amp;AN$2,FECHA_BOV2,"&lt;="&amp;AN$3,CLAVE_BOV2,$A67)+SUMIFS(SALIDAS_BOV3,FECHA_BOV3,"&gt;="&amp;AN$2,FECHA_BOV3,"&lt;="&amp;AN$3,CLAVE_BOV3,$A67)+SUMIFS(SALIDAS_TC,FECHA_TC,"&gt;="&amp;AN$2,FECHA_TC,"&lt;="&amp;AN$3,CLAVE_TC,$A67)+SUMIFS(SALIDAS_COMB,FECHA_COMB,"&gt;="&amp;AN$2,FECHA_COMB,"&lt;="&amp;AN$3,CLAVE_COMB,$A67)+SUMIFS(SALIDAS_DES,FECHA_DESGLOSEN,"&gt;="&amp;AN$2,FECHA_DESGLOSEN,"&lt;="&amp;AN$3,CLAVE_DESGLOSE,$A67)</f>
        <v>30000</v>
      </c>
      <c r="AO67" s="13">
        <f t="shared" si="136"/>
        <v>0</v>
      </c>
      <c r="AP67" s="13">
        <f t="shared" si="136"/>
        <v>0</v>
      </c>
      <c r="AQ67" s="13">
        <f t="shared" si="136"/>
        <v>63800</v>
      </c>
      <c r="AR67" s="13">
        <f t="shared" si="136"/>
        <v>0</v>
      </c>
      <c r="AS67" s="13">
        <f t="shared" si="136"/>
        <v>93800</v>
      </c>
      <c r="AT67" s="68">
        <f>AM67-AS67</f>
        <v>-61000</v>
      </c>
      <c r="AU67" s="268">
        <f t="shared" si="67"/>
        <v>2.8597560975609757</v>
      </c>
      <c r="AV67" s="13">
        <f t="shared" si="44"/>
        <v>32800</v>
      </c>
      <c r="AW67" s="13">
        <f t="shared" si="119"/>
        <v>0</v>
      </c>
      <c r="AX67" s="13">
        <f t="shared" si="119"/>
        <v>0</v>
      </c>
      <c r="AY67" s="13">
        <f t="shared" si="119"/>
        <v>0</v>
      </c>
      <c r="AZ67" s="13">
        <f t="shared" si="119"/>
        <v>32800</v>
      </c>
      <c r="BA67" s="13">
        <f t="shared" si="120"/>
        <v>32800</v>
      </c>
      <c r="BB67" s="68">
        <f t="shared" si="68"/>
        <v>0</v>
      </c>
      <c r="BC67" s="268">
        <f t="shared" si="69"/>
        <v>1</v>
      </c>
      <c r="BD67" s="13">
        <f t="shared" si="46"/>
        <v>32800</v>
      </c>
      <c r="BE67" s="13">
        <f>SUMIFS(SALIDAS_BIT,FECHA_BIT,"&gt;="&amp;BE$2,FECHA_BIT,"&lt;="&amp;BE$3,CLAVE_BIT,$A67)+SUMIFS(SALIDAS_BOV1,FECHA_BOV1,"&gt;="&amp;BE$2,FECHA_BOV1,"&lt;="&amp;BE$3,CLAVE_BOV1,$A67)+SUMIFS(SALIDAS_BOV2,FECHA_BOV2,"&gt;="&amp;BE$2,FECHA_BOV2,"&lt;="&amp;BE$3,CLAVE_BOV2,$A67)+SUMIFS(SALIDAS_BOV3,FECHA_BOV3,"&gt;="&amp;BE$2,FECHA_BOV3,"&lt;="&amp;BE$3,CLAVE_BOV3,$A67)+SUMIFS(SALIDAS_TC,FECHA_TC,"&gt;="&amp;BE$2,FECHA_TC,"&lt;="&amp;BE$3,CLAVE_TC,$A67)+SUMIFS(SALIDAS_COMB,FECHA_COMB,"&gt;="&amp;BE$2,FECHA_COMB,"&lt;="&amp;BE$3,CLAVE_COMB,$A67)+SUMIFS(SALIDAS_DES,FECHA_DESGLOSEN,"&gt;="&amp;BE$2,FECHA_DESGLOSEN,"&lt;="&amp;BE$3,CLAVE_DESGLOSE,$A67)</f>
        <v>0</v>
      </c>
      <c r="BF67" s="13">
        <f>SUMIFS(SALIDAS_BIT,FECHA_BIT,"&gt;="&amp;BF$2,FECHA_BIT,"&lt;="&amp;BF$3,CLAVE_BIT,$A67)+SUMIFS(SALIDAS_BOV1,FECHA_BOV1,"&gt;="&amp;BF$2,FECHA_BOV1,"&lt;="&amp;BF$3,CLAVE_BOV1,$A67)+SUMIFS(SALIDAS_BOV2,FECHA_BOV2,"&gt;="&amp;BF$2,FECHA_BOV2,"&lt;="&amp;BF$3,CLAVE_BOV2,$A67)+SUMIFS(SALIDAS_BOV3,FECHA_BOV3,"&gt;="&amp;BF$2,FECHA_BOV3,"&lt;="&amp;BF$3,CLAVE_BOV3,$A67)+SUMIFS(SALIDAS_TC,FECHA_TC,"&gt;="&amp;BF$2,FECHA_TC,"&lt;="&amp;BF$3,CLAVE_TC,$A67)+SUMIFS(SALIDAS_COMB,FECHA_COMB,"&gt;="&amp;BF$2,FECHA_COMB,"&lt;="&amp;BF$3,CLAVE_COMB,$A67)+SUMIFS(SALIDAS_DES,FECHA_DESGLOSEN,"&gt;="&amp;BF$2,FECHA_DESGLOSEN,"&lt;="&amp;BF$3,CLAVE_DESGLOSE,$A67)</f>
        <v>0</v>
      </c>
      <c r="BG67" s="13">
        <f>SUMIFS(SALIDAS_BIT,FECHA_BIT,"&gt;="&amp;BG$2,FECHA_BIT,"&lt;="&amp;BG$3,CLAVE_BIT,$A67)+SUMIFS(SALIDAS_BOV1,FECHA_BOV1,"&gt;="&amp;BG$2,FECHA_BOV1,"&lt;="&amp;BG$3,CLAVE_BOV1,$A67)+SUMIFS(SALIDAS_BOV2,FECHA_BOV2,"&gt;="&amp;BG$2,FECHA_BOV2,"&lt;="&amp;BG$3,CLAVE_BOV2,$A67)+SUMIFS(SALIDAS_BOV3,FECHA_BOV3,"&gt;="&amp;BG$2,FECHA_BOV3,"&lt;="&amp;BG$3,CLAVE_BOV3,$A67)+SUMIFS(SALIDAS_TC,FECHA_TC,"&gt;="&amp;BG$2,FECHA_TC,"&lt;="&amp;BG$3,CLAVE_TC,$A67)+SUMIFS(SALIDAS_COMB,FECHA_COMB,"&gt;="&amp;BG$2,FECHA_COMB,"&lt;="&amp;BG$3,CLAVE_COMB,$A67)+SUMIFS(SALIDAS_DES,FECHA_DESGLOSEN,"&gt;="&amp;BG$2,FECHA_DESGLOSEN,"&lt;="&amp;BG$3,CLAVE_DESGLOSE,$A67)</f>
        <v>0</v>
      </c>
      <c r="BH67" s="13">
        <f>SUMIFS(SALIDAS_BIT,FECHA_BIT,"&gt;="&amp;BH$2,FECHA_BIT,"&lt;="&amp;BH$3,CLAVE_BIT,$A67)+SUMIFS(SALIDAS_BOV1,FECHA_BOV1,"&gt;="&amp;BH$2,FECHA_BOV1,"&lt;="&amp;BH$3,CLAVE_BOV1,$A67)+SUMIFS(SALIDAS_BOV2,FECHA_BOV2,"&gt;="&amp;BH$2,FECHA_BOV2,"&lt;="&amp;BH$3,CLAVE_BOV2,$A67)+SUMIFS(SALIDAS_BOV3,FECHA_BOV3,"&gt;="&amp;BH$2,FECHA_BOV3,"&lt;="&amp;BH$3,CLAVE_BOV3,$A67)+SUMIFS(SALIDAS_TC,FECHA_TC,"&gt;="&amp;BH$2,FECHA_TC,"&lt;="&amp;BH$3,CLAVE_TC,$A67)+SUMIFS(SALIDAS_COMB,FECHA_COMB,"&gt;="&amp;BH$2,FECHA_COMB,"&lt;="&amp;BH$3,CLAVE_COMB,$A67)+SUMIFS(SALIDAS_DES,FECHA_DESGLOSEN,"&gt;="&amp;BH$2,FECHA_DESGLOSEN,"&lt;="&amp;BH$3,CLAVE_DESGLOSE,$A67)</f>
        <v>32800</v>
      </c>
      <c r="BI67" s="13">
        <f t="shared" si="121"/>
        <v>32800</v>
      </c>
      <c r="BJ67" s="68">
        <f t="shared" si="70"/>
        <v>0</v>
      </c>
      <c r="BK67" s="268">
        <f t="shared" si="71"/>
        <v>1</v>
      </c>
      <c r="BL67" s="13">
        <f t="shared" si="47"/>
        <v>32800</v>
      </c>
      <c r="BM67" s="13">
        <f>SUMIFS(SALIDAS_BIT,FECHA_BIT,"&gt;="&amp;BM$2,FECHA_BIT,"&lt;="&amp;BM$3,CLAVE_BIT,$A67)+SUMIFS(SALIDAS_BOV1,FECHA_BOV1,"&gt;="&amp;BM$2,FECHA_BOV1,"&lt;="&amp;BM$3,CLAVE_BOV1,$A67)+SUMIFS(SALIDAS_BOV2,FECHA_BOV2,"&gt;="&amp;BM$2,FECHA_BOV2,"&lt;="&amp;BM$3,CLAVE_BOV2,$A67)+SUMIFS(SALIDAS_BOV3,FECHA_BOV3,"&gt;="&amp;BM$2,FECHA_BOV3,"&lt;="&amp;BM$3,CLAVE_BOV3,$A67)+SUMIFS(SALIDAS_TC,FECHA_TC,"&gt;="&amp;BM$2,FECHA_TC,"&lt;="&amp;BM$3,CLAVE_TC,$A67)+SUMIFS(SALIDAS_COMB,FECHA_COMB,"&gt;="&amp;BM$2,FECHA_COMB,"&lt;="&amp;BM$3,CLAVE_COMB,$A67)+SUMIFS(SALIDAS_DES,FECHA_DESGLOSEN,"&gt;="&amp;BM$2,FECHA_DESGLOSEN,"&lt;="&amp;BM$3,CLAVE_DESGLOSE,$A67)</f>
        <v>0</v>
      </c>
      <c r="BN67" s="13">
        <f>SUMIFS(SALIDAS_BIT,FECHA_BIT,"&gt;="&amp;BN$2,FECHA_BIT,"&lt;="&amp;BN$3,CLAVE_BIT,$A67)+SUMIFS(SALIDAS_BOV1,FECHA_BOV1,"&gt;="&amp;BN$2,FECHA_BOV1,"&lt;="&amp;BN$3,CLAVE_BOV1,$A67)+SUMIFS(SALIDAS_BOV2,FECHA_BOV2,"&gt;="&amp;BN$2,FECHA_BOV2,"&lt;="&amp;BN$3,CLAVE_BOV2,$A67)+SUMIFS(SALIDAS_BOV3,FECHA_BOV3,"&gt;="&amp;BN$2,FECHA_BOV3,"&lt;="&amp;BN$3,CLAVE_BOV3,$A67)+SUMIFS(SALIDAS_TC,FECHA_TC,"&gt;="&amp;BN$2,FECHA_TC,"&lt;="&amp;BN$3,CLAVE_TC,$A67)+SUMIFS(SALIDAS_COMB,FECHA_COMB,"&gt;="&amp;BN$2,FECHA_COMB,"&lt;="&amp;BN$3,CLAVE_COMB,$A67)+SUMIFS(SALIDAS_DES,FECHA_DESGLOSEN,"&gt;="&amp;BN$2,FECHA_DESGLOSEN,"&lt;="&amp;BN$3,CLAVE_DESGLOSE,$A67)</f>
        <v>0</v>
      </c>
      <c r="BO67" s="13">
        <f>SUMIFS(SALIDAS_BIT,FECHA_BIT,"&gt;="&amp;BO$2,FECHA_BIT,"&lt;="&amp;BO$3,CLAVE_BIT,$A67)+SUMIFS(SALIDAS_BOV1,FECHA_BOV1,"&gt;="&amp;BO$2,FECHA_BOV1,"&lt;="&amp;BO$3,CLAVE_BOV1,$A67)+SUMIFS(SALIDAS_BOV2,FECHA_BOV2,"&gt;="&amp;BO$2,FECHA_BOV2,"&lt;="&amp;BO$3,CLAVE_BOV2,$A67)+SUMIFS(SALIDAS_BOV3,FECHA_BOV3,"&gt;="&amp;BO$2,FECHA_BOV3,"&lt;="&amp;BO$3,CLAVE_BOV3,$A67)+SUMIFS(SALIDAS_TC,FECHA_TC,"&gt;="&amp;BO$2,FECHA_TC,"&lt;="&amp;BO$3,CLAVE_TC,$A67)+SUMIFS(SALIDAS_COMB,FECHA_COMB,"&gt;="&amp;BO$2,FECHA_COMB,"&lt;="&amp;BO$3,CLAVE_COMB,$A67)+SUMIFS(SALIDAS_DES,FECHA_DESGLOSEN,"&gt;="&amp;BO$2,FECHA_DESGLOSEN,"&lt;="&amp;BO$3,CLAVE_DESGLOSE,$A67)</f>
        <v>0</v>
      </c>
      <c r="BP67" s="13">
        <f>SUMIFS(SALIDAS_BIT,FECHA_BIT,"&gt;="&amp;BP$2,FECHA_BIT,"&lt;="&amp;BP$3,CLAVE_BIT,$A67)+SUMIFS(SALIDAS_BOV1,FECHA_BOV1,"&gt;="&amp;BP$2,FECHA_BOV1,"&lt;="&amp;BP$3,CLAVE_BOV1,$A67)+SUMIFS(SALIDAS_BOV2,FECHA_BOV2,"&gt;="&amp;BP$2,FECHA_BOV2,"&lt;="&amp;BP$3,CLAVE_BOV2,$A67)+SUMIFS(SALIDAS_BOV3,FECHA_BOV3,"&gt;="&amp;BP$2,FECHA_BOV3,"&lt;="&amp;BP$3,CLAVE_BOV3,$A67)+SUMIFS(SALIDAS_TC,FECHA_TC,"&gt;="&amp;BP$2,FECHA_TC,"&lt;="&amp;BP$3,CLAVE_TC,$A67)+SUMIFS(SALIDAS_COMB,FECHA_COMB,"&gt;="&amp;BP$2,FECHA_COMB,"&lt;="&amp;BP$3,CLAVE_COMB,$A67)+SUMIFS(SALIDAS_DES,FECHA_DESGLOSEN,"&gt;="&amp;BP$2,FECHA_DESGLOSEN,"&lt;="&amp;BP$3,CLAVE_DESGLOSE,$A67)</f>
        <v>0</v>
      </c>
      <c r="BQ67" s="13">
        <f>SUMIFS(SALIDAS_BIT,FECHA_BIT,"&gt;="&amp;BQ$2,FECHA_BIT,"&lt;="&amp;BQ$3,CLAVE_BIT,$A67)+SUMIFS(SALIDAS_BOV1,FECHA_BOV1,"&gt;="&amp;BQ$2,FECHA_BOV1,"&lt;="&amp;BQ$3,CLAVE_BOV1,$A67)+SUMIFS(SALIDAS_BOV2,FECHA_BOV2,"&gt;="&amp;BQ$2,FECHA_BOV2,"&lt;="&amp;BQ$3,CLAVE_BOV2,$A67)+SUMIFS(SALIDAS_BOV3,FECHA_BOV3,"&gt;="&amp;BQ$2,FECHA_BOV3,"&lt;="&amp;BQ$3,CLAVE_BOV3,$A67)+SUMIFS(SALIDAS_TC,FECHA_TC,"&gt;="&amp;BQ$2,FECHA_TC,"&lt;="&amp;BQ$3,CLAVE_TC,$A67)+SUMIFS(SALIDAS_COMB,FECHA_COMB,"&gt;="&amp;BQ$2,FECHA_COMB,"&lt;="&amp;BQ$3,CLAVE_COMB,$A67)+SUMIFS(SALIDAS_DES,FECHA_DESGLOSEN,"&gt;="&amp;BQ$2,FECHA_DESGLOSEN,"&lt;="&amp;BQ$3,CLAVE_DESGLOSE,$A67)</f>
        <v>32800</v>
      </c>
      <c r="BR67" s="13">
        <f t="shared" ref="BM67:BR76" si="137">SUMIFS(SALIDAS_BIT,FECHA_BIT,"&gt;="&amp;BR$2,FECHA_BIT,"&lt;="&amp;BR$3,CLAVE_BIT,$A67)+SUMIFS(SALIDAS_BOV1,FECHA_BOV1,"&gt;="&amp;BR$2,FECHA_BOV1,"&lt;="&amp;BR$3,CLAVE_BOV1,$A67)+SUMIFS(SALIDAS_BOV2,FECHA_BOV2,"&gt;="&amp;BR$2,FECHA_BOV2,"&lt;="&amp;BR$3,CLAVE_BOV2,$A67)+SUMIFS(SALIDAS_BOV3,FECHA_BOV3,"&gt;="&amp;BR$2,FECHA_BOV3,"&lt;="&amp;BR$3,CLAVE_BOV3,$A67)+SUMIFS(SALIDAS_TC,FECHA_TC,"&gt;="&amp;BR$2,FECHA_TC,"&lt;="&amp;BR$3,CLAVE_TC,$A67)+SUMIFS(SALIDAS_COMB,FECHA_COMB,"&gt;="&amp;BR$2,FECHA_COMB,"&lt;="&amp;BR$3,CLAVE_COMB,$A67)+SUMIFS(SALIDAS_DES,FECHA_DESGLOSEN,"&gt;="&amp;BR$2,FECHA_DESGLOSEN,"&lt;="&amp;BR$3,CLAVE_DESGLOSE,$A67)</f>
        <v>32800</v>
      </c>
      <c r="BS67" s="68">
        <f t="shared" si="72"/>
        <v>0</v>
      </c>
      <c r="BT67" s="268">
        <f t="shared" si="73"/>
        <v>1</v>
      </c>
      <c r="BU67" s="13">
        <f t="shared" si="49"/>
        <v>32800</v>
      </c>
      <c r="BV67" s="13">
        <f t="shared" si="90"/>
        <v>0</v>
      </c>
      <c r="BW67" s="13">
        <f t="shared" si="90"/>
        <v>0</v>
      </c>
      <c r="BX67" s="13">
        <f t="shared" si="90"/>
        <v>0</v>
      </c>
      <c r="BY67" s="13">
        <f t="shared" si="90"/>
        <v>47800</v>
      </c>
      <c r="BZ67" s="13">
        <f t="shared" ref="BV67:BZ76" si="138">SUMIFS(SALIDAS_BIT,FECHA_BIT,"&gt;="&amp;BZ$2,FECHA_BIT,"&lt;="&amp;BZ$3,CLAVE_BIT,$A67)+SUMIFS(SALIDAS_BOV1,FECHA_BOV1,"&gt;="&amp;BZ$2,FECHA_BOV1,"&lt;="&amp;BZ$3,CLAVE_BOV1,$A67)+SUMIFS(SALIDAS_BOV2,FECHA_BOV2,"&gt;="&amp;BZ$2,FECHA_BOV2,"&lt;="&amp;BZ$3,CLAVE_BOV2,$A67)+SUMIFS(SALIDAS_BOV3,FECHA_BOV3,"&gt;="&amp;BZ$2,FECHA_BOV3,"&lt;="&amp;BZ$3,CLAVE_BOV3,$A67)+SUMIFS(SALIDAS_TC,FECHA_TC,"&gt;="&amp;BZ$2,FECHA_TC,"&lt;="&amp;BZ$3,CLAVE_TC,$A67)+SUMIFS(SALIDAS_COMB,FECHA_COMB,"&gt;="&amp;BZ$2,FECHA_COMB,"&lt;="&amp;BZ$3,CLAVE_COMB,$A67)+SUMIFS(SALIDAS_DES,FECHA_DESGLOSEN,"&gt;="&amp;BZ$2,FECHA_DESGLOSEN,"&lt;="&amp;BZ$3,CLAVE_DESGLOSE,$A67)</f>
        <v>47800</v>
      </c>
      <c r="CA67" s="68">
        <f t="shared" si="74"/>
        <v>-15000</v>
      </c>
      <c r="CB67" s="268">
        <f t="shared" si="75"/>
        <v>1.4573170731707317</v>
      </c>
      <c r="CC67" s="13">
        <f t="shared" si="51"/>
        <v>32800</v>
      </c>
      <c r="CD67" s="13">
        <f t="shared" si="91"/>
        <v>0</v>
      </c>
      <c r="CE67" s="13">
        <f t="shared" si="91"/>
        <v>0</v>
      </c>
      <c r="CF67" s="13">
        <f t="shared" si="91"/>
        <v>0</v>
      </c>
      <c r="CG67" s="13">
        <f t="shared" si="91"/>
        <v>47800</v>
      </c>
      <c r="CH67" s="13">
        <f t="shared" ref="CD67:CH76" si="139">SUMIFS(SALIDAS_BIT,FECHA_BIT,"&gt;="&amp;CH$2,FECHA_BIT,"&lt;="&amp;CH$3,CLAVE_BIT,$A67)+SUMIFS(SALIDAS_BOV1,FECHA_BOV1,"&gt;="&amp;CH$2,FECHA_BOV1,"&lt;="&amp;CH$3,CLAVE_BOV1,$A67)+SUMIFS(SALIDAS_BOV2,FECHA_BOV2,"&gt;="&amp;CH$2,FECHA_BOV2,"&lt;="&amp;CH$3,CLAVE_BOV2,$A67)+SUMIFS(SALIDAS_BOV3,FECHA_BOV3,"&gt;="&amp;CH$2,FECHA_BOV3,"&lt;="&amp;CH$3,CLAVE_BOV3,$A67)+SUMIFS(SALIDAS_TC,FECHA_TC,"&gt;="&amp;CH$2,FECHA_TC,"&lt;="&amp;CH$3,CLAVE_TC,$A67)+SUMIFS(SALIDAS_COMB,FECHA_COMB,"&gt;="&amp;CH$2,FECHA_COMB,"&lt;="&amp;CH$3,CLAVE_COMB,$A67)+SUMIFS(SALIDAS_DES,FECHA_DESGLOSEN,"&gt;="&amp;CH$2,FECHA_DESGLOSEN,"&lt;="&amp;CH$3,CLAVE_DESGLOSE,$A67)</f>
        <v>47800</v>
      </c>
      <c r="CI67" s="68">
        <f t="shared" si="76"/>
        <v>-15000</v>
      </c>
      <c r="CJ67" s="268">
        <f t="shared" si="77"/>
        <v>1.4573170731707317</v>
      </c>
      <c r="CK67" s="13">
        <f t="shared" si="53"/>
        <v>32800</v>
      </c>
      <c r="CL67" s="13">
        <f t="shared" si="92"/>
        <v>0</v>
      </c>
      <c r="CM67" s="13">
        <f t="shared" si="92"/>
        <v>32800</v>
      </c>
      <c r="CN67" s="13">
        <f t="shared" si="92"/>
        <v>0</v>
      </c>
      <c r="CO67" s="13">
        <f t="shared" si="92"/>
        <v>143000</v>
      </c>
      <c r="CP67" s="13">
        <f t="shared" si="92"/>
        <v>0</v>
      </c>
      <c r="CQ67" s="13">
        <f t="shared" ref="CL67:CQ76" si="140">SUMIFS(SALIDAS_BIT,FECHA_BIT,"&gt;="&amp;CQ$2,FECHA_BIT,"&lt;="&amp;CQ$3,CLAVE_BIT,$A67)+SUMIFS(SALIDAS_BOV1,FECHA_BOV1,"&gt;="&amp;CQ$2,FECHA_BOV1,"&lt;="&amp;CQ$3,CLAVE_BOV1,$A67)+SUMIFS(SALIDAS_BOV2,FECHA_BOV2,"&gt;="&amp;CQ$2,FECHA_BOV2,"&lt;="&amp;CQ$3,CLAVE_BOV2,$A67)+SUMIFS(SALIDAS_BOV3,FECHA_BOV3,"&gt;="&amp;CQ$2,FECHA_BOV3,"&lt;="&amp;CQ$3,CLAVE_BOV3,$A67)+SUMIFS(SALIDAS_TC,FECHA_TC,"&gt;="&amp;CQ$2,FECHA_TC,"&lt;="&amp;CQ$3,CLAVE_TC,$A67)+SUMIFS(SALIDAS_COMB,FECHA_COMB,"&gt;="&amp;CQ$2,FECHA_COMB,"&lt;="&amp;CQ$3,CLAVE_COMB,$A67)+SUMIFS(SALIDAS_DES,FECHA_DESGLOSEN,"&gt;="&amp;CQ$2,FECHA_DESGLOSEN,"&lt;="&amp;CQ$3,CLAVE_DESGLOSE,$A67)</f>
        <v>175800</v>
      </c>
      <c r="CR67" s="68">
        <f t="shared" si="78"/>
        <v>-143000</v>
      </c>
      <c r="CS67" s="268">
        <f t="shared" si="79"/>
        <v>5.3597560975609753</v>
      </c>
      <c r="CT67" s="68">
        <f t="shared" si="55"/>
        <v>34768</v>
      </c>
      <c r="CU67" s="13">
        <f>SUMIFS(SALIDAS_BIT,FECHA_BIT,"&gt;="&amp;CU$2,FECHA_BIT,"&lt;="&amp;CU$3,CLAVE_BIT,$A67)+SUMIFS(SALIDAS_BOV1,FECHA_BOV1,"&gt;="&amp;CU$2,FECHA_BOV1,"&lt;="&amp;CU$3,CLAVE_BOV1,$A67)+SUMIFS(SALIDAS_BOV2,FECHA_BOV2,"&gt;="&amp;CU$2,FECHA_BOV2,"&lt;="&amp;CU$3,CLAVE_BOV2,$A67)+SUMIFS(SALIDAS_BOV3,FECHA_BOV3,"&gt;="&amp;CU$2,FECHA_BOV3,"&lt;="&amp;CU$3,CLAVE_BOV3,$A67)+SUMIFS(SALIDAS_TC,FECHA_TC,"&gt;="&amp;CU$2,FECHA_TC,"&lt;="&amp;CU$3,CLAVE_TC,$A67)+SUMIFS(SALIDAS_COMB,FECHA_COMB,"&gt;="&amp;CU$2,FECHA_COMB,"&lt;="&amp;CU$3,CLAVE_COMB,$A67)+SUMIFS(SALIDAS_DES,FECHA_DESGLOSEN,"&gt;="&amp;CU$2,FECHA_DESGLOSEN,"&lt;="&amp;CU$3,CLAVE_DESGLOSE,$A67)</f>
        <v>0</v>
      </c>
      <c r="CV67" s="13">
        <f>SUMIFS(SALIDAS_BIT,FECHA_BIT,"&gt;="&amp;CV$2,FECHA_BIT,"&lt;="&amp;CV$3,CLAVE_BIT,$A67)+SUMIFS(SALIDAS_BOV1,FECHA_BOV1,"&gt;="&amp;CV$2,FECHA_BOV1,"&lt;="&amp;CV$3,CLAVE_BOV1,$A67)+SUMIFS(SALIDAS_BOV2,FECHA_BOV2,"&gt;="&amp;CV$2,FECHA_BOV2,"&lt;="&amp;CV$3,CLAVE_BOV2,$A67)+SUMIFS(SALIDAS_BOV3,FECHA_BOV3,"&gt;="&amp;CV$2,FECHA_BOV3,"&lt;="&amp;CV$3,CLAVE_BOV3,$A67)+SUMIFS(SALIDAS_TC,FECHA_TC,"&gt;="&amp;CV$2,FECHA_TC,"&lt;="&amp;CV$3,CLAVE_TC,$A67)+SUMIFS(SALIDAS_COMB,FECHA_COMB,"&gt;="&amp;CV$2,FECHA_COMB,"&lt;="&amp;CV$3,CLAVE_COMB,$A67)+SUMIFS(SALIDAS_DES,FECHA_DESGLOSEN,"&gt;="&amp;CV$2,FECHA_DESGLOSEN,"&lt;="&amp;CV$3,CLAVE_DESGLOSE,$A67)</f>
        <v>0</v>
      </c>
      <c r="CW67" s="13">
        <f>SUMIFS(SALIDAS_BIT,FECHA_BIT,"&gt;="&amp;CW$2,FECHA_BIT,"&lt;="&amp;CW$3,CLAVE_BIT,$A67)+SUMIFS(SALIDAS_BOV1,FECHA_BOV1,"&gt;="&amp;CW$2,FECHA_BOV1,"&lt;="&amp;CW$3,CLAVE_BOV1,$A67)+SUMIFS(SALIDAS_BOV2,FECHA_BOV2,"&gt;="&amp;CW$2,FECHA_BOV2,"&lt;="&amp;CW$3,CLAVE_BOV2,$A67)+SUMIFS(SALIDAS_BOV3,FECHA_BOV3,"&gt;="&amp;CW$2,FECHA_BOV3,"&lt;="&amp;CW$3,CLAVE_BOV3,$A67)+SUMIFS(SALIDAS_TC,FECHA_TC,"&gt;="&amp;CW$2,FECHA_TC,"&lt;="&amp;CW$3,CLAVE_TC,$A67)+SUMIFS(SALIDAS_COMB,FECHA_COMB,"&gt;="&amp;CW$2,FECHA_COMB,"&lt;="&amp;CW$3,CLAVE_COMB,$A67)+SUMIFS(SALIDAS_DES,FECHA_DESGLOSEN,"&gt;="&amp;CW$2,FECHA_DESGLOSEN,"&lt;="&amp;CW$3,CLAVE_DESGLOSE,$A67)</f>
        <v>0</v>
      </c>
      <c r="CX67" s="13">
        <f>SUMIFS(SALIDAS_BIT,FECHA_BIT,"&gt;="&amp;CX$2,FECHA_BIT,"&lt;="&amp;CX$3,CLAVE_BIT,$A67)+SUMIFS(SALIDAS_BOV1,FECHA_BOV1,"&gt;="&amp;CX$2,FECHA_BOV1,"&lt;="&amp;CX$3,CLAVE_BOV1,$A67)+SUMIFS(SALIDAS_BOV2,FECHA_BOV2,"&gt;="&amp;CX$2,FECHA_BOV2,"&lt;="&amp;CX$3,CLAVE_BOV2,$A67)+SUMIFS(SALIDAS_BOV3,FECHA_BOV3,"&gt;="&amp;CX$2,FECHA_BOV3,"&lt;="&amp;CX$3,CLAVE_BOV3,$A67)+SUMIFS(SALIDAS_TC,FECHA_TC,"&gt;="&amp;CX$2,FECHA_TC,"&lt;="&amp;CX$3,CLAVE_TC,$A67)+SUMIFS(SALIDAS_COMB,FECHA_COMB,"&gt;="&amp;CX$2,FECHA_COMB,"&lt;="&amp;CX$3,CLAVE_COMB,$A67)+SUMIFS(SALIDAS_DES,FECHA_DESGLOSEN,"&gt;="&amp;CX$2,FECHA_DESGLOSEN,"&lt;="&amp;CX$3,CLAVE_DESGLOSE,$A67)</f>
        <v>34500</v>
      </c>
      <c r="CY67" s="13">
        <f>SUMIFS(SALIDAS_BIT,FECHA_BIT,"&gt;="&amp;CY$2,FECHA_BIT,"&lt;="&amp;CY$3,CLAVE_BIT,$A67)+SUMIFS(SALIDAS_BOV1,FECHA_BOV1,"&gt;="&amp;CY$2,FECHA_BOV1,"&lt;="&amp;CY$3,CLAVE_BOV1,$A67)+SUMIFS(SALIDAS_BOV2,FECHA_BOV2,"&gt;="&amp;CY$2,FECHA_BOV2,"&lt;="&amp;CY$3,CLAVE_BOV2,$A67)+SUMIFS(SALIDAS_BOV3,FECHA_BOV3,"&gt;="&amp;CY$2,FECHA_BOV3,"&lt;="&amp;CY$3,CLAVE_BOV3,$A67)+SUMIFS(SALIDAS_TC,FECHA_TC,"&gt;="&amp;CY$2,FECHA_TC,"&lt;="&amp;CY$3,CLAVE_TC,$A67)+SUMIFS(SALIDAS_COMB,FECHA_COMB,"&gt;="&amp;CY$2,FECHA_COMB,"&lt;="&amp;CY$3,CLAVE_COMB,$A67)+SUMIFS(SALIDAS_DES,FECHA_DESGLOSEN,"&gt;="&amp;CY$2,FECHA_DESGLOSEN,"&lt;="&amp;CY$3,CLAVE_DESGLOSE,$A67)</f>
        <v>34500</v>
      </c>
      <c r="CZ67" s="68">
        <f t="shared" si="80"/>
        <v>268</v>
      </c>
      <c r="DB67" s="17">
        <f>F67+N67+W67+AE67+AM67+AV67+BD67+BL67+BU67+CC67+CK67</f>
        <v>360800</v>
      </c>
      <c r="DC67" s="17">
        <f>K67+T67+AB67+AJ67+AS67+BA67+BI67+BR67+BZ67+CH67+CQ67</f>
        <v>648232</v>
      </c>
    </row>
    <row r="68" spans="1:107" hidden="1">
      <c r="A68" s="12" t="str">
        <f t="shared" si="57"/>
        <v>FINANZASRENTASA5</v>
      </c>
      <c r="B68" s="12">
        <v>70</v>
      </c>
      <c r="C68" t="s">
        <v>23</v>
      </c>
      <c r="D68" s="12" t="s">
        <v>169</v>
      </c>
      <c r="E68" s="12" t="s">
        <v>92</v>
      </c>
      <c r="F68" s="259">
        <f t="shared" si="58"/>
        <v>0</v>
      </c>
      <c r="G68" s="13">
        <f t="shared" si="132"/>
        <v>0</v>
      </c>
      <c r="H68" s="13">
        <f t="shared" si="132"/>
        <v>0</v>
      </c>
      <c r="I68" s="13">
        <f t="shared" si="132"/>
        <v>0</v>
      </c>
      <c r="J68" s="13">
        <f t="shared" si="132"/>
        <v>0</v>
      </c>
      <c r="K68" s="13">
        <f t="shared" si="132"/>
        <v>0</v>
      </c>
      <c r="L68" s="68">
        <f t="shared" si="59"/>
        <v>0</v>
      </c>
      <c r="M68" s="268">
        <f t="shared" si="60"/>
        <v>0</v>
      </c>
      <c r="N68" s="13">
        <f t="shared" si="36"/>
        <v>0</v>
      </c>
      <c r="O68" s="13">
        <f t="shared" si="133"/>
        <v>52184.160000000003</v>
      </c>
      <c r="P68" s="13">
        <f t="shared" si="133"/>
        <v>0</v>
      </c>
      <c r="Q68" s="13">
        <f t="shared" si="133"/>
        <v>0</v>
      </c>
      <c r="R68" s="13">
        <f t="shared" si="133"/>
        <v>0</v>
      </c>
      <c r="S68" s="13">
        <f t="shared" si="133"/>
        <v>0</v>
      </c>
      <c r="T68" s="13">
        <f t="shared" si="133"/>
        <v>52184.160000000003</v>
      </c>
      <c r="U68" s="68">
        <f t="shared" si="61"/>
        <v>-52184.160000000003</v>
      </c>
      <c r="V68" s="268">
        <f t="shared" si="62"/>
        <v>0</v>
      </c>
      <c r="W68" s="13">
        <f t="shared" si="38"/>
        <v>0</v>
      </c>
      <c r="X68" s="13">
        <f t="shared" si="134"/>
        <v>52185</v>
      </c>
      <c r="Y68" s="13">
        <f t="shared" si="134"/>
        <v>0</v>
      </c>
      <c r="Z68" s="13">
        <f t="shared" si="134"/>
        <v>0</v>
      </c>
      <c r="AA68" s="13">
        <f t="shared" si="134"/>
        <v>52184.160000000003</v>
      </c>
      <c r="AB68" s="13">
        <f t="shared" si="134"/>
        <v>104369.16</v>
      </c>
      <c r="AC68" s="68">
        <f t="shared" si="63"/>
        <v>-104369.16</v>
      </c>
      <c r="AD68" s="268">
        <f t="shared" si="64"/>
        <v>0</v>
      </c>
      <c r="AE68" s="13">
        <f t="shared" si="40"/>
        <v>0</v>
      </c>
      <c r="AF68" s="13">
        <f t="shared" si="135"/>
        <v>0</v>
      </c>
      <c r="AG68" s="13">
        <f t="shared" si="135"/>
        <v>0</v>
      </c>
      <c r="AH68" s="13">
        <f t="shared" si="135"/>
        <v>0</v>
      </c>
      <c r="AI68" s="13">
        <f t="shared" si="135"/>
        <v>93407.41</v>
      </c>
      <c r="AJ68" s="13">
        <f t="shared" si="135"/>
        <v>93407.41</v>
      </c>
      <c r="AK68" s="68">
        <f t="shared" si="65"/>
        <v>-93407.41</v>
      </c>
      <c r="AL68" s="268">
        <f t="shared" si="66"/>
        <v>0</v>
      </c>
      <c r="AM68" s="13">
        <f t="shared" si="42"/>
        <v>0</v>
      </c>
      <c r="AN68" s="13">
        <f t="shared" si="136"/>
        <v>0</v>
      </c>
      <c r="AO68" s="13">
        <f t="shared" si="136"/>
        <v>18350</v>
      </c>
      <c r="AP68" s="13">
        <f t="shared" si="136"/>
        <v>0</v>
      </c>
      <c r="AQ68" s="13">
        <f t="shared" si="136"/>
        <v>0</v>
      </c>
      <c r="AR68" s="13">
        <f t="shared" si="136"/>
        <v>0</v>
      </c>
      <c r="AS68" s="13">
        <f t="shared" si="136"/>
        <v>18350</v>
      </c>
      <c r="AT68" s="68">
        <f>AM68-AS68</f>
        <v>-18350</v>
      </c>
      <c r="AU68" s="268">
        <f t="shared" si="67"/>
        <v>0</v>
      </c>
      <c r="AV68" s="13">
        <f t="shared" si="44"/>
        <v>0</v>
      </c>
      <c r="AW68" s="13">
        <f t="shared" si="119"/>
        <v>0</v>
      </c>
      <c r="AX68" s="13">
        <f t="shared" si="119"/>
        <v>0</v>
      </c>
      <c r="AY68" s="13">
        <f t="shared" si="119"/>
        <v>0</v>
      </c>
      <c r="AZ68" s="13">
        <f t="shared" si="119"/>
        <v>0</v>
      </c>
      <c r="BA68" s="13">
        <f t="shared" si="120"/>
        <v>0</v>
      </c>
      <c r="BB68" s="68">
        <f t="shared" si="68"/>
        <v>0</v>
      </c>
      <c r="BC68" s="268">
        <f t="shared" si="69"/>
        <v>0</v>
      </c>
      <c r="BD68" s="13">
        <f t="shared" si="46"/>
        <v>0</v>
      </c>
      <c r="BE68" s="13">
        <f>SUMIFS(SALIDAS_BIT,FECHA_BIT,"&gt;="&amp;BE$2,FECHA_BIT,"&lt;="&amp;BE$3,CLAVE_BIT,$A68)+SUMIFS(SALIDAS_BOV1,FECHA_BOV1,"&gt;="&amp;BE$2,FECHA_BOV1,"&lt;="&amp;BE$3,CLAVE_BOV1,$A68)+SUMIFS(SALIDAS_BOV2,FECHA_BOV2,"&gt;="&amp;BE$2,FECHA_BOV2,"&lt;="&amp;BE$3,CLAVE_BOV2,$A68)+SUMIFS(SALIDAS_BOV3,FECHA_BOV3,"&gt;="&amp;BE$2,FECHA_BOV3,"&lt;="&amp;BE$3,CLAVE_BOV3,$A68)+SUMIFS(SALIDAS_TC,FECHA_TC,"&gt;="&amp;BE$2,FECHA_TC,"&lt;="&amp;BE$3,CLAVE_TC,$A68)+SUMIFS(SALIDAS_COMB,FECHA_COMB,"&gt;="&amp;BE$2,FECHA_COMB,"&lt;="&amp;BE$3,CLAVE_COMB,$A68)+SUMIFS(SALIDAS_DES,FECHA_DESGLOSEN,"&gt;="&amp;BE$2,FECHA_DESGLOSEN,"&lt;="&amp;BE$3,CLAVE_DESGLOSE,$A68)</f>
        <v>41611.699999999997</v>
      </c>
      <c r="BF68" s="13">
        <f>SUMIFS(SALIDAS_BIT,FECHA_BIT,"&gt;="&amp;BF$2,FECHA_BIT,"&lt;="&amp;BF$3,CLAVE_BIT,$A68)+SUMIFS(SALIDAS_BOV1,FECHA_BOV1,"&gt;="&amp;BF$2,FECHA_BOV1,"&lt;="&amp;BF$3,CLAVE_BOV1,$A68)+SUMIFS(SALIDAS_BOV2,FECHA_BOV2,"&gt;="&amp;BF$2,FECHA_BOV2,"&lt;="&amp;BF$3,CLAVE_BOV2,$A68)+SUMIFS(SALIDAS_BOV3,FECHA_BOV3,"&gt;="&amp;BF$2,FECHA_BOV3,"&lt;="&amp;BF$3,CLAVE_BOV3,$A68)+SUMIFS(SALIDAS_TC,FECHA_TC,"&gt;="&amp;BF$2,FECHA_TC,"&lt;="&amp;BF$3,CLAVE_TC,$A68)+SUMIFS(SALIDAS_COMB,FECHA_COMB,"&gt;="&amp;BF$2,FECHA_COMB,"&lt;="&amp;BF$3,CLAVE_COMB,$A68)+SUMIFS(SALIDAS_DES,FECHA_DESGLOSEN,"&gt;="&amp;BF$2,FECHA_DESGLOSEN,"&lt;="&amp;BF$3,CLAVE_DESGLOSE,$A68)</f>
        <v>8109</v>
      </c>
      <c r="BG68" s="13">
        <f>SUMIFS(SALIDAS_BIT,FECHA_BIT,"&gt;="&amp;BG$2,FECHA_BIT,"&lt;="&amp;BG$3,CLAVE_BIT,$A68)+SUMIFS(SALIDAS_BOV1,FECHA_BOV1,"&gt;="&amp;BG$2,FECHA_BOV1,"&lt;="&amp;BG$3,CLAVE_BOV1,$A68)+SUMIFS(SALIDAS_BOV2,FECHA_BOV2,"&gt;="&amp;BG$2,FECHA_BOV2,"&lt;="&amp;BG$3,CLAVE_BOV2,$A68)+SUMIFS(SALIDAS_BOV3,FECHA_BOV3,"&gt;="&amp;BG$2,FECHA_BOV3,"&lt;="&amp;BG$3,CLAVE_BOV3,$A68)+SUMIFS(SALIDAS_TC,FECHA_TC,"&gt;="&amp;BG$2,FECHA_TC,"&lt;="&amp;BG$3,CLAVE_TC,$A68)+SUMIFS(SALIDAS_COMB,FECHA_COMB,"&gt;="&amp;BG$2,FECHA_COMB,"&lt;="&amp;BG$3,CLAVE_COMB,$A68)+SUMIFS(SALIDAS_DES,FECHA_DESGLOSEN,"&gt;="&amp;BG$2,FECHA_DESGLOSEN,"&lt;="&amp;BG$3,CLAVE_DESGLOSE,$A68)</f>
        <v>0</v>
      </c>
      <c r="BH68" s="13">
        <f>SUMIFS(SALIDAS_BIT,FECHA_BIT,"&gt;="&amp;BH$2,FECHA_BIT,"&lt;="&amp;BH$3,CLAVE_BIT,$A68)+SUMIFS(SALIDAS_BOV1,FECHA_BOV1,"&gt;="&amp;BH$2,FECHA_BOV1,"&lt;="&amp;BH$3,CLAVE_BOV1,$A68)+SUMIFS(SALIDAS_BOV2,FECHA_BOV2,"&gt;="&amp;BH$2,FECHA_BOV2,"&lt;="&amp;BH$3,CLAVE_BOV2,$A68)+SUMIFS(SALIDAS_BOV3,FECHA_BOV3,"&gt;="&amp;BH$2,FECHA_BOV3,"&lt;="&amp;BH$3,CLAVE_BOV3,$A68)+SUMIFS(SALIDAS_TC,FECHA_TC,"&gt;="&amp;BH$2,FECHA_TC,"&lt;="&amp;BH$3,CLAVE_TC,$A68)+SUMIFS(SALIDAS_COMB,FECHA_COMB,"&gt;="&amp;BH$2,FECHA_COMB,"&lt;="&amp;BH$3,CLAVE_COMB,$A68)+SUMIFS(SALIDAS_DES,FECHA_DESGLOSEN,"&gt;="&amp;BH$2,FECHA_DESGLOSEN,"&lt;="&amp;BH$3,CLAVE_DESGLOSE,$A68)</f>
        <v>0</v>
      </c>
      <c r="BI68" s="13">
        <f t="shared" si="121"/>
        <v>49720.7</v>
      </c>
      <c r="BJ68" s="68">
        <f t="shared" si="70"/>
        <v>-49720.7</v>
      </c>
      <c r="BK68" s="268">
        <f t="shared" si="71"/>
        <v>0</v>
      </c>
      <c r="BL68" s="13">
        <f t="shared" si="47"/>
        <v>0</v>
      </c>
      <c r="BM68" s="13">
        <f>SUMIFS(SALIDAS_BIT,FECHA_BIT,"&gt;="&amp;BM$2,FECHA_BIT,"&lt;="&amp;BM$3,CLAVE_BIT,$A68)+SUMIFS(SALIDAS_BOV1,FECHA_BOV1,"&gt;="&amp;BM$2,FECHA_BOV1,"&lt;="&amp;BM$3,CLAVE_BOV1,$A68)+SUMIFS(SALIDAS_BOV2,FECHA_BOV2,"&gt;="&amp;BM$2,FECHA_BOV2,"&lt;="&amp;BM$3,CLAVE_BOV2,$A68)+SUMIFS(SALIDAS_BOV3,FECHA_BOV3,"&gt;="&amp;BM$2,FECHA_BOV3,"&lt;="&amp;BM$3,CLAVE_BOV3,$A68)+SUMIFS(SALIDAS_TC,FECHA_TC,"&gt;="&amp;BM$2,FECHA_TC,"&lt;="&amp;BM$3,CLAVE_TC,$A68)+SUMIFS(SALIDAS_COMB,FECHA_COMB,"&gt;="&amp;BM$2,FECHA_COMB,"&lt;="&amp;BM$3,CLAVE_COMB,$A68)+SUMIFS(SALIDAS_DES,FECHA_DESGLOSEN,"&gt;="&amp;BM$2,FECHA_DESGLOSEN,"&lt;="&amp;BM$3,CLAVE_DESGLOSE,$A68)</f>
        <v>52184</v>
      </c>
      <c r="BN68" s="13">
        <f>SUMIFS(SALIDAS_BIT,FECHA_BIT,"&gt;="&amp;BN$2,FECHA_BIT,"&lt;="&amp;BN$3,CLAVE_BIT,$A68)+SUMIFS(SALIDAS_BOV1,FECHA_BOV1,"&gt;="&amp;BN$2,FECHA_BOV1,"&lt;="&amp;BN$3,CLAVE_BOV1,$A68)+SUMIFS(SALIDAS_BOV2,FECHA_BOV2,"&gt;="&amp;BN$2,FECHA_BOV2,"&lt;="&amp;BN$3,CLAVE_BOV2,$A68)+SUMIFS(SALIDAS_BOV3,FECHA_BOV3,"&gt;="&amp;BN$2,FECHA_BOV3,"&lt;="&amp;BN$3,CLAVE_BOV3,$A68)+SUMIFS(SALIDAS_TC,FECHA_TC,"&gt;="&amp;BN$2,FECHA_TC,"&lt;="&amp;BN$3,CLAVE_TC,$A68)+SUMIFS(SALIDAS_COMB,FECHA_COMB,"&gt;="&amp;BN$2,FECHA_COMB,"&lt;="&amp;BN$3,CLAVE_COMB,$A68)+SUMIFS(SALIDAS_DES,FECHA_DESGLOSEN,"&gt;="&amp;BN$2,FECHA_DESGLOSEN,"&lt;="&amp;BN$3,CLAVE_DESGLOSE,$A68)</f>
        <v>0</v>
      </c>
      <c r="BO68" s="13">
        <f>SUMIFS(SALIDAS_BIT,FECHA_BIT,"&gt;="&amp;BO$2,FECHA_BIT,"&lt;="&amp;BO$3,CLAVE_BIT,$A68)+SUMIFS(SALIDAS_BOV1,FECHA_BOV1,"&gt;="&amp;BO$2,FECHA_BOV1,"&lt;="&amp;BO$3,CLAVE_BOV1,$A68)+SUMIFS(SALIDAS_BOV2,FECHA_BOV2,"&gt;="&amp;BO$2,FECHA_BOV2,"&lt;="&amp;BO$3,CLAVE_BOV2,$A68)+SUMIFS(SALIDAS_BOV3,FECHA_BOV3,"&gt;="&amp;BO$2,FECHA_BOV3,"&lt;="&amp;BO$3,CLAVE_BOV3,$A68)+SUMIFS(SALIDAS_TC,FECHA_TC,"&gt;="&amp;BO$2,FECHA_TC,"&lt;="&amp;BO$3,CLAVE_TC,$A68)+SUMIFS(SALIDAS_COMB,FECHA_COMB,"&gt;="&amp;BO$2,FECHA_COMB,"&lt;="&amp;BO$3,CLAVE_COMB,$A68)+SUMIFS(SALIDAS_DES,FECHA_DESGLOSEN,"&gt;="&amp;BO$2,FECHA_DESGLOSEN,"&lt;="&amp;BO$3,CLAVE_DESGLOSE,$A68)</f>
        <v>0</v>
      </c>
      <c r="BP68" s="13">
        <f>SUMIFS(SALIDAS_BIT,FECHA_BIT,"&gt;="&amp;BP$2,FECHA_BIT,"&lt;="&amp;BP$3,CLAVE_BIT,$A68)+SUMIFS(SALIDAS_BOV1,FECHA_BOV1,"&gt;="&amp;BP$2,FECHA_BOV1,"&lt;="&amp;BP$3,CLAVE_BOV1,$A68)+SUMIFS(SALIDAS_BOV2,FECHA_BOV2,"&gt;="&amp;BP$2,FECHA_BOV2,"&lt;="&amp;BP$3,CLAVE_BOV2,$A68)+SUMIFS(SALIDAS_BOV3,FECHA_BOV3,"&gt;="&amp;BP$2,FECHA_BOV3,"&lt;="&amp;BP$3,CLAVE_BOV3,$A68)+SUMIFS(SALIDAS_TC,FECHA_TC,"&gt;="&amp;BP$2,FECHA_TC,"&lt;="&amp;BP$3,CLAVE_TC,$A68)+SUMIFS(SALIDAS_COMB,FECHA_COMB,"&gt;="&amp;BP$2,FECHA_COMB,"&lt;="&amp;BP$3,CLAVE_COMB,$A68)+SUMIFS(SALIDAS_DES,FECHA_DESGLOSEN,"&gt;="&amp;BP$2,FECHA_DESGLOSEN,"&lt;="&amp;BP$3,CLAVE_DESGLOSE,$A68)</f>
        <v>0</v>
      </c>
      <c r="BQ68" s="13">
        <f>SUMIFS(SALIDAS_BIT,FECHA_BIT,"&gt;="&amp;BQ$2,FECHA_BIT,"&lt;="&amp;BQ$3,CLAVE_BIT,$A68)+SUMIFS(SALIDAS_BOV1,FECHA_BOV1,"&gt;="&amp;BQ$2,FECHA_BOV1,"&lt;="&amp;BQ$3,CLAVE_BOV1,$A68)+SUMIFS(SALIDAS_BOV2,FECHA_BOV2,"&gt;="&amp;BQ$2,FECHA_BOV2,"&lt;="&amp;BQ$3,CLAVE_BOV2,$A68)+SUMIFS(SALIDAS_BOV3,FECHA_BOV3,"&gt;="&amp;BQ$2,FECHA_BOV3,"&lt;="&amp;BQ$3,CLAVE_BOV3,$A68)+SUMIFS(SALIDAS_TC,FECHA_TC,"&gt;="&amp;BQ$2,FECHA_TC,"&lt;="&amp;BQ$3,CLAVE_TC,$A68)+SUMIFS(SALIDAS_COMB,FECHA_COMB,"&gt;="&amp;BQ$2,FECHA_COMB,"&lt;="&amp;BQ$3,CLAVE_COMB,$A68)+SUMIFS(SALIDAS_DES,FECHA_DESGLOSEN,"&gt;="&amp;BQ$2,FECHA_DESGLOSEN,"&lt;="&amp;BQ$3,CLAVE_DESGLOSE,$A68)</f>
        <v>0</v>
      </c>
      <c r="BR68" s="13">
        <f t="shared" si="137"/>
        <v>52184</v>
      </c>
      <c r="BS68" s="68">
        <f t="shared" si="72"/>
        <v>-52184</v>
      </c>
      <c r="BT68" s="268">
        <f t="shared" si="73"/>
        <v>0</v>
      </c>
      <c r="BU68" s="13">
        <f t="shared" si="49"/>
        <v>0</v>
      </c>
      <c r="BV68" s="13">
        <f t="shared" si="90"/>
        <v>0</v>
      </c>
      <c r="BW68" s="13">
        <f t="shared" si="90"/>
        <v>0</v>
      </c>
      <c r="BX68" s="13">
        <f t="shared" si="90"/>
        <v>0</v>
      </c>
      <c r="BY68" s="13">
        <f t="shared" si="90"/>
        <v>0</v>
      </c>
      <c r="BZ68" s="13">
        <f t="shared" si="138"/>
        <v>0</v>
      </c>
      <c r="CA68" s="68">
        <f t="shared" si="74"/>
        <v>0</v>
      </c>
      <c r="CB68" s="268">
        <f t="shared" si="75"/>
        <v>0</v>
      </c>
      <c r="CC68" s="13">
        <f t="shared" si="51"/>
        <v>0</v>
      </c>
      <c r="CD68" s="13">
        <f t="shared" si="91"/>
        <v>104368.32000000001</v>
      </c>
      <c r="CE68" s="13">
        <f t="shared" si="91"/>
        <v>0</v>
      </c>
      <c r="CF68" s="13">
        <f t="shared" si="91"/>
        <v>0</v>
      </c>
      <c r="CG68" s="13">
        <f t="shared" si="91"/>
        <v>104368.32000000001</v>
      </c>
      <c r="CH68" s="13">
        <f t="shared" si="139"/>
        <v>208736.64000000001</v>
      </c>
      <c r="CI68" s="68">
        <f t="shared" si="76"/>
        <v>-208736.64000000001</v>
      </c>
      <c r="CJ68" s="268">
        <f t="shared" si="77"/>
        <v>0</v>
      </c>
      <c r="CK68" s="13">
        <f t="shared" si="53"/>
        <v>0</v>
      </c>
      <c r="CL68" s="13">
        <f t="shared" si="92"/>
        <v>0</v>
      </c>
      <c r="CM68" s="13">
        <f t="shared" si="92"/>
        <v>0</v>
      </c>
      <c r="CN68" s="13">
        <f t="shared" si="92"/>
        <v>0</v>
      </c>
      <c r="CO68" s="13">
        <f t="shared" si="92"/>
        <v>0</v>
      </c>
      <c r="CP68" s="13">
        <f t="shared" si="92"/>
        <v>0</v>
      </c>
      <c r="CQ68" s="13">
        <f t="shared" si="140"/>
        <v>0</v>
      </c>
      <c r="CR68" s="68">
        <f t="shared" si="78"/>
        <v>0</v>
      </c>
      <c r="CS68" s="268">
        <f t="shared" si="79"/>
        <v>0</v>
      </c>
      <c r="CT68" s="68">
        <f t="shared" si="55"/>
        <v>55315</v>
      </c>
      <c r="CU68" s="13">
        <f>SUMIFS(SALIDAS_BIT,FECHA_BIT,"&gt;="&amp;CU$2,FECHA_BIT,"&lt;="&amp;CU$3,CLAVE_BIT,$A68)+SUMIFS(SALIDAS_BOV1,FECHA_BOV1,"&gt;="&amp;CU$2,FECHA_BOV1,"&lt;="&amp;CU$3,CLAVE_BOV1,$A68)+SUMIFS(SALIDAS_BOV2,FECHA_BOV2,"&gt;="&amp;CU$2,FECHA_BOV2,"&lt;="&amp;CU$3,CLAVE_BOV2,$A68)+SUMIFS(SALIDAS_BOV3,FECHA_BOV3,"&gt;="&amp;CU$2,FECHA_BOV3,"&lt;="&amp;CU$3,CLAVE_BOV3,$A68)+SUMIFS(SALIDAS_TC,FECHA_TC,"&gt;="&amp;CU$2,FECHA_TC,"&lt;="&amp;CU$3,CLAVE_TC,$A68)+SUMIFS(SALIDAS_COMB,FECHA_COMB,"&gt;="&amp;CU$2,FECHA_COMB,"&lt;="&amp;CU$3,CLAVE_COMB,$A68)+SUMIFS(SALIDAS_DES,FECHA_DESGLOSEN,"&gt;="&amp;CU$2,FECHA_DESGLOSEN,"&lt;="&amp;CU$3,CLAVE_DESGLOSE,$A68)</f>
        <v>0</v>
      </c>
      <c r="CV68" s="13">
        <f>SUMIFS(SALIDAS_BIT,FECHA_BIT,"&gt;="&amp;CV$2,FECHA_BIT,"&lt;="&amp;CV$3,CLAVE_BIT,$A68)+SUMIFS(SALIDAS_BOV1,FECHA_BOV1,"&gt;="&amp;CV$2,FECHA_BOV1,"&lt;="&amp;CV$3,CLAVE_BOV1,$A68)+SUMIFS(SALIDAS_BOV2,FECHA_BOV2,"&gt;="&amp;CV$2,FECHA_BOV2,"&lt;="&amp;CV$3,CLAVE_BOV2,$A68)+SUMIFS(SALIDAS_BOV3,FECHA_BOV3,"&gt;="&amp;CV$2,FECHA_BOV3,"&lt;="&amp;CV$3,CLAVE_BOV3,$A68)+SUMIFS(SALIDAS_TC,FECHA_TC,"&gt;="&amp;CV$2,FECHA_TC,"&lt;="&amp;CV$3,CLAVE_TC,$A68)+SUMIFS(SALIDAS_COMB,FECHA_COMB,"&gt;="&amp;CV$2,FECHA_COMB,"&lt;="&amp;CV$3,CLAVE_COMB,$A68)+SUMIFS(SALIDAS_DES,FECHA_DESGLOSEN,"&gt;="&amp;CV$2,FECHA_DESGLOSEN,"&lt;="&amp;CV$3,CLAVE_DESGLOSE,$A68)</f>
        <v>0</v>
      </c>
      <c r="CW68" s="13">
        <f>SUMIFS(SALIDAS_BIT,FECHA_BIT,"&gt;="&amp;CW$2,FECHA_BIT,"&lt;="&amp;CW$3,CLAVE_BIT,$A68)+SUMIFS(SALIDAS_BOV1,FECHA_BOV1,"&gt;="&amp;CW$2,FECHA_BOV1,"&lt;="&amp;CW$3,CLAVE_BOV1,$A68)+SUMIFS(SALIDAS_BOV2,FECHA_BOV2,"&gt;="&amp;CW$2,FECHA_BOV2,"&lt;="&amp;CW$3,CLAVE_BOV2,$A68)+SUMIFS(SALIDAS_BOV3,FECHA_BOV3,"&gt;="&amp;CW$2,FECHA_BOV3,"&lt;="&amp;CW$3,CLAVE_BOV3,$A68)+SUMIFS(SALIDAS_TC,FECHA_TC,"&gt;="&amp;CW$2,FECHA_TC,"&lt;="&amp;CW$3,CLAVE_TC,$A68)+SUMIFS(SALIDAS_COMB,FECHA_COMB,"&gt;="&amp;CW$2,FECHA_COMB,"&lt;="&amp;CW$3,CLAVE_COMB,$A68)+SUMIFS(SALIDAS_DES,FECHA_DESGLOSEN,"&gt;="&amp;CW$2,FECHA_DESGLOSEN,"&lt;="&amp;CW$3,CLAVE_DESGLOSE,$A68)</f>
        <v>0</v>
      </c>
      <c r="CX68" s="13">
        <f>SUMIFS(SALIDAS_BIT,FECHA_BIT,"&gt;="&amp;CX$2,FECHA_BIT,"&lt;="&amp;CX$3,CLAVE_BIT,$A68)+SUMIFS(SALIDAS_BOV1,FECHA_BOV1,"&gt;="&amp;CX$2,FECHA_BOV1,"&lt;="&amp;CX$3,CLAVE_BOV1,$A68)+SUMIFS(SALIDAS_BOV2,FECHA_BOV2,"&gt;="&amp;CX$2,FECHA_BOV2,"&lt;="&amp;CX$3,CLAVE_BOV2,$A68)+SUMIFS(SALIDAS_BOV3,FECHA_BOV3,"&gt;="&amp;CX$2,FECHA_BOV3,"&lt;="&amp;CX$3,CLAVE_BOV3,$A68)+SUMIFS(SALIDAS_TC,FECHA_TC,"&gt;="&amp;CX$2,FECHA_TC,"&lt;="&amp;CX$3,CLAVE_TC,$A68)+SUMIFS(SALIDAS_COMB,FECHA_COMB,"&gt;="&amp;CX$2,FECHA_COMB,"&lt;="&amp;CX$3,CLAVE_COMB,$A68)+SUMIFS(SALIDAS_DES,FECHA_DESGLOSEN,"&gt;="&amp;CX$2,FECHA_DESGLOSEN,"&lt;="&amp;CX$3,CLAVE_DESGLOSE,$A68)</f>
        <v>0</v>
      </c>
      <c r="CY68" s="13">
        <f>SUMIFS(SALIDAS_BIT,FECHA_BIT,"&gt;="&amp;CY$2,FECHA_BIT,"&lt;="&amp;CY$3,CLAVE_BIT,$A68)+SUMIFS(SALIDAS_BOV1,FECHA_BOV1,"&gt;="&amp;CY$2,FECHA_BOV1,"&lt;="&amp;CY$3,CLAVE_BOV1,$A68)+SUMIFS(SALIDAS_BOV2,FECHA_BOV2,"&gt;="&amp;CY$2,FECHA_BOV2,"&lt;="&amp;CY$3,CLAVE_BOV2,$A68)+SUMIFS(SALIDAS_BOV3,FECHA_BOV3,"&gt;="&amp;CY$2,FECHA_BOV3,"&lt;="&amp;CY$3,CLAVE_BOV3,$A68)+SUMIFS(SALIDAS_TC,FECHA_TC,"&gt;="&amp;CY$2,FECHA_TC,"&lt;="&amp;CY$3,CLAVE_TC,$A68)+SUMIFS(SALIDAS_COMB,FECHA_COMB,"&gt;="&amp;CY$2,FECHA_COMB,"&lt;="&amp;CY$3,CLAVE_COMB,$A68)+SUMIFS(SALIDAS_DES,FECHA_DESGLOSEN,"&gt;="&amp;CY$2,FECHA_DESGLOSEN,"&lt;="&amp;CY$3,CLAVE_DESGLOSE,$A68)</f>
        <v>0</v>
      </c>
      <c r="CZ68" s="68">
        <f t="shared" si="80"/>
        <v>55315</v>
      </c>
      <c r="DB68" s="17">
        <f>F68+N68+W68+AE68+AM68+AV68+BD68+BL68+BU68+CC68+CK68</f>
        <v>0</v>
      </c>
      <c r="DC68" s="17">
        <f>K68+T68+AB68+AJ68+AS68+BA68+BI68+BR68+BZ68+CH68+CQ68</f>
        <v>578952.07000000007</v>
      </c>
    </row>
    <row r="69" spans="1:107" hidden="1">
      <c r="A69" s="12" t="str">
        <f t="shared" si="57"/>
        <v>FINANZASRENTASA6</v>
      </c>
      <c r="B69" s="12">
        <v>71</v>
      </c>
      <c r="C69" t="s">
        <v>23</v>
      </c>
      <c r="D69" s="12" t="s">
        <v>169</v>
      </c>
      <c r="E69" s="12" t="s">
        <v>93</v>
      </c>
      <c r="F69" s="259">
        <f t="shared" si="58"/>
        <v>23100</v>
      </c>
      <c r="G69" s="13">
        <f t="shared" si="132"/>
        <v>0</v>
      </c>
      <c r="H69" s="13">
        <f t="shared" si="132"/>
        <v>0</v>
      </c>
      <c r="I69" s="13">
        <f t="shared" si="132"/>
        <v>0</v>
      </c>
      <c r="J69" s="13">
        <f t="shared" si="132"/>
        <v>0</v>
      </c>
      <c r="K69" s="13">
        <f t="shared" si="132"/>
        <v>0</v>
      </c>
      <c r="L69" s="68">
        <f t="shared" si="59"/>
        <v>23100</v>
      </c>
      <c r="M69" s="268">
        <f t="shared" si="60"/>
        <v>0</v>
      </c>
      <c r="N69" s="13">
        <f t="shared" si="36"/>
        <v>23100</v>
      </c>
      <c r="O69" s="13">
        <f t="shared" si="133"/>
        <v>0</v>
      </c>
      <c r="P69" s="13">
        <f t="shared" si="133"/>
        <v>0</v>
      </c>
      <c r="Q69" s="13">
        <f t="shared" si="133"/>
        <v>24000</v>
      </c>
      <c r="R69" s="13">
        <f t="shared" si="133"/>
        <v>0</v>
      </c>
      <c r="S69" s="13">
        <f t="shared" si="133"/>
        <v>0</v>
      </c>
      <c r="T69" s="13">
        <f t="shared" si="133"/>
        <v>24000</v>
      </c>
      <c r="U69" s="68">
        <f t="shared" si="61"/>
        <v>-900</v>
      </c>
      <c r="V69" s="268">
        <f t="shared" si="62"/>
        <v>1.0389610389610389</v>
      </c>
      <c r="W69" s="13">
        <f t="shared" si="38"/>
        <v>23100</v>
      </c>
      <c r="X69" s="13">
        <f t="shared" si="134"/>
        <v>0</v>
      </c>
      <c r="Y69" s="13">
        <f t="shared" si="134"/>
        <v>0</v>
      </c>
      <c r="Z69" s="13">
        <f t="shared" si="134"/>
        <v>24000</v>
      </c>
      <c r="AA69" s="13">
        <f t="shared" si="134"/>
        <v>0</v>
      </c>
      <c r="AB69" s="13">
        <f t="shared" si="134"/>
        <v>24000</v>
      </c>
      <c r="AC69" s="68">
        <f t="shared" si="63"/>
        <v>-900</v>
      </c>
      <c r="AD69" s="268">
        <f t="shared" si="64"/>
        <v>1.0389610389610389</v>
      </c>
      <c r="AE69" s="13">
        <f t="shared" si="40"/>
        <v>23100</v>
      </c>
      <c r="AF69" s="13">
        <f t="shared" si="135"/>
        <v>0</v>
      </c>
      <c r="AG69" s="13">
        <f t="shared" si="135"/>
        <v>0</v>
      </c>
      <c r="AH69" s="13">
        <f t="shared" si="135"/>
        <v>24000</v>
      </c>
      <c r="AI69" s="13">
        <f t="shared" si="135"/>
        <v>0</v>
      </c>
      <c r="AJ69" s="13">
        <f t="shared" si="135"/>
        <v>24000</v>
      </c>
      <c r="AK69" s="68">
        <f t="shared" si="65"/>
        <v>-900</v>
      </c>
      <c r="AL69" s="268">
        <f t="shared" si="66"/>
        <v>1.0389610389610389</v>
      </c>
      <c r="AM69" s="13">
        <f t="shared" si="42"/>
        <v>23100</v>
      </c>
      <c r="AN69" s="13">
        <f t="shared" si="136"/>
        <v>0</v>
      </c>
      <c r="AO69" s="13">
        <f t="shared" si="136"/>
        <v>0</v>
      </c>
      <c r="AP69" s="13">
        <f t="shared" si="136"/>
        <v>24000</v>
      </c>
      <c r="AQ69" s="13">
        <f t="shared" si="136"/>
        <v>0</v>
      </c>
      <c r="AR69" s="13">
        <f t="shared" si="136"/>
        <v>0</v>
      </c>
      <c r="AS69" s="13">
        <f t="shared" si="136"/>
        <v>24000</v>
      </c>
      <c r="AT69" s="68">
        <f>AM69-AS69</f>
        <v>-900</v>
      </c>
      <c r="AU69" s="268">
        <f t="shared" si="67"/>
        <v>1.0389610389610389</v>
      </c>
      <c r="AV69" s="13">
        <f t="shared" si="44"/>
        <v>23100</v>
      </c>
      <c r="AW69" s="13">
        <f t="shared" si="119"/>
        <v>0</v>
      </c>
      <c r="AX69" s="13">
        <f t="shared" si="119"/>
        <v>24000</v>
      </c>
      <c r="AY69" s="13">
        <f t="shared" si="119"/>
        <v>0</v>
      </c>
      <c r="AZ69" s="13">
        <f t="shared" si="119"/>
        <v>0</v>
      </c>
      <c r="BA69" s="13">
        <f t="shared" si="120"/>
        <v>24000</v>
      </c>
      <c r="BB69" s="68">
        <f t="shared" si="68"/>
        <v>-900</v>
      </c>
      <c r="BC69" s="268">
        <f t="shared" si="69"/>
        <v>1.0389610389610389</v>
      </c>
      <c r="BD69" s="13">
        <f t="shared" si="46"/>
        <v>23100</v>
      </c>
      <c r="BE69" s="13">
        <f>SUMIFS(SALIDAS_BIT,FECHA_BIT,"&gt;="&amp;BE$2,FECHA_BIT,"&lt;="&amp;BE$3,CLAVE_BIT,$A69)+SUMIFS(SALIDAS_BOV1,FECHA_BOV1,"&gt;="&amp;BE$2,FECHA_BOV1,"&lt;="&amp;BE$3,CLAVE_BOV1,$A69)+SUMIFS(SALIDAS_BOV2,FECHA_BOV2,"&gt;="&amp;BE$2,FECHA_BOV2,"&lt;="&amp;BE$3,CLAVE_BOV2,$A69)+SUMIFS(SALIDAS_BOV3,FECHA_BOV3,"&gt;="&amp;BE$2,FECHA_BOV3,"&lt;="&amp;BE$3,CLAVE_BOV3,$A69)+SUMIFS(SALIDAS_TC,FECHA_TC,"&gt;="&amp;BE$2,FECHA_TC,"&lt;="&amp;BE$3,CLAVE_TC,$A69)+SUMIFS(SALIDAS_COMB,FECHA_COMB,"&gt;="&amp;BE$2,FECHA_COMB,"&lt;="&amp;BE$3,CLAVE_COMB,$A69)+SUMIFS(SALIDAS_DES,FECHA_DESGLOSEN,"&gt;="&amp;BE$2,FECHA_DESGLOSEN,"&lt;="&amp;BE$3,CLAVE_DESGLOSE,$A69)</f>
        <v>0</v>
      </c>
      <c r="BF69" s="13">
        <f>SUMIFS(SALIDAS_BIT,FECHA_BIT,"&gt;="&amp;BF$2,FECHA_BIT,"&lt;="&amp;BF$3,CLAVE_BIT,$A69)+SUMIFS(SALIDAS_BOV1,FECHA_BOV1,"&gt;="&amp;BF$2,FECHA_BOV1,"&lt;="&amp;BF$3,CLAVE_BOV1,$A69)+SUMIFS(SALIDAS_BOV2,FECHA_BOV2,"&gt;="&amp;BF$2,FECHA_BOV2,"&lt;="&amp;BF$3,CLAVE_BOV2,$A69)+SUMIFS(SALIDAS_BOV3,FECHA_BOV3,"&gt;="&amp;BF$2,FECHA_BOV3,"&lt;="&amp;BF$3,CLAVE_BOV3,$A69)+SUMIFS(SALIDAS_TC,FECHA_TC,"&gt;="&amp;BF$2,FECHA_TC,"&lt;="&amp;BF$3,CLAVE_TC,$A69)+SUMIFS(SALIDAS_COMB,FECHA_COMB,"&gt;="&amp;BF$2,FECHA_COMB,"&lt;="&amp;BF$3,CLAVE_COMB,$A69)+SUMIFS(SALIDAS_DES,FECHA_DESGLOSEN,"&gt;="&amp;BF$2,FECHA_DESGLOSEN,"&lt;="&amp;BF$3,CLAVE_DESGLOSE,$A69)</f>
        <v>0</v>
      </c>
      <c r="BG69" s="13">
        <f>SUMIFS(SALIDAS_BIT,FECHA_BIT,"&gt;="&amp;BG$2,FECHA_BIT,"&lt;="&amp;BG$3,CLAVE_BIT,$A69)+SUMIFS(SALIDAS_BOV1,FECHA_BOV1,"&gt;="&amp;BG$2,FECHA_BOV1,"&lt;="&amp;BG$3,CLAVE_BOV1,$A69)+SUMIFS(SALIDAS_BOV2,FECHA_BOV2,"&gt;="&amp;BG$2,FECHA_BOV2,"&lt;="&amp;BG$3,CLAVE_BOV2,$A69)+SUMIFS(SALIDAS_BOV3,FECHA_BOV3,"&gt;="&amp;BG$2,FECHA_BOV3,"&lt;="&amp;BG$3,CLAVE_BOV3,$A69)+SUMIFS(SALIDAS_TC,FECHA_TC,"&gt;="&amp;BG$2,FECHA_TC,"&lt;="&amp;BG$3,CLAVE_TC,$A69)+SUMIFS(SALIDAS_COMB,FECHA_COMB,"&gt;="&amp;BG$2,FECHA_COMB,"&lt;="&amp;BG$3,CLAVE_COMB,$A69)+SUMIFS(SALIDAS_DES,FECHA_DESGLOSEN,"&gt;="&amp;BG$2,FECHA_DESGLOSEN,"&lt;="&amp;BG$3,CLAVE_DESGLOSE,$A69)</f>
        <v>24000</v>
      </c>
      <c r="BH69" s="13">
        <f>SUMIFS(SALIDAS_BIT,FECHA_BIT,"&gt;="&amp;BH$2,FECHA_BIT,"&lt;="&amp;BH$3,CLAVE_BIT,$A69)+SUMIFS(SALIDAS_BOV1,FECHA_BOV1,"&gt;="&amp;BH$2,FECHA_BOV1,"&lt;="&amp;BH$3,CLAVE_BOV1,$A69)+SUMIFS(SALIDAS_BOV2,FECHA_BOV2,"&gt;="&amp;BH$2,FECHA_BOV2,"&lt;="&amp;BH$3,CLAVE_BOV2,$A69)+SUMIFS(SALIDAS_BOV3,FECHA_BOV3,"&gt;="&amp;BH$2,FECHA_BOV3,"&lt;="&amp;BH$3,CLAVE_BOV3,$A69)+SUMIFS(SALIDAS_TC,FECHA_TC,"&gt;="&amp;BH$2,FECHA_TC,"&lt;="&amp;BH$3,CLAVE_TC,$A69)+SUMIFS(SALIDAS_COMB,FECHA_COMB,"&gt;="&amp;BH$2,FECHA_COMB,"&lt;="&amp;BH$3,CLAVE_COMB,$A69)+SUMIFS(SALIDAS_DES,FECHA_DESGLOSEN,"&gt;="&amp;BH$2,FECHA_DESGLOSEN,"&lt;="&amp;BH$3,CLAVE_DESGLOSE,$A69)</f>
        <v>0</v>
      </c>
      <c r="BI69" s="13">
        <f t="shared" si="121"/>
        <v>24000</v>
      </c>
      <c r="BJ69" s="68">
        <f t="shared" si="70"/>
        <v>-900</v>
      </c>
      <c r="BK69" s="268">
        <f t="shared" si="71"/>
        <v>1.0389610389610389</v>
      </c>
      <c r="BL69" s="13">
        <f t="shared" si="47"/>
        <v>23100</v>
      </c>
      <c r="BM69" s="13">
        <f>SUMIFS(SALIDAS_BIT,FECHA_BIT,"&gt;="&amp;BM$2,FECHA_BIT,"&lt;="&amp;BM$3,CLAVE_BIT,$A69)+SUMIFS(SALIDAS_BOV1,FECHA_BOV1,"&gt;="&amp;BM$2,FECHA_BOV1,"&lt;="&amp;BM$3,CLAVE_BOV1,$A69)+SUMIFS(SALIDAS_BOV2,FECHA_BOV2,"&gt;="&amp;BM$2,FECHA_BOV2,"&lt;="&amp;BM$3,CLAVE_BOV2,$A69)+SUMIFS(SALIDAS_BOV3,FECHA_BOV3,"&gt;="&amp;BM$2,FECHA_BOV3,"&lt;="&amp;BM$3,CLAVE_BOV3,$A69)+SUMIFS(SALIDAS_TC,FECHA_TC,"&gt;="&amp;BM$2,FECHA_TC,"&lt;="&amp;BM$3,CLAVE_TC,$A69)+SUMIFS(SALIDAS_COMB,FECHA_COMB,"&gt;="&amp;BM$2,FECHA_COMB,"&lt;="&amp;BM$3,CLAVE_COMB,$A69)+SUMIFS(SALIDAS_DES,FECHA_DESGLOSEN,"&gt;="&amp;BM$2,FECHA_DESGLOSEN,"&lt;="&amp;BM$3,CLAVE_DESGLOSE,$A69)</f>
        <v>0</v>
      </c>
      <c r="BN69" s="13">
        <f>SUMIFS(SALIDAS_BIT,FECHA_BIT,"&gt;="&amp;BN$2,FECHA_BIT,"&lt;="&amp;BN$3,CLAVE_BIT,$A69)+SUMIFS(SALIDAS_BOV1,FECHA_BOV1,"&gt;="&amp;BN$2,FECHA_BOV1,"&lt;="&amp;BN$3,CLAVE_BOV1,$A69)+SUMIFS(SALIDAS_BOV2,FECHA_BOV2,"&gt;="&amp;BN$2,FECHA_BOV2,"&lt;="&amp;BN$3,CLAVE_BOV2,$A69)+SUMIFS(SALIDAS_BOV3,FECHA_BOV3,"&gt;="&amp;BN$2,FECHA_BOV3,"&lt;="&amp;BN$3,CLAVE_BOV3,$A69)+SUMIFS(SALIDAS_TC,FECHA_TC,"&gt;="&amp;BN$2,FECHA_TC,"&lt;="&amp;BN$3,CLAVE_TC,$A69)+SUMIFS(SALIDAS_COMB,FECHA_COMB,"&gt;="&amp;BN$2,FECHA_COMB,"&lt;="&amp;BN$3,CLAVE_COMB,$A69)+SUMIFS(SALIDAS_DES,FECHA_DESGLOSEN,"&gt;="&amp;BN$2,FECHA_DESGLOSEN,"&lt;="&amp;BN$3,CLAVE_DESGLOSE,$A69)</f>
        <v>0</v>
      </c>
      <c r="BO69" s="13">
        <f>SUMIFS(SALIDAS_BIT,FECHA_BIT,"&gt;="&amp;BO$2,FECHA_BIT,"&lt;="&amp;BO$3,CLAVE_BIT,$A69)+SUMIFS(SALIDAS_BOV1,FECHA_BOV1,"&gt;="&amp;BO$2,FECHA_BOV1,"&lt;="&amp;BO$3,CLAVE_BOV1,$A69)+SUMIFS(SALIDAS_BOV2,FECHA_BOV2,"&gt;="&amp;BO$2,FECHA_BOV2,"&lt;="&amp;BO$3,CLAVE_BOV2,$A69)+SUMIFS(SALIDAS_BOV3,FECHA_BOV3,"&gt;="&amp;BO$2,FECHA_BOV3,"&lt;="&amp;BO$3,CLAVE_BOV3,$A69)+SUMIFS(SALIDAS_TC,FECHA_TC,"&gt;="&amp;BO$2,FECHA_TC,"&lt;="&amp;BO$3,CLAVE_TC,$A69)+SUMIFS(SALIDAS_COMB,FECHA_COMB,"&gt;="&amp;BO$2,FECHA_COMB,"&lt;="&amp;BO$3,CLAVE_COMB,$A69)+SUMIFS(SALIDAS_DES,FECHA_DESGLOSEN,"&gt;="&amp;BO$2,FECHA_DESGLOSEN,"&lt;="&amp;BO$3,CLAVE_DESGLOSE,$A69)</f>
        <v>24000</v>
      </c>
      <c r="BP69" s="13">
        <f>SUMIFS(SALIDAS_BIT,FECHA_BIT,"&gt;="&amp;BP$2,FECHA_BIT,"&lt;="&amp;BP$3,CLAVE_BIT,$A69)+SUMIFS(SALIDAS_BOV1,FECHA_BOV1,"&gt;="&amp;BP$2,FECHA_BOV1,"&lt;="&amp;BP$3,CLAVE_BOV1,$A69)+SUMIFS(SALIDAS_BOV2,FECHA_BOV2,"&gt;="&amp;BP$2,FECHA_BOV2,"&lt;="&amp;BP$3,CLAVE_BOV2,$A69)+SUMIFS(SALIDAS_BOV3,FECHA_BOV3,"&gt;="&amp;BP$2,FECHA_BOV3,"&lt;="&amp;BP$3,CLAVE_BOV3,$A69)+SUMIFS(SALIDAS_TC,FECHA_TC,"&gt;="&amp;BP$2,FECHA_TC,"&lt;="&amp;BP$3,CLAVE_TC,$A69)+SUMIFS(SALIDAS_COMB,FECHA_COMB,"&gt;="&amp;BP$2,FECHA_COMB,"&lt;="&amp;BP$3,CLAVE_COMB,$A69)+SUMIFS(SALIDAS_DES,FECHA_DESGLOSEN,"&gt;="&amp;BP$2,FECHA_DESGLOSEN,"&lt;="&amp;BP$3,CLAVE_DESGLOSE,$A69)</f>
        <v>0</v>
      </c>
      <c r="BQ69" s="13">
        <f>SUMIFS(SALIDAS_BIT,FECHA_BIT,"&gt;="&amp;BQ$2,FECHA_BIT,"&lt;="&amp;BQ$3,CLAVE_BIT,$A69)+SUMIFS(SALIDAS_BOV1,FECHA_BOV1,"&gt;="&amp;BQ$2,FECHA_BOV1,"&lt;="&amp;BQ$3,CLAVE_BOV1,$A69)+SUMIFS(SALIDAS_BOV2,FECHA_BOV2,"&gt;="&amp;BQ$2,FECHA_BOV2,"&lt;="&amp;BQ$3,CLAVE_BOV2,$A69)+SUMIFS(SALIDAS_BOV3,FECHA_BOV3,"&gt;="&amp;BQ$2,FECHA_BOV3,"&lt;="&amp;BQ$3,CLAVE_BOV3,$A69)+SUMIFS(SALIDAS_TC,FECHA_TC,"&gt;="&amp;BQ$2,FECHA_TC,"&lt;="&amp;BQ$3,CLAVE_TC,$A69)+SUMIFS(SALIDAS_COMB,FECHA_COMB,"&gt;="&amp;BQ$2,FECHA_COMB,"&lt;="&amp;BQ$3,CLAVE_COMB,$A69)+SUMIFS(SALIDAS_DES,FECHA_DESGLOSEN,"&gt;="&amp;BQ$2,FECHA_DESGLOSEN,"&lt;="&amp;BQ$3,CLAVE_DESGLOSE,$A69)</f>
        <v>0</v>
      </c>
      <c r="BR69" s="13">
        <f t="shared" si="137"/>
        <v>24000</v>
      </c>
      <c r="BS69" s="68">
        <f t="shared" si="72"/>
        <v>-900</v>
      </c>
      <c r="BT69" s="268">
        <f t="shared" si="73"/>
        <v>1.0389610389610389</v>
      </c>
      <c r="BU69" s="13">
        <f t="shared" si="49"/>
        <v>23100</v>
      </c>
      <c r="BV69" s="13">
        <f t="shared" si="90"/>
        <v>0</v>
      </c>
      <c r="BW69" s="13">
        <f t="shared" si="90"/>
        <v>0</v>
      </c>
      <c r="BX69" s="13">
        <f t="shared" si="90"/>
        <v>24000</v>
      </c>
      <c r="BY69" s="13">
        <f t="shared" si="90"/>
        <v>0</v>
      </c>
      <c r="BZ69" s="13">
        <f t="shared" si="138"/>
        <v>24000</v>
      </c>
      <c r="CA69" s="68">
        <f t="shared" si="74"/>
        <v>-900</v>
      </c>
      <c r="CB69" s="268">
        <f t="shared" si="75"/>
        <v>1.0389610389610389</v>
      </c>
      <c r="CC69" s="13">
        <f t="shared" si="51"/>
        <v>23100</v>
      </c>
      <c r="CD69" s="13">
        <f t="shared" si="91"/>
        <v>0</v>
      </c>
      <c r="CE69" s="13">
        <f t="shared" si="91"/>
        <v>0</v>
      </c>
      <c r="CF69" s="13">
        <f t="shared" si="91"/>
        <v>0</v>
      </c>
      <c r="CG69" s="13">
        <f t="shared" si="91"/>
        <v>0</v>
      </c>
      <c r="CH69" s="13">
        <f t="shared" si="139"/>
        <v>0</v>
      </c>
      <c r="CI69" s="68">
        <f t="shared" si="76"/>
        <v>23100</v>
      </c>
      <c r="CJ69" s="268">
        <f t="shared" si="77"/>
        <v>0</v>
      </c>
      <c r="CK69" s="13">
        <f t="shared" si="53"/>
        <v>23100</v>
      </c>
      <c r="CL69" s="13">
        <f t="shared" si="92"/>
        <v>0</v>
      </c>
      <c r="CM69" s="13">
        <f t="shared" si="92"/>
        <v>24000</v>
      </c>
      <c r="CN69" s="13">
        <f t="shared" si="92"/>
        <v>0</v>
      </c>
      <c r="CO69" s="13">
        <f t="shared" si="92"/>
        <v>0</v>
      </c>
      <c r="CP69" s="13">
        <f t="shared" si="92"/>
        <v>0</v>
      </c>
      <c r="CQ69" s="13">
        <f t="shared" si="140"/>
        <v>24000</v>
      </c>
      <c r="CR69" s="68">
        <f t="shared" si="78"/>
        <v>-900</v>
      </c>
      <c r="CS69" s="268">
        <f t="shared" si="79"/>
        <v>1.0389610389610389</v>
      </c>
      <c r="CT69" s="68">
        <f t="shared" si="55"/>
        <v>24486</v>
      </c>
      <c r="CU69" s="13">
        <f>SUMIFS(SALIDAS_BIT,FECHA_BIT,"&gt;="&amp;CU$2,FECHA_BIT,"&lt;="&amp;CU$3,CLAVE_BIT,$A69)+SUMIFS(SALIDAS_BOV1,FECHA_BOV1,"&gt;="&amp;CU$2,FECHA_BOV1,"&lt;="&amp;CU$3,CLAVE_BOV1,$A69)+SUMIFS(SALIDAS_BOV2,FECHA_BOV2,"&gt;="&amp;CU$2,FECHA_BOV2,"&lt;="&amp;CU$3,CLAVE_BOV2,$A69)+SUMIFS(SALIDAS_BOV3,FECHA_BOV3,"&gt;="&amp;CU$2,FECHA_BOV3,"&lt;="&amp;CU$3,CLAVE_BOV3,$A69)+SUMIFS(SALIDAS_TC,FECHA_TC,"&gt;="&amp;CU$2,FECHA_TC,"&lt;="&amp;CU$3,CLAVE_TC,$A69)+SUMIFS(SALIDAS_COMB,FECHA_COMB,"&gt;="&amp;CU$2,FECHA_COMB,"&lt;="&amp;CU$3,CLAVE_COMB,$A69)+SUMIFS(SALIDAS_DES,FECHA_DESGLOSEN,"&gt;="&amp;CU$2,FECHA_DESGLOSEN,"&lt;="&amp;CU$3,CLAVE_DESGLOSE,$A69)</f>
        <v>0</v>
      </c>
      <c r="CV69" s="13">
        <f>SUMIFS(SALIDAS_BIT,FECHA_BIT,"&gt;="&amp;CV$2,FECHA_BIT,"&lt;="&amp;CV$3,CLAVE_BIT,$A69)+SUMIFS(SALIDAS_BOV1,FECHA_BOV1,"&gt;="&amp;CV$2,FECHA_BOV1,"&lt;="&amp;CV$3,CLAVE_BOV1,$A69)+SUMIFS(SALIDAS_BOV2,FECHA_BOV2,"&gt;="&amp;CV$2,FECHA_BOV2,"&lt;="&amp;CV$3,CLAVE_BOV2,$A69)+SUMIFS(SALIDAS_BOV3,FECHA_BOV3,"&gt;="&amp;CV$2,FECHA_BOV3,"&lt;="&amp;CV$3,CLAVE_BOV3,$A69)+SUMIFS(SALIDAS_TC,FECHA_TC,"&gt;="&amp;CV$2,FECHA_TC,"&lt;="&amp;CV$3,CLAVE_TC,$A69)+SUMIFS(SALIDAS_COMB,FECHA_COMB,"&gt;="&amp;CV$2,FECHA_COMB,"&lt;="&amp;CV$3,CLAVE_COMB,$A69)+SUMIFS(SALIDAS_DES,FECHA_DESGLOSEN,"&gt;="&amp;CV$2,FECHA_DESGLOSEN,"&lt;="&amp;CV$3,CLAVE_DESGLOSE,$A69)</f>
        <v>0</v>
      </c>
      <c r="CW69" s="13">
        <f>SUMIFS(SALIDAS_BIT,FECHA_BIT,"&gt;="&amp;CW$2,FECHA_BIT,"&lt;="&amp;CW$3,CLAVE_BIT,$A69)+SUMIFS(SALIDAS_BOV1,FECHA_BOV1,"&gt;="&amp;CW$2,FECHA_BOV1,"&lt;="&amp;CW$3,CLAVE_BOV1,$A69)+SUMIFS(SALIDAS_BOV2,FECHA_BOV2,"&gt;="&amp;CW$2,FECHA_BOV2,"&lt;="&amp;CW$3,CLAVE_BOV2,$A69)+SUMIFS(SALIDAS_BOV3,FECHA_BOV3,"&gt;="&amp;CW$2,FECHA_BOV3,"&lt;="&amp;CW$3,CLAVE_BOV3,$A69)+SUMIFS(SALIDAS_TC,FECHA_TC,"&gt;="&amp;CW$2,FECHA_TC,"&lt;="&amp;CW$3,CLAVE_TC,$A69)+SUMIFS(SALIDAS_COMB,FECHA_COMB,"&gt;="&amp;CW$2,FECHA_COMB,"&lt;="&amp;CW$3,CLAVE_COMB,$A69)+SUMIFS(SALIDAS_DES,FECHA_DESGLOSEN,"&gt;="&amp;CW$2,FECHA_DESGLOSEN,"&lt;="&amp;CW$3,CLAVE_DESGLOSE,$A69)</f>
        <v>0</v>
      </c>
      <c r="CX69" s="13">
        <f>SUMIFS(SALIDAS_BIT,FECHA_BIT,"&gt;="&amp;CX$2,FECHA_BIT,"&lt;="&amp;CX$3,CLAVE_BIT,$A69)+SUMIFS(SALIDAS_BOV1,FECHA_BOV1,"&gt;="&amp;CX$2,FECHA_BOV1,"&lt;="&amp;CX$3,CLAVE_BOV1,$A69)+SUMIFS(SALIDAS_BOV2,FECHA_BOV2,"&gt;="&amp;CX$2,FECHA_BOV2,"&lt;="&amp;CX$3,CLAVE_BOV2,$A69)+SUMIFS(SALIDAS_BOV3,FECHA_BOV3,"&gt;="&amp;CX$2,FECHA_BOV3,"&lt;="&amp;CX$3,CLAVE_BOV3,$A69)+SUMIFS(SALIDAS_TC,FECHA_TC,"&gt;="&amp;CX$2,FECHA_TC,"&lt;="&amp;CX$3,CLAVE_TC,$A69)+SUMIFS(SALIDAS_COMB,FECHA_COMB,"&gt;="&amp;CX$2,FECHA_COMB,"&lt;="&amp;CX$3,CLAVE_COMB,$A69)+SUMIFS(SALIDAS_DES,FECHA_DESGLOSEN,"&gt;="&amp;CX$2,FECHA_DESGLOSEN,"&lt;="&amp;CX$3,CLAVE_DESGLOSE,$A69)</f>
        <v>24000</v>
      </c>
      <c r="CY69" s="13">
        <f>SUMIFS(SALIDAS_BIT,FECHA_BIT,"&gt;="&amp;CY$2,FECHA_BIT,"&lt;="&amp;CY$3,CLAVE_BIT,$A69)+SUMIFS(SALIDAS_BOV1,FECHA_BOV1,"&gt;="&amp;CY$2,FECHA_BOV1,"&lt;="&amp;CY$3,CLAVE_BOV1,$A69)+SUMIFS(SALIDAS_BOV2,FECHA_BOV2,"&gt;="&amp;CY$2,FECHA_BOV2,"&lt;="&amp;CY$3,CLAVE_BOV2,$A69)+SUMIFS(SALIDAS_BOV3,FECHA_BOV3,"&gt;="&amp;CY$2,FECHA_BOV3,"&lt;="&amp;CY$3,CLAVE_BOV3,$A69)+SUMIFS(SALIDAS_TC,FECHA_TC,"&gt;="&amp;CY$2,FECHA_TC,"&lt;="&amp;CY$3,CLAVE_TC,$A69)+SUMIFS(SALIDAS_COMB,FECHA_COMB,"&gt;="&amp;CY$2,FECHA_COMB,"&lt;="&amp;CY$3,CLAVE_COMB,$A69)+SUMIFS(SALIDAS_DES,FECHA_DESGLOSEN,"&gt;="&amp;CY$2,FECHA_DESGLOSEN,"&lt;="&amp;CY$3,CLAVE_DESGLOSE,$A69)</f>
        <v>24000</v>
      </c>
      <c r="CZ69" s="68">
        <f t="shared" si="80"/>
        <v>486</v>
      </c>
      <c r="DB69" s="17">
        <f>F69+N69+W69+AE69+AM69+AV69+BD69+BL69+BU69+CC69+CK69</f>
        <v>254100</v>
      </c>
      <c r="DC69" s="17">
        <f>K69+T69+AB69+AJ69+AS69+BA69+BI69+BR69+BZ69+CH69+CQ69</f>
        <v>216000</v>
      </c>
    </row>
    <row r="70" spans="1:107" hidden="1">
      <c r="A70" s="12" t="str">
        <f t="shared" si="57"/>
        <v>FINANZASRENTASA8</v>
      </c>
      <c r="B70" s="12">
        <v>72</v>
      </c>
      <c r="C70" t="s">
        <v>23</v>
      </c>
      <c r="D70" s="12" t="s">
        <v>169</v>
      </c>
      <c r="E70" s="12" t="s">
        <v>94</v>
      </c>
      <c r="F70" s="259">
        <f t="shared" si="58"/>
        <v>127806.11</v>
      </c>
      <c r="G70" s="13">
        <f t="shared" si="132"/>
        <v>0</v>
      </c>
      <c r="H70" s="13">
        <f t="shared" si="132"/>
        <v>88160</v>
      </c>
      <c r="I70" s="13">
        <f t="shared" si="132"/>
        <v>0</v>
      </c>
      <c r="J70" s="13">
        <f t="shared" si="132"/>
        <v>93230.01</v>
      </c>
      <c r="K70" s="13">
        <f t="shared" si="132"/>
        <v>181390.01</v>
      </c>
      <c r="L70" s="68">
        <f t="shared" si="59"/>
        <v>-53583.900000000009</v>
      </c>
      <c r="M70" s="268">
        <f t="shared" si="60"/>
        <v>1.4192592983230614</v>
      </c>
      <c r="N70" s="13">
        <f t="shared" si="36"/>
        <v>127806.11</v>
      </c>
      <c r="O70" s="13">
        <f t="shared" si="133"/>
        <v>0</v>
      </c>
      <c r="P70" s="13">
        <f t="shared" si="133"/>
        <v>0</v>
      </c>
      <c r="Q70" s="13">
        <f t="shared" si="133"/>
        <v>0</v>
      </c>
      <c r="R70" s="13">
        <f t="shared" si="133"/>
        <v>121354.11</v>
      </c>
      <c r="S70" s="13">
        <f t="shared" si="133"/>
        <v>0</v>
      </c>
      <c r="T70" s="13">
        <f t="shared" si="133"/>
        <v>121354.11</v>
      </c>
      <c r="U70" s="68">
        <f t="shared" si="61"/>
        <v>6452</v>
      </c>
      <c r="V70" s="268">
        <f t="shared" si="62"/>
        <v>0.9495172805118629</v>
      </c>
      <c r="W70" s="13">
        <f t="shared" si="38"/>
        <v>127806.11</v>
      </c>
      <c r="X70" s="13">
        <f t="shared" si="134"/>
        <v>0</v>
      </c>
      <c r="Y70" s="13">
        <f t="shared" si="134"/>
        <v>0</v>
      </c>
      <c r="Z70" s="13">
        <f t="shared" si="134"/>
        <v>0</v>
      </c>
      <c r="AA70" s="13">
        <f t="shared" si="134"/>
        <v>121393.69</v>
      </c>
      <c r="AB70" s="13">
        <f t="shared" si="134"/>
        <v>121393.69</v>
      </c>
      <c r="AC70" s="68">
        <f t="shared" si="63"/>
        <v>6412.4199999999983</v>
      </c>
      <c r="AD70" s="268">
        <f t="shared" si="64"/>
        <v>0.94982696836637936</v>
      </c>
      <c r="AE70" s="13">
        <f t="shared" si="40"/>
        <v>127806.11</v>
      </c>
      <c r="AF70" s="13">
        <f t="shared" si="135"/>
        <v>0</v>
      </c>
      <c r="AG70" s="13">
        <f t="shared" si="135"/>
        <v>0</v>
      </c>
      <c r="AH70" s="13">
        <f t="shared" si="135"/>
        <v>43827.88</v>
      </c>
      <c r="AI70" s="13">
        <f t="shared" si="135"/>
        <v>78230.009999999995</v>
      </c>
      <c r="AJ70" s="13">
        <f t="shared" si="135"/>
        <v>122057.88999999998</v>
      </c>
      <c r="AK70" s="68">
        <f t="shared" si="65"/>
        <v>5748.2200000000157</v>
      </c>
      <c r="AL70" s="268">
        <f t="shared" si="66"/>
        <v>0.95502390300432416</v>
      </c>
      <c r="AM70" s="13">
        <f t="shared" si="42"/>
        <v>127806.11</v>
      </c>
      <c r="AN70" s="13">
        <f t="shared" si="136"/>
        <v>0</v>
      </c>
      <c r="AO70" s="13">
        <f t="shared" si="136"/>
        <v>0</v>
      </c>
      <c r="AP70" s="13">
        <f t="shared" si="136"/>
        <v>122967.34</v>
      </c>
      <c r="AQ70" s="13">
        <f t="shared" si="136"/>
        <v>0</v>
      </c>
      <c r="AR70" s="13">
        <f t="shared" si="136"/>
        <v>12249.99</v>
      </c>
      <c r="AS70" s="13">
        <f t="shared" si="136"/>
        <v>135217.32999999999</v>
      </c>
      <c r="AT70" s="68">
        <f>AM70-AS70</f>
        <v>-7411.2199999999866</v>
      </c>
      <c r="AU70" s="268">
        <f t="shared" si="67"/>
        <v>1.0579879944706867</v>
      </c>
      <c r="AV70" s="13">
        <f t="shared" si="44"/>
        <v>127806.11</v>
      </c>
      <c r="AW70" s="13">
        <f t="shared" si="119"/>
        <v>0</v>
      </c>
      <c r="AX70" s="13">
        <f t="shared" si="119"/>
        <v>0</v>
      </c>
      <c r="AY70" s="13">
        <f t="shared" si="119"/>
        <v>0</v>
      </c>
      <c r="AZ70" s="13">
        <f t="shared" si="119"/>
        <v>129290</v>
      </c>
      <c r="BA70" s="13">
        <f t="shared" si="120"/>
        <v>129290</v>
      </c>
      <c r="BB70" s="68">
        <f t="shared" si="68"/>
        <v>-1483.8899999999994</v>
      </c>
      <c r="BC70" s="268">
        <f t="shared" si="69"/>
        <v>1.0116104777776274</v>
      </c>
      <c r="BD70" s="13">
        <f t="shared" si="46"/>
        <v>127806.11</v>
      </c>
      <c r="BE70" s="13">
        <f>SUMIFS(SALIDAS_BIT,FECHA_BIT,"&gt;="&amp;BE$2,FECHA_BIT,"&lt;="&amp;BE$3,CLAVE_BIT,$A70)+SUMIFS(SALIDAS_BOV1,FECHA_BOV1,"&gt;="&amp;BE$2,FECHA_BOV1,"&lt;="&amp;BE$3,CLAVE_BOV1,$A70)+SUMIFS(SALIDAS_BOV2,FECHA_BOV2,"&gt;="&amp;BE$2,FECHA_BOV2,"&lt;="&amp;BE$3,CLAVE_BOV2,$A70)+SUMIFS(SALIDAS_BOV3,FECHA_BOV3,"&gt;="&amp;BE$2,FECHA_BOV3,"&lt;="&amp;BE$3,CLAVE_BOV3,$A70)+SUMIFS(SALIDAS_TC,FECHA_TC,"&gt;="&amp;BE$2,FECHA_TC,"&lt;="&amp;BE$3,CLAVE_TC,$A70)+SUMIFS(SALIDAS_COMB,FECHA_COMB,"&gt;="&amp;BE$2,FECHA_COMB,"&lt;="&amp;BE$3,CLAVE_COMB,$A70)+SUMIFS(SALIDAS_DES,FECHA_DESGLOSEN,"&gt;="&amp;BE$2,FECHA_DESGLOSEN,"&lt;="&amp;BE$3,CLAVE_DESGLOSE,$A70)</f>
        <v>0</v>
      </c>
      <c r="BF70" s="13">
        <f>SUMIFS(SALIDAS_BIT,FECHA_BIT,"&gt;="&amp;BF$2,FECHA_BIT,"&lt;="&amp;BF$3,CLAVE_BIT,$A70)+SUMIFS(SALIDAS_BOV1,FECHA_BOV1,"&gt;="&amp;BF$2,FECHA_BOV1,"&lt;="&amp;BF$3,CLAVE_BOV1,$A70)+SUMIFS(SALIDAS_BOV2,FECHA_BOV2,"&gt;="&amp;BF$2,FECHA_BOV2,"&lt;="&amp;BF$3,CLAVE_BOV2,$A70)+SUMIFS(SALIDAS_BOV3,FECHA_BOV3,"&gt;="&amp;BF$2,FECHA_BOV3,"&lt;="&amp;BF$3,CLAVE_BOV3,$A70)+SUMIFS(SALIDAS_TC,FECHA_TC,"&gt;="&amp;BF$2,FECHA_TC,"&lt;="&amp;BF$3,CLAVE_TC,$A70)+SUMIFS(SALIDAS_COMB,FECHA_COMB,"&gt;="&amp;BF$2,FECHA_COMB,"&lt;="&amp;BF$3,CLAVE_COMB,$A70)+SUMIFS(SALIDAS_DES,FECHA_DESGLOSEN,"&gt;="&amp;BF$2,FECHA_DESGLOSEN,"&lt;="&amp;BF$3,CLAVE_DESGLOSE,$A70)</f>
        <v>0</v>
      </c>
      <c r="BG70" s="13">
        <f>SUMIFS(SALIDAS_BIT,FECHA_BIT,"&gt;="&amp;BG$2,FECHA_BIT,"&lt;="&amp;BG$3,CLAVE_BIT,$A70)+SUMIFS(SALIDAS_BOV1,FECHA_BOV1,"&gt;="&amp;BG$2,FECHA_BOV1,"&lt;="&amp;BG$3,CLAVE_BOV1,$A70)+SUMIFS(SALIDAS_BOV2,FECHA_BOV2,"&gt;="&amp;BG$2,FECHA_BOV2,"&lt;="&amp;BG$3,CLAVE_BOV2,$A70)+SUMIFS(SALIDAS_BOV3,FECHA_BOV3,"&gt;="&amp;BG$2,FECHA_BOV3,"&lt;="&amp;BG$3,CLAVE_BOV3,$A70)+SUMIFS(SALIDAS_TC,FECHA_TC,"&gt;="&amp;BG$2,FECHA_TC,"&lt;="&amp;BG$3,CLAVE_TC,$A70)+SUMIFS(SALIDAS_COMB,FECHA_COMB,"&gt;="&amp;BG$2,FECHA_COMB,"&lt;="&amp;BG$3,CLAVE_COMB,$A70)+SUMIFS(SALIDAS_DES,FECHA_DESGLOSEN,"&gt;="&amp;BG$2,FECHA_DESGLOSEN,"&lt;="&amp;BG$3,CLAVE_DESGLOSE,$A70)</f>
        <v>45425.440000000002</v>
      </c>
      <c r="BH70" s="13">
        <f>SUMIFS(SALIDAS_BIT,FECHA_BIT,"&gt;="&amp;BH$2,FECHA_BIT,"&lt;="&amp;BH$3,CLAVE_BIT,$A70)+SUMIFS(SALIDAS_BOV1,FECHA_BOV1,"&gt;="&amp;BH$2,FECHA_BOV1,"&lt;="&amp;BH$3,CLAVE_BOV1,$A70)+SUMIFS(SALIDAS_BOV2,FECHA_BOV2,"&gt;="&amp;BH$2,FECHA_BOV2,"&lt;="&amp;BH$3,CLAVE_BOV2,$A70)+SUMIFS(SALIDAS_BOV3,FECHA_BOV3,"&gt;="&amp;BH$2,FECHA_BOV3,"&lt;="&amp;BH$3,CLAVE_BOV3,$A70)+SUMIFS(SALIDAS_TC,FECHA_TC,"&gt;="&amp;BH$2,FECHA_TC,"&lt;="&amp;BH$3,CLAVE_TC,$A70)+SUMIFS(SALIDAS_COMB,FECHA_COMB,"&gt;="&amp;BH$2,FECHA_COMB,"&lt;="&amp;BH$3,CLAVE_COMB,$A70)+SUMIFS(SALIDAS_DES,FECHA_DESGLOSEN,"&gt;="&amp;BH$2,FECHA_DESGLOSEN,"&lt;="&amp;BH$3,CLAVE_DESGLOSE,$A70)</f>
        <v>83706.100000000006</v>
      </c>
      <c r="BI70" s="13">
        <f t="shared" si="121"/>
        <v>129131.54000000001</v>
      </c>
      <c r="BJ70" s="68">
        <f t="shared" si="70"/>
        <v>-1325.4300000000076</v>
      </c>
      <c r="BK70" s="268">
        <f t="shared" si="71"/>
        <v>1.0103706309502731</v>
      </c>
      <c r="BL70" s="13">
        <f t="shared" si="47"/>
        <v>127806.11</v>
      </c>
      <c r="BM70" s="13">
        <f>SUMIFS(SALIDAS_BIT,FECHA_BIT,"&gt;="&amp;BM$2,FECHA_BIT,"&lt;="&amp;BM$3,CLAVE_BIT,$A70)+SUMIFS(SALIDAS_BOV1,FECHA_BOV1,"&gt;="&amp;BM$2,FECHA_BOV1,"&lt;="&amp;BM$3,CLAVE_BOV1,$A70)+SUMIFS(SALIDAS_BOV2,FECHA_BOV2,"&gt;="&amp;BM$2,FECHA_BOV2,"&lt;="&amp;BM$3,CLAVE_BOV2,$A70)+SUMIFS(SALIDAS_BOV3,FECHA_BOV3,"&gt;="&amp;BM$2,FECHA_BOV3,"&lt;="&amp;BM$3,CLAVE_BOV3,$A70)+SUMIFS(SALIDAS_TC,FECHA_TC,"&gt;="&amp;BM$2,FECHA_TC,"&lt;="&amp;BM$3,CLAVE_TC,$A70)+SUMIFS(SALIDAS_COMB,FECHA_COMB,"&gt;="&amp;BM$2,FECHA_COMB,"&lt;="&amp;BM$3,CLAVE_COMB,$A70)+SUMIFS(SALIDAS_DES,FECHA_DESGLOSEN,"&gt;="&amp;BM$2,FECHA_DESGLOSEN,"&lt;="&amp;BM$3,CLAVE_DESGLOSE,$A70)</f>
        <v>0</v>
      </c>
      <c r="BN70" s="13">
        <f>SUMIFS(SALIDAS_BIT,FECHA_BIT,"&gt;="&amp;BN$2,FECHA_BIT,"&lt;="&amp;BN$3,CLAVE_BIT,$A70)+SUMIFS(SALIDAS_BOV1,FECHA_BOV1,"&gt;="&amp;BN$2,FECHA_BOV1,"&lt;="&amp;BN$3,CLAVE_BOV1,$A70)+SUMIFS(SALIDAS_BOV2,FECHA_BOV2,"&gt;="&amp;BN$2,FECHA_BOV2,"&lt;="&amp;BN$3,CLAVE_BOV2,$A70)+SUMIFS(SALIDAS_BOV3,FECHA_BOV3,"&gt;="&amp;BN$2,FECHA_BOV3,"&lt;="&amp;BN$3,CLAVE_BOV3,$A70)+SUMIFS(SALIDAS_TC,FECHA_TC,"&gt;="&amp;BN$2,FECHA_TC,"&lt;="&amp;BN$3,CLAVE_TC,$A70)+SUMIFS(SALIDAS_COMB,FECHA_COMB,"&gt;="&amp;BN$2,FECHA_COMB,"&lt;="&amp;BN$3,CLAVE_COMB,$A70)+SUMIFS(SALIDAS_DES,FECHA_DESGLOSEN,"&gt;="&amp;BN$2,FECHA_DESGLOSEN,"&lt;="&amp;BN$3,CLAVE_DESGLOSE,$A70)</f>
        <v>0</v>
      </c>
      <c r="BO70" s="13">
        <f>SUMIFS(SALIDAS_BIT,FECHA_BIT,"&gt;="&amp;BO$2,FECHA_BIT,"&lt;="&amp;BO$3,CLAVE_BIT,$A70)+SUMIFS(SALIDAS_BOV1,FECHA_BOV1,"&gt;="&amp;BO$2,FECHA_BOV1,"&lt;="&amp;BO$3,CLAVE_BOV1,$A70)+SUMIFS(SALIDAS_BOV2,FECHA_BOV2,"&gt;="&amp;BO$2,FECHA_BOV2,"&lt;="&amp;BO$3,CLAVE_BOV2,$A70)+SUMIFS(SALIDAS_BOV3,FECHA_BOV3,"&gt;="&amp;BO$2,FECHA_BOV3,"&lt;="&amp;BO$3,CLAVE_BOV3,$A70)+SUMIFS(SALIDAS_TC,FECHA_TC,"&gt;="&amp;BO$2,FECHA_TC,"&lt;="&amp;BO$3,CLAVE_TC,$A70)+SUMIFS(SALIDAS_COMB,FECHA_COMB,"&gt;="&amp;BO$2,FECHA_COMB,"&lt;="&amp;BO$3,CLAVE_COMB,$A70)+SUMIFS(SALIDAS_DES,FECHA_DESGLOSEN,"&gt;="&amp;BO$2,FECHA_DESGLOSEN,"&lt;="&amp;BO$3,CLAVE_DESGLOSE,$A70)</f>
        <v>0</v>
      </c>
      <c r="BP70" s="13">
        <f>SUMIFS(SALIDAS_BIT,FECHA_BIT,"&gt;="&amp;BP$2,FECHA_BIT,"&lt;="&amp;BP$3,CLAVE_BIT,$A70)+SUMIFS(SALIDAS_BOV1,FECHA_BOV1,"&gt;="&amp;BP$2,FECHA_BOV1,"&lt;="&amp;BP$3,CLAVE_BOV1,$A70)+SUMIFS(SALIDAS_BOV2,FECHA_BOV2,"&gt;="&amp;BP$2,FECHA_BOV2,"&lt;="&amp;BP$3,CLAVE_BOV2,$A70)+SUMIFS(SALIDAS_BOV3,FECHA_BOV3,"&gt;="&amp;BP$2,FECHA_BOV3,"&lt;="&amp;BP$3,CLAVE_BOV3,$A70)+SUMIFS(SALIDAS_TC,FECHA_TC,"&gt;="&amp;BP$2,FECHA_TC,"&lt;="&amp;BP$3,CLAVE_TC,$A70)+SUMIFS(SALIDAS_COMB,FECHA_COMB,"&gt;="&amp;BP$2,FECHA_COMB,"&lt;="&amp;BP$3,CLAVE_COMB,$A70)+SUMIFS(SALIDAS_DES,FECHA_DESGLOSEN,"&gt;="&amp;BP$2,FECHA_DESGLOSEN,"&lt;="&amp;BP$3,CLAVE_DESGLOSE,$A70)</f>
        <v>0</v>
      </c>
      <c r="BQ70" s="13">
        <f>SUMIFS(SALIDAS_BIT,FECHA_BIT,"&gt;="&amp;BQ$2,FECHA_BIT,"&lt;="&amp;BQ$3,CLAVE_BIT,$A70)+SUMIFS(SALIDAS_BOV1,FECHA_BOV1,"&gt;="&amp;BQ$2,FECHA_BOV1,"&lt;="&amp;BQ$3,CLAVE_BOV1,$A70)+SUMIFS(SALIDAS_BOV2,FECHA_BOV2,"&gt;="&amp;BQ$2,FECHA_BOV2,"&lt;="&amp;BQ$3,CLAVE_BOV2,$A70)+SUMIFS(SALIDAS_BOV3,FECHA_BOV3,"&gt;="&amp;BQ$2,FECHA_BOV3,"&lt;="&amp;BQ$3,CLAVE_BOV3,$A70)+SUMIFS(SALIDAS_TC,FECHA_TC,"&gt;="&amp;BQ$2,FECHA_TC,"&lt;="&amp;BQ$3,CLAVE_TC,$A70)+SUMIFS(SALIDAS_COMB,FECHA_COMB,"&gt;="&amp;BQ$2,FECHA_COMB,"&lt;="&amp;BQ$3,CLAVE_COMB,$A70)+SUMIFS(SALIDAS_DES,FECHA_DESGLOSEN,"&gt;="&amp;BQ$2,FECHA_DESGLOSEN,"&lt;="&amp;BQ$3,CLAVE_DESGLOSE,$A70)</f>
        <v>129999.07</v>
      </c>
      <c r="BR70" s="13">
        <f t="shared" si="137"/>
        <v>129999.07</v>
      </c>
      <c r="BS70" s="68">
        <f t="shared" si="72"/>
        <v>-2192.9600000000064</v>
      </c>
      <c r="BT70" s="268">
        <f t="shared" si="73"/>
        <v>1.0171584910924838</v>
      </c>
      <c r="BU70" s="13">
        <f t="shared" si="49"/>
        <v>127806.11</v>
      </c>
      <c r="BV70" s="13">
        <f t="shared" si="90"/>
        <v>0</v>
      </c>
      <c r="BW70" s="13">
        <f t="shared" si="90"/>
        <v>0</v>
      </c>
      <c r="BX70" s="13">
        <f t="shared" si="90"/>
        <v>44335.56</v>
      </c>
      <c r="BY70" s="13">
        <f t="shared" si="90"/>
        <v>83706.100000000006</v>
      </c>
      <c r="BZ70" s="13">
        <f t="shared" si="138"/>
        <v>128041.66</v>
      </c>
      <c r="CA70" s="68">
        <f t="shared" si="74"/>
        <v>-235.55000000000291</v>
      </c>
      <c r="CB70" s="268">
        <f t="shared" si="75"/>
        <v>1.0018430261276241</v>
      </c>
      <c r="CC70" s="13">
        <f t="shared" si="51"/>
        <v>127806.11</v>
      </c>
      <c r="CD70" s="13">
        <f t="shared" si="91"/>
        <v>0</v>
      </c>
      <c r="CE70" s="13">
        <f t="shared" si="91"/>
        <v>0</v>
      </c>
      <c r="CF70" s="13">
        <f t="shared" si="91"/>
        <v>45003.68</v>
      </c>
      <c r="CG70" s="13">
        <f t="shared" si="91"/>
        <v>83706.100000000006</v>
      </c>
      <c r="CH70" s="13">
        <f t="shared" si="139"/>
        <v>128709.78</v>
      </c>
      <c r="CI70" s="68">
        <f t="shared" si="76"/>
        <v>-903.66999999999825</v>
      </c>
      <c r="CJ70" s="268">
        <f t="shared" si="77"/>
        <v>1.0070706322256424</v>
      </c>
      <c r="CK70" s="13">
        <f t="shared" si="53"/>
        <v>127806.11</v>
      </c>
      <c r="CL70" s="13">
        <f t="shared" si="92"/>
        <v>0</v>
      </c>
      <c r="CM70" s="13">
        <f t="shared" si="92"/>
        <v>127640.40000000001</v>
      </c>
      <c r="CN70" s="13">
        <f t="shared" si="92"/>
        <v>0</v>
      </c>
      <c r="CO70" s="13">
        <f t="shared" si="92"/>
        <v>0</v>
      </c>
      <c r="CP70" s="13">
        <f t="shared" si="92"/>
        <v>0</v>
      </c>
      <c r="CQ70" s="13">
        <f t="shared" si="140"/>
        <v>127640.40000000001</v>
      </c>
      <c r="CR70" s="68">
        <f t="shared" si="78"/>
        <v>165.70999999999185</v>
      </c>
      <c r="CS70" s="268">
        <f t="shared" si="79"/>
        <v>0.99870342662021405</v>
      </c>
      <c r="CT70" s="68">
        <f t="shared" si="55"/>
        <v>136428</v>
      </c>
      <c r="CU70" s="13">
        <f>SUMIFS(SALIDAS_BIT,FECHA_BIT,"&gt;="&amp;CU$2,FECHA_BIT,"&lt;="&amp;CU$3,CLAVE_BIT,$A70)+SUMIFS(SALIDAS_BOV1,FECHA_BOV1,"&gt;="&amp;CU$2,FECHA_BOV1,"&lt;="&amp;CU$3,CLAVE_BOV1,$A70)+SUMIFS(SALIDAS_BOV2,FECHA_BOV2,"&gt;="&amp;CU$2,FECHA_BOV2,"&lt;="&amp;CU$3,CLAVE_BOV2,$A70)+SUMIFS(SALIDAS_BOV3,FECHA_BOV3,"&gt;="&amp;CU$2,FECHA_BOV3,"&lt;="&amp;CU$3,CLAVE_BOV3,$A70)+SUMIFS(SALIDAS_TC,FECHA_TC,"&gt;="&amp;CU$2,FECHA_TC,"&lt;="&amp;CU$3,CLAVE_TC,$A70)+SUMIFS(SALIDAS_COMB,FECHA_COMB,"&gt;="&amp;CU$2,FECHA_COMB,"&lt;="&amp;CU$3,CLAVE_COMB,$A70)+SUMIFS(SALIDAS_DES,FECHA_DESGLOSEN,"&gt;="&amp;CU$2,FECHA_DESGLOSEN,"&lt;="&amp;CU$3,CLAVE_DESGLOSE,$A70)</f>
        <v>0</v>
      </c>
      <c r="CV70" s="13">
        <f>SUMIFS(SALIDAS_BIT,FECHA_BIT,"&gt;="&amp;CV$2,FECHA_BIT,"&lt;="&amp;CV$3,CLAVE_BIT,$A70)+SUMIFS(SALIDAS_BOV1,FECHA_BOV1,"&gt;="&amp;CV$2,FECHA_BOV1,"&lt;="&amp;CV$3,CLAVE_BOV1,$A70)+SUMIFS(SALIDAS_BOV2,FECHA_BOV2,"&gt;="&amp;CV$2,FECHA_BOV2,"&lt;="&amp;CV$3,CLAVE_BOV2,$A70)+SUMIFS(SALIDAS_BOV3,FECHA_BOV3,"&gt;="&amp;CV$2,FECHA_BOV3,"&lt;="&amp;CV$3,CLAVE_BOV3,$A70)+SUMIFS(SALIDAS_TC,FECHA_TC,"&gt;="&amp;CV$2,FECHA_TC,"&lt;="&amp;CV$3,CLAVE_TC,$A70)+SUMIFS(SALIDAS_COMB,FECHA_COMB,"&gt;="&amp;CV$2,FECHA_COMB,"&lt;="&amp;CV$3,CLAVE_COMB,$A70)+SUMIFS(SALIDAS_DES,FECHA_DESGLOSEN,"&gt;="&amp;CV$2,FECHA_DESGLOSEN,"&lt;="&amp;CV$3,CLAVE_DESGLOSE,$A70)</f>
        <v>0</v>
      </c>
      <c r="CW70" s="13">
        <f>SUMIFS(SALIDAS_BIT,FECHA_BIT,"&gt;="&amp;CW$2,FECHA_BIT,"&lt;="&amp;CW$3,CLAVE_BIT,$A70)+SUMIFS(SALIDAS_BOV1,FECHA_BOV1,"&gt;="&amp;CW$2,FECHA_BOV1,"&lt;="&amp;CW$3,CLAVE_BOV1,$A70)+SUMIFS(SALIDAS_BOV2,FECHA_BOV2,"&gt;="&amp;CW$2,FECHA_BOV2,"&lt;="&amp;CW$3,CLAVE_BOV2,$A70)+SUMIFS(SALIDAS_BOV3,FECHA_BOV3,"&gt;="&amp;CW$2,FECHA_BOV3,"&lt;="&amp;CW$3,CLAVE_BOV3,$A70)+SUMIFS(SALIDAS_TC,FECHA_TC,"&gt;="&amp;CW$2,FECHA_TC,"&lt;="&amp;CW$3,CLAVE_TC,$A70)+SUMIFS(SALIDAS_COMB,FECHA_COMB,"&gt;="&amp;CW$2,FECHA_COMB,"&lt;="&amp;CW$3,CLAVE_COMB,$A70)+SUMIFS(SALIDAS_DES,FECHA_DESGLOSEN,"&gt;="&amp;CW$2,FECHA_DESGLOSEN,"&lt;="&amp;CW$3,CLAVE_DESGLOSE,$A70)</f>
        <v>0</v>
      </c>
      <c r="CX70" s="13">
        <f>SUMIFS(SALIDAS_BIT,FECHA_BIT,"&gt;="&amp;CX$2,FECHA_BIT,"&lt;="&amp;CX$3,CLAVE_BIT,$A70)+SUMIFS(SALIDAS_BOV1,FECHA_BOV1,"&gt;="&amp;CX$2,FECHA_BOV1,"&lt;="&amp;CX$3,CLAVE_BOV1,$A70)+SUMIFS(SALIDAS_BOV2,FECHA_BOV2,"&gt;="&amp;CX$2,FECHA_BOV2,"&lt;="&amp;CX$3,CLAVE_BOV2,$A70)+SUMIFS(SALIDAS_BOV3,FECHA_BOV3,"&gt;="&amp;CX$2,FECHA_BOV3,"&lt;="&amp;CX$3,CLAVE_BOV3,$A70)+SUMIFS(SALIDAS_TC,FECHA_TC,"&gt;="&amp;CX$2,FECHA_TC,"&lt;="&amp;CX$3,CLAVE_TC,$A70)+SUMIFS(SALIDAS_COMB,FECHA_COMB,"&gt;="&amp;CX$2,FECHA_COMB,"&lt;="&amp;CX$3,CLAVE_COMB,$A70)+SUMIFS(SALIDAS_DES,FECHA_DESGLOSEN,"&gt;="&amp;CX$2,FECHA_DESGLOSEN,"&lt;="&amp;CX$3,CLAVE_DESGLOSE,$A70)</f>
        <v>132763.53</v>
      </c>
      <c r="CY70" s="13">
        <f>SUMIFS(SALIDAS_BIT,FECHA_BIT,"&gt;="&amp;CY$2,FECHA_BIT,"&lt;="&amp;CY$3,CLAVE_BIT,$A70)+SUMIFS(SALIDAS_BOV1,FECHA_BOV1,"&gt;="&amp;CY$2,FECHA_BOV1,"&lt;="&amp;CY$3,CLAVE_BOV1,$A70)+SUMIFS(SALIDAS_BOV2,FECHA_BOV2,"&gt;="&amp;CY$2,FECHA_BOV2,"&lt;="&amp;CY$3,CLAVE_BOV2,$A70)+SUMIFS(SALIDAS_BOV3,FECHA_BOV3,"&gt;="&amp;CY$2,FECHA_BOV3,"&lt;="&amp;CY$3,CLAVE_BOV3,$A70)+SUMIFS(SALIDAS_TC,FECHA_TC,"&gt;="&amp;CY$2,FECHA_TC,"&lt;="&amp;CY$3,CLAVE_TC,$A70)+SUMIFS(SALIDAS_COMB,FECHA_COMB,"&gt;="&amp;CY$2,FECHA_COMB,"&lt;="&amp;CY$3,CLAVE_COMB,$A70)+SUMIFS(SALIDAS_DES,FECHA_DESGLOSEN,"&gt;="&amp;CY$2,FECHA_DESGLOSEN,"&lt;="&amp;CY$3,CLAVE_DESGLOSE,$A70)</f>
        <v>132763.53</v>
      </c>
      <c r="CZ70" s="68">
        <f t="shared" si="80"/>
        <v>3664.4700000000012</v>
      </c>
      <c r="DB70" s="17">
        <f>F70+N70+W70+AE70+AM70+AV70+BD70+BL70+BU70+CC70+CK70</f>
        <v>1405867.2100000002</v>
      </c>
      <c r="DC70" s="17">
        <f>K70+T70+AB70+AJ70+AS70+BA70+BI70+BR70+BZ70+CH70+CQ70</f>
        <v>1454225.4799999997</v>
      </c>
    </row>
    <row r="71" spans="1:107" hidden="1">
      <c r="A71" s="12" t="str">
        <f t="shared" si="57"/>
        <v>FINANZASRENTASA9</v>
      </c>
      <c r="B71" s="12">
        <v>73</v>
      </c>
      <c r="C71" t="s">
        <v>23</v>
      </c>
      <c r="D71" s="12" t="s">
        <v>169</v>
      </c>
      <c r="E71" s="12" t="s">
        <v>95</v>
      </c>
      <c r="F71" s="259">
        <f t="shared" ref="F71:F134" si="141">VLOOKUP($A71,T_PRESUPUESTO,MATCH(F$6,E_PRESUPUESTO,0),FALSE)</f>
        <v>0</v>
      </c>
      <c r="G71" s="13">
        <f t="shared" si="132"/>
        <v>0</v>
      </c>
      <c r="H71" s="13">
        <f t="shared" si="132"/>
        <v>0</v>
      </c>
      <c r="I71" s="13">
        <f t="shared" si="132"/>
        <v>0</v>
      </c>
      <c r="J71" s="13">
        <f t="shared" si="132"/>
        <v>44119.93</v>
      </c>
      <c r="K71" s="13">
        <f t="shared" si="132"/>
        <v>44119.93</v>
      </c>
      <c r="L71" s="68">
        <f t="shared" si="59"/>
        <v>-44119.93</v>
      </c>
      <c r="M71" s="268">
        <f t="shared" si="60"/>
        <v>0</v>
      </c>
      <c r="N71" s="13">
        <f t="shared" ref="N71:N134" si="142">VLOOKUP($A71,T_PRESUPUESTO,MATCH(N$6,E_PRESUPUESTO,0),FALSE)</f>
        <v>0</v>
      </c>
      <c r="O71" s="13">
        <f t="shared" si="133"/>
        <v>23193.68</v>
      </c>
      <c r="P71" s="13">
        <f t="shared" si="133"/>
        <v>0</v>
      </c>
      <c r="Q71" s="13">
        <f t="shared" si="133"/>
        <v>0</v>
      </c>
      <c r="R71" s="13">
        <f t="shared" si="133"/>
        <v>0</v>
      </c>
      <c r="S71" s="13">
        <f t="shared" si="133"/>
        <v>0</v>
      </c>
      <c r="T71" s="13">
        <f t="shared" si="133"/>
        <v>23193.68</v>
      </c>
      <c r="U71" s="68">
        <f t="shared" si="61"/>
        <v>-23193.68</v>
      </c>
      <c r="V71" s="268">
        <f t="shared" si="62"/>
        <v>0</v>
      </c>
      <c r="W71" s="13">
        <f t="shared" ref="W71:W134" si="143">VLOOKUP($A71,T_PRESUPUESTO,MATCH(W$6,E_PRESUPUESTO,0),FALSE)</f>
        <v>0</v>
      </c>
      <c r="X71" s="13">
        <f t="shared" si="134"/>
        <v>23194</v>
      </c>
      <c r="Y71" s="13">
        <f t="shared" si="134"/>
        <v>0</v>
      </c>
      <c r="Z71" s="13">
        <f t="shared" si="134"/>
        <v>0</v>
      </c>
      <c r="AA71" s="13">
        <f t="shared" si="134"/>
        <v>23193.68</v>
      </c>
      <c r="AB71" s="13">
        <f t="shared" si="134"/>
        <v>46387.68</v>
      </c>
      <c r="AC71" s="68">
        <f t="shared" si="63"/>
        <v>-46387.68</v>
      </c>
      <c r="AD71" s="268">
        <f t="shared" si="64"/>
        <v>0</v>
      </c>
      <c r="AE71" s="13">
        <f t="shared" ref="AE71:AE134" si="144">VLOOKUP($A71,T_PRESUPUESTO,MATCH(AE$6,E_PRESUPUESTO,0),FALSE)</f>
        <v>0</v>
      </c>
      <c r="AF71" s="13">
        <f t="shared" si="135"/>
        <v>0</v>
      </c>
      <c r="AG71" s="13">
        <f t="shared" si="135"/>
        <v>0</v>
      </c>
      <c r="AH71" s="13">
        <f t="shared" si="135"/>
        <v>0</v>
      </c>
      <c r="AI71" s="13">
        <f t="shared" si="135"/>
        <v>12733.68</v>
      </c>
      <c r="AJ71" s="13">
        <f t="shared" si="135"/>
        <v>12733.68</v>
      </c>
      <c r="AK71" s="68">
        <f t="shared" si="65"/>
        <v>-12733.68</v>
      </c>
      <c r="AL71" s="268">
        <f t="shared" si="66"/>
        <v>0</v>
      </c>
      <c r="AM71" s="13">
        <f t="shared" ref="AM71:AM134" si="145">VLOOKUP($A71,T_PRESUPUESTO,MATCH(AM$6,E_PRESUPUESTO,0),FALSE)</f>
        <v>0</v>
      </c>
      <c r="AN71" s="13">
        <f t="shared" si="136"/>
        <v>0</v>
      </c>
      <c r="AO71" s="13">
        <f t="shared" si="136"/>
        <v>0</v>
      </c>
      <c r="AP71" s="13">
        <f t="shared" si="136"/>
        <v>0</v>
      </c>
      <c r="AQ71" s="13">
        <f t="shared" si="136"/>
        <v>23193.68</v>
      </c>
      <c r="AR71" s="13">
        <f t="shared" si="136"/>
        <v>0</v>
      </c>
      <c r="AS71" s="13">
        <f t="shared" si="136"/>
        <v>23193.68</v>
      </c>
      <c r="AT71" s="68">
        <f>AM71-AS71</f>
        <v>-23193.68</v>
      </c>
      <c r="AU71" s="268">
        <f t="shared" si="67"/>
        <v>0</v>
      </c>
      <c r="AV71" s="13">
        <f t="shared" ref="AV71:AV134" si="146">VLOOKUP($A71,T_PRESUPUESTO,MATCH(AV$6,E_PRESUPUESTO,0),FALSE)</f>
        <v>0</v>
      </c>
      <c r="AW71" s="13">
        <f t="shared" si="119"/>
        <v>0</v>
      </c>
      <c r="AX71" s="13">
        <f t="shared" si="119"/>
        <v>0</v>
      </c>
      <c r="AY71" s="13">
        <f t="shared" si="119"/>
        <v>0</v>
      </c>
      <c r="AZ71" s="13">
        <f t="shared" si="119"/>
        <v>0</v>
      </c>
      <c r="BA71" s="13">
        <f t="shared" si="120"/>
        <v>0</v>
      </c>
      <c r="BB71" s="68">
        <f t="shared" si="68"/>
        <v>0</v>
      </c>
      <c r="BC71" s="268">
        <f t="shared" si="69"/>
        <v>0</v>
      </c>
      <c r="BD71" s="13">
        <f t="shared" si="46"/>
        <v>0</v>
      </c>
      <c r="BE71" s="13">
        <f>SUMIFS(SALIDAS_BIT,FECHA_BIT,"&gt;="&amp;BE$2,FECHA_BIT,"&lt;="&amp;BE$3,CLAVE_BIT,$A71)+SUMIFS(SALIDAS_BOV1,FECHA_BOV1,"&gt;="&amp;BE$2,FECHA_BOV1,"&lt;="&amp;BE$3,CLAVE_BOV1,$A71)+SUMIFS(SALIDAS_BOV2,FECHA_BOV2,"&gt;="&amp;BE$2,FECHA_BOV2,"&lt;="&amp;BE$3,CLAVE_BOV2,$A71)+SUMIFS(SALIDAS_BOV3,FECHA_BOV3,"&gt;="&amp;BE$2,FECHA_BOV3,"&lt;="&amp;BE$3,CLAVE_BOV3,$A71)+SUMIFS(SALIDAS_TC,FECHA_TC,"&gt;="&amp;BE$2,FECHA_TC,"&lt;="&amp;BE$3,CLAVE_TC,$A71)+SUMIFS(SALIDAS_COMB,FECHA_COMB,"&gt;="&amp;BE$2,FECHA_COMB,"&lt;="&amp;BE$3,CLAVE_COMB,$A71)+SUMIFS(SALIDAS_DES,FECHA_DESGLOSEN,"&gt;="&amp;BE$2,FECHA_DESGLOSEN,"&lt;="&amp;BE$3,CLAVE_DESGLOSE,$A71)</f>
        <v>23193.68</v>
      </c>
      <c r="BF71" s="13">
        <f>SUMIFS(SALIDAS_BIT,FECHA_BIT,"&gt;="&amp;BF$2,FECHA_BIT,"&lt;="&amp;BF$3,CLAVE_BIT,$A71)+SUMIFS(SALIDAS_BOV1,FECHA_BOV1,"&gt;="&amp;BF$2,FECHA_BOV1,"&lt;="&amp;BF$3,CLAVE_BOV1,$A71)+SUMIFS(SALIDAS_BOV2,FECHA_BOV2,"&gt;="&amp;BF$2,FECHA_BOV2,"&lt;="&amp;BF$3,CLAVE_BOV2,$A71)+SUMIFS(SALIDAS_BOV3,FECHA_BOV3,"&gt;="&amp;BF$2,FECHA_BOV3,"&lt;="&amp;BF$3,CLAVE_BOV3,$A71)+SUMIFS(SALIDAS_TC,FECHA_TC,"&gt;="&amp;BF$2,FECHA_TC,"&lt;="&amp;BF$3,CLAVE_TC,$A71)+SUMIFS(SALIDAS_COMB,FECHA_COMB,"&gt;="&amp;BF$2,FECHA_COMB,"&lt;="&amp;BF$3,CLAVE_COMB,$A71)+SUMIFS(SALIDAS_DES,FECHA_DESGLOSEN,"&gt;="&amp;BF$2,FECHA_DESGLOSEN,"&lt;="&amp;BF$3,CLAVE_DESGLOSE,$A71)</f>
        <v>0</v>
      </c>
      <c r="BG71" s="13">
        <f>SUMIFS(SALIDAS_BIT,FECHA_BIT,"&gt;="&amp;BG$2,FECHA_BIT,"&lt;="&amp;BG$3,CLAVE_BIT,$A71)+SUMIFS(SALIDAS_BOV1,FECHA_BOV1,"&gt;="&amp;BG$2,FECHA_BOV1,"&lt;="&amp;BG$3,CLAVE_BOV1,$A71)+SUMIFS(SALIDAS_BOV2,FECHA_BOV2,"&gt;="&amp;BG$2,FECHA_BOV2,"&lt;="&amp;BG$3,CLAVE_BOV2,$A71)+SUMIFS(SALIDAS_BOV3,FECHA_BOV3,"&gt;="&amp;BG$2,FECHA_BOV3,"&lt;="&amp;BG$3,CLAVE_BOV3,$A71)+SUMIFS(SALIDAS_TC,FECHA_TC,"&gt;="&amp;BG$2,FECHA_TC,"&lt;="&amp;BG$3,CLAVE_TC,$A71)+SUMIFS(SALIDAS_COMB,FECHA_COMB,"&gt;="&amp;BG$2,FECHA_COMB,"&lt;="&amp;BG$3,CLAVE_COMB,$A71)+SUMIFS(SALIDAS_DES,FECHA_DESGLOSEN,"&gt;="&amp;BG$2,FECHA_DESGLOSEN,"&lt;="&amp;BG$3,CLAVE_DESGLOSE,$A71)</f>
        <v>0</v>
      </c>
      <c r="BH71" s="13">
        <f>SUMIFS(SALIDAS_BIT,FECHA_BIT,"&gt;="&amp;BH$2,FECHA_BIT,"&lt;="&amp;BH$3,CLAVE_BIT,$A71)+SUMIFS(SALIDAS_BOV1,FECHA_BOV1,"&gt;="&amp;BH$2,FECHA_BOV1,"&lt;="&amp;BH$3,CLAVE_BOV1,$A71)+SUMIFS(SALIDAS_BOV2,FECHA_BOV2,"&gt;="&amp;BH$2,FECHA_BOV2,"&lt;="&amp;BH$3,CLAVE_BOV2,$A71)+SUMIFS(SALIDAS_BOV3,FECHA_BOV3,"&gt;="&amp;BH$2,FECHA_BOV3,"&lt;="&amp;BH$3,CLAVE_BOV3,$A71)+SUMIFS(SALIDAS_TC,FECHA_TC,"&gt;="&amp;BH$2,FECHA_TC,"&lt;="&amp;BH$3,CLAVE_TC,$A71)+SUMIFS(SALIDAS_COMB,FECHA_COMB,"&gt;="&amp;BH$2,FECHA_COMB,"&lt;="&amp;BH$3,CLAVE_COMB,$A71)+SUMIFS(SALIDAS_DES,FECHA_DESGLOSEN,"&gt;="&amp;BH$2,FECHA_DESGLOSEN,"&lt;="&amp;BH$3,CLAVE_DESGLOSE,$A71)</f>
        <v>0</v>
      </c>
      <c r="BI71" s="13">
        <f t="shared" si="121"/>
        <v>23193.68</v>
      </c>
      <c r="BJ71" s="68">
        <f t="shared" si="70"/>
        <v>-23193.68</v>
      </c>
      <c r="BK71" s="268">
        <f t="shared" si="71"/>
        <v>0</v>
      </c>
      <c r="BL71" s="13">
        <f t="shared" si="47"/>
        <v>0</v>
      </c>
      <c r="BM71" s="13">
        <f>SUMIFS(SALIDAS_BIT,FECHA_BIT,"&gt;="&amp;BM$2,FECHA_BIT,"&lt;="&amp;BM$3,CLAVE_BIT,$A71)+SUMIFS(SALIDAS_BOV1,FECHA_BOV1,"&gt;="&amp;BM$2,FECHA_BOV1,"&lt;="&amp;BM$3,CLAVE_BOV1,$A71)+SUMIFS(SALIDAS_BOV2,FECHA_BOV2,"&gt;="&amp;BM$2,FECHA_BOV2,"&lt;="&amp;BM$3,CLAVE_BOV2,$A71)+SUMIFS(SALIDAS_BOV3,FECHA_BOV3,"&gt;="&amp;BM$2,FECHA_BOV3,"&lt;="&amp;BM$3,CLAVE_BOV3,$A71)+SUMIFS(SALIDAS_TC,FECHA_TC,"&gt;="&amp;BM$2,FECHA_TC,"&lt;="&amp;BM$3,CLAVE_TC,$A71)+SUMIFS(SALIDAS_COMB,FECHA_COMB,"&gt;="&amp;BM$2,FECHA_COMB,"&lt;="&amp;BM$3,CLAVE_COMB,$A71)+SUMIFS(SALIDAS_DES,FECHA_DESGLOSEN,"&gt;="&amp;BM$2,FECHA_DESGLOSEN,"&lt;="&amp;BM$3,CLAVE_DESGLOSE,$A71)</f>
        <v>23194</v>
      </c>
      <c r="BN71" s="13">
        <f>SUMIFS(SALIDAS_BIT,FECHA_BIT,"&gt;="&amp;BN$2,FECHA_BIT,"&lt;="&amp;BN$3,CLAVE_BIT,$A71)+SUMIFS(SALIDAS_BOV1,FECHA_BOV1,"&gt;="&amp;BN$2,FECHA_BOV1,"&lt;="&amp;BN$3,CLAVE_BOV1,$A71)+SUMIFS(SALIDAS_BOV2,FECHA_BOV2,"&gt;="&amp;BN$2,FECHA_BOV2,"&lt;="&amp;BN$3,CLAVE_BOV2,$A71)+SUMIFS(SALIDAS_BOV3,FECHA_BOV3,"&gt;="&amp;BN$2,FECHA_BOV3,"&lt;="&amp;BN$3,CLAVE_BOV3,$A71)+SUMIFS(SALIDAS_TC,FECHA_TC,"&gt;="&amp;BN$2,FECHA_TC,"&lt;="&amp;BN$3,CLAVE_TC,$A71)+SUMIFS(SALIDAS_COMB,FECHA_COMB,"&gt;="&amp;BN$2,FECHA_COMB,"&lt;="&amp;BN$3,CLAVE_COMB,$A71)+SUMIFS(SALIDAS_DES,FECHA_DESGLOSEN,"&gt;="&amp;BN$2,FECHA_DESGLOSEN,"&lt;="&amp;BN$3,CLAVE_DESGLOSE,$A71)</f>
        <v>0</v>
      </c>
      <c r="BO71" s="13">
        <f>SUMIFS(SALIDAS_BIT,FECHA_BIT,"&gt;="&amp;BO$2,FECHA_BIT,"&lt;="&amp;BO$3,CLAVE_BIT,$A71)+SUMIFS(SALIDAS_BOV1,FECHA_BOV1,"&gt;="&amp;BO$2,FECHA_BOV1,"&lt;="&amp;BO$3,CLAVE_BOV1,$A71)+SUMIFS(SALIDAS_BOV2,FECHA_BOV2,"&gt;="&amp;BO$2,FECHA_BOV2,"&lt;="&amp;BO$3,CLAVE_BOV2,$A71)+SUMIFS(SALIDAS_BOV3,FECHA_BOV3,"&gt;="&amp;BO$2,FECHA_BOV3,"&lt;="&amp;BO$3,CLAVE_BOV3,$A71)+SUMIFS(SALIDAS_TC,FECHA_TC,"&gt;="&amp;BO$2,FECHA_TC,"&lt;="&amp;BO$3,CLAVE_TC,$A71)+SUMIFS(SALIDAS_COMB,FECHA_COMB,"&gt;="&amp;BO$2,FECHA_COMB,"&lt;="&amp;BO$3,CLAVE_COMB,$A71)+SUMIFS(SALIDAS_DES,FECHA_DESGLOSEN,"&gt;="&amp;BO$2,FECHA_DESGLOSEN,"&lt;="&amp;BO$3,CLAVE_DESGLOSE,$A71)</f>
        <v>0</v>
      </c>
      <c r="BP71" s="13">
        <f>SUMIFS(SALIDAS_BIT,FECHA_BIT,"&gt;="&amp;BP$2,FECHA_BIT,"&lt;="&amp;BP$3,CLAVE_BIT,$A71)+SUMIFS(SALIDAS_BOV1,FECHA_BOV1,"&gt;="&amp;BP$2,FECHA_BOV1,"&lt;="&amp;BP$3,CLAVE_BOV1,$A71)+SUMIFS(SALIDAS_BOV2,FECHA_BOV2,"&gt;="&amp;BP$2,FECHA_BOV2,"&lt;="&amp;BP$3,CLAVE_BOV2,$A71)+SUMIFS(SALIDAS_BOV3,FECHA_BOV3,"&gt;="&amp;BP$2,FECHA_BOV3,"&lt;="&amp;BP$3,CLAVE_BOV3,$A71)+SUMIFS(SALIDAS_TC,FECHA_TC,"&gt;="&amp;BP$2,FECHA_TC,"&lt;="&amp;BP$3,CLAVE_TC,$A71)+SUMIFS(SALIDAS_COMB,FECHA_COMB,"&gt;="&amp;BP$2,FECHA_COMB,"&lt;="&amp;BP$3,CLAVE_COMB,$A71)+SUMIFS(SALIDAS_DES,FECHA_DESGLOSEN,"&gt;="&amp;BP$2,FECHA_DESGLOSEN,"&lt;="&amp;BP$3,CLAVE_DESGLOSE,$A71)</f>
        <v>0</v>
      </c>
      <c r="BQ71" s="13">
        <f>SUMIFS(SALIDAS_BIT,FECHA_BIT,"&gt;="&amp;BQ$2,FECHA_BIT,"&lt;="&amp;BQ$3,CLAVE_BIT,$A71)+SUMIFS(SALIDAS_BOV1,FECHA_BOV1,"&gt;="&amp;BQ$2,FECHA_BOV1,"&lt;="&amp;BQ$3,CLAVE_BOV1,$A71)+SUMIFS(SALIDAS_BOV2,FECHA_BOV2,"&gt;="&amp;BQ$2,FECHA_BOV2,"&lt;="&amp;BQ$3,CLAVE_BOV2,$A71)+SUMIFS(SALIDAS_BOV3,FECHA_BOV3,"&gt;="&amp;BQ$2,FECHA_BOV3,"&lt;="&amp;BQ$3,CLAVE_BOV3,$A71)+SUMIFS(SALIDAS_TC,FECHA_TC,"&gt;="&amp;BQ$2,FECHA_TC,"&lt;="&amp;BQ$3,CLAVE_TC,$A71)+SUMIFS(SALIDAS_COMB,FECHA_COMB,"&gt;="&amp;BQ$2,FECHA_COMB,"&lt;="&amp;BQ$3,CLAVE_COMB,$A71)+SUMIFS(SALIDAS_DES,FECHA_DESGLOSEN,"&gt;="&amp;BQ$2,FECHA_DESGLOSEN,"&lt;="&amp;BQ$3,CLAVE_DESGLOSE,$A71)</f>
        <v>0</v>
      </c>
      <c r="BR71" s="13">
        <f t="shared" si="137"/>
        <v>23194</v>
      </c>
      <c r="BS71" s="68">
        <f t="shared" si="72"/>
        <v>-23194</v>
      </c>
      <c r="BT71" s="268">
        <f t="shared" si="73"/>
        <v>0</v>
      </c>
      <c r="BU71" s="13">
        <f t="shared" si="49"/>
        <v>0</v>
      </c>
      <c r="BV71" s="13">
        <f t="shared" si="90"/>
        <v>0</v>
      </c>
      <c r="BW71" s="13">
        <f t="shared" si="90"/>
        <v>0</v>
      </c>
      <c r="BX71" s="13">
        <f t="shared" si="90"/>
        <v>0</v>
      </c>
      <c r="BY71" s="13">
        <f t="shared" si="90"/>
        <v>0</v>
      </c>
      <c r="BZ71" s="13">
        <f t="shared" si="138"/>
        <v>0</v>
      </c>
      <c r="CA71" s="68">
        <f t="shared" si="74"/>
        <v>0</v>
      </c>
      <c r="CB71" s="268">
        <f t="shared" si="75"/>
        <v>0</v>
      </c>
      <c r="CC71" s="13">
        <f t="shared" si="51"/>
        <v>0</v>
      </c>
      <c r="CD71" s="13">
        <f t="shared" si="91"/>
        <v>46387.360000000001</v>
      </c>
      <c r="CE71" s="13">
        <f t="shared" si="91"/>
        <v>0</v>
      </c>
      <c r="CF71" s="13">
        <f t="shared" si="91"/>
        <v>0</v>
      </c>
      <c r="CG71" s="13">
        <f t="shared" si="91"/>
        <v>23193.68</v>
      </c>
      <c r="CH71" s="13">
        <f t="shared" si="139"/>
        <v>69581.040000000008</v>
      </c>
      <c r="CI71" s="68">
        <f t="shared" si="76"/>
        <v>-69581.040000000008</v>
      </c>
      <c r="CJ71" s="268">
        <f t="shared" si="77"/>
        <v>0</v>
      </c>
      <c r="CK71" s="13">
        <f t="shared" si="53"/>
        <v>0</v>
      </c>
      <c r="CL71" s="13">
        <f t="shared" si="92"/>
        <v>0</v>
      </c>
      <c r="CM71" s="13">
        <f t="shared" si="92"/>
        <v>0</v>
      </c>
      <c r="CN71" s="13">
        <f t="shared" si="92"/>
        <v>0</v>
      </c>
      <c r="CO71" s="13">
        <f t="shared" si="92"/>
        <v>0</v>
      </c>
      <c r="CP71" s="13">
        <f t="shared" si="92"/>
        <v>0</v>
      </c>
      <c r="CQ71" s="13">
        <f t="shared" si="140"/>
        <v>0</v>
      </c>
      <c r="CR71" s="68">
        <f t="shared" si="78"/>
        <v>0</v>
      </c>
      <c r="CS71" s="268">
        <f t="shared" si="79"/>
        <v>0</v>
      </c>
      <c r="CT71" s="68">
        <f t="shared" ref="CT71:CT134" si="147">VLOOKUP($A71,T_PRESUPUESTO,MATCH(CT$6,E_PRESUPUESTO,0),FALSE)</f>
        <v>24585</v>
      </c>
      <c r="CU71" s="13">
        <f>SUMIFS(SALIDAS_BIT,FECHA_BIT,"&gt;="&amp;CU$2,FECHA_BIT,"&lt;="&amp;CU$3,CLAVE_BIT,$A71)+SUMIFS(SALIDAS_BOV1,FECHA_BOV1,"&gt;="&amp;CU$2,FECHA_BOV1,"&lt;="&amp;CU$3,CLAVE_BOV1,$A71)+SUMIFS(SALIDAS_BOV2,FECHA_BOV2,"&gt;="&amp;CU$2,FECHA_BOV2,"&lt;="&amp;CU$3,CLAVE_BOV2,$A71)+SUMIFS(SALIDAS_BOV3,FECHA_BOV3,"&gt;="&amp;CU$2,FECHA_BOV3,"&lt;="&amp;CU$3,CLAVE_BOV3,$A71)+SUMIFS(SALIDAS_TC,FECHA_TC,"&gt;="&amp;CU$2,FECHA_TC,"&lt;="&amp;CU$3,CLAVE_TC,$A71)+SUMIFS(SALIDAS_COMB,FECHA_COMB,"&gt;="&amp;CU$2,FECHA_COMB,"&lt;="&amp;CU$3,CLAVE_COMB,$A71)+SUMIFS(SALIDAS_DES,FECHA_DESGLOSEN,"&gt;="&amp;CU$2,FECHA_DESGLOSEN,"&lt;="&amp;CU$3,CLAVE_DESGLOSE,$A71)</f>
        <v>0</v>
      </c>
      <c r="CV71" s="13">
        <f>SUMIFS(SALIDAS_BIT,FECHA_BIT,"&gt;="&amp;CV$2,FECHA_BIT,"&lt;="&amp;CV$3,CLAVE_BIT,$A71)+SUMIFS(SALIDAS_BOV1,FECHA_BOV1,"&gt;="&amp;CV$2,FECHA_BOV1,"&lt;="&amp;CV$3,CLAVE_BOV1,$A71)+SUMIFS(SALIDAS_BOV2,FECHA_BOV2,"&gt;="&amp;CV$2,FECHA_BOV2,"&lt;="&amp;CV$3,CLAVE_BOV2,$A71)+SUMIFS(SALIDAS_BOV3,FECHA_BOV3,"&gt;="&amp;CV$2,FECHA_BOV3,"&lt;="&amp;CV$3,CLAVE_BOV3,$A71)+SUMIFS(SALIDAS_TC,FECHA_TC,"&gt;="&amp;CV$2,FECHA_TC,"&lt;="&amp;CV$3,CLAVE_TC,$A71)+SUMIFS(SALIDAS_COMB,FECHA_COMB,"&gt;="&amp;CV$2,FECHA_COMB,"&lt;="&amp;CV$3,CLAVE_COMB,$A71)+SUMIFS(SALIDAS_DES,FECHA_DESGLOSEN,"&gt;="&amp;CV$2,FECHA_DESGLOSEN,"&lt;="&amp;CV$3,CLAVE_DESGLOSE,$A71)</f>
        <v>0</v>
      </c>
      <c r="CW71" s="13">
        <f>SUMIFS(SALIDAS_BIT,FECHA_BIT,"&gt;="&amp;CW$2,FECHA_BIT,"&lt;="&amp;CW$3,CLAVE_BIT,$A71)+SUMIFS(SALIDAS_BOV1,FECHA_BOV1,"&gt;="&amp;CW$2,FECHA_BOV1,"&lt;="&amp;CW$3,CLAVE_BOV1,$A71)+SUMIFS(SALIDAS_BOV2,FECHA_BOV2,"&gt;="&amp;CW$2,FECHA_BOV2,"&lt;="&amp;CW$3,CLAVE_BOV2,$A71)+SUMIFS(SALIDAS_BOV3,FECHA_BOV3,"&gt;="&amp;CW$2,FECHA_BOV3,"&lt;="&amp;CW$3,CLAVE_BOV3,$A71)+SUMIFS(SALIDAS_TC,FECHA_TC,"&gt;="&amp;CW$2,FECHA_TC,"&lt;="&amp;CW$3,CLAVE_TC,$A71)+SUMIFS(SALIDAS_COMB,FECHA_COMB,"&gt;="&amp;CW$2,FECHA_COMB,"&lt;="&amp;CW$3,CLAVE_COMB,$A71)+SUMIFS(SALIDAS_DES,FECHA_DESGLOSEN,"&gt;="&amp;CW$2,FECHA_DESGLOSEN,"&lt;="&amp;CW$3,CLAVE_DESGLOSE,$A71)</f>
        <v>0</v>
      </c>
      <c r="CX71" s="13">
        <f>SUMIFS(SALIDAS_BIT,FECHA_BIT,"&gt;="&amp;CX$2,FECHA_BIT,"&lt;="&amp;CX$3,CLAVE_BIT,$A71)+SUMIFS(SALIDAS_BOV1,FECHA_BOV1,"&gt;="&amp;CX$2,FECHA_BOV1,"&lt;="&amp;CX$3,CLAVE_BOV1,$A71)+SUMIFS(SALIDAS_BOV2,FECHA_BOV2,"&gt;="&amp;CX$2,FECHA_BOV2,"&lt;="&amp;CX$3,CLAVE_BOV2,$A71)+SUMIFS(SALIDAS_BOV3,FECHA_BOV3,"&gt;="&amp;CX$2,FECHA_BOV3,"&lt;="&amp;CX$3,CLAVE_BOV3,$A71)+SUMIFS(SALIDAS_TC,FECHA_TC,"&gt;="&amp;CX$2,FECHA_TC,"&lt;="&amp;CX$3,CLAVE_TC,$A71)+SUMIFS(SALIDAS_COMB,FECHA_COMB,"&gt;="&amp;CX$2,FECHA_COMB,"&lt;="&amp;CX$3,CLAVE_COMB,$A71)+SUMIFS(SALIDAS_DES,FECHA_DESGLOSEN,"&gt;="&amp;CX$2,FECHA_DESGLOSEN,"&lt;="&amp;CX$3,CLAVE_DESGLOSE,$A71)</f>
        <v>0</v>
      </c>
      <c r="CY71" s="13">
        <f>SUMIFS(SALIDAS_BIT,FECHA_BIT,"&gt;="&amp;CY$2,FECHA_BIT,"&lt;="&amp;CY$3,CLAVE_BIT,$A71)+SUMIFS(SALIDAS_BOV1,FECHA_BOV1,"&gt;="&amp;CY$2,FECHA_BOV1,"&lt;="&amp;CY$3,CLAVE_BOV1,$A71)+SUMIFS(SALIDAS_BOV2,FECHA_BOV2,"&gt;="&amp;CY$2,FECHA_BOV2,"&lt;="&amp;CY$3,CLAVE_BOV2,$A71)+SUMIFS(SALIDAS_BOV3,FECHA_BOV3,"&gt;="&amp;CY$2,FECHA_BOV3,"&lt;="&amp;CY$3,CLAVE_BOV3,$A71)+SUMIFS(SALIDAS_TC,FECHA_TC,"&gt;="&amp;CY$2,FECHA_TC,"&lt;="&amp;CY$3,CLAVE_TC,$A71)+SUMIFS(SALIDAS_COMB,FECHA_COMB,"&gt;="&amp;CY$2,FECHA_COMB,"&lt;="&amp;CY$3,CLAVE_COMB,$A71)+SUMIFS(SALIDAS_DES,FECHA_DESGLOSEN,"&gt;="&amp;CY$2,FECHA_DESGLOSEN,"&lt;="&amp;CY$3,CLAVE_DESGLOSE,$A71)</f>
        <v>0</v>
      </c>
      <c r="CZ71" s="68">
        <f t="shared" si="80"/>
        <v>24585</v>
      </c>
      <c r="DB71" s="17">
        <f>F71+N71+W71+AE71+AM71+AV71+BD71+BL71+BU71+CC71+CK71</f>
        <v>0</v>
      </c>
      <c r="DC71" s="17">
        <f>K71+T71+AB71+AJ71+AS71+BA71+BI71+BR71+BZ71+CH71+CQ71</f>
        <v>265597.37</v>
      </c>
    </row>
    <row r="72" spans="1:107" hidden="1">
      <c r="A72" s="12" t="str">
        <f t="shared" ref="A72:A135" si="148">C72&amp;D72&amp;E72</f>
        <v>FINANZASRENTASA10</v>
      </c>
      <c r="B72" s="12">
        <v>74</v>
      </c>
      <c r="C72" t="s">
        <v>23</v>
      </c>
      <c r="D72" s="12" t="s">
        <v>169</v>
      </c>
      <c r="E72" s="12" t="s">
        <v>96</v>
      </c>
      <c r="F72" s="259">
        <f t="shared" si="141"/>
        <v>107036.99</v>
      </c>
      <c r="G72" s="13">
        <f t="shared" si="132"/>
        <v>31000</v>
      </c>
      <c r="H72" s="13">
        <f t="shared" si="132"/>
        <v>0</v>
      </c>
      <c r="I72" s="13">
        <f t="shared" si="132"/>
        <v>31225</v>
      </c>
      <c r="J72" s="13">
        <f t="shared" si="132"/>
        <v>43715.99</v>
      </c>
      <c r="K72" s="13">
        <f t="shared" si="132"/>
        <v>105940.98999999999</v>
      </c>
      <c r="L72" s="68">
        <f t="shared" ref="L72:L135" si="149">F72-K72</f>
        <v>1096.0000000000146</v>
      </c>
      <c r="M72" s="268">
        <f t="shared" ref="M72:M135" si="150">IFERROR((K72/F72),0)</f>
        <v>0.9897605491335284</v>
      </c>
      <c r="N72" s="13">
        <f t="shared" si="142"/>
        <v>107036.99</v>
      </c>
      <c r="O72" s="13">
        <f t="shared" si="133"/>
        <v>31000</v>
      </c>
      <c r="P72" s="13">
        <f t="shared" si="133"/>
        <v>31225</v>
      </c>
      <c r="Q72" s="13">
        <f t="shared" si="133"/>
        <v>0</v>
      </c>
      <c r="R72" s="13">
        <f t="shared" si="133"/>
        <v>0</v>
      </c>
      <c r="S72" s="13">
        <f t="shared" si="133"/>
        <v>105939.98999999999</v>
      </c>
      <c r="T72" s="13">
        <f t="shared" si="133"/>
        <v>168164.99</v>
      </c>
      <c r="U72" s="68">
        <f t="shared" ref="U72:U135" si="151">N72-T72</f>
        <v>-61127.999999999985</v>
      </c>
      <c r="V72" s="268">
        <f t="shared" ref="V72:V135" si="152">IFERROR((T72/N72),0)</f>
        <v>1.5710922924869242</v>
      </c>
      <c r="W72" s="13">
        <f t="shared" si="143"/>
        <v>107036.99</v>
      </c>
      <c r="X72" s="13">
        <f t="shared" si="134"/>
        <v>0</v>
      </c>
      <c r="Y72" s="13">
        <f t="shared" si="134"/>
        <v>0</v>
      </c>
      <c r="Z72" s="13">
        <f t="shared" si="134"/>
        <v>0</v>
      </c>
      <c r="AA72" s="13">
        <f t="shared" si="134"/>
        <v>105939.98999999999</v>
      </c>
      <c r="AB72" s="13">
        <f t="shared" si="134"/>
        <v>105939.98999999999</v>
      </c>
      <c r="AC72" s="68">
        <f t="shared" ref="AC72:AC135" si="153">W72-AB72</f>
        <v>1097.0000000000146</v>
      </c>
      <c r="AD72" s="268">
        <f t="shared" ref="AD72:AD135" si="154">IFERROR((AB72/W72),0)</f>
        <v>0.98975120656886917</v>
      </c>
      <c r="AE72" s="13">
        <f t="shared" si="144"/>
        <v>107036.99</v>
      </c>
      <c r="AF72" s="13">
        <f t="shared" si="135"/>
        <v>0</v>
      </c>
      <c r="AG72" s="13">
        <f t="shared" si="135"/>
        <v>0</v>
      </c>
      <c r="AH72" s="13">
        <f t="shared" si="135"/>
        <v>0</v>
      </c>
      <c r="AI72" s="13">
        <f t="shared" si="135"/>
        <v>43714.99</v>
      </c>
      <c r="AJ72" s="13">
        <f t="shared" si="135"/>
        <v>43714.99</v>
      </c>
      <c r="AK72" s="68">
        <f t="shared" ref="AK72:AK135" si="155">AE72-AJ72</f>
        <v>63322.000000000007</v>
      </c>
      <c r="AL72" s="268">
        <f t="shared" ref="AL72:AL135" si="156">IFERROR((AJ72/AE72),0)</f>
        <v>0.40841012065081422</v>
      </c>
      <c r="AM72" s="13">
        <f t="shared" si="145"/>
        <v>107036.99</v>
      </c>
      <c r="AN72" s="13">
        <f t="shared" si="136"/>
        <v>31000</v>
      </c>
      <c r="AO72" s="13">
        <f t="shared" si="136"/>
        <v>31225</v>
      </c>
      <c r="AP72" s="13">
        <f t="shared" si="136"/>
        <v>14000</v>
      </c>
      <c r="AQ72" s="13">
        <f t="shared" si="136"/>
        <v>43714.99</v>
      </c>
      <c r="AR72" s="13">
        <f t="shared" si="136"/>
        <v>31000</v>
      </c>
      <c r="AS72" s="13">
        <f t="shared" si="136"/>
        <v>150939.99</v>
      </c>
      <c r="AT72" s="68">
        <f>AM72-AS72</f>
        <v>-43902.999999999985</v>
      </c>
      <c r="AU72" s="268">
        <f t="shared" ref="AU72:AU135" si="157">IFERROR((AS72/AM72),0)</f>
        <v>1.4101666162323883</v>
      </c>
      <c r="AV72" s="13">
        <f t="shared" si="146"/>
        <v>107036.99</v>
      </c>
      <c r="AW72" s="13">
        <f t="shared" si="119"/>
        <v>0</v>
      </c>
      <c r="AX72" s="13">
        <f t="shared" si="119"/>
        <v>0</v>
      </c>
      <c r="AY72" s="13">
        <f t="shared" si="119"/>
        <v>0</v>
      </c>
      <c r="AZ72" s="13">
        <f t="shared" si="119"/>
        <v>74939.989999999991</v>
      </c>
      <c r="BA72" s="13">
        <f t="shared" si="120"/>
        <v>74939.989999999991</v>
      </c>
      <c r="BB72" s="68">
        <f t="shared" ref="BB72:BB135" si="158">AV72-BA72</f>
        <v>32097.000000000015</v>
      </c>
      <c r="BC72" s="268">
        <f t="shared" ref="BC72:BC135" si="159">IFERROR((BA72/AV72),0)</f>
        <v>0.70013170213400044</v>
      </c>
      <c r="BD72" s="13">
        <f t="shared" ref="BD72:BD135" si="160">VLOOKUP($A72,T_PRESUPUESTO,MATCH(BD$6,E_PRESUPUESTO,0),FALSE)</f>
        <v>107036.99</v>
      </c>
      <c r="BE72" s="13">
        <f>SUMIFS(SALIDAS_BIT,FECHA_BIT,"&gt;="&amp;BE$2,FECHA_BIT,"&lt;="&amp;BE$3,CLAVE_BIT,$A72)+SUMIFS(SALIDAS_BOV1,FECHA_BOV1,"&gt;="&amp;BE$2,FECHA_BOV1,"&lt;="&amp;BE$3,CLAVE_BOV1,$A72)+SUMIFS(SALIDAS_BOV2,FECHA_BOV2,"&gt;="&amp;BE$2,FECHA_BOV2,"&lt;="&amp;BE$3,CLAVE_BOV2,$A72)+SUMIFS(SALIDAS_BOV3,FECHA_BOV3,"&gt;="&amp;BE$2,FECHA_BOV3,"&lt;="&amp;BE$3,CLAVE_BOV3,$A72)+SUMIFS(SALIDAS_TC,FECHA_TC,"&gt;="&amp;BE$2,FECHA_TC,"&lt;="&amp;BE$3,CLAVE_TC,$A72)+SUMIFS(SALIDAS_COMB,FECHA_COMB,"&gt;="&amp;BE$2,FECHA_COMB,"&lt;="&amp;BE$3,CLAVE_COMB,$A72)+SUMIFS(SALIDAS_DES,FECHA_DESGLOSEN,"&gt;="&amp;BE$2,FECHA_DESGLOSEN,"&lt;="&amp;BE$3,CLAVE_DESGLOSE,$A72)</f>
        <v>31000</v>
      </c>
      <c r="BF72" s="13">
        <f>SUMIFS(SALIDAS_BIT,FECHA_BIT,"&gt;="&amp;BF$2,FECHA_BIT,"&lt;="&amp;BF$3,CLAVE_BIT,$A72)+SUMIFS(SALIDAS_BOV1,FECHA_BOV1,"&gt;="&amp;BF$2,FECHA_BOV1,"&lt;="&amp;BF$3,CLAVE_BOV1,$A72)+SUMIFS(SALIDAS_BOV2,FECHA_BOV2,"&gt;="&amp;BF$2,FECHA_BOV2,"&lt;="&amp;BF$3,CLAVE_BOV2,$A72)+SUMIFS(SALIDAS_BOV3,FECHA_BOV3,"&gt;="&amp;BF$2,FECHA_BOV3,"&lt;="&amp;BF$3,CLAVE_BOV3,$A72)+SUMIFS(SALIDAS_TC,FECHA_TC,"&gt;="&amp;BF$2,FECHA_TC,"&lt;="&amp;BF$3,CLAVE_TC,$A72)+SUMIFS(SALIDAS_COMB,FECHA_COMB,"&gt;="&amp;BF$2,FECHA_COMB,"&lt;="&amp;BF$3,CLAVE_COMB,$A72)+SUMIFS(SALIDAS_DES,FECHA_DESGLOSEN,"&gt;="&amp;BF$2,FECHA_DESGLOSEN,"&lt;="&amp;BF$3,CLAVE_DESGLOSE,$A72)</f>
        <v>0</v>
      </c>
      <c r="BG72" s="13">
        <f>SUMIFS(SALIDAS_BIT,FECHA_BIT,"&gt;="&amp;BG$2,FECHA_BIT,"&lt;="&amp;BG$3,CLAVE_BIT,$A72)+SUMIFS(SALIDAS_BOV1,FECHA_BOV1,"&gt;="&amp;BG$2,FECHA_BOV1,"&lt;="&amp;BG$3,CLAVE_BOV1,$A72)+SUMIFS(SALIDAS_BOV2,FECHA_BOV2,"&gt;="&amp;BG$2,FECHA_BOV2,"&lt;="&amp;BG$3,CLAVE_BOV2,$A72)+SUMIFS(SALIDAS_BOV3,FECHA_BOV3,"&gt;="&amp;BG$2,FECHA_BOV3,"&lt;="&amp;BG$3,CLAVE_BOV3,$A72)+SUMIFS(SALIDAS_TC,FECHA_TC,"&gt;="&amp;BG$2,FECHA_TC,"&lt;="&amp;BG$3,CLAVE_TC,$A72)+SUMIFS(SALIDAS_COMB,FECHA_COMB,"&gt;="&amp;BG$2,FECHA_COMB,"&lt;="&amp;BG$3,CLAVE_COMB,$A72)+SUMIFS(SALIDAS_DES,FECHA_DESGLOSEN,"&gt;="&amp;BG$2,FECHA_DESGLOSEN,"&lt;="&amp;BG$3,CLAVE_DESGLOSE,$A72)</f>
        <v>0</v>
      </c>
      <c r="BH72" s="13">
        <f>SUMIFS(SALIDAS_BIT,FECHA_BIT,"&gt;="&amp;BH$2,FECHA_BIT,"&lt;="&amp;BH$3,CLAVE_BIT,$A72)+SUMIFS(SALIDAS_BOV1,FECHA_BOV1,"&gt;="&amp;BH$2,FECHA_BOV1,"&lt;="&amp;BH$3,CLAVE_BOV1,$A72)+SUMIFS(SALIDAS_BOV2,FECHA_BOV2,"&gt;="&amp;BH$2,FECHA_BOV2,"&lt;="&amp;BH$3,CLAVE_BOV2,$A72)+SUMIFS(SALIDAS_BOV3,FECHA_BOV3,"&gt;="&amp;BH$2,FECHA_BOV3,"&lt;="&amp;BH$3,CLAVE_BOV3,$A72)+SUMIFS(SALIDAS_TC,FECHA_TC,"&gt;="&amp;BH$2,FECHA_TC,"&lt;="&amp;BH$3,CLAVE_TC,$A72)+SUMIFS(SALIDAS_COMB,FECHA_COMB,"&gt;="&amp;BH$2,FECHA_COMB,"&lt;="&amp;BH$3,CLAVE_COMB,$A72)+SUMIFS(SALIDAS_DES,FECHA_DESGLOSEN,"&gt;="&amp;BH$2,FECHA_DESGLOSEN,"&lt;="&amp;BH$3,CLAVE_DESGLOSE,$A72)</f>
        <v>43714.99</v>
      </c>
      <c r="BI72" s="13">
        <f t="shared" si="121"/>
        <v>74714.989999999991</v>
      </c>
      <c r="BJ72" s="68">
        <f t="shared" ref="BJ72:BJ135" si="161">BD72-BI72</f>
        <v>32322.000000000015</v>
      </c>
      <c r="BK72" s="268">
        <f t="shared" ref="BK72:BK135" si="162">IFERROR((BI72/BD72),0)</f>
        <v>0.69802962508568289</v>
      </c>
      <c r="BL72" s="13">
        <f t="shared" ref="BL72:BL135" si="163">VLOOKUP($A72,T_PRESUPUESTO,MATCH(BL$6,E_PRESUPUESTO,0),FALSE)</f>
        <v>107036.99</v>
      </c>
      <c r="BM72" s="13">
        <f>SUMIFS(SALIDAS_BIT,FECHA_BIT,"&gt;="&amp;BM$2,FECHA_BIT,"&lt;="&amp;BM$3,CLAVE_BIT,$A72)+SUMIFS(SALIDAS_BOV1,FECHA_BOV1,"&gt;="&amp;BM$2,FECHA_BOV1,"&lt;="&amp;BM$3,CLAVE_BOV1,$A72)+SUMIFS(SALIDAS_BOV2,FECHA_BOV2,"&gt;="&amp;BM$2,FECHA_BOV2,"&lt;="&amp;BM$3,CLAVE_BOV2,$A72)+SUMIFS(SALIDAS_BOV3,FECHA_BOV3,"&gt;="&amp;BM$2,FECHA_BOV3,"&lt;="&amp;BM$3,CLAVE_BOV3,$A72)+SUMIFS(SALIDAS_TC,FECHA_TC,"&gt;="&amp;BM$2,FECHA_TC,"&lt;="&amp;BM$3,CLAVE_TC,$A72)+SUMIFS(SALIDAS_COMB,FECHA_COMB,"&gt;="&amp;BM$2,FECHA_COMB,"&lt;="&amp;BM$3,CLAVE_COMB,$A72)+SUMIFS(SALIDAS_DES,FECHA_DESGLOSEN,"&gt;="&amp;BM$2,FECHA_DESGLOSEN,"&lt;="&amp;BM$3,CLAVE_DESGLOSE,$A72)</f>
        <v>62225</v>
      </c>
      <c r="BN72" s="13">
        <f>SUMIFS(SALIDAS_BIT,FECHA_BIT,"&gt;="&amp;BN$2,FECHA_BIT,"&lt;="&amp;BN$3,CLAVE_BIT,$A72)+SUMIFS(SALIDAS_BOV1,FECHA_BOV1,"&gt;="&amp;BN$2,FECHA_BOV1,"&lt;="&amp;BN$3,CLAVE_BOV1,$A72)+SUMIFS(SALIDAS_BOV2,FECHA_BOV2,"&gt;="&amp;BN$2,FECHA_BOV2,"&lt;="&amp;BN$3,CLAVE_BOV2,$A72)+SUMIFS(SALIDAS_BOV3,FECHA_BOV3,"&gt;="&amp;BN$2,FECHA_BOV3,"&lt;="&amp;BN$3,CLAVE_BOV3,$A72)+SUMIFS(SALIDAS_TC,FECHA_TC,"&gt;="&amp;BN$2,FECHA_TC,"&lt;="&amp;BN$3,CLAVE_TC,$A72)+SUMIFS(SALIDAS_COMB,FECHA_COMB,"&gt;="&amp;BN$2,FECHA_COMB,"&lt;="&amp;BN$3,CLAVE_COMB,$A72)+SUMIFS(SALIDAS_DES,FECHA_DESGLOSEN,"&gt;="&amp;BN$2,FECHA_DESGLOSEN,"&lt;="&amp;BN$3,CLAVE_DESGLOSE,$A72)</f>
        <v>0</v>
      </c>
      <c r="BO72" s="13">
        <f>SUMIFS(SALIDAS_BIT,FECHA_BIT,"&gt;="&amp;BO$2,FECHA_BIT,"&lt;="&amp;BO$3,CLAVE_BIT,$A72)+SUMIFS(SALIDAS_BOV1,FECHA_BOV1,"&gt;="&amp;BO$2,FECHA_BOV1,"&lt;="&amp;BO$3,CLAVE_BOV1,$A72)+SUMIFS(SALIDAS_BOV2,FECHA_BOV2,"&gt;="&amp;BO$2,FECHA_BOV2,"&lt;="&amp;BO$3,CLAVE_BOV2,$A72)+SUMIFS(SALIDAS_BOV3,FECHA_BOV3,"&gt;="&amp;BO$2,FECHA_BOV3,"&lt;="&amp;BO$3,CLAVE_BOV3,$A72)+SUMIFS(SALIDAS_TC,FECHA_TC,"&gt;="&amp;BO$2,FECHA_TC,"&lt;="&amp;BO$3,CLAVE_TC,$A72)+SUMIFS(SALIDAS_COMB,FECHA_COMB,"&gt;="&amp;BO$2,FECHA_COMB,"&lt;="&amp;BO$3,CLAVE_COMB,$A72)+SUMIFS(SALIDAS_DES,FECHA_DESGLOSEN,"&gt;="&amp;BO$2,FECHA_DESGLOSEN,"&lt;="&amp;BO$3,CLAVE_DESGLOSE,$A72)</f>
        <v>31225</v>
      </c>
      <c r="BP72" s="13">
        <f>SUMIFS(SALIDAS_BIT,FECHA_BIT,"&gt;="&amp;BP$2,FECHA_BIT,"&lt;="&amp;BP$3,CLAVE_BIT,$A72)+SUMIFS(SALIDAS_BOV1,FECHA_BOV1,"&gt;="&amp;BP$2,FECHA_BOV1,"&lt;="&amp;BP$3,CLAVE_BOV1,$A72)+SUMIFS(SALIDAS_BOV2,FECHA_BOV2,"&gt;="&amp;BP$2,FECHA_BOV2,"&lt;="&amp;BP$3,CLAVE_BOV2,$A72)+SUMIFS(SALIDAS_BOV3,FECHA_BOV3,"&gt;="&amp;BP$2,FECHA_BOV3,"&lt;="&amp;BP$3,CLAVE_BOV3,$A72)+SUMIFS(SALIDAS_TC,FECHA_TC,"&gt;="&amp;BP$2,FECHA_TC,"&lt;="&amp;BP$3,CLAVE_TC,$A72)+SUMIFS(SALIDAS_COMB,FECHA_COMB,"&gt;="&amp;BP$2,FECHA_COMB,"&lt;="&amp;BP$3,CLAVE_COMB,$A72)+SUMIFS(SALIDAS_DES,FECHA_DESGLOSEN,"&gt;="&amp;BP$2,FECHA_DESGLOSEN,"&lt;="&amp;BP$3,CLAVE_DESGLOSE,$A72)</f>
        <v>0</v>
      </c>
      <c r="BQ72" s="13">
        <f>SUMIFS(SALIDAS_BIT,FECHA_BIT,"&gt;="&amp;BQ$2,FECHA_BIT,"&lt;="&amp;BQ$3,CLAVE_BIT,$A72)+SUMIFS(SALIDAS_BOV1,FECHA_BOV1,"&gt;="&amp;BQ$2,FECHA_BOV1,"&lt;="&amp;BQ$3,CLAVE_BOV1,$A72)+SUMIFS(SALIDAS_BOV2,FECHA_BOV2,"&gt;="&amp;BQ$2,FECHA_BOV2,"&lt;="&amp;BQ$3,CLAVE_BOV2,$A72)+SUMIFS(SALIDAS_BOV3,FECHA_BOV3,"&gt;="&amp;BQ$2,FECHA_BOV3,"&lt;="&amp;BQ$3,CLAVE_BOV3,$A72)+SUMIFS(SALIDAS_TC,FECHA_TC,"&gt;="&amp;BQ$2,FECHA_TC,"&lt;="&amp;BQ$3,CLAVE_TC,$A72)+SUMIFS(SALIDAS_COMB,FECHA_COMB,"&gt;="&amp;BQ$2,FECHA_COMB,"&lt;="&amp;BQ$3,CLAVE_COMB,$A72)+SUMIFS(SALIDAS_DES,FECHA_DESGLOSEN,"&gt;="&amp;BQ$2,FECHA_DESGLOSEN,"&lt;="&amp;BQ$3,CLAVE_DESGLOSE,$A72)</f>
        <v>74714.989999999991</v>
      </c>
      <c r="BR72" s="13">
        <f t="shared" si="137"/>
        <v>168164.99</v>
      </c>
      <c r="BS72" s="68">
        <f t="shared" ref="BS72:BS135" si="164">BL72-BR72</f>
        <v>-61127.999999999985</v>
      </c>
      <c r="BT72" s="268">
        <f t="shared" ref="BT72:BT135" si="165">IFERROR((BR72/BL72),0)</f>
        <v>1.5710922924869242</v>
      </c>
      <c r="BU72" s="13">
        <f t="shared" ref="BU72:BU135" si="166">VLOOKUP($A72,T_PRESUPUESTO,MATCH(BU$6,E_PRESUPUESTO,0),FALSE)</f>
        <v>107036.99</v>
      </c>
      <c r="BV72" s="13">
        <f t="shared" si="90"/>
        <v>0</v>
      </c>
      <c r="BW72" s="13">
        <f t="shared" si="90"/>
        <v>0</v>
      </c>
      <c r="BX72" s="13">
        <f t="shared" si="90"/>
        <v>31225</v>
      </c>
      <c r="BY72" s="13">
        <f t="shared" si="90"/>
        <v>43714.99</v>
      </c>
      <c r="BZ72" s="13">
        <f t="shared" si="138"/>
        <v>74939.989999999991</v>
      </c>
      <c r="CA72" s="68">
        <f t="shared" ref="CA72:CA135" si="167">BU72-BZ72</f>
        <v>32097.000000000015</v>
      </c>
      <c r="CB72" s="268">
        <f t="shared" ref="CB72:CB135" si="168">IFERROR((BZ72/BU72),0)</f>
        <v>0.70013170213400044</v>
      </c>
      <c r="CC72" s="13">
        <f t="shared" ref="CC72:CC135" si="169">VLOOKUP($A72,T_PRESUPUESTO,MATCH(CC$6,E_PRESUPUESTO,0),FALSE)</f>
        <v>107036.99</v>
      </c>
      <c r="CD72" s="13">
        <f t="shared" si="91"/>
        <v>62225</v>
      </c>
      <c r="CE72" s="13">
        <f t="shared" si="91"/>
        <v>0</v>
      </c>
      <c r="CF72" s="13">
        <f t="shared" si="91"/>
        <v>0</v>
      </c>
      <c r="CG72" s="13">
        <f t="shared" si="91"/>
        <v>47878.31</v>
      </c>
      <c r="CH72" s="13">
        <f t="shared" si="139"/>
        <v>110103.31</v>
      </c>
      <c r="CI72" s="68">
        <f t="shared" ref="CI72:CI135" si="170">CC72-CH72</f>
        <v>-3066.3199999999924</v>
      </c>
      <c r="CJ72" s="268">
        <f t="shared" ref="CJ72:CJ135" si="171">IFERROR((CH72/CC72),0)</f>
        <v>1.0286472928657653</v>
      </c>
      <c r="CK72" s="13">
        <f t="shared" ref="CK72:CK135" si="172">VLOOKUP($A72,T_PRESUPUESTO,MATCH(CK$6,E_PRESUPUESTO,0),FALSE)</f>
        <v>107036.99</v>
      </c>
      <c r="CL72" s="13">
        <f t="shared" si="92"/>
        <v>31000</v>
      </c>
      <c r="CM72" s="13">
        <f t="shared" si="92"/>
        <v>77021.649999999994</v>
      </c>
      <c r="CN72" s="13">
        <f t="shared" si="92"/>
        <v>0</v>
      </c>
      <c r="CO72" s="13">
        <f t="shared" si="92"/>
        <v>0</v>
      </c>
      <c r="CP72" s="13">
        <f t="shared" si="92"/>
        <v>0</v>
      </c>
      <c r="CQ72" s="13">
        <f t="shared" si="140"/>
        <v>108021.65</v>
      </c>
      <c r="CR72" s="68">
        <f t="shared" ref="CR72:CR135" si="173">CK72-CQ72</f>
        <v>-984.65999999998894</v>
      </c>
      <c r="CS72" s="268">
        <f t="shared" ref="CS72:CS135" si="174">IFERROR((CQ72/CK72),0)</f>
        <v>1.0091992497173172</v>
      </c>
      <c r="CT72" s="68">
        <f t="shared" si="147"/>
        <v>109503</v>
      </c>
      <c r="CU72" s="13">
        <f>SUMIFS(SALIDAS_BIT,FECHA_BIT,"&gt;="&amp;CU$2,FECHA_BIT,"&lt;="&amp;CU$3,CLAVE_BIT,$A72)+SUMIFS(SALIDAS_BOV1,FECHA_BOV1,"&gt;="&amp;CU$2,FECHA_BOV1,"&lt;="&amp;CU$3,CLAVE_BOV1,$A72)+SUMIFS(SALIDAS_BOV2,FECHA_BOV2,"&gt;="&amp;CU$2,FECHA_BOV2,"&lt;="&amp;CU$3,CLAVE_BOV2,$A72)+SUMIFS(SALIDAS_BOV3,FECHA_BOV3,"&gt;="&amp;CU$2,FECHA_BOV3,"&lt;="&amp;CU$3,CLAVE_BOV3,$A72)+SUMIFS(SALIDAS_TC,FECHA_TC,"&gt;="&amp;CU$2,FECHA_TC,"&lt;="&amp;CU$3,CLAVE_TC,$A72)+SUMIFS(SALIDAS_COMB,FECHA_COMB,"&gt;="&amp;CU$2,FECHA_COMB,"&lt;="&amp;CU$3,CLAVE_COMB,$A72)+SUMIFS(SALIDAS_DES,FECHA_DESGLOSEN,"&gt;="&amp;CU$2,FECHA_DESGLOSEN,"&lt;="&amp;CU$3,CLAVE_DESGLOSE,$A72)</f>
        <v>0</v>
      </c>
      <c r="CV72" s="13">
        <f>SUMIFS(SALIDAS_BIT,FECHA_BIT,"&gt;="&amp;CV$2,FECHA_BIT,"&lt;="&amp;CV$3,CLAVE_BIT,$A72)+SUMIFS(SALIDAS_BOV1,FECHA_BOV1,"&gt;="&amp;CV$2,FECHA_BOV1,"&lt;="&amp;CV$3,CLAVE_BOV1,$A72)+SUMIFS(SALIDAS_BOV2,FECHA_BOV2,"&gt;="&amp;CV$2,FECHA_BOV2,"&lt;="&amp;CV$3,CLAVE_BOV2,$A72)+SUMIFS(SALIDAS_BOV3,FECHA_BOV3,"&gt;="&amp;CV$2,FECHA_BOV3,"&lt;="&amp;CV$3,CLAVE_BOV3,$A72)+SUMIFS(SALIDAS_TC,FECHA_TC,"&gt;="&amp;CV$2,FECHA_TC,"&lt;="&amp;CV$3,CLAVE_TC,$A72)+SUMIFS(SALIDAS_COMB,FECHA_COMB,"&gt;="&amp;CV$2,FECHA_COMB,"&lt;="&amp;CV$3,CLAVE_COMB,$A72)+SUMIFS(SALIDAS_DES,FECHA_DESGLOSEN,"&gt;="&amp;CV$2,FECHA_DESGLOSEN,"&lt;="&amp;CV$3,CLAVE_DESGLOSE,$A72)</f>
        <v>0</v>
      </c>
      <c r="CW72" s="13">
        <f>SUMIFS(SALIDAS_BIT,FECHA_BIT,"&gt;="&amp;CW$2,FECHA_BIT,"&lt;="&amp;CW$3,CLAVE_BIT,$A72)+SUMIFS(SALIDAS_BOV1,FECHA_BOV1,"&gt;="&amp;CW$2,FECHA_BOV1,"&lt;="&amp;CW$3,CLAVE_BOV1,$A72)+SUMIFS(SALIDAS_BOV2,FECHA_BOV2,"&gt;="&amp;CW$2,FECHA_BOV2,"&lt;="&amp;CW$3,CLAVE_BOV2,$A72)+SUMIFS(SALIDAS_BOV3,FECHA_BOV3,"&gt;="&amp;CW$2,FECHA_BOV3,"&lt;="&amp;CW$3,CLAVE_BOV3,$A72)+SUMIFS(SALIDAS_TC,FECHA_TC,"&gt;="&amp;CW$2,FECHA_TC,"&lt;="&amp;CW$3,CLAVE_TC,$A72)+SUMIFS(SALIDAS_COMB,FECHA_COMB,"&gt;="&amp;CW$2,FECHA_COMB,"&lt;="&amp;CW$3,CLAVE_COMB,$A72)+SUMIFS(SALIDAS_DES,FECHA_DESGLOSEN,"&gt;="&amp;CW$2,FECHA_DESGLOSEN,"&lt;="&amp;CW$3,CLAVE_DESGLOSE,$A72)</f>
        <v>0</v>
      </c>
      <c r="CX72" s="13">
        <f>SUMIFS(SALIDAS_BIT,FECHA_BIT,"&gt;="&amp;CX$2,FECHA_BIT,"&lt;="&amp;CX$3,CLAVE_BIT,$A72)+SUMIFS(SALIDAS_BOV1,FECHA_BOV1,"&gt;="&amp;CX$2,FECHA_BOV1,"&lt;="&amp;CX$3,CLAVE_BOV1,$A72)+SUMIFS(SALIDAS_BOV2,FECHA_BOV2,"&gt;="&amp;CX$2,FECHA_BOV2,"&lt;="&amp;CX$3,CLAVE_BOV2,$A72)+SUMIFS(SALIDAS_BOV3,FECHA_BOV3,"&gt;="&amp;CX$2,FECHA_BOV3,"&lt;="&amp;CX$3,CLAVE_BOV3,$A72)+SUMIFS(SALIDAS_TC,FECHA_TC,"&gt;="&amp;CX$2,FECHA_TC,"&lt;="&amp;CX$3,CLAVE_TC,$A72)+SUMIFS(SALIDAS_COMB,FECHA_COMB,"&gt;="&amp;CX$2,FECHA_COMB,"&lt;="&amp;CX$3,CLAVE_COMB,$A72)+SUMIFS(SALIDAS_DES,FECHA_DESGLOSEN,"&gt;="&amp;CX$2,FECHA_DESGLOSEN,"&lt;="&amp;CX$3,CLAVE_DESGLOSE,$A72)</f>
        <v>79769.45</v>
      </c>
      <c r="CY72" s="13">
        <f>SUMIFS(SALIDAS_BIT,FECHA_BIT,"&gt;="&amp;CY$2,FECHA_BIT,"&lt;="&amp;CY$3,CLAVE_BIT,$A72)+SUMIFS(SALIDAS_BOV1,FECHA_BOV1,"&gt;="&amp;CY$2,FECHA_BOV1,"&lt;="&amp;CY$3,CLAVE_BOV1,$A72)+SUMIFS(SALIDAS_BOV2,FECHA_BOV2,"&gt;="&amp;CY$2,FECHA_BOV2,"&lt;="&amp;CY$3,CLAVE_BOV2,$A72)+SUMIFS(SALIDAS_BOV3,FECHA_BOV3,"&gt;="&amp;CY$2,FECHA_BOV3,"&lt;="&amp;CY$3,CLAVE_BOV3,$A72)+SUMIFS(SALIDAS_TC,FECHA_TC,"&gt;="&amp;CY$2,FECHA_TC,"&lt;="&amp;CY$3,CLAVE_TC,$A72)+SUMIFS(SALIDAS_COMB,FECHA_COMB,"&gt;="&amp;CY$2,FECHA_COMB,"&lt;="&amp;CY$3,CLAVE_COMB,$A72)+SUMIFS(SALIDAS_DES,FECHA_DESGLOSEN,"&gt;="&amp;CY$2,FECHA_DESGLOSEN,"&lt;="&amp;CY$3,CLAVE_DESGLOSE,$A72)</f>
        <v>79769.45</v>
      </c>
      <c r="CZ72" s="68">
        <f t="shared" ref="CZ72:CZ135" si="175">CT72-CY72</f>
        <v>29733.550000000003</v>
      </c>
      <c r="DB72" s="17">
        <f>F72+N72+W72+AE72+AM72+AV72+BD72+BL72+BU72+CC72+CK72</f>
        <v>1177406.8900000001</v>
      </c>
      <c r="DC72" s="17">
        <f>K72+T72+AB72+AJ72+AS72+BA72+BI72+BR72+BZ72+CH72+CQ72</f>
        <v>1185585.8699999999</v>
      </c>
    </row>
    <row r="73" spans="1:107" hidden="1">
      <c r="A73" s="12" t="str">
        <f t="shared" si="148"/>
        <v>FINANZASRENTASA11</v>
      </c>
      <c r="B73" s="12">
        <v>75</v>
      </c>
      <c r="C73" t="s">
        <v>23</v>
      </c>
      <c r="D73" s="12" t="s">
        <v>169</v>
      </c>
      <c r="E73" s="12" t="s">
        <v>97</v>
      </c>
      <c r="F73" s="259">
        <f t="shared" si="141"/>
        <v>24934.04</v>
      </c>
      <c r="G73" s="13">
        <f t="shared" si="132"/>
        <v>0</v>
      </c>
      <c r="H73" s="13">
        <f t="shared" si="132"/>
        <v>0</v>
      </c>
      <c r="I73" s="13">
        <f t="shared" si="132"/>
        <v>23746.7</v>
      </c>
      <c r="J73" s="13">
        <f t="shared" si="132"/>
        <v>0</v>
      </c>
      <c r="K73" s="13">
        <f t="shared" si="132"/>
        <v>23746.7</v>
      </c>
      <c r="L73" s="68">
        <f t="shared" si="149"/>
        <v>1187.3400000000001</v>
      </c>
      <c r="M73" s="268">
        <f t="shared" si="150"/>
        <v>0.95238076140088013</v>
      </c>
      <c r="N73" s="13">
        <f t="shared" si="142"/>
        <v>24934.04</v>
      </c>
      <c r="O73" s="13">
        <f t="shared" si="133"/>
        <v>0</v>
      </c>
      <c r="P73" s="13">
        <f t="shared" si="133"/>
        <v>0</v>
      </c>
      <c r="Q73" s="13">
        <f t="shared" si="133"/>
        <v>0</v>
      </c>
      <c r="R73" s="13">
        <f t="shared" si="133"/>
        <v>23746.7</v>
      </c>
      <c r="S73" s="13">
        <f t="shared" si="133"/>
        <v>0</v>
      </c>
      <c r="T73" s="13">
        <f t="shared" si="133"/>
        <v>23746.7</v>
      </c>
      <c r="U73" s="68">
        <f t="shared" si="151"/>
        <v>1187.3400000000001</v>
      </c>
      <c r="V73" s="268">
        <f t="shared" si="152"/>
        <v>0.95238076140088013</v>
      </c>
      <c r="W73" s="13">
        <f t="shared" si="143"/>
        <v>24934.04</v>
      </c>
      <c r="X73" s="13">
        <f t="shared" si="134"/>
        <v>0</v>
      </c>
      <c r="Y73" s="13">
        <f t="shared" si="134"/>
        <v>0</v>
      </c>
      <c r="Z73" s="13">
        <f t="shared" si="134"/>
        <v>30572.57</v>
      </c>
      <c r="AA73" s="13">
        <f t="shared" si="134"/>
        <v>0</v>
      </c>
      <c r="AB73" s="13">
        <f t="shared" si="134"/>
        <v>30572.57</v>
      </c>
      <c r="AC73" s="68">
        <f t="shared" si="153"/>
        <v>-5638.5299999999988</v>
      </c>
      <c r="AD73" s="268">
        <f t="shared" si="154"/>
        <v>1.2261378420825506</v>
      </c>
      <c r="AE73" s="13">
        <f t="shared" si="144"/>
        <v>24934.04</v>
      </c>
      <c r="AF73" s="13">
        <f t="shared" si="135"/>
        <v>0</v>
      </c>
      <c r="AG73" s="13">
        <f t="shared" si="135"/>
        <v>0</v>
      </c>
      <c r="AH73" s="13">
        <f t="shared" si="135"/>
        <v>25454.02</v>
      </c>
      <c r="AI73" s="13">
        <f t="shared" si="135"/>
        <v>0</v>
      </c>
      <c r="AJ73" s="13">
        <f t="shared" si="135"/>
        <v>25454.02</v>
      </c>
      <c r="AK73" s="68">
        <f t="shared" si="155"/>
        <v>-519.97999999999956</v>
      </c>
      <c r="AL73" s="268">
        <f t="shared" si="156"/>
        <v>1.0208542217787411</v>
      </c>
      <c r="AM73" s="13">
        <f t="shared" si="145"/>
        <v>24934.04</v>
      </c>
      <c r="AN73" s="13">
        <f t="shared" si="136"/>
        <v>0</v>
      </c>
      <c r="AO73" s="13">
        <f t="shared" si="136"/>
        <v>25454.02</v>
      </c>
      <c r="AP73" s="13">
        <f t="shared" si="136"/>
        <v>0</v>
      </c>
      <c r="AQ73" s="13">
        <f t="shared" si="136"/>
        <v>0</v>
      </c>
      <c r="AR73" s="13">
        <f t="shared" si="136"/>
        <v>0</v>
      </c>
      <c r="AS73" s="13">
        <f t="shared" si="136"/>
        <v>25454.02</v>
      </c>
      <c r="AT73" s="68">
        <f>AM73-AS73</f>
        <v>-519.97999999999956</v>
      </c>
      <c r="AU73" s="268">
        <f t="shared" si="157"/>
        <v>1.0208542217787411</v>
      </c>
      <c r="AV73" s="13">
        <f t="shared" si="146"/>
        <v>24934.04</v>
      </c>
      <c r="AW73" s="13">
        <f t="shared" si="119"/>
        <v>0</v>
      </c>
      <c r="AX73" s="13">
        <f t="shared" si="119"/>
        <v>25454.02</v>
      </c>
      <c r="AY73" s="13">
        <f t="shared" si="119"/>
        <v>0</v>
      </c>
      <c r="AZ73" s="13">
        <f t="shared" si="119"/>
        <v>0</v>
      </c>
      <c r="BA73" s="13">
        <f t="shared" si="120"/>
        <v>25454.02</v>
      </c>
      <c r="BB73" s="68">
        <f t="shared" si="158"/>
        <v>-519.97999999999956</v>
      </c>
      <c r="BC73" s="268">
        <f t="shared" si="159"/>
        <v>1.0208542217787411</v>
      </c>
      <c r="BD73" s="13">
        <f t="shared" si="160"/>
        <v>24934.04</v>
      </c>
      <c r="BE73" s="13">
        <f>SUMIFS(SALIDAS_BIT,FECHA_BIT,"&gt;="&amp;BE$2,FECHA_BIT,"&lt;="&amp;BE$3,CLAVE_BIT,$A73)+SUMIFS(SALIDAS_BOV1,FECHA_BOV1,"&gt;="&amp;BE$2,FECHA_BOV1,"&lt;="&amp;BE$3,CLAVE_BOV1,$A73)+SUMIFS(SALIDAS_BOV2,FECHA_BOV2,"&gt;="&amp;BE$2,FECHA_BOV2,"&lt;="&amp;BE$3,CLAVE_BOV2,$A73)+SUMIFS(SALIDAS_BOV3,FECHA_BOV3,"&gt;="&amp;BE$2,FECHA_BOV3,"&lt;="&amp;BE$3,CLAVE_BOV3,$A73)+SUMIFS(SALIDAS_TC,FECHA_TC,"&gt;="&amp;BE$2,FECHA_TC,"&lt;="&amp;BE$3,CLAVE_TC,$A73)+SUMIFS(SALIDAS_COMB,FECHA_COMB,"&gt;="&amp;BE$2,FECHA_COMB,"&lt;="&amp;BE$3,CLAVE_COMB,$A73)+SUMIFS(SALIDAS_DES,FECHA_DESGLOSEN,"&gt;="&amp;BE$2,FECHA_DESGLOSEN,"&lt;="&amp;BE$3,CLAVE_DESGLOSE,$A73)</f>
        <v>0</v>
      </c>
      <c r="BF73" s="13">
        <f>SUMIFS(SALIDAS_BIT,FECHA_BIT,"&gt;="&amp;BF$2,FECHA_BIT,"&lt;="&amp;BF$3,CLAVE_BIT,$A73)+SUMIFS(SALIDAS_BOV1,FECHA_BOV1,"&gt;="&amp;BF$2,FECHA_BOV1,"&lt;="&amp;BF$3,CLAVE_BOV1,$A73)+SUMIFS(SALIDAS_BOV2,FECHA_BOV2,"&gt;="&amp;BF$2,FECHA_BOV2,"&lt;="&amp;BF$3,CLAVE_BOV2,$A73)+SUMIFS(SALIDAS_BOV3,FECHA_BOV3,"&gt;="&amp;BF$2,FECHA_BOV3,"&lt;="&amp;BF$3,CLAVE_BOV3,$A73)+SUMIFS(SALIDAS_TC,FECHA_TC,"&gt;="&amp;BF$2,FECHA_TC,"&lt;="&amp;BF$3,CLAVE_TC,$A73)+SUMIFS(SALIDAS_COMB,FECHA_COMB,"&gt;="&amp;BF$2,FECHA_COMB,"&lt;="&amp;BF$3,CLAVE_COMB,$A73)+SUMIFS(SALIDAS_DES,FECHA_DESGLOSEN,"&gt;="&amp;BF$2,FECHA_DESGLOSEN,"&lt;="&amp;BF$3,CLAVE_DESGLOSE,$A73)</f>
        <v>25454.02</v>
      </c>
      <c r="BG73" s="13">
        <f>SUMIFS(SALIDAS_BIT,FECHA_BIT,"&gt;="&amp;BG$2,FECHA_BIT,"&lt;="&amp;BG$3,CLAVE_BIT,$A73)+SUMIFS(SALIDAS_BOV1,FECHA_BOV1,"&gt;="&amp;BG$2,FECHA_BOV1,"&lt;="&amp;BG$3,CLAVE_BOV1,$A73)+SUMIFS(SALIDAS_BOV2,FECHA_BOV2,"&gt;="&amp;BG$2,FECHA_BOV2,"&lt;="&amp;BG$3,CLAVE_BOV2,$A73)+SUMIFS(SALIDAS_BOV3,FECHA_BOV3,"&gt;="&amp;BG$2,FECHA_BOV3,"&lt;="&amp;BG$3,CLAVE_BOV3,$A73)+SUMIFS(SALIDAS_TC,FECHA_TC,"&gt;="&amp;BG$2,FECHA_TC,"&lt;="&amp;BG$3,CLAVE_TC,$A73)+SUMIFS(SALIDAS_COMB,FECHA_COMB,"&gt;="&amp;BG$2,FECHA_COMB,"&lt;="&amp;BG$3,CLAVE_COMB,$A73)+SUMIFS(SALIDAS_DES,FECHA_DESGLOSEN,"&gt;="&amp;BG$2,FECHA_DESGLOSEN,"&lt;="&amp;BG$3,CLAVE_DESGLOSE,$A73)</f>
        <v>0</v>
      </c>
      <c r="BH73" s="13">
        <f>SUMIFS(SALIDAS_BIT,FECHA_BIT,"&gt;="&amp;BH$2,FECHA_BIT,"&lt;="&amp;BH$3,CLAVE_BIT,$A73)+SUMIFS(SALIDAS_BOV1,FECHA_BOV1,"&gt;="&amp;BH$2,FECHA_BOV1,"&lt;="&amp;BH$3,CLAVE_BOV1,$A73)+SUMIFS(SALIDAS_BOV2,FECHA_BOV2,"&gt;="&amp;BH$2,FECHA_BOV2,"&lt;="&amp;BH$3,CLAVE_BOV2,$A73)+SUMIFS(SALIDAS_BOV3,FECHA_BOV3,"&gt;="&amp;BH$2,FECHA_BOV3,"&lt;="&amp;BH$3,CLAVE_BOV3,$A73)+SUMIFS(SALIDAS_TC,FECHA_TC,"&gt;="&amp;BH$2,FECHA_TC,"&lt;="&amp;BH$3,CLAVE_TC,$A73)+SUMIFS(SALIDAS_COMB,FECHA_COMB,"&gt;="&amp;BH$2,FECHA_COMB,"&lt;="&amp;BH$3,CLAVE_COMB,$A73)+SUMIFS(SALIDAS_DES,FECHA_DESGLOSEN,"&gt;="&amp;BH$2,FECHA_DESGLOSEN,"&lt;="&amp;BH$3,CLAVE_DESGLOSE,$A73)</f>
        <v>0</v>
      </c>
      <c r="BI73" s="13">
        <f t="shared" si="121"/>
        <v>25454.02</v>
      </c>
      <c r="BJ73" s="68">
        <f t="shared" si="161"/>
        <v>-519.97999999999956</v>
      </c>
      <c r="BK73" s="268">
        <f t="shared" si="162"/>
        <v>1.0208542217787411</v>
      </c>
      <c r="BL73" s="13">
        <f t="shared" si="163"/>
        <v>24934.04</v>
      </c>
      <c r="BM73" s="13">
        <f>SUMIFS(SALIDAS_BIT,FECHA_BIT,"&gt;="&amp;BM$2,FECHA_BIT,"&lt;="&amp;BM$3,CLAVE_BIT,$A73)+SUMIFS(SALIDAS_BOV1,FECHA_BOV1,"&gt;="&amp;BM$2,FECHA_BOV1,"&lt;="&amp;BM$3,CLAVE_BOV1,$A73)+SUMIFS(SALIDAS_BOV2,FECHA_BOV2,"&gt;="&amp;BM$2,FECHA_BOV2,"&lt;="&amp;BM$3,CLAVE_BOV2,$A73)+SUMIFS(SALIDAS_BOV3,FECHA_BOV3,"&gt;="&amp;BM$2,FECHA_BOV3,"&lt;="&amp;BM$3,CLAVE_BOV3,$A73)+SUMIFS(SALIDAS_TC,FECHA_TC,"&gt;="&amp;BM$2,FECHA_TC,"&lt;="&amp;BM$3,CLAVE_TC,$A73)+SUMIFS(SALIDAS_COMB,FECHA_COMB,"&gt;="&amp;BM$2,FECHA_COMB,"&lt;="&amp;BM$3,CLAVE_COMB,$A73)+SUMIFS(SALIDAS_DES,FECHA_DESGLOSEN,"&gt;="&amp;BM$2,FECHA_DESGLOSEN,"&lt;="&amp;BM$3,CLAVE_DESGLOSE,$A73)</f>
        <v>0</v>
      </c>
      <c r="BN73" s="13">
        <f>SUMIFS(SALIDAS_BIT,FECHA_BIT,"&gt;="&amp;BN$2,FECHA_BIT,"&lt;="&amp;BN$3,CLAVE_BIT,$A73)+SUMIFS(SALIDAS_BOV1,FECHA_BOV1,"&gt;="&amp;BN$2,FECHA_BOV1,"&lt;="&amp;BN$3,CLAVE_BOV1,$A73)+SUMIFS(SALIDAS_BOV2,FECHA_BOV2,"&gt;="&amp;BN$2,FECHA_BOV2,"&lt;="&amp;BN$3,CLAVE_BOV2,$A73)+SUMIFS(SALIDAS_BOV3,FECHA_BOV3,"&gt;="&amp;BN$2,FECHA_BOV3,"&lt;="&amp;BN$3,CLAVE_BOV3,$A73)+SUMIFS(SALIDAS_TC,FECHA_TC,"&gt;="&amp;BN$2,FECHA_TC,"&lt;="&amp;BN$3,CLAVE_TC,$A73)+SUMIFS(SALIDAS_COMB,FECHA_COMB,"&gt;="&amp;BN$2,FECHA_COMB,"&lt;="&amp;BN$3,CLAVE_COMB,$A73)+SUMIFS(SALIDAS_DES,FECHA_DESGLOSEN,"&gt;="&amp;BN$2,FECHA_DESGLOSEN,"&lt;="&amp;BN$3,CLAVE_DESGLOSE,$A73)</f>
        <v>0</v>
      </c>
      <c r="BO73" s="13">
        <f>SUMIFS(SALIDAS_BIT,FECHA_BIT,"&gt;="&amp;BO$2,FECHA_BIT,"&lt;="&amp;BO$3,CLAVE_BIT,$A73)+SUMIFS(SALIDAS_BOV1,FECHA_BOV1,"&gt;="&amp;BO$2,FECHA_BOV1,"&lt;="&amp;BO$3,CLAVE_BOV1,$A73)+SUMIFS(SALIDAS_BOV2,FECHA_BOV2,"&gt;="&amp;BO$2,FECHA_BOV2,"&lt;="&amp;BO$3,CLAVE_BOV2,$A73)+SUMIFS(SALIDAS_BOV3,FECHA_BOV3,"&gt;="&amp;BO$2,FECHA_BOV3,"&lt;="&amp;BO$3,CLAVE_BOV3,$A73)+SUMIFS(SALIDAS_TC,FECHA_TC,"&gt;="&amp;BO$2,FECHA_TC,"&lt;="&amp;BO$3,CLAVE_TC,$A73)+SUMIFS(SALIDAS_COMB,FECHA_COMB,"&gt;="&amp;BO$2,FECHA_COMB,"&lt;="&amp;BO$3,CLAVE_COMB,$A73)+SUMIFS(SALIDAS_DES,FECHA_DESGLOSEN,"&gt;="&amp;BO$2,FECHA_DESGLOSEN,"&lt;="&amp;BO$3,CLAVE_DESGLOSE,$A73)</f>
        <v>25454.02</v>
      </c>
      <c r="BP73" s="13">
        <f>SUMIFS(SALIDAS_BIT,FECHA_BIT,"&gt;="&amp;BP$2,FECHA_BIT,"&lt;="&amp;BP$3,CLAVE_BIT,$A73)+SUMIFS(SALIDAS_BOV1,FECHA_BOV1,"&gt;="&amp;BP$2,FECHA_BOV1,"&lt;="&amp;BP$3,CLAVE_BOV1,$A73)+SUMIFS(SALIDAS_BOV2,FECHA_BOV2,"&gt;="&amp;BP$2,FECHA_BOV2,"&lt;="&amp;BP$3,CLAVE_BOV2,$A73)+SUMIFS(SALIDAS_BOV3,FECHA_BOV3,"&gt;="&amp;BP$2,FECHA_BOV3,"&lt;="&amp;BP$3,CLAVE_BOV3,$A73)+SUMIFS(SALIDAS_TC,FECHA_TC,"&gt;="&amp;BP$2,FECHA_TC,"&lt;="&amp;BP$3,CLAVE_TC,$A73)+SUMIFS(SALIDAS_COMB,FECHA_COMB,"&gt;="&amp;BP$2,FECHA_COMB,"&lt;="&amp;BP$3,CLAVE_COMB,$A73)+SUMIFS(SALIDAS_DES,FECHA_DESGLOSEN,"&gt;="&amp;BP$2,FECHA_DESGLOSEN,"&lt;="&amp;BP$3,CLAVE_DESGLOSE,$A73)</f>
        <v>0</v>
      </c>
      <c r="BQ73" s="13">
        <f>SUMIFS(SALIDAS_BIT,FECHA_BIT,"&gt;="&amp;BQ$2,FECHA_BIT,"&lt;="&amp;BQ$3,CLAVE_BIT,$A73)+SUMIFS(SALIDAS_BOV1,FECHA_BOV1,"&gt;="&amp;BQ$2,FECHA_BOV1,"&lt;="&amp;BQ$3,CLAVE_BOV1,$A73)+SUMIFS(SALIDAS_BOV2,FECHA_BOV2,"&gt;="&amp;BQ$2,FECHA_BOV2,"&lt;="&amp;BQ$3,CLAVE_BOV2,$A73)+SUMIFS(SALIDAS_BOV3,FECHA_BOV3,"&gt;="&amp;BQ$2,FECHA_BOV3,"&lt;="&amp;BQ$3,CLAVE_BOV3,$A73)+SUMIFS(SALIDAS_TC,FECHA_TC,"&gt;="&amp;BQ$2,FECHA_TC,"&lt;="&amp;BQ$3,CLAVE_TC,$A73)+SUMIFS(SALIDAS_COMB,FECHA_COMB,"&gt;="&amp;BQ$2,FECHA_COMB,"&lt;="&amp;BQ$3,CLAVE_COMB,$A73)+SUMIFS(SALIDAS_DES,FECHA_DESGLOSEN,"&gt;="&amp;BQ$2,FECHA_DESGLOSEN,"&lt;="&amp;BQ$3,CLAVE_DESGLOSE,$A73)</f>
        <v>0</v>
      </c>
      <c r="BR73" s="13">
        <f t="shared" si="137"/>
        <v>25454.02</v>
      </c>
      <c r="BS73" s="68">
        <f t="shared" si="164"/>
        <v>-519.97999999999956</v>
      </c>
      <c r="BT73" s="268">
        <f t="shared" si="165"/>
        <v>1.0208542217787411</v>
      </c>
      <c r="BU73" s="13">
        <f t="shared" si="166"/>
        <v>24934.04</v>
      </c>
      <c r="BV73" s="13">
        <f t="shared" si="90"/>
        <v>0</v>
      </c>
      <c r="BW73" s="13">
        <f t="shared" si="90"/>
        <v>0</v>
      </c>
      <c r="BX73" s="13">
        <f t="shared" si="90"/>
        <v>25454.02</v>
      </c>
      <c r="BY73" s="13">
        <f t="shared" si="90"/>
        <v>0</v>
      </c>
      <c r="BZ73" s="13">
        <f t="shared" si="138"/>
        <v>25454.02</v>
      </c>
      <c r="CA73" s="68">
        <f t="shared" si="167"/>
        <v>-519.97999999999956</v>
      </c>
      <c r="CB73" s="268">
        <f t="shared" si="168"/>
        <v>1.0208542217787411</v>
      </c>
      <c r="CC73" s="13">
        <f t="shared" si="169"/>
        <v>24934.04</v>
      </c>
      <c r="CD73" s="13">
        <f t="shared" si="91"/>
        <v>25454.02</v>
      </c>
      <c r="CE73" s="13">
        <f t="shared" si="91"/>
        <v>0</v>
      </c>
      <c r="CF73" s="13">
        <f t="shared" si="91"/>
        <v>0</v>
      </c>
      <c r="CG73" s="13">
        <f t="shared" si="91"/>
        <v>0</v>
      </c>
      <c r="CH73" s="13">
        <f t="shared" si="139"/>
        <v>25454.02</v>
      </c>
      <c r="CI73" s="68">
        <f t="shared" si="170"/>
        <v>-519.97999999999956</v>
      </c>
      <c r="CJ73" s="268">
        <f t="shared" si="171"/>
        <v>1.0208542217787411</v>
      </c>
      <c r="CK73" s="13">
        <f t="shared" si="172"/>
        <v>24934.04</v>
      </c>
      <c r="CL73" s="13">
        <f t="shared" si="92"/>
        <v>0</v>
      </c>
      <c r="CM73" s="13">
        <f t="shared" si="92"/>
        <v>25454.02</v>
      </c>
      <c r="CN73" s="13">
        <f t="shared" si="92"/>
        <v>0</v>
      </c>
      <c r="CO73" s="13">
        <f t="shared" si="92"/>
        <v>0</v>
      </c>
      <c r="CP73" s="13">
        <f t="shared" si="92"/>
        <v>0</v>
      </c>
      <c r="CQ73" s="13">
        <f t="shared" si="140"/>
        <v>25454.02</v>
      </c>
      <c r="CR73" s="68">
        <f t="shared" si="173"/>
        <v>-519.97999999999956</v>
      </c>
      <c r="CS73" s="268">
        <f t="shared" si="174"/>
        <v>1.0208542217787411</v>
      </c>
      <c r="CT73" s="68">
        <f t="shared" si="147"/>
        <v>26430</v>
      </c>
      <c r="CU73" s="13">
        <f>SUMIFS(SALIDAS_BIT,FECHA_BIT,"&gt;="&amp;CU$2,FECHA_BIT,"&lt;="&amp;CU$3,CLAVE_BIT,$A73)+SUMIFS(SALIDAS_BOV1,FECHA_BOV1,"&gt;="&amp;CU$2,FECHA_BOV1,"&lt;="&amp;CU$3,CLAVE_BOV1,$A73)+SUMIFS(SALIDAS_BOV2,FECHA_BOV2,"&gt;="&amp;CU$2,FECHA_BOV2,"&lt;="&amp;CU$3,CLAVE_BOV2,$A73)+SUMIFS(SALIDAS_BOV3,FECHA_BOV3,"&gt;="&amp;CU$2,FECHA_BOV3,"&lt;="&amp;CU$3,CLAVE_BOV3,$A73)+SUMIFS(SALIDAS_TC,FECHA_TC,"&gt;="&amp;CU$2,FECHA_TC,"&lt;="&amp;CU$3,CLAVE_TC,$A73)+SUMIFS(SALIDAS_COMB,FECHA_COMB,"&gt;="&amp;CU$2,FECHA_COMB,"&lt;="&amp;CU$3,CLAVE_COMB,$A73)+SUMIFS(SALIDAS_DES,FECHA_DESGLOSEN,"&gt;="&amp;CU$2,FECHA_DESGLOSEN,"&lt;="&amp;CU$3,CLAVE_DESGLOSE,$A73)</f>
        <v>0</v>
      </c>
      <c r="CV73" s="13">
        <f>SUMIFS(SALIDAS_BIT,FECHA_BIT,"&gt;="&amp;CV$2,FECHA_BIT,"&lt;="&amp;CV$3,CLAVE_BIT,$A73)+SUMIFS(SALIDAS_BOV1,FECHA_BOV1,"&gt;="&amp;CV$2,FECHA_BOV1,"&lt;="&amp;CV$3,CLAVE_BOV1,$A73)+SUMIFS(SALIDAS_BOV2,FECHA_BOV2,"&gt;="&amp;CV$2,FECHA_BOV2,"&lt;="&amp;CV$3,CLAVE_BOV2,$A73)+SUMIFS(SALIDAS_BOV3,FECHA_BOV3,"&gt;="&amp;CV$2,FECHA_BOV3,"&lt;="&amp;CV$3,CLAVE_BOV3,$A73)+SUMIFS(SALIDAS_TC,FECHA_TC,"&gt;="&amp;CV$2,FECHA_TC,"&lt;="&amp;CV$3,CLAVE_TC,$A73)+SUMIFS(SALIDAS_COMB,FECHA_COMB,"&gt;="&amp;CV$2,FECHA_COMB,"&lt;="&amp;CV$3,CLAVE_COMB,$A73)+SUMIFS(SALIDAS_DES,FECHA_DESGLOSEN,"&gt;="&amp;CV$2,FECHA_DESGLOSEN,"&lt;="&amp;CV$3,CLAVE_DESGLOSE,$A73)</f>
        <v>0</v>
      </c>
      <c r="CW73" s="13">
        <f>SUMIFS(SALIDAS_BIT,FECHA_BIT,"&gt;="&amp;CW$2,FECHA_BIT,"&lt;="&amp;CW$3,CLAVE_BIT,$A73)+SUMIFS(SALIDAS_BOV1,FECHA_BOV1,"&gt;="&amp;CW$2,FECHA_BOV1,"&lt;="&amp;CW$3,CLAVE_BOV1,$A73)+SUMIFS(SALIDAS_BOV2,FECHA_BOV2,"&gt;="&amp;CW$2,FECHA_BOV2,"&lt;="&amp;CW$3,CLAVE_BOV2,$A73)+SUMIFS(SALIDAS_BOV3,FECHA_BOV3,"&gt;="&amp;CW$2,FECHA_BOV3,"&lt;="&amp;CW$3,CLAVE_BOV3,$A73)+SUMIFS(SALIDAS_TC,FECHA_TC,"&gt;="&amp;CW$2,FECHA_TC,"&lt;="&amp;CW$3,CLAVE_TC,$A73)+SUMIFS(SALIDAS_COMB,FECHA_COMB,"&gt;="&amp;CW$2,FECHA_COMB,"&lt;="&amp;CW$3,CLAVE_COMB,$A73)+SUMIFS(SALIDAS_DES,FECHA_DESGLOSEN,"&gt;="&amp;CW$2,FECHA_DESGLOSEN,"&lt;="&amp;CW$3,CLAVE_DESGLOSE,$A73)</f>
        <v>0</v>
      </c>
      <c r="CX73" s="13">
        <f>SUMIFS(SALIDAS_BIT,FECHA_BIT,"&gt;="&amp;CX$2,FECHA_BIT,"&lt;="&amp;CX$3,CLAVE_BIT,$A73)+SUMIFS(SALIDAS_BOV1,FECHA_BOV1,"&gt;="&amp;CX$2,FECHA_BOV1,"&lt;="&amp;CX$3,CLAVE_BOV1,$A73)+SUMIFS(SALIDAS_BOV2,FECHA_BOV2,"&gt;="&amp;CX$2,FECHA_BOV2,"&lt;="&amp;CX$3,CLAVE_BOV2,$A73)+SUMIFS(SALIDAS_BOV3,FECHA_BOV3,"&gt;="&amp;CX$2,FECHA_BOV3,"&lt;="&amp;CX$3,CLAVE_BOV3,$A73)+SUMIFS(SALIDAS_TC,FECHA_TC,"&gt;="&amp;CX$2,FECHA_TC,"&lt;="&amp;CX$3,CLAVE_TC,$A73)+SUMIFS(SALIDAS_COMB,FECHA_COMB,"&gt;="&amp;CX$2,FECHA_COMB,"&lt;="&amp;CX$3,CLAVE_COMB,$A73)+SUMIFS(SALIDAS_DES,FECHA_DESGLOSEN,"&gt;="&amp;CX$2,FECHA_DESGLOSEN,"&lt;="&amp;CX$3,CLAVE_DESGLOSE,$A73)</f>
        <v>26430.080000000002</v>
      </c>
      <c r="CY73" s="13">
        <f>SUMIFS(SALIDAS_BIT,FECHA_BIT,"&gt;="&amp;CY$2,FECHA_BIT,"&lt;="&amp;CY$3,CLAVE_BIT,$A73)+SUMIFS(SALIDAS_BOV1,FECHA_BOV1,"&gt;="&amp;CY$2,FECHA_BOV1,"&lt;="&amp;CY$3,CLAVE_BOV1,$A73)+SUMIFS(SALIDAS_BOV2,FECHA_BOV2,"&gt;="&amp;CY$2,FECHA_BOV2,"&lt;="&amp;CY$3,CLAVE_BOV2,$A73)+SUMIFS(SALIDAS_BOV3,FECHA_BOV3,"&gt;="&amp;CY$2,FECHA_BOV3,"&lt;="&amp;CY$3,CLAVE_BOV3,$A73)+SUMIFS(SALIDAS_TC,FECHA_TC,"&gt;="&amp;CY$2,FECHA_TC,"&lt;="&amp;CY$3,CLAVE_TC,$A73)+SUMIFS(SALIDAS_COMB,FECHA_COMB,"&gt;="&amp;CY$2,FECHA_COMB,"&lt;="&amp;CY$3,CLAVE_COMB,$A73)+SUMIFS(SALIDAS_DES,FECHA_DESGLOSEN,"&gt;="&amp;CY$2,FECHA_DESGLOSEN,"&lt;="&amp;CY$3,CLAVE_DESGLOSE,$A73)</f>
        <v>26430.080000000002</v>
      </c>
      <c r="CZ73" s="68">
        <f t="shared" si="175"/>
        <v>-8.000000000174623E-2</v>
      </c>
      <c r="DB73" s="17">
        <f>F73+N73+W73+AE73+AM73+AV73+BD73+BL73+BU73+CC73+CK73</f>
        <v>274274.44000000006</v>
      </c>
      <c r="DC73" s="17">
        <f>K73+T73+AB73+AJ73+AS73+BA73+BI73+BR73+BZ73+CH73+CQ73</f>
        <v>281698.12999999995</v>
      </c>
    </row>
    <row r="74" spans="1:107" hidden="1">
      <c r="A74" s="12" t="str">
        <f t="shared" si="148"/>
        <v>FINANZASRENTASA12</v>
      </c>
      <c r="B74" s="12">
        <v>76</v>
      </c>
      <c r="C74" t="s">
        <v>23</v>
      </c>
      <c r="D74" s="12" t="s">
        <v>169</v>
      </c>
      <c r="E74" s="12" t="s">
        <v>98</v>
      </c>
      <c r="F74" s="259">
        <f t="shared" si="141"/>
        <v>138016.13</v>
      </c>
      <c r="G74" s="13">
        <f t="shared" si="132"/>
        <v>0</v>
      </c>
      <c r="H74" s="13">
        <f t="shared" si="132"/>
        <v>136560.29</v>
      </c>
      <c r="I74" s="13">
        <f t="shared" si="132"/>
        <v>0</v>
      </c>
      <c r="J74" s="13">
        <f t="shared" si="132"/>
        <v>49286.080000000002</v>
      </c>
      <c r="K74" s="13">
        <f t="shared" si="132"/>
        <v>185846.37</v>
      </c>
      <c r="L74" s="68">
        <f t="shared" si="149"/>
        <v>-47830.239999999991</v>
      </c>
      <c r="M74" s="268">
        <f t="shared" si="150"/>
        <v>1.3465554352234046</v>
      </c>
      <c r="N74" s="13">
        <f t="shared" si="142"/>
        <v>138016.13</v>
      </c>
      <c r="O74" s="13">
        <f t="shared" si="133"/>
        <v>0</v>
      </c>
      <c r="P74" s="13">
        <f t="shared" si="133"/>
        <v>137560.29</v>
      </c>
      <c r="Q74" s="13">
        <f t="shared" si="133"/>
        <v>0</v>
      </c>
      <c r="R74" s="13">
        <f t="shared" si="133"/>
        <v>0</v>
      </c>
      <c r="S74" s="13">
        <f t="shared" si="133"/>
        <v>0</v>
      </c>
      <c r="T74" s="13">
        <f t="shared" si="133"/>
        <v>137560.29</v>
      </c>
      <c r="U74" s="68">
        <f t="shared" si="151"/>
        <v>455.83999999999651</v>
      </c>
      <c r="V74" s="268">
        <f t="shared" si="152"/>
        <v>0.99669719763914555</v>
      </c>
      <c r="W74" s="13">
        <f t="shared" si="143"/>
        <v>138016.13</v>
      </c>
      <c r="X74" s="13">
        <f t="shared" si="134"/>
        <v>137560.29</v>
      </c>
      <c r="Y74" s="13">
        <f t="shared" si="134"/>
        <v>0</v>
      </c>
      <c r="Z74" s="13">
        <f t="shared" si="134"/>
        <v>0</v>
      </c>
      <c r="AA74" s="13">
        <f t="shared" si="134"/>
        <v>0</v>
      </c>
      <c r="AB74" s="13">
        <f t="shared" si="134"/>
        <v>137560.29</v>
      </c>
      <c r="AC74" s="68">
        <f t="shared" si="153"/>
        <v>455.83999999999651</v>
      </c>
      <c r="AD74" s="268">
        <f t="shared" si="154"/>
        <v>0.99669719763914555</v>
      </c>
      <c r="AE74" s="13">
        <f t="shared" si="144"/>
        <v>138016.13</v>
      </c>
      <c r="AF74" s="13">
        <f t="shared" si="135"/>
        <v>137560.29</v>
      </c>
      <c r="AG74" s="13">
        <f t="shared" si="135"/>
        <v>5410.82</v>
      </c>
      <c r="AH74" s="13">
        <f t="shared" si="135"/>
        <v>0</v>
      </c>
      <c r="AI74" s="13">
        <f t="shared" si="135"/>
        <v>0</v>
      </c>
      <c r="AJ74" s="13">
        <f t="shared" si="135"/>
        <v>142971.11000000002</v>
      </c>
      <c r="AK74" s="68">
        <f t="shared" si="155"/>
        <v>-4954.9800000000105</v>
      </c>
      <c r="AL74" s="268">
        <f t="shared" si="156"/>
        <v>1.0359014558660644</v>
      </c>
      <c r="AM74" s="13">
        <f t="shared" si="145"/>
        <v>138016.13</v>
      </c>
      <c r="AN74" s="13">
        <f t="shared" si="136"/>
        <v>0</v>
      </c>
      <c r="AO74" s="13">
        <f t="shared" si="136"/>
        <v>142970.82</v>
      </c>
      <c r="AP74" s="13">
        <f t="shared" si="136"/>
        <v>0</v>
      </c>
      <c r="AQ74" s="13">
        <f t="shared" si="136"/>
        <v>0</v>
      </c>
      <c r="AR74" s="13">
        <f t="shared" si="136"/>
        <v>0</v>
      </c>
      <c r="AS74" s="13">
        <f t="shared" si="136"/>
        <v>142970.82</v>
      </c>
      <c r="AT74" s="68">
        <f>AM74-AS74</f>
        <v>-4954.6900000000023</v>
      </c>
      <c r="AU74" s="268">
        <f t="shared" si="157"/>
        <v>1.0358993546623863</v>
      </c>
      <c r="AV74" s="13">
        <f t="shared" si="146"/>
        <v>138016.13</v>
      </c>
      <c r="AW74" s="13">
        <f t="shared" si="119"/>
        <v>142971</v>
      </c>
      <c r="AX74" s="13">
        <f t="shared" si="119"/>
        <v>0</v>
      </c>
      <c r="AY74" s="13">
        <f t="shared" si="119"/>
        <v>0</v>
      </c>
      <c r="AZ74" s="13">
        <f t="shared" si="119"/>
        <v>0</v>
      </c>
      <c r="BA74" s="13">
        <f t="shared" si="120"/>
        <v>142971</v>
      </c>
      <c r="BB74" s="68">
        <f t="shared" si="158"/>
        <v>-4954.8699999999953</v>
      </c>
      <c r="BC74" s="268">
        <f t="shared" si="159"/>
        <v>1.0359006588577726</v>
      </c>
      <c r="BD74" s="13">
        <f t="shared" si="160"/>
        <v>138016.13</v>
      </c>
      <c r="BE74" s="13">
        <f>SUMIFS(SALIDAS_BIT,FECHA_BIT,"&gt;="&amp;BE$2,FECHA_BIT,"&lt;="&amp;BE$3,CLAVE_BIT,$A74)+SUMIFS(SALIDAS_BOV1,FECHA_BOV1,"&gt;="&amp;BE$2,FECHA_BOV1,"&lt;="&amp;BE$3,CLAVE_BOV1,$A74)+SUMIFS(SALIDAS_BOV2,FECHA_BOV2,"&gt;="&amp;BE$2,FECHA_BOV2,"&lt;="&amp;BE$3,CLAVE_BOV2,$A74)+SUMIFS(SALIDAS_BOV3,FECHA_BOV3,"&gt;="&amp;BE$2,FECHA_BOV3,"&lt;="&amp;BE$3,CLAVE_BOV3,$A74)+SUMIFS(SALIDAS_TC,FECHA_TC,"&gt;="&amp;BE$2,FECHA_TC,"&lt;="&amp;BE$3,CLAVE_TC,$A74)+SUMIFS(SALIDAS_COMB,FECHA_COMB,"&gt;="&amp;BE$2,FECHA_COMB,"&lt;="&amp;BE$3,CLAVE_COMB,$A74)+SUMIFS(SALIDAS_DES,FECHA_DESGLOSEN,"&gt;="&amp;BE$2,FECHA_DESGLOSEN,"&lt;="&amp;BE$3,CLAVE_DESGLOSE,$A74)</f>
        <v>0</v>
      </c>
      <c r="BF74" s="13">
        <f>SUMIFS(SALIDAS_BIT,FECHA_BIT,"&gt;="&amp;BF$2,FECHA_BIT,"&lt;="&amp;BF$3,CLAVE_BIT,$A74)+SUMIFS(SALIDAS_BOV1,FECHA_BOV1,"&gt;="&amp;BF$2,FECHA_BOV1,"&lt;="&amp;BF$3,CLAVE_BOV1,$A74)+SUMIFS(SALIDAS_BOV2,FECHA_BOV2,"&gt;="&amp;BF$2,FECHA_BOV2,"&lt;="&amp;BF$3,CLAVE_BOV2,$A74)+SUMIFS(SALIDAS_BOV3,FECHA_BOV3,"&gt;="&amp;BF$2,FECHA_BOV3,"&lt;="&amp;BF$3,CLAVE_BOV3,$A74)+SUMIFS(SALIDAS_TC,FECHA_TC,"&gt;="&amp;BF$2,FECHA_TC,"&lt;="&amp;BF$3,CLAVE_TC,$A74)+SUMIFS(SALIDAS_COMB,FECHA_COMB,"&gt;="&amp;BF$2,FECHA_COMB,"&lt;="&amp;BF$3,CLAVE_COMB,$A74)+SUMIFS(SALIDAS_DES,FECHA_DESGLOSEN,"&gt;="&amp;BF$2,FECHA_DESGLOSEN,"&lt;="&amp;BF$3,CLAVE_DESGLOSE,$A74)</f>
        <v>142971.10999999999</v>
      </c>
      <c r="BG74" s="13">
        <f>SUMIFS(SALIDAS_BIT,FECHA_BIT,"&gt;="&amp;BG$2,FECHA_BIT,"&lt;="&amp;BG$3,CLAVE_BIT,$A74)+SUMIFS(SALIDAS_BOV1,FECHA_BOV1,"&gt;="&amp;BG$2,FECHA_BOV1,"&lt;="&amp;BG$3,CLAVE_BOV1,$A74)+SUMIFS(SALIDAS_BOV2,FECHA_BOV2,"&gt;="&amp;BG$2,FECHA_BOV2,"&lt;="&amp;BG$3,CLAVE_BOV2,$A74)+SUMIFS(SALIDAS_BOV3,FECHA_BOV3,"&gt;="&amp;BG$2,FECHA_BOV3,"&lt;="&amp;BG$3,CLAVE_BOV3,$A74)+SUMIFS(SALIDAS_TC,FECHA_TC,"&gt;="&amp;BG$2,FECHA_TC,"&lt;="&amp;BG$3,CLAVE_TC,$A74)+SUMIFS(SALIDAS_COMB,FECHA_COMB,"&gt;="&amp;BG$2,FECHA_COMB,"&lt;="&amp;BG$3,CLAVE_COMB,$A74)+SUMIFS(SALIDAS_DES,FECHA_DESGLOSEN,"&gt;="&amp;BG$2,FECHA_DESGLOSEN,"&lt;="&amp;BG$3,CLAVE_DESGLOSE,$A74)</f>
        <v>0</v>
      </c>
      <c r="BH74" s="13">
        <f>SUMIFS(SALIDAS_BIT,FECHA_BIT,"&gt;="&amp;BH$2,FECHA_BIT,"&lt;="&amp;BH$3,CLAVE_BIT,$A74)+SUMIFS(SALIDAS_BOV1,FECHA_BOV1,"&gt;="&amp;BH$2,FECHA_BOV1,"&lt;="&amp;BH$3,CLAVE_BOV1,$A74)+SUMIFS(SALIDAS_BOV2,FECHA_BOV2,"&gt;="&amp;BH$2,FECHA_BOV2,"&lt;="&amp;BH$3,CLAVE_BOV2,$A74)+SUMIFS(SALIDAS_BOV3,FECHA_BOV3,"&gt;="&amp;BH$2,FECHA_BOV3,"&lt;="&amp;BH$3,CLAVE_BOV3,$A74)+SUMIFS(SALIDAS_TC,FECHA_TC,"&gt;="&amp;BH$2,FECHA_TC,"&lt;="&amp;BH$3,CLAVE_TC,$A74)+SUMIFS(SALIDAS_COMB,FECHA_COMB,"&gt;="&amp;BH$2,FECHA_COMB,"&lt;="&amp;BH$3,CLAVE_COMB,$A74)+SUMIFS(SALIDAS_DES,FECHA_DESGLOSEN,"&gt;="&amp;BH$2,FECHA_DESGLOSEN,"&lt;="&amp;BH$3,CLAVE_DESGLOSE,$A74)</f>
        <v>0</v>
      </c>
      <c r="BI74" s="13">
        <f t="shared" si="121"/>
        <v>142971.10999999999</v>
      </c>
      <c r="BJ74" s="68">
        <f t="shared" si="161"/>
        <v>-4954.9799999999814</v>
      </c>
      <c r="BK74" s="268">
        <f t="shared" si="162"/>
        <v>1.0359014558660642</v>
      </c>
      <c r="BL74" s="13">
        <f t="shared" si="163"/>
        <v>138016.13</v>
      </c>
      <c r="BM74" s="13">
        <f>SUMIFS(SALIDAS_BIT,FECHA_BIT,"&gt;="&amp;BM$2,FECHA_BIT,"&lt;="&amp;BM$3,CLAVE_BIT,$A74)+SUMIFS(SALIDAS_BOV1,FECHA_BOV1,"&gt;="&amp;BM$2,FECHA_BOV1,"&lt;="&amp;BM$3,CLAVE_BOV1,$A74)+SUMIFS(SALIDAS_BOV2,FECHA_BOV2,"&gt;="&amp;BM$2,FECHA_BOV2,"&lt;="&amp;BM$3,CLAVE_BOV2,$A74)+SUMIFS(SALIDAS_BOV3,FECHA_BOV3,"&gt;="&amp;BM$2,FECHA_BOV3,"&lt;="&amp;BM$3,CLAVE_BOV3,$A74)+SUMIFS(SALIDAS_TC,FECHA_TC,"&gt;="&amp;BM$2,FECHA_TC,"&lt;="&amp;BM$3,CLAVE_TC,$A74)+SUMIFS(SALIDAS_COMB,FECHA_COMB,"&gt;="&amp;BM$2,FECHA_COMB,"&lt;="&amp;BM$3,CLAVE_COMB,$A74)+SUMIFS(SALIDAS_DES,FECHA_DESGLOSEN,"&gt;="&amp;BM$2,FECHA_DESGLOSEN,"&lt;="&amp;BM$3,CLAVE_DESGLOSE,$A74)</f>
        <v>0</v>
      </c>
      <c r="BN74" s="13">
        <f>SUMIFS(SALIDAS_BIT,FECHA_BIT,"&gt;="&amp;BN$2,FECHA_BIT,"&lt;="&amp;BN$3,CLAVE_BIT,$A74)+SUMIFS(SALIDAS_BOV1,FECHA_BOV1,"&gt;="&amp;BN$2,FECHA_BOV1,"&lt;="&amp;BN$3,CLAVE_BOV1,$A74)+SUMIFS(SALIDAS_BOV2,FECHA_BOV2,"&gt;="&amp;BN$2,FECHA_BOV2,"&lt;="&amp;BN$3,CLAVE_BOV2,$A74)+SUMIFS(SALIDAS_BOV3,FECHA_BOV3,"&gt;="&amp;BN$2,FECHA_BOV3,"&lt;="&amp;BN$3,CLAVE_BOV3,$A74)+SUMIFS(SALIDAS_TC,FECHA_TC,"&gt;="&amp;BN$2,FECHA_TC,"&lt;="&amp;BN$3,CLAVE_TC,$A74)+SUMIFS(SALIDAS_COMB,FECHA_COMB,"&gt;="&amp;BN$2,FECHA_COMB,"&lt;="&amp;BN$3,CLAVE_COMB,$A74)+SUMIFS(SALIDAS_DES,FECHA_DESGLOSEN,"&gt;="&amp;BN$2,FECHA_DESGLOSEN,"&lt;="&amp;BN$3,CLAVE_DESGLOSE,$A74)</f>
        <v>0</v>
      </c>
      <c r="BO74" s="13">
        <f>SUMIFS(SALIDAS_BIT,FECHA_BIT,"&gt;="&amp;BO$2,FECHA_BIT,"&lt;="&amp;BO$3,CLAVE_BIT,$A74)+SUMIFS(SALIDAS_BOV1,FECHA_BOV1,"&gt;="&amp;BO$2,FECHA_BOV1,"&lt;="&amp;BO$3,CLAVE_BOV1,$A74)+SUMIFS(SALIDAS_BOV2,FECHA_BOV2,"&gt;="&amp;BO$2,FECHA_BOV2,"&lt;="&amp;BO$3,CLAVE_BOV2,$A74)+SUMIFS(SALIDAS_BOV3,FECHA_BOV3,"&gt;="&amp;BO$2,FECHA_BOV3,"&lt;="&amp;BO$3,CLAVE_BOV3,$A74)+SUMIFS(SALIDAS_TC,FECHA_TC,"&gt;="&amp;BO$2,FECHA_TC,"&lt;="&amp;BO$3,CLAVE_TC,$A74)+SUMIFS(SALIDAS_COMB,FECHA_COMB,"&gt;="&amp;BO$2,FECHA_COMB,"&lt;="&amp;BO$3,CLAVE_COMB,$A74)+SUMIFS(SALIDAS_DES,FECHA_DESGLOSEN,"&gt;="&amp;BO$2,FECHA_DESGLOSEN,"&lt;="&amp;BO$3,CLAVE_DESGLOSE,$A74)</f>
        <v>142971.10999999999</v>
      </c>
      <c r="BP74" s="13">
        <f>SUMIFS(SALIDAS_BIT,FECHA_BIT,"&gt;="&amp;BP$2,FECHA_BIT,"&lt;="&amp;BP$3,CLAVE_BIT,$A74)+SUMIFS(SALIDAS_BOV1,FECHA_BOV1,"&gt;="&amp;BP$2,FECHA_BOV1,"&lt;="&amp;BP$3,CLAVE_BOV1,$A74)+SUMIFS(SALIDAS_BOV2,FECHA_BOV2,"&gt;="&amp;BP$2,FECHA_BOV2,"&lt;="&amp;BP$3,CLAVE_BOV2,$A74)+SUMIFS(SALIDAS_BOV3,FECHA_BOV3,"&gt;="&amp;BP$2,FECHA_BOV3,"&lt;="&amp;BP$3,CLAVE_BOV3,$A74)+SUMIFS(SALIDAS_TC,FECHA_TC,"&gt;="&amp;BP$2,FECHA_TC,"&lt;="&amp;BP$3,CLAVE_TC,$A74)+SUMIFS(SALIDAS_COMB,FECHA_COMB,"&gt;="&amp;BP$2,FECHA_COMB,"&lt;="&amp;BP$3,CLAVE_COMB,$A74)+SUMIFS(SALIDAS_DES,FECHA_DESGLOSEN,"&gt;="&amp;BP$2,FECHA_DESGLOSEN,"&lt;="&amp;BP$3,CLAVE_DESGLOSE,$A74)</f>
        <v>0</v>
      </c>
      <c r="BQ74" s="13">
        <f>SUMIFS(SALIDAS_BIT,FECHA_BIT,"&gt;="&amp;BQ$2,FECHA_BIT,"&lt;="&amp;BQ$3,CLAVE_BIT,$A74)+SUMIFS(SALIDAS_BOV1,FECHA_BOV1,"&gt;="&amp;BQ$2,FECHA_BOV1,"&lt;="&amp;BQ$3,CLAVE_BOV1,$A74)+SUMIFS(SALIDAS_BOV2,FECHA_BOV2,"&gt;="&amp;BQ$2,FECHA_BOV2,"&lt;="&amp;BQ$3,CLAVE_BOV2,$A74)+SUMIFS(SALIDAS_BOV3,FECHA_BOV3,"&gt;="&amp;BQ$2,FECHA_BOV3,"&lt;="&amp;BQ$3,CLAVE_BOV3,$A74)+SUMIFS(SALIDAS_TC,FECHA_TC,"&gt;="&amp;BQ$2,FECHA_TC,"&lt;="&amp;BQ$3,CLAVE_TC,$A74)+SUMIFS(SALIDAS_COMB,FECHA_COMB,"&gt;="&amp;BQ$2,FECHA_COMB,"&lt;="&amp;BQ$3,CLAVE_COMB,$A74)+SUMIFS(SALIDAS_DES,FECHA_DESGLOSEN,"&gt;="&amp;BQ$2,FECHA_DESGLOSEN,"&lt;="&amp;BQ$3,CLAVE_DESGLOSE,$A74)</f>
        <v>0</v>
      </c>
      <c r="BR74" s="13">
        <f t="shared" si="137"/>
        <v>142971.10999999999</v>
      </c>
      <c r="BS74" s="68">
        <f t="shared" si="164"/>
        <v>-4954.9799999999814</v>
      </c>
      <c r="BT74" s="268">
        <f t="shared" si="165"/>
        <v>1.0359014558660642</v>
      </c>
      <c r="BU74" s="13">
        <f t="shared" si="166"/>
        <v>138016.13</v>
      </c>
      <c r="BV74" s="13">
        <f t="shared" si="90"/>
        <v>0</v>
      </c>
      <c r="BW74" s="13">
        <f t="shared" si="90"/>
        <v>142971.10999999999</v>
      </c>
      <c r="BX74" s="13">
        <f t="shared" si="90"/>
        <v>0</v>
      </c>
      <c r="BY74" s="13">
        <f t="shared" si="90"/>
        <v>0</v>
      </c>
      <c r="BZ74" s="13">
        <f t="shared" si="138"/>
        <v>142971.10999999999</v>
      </c>
      <c r="CA74" s="68">
        <f t="shared" si="167"/>
        <v>-4954.9799999999814</v>
      </c>
      <c r="CB74" s="268">
        <f t="shared" si="168"/>
        <v>1.0359014558660642</v>
      </c>
      <c r="CC74" s="13">
        <f t="shared" si="169"/>
        <v>138016.13</v>
      </c>
      <c r="CD74" s="13">
        <f t="shared" si="91"/>
        <v>142971</v>
      </c>
      <c r="CE74" s="13">
        <f t="shared" si="91"/>
        <v>0</v>
      </c>
      <c r="CF74" s="13">
        <f t="shared" si="91"/>
        <v>0</v>
      </c>
      <c r="CG74" s="13">
        <f t="shared" si="91"/>
        <v>0</v>
      </c>
      <c r="CH74" s="13">
        <f t="shared" si="139"/>
        <v>142971</v>
      </c>
      <c r="CI74" s="68">
        <f t="shared" si="170"/>
        <v>-4954.8699999999953</v>
      </c>
      <c r="CJ74" s="268">
        <f t="shared" si="171"/>
        <v>1.0359006588577726</v>
      </c>
      <c r="CK74" s="13">
        <f t="shared" si="172"/>
        <v>138016.13</v>
      </c>
      <c r="CL74" s="13">
        <f t="shared" ref="CL74:CP137" si="176">SUMIFS(SALIDAS_BIT,FECHA_BIT,"&gt;="&amp;CL$2,FECHA_BIT,"&lt;="&amp;CL$3,CLAVE_BIT,$A74)+SUMIFS(SALIDAS_BOV1,FECHA_BOV1,"&gt;="&amp;CL$2,FECHA_BOV1,"&lt;="&amp;CL$3,CLAVE_BOV1,$A74)+SUMIFS(SALIDAS_BOV2,FECHA_BOV2,"&gt;="&amp;CL$2,FECHA_BOV2,"&lt;="&amp;CL$3,CLAVE_BOV2,$A74)+SUMIFS(SALIDAS_BOV3,FECHA_BOV3,"&gt;="&amp;CL$2,FECHA_BOV3,"&lt;="&amp;CL$3,CLAVE_BOV3,$A74)+SUMIFS(SALIDAS_TC,FECHA_TC,"&gt;="&amp;CL$2,FECHA_TC,"&lt;="&amp;CL$3,CLAVE_TC,$A74)+SUMIFS(SALIDAS_COMB,FECHA_COMB,"&gt;="&amp;CL$2,FECHA_COMB,"&lt;="&amp;CL$3,CLAVE_COMB,$A74)+SUMIFS(SALIDAS_DES,FECHA_DESGLOSEN,"&gt;="&amp;CL$2,FECHA_DESGLOSEN,"&lt;="&amp;CL$3,CLAVE_DESGLOSE,$A74)</f>
        <v>0</v>
      </c>
      <c r="CM74" s="13">
        <f t="shared" si="176"/>
        <v>142971.10999999999</v>
      </c>
      <c r="CN74" s="13">
        <f t="shared" si="176"/>
        <v>0</v>
      </c>
      <c r="CO74" s="13">
        <f t="shared" si="176"/>
        <v>0</v>
      </c>
      <c r="CP74" s="13">
        <f t="shared" si="176"/>
        <v>0</v>
      </c>
      <c r="CQ74" s="13">
        <f t="shared" si="140"/>
        <v>142971.10999999999</v>
      </c>
      <c r="CR74" s="68">
        <f t="shared" si="173"/>
        <v>-4954.9799999999814</v>
      </c>
      <c r="CS74" s="268">
        <f t="shared" si="174"/>
        <v>1.0359014558660642</v>
      </c>
      <c r="CT74" s="68">
        <f t="shared" si="147"/>
        <v>151549</v>
      </c>
      <c r="CU74" s="13">
        <f>SUMIFS(SALIDAS_BIT,FECHA_BIT,"&gt;="&amp;CU$2,FECHA_BIT,"&lt;="&amp;CU$3,CLAVE_BIT,$A74)+SUMIFS(SALIDAS_BOV1,FECHA_BOV1,"&gt;="&amp;CU$2,FECHA_BOV1,"&lt;="&amp;CU$3,CLAVE_BOV1,$A74)+SUMIFS(SALIDAS_BOV2,FECHA_BOV2,"&gt;="&amp;CU$2,FECHA_BOV2,"&lt;="&amp;CU$3,CLAVE_BOV2,$A74)+SUMIFS(SALIDAS_BOV3,FECHA_BOV3,"&gt;="&amp;CU$2,FECHA_BOV3,"&lt;="&amp;CU$3,CLAVE_BOV3,$A74)+SUMIFS(SALIDAS_TC,FECHA_TC,"&gt;="&amp;CU$2,FECHA_TC,"&lt;="&amp;CU$3,CLAVE_TC,$A74)+SUMIFS(SALIDAS_COMB,FECHA_COMB,"&gt;="&amp;CU$2,FECHA_COMB,"&lt;="&amp;CU$3,CLAVE_COMB,$A74)+SUMIFS(SALIDAS_DES,FECHA_DESGLOSEN,"&gt;="&amp;CU$2,FECHA_DESGLOSEN,"&lt;="&amp;CU$3,CLAVE_DESGLOSE,$A74)</f>
        <v>0</v>
      </c>
      <c r="CV74" s="13">
        <f>SUMIFS(SALIDAS_BIT,FECHA_BIT,"&gt;="&amp;CV$2,FECHA_BIT,"&lt;="&amp;CV$3,CLAVE_BIT,$A74)+SUMIFS(SALIDAS_BOV1,FECHA_BOV1,"&gt;="&amp;CV$2,FECHA_BOV1,"&lt;="&amp;CV$3,CLAVE_BOV1,$A74)+SUMIFS(SALIDAS_BOV2,FECHA_BOV2,"&gt;="&amp;CV$2,FECHA_BOV2,"&lt;="&amp;CV$3,CLAVE_BOV2,$A74)+SUMIFS(SALIDAS_BOV3,FECHA_BOV3,"&gt;="&amp;CV$2,FECHA_BOV3,"&lt;="&amp;CV$3,CLAVE_BOV3,$A74)+SUMIFS(SALIDAS_TC,FECHA_TC,"&gt;="&amp;CV$2,FECHA_TC,"&lt;="&amp;CV$3,CLAVE_TC,$A74)+SUMIFS(SALIDAS_COMB,FECHA_COMB,"&gt;="&amp;CV$2,FECHA_COMB,"&lt;="&amp;CV$3,CLAVE_COMB,$A74)+SUMIFS(SALIDAS_DES,FECHA_DESGLOSEN,"&gt;="&amp;CV$2,FECHA_DESGLOSEN,"&lt;="&amp;CV$3,CLAVE_DESGLOSE,$A74)</f>
        <v>142971.10999999999</v>
      </c>
      <c r="CW74" s="13">
        <f>SUMIFS(SALIDAS_BIT,FECHA_BIT,"&gt;="&amp;CW$2,FECHA_BIT,"&lt;="&amp;CW$3,CLAVE_BIT,$A74)+SUMIFS(SALIDAS_BOV1,FECHA_BOV1,"&gt;="&amp;CW$2,FECHA_BOV1,"&lt;="&amp;CW$3,CLAVE_BOV1,$A74)+SUMIFS(SALIDAS_BOV2,FECHA_BOV2,"&gt;="&amp;CW$2,FECHA_BOV2,"&lt;="&amp;CW$3,CLAVE_BOV2,$A74)+SUMIFS(SALIDAS_BOV3,FECHA_BOV3,"&gt;="&amp;CW$2,FECHA_BOV3,"&lt;="&amp;CW$3,CLAVE_BOV3,$A74)+SUMIFS(SALIDAS_TC,FECHA_TC,"&gt;="&amp;CW$2,FECHA_TC,"&lt;="&amp;CW$3,CLAVE_TC,$A74)+SUMIFS(SALIDAS_COMB,FECHA_COMB,"&gt;="&amp;CW$2,FECHA_COMB,"&lt;="&amp;CW$3,CLAVE_COMB,$A74)+SUMIFS(SALIDAS_DES,FECHA_DESGLOSEN,"&gt;="&amp;CW$2,FECHA_DESGLOSEN,"&lt;="&amp;CW$3,CLAVE_DESGLOSE,$A74)</f>
        <v>0</v>
      </c>
      <c r="CX74" s="13">
        <f>SUMIFS(SALIDAS_BIT,FECHA_BIT,"&gt;="&amp;CX$2,FECHA_BIT,"&lt;="&amp;CX$3,CLAVE_BIT,$A74)+SUMIFS(SALIDAS_BOV1,FECHA_BOV1,"&gt;="&amp;CX$2,FECHA_BOV1,"&lt;="&amp;CX$3,CLAVE_BOV1,$A74)+SUMIFS(SALIDAS_BOV2,FECHA_BOV2,"&gt;="&amp;CX$2,FECHA_BOV2,"&lt;="&amp;CX$3,CLAVE_BOV2,$A74)+SUMIFS(SALIDAS_BOV3,FECHA_BOV3,"&gt;="&amp;CX$2,FECHA_BOV3,"&lt;="&amp;CX$3,CLAVE_BOV3,$A74)+SUMIFS(SALIDAS_TC,FECHA_TC,"&gt;="&amp;CX$2,FECHA_TC,"&lt;="&amp;CX$3,CLAVE_TC,$A74)+SUMIFS(SALIDAS_COMB,FECHA_COMB,"&gt;="&amp;CX$2,FECHA_COMB,"&lt;="&amp;CX$3,CLAVE_COMB,$A74)+SUMIFS(SALIDAS_DES,FECHA_DESGLOSEN,"&gt;="&amp;CX$2,FECHA_DESGLOSEN,"&lt;="&amp;CX$3,CLAVE_DESGLOSE,$A74)</f>
        <v>0</v>
      </c>
      <c r="CY74" s="13">
        <f>SUMIFS(SALIDAS_BIT,FECHA_BIT,"&gt;="&amp;CY$2,FECHA_BIT,"&lt;="&amp;CY$3,CLAVE_BIT,$A74)+SUMIFS(SALIDAS_BOV1,FECHA_BOV1,"&gt;="&amp;CY$2,FECHA_BOV1,"&lt;="&amp;CY$3,CLAVE_BOV1,$A74)+SUMIFS(SALIDAS_BOV2,FECHA_BOV2,"&gt;="&amp;CY$2,FECHA_BOV2,"&lt;="&amp;CY$3,CLAVE_BOV2,$A74)+SUMIFS(SALIDAS_BOV3,FECHA_BOV3,"&gt;="&amp;CY$2,FECHA_BOV3,"&lt;="&amp;CY$3,CLAVE_BOV3,$A74)+SUMIFS(SALIDAS_TC,FECHA_TC,"&gt;="&amp;CY$2,FECHA_TC,"&lt;="&amp;CY$3,CLAVE_TC,$A74)+SUMIFS(SALIDAS_COMB,FECHA_COMB,"&gt;="&amp;CY$2,FECHA_COMB,"&lt;="&amp;CY$3,CLAVE_COMB,$A74)+SUMIFS(SALIDAS_DES,FECHA_DESGLOSEN,"&gt;="&amp;CY$2,FECHA_DESGLOSEN,"&lt;="&amp;CY$3,CLAVE_DESGLOSE,$A74)</f>
        <v>142971.10999999999</v>
      </c>
      <c r="CZ74" s="68">
        <f t="shared" si="175"/>
        <v>8577.890000000014</v>
      </c>
      <c r="DB74" s="17">
        <f>F74+N74+W74+AE74+AM74+AV74+BD74+BL74+BU74+CC74+CK74</f>
        <v>1518177.4299999997</v>
      </c>
      <c r="DC74" s="17">
        <f>K74+T74+AB74+AJ74+AS74+BA74+BI74+BR74+BZ74+CH74+CQ74</f>
        <v>1604735.3199999998</v>
      </c>
    </row>
    <row r="75" spans="1:107" hidden="1">
      <c r="A75" s="12" t="str">
        <f t="shared" si="148"/>
        <v>FINANZASRENTASA14</v>
      </c>
      <c r="B75" s="12">
        <v>77</v>
      </c>
      <c r="C75" t="s">
        <v>23</v>
      </c>
      <c r="D75" s="12" t="s">
        <v>169</v>
      </c>
      <c r="E75" s="12" t="s">
        <v>99</v>
      </c>
      <c r="F75" s="259">
        <f t="shared" si="141"/>
        <v>57002.400000000001</v>
      </c>
      <c r="G75" s="13">
        <f t="shared" si="132"/>
        <v>0</v>
      </c>
      <c r="H75" s="13">
        <f t="shared" si="132"/>
        <v>0</v>
      </c>
      <c r="I75" s="13">
        <f t="shared" si="132"/>
        <v>54288</v>
      </c>
      <c r="J75" s="13">
        <f t="shared" si="132"/>
        <v>0</v>
      </c>
      <c r="K75" s="13">
        <f t="shared" si="132"/>
        <v>54288</v>
      </c>
      <c r="L75" s="68">
        <f t="shared" si="149"/>
        <v>2714.4000000000015</v>
      </c>
      <c r="M75" s="268">
        <f t="shared" si="150"/>
        <v>0.95238095238095233</v>
      </c>
      <c r="N75" s="13">
        <f t="shared" si="142"/>
        <v>57002.400000000001</v>
      </c>
      <c r="O75" s="13">
        <f t="shared" si="133"/>
        <v>0</v>
      </c>
      <c r="P75" s="13">
        <f t="shared" si="133"/>
        <v>0</v>
      </c>
      <c r="Q75" s="13">
        <f t="shared" si="133"/>
        <v>54288</v>
      </c>
      <c r="R75" s="13">
        <f t="shared" si="133"/>
        <v>0</v>
      </c>
      <c r="S75" s="13">
        <f t="shared" si="133"/>
        <v>0</v>
      </c>
      <c r="T75" s="13">
        <f t="shared" si="133"/>
        <v>54288</v>
      </c>
      <c r="U75" s="68">
        <f t="shared" si="151"/>
        <v>2714.4000000000015</v>
      </c>
      <c r="V75" s="268">
        <f t="shared" si="152"/>
        <v>0.95238095238095233</v>
      </c>
      <c r="W75" s="13">
        <f t="shared" si="143"/>
        <v>57002.400000000001</v>
      </c>
      <c r="X75" s="13">
        <f t="shared" si="134"/>
        <v>0</v>
      </c>
      <c r="Y75" s="13">
        <f t="shared" si="134"/>
        <v>0</v>
      </c>
      <c r="Z75" s="13">
        <f t="shared" si="134"/>
        <v>54288</v>
      </c>
      <c r="AA75" s="13">
        <f t="shared" si="134"/>
        <v>0</v>
      </c>
      <c r="AB75" s="13">
        <f t="shared" si="134"/>
        <v>54288</v>
      </c>
      <c r="AC75" s="68">
        <f t="shared" si="153"/>
        <v>2714.4000000000015</v>
      </c>
      <c r="AD75" s="268">
        <f t="shared" si="154"/>
        <v>0.95238095238095233</v>
      </c>
      <c r="AE75" s="13">
        <f t="shared" si="144"/>
        <v>57002.400000000001</v>
      </c>
      <c r="AF75" s="13">
        <f t="shared" si="135"/>
        <v>0</v>
      </c>
      <c r="AG75" s="13">
        <f t="shared" si="135"/>
        <v>0</v>
      </c>
      <c r="AH75" s="13">
        <f t="shared" si="135"/>
        <v>54288</v>
      </c>
      <c r="AI75" s="13">
        <f t="shared" si="135"/>
        <v>0</v>
      </c>
      <c r="AJ75" s="13">
        <f t="shared" si="135"/>
        <v>54288</v>
      </c>
      <c r="AK75" s="68">
        <f t="shared" si="155"/>
        <v>2714.4000000000015</v>
      </c>
      <c r="AL75" s="268">
        <f t="shared" si="156"/>
        <v>0.95238095238095233</v>
      </c>
      <c r="AM75" s="13">
        <f t="shared" si="145"/>
        <v>57002.400000000001</v>
      </c>
      <c r="AN75" s="13">
        <f t="shared" si="136"/>
        <v>0</v>
      </c>
      <c r="AO75" s="13">
        <f t="shared" si="136"/>
        <v>0</v>
      </c>
      <c r="AP75" s="13">
        <f t="shared" si="136"/>
        <v>54288</v>
      </c>
      <c r="AQ75" s="13">
        <f t="shared" si="136"/>
        <v>0</v>
      </c>
      <c r="AR75" s="13">
        <f t="shared" si="136"/>
        <v>0</v>
      </c>
      <c r="AS75" s="13">
        <f t="shared" si="136"/>
        <v>54288</v>
      </c>
      <c r="AT75" s="68">
        <f>AM75-AS75</f>
        <v>2714.4000000000015</v>
      </c>
      <c r="AU75" s="268">
        <f t="shared" si="157"/>
        <v>0.95238095238095233</v>
      </c>
      <c r="AV75" s="13">
        <f t="shared" si="146"/>
        <v>57002.400000000001</v>
      </c>
      <c r="AW75" s="13">
        <f t="shared" si="119"/>
        <v>0</v>
      </c>
      <c r="AX75" s="13">
        <f t="shared" si="119"/>
        <v>54288</v>
      </c>
      <c r="AY75" s="13">
        <f t="shared" si="119"/>
        <v>0</v>
      </c>
      <c r="AZ75" s="13">
        <f t="shared" si="119"/>
        <v>0</v>
      </c>
      <c r="BA75" s="13">
        <f t="shared" si="120"/>
        <v>54288</v>
      </c>
      <c r="BB75" s="68">
        <f t="shared" si="158"/>
        <v>2714.4000000000015</v>
      </c>
      <c r="BC75" s="268">
        <f t="shared" si="159"/>
        <v>0.95238095238095233</v>
      </c>
      <c r="BD75" s="13">
        <f t="shared" si="160"/>
        <v>57002.400000000001</v>
      </c>
      <c r="BE75" s="13">
        <f>SUMIFS(SALIDAS_BIT,FECHA_BIT,"&gt;="&amp;BE$2,FECHA_BIT,"&lt;="&amp;BE$3,CLAVE_BIT,$A75)+SUMIFS(SALIDAS_BOV1,FECHA_BOV1,"&gt;="&amp;BE$2,FECHA_BOV1,"&lt;="&amp;BE$3,CLAVE_BOV1,$A75)+SUMIFS(SALIDAS_BOV2,FECHA_BOV2,"&gt;="&amp;BE$2,FECHA_BOV2,"&lt;="&amp;BE$3,CLAVE_BOV2,$A75)+SUMIFS(SALIDAS_BOV3,FECHA_BOV3,"&gt;="&amp;BE$2,FECHA_BOV3,"&lt;="&amp;BE$3,CLAVE_BOV3,$A75)+SUMIFS(SALIDAS_TC,FECHA_TC,"&gt;="&amp;BE$2,FECHA_TC,"&lt;="&amp;BE$3,CLAVE_TC,$A75)+SUMIFS(SALIDAS_COMB,FECHA_COMB,"&gt;="&amp;BE$2,FECHA_COMB,"&lt;="&amp;BE$3,CLAVE_COMB,$A75)+SUMIFS(SALIDAS_DES,FECHA_DESGLOSEN,"&gt;="&amp;BE$2,FECHA_DESGLOSEN,"&lt;="&amp;BE$3,CLAVE_DESGLOSE,$A75)</f>
        <v>0</v>
      </c>
      <c r="BF75" s="13">
        <f>SUMIFS(SALIDAS_BIT,FECHA_BIT,"&gt;="&amp;BF$2,FECHA_BIT,"&lt;="&amp;BF$3,CLAVE_BIT,$A75)+SUMIFS(SALIDAS_BOV1,FECHA_BOV1,"&gt;="&amp;BF$2,FECHA_BOV1,"&lt;="&amp;BF$3,CLAVE_BOV1,$A75)+SUMIFS(SALIDAS_BOV2,FECHA_BOV2,"&gt;="&amp;BF$2,FECHA_BOV2,"&lt;="&amp;BF$3,CLAVE_BOV2,$A75)+SUMIFS(SALIDAS_BOV3,FECHA_BOV3,"&gt;="&amp;BF$2,FECHA_BOV3,"&lt;="&amp;BF$3,CLAVE_BOV3,$A75)+SUMIFS(SALIDAS_TC,FECHA_TC,"&gt;="&amp;BF$2,FECHA_TC,"&lt;="&amp;BF$3,CLAVE_TC,$A75)+SUMIFS(SALIDAS_COMB,FECHA_COMB,"&gt;="&amp;BF$2,FECHA_COMB,"&lt;="&amp;BF$3,CLAVE_COMB,$A75)+SUMIFS(SALIDAS_DES,FECHA_DESGLOSEN,"&gt;="&amp;BF$2,FECHA_DESGLOSEN,"&lt;="&amp;BF$3,CLAVE_DESGLOSE,$A75)</f>
        <v>0</v>
      </c>
      <c r="BG75" s="13">
        <f>SUMIFS(SALIDAS_BIT,FECHA_BIT,"&gt;="&amp;BG$2,FECHA_BIT,"&lt;="&amp;BG$3,CLAVE_BIT,$A75)+SUMIFS(SALIDAS_BOV1,FECHA_BOV1,"&gt;="&amp;BG$2,FECHA_BOV1,"&lt;="&amp;BG$3,CLAVE_BOV1,$A75)+SUMIFS(SALIDAS_BOV2,FECHA_BOV2,"&gt;="&amp;BG$2,FECHA_BOV2,"&lt;="&amp;BG$3,CLAVE_BOV2,$A75)+SUMIFS(SALIDAS_BOV3,FECHA_BOV3,"&gt;="&amp;BG$2,FECHA_BOV3,"&lt;="&amp;BG$3,CLAVE_BOV3,$A75)+SUMIFS(SALIDAS_TC,FECHA_TC,"&gt;="&amp;BG$2,FECHA_TC,"&lt;="&amp;BG$3,CLAVE_TC,$A75)+SUMIFS(SALIDAS_COMB,FECHA_COMB,"&gt;="&amp;BG$2,FECHA_COMB,"&lt;="&amp;BG$3,CLAVE_COMB,$A75)+SUMIFS(SALIDAS_DES,FECHA_DESGLOSEN,"&gt;="&amp;BG$2,FECHA_DESGLOSEN,"&lt;="&amp;BG$3,CLAVE_DESGLOSE,$A75)</f>
        <v>54288</v>
      </c>
      <c r="BH75" s="13">
        <f>SUMIFS(SALIDAS_BIT,FECHA_BIT,"&gt;="&amp;BH$2,FECHA_BIT,"&lt;="&amp;BH$3,CLAVE_BIT,$A75)+SUMIFS(SALIDAS_BOV1,FECHA_BOV1,"&gt;="&amp;BH$2,FECHA_BOV1,"&lt;="&amp;BH$3,CLAVE_BOV1,$A75)+SUMIFS(SALIDAS_BOV2,FECHA_BOV2,"&gt;="&amp;BH$2,FECHA_BOV2,"&lt;="&amp;BH$3,CLAVE_BOV2,$A75)+SUMIFS(SALIDAS_BOV3,FECHA_BOV3,"&gt;="&amp;BH$2,FECHA_BOV3,"&lt;="&amp;BH$3,CLAVE_BOV3,$A75)+SUMIFS(SALIDAS_TC,FECHA_TC,"&gt;="&amp;BH$2,FECHA_TC,"&lt;="&amp;BH$3,CLAVE_TC,$A75)+SUMIFS(SALIDAS_COMB,FECHA_COMB,"&gt;="&amp;BH$2,FECHA_COMB,"&lt;="&amp;BH$3,CLAVE_COMB,$A75)+SUMIFS(SALIDAS_DES,FECHA_DESGLOSEN,"&gt;="&amp;BH$2,FECHA_DESGLOSEN,"&lt;="&amp;BH$3,CLAVE_DESGLOSE,$A75)</f>
        <v>0</v>
      </c>
      <c r="BI75" s="13">
        <f t="shared" si="121"/>
        <v>54288</v>
      </c>
      <c r="BJ75" s="68">
        <f t="shared" si="161"/>
        <v>2714.4000000000015</v>
      </c>
      <c r="BK75" s="268">
        <f t="shared" si="162"/>
        <v>0.95238095238095233</v>
      </c>
      <c r="BL75" s="13">
        <f t="shared" si="163"/>
        <v>57002.400000000001</v>
      </c>
      <c r="BM75" s="13">
        <f>SUMIFS(SALIDAS_BIT,FECHA_BIT,"&gt;="&amp;BM$2,FECHA_BIT,"&lt;="&amp;BM$3,CLAVE_BIT,$A75)+SUMIFS(SALIDAS_BOV1,FECHA_BOV1,"&gt;="&amp;BM$2,FECHA_BOV1,"&lt;="&amp;BM$3,CLAVE_BOV1,$A75)+SUMIFS(SALIDAS_BOV2,FECHA_BOV2,"&gt;="&amp;BM$2,FECHA_BOV2,"&lt;="&amp;BM$3,CLAVE_BOV2,$A75)+SUMIFS(SALIDAS_BOV3,FECHA_BOV3,"&gt;="&amp;BM$2,FECHA_BOV3,"&lt;="&amp;BM$3,CLAVE_BOV3,$A75)+SUMIFS(SALIDAS_TC,FECHA_TC,"&gt;="&amp;BM$2,FECHA_TC,"&lt;="&amp;BM$3,CLAVE_TC,$A75)+SUMIFS(SALIDAS_COMB,FECHA_COMB,"&gt;="&amp;BM$2,FECHA_COMB,"&lt;="&amp;BM$3,CLAVE_COMB,$A75)+SUMIFS(SALIDAS_DES,FECHA_DESGLOSEN,"&gt;="&amp;BM$2,FECHA_DESGLOSEN,"&lt;="&amp;BM$3,CLAVE_DESGLOSE,$A75)</f>
        <v>0</v>
      </c>
      <c r="BN75" s="13">
        <f>SUMIFS(SALIDAS_BIT,FECHA_BIT,"&gt;="&amp;BN$2,FECHA_BIT,"&lt;="&amp;BN$3,CLAVE_BIT,$A75)+SUMIFS(SALIDAS_BOV1,FECHA_BOV1,"&gt;="&amp;BN$2,FECHA_BOV1,"&lt;="&amp;BN$3,CLAVE_BOV1,$A75)+SUMIFS(SALIDAS_BOV2,FECHA_BOV2,"&gt;="&amp;BN$2,FECHA_BOV2,"&lt;="&amp;BN$3,CLAVE_BOV2,$A75)+SUMIFS(SALIDAS_BOV3,FECHA_BOV3,"&gt;="&amp;BN$2,FECHA_BOV3,"&lt;="&amp;BN$3,CLAVE_BOV3,$A75)+SUMIFS(SALIDAS_TC,FECHA_TC,"&gt;="&amp;BN$2,FECHA_TC,"&lt;="&amp;BN$3,CLAVE_TC,$A75)+SUMIFS(SALIDAS_COMB,FECHA_COMB,"&gt;="&amp;BN$2,FECHA_COMB,"&lt;="&amp;BN$3,CLAVE_COMB,$A75)+SUMIFS(SALIDAS_DES,FECHA_DESGLOSEN,"&gt;="&amp;BN$2,FECHA_DESGLOSEN,"&lt;="&amp;BN$3,CLAVE_DESGLOSE,$A75)</f>
        <v>0</v>
      </c>
      <c r="BO75" s="13">
        <f>SUMIFS(SALIDAS_BIT,FECHA_BIT,"&gt;="&amp;BO$2,FECHA_BIT,"&lt;="&amp;BO$3,CLAVE_BIT,$A75)+SUMIFS(SALIDAS_BOV1,FECHA_BOV1,"&gt;="&amp;BO$2,FECHA_BOV1,"&lt;="&amp;BO$3,CLAVE_BOV1,$A75)+SUMIFS(SALIDAS_BOV2,FECHA_BOV2,"&gt;="&amp;BO$2,FECHA_BOV2,"&lt;="&amp;BO$3,CLAVE_BOV2,$A75)+SUMIFS(SALIDAS_BOV3,FECHA_BOV3,"&gt;="&amp;BO$2,FECHA_BOV3,"&lt;="&amp;BO$3,CLAVE_BOV3,$A75)+SUMIFS(SALIDAS_TC,FECHA_TC,"&gt;="&amp;BO$2,FECHA_TC,"&lt;="&amp;BO$3,CLAVE_TC,$A75)+SUMIFS(SALIDAS_COMB,FECHA_COMB,"&gt;="&amp;BO$2,FECHA_COMB,"&lt;="&amp;BO$3,CLAVE_COMB,$A75)+SUMIFS(SALIDAS_DES,FECHA_DESGLOSEN,"&gt;="&amp;BO$2,FECHA_DESGLOSEN,"&lt;="&amp;BO$3,CLAVE_DESGLOSE,$A75)</f>
        <v>54288</v>
      </c>
      <c r="BP75" s="13">
        <f>SUMIFS(SALIDAS_BIT,FECHA_BIT,"&gt;="&amp;BP$2,FECHA_BIT,"&lt;="&amp;BP$3,CLAVE_BIT,$A75)+SUMIFS(SALIDAS_BOV1,FECHA_BOV1,"&gt;="&amp;BP$2,FECHA_BOV1,"&lt;="&amp;BP$3,CLAVE_BOV1,$A75)+SUMIFS(SALIDAS_BOV2,FECHA_BOV2,"&gt;="&amp;BP$2,FECHA_BOV2,"&lt;="&amp;BP$3,CLAVE_BOV2,$A75)+SUMIFS(SALIDAS_BOV3,FECHA_BOV3,"&gt;="&amp;BP$2,FECHA_BOV3,"&lt;="&amp;BP$3,CLAVE_BOV3,$A75)+SUMIFS(SALIDAS_TC,FECHA_TC,"&gt;="&amp;BP$2,FECHA_TC,"&lt;="&amp;BP$3,CLAVE_TC,$A75)+SUMIFS(SALIDAS_COMB,FECHA_COMB,"&gt;="&amp;BP$2,FECHA_COMB,"&lt;="&amp;BP$3,CLAVE_COMB,$A75)+SUMIFS(SALIDAS_DES,FECHA_DESGLOSEN,"&gt;="&amp;BP$2,FECHA_DESGLOSEN,"&lt;="&amp;BP$3,CLAVE_DESGLOSE,$A75)</f>
        <v>0</v>
      </c>
      <c r="BQ75" s="13">
        <f>SUMIFS(SALIDAS_BIT,FECHA_BIT,"&gt;="&amp;BQ$2,FECHA_BIT,"&lt;="&amp;BQ$3,CLAVE_BIT,$A75)+SUMIFS(SALIDAS_BOV1,FECHA_BOV1,"&gt;="&amp;BQ$2,FECHA_BOV1,"&lt;="&amp;BQ$3,CLAVE_BOV1,$A75)+SUMIFS(SALIDAS_BOV2,FECHA_BOV2,"&gt;="&amp;BQ$2,FECHA_BOV2,"&lt;="&amp;BQ$3,CLAVE_BOV2,$A75)+SUMIFS(SALIDAS_BOV3,FECHA_BOV3,"&gt;="&amp;BQ$2,FECHA_BOV3,"&lt;="&amp;BQ$3,CLAVE_BOV3,$A75)+SUMIFS(SALIDAS_TC,FECHA_TC,"&gt;="&amp;BQ$2,FECHA_TC,"&lt;="&amp;BQ$3,CLAVE_TC,$A75)+SUMIFS(SALIDAS_COMB,FECHA_COMB,"&gt;="&amp;BQ$2,FECHA_COMB,"&lt;="&amp;BQ$3,CLAVE_COMB,$A75)+SUMIFS(SALIDAS_DES,FECHA_DESGLOSEN,"&gt;="&amp;BQ$2,FECHA_DESGLOSEN,"&lt;="&amp;BQ$3,CLAVE_DESGLOSE,$A75)</f>
        <v>0</v>
      </c>
      <c r="BR75" s="13">
        <f t="shared" si="137"/>
        <v>54288</v>
      </c>
      <c r="BS75" s="68">
        <f t="shared" si="164"/>
        <v>2714.4000000000015</v>
      </c>
      <c r="BT75" s="268">
        <f t="shared" si="165"/>
        <v>0.95238095238095233</v>
      </c>
      <c r="BU75" s="13">
        <f t="shared" si="166"/>
        <v>57002.400000000001</v>
      </c>
      <c r="BV75" s="13">
        <f t="shared" si="90"/>
        <v>0</v>
      </c>
      <c r="BW75" s="13">
        <f t="shared" si="90"/>
        <v>0</v>
      </c>
      <c r="BX75" s="13">
        <f t="shared" si="90"/>
        <v>54288</v>
      </c>
      <c r="BY75" s="13">
        <f t="shared" si="90"/>
        <v>0</v>
      </c>
      <c r="BZ75" s="13">
        <f t="shared" si="138"/>
        <v>54288</v>
      </c>
      <c r="CA75" s="68">
        <f t="shared" si="167"/>
        <v>2714.4000000000015</v>
      </c>
      <c r="CB75" s="268">
        <f t="shared" si="168"/>
        <v>0.95238095238095233</v>
      </c>
      <c r="CC75" s="13">
        <f t="shared" si="169"/>
        <v>57002.400000000001</v>
      </c>
      <c r="CD75" s="13">
        <f t="shared" si="91"/>
        <v>0</v>
      </c>
      <c r="CE75" s="13">
        <f t="shared" si="91"/>
        <v>54288</v>
      </c>
      <c r="CF75" s="13">
        <f t="shared" si="91"/>
        <v>0</v>
      </c>
      <c r="CG75" s="13">
        <f t="shared" si="91"/>
        <v>0</v>
      </c>
      <c r="CH75" s="13">
        <f t="shared" si="139"/>
        <v>54288</v>
      </c>
      <c r="CI75" s="68">
        <f t="shared" si="170"/>
        <v>2714.4000000000015</v>
      </c>
      <c r="CJ75" s="268">
        <f t="shared" si="171"/>
        <v>0.95238095238095233</v>
      </c>
      <c r="CK75" s="13">
        <f t="shared" si="172"/>
        <v>57002.400000000001</v>
      </c>
      <c r="CL75" s="13">
        <f t="shared" si="176"/>
        <v>0</v>
      </c>
      <c r="CM75" s="13">
        <f t="shared" si="176"/>
        <v>54288</v>
      </c>
      <c r="CN75" s="13">
        <f t="shared" si="176"/>
        <v>0</v>
      </c>
      <c r="CO75" s="13">
        <f t="shared" si="176"/>
        <v>0</v>
      </c>
      <c r="CP75" s="13">
        <f t="shared" si="176"/>
        <v>0</v>
      </c>
      <c r="CQ75" s="13">
        <f t="shared" si="140"/>
        <v>54288</v>
      </c>
      <c r="CR75" s="68">
        <f t="shared" si="173"/>
        <v>2714.4000000000015</v>
      </c>
      <c r="CS75" s="268">
        <f t="shared" si="174"/>
        <v>0.95238095238095233</v>
      </c>
      <c r="CT75" s="68">
        <f t="shared" si="147"/>
        <v>60423</v>
      </c>
      <c r="CU75" s="13">
        <f>SUMIFS(SALIDAS_BIT,FECHA_BIT,"&gt;="&amp;CU$2,FECHA_BIT,"&lt;="&amp;CU$3,CLAVE_BIT,$A75)+SUMIFS(SALIDAS_BOV1,FECHA_BOV1,"&gt;="&amp;CU$2,FECHA_BOV1,"&lt;="&amp;CU$3,CLAVE_BOV1,$A75)+SUMIFS(SALIDAS_BOV2,FECHA_BOV2,"&gt;="&amp;CU$2,FECHA_BOV2,"&lt;="&amp;CU$3,CLAVE_BOV2,$A75)+SUMIFS(SALIDAS_BOV3,FECHA_BOV3,"&gt;="&amp;CU$2,FECHA_BOV3,"&lt;="&amp;CU$3,CLAVE_BOV3,$A75)+SUMIFS(SALIDAS_TC,FECHA_TC,"&gt;="&amp;CU$2,FECHA_TC,"&lt;="&amp;CU$3,CLAVE_TC,$A75)+SUMIFS(SALIDAS_COMB,FECHA_COMB,"&gt;="&amp;CU$2,FECHA_COMB,"&lt;="&amp;CU$3,CLAVE_COMB,$A75)+SUMIFS(SALIDAS_DES,FECHA_DESGLOSEN,"&gt;="&amp;CU$2,FECHA_DESGLOSEN,"&lt;="&amp;CU$3,CLAVE_DESGLOSE,$A75)</f>
        <v>0</v>
      </c>
      <c r="CV75" s="13">
        <f>SUMIFS(SALIDAS_BIT,FECHA_BIT,"&gt;="&amp;CV$2,FECHA_BIT,"&lt;="&amp;CV$3,CLAVE_BIT,$A75)+SUMIFS(SALIDAS_BOV1,FECHA_BOV1,"&gt;="&amp;CV$2,FECHA_BOV1,"&lt;="&amp;CV$3,CLAVE_BOV1,$A75)+SUMIFS(SALIDAS_BOV2,FECHA_BOV2,"&gt;="&amp;CV$2,FECHA_BOV2,"&lt;="&amp;CV$3,CLAVE_BOV2,$A75)+SUMIFS(SALIDAS_BOV3,FECHA_BOV3,"&gt;="&amp;CV$2,FECHA_BOV3,"&lt;="&amp;CV$3,CLAVE_BOV3,$A75)+SUMIFS(SALIDAS_TC,FECHA_TC,"&gt;="&amp;CV$2,FECHA_TC,"&lt;="&amp;CV$3,CLAVE_TC,$A75)+SUMIFS(SALIDAS_COMB,FECHA_COMB,"&gt;="&amp;CV$2,FECHA_COMB,"&lt;="&amp;CV$3,CLAVE_COMB,$A75)+SUMIFS(SALIDAS_DES,FECHA_DESGLOSEN,"&gt;="&amp;CV$2,FECHA_DESGLOSEN,"&lt;="&amp;CV$3,CLAVE_DESGLOSE,$A75)</f>
        <v>0</v>
      </c>
      <c r="CW75" s="13">
        <f>SUMIFS(SALIDAS_BIT,FECHA_BIT,"&gt;="&amp;CW$2,FECHA_BIT,"&lt;="&amp;CW$3,CLAVE_BIT,$A75)+SUMIFS(SALIDAS_BOV1,FECHA_BOV1,"&gt;="&amp;CW$2,FECHA_BOV1,"&lt;="&amp;CW$3,CLAVE_BOV1,$A75)+SUMIFS(SALIDAS_BOV2,FECHA_BOV2,"&gt;="&amp;CW$2,FECHA_BOV2,"&lt;="&amp;CW$3,CLAVE_BOV2,$A75)+SUMIFS(SALIDAS_BOV3,FECHA_BOV3,"&gt;="&amp;CW$2,FECHA_BOV3,"&lt;="&amp;CW$3,CLAVE_BOV3,$A75)+SUMIFS(SALIDAS_TC,FECHA_TC,"&gt;="&amp;CW$2,FECHA_TC,"&lt;="&amp;CW$3,CLAVE_TC,$A75)+SUMIFS(SALIDAS_COMB,FECHA_COMB,"&gt;="&amp;CW$2,FECHA_COMB,"&lt;="&amp;CW$3,CLAVE_COMB,$A75)+SUMIFS(SALIDAS_DES,FECHA_DESGLOSEN,"&gt;="&amp;CW$2,FECHA_DESGLOSEN,"&lt;="&amp;CW$3,CLAVE_DESGLOSE,$A75)</f>
        <v>0</v>
      </c>
      <c r="CX75" s="13">
        <f>SUMIFS(SALIDAS_BIT,FECHA_BIT,"&gt;="&amp;CX$2,FECHA_BIT,"&lt;="&amp;CX$3,CLAVE_BIT,$A75)+SUMIFS(SALIDAS_BOV1,FECHA_BOV1,"&gt;="&amp;CX$2,FECHA_BOV1,"&lt;="&amp;CX$3,CLAVE_BOV1,$A75)+SUMIFS(SALIDAS_BOV2,FECHA_BOV2,"&gt;="&amp;CX$2,FECHA_BOV2,"&lt;="&amp;CX$3,CLAVE_BOV2,$A75)+SUMIFS(SALIDAS_BOV3,FECHA_BOV3,"&gt;="&amp;CX$2,FECHA_BOV3,"&lt;="&amp;CX$3,CLAVE_BOV3,$A75)+SUMIFS(SALIDAS_TC,FECHA_TC,"&gt;="&amp;CX$2,FECHA_TC,"&lt;="&amp;CX$3,CLAVE_TC,$A75)+SUMIFS(SALIDAS_COMB,FECHA_COMB,"&gt;="&amp;CX$2,FECHA_COMB,"&lt;="&amp;CX$3,CLAVE_COMB,$A75)+SUMIFS(SALIDAS_DES,FECHA_DESGLOSEN,"&gt;="&amp;CX$2,FECHA_DESGLOSEN,"&lt;="&amp;CX$3,CLAVE_DESGLOSE,$A75)</f>
        <v>54288</v>
      </c>
      <c r="CY75" s="13">
        <f>SUMIFS(SALIDAS_BIT,FECHA_BIT,"&gt;="&amp;CY$2,FECHA_BIT,"&lt;="&amp;CY$3,CLAVE_BIT,$A75)+SUMIFS(SALIDAS_BOV1,FECHA_BOV1,"&gt;="&amp;CY$2,FECHA_BOV1,"&lt;="&amp;CY$3,CLAVE_BOV1,$A75)+SUMIFS(SALIDAS_BOV2,FECHA_BOV2,"&gt;="&amp;CY$2,FECHA_BOV2,"&lt;="&amp;CY$3,CLAVE_BOV2,$A75)+SUMIFS(SALIDAS_BOV3,FECHA_BOV3,"&gt;="&amp;CY$2,FECHA_BOV3,"&lt;="&amp;CY$3,CLAVE_BOV3,$A75)+SUMIFS(SALIDAS_TC,FECHA_TC,"&gt;="&amp;CY$2,FECHA_TC,"&lt;="&amp;CY$3,CLAVE_TC,$A75)+SUMIFS(SALIDAS_COMB,FECHA_COMB,"&gt;="&amp;CY$2,FECHA_COMB,"&lt;="&amp;CY$3,CLAVE_COMB,$A75)+SUMIFS(SALIDAS_DES,FECHA_DESGLOSEN,"&gt;="&amp;CY$2,FECHA_DESGLOSEN,"&lt;="&amp;CY$3,CLAVE_DESGLOSE,$A75)</f>
        <v>54288</v>
      </c>
      <c r="CZ75" s="68">
        <f t="shared" si="175"/>
        <v>6135</v>
      </c>
      <c r="DB75" s="17">
        <f>F75+N75+W75+AE75+AM75+AV75+BD75+BL75+BU75+CC75+CK75</f>
        <v>627026.40000000014</v>
      </c>
      <c r="DC75" s="17">
        <f>K75+T75+AB75+AJ75+AS75+BA75+BI75+BR75+BZ75+CH75+CQ75</f>
        <v>597168</v>
      </c>
    </row>
    <row r="76" spans="1:107" hidden="1">
      <c r="A76" s="12" t="str">
        <f t="shared" si="148"/>
        <v>FINANZASRENTASA15</v>
      </c>
      <c r="B76" s="12">
        <v>78</v>
      </c>
      <c r="C76" t="s">
        <v>23</v>
      </c>
      <c r="D76" s="12" t="s">
        <v>169</v>
      </c>
      <c r="E76" s="12" t="s">
        <v>100</v>
      </c>
      <c r="F76" s="259">
        <f t="shared" si="141"/>
        <v>25823.75</v>
      </c>
      <c r="G76" s="13">
        <f t="shared" si="132"/>
        <v>0</v>
      </c>
      <c r="H76" s="13">
        <f t="shared" si="132"/>
        <v>0</v>
      </c>
      <c r="I76" s="13">
        <f t="shared" si="132"/>
        <v>0</v>
      </c>
      <c r="J76" s="13">
        <f t="shared" si="132"/>
        <v>24594.3</v>
      </c>
      <c r="K76" s="13">
        <f t="shared" si="132"/>
        <v>24594.3</v>
      </c>
      <c r="L76" s="68">
        <f t="shared" si="149"/>
        <v>1229.4500000000007</v>
      </c>
      <c r="M76" s="268">
        <f t="shared" si="150"/>
        <v>0.95239072559175175</v>
      </c>
      <c r="N76" s="13">
        <f t="shared" si="142"/>
        <v>25823.75</v>
      </c>
      <c r="O76" s="13">
        <f t="shared" si="133"/>
        <v>0</v>
      </c>
      <c r="P76" s="13">
        <f t="shared" si="133"/>
        <v>0</v>
      </c>
      <c r="Q76" s="13">
        <f t="shared" si="133"/>
        <v>0</v>
      </c>
      <c r="R76" s="13">
        <f t="shared" si="133"/>
        <v>0</v>
      </c>
      <c r="S76" s="13">
        <f t="shared" si="133"/>
        <v>24594.3</v>
      </c>
      <c r="T76" s="13">
        <f t="shared" si="133"/>
        <v>24594.3</v>
      </c>
      <c r="U76" s="68">
        <f t="shared" si="151"/>
        <v>1229.4500000000007</v>
      </c>
      <c r="V76" s="268">
        <f t="shared" si="152"/>
        <v>0.95239072559175175</v>
      </c>
      <c r="W76" s="13">
        <f t="shared" si="143"/>
        <v>25823.75</v>
      </c>
      <c r="X76" s="13">
        <f t="shared" si="134"/>
        <v>0</v>
      </c>
      <c r="Y76" s="13">
        <f t="shared" si="134"/>
        <v>21354</v>
      </c>
      <c r="Z76" s="13">
        <f t="shared" si="134"/>
        <v>0</v>
      </c>
      <c r="AA76" s="13">
        <f t="shared" si="134"/>
        <v>3240.3</v>
      </c>
      <c r="AB76" s="13">
        <f t="shared" si="134"/>
        <v>24594.3</v>
      </c>
      <c r="AC76" s="68">
        <f t="shared" si="153"/>
        <v>1229.4500000000007</v>
      </c>
      <c r="AD76" s="268">
        <f t="shared" si="154"/>
        <v>0.95239072559175175</v>
      </c>
      <c r="AE76" s="13">
        <f t="shared" si="144"/>
        <v>25823.75</v>
      </c>
      <c r="AF76" s="13">
        <f t="shared" si="135"/>
        <v>0</v>
      </c>
      <c r="AG76" s="13">
        <f t="shared" si="135"/>
        <v>42707.5</v>
      </c>
      <c r="AH76" s="13">
        <f t="shared" si="135"/>
        <v>0</v>
      </c>
      <c r="AI76" s="13">
        <f t="shared" si="135"/>
        <v>3240</v>
      </c>
      <c r="AJ76" s="13">
        <f t="shared" si="135"/>
        <v>45947.5</v>
      </c>
      <c r="AK76" s="68">
        <f t="shared" si="155"/>
        <v>-20123.75</v>
      </c>
      <c r="AL76" s="268">
        <f t="shared" si="156"/>
        <v>1.7792729560966165</v>
      </c>
      <c r="AM76" s="13">
        <f t="shared" si="145"/>
        <v>25823.75</v>
      </c>
      <c r="AN76" s="13">
        <f t="shared" si="136"/>
        <v>0</v>
      </c>
      <c r="AO76" s="13">
        <f t="shared" si="136"/>
        <v>0</v>
      </c>
      <c r="AP76" s="13">
        <f t="shared" si="136"/>
        <v>42594.3</v>
      </c>
      <c r="AQ76" s="13">
        <f t="shared" si="136"/>
        <v>0</v>
      </c>
      <c r="AR76" s="13">
        <f t="shared" si="136"/>
        <v>0</v>
      </c>
      <c r="AS76" s="13">
        <f t="shared" si="136"/>
        <v>42594.3</v>
      </c>
      <c r="AT76" s="68">
        <f>AM76-AS76</f>
        <v>-16770.550000000003</v>
      </c>
      <c r="AU76" s="268">
        <f t="shared" si="157"/>
        <v>1.649423495812963</v>
      </c>
      <c r="AV76" s="13">
        <f t="shared" si="146"/>
        <v>25823.75</v>
      </c>
      <c r="AW76" s="13">
        <f t="shared" si="119"/>
        <v>0</v>
      </c>
      <c r="AX76" s="13">
        <f t="shared" si="119"/>
        <v>0</v>
      </c>
      <c r="AY76" s="13">
        <f t="shared" si="119"/>
        <v>21354</v>
      </c>
      <c r="AZ76" s="13">
        <f t="shared" si="119"/>
        <v>0</v>
      </c>
      <c r="BA76" s="13">
        <f t="shared" si="120"/>
        <v>21354</v>
      </c>
      <c r="BB76" s="68">
        <f t="shared" si="158"/>
        <v>4469.75</v>
      </c>
      <c r="BC76" s="268">
        <f t="shared" si="159"/>
        <v>0.82691320973909677</v>
      </c>
      <c r="BD76" s="13">
        <f t="shared" si="160"/>
        <v>25823.75</v>
      </c>
      <c r="BE76" s="13">
        <f>SUMIFS(SALIDAS_BIT,FECHA_BIT,"&gt;="&amp;BE$2,FECHA_BIT,"&lt;="&amp;BE$3,CLAVE_BIT,$A76)+SUMIFS(SALIDAS_BOV1,FECHA_BOV1,"&gt;="&amp;BE$2,FECHA_BOV1,"&lt;="&amp;BE$3,CLAVE_BOV1,$A76)+SUMIFS(SALIDAS_BOV2,FECHA_BOV2,"&gt;="&amp;BE$2,FECHA_BOV2,"&lt;="&amp;BE$3,CLAVE_BOV2,$A76)+SUMIFS(SALIDAS_BOV3,FECHA_BOV3,"&gt;="&amp;BE$2,FECHA_BOV3,"&lt;="&amp;BE$3,CLAVE_BOV3,$A76)+SUMIFS(SALIDAS_TC,FECHA_TC,"&gt;="&amp;BE$2,FECHA_TC,"&lt;="&amp;BE$3,CLAVE_TC,$A76)+SUMIFS(SALIDAS_COMB,FECHA_COMB,"&gt;="&amp;BE$2,FECHA_COMB,"&lt;="&amp;BE$3,CLAVE_COMB,$A76)+SUMIFS(SALIDAS_DES,FECHA_DESGLOSEN,"&gt;="&amp;BE$2,FECHA_DESGLOSEN,"&lt;="&amp;BE$3,CLAVE_DESGLOSE,$A76)</f>
        <v>3240.3</v>
      </c>
      <c r="BF76" s="13">
        <f>SUMIFS(SALIDAS_BIT,FECHA_BIT,"&gt;="&amp;BF$2,FECHA_BIT,"&lt;="&amp;BF$3,CLAVE_BIT,$A76)+SUMIFS(SALIDAS_BOV1,FECHA_BOV1,"&gt;="&amp;BF$2,FECHA_BOV1,"&lt;="&amp;BF$3,CLAVE_BOV1,$A76)+SUMIFS(SALIDAS_BOV2,FECHA_BOV2,"&gt;="&amp;BF$2,FECHA_BOV2,"&lt;="&amp;BF$3,CLAVE_BOV2,$A76)+SUMIFS(SALIDAS_BOV3,FECHA_BOV3,"&gt;="&amp;BF$2,FECHA_BOV3,"&lt;="&amp;BF$3,CLAVE_BOV3,$A76)+SUMIFS(SALIDAS_TC,FECHA_TC,"&gt;="&amp;BF$2,FECHA_TC,"&lt;="&amp;BF$3,CLAVE_TC,$A76)+SUMIFS(SALIDAS_COMB,FECHA_COMB,"&gt;="&amp;BF$2,FECHA_COMB,"&lt;="&amp;BF$3,CLAVE_COMB,$A76)+SUMIFS(SALIDAS_DES,FECHA_DESGLOSEN,"&gt;="&amp;BF$2,FECHA_DESGLOSEN,"&lt;="&amp;BF$3,CLAVE_DESGLOSE,$A76)</f>
        <v>0</v>
      </c>
      <c r="BG76" s="13">
        <f>SUMIFS(SALIDAS_BIT,FECHA_BIT,"&gt;="&amp;BG$2,FECHA_BIT,"&lt;="&amp;BG$3,CLAVE_BIT,$A76)+SUMIFS(SALIDAS_BOV1,FECHA_BOV1,"&gt;="&amp;BG$2,FECHA_BOV1,"&lt;="&amp;BG$3,CLAVE_BOV1,$A76)+SUMIFS(SALIDAS_BOV2,FECHA_BOV2,"&gt;="&amp;BG$2,FECHA_BOV2,"&lt;="&amp;BG$3,CLAVE_BOV2,$A76)+SUMIFS(SALIDAS_BOV3,FECHA_BOV3,"&gt;="&amp;BG$2,FECHA_BOV3,"&lt;="&amp;BG$3,CLAVE_BOV3,$A76)+SUMIFS(SALIDAS_TC,FECHA_TC,"&gt;="&amp;BG$2,FECHA_TC,"&lt;="&amp;BG$3,CLAVE_TC,$A76)+SUMIFS(SALIDAS_COMB,FECHA_COMB,"&gt;="&amp;BG$2,FECHA_COMB,"&lt;="&amp;BG$3,CLAVE_COMB,$A76)+SUMIFS(SALIDAS_DES,FECHA_DESGLOSEN,"&gt;="&amp;BG$2,FECHA_DESGLOSEN,"&lt;="&amp;BG$3,CLAVE_DESGLOSE,$A76)</f>
        <v>0</v>
      </c>
      <c r="BH76" s="13">
        <f>SUMIFS(SALIDAS_BIT,FECHA_BIT,"&gt;="&amp;BH$2,FECHA_BIT,"&lt;="&amp;BH$3,CLAVE_BIT,$A76)+SUMIFS(SALIDAS_BOV1,FECHA_BOV1,"&gt;="&amp;BH$2,FECHA_BOV1,"&lt;="&amp;BH$3,CLAVE_BOV1,$A76)+SUMIFS(SALIDAS_BOV2,FECHA_BOV2,"&gt;="&amp;BH$2,FECHA_BOV2,"&lt;="&amp;BH$3,CLAVE_BOV2,$A76)+SUMIFS(SALIDAS_BOV3,FECHA_BOV3,"&gt;="&amp;BH$2,FECHA_BOV3,"&lt;="&amp;BH$3,CLAVE_BOV3,$A76)+SUMIFS(SALIDAS_TC,FECHA_TC,"&gt;="&amp;BH$2,FECHA_TC,"&lt;="&amp;BH$3,CLAVE_TC,$A76)+SUMIFS(SALIDAS_COMB,FECHA_COMB,"&gt;="&amp;BH$2,FECHA_COMB,"&lt;="&amp;BH$3,CLAVE_COMB,$A76)+SUMIFS(SALIDAS_DES,FECHA_DESGLOSEN,"&gt;="&amp;BH$2,FECHA_DESGLOSEN,"&lt;="&amp;BH$3,CLAVE_DESGLOSE,$A76)</f>
        <v>24594</v>
      </c>
      <c r="BI76" s="13">
        <f t="shared" si="121"/>
        <v>27834.3</v>
      </c>
      <c r="BJ76" s="68">
        <f t="shared" si="161"/>
        <v>-2010.5499999999993</v>
      </c>
      <c r="BK76" s="268">
        <f t="shared" si="162"/>
        <v>1.0778566242315697</v>
      </c>
      <c r="BL76" s="13">
        <f t="shared" si="163"/>
        <v>25823.75</v>
      </c>
      <c r="BM76" s="13">
        <f>SUMIFS(SALIDAS_BIT,FECHA_BIT,"&gt;="&amp;BM$2,FECHA_BIT,"&lt;="&amp;BM$3,CLAVE_BIT,$A76)+SUMIFS(SALIDAS_BOV1,FECHA_BOV1,"&gt;="&amp;BM$2,FECHA_BOV1,"&lt;="&amp;BM$3,CLAVE_BOV1,$A76)+SUMIFS(SALIDAS_BOV2,FECHA_BOV2,"&gt;="&amp;BM$2,FECHA_BOV2,"&lt;="&amp;BM$3,CLAVE_BOV2,$A76)+SUMIFS(SALIDAS_BOV3,FECHA_BOV3,"&gt;="&amp;BM$2,FECHA_BOV3,"&lt;="&amp;BM$3,CLAVE_BOV3,$A76)+SUMIFS(SALIDAS_TC,FECHA_TC,"&gt;="&amp;BM$2,FECHA_TC,"&lt;="&amp;BM$3,CLAVE_TC,$A76)+SUMIFS(SALIDAS_COMB,FECHA_COMB,"&gt;="&amp;BM$2,FECHA_COMB,"&lt;="&amp;BM$3,CLAVE_COMB,$A76)+SUMIFS(SALIDAS_DES,FECHA_DESGLOSEN,"&gt;="&amp;BM$2,FECHA_DESGLOSEN,"&lt;="&amp;BM$3,CLAVE_DESGLOSE,$A76)</f>
        <v>0</v>
      </c>
      <c r="BN76" s="13">
        <f>SUMIFS(SALIDAS_BIT,FECHA_BIT,"&gt;="&amp;BN$2,FECHA_BIT,"&lt;="&amp;BN$3,CLAVE_BIT,$A76)+SUMIFS(SALIDAS_BOV1,FECHA_BOV1,"&gt;="&amp;BN$2,FECHA_BOV1,"&lt;="&amp;BN$3,CLAVE_BOV1,$A76)+SUMIFS(SALIDAS_BOV2,FECHA_BOV2,"&gt;="&amp;BN$2,FECHA_BOV2,"&lt;="&amp;BN$3,CLAVE_BOV2,$A76)+SUMIFS(SALIDAS_BOV3,FECHA_BOV3,"&gt;="&amp;BN$2,FECHA_BOV3,"&lt;="&amp;BN$3,CLAVE_BOV3,$A76)+SUMIFS(SALIDAS_TC,FECHA_TC,"&gt;="&amp;BN$2,FECHA_TC,"&lt;="&amp;BN$3,CLAVE_TC,$A76)+SUMIFS(SALIDAS_COMB,FECHA_COMB,"&gt;="&amp;BN$2,FECHA_COMB,"&lt;="&amp;BN$3,CLAVE_COMB,$A76)+SUMIFS(SALIDAS_DES,FECHA_DESGLOSEN,"&gt;="&amp;BN$2,FECHA_DESGLOSEN,"&lt;="&amp;BN$3,CLAVE_DESGLOSE,$A76)</f>
        <v>0</v>
      </c>
      <c r="BO76" s="13">
        <f>SUMIFS(SALIDAS_BIT,FECHA_BIT,"&gt;="&amp;BO$2,FECHA_BIT,"&lt;="&amp;BO$3,CLAVE_BIT,$A76)+SUMIFS(SALIDAS_BOV1,FECHA_BOV1,"&gt;="&amp;BO$2,FECHA_BOV1,"&lt;="&amp;BO$3,CLAVE_BOV1,$A76)+SUMIFS(SALIDAS_BOV2,FECHA_BOV2,"&gt;="&amp;BO$2,FECHA_BOV2,"&lt;="&amp;BO$3,CLAVE_BOV2,$A76)+SUMIFS(SALIDAS_BOV3,FECHA_BOV3,"&gt;="&amp;BO$2,FECHA_BOV3,"&lt;="&amp;BO$3,CLAVE_BOV3,$A76)+SUMIFS(SALIDAS_TC,FECHA_TC,"&gt;="&amp;BO$2,FECHA_TC,"&lt;="&amp;BO$3,CLAVE_TC,$A76)+SUMIFS(SALIDAS_COMB,FECHA_COMB,"&gt;="&amp;BO$2,FECHA_COMB,"&lt;="&amp;BO$3,CLAVE_COMB,$A76)+SUMIFS(SALIDAS_DES,FECHA_DESGLOSEN,"&gt;="&amp;BO$2,FECHA_DESGLOSEN,"&lt;="&amp;BO$3,CLAVE_DESGLOSE,$A76)</f>
        <v>0</v>
      </c>
      <c r="BP76" s="13">
        <f>SUMIFS(SALIDAS_BIT,FECHA_BIT,"&gt;="&amp;BP$2,FECHA_BIT,"&lt;="&amp;BP$3,CLAVE_BIT,$A76)+SUMIFS(SALIDAS_BOV1,FECHA_BOV1,"&gt;="&amp;BP$2,FECHA_BOV1,"&lt;="&amp;BP$3,CLAVE_BOV1,$A76)+SUMIFS(SALIDAS_BOV2,FECHA_BOV2,"&gt;="&amp;BP$2,FECHA_BOV2,"&lt;="&amp;BP$3,CLAVE_BOV2,$A76)+SUMIFS(SALIDAS_BOV3,FECHA_BOV3,"&gt;="&amp;BP$2,FECHA_BOV3,"&lt;="&amp;BP$3,CLAVE_BOV3,$A76)+SUMIFS(SALIDAS_TC,FECHA_TC,"&gt;="&amp;BP$2,FECHA_TC,"&lt;="&amp;BP$3,CLAVE_TC,$A76)+SUMIFS(SALIDAS_COMB,FECHA_COMB,"&gt;="&amp;BP$2,FECHA_COMB,"&lt;="&amp;BP$3,CLAVE_COMB,$A76)+SUMIFS(SALIDAS_DES,FECHA_DESGLOSEN,"&gt;="&amp;BP$2,FECHA_DESGLOSEN,"&lt;="&amp;BP$3,CLAVE_DESGLOSE,$A76)</f>
        <v>0</v>
      </c>
      <c r="BQ76" s="13">
        <f>SUMIFS(SALIDAS_BIT,FECHA_BIT,"&gt;="&amp;BQ$2,FECHA_BIT,"&lt;="&amp;BQ$3,CLAVE_BIT,$A76)+SUMIFS(SALIDAS_BOV1,FECHA_BOV1,"&gt;="&amp;BQ$2,FECHA_BOV1,"&lt;="&amp;BQ$3,CLAVE_BOV1,$A76)+SUMIFS(SALIDAS_BOV2,FECHA_BOV2,"&gt;="&amp;BQ$2,FECHA_BOV2,"&lt;="&amp;BQ$3,CLAVE_BOV2,$A76)+SUMIFS(SALIDAS_BOV3,FECHA_BOV3,"&gt;="&amp;BQ$2,FECHA_BOV3,"&lt;="&amp;BQ$3,CLAVE_BOV3,$A76)+SUMIFS(SALIDAS_TC,FECHA_TC,"&gt;="&amp;BQ$2,FECHA_TC,"&lt;="&amp;BQ$3,CLAVE_TC,$A76)+SUMIFS(SALIDAS_COMB,FECHA_COMB,"&gt;="&amp;BQ$2,FECHA_COMB,"&lt;="&amp;BQ$3,CLAVE_COMB,$A76)+SUMIFS(SALIDAS_DES,FECHA_DESGLOSEN,"&gt;="&amp;BQ$2,FECHA_DESGLOSEN,"&lt;="&amp;BQ$3,CLAVE_DESGLOSE,$A76)</f>
        <v>24594</v>
      </c>
      <c r="BR76" s="13">
        <f t="shared" si="137"/>
        <v>24594</v>
      </c>
      <c r="BS76" s="68">
        <f t="shared" si="164"/>
        <v>1229.75</v>
      </c>
      <c r="BT76" s="268">
        <f t="shared" si="165"/>
        <v>0.95237910837891471</v>
      </c>
      <c r="BU76" s="13">
        <f t="shared" si="166"/>
        <v>25823.75</v>
      </c>
      <c r="BV76" s="13">
        <f t="shared" si="90"/>
        <v>0</v>
      </c>
      <c r="BW76" s="13">
        <f t="shared" si="90"/>
        <v>0</v>
      </c>
      <c r="BX76" s="13">
        <f t="shared" si="90"/>
        <v>0</v>
      </c>
      <c r="BY76" s="13">
        <f t="shared" si="90"/>
        <v>24594</v>
      </c>
      <c r="BZ76" s="13">
        <f t="shared" si="138"/>
        <v>24594</v>
      </c>
      <c r="CA76" s="68">
        <f t="shared" si="167"/>
        <v>1229.75</v>
      </c>
      <c r="CB76" s="268">
        <f t="shared" si="168"/>
        <v>0.95237910837891471</v>
      </c>
      <c r="CC76" s="13">
        <f t="shared" si="169"/>
        <v>25823.75</v>
      </c>
      <c r="CD76" s="13">
        <f t="shared" si="91"/>
        <v>0</v>
      </c>
      <c r="CE76" s="13">
        <f t="shared" si="91"/>
        <v>0</v>
      </c>
      <c r="CF76" s="13">
        <f t="shared" si="91"/>
        <v>0</v>
      </c>
      <c r="CG76" s="13">
        <f t="shared" si="91"/>
        <v>21354</v>
      </c>
      <c r="CH76" s="13">
        <f t="shared" si="139"/>
        <v>21354</v>
      </c>
      <c r="CI76" s="68">
        <f t="shared" si="170"/>
        <v>4469.75</v>
      </c>
      <c r="CJ76" s="268">
        <f t="shared" si="171"/>
        <v>0.82691320973909677</v>
      </c>
      <c r="CK76" s="13">
        <f t="shared" si="172"/>
        <v>25823.75</v>
      </c>
      <c r="CL76" s="13">
        <f t="shared" si="176"/>
        <v>3240</v>
      </c>
      <c r="CM76" s="13">
        <f t="shared" si="176"/>
        <v>24594</v>
      </c>
      <c r="CN76" s="13">
        <f t="shared" si="176"/>
        <v>0</v>
      </c>
      <c r="CO76" s="13">
        <f t="shared" si="176"/>
        <v>0</v>
      </c>
      <c r="CP76" s="13">
        <f t="shared" si="176"/>
        <v>0</v>
      </c>
      <c r="CQ76" s="13">
        <f t="shared" si="140"/>
        <v>27834</v>
      </c>
      <c r="CR76" s="68">
        <f t="shared" si="173"/>
        <v>-2010.25</v>
      </c>
      <c r="CS76" s="268">
        <f t="shared" si="174"/>
        <v>1.0778450070187326</v>
      </c>
      <c r="CT76" s="68">
        <f t="shared" si="147"/>
        <v>27373</v>
      </c>
      <c r="CU76" s="13">
        <f>SUMIFS(SALIDAS_BIT,FECHA_BIT,"&gt;="&amp;CU$2,FECHA_BIT,"&lt;="&amp;CU$3,CLAVE_BIT,$A76)+SUMIFS(SALIDAS_BOV1,FECHA_BOV1,"&gt;="&amp;CU$2,FECHA_BOV1,"&lt;="&amp;CU$3,CLAVE_BOV1,$A76)+SUMIFS(SALIDAS_BOV2,FECHA_BOV2,"&gt;="&amp;CU$2,FECHA_BOV2,"&lt;="&amp;CU$3,CLAVE_BOV2,$A76)+SUMIFS(SALIDAS_BOV3,FECHA_BOV3,"&gt;="&amp;CU$2,FECHA_BOV3,"&lt;="&amp;CU$3,CLAVE_BOV3,$A76)+SUMIFS(SALIDAS_TC,FECHA_TC,"&gt;="&amp;CU$2,FECHA_TC,"&lt;="&amp;CU$3,CLAVE_TC,$A76)+SUMIFS(SALIDAS_COMB,FECHA_COMB,"&gt;="&amp;CU$2,FECHA_COMB,"&lt;="&amp;CU$3,CLAVE_COMB,$A76)+SUMIFS(SALIDAS_DES,FECHA_DESGLOSEN,"&gt;="&amp;CU$2,FECHA_DESGLOSEN,"&lt;="&amp;CU$3,CLAVE_DESGLOSE,$A76)</f>
        <v>0</v>
      </c>
      <c r="CV76" s="13">
        <f>SUMIFS(SALIDAS_BIT,FECHA_BIT,"&gt;="&amp;CV$2,FECHA_BIT,"&lt;="&amp;CV$3,CLAVE_BIT,$A76)+SUMIFS(SALIDAS_BOV1,FECHA_BOV1,"&gt;="&amp;CV$2,FECHA_BOV1,"&lt;="&amp;CV$3,CLAVE_BOV1,$A76)+SUMIFS(SALIDAS_BOV2,FECHA_BOV2,"&gt;="&amp;CV$2,FECHA_BOV2,"&lt;="&amp;CV$3,CLAVE_BOV2,$A76)+SUMIFS(SALIDAS_BOV3,FECHA_BOV3,"&gt;="&amp;CV$2,FECHA_BOV3,"&lt;="&amp;CV$3,CLAVE_BOV3,$A76)+SUMIFS(SALIDAS_TC,FECHA_TC,"&gt;="&amp;CV$2,FECHA_TC,"&lt;="&amp;CV$3,CLAVE_TC,$A76)+SUMIFS(SALIDAS_COMB,FECHA_COMB,"&gt;="&amp;CV$2,FECHA_COMB,"&lt;="&amp;CV$3,CLAVE_COMB,$A76)+SUMIFS(SALIDAS_DES,FECHA_DESGLOSEN,"&gt;="&amp;CV$2,FECHA_DESGLOSEN,"&lt;="&amp;CV$3,CLAVE_DESGLOSE,$A76)</f>
        <v>0</v>
      </c>
      <c r="CW76" s="13">
        <f>SUMIFS(SALIDAS_BIT,FECHA_BIT,"&gt;="&amp;CW$2,FECHA_BIT,"&lt;="&amp;CW$3,CLAVE_BIT,$A76)+SUMIFS(SALIDAS_BOV1,FECHA_BOV1,"&gt;="&amp;CW$2,FECHA_BOV1,"&lt;="&amp;CW$3,CLAVE_BOV1,$A76)+SUMIFS(SALIDAS_BOV2,FECHA_BOV2,"&gt;="&amp;CW$2,FECHA_BOV2,"&lt;="&amp;CW$3,CLAVE_BOV2,$A76)+SUMIFS(SALIDAS_BOV3,FECHA_BOV3,"&gt;="&amp;CW$2,FECHA_BOV3,"&lt;="&amp;CW$3,CLAVE_BOV3,$A76)+SUMIFS(SALIDAS_TC,FECHA_TC,"&gt;="&amp;CW$2,FECHA_TC,"&lt;="&amp;CW$3,CLAVE_TC,$A76)+SUMIFS(SALIDAS_COMB,FECHA_COMB,"&gt;="&amp;CW$2,FECHA_COMB,"&lt;="&amp;CW$3,CLAVE_COMB,$A76)+SUMIFS(SALIDAS_DES,FECHA_DESGLOSEN,"&gt;="&amp;CW$2,FECHA_DESGLOSEN,"&lt;="&amp;CW$3,CLAVE_DESGLOSE,$A76)</f>
        <v>0</v>
      </c>
      <c r="CX76" s="13">
        <f>SUMIFS(SALIDAS_BIT,FECHA_BIT,"&gt;="&amp;CX$2,FECHA_BIT,"&lt;="&amp;CX$3,CLAVE_BIT,$A76)+SUMIFS(SALIDAS_BOV1,FECHA_BOV1,"&gt;="&amp;CX$2,FECHA_BOV1,"&lt;="&amp;CX$3,CLAVE_BOV1,$A76)+SUMIFS(SALIDAS_BOV2,FECHA_BOV2,"&gt;="&amp;CX$2,FECHA_BOV2,"&lt;="&amp;CX$3,CLAVE_BOV2,$A76)+SUMIFS(SALIDAS_BOV3,FECHA_BOV3,"&gt;="&amp;CX$2,FECHA_BOV3,"&lt;="&amp;CX$3,CLAVE_BOV3,$A76)+SUMIFS(SALIDAS_TC,FECHA_TC,"&gt;="&amp;CX$2,FECHA_TC,"&lt;="&amp;CX$3,CLAVE_TC,$A76)+SUMIFS(SALIDAS_COMB,FECHA_COMB,"&gt;="&amp;CX$2,FECHA_COMB,"&lt;="&amp;CX$3,CLAVE_COMB,$A76)+SUMIFS(SALIDAS_DES,FECHA_DESGLOSEN,"&gt;="&amp;CX$2,FECHA_DESGLOSEN,"&lt;="&amp;CX$3,CLAVE_DESGLOSE,$A76)</f>
        <v>3498.12</v>
      </c>
      <c r="CY76" s="13">
        <f>SUMIFS(SALIDAS_BIT,FECHA_BIT,"&gt;="&amp;CY$2,FECHA_BIT,"&lt;="&amp;CY$3,CLAVE_BIT,$A76)+SUMIFS(SALIDAS_BOV1,FECHA_BOV1,"&gt;="&amp;CY$2,FECHA_BOV1,"&lt;="&amp;CY$3,CLAVE_BOV1,$A76)+SUMIFS(SALIDAS_BOV2,FECHA_BOV2,"&gt;="&amp;CY$2,FECHA_BOV2,"&lt;="&amp;CY$3,CLAVE_BOV2,$A76)+SUMIFS(SALIDAS_BOV3,FECHA_BOV3,"&gt;="&amp;CY$2,FECHA_BOV3,"&lt;="&amp;CY$3,CLAVE_BOV3,$A76)+SUMIFS(SALIDAS_TC,FECHA_TC,"&gt;="&amp;CY$2,FECHA_TC,"&lt;="&amp;CY$3,CLAVE_TC,$A76)+SUMIFS(SALIDAS_COMB,FECHA_COMB,"&gt;="&amp;CY$2,FECHA_COMB,"&lt;="&amp;CY$3,CLAVE_COMB,$A76)+SUMIFS(SALIDAS_DES,FECHA_DESGLOSEN,"&gt;="&amp;CY$2,FECHA_DESGLOSEN,"&lt;="&amp;CY$3,CLAVE_DESGLOSE,$A76)</f>
        <v>3498.12</v>
      </c>
      <c r="CZ76" s="68">
        <f t="shared" si="175"/>
        <v>23874.880000000001</v>
      </c>
      <c r="DB76" s="17">
        <f>F76+N76+W76+AE76+AM76+AV76+BD76+BL76+BU76+CC76+CK76</f>
        <v>284061.25</v>
      </c>
      <c r="DC76" s="17">
        <f>K76+T76+AB76+AJ76+AS76+BA76+BI76+BR76+BZ76+CH76+CQ76</f>
        <v>309889</v>
      </c>
    </row>
    <row r="77" spans="1:107" hidden="1">
      <c r="A77" s="12" t="str">
        <f t="shared" si="148"/>
        <v>FINANZASRENTASA16</v>
      </c>
      <c r="B77" s="12">
        <v>79</v>
      </c>
      <c r="C77" t="s">
        <v>23</v>
      </c>
      <c r="D77" s="12" t="s">
        <v>169</v>
      </c>
      <c r="E77" s="12" t="s">
        <v>101</v>
      </c>
      <c r="F77" s="259">
        <f t="shared" si="141"/>
        <v>17220</v>
      </c>
      <c r="G77" s="13">
        <f t="shared" ref="G77:K86" si="177">SUMIFS(SALIDAS_BIT,FECHA_BIT,"&gt;="&amp;G$2,FECHA_BIT,"&lt;="&amp;G$3,CLAVE_BIT,$A77)+SUMIFS(SALIDAS_BOV1,FECHA_BOV1,"&gt;="&amp;G$2,FECHA_BOV1,"&lt;="&amp;G$3,CLAVE_BOV1,$A77)+SUMIFS(SALIDAS_BOV2,FECHA_BOV2,"&gt;="&amp;G$2,FECHA_BOV2,"&lt;="&amp;G$3,CLAVE_BOV2,$A77)+SUMIFS(SALIDAS_BOV3,FECHA_BOV3,"&gt;="&amp;G$2,FECHA_BOV3,"&lt;="&amp;G$3,CLAVE_BOV3,$A77)+SUMIFS(SALIDAS_TC,FECHA_TC,"&gt;="&amp;G$2,FECHA_TC,"&lt;="&amp;G$3,CLAVE_TC,$A77)+SUMIFS(SALIDAS_COMB,FECHA_COMB,"&gt;="&amp;G$2,FECHA_COMB,"&lt;="&amp;G$3,CLAVE_COMB,$A77)+SUMIFS(SALIDAS_DES,FECHA_DESGLOSEN,"&gt;="&amp;G$2,FECHA_DESGLOSEN,"&lt;="&amp;G$3,CLAVE_DESGLOSE,$A77)</f>
        <v>0</v>
      </c>
      <c r="H77" s="13">
        <f t="shared" si="177"/>
        <v>0</v>
      </c>
      <c r="I77" s="13">
        <f t="shared" si="177"/>
        <v>0</v>
      </c>
      <c r="J77" s="13">
        <f t="shared" si="177"/>
        <v>18000</v>
      </c>
      <c r="K77" s="13">
        <f t="shared" si="177"/>
        <v>18000</v>
      </c>
      <c r="L77" s="68">
        <f t="shared" si="149"/>
        <v>-780</v>
      </c>
      <c r="M77" s="268">
        <f t="shared" si="150"/>
        <v>1.0452961672473868</v>
      </c>
      <c r="N77" s="13">
        <f t="shared" si="142"/>
        <v>17220</v>
      </c>
      <c r="O77" s="13">
        <f t="shared" ref="O77:T86" si="178">SUMIFS(SALIDAS_BIT,FECHA_BIT,"&gt;="&amp;O$2,FECHA_BIT,"&lt;="&amp;O$3,CLAVE_BIT,$A77)+SUMIFS(SALIDAS_BOV1,FECHA_BOV1,"&gt;="&amp;O$2,FECHA_BOV1,"&lt;="&amp;O$3,CLAVE_BOV1,$A77)+SUMIFS(SALIDAS_BOV2,FECHA_BOV2,"&gt;="&amp;O$2,FECHA_BOV2,"&lt;="&amp;O$3,CLAVE_BOV2,$A77)+SUMIFS(SALIDAS_BOV3,FECHA_BOV3,"&gt;="&amp;O$2,FECHA_BOV3,"&lt;="&amp;O$3,CLAVE_BOV3,$A77)+SUMIFS(SALIDAS_TC,FECHA_TC,"&gt;="&amp;O$2,FECHA_TC,"&lt;="&amp;O$3,CLAVE_TC,$A77)+SUMIFS(SALIDAS_COMB,FECHA_COMB,"&gt;="&amp;O$2,FECHA_COMB,"&lt;="&amp;O$3,CLAVE_COMB,$A77)+SUMIFS(SALIDAS_DES,FECHA_DESGLOSEN,"&gt;="&amp;O$2,FECHA_DESGLOSEN,"&lt;="&amp;O$3,CLAVE_DESGLOSE,$A77)</f>
        <v>0</v>
      </c>
      <c r="P77" s="13">
        <f t="shared" si="178"/>
        <v>0</v>
      </c>
      <c r="Q77" s="13">
        <f t="shared" si="178"/>
        <v>0</v>
      </c>
      <c r="R77" s="13">
        <f t="shared" si="178"/>
        <v>18000</v>
      </c>
      <c r="S77" s="13">
        <f t="shared" si="178"/>
        <v>0</v>
      </c>
      <c r="T77" s="13">
        <f t="shared" si="178"/>
        <v>18000</v>
      </c>
      <c r="U77" s="68">
        <f t="shared" si="151"/>
        <v>-780</v>
      </c>
      <c r="V77" s="268">
        <f t="shared" si="152"/>
        <v>1.0452961672473868</v>
      </c>
      <c r="W77" s="13">
        <f t="shared" si="143"/>
        <v>17220</v>
      </c>
      <c r="X77" s="13">
        <f t="shared" ref="X77:AB86" si="179">SUMIFS(SALIDAS_BIT,FECHA_BIT,"&gt;="&amp;X$2,FECHA_BIT,"&lt;="&amp;X$3,CLAVE_BIT,$A77)+SUMIFS(SALIDAS_BOV1,FECHA_BOV1,"&gt;="&amp;X$2,FECHA_BOV1,"&lt;="&amp;X$3,CLAVE_BOV1,$A77)+SUMIFS(SALIDAS_BOV2,FECHA_BOV2,"&gt;="&amp;X$2,FECHA_BOV2,"&lt;="&amp;X$3,CLAVE_BOV2,$A77)+SUMIFS(SALIDAS_BOV3,FECHA_BOV3,"&gt;="&amp;X$2,FECHA_BOV3,"&lt;="&amp;X$3,CLAVE_BOV3,$A77)+SUMIFS(SALIDAS_TC,FECHA_TC,"&gt;="&amp;X$2,FECHA_TC,"&lt;="&amp;X$3,CLAVE_TC,$A77)+SUMIFS(SALIDAS_COMB,FECHA_COMB,"&gt;="&amp;X$2,FECHA_COMB,"&lt;="&amp;X$3,CLAVE_COMB,$A77)+SUMIFS(SALIDAS_DES,FECHA_DESGLOSEN,"&gt;="&amp;X$2,FECHA_DESGLOSEN,"&lt;="&amp;X$3,CLAVE_DESGLOSE,$A77)</f>
        <v>0</v>
      </c>
      <c r="Y77" s="13">
        <f t="shared" si="179"/>
        <v>0</v>
      </c>
      <c r="Z77" s="13">
        <f t="shared" si="179"/>
        <v>18000</v>
      </c>
      <c r="AA77" s="13">
        <f t="shared" si="179"/>
        <v>0</v>
      </c>
      <c r="AB77" s="13">
        <f t="shared" si="179"/>
        <v>18000</v>
      </c>
      <c r="AC77" s="68">
        <f t="shared" si="153"/>
        <v>-780</v>
      </c>
      <c r="AD77" s="268">
        <f t="shared" si="154"/>
        <v>1.0452961672473868</v>
      </c>
      <c r="AE77" s="13">
        <f t="shared" si="144"/>
        <v>17220</v>
      </c>
      <c r="AF77" s="13">
        <f t="shared" ref="AF77:AJ86" si="180">SUMIFS(SALIDAS_BIT,FECHA_BIT,"&gt;="&amp;AF$2,FECHA_BIT,"&lt;="&amp;AF$3,CLAVE_BIT,$A77)+SUMIFS(SALIDAS_BOV1,FECHA_BOV1,"&gt;="&amp;AF$2,FECHA_BOV1,"&lt;="&amp;AF$3,CLAVE_BOV1,$A77)+SUMIFS(SALIDAS_BOV2,FECHA_BOV2,"&gt;="&amp;AF$2,FECHA_BOV2,"&lt;="&amp;AF$3,CLAVE_BOV2,$A77)+SUMIFS(SALIDAS_BOV3,FECHA_BOV3,"&gt;="&amp;AF$2,FECHA_BOV3,"&lt;="&amp;AF$3,CLAVE_BOV3,$A77)+SUMIFS(SALIDAS_TC,FECHA_TC,"&gt;="&amp;AF$2,FECHA_TC,"&lt;="&amp;AF$3,CLAVE_TC,$A77)+SUMIFS(SALIDAS_COMB,FECHA_COMB,"&gt;="&amp;AF$2,FECHA_COMB,"&lt;="&amp;AF$3,CLAVE_COMB,$A77)+SUMIFS(SALIDAS_DES,FECHA_DESGLOSEN,"&gt;="&amp;AF$2,FECHA_DESGLOSEN,"&lt;="&amp;AF$3,CLAVE_DESGLOSE,$A77)</f>
        <v>0</v>
      </c>
      <c r="AG77" s="13">
        <f t="shared" si="180"/>
        <v>0</v>
      </c>
      <c r="AH77" s="13">
        <f t="shared" si="180"/>
        <v>18000</v>
      </c>
      <c r="AI77" s="13">
        <f t="shared" si="180"/>
        <v>0</v>
      </c>
      <c r="AJ77" s="13">
        <f t="shared" si="180"/>
        <v>18000</v>
      </c>
      <c r="AK77" s="68">
        <f t="shared" si="155"/>
        <v>-780</v>
      </c>
      <c r="AL77" s="268">
        <f t="shared" si="156"/>
        <v>1.0452961672473868</v>
      </c>
      <c r="AM77" s="13">
        <f t="shared" si="145"/>
        <v>17220</v>
      </c>
      <c r="AN77" s="13">
        <f t="shared" ref="AN77:AS86" si="181">SUMIFS(SALIDAS_BIT,FECHA_BIT,"&gt;="&amp;AN$2,FECHA_BIT,"&lt;="&amp;AN$3,CLAVE_BIT,$A77)+SUMIFS(SALIDAS_BOV1,FECHA_BOV1,"&gt;="&amp;AN$2,FECHA_BOV1,"&lt;="&amp;AN$3,CLAVE_BOV1,$A77)+SUMIFS(SALIDAS_BOV2,FECHA_BOV2,"&gt;="&amp;AN$2,FECHA_BOV2,"&lt;="&amp;AN$3,CLAVE_BOV2,$A77)+SUMIFS(SALIDAS_BOV3,FECHA_BOV3,"&gt;="&amp;AN$2,FECHA_BOV3,"&lt;="&amp;AN$3,CLAVE_BOV3,$A77)+SUMIFS(SALIDAS_TC,FECHA_TC,"&gt;="&amp;AN$2,FECHA_TC,"&lt;="&amp;AN$3,CLAVE_TC,$A77)+SUMIFS(SALIDAS_COMB,FECHA_COMB,"&gt;="&amp;AN$2,FECHA_COMB,"&lt;="&amp;AN$3,CLAVE_COMB,$A77)+SUMIFS(SALIDAS_DES,FECHA_DESGLOSEN,"&gt;="&amp;AN$2,FECHA_DESGLOSEN,"&lt;="&amp;AN$3,CLAVE_DESGLOSE,$A77)</f>
        <v>0</v>
      </c>
      <c r="AO77" s="13">
        <f t="shared" si="181"/>
        <v>0</v>
      </c>
      <c r="AP77" s="13">
        <f t="shared" si="181"/>
        <v>18000</v>
      </c>
      <c r="AQ77" s="13">
        <f t="shared" si="181"/>
        <v>0</v>
      </c>
      <c r="AR77" s="13">
        <f t="shared" si="181"/>
        <v>0</v>
      </c>
      <c r="AS77" s="13">
        <f t="shared" si="181"/>
        <v>18000</v>
      </c>
      <c r="AT77" s="68">
        <f>AM77-AS77</f>
        <v>-780</v>
      </c>
      <c r="AU77" s="268">
        <f t="shared" si="157"/>
        <v>1.0452961672473868</v>
      </c>
      <c r="AV77" s="13">
        <f t="shared" si="146"/>
        <v>17220</v>
      </c>
      <c r="AW77" s="13">
        <f t="shared" si="119"/>
        <v>0</v>
      </c>
      <c r="AX77" s="13">
        <f t="shared" si="119"/>
        <v>0</v>
      </c>
      <c r="AY77" s="13">
        <f t="shared" si="119"/>
        <v>18000</v>
      </c>
      <c r="AZ77" s="13">
        <f t="shared" si="119"/>
        <v>0</v>
      </c>
      <c r="BA77" s="13">
        <f t="shared" si="120"/>
        <v>18000</v>
      </c>
      <c r="BB77" s="68">
        <f t="shared" si="158"/>
        <v>-780</v>
      </c>
      <c r="BC77" s="268">
        <f t="shared" si="159"/>
        <v>1.0452961672473868</v>
      </c>
      <c r="BD77" s="13">
        <f t="shared" si="160"/>
        <v>17220</v>
      </c>
      <c r="BE77" s="13">
        <f>SUMIFS(SALIDAS_BIT,FECHA_BIT,"&gt;="&amp;BE$2,FECHA_BIT,"&lt;="&amp;BE$3,CLAVE_BIT,$A77)+SUMIFS(SALIDAS_BOV1,FECHA_BOV1,"&gt;="&amp;BE$2,FECHA_BOV1,"&lt;="&amp;BE$3,CLAVE_BOV1,$A77)+SUMIFS(SALIDAS_BOV2,FECHA_BOV2,"&gt;="&amp;BE$2,FECHA_BOV2,"&lt;="&amp;BE$3,CLAVE_BOV2,$A77)+SUMIFS(SALIDAS_BOV3,FECHA_BOV3,"&gt;="&amp;BE$2,FECHA_BOV3,"&lt;="&amp;BE$3,CLAVE_BOV3,$A77)+SUMIFS(SALIDAS_TC,FECHA_TC,"&gt;="&amp;BE$2,FECHA_TC,"&lt;="&amp;BE$3,CLAVE_TC,$A77)+SUMIFS(SALIDAS_COMB,FECHA_COMB,"&gt;="&amp;BE$2,FECHA_COMB,"&lt;="&amp;BE$3,CLAVE_COMB,$A77)+SUMIFS(SALIDAS_DES,FECHA_DESGLOSEN,"&gt;="&amp;BE$2,FECHA_DESGLOSEN,"&lt;="&amp;BE$3,CLAVE_DESGLOSE,$A77)</f>
        <v>0</v>
      </c>
      <c r="BF77" s="13">
        <f>SUMIFS(SALIDAS_BIT,FECHA_BIT,"&gt;="&amp;BF$2,FECHA_BIT,"&lt;="&amp;BF$3,CLAVE_BIT,$A77)+SUMIFS(SALIDAS_BOV1,FECHA_BOV1,"&gt;="&amp;BF$2,FECHA_BOV1,"&lt;="&amp;BF$3,CLAVE_BOV1,$A77)+SUMIFS(SALIDAS_BOV2,FECHA_BOV2,"&gt;="&amp;BF$2,FECHA_BOV2,"&lt;="&amp;BF$3,CLAVE_BOV2,$A77)+SUMIFS(SALIDAS_BOV3,FECHA_BOV3,"&gt;="&amp;BF$2,FECHA_BOV3,"&lt;="&amp;BF$3,CLAVE_BOV3,$A77)+SUMIFS(SALIDAS_TC,FECHA_TC,"&gt;="&amp;BF$2,FECHA_TC,"&lt;="&amp;BF$3,CLAVE_TC,$A77)+SUMIFS(SALIDAS_COMB,FECHA_COMB,"&gt;="&amp;BF$2,FECHA_COMB,"&lt;="&amp;BF$3,CLAVE_COMB,$A77)+SUMIFS(SALIDAS_DES,FECHA_DESGLOSEN,"&gt;="&amp;BF$2,FECHA_DESGLOSEN,"&lt;="&amp;BF$3,CLAVE_DESGLOSE,$A77)</f>
        <v>0</v>
      </c>
      <c r="BG77" s="13">
        <f>SUMIFS(SALIDAS_BIT,FECHA_BIT,"&gt;="&amp;BG$2,FECHA_BIT,"&lt;="&amp;BG$3,CLAVE_BIT,$A77)+SUMIFS(SALIDAS_BOV1,FECHA_BOV1,"&gt;="&amp;BG$2,FECHA_BOV1,"&lt;="&amp;BG$3,CLAVE_BOV1,$A77)+SUMIFS(SALIDAS_BOV2,FECHA_BOV2,"&gt;="&amp;BG$2,FECHA_BOV2,"&lt;="&amp;BG$3,CLAVE_BOV2,$A77)+SUMIFS(SALIDAS_BOV3,FECHA_BOV3,"&gt;="&amp;BG$2,FECHA_BOV3,"&lt;="&amp;BG$3,CLAVE_BOV3,$A77)+SUMIFS(SALIDAS_TC,FECHA_TC,"&gt;="&amp;BG$2,FECHA_TC,"&lt;="&amp;BG$3,CLAVE_TC,$A77)+SUMIFS(SALIDAS_COMB,FECHA_COMB,"&gt;="&amp;BG$2,FECHA_COMB,"&lt;="&amp;BG$3,CLAVE_COMB,$A77)+SUMIFS(SALIDAS_DES,FECHA_DESGLOSEN,"&gt;="&amp;BG$2,FECHA_DESGLOSEN,"&lt;="&amp;BG$3,CLAVE_DESGLOSE,$A77)</f>
        <v>18000</v>
      </c>
      <c r="BH77" s="13">
        <f>SUMIFS(SALIDAS_BIT,FECHA_BIT,"&gt;="&amp;BH$2,FECHA_BIT,"&lt;="&amp;BH$3,CLAVE_BIT,$A77)+SUMIFS(SALIDAS_BOV1,FECHA_BOV1,"&gt;="&amp;BH$2,FECHA_BOV1,"&lt;="&amp;BH$3,CLAVE_BOV1,$A77)+SUMIFS(SALIDAS_BOV2,FECHA_BOV2,"&gt;="&amp;BH$2,FECHA_BOV2,"&lt;="&amp;BH$3,CLAVE_BOV2,$A77)+SUMIFS(SALIDAS_BOV3,FECHA_BOV3,"&gt;="&amp;BH$2,FECHA_BOV3,"&lt;="&amp;BH$3,CLAVE_BOV3,$A77)+SUMIFS(SALIDAS_TC,FECHA_TC,"&gt;="&amp;BH$2,FECHA_TC,"&lt;="&amp;BH$3,CLAVE_TC,$A77)+SUMIFS(SALIDAS_COMB,FECHA_COMB,"&gt;="&amp;BH$2,FECHA_COMB,"&lt;="&amp;BH$3,CLAVE_COMB,$A77)+SUMIFS(SALIDAS_DES,FECHA_DESGLOSEN,"&gt;="&amp;BH$2,FECHA_DESGLOSEN,"&lt;="&amp;BH$3,CLAVE_DESGLOSE,$A77)</f>
        <v>0</v>
      </c>
      <c r="BI77" s="13">
        <f t="shared" si="121"/>
        <v>18000</v>
      </c>
      <c r="BJ77" s="68">
        <f t="shared" si="161"/>
        <v>-780</v>
      </c>
      <c r="BK77" s="268">
        <f t="shared" si="162"/>
        <v>1.0452961672473868</v>
      </c>
      <c r="BL77" s="13">
        <f t="shared" si="163"/>
        <v>17220</v>
      </c>
      <c r="BM77" s="13">
        <f>SUMIFS(SALIDAS_BIT,FECHA_BIT,"&gt;="&amp;BM$2,FECHA_BIT,"&lt;="&amp;BM$3,CLAVE_BIT,$A77)+SUMIFS(SALIDAS_BOV1,FECHA_BOV1,"&gt;="&amp;BM$2,FECHA_BOV1,"&lt;="&amp;BM$3,CLAVE_BOV1,$A77)+SUMIFS(SALIDAS_BOV2,FECHA_BOV2,"&gt;="&amp;BM$2,FECHA_BOV2,"&lt;="&amp;BM$3,CLAVE_BOV2,$A77)+SUMIFS(SALIDAS_BOV3,FECHA_BOV3,"&gt;="&amp;BM$2,FECHA_BOV3,"&lt;="&amp;BM$3,CLAVE_BOV3,$A77)+SUMIFS(SALIDAS_TC,FECHA_TC,"&gt;="&amp;BM$2,FECHA_TC,"&lt;="&amp;BM$3,CLAVE_TC,$A77)+SUMIFS(SALIDAS_COMB,FECHA_COMB,"&gt;="&amp;BM$2,FECHA_COMB,"&lt;="&amp;BM$3,CLAVE_COMB,$A77)+SUMIFS(SALIDAS_DES,FECHA_DESGLOSEN,"&gt;="&amp;BM$2,FECHA_DESGLOSEN,"&lt;="&amp;BM$3,CLAVE_DESGLOSE,$A77)</f>
        <v>0</v>
      </c>
      <c r="BN77" s="13">
        <f>SUMIFS(SALIDAS_BIT,FECHA_BIT,"&gt;="&amp;BN$2,FECHA_BIT,"&lt;="&amp;BN$3,CLAVE_BIT,$A77)+SUMIFS(SALIDAS_BOV1,FECHA_BOV1,"&gt;="&amp;BN$2,FECHA_BOV1,"&lt;="&amp;BN$3,CLAVE_BOV1,$A77)+SUMIFS(SALIDAS_BOV2,FECHA_BOV2,"&gt;="&amp;BN$2,FECHA_BOV2,"&lt;="&amp;BN$3,CLAVE_BOV2,$A77)+SUMIFS(SALIDAS_BOV3,FECHA_BOV3,"&gt;="&amp;BN$2,FECHA_BOV3,"&lt;="&amp;BN$3,CLAVE_BOV3,$A77)+SUMIFS(SALIDAS_TC,FECHA_TC,"&gt;="&amp;BN$2,FECHA_TC,"&lt;="&amp;BN$3,CLAVE_TC,$A77)+SUMIFS(SALIDAS_COMB,FECHA_COMB,"&gt;="&amp;BN$2,FECHA_COMB,"&lt;="&amp;BN$3,CLAVE_COMB,$A77)+SUMIFS(SALIDAS_DES,FECHA_DESGLOSEN,"&gt;="&amp;BN$2,FECHA_DESGLOSEN,"&lt;="&amp;BN$3,CLAVE_DESGLOSE,$A77)</f>
        <v>0</v>
      </c>
      <c r="BO77" s="13">
        <f>SUMIFS(SALIDAS_BIT,FECHA_BIT,"&gt;="&amp;BO$2,FECHA_BIT,"&lt;="&amp;BO$3,CLAVE_BIT,$A77)+SUMIFS(SALIDAS_BOV1,FECHA_BOV1,"&gt;="&amp;BO$2,FECHA_BOV1,"&lt;="&amp;BO$3,CLAVE_BOV1,$A77)+SUMIFS(SALIDAS_BOV2,FECHA_BOV2,"&gt;="&amp;BO$2,FECHA_BOV2,"&lt;="&amp;BO$3,CLAVE_BOV2,$A77)+SUMIFS(SALIDAS_BOV3,FECHA_BOV3,"&gt;="&amp;BO$2,FECHA_BOV3,"&lt;="&amp;BO$3,CLAVE_BOV3,$A77)+SUMIFS(SALIDAS_TC,FECHA_TC,"&gt;="&amp;BO$2,FECHA_TC,"&lt;="&amp;BO$3,CLAVE_TC,$A77)+SUMIFS(SALIDAS_COMB,FECHA_COMB,"&gt;="&amp;BO$2,FECHA_COMB,"&lt;="&amp;BO$3,CLAVE_COMB,$A77)+SUMIFS(SALIDAS_DES,FECHA_DESGLOSEN,"&gt;="&amp;BO$2,FECHA_DESGLOSEN,"&lt;="&amp;BO$3,CLAVE_DESGLOSE,$A77)</f>
        <v>0</v>
      </c>
      <c r="BP77" s="13">
        <f>SUMIFS(SALIDAS_BIT,FECHA_BIT,"&gt;="&amp;BP$2,FECHA_BIT,"&lt;="&amp;BP$3,CLAVE_BIT,$A77)+SUMIFS(SALIDAS_BOV1,FECHA_BOV1,"&gt;="&amp;BP$2,FECHA_BOV1,"&lt;="&amp;BP$3,CLAVE_BOV1,$A77)+SUMIFS(SALIDAS_BOV2,FECHA_BOV2,"&gt;="&amp;BP$2,FECHA_BOV2,"&lt;="&amp;BP$3,CLAVE_BOV2,$A77)+SUMIFS(SALIDAS_BOV3,FECHA_BOV3,"&gt;="&amp;BP$2,FECHA_BOV3,"&lt;="&amp;BP$3,CLAVE_BOV3,$A77)+SUMIFS(SALIDAS_TC,FECHA_TC,"&gt;="&amp;BP$2,FECHA_TC,"&lt;="&amp;BP$3,CLAVE_TC,$A77)+SUMIFS(SALIDAS_COMB,FECHA_COMB,"&gt;="&amp;BP$2,FECHA_COMB,"&lt;="&amp;BP$3,CLAVE_COMB,$A77)+SUMIFS(SALIDAS_DES,FECHA_DESGLOSEN,"&gt;="&amp;BP$2,FECHA_DESGLOSEN,"&lt;="&amp;BP$3,CLAVE_DESGLOSE,$A77)</f>
        <v>0</v>
      </c>
      <c r="BQ77" s="13">
        <f>SUMIFS(SALIDAS_BIT,FECHA_BIT,"&gt;="&amp;BQ$2,FECHA_BIT,"&lt;="&amp;BQ$3,CLAVE_BIT,$A77)+SUMIFS(SALIDAS_BOV1,FECHA_BOV1,"&gt;="&amp;BQ$2,FECHA_BOV1,"&lt;="&amp;BQ$3,CLAVE_BOV1,$A77)+SUMIFS(SALIDAS_BOV2,FECHA_BOV2,"&gt;="&amp;BQ$2,FECHA_BOV2,"&lt;="&amp;BQ$3,CLAVE_BOV2,$A77)+SUMIFS(SALIDAS_BOV3,FECHA_BOV3,"&gt;="&amp;BQ$2,FECHA_BOV3,"&lt;="&amp;BQ$3,CLAVE_BOV3,$A77)+SUMIFS(SALIDAS_TC,FECHA_TC,"&gt;="&amp;BQ$2,FECHA_TC,"&lt;="&amp;BQ$3,CLAVE_TC,$A77)+SUMIFS(SALIDAS_COMB,FECHA_COMB,"&gt;="&amp;BQ$2,FECHA_COMB,"&lt;="&amp;BQ$3,CLAVE_COMB,$A77)+SUMIFS(SALIDAS_DES,FECHA_DESGLOSEN,"&gt;="&amp;BQ$2,FECHA_DESGLOSEN,"&lt;="&amp;BQ$3,CLAVE_DESGLOSE,$A77)</f>
        <v>0</v>
      </c>
      <c r="BR77" s="13">
        <f t="shared" ref="BM77:BR86" si="182">SUMIFS(SALIDAS_BIT,FECHA_BIT,"&gt;="&amp;BR$2,FECHA_BIT,"&lt;="&amp;BR$3,CLAVE_BIT,$A77)+SUMIFS(SALIDAS_BOV1,FECHA_BOV1,"&gt;="&amp;BR$2,FECHA_BOV1,"&lt;="&amp;BR$3,CLAVE_BOV1,$A77)+SUMIFS(SALIDAS_BOV2,FECHA_BOV2,"&gt;="&amp;BR$2,FECHA_BOV2,"&lt;="&amp;BR$3,CLAVE_BOV2,$A77)+SUMIFS(SALIDAS_BOV3,FECHA_BOV3,"&gt;="&amp;BR$2,FECHA_BOV3,"&lt;="&amp;BR$3,CLAVE_BOV3,$A77)+SUMIFS(SALIDAS_TC,FECHA_TC,"&gt;="&amp;BR$2,FECHA_TC,"&lt;="&amp;BR$3,CLAVE_TC,$A77)+SUMIFS(SALIDAS_COMB,FECHA_COMB,"&gt;="&amp;BR$2,FECHA_COMB,"&lt;="&amp;BR$3,CLAVE_COMB,$A77)+SUMIFS(SALIDAS_DES,FECHA_DESGLOSEN,"&gt;="&amp;BR$2,FECHA_DESGLOSEN,"&lt;="&amp;BR$3,CLAVE_DESGLOSE,$A77)</f>
        <v>0</v>
      </c>
      <c r="BS77" s="68">
        <f t="shared" si="164"/>
        <v>17220</v>
      </c>
      <c r="BT77" s="268">
        <f t="shared" si="165"/>
        <v>0</v>
      </c>
      <c r="BU77" s="13">
        <f t="shared" si="166"/>
        <v>17220</v>
      </c>
      <c r="BV77" s="13">
        <f t="shared" si="90"/>
        <v>0</v>
      </c>
      <c r="BW77" s="13">
        <f t="shared" si="90"/>
        <v>0</v>
      </c>
      <c r="BX77" s="13">
        <f t="shared" si="90"/>
        <v>0</v>
      </c>
      <c r="BY77" s="13">
        <f t="shared" si="90"/>
        <v>0</v>
      </c>
      <c r="BZ77" s="13">
        <f t="shared" ref="BV77:BZ86" si="183">SUMIFS(SALIDAS_BIT,FECHA_BIT,"&gt;="&amp;BZ$2,FECHA_BIT,"&lt;="&amp;BZ$3,CLAVE_BIT,$A77)+SUMIFS(SALIDAS_BOV1,FECHA_BOV1,"&gt;="&amp;BZ$2,FECHA_BOV1,"&lt;="&amp;BZ$3,CLAVE_BOV1,$A77)+SUMIFS(SALIDAS_BOV2,FECHA_BOV2,"&gt;="&amp;BZ$2,FECHA_BOV2,"&lt;="&amp;BZ$3,CLAVE_BOV2,$A77)+SUMIFS(SALIDAS_BOV3,FECHA_BOV3,"&gt;="&amp;BZ$2,FECHA_BOV3,"&lt;="&amp;BZ$3,CLAVE_BOV3,$A77)+SUMIFS(SALIDAS_TC,FECHA_TC,"&gt;="&amp;BZ$2,FECHA_TC,"&lt;="&amp;BZ$3,CLAVE_TC,$A77)+SUMIFS(SALIDAS_COMB,FECHA_COMB,"&gt;="&amp;BZ$2,FECHA_COMB,"&lt;="&amp;BZ$3,CLAVE_COMB,$A77)+SUMIFS(SALIDAS_DES,FECHA_DESGLOSEN,"&gt;="&amp;BZ$2,FECHA_DESGLOSEN,"&lt;="&amp;BZ$3,CLAVE_DESGLOSE,$A77)</f>
        <v>0</v>
      </c>
      <c r="CA77" s="68">
        <f t="shared" si="167"/>
        <v>17220</v>
      </c>
      <c r="CB77" s="268">
        <f t="shared" si="168"/>
        <v>0</v>
      </c>
      <c r="CC77" s="13">
        <f t="shared" si="169"/>
        <v>17220</v>
      </c>
      <c r="CD77" s="13">
        <f t="shared" si="91"/>
        <v>0</v>
      </c>
      <c r="CE77" s="13">
        <f t="shared" si="91"/>
        <v>35388.36</v>
      </c>
      <c r="CF77" s="13">
        <f t="shared" si="91"/>
        <v>0</v>
      </c>
      <c r="CG77" s="13">
        <f t="shared" si="91"/>
        <v>0</v>
      </c>
      <c r="CH77" s="13">
        <f t="shared" ref="CD77:CH86" si="184">SUMIFS(SALIDAS_BIT,FECHA_BIT,"&gt;="&amp;CH$2,FECHA_BIT,"&lt;="&amp;CH$3,CLAVE_BIT,$A77)+SUMIFS(SALIDAS_BOV1,FECHA_BOV1,"&gt;="&amp;CH$2,FECHA_BOV1,"&lt;="&amp;CH$3,CLAVE_BOV1,$A77)+SUMIFS(SALIDAS_BOV2,FECHA_BOV2,"&gt;="&amp;CH$2,FECHA_BOV2,"&lt;="&amp;CH$3,CLAVE_BOV2,$A77)+SUMIFS(SALIDAS_BOV3,FECHA_BOV3,"&gt;="&amp;CH$2,FECHA_BOV3,"&lt;="&amp;CH$3,CLAVE_BOV3,$A77)+SUMIFS(SALIDAS_TC,FECHA_TC,"&gt;="&amp;CH$2,FECHA_TC,"&lt;="&amp;CH$3,CLAVE_TC,$A77)+SUMIFS(SALIDAS_COMB,FECHA_COMB,"&gt;="&amp;CH$2,FECHA_COMB,"&lt;="&amp;CH$3,CLAVE_COMB,$A77)+SUMIFS(SALIDAS_DES,FECHA_DESGLOSEN,"&gt;="&amp;CH$2,FECHA_DESGLOSEN,"&lt;="&amp;CH$3,CLAVE_DESGLOSE,$A77)</f>
        <v>35388.36</v>
      </c>
      <c r="CI77" s="68">
        <f t="shared" si="170"/>
        <v>-18168.36</v>
      </c>
      <c r="CJ77" s="268">
        <f t="shared" si="171"/>
        <v>2.0550731707317071</v>
      </c>
      <c r="CK77" s="13">
        <f t="shared" si="172"/>
        <v>17220</v>
      </c>
      <c r="CL77" s="13">
        <f t="shared" si="176"/>
        <v>0</v>
      </c>
      <c r="CM77" s="13">
        <f t="shared" si="176"/>
        <v>0</v>
      </c>
      <c r="CN77" s="13">
        <f t="shared" si="176"/>
        <v>0</v>
      </c>
      <c r="CO77" s="13">
        <f t="shared" si="176"/>
        <v>0</v>
      </c>
      <c r="CP77" s="13">
        <f t="shared" si="176"/>
        <v>0</v>
      </c>
      <c r="CQ77" s="13">
        <f t="shared" ref="CL77:CQ86" si="185">SUMIFS(SALIDAS_BIT,FECHA_BIT,"&gt;="&amp;CQ$2,FECHA_BIT,"&lt;="&amp;CQ$3,CLAVE_BIT,$A77)+SUMIFS(SALIDAS_BOV1,FECHA_BOV1,"&gt;="&amp;CQ$2,FECHA_BOV1,"&lt;="&amp;CQ$3,CLAVE_BOV1,$A77)+SUMIFS(SALIDAS_BOV2,FECHA_BOV2,"&gt;="&amp;CQ$2,FECHA_BOV2,"&lt;="&amp;CQ$3,CLAVE_BOV2,$A77)+SUMIFS(SALIDAS_BOV3,FECHA_BOV3,"&gt;="&amp;CQ$2,FECHA_BOV3,"&lt;="&amp;CQ$3,CLAVE_BOV3,$A77)+SUMIFS(SALIDAS_TC,FECHA_TC,"&gt;="&amp;CQ$2,FECHA_TC,"&lt;="&amp;CQ$3,CLAVE_TC,$A77)+SUMIFS(SALIDAS_COMB,FECHA_COMB,"&gt;="&amp;CQ$2,FECHA_COMB,"&lt;="&amp;CQ$3,CLAVE_COMB,$A77)+SUMIFS(SALIDAS_DES,FECHA_DESGLOSEN,"&gt;="&amp;CQ$2,FECHA_DESGLOSEN,"&lt;="&amp;CQ$3,CLAVE_DESGLOSE,$A77)</f>
        <v>0</v>
      </c>
      <c r="CR77" s="68">
        <f t="shared" si="173"/>
        <v>17220</v>
      </c>
      <c r="CS77" s="268">
        <f t="shared" si="174"/>
        <v>0</v>
      </c>
      <c r="CT77" s="68">
        <f t="shared" si="147"/>
        <v>18253</v>
      </c>
      <c r="CU77" s="13">
        <f>SUMIFS(SALIDAS_BIT,FECHA_BIT,"&gt;="&amp;CU$2,FECHA_BIT,"&lt;="&amp;CU$3,CLAVE_BIT,$A77)+SUMIFS(SALIDAS_BOV1,FECHA_BOV1,"&gt;="&amp;CU$2,FECHA_BOV1,"&lt;="&amp;CU$3,CLAVE_BOV1,$A77)+SUMIFS(SALIDAS_BOV2,FECHA_BOV2,"&gt;="&amp;CU$2,FECHA_BOV2,"&lt;="&amp;CU$3,CLAVE_BOV2,$A77)+SUMIFS(SALIDAS_BOV3,FECHA_BOV3,"&gt;="&amp;CU$2,FECHA_BOV3,"&lt;="&amp;CU$3,CLAVE_BOV3,$A77)+SUMIFS(SALIDAS_TC,FECHA_TC,"&gt;="&amp;CU$2,FECHA_TC,"&lt;="&amp;CU$3,CLAVE_TC,$A77)+SUMIFS(SALIDAS_COMB,FECHA_COMB,"&gt;="&amp;CU$2,FECHA_COMB,"&lt;="&amp;CU$3,CLAVE_COMB,$A77)+SUMIFS(SALIDAS_DES,FECHA_DESGLOSEN,"&gt;="&amp;CU$2,FECHA_DESGLOSEN,"&lt;="&amp;CU$3,CLAVE_DESGLOSE,$A77)</f>
        <v>0</v>
      </c>
      <c r="CV77" s="13">
        <f>SUMIFS(SALIDAS_BIT,FECHA_BIT,"&gt;="&amp;CV$2,FECHA_BIT,"&lt;="&amp;CV$3,CLAVE_BIT,$A77)+SUMIFS(SALIDAS_BOV1,FECHA_BOV1,"&gt;="&amp;CV$2,FECHA_BOV1,"&lt;="&amp;CV$3,CLAVE_BOV1,$A77)+SUMIFS(SALIDAS_BOV2,FECHA_BOV2,"&gt;="&amp;CV$2,FECHA_BOV2,"&lt;="&amp;CV$3,CLAVE_BOV2,$A77)+SUMIFS(SALIDAS_BOV3,FECHA_BOV3,"&gt;="&amp;CV$2,FECHA_BOV3,"&lt;="&amp;CV$3,CLAVE_BOV3,$A77)+SUMIFS(SALIDAS_TC,FECHA_TC,"&gt;="&amp;CV$2,FECHA_TC,"&lt;="&amp;CV$3,CLAVE_TC,$A77)+SUMIFS(SALIDAS_COMB,FECHA_COMB,"&gt;="&amp;CV$2,FECHA_COMB,"&lt;="&amp;CV$3,CLAVE_COMB,$A77)+SUMIFS(SALIDAS_DES,FECHA_DESGLOSEN,"&gt;="&amp;CV$2,FECHA_DESGLOSEN,"&lt;="&amp;CV$3,CLAVE_DESGLOSE,$A77)</f>
        <v>0</v>
      </c>
      <c r="CW77" s="13">
        <f>SUMIFS(SALIDAS_BIT,FECHA_BIT,"&gt;="&amp;CW$2,FECHA_BIT,"&lt;="&amp;CW$3,CLAVE_BIT,$A77)+SUMIFS(SALIDAS_BOV1,FECHA_BOV1,"&gt;="&amp;CW$2,FECHA_BOV1,"&lt;="&amp;CW$3,CLAVE_BOV1,$A77)+SUMIFS(SALIDAS_BOV2,FECHA_BOV2,"&gt;="&amp;CW$2,FECHA_BOV2,"&lt;="&amp;CW$3,CLAVE_BOV2,$A77)+SUMIFS(SALIDAS_BOV3,FECHA_BOV3,"&gt;="&amp;CW$2,FECHA_BOV3,"&lt;="&amp;CW$3,CLAVE_BOV3,$A77)+SUMIFS(SALIDAS_TC,FECHA_TC,"&gt;="&amp;CW$2,FECHA_TC,"&lt;="&amp;CW$3,CLAVE_TC,$A77)+SUMIFS(SALIDAS_COMB,FECHA_COMB,"&gt;="&amp;CW$2,FECHA_COMB,"&lt;="&amp;CW$3,CLAVE_COMB,$A77)+SUMIFS(SALIDAS_DES,FECHA_DESGLOSEN,"&gt;="&amp;CW$2,FECHA_DESGLOSEN,"&lt;="&amp;CW$3,CLAVE_DESGLOSE,$A77)</f>
        <v>0</v>
      </c>
      <c r="CX77" s="13">
        <f>SUMIFS(SALIDAS_BIT,FECHA_BIT,"&gt;="&amp;CX$2,FECHA_BIT,"&lt;="&amp;CX$3,CLAVE_BIT,$A77)+SUMIFS(SALIDAS_BOV1,FECHA_BOV1,"&gt;="&amp;CX$2,FECHA_BOV1,"&lt;="&amp;CX$3,CLAVE_BOV1,$A77)+SUMIFS(SALIDAS_BOV2,FECHA_BOV2,"&gt;="&amp;CX$2,FECHA_BOV2,"&lt;="&amp;CX$3,CLAVE_BOV2,$A77)+SUMIFS(SALIDAS_BOV3,FECHA_BOV3,"&gt;="&amp;CX$2,FECHA_BOV3,"&lt;="&amp;CX$3,CLAVE_BOV3,$A77)+SUMIFS(SALIDAS_TC,FECHA_TC,"&gt;="&amp;CX$2,FECHA_TC,"&lt;="&amp;CX$3,CLAVE_TC,$A77)+SUMIFS(SALIDAS_COMB,FECHA_COMB,"&gt;="&amp;CX$2,FECHA_COMB,"&lt;="&amp;CX$3,CLAVE_COMB,$A77)+SUMIFS(SALIDAS_DES,FECHA_DESGLOSEN,"&gt;="&amp;CX$2,FECHA_DESGLOSEN,"&lt;="&amp;CX$3,CLAVE_DESGLOSE,$A77)</f>
        <v>0</v>
      </c>
      <c r="CY77" s="13">
        <f>SUMIFS(SALIDAS_BIT,FECHA_BIT,"&gt;="&amp;CY$2,FECHA_BIT,"&lt;="&amp;CY$3,CLAVE_BIT,$A77)+SUMIFS(SALIDAS_BOV1,FECHA_BOV1,"&gt;="&amp;CY$2,FECHA_BOV1,"&lt;="&amp;CY$3,CLAVE_BOV1,$A77)+SUMIFS(SALIDAS_BOV2,FECHA_BOV2,"&gt;="&amp;CY$2,FECHA_BOV2,"&lt;="&amp;CY$3,CLAVE_BOV2,$A77)+SUMIFS(SALIDAS_BOV3,FECHA_BOV3,"&gt;="&amp;CY$2,FECHA_BOV3,"&lt;="&amp;CY$3,CLAVE_BOV3,$A77)+SUMIFS(SALIDAS_TC,FECHA_TC,"&gt;="&amp;CY$2,FECHA_TC,"&lt;="&amp;CY$3,CLAVE_TC,$A77)+SUMIFS(SALIDAS_COMB,FECHA_COMB,"&gt;="&amp;CY$2,FECHA_COMB,"&lt;="&amp;CY$3,CLAVE_COMB,$A77)+SUMIFS(SALIDAS_DES,FECHA_DESGLOSEN,"&gt;="&amp;CY$2,FECHA_DESGLOSEN,"&lt;="&amp;CY$3,CLAVE_DESGLOSE,$A77)</f>
        <v>0</v>
      </c>
      <c r="CZ77" s="68">
        <f t="shared" si="175"/>
        <v>18253</v>
      </c>
      <c r="DB77" s="17">
        <f>F77+N77+W77+AE77+AM77+AV77+BD77+BL77+BU77+CC77+CK77</f>
        <v>189420</v>
      </c>
      <c r="DC77" s="17">
        <f>K77+T77+AB77+AJ77+AS77+BA77+BI77+BR77+BZ77+CH77+CQ77</f>
        <v>161388.35999999999</v>
      </c>
    </row>
    <row r="78" spans="1:107" hidden="1">
      <c r="A78" s="12" t="str">
        <f t="shared" si="148"/>
        <v>FINANZASRENTASA17</v>
      </c>
      <c r="B78" s="12">
        <v>80</v>
      </c>
      <c r="C78" t="s">
        <v>23</v>
      </c>
      <c r="D78" s="14" t="s">
        <v>169</v>
      </c>
      <c r="E78" s="14" t="s">
        <v>102</v>
      </c>
      <c r="F78" s="259">
        <f t="shared" si="141"/>
        <v>76326.960000000006</v>
      </c>
      <c r="G78" s="13">
        <f t="shared" si="177"/>
        <v>0</v>
      </c>
      <c r="H78" s="13">
        <f t="shared" si="177"/>
        <v>0</v>
      </c>
      <c r="I78" s="13">
        <f t="shared" si="177"/>
        <v>0</v>
      </c>
      <c r="J78" s="13">
        <f t="shared" si="177"/>
        <v>81326.960000000006</v>
      </c>
      <c r="K78" s="13">
        <f t="shared" si="177"/>
        <v>81326.960000000006</v>
      </c>
      <c r="L78" s="68">
        <f t="shared" si="149"/>
        <v>-5000</v>
      </c>
      <c r="M78" s="268">
        <f t="shared" si="150"/>
        <v>1.0655076528660383</v>
      </c>
      <c r="N78" s="13">
        <f t="shared" si="142"/>
        <v>76326.960000000006</v>
      </c>
      <c r="O78" s="13">
        <f t="shared" si="178"/>
        <v>0</v>
      </c>
      <c r="P78" s="13">
        <f t="shared" si="178"/>
        <v>0</v>
      </c>
      <c r="Q78" s="13">
        <f t="shared" si="178"/>
        <v>0</v>
      </c>
      <c r="R78" s="13">
        <f t="shared" si="178"/>
        <v>76326.960000000006</v>
      </c>
      <c r="S78" s="13">
        <f t="shared" si="178"/>
        <v>5000</v>
      </c>
      <c r="T78" s="13">
        <f t="shared" si="178"/>
        <v>81326.960000000006</v>
      </c>
      <c r="U78" s="68">
        <f t="shared" si="151"/>
        <v>-5000</v>
      </c>
      <c r="V78" s="268">
        <f t="shared" si="152"/>
        <v>1.0655076528660383</v>
      </c>
      <c r="W78" s="13">
        <f t="shared" si="143"/>
        <v>76326.960000000006</v>
      </c>
      <c r="X78" s="13">
        <f t="shared" si="179"/>
        <v>0</v>
      </c>
      <c r="Y78" s="13">
        <f t="shared" si="179"/>
        <v>0</v>
      </c>
      <c r="Z78" s="13">
        <f t="shared" si="179"/>
        <v>0</v>
      </c>
      <c r="AA78" s="13">
        <f t="shared" si="179"/>
        <v>76326.960000000006</v>
      </c>
      <c r="AB78" s="13">
        <f t="shared" si="179"/>
        <v>76326.960000000006</v>
      </c>
      <c r="AC78" s="68">
        <f t="shared" si="153"/>
        <v>0</v>
      </c>
      <c r="AD78" s="268">
        <f t="shared" si="154"/>
        <v>1</v>
      </c>
      <c r="AE78" s="13">
        <f t="shared" si="144"/>
        <v>76326.960000000006</v>
      </c>
      <c r="AF78" s="13">
        <f t="shared" si="180"/>
        <v>0</v>
      </c>
      <c r="AG78" s="13">
        <f t="shared" si="180"/>
        <v>0</v>
      </c>
      <c r="AH78" s="13">
        <f t="shared" si="180"/>
        <v>0</v>
      </c>
      <c r="AI78" s="13">
        <f t="shared" si="180"/>
        <v>76326.960000000006</v>
      </c>
      <c r="AJ78" s="13">
        <f t="shared" si="180"/>
        <v>76326.960000000006</v>
      </c>
      <c r="AK78" s="68">
        <f t="shared" si="155"/>
        <v>0</v>
      </c>
      <c r="AL78" s="268">
        <f t="shared" si="156"/>
        <v>1</v>
      </c>
      <c r="AM78" s="13">
        <f t="shared" si="145"/>
        <v>76326.960000000006</v>
      </c>
      <c r="AN78" s="13">
        <f t="shared" si="181"/>
        <v>0</v>
      </c>
      <c r="AO78" s="13">
        <f t="shared" si="181"/>
        <v>0</v>
      </c>
      <c r="AP78" s="13">
        <f t="shared" si="181"/>
        <v>0</v>
      </c>
      <c r="AQ78" s="13">
        <f t="shared" si="181"/>
        <v>76326.960000000006</v>
      </c>
      <c r="AR78" s="13">
        <f t="shared" si="181"/>
        <v>0</v>
      </c>
      <c r="AS78" s="13">
        <f t="shared" si="181"/>
        <v>76326.960000000006</v>
      </c>
      <c r="AT78" s="68">
        <f>AM78-AS78</f>
        <v>0</v>
      </c>
      <c r="AU78" s="268">
        <f t="shared" si="157"/>
        <v>1</v>
      </c>
      <c r="AV78" s="13">
        <f t="shared" si="146"/>
        <v>76326.960000000006</v>
      </c>
      <c r="AW78" s="13">
        <f t="shared" si="119"/>
        <v>0</v>
      </c>
      <c r="AX78" s="13">
        <f t="shared" si="119"/>
        <v>0</v>
      </c>
      <c r="AY78" s="13">
        <f t="shared" si="119"/>
        <v>0</v>
      </c>
      <c r="AZ78" s="13">
        <f t="shared" si="119"/>
        <v>76326.960000000006</v>
      </c>
      <c r="BA78" s="13">
        <f t="shared" si="120"/>
        <v>76326.960000000006</v>
      </c>
      <c r="BB78" s="68">
        <f t="shared" si="158"/>
        <v>0</v>
      </c>
      <c r="BC78" s="268">
        <f t="shared" si="159"/>
        <v>1</v>
      </c>
      <c r="BD78" s="13">
        <f t="shared" si="160"/>
        <v>76326.960000000006</v>
      </c>
      <c r="BE78" s="13">
        <f>SUMIFS(SALIDAS_BIT,FECHA_BIT,"&gt;="&amp;BE$2,FECHA_BIT,"&lt;="&amp;BE$3,CLAVE_BIT,$A78)+SUMIFS(SALIDAS_BOV1,FECHA_BOV1,"&gt;="&amp;BE$2,FECHA_BOV1,"&lt;="&amp;BE$3,CLAVE_BOV1,$A78)+SUMIFS(SALIDAS_BOV2,FECHA_BOV2,"&gt;="&amp;BE$2,FECHA_BOV2,"&lt;="&amp;BE$3,CLAVE_BOV2,$A78)+SUMIFS(SALIDAS_BOV3,FECHA_BOV3,"&gt;="&amp;BE$2,FECHA_BOV3,"&lt;="&amp;BE$3,CLAVE_BOV3,$A78)+SUMIFS(SALIDAS_TC,FECHA_TC,"&gt;="&amp;BE$2,FECHA_TC,"&lt;="&amp;BE$3,CLAVE_TC,$A78)+SUMIFS(SALIDAS_COMB,FECHA_COMB,"&gt;="&amp;BE$2,FECHA_COMB,"&lt;="&amp;BE$3,CLAVE_COMB,$A78)+SUMIFS(SALIDAS_DES,FECHA_DESGLOSEN,"&gt;="&amp;BE$2,FECHA_DESGLOSEN,"&lt;="&amp;BE$3,CLAVE_DESGLOSE,$A78)</f>
        <v>0</v>
      </c>
      <c r="BF78" s="13">
        <f>SUMIFS(SALIDAS_BIT,FECHA_BIT,"&gt;="&amp;BF$2,FECHA_BIT,"&lt;="&amp;BF$3,CLAVE_BIT,$A78)+SUMIFS(SALIDAS_BOV1,FECHA_BOV1,"&gt;="&amp;BF$2,FECHA_BOV1,"&lt;="&amp;BF$3,CLAVE_BOV1,$A78)+SUMIFS(SALIDAS_BOV2,FECHA_BOV2,"&gt;="&amp;BF$2,FECHA_BOV2,"&lt;="&amp;BF$3,CLAVE_BOV2,$A78)+SUMIFS(SALIDAS_BOV3,FECHA_BOV3,"&gt;="&amp;BF$2,FECHA_BOV3,"&lt;="&amp;BF$3,CLAVE_BOV3,$A78)+SUMIFS(SALIDAS_TC,FECHA_TC,"&gt;="&amp;BF$2,FECHA_TC,"&lt;="&amp;BF$3,CLAVE_TC,$A78)+SUMIFS(SALIDAS_COMB,FECHA_COMB,"&gt;="&amp;BF$2,FECHA_COMB,"&lt;="&amp;BF$3,CLAVE_COMB,$A78)+SUMIFS(SALIDAS_DES,FECHA_DESGLOSEN,"&gt;="&amp;BF$2,FECHA_DESGLOSEN,"&lt;="&amp;BF$3,CLAVE_DESGLOSE,$A78)</f>
        <v>0</v>
      </c>
      <c r="BG78" s="13">
        <f>SUMIFS(SALIDAS_BIT,FECHA_BIT,"&gt;="&amp;BG$2,FECHA_BIT,"&lt;="&amp;BG$3,CLAVE_BIT,$A78)+SUMIFS(SALIDAS_BOV1,FECHA_BOV1,"&gt;="&amp;BG$2,FECHA_BOV1,"&lt;="&amp;BG$3,CLAVE_BOV1,$A78)+SUMIFS(SALIDAS_BOV2,FECHA_BOV2,"&gt;="&amp;BG$2,FECHA_BOV2,"&lt;="&amp;BG$3,CLAVE_BOV2,$A78)+SUMIFS(SALIDAS_BOV3,FECHA_BOV3,"&gt;="&amp;BG$2,FECHA_BOV3,"&lt;="&amp;BG$3,CLAVE_BOV3,$A78)+SUMIFS(SALIDAS_TC,FECHA_TC,"&gt;="&amp;BG$2,FECHA_TC,"&lt;="&amp;BG$3,CLAVE_TC,$A78)+SUMIFS(SALIDAS_COMB,FECHA_COMB,"&gt;="&amp;BG$2,FECHA_COMB,"&lt;="&amp;BG$3,CLAVE_COMB,$A78)+SUMIFS(SALIDAS_DES,FECHA_DESGLOSEN,"&gt;="&amp;BG$2,FECHA_DESGLOSEN,"&lt;="&amp;BG$3,CLAVE_DESGLOSE,$A78)</f>
        <v>0</v>
      </c>
      <c r="BH78" s="13">
        <f>SUMIFS(SALIDAS_BIT,FECHA_BIT,"&gt;="&amp;BH$2,FECHA_BIT,"&lt;="&amp;BH$3,CLAVE_BIT,$A78)+SUMIFS(SALIDAS_BOV1,FECHA_BOV1,"&gt;="&amp;BH$2,FECHA_BOV1,"&lt;="&amp;BH$3,CLAVE_BOV1,$A78)+SUMIFS(SALIDAS_BOV2,FECHA_BOV2,"&gt;="&amp;BH$2,FECHA_BOV2,"&lt;="&amp;BH$3,CLAVE_BOV2,$A78)+SUMIFS(SALIDAS_BOV3,FECHA_BOV3,"&gt;="&amp;BH$2,FECHA_BOV3,"&lt;="&amp;BH$3,CLAVE_BOV3,$A78)+SUMIFS(SALIDAS_TC,FECHA_TC,"&gt;="&amp;BH$2,FECHA_TC,"&lt;="&amp;BH$3,CLAVE_TC,$A78)+SUMIFS(SALIDAS_COMB,FECHA_COMB,"&gt;="&amp;BH$2,FECHA_COMB,"&lt;="&amp;BH$3,CLAVE_COMB,$A78)+SUMIFS(SALIDAS_DES,FECHA_DESGLOSEN,"&gt;="&amp;BH$2,FECHA_DESGLOSEN,"&lt;="&amp;BH$3,CLAVE_DESGLOSE,$A78)</f>
        <v>76326.960000000006</v>
      </c>
      <c r="BI78" s="13">
        <f t="shared" si="121"/>
        <v>76326.960000000006</v>
      </c>
      <c r="BJ78" s="68">
        <f t="shared" si="161"/>
        <v>0</v>
      </c>
      <c r="BK78" s="268">
        <f t="shared" si="162"/>
        <v>1</v>
      </c>
      <c r="BL78" s="13">
        <f t="shared" si="163"/>
        <v>76326.960000000006</v>
      </c>
      <c r="BM78" s="13">
        <f>SUMIFS(SALIDAS_BIT,FECHA_BIT,"&gt;="&amp;BM$2,FECHA_BIT,"&lt;="&amp;BM$3,CLAVE_BIT,$A78)+SUMIFS(SALIDAS_BOV1,FECHA_BOV1,"&gt;="&amp;BM$2,FECHA_BOV1,"&lt;="&amp;BM$3,CLAVE_BOV1,$A78)+SUMIFS(SALIDAS_BOV2,FECHA_BOV2,"&gt;="&amp;BM$2,FECHA_BOV2,"&lt;="&amp;BM$3,CLAVE_BOV2,$A78)+SUMIFS(SALIDAS_BOV3,FECHA_BOV3,"&gt;="&amp;BM$2,FECHA_BOV3,"&lt;="&amp;BM$3,CLAVE_BOV3,$A78)+SUMIFS(SALIDAS_TC,FECHA_TC,"&gt;="&amp;BM$2,FECHA_TC,"&lt;="&amp;BM$3,CLAVE_TC,$A78)+SUMIFS(SALIDAS_COMB,FECHA_COMB,"&gt;="&amp;BM$2,FECHA_COMB,"&lt;="&amp;BM$3,CLAVE_COMB,$A78)+SUMIFS(SALIDAS_DES,FECHA_DESGLOSEN,"&gt;="&amp;BM$2,FECHA_DESGLOSEN,"&lt;="&amp;BM$3,CLAVE_DESGLOSE,$A78)</f>
        <v>0</v>
      </c>
      <c r="BN78" s="13">
        <f>SUMIFS(SALIDAS_BIT,FECHA_BIT,"&gt;="&amp;BN$2,FECHA_BIT,"&lt;="&amp;BN$3,CLAVE_BIT,$A78)+SUMIFS(SALIDAS_BOV1,FECHA_BOV1,"&gt;="&amp;BN$2,FECHA_BOV1,"&lt;="&amp;BN$3,CLAVE_BOV1,$A78)+SUMIFS(SALIDAS_BOV2,FECHA_BOV2,"&gt;="&amp;BN$2,FECHA_BOV2,"&lt;="&amp;BN$3,CLAVE_BOV2,$A78)+SUMIFS(SALIDAS_BOV3,FECHA_BOV3,"&gt;="&amp;BN$2,FECHA_BOV3,"&lt;="&amp;BN$3,CLAVE_BOV3,$A78)+SUMIFS(SALIDAS_TC,FECHA_TC,"&gt;="&amp;BN$2,FECHA_TC,"&lt;="&amp;BN$3,CLAVE_TC,$A78)+SUMIFS(SALIDAS_COMB,FECHA_COMB,"&gt;="&amp;BN$2,FECHA_COMB,"&lt;="&amp;BN$3,CLAVE_COMB,$A78)+SUMIFS(SALIDAS_DES,FECHA_DESGLOSEN,"&gt;="&amp;BN$2,FECHA_DESGLOSEN,"&lt;="&amp;BN$3,CLAVE_DESGLOSE,$A78)</f>
        <v>0</v>
      </c>
      <c r="BO78" s="13">
        <f>SUMIFS(SALIDAS_BIT,FECHA_BIT,"&gt;="&amp;BO$2,FECHA_BIT,"&lt;="&amp;BO$3,CLAVE_BIT,$A78)+SUMIFS(SALIDAS_BOV1,FECHA_BOV1,"&gt;="&amp;BO$2,FECHA_BOV1,"&lt;="&amp;BO$3,CLAVE_BOV1,$A78)+SUMIFS(SALIDAS_BOV2,FECHA_BOV2,"&gt;="&amp;BO$2,FECHA_BOV2,"&lt;="&amp;BO$3,CLAVE_BOV2,$A78)+SUMIFS(SALIDAS_BOV3,FECHA_BOV3,"&gt;="&amp;BO$2,FECHA_BOV3,"&lt;="&amp;BO$3,CLAVE_BOV3,$A78)+SUMIFS(SALIDAS_TC,FECHA_TC,"&gt;="&amp;BO$2,FECHA_TC,"&lt;="&amp;BO$3,CLAVE_TC,$A78)+SUMIFS(SALIDAS_COMB,FECHA_COMB,"&gt;="&amp;BO$2,FECHA_COMB,"&lt;="&amp;BO$3,CLAVE_COMB,$A78)+SUMIFS(SALIDAS_DES,FECHA_DESGLOSEN,"&gt;="&amp;BO$2,FECHA_DESGLOSEN,"&lt;="&amp;BO$3,CLAVE_DESGLOSE,$A78)</f>
        <v>0</v>
      </c>
      <c r="BP78" s="13">
        <f>SUMIFS(SALIDAS_BIT,FECHA_BIT,"&gt;="&amp;BP$2,FECHA_BIT,"&lt;="&amp;BP$3,CLAVE_BIT,$A78)+SUMIFS(SALIDAS_BOV1,FECHA_BOV1,"&gt;="&amp;BP$2,FECHA_BOV1,"&lt;="&amp;BP$3,CLAVE_BOV1,$A78)+SUMIFS(SALIDAS_BOV2,FECHA_BOV2,"&gt;="&amp;BP$2,FECHA_BOV2,"&lt;="&amp;BP$3,CLAVE_BOV2,$A78)+SUMIFS(SALIDAS_BOV3,FECHA_BOV3,"&gt;="&amp;BP$2,FECHA_BOV3,"&lt;="&amp;BP$3,CLAVE_BOV3,$A78)+SUMIFS(SALIDAS_TC,FECHA_TC,"&gt;="&amp;BP$2,FECHA_TC,"&lt;="&amp;BP$3,CLAVE_TC,$A78)+SUMIFS(SALIDAS_COMB,FECHA_COMB,"&gt;="&amp;BP$2,FECHA_COMB,"&lt;="&amp;BP$3,CLAVE_COMB,$A78)+SUMIFS(SALIDAS_DES,FECHA_DESGLOSEN,"&gt;="&amp;BP$2,FECHA_DESGLOSEN,"&lt;="&amp;BP$3,CLAVE_DESGLOSE,$A78)</f>
        <v>0</v>
      </c>
      <c r="BQ78" s="13">
        <f>SUMIFS(SALIDAS_BIT,FECHA_BIT,"&gt;="&amp;BQ$2,FECHA_BIT,"&lt;="&amp;BQ$3,CLAVE_BIT,$A78)+SUMIFS(SALIDAS_BOV1,FECHA_BOV1,"&gt;="&amp;BQ$2,FECHA_BOV1,"&lt;="&amp;BQ$3,CLAVE_BOV1,$A78)+SUMIFS(SALIDAS_BOV2,FECHA_BOV2,"&gt;="&amp;BQ$2,FECHA_BOV2,"&lt;="&amp;BQ$3,CLAVE_BOV2,$A78)+SUMIFS(SALIDAS_BOV3,FECHA_BOV3,"&gt;="&amp;BQ$2,FECHA_BOV3,"&lt;="&amp;BQ$3,CLAVE_BOV3,$A78)+SUMIFS(SALIDAS_TC,FECHA_TC,"&gt;="&amp;BQ$2,FECHA_TC,"&lt;="&amp;BQ$3,CLAVE_TC,$A78)+SUMIFS(SALIDAS_COMB,FECHA_COMB,"&gt;="&amp;BQ$2,FECHA_COMB,"&lt;="&amp;BQ$3,CLAVE_COMB,$A78)+SUMIFS(SALIDAS_DES,FECHA_DESGLOSEN,"&gt;="&amp;BQ$2,FECHA_DESGLOSEN,"&lt;="&amp;BQ$3,CLAVE_DESGLOSE,$A78)</f>
        <v>76326.960000000006</v>
      </c>
      <c r="BR78" s="13">
        <f t="shared" si="182"/>
        <v>76326.960000000006</v>
      </c>
      <c r="BS78" s="68">
        <f t="shared" si="164"/>
        <v>0</v>
      </c>
      <c r="BT78" s="268">
        <f t="shared" si="165"/>
        <v>1</v>
      </c>
      <c r="BU78" s="13">
        <f t="shared" si="166"/>
        <v>76326.960000000006</v>
      </c>
      <c r="BV78" s="13">
        <f t="shared" si="90"/>
        <v>0</v>
      </c>
      <c r="BW78" s="13">
        <f t="shared" si="90"/>
        <v>0</v>
      </c>
      <c r="BX78" s="13">
        <f t="shared" si="90"/>
        <v>0</v>
      </c>
      <c r="BY78" s="13">
        <f t="shared" si="90"/>
        <v>76326.960000000006</v>
      </c>
      <c r="BZ78" s="13">
        <f t="shared" si="183"/>
        <v>76326.960000000006</v>
      </c>
      <c r="CA78" s="68">
        <f t="shared" si="167"/>
        <v>0</v>
      </c>
      <c r="CB78" s="268">
        <f t="shared" si="168"/>
        <v>1</v>
      </c>
      <c r="CC78" s="13">
        <f t="shared" si="169"/>
        <v>76326.960000000006</v>
      </c>
      <c r="CD78" s="13">
        <f t="shared" si="91"/>
        <v>0</v>
      </c>
      <c r="CE78" s="13">
        <f t="shared" si="91"/>
        <v>0</v>
      </c>
      <c r="CF78" s="13">
        <f t="shared" si="91"/>
        <v>0</v>
      </c>
      <c r="CG78" s="13">
        <f t="shared" si="91"/>
        <v>76326.960000000006</v>
      </c>
      <c r="CH78" s="13">
        <f t="shared" si="184"/>
        <v>76326.960000000006</v>
      </c>
      <c r="CI78" s="68">
        <f t="shared" si="170"/>
        <v>0</v>
      </c>
      <c r="CJ78" s="268">
        <f t="shared" si="171"/>
        <v>1</v>
      </c>
      <c r="CK78" s="13">
        <f t="shared" si="172"/>
        <v>76326.960000000006</v>
      </c>
      <c r="CL78" s="13">
        <f t="shared" si="176"/>
        <v>0</v>
      </c>
      <c r="CM78" s="13">
        <f t="shared" si="176"/>
        <v>76326.960000000006</v>
      </c>
      <c r="CN78" s="13">
        <f t="shared" si="176"/>
        <v>0</v>
      </c>
      <c r="CO78" s="13">
        <f t="shared" si="176"/>
        <v>0</v>
      </c>
      <c r="CP78" s="13">
        <f t="shared" si="176"/>
        <v>0</v>
      </c>
      <c r="CQ78" s="13">
        <f t="shared" si="185"/>
        <v>76326.960000000006</v>
      </c>
      <c r="CR78" s="68">
        <f t="shared" si="173"/>
        <v>0</v>
      </c>
      <c r="CS78" s="268">
        <f t="shared" si="174"/>
        <v>1</v>
      </c>
      <c r="CT78" s="68">
        <f t="shared" si="147"/>
        <v>80907</v>
      </c>
      <c r="CU78" s="13">
        <f>SUMIFS(SALIDAS_BIT,FECHA_BIT,"&gt;="&amp;CU$2,FECHA_BIT,"&lt;="&amp;CU$3,CLAVE_BIT,$A78)+SUMIFS(SALIDAS_BOV1,FECHA_BOV1,"&gt;="&amp;CU$2,FECHA_BOV1,"&lt;="&amp;CU$3,CLAVE_BOV1,$A78)+SUMIFS(SALIDAS_BOV2,FECHA_BOV2,"&gt;="&amp;CU$2,FECHA_BOV2,"&lt;="&amp;CU$3,CLAVE_BOV2,$A78)+SUMIFS(SALIDAS_BOV3,FECHA_BOV3,"&gt;="&amp;CU$2,FECHA_BOV3,"&lt;="&amp;CU$3,CLAVE_BOV3,$A78)+SUMIFS(SALIDAS_TC,FECHA_TC,"&gt;="&amp;CU$2,FECHA_TC,"&lt;="&amp;CU$3,CLAVE_TC,$A78)+SUMIFS(SALIDAS_COMB,FECHA_COMB,"&gt;="&amp;CU$2,FECHA_COMB,"&lt;="&amp;CU$3,CLAVE_COMB,$A78)+SUMIFS(SALIDAS_DES,FECHA_DESGLOSEN,"&gt;="&amp;CU$2,FECHA_DESGLOSEN,"&lt;="&amp;CU$3,CLAVE_DESGLOSE,$A78)</f>
        <v>0</v>
      </c>
      <c r="CV78" s="13">
        <f>SUMIFS(SALIDAS_BIT,FECHA_BIT,"&gt;="&amp;CV$2,FECHA_BIT,"&lt;="&amp;CV$3,CLAVE_BIT,$A78)+SUMIFS(SALIDAS_BOV1,FECHA_BOV1,"&gt;="&amp;CV$2,FECHA_BOV1,"&lt;="&amp;CV$3,CLAVE_BOV1,$A78)+SUMIFS(SALIDAS_BOV2,FECHA_BOV2,"&gt;="&amp;CV$2,FECHA_BOV2,"&lt;="&amp;CV$3,CLAVE_BOV2,$A78)+SUMIFS(SALIDAS_BOV3,FECHA_BOV3,"&gt;="&amp;CV$2,FECHA_BOV3,"&lt;="&amp;CV$3,CLAVE_BOV3,$A78)+SUMIFS(SALIDAS_TC,FECHA_TC,"&gt;="&amp;CV$2,FECHA_TC,"&lt;="&amp;CV$3,CLAVE_TC,$A78)+SUMIFS(SALIDAS_COMB,FECHA_COMB,"&gt;="&amp;CV$2,FECHA_COMB,"&lt;="&amp;CV$3,CLAVE_COMB,$A78)+SUMIFS(SALIDAS_DES,FECHA_DESGLOSEN,"&gt;="&amp;CV$2,FECHA_DESGLOSEN,"&lt;="&amp;CV$3,CLAVE_DESGLOSE,$A78)</f>
        <v>0</v>
      </c>
      <c r="CW78" s="13">
        <f>SUMIFS(SALIDAS_BIT,FECHA_BIT,"&gt;="&amp;CW$2,FECHA_BIT,"&lt;="&amp;CW$3,CLAVE_BIT,$A78)+SUMIFS(SALIDAS_BOV1,FECHA_BOV1,"&gt;="&amp;CW$2,FECHA_BOV1,"&lt;="&amp;CW$3,CLAVE_BOV1,$A78)+SUMIFS(SALIDAS_BOV2,FECHA_BOV2,"&gt;="&amp;CW$2,FECHA_BOV2,"&lt;="&amp;CW$3,CLAVE_BOV2,$A78)+SUMIFS(SALIDAS_BOV3,FECHA_BOV3,"&gt;="&amp;CW$2,FECHA_BOV3,"&lt;="&amp;CW$3,CLAVE_BOV3,$A78)+SUMIFS(SALIDAS_TC,FECHA_TC,"&gt;="&amp;CW$2,FECHA_TC,"&lt;="&amp;CW$3,CLAVE_TC,$A78)+SUMIFS(SALIDAS_COMB,FECHA_COMB,"&gt;="&amp;CW$2,FECHA_COMB,"&lt;="&amp;CW$3,CLAVE_COMB,$A78)+SUMIFS(SALIDAS_DES,FECHA_DESGLOSEN,"&gt;="&amp;CW$2,FECHA_DESGLOSEN,"&lt;="&amp;CW$3,CLAVE_DESGLOSE,$A78)</f>
        <v>0</v>
      </c>
      <c r="CX78" s="13">
        <f>SUMIFS(SALIDAS_BIT,FECHA_BIT,"&gt;="&amp;CX$2,FECHA_BIT,"&lt;="&amp;CX$3,CLAVE_BIT,$A78)+SUMIFS(SALIDAS_BOV1,FECHA_BOV1,"&gt;="&amp;CX$2,FECHA_BOV1,"&lt;="&amp;CX$3,CLAVE_BOV1,$A78)+SUMIFS(SALIDAS_BOV2,FECHA_BOV2,"&gt;="&amp;CX$2,FECHA_BOV2,"&lt;="&amp;CX$3,CLAVE_BOV2,$A78)+SUMIFS(SALIDAS_BOV3,FECHA_BOV3,"&gt;="&amp;CX$2,FECHA_BOV3,"&lt;="&amp;CX$3,CLAVE_BOV3,$A78)+SUMIFS(SALIDAS_TC,FECHA_TC,"&gt;="&amp;CX$2,FECHA_TC,"&lt;="&amp;CX$3,CLAVE_TC,$A78)+SUMIFS(SALIDAS_COMB,FECHA_COMB,"&gt;="&amp;CX$2,FECHA_COMB,"&lt;="&amp;CX$3,CLAVE_COMB,$A78)+SUMIFS(SALIDAS_DES,FECHA_DESGLOSEN,"&gt;="&amp;CX$2,FECHA_DESGLOSEN,"&lt;="&amp;CX$3,CLAVE_DESGLOSE,$A78)</f>
        <v>76326.960000000006</v>
      </c>
      <c r="CY78" s="13">
        <f>SUMIFS(SALIDAS_BIT,FECHA_BIT,"&gt;="&amp;CY$2,FECHA_BIT,"&lt;="&amp;CY$3,CLAVE_BIT,$A78)+SUMIFS(SALIDAS_BOV1,FECHA_BOV1,"&gt;="&amp;CY$2,FECHA_BOV1,"&lt;="&amp;CY$3,CLAVE_BOV1,$A78)+SUMIFS(SALIDAS_BOV2,FECHA_BOV2,"&gt;="&amp;CY$2,FECHA_BOV2,"&lt;="&amp;CY$3,CLAVE_BOV2,$A78)+SUMIFS(SALIDAS_BOV3,FECHA_BOV3,"&gt;="&amp;CY$2,FECHA_BOV3,"&lt;="&amp;CY$3,CLAVE_BOV3,$A78)+SUMIFS(SALIDAS_TC,FECHA_TC,"&gt;="&amp;CY$2,FECHA_TC,"&lt;="&amp;CY$3,CLAVE_TC,$A78)+SUMIFS(SALIDAS_COMB,FECHA_COMB,"&gt;="&amp;CY$2,FECHA_COMB,"&lt;="&amp;CY$3,CLAVE_COMB,$A78)+SUMIFS(SALIDAS_DES,FECHA_DESGLOSEN,"&gt;="&amp;CY$2,FECHA_DESGLOSEN,"&lt;="&amp;CY$3,CLAVE_DESGLOSE,$A78)</f>
        <v>76326.960000000006</v>
      </c>
      <c r="CZ78" s="68">
        <f t="shared" si="175"/>
        <v>4580.0399999999936</v>
      </c>
      <c r="DB78" s="17">
        <f>F78+N78+W78+AE78+AM78+AV78+BD78+BL78+BU78+CC78+CK78</f>
        <v>839596.55999999994</v>
      </c>
      <c r="DC78" s="17">
        <f>K78+T78+AB78+AJ78+AS78+BA78+BI78+BR78+BZ78+CH78+CQ78</f>
        <v>849596.55999999994</v>
      </c>
    </row>
    <row r="79" spans="1:107" hidden="1">
      <c r="A79" s="12" t="str">
        <f t="shared" si="148"/>
        <v>FINANZASRENTASA18</v>
      </c>
      <c r="B79" s="12">
        <v>81</v>
      </c>
      <c r="C79" t="s">
        <v>23</v>
      </c>
      <c r="D79" s="12" t="s">
        <v>169</v>
      </c>
      <c r="E79" s="12" t="s">
        <v>103</v>
      </c>
      <c r="F79" s="259">
        <f t="shared" si="141"/>
        <v>90304.44</v>
      </c>
      <c r="G79" s="13">
        <f t="shared" si="177"/>
        <v>0</v>
      </c>
      <c r="H79" s="13">
        <f t="shared" si="177"/>
        <v>0</v>
      </c>
      <c r="I79" s="13">
        <f t="shared" si="177"/>
        <v>2042.32</v>
      </c>
      <c r="J79" s="13">
        <f t="shared" si="177"/>
        <v>0</v>
      </c>
      <c r="K79" s="13">
        <f t="shared" si="177"/>
        <v>2042.32</v>
      </c>
      <c r="L79" s="68">
        <f t="shared" si="149"/>
        <v>88262.12</v>
      </c>
      <c r="M79" s="268">
        <f t="shared" si="150"/>
        <v>2.261594225045856E-2</v>
      </c>
      <c r="N79" s="13">
        <f t="shared" si="142"/>
        <v>90304.44</v>
      </c>
      <c r="O79" s="13">
        <f t="shared" si="178"/>
        <v>0</v>
      </c>
      <c r="P79" s="13">
        <f t="shared" si="178"/>
        <v>88160</v>
      </c>
      <c r="Q79" s="13">
        <f t="shared" si="178"/>
        <v>2042.32</v>
      </c>
      <c r="R79" s="13">
        <f t="shared" si="178"/>
        <v>0</v>
      </c>
      <c r="S79" s="13">
        <f t="shared" si="178"/>
        <v>0</v>
      </c>
      <c r="T79" s="13">
        <f t="shared" si="178"/>
        <v>90202.32</v>
      </c>
      <c r="U79" s="68">
        <f t="shared" si="151"/>
        <v>102.11999999999534</v>
      </c>
      <c r="V79" s="268">
        <f t="shared" si="152"/>
        <v>0.99886915859286662</v>
      </c>
      <c r="W79" s="13">
        <f t="shared" si="143"/>
        <v>90304.44</v>
      </c>
      <c r="X79" s="13">
        <f t="shared" si="179"/>
        <v>88160</v>
      </c>
      <c r="Y79" s="13">
        <f t="shared" si="179"/>
        <v>0</v>
      </c>
      <c r="Z79" s="13">
        <f t="shared" si="179"/>
        <v>2042.32</v>
      </c>
      <c r="AA79" s="13">
        <f t="shared" si="179"/>
        <v>0</v>
      </c>
      <c r="AB79" s="13">
        <f t="shared" si="179"/>
        <v>90202.32</v>
      </c>
      <c r="AC79" s="68">
        <f t="shared" si="153"/>
        <v>102.11999999999534</v>
      </c>
      <c r="AD79" s="268">
        <f t="shared" si="154"/>
        <v>0.99886915859286662</v>
      </c>
      <c r="AE79" s="13">
        <f t="shared" si="144"/>
        <v>90304.44</v>
      </c>
      <c r="AF79" s="13">
        <f t="shared" si="180"/>
        <v>0</v>
      </c>
      <c r="AG79" s="13">
        <f t="shared" si="180"/>
        <v>90202.32</v>
      </c>
      <c r="AH79" s="13">
        <f t="shared" si="180"/>
        <v>0</v>
      </c>
      <c r="AI79" s="13">
        <f t="shared" si="180"/>
        <v>0</v>
      </c>
      <c r="AJ79" s="13">
        <f t="shared" si="180"/>
        <v>90202.32</v>
      </c>
      <c r="AK79" s="68">
        <f t="shared" si="155"/>
        <v>102.11999999999534</v>
      </c>
      <c r="AL79" s="268">
        <f t="shared" si="156"/>
        <v>0.99886915859286662</v>
      </c>
      <c r="AM79" s="13">
        <f t="shared" si="145"/>
        <v>90304.44</v>
      </c>
      <c r="AN79" s="13">
        <f t="shared" si="181"/>
        <v>88160</v>
      </c>
      <c r="AO79" s="13">
        <f t="shared" si="181"/>
        <v>2042.32</v>
      </c>
      <c r="AP79" s="13">
        <f t="shared" si="181"/>
        <v>0</v>
      </c>
      <c r="AQ79" s="13">
        <f t="shared" si="181"/>
        <v>0</v>
      </c>
      <c r="AR79" s="13">
        <f t="shared" si="181"/>
        <v>0</v>
      </c>
      <c r="AS79" s="13">
        <f t="shared" si="181"/>
        <v>90202.32</v>
      </c>
      <c r="AT79" s="68">
        <f>AM79-AS79</f>
        <v>102.11999999999534</v>
      </c>
      <c r="AU79" s="268">
        <f t="shared" si="157"/>
        <v>0.99886915859286662</v>
      </c>
      <c r="AV79" s="13">
        <f t="shared" si="146"/>
        <v>90304.44</v>
      </c>
      <c r="AW79" s="13">
        <f t="shared" si="119"/>
        <v>88160</v>
      </c>
      <c r="AX79" s="13">
        <f t="shared" si="119"/>
        <v>2042.32</v>
      </c>
      <c r="AY79" s="13">
        <f t="shared" si="119"/>
        <v>0</v>
      </c>
      <c r="AZ79" s="13">
        <f t="shared" si="119"/>
        <v>0</v>
      </c>
      <c r="BA79" s="13">
        <f t="shared" si="120"/>
        <v>90202.32</v>
      </c>
      <c r="BB79" s="68">
        <f t="shared" si="158"/>
        <v>102.11999999999534</v>
      </c>
      <c r="BC79" s="268">
        <f t="shared" si="159"/>
        <v>0.99886915859286662</v>
      </c>
      <c r="BD79" s="13">
        <f t="shared" si="160"/>
        <v>90304.44</v>
      </c>
      <c r="BE79" s="13">
        <f>SUMIFS(SALIDAS_BIT,FECHA_BIT,"&gt;="&amp;BE$2,FECHA_BIT,"&lt;="&amp;BE$3,CLAVE_BIT,$A79)+SUMIFS(SALIDAS_BOV1,FECHA_BOV1,"&gt;="&amp;BE$2,FECHA_BOV1,"&lt;="&amp;BE$3,CLAVE_BOV1,$A79)+SUMIFS(SALIDAS_BOV2,FECHA_BOV2,"&gt;="&amp;BE$2,FECHA_BOV2,"&lt;="&amp;BE$3,CLAVE_BOV2,$A79)+SUMIFS(SALIDAS_BOV3,FECHA_BOV3,"&gt;="&amp;BE$2,FECHA_BOV3,"&lt;="&amp;BE$3,CLAVE_BOV3,$A79)+SUMIFS(SALIDAS_TC,FECHA_TC,"&gt;="&amp;BE$2,FECHA_TC,"&lt;="&amp;BE$3,CLAVE_TC,$A79)+SUMIFS(SALIDAS_COMB,FECHA_COMB,"&gt;="&amp;BE$2,FECHA_COMB,"&lt;="&amp;BE$3,CLAVE_COMB,$A79)+SUMIFS(SALIDAS_DES,FECHA_DESGLOSEN,"&gt;="&amp;BE$2,FECHA_DESGLOSEN,"&lt;="&amp;BE$3,CLAVE_DESGLOSE,$A79)</f>
        <v>0</v>
      </c>
      <c r="BF79" s="13">
        <f>SUMIFS(SALIDAS_BIT,FECHA_BIT,"&gt;="&amp;BF$2,FECHA_BIT,"&lt;="&amp;BF$3,CLAVE_BIT,$A79)+SUMIFS(SALIDAS_BOV1,FECHA_BOV1,"&gt;="&amp;BF$2,FECHA_BOV1,"&lt;="&amp;BF$3,CLAVE_BOV1,$A79)+SUMIFS(SALIDAS_BOV2,FECHA_BOV2,"&gt;="&amp;BF$2,FECHA_BOV2,"&lt;="&amp;BF$3,CLAVE_BOV2,$A79)+SUMIFS(SALIDAS_BOV3,FECHA_BOV3,"&gt;="&amp;BF$2,FECHA_BOV3,"&lt;="&amp;BF$3,CLAVE_BOV3,$A79)+SUMIFS(SALIDAS_TC,FECHA_TC,"&gt;="&amp;BF$2,FECHA_TC,"&lt;="&amp;BF$3,CLAVE_TC,$A79)+SUMIFS(SALIDAS_COMB,FECHA_COMB,"&gt;="&amp;BF$2,FECHA_COMB,"&lt;="&amp;BF$3,CLAVE_COMB,$A79)+SUMIFS(SALIDAS_DES,FECHA_DESGLOSEN,"&gt;="&amp;BF$2,FECHA_DESGLOSEN,"&lt;="&amp;BF$3,CLAVE_DESGLOSE,$A79)</f>
        <v>2042.32</v>
      </c>
      <c r="BG79" s="13">
        <f>SUMIFS(SALIDAS_BIT,FECHA_BIT,"&gt;="&amp;BG$2,FECHA_BIT,"&lt;="&amp;BG$3,CLAVE_BIT,$A79)+SUMIFS(SALIDAS_BOV1,FECHA_BOV1,"&gt;="&amp;BG$2,FECHA_BOV1,"&lt;="&amp;BG$3,CLAVE_BOV1,$A79)+SUMIFS(SALIDAS_BOV2,FECHA_BOV2,"&gt;="&amp;BG$2,FECHA_BOV2,"&lt;="&amp;BG$3,CLAVE_BOV2,$A79)+SUMIFS(SALIDAS_BOV3,FECHA_BOV3,"&gt;="&amp;BG$2,FECHA_BOV3,"&lt;="&amp;BG$3,CLAVE_BOV3,$A79)+SUMIFS(SALIDAS_TC,FECHA_TC,"&gt;="&amp;BG$2,FECHA_TC,"&lt;="&amp;BG$3,CLAVE_TC,$A79)+SUMIFS(SALIDAS_COMB,FECHA_COMB,"&gt;="&amp;BG$2,FECHA_COMB,"&lt;="&amp;BG$3,CLAVE_COMB,$A79)+SUMIFS(SALIDAS_DES,FECHA_DESGLOSEN,"&gt;="&amp;BG$2,FECHA_DESGLOSEN,"&lt;="&amp;BG$3,CLAVE_DESGLOSE,$A79)</f>
        <v>0</v>
      </c>
      <c r="BH79" s="13">
        <f>SUMIFS(SALIDAS_BIT,FECHA_BIT,"&gt;="&amp;BH$2,FECHA_BIT,"&lt;="&amp;BH$3,CLAVE_BIT,$A79)+SUMIFS(SALIDAS_BOV1,FECHA_BOV1,"&gt;="&amp;BH$2,FECHA_BOV1,"&lt;="&amp;BH$3,CLAVE_BOV1,$A79)+SUMIFS(SALIDAS_BOV2,FECHA_BOV2,"&gt;="&amp;BH$2,FECHA_BOV2,"&lt;="&amp;BH$3,CLAVE_BOV2,$A79)+SUMIFS(SALIDAS_BOV3,FECHA_BOV3,"&gt;="&amp;BH$2,FECHA_BOV3,"&lt;="&amp;BH$3,CLAVE_BOV3,$A79)+SUMIFS(SALIDAS_TC,FECHA_TC,"&gt;="&amp;BH$2,FECHA_TC,"&lt;="&amp;BH$3,CLAVE_TC,$A79)+SUMIFS(SALIDAS_COMB,FECHA_COMB,"&gt;="&amp;BH$2,FECHA_COMB,"&lt;="&amp;BH$3,CLAVE_COMB,$A79)+SUMIFS(SALIDAS_DES,FECHA_DESGLOSEN,"&gt;="&amp;BH$2,FECHA_DESGLOSEN,"&lt;="&amp;BH$3,CLAVE_DESGLOSE,$A79)</f>
        <v>202.04</v>
      </c>
      <c r="BI79" s="13">
        <f t="shared" si="121"/>
        <v>2244.36</v>
      </c>
      <c r="BJ79" s="68">
        <f t="shared" si="161"/>
        <v>88060.08</v>
      </c>
      <c r="BK79" s="268">
        <f t="shared" si="162"/>
        <v>2.4853263028927482E-2</v>
      </c>
      <c r="BL79" s="13">
        <f t="shared" si="163"/>
        <v>90304.44</v>
      </c>
      <c r="BM79" s="13">
        <f>SUMIFS(SALIDAS_BIT,FECHA_BIT,"&gt;="&amp;BM$2,FECHA_BIT,"&lt;="&amp;BM$3,CLAVE_BIT,$A79)+SUMIFS(SALIDAS_BOV1,FECHA_BOV1,"&gt;="&amp;BM$2,FECHA_BOV1,"&lt;="&amp;BM$3,CLAVE_BOV1,$A79)+SUMIFS(SALIDAS_BOV2,FECHA_BOV2,"&gt;="&amp;BM$2,FECHA_BOV2,"&lt;="&amp;BM$3,CLAVE_BOV2,$A79)+SUMIFS(SALIDAS_BOV3,FECHA_BOV3,"&gt;="&amp;BM$2,FECHA_BOV3,"&lt;="&amp;BM$3,CLAVE_BOV3,$A79)+SUMIFS(SALIDAS_TC,FECHA_TC,"&gt;="&amp;BM$2,FECHA_TC,"&lt;="&amp;BM$3,CLAVE_TC,$A79)+SUMIFS(SALIDAS_COMB,FECHA_COMB,"&gt;="&amp;BM$2,FECHA_COMB,"&lt;="&amp;BM$3,CLAVE_COMB,$A79)+SUMIFS(SALIDAS_DES,FECHA_DESGLOSEN,"&gt;="&amp;BM$2,FECHA_DESGLOSEN,"&lt;="&amp;BM$3,CLAVE_DESGLOSE,$A79)</f>
        <v>90404.36</v>
      </c>
      <c r="BN79" s="13">
        <f>SUMIFS(SALIDAS_BIT,FECHA_BIT,"&gt;="&amp;BN$2,FECHA_BIT,"&lt;="&amp;BN$3,CLAVE_BIT,$A79)+SUMIFS(SALIDAS_BOV1,FECHA_BOV1,"&gt;="&amp;BN$2,FECHA_BOV1,"&lt;="&amp;BN$3,CLAVE_BOV1,$A79)+SUMIFS(SALIDAS_BOV2,FECHA_BOV2,"&gt;="&amp;BN$2,FECHA_BOV2,"&lt;="&amp;BN$3,CLAVE_BOV2,$A79)+SUMIFS(SALIDAS_BOV3,FECHA_BOV3,"&gt;="&amp;BN$2,FECHA_BOV3,"&lt;="&amp;BN$3,CLAVE_BOV3,$A79)+SUMIFS(SALIDAS_TC,FECHA_TC,"&gt;="&amp;BN$2,FECHA_TC,"&lt;="&amp;BN$3,CLAVE_TC,$A79)+SUMIFS(SALIDAS_COMB,FECHA_COMB,"&gt;="&amp;BN$2,FECHA_COMB,"&lt;="&amp;BN$3,CLAVE_COMB,$A79)+SUMIFS(SALIDAS_DES,FECHA_DESGLOSEN,"&gt;="&amp;BN$2,FECHA_DESGLOSEN,"&lt;="&amp;BN$3,CLAVE_DESGLOSE,$A79)</f>
        <v>0</v>
      </c>
      <c r="BO79" s="13">
        <f>SUMIFS(SALIDAS_BIT,FECHA_BIT,"&gt;="&amp;BO$2,FECHA_BIT,"&lt;="&amp;BO$3,CLAVE_BIT,$A79)+SUMIFS(SALIDAS_BOV1,FECHA_BOV1,"&gt;="&amp;BO$2,FECHA_BOV1,"&lt;="&amp;BO$3,CLAVE_BOV1,$A79)+SUMIFS(SALIDAS_BOV2,FECHA_BOV2,"&gt;="&amp;BO$2,FECHA_BOV2,"&lt;="&amp;BO$3,CLAVE_BOV2,$A79)+SUMIFS(SALIDAS_BOV3,FECHA_BOV3,"&gt;="&amp;BO$2,FECHA_BOV3,"&lt;="&amp;BO$3,CLAVE_BOV3,$A79)+SUMIFS(SALIDAS_TC,FECHA_TC,"&gt;="&amp;BO$2,FECHA_TC,"&lt;="&amp;BO$3,CLAVE_TC,$A79)+SUMIFS(SALIDAS_COMB,FECHA_COMB,"&gt;="&amp;BO$2,FECHA_COMB,"&lt;="&amp;BO$3,CLAVE_COMB,$A79)+SUMIFS(SALIDAS_DES,FECHA_DESGLOSEN,"&gt;="&amp;BO$2,FECHA_DESGLOSEN,"&lt;="&amp;BO$3,CLAVE_DESGLOSE,$A79)</f>
        <v>0</v>
      </c>
      <c r="BP79" s="13">
        <f>SUMIFS(SALIDAS_BIT,FECHA_BIT,"&gt;="&amp;BP$2,FECHA_BIT,"&lt;="&amp;BP$3,CLAVE_BIT,$A79)+SUMIFS(SALIDAS_BOV1,FECHA_BOV1,"&gt;="&amp;BP$2,FECHA_BOV1,"&lt;="&amp;BP$3,CLAVE_BOV1,$A79)+SUMIFS(SALIDAS_BOV2,FECHA_BOV2,"&gt;="&amp;BP$2,FECHA_BOV2,"&lt;="&amp;BP$3,CLAVE_BOV2,$A79)+SUMIFS(SALIDAS_BOV3,FECHA_BOV3,"&gt;="&amp;BP$2,FECHA_BOV3,"&lt;="&amp;BP$3,CLAVE_BOV3,$A79)+SUMIFS(SALIDAS_TC,FECHA_TC,"&gt;="&amp;BP$2,FECHA_TC,"&lt;="&amp;BP$3,CLAVE_TC,$A79)+SUMIFS(SALIDAS_COMB,FECHA_COMB,"&gt;="&amp;BP$2,FECHA_COMB,"&lt;="&amp;BP$3,CLAVE_COMB,$A79)+SUMIFS(SALIDAS_DES,FECHA_DESGLOSEN,"&gt;="&amp;BP$2,FECHA_DESGLOSEN,"&lt;="&amp;BP$3,CLAVE_DESGLOSE,$A79)</f>
        <v>0</v>
      </c>
      <c r="BQ79" s="13">
        <f>SUMIFS(SALIDAS_BIT,FECHA_BIT,"&gt;="&amp;BQ$2,FECHA_BIT,"&lt;="&amp;BQ$3,CLAVE_BIT,$A79)+SUMIFS(SALIDAS_BOV1,FECHA_BOV1,"&gt;="&amp;BQ$2,FECHA_BOV1,"&lt;="&amp;BQ$3,CLAVE_BOV1,$A79)+SUMIFS(SALIDAS_BOV2,FECHA_BOV2,"&gt;="&amp;BQ$2,FECHA_BOV2,"&lt;="&amp;BQ$3,CLAVE_BOV2,$A79)+SUMIFS(SALIDAS_BOV3,FECHA_BOV3,"&gt;="&amp;BQ$2,FECHA_BOV3,"&lt;="&amp;BQ$3,CLAVE_BOV3,$A79)+SUMIFS(SALIDAS_TC,FECHA_TC,"&gt;="&amp;BQ$2,FECHA_TC,"&lt;="&amp;BQ$3,CLAVE_TC,$A79)+SUMIFS(SALIDAS_COMB,FECHA_COMB,"&gt;="&amp;BQ$2,FECHA_COMB,"&lt;="&amp;BQ$3,CLAVE_COMB,$A79)+SUMIFS(SALIDAS_DES,FECHA_DESGLOSEN,"&gt;="&amp;BQ$2,FECHA_DESGLOSEN,"&lt;="&amp;BQ$3,CLAVE_DESGLOSE,$A79)</f>
        <v>0</v>
      </c>
      <c r="BR79" s="13">
        <f t="shared" si="182"/>
        <v>90404.36</v>
      </c>
      <c r="BS79" s="68">
        <f t="shared" si="164"/>
        <v>-99.919999999998254</v>
      </c>
      <c r="BT79" s="268">
        <f t="shared" si="165"/>
        <v>1.0011064793713353</v>
      </c>
      <c r="BU79" s="13">
        <f t="shared" si="166"/>
        <v>90304.44</v>
      </c>
      <c r="BV79" s="13">
        <f t="shared" si="90"/>
        <v>88160</v>
      </c>
      <c r="BW79" s="13">
        <f t="shared" si="90"/>
        <v>2244.36</v>
      </c>
      <c r="BX79" s="13">
        <f t="shared" si="90"/>
        <v>0</v>
      </c>
      <c r="BY79" s="13">
        <f t="shared" si="90"/>
        <v>0</v>
      </c>
      <c r="BZ79" s="13">
        <f t="shared" si="183"/>
        <v>90404.36</v>
      </c>
      <c r="CA79" s="68">
        <f t="shared" si="167"/>
        <v>-99.919999999998254</v>
      </c>
      <c r="CB79" s="268">
        <f t="shared" si="168"/>
        <v>1.0011064793713353</v>
      </c>
      <c r="CC79" s="13">
        <f t="shared" si="169"/>
        <v>90304.44</v>
      </c>
      <c r="CD79" s="13">
        <f t="shared" si="91"/>
        <v>90404.36</v>
      </c>
      <c r="CE79" s="13">
        <f t="shared" si="91"/>
        <v>0</v>
      </c>
      <c r="CF79" s="13">
        <f t="shared" si="91"/>
        <v>0</v>
      </c>
      <c r="CG79" s="13">
        <f t="shared" si="91"/>
        <v>0</v>
      </c>
      <c r="CH79" s="13">
        <f t="shared" si="184"/>
        <v>90404.36</v>
      </c>
      <c r="CI79" s="68">
        <f t="shared" si="170"/>
        <v>-99.919999999998254</v>
      </c>
      <c r="CJ79" s="268">
        <f t="shared" si="171"/>
        <v>1.0011064793713353</v>
      </c>
      <c r="CK79" s="13">
        <f t="shared" si="172"/>
        <v>90304.44</v>
      </c>
      <c r="CL79" s="13">
        <f t="shared" si="176"/>
        <v>0</v>
      </c>
      <c r="CM79" s="13">
        <f t="shared" si="176"/>
        <v>88160</v>
      </c>
      <c r="CN79" s="13">
        <f t="shared" si="176"/>
        <v>0</v>
      </c>
      <c r="CO79" s="13">
        <f t="shared" si="176"/>
        <v>0</v>
      </c>
      <c r="CP79" s="13">
        <f t="shared" si="176"/>
        <v>0</v>
      </c>
      <c r="CQ79" s="13">
        <f t="shared" si="185"/>
        <v>88160</v>
      </c>
      <c r="CR79" s="68">
        <f t="shared" si="173"/>
        <v>2144.4400000000023</v>
      </c>
      <c r="CS79" s="268">
        <f t="shared" si="174"/>
        <v>0.97625321634240791</v>
      </c>
      <c r="CT79" s="68">
        <f t="shared" si="147"/>
        <v>95723</v>
      </c>
      <c r="CU79" s="13">
        <f>SUMIFS(SALIDAS_BIT,FECHA_BIT,"&gt;="&amp;CU$2,FECHA_BIT,"&lt;="&amp;CU$3,CLAVE_BIT,$A79)+SUMIFS(SALIDAS_BOV1,FECHA_BOV1,"&gt;="&amp;CU$2,FECHA_BOV1,"&lt;="&amp;CU$3,CLAVE_BOV1,$A79)+SUMIFS(SALIDAS_BOV2,FECHA_BOV2,"&gt;="&amp;CU$2,FECHA_BOV2,"&lt;="&amp;CU$3,CLAVE_BOV2,$A79)+SUMIFS(SALIDAS_BOV3,FECHA_BOV3,"&gt;="&amp;CU$2,FECHA_BOV3,"&lt;="&amp;CU$3,CLAVE_BOV3,$A79)+SUMIFS(SALIDAS_TC,FECHA_TC,"&gt;="&amp;CU$2,FECHA_TC,"&lt;="&amp;CU$3,CLAVE_TC,$A79)+SUMIFS(SALIDAS_COMB,FECHA_COMB,"&gt;="&amp;CU$2,FECHA_COMB,"&lt;="&amp;CU$3,CLAVE_COMB,$A79)+SUMIFS(SALIDAS_DES,FECHA_DESGLOSEN,"&gt;="&amp;CU$2,FECHA_DESGLOSEN,"&lt;="&amp;CU$3,CLAVE_DESGLOSE,$A79)</f>
        <v>0</v>
      </c>
      <c r="CV79" s="13">
        <f>SUMIFS(SALIDAS_BIT,FECHA_BIT,"&gt;="&amp;CV$2,FECHA_BIT,"&lt;="&amp;CV$3,CLAVE_BIT,$A79)+SUMIFS(SALIDAS_BOV1,FECHA_BOV1,"&gt;="&amp;CV$2,FECHA_BOV1,"&lt;="&amp;CV$3,CLAVE_BOV1,$A79)+SUMIFS(SALIDAS_BOV2,FECHA_BOV2,"&gt;="&amp;CV$2,FECHA_BOV2,"&lt;="&amp;CV$3,CLAVE_BOV2,$A79)+SUMIFS(SALIDAS_BOV3,FECHA_BOV3,"&gt;="&amp;CV$2,FECHA_BOV3,"&lt;="&amp;CV$3,CLAVE_BOV3,$A79)+SUMIFS(SALIDAS_TC,FECHA_TC,"&gt;="&amp;CV$2,FECHA_TC,"&lt;="&amp;CV$3,CLAVE_TC,$A79)+SUMIFS(SALIDAS_COMB,FECHA_COMB,"&gt;="&amp;CV$2,FECHA_COMB,"&lt;="&amp;CV$3,CLAVE_COMB,$A79)+SUMIFS(SALIDAS_DES,FECHA_DESGLOSEN,"&gt;="&amp;CV$2,FECHA_DESGLOSEN,"&lt;="&amp;CV$3,CLAVE_DESGLOSE,$A79)</f>
        <v>92800</v>
      </c>
      <c r="CW79" s="13">
        <f>SUMIFS(SALIDAS_BIT,FECHA_BIT,"&gt;="&amp;CW$2,FECHA_BIT,"&lt;="&amp;CW$3,CLAVE_BIT,$A79)+SUMIFS(SALIDAS_BOV1,FECHA_BOV1,"&gt;="&amp;CW$2,FECHA_BOV1,"&lt;="&amp;CW$3,CLAVE_BOV1,$A79)+SUMIFS(SALIDAS_BOV2,FECHA_BOV2,"&gt;="&amp;CW$2,FECHA_BOV2,"&lt;="&amp;CW$3,CLAVE_BOV2,$A79)+SUMIFS(SALIDAS_BOV3,FECHA_BOV3,"&gt;="&amp;CW$2,FECHA_BOV3,"&lt;="&amp;CW$3,CLAVE_BOV3,$A79)+SUMIFS(SALIDAS_TC,FECHA_TC,"&gt;="&amp;CW$2,FECHA_TC,"&lt;="&amp;CW$3,CLAVE_TC,$A79)+SUMIFS(SALIDAS_COMB,FECHA_COMB,"&gt;="&amp;CW$2,FECHA_COMB,"&lt;="&amp;CW$3,CLAVE_COMB,$A79)+SUMIFS(SALIDAS_DES,FECHA_DESGLOSEN,"&gt;="&amp;CW$2,FECHA_DESGLOSEN,"&lt;="&amp;CW$3,CLAVE_DESGLOSE,$A79)</f>
        <v>0</v>
      </c>
      <c r="CX79" s="13">
        <f>SUMIFS(SALIDAS_BIT,FECHA_BIT,"&gt;="&amp;CX$2,FECHA_BIT,"&lt;="&amp;CX$3,CLAVE_BIT,$A79)+SUMIFS(SALIDAS_BOV1,FECHA_BOV1,"&gt;="&amp;CX$2,FECHA_BOV1,"&lt;="&amp;CX$3,CLAVE_BOV1,$A79)+SUMIFS(SALIDAS_BOV2,FECHA_BOV2,"&gt;="&amp;CX$2,FECHA_BOV2,"&lt;="&amp;CX$3,CLAVE_BOV2,$A79)+SUMIFS(SALIDAS_BOV3,FECHA_BOV3,"&gt;="&amp;CX$2,FECHA_BOV3,"&lt;="&amp;CX$3,CLAVE_BOV3,$A79)+SUMIFS(SALIDAS_TC,FECHA_TC,"&gt;="&amp;CX$2,FECHA_TC,"&lt;="&amp;CX$3,CLAVE_TC,$A79)+SUMIFS(SALIDAS_COMB,FECHA_COMB,"&gt;="&amp;CX$2,FECHA_COMB,"&lt;="&amp;CX$3,CLAVE_COMB,$A79)+SUMIFS(SALIDAS_DES,FECHA_DESGLOSEN,"&gt;="&amp;CX$2,FECHA_DESGLOSEN,"&lt;="&amp;CX$3,CLAVE_DESGLOSE,$A79)</f>
        <v>4546.2</v>
      </c>
      <c r="CY79" s="13">
        <f>SUMIFS(SALIDAS_BIT,FECHA_BIT,"&gt;="&amp;CY$2,FECHA_BIT,"&lt;="&amp;CY$3,CLAVE_BIT,$A79)+SUMIFS(SALIDAS_BOV1,FECHA_BOV1,"&gt;="&amp;CY$2,FECHA_BOV1,"&lt;="&amp;CY$3,CLAVE_BOV1,$A79)+SUMIFS(SALIDAS_BOV2,FECHA_BOV2,"&gt;="&amp;CY$2,FECHA_BOV2,"&lt;="&amp;CY$3,CLAVE_BOV2,$A79)+SUMIFS(SALIDAS_BOV3,FECHA_BOV3,"&gt;="&amp;CY$2,FECHA_BOV3,"&lt;="&amp;CY$3,CLAVE_BOV3,$A79)+SUMIFS(SALIDAS_TC,FECHA_TC,"&gt;="&amp;CY$2,FECHA_TC,"&lt;="&amp;CY$3,CLAVE_TC,$A79)+SUMIFS(SALIDAS_COMB,FECHA_COMB,"&gt;="&amp;CY$2,FECHA_COMB,"&lt;="&amp;CY$3,CLAVE_COMB,$A79)+SUMIFS(SALIDAS_DES,FECHA_DESGLOSEN,"&gt;="&amp;CY$2,FECHA_DESGLOSEN,"&lt;="&amp;CY$3,CLAVE_DESGLOSE,$A79)</f>
        <v>97346.2</v>
      </c>
      <c r="CZ79" s="68">
        <f t="shared" si="175"/>
        <v>-1623.1999999999971</v>
      </c>
      <c r="DB79" s="17">
        <f>F79+N79+W79+AE79+AM79+AV79+BD79+BL79+BU79+CC79+CK79</f>
        <v>993348.83999999985</v>
      </c>
      <c r="DC79" s="17">
        <f>K79+T79+AB79+AJ79+AS79+BA79+BI79+BR79+BZ79+CH79+CQ79</f>
        <v>814671.35999999999</v>
      </c>
    </row>
    <row r="80" spans="1:107" hidden="1">
      <c r="A80" s="12" t="str">
        <f t="shared" si="148"/>
        <v>FINANZASRENTASA22</v>
      </c>
      <c r="B80" s="12">
        <v>82</v>
      </c>
      <c r="C80" t="s">
        <v>23</v>
      </c>
      <c r="D80" s="12" t="s">
        <v>169</v>
      </c>
      <c r="E80" s="12" t="s">
        <v>104</v>
      </c>
      <c r="F80" s="259">
        <f t="shared" si="141"/>
        <v>90145.37</v>
      </c>
      <c r="G80" s="13">
        <f t="shared" si="177"/>
        <v>0</v>
      </c>
      <c r="H80" s="13">
        <f t="shared" si="177"/>
        <v>0</v>
      </c>
      <c r="I80" s="13">
        <f t="shared" si="177"/>
        <v>0</v>
      </c>
      <c r="J80" s="13">
        <f t="shared" si="177"/>
        <v>94544.58</v>
      </c>
      <c r="K80" s="13">
        <f t="shared" si="177"/>
        <v>94544.58</v>
      </c>
      <c r="L80" s="68">
        <f t="shared" si="149"/>
        <v>-4399.2100000000064</v>
      </c>
      <c r="M80" s="268">
        <f t="shared" si="150"/>
        <v>1.0488012861891853</v>
      </c>
      <c r="N80" s="13">
        <f t="shared" si="142"/>
        <v>90145.37</v>
      </c>
      <c r="O80" s="13">
        <f t="shared" si="178"/>
        <v>0</v>
      </c>
      <c r="P80" s="13">
        <f t="shared" si="178"/>
        <v>0</v>
      </c>
      <c r="Q80" s="13">
        <f t="shared" si="178"/>
        <v>94544.58</v>
      </c>
      <c r="R80" s="13">
        <f t="shared" si="178"/>
        <v>0</v>
      </c>
      <c r="S80" s="13">
        <f t="shared" si="178"/>
        <v>0</v>
      </c>
      <c r="T80" s="13">
        <f t="shared" si="178"/>
        <v>94544.58</v>
      </c>
      <c r="U80" s="68">
        <f t="shared" si="151"/>
        <v>-4399.2100000000064</v>
      </c>
      <c r="V80" s="268">
        <f t="shared" si="152"/>
        <v>1.0488012861891853</v>
      </c>
      <c r="W80" s="13">
        <f t="shared" si="143"/>
        <v>90145.37</v>
      </c>
      <c r="X80" s="13">
        <f t="shared" si="179"/>
        <v>0</v>
      </c>
      <c r="Y80" s="13">
        <f t="shared" si="179"/>
        <v>50000</v>
      </c>
      <c r="Z80" s="13">
        <f t="shared" si="179"/>
        <v>45000</v>
      </c>
      <c r="AA80" s="13">
        <f t="shared" si="179"/>
        <v>44544.58</v>
      </c>
      <c r="AB80" s="13">
        <f t="shared" si="179"/>
        <v>139544.58000000002</v>
      </c>
      <c r="AC80" s="68">
        <f t="shared" si="153"/>
        <v>-49399.210000000021</v>
      </c>
      <c r="AD80" s="268">
        <f t="shared" si="154"/>
        <v>1.5479949774458746</v>
      </c>
      <c r="AE80" s="13">
        <f t="shared" si="144"/>
        <v>90145.37</v>
      </c>
      <c r="AF80" s="13">
        <f t="shared" si="180"/>
        <v>0</v>
      </c>
      <c r="AG80" s="13">
        <f t="shared" si="180"/>
        <v>200000</v>
      </c>
      <c r="AH80" s="13">
        <f t="shared" si="180"/>
        <v>0</v>
      </c>
      <c r="AI80" s="13">
        <f t="shared" si="180"/>
        <v>44544.58</v>
      </c>
      <c r="AJ80" s="13">
        <f t="shared" si="180"/>
        <v>244544.58000000002</v>
      </c>
      <c r="AK80" s="68">
        <f t="shared" si="155"/>
        <v>-154399.21000000002</v>
      </c>
      <c r="AL80" s="268">
        <f t="shared" si="156"/>
        <v>2.7127802570448156</v>
      </c>
      <c r="AM80" s="13">
        <f t="shared" si="145"/>
        <v>90145.37</v>
      </c>
      <c r="AN80" s="13">
        <f t="shared" si="181"/>
        <v>0</v>
      </c>
      <c r="AO80" s="13">
        <f t="shared" si="181"/>
        <v>0</v>
      </c>
      <c r="AP80" s="13">
        <f t="shared" si="181"/>
        <v>89544.58</v>
      </c>
      <c r="AQ80" s="13">
        <f t="shared" si="181"/>
        <v>0</v>
      </c>
      <c r="AR80" s="13">
        <f t="shared" si="181"/>
        <v>0</v>
      </c>
      <c r="AS80" s="13">
        <f t="shared" si="181"/>
        <v>89544.58</v>
      </c>
      <c r="AT80" s="68">
        <f>AM80-AS80</f>
        <v>600.7899999999936</v>
      </c>
      <c r="AU80" s="268">
        <f t="shared" si="157"/>
        <v>0.99333532049399775</v>
      </c>
      <c r="AV80" s="13">
        <f t="shared" si="146"/>
        <v>90145.37</v>
      </c>
      <c r="AW80" s="13">
        <f t="shared" si="119"/>
        <v>45000</v>
      </c>
      <c r="AX80" s="13">
        <f t="shared" si="119"/>
        <v>0</v>
      </c>
      <c r="AY80" s="13">
        <f t="shared" si="119"/>
        <v>45000</v>
      </c>
      <c r="AZ80" s="13">
        <f t="shared" si="119"/>
        <v>44544.58</v>
      </c>
      <c r="BA80" s="13">
        <f t="shared" si="120"/>
        <v>134544.58000000002</v>
      </c>
      <c r="BB80" s="68">
        <f t="shared" si="158"/>
        <v>-44399.210000000021</v>
      </c>
      <c r="BC80" s="268">
        <f t="shared" si="159"/>
        <v>1.4925290117506869</v>
      </c>
      <c r="BD80" s="13">
        <f t="shared" si="160"/>
        <v>90145.37</v>
      </c>
      <c r="BE80" s="13">
        <f>SUMIFS(SALIDAS_BIT,FECHA_BIT,"&gt;="&amp;BE$2,FECHA_BIT,"&lt;="&amp;BE$3,CLAVE_BIT,$A80)+SUMIFS(SALIDAS_BOV1,FECHA_BOV1,"&gt;="&amp;BE$2,FECHA_BOV1,"&lt;="&amp;BE$3,CLAVE_BOV1,$A80)+SUMIFS(SALIDAS_BOV2,FECHA_BOV2,"&gt;="&amp;BE$2,FECHA_BOV2,"&lt;="&amp;BE$3,CLAVE_BOV2,$A80)+SUMIFS(SALIDAS_BOV3,FECHA_BOV3,"&gt;="&amp;BE$2,FECHA_BOV3,"&lt;="&amp;BE$3,CLAVE_BOV3,$A80)+SUMIFS(SALIDAS_TC,FECHA_TC,"&gt;="&amp;BE$2,FECHA_TC,"&lt;="&amp;BE$3,CLAVE_TC,$A80)+SUMIFS(SALIDAS_COMB,FECHA_COMB,"&gt;="&amp;BE$2,FECHA_COMB,"&lt;="&amp;BE$3,CLAVE_COMB,$A80)+SUMIFS(SALIDAS_DES,FECHA_DESGLOSEN,"&gt;="&amp;BE$2,FECHA_DESGLOSEN,"&lt;="&amp;BE$3,CLAVE_DESGLOSE,$A80)</f>
        <v>50000</v>
      </c>
      <c r="BF80" s="13">
        <f>SUMIFS(SALIDAS_BIT,FECHA_BIT,"&gt;="&amp;BF$2,FECHA_BIT,"&lt;="&amp;BF$3,CLAVE_BIT,$A80)+SUMIFS(SALIDAS_BOV1,FECHA_BOV1,"&gt;="&amp;BF$2,FECHA_BOV1,"&lt;="&amp;BF$3,CLAVE_BOV1,$A80)+SUMIFS(SALIDAS_BOV2,FECHA_BOV2,"&gt;="&amp;BF$2,FECHA_BOV2,"&lt;="&amp;BF$3,CLAVE_BOV2,$A80)+SUMIFS(SALIDAS_BOV3,FECHA_BOV3,"&gt;="&amp;BF$2,FECHA_BOV3,"&lt;="&amp;BF$3,CLAVE_BOV3,$A80)+SUMIFS(SALIDAS_TC,FECHA_TC,"&gt;="&amp;BF$2,FECHA_TC,"&lt;="&amp;BF$3,CLAVE_TC,$A80)+SUMIFS(SALIDAS_COMB,FECHA_COMB,"&gt;="&amp;BF$2,FECHA_COMB,"&lt;="&amp;BF$3,CLAVE_COMB,$A80)+SUMIFS(SALIDAS_DES,FECHA_DESGLOSEN,"&gt;="&amp;BF$2,FECHA_DESGLOSEN,"&lt;="&amp;BF$3,CLAVE_DESGLOSE,$A80)</f>
        <v>0</v>
      </c>
      <c r="BG80" s="13">
        <f>SUMIFS(SALIDAS_BIT,FECHA_BIT,"&gt;="&amp;BG$2,FECHA_BIT,"&lt;="&amp;BG$3,CLAVE_BIT,$A80)+SUMIFS(SALIDAS_BOV1,FECHA_BOV1,"&gt;="&amp;BG$2,FECHA_BOV1,"&lt;="&amp;BG$3,CLAVE_BOV1,$A80)+SUMIFS(SALIDAS_BOV2,FECHA_BOV2,"&gt;="&amp;BG$2,FECHA_BOV2,"&lt;="&amp;BG$3,CLAVE_BOV2,$A80)+SUMIFS(SALIDAS_BOV3,FECHA_BOV3,"&gt;="&amp;BG$2,FECHA_BOV3,"&lt;="&amp;BG$3,CLAVE_BOV3,$A80)+SUMIFS(SALIDAS_TC,FECHA_TC,"&gt;="&amp;BG$2,FECHA_TC,"&lt;="&amp;BG$3,CLAVE_TC,$A80)+SUMIFS(SALIDAS_COMB,FECHA_COMB,"&gt;="&amp;BG$2,FECHA_COMB,"&lt;="&amp;BG$3,CLAVE_COMB,$A80)+SUMIFS(SALIDAS_DES,FECHA_DESGLOSEN,"&gt;="&amp;BG$2,FECHA_DESGLOSEN,"&lt;="&amp;BG$3,CLAVE_DESGLOSE,$A80)</f>
        <v>0</v>
      </c>
      <c r="BH80" s="13">
        <f>SUMIFS(SALIDAS_BIT,FECHA_BIT,"&gt;="&amp;BH$2,FECHA_BIT,"&lt;="&amp;BH$3,CLAVE_BIT,$A80)+SUMIFS(SALIDAS_BOV1,FECHA_BOV1,"&gt;="&amp;BH$2,FECHA_BOV1,"&lt;="&amp;BH$3,CLAVE_BOV1,$A80)+SUMIFS(SALIDAS_BOV2,FECHA_BOV2,"&gt;="&amp;BH$2,FECHA_BOV2,"&lt;="&amp;BH$3,CLAVE_BOV2,$A80)+SUMIFS(SALIDAS_BOV3,FECHA_BOV3,"&gt;="&amp;BH$2,FECHA_BOV3,"&lt;="&amp;BH$3,CLAVE_BOV3,$A80)+SUMIFS(SALIDAS_TC,FECHA_TC,"&gt;="&amp;BH$2,FECHA_TC,"&lt;="&amp;BH$3,CLAVE_TC,$A80)+SUMIFS(SALIDAS_COMB,FECHA_COMB,"&gt;="&amp;BH$2,FECHA_COMB,"&lt;="&amp;BH$3,CLAVE_COMB,$A80)+SUMIFS(SALIDAS_DES,FECHA_DESGLOSEN,"&gt;="&amp;BH$2,FECHA_DESGLOSEN,"&lt;="&amp;BH$3,CLAVE_DESGLOSE,$A80)</f>
        <v>89544.58</v>
      </c>
      <c r="BI80" s="13">
        <f t="shared" si="121"/>
        <v>139544.58000000002</v>
      </c>
      <c r="BJ80" s="68">
        <f t="shared" si="161"/>
        <v>-49399.210000000021</v>
      </c>
      <c r="BK80" s="268">
        <f t="shared" si="162"/>
        <v>1.5479949774458746</v>
      </c>
      <c r="BL80" s="13">
        <f t="shared" si="163"/>
        <v>90145.37</v>
      </c>
      <c r="BM80" s="13">
        <f>SUMIFS(SALIDAS_BIT,FECHA_BIT,"&gt;="&amp;BM$2,FECHA_BIT,"&lt;="&amp;BM$3,CLAVE_BIT,$A80)+SUMIFS(SALIDAS_BOV1,FECHA_BOV1,"&gt;="&amp;BM$2,FECHA_BOV1,"&lt;="&amp;BM$3,CLAVE_BOV1,$A80)+SUMIFS(SALIDAS_BOV2,FECHA_BOV2,"&gt;="&amp;BM$2,FECHA_BOV2,"&lt;="&amp;BM$3,CLAVE_BOV2,$A80)+SUMIFS(SALIDAS_BOV3,FECHA_BOV3,"&gt;="&amp;BM$2,FECHA_BOV3,"&lt;="&amp;BM$3,CLAVE_BOV3,$A80)+SUMIFS(SALIDAS_TC,FECHA_TC,"&gt;="&amp;BM$2,FECHA_TC,"&lt;="&amp;BM$3,CLAVE_TC,$A80)+SUMIFS(SALIDAS_COMB,FECHA_COMB,"&gt;="&amp;BM$2,FECHA_COMB,"&lt;="&amp;BM$3,CLAVE_COMB,$A80)+SUMIFS(SALIDAS_DES,FECHA_DESGLOSEN,"&gt;="&amp;BM$2,FECHA_DESGLOSEN,"&lt;="&amp;BM$3,CLAVE_DESGLOSE,$A80)</f>
        <v>0</v>
      </c>
      <c r="BN80" s="13">
        <f>SUMIFS(SALIDAS_BIT,FECHA_BIT,"&gt;="&amp;BN$2,FECHA_BIT,"&lt;="&amp;BN$3,CLAVE_BIT,$A80)+SUMIFS(SALIDAS_BOV1,FECHA_BOV1,"&gt;="&amp;BN$2,FECHA_BOV1,"&lt;="&amp;BN$3,CLAVE_BOV1,$A80)+SUMIFS(SALIDAS_BOV2,FECHA_BOV2,"&gt;="&amp;BN$2,FECHA_BOV2,"&lt;="&amp;BN$3,CLAVE_BOV2,$A80)+SUMIFS(SALIDAS_BOV3,FECHA_BOV3,"&gt;="&amp;BN$2,FECHA_BOV3,"&lt;="&amp;BN$3,CLAVE_BOV3,$A80)+SUMIFS(SALIDAS_TC,FECHA_TC,"&gt;="&amp;BN$2,FECHA_TC,"&lt;="&amp;BN$3,CLAVE_TC,$A80)+SUMIFS(SALIDAS_COMB,FECHA_COMB,"&gt;="&amp;BN$2,FECHA_COMB,"&lt;="&amp;BN$3,CLAVE_COMB,$A80)+SUMIFS(SALIDAS_DES,FECHA_DESGLOSEN,"&gt;="&amp;BN$2,FECHA_DESGLOSEN,"&lt;="&amp;BN$3,CLAVE_DESGLOSE,$A80)</f>
        <v>0</v>
      </c>
      <c r="BO80" s="13">
        <f>SUMIFS(SALIDAS_BIT,FECHA_BIT,"&gt;="&amp;BO$2,FECHA_BIT,"&lt;="&amp;BO$3,CLAVE_BIT,$A80)+SUMIFS(SALIDAS_BOV1,FECHA_BOV1,"&gt;="&amp;BO$2,FECHA_BOV1,"&lt;="&amp;BO$3,CLAVE_BOV1,$A80)+SUMIFS(SALIDAS_BOV2,FECHA_BOV2,"&gt;="&amp;BO$2,FECHA_BOV2,"&lt;="&amp;BO$3,CLAVE_BOV2,$A80)+SUMIFS(SALIDAS_BOV3,FECHA_BOV3,"&gt;="&amp;BO$2,FECHA_BOV3,"&lt;="&amp;BO$3,CLAVE_BOV3,$A80)+SUMIFS(SALIDAS_TC,FECHA_TC,"&gt;="&amp;BO$2,FECHA_TC,"&lt;="&amp;BO$3,CLAVE_TC,$A80)+SUMIFS(SALIDAS_COMB,FECHA_COMB,"&gt;="&amp;BO$2,FECHA_COMB,"&lt;="&amp;BO$3,CLAVE_COMB,$A80)+SUMIFS(SALIDAS_DES,FECHA_DESGLOSEN,"&gt;="&amp;BO$2,FECHA_DESGLOSEN,"&lt;="&amp;BO$3,CLAVE_DESGLOSE,$A80)</f>
        <v>0</v>
      </c>
      <c r="BP80" s="13">
        <f>SUMIFS(SALIDAS_BIT,FECHA_BIT,"&gt;="&amp;BP$2,FECHA_BIT,"&lt;="&amp;BP$3,CLAVE_BIT,$A80)+SUMIFS(SALIDAS_BOV1,FECHA_BOV1,"&gt;="&amp;BP$2,FECHA_BOV1,"&lt;="&amp;BP$3,CLAVE_BOV1,$A80)+SUMIFS(SALIDAS_BOV2,FECHA_BOV2,"&gt;="&amp;BP$2,FECHA_BOV2,"&lt;="&amp;BP$3,CLAVE_BOV2,$A80)+SUMIFS(SALIDAS_BOV3,FECHA_BOV3,"&gt;="&amp;BP$2,FECHA_BOV3,"&lt;="&amp;BP$3,CLAVE_BOV3,$A80)+SUMIFS(SALIDAS_TC,FECHA_TC,"&gt;="&amp;BP$2,FECHA_TC,"&lt;="&amp;BP$3,CLAVE_TC,$A80)+SUMIFS(SALIDAS_COMB,FECHA_COMB,"&gt;="&amp;BP$2,FECHA_COMB,"&lt;="&amp;BP$3,CLAVE_COMB,$A80)+SUMIFS(SALIDAS_DES,FECHA_DESGLOSEN,"&gt;="&amp;BP$2,FECHA_DESGLOSEN,"&lt;="&amp;BP$3,CLAVE_DESGLOSE,$A80)</f>
        <v>0</v>
      </c>
      <c r="BQ80" s="13">
        <f>SUMIFS(SALIDAS_BIT,FECHA_BIT,"&gt;="&amp;BQ$2,FECHA_BIT,"&lt;="&amp;BQ$3,CLAVE_BIT,$A80)+SUMIFS(SALIDAS_BOV1,FECHA_BOV1,"&gt;="&amp;BQ$2,FECHA_BOV1,"&lt;="&amp;BQ$3,CLAVE_BOV1,$A80)+SUMIFS(SALIDAS_BOV2,FECHA_BOV2,"&gt;="&amp;BQ$2,FECHA_BOV2,"&lt;="&amp;BQ$3,CLAVE_BOV2,$A80)+SUMIFS(SALIDAS_BOV3,FECHA_BOV3,"&gt;="&amp;BQ$2,FECHA_BOV3,"&lt;="&amp;BQ$3,CLAVE_BOV3,$A80)+SUMIFS(SALIDAS_TC,FECHA_TC,"&gt;="&amp;BQ$2,FECHA_TC,"&lt;="&amp;BQ$3,CLAVE_TC,$A80)+SUMIFS(SALIDAS_COMB,FECHA_COMB,"&gt;="&amp;BQ$2,FECHA_COMB,"&lt;="&amp;BQ$3,CLAVE_COMB,$A80)+SUMIFS(SALIDAS_DES,FECHA_DESGLOSEN,"&gt;="&amp;BQ$2,FECHA_DESGLOSEN,"&lt;="&amp;BQ$3,CLAVE_DESGLOSE,$A80)</f>
        <v>89544.58</v>
      </c>
      <c r="BR80" s="13">
        <f t="shared" si="182"/>
        <v>89544.58</v>
      </c>
      <c r="BS80" s="68">
        <f t="shared" si="164"/>
        <v>600.7899999999936</v>
      </c>
      <c r="BT80" s="268">
        <f t="shared" si="165"/>
        <v>0.99333532049399775</v>
      </c>
      <c r="BU80" s="13">
        <f t="shared" si="166"/>
        <v>90145.37</v>
      </c>
      <c r="BV80" s="13">
        <f t="shared" si="90"/>
        <v>50000</v>
      </c>
      <c r="BW80" s="13">
        <f t="shared" si="90"/>
        <v>0</v>
      </c>
      <c r="BX80" s="13">
        <f t="shared" si="90"/>
        <v>0</v>
      </c>
      <c r="BY80" s="13">
        <f t="shared" si="90"/>
        <v>44594.58</v>
      </c>
      <c r="BZ80" s="13">
        <f t="shared" si="183"/>
        <v>94594.58</v>
      </c>
      <c r="CA80" s="68">
        <f t="shared" si="167"/>
        <v>-4449.2100000000064</v>
      </c>
      <c r="CB80" s="268">
        <f t="shared" si="168"/>
        <v>1.0493559458461372</v>
      </c>
      <c r="CC80" s="13">
        <f t="shared" si="169"/>
        <v>90145.37</v>
      </c>
      <c r="CD80" s="13">
        <f t="shared" si="91"/>
        <v>50000</v>
      </c>
      <c r="CE80" s="13">
        <f t="shared" si="91"/>
        <v>0</v>
      </c>
      <c r="CF80" s="13">
        <f t="shared" si="91"/>
        <v>0</v>
      </c>
      <c r="CG80" s="13">
        <f t="shared" si="91"/>
        <v>44544.58</v>
      </c>
      <c r="CH80" s="13">
        <f t="shared" si="184"/>
        <v>94544.58</v>
      </c>
      <c r="CI80" s="68">
        <f t="shared" si="170"/>
        <v>-4399.2100000000064</v>
      </c>
      <c r="CJ80" s="268">
        <f t="shared" si="171"/>
        <v>1.0488012861891853</v>
      </c>
      <c r="CK80" s="13">
        <f t="shared" si="172"/>
        <v>90145.37</v>
      </c>
      <c r="CL80" s="13">
        <f t="shared" si="176"/>
        <v>0</v>
      </c>
      <c r="CM80" s="13">
        <f t="shared" si="176"/>
        <v>94544.58</v>
      </c>
      <c r="CN80" s="13">
        <f t="shared" si="176"/>
        <v>0</v>
      </c>
      <c r="CO80" s="13">
        <f t="shared" si="176"/>
        <v>0</v>
      </c>
      <c r="CP80" s="13">
        <f t="shared" si="176"/>
        <v>0</v>
      </c>
      <c r="CQ80" s="13">
        <f t="shared" si="185"/>
        <v>94544.58</v>
      </c>
      <c r="CR80" s="68">
        <f t="shared" si="173"/>
        <v>-4399.2100000000064</v>
      </c>
      <c r="CS80" s="268">
        <f t="shared" si="174"/>
        <v>1.0488012861891853</v>
      </c>
      <c r="CT80" s="68">
        <f t="shared" si="147"/>
        <v>95554</v>
      </c>
      <c r="CU80" s="13">
        <f>SUMIFS(SALIDAS_BIT,FECHA_BIT,"&gt;="&amp;CU$2,FECHA_BIT,"&lt;="&amp;CU$3,CLAVE_BIT,$A80)+SUMIFS(SALIDAS_BOV1,FECHA_BOV1,"&gt;="&amp;CU$2,FECHA_BOV1,"&lt;="&amp;CU$3,CLAVE_BOV1,$A80)+SUMIFS(SALIDAS_BOV2,FECHA_BOV2,"&gt;="&amp;CU$2,FECHA_BOV2,"&lt;="&amp;CU$3,CLAVE_BOV2,$A80)+SUMIFS(SALIDAS_BOV3,FECHA_BOV3,"&gt;="&amp;CU$2,FECHA_BOV3,"&lt;="&amp;CU$3,CLAVE_BOV3,$A80)+SUMIFS(SALIDAS_TC,FECHA_TC,"&gt;="&amp;CU$2,FECHA_TC,"&lt;="&amp;CU$3,CLAVE_TC,$A80)+SUMIFS(SALIDAS_COMB,FECHA_COMB,"&gt;="&amp;CU$2,FECHA_COMB,"&lt;="&amp;CU$3,CLAVE_COMB,$A80)+SUMIFS(SALIDAS_DES,FECHA_DESGLOSEN,"&gt;="&amp;CU$2,FECHA_DESGLOSEN,"&lt;="&amp;CU$3,CLAVE_DESGLOSE,$A80)</f>
        <v>0</v>
      </c>
      <c r="CV80" s="13">
        <f>SUMIFS(SALIDAS_BIT,FECHA_BIT,"&gt;="&amp;CV$2,FECHA_BIT,"&lt;="&amp;CV$3,CLAVE_BIT,$A80)+SUMIFS(SALIDAS_BOV1,FECHA_BOV1,"&gt;="&amp;CV$2,FECHA_BOV1,"&lt;="&amp;CV$3,CLAVE_BOV1,$A80)+SUMIFS(SALIDAS_BOV2,FECHA_BOV2,"&gt;="&amp;CV$2,FECHA_BOV2,"&lt;="&amp;CV$3,CLAVE_BOV2,$A80)+SUMIFS(SALIDAS_BOV3,FECHA_BOV3,"&gt;="&amp;CV$2,FECHA_BOV3,"&lt;="&amp;CV$3,CLAVE_BOV3,$A80)+SUMIFS(SALIDAS_TC,FECHA_TC,"&gt;="&amp;CV$2,FECHA_TC,"&lt;="&amp;CV$3,CLAVE_TC,$A80)+SUMIFS(SALIDAS_COMB,FECHA_COMB,"&gt;="&amp;CV$2,FECHA_COMB,"&lt;="&amp;CV$3,CLAVE_COMB,$A80)+SUMIFS(SALIDAS_DES,FECHA_DESGLOSEN,"&gt;="&amp;CV$2,FECHA_DESGLOSEN,"&lt;="&amp;CV$3,CLAVE_DESGLOSE,$A80)</f>
        <v>0</v>
      </c>
      <c r="CW80" s="13">
        <f>SUMIFS(SALIDAS_BIT,FECHA_BIT,"&gt;="&amp;CW$2,FECHA_BIT,"&lt;="&amp;CW$3,CLAVE_BIT,$A80)+SUMIFS(SALIDAS_BOV1,FECHA_BOV1,"&gt;="&amp;CW$2,FECHA_BOV1,"&lt;="&amp;CW$3,CLAVE_BOV1,$A80)+SUMIFS(SALIDAS_BOV2,FECHA_BOV2,"&gt;="&amp;CW$2,FECHA_BOV2,"&lt;="&amp;CW$3,CLAVE_BOV2,$A80)+SUMIFS(SALIDAS_BOV3,FECHA_BOV3,"&gt;="&amp;CW$2,FECHA_BOV3,"&lt;="&amp;CW$3,CLAVE_BOV3,$A80)+SUMIFS(SALIDAS_TC,FECHA_TC,"&gt;="&amp;CW$2,FECHA_TC,"&lt;="&amp;CW$3,CLAVE_TC,$A80)+SUMIFS(SALIDAS_COMB,FECHA_COMB,"&gt;="&amp;CW$2,FECHA_COMB,"&lt;="&amp;CW$3,CLAVE_COMB,$A80)+SUMIFS(SALIDAS_DES,FECHA_DESGLOSEN,"&gt;="&amp;CW$2,FECHA_DESGLOSEN,"&lt;="&amp;CW$3,CLAVE_DESGLOSE,$A80)</f>
        <v>0</v>
      </c>
      <c r="CX80" s="13">
        <f>SUMIFS(SALIDAS_BIT,FECHA_BIT,"&gt;="&amp;CX$2,FECHA_BIT,"&lt;="&amp;CX$3,CLAVE_BIT,$A80)+SUMIFS(SALIDAS_BOV1,FECHA_BOV1,"&gt;="&amp;CX$2,FECHA_BOV1,"&lt;="&amp;CX$3,CLAVE_BOV1,$A80)+SUMIFS(SALIDAS_BOV2,FECHA_BOV2,"&gt;="&amp;CX$2,FECHA_BOV2,"&lt;="&amp;CX$3,CLAVE_BOV2,$A80)+SUMIFS(SALIDAS_BOV3,FECHA_BOV3,"&gt;="&amp;CX$2,FECHA_BOV3,"&lt;="&amp;CX$3,CLAVE_BOV3,$A80)+SUMIFS(SALIDAS_TC,FECHA_TC,"&gt;="&amp;CX$2,FECHA_TC,"&lt;="&amp;CX$3,CLAVE_TC,$A80)+SUMIFS(SALIDAS_COMB,FECHA_COMB,"&gt;="&amp;CX$2,FECHA_COMB,"&lt;="&amp;CX$3,CLAVE_COMB,$A80)+SUMIFS(SALIDAS_DES,FECHA_DESGLOSEN,"&gt;="&amp;CX$2,FECHA_DESGLOSEN,"&lt;="&amp;CX$3,CLAVE_DESGLOSE,$A80)</f>
        <v>92916.88</v>
      </c>
      <c r="CY80" s="13">
        <f>SUMIFS(SALIDAS_BIT,FECHA_BIT,"&gt;="&amp;CY$2,FECHA_BIT,"&lt;="&amp;CY$3,CLAVE_BIT,$A80)+SUMIFS(SALIDAS_BOV1,FECHA_BOV1,"&gt;="&amp;CY$2,FECHA_BOV1,"&lt;="&amp;CY$3,CLAVE_BOV1,$A80)+SUMIFS(SALIDAS_BOV2,FECHA_BOV2,"&gt;="&amp;CY$2,FECHA_BOV2,"&lt;="&amp;CY$3,CLAVE_BOV2,$A80)+SUMIFS(SALIDAS_BOV3,FECHA_BOV3,"&gt;="&amp;CY$2,FECHA_BOV3,"&lt;="&amp;CY$3,CLAVE_BOV3,$A80)+SUMIFS(SALIDAS_TC,FECHA_TC,"&gt;="&amp;CY$2,FECHA_TC,"&lt;="&amp;CY$3,CLAVE_TC,$A80)+SUMIFS(SALIDAS_COMB,FECHA_COMB,"&gt;="&amp;CY$2,FECHA_COMB,"&lt;="&amp;CY$3,CLAVE_COMB,$A80)+SUMIFS(SALIDAS_DES,FECHA_DESGLOSEN,"&gt;="&amp;CY$2,FECHA_DESGLOSEN,"&lt;="&amp;CY$3,CLAVE_DESGLOSE,$A80)</f>
        <v>92916.88</v>
      </c>
      <c r="CZ80" s="68">
        <f t="shared" si="175"/>
        <v>2637.1199999999953</v>
      </c>
      <c r="DB80" s="17">
        <f>F80+N80+W80+AE80+AM80+AV80+BD80+BL80+BU80+CC80+CK80</f>
        <v>991599.07</v>
      </c>
      <c r="DC80" s="17">
        <f>K80+T80+AB80+AJ80+AS80+BA80+BI80+BR80+BZ80+CH80+CQ80</f>
        <v>1310040.3800000001</v>
      </c>
    </row>
    <row r="81" spans="1:107" hidden="1">
      <c r="A81" s="12" t="str">
        <f t="shared" si="148"/>
        <v>FINANZASRENTASA23</v>
      </c>
      <c r="B81" s="12">
        <v>83</v>
      </c>
      <c r="C81" t="s">
        <v>23</v>
      </c>
      <c r="D81" s="12" t="s">
        <v>169</v>
      </c>
      <c r="E81" s="12" t="s">
        <v>105</v>
      </c>
      <c r="F81" s="259">
        <f t="shared" si="141"/>
        <v>9576.4</v>
      </c>
      <c r="G81" s="13">
        <f t="shared" si="177"/>
        <v>0</v>
      </c>
      <c r="H81" s="13">
        <f t="shared" si="177"/>
        <v>0</v>
      </c>
      <c r="I81" s="13">
        <f t="shared" si="177"/>
        <v>9120.3799999999992</v>
      </c>
      <c r="J81" s="13">
        <f t="shared" si="177"/>
        <v>0</v>
      </c>
      <c r="K81" s="13">
        <f t="shared" si="177"/>
        <v>9120.3799999999992</v>
      </c>
      <c r="L81" s="68">
        <f t="shared" si="149"/>
        <v>456.02000000000044</v>
      </c>
      <c r="M81" s="268">
        <f t="shared" si="150"/>
        <v>0.95238085293011987</v>
      </c>
      <c r="N81" s="13">
        <f t="shared" si="142"/>
        <v>9576.4</v>
      </c>
      <c r="O81" s="13">
        <f t="shared" si="178"/>
        <v>0</v>
      </c>
      <c r="P81" s="13">
        <f t="shared" si="178"/>
        <v>0</v>
      </c>
      <c r="Q81" s="13">
        <f t="shared" si="178"/>
        <v>9120.3799999999992</v>
      </c>
      <c r="R81" s="13">
        <f t="shared" si="178"/>
        <v>0</v>
      </c>
      <c r="S81" s="13">
        <f t="shared" si="178"/>
        <v>0</v>
      </c>
      <c r="T81" s="13">
        <f t="shared" si="178"/>
        <v>9120.3799999999992</v>
      </c>
      <c r="U81" s="68">
        <f t="shared" si="151"/>
        <v>456.02000000000044</v>
      </c>
      <c r="V81" s="268">
        <f t="shared" si="152"/>
        <v>0.95238085293011987</v>
      </c>
      <c r="W81" s="13">
        <f t="shared" si="143"/>
        <v>9576.4</v>
      </c>
      <c r="X81" s="13">
        <f t="shared" si="179"/>
        <v>0</v>
      </c>
      <c r="Y81" s="13">
        <f t="shared" si="179"/>
        <v>0</v>
      </c>
      <c r="Z81" s="13">
        <f t="shared" si="179"/>
        <v>0</v>
      </c>
      <c r="AA81" s="13">
        <f t="shared" si="179"/>
        <v>13768.28</v>
      </c>
      <c r="AB81" s="13">
        <f t="shared" si="179"/>
        <v>13768.28</v>
      </c>
      <c r="AC81" s="68">
        <f t="shared" si="153"/>
        <v>-4191.880000000001</v>
      </c>
      <c r="AD81" s="268">
        <f t="shared" si="154"/>
        <v>1.4377302535399525</v>
      </c>
      <c r="AE81" s="13">
        <f t="shared" si="144"/>
        <v>9576.4</v>
      </c>
      <c r="AF81" s="13">
        <f t="shared" si="180"/>
        <v>0</v>
      </c>
      <c r="AG81" s="13">
        <f t="shared" si="180"/>
        <v>10282.36</v>
      </c>
      <c r="AH81" s="13">
        <f t="shared" si="180"/>
        <v>0</v>
      </c>
      <c r="AI81" s="13">
        <f t="shared" si="180"/>
        <v>3072.48</v>
      </c>
      <c r="AJ81" s="13">
        <f t="shared" si="180"/>
        <v>13354.84</v>
      </c>
      <c r="AK81" s="68">
        <f t="shared" si="155"/>
        <v>-3778.4400000000005</v>
      </c>
      <c r="AL81" s="268">
        <f t="shared" si="156"/>
        <v>1.3945574537404453</v>
      </c>
      <c r="AM81" s="13">
        <f t="shared" si="145"/>
        <v>9576.4</v>
      </c>
      <c r="AN81" s="13">
        <f t="shared" si="181"/>
        <v>0</v>
      </c>
      <c r="AO81" s="13">
        <f t="shared" si="181"/>
        <v>10282.36</v>
      </c>
      <c r="AP81" s="13">
        <f t="shared" si="181"/>
        <v>0</v>
      </c>
      <c r="AQ81" s="13">
        <f t="shared" si="181"/>
        <v>0</v>
      </c>
      <c r="AR81" s="13">
        <f t="shared" si="181"/>
        <v>0</v>
      </c>
      <c r="AS81" s="13">
        <f t="shared" si="181"/>
        <v>10282.36</v>
      </c>
      <c r="AT81" s="68">
        <f>AM81-AS81</f>
        <v>-705.96000000000095</v>
      </c>
      <c r="AU81" s="268">
        <f t="shared" si="157"/>
        <v>1.0737187251994487</v>
      </c>
      <c r="AV81" s="13">
        <f t="shared" si="146"/>
        <v>9576.4</v>
      </c>
      <c r="AW81" s="13">
        <f t="shared" si="119"/>
        <v>0</v>
      </c>
      <c r="AX81" s="13">
        <f t="shared" si="119"/>
        <v>10282.36</v>
      </c>
      <c r="AY81" s="13">
        <f t="shared" si="119"/>
        <v>0</v>
      </c>
      <c r="AZ81" s="13">
        <f t="shared" si="119"/>
        <v>0</v>
      </c>
      <c r="BA81" s="13">
        <f t="shared" si="120"/>
        <v>10282.36</v>
      </c>
      <c r="BB81" s="68">
        <f t="shared" si="158"/>
        <v>-705.96000000000095</v>
      </c>
      <c r="BC81" s="268">
        <f t="shared" si="159"/>
        <v>1.0737187251994487</v>
      </c>
      <c r="BD81" s="13">
        <f t="shared" si="160"/>
        <v>9576.4</v>
      </c>
      <c r="BE81" s="13">
        <f>SUMIFS(SALIDAS_BIT,FECHA_BIT,"&gt;="&amp;BE$2,FECHA_BIT,"&lt;="&amp;BE$3,CLAVE_BIT,$A81)+SUMIFS(SALIDAS_BOV1,FECHA_BOV1,"&gt;="&amp;BE$2,FECHA_BOV1,"&lt;="&amp;BE$3,CLAVE_BOV1,$A81)+SUMIFS(SALIDAS_BOV2,FECHA_BOV2,"&gt;="&amp;BE$2,FECHA_BOV2,"&lt;="&amp;BE$3,CLAVE_BOV2,$A81)+SUMIFS(SALIDAS_BOV3,FECHA_BOV3,"&gt;="&amp;BE$2,FECHA_BOV3,"&lt;="&amp;BE$3,CLAVE_BOV3,$A81)+SUMIFS(SALIDAS_TC,FECHA_TC,"&gt;="&amp;BE$2,FECHA_TC,"&lt;="&amp;BE$3,CLAVE_TC,$A81)+SUMIFS(SALIDAS_COMB,FECHA_COMB,"&gt;="&amp;BE$2,FECHA_COMB,"&lt;="&amp;BE$3,CLAVE_COMB,$A81)+SUMIFS(SALIDAS_DES,FECHA_DESGLOSEN,"&gt;="&amp;BE$2,FECHA_DESGLOSEN,"&lt;="&amp;BE$3,CLAVE_DESGLOSE,$A81)</f>
        <v>0</v>
      </c>
      <c r="BF81" s="13">
        <f>SUMIFS(SALIDAS_BIT,FECHA_BIT,"&gt;="&amp;BF$2,FECHA_BIT,"&lt;="&amp;BF$3,CLAVE_BIT,$A81)+SUMIFS(SALIDAS_BOV1,FECHA_BOV1,"&gt;="&amp;BF$2,FECHA_BOV1,"&lt;="&amp;BF$3,CLAVE_BOV1,$A81)+SUMIFS(SALIDAS_BOV2,FECHA_BOV2,"&gt;="&amp;BF$2,FECHA_BOV2,"&lt;="&amp;BF$3,CLAVE_BOV2,$A81)+SUMIFS(SALIDAS_BOV3,FECHA_BOV3,"&gt;="&amp;BF$2,FECHA_BOV3,"&lt;="&amp;BF$3,CLAVE_BOV3,$A81)+SUMIFS(SALIDAS_TC,FECHA_TC,"&gt;="&amp;BF$2,FECHA_TC,"&lt;="&amp;BF$3,CLAVE_TC,$A81)+SUMIFS(SALIDAS_COMB,FECHA_COMB,"&gt;="&amp;BF$2,FECHA_COMB,"&lt;="&amp;BF$3,CLAVE_COMB,$A81)+SUMIFS(SALIDAS_DES,FECHA_DESGLOSEN,"&gt;="&amp;BF$2,FECHA_DESGLOSEN,"&lt;="&amp;BF$3,CLAVE_DESGLOSE,$A81)</f>
        <v>10282.36</v>
      </c>
      <c r="BG81" s="13">
        <f>SUMIFS(SALIDAS_BIT,FECHA_BIT,"&gt;="&amp;BG$2,FECHA_BIT,"&lt;="&amp;BG$3,CLAVE_BIT,$A81)+SUMIFS(SALIDAS_BOV1,FECHA_BOV1,"&gt;="&amp;BG$2,FECHA_BOV1,"&lt;="&amp;BG$3,CLAVE_BOV1,$A81)+SUMIFS(SALIDAS_BOV2,FECHA_BOV2,"&gt;="&amp;BG$2,FECHA_BOV2,"&lt;="&amp;BG$3,CLAVE_BOV2,$A81)+SUMIFS(SALIDAS_BOV3,FECHA_BOV3,"&gt;="&amp;BG$2,FECHA_BOV3,"&lt;="&amp;BG$3,CLAVE_BOV3,$A81)+SUMIFS(SALIDAS_TC,FECHA_TC,"&gt;="&amp;BG$2,FECHA_TC,"&lt;="&amp;BG$3,CLAVE_TC,$A81)+SUMIFS(SALIDAS_COMB,FECHA_COMB,"&gt;="&amp;BG$2,FECHA_COMB,"&lt;="&amp;BG$3,CLAVE_COMB,$A81)+SUMIFS(SALIDAS_DES,FECHA_DESGLOSEN,"&gt;="&amp;BG$2,FECHA_DESGLOSEN,"&lt;="&amp;BG$3,CLAVE_DESGLOSE,$A81)</f>
        <v>0</v>
      </c>
      <c r="BH81" s="13">
        <f>SUMIFS(SALIDAS_BIT,FECHA_BIT,"&gt;="&amp;BH$2,FECHA_BIT,"&lt;="&amp;BH$3,CLAVE_BIT,$A81)+SUMIFS(SALIDAS_BOV1,FECHA_BOV1,"&gt;="&amp;BH$2,FECHA_BOV1,"&lt;="&amp;BH$3,CLAVE_BOV1,$A81)+SUMIFS(SALIDAS_BOV2,FECHA_BOV2,"&gt;="&amp;BH$2,FECHA_BOV2,"&lt;="&amp;BH$3,CLAVE_BOV2,$A81)+SUMIFS(SALIDAS_BOV3,FECHA_BOV3,"&gt;="&amp;BH$2,FECHA_BOV3,"&lt;="&amp;BH$3,CLAVE_BOV3,$A81)+SUMIFS(SALIDAS_TC,FECHA_TC,"&gt;="&amp;BH$2,FECHA_TC,"&lt;="&amp;BH$3,CLAVE_TC,$A81)+SUMIFS(SALIDAS_COMB,FECHA_COMB,"&gt;="&amp;BH$2,FECHA_COMB,"&lt;="&amp;BH$3,CLAVE_COMB,$A81)+SUMIFS(SALIDAS_DES,FECHA_DESGLOSEN,"&gt;="&amp;BH$2,FECHA_DESGLOSEN,"&lt;="&amp;BH$3,CLAVE_DESGLOSE,$A81)</f>
        <v>0</v>
      </c>
      <c r="BI81" s="13">
        <f t="shared" si="121"/>
        <v>10282.36</v>
      </c>
      <c r="BJ81" s="68">
        <f t="shared" si="161"/>
        <v>-705.96000000000095</v>
      </c>
      <c r="BK81" s="268">
        <f t="shared" si="162"/>
        <v>1.0737187251994487</v>
      </c>
      <c r="BL81" s="13">
        <f t="shared" si="163"/>
        <v>9576.4</v>
      </c>
      <c r="BM81" s="13">
        <f>SUMIFS(SALIDAS_BIT,FECHA_BIT,"&gt;="&amp;BM$2,FECHA_BIT,"&lt;="&amp;BM$3,CLAVE_BIT,$A81)+SUMIFS(SALIDAS_BOV1,FECHA_BOV1,"&gt;="&amp;BM$2,FECHA_BOV1,"&lt;="&amp;BM$3,CLAVE_BOV1,$A81)+SUMIFS(SALIDAS_BOV2,FECHA_BOV2,"&gt;="&amp;BM$2,FECHA_BOV2,"&lt;="&amp;BM$3,CLAVE_BOV2,$A81)+SUMIFS(SALIDAS_BOV3,FECHA_BOV3,"&gt;="&amp;BM$2,FECHA_BOV3,"&lt;="&amp;BM$3,CLAVE_BOV3,$A81)+SUMIFS(SALIDAS_TC,FECHA_TC,"&gt;="&amp;BM$2,FECHA_TC,"&lt;="&amp;BM$3,CLAVE_TC,$A81)+SUMIFS(SALIDAS_COMB,FECHA_COMB,"&gt;="&amp;BM$2,FECHA_COMB,"&lt;="&amp;BM$3,CLAVE_COMB,$A81)+SUMIFS(SALIDAS_DES,FECHA_DESGLOSEN,"&gt;="&amp;BM$2,FECHA_DESGLOSEN,"&lt;="&amp;BM$3,CLAVE_DESGLOSE,$A81)</f>
        <v>0</v>
      </c>
      <c r="BN81" s="13">
        <f>SUMIFS(SALIDAS_BIT,FECHA_BIT,"&gt;="&amp;BN$2,FECHA_BIT,"&lt;="&amp;BN$3,CLAVE_BIT,$A81)+SUMIFS(SALIDAS_BOV1,FECHA_BOV1,"&gt;="&amp;BN$2,FECHA_BOV1,"&lt;="&amp;BN$3,CLAVE_BOV1,$A81)+SUMIFS(SALIDAS_BOV2,FECHA_BOV2,"&gt;="&amp;BN$2,FECHA_BOV2,"&lt;="&amp;BN$3,CLAVE_BOV2,$A81)+SUMIFS(SALIDAS_BOV3,FECHA_BOV3,"&gt;="&amp;BN$2,FECHA_BOV3,"&lt;="&amp;BN$3,CLAVE_BOV3,$A81)+SUMIFS(SALIDAS_TC,FECHA_TC,"&gt;="&amp;BN$2,FECHA_TC,"&lt;="&amp;BN$3,CLAVE_TC,$A81)+SUMIFS(SALIDAS_COMB,FECHA_COMB,"&gt;="&amp;BN$2,FECHA_COMB,"&lt;="&amp;BN$3,CLAVE_COMB,$A81)+SUMIFS(SALIDAS_DES,FECHA_DESGLOSEN,"&gt;="&amp;BN$2,FECHA_DESGLOSEN,"&lt;="&amp;BN$3,CLAVE_DESGLOSE,$A81)</f>
        <v>0</v>
      </c>
      <c r="BO81" s="13">
        <f>SUMIFS(SALIDAS_BIT,FECHA_BIT,"&gt;="&amp;BO$2,FECHA_BIT,"&lt;="&amp;BO$3,CLAVE_BIT,$A81)+SUMIFS(SALIDAS_BOV1,FECHA_BOV1,"&gt;="&amp;BO$2,FECHA_BOV1,"&lt;="&amp;BO$3,CLAVE_BOV1,$A81)+SUMIFS(SALIDAS_BOV2,FECHA_BOV2,"&gt;="&amp;BO$2,FECHA_BOV2,"&lt;="&amp;BO$3,CLAVE_BOV2,$A81)+SUMIFS(SALIDAS_BOV3,FECHA_BOV3,"&gt;="&amp;BO$2,FECHA_BOV3,"&lt;="&amp;BO$3,CLAVE_BOV3,$A81)+SUMIFS(SALIDAS_TC,FECHA_TC,"&gt;="&amp;BO$2,FECHA_TC,"&lt;="&amp;BO$3,CLAVE_TC,$A81)+SUMIFS(SALIDAS_COMB,FECHA_COMB,"&gt;="&amp;BO$2,FECHA_COMB,"&lt;="&amp;BO$3,CLAVE_COMB,$A81)+SUMIFS(SALIDAS_DES,FECHA_DESGLOSEN,"&gt;="&amp;BO$2,FECHA_DESGLOSEN,"&lt;="&amp;BO$3,CLAVE_DESGLOSE,$A81)</f>
        <v>0</v>
      </c>
      <c r="BP81" s="13">
        <f>SUMIFS(SALIDAS_BIT,FECHA_BIT,"&gt;="&amp;BP$2,FECHA_BIT,"&lt;="&amp;BP$3,CLAVE_BIT,$A81)+SUMIFS(SALIDAS_BOV1,FECHA_BOV1,"&gt;="&amp;BP$2,FECHA_BOV1,"&lt;="&amp;BP$3,CLAVE_BOV1,$A81)+SUMIFS(SALIDAS_BOV2,FECHA_BOV2,"&gt;="&amp;BP$2,FECHA_BOV2,"&lt;="&amp;BP$3,CLAVE_BOV2,$A81)+SUMIFS(SALIDAS_BOV3,FECHA_BOV3,"&gt;="&amp;BP$2,FECHA_BOV3,"&lt;="&amp;BP$3,CLAVE_BOV3,$A81)+SUMIFS(SALIDAS_TC,FECHA_TC,"&gt;="&amp;BP$2,FECHA_TC,"&lt;="&amp;BP$3,CLAVE_TC,$A81)+SUMIFS(SALIDAS_COMB,FECHA_COMB,"&gt;="&amp;BP$2,FECHA_COMB,"&lt;="&amp;BP$3,CLAVE_COMB,$A81)+SUMIFS(SALIDAS_DES,FECHA_DESGLOSEN,"&gt;="&amp;BP$2,FECHA_DESGLOSEN,"&lt;="&amp;BP$3,CLAVE_DESGLOSE,$A81)</f>
        <v>0</v>
      </c>
      <c r="BQ81" s="13">
        <f>SUMIFS(SALIDAS_BIT,FECHA_BIT,"&gt;="&amp;BQ$2,FECHA_BIT,"&lt;="&amp;BQ$3,CLAVE_BIT,$A81)+SUMIFS(SALIDAS_BOV1,FECHA_BOV1,"&gt;="&amp;BQ$2,FECHA_BOV1,"&lt;="&amp;BQ$3,CLAVE_BOV1,$A81)+SUMIFS(SALIDAS_BOV2,FECHA_BOV2,"&gt;="&amp;BQ$2,FECHA_BOV2,"&lt;="&amp;BQ$3,CLAVE_BOV2,$A81)+SUMIFS(SALIDAS_BOV3,FECHA_BOV3,"&gt;="&amp;BQ$2,FECHA_BOV3,"&lt;="&amp;BQ$3,CLAVE_BOV3,$A81)+SUMIFS(SALIDAS_TC,FECHA_TC,"&gt;="&amp;BQ$2,FECHA_TC,"&lt;="&amp;BQ$3,CLAVE_TC,$A81)+SUMIFS(SALIDAS_COMB,FECHA_COMB,"&gt;="&amp;BQ$2,FECHA_COMB,"&lt;="&amp;BQ$3,CLAVE_COMB,$A81)+SUMIFS(SALIDAS_DES,FECHA_DESGLOSEN,"&gt;="&amp;BQ$2,FECHA_DESGLOSEN,"&lt;="&amp;BQ$3,CLAVE_DESGLOSE,$A81)</f>
        <v>10282.36</v>
      </c>
      <c r="BR81" s="13">
        <f t="shared" si="182"/>
        <v>10282.36</v>
      </c>
      <c r="BS81" s="68">
        <f t="shared" si="164"/>
        <v>-705.96000000000095</v>
      </c>
      <c r="BT81" s="268">
        <f t="shared" si="165"/>
        <v>1.0737187251994487</v>
      </c>
      <c r="BU81" s="13">
        <f t="shared" si="166"/>
        <v>9576.4</v>
      </c>
      <c r="BV81" s="13">
        <f t="shared" si="90"/>
        <v>0</v>
      </c>
      <c r="BW81" s="13">
        <f t="shared" si="90"/>
        <v>10282.36</v>
      </c>
      <c r="BX81" s="13">
        <f t="shared" si="90"/>
        <v>0</v>
      </c>
      <c r="BY81" s="13">
        <f t="shared" si="90"/>
        <v>0</v>
      </c>
      <c r="BZ81" s="13">
        <f t="shared" si="183"/>
        <v>10282.36</v>
      </c>
      <c r="CA81" s="68">
        <f t="shared" si="167"/>
        <v>-705.96000000000095</v>
      </c>
      <c r="CB81" s="268">
        <f t="shared" si="168"/>
        <v>1.0737187251994487</v>
      </c>
      <c r="CC81" s="13">
        <f t="shared" si="169"/>
        <v>9576.4</v>
      </c>
      <c r="CD81" s="13">
        <f t="shared" si="91"/>
        <v>10282.36</v>
      </c>
      <c r="CE81" s="13">
        <f t="shared" si="91"/>
        <v>0</v>
      </c>
      <c r="CF81" s="13">
        <f t="shared" si="91"/>
        <v>0</v>
      </c>
      <c r="CG81" s="13">
        <f t="shared" si="91"/>
        <v>0</v>
      </c>
      <c r="CH81" s="13">
        <f t="shared" si="184"/>
        <v>10282.36</v>
      </c>
      <c r="CI81" s="68">
        <f t="shared" si="170"/>
        <v>-705.96000000000095</v>
      </c>
      <c r="CJ81" s="268">
        <f t="shared" si="171"/>
        <v>1.0737187251994487</v>
      </c>
      <c r="CK81" s="13">
        <f t="shared" si="172"/>
        <v>9576.4</v>
      </c>
      <c r="CL81" s="13">
        <f t="shared" si="176"/>
        <v>0</v>
      </c>
      <c r="CM81" s="13">
        <f t="shared" si="176"/>
        <v>10282.36</v>
      </c>
      <c r="CN81" s="13">
        <f t="shared" si="176"/>
        <v>0</v>
      </c>
      <c r="CO81" s="13">
        <f t="shared" si="176"/>
        <v>0</v>
      </c>
      <c r="CP81" s="13">
        <f t="shared" si="176"/>
        <v>0</v>
      </c>
      <c r="CQ81" s="13">
        <f t="shared" si="185"/>
        <v>10282.36</v>
      </c>
      <c r="CR81" s="68">
        <f t="shared" si="173"/>
        <v>-705.96000000000095</v>
      </c>
      <c r="CS81" s="268">
        <f t="shared" si="174"/>
        <v>1.0737187251994487</v>
      </c>
      <c r="CT81" s="68">
        <f t="shared" si="147"/>
        <v>10282</v>
      </c>
      <c r="CU81" s="13">
        <f>SUMIFS(SALIDAS_BIT,FECHA_BIT,"&gt;="&amp;CU$2,FECHA_BIT,"&lt;="&amp;CU$3,CLAVE_BIT,$A81)+SUMIFS(SALIDAS_BOV1,FECHA_BOV1,"&gt;="&amp;CU$2,FECHA_BOV1,"&lt;="&amp;CU$3,CLAVE_BOV1,$A81)+SUMIFS(SALIDAS_BOV2,FECHA_BOV2,"&gt;="&amp;CU$2,FECHA_BOV2,"&lt;="&amp;CU$3,CLAVE_BOV2,$A81)+SUMIFS(SALIDAS_BOV3,FECHA_BOV3,"&gt;="&amp;CU$2,FECHA_BOV3,"&lt;="&amp;CU$3,CLAVE_BOV3,$A81)+SUMIFS(SALIDAS_TC,FECHA_TC,"&gt;="&amp;CU$2,FECHA_TC,"&lt;="&amp;CU$3,CLAVE_TC,$A81)+SUMIFS(SALIDAS_COMB,FECHA_COMB,"&gt;="&amp;CU$2,FECHA_COMB,"&lt;="&amp;CU$3,CLAVE_COMB,$A81)+SUMIFS(SALIDAS_DES,FECHA_DESGLOSEN,"&gt;="&amp;CU$2,FECHA_DESGLOSEN,"&lt;="&amp;CU$3,CLAVE_DESGLOSE,$A81)</f>
        <v>0</v>
      </c>
      <c r="CV81" s="13">
        <f>SUMIFS(SALIDAS_BIT,FECHA_BIT,"&gt;="&amp;CV$2,FECHA_BIT,"&lt;="&amp;CV$3,CLAVE_BIT,$A81)+SUMIFS(SALIDAS_BOV1,FECHA_BOV1,"&gt;="&amp;CV$2,FECHA_BOV1,"&lt;="&amp;CV$3,CLAVE_BOV1,$A81)+SUMIFS(SALIDAS_BOV2,FECHA_BOV2,"&gt;="&amp;CV$2,FECHA_BOV2,"&lt;="&amp;CV$3,CLAVE_BOV2,$A81)+SUMIFS(SALIDAS_BOV3,FECHA_BOV3,"&gt;="&amp;CV$2,FECHA_BOV3,"&lt;="&amp;CV$3,CLAVE_BOV3,$A81)+SUMIFS(SALIDAS_TC,FECHA_TC,"&gt;="&amp;CV$2,FECHA_TC,"&lt;="&amp;CV$3,CLAVE_TC,$A81)+SUMIFS(SALIDAS_COMB,FECHA_COMB,"&gt;="&amp;CV$2,FECHA_COMB,"&lt;="&amp;CV$3,CLAVE_COMB,$A81)+SUMIFS(SALIDAS_DES,FECHA_DESGLOSEN,"&gt;="&amp;CV$2,FECHA_DESGLOSEN,"&lt;="&amp;CV$3,CLAVE_DESGLOSE,$A81)</f>
        <v>0</v>
      </c>
      <c r="CW81" s="13">
        <f>SUMIFS(SALIDAS_BIT,FECHA_BIT,"&gt;="&amp;CW$2,FECHA_BIT,"&lt;="&amp;CW$3,CLAVE_BIT,$A81)+SUMIFS(SALIDAS_BOV1,FECHA_BOV1,"&gt;="&amp;CW$2,FECHA_BOV1,"&lt;="&amp;CW$3,CLAVE_BOV1,$A81)+SUMIFS(SALIDAS_BOV2,FECHA_BOV2,"&gt;="&amp;CW$2,FECHA_BOV2,"&lt;="&amp;CW$3,CLAVE_BOV2,$A81)+SUMIFS(SALIDAS_BOV3,FECHA_BOV3,"&gt;="&amp;CW$2,FECHA_BOV3,"&lt;="&amp;CW$3,CLAVE_BOV3,$A81)+SUMIFS(SALIDAS_TC,FECHA_TC,"&gt;="&amp;CW$2,FECHA_TC,"&lt;="&amp;CW$3,CLAVE_TC,$A81)+SUMIFS(SALIDAS_COMB,FECHA_COMB,"&gt;="&amp;CW$2,FECHA_COMB,"&lt;="&amp;CW$3,CLAVE_COMB,$A81)+SUMIFS(SALIDAS_DES,FECHA_DESGLOSEN,"&gt;="&amp;CW$2,FECHA_DESGLOSEN,"&lt;="&amp;CW$3,CLAVE_DESGLOSE,$A81)</f>
        <v>0</v>
      </c>
      <c r="CX81" s="13">
        <f>SUMIFS(SALIDAS_BIT,FECHA_BIT,"&gt;="&amp;CX$2,FECHA_BIT,"&lt;="&amp;CX$3,CLAVE_BIT,$A81)+SUMIFS(SALIDAS_BOV1,FECHA_BOV1,"&gt;="&amp;CX$2,FECHA_BOV1,"&lt;="&amp;CX$3,CLAVE_BOV1,$A81)+SUMIFS(SALIDAS_BOV2,FECHA_BOV2,"&gt;="&amp;CX$2,FECHA_BOV2,"&lt;="&amp;CX$3,CLAVE_BOV2,$A81)+SUMIFS(SALIDAS_BOV3,FECHA_BOV3,"&gt;="&amp;CX$2,FECHA_BOV3,"&lt;="&amp;CX$3,CLAVE_BOV3,$A81)+SUMIFS(SALIDAS_TC,FECHA_TC,"&gt;="&amp;CX$2,FECHA_TC,"&lt;="&amp;CX$3,CLAVE_TC,$A81)+SUMIFS(SALIDAS_COMB,FECHA_COMB,"&gt;="&amp;CX$2,FECHA_COMB,"&lt;="&amp;CX$3,CLAVE_COMB,$A81)+SUMIFS(SALIDAS_DES,FECHA_DESGLOSEN,"&gt;="&amp;CX$2,FECHA_DESGLOSEN,"&lt;="&amp;CX$3,CLAVE_DESGLOSE,$A81)</f>
        <v>10282.36</v>
      </c>
      <c r="CY81" s="13">
        <f>SUMIFS(SALIDAS_BIT,FECHA_BIT,"&gt;="&amp;CY$2,FECHA_BIT,"&lt;="&amp;CY$3,CLAVE_BIT,$A81)+SUMIFS(SALIDAS_BOV1,FECHA_BOV1,"&gt;="&amp;CY$2,FECHA_BOV1,"&lt;="&amp;CY$3,CLAVE_BOV1,$A81)+SUMIFS(SALIDAS_BOV2,FECHA_BOV2,"&gt;="&amp;CY$2,FECHA_BOV2,"&lt;="&amp;CY$3,CLAVE_BOV2,$A81)+SUMIFS(SALIDAS_BOV3,FECHA_BOV3,"&gt;="&amp;CY$2,FECHA_BOV3,"&lt;="&amp;CY$3,CLAVE_BOV3,$A81)+SUMIFS(SALIDAS_TC,FECHA_TC,"&gt;="&amp;CY$2,FECHA_TC,"&lt;="&amp;CY$3,CLAVE_TC,$A81)+SUMIFS(SALIDAS_COMB,FECHA_COMB,"&gt;="&amp;CY$2,FECHA_COMB,"&lt;="&amp;CY$3,CLAVE_COMB,$A81)+SUMIFS(SALIDAS_DES,FECHA_DESGLOSEN,"&gt;="&amp;CY$2,FECHA_DESGLOSEN,"&lt;="&amp;CY$3,CLAVE_DESGLOSE,$A81)</f>
        <v>10282.36</v>
      </c>
      <c r="CZ81" s="68">
        <f t="shared" si="175"/>
        <v>-0.36000000000058208</v>
      </c>
      <c r="DB81" s="17">
        <f>F81+N81+W81+AE81+AM81+AV81+BD81+BL81+BU81+CC81+CK81</f>
        <v>105340.39999999998</v>
      </c>
      <c r="DC81" s="17">
        <f>K81+T81+AB81+AJ81+AS81+BA81+BI81+BR81+BZ81+CH81+CQ81</f>
        <v>117340.40000000001</v>
      </c>
    </row>
    <row r="82" spans="1:107" hidden="1">
      <c r="A82" s="12" t="str">
        <f t="shared" si="148"/>
        <v>FINANZASRENTASA24</v>
      </c>
      <c r="B82" s="12">
        <v>84</v>
      </c>
      <c r="C82" t="s">
        <v>23</v>
      </c>
      <c r="D82" s="12" t="s">
        <v>169</v>
      </c>
      <c r="E82" s="12" t="s">
        <v>106</v>
      </c>
      <c r="F82" s="259">
        <f t="shared" si="141"/>
        <v>81331.3</v>
      </c>
      <c r="G82" s="13">
        <f t="shared" si="177"/>
        <v>0</v>
      </c>
      <c r="H82" s="13">
        <f t="shared" si="177"/>
        <v>0</v>
      </c>
      <c r="I82" s="13">
        <f t="shared" si="177"/>
        <v>24000</v>
      </c>
      <c r="J82" s="13">
        <f t="shared" si="177"/>
        <v>81331.3</v>
      </c>
      <c r="K82" s="13">
        <f t="shared" si="177"/>
        <v>105331.3</v>
      </c>
      <c r="L82" s="68">
        <f t="shared" si="149"/>
        <v>-24000</v>
      </c>
      <c r="M82" s="268">
        <f t="shared" si="150"/>
        <v>1.295089344446726</v>
      </c>
      <c r="N82" s="13">
        <f t="shared" si="142"/>
        <v>81331.3</v>
      </c>
      <c r="O82" s="13">
        <f t="shared" si="178"/>
        <v>0</v>
      </c>
      <c r="P82" s="13">
        <f t="shared" si="178"/>
        <v>0</v>
      </c>
      <c r="Q82" s="13">
        <f t="shared" si="178"/>
        <v>0</v>
      </c>
      <c r="R82" s="13">
        <f t="shared" si="178"/>
        <v>81331.3</v>
      </c>
      <c r="S82" s="13">
        <f t="shared" si="178"/>
        <v>0</v>
      </c>
      <c r="T82" s="13">
        <f t="shared" si="178"/>
        <v>81331.3</v>
      </c>
      <c r="U82" s="68">
        <f t="shared" si="151"/>
        <v>0</v>
      </c>
      <c r="V82" s="268">
        <f t="shared" si="152"/>
        <v>1</v>
      </c>
      <c r="W82" s="13">
        <f t="shared" si="143"/>
        <v>81331.3</v>
      </c>
      <c r="X82" s="13">
        <f t="shared" si="179"/>
        <v>0</v>
      </c>
      <c r="Y82" s="13">
        <f t="shared" si="179"/>
        <v>0</v>
      </c>
      <c r="Z82" s="13">
        <f t="shared" si="179"/>
        <v>0</v>
      </c>
      <c r="AA82" s="13">
        <f t="shared" si="179"/>
        <v>81319.3</v>
      </c>
      <c r="AB82" s="13">
        <f t="shared" si="179"/>
        <v>81319.3</v>
      </c>
      <c r="AC82" s="68">
        <f t="shared" si="153"/>
        <v>12</v>
      </c>
      <c r="AD82" s="268">
        <f t="shared" si="154"/>
        <v>0.99985245532777667</v>
      </c>
      <c r="AE82" s="13">
        <f t="shared" si="144"/>
        <v>81331.3</v>
      </c>
      <c r="AF82" s="13">
        <f t="shared" si="180"/>
        <v>0</v>
      </c>
      <c r="AG82" s="13">
        <f t="shared" si="180"/>
        <v>0</v>
      </c>
      <c r="AH82" s="13">
        <f t="shared" si="180"/>
        <v>81319.3</v>
      </c>
      <c r="AI82" s="13">
        <f t="shared" si="180"/>
        <v>0</v>
      </c>
      <c r="AJ82" s="13">
        <f t="shared" si="180"/>
        <v>81319.3</v>
      </c>
      <c r="AK82" s="68">
        <f t="shared" si="155"/>
        <v>12</v>
      </c>
      <c r="AL82" s="268">
        <f t="shared" si="156"/>
        <v>0.99985245532777667</v>
      </c>
      <c r="AM82" s="13">
        <f t="shared" si="145"/>
        <v>81331.3</v>
      </c>
      <c r="AN82" s="13">
        <f t="shared" si="181"/>
        <v>0</v>
      </c>
      <c r="AO82" s="13">
        <f t="shared" si="181"/>
        <v>0</v>
      </c>
      <c r="AP82" s="13">
        <f t="shared" si="181"/>
        <v>81319.3</v>
      </c>
      <c r="AQ82" s="13">
        <f t="shared" si="181"/>
        <v>0</v>
      </c>
      <c r="AR82" s="13">
        <f t="shared" si="181"/>
        <v>0</v>
      </c>
      <c r="AS82" s="13">
        <f t="shared" si="181"/>
        <v>81319.3</v>
      </c>
      <c r="AT82" s="68">
        <f>AM82-AS82</f>
        <v>12</v>
      </c>
      <c r="AU82" s="268">
        <f t="shared" si="157"/>
        <v>0.99985245532777667</v>
      </c>
      <c r="AV82" s="13">
        <f t="shared" si="146"/>
        <v>81331.3</v>
      </c>
      <c r="AW82" s="13">
        <f t="shared" si="119"/>
        <v>0</v>
      </c>
      <c r="AX82" s="13">
        <f t="shared" si="119"/>
        <v>0</v>
      </c>
      <c r="AY82" s="13">
        <f t="shared" si="119"/>
        <v>0</v>
      </c>
      <c r="AZ82" s="13">
        <f t="shared" si="119"/>
        <v>81319.3</v>
      </c>
      <c r="BA82" s="13">
        <f t="shared" si="120"/>
        <v>81319.3</v>
      </c>
      <c r="BB82" s="68">
        <f t="shared" si="158"/>
        <v>12</v>
      </c>
      <c r="BC82" s="268">
        <f t="shared" si="159"/>
        <v>0.99985245532777667</v>
      </c>
      <c r="BD82" s="13">
        <f t="shared" si="160"/>
        <v>81331.3</v>
      </c>
      <c r="BE82" s="13">
        <f>SUMIFS(SALIDAS_BIT,FECHA_BIT,"&gt;="&amp;BE$2,FECHA_BIT,"&lt;="&amp;BE$3,CLAVE_BIT,$A82)+SUMIFS(SALIDAS_BOV1,FECHA_BOV1,"&gt;="&amp;BE$2,FECHA_BOV1,"&lt;="&amp;BE$3,CLAVE_BOV1,$A82)+SUMIFS(SALIDAS_BOV2,FECHA_BOV2,"&gt;="&amp;BE$2,FECHA_BOV2,"&lt;="&amp;BE$3,CLAVE_BOV2,$A82)+SUMIFS(SALIDAS_BOV3,FECHA_BOV3,"&gt;="&amp;BE$2,FECHA_BOV3,"&lt;="&amp;BE$3,CLAVE_BOV3,$A82)+SUMIFS(SALIDAS_TC,FECHA_TC,"&gt;="&amp;BE$2,FECHA_TC,"&lt;="&amp;BE$3,CLAVE_TC,$A82)+SUMIFS(SALIDAS_COMB,FECHA_COMB,"&gt;="&amp;BE$2,FECHA_COMB,"&lt;="&amp;BE$3,CLAVE_COMB,$A82)+SUMIFS(SALIDAS_DES,FECHA_DESGLOSEN,"&gt;="&amp;BE$2,FECHA_DESGLOSEN,"&lt;="&amp;BE$3,CLAVE_DESGLOSE,$A82)</f>
        <v>0</v>
      </c>
      <c r="BF82" s="13">
        <f>SUMIFS(SALIDAS_BIT,FECHA_BIT,"&gt;="&amp;BF$2,FECHA_BIT,"&lt;="&amp;BF$3,CLAVE_BIT,$A82)+SUMIFS(SALIDAS_BOV1,FECHA_BOV1,"&gt;="&amp;BF$2,FECHA_BOV1,"&lt;="&amp;BF$3,CLAVE_BOV1,$A82)+SUMIFS(SALIDAS_BOV2,FECHA_BOV2,"&gt;="&amp;BF$2,FECHA_BOV2,"&lt;="&amp;BF$3,CLAVE_BOV2,$A82)+SUMIFS(SALIDAS_BOV3,FECHA_BOV3,"&gt;="&amp;BF$2,FECHA_BOV3,"&lt;="&amp;BF$3,CLAVE_BOV3,$A82)+SUMIFS(SALIDAS_TC,FECHA_TC,"&gt;="&amp;BF$2,FECHA_TC,"&lt;="&amp;BF$3,CLAVE_TC,$A82)+SUMIFS(SALIDAS_COMB,FECHA_COMB,"&gt;="&amp;BF$2,FECHA_COMB,"&lt;="&amp;BF$3,CLAVE_COMB,$A82)+SUMIFS(SALIDAS_DES,FECHA_DESGLOSEN,"&gt;="&amp;BF$2,FECHA_DESGLOSEN,"&lt;="&amp;BF$3,CLAVE_DESGLOSE,$A82)</f>
        <v>0</v>
      </c>
      <c r="BG82" s="13">
        <f>SUMIFS(SALIDAS_BIT,FECHA_BIT,"&gt;="&amp;BG$2,FECHA_BIT,"&lt;="&amp;BG$3,CLAVE_BIT,$A82)+SUMIFS(SALIDAS_BOV1,FECHA_BOV1,"&gt;="&amp;BG$2,FECHA_BOV1,"&lt;="&amp;BG$3,CLAVE_BOV1,$A82)+SUMIFS(SALIDAS_BOV2,FECHA_BOV2,"&gt;="&amp;BG$2,FECHA_BOV2,"&lt;="&amp;BG$3,CLAVE_BOV2,$A82)+SUMIFS(SALIDAS_BOV3,FECHA_BOV3,"&gt;="&amp;BG$2,FECHA_BOV3,"&lt;="&amp;BG$3,CLAVE_BOV3,$A82)+SUMIFS(SALIDAS_TC,FECHA_TC,"&gt;="&amp;BG$2,FECHA_TC,"&lt;="&amp;BG$3,CLAVE_TC,$A82)+SUMIFS(SALIDAS_COMB,FECHA_COMB,"&gt;="&amp;BG$2,FECHA_COMB,"&lt;="&amp;BG$3,CLAVE_COMB,$A82)+SUMIFS(SALIDAS_DES,FECHA_DESGLOSEN,"&gt;="&amp;BG$2,FECHA_DESGLOSEN,"&lt;="&amp;BG$3,CLAVE_DESGLOSE,$A82)</f>
        <v>0</v>
      </c>
      <c r="BH82" s="13">
        <f>SUMIFS(SALIDAS_BIT,FECHA_BIT,"&gt;="&amp;BH$2,FECHA_BIT,"&lt;="&amp;BH$3,CLAVE_BIT,$A82)+SUMIFS(SALIDAS_BOV1,FECHA_BOV1,"&gt;="&amp;BH$2,FECHA_BOV1,"&lt;="&amp;BH$3,CLAVE_BOV1,$A82)+SUMIFS(SALIDAS_BOV2,FECHA_BOV2,"&gt;="&amp;BH$2,FECHA_BOV2,"&lt;="&amp;BH$3,CLAVE_BOV2,$A82)+SUMIFS(SALIDAS_BOV3,FECHA_BOV3,"&gt;="&amp;BH$2,FECHA_BOV3,"&lt;="&amp;BH$3,CLAVE_BOV3,$A82)+SUMIFS(SALIDAS_TC,FECHA_TC,"&gt;="&amp;BH$2,FECHA_TC,"&lt;="&amp;BH$3,CLAVE_TC,$A82)+SUMIFS(SALIDAS_COMB,FECHA_COMB,"&gt;="&amp;BH$2,FECHA_COMB,"&lt;="&amp;BH$3,CLAVE_COMB,$A82)+SUMIFS(SALIDAS_DES,FECHA_DESGLOSEN,"&gt;="&amp;BH$2,FECHA_DESGLOSEN,"&lt;="&amp;BH$3,CLAVE_DESGLOSE,$A82)</f>
        <v>81319.3</v>
      </c>
      <c r="BI82" s="13">
        <f t="shared" si="121"/>
        <v>81319.3</v>
      </c>
      <c r="BJ82" s="68">
        <f t="shared" si="161"/>
        <v>12</v>
      </c>
      <c r="BK82" s="268">
        <f t="shared" si="162"/>
        <v>0.99985245532777667</v>
      </c>
      <c r="BL82" s="13">
        <f t="shared" si="163"/>
        <v>81331.3</v>
      </c>
      <c r="BM82" s="13">
        <f>SUMIFS(SALIDAS_BIT,FECHA_BIT,"&gt;="&amp;BM$2,FECHA_BIT,"&lt;="&amp;BM$3,CLAVE_BIT,$A82)+SUMIFS(SALIDAS_BOV1,FECHA_BOV1,"&gt;="&amp;BM$2,FECHA_BOV1,"&lt;="&amp;BM$3,CLAVE_BOV1,$A82)+SUMIFS(SALIDAS_BOV2,FECHA_BOV2,"&gt;="&amp;BM$2,FECHA_BOV2,"&lt;="&amp;BM$3,CLAVE_BOV2,$A82)+SUMIFS(SALIDAS_BOV3,FECHA_BOV3,"&gt;="&amp;BM$2,FECHA_BOV3,"&lt;="&amp;BM$3,CLAVE_BOV3,$A82)+SUMIFS(SALIDAS_TC,FECHA_TC,"&gt;="&amp;BM$2,FECHA_TC,"&lt;="&amp;BM$3,CLAVE_TC,$A82)+SUMIFS(SALIDAS_COMB,FECHA_COMB,"&gt;="&amp;BM$2,FECHA_COMB,"&lt;="&amp;BM$3,CLAVE_COMB,$A82)+SUMIFS(SALIDAS_DES,FECHA_DESGLOSEN,"&gt;="&amp;BM$2,FECHA_DESGLOSEN,"&lt;="&amp;BM$3,CLAVE_DESGLOSE,$A82)</f>
        <v>0</v>
      </c>
      <c r="BN82" s="13">
        <f>SUMIFS(SALIDAS_BIT,FECHA_BIT,"&gt;="&amp;BN$2,FECHA_BIT,"&lt;="&amp;BN$3,CLAVE_BIT,$A82)+SUMIFS(SALIDAS_BOV1,FECHA_BOV1,"&gt;="&amp;BN$2,FECHA_BOV1,"&lt;="&amp;BN$3,CLAVE_BOV1,$A82)+SUMIFS(SALIDAS_BOV2,FECHA_BOV2,"&gt;="&amp;BN$2,FECHA_BOV2,"&lt;="&amp;BN$3,CLAVE_BOV2,$A82)+SUMIFS(SALIDAS_BOV3,FECHA_BOV3,"&gt;="&amp;BN$2,FECHA_BOV3,"&lt;="&amp;BN$3,CLAVE_BOV3,$A82)+SUMIFS(SALIDAS_TC,FECHA_TC,"&gt;="&amp;BN$2,FECHA_TC,"&lt;="&amp;BN$3,CLAVE_TC,$A82)+SUMIFS(SALIDAS_COMB,FECHA_COMB,"&gt;="&amp;BN$2,FECHA_COMB,"&lt;="&amp;BN$3,CLAVE_COMB,$A82)+SUMIFS(SALIDAS_DES,FECHA_DESGLOSEN,"&gt;="&amp;BN$2,FECHA_DESGLOSEN,"&lt;="&amp;BN$3,CLAVE_DESGLOSE,$A82)</f>
        <v>0</v>
      </c>
      <c r="BO82" s="13">
        <f>SUMIFS(SALIDAS_BIT,FECHA_BIT,"&gt;="&amp;BO$2,FECHA_BIT,"&lt;="&amp;BO$3,CLAVE_BIT,$A82)+SUMIFS(SALIDAS_BOV1,FECHA_BOV1,"&gt;="&amp;BO$2,FECHA_BOV1,"&lt;="&amp;BO$3,CLAVE_BOV1,$A82)+SUMIFS(SALIDAS_BOV2,FECHA_BOV2,"&gt;="&amp;BO$2,FECHA_BOV2,"&lt;="&amp;BO$3,CLAVE_BOV2,$A82)+SUMIFS(SALIDAS_BOV3,FECHA_BOV3,"&gt;="&amp;BO$2,FECHA_BOV3,"&lt;="&amp;BO$3,CLAVE_BOV3,$A82)+SUMIFS(SALIDAS_TC,FECHA_TC,"&gt;="&amp;BO$2,FECHA_TC,"&lt;="&amp;BO$3,CLAVE_TC,$A82)+SUMIFS(SALIDAS_COMB,FECHA_COMB,"&gt;="&amp;BO$2,FECHA_COMB,"&lt;="&amp;BO$3,CLAVE_COMB,$A82)+SUMIFS(SALIDAS_DES,FECHA_DESGLOSEN,"&gt;="&amp;BO$2,FECHA_DESGLOSEN,"&lt;="&amp;BO$3,CLAVE_DESGLOSE,$A82)</f>
        <v>0</v>
      </c>
      <c r="BP82" s="13">
        <f>SUMIFS(SALIDAS_BIT,FECHA_BIT,"&gt;="&amp;BP$2,FECHA_BIT,"&lt;="&amp;BP$3,CLAVE_BIT,$A82)+SUMIFS(SALIDAS_BOV1,FECHA_BOV1,"&gt;="&amp;BP$2,FECHA_BOV1,"&lt;="&amp;BP$3,CLAVE_BOV1,$A82)+SUMIFS(SALIDAS_BOV2,FECHA_BOV2,"&gt;="&amp;BP$2,FECHA_BOV2,"&lt;="&amp;BP$3,CLAVE_BOV2,$A82)+SUMIFS(SALIDAS_BOV3,FECHA_BOV3,"&gt;="&amp;BP$2,FECHA_BOV3,"&lt;="&amp;BP$3,CLAVE_BOV3,$A82)+SUMIFS(SALIDAS_TC,FECHA_TC,"&gt;="&amp;BP$2,FECHA_TC,"&lt;="&amp;BP$3,CLAVE_TC,$A82)+SUMIFS(SALIDAS_COMB,FECHA_COMB,"&gt;="&amp;BP$2,FECHA_COMB,"&lt;="&amp;BP$3,CLAVE_COMB,$A82)+SUMIFS(SALIDAS_DES,FECHA_DESGLOSEN,"&gt;="&amp;BP$2,FECHA_DESGLOSEN,"&lt;="&amp;BP$3,CLAVE_DESGLOSE,$A82)</f>
        <v>0</v>
      </c>
      <c r="BQ82" s="13">
        <f>SUMIFS(SALIDAS_BIT,FECHA_BIT,"&gt;="&amp;BQ$2,FECHA_BIT,"&lt;="&amp;BQ$3,CLAVE_BIT,$A82)+SUMIFS(SALIDAS_BOV1,FECHA_BOV1,"&gt;="&amp;BQ$2,FECHA_BOV1,"&lt;="&amp;BQ$3,CLAVE_BOV1,$A82)+SUMIFS(SALIDAS_BOV2,FECHA_BOV2,"&gt;="&amp;BQ$2,FECHA_BOV2,"&lt;="&amp;BQ$3,CLAVE_BOV2,$A82)+SUMIFS(SALIDAS_BOV3,FECHA_BOV3,"&gt;="&amp;BQ$2,FECHA_BOV3,"&lt;="&amp;BQ$3,CLAVE_BOV3,$A82)+SUMIFS(SALIDAS_TC,FECHA_TC,"&gt;="&amp;BQ$2,FECHA_TC,"&lt;="&amp;BQ$3,CLAVE_TC,$A82)+SUMIFS(SALIDAS_COMB,FECHA_COMB,"&gt;="&amp;BQ$2,FECHA_COMB,"&lt;="&amp;BQ$3,CLAVE_COMB,$A82)+SUMIFS(SALIDAS_DES,FECHA_DESGLOSEN,"&gt;="&amp;BQ$2,FECHA_DESGLOSEN,"&lt;="&amp;BQ$3,CLAVE_DESGLOSE,$A82)</f>
        <v>81319.3</v>
      </c>
      <c r="BR82" s="13">
        <f t="shared" si="182"/>
        <v>81319.3</v>
      </c>
      <c r="BS82" s="68">
        <f t="shared" si="164"/>
        <v>12</v>
      </c>
      <c r="BT82" s="268">
        <f t="shared" si="165"/>
        <v>0.99985245532777667</v>
      </c>
      <c r="BU82" s="13">
        <f t="shared" si="166"/>
        <v>81331.3</v>
      </c>
      <c r="BV82" s="13">
        <f t="shared" si="90"/>
        <v>0</v>
      </c>
      <c r="BW82" s="13">
        <f t="shared" si="90"/>
        <v>0</v>
      </c>
      <c r="BX82" s="13">
        <f t="shared" si="90"/>
        <v>0</v>
      </c>
      <c r="BY82" s="13">
        <f t="shared" si="90"/>
        <v>0</v>
      </c>
      <c r="BZ82" s="13">
        <f t="shared" si="183"/>
        <v>0</v>
      </c>
      <c r="CA82" s="68">
        <f t="shared" si="167"/>
        <v>81331.3</v>
      </c>
      <c r="CB82" s="268">
        <f t="shared" si="168"/>
        <v>0</v>
      </c>
      <c r="CC82" s="13">
        <f t="shared" si="169"/>
        <v>81331.3</v>
      </c>
      <c r="CD82" s="13">
        <f t="shared" si="91"/>
        <v>81319.3</v>
      </c>
      <c r="CE82" s="13">
        <f t="shared" si="91"/>
        <v>0</v>
      </c>
      <c r="CF82" s="13">
        <f t="shared" si="91"/>
        <v>0</v>
      </c>
      <c r="CG82" s="13">
        <f t="shared" si="91"/>
        <v>81319.3</v>
      </c>
      <c r="CH82" s="13">
        <f t="shared" si="184"/>
        <v>162638.6</v>
      </c>
      <c r="CI82" s="68">
        <f t="shared" si="170"/>
        <v>-81307.3</v>
      </c>
      <c r="CJ82" s="268">
        <f t="shared" si="171"/>
        <v>1.9997049106555533</v>
      </c>
      <c r="CK82" s="13">
        <f t="shared" si="172"/>
        <v>81331.3</v>
      </c>
      <c r="CL82" s="13">
        <f t="shared" si="176"/>
        <v>0</v>
      </c>
      <c r="CM82" s="13">
        <f t="shared" si="176"/>
        <v>81319.3</v>
      </c>
      <c r="CN82" s="13">
        <f t="shared" si="176"/>
        <v>0</v>
      </c>
      <c r="CO82" s="13">
        <f t="shared" si="176"/>
        <v>0</v>
      </c>
      <c r="CP82" s="13">
        <f t="shared" si="176"/>
        <v>0</v>
      </c>
      <c r="CQ82" s="13">
        <f t="shared" si="185"/>
        <v>81319.3</v>
      </c>
      <c r="CR82" s="68">
        <f t="shared" si="173"/>
        <v>12</v>
      </c>
      <c r="CS82" s="268">
        <f t="shared" si="174"/>
        <v>0.99985245532777667</v>
      </c>
      <c r="CT82" s="68">
        <f t="shared" si="147"/>
        <v>86211</v>
      </c>
      <c r="CU82" s="13">
        <f>SUMIFS(SALIDAS_BIT,FECHA_BIT,"&gt;="&amp;CU$2,FECHA_BIT,"&lt;="&amp;CU$3,CLAVE_BIT,$A82)+SUMIFS(SALIDAS_BOV1,FECHA_BOV1,"&gt;="&amp;CU$2,FECHA_BOV1,"&lt;="&amp;CU$3,CLAVE_BOV1,$A82)+SUMIFS(SALIDAS_BOV2,FECHA_BOV2,"&gt;="&amp;CU$2,FECHA_BOV2,"&lt;="&amp;CU$3,CLAVE_BOV2,$A82)+SUMIFS(SALIDAS_BOV3,FECHA_BOV3,"&gt;="&amp;CU$2,FECHA_BOV3,"&lt;="&amp;CU$3,CLAVE_BOV3,$A82)+SUMIFS(SALIDAS_TC,FECHA_TC,"&gt;="&amp;CU$2,FECHA_TC,"&lt;="&amp;CU$3,CLAVE_TC,$A82)+SUMIFS(SALIDAS_COMB,FECHA_COMB,"&gt;="&amp;CU$2,FECHA_COMB,"&lt;="&amp;CU$3,CLAVE_COMB,$A82)+SUMIFS(SALIDAS_DES,FECHA_DESGLOSEN,"&gt;="&amp;CU$2,FECHA_DESGLOSEN,"&lt;="&amp;CU$3,CLAVE_DESGLOSE,$A82)</f>
        <v>0</v>
      </c>
      <c r="CV82" s="13">
        <f>SUMIFS(SALIDAS_BIT,FECHA_BIT,"&gt;="&amp;CV$2,FECHA_BIT,"&lt;="&amp;CV$3,CLAVE_BIT,$A82)+SUMIFS(SALIDAS_BOV1,FECHA_BOV1,"&gt;="&amp;CV$2,FECHA_BOV1,"&lt;="&amp;CV$3,CLAVE_BOV1,$A82)+SUMIFS(SALIDAS_BOV2,FECHA_BOV2,"&gt;="&amp;CV$2,FECHA_BOV2,"&lt;="&amp;CV$3,CLAVE_BOV2,$A82)+SUMIFS(SALIDAS_BOV3,FECHA_BOV3,"&gt;="&amp;CV$2,FECHA_BOV3,"&lt;="&amp;CV$3,CLAVE_BOV3,$A82)+SUMIFS(SALIDAS_TC,FECHA_TC,"&gt;="&amp;CV$2,FECHA_TC,"&lt;="&amp;CV$3,CLAVE_TC,$A82)+SUMIFS(SALIDAS_COMB,FECHA_COMB,"&gt;="&amp;CV$2,FECHA_COMB,"&lt;="&amp;CV$3,CLAVE_COMB,$A82)+SUMIFS(SALIDAS_DES,FECHA_DESGLOSEN,"&gt;="&amp;CV$2,FECHA_DESGLOSEN,"&lt;="&amp;CV$3,CLAVE_DESGLOSE,$A82)</f>
        <v>0</v>
      </c>
      <c r="CW82" s="13">
        <f>SUMIFS(SALIDAS_BIT,FECHA_BIT,"&gt;="&amp;CW$2,FECHA_BIT,"&lt;="&amp;CW$3,CLAVE_BIT,$A82)+SUMIFS(SALIDAS_BOV1,FECHA_BOV1,"&gt;="&amp;CW$2,FECHA_BOV1,"&lt;="&amp;CW$3,CLAVE_BOV1,$A82)+SUMIFS(SALIDAS_BOV2,FECHA_BOV2,"&gt;="&amp;CW$2,FECHA_BOV2,"&lt;="&amp;CW$3,CLAVE_BOV2,$A82)+SUMIFS(SALIDAS_BOV3,FECHA_BOV3,"&gt;="&amp;CW$2,FECHA_BOV3,"&lt;="&amp;CW$3,CLAVE_BOV3,$A82)+SUMIFS(SALIDAS_TC,FECHA_TC,"&gt;="&amp;CW$2,FECHA_TC,"&lt;="&amp;CW$3,CLAVE_TC,$A82)+SUMIFS(SALIDAS_COMB,FECHA_COMB,"&gt;="&amp;CW$2,FECHA_COMB,"&lt;="&amp;CW$3,CLAVE_COMB,$A82)+SUMIFS(SALIDAS_DES,FECHA_DESGLOSEN,"&gt;="&amp;CW$2,FECHA_DESGLOSEN,"&lt;="&amp;CW$3,CLAVE_DESGLOSE,$A82)</f>
        <v>0</v>
      </c>
      <c r="CX82" s="13">
        <f>SUMIFS(SALIDAS_BIT,FECHA_BIT,"&gt;="&amp;CX$2,FECHA_BIT,"&lt;="&amp;CX$3,CLAVE_BIT,$A82)+SUMIFS(SALIDAS_BOV1,FECHA_BOV1,"&gt;="&amp;CX$2,FECHA_BOV1,"&lt;="&amp;CX$3,CLAVE_BOV1,$A82)+SUMIFS(SALIDAS_BOV2,FECHA_BOV2,"&gt;="&amp;CX$2,FECHA_BOV2,"&lt;="&amp;CX$3,CLAVE_BOV2,$A82)+SUMIFS(SALIDAS_BOV3,FECHA_BOV3,"&gt;="&amp;CX$2,FECHA_BOV3,"&lt;="&amp;CX$3,CLAVE_BOV3,$A82)+SUMIFS(SALIDAS_TC,FECHA_TC,"&gt;="&amp;CX$2,FECHA_TC,"&lt;="&amp;CX$3,CLAVE_TC,$A82)+SUMIFS(SALIDAS_COMB,FECHA_COMB,"&gt;="&amp;CX$2,FECHA_COMB,"&lt;="&amp;CX$3,CLAVE_COMB,$A82)+SUMIFS(SALIDAS_DES,FECHA_DESGLOSEN,"&gt;="&amp;CX$2,FECHA_DESGLOSEN,"&lt;="&amp;CX$3,CLAVE_DESGLOSE,$A82)</f>
        <v>89659.63</v>
      </c>
      <c r="CY82" s="13">
        <f>SUMIFS(SALIDAS_BIT,FECHA_BIT,"&gt;="&amp;CY$2,FECHA_BIT,"&lt;="&amp;CY$3,CLAVE_BIT,$A82)+SUMIFS(SALIDAS_BOV1,FECHA_BOV1,"&gt;="&amp;CY$2,FECHA_BOV1,"&lt;="&amp;CY$3,CLAVE_BOV1,$A82)+SUMIFS(SALIDAS_BOV2,FECHA_BOV2,"&gt;="&amp;CY$2,FECHA_BOV2,"&lt;="&amp;CY$3,CLAVE_BOV2,$A82)+SUMIFS(SALIDAS_BOV3,FECHA_BOV3,"&gt;="&amp;CY$2,FECHA_BOV3,"&lt;="&amp;CY$3,CLAVE_BOV3,$A82)+SUMIFS(SALIDAS_TC,FECHA_TC,"&gt;="&amp;CY$2,FECHA_TC,"&lt;="&amp;CY$3,CLAVE_TC,$A82)+SUMIFS(SALIDAS_COMB,FECHA_COMB,"&gt;="&amp;CY$2,FECHA_COMB,"&lt;="&amp;CY$3,CLAVE_COMB,$A82)+SUMIFS(SALIDAS_DES,FECHA_DESGLOSEN,"&gt;="&amp;CY$2,FECHA_DESGLOSEN,"&lt;="&amp;CY$3,CLAVE_DESGLOSE,$A82)</f>
        <v>89659.63</v>
      </c>
      <c r="CZ82" s="68">
        <f t="shared" si="175"/>
        <v>-3448.6300000000047</v>
      </c>
      <c r="DB82" s="17">
        <f>F82+N82+W82+AE82+AM82+AV82+BD82+BL82+BU82+CC82+CK82</f>
        <v>894644.30000000016</v>
      </c>
      <c r="DC82" s="17">
        <f>K82+T82+AB82+AJ82+AS82+BA82+BI82+BR82+BZ82+CH82+CQ82</f>
        <v>918536.3</v>
      </c>
    </row>
    <row r="83" spans="1:107" hidden="1">
      <c r="A83" s="12" t="str">
        <f t="shared" si="148"/>
        <v>FINANZASRENTASE1</v>
      </c>
      <c r="B83" s="12">
        <v>85</v>
      </c>
      <c r="C83" t="s">
        <v>23</v>
      </c>
      <c r="D83" s="12" t="s">
        <v>169</v>
      </c>
      <c r="E83" s="12" t="s">
        <v>107</v>
      </c>
      <c r="F83" s="259">
        <f t="shared" si="141"/>
        <v>55560.53</v>
      </c>
      <c r="G83" s="13">
        <f t="shared" si="177"/>
        <v>52914.79</v>
      </c>
      <c r="H83" s="13">
        <f t="shared" si="177"/>
        <v>0</v>
      </c>
      <c r="I83" s="13">
        <f t="shared" si="177"/>
        <v>0</v>
      </c>
      <c r="J83" s="13">
        <f t="shared" si="177"/>
        <v>0</v>
      </c>
      <c r="K83" s="13">
        <f t="shared" si="177"/>
        <v>52914.79</v>
      </c>
      <c r="L83" s="68">
        <f t="shared" si="149"/>
        <v>2645.739999999998</v>
      </c>
      <c r="M83" s="268">
        <f t="shared" si="150"/>
        <v>0.95238094381029126</v>
      </c>
      <c r="N83" s="13">
        <f t="shared" si="142"/>
        <v>55560.53</v>
      </c>
      <c r="O83" s="13">
        <f t="shared" si="178"/>
        <v>52914.79</v>
      </c>
      <c r="P83" s="13">
        <f t="shared" si="178"/>
        <v>0</v>
      </c>
      <c r="Q83" s="13">
        <f t="shared" si="178"/>
        <v>0</v>
      </c>
      <c r="R83" s="13">
        <f t="shared" si="178"/>
        <v>0</v>
      </c>
      <c r="S83" s="13">
        <f t="shared" si="178"/>
        <v>0</v>
      </c>
      <c r="T83" s="13">
        <f t="shared" si="178"/>
        <v>52914.79</v>
      </c>
      <c r="U83" s="68">
        <f t="shared" si="151"/>
        <v>2645.739999999998</v>
      </c>
      <c r="V83" s="268">
        <f t="shared" si="152"/>
        <v>0.95238094381029126</v>
      </c>
      <c r="W83" s="13">
        <f t="shared" si="143"/>
        <v>55560.53</v>
      </c>
      <c r="X83" s="13">
        <f t="shared" si="179"/>
        <v>52914.79</v>
      </c>
      <c r="Y83" s="13">
        <f t="shared" si="179"/>
        <v>0</v>
      </c>
      <c r="Z83" s="13">
        <f t="shared" si="179"/>
        <v>0</v>
      </c>
      <c r="AA83" s="13">
        <f t="shared" si="179"/>
        <v>0</v>
      </c>
      <c r="AB83" s="13">
        <f t="shared" si="179"/>
        <v>52914.79</v>
      </c>
      <c r="AC83" s="68">
        <f t="shared" si="153"/>
        <v>2645.739999999998</v>
      </c>
      <c r="AD83" s="268">
        <f t="shared" si="154"/>
        <v>0.95238094381029126</v>
      </c>
      <c r="AE83" s="13">
        <f t="shared" si="144"/>
        <v>55560.53</v>
      </c>
      <c r="AF83" s="13">
        <f t="shared" si="180"/>
        <v>52914.79</v>
      </c>
      <c r="AG83" s="13">
        <f t="shared" si="180"/>
        <v>0</v>
      </c>
      <c r="AH83" s="13">
        <f t="shared" si="180"/>
        <v>0</v>
      </c>
      <c r="AI83" s="13">
        <f t="shared" si="180"/>
        <v>0</v>
      </c>
      <c r="AJ83" s="13">
        <f t="shared" si="180"/>
        <v>52914.79</v>
      </c>
      <c r="AK83" s="68">
        <f t="shared" si="155"/>
        <v>2645.739999999998</v>
      </c>
      <c r="AL83" s="268">
        <f t="shared" si="156"/>
        <v>0.95238094381029126</v>
      </c>
      <c r="AM83" s="13">
        <f t="shared" si="145"/>
        <v>55560.53</v>
      </c>
      <c r="AN83" s="13">
        <f t="shared" si="181"/>
        <v>52914.79</v>
      </c>
      <c r="AO83" s="13">
        <f t="shared" si="181"/>
        <v>0</v>
      </c>
      <c r="AP83" s="13">
        <f t="shared" si="181"/>
        <v>0</v>
      </c>
      <c r="AQ83" s="13">
        <f t="shared" si="181"/>
        <v>0</v>
      </c>
      <c r="AR83" s="13">
        <f t="shared" si="181"/>
        <v>0</v>
      </c>
      <c r="AS83" s="13">
        <f t="shared" si="181"/>
        <v>52914.79</v>
      </c>
      <c r="AT83" s="68">
        <f>AM83-AS83</f>
        <v>2645.739999999998</v>
      </c>
      <c r="AU83" s="268">
        <f t="shared" si="157"/>
        <v>0.95238094381029126</v>
      </c>
      <c r="AV83" s="13">
        <f t="shared" si="146"/>
        <v>55560.53</v>
      </c>
      <c r="AW83" s="13">
        <f t="shared" si="119"/>
        <v>52914.79</v>
      </c>
      <c r="AX83" s="13">
        <f t="shared" si="119"/>
        <v>0</v>
      </c>
      <c r="AY83" s="13">
        <f t="shared" si="119"/>
        <v>0</v>
      </c>
      <c r="AZ83" s="13">
        <f t="shared" si="119"/>
        <v>0</v>
      </c>
      <c r="BA83" s="13">
        <f t="shared" si="120"/>
        <v>52914.79</v>
      </c>
      <c r="BB83" s="68">
        <f t="shared" si="158"/>
        <v>2645.739999999998</v>
      </c>
      <c r="BC83" s="268">
        <f t="shared" si="159"/>
        <v>0.95238094381029126</v>
      </c>
      <c r="BD83" s="13">
        <f t="shared" si="160"/>
        <v>55560.53</v>
      </c>
      <c r="BE83" s="13">
        <f>SUMIFS(SALIDAS_BIT,FECHA_BIT,"&gt;="&amp;BE$2,FECHA_BIT,"&lt;="&amp;BE$3,CLAVE_BIT,$A83)+SUMIFS(SALIDAS_BOV1,FECHA_BOV1,"&gt;="&amp;BE$2,FECHA_BOV1,"&lt;="&amp;BE$3,CLAVE_BOV1,$A83)+SUMIFS(SALIDAS_BOV2,FECHA_BOV2,"&gt;="&amp;BE$2,FECHA_BOV2,"&lt;="&amp;BE$3,CLAVE_BOV2,$A83)+SUMIFS(SALIDAS_BOV3,FECHA_BOV3,"&gt;="&amp;BE$2,FECHA_BOV3,"&lt;="&amp;BE$3,CLAVE_BOV3,$A83)+SUMIFS(SALIDAS_TC,FECHA_TC,"&gt;="&amp;BE$2,FECHA_TC,"&lt;="&amp;BE$3,CLAVE_TC,$A83)+SUMIFS(SALIDAS_COMB,FECHA_COMB,"&gt;="&amp;BE$2,FECHA_COMB,"&lt;="&amp;BE$3,CLAVE_COMB,$A83)+SUMIFS(SALIDAS_DES,FECHA_DESGLOSEN,"&gt;="&amp;BE$2,FECHA_DESGLOSEN,"&lt;="&amp;BE$3,CLAVE_DESGLOSE,$A83)</f>
        <v>52914.79</v>
      </c>
      <c r="BF83" s="13">
        <f>SUMIFS(SALIDAS_BIT,FECHA_BIT,"&gt;="&amp;BF$2,FECHA_BIT,"&lt;="&amp;BF$3,CLAVE_BIT,$A83)+SUMIFS(SALIDAS_BOV1,FECHA_BOV1,"&gt;="&amp;BF$2,FECHA_BOV1,"&lt;="&amp;BF$3,CLAVE_BOV1,$A83)+SUMIFS(SALIDAS_BOV2,FECHA_BOV2,"&gt;="&amp;BF$2,FECHA_BOV2,"&lt;="&amp;BF$3,CLAVE_BOV2,$A83)+SUMIFS(SALIDAS_BOV3,FECHA_BOV3,"&gt;="&amp;BF$2,FECHA_BOV3,"&lt;="&amp;BF$3,CLAVE_BOV3,$A83)+SUMIFS(SALIDAS_TC,FECHA_TC,"&gt;="&amp;BF$2,FECHA_TC,"&lt;="&amp;BF$3,CLAVE_TC,$A83)+SUMIFS(SALIDAS_COMB,FECHA_COMB,"&gt;="&amp;BF$2,FECHA_COMB,"&lt;="&amp;BF$3,CLAVE_COMB,$A83)+SUMIFS(SALIDAS_DES,FECHA_DESGLOSEN,"&gt;="&amp;BF$2,FECHA_DESGLOSEN,"&lt;="&amp;BF$3,CLAVE_DESGLOSE,$A83)</f>
        <v>0</v>
      </c>
      <c r="BG83" s="13">
        <f>SUMIFS(SALIDAS_BIT,FECHA_BIT,"&gt;="&amp;BG$2,FECHA_BIT,"&lt;="&amp;BG$3,CLAVE_BIT,$A83)+SUMIFS(SALIDAS_BOV1,FECHA_BOV1,"&gt;="&amp;BG$2,FECHA_BOV1,"&lt;="&amp;BG$3,CLAVE_BOV1,$A83)+SUMIFS(SALIDAS_BOV2,FECHA_BOV2,"&gt;="&amp;BG$2,FECHA_BOV2,"&lt;="&amp;BG$3,CLAVE_BOV2,$A83)+SUMIFS(SALIDAS_BOV3,FECHA_BOV3,"&gt;="&amp;BG$2,FECHA_BOV3,"&lt;="&amp;BG$3,CLAVE_BOV3,$A83)+SUMIFS(SALIDAS_TC,FECHA_TC,"&gt;="&amp;BG$2,FECHA_TC,"&lt;="&amp;BG$3,CLAVE_TC,$A83)+SUMIFS(SALIDAS_COMB,FECHA_COMB,"&gt;="&amp;BG$2,FECHA_COMB,"&lt;="&amp;BG$3,CLAVE_COMB,$A83)+SUMIFS(SALIDAS_DES,FECHA_DESGLOSEN,"&gt;="&amp;BG$2,FECHA_DESGLOSEN,"&lt;="&amp;BG$3,CLAVE_DESGLOSE,$A83)</f>
        <v>0</v>
      </c>
      <c r="BH83" s="13">
        <f>SUMIFS(SALIDAS_BIT,FECHA_BIT,"&gt;="&amp;BH$2,FECHA_BIT,"&lt;="&amp;BH$3,CLAVE_BIT,$A83)+SUMIFS(SALIDAS_BOV1,FECHA_BOV1,"&gt;="&amp;BH$2,FECHA_BOV1,"&lt;="&amp;BH$3,CLAVE_BOV1,$A83)+SUMIFS(SALIDAS_BOV2,FECHA_BOV2,"&gt;="&amp;BH$2,FECHA_BOV2,"&lt;="&amp;BH$3,CLAVE_BOV2,$A83)+SUMIFS(SALIDAS_BOV3,FECHA_BOV3,"&gt;="&amp;BH$2,FECHA_BOV3,"&lt;="&amp;BH$3,CLAVE_BOV3,$A83)+SUMIFS(SALIDAS_TC,FECHA_TC,"&gt;="&amp;BH$2,FECHA_TC,"&lt;="&amp;BH$3,CLAVE_TC,$A83)+SUMIFS(SALIDAS_COMB,FECHA_COMB,"&gt;="&amp;BH$2,FECHA_COMB,"&lt;="&amp;BH$3,CLAVE_COMB,$A83)+SUMIFS(SALIDAS_DES,FECHA_DESGLOSEN,"&gt;="&amp;BH$2,FECHA_DESGLOSEN,"&lt;="&amp;BH$3,CLAVE_DESGLOSE,$A83)</f>
        <v>0</v>
      </c>
      <c r="BI83" s="13">
        <f t="shared" si="121"/>
        <v>52914.79</v>
      </c>
      <c r="BJ83" s="68">
        <f t="shared" si="161"/>
        <v>2645.739999999998</v>
      </c>
      <c r="BK83" s="268">
        <f t="shared" si="162"/>
        <v>0.95238094381029126</v>
      </c>
      <c r="BL83" s="13">
        <f t="shared" si="163"/>
        <v>55560.53</v>
      </c>
      <c r="BM83" s="13">
        <f>SUMIFS(SALIDAS_BIT,FECHA_BIT,"&gt;="&amp;BM$2,FECHA_BIT,"&lt;="&amp;BM$3,CLAVE_BIT,$A83)+SUMIFS(SALIDAS_BOV1,FECHA_BOV1,"&gt;="&amp;BM$2,FECHA_BOV1,"&lt;="&amp;BM$3,CLAVE_BOV1,$A83)+SUMIFS(SALIDAS_BOV2,FECHA_BOV2,"&gt;="&amp;BM$2,FECHA_BOV2,"&lt;="&amp;BM$3,CLAVE_BOV2,$A83)+SUMIFS(SALIDAS_BOV3,FECHA_BOV3,"&gt;="&amp;BM$2,FECHA_BOV3,"&lt;="&amp;BM$3,CLAVE_BOV3,$A83)+SUMIFS(SALIDAS_TC,FECHA_TC,"&gt;="&amp;BM$2,FECHA_TC,"&lt;="&amp;BM$3,CLAVE_TC,$A83)+SUMIFS(SALIDAS_COMB,FECHA_COMB,"&gt;="&amp;BM$2,FECHA_COMB,"&lt;="&amp;BM$3,CLAVE_COMB,$A83)+SUMIFS(SALIDAS_DES,FECHA_DESGLOSEN,"&gt;="&amp;BM$2,FECHA_DESGLOSEN,"&lt;="&amp;BM$3,CLAVE_DESGLOSE,$A83)</f>
        <v>52914.79</v>
      </c>
      <c r="BN83" s="13">
        <f>SUMIFS(SALIDAS_BIT,FECHA_BIT,"&gt;="&amp;BN$2,FECHA_BIT,"&lt;="&amp;BN$3,CLAVE_BIT,$A83)+SUMIFS(SALIDAS_BOV1,FECHA_BOV1,"&gt;="&amp;BN$2,FECHA_BOV1,"&lt;="&amp;BN$3,CLAVE_BOV1,$A83)+SUMIFS(SALIDAS_BOV2,FECHA_BOV2,"&gt;="&amp;BN$2,FECHA_BOV2,"&lt;="&amp;BN$3,CLAVE_BOV2,$A83)+SUMIFS(SALIDAS_BOV3,FECHA_BOV3,"&gt;="&amp;BN$2,FECHA_BOV3,"&lt;="&amp;BN$3,CLAVE_BOV3,$A83)+SUMIFS(SALIDAS_TC,FECHA_TC,"&gt;="&amp;BN$2,FECHA_TC,"&lt;="&amp;BN$3,CLAVE_TC,$A83)+SUMIFS(SALIDAS_COMB,FECHA_COMB,"&gt;="&amp;BN$2,FECHA_COMB,"&lt;="&amp;BN$3,CLAVE_COMB,$A83)+SUMIFS(SALIDAS_DES,FECHA_DESGLOSEN,"&gt;="&amp;BN$2,FECHA_DESGLOSEN,"&lt;="&amp;BN$3,CLAVE_DESGLOSE,$A83)</f>
        <v>0</v>
      </c>
      <c r="BO83" s="13">
        <f>SUMIFS(SALIDAS_BIT,FECHA_BIT,"&gt;="&amp;BO$2,FECHA_BIT,"&lt;="&amp;BO$3,CLAVE_BIT,$A83)+SUMIFS(SALIDAS_BOV1,FECHA_BOV1,"&gt;="&amp;BO$2,FECHA_BOV1,"&lt;="&amp;BO$3,CLAVE_BOV1,$A83)+SUMIFS(SALIDAS_BOV2,FECHA_BOV2,"&gt;="&amp;BO$2,FECHA_BOV2,"&lt;="&amp;BO$3,CLAVE_BOV2,$A83)+SUMIFS(SALIDAS_BOV3,FECHA_BOV3,"&gt;="&amp;BO$2,FECHA_BOV3,"&lt;="&amp;BO$3,CLAVE_BOV3,$A83)+SUMIFS(SALIDAS_TC,FECHA_TC,"&gt;="&amp;BO$2,FECHA_TC,"&lt;="&amp;BO$3,CLAVE_TC,$A83)+SUMIFS(SALIDAS_COMB,FECHA_COMB,"&gt;="&amp;BO$2,FECHA_COMB,"&lt;="&amp;BO$3,CLAVE_COMB,$A83)+SUMIFS(SALIDAS_DES,FECHA_DESGLOSEN,"&gt;="&amp;BO$2,FECHA_DESGLOSEN,"&lt;="&amp;BO$3,CLAVE_DESGLOSE,$A83)</f>
        <v>0</v>
      </c>
      <c r="BP83" s="13">
        <f>SUMIFS(SALIDAS_BIT,FECHA_BIT,"&gt;="&amp;BP$2,FECHA_BIT,"&lt;="&amp;BP$3,CLAVE_BIT,$A83)+SUMIFS(SALIDAS_BOV1,FECHA_BOV1,"&gt;="&amp;BP$2,FECHA_BOV1,"&lt;="&amp;BP$3,CLAVE_BOV1,$A83)+SUMIFS(SALIDAS_BOV2,FECHA_BOV2,"&gt;="&amp;BP$2,FECHA_BOV2,"&lt;="&amp;BP$3,CLAVE_BOV2,$A83)+SUMIFS(SALIDAS_BOV3,FECHA_BOV3,"&gt;="&amp;BP$2,FECHA_BOV3,"&lt;="&amp;BP$3,CLAVE_BOV3,$A83)+SUMIFS(SALIDAS_TC,FECHA_TC,"&gt;="&amp;BP$2,FECHA_TC,"&lt;="&amp;BP$3,CLAVE_TC,$A83)+SUMIFS(SALIDAS_COMB,FECHA_COMB,"&gt;="&amp;BP$2,FECHA_COMB,"&lt;="&amp;BP$3,CLAVE_COMB,$A83)+SUMIFS(SALIDAS_DES,FECHA_DESGLOSEN,"&gt;="&amp;BP$2,FECHA_DESGLOSEN,"&lt;="&amp;BP$3,CLAVE_DESGLOSE,$A83)</f>
        <v>0</v>
      </c>
      <c r="BQ83" s="13">
        <f>SUMIFS(SALIDAS_BIT,FECHA_BIT,"&gt;="&amp;BQ$2,FECHA_BIT,"&lt;="&amp;BQ$3,CLAVE_BIT,$A83)+SUMIFS(SALIDAS_BOV1,FECHA_BOV1,"&gt;="&amp;BQ$2,FECHA_BOV1,"&lt;="&amp;BQ$3,CLAVE_BOV1,$A83)+SUMIFS(SALIDAS_BOV2,FECHA_BOV2,"&gt;="&amp;BQ$2,FECHA_BOV2,"&lt;="&amp;BQ$3,CLAVE_BOV2,$A83)+SUMIFS(SALIDAS_BOV3,FECHA_BOV3,"&gt;="&amp;BQ$2,FECHA_BOV3,"&lt;="&amp;BQ$3,CLAVE_BOV3,$A83)+SUMIFS(SALIDAS_TC,FECHA_TC,"&gt;="&amp;BQ$2,FECHA_TC,"&lt;="&amp;BQ$3,CLAVE_TC,$A83)+SUMIFS(SALIDAS_COMB,FECHA_COMB,"&gt;="&amp;BQ$2,FECHA_COMB,"&lt;="&amp;BQ$3,CLAVE_COMB,$A83)+SUMIFS(SALIDAS_DES,FECHA_DESGLOSEN,"&gt;="&amp;BQ$2,FECHA_DESGLOSEN,"&lt;="&amp;BQ$3,CLAVE_DESGLOSE,$A83)</f>
        <v>0</v>
      </c>
      <c r="BR83" s="13">
        <f t="shared" si="182"/>
        <v>52914.79</v>
      </c>
      <c r="BS83" s="68">
        <f t="shared" si="164"/>
        <v>2645.739999999998</v>
      </c>
      <c r="BT83" s="268">
        <f t="shared" si="165"/>
        <v>0.95238094381029126</v>
      </c>
      <c r="BU83" s="13">
        <f t="shared" si="166"/>
        <v>55560.53</v>
      </c>
      <c r="BV83" s="13">
        <f t="shared" si="90"/>
        <v>55560.53</v>
      </c>
      <c r="BW83" s="13">
        <f t="shared" si="90"/>
        <v>0</v>
      </c>
      <c r="BX83" s="13">
        <f t="shared" si="90"/>
        <v>0</v>
      </c>
      <c r="BY83" s="13">
        <f t="shared" si="90"/>
        <v>0</v>
      </c>
      <c r="BZ83" s="13">
        <f t="shared" si="183"/>
        <v>55560.53</v>
      </c>
      <c r="CA83" s="68">
        <f t="shared" si="167"/>
        <v>0</v>
      </c>
      <c r="CB83" s="268">
        <f t="shared" si="168"/>
        <v>1</v>
      </c>
      <c r="CC83" s="13">
        <f t="shared" si="169"/>
        <v>55560.53</v>
      </c>
      <c r="CD83" s="13">
        <f t="shared" si="91"/>
        <v>55560.53</v>
      </c>
      <c r="CE83" s="13">
        <f t="shared" si="91"/>
        <v>0</v>
      </c>
      <c r="CF83" s="13">
        <f t="shared" si="91"/>
        <v>0</v>
      </c>
      <c r="CG83" s="13">
        <f t="shared" si="91"/>
        <v>0</v>
      </c>
      <c r="CH83" s="13">
        <f t="shared" si="184"/>
        <v>55560.53</v>
      </c>
      <c r="CI83" s="68">
        <f t="shared" si="170"/>
        <v>0</v>
      </c>
      <c r="CJ83" s="268">
        <f t="shared" si="171"/>
        <v>1</v>
      </c>
      <c r="CK83" s="13">
        <f t="shared" si="172"/>
        <v>55560.53</v>
      </c>
      <c r="CL83" s="13">
        <f t="shared" si="176"/>
        <v>0</v>
      </c>
      <c r="CM83" s="13">
        <f t="shared" si="176"/>
        <v>55560.53</v>
      </c>
      <c r="CN83" s="13">
        <f t="shared" si="176"/>
        <v>0</v>
      </c>
      <c r="CO83" s="13">
        <f t="shared" si="176"/>
        <v>0</v>
      </c>
      <c r="CP83" s="13">
        <f t="shared" si="176"/>
        <v>0</v>
      </c>
      <c r="CQ83" s="13">
        <f t="shared" si="185"/>
        <v>55560.53</v>
      </c>
      <c r="CR83" s="68">
        <f t="shared" si="173"/>
        <v>0</v>
      </c>
      <c r="CS83" s="268">
        <f t="shared" si="174"/>
        <v>1</v>
      </c>
      <c r="CT83" s="68">
        <f t="shared" si="147"/>
        <v>58894</v>
      </c>
      <c r="CU83" s="13">
        <f>SUMIFS(SALIDAS_BIT,FECHA_BIT,"&gt;="&amp;CU$2,FECHA_BIT,"&lt;="&amp;CU$3,CLAVE_BIT,$A83)+SUMIFS(SALIDAS_BOV1,FECHA_BOV1,"&gt;="&amp;CU$2,FECHA_BOV1,"&lt;="&amp;CU$3,CLAVE_BOV1,$A83)+SUMIFS(SALIDAS_BOV2,FECHA_BOV2,"&gt;="&amp;CU$2,FECHA_BOV2,"&lt;="&amp;CU$3,CLAVE_BOV2,$A83)+SUMIFS(SALIDAS_BOV3,FECHA_BOV3,"&gt;="&amp;CU$2,FECHA_BOV3,"&lt;="&amp;CU$3,CLAVE_BOV3,$A83)+SUMIFS(SALIDAS_TC,FECHA_TC,"&gt;="&amp;CU$2,FECHA_TC,"&lt;="&amp;CU$3,CLAVE_TC,$A83)+SUMIFS(SALIDAS_COMB,FECHA_COMB,"&gt;="&amp;CU$2,FECHA_COMB,"&lt;="&amp;CU$3,CLAVE_COMB,$A83)+SUMIFS(SALIDAS_DES,FECHA_DESGLOSEN,"&gt;="&amp;CU$2,FECHA_DESGLOSEN,"&lt;="&amp;CU$3,CLAVE_DESGLOSE,$A83)</f>
        <v>55560.53</v>
      </c>
      <c r="CV83" s="13">
        <f>SUMIFS(SALIDAS_BIT,FECHA_BIT,"&gt;="&amp;CV$2,FECHA_BIT,"&lt;="&amp;CV$3,CLAVE_BIT,$A83)+SUMIFS(SALIDAS_BOV1,FECHA_BOV1,"&gt;="&amp;CV$2,FECHA_BOV1,"&lt;="&amp;CV$3,CLAVE_BOV1,$A83)+SUMIFS(SALIDAS_BOV2,FECHA_BOV2,"&gt;="&amp;CV$2,FECHA_BOV2,"&lt;="&amp;CV$3,CLAVE_BOV2,$A83)+SUMIFS(SALIDAS_BOV3,FECHA_BOV3,"&gt;="&amp;CV$2,FECHA_BOV3,"&lt;="&amp;CV$3,CLAVE_BOV3,$A83)+SUMIFS(SALIDAS_TC,FECHA_TC,"&gt;="&amp;CV$2,FECHA_TC,"&lt;="&amp;CV$3,CLAVE_TC,$A83)+SUMIFS(SALIDAS_COMB,FECHA_COMB,"&gt;="&amp;CV$2,FECHA_COMB,"&lt;="&amp;CV$3,CLAVE_COMB,$A83)+SUMIFS(SALIDAS_DES,FECHA_DESGLOSEN,"&gt;="&amp;CV$2,FECHA_DESGLOSEN,"&lt;="&amp;CV$3,CLAVE_DESGLOSE,$A83)</f>
        <v>0</v>
      </c>
      <c r="CW83" s="13">
        <f>SUMIFS(SALIDAS_BIT,FECHA_BIT,"&gt;="&amp;CW$2,FECHA_BIT,"&lt;="&amp;CW$3,CLAVE_BIT,$A83)+SUMIFS(SALIDAS_BOV1,FECHA_BOV1,"&gt;="&amp;CW$2,FECHA_BOV1,"&lt;="&amp;CW$3,CLAVE_BOV1,$A83)+SUMIFS(SALIDAS_BOV2,FECHA_BOV2,"&gt;="&amp;CW$2,FECHA_BOV2,"&lt;="&amp;CW$3,CLAVE_BOV2,$A83)+SUMIFS(SALIDAS_BOV3,FECHA_BOV3,"&gt;="&amp;CW$2,FECHA_BOV3,"&lt;="&amp;CW$3,CLAVE_BOV3,$A83)+SUMIFS(SALIDAS_TC,FECHA_TC,"&gt;="&amp;CW$2,FECHA_TC,"&lt;="&amp;CW$3,CLAVE_TC,$A83)+SUMIFS(SALIDAS_COMB,FECHA_COMB,"&gt;="&amp;CW$2,FECHA_COMB,"&lt;="&amp;CW$3,CLAVE_COMB,$A83)+SUMIFS(SALIDAS_DES,FECHA_DESGLOSEN,"&gt;="&amp;CW$2,FECHA_DESGLOSEN,"&lt;="&amp;CW$3,CLAVE_DESGLOSE,$A83)</f>
        <v>0</v>
      </c>
      <c r="CX83" s="13">
        <f>SUMIFS(SALIDAS_BIT,FECHA_BIT,"&gt;="&amp;CX$2,FECHA_BIT,"&lt;="&amp;CX$3,CLAVE_BIT,$A83)+SUMIFS(SALIDAS_BOV1,FECHA_BOV1,"&gt;="&amp;CX$2,FECHA_BOV1,"&lt;="&amp;CX$3,CLAVE_BOV1,$A83)+SUMIFS(SALIDAS_BOV2,FECHA_BOV2,"&gt;="&amp;CX$2,FECHA_BOV2,"&lt;="&amp;CX$3,CLAVE_BOV2,$A83)+SUMIFS(SALIDAS_BOV3,FECHA_BOV3,"&gt;="&amp;CX$2,FECHA_BOV3,"&lt;="&amp;CX$3,CLAVE_BOV3,$A83)+SUMIFS(SALIDAS_TC,FECHA_TC,"&gt;="&amp;CX$2,FECHA_TC,"&lt;="&amp;CX$3,CLAVE_TC,$A83)+SUMIFS(SALIDAS_COMB,FECHA_COMB,"&gt;="&amp;CX$2,FECHA_COMB,"&lt;="&amp;CX$3,CLAVE_COMB,$A83)+SUMIFS(SALIDAS_DES,FECHA_DESGLOSEN,"&gt;="&amp;CX$2,FECHA_DESGLOSEN,"&lt;="&amp;CX$3,CLAVE_DESGLOSE,$A83)</f>
        <v>0</v>
      </c>
      <c r="CY83" s="13">
        <f>SUMIFS(SALIDAS_BIT,FECHA_BIT,"&gt;="&amp;CY$2,FECHA_BIT,"&lt;="&amp;CY$3,CLAVE_BIT,$A83)+SUMIFS(SALIDAS_BOV1,FECHA_BOV1,"&gt;="&amp;CY$2,FECHA_BOV1,"&lt;="&amp;CY$3,CLAVE_BOV1,$A83)+SUMIFS(SALIDAS_BOV2,FECHA_BOV2,"&gt;="&amp;CY$2,FECHA_BOV2,"&lt;="&amp;CY$3,CLAVE_BOV2,$A83)+SUMIFS(SALIDAS_BOV3,FECHA_BOV3,"&gt;="&amp;CY$2,FECHA_BOV3,"&lt;="&amp;CY$3,CLAVE_BOV3,$A83)+SUMIFS(SALIDAS_TC,FECHA_TC,"&gt;="&amp;CY$2,FECHA_TC,"&lt;="&amp;CY$3,CLAVE_TC,$A83)+SUMIFS(SALIDAS_COMB,FECHA_COMB,"&gt;="&amp;CY$2,FECHA_COMB,"&lt;="&amp;CY$3,CLAVE_COMB,$A83)+SUMIFS(SALIDAS_DES,FECHA_DESGLOSEN,"&gt;="&amp;CY$2,FECHA_DESGLOSEN,"&lt;="&amp;CY$3,CLAVE_DESGLOSE,$A83)</f>
        <v>55560.53</v>
      </c>
      <c r="CZ83" s="68">
        <f t="shared" si="175"/>
        <v>3333.4700000000012</v>
      </c>
      <c r="DB83" s="17">
        <f>F83+N83+W83+AE83+AM83+AV83+BD83+BL83+BU83+CC83+CK83</f>
        <v>611165.83000000019</v>
      </c>
      <c r="DC83" s="17">
        <f>K83+T83+AB83+AJ83+AS83+BA83+BI83+BR83+BZ83+CH83+CQ83</f>
        <v>589999.91</v>
      </c>
    </row>
    <row r="84" spans="1:107" hidden="1">
      <c r="A84" s="12" t="str">
        <f t="shared" si="148"/>
        <v>FINANZASRENTASE2</v>
      </c>
      <c r="B84" s="12">
        <v>86</v>
      </c>
      <c r="C84" t="s">
        <v>23</v>
      </c>
      <c r="D84" s="12" t="s">
        <v>169</v>
      </c>
      <c r="E84" s="12" t="s">
        <v>108</v>
      </c>
      <c r="F84" s="259">
        <f t="shared" si="141"/>
        <v>138305.91</v>
      </c>
      <c r="G84" s="13">
        <f t="shared" si="177"/>
        <v>138305.91</v>
      </c>
      <c r="H84" s="13">
        <f t="shared" si="177"/>
        <v>0</v>
      </c>
      <c r="I84" s="13">
        <f t="shared" si="177"/>
        <v>0</v>
      </c>
      <c r="J84" s="13">
        <f t="shared" si="177"/>
        <v>0</v>
      </c>
      <c r="K84" s="13">
        <f t="shared" si="177"/>
        <v>138305.91</v>
      </c>
      <c r="L84" s="68">
        <f t="shared" si="149"/>
        <v>0</v>
      </c>
      <c r="M84" s="268">
        <f t="shared" si="150"/>
        <v>1</v>
      </c>
      <c r="N84" s="13">
        <f t="shared" si="142"/>
        <v>138305.91</v>
      </c>
      <c r="O84" s="13">
        <f t="shared" si="178"/>
        <v>0</v>
      </c>
      <c r="P84" s="13">
        <f t="shared" si="178"/>
        <v>129257.86</v>
      </c>
      <c r="Q84" s="13">
        <f t="shared" si="178"/>
        <v>0</v>
      </c>
      <c r="R84" s="13">
        <f t="shared" si="178"/>
        <v>0</v>
      </c>
      <c r="S84" s="13">
        <f t="shared" si="178"/>
        <v>0</v>
      </c>
      <c r="T84" s="13">
        <f t="shared" si="178"/>
        <v>129257.86</v>
      </c>
      <c r="U84" s="68">
        <f t="shared" si="151"/>
        <v>9048.0500000000029</v>
      </c>
      <c r="V84" s="268">
        <f t="shared" si="152"/>
        <v>0.93457944060380349</v>
      </c>
      <c r="W84" s="13">
        <f t="shared" si="143"/>
        <v>138305.91</v>
      </c>
      <c r="X84" s="13">
        <f t="shared" si="179"/>
        <v>139003.9</v>
      </c>
      <c r="Y84" s="13">
        <f t="shared" si="179"/>
        <v>0</v>
      </c>
      <c r="Z84" s="13">
        <f t="shared" si="179"/>
        <v>0</v>
      </c>
      <c r="AA84" s="13">
        <f t="shared" si="179"/>
        <v>0</v>
      </c>
      <c r="AB84" s="13">
        <f t="shared" si="179"/>
        <v>139003.9</v>
      </c>
      <c r="AC84" s="68">
        <f t="shared" si="153"/>
        <v>-697.98999999999069</v>
      </c>
      <c r="AD84" s="268">
        <f t="shared" si="154"/>
        <v>1.0050467113082875</v>
      </c>
      <c r="AE84" s="13">
        <f t="shared" si="144"/>
        <v>138305.91</v>
      </c>
      <c r="AF84" s="13">
        <f t="shared" si="180"/>
        <v>134130.88</v>
      </c>
      <c r="AG84" s="13">
        <f t="shared" si="180"/>
        <v>0</v>
      </c>
      <c r="AH84" s="13">
        <f t="shared" si="180"/>
        <v>0</v>
      </c>
      <c r="AI84" s="13">
        <f t="shared" si="180"/>
        <v>0</v>
      </c>
      <c r="AJ84" s="13">
        <f t="shared" si="180"/>
        <v>134130.88</v>
      </c>
      <c r="AK84" s="68">
        <f t="shared" si="155"/>
        <v>4175.0299999999988</v>
      </c>
      <c r="AL84" s="268">
        <f t="shared" si="156"/>
        <v>0.9698130759560456</v>
      </c>
      <c r="AM84" s="13">
        <f t="shared" si="145"/>
        <v>138305.91</v>
      </c>
      <c r="AN84" s="13">
        <f t="shared" si="181"/>
        <v>0</v>
      </c>
      <c r="AO84" s="13">
        <f t="shared" si="181"/>
        <v>134130.88</v>
      </c>
      <c r="AP84" s="13">
        <f t="shared" si="181"/>
        <v>0</v>
      </c>
      <c r="AQ84" s="13">
        <f t="shared" si="181"/>
        <v>0</v>
      </c>
      <c r="AR84" s="13">
        <f t="shared" si="181"/>
        <v>134130</v>
      </c>
      <c r="AS84" s="13">
        <f t="shared" si="181"/>
        <v>268260.88</v>
      </c>
      <c r="AT84" s="68">
        <f>AM84-AS84</f>
        <v>-129954.97</v>
      </c>
      <c r="AU84" s="268">
        <f t="shared" si="157"/>
        <v>1.9396197892049587</v>
      </c>
      <c r="AV84" s="13">
        <f t="shared" si="146"/>
        <v>138305.91</v>
      </c>
      <c r="AW84" s="13">
        <f t="shared" si="119"/>
        <v>0</v>
      </c>
      <c r="AX84" s="13">
        <f t="shared" si="119"/>
        <v>0</v>
      </c>
      <c r="AY84" s="13">
        <f t="shared" si="119"/>
        <v>0</v>
      </c>
      <c r="AZ84" s="13">
        <f t="shared" si="119"/>
        <v>0</v>
      </c>
      <c r="BA84" s="13">
        <f t="shared" si="120"/>
        <v>0</v>
      </c>
      <c r="BB84" s="68">
        <f t="shared" si="158"/>
        <v>138305.91</v>
      </c>
      <c r="BC84" s="268">
        <f t="shared" si="159"/>
        <v>0</v>
      </c>
      <c r="BD84" s="13">
        <f t="shared" si="160"/>
        <v>138305.91</v>
      </c>
      <c r="BE84" s="13">
        <f>SUMIFS(SALIDAS_BIT,FECHA_BIT,"&gt;="&amp;BE$2,FECHA_BIT,"&lt;="&amp;BE$3,CLAVE_BIT,$A84)+SUMIFS(SALIDAS_BOV1,FECHA_BOV1,"&gt;="&amp;BE$2,FECHA_BOV1,"&lt;="&amp;BE$3,CLAVE_BOV1,$A84)+SUMIFS(SALIDAS_BOV2,FECHA_BOV2,"&gt;="&amp;BE$2,FECHA_BOV2,"&lt;="&amp;BE$3,CLAVE_BOV2,$A84)+SUMIFS(SALIDAS_BOV3,FECHA_BOV3,"&gt;="&amp;BE$2,FECHA_BOV3,"&lt;="&amp;BE$3,CLAVE_BOV3,$A84)+SUMIFS(SALIDAS_TC,FECHA_TC,"&gt;="&amp;BE$2,FECHA_TC,"&lt;="&amp;BE$3,CLAVE_TC,$A84)+SUMIFS(SALIDAS_COMB,FECHA_COMB,"&gt;="&amp;BE$2,FECHA_COMB,"&lt;="&amp;BE$3,CLAVE_COMB,$A84)+SUMIFS(SALIDAS_DES,FECHA_DESGLOSEN,"&gt;="&amp;BE$2,FECHA_DESGLOSEN,"&lt;="&amp;BE$3,CLAVE_DESGLOSE,$A84)</f>
        <v>134130.88</v>
      </c>
      <c r="BF84" s="13">
        <f>SUMIFS(SALIDAS_BIT,FECHA_BIT,"&gt;="&amp;BF$2,FECHA_BIT,"&lt;="&amp;BF$3,CLAVE_BIT,$A84)+SUMIFS(SALIDAS_BOV1,FECHA_BOV1,"&gt;="&amp;BF$2,FECHA_BOV1,"&lt;="&amp;BF$3,CLAVE_BOV1,$A84)+SUMIFS(SALIDAS_BOV2,FECHA_BOV2,"&gt;="&amp;BF$2,FECHA_BOV2,"&lt;="&amp;BF$3,CLAVE_BOV2,$A84)+SUMIFS(SALIDAS_BOV3,FECHA_BOV3,"&gt;="&amp;BF$2,FECHA_BOV3,"&lt;="&amp;BF$3,CLAVE_BOV3,$A84)+SUMIFS(SALIDAS_TC,FECHA_TC,"&gt;="&amp;BF$2,FECHA_TC,"&lt;="&amp;BF$3,CLAVE_TC,$A84)+SUMIFS(SALIDAS_COMB,FECHA_COMB,"&gt;="&amp;BF$2,FECHA_COMB,"&lt;="&amp;BF$3,CLAVE_COMB,$A84)+SUMIFS(SALIDAS_DES,FECHA_DESGLOSEN,"&gt;="&amp;BF$2,FECHA_DESGLOSEN,"&lt;="&amp;BF$3,CLAVE_DESGLOSE,$A84)</f>
        <v>0</v>
      </c>
      <c r="BG84" s="13">
        <f>SUMIFS(SALIDAS_BIT,FECHA_BIT,"&gt;="&amp;BG$2,FECHA_BIT,"&lt;="&amp;BG$3,CLAVE_BIT,$A84)+SUMIFS(SALIDAS_BOV1,FECHA_BOV1,"&gt;="&amp;BG$2,FECHA_BOV1,"&lt;="&amp;BG$3,CLAVE_BOV1,$A84)+SUMIFS(SALIDAS_BOV2,FECHA_BOV2,"&gt;="&amp;BG$2,FECHA_BOV2,"&lt;="&amp;BG$3,CLAVE_BOV2,$A84)+SUMIFS(SALIDAS_BOV3,FECHA_BOV3,"&gt;="&amp;BG$2,FECHA_BOV3,"&lt;="&amp;BG$3,CLAVE_BOV3,$A84)+SUMIFS(SALIDAS_TC,FECHA_TC,"&gt;="&amp;BG$2,FECHA_TC,"&lt;="&amp;BG$3,CLAVE_TC,$A84)+SUMIFS(SALIDAS_COMB,FECHA_COMB,"&gt;="&amp;BG$2,FECHA_COMB,"&lt;="&amp;BG$3,CLAVE_COMB,$A84)+SUMIFS(SALIDAS_DES,FECHA_DESGLOSEN,"&gt;="&amp;BG$2,FECHA_DESGLOSEN,"&lt;="&amp;BG$3,CLAVE_DESGLOSE,$A84)</f>
        <v>0</v>
      </c>
      <c r="BH84" s="13">
        <f>SUMIFS(SALIDAS_BIT,FECHA_BIT,"&gt;="&amp;BH$2,FECHA_BIT,"&lt;="&amp;BH$3,CLAVE_BIT,$A84)+SUMIFS(SALIDAS_BOV1,FECHA_BOV1,"&gt;="&amp;BH$2,FECHA_BOV1,"&lt;="&amp;BH$3,CLAVE_BOV1,$A84)+SUMIFS(SALIDAS_BOV2,FECHA_BOV2,"&gt;="&amp;BH$2,FECHA_BOV2,"&lt;="&amp;BH$3,CLAVE_BOV2,$A84)+SUMIFS(SALIDAS_BOV3,FECHA_BOV3,"&gt;="&amp;BH$2,FECHA_BOV3,"&lt;="&amp;BH$3,CLAVE_BOV3,$A84)+SUMIFS(SALIDAS_TC,FECHA_TC,"&gt;="&amp;BH$2,FECHA_TC,"&lt;="&amp;BH$3,CLAVE_TC,$A84)+SUMIFS(SALIDAS_COMB,FECHA_COMB,"&gt;="&amp;BH$2,FECHA_COMB,"&lt;="&amp;BH$3,CLAVE_COMB,$A84)+SUMIFS(SALIDAS_DES,FECHA_DESGLOSEN,"&gt;="&amp;BH$2,FECHA_DESGLOSEN,"&lt;="&amp;BH$3,CLAVE_DESGLOSE,$A84)</f>
        <v>0</v>
      </c>
      <c r="BI84" s="13">
        <f t="shared" si="121"/>
        <v>134130.88</v>
      </c>
      <c r="BJ84" s="68">
        <f t="shared" si="161"/>
        <v>4175.0299999999988</v>
      </c>
      <c r="BK84" s="268">
        <f t="shared" si="162"/>
        <v>0.9698130759560456</v>
      </c>
      <c r="BL84" s="13">
        <f t="shared" si="163"/>
        <v>138305.91</v>
      </c>
      <c r="BM84" s="13">
        <f>SUMIFS(SALIDAS_BIT,FECHA_BIT,"&gt;="&amp;BM$2,FECHA_BIT,"&lt;="&amp;BM$3,CLAVE_BIT,$A84)+SUMIFS(SALIDAS_BOV1,FECHA_BOV1,"&gt;="&amp;BM$2,FECHA_BOV1,"&lt;="&amp;BM$3,CLAVE_BOV1,$A84)+SUMIFS(SALIDAS_BOV2,FECHA_BOV2,"&gt;="&amp;BM$2,FECHA_BOV2,"&lt;="&amp;BM$3,CLAVE_BOV2,$A84)+SUMIFS(SALIDAS_BOV3,FECHA_BOV3,"&gt;="&amp;BM$2,FECHA_BOV3,"&lt;="&amp;BM$3,CLAVE_BOV3,$A84)+SUMIFS(SALIDAS_TC,FECHA_TC,"&gt;="&amp;BM$2,FECHA_TC,"&lt;="&amp;BM$3,CLAVE_TC,$A84)+SUMIFS(SALIDAS_COMB,FECHA_COMB,"&gt;="&amp;BM$2,FECHA_COMB,"&lt;="&amp;BM$3,CLAVE_COMB,$A84)+SUMIFS(SALIDAS_DES,FECHA_DESGLOSEN,"&gt;="&amp;BM$2,FECHA_DESGLOSEN,"&lt;="&amp;BM$3,CLAVE_DESGLOSE,$A84)</f>
        <v>134130.88</v>
      </c>
      <c r="BN84" s="13">
        <f>SUMIFS(SALIDAS_BIT,FECHA_BIT,"&gt;="&amp;BN$2,FECHA_BIT,"&lt;="&amp;BN$3,CLAVE_BIT,$A84)+SUMIFS(SALIDAS_BOV1,FECHA_BOV1,"&gt;="&amp;BN$2,FECHA_BOV1,"&lt;="&amp;BN$3,CLAVE_BOV1,$A84)+SUMIFS(SALIDAS_BOV2,FECHA_BOV2,"&gt;="&amp;BN$2,FECHA_BOV2,"&lt;="&amp;BN$3,CLAVE_BOV2,$A84)+SUMIFS(SALIDAS_BOV3,FECHA_BOV3,"&gt;="&amp;BN$2,FECHA_BOV3,"&lt;="&amp;BN$3,CLAVE_BOV3,$A84)+SUMIFS(SALIDAS_TC,FECHA_TC,"&gt;="&amp;BN$2,FECHA_TC,"&lt;="&amp;BN$3,CLAVE_TC,$A84)+SUMIFS(SALIDAS_COMB,FECHA_COMB,"&gt;="&amp;BN$2,FECHA_COMB,"&lt;="&amp;BN$3,CLAVE_COMB,$A84)+SUMIFS(SALIDAS_DES,FECHA_DESGLOSEN,"&gt;="&amp;BN$2,FECHA_DESGLOSEN,"&lt;="&amp;BN$3,CLAVE_DESGLOSE,$A84)</f>
        <v>0</v>
      </c>
      <c r="BO84" s="13">
        <f>SUMIFS(SALIDAS_BIT,FECHA_BIT,"&gt;="&amp;BO$2,FECHA_BIT,"&lt;="&amp;BO$3,CLAVE_BIT,$A84)+SUMIFS(SALIDAS_BOV1,FECHA_BOV1,"&gt;="&amp;BO$2,FECHA_BOV1,"&lt;="&amp;BO$3,CLAVE_BOV1,$A84)+SUMIFS(SALIDAS_BOV2,FECHA_BOV2,"&gt;="&amp;BO$2,FECHA_BOV2,"&lt;="&amp;BO$3,CLAVE_BOV2,$A84)+SUMIFS(SALIDAS_BOV3,FECHA_BOV3,"&gt;="&amp;BO$2,FECHA_BOV3,"&lt;="&amp;BO$3,CLAVE_BOV3,$A84)+SUMIFS(SALIDAS_TC,FECHA_TC,"&gt;="&amp;BO$2,FECHA_TC,"&lt;="&amp;BO$3,CLAVE_TC,$A84)+SUMIFS(SALIDAS_COMB,FECHA_COMB,"&gt;="&amp;BO$2,FECHA_COMB,"&lt;="&amp;BO$3,CLAVE_COMB,$A84)+SUMIFS(SALIDAS_DES,FECHA_DESGLOSEN,"&gt;="&amp;BO$2,FECHA_DESGLOSEN,"&lt;="&amp;BO$3,CLAVE_DESGLOSE,$A84)</f>
        <v>0</v>
      </c>
      <c r="BP84" s="13">
        <f>SUMIFS(SALIDAS_BIT,FECHA_BIT,"&gt;="&amp;BP$2,FECHA_BIT,"&lt;="&amp;BP$3,CLAVE_BIT,$A84)+SUMIFS(SALIDAS_BOV1,FECHA_BOV1,"&gt;="&amp;BP$2,FECHA_BOV1,"&lt;="&amp;BP$3,CLAVE_BOV1,$A84)+SUMIFS(SALIDAS_BOV2,FECHA_BOV2,"&gt;="&amp;BP$2,FECHA_BOV2,"&lt;="&amp;BP$3,CLAVE_BOV2,$A84)+SUMIFS(SALIDAS_BOV3,FECHA_BOV3,"&gt;="&amp;BP$2,FECHA_BOV3,"&lt;="&amp;BP$3,CLAVE_BOV3,$A84)+SUMIFS(SALIDAS_TC,FECHA_TC,"&gt;="&amp;BP$2,FECHA_TC,"&lt;="&amp;BP$3,CLAVE_TC,$A84)+SUMIFS(SALIDAS_COMB,FECHA_COMB,"&gt;="&amp;BP$2,FECHA_COMB,"&lt;="&amp;BP$3,CLAVE_COMB,$A84)+SUMIFS(SALIDAS_DES,FECHA_DESGLOSEN,"&gt;="&amp;BP$2,FECHA_DESGLOSEN,"&lt;="&amp;BP$3,CLAVE_DESGLOSE,$A84)</f>
        <v>0</v>
      </c>
      <c r="BQ84" s="13">
        <f>SUMIFS(SALIDAS_BIT,FECHA_BIT,"&gt;="&amp;BQ$2,FECHA_BIT,"&lt;="&amp;BQ$3,CLAVE_BIT,$A84)+SUMIFS(SALIDAS_BOV1,FECHA_BOV1,"&gt;="&amp;BQ$2,FECHA_BOV1,"&lt;="&amp;BQ$3,CLAVE_BOV1,$A84)+SUMIFS(SALIDAS_BOV2,FECHA_BOV2,"&gt;="&amp;BQ$2,FECHA_BOV2,"&lt;="&amp;BQ$3,CLAVE_BOV2,$A84)+SUMIFS(SALIDAS_BOV3,FECHA_BOV3,"&gt;="&amp;BQ$2,FECHA_BOV3,"&lt;="&amp;BQ$3,CLAVE_BOV3,$A84)+SUMIFS(SALIDAS_TC,FECHA_TC,"&gt;="&amp;BQ$2,FECHA_TC,"&lt;="&amp;BQ$3,CLAVE_TC,$A84)+SUMIFS(SALIDAS_COMB,FECHA_COMB,"&gt;="&amp;BQ$2,FECHA_COMB,"&lt;="&amp;BQ$3,CLAVE_COMB,$A84)+SUMIFS(SALIDAS_DES,FECHA_DESGLOSEN,"&gt;="&amp;BQ$2,FECHA_DESGLOSEN,"&lt;="&amp;BQ$3,CLAVE_DESGLOSE,$A84)</f>
        <v>0</v>
      </c>
      <c r="BR84" s="13">
        <f t="shared" si="182"/>
        <v>134130.88</v>
      </c>
      <c r="BS84" s="68">
        <f t="shared" si="164"/>
        <v>4175.0299999999988</v>
      </c>
      <c r="BT84" s="268">
        <f t="shared" si="165"/>
        <v>0.9698130759560456</v>
      </c>
      <c r="BU84" s="13">
        <f t="shared" si="166"/>
        <v>138305.91</v>
      </c>
      <c r="BV84" s="13">
        <f t="shared" si="90"/>
        <v>134130.88</v>
      </c>
      <c r="BW84" s="13">
        <f t="shared" si="90"/>
        <v>0</v>
      </c>
      <c r="BX84" s="13">
        <f t="shared" si="90"/>
        <v>0</v>
      </c>
      <c r="BY84" s="13">
        <f t="shared" si="90"/>
        <v>0</v>
      </c>
      <c r="BZ84" s="13">
        <f t="shared" si="183"/>
        <v>134130.88</v>
      </c>
      <c r="CA84" s="68">
        <f t="shared" si="167"/>
        <v>4175.0299999999988</v>
      </c>
      <c r="CB84" s="268">
        <f t="shared" si="168"/>
        <v>0.9698130759560456</v>
      </c>
      <c r="CC84" s="13">
        <f t="shared" si="169"/>
        <v>138305.91</v>
      </c>
      <c r="CD84" s="13">
        <f t="shared" si="91"/>
        <v>134130.88</v>
      </c>
      <c r="CE84" s="13">
        <f t="shared" si="91"/>
        <v>0</v>
      </c>
      <c r="CF84" s="13">
        <f t="shared" si="91"/>
        <v>0</v>
      </c>
      <c r="CG84" s="13">
        <f t="shared" si="91"/>
        <v>0</v>
      </c>
      <c r="CH84" s="13">
        <f t="shared" si="184"/>
        <v>134130.88</v>
      </c>
      <c r="CI84" s="68">
        <f t="shared" si="170"/>
        <v>4175.0299999999988</v>
      </c>
      <c r="CJ84" s="268">
        <f t="shared" si="171"/>
        <v>0.9698130759560456</v>
      </c>
      <c r="CK84" s="13">
        <f t="shared" si="172"/>
        <v>138305.91</v>
      </c>
      <c r="CL84" s="13">
        <f t="shared" si="176"/>
        <v>134130.88</v>
      </c>
      <c r="CM84" s="13">
        <f t="shared" si="176"/>
        <v>0</v>
      </c>
      <c r="CN84" s="13">
        <f t="shared" si="176"/>
        <v>0</v>
      </c>
      <c r="CO84" s="13">
        <f t="shared" si="176"/>
        <v>0</v>
      </c>
      <c r="CP84" s="13">
        <f t="shared" si="176"/>
        <v>0</v>
      </c>
      <c r="CQ84" s="13">
        <f t="shared" si="185"/>
        <v>134130.88</v>
      </c>
      <c r="CR84" s="68">
        <f t="shared" si="173"/>
        <v>4175.0299999999988</v>
      </c>
      <c r="CS84" s="268">
        <f t="shared" si="174"/>
        <v>0.9698130759560456</v>
      </c>
      <c r="CT84" s="68">
        <f t="shared" si="147"/>
        <v>142179</v>
      </c>
      <c r="CU84" s="13">
        <f>SUMIFS(SALIDAS_BIT,FECHA_BIT,"&gt;="&amp;CU$2,FECHA_BIT,"&lt;="&amp;CU$3,CLAVE_BIT,$A84)+SUMIFS(SALIDAS_BOV1,FECHA_BOV1,"&gt;="&amp;CU$2,FECHA_BOV1,"&lt;="&amp;CU$3,CLAVE_BOV1,$A84)+SUMIFS(SALIDAS_BOV2,FECHA_BOV2,"&gt;="&amp;CU$2,FECHA_BOV2,"&lt;="&amp;CU$3,CLAVE_BOV2,$A84)+SUMIFS(SALIDAS_BOV3,FECHA_BOV3,"&gt;="&amp;CU$2,FECHA_BOV3,"&lt;="&amp;CU$3,CLAVE_BOV3,$A84)+SUMIFS(SALIDAS_TC,FECHA_TC,"&gt;="&amp;CU$2,FECHA_TC,"&lt;="&amp;CU$3,CLAVE_TC,$A84)+SUMIFS(SALIDAS_COMB,FECHA_COMB,"&gt;="&amp;CU$2,FECHA_COMB,"&lt;="&amp;CU$3,CLAVE_COMB,$A84)+SUMIFS(SALIDAS_DES,FECHA_DESGLOSEN,"&gt;="&amp;CU$2,FECHA_DESGLOSEN,"&lt;="&amp;CU$3,CLAVE_DESGLOSE,$A84)</f>
        <v>134130.88</v>
      </c>
      <c r="CV84" s="13">
        <f>SUMIFS(SALIDAS_BIT,FECHA_BIT,"&gt;="&amp;CV$2,FECHA_BIT,"&lt;="&amp;CV$3,CLAVE_BIT,$A84)+SUMIFS(SALIDAS_BOV1,FECHA_BOV1,"&gt;="&amp;CV$2,FECHA_BOV1,"&lt;="&amp;CV$3,CLAVE_BOV1,$A84)+SUMIFS(SALIDAS_BOV2,FECHA_BOV2,"&gt;="&amp;CV$2,FECHA_BOV2,"&lt;="&amp;CV$3,CLAVE_BOV2,$A84)+SUMIFS(SALIDAS_BOV3,FECHA_BOV3,"&gt;="&amp;CV$2,FECHA_BOV3,"&lt;="&amp;CV$3,CLAVE_BOV3,$A84)+SUMIFS(SALIDAS_TC,FECHA_TC,"&gt;="&amp;CV$2,FECHA_TC,"&lt;="&amp;CV$3,CLAVE_TC,$A84)+SUMIFS(SALIDAS_COMB,FECHA_COMB,"&gt;="&amp;CV$2,FECHA_COMB,"&lt;="&amp;CV$3,CLAVE_COMB,$A84)+SUMIFS(SALIDAS_DES,FECHA_DESGLOSEN,"&gt;="&amp;CV$2,FECHA_DESGLOSEN,"&lt;="&amp;CV$3,CLAVE_DESGLOSE,$A84)</f>
        <v>0</v>
      </c>
      <c r="CW84" s="13">
        <f>SUMIFS(SALIDAS_BIT,FECHA_BIT,"&gt;="&amp;CW$2,FECHA_BIT,"&lt;="&amp;CW$3,CLAVE_BIT,$A84)+SUMIFS(SALIDAS_BOV1,FECHA_BOV1,"&gt;="&amp;CW$2,FECHA_BOV1,"&lt;="&amp;CW$3,CLAVE_BOV1,$A84)+SUMIFS(SALIDAS_BOV2,FECHA_BOV2,"&gt;="&amp;CW$2,FECHA_BOV2,"&lt;="&amp;CW$3,CLAVE_BOV2,$A84)+SUMIFS(SALIDAS_BOV3,FECHA_BOV3,"&gt;="&amp;CW$2,FECHA_BOV3,"&lt;="&amp;CW$3,CLAVE_BOV3,$A84)+SUMIFS(SALIDAS_TC,FECHA_TC,"&gt;="&amp;CW$2,FECHA_TC,"&lt;="&amp;CW$3,CLAVE_TC,$A84)+SUMIFS(SALIDAS_COMB,FECHA_COMB,"&gt;="&amp;CW$2,FECHA_COMB,"&lt;="&amp;CW$3,CLAVE_COMB,$A84)+SUMIFS(SALIDAS_DES,FECHA_DESGLOSEN,"&gt;="&amp;CW$2,FECHA_DESGLOSEN,"&lt;="&amp;CW$3,CLAVE_DESGLOSE,$A84)</f>
        <v>0</v>
      </c>
      <c r="CX84" s="13">
        <f>SUMIFS(SALIDAS_BIT,FECHA_BIT,"&gt;="&amp;CX$2,FECHA_BIT,"&lt;="&amp;CX$3,CLAVE_BIT,$A84)+SUMIFS(SALIDAS_BOV1,FECHA_BOV1,"&gt;="&amp;CX$2,FECHA_BOV1,"&lt;="&amp;CX$3,CLAVE_BOV1,$A84)+SUMIFS(SALIDAS_BOV2,FECHA_BOV2,"&gt;="&amp;CX$2,FECHA_BOV2,"&lt;="&amp;CX$3,CLAVE_BOV2,$A84)+SUMIFS(SALIDAS_BOV3,FECHA_BOV3,"&gt;="&amp;CX$2,FECHA_BOV3,"&lt;="&amp;CX$3,CLAVE_BOV3,$A84)+SUMIFS(SALIDAS_TC,FECHA_TC,"&gt;="&amp;CX$2,FECHA_TC,"&lt;="&amp;CX$3,CLAVE_TC,$A84)+SUMIFS(SALIDAS_COMB,FECHA_COMB,"&gt;="&amp;CX$2,FECHA_COMB,"&lt;="&amp;CX$3,CLAVE_COMB,$A84)+SUMIFS(SALIDAS_DES,FECHA_DESGLOSEN,"&gt;="&amp;CX$2,FECHA_DESGLOSEN,"&lt;="&amp;CX$3,CLAVE_DESGLOSE,$A84)</f>
        <v>0</v>
      </c>
      <c r="CY84" s="13">
        <f>SUMIFS(SALIDAS_BIT,FECHA_BIT,"&gt;="&amp;CY$2,FECHA_BIT,"&lt;="&amp;CY$3,CLAVE_BIT,$A84)+SUMIFS(SALIDAS_BOV1,FECHA_BOV1,"&gt;="&amp;CY$2,FECHA_BOV1,"&lt;="&amp;CY$3,CLAVE_BOV1,$A84)+SUMIFS(SALIDAS_BOV2,FECHA_BOV2,"&gt;="&amp;CY$2,FECHA_BOV2,"&lt;="&amp;CY$3,CLAVE_BOV2,$A84)+SUMIFS(SALIDAS_BOV3,FECHA_BOV3,"&gt;="&amp;CY$2,FECHA_BOV3,"&lt;="&amp;CY$3,CLAVE_BOV3,$A84)+SUMIFS(SALIDAS_TC,FECHA_TC,"&gt;="&amp;CY$2,FECHA_TC,"&lt;="&amp;CY$3,CLAVE_TC,$A84)+SUMIFS(SALIDAS_COMB,FECHA_COMB,"&gt;="&amp;CY$2,FECHA_COMB,"&lt;="&amp;CY$3,CLAVE_COMB,$A84)+SUMIFS(SALIDAS_DES,FECHA_DESGLOSEN,"&gt;="&amp;CY$2,FECHA_DESGLOSEN,"&lt;="&amp;CY$3,CLAVE_DESGLOSE,$A84)</f>
        <v>134130.88</v>
      </c>
      <c r="CZ84" s="68">
        <f t="shared" si="175"/>
        <v>8048.1199999999953</v>
      </c>
      <c r="DB84" s="17">
        <f>F84+N84+W84+AE84+AM84+AV84+BD84+BL84+BU84+CC84+CK84</f>
        <v>1521365.0099999998</v>
      </c>
      <c r="DC84" s="17">
        <f>K84+T84+AB84+AJ84+AS84+BA84+BI84+BR84+BZ84+CH84+CQ84</f>
        <v>1479613.8299999996</v>
      </c>
    </row>
    <row r="85" spans="1:107" hidden="1">
      <c r="A85" s="12" t="str">
        <f t="shared" si="148"/>
        <v>FINANZASRENTASE3</v>
      </c>
      <c r="B85" s="12">
        <v>87</v>
      </c>
      <c r="C85" t="s">
        <v>23</v>
      </c>
      <c r="D85" s="12" t="s">
        <v>169</v>
      </c>
      <c r="E85" s="12" t="s">
        <v>109</v>
      </c>
      <c r="F85" s="259">
        <f t="shared" si="141"/>
        <v>43081.5</v>
      </c>
      <c r="G85" s="13">
        <f t="shared" si="177"/>
        <v>0</v>
      </c>
      <c r="H85" s="13">
        <f t="shared" si="177"/>
        <v>0</v>
      </c>
      <c r="I85" s="13">
        <f t="shared" si="177"/>
        <v>0</v>
      </c>
      <c r="J85" s="13">
        <f t="shared" si="177"/>
        <v>0</v>
      </c>
      <c r="K85" s="13">
        <f t="shared" si="177"/>
        <v>0</v>
      </c>
      <c r="L85" s="68">
        <f t="shared" si="149"/>
        <v>43081.5</v>
      </c>
      <c r="M85" s="268">
        <f t="shared" si="150"/>
        <v>0</v>
      </c>
      <c r="N85" s="13">
        <f t="shared" si="142"/>
        <v>43081.5</v>
      </c>
      <c r="O85" s="13">
        <f t="shared" si="178"/>
        <v>0</v>
      </c>
      <c r="P85" s="13">
        <f t="shared" si="178"/>
        <v>0</v>
      </c>
      <c r="Q85" s="13">
        <f t="shared" si="178"/>
        <v>43326.12</v>
      </c>
      <c r="R85" s="13">
        <f t="shared" si="178"/>
        <v>0</v>
      </c>
      <c r="S85" s="13">
        <f t="shared" si="178"/>
        <v>0</v>
      </c>
      <c r="T85" s="13">
        <f t="shared" si="178"/>
        <v>43326.12</v>
      </c>
      <c r="U85" s="68">
        <f t="shared" si="151"/>
        <v>-244.62000000000262</v>
      </c>
      <c r="V85" s="268">
        <f t="shared" si="152"/>
        <v>1.0056780752759307</v>
      </c>
      <c r="W85" s="13">
        <f t="shared" si="143"/>
        <v>43081.5</v>
      </c>
      <c r="X85" s="13">
        <f t="shared" si="179"/>
        <v>0</v>
      </c>
      <c r="Y85" s="13">
        <f t="shared" si="179"/>
        <v>43326.12</v>
      </c>
      <c r="Z85" s="13">
        <f t="shared" si="179"/>
        <v>0</v>
      </c>
      <c r="AA85" s="13">
        <f t="shared" si="179"/>
        <v>0</v>
      </c>
      <c r="AB85" s="13">
        <f t="shared" si="179"/>
        <v>43326.12</v>
      </c>
      <c r="AC85" s="68">
        <f t="shared" si="153"/>
        <v>-244.62000000000262</v>
      </c>
      <c r="AD85" s="268">
        <f t="shared" si="154"/>
        <v>1.0056780752759307</v>
      </c>
      <c r="AE85" s="13">
        <f t="shared" si="144"/>
        <v>43081.5</v>
      </c>
      <c r="AF85" s="13">
        <f t="shared" si="180"/>
        <v>0</v>
      </c>
      <c r="AG85" s="13">
        <f t="shared" si="180"/>
        <v>43326.12</v>
      </c>
      <c r="AH85" s="13">
        <f t="shared" si="180"/>
        <v>0</v>
      </c>
      <c r="AI85" s="13">
        <f t="shared" si="180"/>
        <v>0</v>
      </c>
      <c r="AJ85" s="13">
        <f t="shared" si="180"/>
        <v>43326.12</v>
      </c>
      <c r="AK85" s="68">
        <f t="shared" si="155"/>
        <v>-244.62000000000262</v>
      </c>
      <c r="AL85" s="268">
        <f t="shared" si="156"/>
        <v>1.0056780752759307</v>
      </c>
      <c r="AM85" s="13">
        <f t="shared" si="145"/>
        <v>43081.5</v>
      </c>
      <c r="AN85" s="13">
        <f t="shared" si="181"/>
        <v>0</v>
      </c>
      <c r="AO85" s="13">
        <f t="shared" si="181"/>
        <v>43326.12</v>
      </c>
      <c r="AP85" s="13">
        <f t="shared" si="181"/>
        <v>0</v>
      </c>
      <c r="AQ85" s="13">
        <f t="shared" si="181"/>
        <v>0</v>
      </c>
      <c r="AR85" s="13">
        <f t="shared" si="181"/>
        <v>0</v>
      </c>
      <c r="AS85" s="13">
        <f t="shared" si="181"/>
        <v>43326.12</v>
      </c>
      <c r="AT85" s="68">
        <f>AM85-AS85</f>
        <v>-244.62000000000262</v>
      </c>
      <c r="AU85" s="268">
        <f t="shared" si="157"/>
        <v>1.0056780752759307</v>
      </c>
      <c r="AV85" s="13">
        <f t="shared" si="146"/>
        <v>43081.5</v>
      </c>
      <c r="AW85" s="13">
        <f t="shared" si="119"/>
        <v>0</v>
      </c>
      <c r="AX85" s="13">
        <f t="shared" si="119"/>
        <v>43326.12</v>
      </c>
      <c r="AY85" s="13">
        <f t="shared" si="119"/>
        <v>0</v>
      </c>
      <c r="AZ85" s="13">
        <f t="shared" si="119"/>
        <v>0</v>
      </c>
      <c r="BA85" s="13">
        <f t="shared" si="120"/>
        <v>43326.12</v>
      </c>
      <c r="BB85" s="68">
        <f t="shared" si="158"/>
        <v>-244.62000000000262</v>
      </c>
      <c r="BC85" s="268">
        <f t="shared" si="159"/>
        <v>1.0056780752759307</v>
      </c>
      <c r="BD85" s="13">
        <f t="shared" si="160"/>
        <v>43081.5</v>
      </c>
      <c r="BE85" s="13">
        <f>SUMIFS(SALIDAS_BIT,FECHA_BIT,"&gt;="&amp;BE$2,FECHA_BIT,"&lt;="&amp;BE$3,CLAVE_BIT,$A85)+SUMIFS(SALIDAS_BOV1,FECHA_BOV1,"&gt;="&amp;BE$2,FECHA_BOV1,"&lt;="&amp;BE$3,CLAVE_BOV1,$A85)+SUMIFS(SALIDAS_BOV2,FECHA_BOV2,"&gt;="&amp;BE$2,FECHA_BOV2,"&lt;="&amp;BE$3,CLAVE_BOV2,$A85)+SUMIFS(SALIDAS_BOV3,FECHA_BOV3,"&gt;="&amp;BE$2,FECHA_BOV3,"&lt;="&amp;BE$3,CLAVE_BOV3,$A85)+SUMIFS(SALIDAS_TC,FECHA_TC,"&gt;="&amp;BE$2,FECHA_TC,"&lt;="&amp;BE$3,CLAVE_TC,$A85)+SUMIFS(SALIDAS_COMB,FECHA_COMB,"&gt;="&amp;BE$2,FECHA_COMB,"&lt;="&amp;BE$3,CLAVE_COMB,$A85)+SUMIFS(SALIDAS_DES,FECHA_DESGLOSEN,"&gt;="&amp;BE$2,FECHA_DESGLOSEN,"&lt;="&amp;BE$3,CLAVE_DESGLOSE,$A85)</f>
        <v>0</v>
      </c>
      <c r="BF85" s="13">
        <f>SUMIFS(SALIDAS_BIT,FECHA_BIT,"&gt;="&amp;BF$2,FECHA_BIT,"&lt;="&amp;BF$3,CLAVE_BIT,$A85)+SUMIFS(SALIDAS_BOV1,FECHA_BOV1,"&gt;="&amp;BF$2,FECHA_BOV1,"&lt;="&amp;BF$3,CLAVE_BOV1,$A85)+SUMIFS(SALIDAS_BOV2,FECHA_BOV2,"&gt;="&amp;BF$2,FECHA_BOV2,"&lt;="&amp;BF$3,CLAVE_BOV2,$A85)+SUMIFS(SALIDAS_BOV3,FECHA_BOV3,"&gt;="&amp;BF$2,FECHA_BOV3,"&lt;="&amp;BF$3,CLAVE_BOV3,$A85)+SUMIFS(SALIDAS_TC,FECHA_TC,"&gt;="&amp;BF$2,FECHA_TC,"&lt;="&amp;BF$3,CLAVE_TC,$A85)+SUMIFS(SALIDAS_COMB,FECHA_COMB,"&gt;="&amp;BF$2,FECHA_COMB,"&lt;="&amp;BF$3,CLAVE_COMB,$A85)+SUMIFS(SALIDAS_DES,FECHA_DESGLOSEN,"&gt;="&amp;BF$2,FECHA_DESGLOSEN,"&lt;="&amp;BF$3,CLAVE_DESGLOSE,$A85)</f>
        <v>43326.12</v>
      </c>
      <c r="BG85" s="13">
        <f>SUMIFS(SALIDAS_BIT,FECHA_BIT,"&gt;="&amp;BG$2,FECHA_BIT,"&lt;="&amp;BG$3,CLAVE_BIT,$A85)+SUMIFS(SALIDAS_BOV1,FECHA_BOV1,"&gt;="&amp;BG$2,FECHA_BOV1,"&lt;="&amp;BG$3,CLAVE_BOV1,$A85)+SUMIFS(SALIDAS_BOV2,FECHA_BOV2,"&gt;="&amp;BG$2,FECHA_BOV2,"&lt;="&amp;BG$3,CLAVE_BOV2,$A85)+SUMIFS(SALIDAS_BOV3,FECHA_BOV3,"&gt;="&amp;BG$2,FECHA_BOV3,"&lt;="&amp;BG$3,CLAVE_BOV3,$A85)+SUMIFS(SALIDAS_TC,FECHA_TC,"&gt;="&amp;BG$2,FECHA_TC,"&lt;="&amp;BG$3,CLAVE_TC,$A85)+SUMIFS(SALIDAS_COMB,FECHA_COMB,"&gt;="&amp;BG$2,FECHA_COMB,"&lt;="&amp;BG$3,CLAVE_COMB,$A85)+SUMIFS(SALIDAS_DES,FECHA_DESGLOSEN,"&gt;="&amp;BG$2,FECHA_DESGLOSEN,"&lt;="&amp;BG$3,CLAVE_DESGLOSE,$A85)</f>
        <v>0</v>
      </c>
      <c r="BH85" s="13">
        <f>SUMIFS(SALIDAS_BIT,FECHA_BIT,"&gt;="&amp;BH$2,FECHA_BIT,"&lt;="&amp;BH$3,CLAVE_BIT,$A85)+SUMIFS(SALIDAS_BOV1,FECHA_BOV1,"&gt;="&amp;BH$2,FECHA_BOV1,"&lt;="&amp;BH$3,CLAVE_BOV1,$A85)+SUMIFS(SALIDAS_BOV2,FECHA_BOV2,"&gt;="&amp;BH$2,FECHA_BOV2,"&lt;="&amp;BH$3,CLAVE_BOV2,$A85)+SUMIFS(SALIDAS_BOV3,FECHA_BOV3,"&gt;="&amp;BH$2,FECHA_BOV3,"&lt;="&amp;BH$3,CLAVE_BOV3,$A85)+SUMIFS(SALIDAS_TC,FECHA_TC,"&gt;="&amp;BH$2,FECHA_TC,"&lt;="&amp;BH$3,CLAVE_TC,$A85)+SUMIFS(SALIDAS_COMB,FECHA_COMB,"&gt;="&amp;BH$2,FECHA_COMB,"&lt;="&amp;BH$3,CLAVE_COMB,$A85)+SUMIFS(SALIDAS_DES,FECHA_DESGLOSEN,"&gt;="&amp;BH$2,FECHA_DESGLOSEN,"&lt;="&amp;BH$3,CLAVE_DESGLOSE,$A85)</f>
        <v>0</v>
      </c>
      <c r="BI85" s="13">
        <f t="shared" si="121"/>
        <v>43326.12</v>
      </c>
      <c r="BJ85" s="68">
        <f t="shared" si="161"/>
        <v>-244.62000000000262</v>
      </c>
      <c r="BK85" s="268">
        <f t="shared" si="162"/>
        <v>1.0056780752759307</v>
      </c>
      <c r="BL85" s="13">
        <f t="shared" si="163"/>
        <v>43081.5</v>
      </c>
      <c r="BM85" s="13">
        <f>SUMIFS(SALIDAS_BIT,FECHA_BIT,"&gt;="&amp;BM$2,FECHA_BIT,"&lt;="&amp;BM$3,CLAVE_BIT,$A85)+SUMIFS(SALIDAS_BOV1,FECHA_BOV1,"&gt;="&amp;BM$2,FECHA_BOV1,"&lt;="&amp;BM$3,CLAVE_BOV1,$A85)+SUMIFS(SALIDAS_BOV2,FECHA_BOV2,"&gt;="&amp;BM$2,FECHA_BOV2,"&lt;="&amp;BM$3,CLAVE_BOV2,$A85)+SUMIFS(SALIDAS_BOV3,FECHA_BOV3,"&gt;="&amp;BM$2,FECHA_BOV3,"&lt;="&amp;BM$3,CLAVE_BOV3,$A85)+SUMIFS(SALIDAS_TC,FECHA_TC,"&gt;="&amp;BM$2,FECHA_TC,"&lt;="&amp;BM$3,CLAVE_TC,$A85)+SUMIFS(SALIDAS_COMB,FECHA_COMB,"&gt;="&amp;BM$2,FECHA_COMB,"&lt;="&amp;BM$3,CLAVE_COMB,$A85)+SUMIFS(SALIDAS_DES,FECHA_DESGLOSEN,"&gt;="&amp;BM$2,FECHA_DESGLOSEN,"&lt;="&amp;BM$3,CLAVE_DESGLOSE,$A85)</f>
        <v>0</v>
      </c>
      <c r="BN85" s="13">
        <f>SUMIFS(SALIDAS_BIT,FECHA_BIT,"&gt;="&amp;BN$2,FECHA_BIT,"&lt;="&amp;BN$3,CLAVE_BIT,$A85)+SUMIFS(SALIDAS_BOV1,FECHA_BOV1,"&gt;="&amp;BN$2,FECHA_BOV1,"&lt;="&amp;BN$3,CLAVE_BOV1,$A85)+SUMIFS(SALIDAS_BOV2,FECHA_BOV2,"&gt;="&amp;BN$2,FECHA_BOV2,"&lt;="&amp;BN$3,CLAVE_BOV2,$A85)+SUMIFS(SALIDAS_BOV3,FECHA_BOV3,"&gt;="&amp;BN$2,FECHA_BOV3,"&lt;="&amp;BN$3,CLAVE_BOV3,$A85)+SUMIFS(SALIDAS_TC,FECHA_TC,"&gt;="&amp;BN$2,FECHA_TC,"&lt;="&amp;BN$3,CLAVE_TC,$A85)+SUMIFS(SALIDAS_COMB,FECHA_COMB,"&gt;="&amp;BN$2,FECHA_COMB,"&lt;="&amp;BN$3,CLAVE_COMB,$A85)+SUMIFS(SALIDAS_DES,FECHA_DESGLOSEN,"&gt;="&amp;BN$2,FECHA_DESGLOSEN,"&lt;="&amp;BN$3,CLAVE_DESGLOSE,$A85)</f>
        <v>0</v>
      </c>
      <c r="BO85" s="13">
        <f>SUMIFS(SALIDAS_BIT,FECHA_BIT,"&gt;="&amp;BO$2,FECHA_BIT,"&lt;="&amp;BO$3,CLAVE_BIT,$A85)+SUMIFS(SALIDAS_BOV1,FECHA_BOV1,"&gt;="&amp;BO$2,FECHA_BOV1,"&lt;="&amp;BO$3,CLAVE_BOV1,$A85)+SUMIFS(SALIDAS_BOV2,FECHA_BOV2,"&gt;="&amp;BO$2,FECHA_BOV2,"&lt;="&amp;BO$3,CLAVE_BOV2,$A85)+SUMIFS(SALIDAS_BOV3,FECHA_BOV3,"&gt;="&amp;BO$2,FECHA_BOV3,"&lt;="&amp;BO$3,CLAVE_BOV3,$A85)+SUMIFS(SALIDAS_TC,FECHA_TC,"&gt;="&amp;BO$2,FECHA_TC,"&lt;="&amp;BO$3,CLAVE_TC,$A85)+SUMIFS(SALIDAS_COMB,FECHA_COMB,"&gt;="&amp;BO$2,FECHA_COMB,"&lt;="&amp;BO$3,CLAVE_COMB,$A85)+SUMIFS(SALIDAS_DES,FECHA_DESGLOSEN,"&gt;="&amp;BO$2,FECHA_DESGLOSEN,"&lt;="&amp;BO$3,CLAVE_DESGLOSE,$A85)</f>
        <v>43326.12</v>
      </c>
      <c r="BP85" s="13">
        <f>SUMIFS(SALIDAS_BIT,FECHA_BIT,"&gt;="&amp;BP$2,FECHA_BIT,"&lt;="&amp;BP$3,CLAVE_BIT,$A85)+SUMIFS(SALIDAS_BOV1,FECHA_BOV1,"&gt;="&amp;BP$2,FECHA_BOV1,"&lt;="&amp;BP$3,CLAVE_BOV1,$A85)+SUMIFS(SALIDAS_BOV2,FECHA_BOV2,"&gt;="&amp;BP$2,FECHA_BOV2,"&lt;="&amp;BP$3,CLAVE_BOV2,$A85)+SUMIFS(SALIDAS_BOV3,FECHA_BOV3,"&gt;="&amp;BP$2,FECHA_BOV3,"&lt;="&amp;BP$3,CLAVE_BOV3,$A85)+SUMIFS(SALIDAS_TC,FECHA_TC,"&gt;="&amp;BP$2,FECHA_TC,"&lt;="&amp;BP$3,CLAVE_TC,$A85)+SUMIFS(SALIDAS_COMB,FECHA_COMB,"&gt;="&amp;BP$2,FECHA_COMB,"&lt;="&amp;BP$3,CLAVE_COMB,$A85)+SUMIFS(SALIDAS_DES,FECHA_DESGLOSEN,"&gt;="&amp;BP$2,FECHA_DESGLOSEN,"&lt;="&amp;BP$3,CLAVE_DESGLOSE,$A85)</f>
        <v>0</v>
      </c>
      <c r="BQ85" s="13">
        <f>SUMIFS(SALIDAS_BIT,FECHA_BIT,"&gt;="&amp;BQ$2,FECHA_BIT,"&lt;="&amp;BQ$3,CLAVE_BIT,$A85)+SUMIFS(SALIDAS_BOV1,FECHA_BOV1,"&gt;="&amp;BQ$2,FECHA_BOV1,"&lt;="&amp;BQ$3,CLAVE_BOV1,$A85)+SUMIFS(SALIDAS_BOV2,FECHA_BOV2,"&gt;="&amp;BQ$2,FECHA_BOV2,"&lt;="&amp;BQ$3,CLAVE_BOV2,$A85)+SUMIFS(SALIDAS_BOV3,FECHA_BOV3,"&gt;="&amp;BQ$2,FECHA_BOV3,"&lt;="&amp;BQ$3,CLAVE_BOV3,$A85)+SUMIFS(SALIDAS_TC,FECHA_TC,"&gt;="&amp;BQ$2,FECHA_TC,"&lt;="&amp;BQ$3,CLAVE_TC,$A85)+SUMIFS(SALIDAS_COMB,FECHA_COMB,"&gt;="&amp;BQ$2,FECHA_COMB,"&lt;="&amp;BQ$3,CLAVE_COMB,$A85)+SUMIFS(SALIDAS_DES,FECHA_DESGLOSEN,"&gt;="&amp;BQ$2,FECHA_DESGLOSEN,"&lt;="&amp;BQ$3,CLAVE_DESGLOSE,$A85)</f>
        <v>58145.99</v>
      </c>
      <c r="BR85" s="13">
        <f t="shared" si="182"/>
        <v>101472.11</v>
      </c>
      <c r="BS85" s="68">
        <f t="shared" si="164"/>
        <v>-58390.61</v>
      </c>
      <c r="BT85" s="268">
        <f t="shared" si="165"/>
        <v>2.3553522973898309</v>
      </c>
      <c r="BU85" s="13">
        <f t="shared" si="166"/>
        <v>43081.5</v>
      </c>
      <c r="BV85" s="13">
        <f t="shared" si="90"/>
        <v>0</v>
      </c>
      <c r="BW85" s="13">
        <f t="shared" si="90"/>
        <v>43326.12</v>
      </c>
      <c r="BX85" s="13">
        <f t="shared" si="90"/>
        <v>0</v>
      </c>
      <c r="BY85" s="13">
        <f t="shared" si="90"/>
        <v>0</v>
      </c>
      <c r="BZ85" s="13">
        <f t="shared" si="183"/>
        <v>43326.12</v>
      </c>
      <c r="CA85" s="68">
        <f t="shared" si="167"/>
        <v>-244.62000000000262</v>
      </c>
      <c r="CB85" s="268">
        <f t="shared" si="168"/>
        <v>1.0056780752759307</v>
      </c>
      <c r="CC85" s="13">
        <f t="shared" si="169"/>
        <v>43081.5</v>
      </c>
      <c r="CD85" s="13">
        <f t="shared" si="91"/>
        <v>43326.12</v>
      </c>
      <c r="CE85" s="13">
        <f t="shared" si="91"/>
        <v>0</v>
      </c>
      <c r="CF85" s="13">
        <f t="shared" si="91"/>
        <v>0</v>
      </c>
      <c r="CG85" s="13">
        <f t="shared" si="91"/>
        <v>0</v>
      </c>
      <c r="CH85" s="13">
        <f t="shared" si="184"/>
        <v>43326.12</v>
      </c>
      <c r="CI85" s="68">
        <f t="shared" si="170"/>
        <v>-244.62000000000262</v>
      </c>
      <c r="CJ85" s="268">
        <f t="shared" si="171"/>
        <v>1.0056780752759307</v>
      </c>
      <c r="CK85" s="13">
        <f t="shared" si="172"/>
        <v>43081.5</v>
      </c>
      <c r="CL85" s="13">
        <f t="shared" si="176"/>
        <v>0</v>
      </c>
      <c r="CM85" s="13">
        <f t="shared" si="176"/>
        <v>0</v>
      </c>
      <c r="CN85" s="13">
        <f t="shared" si="176"/>
        <v>43326.12</v>
      </c>
      <c r="CO85" s="13">
        <f t="shared" si="176"/>
        <v>0</v>
      </c>
      <c r="CP85" s="13">
        <f t="shared" si="176"/>
        <v>0</v>
      </c>
      <c r="CQ85" s="13">
        <f t="shared" si="185"/>
        <v>43326.12</v>
      </c>
      <c r="CR85" s="68">
        <f t="shared" si="173"/>
        <v>-244.62000000000262</v>
      </c>
      <c r="CS85" s="268">
        <f t="shared" si="174"/>
        <v>1.0056780752759307</v>
      </c>
      <c r="CT85" s="68">
        <f t="shared" si="147"/>
        <v>45666</v>
      </c>
      <c r="CU85" s="13">
        <f>SUMIFS(SALIDAS_BIT,FECHA_BIT,"&gt;="&amp;CU$2,FECHA_BIT,"&lt;="&amp;CU$3,CLAVE_BIT,$A85)+SUMIFS(SALIDAS_BOV1,FECHA_BOV1,"&gt;="&amp;CU$2,FECHA_BOV1,"&lt;="&amp;CU$3,CLAVE_BOV1,$A85)+SUMIFS(SALIDAS_BOV2,FECHA_BOV2,"&gt;="&amp;CU$2,FECHA_BOV2,"&lt;="&amp;CU$3,CLAVE_BOV2,$A85)+SUMIFS(SALIDAS_BOV3,FECHA_BOV3,"&gt;="&amp;CU$2,FECHA_BOV3,"&lt;="&amp;CU$3,CLAVE_BOV3,$A85)+SUMIFS(SALIDAS_TC,FECHA_TC,"&gt;="&amp;CU$2,FECHA_TC,"&lt;="&amp;CU$3,CLAVE_TC,$A85)+SUMIFS(SALIDAS_COMB,FECHA_COMB,"&gt;="&amp;CU$2,FECHA_COMB,"&lt;="&amp;CU$3,CLAVE_COMB,$A85)+SUMIFS(SALIDAS_DES,FECHA_DESGLOSEN,"&gt;="&amp;CU$2,FECHA_DESGLOSEN,"&lt;="&amp;CU$3,CLAVE_DESGLOSE,$A85)</f>
        <v>0</v>
      </c>
      <c r="CV85" s="13">
        <f>SUMIFS(SALIDAS_BIT,FECHA_BIT,"&gt;="&amp;CV$2,FECHA_BIT,"&lt;="&amp;CV$3,CLAVE_BIT,$A85)+SUMIFS(SALIDAS_BOV1,FECHA_BOV1,"&gt;="&amp;CV$2,FECHA_BOV1,"&lt;="&amp;CV$3,CLAVE_BOV1,$A85)+SUMIFS(SALIDAS_BOV2,FECHA_BOV2,"&gt;="&amp;CV$2,FECHA_BOV2,"&lt;="&amp;CV$3,CLAVE_BOV2,$A85)+SUMIFS(SALIDAS_BOV3,FECHA_BOV3,"&gt;="&amp;CV$2,FECHA_BOV3,"&lt;="&amp;CV$3,CLAVE_BOV3,$A85)+SUMIFS(SALIDAS_TC,FECHA_TC,"&gt;="&amp;CV$2,FECHA_TC,"&lt;="&amp;CV$3,CLAVE_TC,$A85)+SUMIFS(SALIDAS_COMB,FECHA_COMB,"&gt;="&amp;CV$2,FECHA_COMB,"&lt;="&amp;CV$3,CLAVE_COMB,$A85)+SUMIFS(SALIDAS_DES,FECHA_DESGLOSEN,"&gt;="&amp;CV$2,FECHA_DESGLOSEN,"&lt;="&amp;CV$3,CLAVE_DESGLOSE,$A85)</f>
        <v>0</v>
      </c>
      <c r="CW85" s="13">
        <f>SUMIFS(SALIDAS_BIT,FECHA_BIT,"&gt;="&amp;CW$2,FECHA_BIT,"&lt;="&amp;CW$3,CLAVE_BIT,$A85)+SUMIFS(SALIDAS_BOV1,FECHA_BOV1,"&gt;="&amp;CW$2,FECHA_BOV1,"&lt;="&amp;CW$3,CLAVE_BOV1,$A85)+SUMIFS(SALIDAS_BOV2,FECHA_BOV2,"&gt;="&amp;CW$2,FECHA_BOV2,"&lt;="&amp;CW$3,CLAVE_BOV2,$A85)+SUMIFS(SALIDAS_BOV3,FECHA_BOV3,"&gt;="&amp;CW$2,FECHA_BOV3,"&lt;="&amp;CW$3,CLAVE_BOV3,$A85)+SUMIFS(SALIDAS_TC,FECHA_TC,"&gt;="&amp;CW$2,FECHA_TC,"&lt;="&amp;CW$3,CLAVE_TC,$A85)+SUMIFS(SALIDAS_COMB,FECHA_COMB,"&gt;="&amp;CW$2,FECHA_COMB,"&lt;="&amp;CW$3,CLAVE_COMB,$A85)+SUMIFS(SALIDAS_DES,FECHA_DESGLOSEN,"&gt;="&amp;CW$2,FECHA_DESGLOSEN,"&lt;="&amp;CW$3,CLAVE_DESGLOSE,$A85)</f>
        <v>0</v>
      </c>
      <c r="CX85" s="13">
        <f>SUMIFS(SALIDAS_BIT,FECHA_BIT,"&gt;="&amp;CX$2,FECHA_BIT,"&lt;="&amp;CX$3,CLAVE_BIT,$A85)+SUMIFS(SALIDAS_BOV1,FECHA_BOV1,"&gt;="&amp;CX$2,FECHA_BOV1,"&lt;="&amp;CX$3,CLAVE_BOV1,$A85)+SUMIFS(SALIDAS_BOV2,FECHA_BOV2,"&gt;="&amp;CX$2,FECHA_BOV2,"&lt;="&amp;CX$3,CLAVE_BOV2,$A85)+SUMIFS(SALIDAS_BOV3,FECHA_BOV3,"&gt;="&amp;CX$2,FECHA_BOV3,"&lt;="&amp;CX$3,CLAVE_BOV3,$A85)+SUMIFS(SALIDAS_TC,FECHA_TC,"&gt;="&amp;CX$2,FECHA_TC,"&lt;="&amp;CX$3,CLAVE_TC,$A85)+SUMIFS(SALIDAS_COMB,FECHA_COMB,"&gt;="&amp;CX$2,FECHA_COMB,"&lt;="&amp;CX$3,CLAVE_COMB,$A85)+SUMIFS(SALIDAS_DES,FECHA_DESGLOSEN,"&gt;="&amp;CX$2,FECHA_DESGLOSEN,"&lt;="&amp;CX$3,CLAVE_DESGLOSE,$A85)</f>
        <v>0</v>
      </c>
      <c r="CY85" s="13">
        <f>SUMIFS(SALIDAS_BIT,FECHA_BIT,"&gt;="&amp;CY$2,FECHA_BIT,"&lt;="&amp;CY$3,CLAVE_BIT,$A85)+SUMIFS(SALIDAS_BOV1,FECHA_BOV1,"&gt;="&amp;CY$2,FECHA_BOV1,"&lt;="&amp;CY$3,CLAVE_BOV1,$A85)+SUMIFS(SALIDAS_BOV2,FECHA_BOV2,"&gt;="&amp;CY$2,FECHA_BOV2,"&lt;="&amp;CY$3,CLAVE_BOV2,$A85)+SUMIFS(SALIDAS_BOV3,FECHA_BOV3,"&gt;="&amp;CY$2,FECHA_BOV3,"&lt;="&amp;CY$3,CLAVE_BOV3,$A85)+SUMIFS(SALIDAS_TC,FECHA_TC,"&gt;="&amp;CY$2,FECHA_TC,"&lt;="&amp;CY$3,CLAVE_TC,$A85)+SUMIFS(SALIDAS_COMB,FECHA_COMB,"&gt;="&amp;CY$2,FECHA_COMB,"&lt;="&amp;CY$3,CLAVE_COMB,$A85)+SUMIFS(SALIDAS_DES,FECHA_DESGLOSEN,"&gt;="&amp;CY$2,FECHA_DESGLOSEN,"&lt;="&amp;CY$3,CLAVE_DESGLOSE,$A85)</f>
        <v>0</v>
      </c>
      <c r="CZ85" s="68">
        <f t="shared" si="175"/>
        <v>45666</v>
      </c>
      <c r="DB85" s="17">
        <f>F85+N85+W85+AE85+AM85+AV85+BD85+BL85+BU85+CC85+CK85</f>
        <v>473896.5</v>
      </c>
      <c r="DC85" s="17">
        <f>K85+T85+AB85+AJ85+AS85+BA85+BI85+BR85+BZ85+CH85+CQ85</f>
        <v>491407.19</v>
      </c>
    </row>
    <row r="86" spans="1:107" hidden="1">
      <c r="A86" s="12" t="str">
        <f t="shared" si="148"/>
        <v>FINANZASRENTASE4</v>
      </c>
      <c r="B86" s="12">
        <v>88</v>
      </c>
      <c r="C86" t="s">
        <v>23</v>
      </c>
      <c r="D86" s="12" t="s">
        <v>169</v>
      </c>
      <c r="E86" s="12" t="s">
        <v>110</v>
      </c>
      <c r="F86" s="259">
        <f t="shared" si="141"/>
        <v>108007.3</v>
      </c>
      <c r="G86" s="13">
        <f t="shared" si="177"/>
        <v>0</v>
      </c>
      <c r="H86" s="13">
        <f t="shared" si="177"/>
        <v>0</v>
      </c>
      <c r="I86" s="13">
        <f t="shared" si="177"/>
        <v>0</v>
      </c>
      <c r="J86" s="13">
        <f t="shared" si="177"/>
        <v>102040.58</v>
      </c>
      <c r="K86" s="13">
        <f t="shared" si="177"/>
        <v>102040.58</v>
      </c>
      <c r="L86" s="68">
        <f t="shared" si="149"/>
        <v>5966.7200000000012</v>
      </c>
      <c r="M86" s="268">
        <f t="shared" si="150"/>
        <v>0.94475632665569831</v>
      </c>
      <c r="N86" s="13">
        <f t="shared" si="142"/>
        <v>108007.3</v>
      </c>
      <c r="O86" s="13">
        <f t="shared" si="178"/>
        <v>0</v>
      </c>
      <c r="P86" s="13">
        <f t="shared" si="178"/>
        <v>0</v>
      </c>
      <c r="Q86" s="13">
        <f t="shared" si="178"/>
        <v>0</v>
      </c>
      <c r="R86" s="13">
        <f t="shared" si="178"/>
        <v>101521.82</v>
      </c>
      <c r="S86" s="13">
        <f t="shared" si="178"/>
        <v>0</v>
      </c>
      <c r="T86" s="13">
        <f t="shared" si="178"/>
        <v>101521.82</v>
      </c>
      <c r="U86" s="68">
        <f t="shared" si="151"/>
        <v>6485.4799999999959</v>
      </c>
      <c r="V86" s="268">
        <f t="shared" si="152"/>
        <v>0.93995331797017423</v>
      </c>
      <c r="W86" s="13">
        <f t="shared" si="143"/>
        <v>108007.3</v>
      </c>
      <c r="X86" s="13">
        <f t="shared" si="179"/>
        <v>0</v>
      </c>
      <c r="Y86" s="13">
        <f t="shared" si="179"/>
        <v>0</v>
      </c>
      <c r="Z86" s="13">
        <f t="shared" si="179"/>
        <v>0</v>
      </c>
      <c r="AA86" s="13">
        <f t="shared" si="179"/>
        <v>101594.34</v>
      </c>
      <c r="AB86" s="13">
        <f t="shared" si="179"/>
        <v>101594.34</v>
      </c>
      <c r="AC86" s="68">
        <f t="shared" si="153"/>
        <v>6412.9600000000064</v>
      </c>
      <c r="AD86" s="268">
        <f t="shared" si="154"/>
        <v>0.94062475406754908</v>
      </c>
      <c r="AE86" s="13">
        <f t="shared" si="144"/>
        <v>108007.3</v>
      </c>
      <c r="AF86" s="13">
        <f t="shared" si="180"/>
        <v>0</v>
      </c>
      <c r="AG86" s="13">
        <f t="shared" si="180"/>
        <v>0</v>
      </c>
      <c r="AH86" s="13">
        <f t="shared" si="180"/>
        <v>24514.25</v>
      </c>
      <c r="AI86" s="13">
        <f t="shared" si="180"/>
        <v>77390</v>
      </c>
      <c r="AJ86" s="13">
        <f t="shared" si="180"/>
        <v>101904.25</v>
      </c>
      <c r="AK86" s="68">
        <f t="shared" si="155"/>
        <v>6103.0500000000029</v>
      </c>
      <c r="AL86" s="268">
        <f t="shared" si="156"/>
        <v>0.94349409715824761</v>
      </c>
      <c r="AM86" s="13">
        <f t="shared" si="145"/>
        <v>108007.3</v>
      </c>
      <c r="AN86" s="13">
        <f t="shared" si="181"/>
        <v>0</v>
      </c>
      <c r="AO86" s="13">
        <f t="shared" si="181"/>
        <v>0</v>
      </c>
      <c r="AP86" s="13">
        <f t="shared" si="181"/>
        <v>102328.7</v>
      </c>
      <c r="AQ86" s="13">
        <f t="shared" si="181"/>
        <v>0</v>
      </c>
      <c r="AR86" s="13">
        <f t="shared" si="181"/>
        <v>0</v>
      </c>
      <c r="AS86" s="13">
        <f t="shared" si="181"/>
        <v>102328.7</v>
      </c>
      <c r="AT86" s="68">
        <f>AM86-AS86</f>
        <v>5678.6000000000058</v>
      </c>
      <c r="AU86" s="268">
        <f t="shared" si="157"/>
        <v>0.94742392412364718</v>
      </c>
      <c r="AV86" s="13">
        <f t="shared" si="146"/>
        <v>108007.3</v>
      </c>
      <c r="AW86" s="13">
        <f t="shared" si="119"/>
        <v>0</v>
      </c>
      <c r="AX86" s="13">
        <f t="shared" si="119"/>
        <v>0</v>
      </c>
      <c r="AY86" s="13">
        <f t="shared" si="119"/>
        <v>0</v>
      </c>
      <c r="AZ86" s="13">
        <f t="shared" si="119"/>
        <v>102723.75</v>
      </c>
      <c r="BA86" s="13">
        <f t="shared" si="120"/>
        <v>102723.75</v>
      </c>
      <c r="BB86" s="68">
        <f t="shared" si="158"/>
        <v>5283.5500000000029</v>
      </c>
      <c r="BC86" s="268">
        <f t="shared" si="159"/>
        <v>0.95108154726578664</v>
      </c>
      <c r="BD86" s="13">
        <f t="shared" si="160"/>
        <v>108007.3</v>
      </c>
      <c r="BE86" s="13">
        <f>SUMIFS(SALIDAS_BIT,FECHA_BIT,"&gt;="&amp;BE$2,FECHA_BIT,"&lt;="&amp;BE$3,CLAVE_BIT,$A86)+SUMIFS(SALIDAS_BOV1,FECHA_BOV1,"&gt;="&amp;BE$2,FECHA_BOV1,"&lt;="&amp;BE$3,CLAVE_BOV1,$A86)+SUMIFS(SALIDAS_BOV2,FECHA_BOV2,"&gt;="&amp;BE$2,FECHA_BOV2,"&lt;="&amp;BE$3,CLAVE_BOV2,$A86)+SUMIFS(SALIDAS_BOV3,FECHA_BOV3,"&gt;="&amp;BE$2,FECHA_BOV3,"&lt;="&amp;BE$3,CLAVE_BOV3,$A86)+SUMIFS(SALIDAS_TC,FECHA_TC,"&gt;="&amp;BE$2,FECHA_TC,"&lt;="&amp;BE$3,CLAVE_TC,$A86)+SUMIFS(SALIDAS_COMB,FECHA_COMB,"&gt;="&amp;BE$2,FECHA_COMB,"&lt;="&amp;BE$3,CLAVE_COMB,$A86)+SUMIFS(SALIDAS_DES,FECHA_DESGLOSEN,"&gt;="&amp;BE$2,FECHA_DESGLOSEN,"&lt;="&amp;BE$3,CLAVE_DESGLOSE,$A86)</f>
        <v>0</v>
      </c>
      <c r="BF86" s="13">
        <f>SUMIFS(SALIDAS_BIT,FECHA_BIT,"&gt;="&amp;BF$2,FECHA_BIT,"&lt;="&amp;BF$3,CLAVE_BIT,$A86)+SUMIFS(SALIDAS_BOV1,FECHA_BOV1,"&gt;="&amp;BF$2,FECHA_BOV1,"&lt;="&amp;BF$3,CLAVE_BOV1,$A86)+SUMIFS(SALIDAS_BOV2,FECHA_BOV2,"&gt;="&amp;BF$2,FECHA_BOV2,"&lt;="&amp;BF$3,CLAVE_BOV2,$A86)+SUMIFS(SALIDAS_BOV3,FECHA_BOV3,"&gt;="&amp;BF$2,FECHA_BOV3,"&lt;="&amp;BF$3,CLAVE_BOV3,$A86)+SUMIFS(SALIDAS_TC,FECHA_TC,"&gt;="&amp;BF$2,FECHA_TC,"&lt;="&amp;BF$3,CLAVE_TC,$A86)+SUMIFS(SALIDAS_COMB,FECHA_COMB,"&gt;="&amp;BF$2,FECHA_COMB,"&lt;="&amp;BF$3,CLAVE_COMB,$A86)+SUMIFS(SALIDAS_DES,FECHA_DESGLOSEN,"&gt;="&amp;BF$2,FECHA_DESGLOSEN,"&lt;="&amp;BF$3,CLAVE_DESGLOSE,$A86)</f>
        <v>0</v>
      </c>
      <c r="BG86" s="13">
        <f>SUMIFS(SALIDAS_BIT,FECHA_BIT,"&gt;="&amp;BG$2,FECHA_BIT,"&lt;="&amp;BG$3,CLAVE_BIT,$A86)+SUMIFS(SALIDAS_BOV1,FECHA_BOV1,"&gt;="&amp;BG$2,FECHA_BOV1,"&lt;="&amp;BG$3,CLAVE_BOV1,$A86)+SUMIFS(SALIDAS_BOV2,FECHA_BOV2,"&gt;="&amp;BG$2,FECHA_BOV2,"&lt;="&amp;BG$3,CLAVE_BOV2,$A86)+SUMIFS(SALIDAS_BOV3,FECHA_BOV3,"&gt;="&amp;BG$2,FECHA_BOV3,"&lt;="&amp;BG$3,CLAVE_BOV3,$A86)+SUMIFS(SALIDAS_TC,FECHA_TC,"&gt;="&amp;BG$2,FECHA_TC,"&lt;="&amp;BG$3,CLAVE_TC,$A86)+SUMIFS(SALIDAS_COMB,FECHA_COMB,"&gt;="&amp;BG$2,FECHA_COMB,"&lt;="&amp;BG$3,CLAVE_COMB,$A86)+SUMIFS(SALIDAS_DES,FECHA_DESGLOSEN,"&gt;="&amp;BG$2,FECHA_DESGLOSEN,"&lt;="&amp;BG$3,CLAVE_DESGLOSE,$A86)</f>
        <v>25259.81</v>
      </c>
      <c r="BH86" s="13">
        <f>SUMIFS(SALIDAS_BIT,FECHA_BIT,"&gt;="&amp;BH$2,FECHA_BIT,"&lt;="&amp;BH$3,CLAVE_BIT,$A86)+SUMIFS(SALIDAS_BOV1,FECHA_BOV1,"&gt;="&amp;BH$2,FECHA_BOV1,"&lt;="&amp;BH$3,CLAVE_BOV1,$A86)+SUMIFS(SALIDAS_BOV2,FECHA_BOV2,"&gt;="&amp;BH$2,FECHA_BOV2,"&lt;="&amp;BH$3,CLAVE_BOV2,$A86)+SUMIFS(SALIDAS_BOV3,FECHA_BOV3,"&gt;="&amp;BH$2,FECHA_BOV3,"&lt;="&amp;BH$3,CLAVE_BOV3,$A86)+SUMIFS(SALIDAS_TC,FECHA_TC,"&gt;="&amp;BH$2,FECHA_TC,"&lt;="&amp;BH$3,CLAVE_TC,$A86)+SUMIFS(SALIDAS_COMB,FECHA_COMB,"&gt;="&amp;BH$2,FECHA_COMB,"&lt;="&amp;BH$3,CLAVE_COMB,$A86)+SUMIFS(SALIDAS_DES,FECHA_DESGLOSEN,"&gt;="&amp;BH$2,FECHA_DESGLOSEN,"&lt;="&amp;BH$3,CLAVE_DESGLOSE,$A86)</f>
        <v>77390</v>
      </c>
      <c r="BI86" s="13">
        <f t="shared" si="121"/>
        <v>102649.81</v>
      </c>
      <c r="BJ86" s="68">
        <f t="shared" si="161"/>
        <v>5357.4900000000052</v>
      </c>
      <c r="BK86" s="268">
        <f t="shared" si="162"/>
        <v>0.95039696390892092</v>
      </c>
      <c r="BL86" s="13">
        <f t="shared" si="163"/>
        <v>108007.3</v>
      </c>
      <c r="BM86" s="13">
        <f>SUMIFS(SALIDAS_BIT,FECHA_BIT,"&gt;="&amp;BM$2,FECHA_BIT,"&lt;="&amp;BM$3,CLAVE_BIT,$A86)+SUMIFS(SALIDAS_BOV1,FECHA_BOV1,"&gt;="&amp;BM$2,FECHA_BOV1,"&lt;="&amp;BM$3,CLAVE_BOV1,$A86)+SUMIFS(SALIDAS_BOV2,FECHA_BOV2,"&gt;="&amp;BM$2,FECHA_BOV2,"&lt;="&amp;BM$3,CLAVE_BOV2,$A86)+SUMIFS(SALIDAS_BOV3,FECHA_BOV3,"&gt;="&amp;BM$2,FECHA_BOV3,"&lt;="&amp;BM$3,CLAVE_BOV3,$A86)+SUMIFS(SALIDAS_TC,FECHA_TC,"&gt;="&amp;BM$2,FECHA_TC,"&lt;="&amp;BM$3,CLAVE_TC,$A86)+SUMIFS(SALIDAS_COMB,FECHA_COMB,"&gt;="&amp;BM$2,FECHA_COMB,"&lt;="&amp;BM$3,CLAVE_COMB,$A86)+SUMIFS(SALIDAS_DES,FECHA_DESGLOSEN,"&gt;="&amp;BM$2,FECHA_DESGLOSEN,"&lt;="&amp;BM$3,CLAVE_DESGLOSE,$A86)</f>
        <v>0</v>
      </c>
      <c r="BN86" s="13">
        <f>SUMIFS(SALIDAS_BIT,FECHA_BIT,"&gt;="&amp;BN$2,FECHA_BIT,"&lt;="&amp;BN$3,CLAVE_BIT,$A86)+SUMIFS(SALIDAS_BOV1,FECHA_BOV1,"&gt;="&amp;BN$2,FECHA_BOV1,"&lt;="&amp;BN$3,CLAVE_BOV1,$A86)+SUMIFS(SALIDAS_BOV2,FECHA_BOV2,"&gt;="&amp;BN$2,FECHA_BOV2,"&lt;="&amp;BN$3,CLAVE_BOV2,$A86)+SUMIFS(SALIDAS_BOV3,FECHA_BOV3,"&gt;="&amp;BN$2,FECHA_BOV3,"&lt;="&amp;BN$3,CLAVE_BOV3,$A86)+SUMIFS(SALIDAS_TC,FECHA_TC,"&gt;="&amp;BN$2,FECHA_TC,"&lt;="&amp;BN$3,CLAVE_TC,$A86)+SUMIFS(SALIDAS_COMB,FECHA_COMB,"&gt;="&amp;BN$2,FECHA_COMB,"&lt;="&amp;BN$3,CLAVE_COMB,$A86)+SUMIFS(SALIDAS_DES,FECHA_DESGLOSEN,"&gt;="&amp;BN$2,FECHA_DESGLOSEN,"&lt;="&amp;BN$3,CLAVE_DESGLOSE,$A86)</f>
        <v>0</v>
      </c>
      <c r="BO86" s="13">
        <f>SUMIFS(SALIDAS_BIT,FECHA_BIT,"&gt;="&amp;BO$2,FECHA_BIT,"&lt;="&amp;BO$3,CLAVE_BIT,$A86)+SUMIFS(SALIDAS_BOV1,FECHA_BOV1,"&gt;="&amp;BO$2,FECHA_BOV1,"&lt;="&amp;BO$3,CLAVE_BOV1,$A86)+SUMIFS(SALIDAS_BOV2,FECHA_BOV2,"&gt;="&amp;BO$2,FECHA_BOV2,"&lt;="&amp;BO$3,CLAVE_BOV2,$A86)+SUMIFS(SALIDAS_BOV3,FECHA_BOV3,"&gt;="&amp;BO$2,FECHA_BOV3,"&lt;="&amp;BO$3,CLAVE_BOV3,$A86)+SUMIFS(SALIDAS_TC,FECHA_TC,"&gt;="&amp;BO$2,FECHA_TC,"&lt;="&amp;BO$3,CLAVE_TC,$A86)+SUMIFS(SALIDAS_COMB,FECHA_COMB,"&gt;="&amp;BO$2,FECHA_COMB,"&lt;="&amp;BO$3,CLAVE_COMB,$A86)+SUMIFS(SALIDAS_DES,FECHA_DESGLOSEN,"&gt;="&amp;BO$2,FECHA_DESGLOSEN,"&lt;="&amp;BO$3,CLAVE_DESGLOSE,$A86)</f>
        <v>0</v>
      </c>
      <c r="BP86" s="13">
        <f>SUMIFS(SALIDAS_BIT,FECHA_BIT,"&gt;="&amp;BP$2,FECHA_BIT,"&lt;="&amp;BP$3,CLAVE_BIT,$A86)+SUMIFS(SALIDAS_BOV1,FECHA_BOV1,"&gt;="&amp;BP$2,FECHA_BOV1,"&lt;="&amp;BP$3,CLAVE_BOV1,$A86)+SUMIFS(SALIDAS_BOV2,FECHA_BOV2,"&gt;="&amp;BP$2,FECHA_BOV2,"&lt;="&amp;BP$3,CLAVE_BOV2,$A86)+SUMIFS(SALIDAS_BOV3,FECHA_BOV3,"&gt;="&amp;BP$2,FECHA_BOV3,"&lt;="&amp;BP$3,CLAVE_BOV3,$A86)+SUMIFS(SALIDAS_TC,FECHA_TC,"&gt;="&amp;BP$2,FECHA_TC,"&lt;="&amp;BP$3,CLAVE_TC,$A86)+SUMIFS(SALIDAS_COMB,FECHA_COMB,"&gt;="&amp;BP$2,FECHA_COMB,"&lt;="&amp;BP$3,CLAVE_COMB,$A86)+SUMIFS(SALIDAS_DES,FECHA_DESGLOSEN,"&gt;="&amp;BP$2,FECHA_DESGLOSEN,"&lt;="&amp;BP$3,CLAVE_DESGLOSE,$A86)</f>
        <v>0</v>
      </c>
      <c r="BQ86" s="13">
        <f>SUMIFS(SALIDAS_BIT,FECHA_BIT,"&gt;="&amp;BQ$2,FECHA_BIT,"&lt;="&amp;BQ$3,CLAVE_BIT,$A86)+SUMIFS(SALIDAS_BOV1,FECHA_BOV1,"&gt;="&amp;BQ$2,FECHA_BOV1,"&lt;="&amp;BQ$3,CLAVE_BOV1,$A86)+SUMIFS(SALIDAS_BOV2,FECHA_BOV2,"&gt;="&amp;BQ$2,FECHA_BOV2,"&lt;="&amp;BQ$3,CLAVE_BOV2,$A86)+SUMIFS(SALIDAS_BOV3,FECHA_BOV3,"&gt;="&amp;BQ$2,FECHA_BOV3,"&lt;="&amp;BQ$3,CLAVE_BOV3,$A86)+SUMIFS(SALIDAS_TC,FECHA_TC,"&gt;="&amp;BQ$2,FECHA_TC,"&lt;="&amp;BQ$3,CLAVE_TC,$A86)+SUMIFS(SALIDAS_COMB,FECHA_COMB,"&gt;="&amp;BQ$2,FECHA_COMB,"&lt;="&amp;BQ$3,CLAVE_COMB,$A86)+SUMIFS(SALIDAS_DES,FECHA_DESGLOSEN,"&gt;="&amp;BQ$2,FECHA_DESGLOSEN,"&lt;="&amp;BQ$3,CLAVE_DESGLOSE,$A86)</f>
        <v>103054.67</v>
      </c>
      <c r="BR86" s="13">
        <f t="shared" si="182"/>
        <v>103054.67</v>
      </c>
      <c r="BS86" s="68">
        <f t="shared" si="164"/>
        <v>4952.6300000000047</v>
      </c>
      <c r="BT86" s="268">
        <f t="shared" si="165"/>
        <v>0.9541454142451482</v>
      </c>
      <c r="BU86" s="13">
        <f t="shared" si="166"/>
        <v>108007.3</v>
      </c>
      <c r="BV86" s="13">
        <f t="shared" si="90"/>
        <v>0</v>
      </c>
      <c r="BW86" s="13">
        <f t="shared" si="90"/>
        <v>0</v>
      </c>
      <c r="BX86" s="13">
        <f t="shared" si="90"/>
        <v>24751.21</v>
      </c>
      <c r="BY86" s="13">
        <f t="shared" ref="BV86:BY149" si="186">SUMIFS(SALIDAS_BIT,FECHA_BIT,"&gt;="&amp;BY$2,FECHA_BIT,"&lt;="&amp;BY$3,CLAVE_BIT,$A86)+SUMIFS(SALIDAS_BOV1,FECHA_BOV1,"&gt;="&amp;BY$2,FECHA_BOV1,"&lt;="&amp;BY$3,CLAVE_BOV1,$A86)+SUMIFS(SALIDAS_BOV2,FECHA_BOV2,"&gt;="&amp;BY$2,FECHA_BOV2,"&lt;="&amp;BY$3,CLAVE_BOV2,$A86)+SUMIFS(SALIDAS_BOV3,FECHA_BOV3,"&gt;="&amp;BY$2,FECHA_BOV3,"&lt;="&amp;BY$3,CLAVE_BOV3,$A86)+SUMIFS(SALIDAS_TC,FECHA_TC,"&gt;="&amp;BY$2,FECHA_TC,"&lt;="&amp;BY$3,CLAVE_TC,$A86)+SUMIFS(SALIDAS_COMB,FECHA_COMB,"&gt;="&amp;BY$2,FECHA_COMB,"&lt;="&amp;BY$3,CLAVE_COMB,$A86)+SUMIFS(SALIDAS_DES,FECHA_DESGLOSEN,"&gt;="&amp;BY$2,FECHA_DESGLOSEN,"&lt;="&amp;BY$3,CLAVE_DESGLOSE,$A86)</f>
        <v>87477.57</v>
      </c>
      <c r="BZ86" s="13">
        <f t="shared" si="183"/>
        <v>112228.78</v>
      </c>
      <c r="CA86" s="68">
        <f t="shared" si="167"/>
        <v>-4221.4799999999959</v>
      </c>
      <c r="CB86" s="268">
        <f t="shared" si="168"/>
        <v>1.0390851359121096</v>
      </c>
      <c r="CC86" s="13">
        <f t="shared" si="169"/>
        <v>108007.3</v>
      </c>
      <c r="CD86" s="13">
        <f t="shared" si="91"/>
        <v>0</v>
      </c>
      <c r="CE86" s="13">
        <f t="shared" si="91"/>
        <v>0</v>
      </c>
      <c r="CF86" s="13">
        <f t="shared" si="91"/>
        <v>25063.02</v>
      </c>
      <c r="CG86" s="13">
        <f t="shared" ref="CD86:CG149" si="187">SUMIFS(SALIDAS_BIT,FECHA_BIT,"&gt;="&amp;CG$2,FECHA_BIT,"&lt;="&amp;CG$3,CLAVE_BIT,$A86)+SUMIFS(SALIDAS_BOV1,FECHA_BOV1,"&gt;="&amp;CG$2,FECHA_BOV1,"&lt;="&amp;CG$3,CLAVE_BOV1,$A86)+SUMIFS(SALIDAS_BOV2,FECHA_BOV2,"&gt;="&amp;CG$2,FECHA_BOV2,"&lt;="&amp;CG$3,CLAVE_BOV2,$A86)+SUMIFS(SALIDAS_BOV3,FECHA_BOV3,"&gt;="&amp;CG$2,FECHA_BOV3,"&lt;="&amp;CG$3,CLAVE_BOV3,$A86)+SUMIFS(SALIDAS_TC,FECHA_TC,"&gt;="&amp;CG$2,FECHA_TC,"&lt;="&amp;CG$3,CLAVE_TC,$A86)+SUMIFS(SALIDAS_COMB,FECHA_COMB,"&gt;="&amp;CG$2,FECHA_COMB,"&lt;="&amp;CG$3,CLAVE_COMB,$A86)+SUMIFS(SALIDAS_DES,FECHA_DESGLOSEN,"&gt;="&amp;CG$2,FECHA_DESGLOSEN,"&lt;="&amp;CG$3,CLAVE_DESGLOSE,$A86)</f>
        <v>82807.3</v>
      </c>
      <c r="CH86" s="13">
        <f t="shared" si="184"/>
        <v>107870.32</v>
      </c>
      <c r="CI86" s="68">
        <f t="shared" si="170"/>
        <v>136.97999999999593</v>
      </c>
      <c r="CJ86" s="268">
        <f t="shared" si="171"/>
        <v>0.99873175239081069</v>
      </c>
      <c r="CK86" s="13">
        <f t="shared" si="172"/>
        <v>108007.3</v>
      </c>
      <c r="CL86" s="13">
        <f t="shared" si="176"/>
        <v>0</v>
      </c>
      <c r="CM86" s="13">
        <f t="shared" si="176"/>
        <v>110384.32000000001</v>
      </c>
      <c r="CN86" s="13">
        <f t="shared" si="176"/>
        <v>0</v>
      </c>
      <c r="CO86" s="13">
        <f t="shared" si="176"/>
        <v>0</v>
      </c>
      <c r="CP86" s="13">
        <f t="shared" si="176"/>
        <v>0</v>
      </c>
      <c r="CQ86" s="13">
        <f t="shared" si="185"/>
        <v>110384.32000000001</v>
      </c>
      <c r="CR86" s="68">
        <f t="shared" si="173"/>
        <v>-2377.0200000000041</v>
      </c>
      <c r="CS86" s="268">
        <f t="shared" si="174"/>
        <v>1.0220079568695819</v>
      </c>
      <c r="CT86" s="68">
        <f t="shared" si="147"/>
        <v>121077</v>
      </c>
      <c r="CU86" s="13">
        <f>SUMIFS(SALIDAS_BIT,FECHA_BIT,"&gt;="&amp;CU$2,FECHA_BIT,"&lt;="&amp;CU$3,CLAVE_BIT,$A86)+SUMIFS(SALIDAS_BOV1,FECHA_BOV1,"&gt;="&amp;CU$2,FECHA_BOV1,"&lt;="&amp;CU$3,CLAVE_BOV1,$A86)+SUMIFS(SALIDAS_BOV2,FECHA_BOV2,"&gt;="&amp;CU$2,FECHA_BOV2,"&lt;="&amp;CU$3,CLAVE_BOV2,$A86)+SUMIFS(SALIDAS_BOV3,FECHA_BOV3,"&gt;="&amp;CU$2,FECHA_BOV3,"&lt;="&amp;CU$3,CLAVE_BOV3,$A86)+SUMIFS(SALIDAS_TC,FECHA_TC,"&gt;="&amp;CU$2,FECHA_TC,"&lt;="&amp;CU$3,CLAVE_TC,$A86)+SUMIFS(SALIDAS_COMB,FECHA_COMB,"&gt;="&amp;CU$2,FECHA_COMB,"&lt;="&amp;CU$3,CLAVE_COMB,$A86)+SUMIFS(SALIDAS_DES,FECHA_DESGLOSEN,"&gt;="&amp;CU$2,FECHA_DESGLOSEN,"&lt;="&amp;CU$3,CLAVE_DESGLOSE,$A86)</f>
        <v>0</v>
      </c>
      <c r="CV86" s="13">
        <f>SUMIFS(SALIDAS_BIT,FECHA_BIT,"&gt;="&amp;CV$2,FECHA_BIT,"&lt;="&amp;CV$3,CLAVE_BIT,$A86)+SUMIFS(SALIDAS_BOV1,FECHA_BOV1,"&gt;="&amp;CV$2,FECHA_BOV1,"&lt;="&amp;CV$3,CLAVE_BOV1,$A86)+SUMIFS(SALIDAS_BOV2,FECHA_BOV2,"&gt;="&amp;CV$2,FECHA_BOV2,"&lt;="&amp;CV$3,CLAVE_BOV2,$A86)+SUMIFS(SALIDAS_BOV3,FECHA_BOV3,"&gt;="&amp;CV$2,FECHA_BOV3,"&lt;="&amp;CV$3,CLAVE_BOV3,$A86)+SUMIFS(SALIDAS_TC,FECHA_TC,"&gt;="&amp;CV$2,FECHA_TC,"&lt;="&amp;CV$3,CLAVE_TC,$A86)+SUMIFS(SALIDAS_COMB,FECHA_COMB,"&gt;="&amp;CV$2,FECHA_COMB,"&lt;="&amp;CV$3,CLAVE_COMB,$A86)+SUMIFS(SALIDAS_DES,FECHA_DESGLOSEN,"&gt;="&amp;CV$2,FECHA_DESGLOSEN,"&lt;="&amp;CV$3,CLAVE_DESGLOSE,$A86)</f>
        <v>0</v>
      </c>
      <c r="CW86" s="13">
        <f>SUMIFS(SALIDAS_BIT,FECHA_BIT,"&gt;="&amp;CW$2,FECHA_BIT,"&lt;="&amp;CW$3,CLAVE_BIT,$A86)+SUMIFS(SALIDAS_BOV1,FECHA_BOV1,"&gt;="&amp;CW$2,FECHA_BOV1,"&lt;="&amp;CW$3,CLAVE_BOV1,$A86)+SUMIFS(SALIDAS_BOV2,FECHA_BOV2,"&gt;="&amp;CW$2,FECHA_BOV2,"&lt;="&amp;CW$3,CLAVE_BOV2,$A86)+SUMIFS(SALIDAS_BOV3,FECHA_BOV3,"&gt;="&amp;CW$2,FECHA_BOV3,"&lt;="&amp;CW$3,CLAVE_BOV3,$A86)+SUMIFS(SALIDAS_TC,FECHA_TC,"&gt;="&amp;CW$2,FECHA_TC,"&lt;="&amp;CW$3,CLAVE_TC,$A86)+SUMIFS(SALIDAS_COMB,FECHA_COMB,"&gt;="&amp;CW$2,FECHA_COMB,"&lt;="&amp;CW$3,CLAVE_COMB,$A86)+SUMIFS(SALIDAS_DES,FECHA_DESGLOSEN,"&gt;="&amp;CW$2,FECHA_DESGLOSEN,"&lt;="&amp;CW$3,CLAVE_DESGLOSE,$A86)</f>
        <v>0</v>
      </c>
      <c r="CX86" s="13">
        <f>SUMIFS(SALIDAS_BIT,FECHA_BIT,"&gt;="&amp;CX$2,FECHA_BIT,"&lt;="&amp;CX$3,CLAVE_BIT,$A86)+SUMIFS(SALIDAS_BOV1,FECHA_BOV1,"&gt;="&amp;CX$2,FECHA_BOV1,"&lt;="&amp;CX$3,CLAVE_BOV1,$A86)+SUMIFS(SALIDAS_BOV2,FECHA_BOV2,"&gt;="&amp;CX$2,FECHA_BOV2,"&lt;="&amp;CX$3,CLAVE_BOV2,$A86)+SUMIFS(SALIDAS_BOV3,FECHA_BOV3,"&gt;="&amp;CX$2,FECHA_BOV3,"&lt;="&amp;CX$3,CLAVE_BOV3,$A86)+SUMIFS(SALIDAS_TC,FECHA_TC,"&gt;="&amp;CX$2,FECHA_TC,"&lt;="&amp;CX$3,CLAVE_TC,$A86)+SUMIFS(SALIDAS_COMB,FECHA_COMB,"&gt;="&amp;CX$2,FECHA_COMB,"&lt;="&amp;CX$3,CLAVE_COMB,$A86)+SUMIFS(SALIDAS_DES,FECHA_DESGLOSEN,"&gt;="&amp;CX$2,FECHA_DESGLOSEN,"&lt;="&amp;CX$3,CLAVE_DESGLOSE,$A86)</f>
        <v>137976.32000000001</v>
      </c>
      <c r="CY86" s="13">
        <f>SUMIFS(SALIDAS_BIT,FECHA_BIT,"&gt;="&amp;CY$2,FECHA_BIT,"&lt;="&amp;CY$3,CLAVE_BIT,$A86)+SUMIFS(SALIDAS_BOV1,FECHA_BOV1,"&gt;="&amp;CY$2,FECHA_BOV1,"&lt;="&amp;CY$3,CLAVE_BOV1,$A86)+SUMIFS(SALIDAS_BOV2,FECHA_BOV2,"&gt;="&amp;CY$2,FECHA_BOV2,"&lt;="&amp;CY$3,CLAVE_BOV2,$A86)+SUMIFS(SALIDAS_BOV3,FECHA_BOV3,"&gt;="&amp;CY$2,FECHA_BOV3,"&lt;="&amp;CY$3,CLAVE_BOV3,$A86)+SUMIFS(SALIDAS_TC,FECHA_TC,"&gt;="&amp;CY$2,FECHA_TC,"&lt;="&amp;CY$3,CLAVE_TC,$A86)+SUMIFS(SALIDAS_COMB,FECHA_COMB,"&gt;="&amp;CY$2,FECHA_COMB,"&lt;="&amp;CY$3,CLAVE_COMB,$A86)+SUMIFS(SALIDAS_DES,FECHA_DESGLOSEN,"&gt;="&amp;CY$2,FECHA_DESGLOSEN,"&lt;="&amp;CY$3,CLAVE_DESGLOSE,$A86)</f>
        <v>137976.32000000001</v>
      </c>
      <c r="CZ86" s="68">
        <f t="shared" si="175"/>
        <v>-16899.320000000007</v>
      </c>
      <c r="DB86" s="17">
        <f>F86+N86+W86+AE86+AM86+AV86+BD86+BL86+BU86+CC86+CK86</f>
        <v>1188080.3000000003</v>
      </c>
      <c r="DC86" s="17">
        <f>K86+T86+AB86+AJ86+AS86+BA86+BI86+BR86+BZ86+CH86+CQ86</f>
        <v>1148301.3400000001</v>
      </c>
    </row>
    <row r="87" spans="1:107" hidden="1">
      <c r="A87" s="12" t="str">
        <f t="shared" si="148"/>
        <v>FINANZASRENTASE5</v>
      </c>
      <c r="B87" s="12">
        <v>89</v>
      </c>
      <c r="C87" t="s">
        <v>23</v>
      </c>
      <c r="D87" s="14" t="s">
        <v>169</v>
      </c>
      <c r="E87" s="14" t="s">
        <v>111</v>
      </c>
      <c r="F87" s="259">
        <f t="shared" si="141"/>
        <v>43284.41</v>
      </c>
      <c r="G87" s="13">
        <f t="shared" ref="G87:K96" si="188">SUMIFS(SALIDAS_BIT,FECHA_BIT,"&gt;="&amp;G$2,FECHA_BIT,"&lt;="&amp;G$3,CLAVE_BIT,$A87)+SUMIFS(SALIDAS_BOV1,FECHA_BOV1,"&gt;="&amp;G$2,FECHA_BOV1,"&lt;="&amp;G$3,CLAVE_BOV1,$A87)+SUMIFS(SALIDAS_BOV2,FECHA_BOV2,"&gt;="&amp;G$2,FECHA_BOV2,"&lt;="&amp;G$3,CLAVE_BOV2,$A87)+SUMIFS(SALIDAS_BOV3,FECHA_BOV3,"&gt;="&amp;G$2,FECHA_BOV3,"&lt;="&amp;G$3,CLAVE_BOV3,$A87)+SUMIFS(SALIDAS_TC,FECHA_TC,"&gt;="&amp;G$2,FECHA_TC,"&lt;="&amp;G$3,CLAVE_TC,$A87)+SUMIFS(SALIDAS_COMB,FECHA_COMB,"&gt;="&amp;G$2,FECHA_COMB,"&lt;="&amp;G$3,CLAVE_COMB,$A87)+SUMIFS(SALIDAS_DES,FECHA_DESGLOSEN,"&gt;="&amp;G$2,FECHA_DESGLOSEN,"&lt;="&amp;G$3,CLAVE_DESGLOSE,$A87)</f>
        <v>0</v>
      </c>
      <c r="H87" s="13">
        <f t="shared" si="188"/>
        <v>0</v>
      </c>
      <c r="I87" s="13">
        <f t="shared" si="188"/>
        <v>0</v>
      </c>
      <c r="J87" s="13">
        <f t="shared" si="188"/>
        <v>41223.25</v>
      </c>
      <c r="K87" s="13">
        <f t="shared" si="188"/>
        <v>41223.25</v>
      </c>
      <c r="L87" s="68">
        <f t="shared" si="149"/>
        <v>2061.1600000000035</v>
      </c>
      <c r="M87" s="268">
        <f t="shared" si="150"/>
        <v>0.95238100738811038</v>
      </c>
      <c r="N87" s="13">
        <f t="shared" si="142"/>
        <v>43284.41</v>
      </c>
      <c r="O87" s="13">
        <f t="shared" ref="O87:T96" si="189">SUMIFS(SALIDAS_BIT,FECHA_BIT,"&gt;="&amp;O$2,FECHA_BIT,"&lt;="&amp;O$3,CLAVE_BIT,$A87)+SUMIFS(SALIDAS_BOV1,FECHA_BOV1,"&gt;="&amp;O$2,FECHA_BOV1,"&lt;="&amp;O$3,CLAVE_BOV1,$A87)+SUMIFS(SALIDAS_BOV2,FECHA_BOV2,"&gt;="&amp;O$2,FECHA_BOV2,"&lt;="&amp;O$3,CLAVE_BOV2,$A87)+SUMIFS(SALIDAS_BOV3,FECHA_BOV3,"&gt;="&amp;O$2,FECHA_BOV3,"&lt;="&amp;O$3,CLAVE_BOV3,$A87)+SUMIFS(SALIDAS_TC,FECHA_TC,"&gt;="&amp;O$2,FECHA_TC,"&lt;="&amp;O$3,CLAVE_TC,$A87)+SUMIFS(SALIDAS_COMB,FECHA_COMB,"&gt;="&amp;O$2,FECHA_COMB,"&lt;="&amp;O$3,CLAVE_COMB,$A87)+SUMIFS(SALIDAS_DES,FECHA_DESGLOSEN,"&gt;="&amp;O$2,FECHA_DESGLOSEN,"&lt;="&amp;O$3,CLAVE_DESGLOSE,$A87)</f>
        <v>0</v>
      </c>
      <c r="P87" s="13">
        <f t="shared" si="189"/>
        <v>0</v>
      </c>
      <c r="Q87" s="13">
        <f t="shared" si="189"/>
        <v>0</v>
      </c>
      <c r="R87" s="13">
        <f t="shared" si="189"/>
        <v>0</v>
      </c>
      <c r="S87" s="13">
        <f t="shared" si="189"/>
        <v>41223.25</v>
      </c>
      <c r="T87" s="13">
        <f t="shared" si="189"/>
        <v>41223.25</v>
      </c>
      <c r="U87" s="68">
        <f t="shared" si="151"/>
        <v>2061.1600000000035</v>
      </c>
      <c r="V87" s="268">
        <f t="shared" si="152"/>
        <v>0.95238100738811038</v>
      </c>
      <c r="W87" s="13">
        <f t="shared" si="143"/>
        <v>43284.41</v>
      </c>
      <c r="X87" s="13">
        <f t="shared" ref="X87:AB96" si="190">SUMIFS(SALIDAS_BIT,FECHA_BIT,"&gt;="&amp;X$2,FECHA_BIT,"&lt;="&amp;X$3,CLAVE_BIT,$A87)+SUMIFS(SALIDAS_BOV1,FECHA_BOV1,"&gt;="&amp;X$2,FECHA_BOV1,"&lt;="&amp;X$3,CLAVE_BOV1,$A87)+SUMIFS(SALIDAS_BOV2,FECHA_BOV2,"&gt;="&amp;X$2,FECHA_BOV2,"&lt;="&amp;X$3,CLAVE_BOV2,$A87)+SUMIFS(SALIDAS_BOV3,FECHA_BOV3,"&gt;="&amp;X$2,FECHA_BOV3,"&lt;="&amp;X$3,CLAVE_BOV3,$A87)+SUMIFS(SALIDAS_TC,FECHA_TC,"&gt;="&amp;X$2,FECHA_TC,"&lt;="&amp;X$3,CLAVE_TC,$A87)+SUMIFS(SALIDAS_COMB,FECHA_COMB,"&gt;="&amp;X$2,FECHA_COMB,"&lt;="&amp;X$3,CLAVE_COMB,$A87)+SUMIFS(SALIDAS_DES,FECHA_DESGLOSEN,"&gt;="&amp;X$2,FECHA_DESGLOSEN,"&lt;="&amp;X$3,CLAVE_DESGLOSE,$A87)</f>
        <v>0</v>
      </c>
      <c r="Y87" s="13">
        <f t="shared" si="190"/>
        <v>0</v>
      </c>
      <c r="Z87" s="13">
        <f t="shared" si="190"/>
        <v>0</v>
      </c>
      <c r="AA87" s="13">
        <f t="shared" si="190"/>
        <v>41223.25</v>
      </c>
      <c r="AB87" s="13">
        <f t="shared" si="190"/>
        <v>41223.25</v>
      </c>
      <c r="AC87" s="68">
        <f t="shared" si="153"/>
        <v>2061.1600000000035</v>
      </c>
      <c r="AD87" s="268">
        <f t="shared" si="154"/>
        <v>0.95238100738811038</v>
      </c>
      <c r="AE87" s="13">
        <f t="shared" si="144"/>
        <v>43284.41</v>
      </c>
      <c r="AF87" s="13">
        <f t="shared" ref="AF87:AJ96" si="191">SUMIFS(SALIDAS_BIT,FECHA_BIT,"&gt;="&amp;AF$2,FECHA_BIT,"&lt;="&amp;AF$3,CLAVE_BIT,$A87)+SUMIFS(SALIDAS_BOV1,FECHA_BOV1,"&gt;="&amp;AF$2,FECHA_BOV1,"&lt;="&amp;AF$3,CLAVE_BOV1,$A87)+SUMIFS(SALIDAS_BOV2,FECHA_BOV2,"&gt;="&amp;AF$2,FECHA_BOV2,"&lt;="&amp;AF$3,CLAVE_BOV2,$A87)+SUMIFS(SALIDAS_BOV3,FECHA_BOV3,"&gt;="&amp;AF$2,FECHA_BOV3,"&lt;="&amp;AF$3,CLAVE_BOV3,$A87)+SUMIFS(SALIDAS_TC,FECHA_TC,"&gt;="&amp;AF$2,FECHA_TC,"&lt;="&amp;AF$3,CLAVE_TC,$A87)+SUMIFS(SALIDAS_COMB,FECHA_COMB,"&gt;="&amp;AF$2,FECHA_COMB,"&lt;="&amp;AF$3,CLAVE_COMB,$A87)+SUMIFS(SALIDAS_DES,FECHA_DESGLOSEN,"&gt;="&amp;AF$2,FECHA_DESGLOSEN,"&lt;="&amp;AF$3,CLAVE_DESGLOSE,$A87)</f>
        <v>0</v>
      </c>
      <c r="AG87" s="13">
        <f t="shared" si="191"/>
        <v>0</v>
      </c>
      <c r="AH87" s="13">
        <f t="shared" si="191"/>
        <v>0</v>
      </c>
      <c r="AI87" s="13">
        <f t="shared" si="191"/>
        <v>0</v>
      </c>
      <c r="AJ87" s="13">
        <f t="shared" si="191"/>
        <v>0</v>
      </c>
      <c r="AK87" s="68">
        <f t="shared" si="155"/>
        <v>43284.41</v>
      </c>
      <c r="AL87" s="268">
        <f t="shared" si="156"/>
        <v>0</v>
      </c>
      <c r="AM87" s="13">
        <f t="shared" si="145"/>
        <v>43284.41</v>
      </c>
      <c r="AN87" s="13">
        <f t="shared" ref="AN87:AS96" si="192">SUMIFS(SALIDAS_BIT,FECHA_BIT,"&gt;="&amp;AN$2,FECHA_BIT,"&lt;="&amp;AN$3,CLAVE_BIT,$A87)+SUMIFS(SALIDAS_BOV1,FECHA_BOV1,"&gt;="&amp;AN$2,FECHA_BOV1,"&lt;="&amp;AN$3,CLAVE_BOV1,$A87)+SUMIFS(SALIDAS_BOV2,FECHA_BOV2,"&gt;="&amp;AN$2,FECHA_BOV2,"&lt;="&amp;AN$3,CLAVE_BOV2,$A87)+SUMIFS(SALIDAS_BOV3,FECHA_BOV3,"&gt;="&amp;AN$2,FECHA_BOV3,"&lt;="&amp;AN$3,CLAVE_BOV3,$A87)+SUMIFS(SALIDAS_TC,FECHA_TC,"&gt;="&amp;AN$2,FECHA_TC,"&lt;="&amp;AN$3,CLAVE_TC,$A87)+SUMIFS(SALIDAS_COMB,FECHA_COMB,"&gt;="&amp;AN$2,FECHA_COMB,"&lt;="&amp;AN$3,CLAVE_COMB,$A87)+SUMIFS(SALIDAS_DES,FECHA_DESGLOSEN,"&gt;="&amp;AN$2,FECHA_DESGLOSEN,"&lt;="&amp;AN$3,CLAVE_DESGLOSE,$A87)</f>
        <v>0</v>
      </c>
      <c r="AO87" s="13">
        <f t="shared" si="192"/>
        <v>0</v>
      </c>
      <c r="AP87" s="13">
        <f t="shared" si="192"/>
        <v>0</v>
      </c>
      <c r="AQ87" s="13">
        <f t="shared" si="192"/>
        <v>41223.25</v>
      </c>
      <c r="AR87" s="13">
        <f t="shared" si="192"/>
        <v>0</v>
      </c>
      <c r="AS87" s="13">
        <f t="shared" si="192"/>
        <v>41223.25</v>
      </c>
      <c r="AT87" s="68">
        <f>AM87-AS87</f>
        <v>2061.1600000000035</v>
      </c>
      <c r="AU87" s="268">
        <f t="shared" si="157"/>
        <v>0.95238100738811038</v>
      </c>
      <c r="AV87" s="13">
        <f t="shared" si="146"/>
        <v>43284.41</v>
      </c>
      <c r="AW87" s="13">
        <f t="shared" si="119"/>
        <v>0</v>
      </c>
      <c r="AX87" s="13">
        <f t="shared" si="119"/>
        <v>0</v>
      </c>
      <c r="AY87" s="13">
        <f t="shared" si="119"/>
        <v>0</v>
      </c>
      <c r="AZ87" s="13">
        <f t="shared" si="119"/>
        <v>41223.25</v>
      </c>
      <c r="BA87" s="13">
        <f t="shared" si="120"/>
        <v>41223.25</v>
      </c>
      <c r="BB87" s="68">
        <f t="shared" si="158"/>
        <v>2061.1600000000035</v>
      </c>
      <c r="BC87" s="268">
        <f t="shared" si="159"/>
        <v>0.95238100738811038</v>
      </c>
      <c r="BD87" s="13">
        <f t="shared" si="160"/>
        <v>43284.41</v>
      </c>
      <c r="BE87" s="13">
        <f>SUMIFS(SALIDAS_BIT,FECHA_BIT,"&gt;="&amp;BE$2,FECHA_BIT,"&lt;="&amp;BE$3,CLAVE_BIT,$A87)+SUMIFS(SALIDAS_BOV1,FECHA_BOV1,"&gt;="&amp;BE$2,FECHA_BOV1,"&lt;="&amp;BE$3,CLAVE_BOV1,$A87)+SUMIFS(SALIDAS_BOV2,FECHA_BOV2,"&gt;="&amp;BE$2,FECHA_BOV2,"&lt;="&amp;BE$3,CLAVE_BOV2,$A87)+SUMIFS(SALIDAS_BOV3,FECHA_BOV3,"&gt;="&amp;BE$2,FECHA_BOV3,"&lt;="&amp;BE$3,CLAVE_BOV3,$A87)+SUMIFS(SALIDAS_TC,FECHA_TC,"&gt;="&amp;BE$2,FECHA_TC,"&lt;="&amp;BE$3,CLAVE_TC,$A87)+SUMIFS(SALIDAS_COMB,FECHA_COMB,"&gt;="&amp;BE$2,FECHA_COMB,"&lt;="&amp;BE$3,CLAVE_COMB,$A87)+SUMIFS(SALIDAS_DES,FECHA_DESGLOSEN,"&gt;="&amp;BE$2,FECHA_DESGLOSEN,"&lt;="&amp;BE$3,CLAVE_DESGLOSE,$A87)</f>
        <v>0</v>
      </c>
      <c r="BF87" s="13">
        <f>SUMIFS(SALIDAS_BIT,FECHA_BIT,"&gt;="&amp;BF$2,FECHA_BIT,"&lt;="&amp;BF$3,CLAVE_BIT,$A87)+SUMIFS(SALIDAS_BOV1,FECHA_BOV1,"&gt;="&amp;BF$2,FECHA_BOV1,"&lt;="&amp;BF$3,CLAVE_BOV1,$A87)+SUMIFS(SALIDAS_BOV2,FECHA_BOV2,"&gt;="&amp;BF$2,FECHA_BOV2,"&lt;="&amp;BF$3,CLAVE_BOV2,$A87)+SUMIFS(SALIDAS_BOV3,FECHA_BOV3,"&gt;="&amp;BF$2,FECHA_BOV3,"&lt;="&amp;BF$3,CLAVE_BOV3,$A87)+SUMIFS(SALIDAS_TC,FECHA_TC,"&gt;="&amp;BF$2,FECHA_TC,"&lt;="&amp;BF$3,CLAVE_TC,$A87)+SUMIFS(SALIDAS_COMB,FECHA_COMB,"&gt;="&amp;BF$2,FECHA_COMB,"&lt;="&amp;BF$3,CLAVE_COMB,$A87)+SUMIFS(SALIDAS_DES,FECHA_DESGLOSEN,"&gt;="&amp;BF$2,FECHA_DESGLOSEN,"&lt;="&amp;BF$3,CLAVE_DESGLOSE,$A87)</f>
        <v>0</v>
      </c>
      <c r="BG87" s="13">
        <f>SUMIFS(SALIDAS_BIT,FECHA_BIT,"&gt;="&amp;BG$2,FECHA_BIT,"&lt;="&amp;BG$3,CLAVE_BIT,$A87)+SUMIFS(SALIDAS_BOV1,FECHA_BOV1,"&gt;="&amp;BG$2,FECHA_BOV1,"&lt;="&amp;BG$3,CLAVE_BOV1,$A87)+SUMIFS(SALIDAS_BOV2,FECHA_BOV2,"&gt;="&amp;BG$2,FECHA_BOV2,"&lt;="&amp;BG$3,CLAVE_BOV2,$A87)+SUMIFS(SALIDAS_BOV3,FECHA_BOV3,"&gt;="&amp;BG$2,FECHA_BOV3,"&lt;="&amp;BG$3,CLAVE_BOV3,$A87)+SUMIFS(SALIDAS_TC,FECHA_TC,"&gt;="&amp;BG$2,FECHA_TC,"&lt;="&amp;BG$3,CLAVE_TC,$A87)+SUMIFS(SALIDAS_COMB,FECHA_COMB,"&gt;="&amp;BG$2,FECHA_COMB,"&lt;="&amp;BG$3,CLAVE_COMB,$A87)+SUMIFS(SALIDAS_DES,FECHA_DESGLOSEN,"&gt;="&amp;BG$2,FECHA_DESGLOSEN,"&lt;="&amp;BG$3,CLAVE_DESGLOSE,$A87)</f>
        <v>0</v>
      </c>
      <c r="BH87" s="13">
        <f>SUMIFS(SALIDAS_BIT,FECHA_BIT,"&gt;="&amp;BH$2,FECHA_BIT,"&lt;="&amp;BH$3,CLAVE_BIT,$A87)+SUMIFS(SALIDAS_BOV1,FECHA_BOV1,"&gt;="&amp;BH$2,FECHA_BOV1,"&lt;="&amp;BH$3,CLAVE_BOV1,$A87)+SUMIFS(SALIDAS_BOV2,FECHA_BOV2,"&gt;="&amp;BH$2,FECHA_BOV2,"&lt;="&amp;BH$3,CLAVE_BOV2,$A87)+SUMIFS(SALIDAS_BOV3,FECHA_BOV3,"&gt;="&amp;BH$2,FECHA_BOV3,"&lt;="&amp;BH$3,CLAVE_BOV3,$A87)+SUMIFS(SALIDAS_TC,FECHA_TC,"&gt;="&amp;BH$2,FECHA_TC,"&lt;="&amp;BH$3,CLAVE_TC,$A87)+SUMIFS(SALIDAS_COMB,FECHA_COMB,"&gt;="&amp;BH$2,FECHA_COMB,"&lt;="&amp;BH$3,CLAVE_COMB,$A87)+SUMIFS(SALIDAS_DES,FECHA_DESGLOSEN,"&gt;="&amp;BH$2,FECHA_DESGLOSEN,"&lt;="&amp;BH$3,CLAVE_DESGLOSE,$A87)</f>
        <v>41223.25</v>
      </c>
      <c r="BI87" s="13">
        <f t="shared" si="121"/>
        <v>41223.25</v>
      </c>
      <c r="BJ87" s="68">
        <f t="shared" si="161"/>
        <v>2061.1600000000035</v>
      </c>
      <c r="BK87" s="268">
        <f t="shared" si="162"/>
        <v>0.95238100738811038</v>
      </c>
      <c r="BL87" s="13">
        <f t="shared" si="163"/>
        <v>43284.41</v>
      </c>
      <c r="BM87" s="13">
        <f>SUMIFS(SALIDAS_BIT,FECHA_BIT,"&gt;="&amp;BM$2,FECHA_BIT,"&lt;="&amp;BM$3,CLAVE_BIT,$A87)+SUMIFS(SALIDAS_BOV1,FECHA_BOV1,"&gt;="&amp;BM$2,FECHA_BOV1,"&lt;="&amp;BM$3,CLAVE_BOV1,$A87)+SUMIFS(SALIDAS_BOV2,FECHA_BOV2,"&gt;="&amp;BM$2,FECHA_BOV2,"&lt;="&amp;BM$3,CLAVE_BOV2,$A87)+SUMIFS(SALIDAS_BOV3,FECHA_BOV3,"&gt;="&amp;BM$2,FECHA_BOV3,"&lt;="&amp;BM$3,CLAVE_BOV3,$A87)+SUMIFS(SALIDAS_TC,FECHA_TC,"&gt;="&amp;BM$2,FECHA_TC,"&lt;="&amp;BM$3,CLAVE_TC,$A87)+SUMIFS(SALIDAS_COMB,FECHA_COMB,"&gt;="&amp;BM$2,FECHA_COMB,"&lt;="&amp;BM$3,CLAVE_COMB,$A87)+SUMIFS(SALIDAS_DES,FECHA_DESGLOSEN,"&gt;="&amp;BM$2,FECHA_DESGLOSEN,"&lt;="&amp;BM$3,CLAVE_DESGLOSE,$A87)</f>
        <v>0</v>
      </c>
      <c r="BN87" s="13">
        <f>SUMIFS(SALIDAS_BIT,FECHA_BIT,"&gt;="&amp;BN$2,FECHA_BIT,"&lt;="&amp;BN$3,CLAVE_BIT,$A87)+SUMIFS(SALIDAS_BOV1,FECHA_BOV1,"&gt;="&amp;BN$2,FECHA_BOV1,"&lt;="&amp;BN$3,CLAVE_BOV1,$A87)+SUMIFS(SALIDAS_BOV2,FECHA_BOV2,"&gt;="&amp;BN$2,FECHA_BOV2,"&lt;="&amp;BN$3,CLAVE_BOV2,$A87)+SUMIFS(SALIDAS_BOV3,FECHA_BOV3,"&gt;="&amp;BN$2,FECHA_BOV3,"&lt;="&amp;BN$3,CLAVE_BOV3,$A87)+SUMIFS(SALIDAS_TC,FECHA_TC,"&gt;="&amp;BN$2,FECHA_TC,"&lt;="&amp;BN$3,CLAVE_TC,$A87)+SUMIFS(SALIDAS_COMB,FECHA_COMB,"&gt;="&amp;BN$2,FECHA_COMB,"&lt;="&amp;BN$3,CLAVE_COMB,$A87)+SUMIFS(SALIDAS_DES,FECHA_DESGLOSEN,"&gt;="&amp;BN$2,FECHA_DESGLOSEN,"&lt;="&amp;BN$3,CLAVE_DESGLOSE,$A87)</f>
        <v>0</v>
      </c>
      <c r="BO87" s="13">
        <f>SUMIFS(SALIDAS_BIT,FECHA_BIT,"&gt;="&amp;BO$2,FECHA_BIT,"&lt;="&amp;BO$3,CLAVE_BIT,$A87)+SUMIFS(SALIDAS_BOV1,FECHA_BOV1,"&gt;="&amp;BO$2,FECHA_BOV1,"&lt;="&amp;BO$3,CLAVE_BOV1,$A87)+SUMIFS(SALIDAS_BOV2,FECHA_BOV2,"&gt;="&amp;BO$2,FECHA_BOV2,"&lt;="&amp;BO$3,CLAVE_BOV2,$A87)+SUMIFS(SALIDAS_BOV3,FECHA_BOV3,"&gt;="&amp;BO$2,FECHA_BOV3,"&lt;="&amp;BO$3,CLAVE_BOV3,$A87)+SUMIFS(SALIDAS_TC,FECHA_TC,"&gt;="&amp;BO$2,FECHA_TC,"&lt;="&amp;BO$3,CLAVE_TC,$A87)+SUMIFS(SALIDAS_COMB,FECHA_COMB,"&gt;="&amp;BO$2,FECHA_COMB,"&lt;="&amp;BO$3,CLAVE_COMB,$A87)+SUMIFS(SALIDAS_DES,FECHA_DESGLOSEN,"&gt;="&amp;BO$2,FECHA_DESGLOSEN,"&lt;="&amp;BO$3,CLAVE_DESGLOSE,$A87)</f>
        <v>0</v>
      </c>
      <c r="BP87" s="13">
        <f>SUMIFS(SALIDAS_BIT,FECHA_BIT,"&gt;="&amp;BP$2,FECHA_BIT,"&lt;="&amp;BP$3,CLAVE_BIT,$A87)+SUMIFS(SALIDAS_BOV1,FECHA_BOV1,"&gt;="&amp;BP$2,FECHA_BOV1,"&lt;="&amp;BP$3,CLAVE_BOV1,$A87)+SUMIFS(SALIDAS_BOV2,FECHA_BOV2,"&gt;="&amp;BP$2,FECHA_BOV2,"&lt;="&amp;BP$3,CLAVE_BOV2,$A87)+SUMIFS(SALIDAS_BOV3,FECHA_BOV3,"&gt;="&amp;BP$2,FECHA_BOV3,"&lt;="&amp;BP$3,CLAVE_BOV3,$A87)+SUMIFS(SALIDAS_TC,FECHA_TC,"&gt;="&amp;BP$2,FECHA_TC,"&lt;="&amp;BP$3,CLAVE_TC,$A87)+SUMIFS(SALIDAS_COMB,FECHA_COMB,"&gt;="&amp;BP$2,FECHA_COMB,"&lt;="&amp;BP$3,CLAVE_COMB,$A87)+SUMIFS(SALIDAS_DES,FECHA_DESGLOSEN,"&gt;="&amp;BP$2,FECHA_DESGLOSEN,"&lt;="&amp;BP$3,CLAVE_DESGLOSE,$A87)</f>
        <v>0</v>
      </c>
      <c r="BQ87" s="13">
        <f>SUMIFS(SALIDAS_BIT,FECHA_BIT,"&gt;="&amp;BQ$2,FECHA_BIT,"&lt;="&amp;BQ$3,CLAVE_BIT,$A87)+SUMIFS(SALIDAS_BOV1,FECHA_BOV1,"&gt;="&amp;BQ$2,FECHA_BOV1,"&lt;="&amp;BQ$3,CLAVE_BOV1,$A87)+SUMIFS(SALIDAS_BOV2,FECHA_BOV2,"&gt;="&amp;BQ$2,FECHA_BOV2,"&lt;="&amp;BQ$3,CLAVE_BOV2,$A87)+SUMIFS(SALIDAS_BOV3,FECHA_BOV3,"&gt;="&amp;BQ$2,FECHA_BOV3,"&lt;="&amp;BQ$3,CLAVE_BOV3,$A87)+SUMIFS(SALIDAS_TC,FECHA_TC,"&gt;="&amp;BQ$2,FECHA_TC,"&lt;="&amp;BQ$3,CLAVE_TC,$A87)+SUMIFS(SALIDAS_COMB,FECHA_COMB,"&gt;="&amp;BQ$2,FECHA_COMB,"&lt;="&amp;BQ$3,CLAVE_COMB,$A87)+SUMIFS(SALIDAS_DES,FECHA_DESGLOSEN,"&gt;="&amp;BQ$2,FECHA_DESGLOSEN,"&lt;="&amp;BQ$3,CLAVE_DESGLOSE,$A87)</f>
        <v>41223.25</v>
      </c>
      <c r="BR87" s="13">
        <f t="shared" ref="BM87:BR96" si="193">SUMIFS(SALIDAS_BIT,FECHA_BIT,"&gt;="&amp;BR$2,FECHA_BIT,"&lt;="&amp;BR$3,CLAVE_BIT,$A87)+SUMIFS(SALIDAS_BOV1,FECHA_BOV1,"&gt;="&amp;BR$2,FECHA_BOV1,"&lt;="&amp;BR$3,CLAVE_BOV1,$A87)+SUMIFS(SALIDAS_BOV2,FECHA_BOV2,"&gt;="&amp;BR$2,FECHA_BOV2,"&lt;="&amp;BR$3,CLAVE_BOV2,$A87)+SUMIFS(SALIDAS_BOV3,FECHA_BOV3,"&gt;="&amp;BR$2,FECHA_BOV3,"&lt;="&amp;BR$3,CLAVE_BOV3,$A87)+SUMIFS(SALIDAS_TC,FECHA_TC,"&gt;="&amp;BR$2,FECHA_TC,"&lt;="&amp;BR$3,CLAVE_TC,$A87)+SUMIFS(SALIDAS_COMB,FECHA_COMB,"&gt;="&amp;BR$2,FECHA_COMB,"&lt;="&amp;BR$3,CLAVE_COMB,$A87)+SUMIFS(SALIDAS_DES,FECHA_DESGLOSEN,"&gt;="&amp;BR$2,FECHA_DESGLOSEN,"&lt;="&amp;BR$3,CLAVE_DESGLOSE,$A87)</f>
        <v>41223.25</v>
      </c>
      <c r="BS87" s="68">
        <f t="shared" si="164"/>
        <v>2061.1600000000035</v>
      </c>
      <c r="BT87" s="268">
        <f t="shared" si="165"/>
        <v>0.95238100738811038</v>
      </c>
      <c r="BU87" s="13">
        <f t="shared" si="166"/>
        <v>43284.41</v>
      </c>
      <c r="BV87" s="13">
        <f t="shared" si="186"/>
        <v>0</v>
      </c>
      <c r="BW87" s="13">
        <f t="shared" si="186"/>
        <v>0</v>
      </c>
      <c r="BX87" s="13">
        <f t="shared" si="186"/>
        <v>0</v>
      </c>
      <c r="BY87" s="13">
        <f t="shared" si="186"/>
        <v>41223.25</v>
      </c>
      <c r="BZ87" s="13">
        <f t="shared" ref="BV87:BZ96" si="194">SUMIFS(SALIDAS_BIT,FECHA_BIT,"&gt;="&amp;BZ$2,FECHA_BIT,"&lt;="&amp;BZ$3,CLAVE_BIT,$A87)+SUMIFS(SALIDAS_BOV1,FECHA_BOV1,"&gt;="&amp;BZ$2,FECHA_BOV1,"&lt;="&amp;BZ$3,CLAVE_BOV1,$A87)+SUMIFS(SALIDAS_BOV2,FECHA_BOV2,"&gt;="&amp;BZ$2,FECHA_BOV2,"&lt;="&amp;BZ$3,CLAVE_BOV2,$A87)+SUMIFS(SALIDAS_BOV3,FECHA_BOV3,"&gt;="&amp;BZ$2,FECHA_BOV3,"&lt;="&amp;BZ$3,CLAVE_BOV3,$A87)+SUMIFS(SALIDAS_TC,FECHA_TC,"&gt;="&amp;BZ$2,FECHA_TC,"&lt;="&amp;BZ$3,CLAVE_TC,$A87)+SUMIFS(SALIDAS_COMB,FECHA_COMB,"&gt;="&amp;BZ$2,FECHA_COMB,"&lt;="&amp;BZ$3,CLAVE_COMB,$A87)+SUMIFS(SALIDAS_DES,FECHA_DESGLOSEN,"&gt;="&amp;BZ$2,FECHA_DESGLOSEN,"&lt;="&amp;BZ$3,CLAVE_DESGLOSE,$A87)</f>
        <v>41223.25</v>
      </c>
      <c r="CA87" s="68">
        <f t="shared" si="167"/>
        <v>2061.1600000000035</v>
      </c>
      <c r="CB87" s="268">
        <f t="shared" si="168"/>
        <v>0.95238100738811038</v>
      </c>
      <c r="CC87" s="13">
        <f t="shared" si="169"/>
        <v>43284.41</v>
      </c>
      <c r="CD87" s="13">
        <f t="shared" si="187"/>
        <v>0</v>
      </c>
      <c r="CE87" s="13">
        <f t="shared" si="187"/>
        <v>0</v>
      </c>
      <c r="CF87" s="13">
        <f t="shared" si="187"/>
        <v>0</v>
      </c>
      <c r="CG87" s="13">
        <f t="shared" si="187"/>
        <v>41225.25</v>
      </c>
      <c r="CH87" s="13">
        <f t="shared" ref="CD87:CH96" si="195">SUMIFS(SALIDAS_BIT,FECHA_BIT,"&gt;="&amp;CH$2,FECHA_BIT,"&lt;="&amp;CH$3,CLAVE_BIT,$A87)+SUMIFS(SALIDAS_BOV1,FECHA_BOV1,"&gt;="&amp;CH$2,FECHA_BOV1,"&lt;="&amp;CH$3,CLAVE_BOV1,$A87)+SUMIFS(SALIDAS_BOV2,FECHA_BOV2,"&gt;="&amp;CH$2,FECHA_BOV2,"&lt;="&amp;CH$3,CLAVE_BOV2,$A87)+SUMIFS(SALIDAS_BOV3,FECHA_BOV3,"&gt;="&amp;CH$2,FECHA_BOV3,"&lt;="&amp;CH$3,CLAVE_BOV3,$A87)+SUMIFS(SALIDAS_TC,FECHA_TC,"&gt;="&amp;CH$2,FECHA_TC,"&lt;="&amp;CH$3,CLAVE_TC,$A87)+SUMIFS(SALIDAS_COMB,FECHA_COMB,"&gt;="&amp;CH$2,FECHA_COMB,"&lt;="&amp;CH$3,CLAVE_COMB,$A87)+SUMIFS(SALIDAS_DES,FECHA_DESGLOSEN,"&gt;="&amp;CH$2,FECHA_DESGLOSEN,"&lt;="&amp;CH$3,CLAVE_DESGLOSE,$A87)</f>
        <v>41225.25</v>
      </c>
      <c r="CI87" s="68">
        <f t="shared" si="170"/>
        <v>2059.1600000000035</v>
      </c>
      <c r="CJ87" s="268">
        <f t="shared" si="171"/>
        <v>0.95242721340085257</v>
      </c>
      <c r="CK87" s="13">
        <f t="shared" si="172"/>
        <v>43284.41</v>
      </c>
      <c r="CL87" s="13">
        <f t="shared" si="176"/>
        <v>0</v>
      </c>
      <c r="CM87" s="13">
        <f t="shared" si="176"/>
        <v>41223.25</v>
      </c>
      <c r="CN87" s="13">
        <f t="shared" si="176"/>
        <v>0</v>
      </c>
      <c r="CO87" s="13">
        <f t="shared" si="176"/>
        <v>0</v>
      </c>
      <c r="CP87" s="13">
        <f t="shared" si="176"/>
        <v>0</v>
      </c>
      <c r="CQ87" s="13">
        <f t="shared" ref="CL87:CQ96" si="196">SUMIFS(SALIDAS_BIT,FECHA_BIT,"&gt;="&amp;CQ$2,FECHA_BIT,"&lt;="&amp;CQ$3,CLAVE_BIT,$A87)+SUMIFS(SALIDAS_BOV1,FECHA_BOV1,"&gt;="&amp;CQ$2,FECHA_BOV1,"&lt;="&amp;CQ$3,CLAVE_BOV1,$A87)+SUMIFS(SALIDAS_BOV2,FECHA_BOV2,"&gt;="&amp;CQ$2,FECHA_BOV2,"&lt;="&amp;CQ$3,CLAVE_BOV2,$A87)+SUMIFS(SALIDAS_BOV3,FECHA_BOV3,"&gt;="&amp;CQ$2,FECHA_BOV3,"&lt;="&amp;CQ$3,CLAVE_BOV3,$A87)+SUMIFS(SALIDAS_TC,FECHA_TC,"&gt;="&amp;CQ$2,FECHA_TC,"&lt;="&amp;CQ$3,CLAVE_TC,$A87)+SUMIFS(SALIDAS_COMB,FECHA_COMB,"&gt;="&amp;CQ$2,FECHA_COMB,"&lt;="&amp;CQ$3,CLAVE_COMB,$A87)+SUMIFS(SALIDAS_DES,FECHA_DESGLOSEN,"&gt;="&amp;CQ$2,FECHA_DESGLOSEN,"&lt;="&amp;CQ$3,CLAVE_DESGLOSE,$A87)</f>
        <v>41223.25</v>
      </c>
      <c r="CR87" s="68">
        <f t="shared" si="173"/>
        <v>2061.1600000000035</v>
      </c>
      <c r="CS87" s="268">
        <f t="shared" si="174"/>
        <v>0.95238100738811038</v>
      </c>
      <c r="CT87" s="68">
        <f t="shared" si="147"/>
        <v>43697</v>
      </c>
      <c r="CU87" s="13">
        <f>SUMIFS(SALIDAS_BIT,FECHA_BIT,"&gt;="&amp;CU$2,FECHA_BIT,"&lt;="&amp;CU$3,CLAVE_BIT,$A87)+SUMIFS(SALIDAS_BOV1,FECHA_BOV1,"&gt;="&amp;CU$2,FECHA_BOV1,"&lt;="&amp;CU$3,CLAVE_BOV1,$A87)+SUMIFS(SALIDAS_BOV2,FECHA_BOV2,"&gt;="&amp;CU$2,FECHA_BOV2,"&lt;="&amp;CU$3,CLAVE_BOV2,$A87)+SUMIFS(SALIDAS_BOV3,FECHA_BOV3,"&gt;="&amp;CU$2,FECHA_BOV3,"&lt;="&amp;CU$3,CLAVE_BOV3,$A87)+SUMIFS(SALIDAS_TC,FECHA_TC,"&gt;="&amp;CU$2,FECHA_TC,"&lt;="&amp;CU$3,CLAVE_TC,$A87)+SUMIFS(SALIDAS_COMB,FECHA_COMB,"&gt;="&amp;CU$2,FECHA_COMB,"&lt;="&amp;CU$3,CLAVE_COMB,$A87)+SUMIFS(SALIDAS_DES,FECHA_DESGLOSEN,"&gt;="&amp;CU$2,FECHA_DESGLOSEN,"&lt;="&amp;CU$3,CLAVE_DESGLOSE,$A87)</f>
        <v>0</v>
      </c>
      <c r="CV87" s="13">
        <f>SUMIFS(SALIDAS_BIT,FECHA_BIT,"&gt;="&amp;CV$2,FECHA_BIT,"&lt;="&amp;CV$3,CLAVE_BIT,$A87)+SUMIFS(SALIDAS_BOV1,FECHA_BOV1,"&gt;="&amp;CV$2,FECHA_BOV1,"&lt;="&amp;CV$3,CLAVE_BOV1,$A87)+SUMIFS(SALIDAS_BOV2,FECHA_BOV2,"&gt;="&amp;CV$2,FECHA_BOV2,"&lt;="&amp;CV$3,CLAVE_BOV2,$A87)+SUMIFS(SALIDAS_BOV3,FECHA_BOV3,"&gt;="&amp;CV$2,FECHA_BOV3,"&lt;="&amp;CV$3,CLAVE_BOV3,$A87)+SUMIFS(SALIDAS_TC,FECHA_TC,"&gt;="&amp;CV$2,FECHA_TC,"&lt;="&amp;CV$3,CLAVE_TC,$A87)+SUMIFS(SALIDAS_COMB,FECHA_COMB,"&gt;="&amp;CV$2,FECHA_COMB,"&lt;="&amp;CV$3,CLAVE_COMB,$A87)+SUMIFS(SALIDAS_DES,FECHA_DESGLOSEN,"&gt;="&amp;CV$2,FECHA_DESGLOSEN,"&lt;="&amp;CV$3,CLAVE_DESGLOSE,$A87)</f>
        <v>0</v>
      </c>
      <c r="CW87" s="13">
        <f>SUMIFS(SALIDAS_BIT,FECHA_BIT,"&gt;="&amp;CW$2,FECHA_BIT,"&lt;="&amp;CW$3,CLAVE_BIT,$A87)+SUMIFS(SALIDAS_BOV1,FECHA_BOV1,"&gt;="&amp;CW$2,FECHA_BOV1,"&lt;="&amp;CW$3,CLAVE_BOV1,$A87)+SUMIFS(SALIDAS_BOV2,FECHA_BOV2,"&gt;="&amp;CW$2,FECHA_BOV2,"&lt;="&amp;CW$3,CLAVE_BOV2,$A87)+SUMIFS(SALIDAS_BOV3,FECHA_BOV3,"&gt;="&amp;CW$2,FECHA_BOV3,"&lt;="&amp;CW$3,CLAVE_BOV3,$A87)+SUMIFS(SALIDAS_TC,FECHA_TC,"&gt;="&amp;CW$2,FECHA_TC,"&lt;="&amp;CW$3,CLAVE_TC,$A87)+SUMIFS(SALIDAS_COMB,FECHA_COMB,"&gt;="&amp;CW$2,FECHA_COMB,"&lt;="&amp;CW$3,CLAVE_COMB,$A87)+SUMIFS(SALIDAS_DES,FECHA_DESGLOSEN,"&gt;="&amp;CW$2,FECHA_DESGLOSEN,"&lt;="&amp;CW$3,CLAVE_DESGLOSE,$A87)</f>
        <v>0</v>
      </c>
      <c r="CX87" s="13">
        <f>SUMIFS(SALIDAS_BIT,FECHA_BIT,"&gt;="&amp;CX$2,FECHA_BIT,"&lt;="&amp;CX$3,CLAVE_BIT,$A87)+SUMIFS(SALIDAS_BOV1,FECHA_BOV1,"&gt;="&amp;CX$2,FECHA_BOV1,"&lt;="&amp;CX$3,CLAVE_BOV1,$A87)+SUMIFS(SALIDAS_BOV2,FECHA_BOV2,"&gt;="&amp;CX$2,FECHA_BOV2,"&lt;="&amp;CX$3,CLAVE_BOV2,$A87)+SUMIFS(SALIDAS_BOV3,FECHA_BOV3,"&gt;="&amp;CX$2,FECHA_BOV3,"&lt;="&amp;CX$3,CLAVE_BOV3,$A87)+SUMIFS(SALIDAS_TC,FECHA_TC,"&gt;="&amp;CX$2,FECHA_TC,"&lt;="&amp;CX$3,CLAVE_TC,$A87)+SUMIFS(SALIDAS_COMB,FECHA_COMB,"&gt;="&amp;CX$2,FECHA_COMB,"&lt;="&amp;CX$3,CLAVE_COMB,$A87)+SUMIFS(SALIDAS_DES,FECHA_DESGLOSEN,"&gt;="&amp;CX$2,FECHA_DESGLOSEN,"&lt;="&amp;CX$3,CLAVE_DESGLOSE,$A87)</f>
        <v>41223.25</v>
      </c>
      <c r="CY87" s="13">
        <f>SUMIFS(SALIDAS_BIT,FECHA_BIT,"&gt;="&amp;CY$2,FECHA_BIT,"&lt;="&amp;CY$3,CLAVE_BIT,$A87)+SUMIFS(SALIDAS_BOV1,FECHA_BOV1,"&gt;="&amp;CY$2,FECHA_BOV1,"&lt;="&amp;CY$3,CLAVE_BOV1,$A87)+SUMIFS(SALIDAS_BOV2,FECHA_BOV2,"&gt;="&amp;CY$2,FECHA_BOV2,"&lt;="&amp;CY$3,CLAVE_BOV2,$A87)+SUMIFS(SALIDAS_BOV3,FECHA_BOV3,"&gt;="&amp;CY$2,FECHA_BOV3,"&lt;="&amp;CY$3,CLAVE_BOV3,$A87)+SUMIFS(SALIDAS_TC,FECHA_TC,"&gt;="&amp;CY$2,FECHA_TC,"&lt;="&amp;CY$3,CLAVE_TC,$A87)+SUMIFS(SALIDAS_COMB,FECHA_COMB,"&gt;="&amp;CY$2,FECHA_COMB,"&lt;="&amp;CY$3,CLAVE_COMB,$A87)+SUMIFS(SALIDAS_DES,FECHA_DESGLOSEN,"&gt;="&amp;CY$2,FECHA_DESGLOSEN,"&lt;="&amp;CY$3,CLAVE_DESGLOSE,$A87)</f>
        <v>41223.25</v>
      </c>
      <c r="CZ87" s="68">
        <f t="shared" si="175"/>
        <v>2473.75</v>
      </c>
      <c r="DB87" s="17">
        <f>F87+N87+W87+AE87+AM87+AV87+BD87+BL87+BU87+CC87+CK87</f>
        <v>476128.51000000013</v>
      </c>
      <c r="DC87" s="17">
        <f>K87+T87+AB87+AJ87+AS87+BA87+BI87+BR87+BZ87+CH87+CQ87</f>
        <v>412234.5</v>
      </c>
    </row>
    <row r="88" spans="1:107" hidden="1">
      <c r="A88" s="12" t="str">
        <f t="shared" si="148"/>
        <v>FINANZASRENTASE6</v>
      </c>
      <c r="B88" s="12">
        <v>90</v>
      </c>
      <c r="C88" t="s">
        <v>23</v>
      </c>
      <c r="D88" s="12" t="s">
        <v>169</v>
      </c>
      <c r="E88" s="12" t="s">
        <v>112</v>
      </c>
      <c r="F88" s="259">
        <f t="shared" si="141"/>
        <v>43982.78</v>
      </c>
      <c r="G88" s="13">
        <f t="shared" si="188"/>
        <v>6500</v>
      </c>
      <c r="H88" s="13">
        <f t="shared" si="188"/>
        <v>0</v>
      </c>
      <c r="I88" s="13">
        <f t="shared" si="188"/>
        <v>35388</v>
      </c>
      <c r="J88" s="13">
        <f t="shared" si="188"/>
        <v>0</v>
      </c>
      <c r="K88" s="13">
        <f t="shared" si="188"/>
        <v>41888</v>
      </c>
      <c r="L88" s="68">
        <f t="shared" si="149"/>
        <v>2094.7799999999988</v>
      </c>
      <c r="M88" s="268">
        <f t="shared" si="150"/>
        <v>0.95237272405245876</v>
      </c>
      <c r="N88" s="13">
        <f t="shared" si="142"/>
        <v>43982.78</v>
      </c>
      <c r="O88" s="13">
        <f t="shared" si="189"/>
        <v>6500</v>
      </c>
      <c r="P88" s="13">
        <f t="shared" si="189"/>
        <v>0</v>
      </c>
      <c r="Q88" s="13">
        <f t="shared" si="189"/>
        <v>0</v>
      </c>
      <c r="R88" s="13">
        <f t="shared" si="189"/>
        <v>35388.36</v>
      </c>
      <c r="S88" s="13">
        <f t="shared" si="189"/>
        <v>0</v>
      </c>
      <c r="T88" s="13">
        <f t="shared" si="189"/>
        <v>41888.36</v>
      </c>
      <c r="U88" s="68">
        <f t="shared" si="151"/>
        <v>2094.4199999999983</v>
      </c>
      <c r="V88" s="268">
        <f t="shared" si="152"/>
        <v>0.95238090907396034</v>
      </c>
      <c r="W88" s="13">
        <f t="shared" si="143"/>
        <v>43982.78</v>
      </c>
      <c r="X88" s="13">
        <f t="shared" si="190"/>
        <v>6500</v>
      </c>
      <c r="Y88" s="13">
        <f t="shared" si="190"/>
        <v>0</v>
      </c>
      <c r="Z88" s="13">
        <f t="shared" si="190"/>
        <v>35388.36</v>
      </c>
      <c r="AA88" s="13">
        <f t="shared" si="190"/>
        <v>0</v>
      </c>
      <c r="AB88" s="13">
        <f t="shared" si="190"/>
        <v>41888.36</v>
      </c>
      <c r="AC88" s="68">
        <f t="shared" si="153"/>
        <v>2094.4199999999983</v>
      </c>
      <c r="AD88" s="268">
        <f t="shared" si="154"/>
        <v>0.95238090907396034</v>
      </c>
      <c r="AE88" s="13">
        <f t="shared" si="144"/>
        <v>43982.78</v>
      </c>
      <c r="AF88" s="13">
        <f t="shared" si="191"/>
        <v>0</v>
      </c>
      <c r="AG88" s="13">
        <f t="shared" si="191"/>
        <v>6500</v>
      </c>
      <c r="AH88" s="13">
        <f t="shared" si="191"/>
        <v>35388.36</v>
      </c>
      <c r="AI88" s="13">
        <f t="shared" si="191"/>
        <v>0</v>
      </c>
      <c r="AJ88" s="13">
        <f t="shared" si="191"/>
        <v>41888.36</v>
      </c>
      <c r="AK88" s="68">
        <f t="shared" si="155"/>
        <v>2094.4199999999983</v>
      </c>
      <c r="AL88" s="268">
        <f t="shared" si="156"/>
        <v>0.95238090907396034</v>
      </c>
      <c r="AM88" s="13">
        <f t="shared" si="145"/>
        <v>43982.78</v>
      </c>
      <c r="AN88" s="13">
        <f t="shared" si="192"/>
        <v>6500</v>
      </c>
      <c r="AO88" s="13">
        <f t="shared" si="192"/>
        <v>0</v>
      </c>
      <c r="AP88" s="13">
        <f t="shared" si="192"/>
        <v>35388.36</v>
      </c>
      <c r="AQ88" s="13">
        <f t="shared" si="192"/>
        <v>0</v>
      </c>
      <c r="AR88" s="13">
        <f t="shared" si="192"/>
        <v>0</v>
      </c>
      <c r="AS88" s="13">
        <f t="shared" si="192"/>
        <v>41888.36</v>
      </c>
      <c r="AT88" s="68">
        <f>AM88-AS88</f>
        <v>2094.4199999999983</v>
      </c>
      <c r="AU88" s="268">
        <f t="shared" si="157"/>
        <v>0.95238090907396034</v>
      </c>
      <c r="AV88" s="13">
        <f t="shared" si="146"/>
        <v>43982.78</v>
      </c>
      <c r="AW88" s="13">
        <f t="shared" si="119"/>
        <v>6500</v>
      </c>
      <c r="AX88" s="13">
        <f t="shared" si="119"/>
        <v>35388.36</v>
      </c>
      <c r="AY88" s="13">
        <f t="shared" si="119"/>
        <v>0</v>
      </c>
      <c r="AZ88" s="13">
        <f t="shared" si="119"/>
        <v>0</v>
      </c>
      <c r="BA88" s="13">
        <f t="shared" si="120"/>
        <v>41888.36</v>
      </c>
      <c r="BB88" s="68">
        <f t="shared" si="158"/>
        <v>2094.4199999999983</v>
      </c>
      <c r="BC88" s="268">
        <f t="shared" si="159"/>
        <v>0.95238090907396034</v>
      </c>
      <c r="BD88" s="13">
        <f t="shared" si="160"/>
        <v>43982.78</v>
      </c>
      <c r="BE88" s="13">
        <f>SUMIFS(SALIDAS_BIT,FECHA_BIT,"&gt;="&amp;BE$2,FECHA_BIT,"&lt;="&amp;BE$3,CLAVE_BIT,$A88)+SUMIFS(SALIDAS_BOV1,FECHA_BOV1,"&gt;="&amp;BE$2,FECHA_BOV1,"&lt;="&amp;BE$3,CLAVE_BOV1,$A88)+SUMIFS(SALIDAS_BOV2,FECHA_BOV2,"&gt;="&amp;BE$2,FECHA_BOV2,"&lt;="&amp;BE$3,CLAVE_BOV2,$A88)+SUMIFS(SALIDAS_BOV3,FECHA_BOV3,"&gt;="&amp;BE$2,FECHA_BOV3,"&lt;="&amp;BE$3,CLAVE_BOV3,$A88)+SUMIFS(SALIDAS_TC,FECHA_TC,"&gt;="&amp;BE$2,FECHA_TC,"&lt;="&amp;BE$3,CLAVE_TC,$A88)+SUMIFS(SALIDAS_COMB,FECHA_COMB,"&gt;="&amp;BE$2,FECHA_COMB,"&lt;="&amp;BE$3,CLAVE_COMB,$A88)+SUMIFS(SALIDAS_DES,FECHA_DESGLOSEN,"&gt;="&amp;BE$2,FECHA_DESGLOSEN,"&lt;="&amp;BE$3,CLAVE_DESGLOSE,$A88)</f>
        <v>6500</v>
      </c>
      <c r="BF88" s="13">
        <f>SUMIFS(SALIDAS_BIT,FECHA_BIT,"&gt;="&amp;BF$2,FECHA_BIT,"&lt;="&amp;BF$3,CLAVE_BIT,$A88)+SUMIFS(SALIDAS_BOV1,FECHA_BOV1,"&gt;="&amp;BF$2,FECHA_BOV1,"&lt;="&amp;BF$3,CLAVE_BOV1,$A88)+SUMIFS(SALIDAS_BOV2,FECHA_BOV2,"&gt;="&amp;BF$2,FECHA_BOV2,"&lt;="&amp;BF$3,CLAVE_BOV2,$A88)+SUMIFS(SALIDAS_BOV3,FECHA_BOV3,"&gt;="&amp;BF$2,FECHA_BOV3,"&lt;="&amp;BF$3,CLAVE_BOV3,$A88)+SUMIFS(SALIDAS_TC,FECHA_TC,"&gt;="&amp;BF$2,FECHA_TC,"&lt;="&amp;BF$3,CLAVE_TC,$A88)+SUMIFS(SALIDAS_COMB,FECHA_COMB,"&gt;="&amp;BF$2,FECHA_COMB,"&lt;="&amp;BF$3,CLAVE_COMB,$A88)+SUMIFS(SALIDAS_DES,FECHA_DESGLOSEN,"&gt;="&amp;BF$2,FECHA_DESGLOSEN,"&lt;="&amp;BF$3,CLAVE_DESGLOSE,$A88)</f>
        <v>0</v>
      </c>
      <c r="BG88" s="13">
        <f>SUMIFS(SALIDAS_BIT,FECHA_BIT,"&gt;="&amp;BG$2,FECHA_BIT,"&lt;="&amp;BG$3,CLAVE_BIT,$A88)+SUMIFS(SALIDAS_BOV1,FECHA_BOV1,"&gt;="&amp;BG$2,FECHA_BOV1,"&lt;="&amp;BG$3,CLAVE_BOV1,$A88)+SUMIFS(SALIDAS_BOV2,FECHA_BOV2,"&gt;="&amp;BG$2,FECHA_BOV2,"&lt;="&amp;BG$3,CLAVE_BOV2,$A88)+SUMIFS(SALIDAS_BOV3,FECHA_BOV3,"&gt;="&amp;BG$2,FECHA_BOV3,"&lt;="&amp;BG$3,CLAVE_BOV3,$A88)+SUMIFS(SALIDAS_TC,FECHA_TC,"&gt;="&amp;BG$2,FECHA_TC,"&lt;="&amp;BG$3,CLAVE_TC,$A88)+SUMIFS(SALIDAS_COMB,FECHA_COMB,"&gt;="&amp;BG$2,FECHA_COMB,"&lt;="&amp;BG$3,CLAVE_COMB,$A88)+SUMIFS(SALIDAS_DES,FECHA_DESGLOSEN,"&gt;="&amp;BG$2,FECHA_DESGLOSEN,"&lt;="&amp;BG$3,CLAVE_DESGLOSE,$A88)</f>
        <v>35388.36</v>
      </c>
      <c r="BH88" s="13">
        <f>SUMIFS(SALIDAS_BIT,FECHA_BIT,"&gt;="&amp;BH$2,FECHA_BIT,"&lt;="&amp;BH$3,CLAVE_BIT,$A88)+SUMIFS(SALIDAS_BOV1,FECHA_BOV1,"&gt;="&amp;BH$2,FECHA_BOV1,"&lt;="&amp;BH$3,CLAVE_BOV1,$A88)+SUMIFS(SALIDAS_BOV2,FECHA_BOV2,"&gt;="&amp;BH$2,FECHA_BOV2,"&lt;="&amp;BH$3,CLAVE_BOV2,$A88)+SUMIFS(SALIDAS_BOV3,FECHA_BOV3,"&gt;="&amp;BH$2,FECHA_BOV3,"&lt;="&amp;BH$3,CLAVE_BOV3,$A88)+SUMIFS(SALIDAS_TC,FECHA_TC,"&gt;="&amp;BH$2,FECHA_TC,"&lt;="&amp;BH$3,CLAVE_TC,$A88)+SUMIFS(SALIDAS_COMB,FECHA_COMB,"&gt;="&amp;BH$2,FECHA_COMB,"&lt;="&amp;BH$3,CLAVE_COMB,$A88)+SUMIFS(SALIDAS_DES,FECHA_DESGLOSEN,"&gt;="&amp;BH$2,FECHA_DESGLOSEN,"&lt;="&amp;BH$3,CLAVE_DESGLOSE,$A88)</f>
        <v>0</v>
      </c>
      <c r="BI88" s="13">
        <f t="shared" si="121"/>
        <v>41888.36</v>
      </c>
      <c r="BJ88" s="68">
        <f t="shared" si="161"/>
        <v>2094.4199999999983</v>
      </c>
      <c r="BK88" s="268">
        <f t="shared" si="162"/>
        <v>0.95238090907396034</v>
      </c>
      <c r="BL88" s="13">
        <f t="shared" si="163"/>
        <v>43982.78</v>
      </c>
      <c r="BM88" s="13">
        <f>SUMIFS(SALIDAS_BIT,FECHA_BIT,"&gt;="&amp;BM$2,FECHA_BIT,"&lt;="&amp;BM$3,CLAVE_BIT,$A88)+SUMIFS(SALIDAS_BOV1,FECHA_BOV1,"&gt;="&amp;BM$2,FECHA_BOV1,"&lt;="&amp;BM$3,CLAVE_BOV1,$A88)+SUMIFS(SALIDAS_BOV2,FECHA_BOV2,"&gt;="&amp;BM$2,FECHA_BOV2,"&lt;="&amp;BM$3,CLAVE_BOV2,$A88)+SUMIFS(SALIDAS_BOV3,FECHA_BOV3,"&gt;="&amp;BM$2,FECHA_BOV3,"&lt;="&amp;BM$3,CLAVE_BOV3,$A88)+SUMIFS(SALIDAS_TC,FECHA_TC,"&gt;="&amp;BM$2,FECHA_TC,"&lt;="&amp;BM$3,CLAVE_TC,$A88)+SUMIFS(SALIDAS_COMB,FECHA_COMB,"&gt;="&amp;BM$2,FECHA_COMB,"&lt;="&amp;BM$3,CLAVE_COMB,$A88)+SUMIFS(SALIDAS_DES,FECHA_DESGLOSEN,"&gt;="&amp;BM$2,FECHA_DESGLOSEN,"&lt;="&amp;BM$3,CLAVE_DESGLOSE,$A88)</f>
        <v>6500</v>
      </c>
      <c r="BN88" s="13">
        <f>SUMIFS(SALIDAS_BIT,FECHA_BIT,"&gt;="&amp;BN$2,FECHA_BIT,"&lt;="&amp;BN$3,CLAVE_BIT,$A88)+SUMIFS(SALIDAS_BOV1,FECHA_BOV1,"&gt;="&amp;BN$2,FECHA_BOV1,"&lt;="&amp;BN$3,CLAVE_BOV1,$A88)+SUMIFS(SALIDAS_BOV2,FECHA_BOV2,"&gt;="&amp;BN$2,FECHA_BOV2,"&lt;="&amp;BN$3,CLAVE_BOV2,$A88)+SUMIFS(SALIDAS_BOV3,FECHA_BOV3,"&gt;="&amp;BN$2,FECHA_BOV3,"&lt;="&amp;BN$3,CLAVE_BOV3,$A88)+SUMIFS(SALIDAS_TC,FECHA_TC,"&gt;="&amp;BN$2,FECHA_TC,"&lt;="&amp;BN$3,CLAVE_TC,$A88)+SUMIFS(SALIDAS_COMB,FECHA_COMB,"&gt;="&amp;BN$2,FECHA_COMB,"&lt;="&amp;BN$3,CLAVE_COMB,$A88)+SUMIFS(SALIDAS_DES,FECHA_DESGLOSEN,"&gt;="&amp;BN$2,FECHA_DESGLOSEN,"&lt;="&amp;BN$3,CLAVE_DESGLOSE,$A88)</f>
        <v>0</v>
      </c>
      <c r="BO88" s="13">
        <f>SUMIFS(SALIDAS_BIT,FECHA_BIT,"&gt;="&amp;BO$2,FECHA_BIT,"&lt;="&amp;BO$3,CLAVE_BIT,$A88)+SUMIFS(SALIDAS_BOV1,FECHA_BOV1,"&gt;="&amp;BO$2,FECHA_BOV1,"&lt;="&amp;BO$3,CLAVE_BOV1,$A88)+SUMIFS(SALIDAS_BOV2,FECHA_BOV2,"&gt;="&amp;BO$2,FECHA_BOV2,"&lt;="&amp;BO$3,CLAVE_BOV2,$A88)+SUMIFS(SALIDAS_BOV3,FECHA_BOV3,"&gt;="&amp;BO$2,FECHA_BOV3,"&lt;="&amp;BO$3,CLAVE_BOV3,$A88)+SUMIFS(SALIDAS_TC,FECHA_TC,"&gt;="&amp;BO$2,FECHA_TC,"&lt;="&amp;BO$3,CLAVE_TC,$A88)+SUMIFS(SALIDAS_COMB,FECHA_COMB,"&gt;="&amp;BO$2,FECHA_COMB,"&lt;="&amp;BO$3,CLAVE_COMB,$A88)+SUMIFS(SALIDAS_DES,FECHA_DESGLOSEN,"&gt;="&amp;BO$2,FECHA_DESGLOSEN,"&lt;="&amp;BO$3,CLAVE_DESGLOSE,$A88)</f>
        <v>0</v>
      </c>
      <c r="BP88" s="13">
        <f>SUMIFS(SALIDAS_BIT,FECHA_BIT,"&gt;="&amp;BP$2,FECHA_BIT,"&lt;="&amp;BP$3,CLAVE_BIT,$A88)+SUMIFS(SALIDAS_BOV1,FECHA_BOV1,"&gt;="&amp;BP$2,FECHA_BOV1,"&lt;="&amp;BP$3,CLAVE_BOV1,$A88)+SUMIFS(SALIDAS_BOV2,FECHA_BOV2,"&gt;="&amp;BP$2,FECHA_BOV2,"&lt;="&amp;BP$3,CLAVE_BOV2,$A88)+SUMIFS(SALIDAS_BOV3,FECHA_BOV3,"&gt;="&amp;BP$2,FECHA_BOV3,"&lt;="&amp;BP$3,CLAVE_BOV3,$A88)+SUMIFS(SALIDAS_TC,FECHA_TC,"&gt;="&amp;BP$2,FECHA_TC,"&lt;="&amp;BP$3,CLAVE_TC,$A88)+SUMIFS(SALIDAS_COMB,FECHA_COMB,"&gt;="&amp;BP$2,FECHA_COMB,"&lt;="&amp;BP$3,CLAVE_COMB,$A88)+SUMIFS(SALIDAS_DES,FECHA_DESGLOSEN,"&gt;="&amp;BP$2,FECHA_DESGLOSEN,"&lt;="&amp;BP$3,CLAVE_DESGLOSE,$A88)</f>
        <v>0</v>
      </c>
      <c r="BQ88" s="13">
        <f>SUMIFS(SALIDAS_BIT,FECHA_BIT,"&gt;="&amp;BQ$2,FECHA_BIT,"&lt;="&amp;BQ$3,CLAVE_BIT,$A88)+SUMIFS(SALIDAS_BOV1,FECHA_BOV1,"&gt;="&amp;BQ$2,FECHA_BOV1,"&lt;="&amp;BQ$3,CLAVE_BOV1,$A88)+SUMIFS(SALIDAS_BOV2,FECHA_BOV2,"&gt;="&amp;BQ$2,FECHA_BOV2,"&lt;="&amp;BQ$3,CLAVE_BOV2,$A88)+SUMIFS(SALIDAS_BOV3,FECHA_BOV3,"&gt;="&amp;BQ$2,FECHA_BOV3,"&lt;="&amp;BQ$3,CLAVE_BOV3,$A88)+SUMIFS(SALIDAS_TC,FECHA_TC,"&gt;="&amp;BQ$2,FECHA_TC,"&lt;="&amp;BQ$3,CLAVE_TC,$A88)+SUMIFS(SALIDAS_COMB,FECHA_COMB,"&gt;="&amp;BQ$2,FECHA_COMB,"&lt;="&amp;BQ$3,CLAVE_COMB,$A88)+SUMIFS(SALIDAS_DES,FECHA_DESGLOSEN,"&gt;="&amp;BQ$2,FECHA_DESGLOSEN,"&lt;="&amp;BQ$3,CLAVE_DESGLOSE,$A88)</f>
        <v>35388.36</v>
      </c>
      <c r="BR88" s="13">
        <f t="shared" si="193"/>
        <v>41888.36</v>
      </c>
      <c r="BS88" s="68">
        <f t="shared" si="164"/>
        <v>2094.4199999999983</v>
      </c>
      <c r="BT88" s="268">
        <f t="shared" si="165"/>
        <v>0.95238090907396034</v>
      </c>
      <c r="BU88" s="13">
        <f t="shared" si="166"/>
        <v>43982.78</v>
      </c>
      <c r="BV88" s="13">
        <f t="shared" si="186"/>
        <v>0</v>
      </c>
      <c r="BW88" s="13">
        <f t="shared" si="186"/>
        <v>6500</v>
      </c>
      <c r="BX88" s="13">
        <f t="shared" si="186"/>
        <v>35388.36</v>
      </c>
      <c r="BY88" s="13">
        <f t="shared" si="186"/>
        <v>0</v>
      </c>
      <c r="BZ88" s="13">
        <f t="shared" si="194"/>
        <v>41888.36</v>
      </c>
      <c r="CA88" s="68">
        <f t="shared" si="167"/>
        <v>2094.4199999999983</v>
      </c>
      <c r="CB88" s="268">
        <f t="shared" si="168"/>
        <v>0.95238090907396034</v>
      </c>
      <c r="CC88" s="13">
        <f t="shared" si="169"/>
        <v>43982.78</v>
      </c>
      <c r="CD88" s="13">
        <f t="shared" si="187"/>
        <v>6500</v>
      </c>
      <c r="CE88" s="13">
        <f t="shared" si="187"/>
        <v>24000</v>
      </c>
      <c r="CF88" s="13">
        <f t="shared" si="187"/>
        <v>0</v>
      </c>
      <c r="CG88" s="13">
        <f t="shared" si="187"/>
        <v>4080</v>
      </c>
      <c r="CH88" s="13">
        <f t="shared" si="195"/>
        <v>34580</v>
      </c>
      <c r="CI88" s="68">
        <f t="shared" si="170"/>
        <v>9402.7799999999988</v>
      </c>
      <c r="CJ88" s="268">
        <f t="shared" si="171"/>
        <v>0.78621678757004443</v>
      </c>
      <c r="CK88" s="13">
        <f t="shared" si="172"/>
        <v>43982.78</v>
      </c>
      <c r="CL88" s="13">
        <f t="shared" si="176"/>
        <v>0</v>
      </c>
      <c r="CM88" s="13">
        <f t="shared" si="176"/>
        <v>42619.199999999997</v>
      </c>
      <c r="CN88" s="13">
        <f t="shared" si="176"/>
        <v>0</v>
      </c>
      <c r="CO88" s="13">
        <f t="shared" si="176"/>
        <v>0</v>
      </c>
      <c r="CP88" s="13">
        <f t="shared" si="176"/>
        <v>0</v>
      </c>
      <c r="CQ88" s="13">
        <f t="shared" si="196"/>
        <v>42619.199999999997</v>
      </c>
      <c r="CR88" s="68">
        <f t="shared" si="173"/>
        <v>1363.5800000000017</v>
      </c>
      <c r="CS88" s="268">
        <f t="shared" si="174"/>
        <v>0.96899741216903523</v>
      </c>
      <c r="CT88" s="68">
        <f t="shared" si="147"/>
        <v>46622</v>
      </c>
      <c r="CU88" s="13">
        <f>SUMIFS(SALIDAS_BIT,FECHA_BIT,"&gt;="&amp;CU$2,FECHA_BIT,"&lt;="&amp;CU$3,CLAVE_BIT,$A88)+SUMIFS(SALIDAS_BOV1,FECHA_BOV1,"&gt;="&amp;CU$2,FECHA_BOV1,"&lt;="&amp;CU$3,CLAVE_BOV1,$A88)+SUMIFS(SALIDAS_BOV2,FECHA_BOV2,"&gt;="&amp;CU$2,FECHA_BOV2,"&lt;="&amp;CU$3,CLAVE_BOV2,$A88)+SUMIFS(SALIDAS_BOV3,FECHA_BOV3,"&gt;="&amp;CU$2,FECHA_BOV3,"&lt;="&amp;CU$3,CLAVE_BOV3,$A88)+SUMIFS(SALIDAS_TC,FECHA_TC,"&gt;="&amp;CU$2,FECHA_TC,"&lt;="&amp;CU$3,CLAVE_TC,$A88)+SUMIFS(SALIDAS_COMB,FECHA_COMB,"&gt;="&amp;CU$2,FECHA_COMB,"&lt;="&amp;CU$3,CLAVE_COMB,$A88)+SUMIFS(SALIDAS_DES,FECHA_DESGLOSEN,"&gt;="&amp;CU$2,FECHA_DESGLOSEN,"&lt;="&amp;CU$3,CLAVE_DESGLOSE,$A88)</f>
        <v>6700</v>
      </c>
      <c r="CV88" s="13">
        <f>SUMIFS(SALIDAS_BIT,FECHA_BIT,"&gt;="&amp;CV$2,FECHA_BIT,"&lt;="&amp;CV$3,CLAVE_BIT,$A88)+SUMIFS(SALIDAS_BOV1,FECHA_BOV1,"&gt;="&amp;CV$2,FECHA_BOV1,"&lt;="&amp;CV$3,CLAVE_BOV1,$A88)+SUMIFS(SALIDAS_BOV2,FECHA_BOV2,"&gt;="&amp;CV$2,FECHA_BOV2,"&lt;="&amp;CV$3,CLAVE_BOV2,$A88)+SUMIFS(SALIDAS_BOV3,FECHA_BOV3,"&gt;="&amp;CV$2,FECHA_BOV3,"&lt;="&amp;CV$3,CLAVE_BOV3,$A88)+SUMIFS(SALIDAS_TC,FECHA_TC,"&gt;="&amp;CV$2,FECHA_TC,"&lt;="&amp;CV$3,CLAVE_TC,$A88)+SUMIFS(SALIDAS_COMB,FECHA_COMB,"&gt;="&amp;CV$2,FECHA_COMB,"&lt;="&amp;CV$3,CLAVE_COMB,$A88)+SUMIFS(SALIDAS_DES,FECHA_DESGLOSEN,"&gt;="&amp;CV$2,FECHA_DESGLOSEN,"&lt;="&amp;CV$3,CLAVE_DESGLOSE,$A88)</f>
        <v>0</v>
      </c>
      <c r="CW88" s="13">
        <f>SUMIFS(SALIDAS_BIT,FECHA_BIT,"&gt;="&amp;CW$2,FECHA_BIT,"&lt;="&amp;CW$3,CLAVE_BIT,$A88)+SUMIFS(SALIDAS_BOV1,FECHA_BOV1,"&gt;="&amp;CW$2,FECHA_BOV1,"&lt;="&amp;CW$3,CLAVE_BOV1,$A88)+SUMIFS(SALIDAS_BOV2,FECHA_BOV2,"&gt;="&amp;CW$2,FECHA_BOV2,"&lt;="&amp;CW$3,CLAVE_BOV2,$A88)+SUMIFS(SALIDAS_BOV3,FECHA_BOV3,"&gt;="&amp;CW$2,FECHA_BOV3,"&lt;="&amp;CW$3,CLAVE_BOV3,$A88)+SUMIFS(SALIDAS_TC,FECHA_TC,"&gt;="&amp;CW$2,FECHA_TC,"&lt;="&amp;CW$3,CLAVE_TC,$A88)+SUMIFS(SALIDAS_COMB,FECHA_COMB,"&gt;="&amp;CW$2,FECHA_COMB,"&lt;="&amp;CW$3,CLAVE_COMB,$A88)+SUMIFS(SALIDAS_DES,FECHA_DESGLOSEN,"&gt;="&amp;CW$2,FECHA_DESGLOSEN,"&lt;="&amp;CW$3,CLAVE_DESGLOSE,$A88)</f>
        <v>0</v>
      </c>
      <c r="CX88" s="13">
        <f>SUMIFS(SALIDAS_BIT,FECHA_BIT,"&gt;="&amp;CX$2,FECHA_BIT,"&lt;="&amp;CX$3,CLAVE_BIT,$A88)+SUMIFS(SALIDAS_BOV1,FECHA_BOV1,"&gt;="&amp;CX$2,FECHA_BOV1,"&lt;="&amp;CX$3,CLAVE_BOV1,$A88)+SUMIFS(SALIDAS_BOV2,FECHA_BOV2,"&gt;="&amp;CX$2,FECHA_BOV2,"&lt;="&amp;CX$3,CLAVE_BOV2,$A88)+SUMIFS(SALIDAS_BOV3,FECHA_BOV3,"&gt;="&amp;CX$2,FECHA_BOV3,"&lt;="&amp;CX$3,CLAVE_BOV3,$A88)+SUMIFS(SALIDAS_TC,FECHA_TC,"&gt;="&amp;CX$2,FECHA_TC,"&lt;="&amp;CX$3,CLAVE_TC,$A88)+SUMIFS(SALIDAS_COMB,FECHA_COMB,"&gt;="&amp;CX$2,FECHA_COMB,"&lt;="&amp;CX$3,CLAVE_COMB,$A88)+SUMIFS(SALIDAS_DES,FECHA_DESGLOSEN,"&gt;="&amp;CX$2,FECHA_DESGLOSEN,"&lt;="&amp;CX$3,CLAVE_DESGLOSE,$A88)</f>
        <v>35919.199999999997</v>
      </c>
      <c r="CY88" s="13">
        <f>SUMIFS(SALIDAS_BIT,FECHA_BIT,"&gt;="&amp;CY$2,FECHA_BIT,"&lt;="&amp;CY$3,CLAVE_BIT,$A88)+SUMIFS(SALIDAS_BOV1,FECHA_BOV1,"&gt;="&amp;CY$2,FECHA_BOV1,"&lt;="&amp;CY$3,CLAVE_BOV1,$A88)+SUMIFS(SALIDAS_BOV2,FECHA_BOV2,"&gt;="&amp;CY$2,FECHA_BOV2,"&lt;="&amp;CY$3,CLAVE_BOV2,$A88)+SUMIFS(SALIDAS_BOV3,FECHA_BOV3,"&gt;="&amp;CY$2,FECHA_BOV3,"&lt;="&amp;CY$3,CLAVE_BOV3,$A88)+SUMIFS(SALIDAS_TC,FECHA_TC,"&gt;="&amp;CY$2,FECHA_TC,"&lt;="&amp;CY$3,CLAVE_TC,$A88)+SUMIFS(SALIDAS_COMB,FECHA_COMB,"&gt;="&amp;CY$2,FECHA_COMB,"&lt;="&amp;CY$3,CLAVE_COMB,$A88)+SUMIFS(SALIDAS_DES,FECHA_DESGLOSEN,"&gt;="&amp;CY$2,FECHA_DESGLOSEN,"&lt;="&amp;CY$3,CLAVE_DESGLOSE,$A88)</f>
        <v>42619.199999999997</v>
      </c>
      <c r="CZ88" s="68">
        <f t="shared" si="175"/>
        <v>4002.8000000000029</v>
      </c>
      <c r="DB88" s="17">
        <f>F88+N88+W88+AE88+AM88+AV88+BD88+BL88+BU88+CC88+CK88</f>
        <v>483810.58000000007</v>
      </c>
      <c r="DC88" s="17">
        <f>K88+T88+AB88+AJ88+AS88+BA88+BI88+BR88+BZ88+CH88+CQ88</f>
        <v>454194.07999999996</v>
      </c>
    </row>
    <row r="89" spans="1:107" hidden="1">
      <c r="A89" s="12" t="str">
        <f t="shared" si="148"/>
        <v>FINANZASRENTASE7</v>
      </c>
      <c r="B89" s="12">
        <v>91</v>
      </c>
      <c r="C89" t="s">
        <v>23</v>
      </c>
      <c r="D89" s="12" t="s">
        <v>169</v>
      </c>
      <c r="E89" s="12" t="s">
        <v>113</v>
      </c>
      <c r="F89" s="259">
        <f t="shared" si="141"/>
        <v>0</v>
      </c>
      <c r="G89" s="13">
        <f t="shared" si="188"/>
        <v>0</v>
      </c>
      <c r="H89" s="13">
        <f t="shared" si="188"/>
        <v>0</v>
      </c>
      <c r="I89" s="13">
        <f t="shared" si="188"/>
        <v>0</v>
      </c>
      <c r="J89" s="13">
        <f t="shared" si="188"/>
        <v>0</v>
      </c>
      <c r="K89" s="13">
        <f t="shared" si="188"/>
        <v>0</v>
      </c>
      <c r="L89" s="68">
        <f t="shared" si="149"/>
        <v>0</v>
      </c>
      <c r="M89" s="268">
        <f t="shared" si="150"/>
        <v>0</v>
      </c>
      <c r="N89" s="13">
        <f t="shared" si="142"/>
        <v>0</v>
      </c>
      <c r="O89" s="13">
        <f t="shared" si="189"/>
        <v>0</v>
      </c>
      <c r="P89" s="13">
        <f t="shared" si="189"/>
        <v>0</v>
      </c>
      <c r="Q89" s="13">
        <f t="shared" si="189"/>
        <v>0</v>
      </c>
      <c r="R89" s="13">
        <f t="shared" si="189"/>
        <v>0</v>
      </c>
      <c r="S89" s="13">
        <f t="shared" si="189"/>
        <v>0</v>
      </c>
      <c r="T89" s="13">
        <f t="shared" si="189"/>
        <v>0</v>
      </c>
      <c r="U89" s="68">
        <f t="shared" si="151"/>
        <v>0</v>
      </c>
      <c r="V89" s="268">
        <f t="shared" si="152"/>
        <v>0</v>
      </c>
      <c r="W89" s="13">
        <f t="shared" si="143"/>
        <v>0</v>
      </c>
      <c r="X89" s="13">
        <f t="shared" si="190"/>
        <v>0</v>
      </c>
      <c r="Y89" s="13">
        <f t="shared" si="190"/>
        <v>0</v>
      </c>
      <c r="Z89" s="13">
        <f t="shared" si="190"/>
        <v>0</v>
      </c>
      <c r="AA89" s="13">
        <f t="shared" si="190"/>
        <v>0</v>
      </c>
      <c r="AB89" s="13">
        <f t="shared" si="190"/>
        <v>0</v>
      </c>
      <c r="AC89" s="68">
        <f t="shared" si="153"/>
        <v>0</v>
      </c>
      <c r="AD89" s="268">
        <f t="shared" si="154"/>
        <v>0</v>
      </c>
      <c r="AE89" s="13">
        <f t="shared" si="144"/>
        <v>0</v>
      </c>
      <c r="AF89" s="13">
        <f t="shared" si="191"/>
        <v>0</v>
      </c>
      <c r="AG89" s="13">
        <f t="shared" si="191"/>
        <v>0</v>
      </c>
      <c r="AH89" s="13">
        <f t="shared" si="191"/>
        <v>0</v>
      </c>
      <c r="AI89" s="13">
        <f t="shared" si="191"/>
        <v>0</v>
      </c>
      <c r="AJ89" s="13">
        <f t="shared" si="191"/>
        <v>0</v>
      </c>
      <c r="AK89" s="68">
        <f t="shared" si="155"/>
        <v>0</v>
      </c>
      <c r="AL89" s="268">
        <f t="shared" si="156"/>
        <v>0</v>
      </c>
      <c r="AM89" s="13">
        <f t="shared" si="145"/>
        <v>0</v>
      </c>
      <c r="AN89" s="13">
        <f t="shared" si="192"/>
        <v>0</v>
      </c>
      <c r="AO89" s="13">
        <f t="shared" si="192"/>
        <v>0</v>
      </c>
      <c r="AP89" s="13">
        <f t="shared" si="192"/>
        <v>0</v>
      </c>
      <c r="AQ89" s="13">
        <f t="shared" si="192"/>
        <v>0</v>
      </c>
      <c r="AR89" s="13">
        <f t="shared" si="192"/>
        <v>0</v>
      </c>
      <c r="AS89" s="13">
        <f t="shared" si="192"/>
        <v>0</v>
      </c>
      <c r="AT89" s="68">
        <f>AM89-AS89</f>
        <v>0</v>
      </c>
      <c r="AU89" s="268">
        <f t="shared" si="157"/>
        <v>0</v>
      </c>
      <c r="AV89" s="13">
        <f t="shared" si="146"/>
        <v>0</v>
      </c>
      <c r="AW89" s="13">
        <f t="shared" si="119"/>
        <v>0</v>
      </c>
      <c r="AX89" s="13">
        <f t="shared" si="119"/>
        <v>0</v>
      </c>
      <c r="AY89" s="13">
        <f t="shared" si="119"/>
        <v>0</v>
      </c>
      <c r="AZ89" s="13">
        <f t="shared" si="119"/>
        <v>0</v>
      </c>
      <c r="BA89" s="13">
        <f t="shared" si="120"/>
        <v>0</v>
      </c>
      <c r="BB89" s="68">
        <f t="shared" si="158"/>
        <v>0</v>
      </c>
      <c r="BC89" s="268">
        <f t="shared" si="159"/>
        <v>0</v>
      </c>
      <c r="BD89" s="13">
        <f t="shared" si="160"/>
        <v>0</v>
      </c>
      <c r="BE89" s="13">
        <f>SUMIFS(SALIDAS_BIT,FECHA_BIT,"&gt;="&amp;BE$2,FECHA_BIT,"&lt;="&amp;BE$3,CLAVE_BIT,$A89)+SUMIFS(SALIDAS_BOV1,FECHA_BOV1,"&gt;="&amp;BE$2,FECHA_BOV1,"&lt;="&amp;BE$3,CLAVE_BOV1,$A89)+SUMIFS(SALIDAS_BOV2,FECHA_BOV2,"&gt;="&amp;BE$2,FECHA_BOV2,"&lt;="&amp;BE$3,CLAVE_BOV2,$A89)+SUMIFS(SALIDAS_BOV3,FECHA_BOV3,"&gt;="&amp;BE$2,FECHA_BOV3,"&lt;="&amp;BE$3,CLAVE_BOV3,$A89)+SUMIFS(SALIDAS_TC,FECHA_TC,"&gt;="&amp;BE$2,FECHA_TC,"&lt;="&amp;BE$3,CLAVE_TC,$A89)+SUMIFS(SALIDAS_COMB,FECHA_COMB,"&gt;="&amp;BE$2,FECHA_COMB,"&lt;="&amp;BE$3,CLAVE_COMB,$A89)+SUMIFS(SALIDAS_DES,FECHA_DESGLOSEN,"&gt;="&amp;BE$2,FECHA_DESGLOSEN,"&lt;="&amp;BE$3,CLAVE_DESGLOSE,$A89)</f>
        <v>0</v>
      </c>
      <c r="BF89" s="13">
        <f>SUMIFS(SALIDAS_BIT,FECHA_BIT,"&gt;="&amp;BF$2,FECHA_BIT,"&lt;="&amp;BF$3,CLAVE_BIT,$A89)+SUMIFS(SALIDAS_BOV1,FECHA_BOV1,"&gt;="&amp;BF$2,FECHA_BOV1,"&lt;="&amp;BF$3,CLAVE_BOV1,$A89)+SUMIFS(SALIDAS_BOV2,FECHA_BOV2,"&gt;="&amp;BF$2,FECHA_BOV2,"&lt;="&amp;BF$3,CLAVE_BOV2,$A89)+SUMIFS(SALIDAS_BOV3,FECHA_BOV3,"&gt;="&amp;BF$2,FECHA_BOV3,"&lt;="&amp;BF$3,CLAVE_BOV3,$A89)+SUMIFS(SALIDAS_TC,FECHA_TC,"&gt;="&amp;BF$2,FECHA_TC,"&lt;="&amp;BF$3,CLAVE_TC,$A89)+SUMIFS(SALIDAS_COMB,FECHA_COMB,"&gt;="&amp;BF$2,FECHA_COMB,"&lt;="&amp;BF$3,CLAVE_COMB,$A89)+SUMIFS(SALIDAS_DES,FECHA_DESGLOSEN,"&gt;="&amp;BF$2,FECHA_DESGLOSEN,"&lt;="&amp;BF$3,CLAVE_DESGLOSE,$A89)</f>
        <v>0</v>
      </c>
      <c r="BG89" s="13">
        <f>SUMIFS(SALIDAS_BIT,FECHA_BIT,"&gt;="&amp;BG$2,FECHA_BIT,"&lt;="&amp;BG$3,CLAVE_BIT,$A89)+SUMIFS(SALIDAS_BOV1,FECHA_BOV1,"&gt;="&amp;BG$2,FECHA_BOV1,"&lt;="&amp;BG$3,CLAVE_BOV1,$A89)+SUMIFS(SALIDAS_BOV2,FECHA_BOV2,"&gt;="&amp;BG$2,FECHA_BOV2,"&lt;="&amp;BG$3,CLAVE_BOV2,$A89)+SUMIFS(SALIDAS_BOV3,FECHA_BOV3,"&gt;="&amp;BG$2,FECHA_BOV3,"&lt;="&amp;BG$3,CLAVE_BOV3,$A89)+SUMIFS(SALIDAS_TC,FECHA_TC,"&gt;="&amp;BG$2,FECHA_TC,"&lt;="&amp;BG$3,CLAVE_TC,$A89)+SUMIFS(SALIDAS_COMB,FECHA_COMB,"&gt;="&amp;BG$2,FECHA_COMB,"&lt;="&amp;BG$3,CLAVE_COMB,$A89)+SUMIFS(SALIDAS_DES,FECHA_DESGLOSEN,"&gt;="&amp;BG$2,FECHA_DESGLOSEN,"&lt;="&amp;BG$3,CLAVE_DESGLOSE,$A89)</f>
        <v>0</v>
      </c>
      <c r="BH89" s="13">
        <f>SUMIFS(SALIDAS_BIT,FECHA_BIT,"&gt;="&amp;BH$2,FECHA_BIT,"&lt;="&amp;BH$3,CLAVE_BIT,$A89)+SUMIFS(SALIDAS_BOV1,FECHA_BOV1,"&gt;="&amp;BH$2,FECHA_BOV1,"&lt;="&amp;BH$3,CLAVE_BOV1,$A89)+SUMIFS(SALIDAS_BOV2,FECHA_BOV2,"&gt;="&amp;BH$2,FECHA_BOV2,"&lt;="&amp;BH$3,CLAVE_BOV2,$A89)+SUMIFS(SALIDAS_BOV3,FECHA_BOV3,"&gt;="&amp;BH$2,FECHA_BOV3,"&lt;="&amp;BH$3,CLAVE_BOV3,$A89)+SUMIFS(SALIDAS_TC,FECHA_TC,"&gt;="&amp;BH$2,FECHA_TC,"&lt;="&amp;BH$3,CLAVE_TC,$A89)+SUMIFS(SALIDAS_COMB,FECHA_COMB,"&gt;="&amp;BH$2,FECHA_COMB,"&lt;="&amp;BH$3,CLAVE_COMB,$A89)+SUMIFS(SALIDAS_DES,FECHA_DESGLOSEN,"&gt;="&amp;BH$2,FECHA_DESGLOSEN,"&lt;="&amp;BH$3,CLAVE_DESGLOSE,$A89)</f>
        <v>0</v>
      </c>
      <c r="BI89" s="13">
        <f t="shared" si="121"/>
        <v>0</v>
      </c>
      <c r="BJ89" s="68">
        <f t="shared" si="161"/>
        <v>0</v>
      </c>
      <c r="BK89" s="268">
        <f t="shared" si="162"/>
        <v>0</v>
      </c>
      <c r="BL89" s="13">
        <f t="shared" si="163"/>
        <v>0</v>
      </c>
      <c r="BM89" s="13">
        <f>SUMIFS(SALIDAS_BIT,FECHA_BIT,"&gt;="&amp;BM$2,FECHA_BIT,"&lt;="&amp;BM$3,CLAVE_BIT,$A89)+SUMIFS(SALIDAS_BOV1,FECHA_BOV1,"&gt;="&amp;BM$2,FECHA_BOV1,"&lt;="&amp;BM$3,CLAVE_BOV1,$A89)+SUMIFS(SALIDAS_BOV2,FECHA_BOV2,"&gt;="&amp;BM$2,FECHA_BOV2,"&lt;="&amp;BM$3,CLAVE_BOV2,$A89)+SUMIFS(SALIDAS_BOV3,FECHA_BOV3,"&gt;="&amp;BM$2,FECHA_BOV3,"&lt;="&amp;BM$3,CLAVE_BOV3,$A89)+SUMIFS(SALIDAS_TC,FECHA_TC,"&gt;="&amp;BM$2,FECHA_TC,"&lt;="&amp;BM$3,CLAVE_TC,$A89)+SUMIFS(SALIDAS_COMB,FECHA_COMB,"&gt;="&amp;BM$2,FECHA_COMB,"&lt;="&amp;BM$3,CLAVE_COMB,$A89)+SUMIFS(SALIDAS_DES,FECHA_DESGLOSEN,"&gt;="&amp;BM$2,FECHA_DESGLOSEN,"&lt;="&amp;BM$3,CLAVE_DESGLOSE,$A89)</f>
        <v>0</v>
      </c>
      <c r="BN89" s="13">
        <f>SUMIFS(SALIDAS_BIT,FECHA_BIT,"&gt;="&amp;BN$2,FECHA_BIT,"&lt;="&amp;BN$3,CLAVE_BIT,$A89)+SUMIFS(SALIDAS_BOV1,FECHA_BOV1,"&gt;="&amp;BN$2,FECHA_BOV1,"&lt;="&amp;BN$3,CLAVE_BOV1,$A89)+SUMIFS(SALIDAS_BOV2,FECHA_BOV2,"&gt;="&amp;BN$2,FECHA_BOV2,"&lt;="&amp;BN$3,CLAVE_BOV2,$A89)+SUMIFS(SALIDAS_BOV3,FECHA_BOV3,"&gt;="&amp;BN$2,FECHA_BOV3,"&lt;="&amp;BN$3,CLAVE_BOV3,$A89)+SUMIFS(SALIDAS_TC,FECHA_TC,"&gt;="&amp;BN$2,FECHA_TC,"&lt;="&amp;BN$3,CLAVE_TC,$A89)+SUMIFS(SALIDAS_COMB,FECHA_COMB,"&gt;="&amp;BN$2,FECHA_COMB,"&lt;="&amp;BN$3,CLAVE_COMB,$A89)+SUMIFS(SALIDAS_DES,FECHA_DESGLOSEN,"&gt;="&amp;BN$2,FECHA_DESGLOSEN,"&lt;="&amp;BN$3,CLAVE_DESGLOSE,$A89)</f>
        <v>0</v>
      </c>
      <c r="BO89" s="13">
        <f>SUMIFS(SALIDAS_BIT,FECHA_BIT,"&gt;="&amp;BO$2,FECHA_BIT,"&lt;="&amp;BO$3,CLAVE_BIT,$A89)+SUMIFS(SALIDAS_BOV1,FECHA_BOV1,"&gt;="&amp;BO$2,FECHA_BOV1,"&lt;="&amp;BO$3,CLAVE_BOV1,$A89)+SUMIFS(SALIDAS_BOV2,FECHA_BOV2,"&gt;="&amp;BO$2,FECHA_BOV2,"&lt;="&amp;BO$3,CLAVE_BOV2,$A89)+SUMIFS(SALIDAS_BOV3,FECHA_BOV3,"&gt;="&amp;BO$2,FECHA_BOV3,"&lt;="&amp;BO$3,CLAVE_BOV3,$A89)+SUMIFS(SALIDAS_TC,FECHA_TC,"&gt;="&amp;BO$2,FECHA_TC,"&lt;="&amp;BO$3,CLAVE_TC,$A89)+SUMIFS(SALIDAS_COMB,FECHA_COMB,"&gt;="&amp;BO$2,FECHA_COMB,"&lt;="&amp;BO$3,CLAVE_COMB,$A89)+SUMIFS(SALIDAS_DES,FECHA_DESGLOSEN,"&gt;="&amp;BO$2,FECHA_DESGLOSEN,"&lt;="&amp;BO$3,CLAVE_DESGLOSE,$A89)</f>
        <v>0</v>
      </c>
      <c r="BP89" s="13">
        <f>SUMIFS(SALIDAS_BIT,FECHA_BIT,"&gt;="&amp;BP$2,FECHA_BIT,"&lt;="&amp;BP$3,CLAVE_BIT,$A89)+SUMIFS(SALIDAS_BOV1,FECHA_BOV1,"&gt;="&amp;BP$2,FECHA_BOV1,"&lt;="&amp;BP$3,CLAVE_BOV1,$A89)+SUMIFS(SALIDAS_BOV2,FECHA_BOV2,"&gt;="&amp;BP$2,FECHA_BOV2,"&lt;="&amp;BP$3,CLAVE_BOV2,$A89)+SUMIFS(SALIDAS_BOV3,FECHA_BOV3,"&gt;="&amp;BP$2,FECHA_BOV3,"&lt;="&amp;BP$3,CLAVE_BOV3,$A89)+SUMIFS(SALIDAS_TC,FECHA_TC,"&gt;="&amp;BP$2,FECHA_TC,"&lt;="&amp;BP$3,CLAVE_TC,$A89)+SUMIFS(SALIDAS_COMB,FECHA_COMB,"&gt;="&amp;BP$2,FECHA_COMB,"&lt;="&amp;BP$3,CLAVE_COMB,$A89)+SUMIFS(SALIDAS_DES,FECHA_DESGLOSEN,"&gt;="&amp;BP$2,FECHA_DESGLOSEN,"&lt;="&amp;BP$3,CLAVE_DESGLOSE,$A89)</f>
        <v>0</v>
      </c>
      <c r="BQ89" s="13">
        <f>SUMIFS(SALIDAS_BIT,FECHA_BIT,"&gt;="&amp;BQ$2,FECHA_BIT,"&lt;="&amp;BQ$3,CLAVE_BIT,$A89)+SUMIFS(SALIDAS_BOV1,FECHA_BOV1,"&gt;="&amp;BQ$2,FECHA_BOV1,"&lt;="&amp;BQ$3,CLAVE_BOV1,$A89)+SUMIFS(SALIDAS_BOV2,FECHA_BOV2,"&gt;="&amp;BQ$2,FECHA_BOV2,"&lt;="&amp;BQ$3,CLAVE_BOV2,$A89)+SUMIFS(SALIDAS_BOV3,FECHA_BOV3,"&gt;="&amp;BQ$2,FECHA_BOV3,"&lt;="&amp;BQ$3,CLAVE_BOV3,$A89)+SUMIFS(SALIDAS_TC,FECHA_TC,"&gt;="&amp;BQ$2,FECHA_TC,"&lt;="&amp;BQ$3,CLAVE_TC,$A89)+SUMIFS(SALIDAS_COMB,FECHA_COMB,"&gt;="&amp;BQ$2,FECHA_COMB,"&lt;="&amp;BQ$3,CLAVE_COMB,$A89)+SUMIFS(SALIDAS_DES,FECHA_DESGLOSEN,"&gt;="&amp;BQ$2,FECHA_DESGLOSEN,"&lt;="&amp;BQ$3,CLAVE_DESGLOSE,$A89)</f>
        <v>0</v>
      </c>
      <c r="BR89" s="13">
        <f t="shared" si="193"/>
        <v>0</v>
      </c>
      <c r="BS89" s="68">
        <f t="shared" si="164"/>
        <v>0</v>
      </c>
      <c r="BT89" s="268">
        <f t="shared" si="165"/>
        <v>0</v>
      </c>
      <c r="BU89" s="13">
        <f t="shared" si="166"/>
        <v>0</v>
      </c>
      <c r="BV89" s="13">
        <f t="shared" si="186"/>
        <v>0</v>
      </c>
      <c r="BW89" s="13">
        <f t="shared" si="186"/>
        <v>0</v>
      </c>
      <c r="BX89" s="13">
        <f t="shared" si="186"/>
        <v>0</v>
      </c>
      <c r="BY89" s="13">
        <f t="shared" si="186"/>
        <v>0</v>
      </c>
      <c r="BZ89" s="13">
        <f t="shared" si="194"/>
        <v>0</v>
      </c>
      <c r="CA89" s="68">
        <f t="shared" si="167"/>
        <v>0</v>
      </c>
      <c r="CB89" s="268">
        <f t="shared" si="168"/>
        <v>0</v>
      </c>
      <c r="CC89" s="13">
        <f t="shared" si="169"/>
        <v>0</v>
      </c>
      <c r="CD89" s="13">
        <f t="shared" si="187"/>
        <v>0</v>
      </c>
      <c r="CE89" s="13">
        <f t="shared" si="187"/>
        <v>0</v>
      </c>
      <c r="CF89" s="13">
        <f t="shared" si="187"/>
        <v>0</v>
      </c>
      <c r="CG89" s="13">
        <f t="shared" si="187"/>
        <v>0</v>
      </c>
      <c r="CH89" s="13">
        <f t="shared" si="195"/>
        <v>0</v>
      </c>
      <c r="CI89" s="68">
        <f t="shared" si="170"/>
        <v>0</v>
      </c>
      <c r="CJ89" s="268">
        <f t="shared" si="171"/>
        <v>0</v>
      </c>
      <c r="CK89" s="13">
        <f t="shared" si="172"/>
        <v>0</v>
      </c>
      <c r="CL89" s="13">
        <f t="shared" si="176"/>
        <v>0</v>
      </c>
      <c r="CM89" s="13">
        <f t="shared" si="176"/>
        <v>0</v>
      </c>
      <c r="CN89" s="13">
        <f t="shared" si="176"/>
        <v>0</v>
      </c>
      <c r="CO89" s="13">
        <f t="shared" si="176"/>
        <v>0</v>
      </c>
      <c r="CP89" s="13">
        <f t="shared" si="176"/>
        <v>0</v>
      </c>
      <c r="CQ89" s="13">
        <f t="shared" si="196"/>
        <v>0</v>
      </c>
      <c r="CR89" s="68">
        <f t="shared" si="173"/>
        <v>0</v>
      </c>
      <c r="CS89" s="268">
        <f t="shared" si="174"/>
        <v>0</v>
      </c>
      <c r="CT89" s="68">
        <f t="shared" si="147"/>
        <v>0</v>
      </c>
      <c r="CU89" s="13">
        <f>SUMIFS(SALIDAS_BIT,FECHA_BIT,"&gt;="&amp;CU$2,FECHA_BIT,"&lt;="&amp;CU$3,CLAVE_BIT,$A89)+SUMIFS(SALIDAS_BOV1,FECHA_BOV1,"&gt;="&amp;CU$2,FECHA_BOV1,"&lt;="&amp;CU$3,CLAVE_BOV1,$A89)+SUMIFS(SALIDAS_BOV2,FECHA_BOV2,"&gt;="&amp;CU$2,FECHA_BOV2,"&lt;="&amp;CU$3,CLAVE_BOV2,$A89)+SUMIFS(SALIDAS_BOV3,FECHA_BOV3,"&gt;="&amp;CU$2,FECHA_BOV3,"&lt;="&amp;CU$3,CLAVE_BOV3,$A89)+SUMIFS(SALIDAS_TC,FECHA_TC,"&gt;="&amp;CU$2,FECHA_TC,"&lt;="&amp;CU$3,CLAVE_TC,$A89)+SUMIFS(SALIDAS_COMB,FECHA_COMB,"&gt;="&amp;CU$2,FECHA_COMB,"&lt;="&amp;CU$3,CLAVE_COMB,$A89)+SUMIFS(SALIDAS_DES,FECHA_DESGLOSEN,"&gt;="&amp;CU$2,FECHA_DESGLOSEN,"&lt;="&amp;CU$3,CLAVE_DESGLOSE,$A89)</f>
        <v>0</v>
      </c>
      <c r="CV89" s="13">
        <f>SUMIFS(SALIDAS_BIT,FECHA_BIT,"&gt;="&amp;CV$2,FECHA_BIT,"&lt;="&amp;CV$3,CLAVE_BIT,$A89)+SUMIFS(SALIDAS_BOV1,FECHA_BOV1,"&gt;="&amp;CV$2,FECHA_BOV1,"&lt;="&amp;CV$3,CLAVE_BOV1,$A89)+SUMIFS(SALIDAS_BOV2,FECHA_BOV2,"&gt;="&amp;CV$2,FECHA_BOV2,"&lt;="&amp;CV$3,CLAVE_BOV2,$A89)+SUMIFS(SALIDAS_BOV3,FECHA_BOV3,"&gt;="&amp;CV$2,FECHA_BOV3,"&lt;="&amp;CV$3,CLAVE_BOV3,$A89)+SUMIFS(SALIDAS_TC,FECHA_TC,"&gt;="&amp;CV$2,FECHA_TC,"&lt;="&amp;CV$3,CLAVE_TC,$A89)+SUMIFS(SALIDAS_COMB,FECHA_COMB,"&gt;="&amp;CV$2,FECHA_COMB,"&lt;="&amp;CV$3,CLAVE_COMB,$A89)+SUMIFS(SALIDAS_DES,FECHA_DESGLOSEN,"&gt;="&amp;CV$2,FECHA_DESGLOSEN,"&lt;="&amp;CV$3,CLAVE_DESGLOSE,$A89)</f>
        <v>0</v>
      </c>
      <c r="CW89" s="13">
        <f>SUMIFS(SALIDAS_BIT,FECHA_BIT,"&gt;="&amp;CW$2,FECHA_BIT,"&lt;="&amp;CW$3,CLAVE_BIT,$A89)+SUMIFS(SALIDAS_BOV1,FECHA_BOV1,"&gt;="&amp;CW$2,FECHA_BOV1,"&lt;="&amp;CW$3,CLAVE_BOV1,$A89)+SUMIFS(SALIDAS_BOV2,FECHA_BOV2,"&gt;="&amp;CW$2,FECHA_BOV2,"&lt;="&amp;CW$3,CLAVE_BOV2,$A89)+SUMIFS(SALIDAS_BOV3,FECHA_BOV3,"&gt;="&amp;CW$2,FECHA_BOV3,"&lt;="&amp;CW$3,CLAVE_BOV3,$A89)+SUMIFS(SALIDAS_TC,FECHA_TC,"&gt;="&amp;CW$2,FECHA_TC,"&lt;="&amp;CW$3,CLAVE_TC,$A89)+SUMIFS(SALIDAS_COMB,FECHA_COMB,"&gt;="&amp;CW$2,FECHA_COMB,"&lt;="&amp;CW$3,CLAVE_COMB,$A89)+SUMIFS(SALIDAS_DES,FECHA_DESGLOSEN,"&gt;="&amp;CW$2,FECHA_DESGLOSEN,"&lt;="&amp;CW$3,CLAVE_DESGLOSE,$A89)</f>
        <v>0</v>
      </c>
      <c r="CX89" s="13">
        <f>SUMIFS(SALIDAS_BIT,FECHA_BIT,"&gt;="&amp;CX$2,FECHA_BIT,"&lt;="&amp;CX$3,CLAVE_BIT,$A89)+SUMIFS(SALIDAS_BOV1,FECHA_BOV1,"&gt;="&amp;CX$2,FECHA_BOV1,"&lt;="&amp;CX$3,CLAVE_BOV1,$A89)+SUMIFS(SALIDAS_BOV2,FECHA_BOV2,"&gt;="&amp;CX$2,FECHA_BOV2,"&lt;="&amp;CX$3,CLAVE_BOV2,$A89)+SUMIFS(SALIDAS_BOV3,FECHA_BOV3,"&gt;="&amp;CX$2,FECHA_BOV3,"&lt;="&amp;CX$3,CLAVE_BOV3,$A89)+SUMIFS(SALIDAS_TC,FECHA_TC,"&gt;="&amp;CX$2,FECHA_TC,"&lt;="&amp;CX$3,CLAVE_TC,$A89)+SUMIFS(SALIDAS_COMB,FECHA_COMB,"&gt;="&amp;CX$2,FECHA_COMB,"&lt;="&amp;CX$3,CLAVE_COMB,$A89)+SUMIFS(SALIDAS_DES,FECHA_DESGLOSEN,"&gt;="&amp;CX$2,FECHA_DESGLOSEN,"&lt;="&amp;CX$3,CLAVE_DESGLOSE,$A89)</f>
        <v>0</v>
      </c>
      <c r="CY89" s="13">
        <f>SUMIFS(SALIDAS_BIT,FECHA_BIT,"&gt;="&amp;CY$2,FECHA_BIT,"&lt;="&amp;CY$3,CLAVE_BIT,$A89)+SUMIFS(SALIDAS_BOV1,FECHA_BOV1,"&gt;="&amp;CY$2,FECHA_BOV1,"&lt;="&amp;CY$3,CLAVE_BOV1,$A89)+SUMIFS(SALIDAS_BOV2,FECHA_BOV2,"&gt;="&amp;CY$2,FECHA_BOV2,"&lt;="&amp;CY$3,CLAVE_BOV2,$A89)+SUMIFS(SALIDAS_BOV3,FECHA_BOV3,"&gt;="&amp;CY$2,FECHA_BOV3,"&lt;="&amp;CY$3,CLAVE_BOV3,$A89)+SUMIFS(SALIDAS_TC,FECHA_TC,"&gt;="&amp;CY$2,FECHA_TC,"&lt;="&amp;CY$3,CLAVE_TC,$A89)+SUMIFS(SALIDAS_COMB,FECHA_COMB,"&gt;="&amp;CY$2,FECHA_COMB,"&lt;="&amp;CY$3,CLAVE_COMB,$A89)+SUMIFS(SALIDAS_DES,FECHA_DESGLOSEN,"&gt;="&amp;CY$2,FECHA_DESGLOSEN,"&lt;="&amp;CY$3,CLAVE_DESGLOSE,$A89)</f>
        <v>0</v>
      </c>
      <c r="CZ89" s="68">
        <f t="shared" si="175"/>
        <v>0</v>
      </c>
      <c r="DB89" s="17">
        <f>F89+N89+W89+AE89+AM89+AV89+BD89+BL89+BU89+CC89+CK89</f>
        <v>0</v>
      </c>
      <c r="DC89" s="17">
        <f>K89+T89+AB89+AJ89+AS89+BA89+BI89+BR89+BZ89+CH89+CQ89</f>
        <v>0</v>
      </c>
    </row>
    <row r="90" spans="1:107" hidden="1">
      <c r="A90" s="12" t="str">
        <f t="shared" si="148"/>
        <v>FINANZASRENTASE8</v>
      </c>
      <c r="B90" s="12">
        <v>92</v>
      </c>
      <c r="C90" t="s">
        <v>23</v>
      </c>
      <c r="D90" s="12" t="s">
        <v>169</v>
      </c>
      <c r="E90" s="12" t="s">
        <v>114</v>
      </c>
      <c r="F90" s="259">
        <f t="shared" si="141"/>
        <v>91774.97</v>
      </c>
      <c r="G90" s="13">
        <f t="shared" si="188"/>
        <v>0</v>
      </c>
      <c r="H90" s="13">
        <f t="shared" si="188"/>
        <v>48526.93</v>
      </c>
      <c r="I90" s="13">
        <f t="shared" si="188"/>
        <v>37619.519999999997</v>
      </c>
      <c r="J90" s="13">
        <f t="shared" si="188"/>
        <v>0</v>
      </c>
      <c r="K90" s="13">
        <f t="shared" si="188"/>
        <v>86146.45</v>
      </c>
      <c r="L90" s="68">
        <f t="shared" si="149"/>
        <v>5628.5200000000041</v>
      </c>
      <c r="M90" s="268">
        <f t="shared" si="150"/>
        <v>0.93867042397289802</v>
      </c>
      <c r="N90" s="13">
        <f t="shared" si="142"/>
        <v>91774.97</v>
      </c>
      <c r="O90" s="13">
        <f t="shared" si="189"/>
        <v>0</v>
      </c>
      <c r="P90" s="13">
        <f t="shared" si="189"/>
        <v>0</v>
      </c>
      <c r="Q90" s="13">
        <f t="shared" si="189"/>
        <v>48466.06</v>
      </c>
      <c r="R90" s="13">
        <f t="shared" si="189"/>
        <v>0</v>
      </c>
      <c r="S90" s="13">
        <f t="shared" si="189"/>
        <v>0</v>
      </c>
      <c r="T90" s="13">
        <f t="shared" si="189"/>
        <v>48466.06</v>
      </c>
      <c r="U90" s="68">
        <f t="shared" si="151"/>
        <v>43308.91</v>
      </c>
      <c r="V90" s="268">
        <f t="shared" si="152"/>
        <v>0.52809671307982986</v>
      </c>
      <c r="W90" s="13">
        <f t="shared" si="143"/>
        <v>91774.97</v>
      </c>
      <c r="X90" s="13">
        <f t="shared" si="190"/>
        <v>0</v>
      </c>
      <c r="Y90" s="13">
        <f t="shared" si="190"/>
        <v>0</v>
      </c>
      <c r="Z90" s="13">
        <f t="shared" si="190"/>
        <v>48526.91</v>
      </c>
      <c r="AA90" s="13">
        <f t="shared" si="190"/>
        <v>0</v>
      </c>
      <c r="AB90" s="13">
        <f t="shared" si="190"/>
        <v>48526.91</v>
      </c>
      <c r="AC90" s="68">
        <f t="shared" si="153"/>
        <v>43248.06</v>
      </c>
      <c r="AD90" s="268">
        <f t="shared" si="154"/>
        <v>0.52875974789204505</v>
      </c>
      <c r="AE90" s="13">
        <f t="shared" si="144"/>
        <v>91774.97</v>
      </c>
      <c r="AF90" s="13">
        <f t="shared" si="191"/>
        <v>4801.5</v>
      </c>
      <c r="AG90" s="13">
        <f t="shared" si="191"/>
        <v>48527.01</v>
      </c>
      <c r="AH90" s="13">
        <f t="shared" si="191"/>
        <v>0</v>
      </c>
      <c r="AI90" s="13">
        <f t="shared" si="191"/>
        <v>22795.72</v>
      </c>
      <c r="AJ90" s="13">
        <f t="shared" si="191"/>
        <v>76124.23000000001</v>
      </c>
      <c r="AK90" s="68">
        <f t="shared" si="155"/>
        <v>15650.739999999991</v>
      </c>
      <c r="AL90" s="268">
        <f t="shared" si="156"/>
        <v>0.82946613875221109</v>
      </c>
      <c r="AM90" s="13">
        <f t="shared" si="145"/>
        <v>93974.97</v>
      </c>
      <c r="AN90" s="13">
        <f t="shared" si="192"/>
        <v>0</v>
      </c>
      <c r="AO90" s="13">
        <f t="shared" si="192"/>
        <v>16278</v>
      </c>
      <c r="AP90" s="13">
        <f t="shared" si="192"/>
        <v>73994.679999999993</v>
      </c>
      <c r="AQ90" s="13">
        <f t="shared" si="192"/>
        <v>0</v>
      </c>
      <c r="AR90" s="13">
        <f t="shared" si="192"/>
        <v>0</v>
      </c>
      <c r="AS90" s="13">
        <f t="shared" si="192"/>
        <v>90272.68</v>
      </c>
      <c r="AT90" s="68">
        <f>AM90-AS90</f>
        <v>3702.2900000000081</v>
      </c>
      <c r="AU90" s="268">
        <f t="shared" si="157"/>
        <v>0.96060344578987356</v>
      </c>
      <c r="AV90" s="13">
        <f t="shared" si="146"/>
        <v>92374.97</v>
      </c>
      <c r="AW90" s="13">
        <f t="shared" si="119"/>
        <v>0</v>
      </c>
      <c r="AX90" s="13">
        <f t="shared" si="119"/>
        <v>0</v>
      </c>
      <c r="AY90" s="13">
        <f t="shared" si="119"/>
        <v>0</v>
      </c>
      <c r="AZ90" s="13">
        <f t="shared" si="119"/>
        <v>101580.63</v>
      </c>
      <c r="BA90" s="13">
        <f t="shared" si="120"/>
        <v>101580.63</v>
      </c>
      <c r="BB90" s="68">
        <f t="shared" si="158"/>
        <v>-9205.6600000000035</v>
      </c>
      <c r="BC90" s="268">
        <f t="shared" si="159"/>
        <v>1.0996553503616835</v>
      </c>
      <c r="BD90" s="13">
        <f t="shared" si="160"/>
        <v>93574.97</v>
      </c>
      <c r="BE90" s="13">
        <f>SUMIFS(SALIDAS_BIT,FECHA_BIT,"&gt;="&amp;BE$2,FECHA_BIT,"&lt;="&amp;BE$3,CLAVE_BIT,$A90)+SUMIFS(SALIDAS_BOV1,FECHA_BOV1,"&gt;="&amp;BE$2,FECHA_BOV1,"&lt;="&amp;BE$3,CLAVE_BOV1,$A90)+SUMIFS(SALIDAS_BOV2,FECHA_BOV2,"&gt;="&amp;BE$2,FECHA_BOV2,"&lt;="&amp;BE$3,CLAVE_BOV2,$A90)+SUMIFS(SALIDAS_BOV3,FECHA_BOV3,"&gt;="&amp;BE$2,FECHA_BOV3,"&lt;="&amp;BE$3,CLAVE_BOV3,$A90)+SUMIFS(SALIDAS_TC,FECHA_TC,"&gt;="&amp;BE$2,FECHA_TC,"&lt;="&amp;BE$3,CLAVE_TC,$A90)+SUMIFS(SALIDAS_COMB,FECHA_COMB,"&gt;="&amp;BE$2,FECHA_COMB,"&lt;="&amp;BE$3,CLAVE_COMB,$A90)+SUMIFS(SALIDAS_DES,FECHA_DESGLOSEN,"&gt;="&amp;BE$2,FECHA_DESGLOSEN,"&lt;="&amp;BE$3,CLAVE_DESGLOSE,$A90)</f>
        <v>0</v>
      </c>
      <c r="BF90" s="13">
        <f>SUMIFS(SALIDAS_BIT,FECHA_BIT,"&gt;="&amp;BF$2,FECHA_BIT,"&lt;="&amp;BF$3,CLAVE_BIT,$A90)+SUMIFS(SALIDAS_BOV1,FECHA_BOV1,"&gt;="&amp;BF$2,FECHA_BOV1,"&lt;="&amp;BF$3,CLAVE_BOV1,$A90)+SUMIFS(SALIDAS_BOV2,FECHA_BOV2,"&gt;="&amp;BF$2,FECHA_BOV2,"&lt;="&amp;BF$3,CLAVE_BOV2,$A90)+SUMIFS(SALIDAS_BOV3,FECHA_BOV3,"&gt;="&amp;BF$2,FECHA_BOV3,"&lt;="&amp;BF$3,CLAVE_BOV3,$A90)+SUMIFS(SALIDAS_TC,FECHA_TC,"&gt;="&amp;BF$2,FECHA_TC,"&lt;="&amp;BF$3,CLAVE_TC,$A90)+SUMIFS(SALIDAS_COMB,FECHA_COMB,"&gt;="&amp;BF$2,FECHA_COMB,"&lt;="&amp;BF$3,CLAVE_COMB,$A90)+SUMIFS(SALIDAS_DES,FECHA_DESGLOSEN,"&gt;="&amp;BF$2,FECHA_DESGLOSEN,"&lt;="&amp;BF$3,CLAVE_DESGLOSE,$A90)</f>
        <v>90273.5</v>
      </c>
      <c r="BG90" s="13">
        <f>SUMIFS(SALIDAS_BIT,FECHA_BIT,"&gt;="&amp;BG$2,FECHA_BIT,"&lt;="&amp;BG$3,CLAVE_BIT,$A90)+SUMIFS(SALIDAS_BOV1,FECHA_BOV1,"&gt;="&amp;BG$2,FECHA_BOV1,"&lt;="&amp;BG$3,CLAVE_BOV1,$A90)+SUMIFS(SALIDAS_BOV2,FECHA_BOV2,"&gt;="&amp;BG$2,FECHA_BOV2,"&lt;="&amp;BG$3,CLAVE_BOV2,$A90)+SUMIFS(SALIDAS_BOV3,FECHA_BOV3,"&gt;="&amp;BG$2,FECHA_BOV3,"&lt;="&amp;BG$3,CLAVE_BOV3,$A90)+SUMIFS(SALIDAS_TC,FECHA_TC,"&gt;="&amp;BG$2,FECHA_TC,"&lt;="&amp;BG$3,CLAVE_TC,$A90)+SUMIFS(SALIDAS_COMB,FECHA_COMB,"&gt;="&amp;BG$2,FECHA_COMB,"&lt;="&amp;BG$3,CLAVE_COMB,$A90)+SUMIFS(SALIDAS_DES,FECHA_DESGLOSEN,"&gt;="&amp;BG$2,FECHA_DESGLOSEN,"&lt;="&amp;BG$3,CLAVE_DESGLOSE,$A90)</f>
        <v>0</v>
      </c>
      <c r="BH90" s="13">
        <f>SUMIFS(SALIDAS_BIT,FECHA_BIT,"&gt;="&amp;BH$2,FECHA_BIT,"&lt;="&amp;BH$3,CLAVE_BIT,$A90)+SUMIFS(SALIDAS_BOV1,FECHA_BOV1,"&gt;="&amp;BH$2,FECHA_BOV1,"&lt;="&amp;BH$3,CLAVE_BOV1,$A90)+SUMIFS(SALIDAS_BOV2,FECHA_BOV2,"&gt;="&amp;BH$2,FECHA_BOV2,"&lt;="&amp;BH$3,CLAVE_BOV2,$A90)+SUMIFS(SALIDAS_BOV3,FECHA_BOV3,"&gt;="&amp;BH$2,FECHA_BOV3,"&lt;="&amp;BH$3,CLAVE_BOV3,$A90)+SUMIFS(SALIDAS_TC,FECHA_TC,"&gt;="&amp;BH$2,FECHA_TC,"&lt;="&amp;BH$3,CLAVE_TC,$A90)+SUMIFS(SALIDAS_COMB,FECHA_COMB,"&gt;="&amp;BH$2,FECHA_COMB,"&lt;="&amp;BH$3,CLAVE_COMB,$A90)+SUMIFS(SALIDAS_DES,FECHA_DESGLOSEN,"&gt;="&amp;BH$2,FECHA_DESGLOSEN,"&lt;="&amp;BH$3,CLAVE_DESGLOSE,$A90)</f>
        <v>15125.9</v>
      </c>
      <c r="BI90" s="13">
        <f t="shared" si="121"/>
        <v>105399.4</v>
      </c>
      <c r="BJ90" s="68">
        <f t="shared" si="161"/>
        <v>-11824.429999999993</v>
      </c>
      <c r="BK90" s="268">
        <f t="shared" si="162"/>
        <v>1.1263631716900362</v>
      </c>
      <c r="BL90" s="13">
        <f t="shared" si="163"/>
        <v>96474.97</v>
      </c>
      <c r="BM90" s="13">
        <f>SUMIFS(SALIDAS_BIT,FECHA_BIT,"&gt;="&amp;BM$2,FECHA_BIT,"&lt;="&amp;BM$3,CLAVE_BIT,$A90)+SUMIFS(SALIDAS_BOV1,FECHA_BOV1,"&gt;="&amp;BM$2,FECHA_BOV1,"&lt;="&amp;BM$3,CLAVE_BOV1,$A90)+SUMIFS(SALIDAS_BOV2,FECHA_BOV2,"&gt;="&amp;BM$2,FECHA_BOV2,"&lt;="&amp;BM$3,CLAVE_BOV2,$A90)+SUMIFS(SALIDAS_BOV3,FECHA_BOV3,"&gt;="&amp;BM$2,FECHA_BOV3,"&lt;="&amp;BM$3,CLAVE_BOV3,$A90)+SUMIFS(SALIDAS_TC,FECHA_TC,"&gt;="&amp;BM$2,FECHA_TC,"&lt;="&amp;BM$3,CLAVE_TC,$A90)+SUMIFS(SALIDAS_COMB,FECHA_COMB,"&gt;="&amp;BM$2,FECHA_COMB,"&lt;="&amp;BM$3,CLAVE_COMB,$A90)+SUMIFS(SALIDAS_DES,FECHA_DESGLOSEN,"&gt;="&amp;BM$2,FECHA_DESGLOSEN,"&lt;="&amp;BM$3,CLAVE_DESGLOSE,$A90)</f>
        <v>0</v>
      </c>
      <c r="BN90" s="13">
        <f>SUMIFS(SALIDAS_BIT,FECHA_BIT,"&gt;="&amp;BN$2,FECHA_BIT,"&lt;="&amp;BN$3,CLAVE_BIT,$A90)+SUMIFS(SALIDAS_BOV1,FECHA_BOV1,"&gt;="&amp;BN$2,FECHA_BOV1,"&lt;="&amp;BN$3,CLAVE_BOV1,$A90)+SUMIFS(SALIDAS_BOV2,FECHA_BOV2,"&gt;="&amp;BN$2,FECHA_BOV2,"&lt;="&amp;BN$3,CLAVE_BOV2,$A90)+SUMIFS(SALIDAS_BOV3,FECHA_BOV3,"&gt;="&amp;BN$2,FECHA_BOV3,"&lt;="&amp;BN$3,CLAVE_BOV3,$A90)+SUMIFS(SALIDAS_TC,FECHA_TC,"&gt;="&amp;BN$2,FECHA_TC,"&lt;="&amp;BN$3,CLAVE_TC,$A90)+SUMIFS(SALIDAS_COMB,FECHA_COMB,"&gt;="&amp;BN$2,FECHA_COMB,"&lt;="&amp;BN$3,CLAVE_COMB,$A90)+SUMIFS(SALIDAS_DES,FECHA_DESGLOSEN,"&gt;="&amp;BN$2,FECHA_DESGLOSEN,"&lt;="&amp;BN$3,CLAVE_DESGLOSE,$A90)</f>
        <v>0</v>
      </c>
      <c r="BO90" s="13">
        <f>SUMIFS(SALIDAS_BIT,FECHA_BIT,"&gt;="&amp;BO$2,FECHA_BIT,"&lt;="&amp;BO$3,CLAVE_BIT,$A90)+SUMIFS(SALIDAS_BOV1,FECHA_BOV1,"&gt;="&amp;BO$2,FECHA_BOV1,"&lt;="&amp;BO$3,CLAVE_BOV1,$A90)+SUMIFS(SALIDAS_BOV2,FECHA_BOV2,"&gt;="&amp;BO$2,FECHA_BOV2,"&lt;="&amp;BO$3,CLAVE_BOV2,$A90)+SUMIFS(SALIDAS_BOV3,FECHA_BOV3,"&gt;="&amp;BO$2,FECHA_BOV3,"&lt;="&amp;BO$3,CLAVE_BOV3,$A90)+SUMIFS(SALIDAS_TC,FECHA_TC,"&gt;="&amp;BO$2,FECHA_TC,"&lt;="&amp;BO$3,CLAVE_TC,$A90)+SUMIFS(SALIDAS_COMB,FECHA_COMB,"&gt;="&amp;BO$2,FECHA_COMB,"&lt;="&amp;BO$3,CLAVE_COMB,$A90)+SUMIFS(SALIDAS_DES,FECHA_DESGLOSEN,"&gt;="&amp;BO$2,FECHA_DESGLOSEN,"&lt;="&amp;BO$3,CLAVE_DESGLOSE,$A90)</f>
        <v>0</v>
      </c>
      <c r="BP90" s="13">
        <f>SUMIFS(SALIDAS_BIT,FECHA_BIT,"&gt;="&amp;BP$2,FECHA_BIT,"&lt;="&amp;BP$3,CLAVE_BIT,$A90)+SUMIFS(SALIDAS_BOV1,FECHA_BOV1,"&gt;="&amp;BP$2,FECHA_BOV1,"&lt;="&amp;BP$3,CLAVE_BOV1,$A90)+SUMIFS(SALIDAS_BOV2,FECHA_BOV2,"&gt;="&amp;BP$2,FECHA_BOV2,"&lt;="&amp;BP$3,CLAVE_BOV2,$A90)+SUMIFS(SALIDAS_BOV3,FECHA_BOV3,"&gt;="&amp;BP$2,FECHA_BOV3,"&lt;="&amp;BP$3,CLAVE_BOV3,$A90)+SUMIFS(SALIDAS_TC,FECHA_TC,"&gt;="&amp;BP$2,FECHA_TC,"&lt;="&amp;BP$3,CLAVE_TC,$A90)+SUMIFS(SALIDAS_COMB,FECHA_COMB,"&gt;="&amp;BP$2,FECHA_COMB,"&lt;="&amp;BP$3,CLAVE_COMB,$A90)+SUMIFS(SALIDAS_DES,FECHA_DESGLOSEN,"&gt;="&amp;BP$2,FECHA_DESGLOSEN,"&lt;="&amp;BP$3,CLAVE_DESGLOSE,$A90)</f>
        <v>0</v>
      </c>
      <c r="BQ90" s="13">
        <f>SUMIFS(SALIDAS_BIT,FECHA_BIT,"&gt;="&amp;BQ$2,FECHA_BIT,"&lt;="&amp;BQ$3,CLAVE_BIT,$A90)+SUMIFS(SALIDAS_BOV1,FECHA_BOV1,"&gt;="&amp;BQ$2,FECHA_BOV1,"&lt;="&amp;BQ$3,CLAVE_BOV1,$A90)+SUMIFS(SALIDAS_BOV2,FECHA_BOV2,"&gt;="&amp;BQ$2,FECHA_BOV2,"&lt;="&amp;BQ$3,CLAVE_BOV2,$A90)+SUMIFS(SALIDAS_BOV3,FECHA_BOV3,"&gt;="&amp;BQ$2,FECHA_BOV3,"&lt;="&amp;BQ$3,CLAVE_BOV3,$A90)+SUMIFS(SALIDAS_TC,FECHA_TC,"&gt;="&amp;BQ$2,FECHA_TC,"&lt;="&amp;BQ$3,CLAVE_TC,$A90)+SUMIFS(SALIDAS_COMB,FECHA_COMB,"&gt;="&amp;BQ$2,FECHA_COMB,"&lt;="&amp;BQ$3,CLAVE_COMB,$A90)+SUMIFS(SALIDAS_DES,FECHA_DESGLOSEN,"&gt;="&amp;BQ$2,FECHA_DESGLOSEN,"&lt;="&amp;BQ$3,CLAVE_DESGLOSE,$A90)</f>
        <v>101761.41</v>
      </c>
      <c r="BR90" s="13">
        <f t="shared" si="193"/>
        <v>101761.41</v>
      </c>
      <c r="BS90" s="68">
        <f t="shared" si="164"/>
        <v>-5286.4400000000023</v>
      </c>
      <c r="BT90" s="268">
        <f t="shared" si="165"/>
        <v>1.054795974541376</v>
      </c>
      <c r="BU90" s="13">
        <f t="shared" si="166"/>
        <v>91774.97</v>
      </c>
      <c r="BV90" s="13">
        <f t="shared" si="186"/>
        <v>0</v>
      </c>
      <c r="BW90" s="13">
        <f t="shared" si="186"/>
        <v>0</v>
      </c>
      <c r="BX90" s="13">
        <f t="shared" si="186"/>
        <v>16278.82</v>
      </c>
      <c r="BY90" s="13">
        <f t="shared" si="186"/>
        <v>73994</v>
      </c>
      <c r="BZ90" s="13">
        <f t="shared" si="194"/>
        <v>90272.82</v>
      </c>
      <c r="CA90" s="68">
        <f t="shared" si="167"/>
        <v>1502.1499999999942</v>
      </c>
      <c r="CB90" s="268">
        <f t="shared" si="168"/>
        <v>0.98363224744175892</v>
      </c>
      <c r="CC90" s="13">
        <f t="shared" si="169"/>
        <v>96474.97</v>
      </c>
      <c r="CD90" s="13">
        <f t="shared" si="187"/>
        <v>0</v>
      </c>
      <c r="CE90" s="13">
        <f t="shared" si="187"/>
        <v>0</v>
      </c>
      <c r="CF90" s="13">
        <f t="shared" si="187"/>
        <v>90273.5</v>
      </c>
      <c r="CG90" s="13">
        <f t="shared" si="187"/>
        <v>6173.97</v>
      </c>
      <c r="CH90" s="13">
        <f t="shared" si="195"/>
        <v>96447.47</v>
      </c>
      <c r="CI90" s="68">
        <f t="shared" si="170"/>
        <v>27.5</v>
      </c>
      <c r="CJ90" s="268">
        <f t="shared" si="171"/>
        <v>0.9997149519714803</v>
      </c>
      <c r="CK90" s="13">
        <f t="shared" si="172"/>
        <v>103174.97</v>
      </c>
      <c r="CL90" s="13">
        <f t="shared" si="176"/>
        <v>0</v>
      </c>
      <c r="CM90" s="13">
        <f t="shared" si="176"/>
        <v>90272.82</v>
      </c>
      <c r="CN90" s="13">
        <f t="shared" si="176"/>
        <v>0</v>
      </c>
      <c r="CO90" s="13">
        <f t="shared" si="176"/>
        <v>13150.49</v>
      </c>
      <c r="CP90" s="13">
        <f t="shared" si="176"/>
        <v>0</v>
      </c>
      <c r="CQ90" s="13">
        <f t="shared" si="196"/>
        <v>103423.31000000001</v>
      </c>
      <c r="CR90" s="68">
        <f t="shared" si="173"/>
        <v>-248.34000000001106</v>
      </c>
      <c r="CS90" s="268">
        <f t="shared" si="174"/>
        <v>1.0024069791345711</v>
      </c>
      <c r="CT90" s="68">
        <f t="shared" si="147"/>
        <v>95690</v>
      </c>
      <c r="CU90" s="13">
        <f>SUMIFS(SALIDAS_BIT,FECHA_BIT,"&gt;="&amp;CU$2,FECHA_BIT,"&lt;="&amp;CU$3,CLAVE_BIT,$A90)+SUMIFS(SALIDAS_BOV1,FECHA_BOV1,"&gt;="&amp;CU$2,FECHA_BOV1,"&lt;="&amp;CU$3,CLAVE_BOV1,$A90)+SUMIFS(SALIDAS_BOV2,FECHA_BOV2,"&gt;="&amp;CU$2,FECHA_BOV2,"&lt;="&amp;CU$3,CLAVE_BOV2,$A90)+SUMIFS(SALIDAS_BOV3,FECHA_BOV3,"&gt;="&amp;CU$2,FECHA_BOV3,"&lt;="&amp;CU$3,CLAVE_BOV3,$A90)+SUMIFS(SALIDAS_TC,FECHA_TC,"&gt;="&amp;CU$2,FECHA_TC,"&lt;="&amp;CU$3,CLAVE_TC,$A90)+SUMIFS(SALIDAS_COMB,FECHA_COMB,"&gt;="&amp;CU$2,FECHA_COMB,"&lt;="&amp;CU$3,CLAVE_COMB,$A90)+SUMIFS(SALIDAS_DES,FECHA_DESGLOSEN,"&gt;="&amp;CU$2,FECHA_DESGLOSEN,"&lt;="&amp;CU$3,CLAVE_DESGLOSE,$A90)</f>
        <v>0</v>
      </c>
      <c r="CV90" s="13">
        <f>SUMIFS(SALIDAS_BIT,FECHA_BIT,"&gt;="&amp;CV$2,FECHA_BIT,"&lt;="&amp;CV$3,CLAVE_BIT,$A90)+SUMIFS(SALIDAS_BOV1,FECHA_BOV1,"&gt;="&amp;CV$2,FECHA_BOV1,"&lt;="&amp;CV$3,CLAVE_BOV1,$A90)+SUMIFS(SALIDAS_BOV2,FECHA_BOV2,"&gt;="&amp;CV$2,FECHA_BOV2,"&lt;="&amp;CV$3,CLAVE_BOV2,$A90)+SUMIFS(SALIDAS_BOV3,FECHA_BOV3,"&gt;="&amp;CV$2,FECHA_BOV3,"&lt;="&amp;CV$3,CLAVE_BOV3,$A90)+SUMIFS(SALIDAS_TC,FECHA_TC,"&gt;="&amp;CV$2,FECHA_TC,"&lt;="&amp;CV$3,CLAVE_TC,$A90)+SUMIFS(SALIDAS_COMB,FECHA_COMB,"&gt;="&amp;CV$2,FECHA_COMB,"&lt;="&amp;CV$3,CLAVE_COMB,$A90)+SUMIFS(SALIDAS_DES,FECHA_DESGLOSEN,"&gt;="&amp;CV$2,FECHA_DESGLOSEN,"&lt;="&amp;CV$3,CLAVE_DESGLOSE,$A90)</f>
        <v>0</v>
      </c>
      <c r="CW90" s="13">
        <f>SUMIFS(SALIDAS_BIT,FECHA_BIT,"&gt;="&amp;CW$2,FECHA_BIT,"&lt;="&amp;CW$3,CLAVE_BIT,$A90)+SUMIFS(SALIDAS_BOV1,FECHA_BOV1,"&gt;="&amp;CW$2,FECHA_BOV1,"&lt;="&amp;CW$3,CLAVE_BOV1,$A90)+SUMIFS(SALIDAS_BOV2,FECHA_BOV2,"&gt;="&amp;CW$2,FECHA_BOV2,"&lt;="&amp;CW$3,CLAVE_BOV2,$A90)+SUMIFS(SALIDAS_BOV3,FECHA_BOV3,"&gt;="&amp;CW$2,FECHA_BOV3,"&lt;="&amp;CW$3,CLAVE_BOV3,$A90)+SUMIFS(SALIDAS_TC,FECHA_TC,"&gt;="&amp;CW$2,FECHA_TC,"&lt;="&amp;CW$3,CLAVE_TC,$A90)+SUMIFS(SALIDAS_COMB,FECHA_COMB,"&gt;="&amp;CW$2,FECHA_COMB,"&lt;="&amp;CW$3,CLAVE_COMB,$A90)+SUMIFS(SALIDAS_DES,FECHA_DESGLOSEN,"&gt;="&amp;CW$2,FECHA_DESGLOSEN,"&lt;="&amp;CW$3,CLAVE_DESGLOSE,$A90)</f>
        <v>0</v>
      </c>
      <c r="CX90" s="13">
        <f>SUMIFS(SALIDAS_BIT,FECHA_BIT,"&gt;="&amp;CX$2,FECHA_BIT,"&lt;="&amp;CX$3,CLAVE_BIT,$A90)+SUMIFS(SALIDAS_BOV1,FECHA_BOV1,"&gt;="&amp;CX$2,FECHA_BOV1,"&lt;="&amp;CX$3,CLAVE_BOV1,$A90)+SUMIFS(SALIDAS_BOV2,FECHA_BOV2,"&gt;="&amp;CX$2,FECHA_BOV2,"&lt;="&amp;CX$3,CLAVE_BOV2,$A90)+SUMIFS(SALIDAS_BOV3,FECHA_BOV3,"&gt;="&amp;CX$2,FECHA_BOV3,"&lt;="&amp;CX$3,CLAVE_BOV3,$A90)+SUMIFS(SALIDAS_TC,FECHA_TC,"&gt;="&amp;CX$2,FECHA_TC,"&lt;="&amp;CX$3,CLAVE_TC,$A90)+SUMIFS(SALIDAS_COMB,FECHA_COMB,"&gt;="&amp;CX$2,FECHA_COMB,"&lt;="&amp;CX$3,CLAVE_COMB,$A90)+SUMIFS(SALIDAS_DES,FECHA_DESGLOSEN,"&gt;="&amp;CX$2,FECHA_DESGLOSEN,"&lt;="&amp;CX$3,CLAVE_DESGLOSE,$A90)</f>
        <v>90273.5</v>
      </c>
      <c r="CY90" s="13">
        <f>SUMIFS(SALIDAS_BIT,FECHA_BIT,"&gt;="&amp;CY$2,FECHA_BIT,"&lt;="&amp;CY$3,CLAVE_BIT,$A90)+SUMIFS(SALIDAS_BOV1,FECHA_BOV1,"&gt;="&amp;CY$2,FECHA_BOV1,"&lt;="&amp;CY$3,CLAVE_BOV1,$A90)+SUMIFS(SALIDAS_BOV2,FECHA_BOV2,"&gt;="&amp;CY$2,FECHA_BOV2,"&lt;="&amp;CY$3,CLAVE_BOV2,$A90)+SUMIFS(SALIDAS_BOV3,FECHA_BOV3,"&gt;="&amp;CY$2,FECHA_BOV3,"&lt;="&amp;CY$3,CLAVE_BOV3,$A90)+SUMIFS(SALIDAS_TC,FECHA_TC,"&gt;="&amp;CY$2,FECHA_TC,"&lt;="&amp;CY$3,CLAVE_TC,$A90)+SUMIFS(SALIDAS_COMB,FECHA_COMB,"&gt;="&amp;CY$2,FECHA_COMB,"&lt;="&amp;CY$3,CLAVE_COMB,$A90)+SUMIFS(SALIDAS_DES,FECHA_DESGLOSEN,"&gt;="&amp;CY$2,FECHA_DESGLOSEN,"&lt;="&amp;CY$3,CLAVE_DESGLOSE,$A90)</f>
        <v>90273.5</v>
      </c>
      <c r="CZ90" s="68">
        <f t="shared" si="175"/>
        <v>5416.5</v>
      </c>
      <c r="DB90" s="17">
        <f>F90+N90+W90+AE90+AM90+AV90+BD90+BL90+BU90+CC90+CK90</f>
        <v>1034924.6699999998</v>
      </c>
      <c r="DC90" s="17">
        <f>K90+T90+AB90+AJ90+AS90+BA90+BI90+BR90+BZ90+CH90+CQ90</f>
        <v>948421.37000000011</v>
      </c>
    </row>
    <row r="91" spans="1:107" hidden="1">
      <c r="A91" s="12" t="str">
        <f t="shared" si="148"/>
        <v>FINANZASRENTASE9</v>
      </c>
      <c r="B91" s="12">
        <v>93</v>
      </c>
      <c r="C91" t="s">
        <v>23</v>
      </c>
      <c r="D91" s="12" t="s">
        <v>169</v>
      </c>
      <c r="E91" s="12" t="s">
        <v>116</v>
      </c>
      <c r="F91" s="259">
        <f t="shared" si="141"/>
        <v>0</v>
      </c>
      <c r="G91" s="13">
        <f t="shared" si="188"/>
        <v>0</v>
      </c>
      <c r="H91" s="13">
        <f t="shared" si="188"/>
        <v>0</v>
      </c>
      <c r="I91" s="13">
        <f t="shared" si="188"/>
        <v>0</v>
      </c>
      <c r="J91" s="13">
        <f t="shared" si="188"/>
        <v>0</v>
      </c>
      <c r="K91" s="13">
        <f t="shared" si="188"/>
        <v>0</v>
      </c>
      <c r="L91" s="68">
        <f t="shared" si="149"/>
        <v>0</v>
      </c>
      <c r="M91" s="268">
        <f t="shared" si="150"/>
        <v>0</v>
      </c>
      <c r="N91" s="13">
        <f t="shared" si="142"/>
        <v>0</v>
      </c>
      <c r="O91" s="13">
        <f t="shared" si="189"/>
        <v>0</v>
      </c>
      <c r="P91" s="13">
        <f t="shared" si="189"/>
        <v>0</v>
      </c>
      <c r="Q91" s="13">
        <f t="shared" si="189"/>
        <v>32504.199999999997</v>
      </c>
      <c r="R91" s="13">
        <f t="shared" si="189"/>
        <v>0</v>
      </c>
      <c r="S91" s="13">
        <f t="shared" si="189"/>
        <v>0</v>
      </c>
      <c r="T91" s="13">
        <f t="shared" si="189"/>
        <v>32504.199999999997</v>
      </c>
      <c r="U91" s="68">
        <f t="shared" si="151"/>
        <v>-32504.199999999997</v>
      </c>
      <c r="V91" s="268">
        <f t="shared" si="152"/>
        <v>0</v>
      </c>
      <c r="W91" s="13">
        <f t="shared" si="143"/>
        <v>100000</v>
      </c>
      <c r="X91" s="13">
        <f t="shared" si="190"/>
        <v>0</v>
      </c>
      <c r="Y91" s="13">
        <f t="shared" si="190"/>
        <v>0</v>
      </c>
      <c r="Z91" s="13">
        <f t="shared" si="190"/>
        <v>17845.439999999999</v>
      </c>
      <c r="AA91" s="13">
        <f t="shared" si="190"/>
        <v>0</v>
      </c>
      <c r="AB91" s="13">
        <f t="shared" si="190"/>
        <v>17845.439999999999</v>
      </c>
      <c r="AC91" s="68">
        <f t="shared" si="153"/>
        <v>82154.559999999998</v>
      </c>
      <c r="AD91" s="268">
        <f t="shared" si="154"/>
        <v>0.17845439999999999</v>
      </c>
      <c r="AE91" s="13">
        <f t="shared" si="144"/>
        <v>100000</v>
      </c>
      <c r="AF91" s="13">
        <f t="shared" si="191"/>
        <v>0</v>
      </c>
      <c r="AG91" s="13">
        <f t="shared" si="191"/>
        <v>92681.16</v>
      </c>
      <c r="AH91" s="13">
        <f t="shared" si="191"/>
        <v>0</v>
      </c>
      <c r="AI91" s="13">
        <f t="shared" si="191"/>
        <v>0</v>
      </c>
      <c r="AJ91" s="13">
        <f t="shared" si="191"/>
        <v>92681.16</v>
      </c>
      <c r="AK91" s="68">
        <f t="shared" si="155"/>
        <v>7318.8399999999965</v>
      </c>
      <c r="AL91" s="268">
        <f t="shared" si="156"/>
        <v>0.92681160000000007</v>
      </c>
      <c r="AM91" s="13">
        <f t="shared" si="145"/>
        <v>100000</v>
      </c>
      <c r="AN91" s="13">
        <f t="shared" si="192"/>
        <v>0</v>
      </c>
      <c r="AO91" s="13">
        <f t="shared" si="192"/>
        <v>0</v>
      </c>
      <c r="AP91" s="13">
        <f t="shared" si="192"/>
        <v>107072.64</v>
      </c>
      <c r="AQ91" s="13">
        <f t="shared" si="192"/>
        <v>0</v>
      </c>
      <c r="AR91" s="13">
        <f t="shared" si="192"/>
        <v>0</v>
      </c>
      <c r="AS91" s="13">
        <f t="shared" si="192"/>
        <v>107072.64</v>
      </c>
      <c r="AT91" s="68">
        <f>AM91-AS91</f>
        <v>-7072.6399999999994</v>
      </c>
      <c r="AU91" s="268">
        <f t="shared" si="157"/>
        <v>1.0707264000000001</v>
      </c>
      <c r="AV91" s="13">
        <f t="shared" si="146"/>
        <v>100000</v>
      </c>
      <c r="AW91" s="13">
        <f t="shared" si="119"/>
        <v>0</v>
      </c>
      <c r="AX91" s="13">
        <f t="shared" si="119"/>
        <v>0</v>
      </c>
      <c r="AY91" s="13">
        <f t="shared" si="119"/>
        <v>0</v>
      </c>
      <c r="AZ91" s="13">
        <f t="shared" si="119"/>
        <v>107072.64</v>
      </c>
      <c r="BA91" s="13">
        <f t="shared" si="120"/>
        <v>107072.64</v>
      </c>
      <c r="BB91" s="68">
        <f t="shared" si="158"/>
        <v>-7072.6399999999994</v>
      </c>
      <c r="BC91" s="268">
        <f t="shared" si="159"/>
        <v>1.0707264000000001</v>
      </c>
      <c r="BD91" s="13">
        <f t="shared" si="160"/>
        <v>100000</v>
      </c>
      <c r="BE91" s="13">
        <f>SUMIFS(SALIDAS_BIT,FECHA_BIT,"&gt;="&amp;BE$2,FECHA_BIT,"&lt;="&amp;BE$3,CLAVE_BIT,$A91)+SUMIFS(SALIDAS_BOV1,FECHA_BOV1,"&gt;="&amp;BE$2,FECHA_BOV1,"&lt;="&amp;BE$3,CLAVE_BOV1,$A91)+SUMIFS(SALIDAS_BOV2,FECHA_BOV2,"&gt;="&amp;BE$2,FECHA_BOV2,"&lt;="&amp;BE$3,CLAVE_BOV2,$A91)+SUMIFS(SALIDAS_BOV3,FECHA_BOV3,"&gt;="&amp;BE$2,FECHA_BOV3,"&lt;="&amp;BE$3,CLAVE_BOV3,$A91)+SUMIFS(SALIDAS_TC,FECHA_TC,"&gt;="&amp;BE$2,FECHA_TC,"&lt;="&amp;BE$3,CLAVE_TC,$A91)+SUMIFS(SALIDAS_COMB,FECHA_COMB,"&gt;="&amp;BE$2,FECHA_COMB,"&lt;="&amp;BE$3,CLAVE_COMB,$A91)+SUMIFS(SALIDAS_DES,FECHA_DESGLOSEN,"&gt;="&amp;BE$2,FECHA_DESGLOSEN,"&lt;="&amp;BE$3,CLAVE_DESGLOSE,$A91)</f>
        <v>0</v>
      </c>
      <c r="BF91" s="13">
        <f>SUMIFS(SALIDAS_BIT,FECHA_BIT,"&gt;="&amp;BF$2,FECHA_BIT,"&lt;="&amp;BF$3,CLAVE_BIT,$A91)+SUMIFS(SALIDAS_BOV1,FECHA_BOV1,"&gt;="&amp;BF$2,FECHA_BOV1,"&lt;="&amp;BF$3,CLAVE_BOV1,$A91)+SUMIFS(SALIDAS_BOV2,FECHA_BOV2,"&gt;="&amp;BF$2,FECHA_BOV2,"&lt;="&amp;BF$3,CLAVE_BOV2,$A91)+SUMIFS(SALIDAS_BOV3,FECHA_BOV3,"&gt;="&amp;BF$2,FECHA_BOV3,"&lt;="&amp;BF$3,CLAVE_BOV3,$A91)+SUMIFS(SALIDAS_TC,FECHA_TC,"&gt;="&amp;BF$2,FECHA_TC,"&lt;="&amp;BF$3,CLAVE_TC,$A91)+SUMIFS(SALIDAS_COMB,FECHA_COMB,"&gt;="&amp;BF$2,FECHA_COMB,"&lt;="&amp;BF$3,CLAVE_COMB,$A91)+SUMIFS(SALIDAS_DES,FECHA_DESGLOSEN,"&gt;="&amp;BF$2,FECHA_DESGLOSEN,"&lt;="&amp;BF$3,CLAVE_DESGLOSE,$A91)</f>
        <v>17845.439999999999</v>
      </c>
      <c r="BG91" s="13">
        <f>SUMIFS(SALIDAS_BIT,FECHA_BIT,"&gt;="&amp;BG$2,FECHA_BIT,"&lt;="&amp;BG$3,CLAVE_BIT,$A91)+SUMIFS(SALIDAS_BOV1,FECHA_BOV1,"&gt;="&amp;BG$2,FECHA_BOV1,"&lt;="&amp;BG$3,CLAVE_BOV1,$A91)+SUMIFS(SALIDAS_BOV2,FECHA_BOV2,"&gt;="&amp;BG$2,FECHA_BOV2,"&lt;="&amp;BG$3,CLAVE_BOV2,$A91)+SUMIFS(SALIDAS_BOV3,FECHA_BOV3,"&gt;="&amp;BG$2,FECHA_BOV3,"&lt;="&amp;BG$3,CLAVE_BOV3,$A91)+SUMIFS(SALIDAS_TC,FECHA_TC,"&gt;="&amp;BG$2,FECHA_TC,"&lt;="&amp;BG$3,CLAVE_TC,$A91)+SUMIFS(SALIDAS_COMB,FECHA_COMB,"&gt;="&amp;BG$2,FECHA_COMB,"&lt;="&amp;BG$3,CLAVE_COMB,$A91)+SUMIFS(SALIDAS_DES,FECHA_DESGLOSEN,"&gt;="&amp;BG$2,FECHA_DESGLOSEN,"&lt;="&amp;BG$3,CLAVE_DESGLOSE,$A91)</f>
        <v>89227.199999999997</v>
      </c>
      <c r="BH91" s="13">
        <f>SUMIFS(SALIDAS_BIT,FECHA_BIT,"&gt;="&amp;BH$2,FECHA_BIT,"&lt;="&amp;BH$3,CLAVE_BIT,$A91)+SUMIFS(SALIDAS_BOV1,FECHA_BOV1,"&gt;="&amp;BH$2,FECHA_BOV1,"&lt;="&amp;BH$3,CLAVE_BOV1,$A91)+SUMIFS(SALIDAS_BOV2,FECHA_BOV2,"&gt;="&amp;BH$2,FECHA_BOV2,"&lt;="&amp;BH$3,CLAVE_BOV2,$A91)+SUMIFS(SALIDAS_BOV3,FECHA_BOV3,"&gt;="&amp;BH$2,FECHA_BOV3,"&lt;="&amp;BH$3,CLAVE_BOV3,$A91)+SUMIFS(SALIDAS_TC,FECHA_TC,"&gt;="&amp;BH$2,FECHA_TC,"&lt;="&amp;BH$3,CLAVE_TC,$A91)+SUMIFS(SALIDAS_COMB,FECHA_COMB,"&gt;="&amp;BH$2,FECHA_COMB,"&lt;="&amp;BH$3,CLAVE_COMB,$A91)+SUMIFS(SALIDAS_DES,FECHA_DESGLOSEN,"&gt;="&amp;BH$2,FECHA_DESGLOSEN,"&lt;="&amp;BH$3,CLAVE_DESGLOSE,$A91)</f>
        <v>0</v>
      </c>
      <c r="BI91" s="13">
        <f t="shared" si="121"/>
        <v>107072.64</v>
      </c>
      <c r="BJ91" s="68">
        <f t="shared" si="161"/>
        <v>-7072.6399999999994</v>
      </c>
      <c r="BK91" s="268">
        <f t="shared" si="162"/>
        <v>1.0707264000000001</v>
      </c>
      <c r="BL91" s="13">
        <f t="shared" si="163"/>
        <v>100000</v>
      </c>
      <c r="BM91" s="13">
        <f>SUMIFS(SALIDAS_BIT,FECHA_BIT,"&gt;="&amp;BM$2,FECHA_BIT,"&lt;="&amp;BM$3,CLAVE_BIT,$A91)+SUMIFS(SALIDAS_BOV1,FECHA_BOV1,"&gt;="&amp;BM$2,FECHA_BOV1,"&lt;="&amp;BM$3,CLAVE_BOV1,$A91)+SUMIFS(SALIDAS_BOV2,FECHA_BOV2,"&gt;="&amp;BM$2,FECHA_BOV2,"&lt;="&amp;BM$3,CLAVE_BOV2,$A91)+SUMIFS(SALIDAS_BOV3,FECHA_BOV3,"&gt;="&amp;BM$2,FECHA_BOV3,"&lt;="&amp;BM$3,CLAVE_BOV3,$A91)+SUMIFS(SALIDAS_TC,FECHA_TC,"&gt;="&amp;BM$2,FECHA_TC,"&lt;="&amp;BM$3,CLAVE_TC,$A91)+SUMIFS(SALIDAS_COMB,FECHA_COMB,"&gt;="&amp;BM$2,FECHA_COMB,"&lt;="&amp;BM$3,CLAVE_COMB,$A91)+SUMIFS(SALIDAS_DES,FECHA_DESGLOSEN,"&gt;="&amp;BM$2,FECHA_DESGLOSEN,"&lt;="&amp;BM$3,CLAVE_DESGLOSE,$A91)</f>
        <v>0</v>
      </c>
      <c r="BN91" s="13">
        <f>SUMIFS(SALIDAS_BIT,FECHA_BIT,"&gt;="&amp;BN$2,FECHA_BIT,"&lt;="&amp;BN$3,CLAVE_BIT,$A91)+SUMIFS(SALIDAS_BOV1,FECHA_BOV1,"&gt;="&amp;BN$2,FECHA_BOV1,"&lt;="&amp;BN$3,CLAVE_BOV1,$A91)+SUMIFS(SALIDAS_BOV2,FECHA_BOV2,"&gt;="&amp;BN$2,FECHA_BOV2,"&lt;="&amp;BN$3,CLAVE_BOV2,$A91)+SUMIFS(SALIDAS_BOV3,FECHA_BOV3,"&gt;="&amp;BN$2,FECHA_BOV3,"&lt;="&amp;BN$3,CLAVE_BOV3,$A91)+SUMIFS(SALIDAS_TC,FECHA_TC,"&gt;="&amp;BN$2,FECHA_TC,"&lt;="&amp;BN$3,CLAVE_TC,$A91)+SUMIFS(SALIDAS_COMB,FECHA_COMB,"&gt;="&amp;BN$2,FECHA_COMB,"&lt;="&amp;BN$3,CLAVE_COMB,$A91)+SUMIFS(SALIDAS_DES,FECHA_DESGLOSEN,"&gt;="&amp;BN$2,FECHA_DESGLOSEN,"&lt;="&amp;BN$3,CLAVE_DESGLOSE,$A91)</f>
        <v>0</v>
      </c>
      <c r="BO91" s="13">
        <f>SUMIFS(SALIDAS_BIT,FECHA_BIT,"&gt;="&amp;BO$2,FECHA_BIT,"&lt;="&amp;BO$3,CLAVE_BIT,$A91)+SUMIFS(SALIDAS_BOV1,FECHA_BOV1,"&gt;="&amp;BO$2,FECHA_BOV1,"&lt;="&amp;BO$3,CLAVE_BOV1,$A91)+SUMIFS(SALIDAS_BOV2,FECHA_BOV2,"&gt;="&amp;BO$2,FECHA_BOV2,"&lt;="&amp;BO$3,CLAVE_BOV2,$A91)+SUMIFS(SALIDAS_BOV3,FECHA_BOV3,"&gt;="&amp;BO$2,FECHA_BOV3,"&lt;="&amp;BO$3,CLAVE_BOV3,$A91)+SUMIFS(SALIDAS_TC,FECHA_TC,"&gt;="&amp;BO$2,FECHA_TC,"&lt;="&amp;BO$3,CLAVE_TC,$A91)+SUMIFS(SALIDAS_COMB,FECHA_COMB,"&gt;="&amp;BO$2,FECHA_COMB,"&lt;="&amp;BO$3,CLAVE_COMB,$A91)+SUMIFS(SALIDAS_DES,FECHA_DESGLOSEN,"&gt;="&amp;BO$2,FECHA_DESGLOSEN,"&lt;="&amp;BO$3,CLAVE_DESGLOSE,$A91)</f>
        <v>0</v>
      </c>
      <c r="BP91" s="13">
        <f>SUMIFS(SALIDAS_BIT,FECHA_BIT,"&gt;="&amp;BP$2,FECHA_BIT,"&lt;="&amp;BP$3,CLAVE_BIT,$A91)+SUMIFS(SALIDAS_BOV1,FECHA_BOV1,"&gt;="&amp;BP$2,FECHA_BOV1,"&lt;="&amp;BP$3,CLAVE_BOV1,$A91)+SUMIFS(SALIDAS_BOV2,FECHA_BOV2,"&gt;="&amp;BP$2,FECHA_BOV2,"&lt;="&amp;BP$3,CLAVE_BOV2,$A91)+SUMIFS(SALIDAS_BOV3,FECHA_BOV3,"&gt;="&amp;BP$2,FECHA_BOV3,"&lt;="&amp;BP$3,CLAVE_BOV3,$A91)+SUMIFS(SALIDAS_TC,FECHA_TC,"&gt;="&amp;BP$2,FECHA_TC,"&lt;="&amp;BP$3,CLAVE_TC,$A91)+SUMIFS(SALIDAS_COMB,FECHA_COMB,"&gt;="&amp;BP$2,FECHA_COMB,"&lt;="&amp;BP$3,CLAVE_COMB,$A91)+SUMIFS(SALIDAS_DES,FECHA_DESGLOSEN,"&gt;="&amp;BP$2,FECHA_DESGLOSEN,"&lt;="&amp;BP$3,CLAVE_DESGLOSE,$A91)</f>
        <v>0</v>
      </c>
      <c r="BQ91" s="13">
        <f>SUMIFS(SALIDAS_BIT,FECHA_BIT,"&gt;="&amp;BQ$2,FECHA_BIT,"&lt;="&amp;BQ$3,CLAVE_BIT,$A91)+SUMIFS(SALIDAS_BOV1,FECHA_BOV1,"&gt;="&amp;BQ$2,FECHA_BOV1,"&lt;="&amp;BQ$3,CLAVE_BOV1,$A91)+SUMIFS(SALIDAS_BOV2,FECHA_BOV2,"&gt;="&amp;BQ$2,FECHA_BOV2,"&lt;="&amp;BQ$3,CLAVE_BOV2,$A91)+SUMIFS(SALIDAS_BOV3,FECHA_BOV3,"&gt;="&amp;BQ$2,FECHA_BOV3,"&lt;="&amp;BQ$3,CLAVE_BOV3,$A91)+SUMIFS(SALIDAS_TC,FECHA_TC,"&gt;="&amp;BQ$2,FECHA_TC,"&lt;="&amp;BQ$3,CLAVE_TC,$A91)+SUMIFS(SALIDAS_COMB,FECHA_COMB,"&gt;="&amp;BQ$2,FECHA_COMB,"&lt;="&amp;BQ$3,CLAVE_COMB,$A91)+SUMIFS(SALIDAS_DES,FECHA_DESGLOSEN,"&gt;="&amp;BQ$2,FECHA_DESGLOSEN,"&lt;="&amp;BQ$3,CLAVE_DESGLOSE,$A91)</f>
        <v>107072.64</v>
      </c>
      <c r="BR91" s="13">
        <f t="shared" si="193"/>
        <v>107072.64</v>
      </c>
      <c r="BS91" s="68">
        <f t="shared" si="164"/>
        <v>-7072.6399999999994</v>
      </c>
      <c r="BT91" s="268">
        <f t="shared" si="165"/>
        <v>1.0707264000000001</v>
      </c>
      <c r="BU91" s="13">
        <f t="shared" si="166"/>
        <v>100000</v>
      </c>
      <c r="BV91" s="13">
        <f t="shared" si="186"/>
        <v>0</v>
      </c>
      <c r="BW91" s="13">
        <f t="shared" si="186"/>
        <v>0</v>
      </c>
      <c r="BX91" s="13">
        <f t="shared" si="186"/>
        <v>17845.439999999999</v>
      </c>
      <c r="BY91" s="13">
        <f t="shared" si="186"/>
        <v>89226.44</v>
      </c>
      <c r="BZ91" s="13">
        <f t="shared" si="194"/>
        <v>107071.88</v>
      </c>
      <c r="CA91" s="68">
        <f t="shared" si="167"/>
        <v>-7071.8800000000047</v>
      </c>
      <c r="CB91" s="268">
        <f t="shared" si="168"/>
        <v>1.0707188000000001</v>
      </c>
      <c r="CC91" s="13">
        <f t="shared" si="169"/>
        <v>100000</v>
      </c>
      <c r="CD91" s="13">
        <f t="shared" si="187"/>
        <v>0</v>
      </c>
      <c r="CE91" s="13">
        <f t="shared" si="187"/>
        <v>0</v>
      </c>
      <c r="CF91" s="13">
        <f t="shared" si="187"/>
        <v>107072.64</v>
      </c>
      <c r="CG91" s="13">
        <f t="shared" si="187"/>
        <v>0</v>
      </c>
      <c r="CH91" s="13">
        <f t="shared" si="195"/>
        <v>107072.64</v>
      </c>
      <c r="CI91" s="68">
        <f t="shared" si="170"/>
        <v>-7072.6399999999994</v>
      </c>
      <c r="CJ91" s="268">
        <f t="shared" si="171"/>
        <v>1.0707264000000001</v>
      </c>
      <c r="CK91" s="13">
        <f t="shared" si="172"/>
        <v>100000</v>
      </c>
      <c r="CL91" s="13">
        <f t="shared" si="176"/>
        <v>0</v>
      </c>
      <c r="CM91" s="13">
        <f t="shared" si="176"/>
        <v>107072.64</v>
      </c>
      <c r="CN91" s="13">
        <f t="shared" si="176"/>
        <v>0</v>
      </c>
      <c r="CO91" s="13">
        <f t="shared" si="176"/>
        <v>0</v>
      </c>
      <c r="CP91" s="13">
        <f t="shared" si="176"/>
        <v>0</v>
      </c>
      <c r="CQ91" s="13">
        <f t="shared" si="196"/>
        <v>107072.64</v>
      </c>
      <c r="CR91" s="68">
        <f t="shared" si="173"/>
        <v>-7072.6399999999994</v>
      </c>
      <c r="CS91" s="268">
        <f t="shared" si="174"/>
        <v>1.0707264000000001</v>
      </c>
      <c r="CT91" s="68">
        <f t="shared" si="147"/>
        <v>113497</v>
      </c>
      <c r="CU91" s="13">
        <f>SUMIFS(SALIDAS_BIT,FECHA_BIT,"&gt;="&amp;CU$2,FECHA_BIT,"&lt;="&amp;CU$3,CLAVE_BIT,$A91)+SUMIFS(SALIDAS_BOV1,FECHA_BOV1,"&gt;="&amp;CU$2,FECHA_BOV1,"&lt;="&amp;CU$3,CLAVE_BOV1,$A91)+SUMIFS(SALIDAS_BOV2,FECHA_BOV2,"&gt;="&amp;CU$2,FECHA_BOV2,"&lt;="&amp;CU$3,CLAVE_BOV2,$A91)+SUMIFS(SALIDAS_BOV3,FECHA_BOV3,"&gt;="&amp;CU$2,FECHA_BOV3,"&lt;="&amp;CU$3,CLAVE_BOV3,$A91)+SUMIFS(SALIDAS_TC,FECHA_TC,"&gt;="&amp;CU$2,FECHA_TC,"&lt;="&amp;CU$3,CLAVE_TC,$A91)+SUMIFS(SALIDAS_COMB,FECHA_COMB,"&gt;="&amp;CU$2,FECHA_COMB,"&lt;="&amp;CU$3,CLAVE_COMB,$A91)+SUMIFS(SALIDAS_DES,FECHA_DESGLOSEN,"&gt;="&amp;CU$2,FECHA_DESGLOSEN,"&lt;="&amp;CU$3,CLAVE_DESGLOSE,$A91)</f>
        <v>0</v>
      </c>
      <c r="CV91" s="13">
        <f>SUMIFS(SALIDAS_BIT,FECHA_BIT,"&gt;="&amp;CV$2,FECHA_BIT,"&lt;="&amp;CV$3,CLAVE_BIT,$A91)+SUMIFS(SALIDAS_BOV1,FECHA_BOV1,"&gt;="&amp;CV$2,FECHA_BOV1,"&lt;="&amp;CV$3,CLAVE_BOV1,$A91)+SUMIFS(SALIDAS_BOV2,FECHA_BOV2,"&gt;="&amp;CV$2,FECHA_BOV2,"&lt;="&amp;CV$3,CLAVE_BOV2,$A91)+SUMIFS(SALIDAS_BOV3,FECHA_BOV3,"&gt;="&amp;CV$2,FECHA_BOV3,"&lt;="&amp;CV$3,CLAVE_BOV3,$A91)+SUMIFS(SALIDAS_TC,FECHA_TC,"&gt;="&amp;CV$2,FECHA_TC,"&lt;="&amp;CV$3,CLAVE_TC,$A91)+SUMIFS(SALIDAS_COMB,FECHA_COMB,"&gt;="&amp;CV$2,FECHA_COMB,"&lt;="&amp;CV$3,CLAVE_COMB,$A91)+SUMIFS(SALIDAS_DES,FECHA_DESGLOSEN,"&gt;="&amp;CV$2,FECHA_DESGLOSEN,"&lt;="&amp;CV$3,CLAVE_DESGLOSE,$A91)</f>
        <v>0</v>
      </c>
      <c r="CW91" s="13">
        <f>SUMIFS(SALIDAS_BIT,FECHA_BIT,"&gt;="&amp;CW$2,FECHA_BIT,"&lt;="&amp;CW$3,CLAVE_BIT,$A91)+SUMIFS(SALIDAS_BOV1,FECHA_BOV1,"&gt;="&amp;CW$2,FECHA_BOV1,"&lt;="&amp;CW$3,CLAVE_BOV1,$A91)+SUMIFS(SALIDAS_BOV2,FECHA_BOV2,"&gt;="&amp;CW$2,FECHA_BOV2,"&lt;="&amp;CW$3,CLAVE_BOV2,$A91)+SUMIFS(SALIDAS_BOV3,FECHA_BOV3,"&gt;="&amp;CW$2,FECHA_BOV3,"&lt;="&amp;CW$3,CLAVE_BOV3,$A91)+SUMIFS(SALIDAS_TC,FECHA_TC,"&gt;="&amp;CW$2,FECHA_TC,"&lt;="&amp;CW$3,CLAVE_TC,$A91)+SUMIFS(SALIDAS_COMB,FECHA_COMB,"&gt;="&amp;CW$2,FECHA_COMB,"&lt;="&amp;CW$3,CLAVE_COMB,$A91)+SUMIFS(SALIDAS_DES,FECHA_DESGLOSEN,"&gt;="&amp;CW$2,FECHA_DESGLOSEN,"&lt;="&amp;CW$3,CLAVE_DESGLOSE,$A91)</f>
        <v>0</v>
      </c>
      <c r="CX91" s="13">
        <f>SUMIFS(SALIDAS_BIT,FECHA_BIT,"&gt;="&amp;CX$2,FECHA_BIT,"&lt;="&amp;CX$3,CLAVE_BIT,$A91)+SUMIFS(SALIDAS_BOV1,FECHA_BOV1,"&gt;="&amp;CX$2,FECHA_BOV1,"&lt;="&amp;CX$3,CLAVE_BOV1,$A91)+SUMIFS(SALIDAS_BOV2,FECHA_BOV2,"&gt;="&amp;CX$2,FECHA_BOV2,"&lt;="&amp;CX$3,CLAVE_BOV2,$A91)+SUMIFS(SALIDAS_BOV3,FECHA_BOV3,"&gt;="&amp;CX$2,FECHA_BOV3,"&lt;="&amp;CX$3,CLAVE_BOV3,$A91)+SUMIFS(SALIDAS_TC,FECHA_TC,"&gt;="&amp;CX$2,FECHA_TC,"&lt;="&amp;CX$3,CLAVE_TC,$A91)+SUMIFS(SALIDAS_COMB,FECHA_COMB,"&gt;="&amp;CX$2,FECHA_COMB,"&lt;="&amp;CX$3,CLAVE_COMB,$A91)+SUMIFS(SALIDAS_DES,FECHA_DESGLOSEN,"&gt;="&amp;CX$2,FECHA_DESGLOSEN,"&lt;="&amp;CX$3,CLAVE_DESGLOSE,$A91)</f>
        <v>111140.54000000001</v>
      </c>
      <c r="CY91" s="13">
        <f>SUMIFS(SALIDAS_BIT,FECHA_BIT,"&gt;="&amp;CY$2,FECHA_BIT,"&lt;="&amp;CY$3,CLAVE_BIT,$A91)+SUMIFS(SALIDAS_BOV1,FECHA_BOV1,"&gt;="&amp;CY$2,FECHA_BOV1,"&lt;="&amp;CY$3,CLAVE_BOV1,$A91)+SUMIFS(SALIDAS_BOV2,FECHA_BOV2,"&gt;="&amp;CY$2,FECHA_BOV2,"&lt;="&amp;CY$3,CLAVE_BOV2,$A91)+SUMIFS(SALIDAS_BOV3,FECHA_BOV3,"&gt;="&amp;CY$2,FECHA_BOV3,"&lt;="&amp;CY$3,CLAVE_BOV3,$A91)+SUMIFS(SALIDAS_TC,FECHA_TC,"&gt;="&amp;CY$2,FECHA_TC,"&lt;="&amp;CY$3,CLAVE_TC,$A91)+SUMIFS(SALIDAS_COMB,FECHA_COMB,"&gt;="&amp;CY$2,FECHA_COMB,"&lt;="&amp;CY$3,CLAVE_COMB,$A91)+SUMIFS(SALIDAS_DES,FECHA_DESGLOSEN,"&gt;="&amp;CY$2,FECHA_DESGLOSEN,"&lt;="&amp;CY$3,CLAVE_DESGLOSE,$A91)</f>
        <v>111140.54000000001</v>
      </c>
      <c r="CZ91" s="68">
        <f t="shared" si="175"/>
        <v>2356.4599999999919</v>
      </c>
      <c r="DB91" s="17">
        <f>F91+N91+W91+AE91+AM91+AV91+BD91+BL91+BU91+CC91+CK91</f>
        <v>900000</v>
      </c>
      <c r="DC91" s="17">
        <f>K91+T91+AB91+AJ91+AS91+BA91+BI91+BR91+BZ91+CH91+CQ91</f>
        <v>892538.52</v>
      </c>
    </row>
    <row r="92" spans="1:107" hidden="1">
      <c r="A92" s="12" t="str">
        <f t="shared" si="148"/>
        <v>FINANZASRENTASCEDIS</v>
      </c>
      <c r="B92" s="12">
        <v>94</v>
      </c>
      <c r="C92" t="s">
        <v>23</v>
      </c>
      <c r="D92" s="12" t="s">
        <v>169</v>
      </c>
      <c r="E92" s="12" t="s">
        <v>28</v>
      </c>
      <c r="F92" s="259">
        <f t="shared" si="141"/>
        <v>143590</v>
      </c>
      <c r="G92" s="13">
        <f t="shared" si="188"/>
        <v>0</v>
      </c>
      <c r="H92" s="13">
        <f t="shared" si="188"/>
        <v>0</v>
      </c>
      <c r="I92" s="13">
        <f t="shared" si="188"/>
        <v>0</v>
      </c>
      <c r="J92" s="13">
        <f t="shared" si="188"/>
        <v>0</v>
      </c>
      <c r="K92" s="13">
        <f t="shared" si="188"/>
        <v>0</v>
      </c>
      <c r="L92" s="68">
        <f t="shared" si="149"/>
        <v>143590</v>
      </c>
      <c r="M92" s="268">
        <f t="shared" si="150"/>
        <v>0</v>
      </c>
      <c r="N92" s="13">
        <f t="shared" si="142"/>
        <v>143590</v>
      </c>
      <c r="O92" s="13">
        <f t="shared" si="189"/>
        <v>0</v>
      </c>
      <c r="P92" s="13">
        <f t="shared" si="189"/>
        <v>0</v>
      </c>
      <c r="Q92" s="13">
        <f t="shared" si="189"/>
        <v>0</v>
      </c>
      <c r="R92" s="13">
        <f t="shared" si="189"/>
        <v>0</v>
      </c>
      <c r="S92" s="13">
        <f t="shared" si="189"/>
        <v>0</v>
      </c>
      <c r="T92" s="13">
        <f t="shared" si="189"/>
        <v>0</v>
      </c>
      <c r="U92" s="68">
        <f t="shared" si="151"/>
        <v>143590</v>
      </c>
      <c r="V92" s="268">
        <f t="shared" si="152"/>
        <v>0</v>
      </c>
      <c r="W92" s="13">
        <f t="shared" si="143"/>
        <v>143590</v>
      </c>
      <c r="X92" s="13">
        <f t="shared" si="190"/>
        <v>0</v>
      </c>
      <c r="Y92" s="13">
        <f t="shared" si="190"/>
        <v>0</v>
      </c>
      <c r="Z92" s="13">
        <f t="shared" si="190"/>
        <v>0</v>
      </c>
      <c r="AA92" s="13">
        <f t="shared" si="190"/>
        <v>0</v>
      </c>
      <c r="AB92" s="13">
        <f t="shared" si="190"/>
        <v>0</v>
      </c>
      <c r="AC92" s="68">
        <f t="shared" si="153"/>
        <v>143590</v>
      </c>
      <c r="AD92" s="268">
        <f t="shared" si="154"/>
        <v>0</v>
      </c>
      <c r="AE92" s="13">
        <f t="shared" si="144"/>
        <v>143590</v>
      </c>
      <c r="AF92" s="13">
        <f t="shared" si="191"/>
        <v>0</v>
      </c>
      <c r="AG92" s="13">
        <f t="shared" si="191"/>
        <v>0</v>
      </c>
      <c r="AH92" s="13">
        <f t="shared" si="191"/>
        <v>0</v>
      </c>
      <c r="AI92" s="13">
        <f t="shared" si="191"/>
        <v>0</v>
      </c>
      <c r="AJ92" s="13">
        <f t="shared" si="191"/>
        <v>0</v>
      </c>
      <c r="AK92" s="68">
        <f t="shared" si="155"/>
        <v>143590</v>
      </c>
      <c r="AL92" s="268">
        <f t="shared" si="156"/>
        <v>0</v>
      </c>
      <c r="AM92" s="13">
        <f t="shared" si="145"/>
        <v>143590</v>
      </c>
      <c r="AN92" s="13">
        <f t="shared" si="192"/>
        <v>0</v>
      </c>
      <c r="AO92" s="13">
        <f t="shared" si="192"/>
        <v>0</v>
      </c>
      <c r="AP92" s="13">
        <f t="shared" si="192"/>
        <v>0</v>
      </c>
      <c r="AQ92" s="13">
        <f t="shared" si="192"/>
        <v>0</v>
      </c>
      <c r="AR92" s="13">
        <f t="shared" si="192"/>
        <v>0</v>
      </c>
      <c r="AS92" s="13">
        <f t="shared" si="192"/>
        <v>0</v>
      </c>
      <c r="AT92" s="68">
        <f>AM92-AS92</f>
        <v>143590</v>
      </c>
      <c r="AU92" s="268">
        <f t="shared" si="157"/>
        <v>0</v>
      </c>
      <c r="AV92" s="13">
        <f t="shared" si="146"/>
        <v>143590</v>
      </c>
      <c r="AW92" s="13">
        <f t="shared" si="119"/>
        <v>0</v>
      </c>
      <c r="AX92" s="13">
        <f t="shared" si="119"/>
        <v>0</v>
      </c>
      <c r="AY92" s="13">
        <f t="shared" si="119"/>
        <v>0</v>
      </c>
      <c r="AZ92" s="13">
        <f t="shared" si="119"/>
        <v>0</v>
      </c>
      <c r="BA92" s="13">
        <f t="shared" si="120"/>
        <v>0</v>
      </c>
      <c r="BB92" s="68">
        <f t="shared" si="158"/>
        <v>143590</v>
      </c>
      <c r="BC92" s="268">
        <f t="shared" si="159"/>
        <v>0</v>
      </c>
      <c r="BD92" s="13">
        <f t="shared" si="160"/>
        <v>143590</v>
      </c>
      <c r="BE92" s="13">
        <f>SUMIFS(SALIDAS_BIT,FECHA_BIT,"&gt;="&amp;BE$2,FECHA_BIT,"&lt;="&amp;BE$3,CLAVE_BIT,$A92)+SUMIFS(SALIDAS_BOV1,FECHA_BOV1,"&gt;="&amp;BE$2,FECHA_BOV1,"&lt;="&amp;BE$3,CLAVE_BOV1,$A92)+SUMIFS(SALIDAS_BOV2,FECHA_BOV2,"&gt;="&amp;BE$2,FECHA_BOV2,"&lt;="&amp;BE$3,CLAVE_BOV2,$A92)+SUMIFS(SALIDAS_BOV3,FECHA_BOV3,"&gt;="&amp;BE$2,FECHA_BOV3,"&lt;="&amp;BE$3,CLAVE_BOV3,$A92)+SUMIFS(SALIDAS_TC,FECHA_TC,"&gt;="&amp;BE$2,FECHA_TC,"&lt;="&amp;BE$3,CLAVE_TC,$A92)+SUMIFS(SALIDAS_COMB,FECHA_COMB,"&gt;="&amp;BE$2,FECHA_COMB,"&lt;="&amp;BE$3,CLAVE_COMB,$A92)+SUMIFS(SALIDAS_DES,FECHA_DESGLOSEN,"&gt;="&amp;BE$2,FECHA_DESGLOSEN,"&lt;="&amp;BE$3,CLAVE_DESGLOSE,$A92)</f>
        <v>0</v>
      </c>
      <c r="BF92" s="13">
        <f>SUMIFS(SALIDAS_BIT,FECHA_BIT,"&gt;="&amp;BF$2,FECHA_BIT,"&lt;="&amp;BF$3,CLAVE_BIT,$A92)+SUMIFS(SALIDAS_BOV1,FECHA_BOV1,"&gt;="&amp;BF$2,FECHA_BOV1,"&lt;="&amp;BF$3,CLAVE_BOV1,$A92)+SUMIFS(SALIDAS_BOV2,FECHA_BOV2,"&gt;="&amp;BF$2,FECHA_BOV2,"&lt;="&amp;BF$3,CLAVE_BOV2,$A92)+SUMIFS(SALIDAS_BOV3,FECHA_BOV3,"&gt;="&amp;BF$2,FECHA_BOV3,"&lt;="&amp;BF$3,CLAVE_BOV3,$A92)+SUMIFS(SALIDAS_TC,FECHA_TC,"&gt;="&amp;BF$2,FECHA_TC,"&lt;="&amp;BF$3,CLAVE_TC,$A92)+SUMIFS(SALIDAS_COMB,FECHA_COMB,"&gt;="&amp;BF$2,FECHA_COMB,"&lt;="&amp;BF$3,CLAVE_COMB,$A92)+SUMIFS(SALIDAS_DES,FECHA_DESGLOSEN,"&gt;="&amp;BF$2,FECHA_DESGLOSEN,"&lt;="&amp;BF$3,CLAVE_DESGLOSE,$A92)</f>
        <v>0</v>
      </c>
      <c r="BG92" s="13">
        <f>SUMIFS(SALIDAS_BIT,FECHA_BIT,"&gt;="&amp;BG$2,FECHA_BIT,"&lt;="&amp;BG$3,CLAVE_BIT,$A92)+SUMIFS(SALIDAS_BOV1,FECHA_BOV1,"&gt;="&amp;BG$2,FECHA_BOV1,"&lt;="&amp;BG$3,CLAVE_BOV1,$A92)+SUMIFS(SALIDAS_BOV2,FECHA_BOV2,"&gt;="&amp;BG$2,FECHA_BOV2,"&lt;="&amp;BG$3,CLAVE_BOV2,$A92)+SUMIFS(SALIDAS_BOV3,FECHA_BOV3,"&gt;="&amp;BG$2,FECHA_BOV3,"&lt;="&amp;BG$3,CLAVE_BOV3,$A92)+SUMIFS(SALIDAS_TC,FECHA_TC,"&gt;="&amp;BG$2,FECHA_TC,"&lt;="&amp;BG$3,CLAVE_TC,$A92)+SUMIFS(SALIDAS_COMB,FECHA_COMB,"&gt;="&amp;BG$2,FECHA_COMB,"&lt;="&amp;BG$3,CLAVE_COMB,$A92)+SUMIFS(SALIDAS_DES,FECHA_DESGLOSEN,"&gt;="&amp;BG$2,FECHA_DESGLOSEN,"&lt;="&amp;BG$3,CLAVE_DESGLOSE,$A92)</f>
        <v>0</v>
      </c>
      <c r="BH92" s="13">
        <f>SUMIFS(SALIDAS_BIT,FECHA_BIT,"&gt;="&amp;BH$2,FECHA_BIT,"&lt;="&amp;BH$3,CLAVE_BIT,$A92)+SUMIFS(SALIDAS_BOV1,FECHA_BOV1,"&gt;="&amp;BH$2,FECHA_BOV1,"&lt;="&amp;BH$3,CLAVE_BOV1,$A92)+SUMIFS(SALIDAS_BOV2,FECHA_BOV2,"&gt;="&amp;BH$2,FECHA_BOV2,"&lt;="&amp;BH$3,CLAVE_BOV2,$A92)+SUMIFS(SALIDAS_BOV3,FECHA_BOV3,"&gt;="&amp;BH$2,FECHA_BOV3,"&lt;="&amp;BH$3,CLAVE_BOV3,$A92)+SUMIFS(SALIDAS_TC,FECHA_TC,"&gt;="&amp;BH$2,FECHA_TC,"&lt;="&amp;BH$3,CLAVE_TC,$A92)+SUMIFS(SALIDAS_COMB,FECHA_COMB,"&gt;="&amp;BH$2,FECHA_COMB,"&lt;="&amp;BH$3,CLAVE_COMB,$A92)+SUMIFS(SALIDAS_DES,FECHA_DESGLOSEN,"&gt;="&amp;BH$2,FECHA_DESGLOSEN,"&lt;="&amp;BH$3,CLAVE_DESGLOSE,$A92)</f>
        <v>0</v>
      </c>
      <c r="BI92" s="13">
        <f t="shared" si="121"/>
        <v>0</v>
      </c>
      <c r="BJ92" s="68">
        <f t="shared" si="161"/>
        <v>143590</v>
      </c>
      <c r="BK92" s="268">
        <f t="shared" si="162"/>
        <v>0</v>
      </c>
      <c r="BL92" s="13">
        <f t="shared" si="163"/>
        <v>143590</v>
      </c>
      <c r="BM92" s="13">
        <f>SUMIFS(SALIDAS_BIT,FECHA_BIT,"&gt;="&amp;BM$2,FECHA_BIT,"&lt;="&amp;BM$3,CLAVE_BIT,$A92)+SUMIFS(SALIDAS_BOV1,FECHA_BOV1,"&gt;="&amp;BM$2,FECHA_BOV1,"&lt;="&amp;BM$3,CLAVE_BOV1,$A92)+SUMIFS(SALIDAS_BOV2,FECHA_BOV2,"&gt;="&amp;BM$2,FECHA_BOV2,"&lt;="&amp;BM$3,CLAVE_BOV2,$A92)+SUMIFS(SALIDAS_BOV3,FECHA_BOV3,"&gt;="&amp;BM$2,FECHA_BOV3,"&lt;="&amp;BM$3,CLAVE_BOV3,$A92)+SUMIFS(SALIDAS_TC,FECHA_TC,"&gt;="&amp;BM$2,FECHA_TC,"&lt;="&amp;BM$3,CLAVE_TC,$A92)+SUMIFS(SALIDAS_COMB,FECHA_COMB,"&gt;="&amp;BM$2,FECHA_COMB,"&lt;="&amp;BM$3,CLAVE_COMB,$A92)+SUMIFS(SALIDAS_DES,FECHA_DESGLOSEN,"&gt;="&amp;BM$2,FECHA_DESGLOSEN,"&lt;="&amp;BM$3,CLAVE_DESGLOSE,$A92)</f>
        <v>0</v>
      </c>
      <c r="BN92" s="13">
        <f>SUMIFS(SALIDAS_BIT,FECHA_BIT,"&gt;="&amp;BN$2,FECHA_BIT,"&lt;="&amp;BN$3,CLAVE_BIT,$A92)+SUMIFS(SALIDAS_BOV1,FECHA_BOV1,"&gt;="&amp;BN$2,FECHA_BOV1,"&lt;="&amp;BN$3,CLAVE_BOV1,$A92)+SUMIFS(SALIDAS_BOV2,FECHA_BOV2,"&gt;="&amp;BN$2,FECHA_BOV2,"&lt;="&amp;BN$3,CLAVE_BOV2,$A92)+SUMIFS(SALIDAS_BOV3,FECHA_BOV3,"&gt;="&amp;BN$2,FECHA_BOV3,"&lt;="&amp;BN$3,CLAVE_BOV3,$A92)+SUMIFS(SALIDAS_TC,FECHA_TC,"&gt;="&amp;BN$2,FECHA_TC,"&lt;="&amp;BN$3,CLAVE_TC,$A92)+SUMIFS(SALIDAS_COMB,FECHA_COMB,"&gt;="&amp;BN$2,FECHA_COMB,"&lt;="&amp;BN$3,CLAVE_COMB,$A92)+SUMIFS(SALIDAS_DES,FECHA_DESGLOSEN,"&gt;="&amp;BN$2,FECHA_DESGLOSEN,"&lt;="&amp;BN$3,CLAVE_DESGLOSE,$A92)</f>
        <v>0</v>
      </c>
      <c r="BO92" s="13">
        <f>SUMIFS(SALIDAS_BIT,FECHA_BIT,"&gt;="&amp;BO$2,FECHA_BIT,"&lt;="&amp;BO$3,CLAVE_BIT,$A92)+SUMIFS(SALIDAS_BOV1,FECHA_BOV1,"&gt;="&amp;BO$2,FECHA_BOV1,"&lt;="&amp;BO$3,CLAVE_BOV1,$A92)+SUMIFS(SALIDAS_BOV2,FECHA_BOV2,"&gt;="&amp;BO$2,FECHA_BOV2,"&lt;="&amp;BO$3,CLAVE_BOV2,$A92)+SUMIFS(SALIDAS_BOV3,FECHA_BOV3,"&gt;="&amp;BO$2,FECHA_BOV3,"&lt;="&amp;BO$3,CLAVE_BOV3,$A92)+SUMIFS(SALIDAS_TC,FECHA_TC,"&gt;="&amp;BO$2,FECHA_TC,"&lt;="&amp;BO$3,CLAVE_TC,$A92)+SUMIFS(SALIDAS_COMB,FECHA_COMB,"&gt;="&amp;BO$2,FECHA_COMB,"&lt;="&amp;BO$3,CLAVE_COMB,$A92)+SUMIFS(SALIDAS_DES,FECHA_DESGLOSEN,"&gt;="&amp;BO$2,FECHA_DESGLOSEN,"&lt;="&amp;BO$3,CLAVE_DESGLOSE,$A92)</f>
        <v>0</v>
      </c>
      <c r="BP92" s="13">
        <f>SUMIFS(SALIDAS_BIT,FECHA_BIT,"&gt;="&amp;BP$2,FECHA_BIT,"&lt;="&amp;BP$3,CLAVE_BIT,$A92)+SUMIFS(SALIDAS_BOV1,FECHA_BOV1,"&gt;="&amp;BP$2,FECHA_BOV1,"&lt;="&amp;BP$3,CLAVE_BOV1,$A92)+SUMIFS(SALIDAS_BOV2,FECHA_BOV2,"&gt;="&amp;BP$2,FECHA_BOV2,"&lt;="&amp;BP$3,CLAVE_BOV2,$A92)+SUMIFS(SALIDAS_BOV3,FECHA_BOV3,"&gt;="&amp;BP$2,FECHA_BOV3,"&lt;="&amp;BP$3,CLAVE_BOV3,$A92)+SUMIFS(SALIDAS_TC,FECHA_TC,"&gt;="&amp;BP$2,FECHA_TC,"&lt;="&amp;BP$3,CLAVE_TC,$A92)+SUMIFS(SALIDAS_COMB,FECHA_COMB,"&gt;="&amp;BP$2,FECHA_COMB,"&lt;="&amp;BP$3,CLAVE_COMB,$A92)+SUMIFS(SALIDAS_DES,FECHA_DESGLOSEN,"&gt;="&amp;BP$2,FECHA_DESGLOSEN,"&lt;="&amp;BP$3,CLAVE_DESGLOSE,$A92)</f>
        <v>0</v>
      </c>
      <c r="BQ92" s="13">
        <f>SUMIFS(SALIDAS_BIT,FECHA_BIT,"&gt;="&amp;BQ$2,FECHA_BIT,"&lt;="&amp;BQ$3,CLAVE_BIT,$A92)+SUMIFS(SALIDAS_BOV1,FECHA_BOV1,"&gt;="&amp;BQ$2,FECHA_BOV1,"&lt;="&amp;BQ$3,CLAVE_BOV1,$A92)+SUMIFS(SALIDAS_BOV2,FECHA_BOV2,"&gt;="&amp;BQ$2,FECHA_BOV2,"&lt;="&amp;BQ$3,CLAVE_BOV2,$A92)+SUMIFS(SALIDAS_BOV3,FECHA_BOV3,"&gt;="&amp;BQ$2,FECHA_BOV3,"&lt;="&amp;BQ$3,CLAVE_BOV3,$A92)+SUMIFS(SALIDAS_TC,FECHA_TC,"&gt;="&amp;BQ$2,FECHA_TC,"&lt;="&amp;BQ$3,CLAVE_TC,$A92)+SUMIFS(SALIDAS_COMB,FECHA_COMB,"&gt;="&amp;BQ$2,FECHA_COMB,"&lt;="&amp;BQ$3,CLAVE_COMB,$A92)+SUMIFS(SALIDAS_DES,FECHA_DESGLOSEN,"&gt;="&amp;BQ$2,FECHA_DESGLOSEN,"&lt;="&amp;BQ$3,CLAVE_DESGLOSE,$A92)</f>
        <v>0</v>
      </c>
      <c r="BR92" s="13">
        <f t="shared" si="193"/>
        <v>0</v>
      </c>
      <c r="BS92" s="68">
        <f t="shared" si="164"/>
        <v>143590</v>
      </c>
      <c r="BT92" s="268">
        <f t="shared" si="165"/>
        <v>0</v>
      </c>
      <c r="BU92" s="13">
        <f t="shared" si="166"/>
        <v>143590</v>
      </c>
      <c r="BV92" s="13">
        <f t="shared" si="186"/>
        <v>0</v>
      </c>
      <c r="BW92" s="13">
        <f t="shared" si="186"/>
        <v>0</v>
      </c>
      <c r="BX92" s="13">
        <f t="shared" si="186"/>
        <v>0</v>
      </c>
      <c r="BY92" s="13">
        <f t="shared" si="186"/>
        <v>0</v>
      </c>
      <c r="BZ92" s="13">
        <f t="shared" si="194"/>
        <v>0</v>
      </c>
      <c r="CA92" s="68">
        <f t="shared" si="167"/>
        <v>143590</v>
      </c>
      <c r="CB92" s="268">
        <f t="shared" si="168"/>
        <v>0</v>
      </c>
      <c r="CC92" s="13">
        <f t="shared" si="169"/>
        <v>143590</v>
      </c>
      <c r="CD92" s="13">
        <f t="shared" si="187"/>
        <v>0</v>
      </c>
      <c r="CE92" s="13">
        <f t="shared" si="187"/>
        <v>0</v>
      </c>
      <c r="CF92" s="13">
        <f t="shared" si="187"/>
        <v>0</v>
      </c>
      <c r="CG92" s="13">
        <f t="shared" si="187"/>
        <v>0</v>
      </c>
      <c r="CH92" s="13">
        <f t="shared" si="195"/>
        <v>0</v>
      </c>
      <c r="CI92" s="68">
        <f t="shared" si="170"/>
        <v>143590</v>
      </c>
      <c r="CJ92" s="268">
        <f t="shared" si="171"/>
        <v>0</v>
      </c>
      <c r="CK92" s="13">
        <f t="shared" si="172"/>
        <v>143590</v>
      </c>
      <c r="CL92" s="13">
        <f t="shared" si="176"/>
        <v>0</v>
      </c>
      <c r="CM92" s="13">
        <f t="shared" si="176"/>
        <v>0</v>
      </c>
      <c r="CN92" s="13">
        <f t="shared" si="176"/>
        <v>1793505.6</v>
      </c>
      <c r="CO92" s="13">
        <f t="shared" si="176"/>
        <v>61011</v>
      </c>
      <c r="CP92" s="13">
        <f t="shared" si="176"/>
        <v>74807</v>
      </c>
      <c r="CQ92" s="13">
        <f t="shared" si="196"/>
        <v>1929323.6</v>
      </c>
      <c r="CR92" s="68">
        <f t="shared" si="173"/>
        <v>-1785733.6</v>
      </c>
      <c r="CS92" s="268">
        <f t="shared" si="174"/>
        <v>13.436336792255728</v>
      </c>
      <c r="CT92" s="68">
        <f t="shared" si="147"/>
        <v>0</v>
      </c>
      <c r="CU92" s="13">
        <f>SUMIFS(SALIDAS_BIT,FECHA_BIT,"&gt;="&amp;CU$2,FECHA_BIT,"&lt;="&amp;CU$3,CLAVE_BIT,$A92)+SUMIFS(SALIDAS_BOV1,FECHA_BOV1,"&gt;="&amp;CU$2,FECHA_BOV1,"&lt;="&amp;CU$3,CLAVE_BOV1,$A92)+SUMIFS(SALIDAS_BOV2,FECHA_BOV2,"&gt;="&amp;CU$2,FECHA_BOV2,"&lt;="&amp;CU$3,CLAVE_BOV2,$A92)+SUMIFS(SALIDAS_BOV3,FECHA_BOV3,"&gt;="&amp;CU$2,FECHA_BOV3,"&lt;="&amp;CU$3,CLAVE_BOV3,$A92)+SUMIFS(SALIDAS_TC,FECHA_TC,"&gt;="&amp;CU$2,FECHA_TC,"&lt;="&amp;CU$3,CLAVE_TC,$A92)+SUMIFS(SALIDAS_COMB,FECHA_COMB,"&gt;="&amp;CU$2,FECHA_COMB,"&lt;="&amp;CU$3,CLAVE_COMB,$A92)+SUMIFS(SALIDAS_DES,FECHA_DESGLOSEN,"&gt;="&amp;CU$2,FECHA_DESGLOSEN,"&lt;="&amp;CU$3,CLAVE_DESGLOSE,$A92)</f>
        <v>98778.33</v>
      </c>
      <c r="CV92" s="13">
        <f>SUMIFS(SALIDAS_BIT,FECHA_BIT,"&gt;="&amp;CV$2,FECHA_BIT,"&lt;="&amp;CV$3,CLAVE_BIT,$A92)+SUMIFS(SALIDAS_BOV1,FECHA_BOV1,"&gt;="&amp;CV$2,FECHA_BOV1,"&lt;="&amp;CV$3,CLAVE_BOV1,$A92)+SUMIFS(SALIDAS_BOV2,FECHA_BOV2,"&gt;="&amp;CV$2,FECHA_BOV2,"&lt;="&amp;CV$3,CLAVE_BOV2,$A92)+SUMIFS(SALIDAS_BOV3,FECHA_BOV3,"&gt;="&amp;CV$2,FECHA_BOV3,"&lt;="&amp;CV$3,CLAVE_BOV3,$A92)+SUMIFS(SALIDAS_TC,FECHA_TC,"&gt;="&amp;CV$2,FECHA_TC,"&lt;="&amp;CV$3,CLAVE_TC,$A92)+SUMIFS(SALIDAS_COMB,FECHA_COMB,"&gt;="&amp;CV$2,FECHA_COMB,"&lt;="&amp;CV$3,CLAVE_COMB,$A92)+SUMIFS(SALIDAS_DES,FECHA_DESGLOSEN,"&gt;="&amp;CV$2,FECHA_DESGLOSEN,"&lt;="&amp;CV$3,CLAVE_DESGLOSE,$A92)</f>
        <v>0</v>
      </c>
      <c r="CW92" s="13">
        <f>SUMIFS(SALIDAS_BIT,FECHA_BIT,"&gt;="&amp;CW$2,FECHA_BIT,"&lt;="&amp;CW$3,CLAVE_BIT,$A92)+SUMIFS(SALIDAS_BOV1,FECHA_BOV1,"&gt;="&amp;CW$2,FECHA_BOV1,"&lt;="&amp;CW$3,CLAVE_BOV1,$A92)+SUMIFS(SALIDAS_BOV2,FECHA_BOV2,"&gt;="&amp;CW$2,FECHA_BOV2,"&lt;="&amp;CW$3,CLAVE_BOV2,$A92)+SUMIFS(SALIDAS_BOV3,FECHA_BOV3,"&gt;="&amp;CW$2,FECHA_BOV3,"&lt;="&amp;CW$3,CLAVE_BOV3,$A92)+SUMIFS(SALIDAS_TC,FECHA_TC,"&gt;="&amp;CW$2,FECHA_TC,"&lt;="&amp;CW$3,CLAVE_TC,$A92)+SUMIFS(SALIDAS_COMB,FECHA_COMB,"&gt;="&amp;CW$2,FECHA_COMB,"&lt;="&amp;CW$3,CLAVE_COMB,$A92)+SUMIFS(SALIDAS_DES,FECHA_DESGLOSEN,"&gt;="&amp;CW$2,FECHA_DESGLOSEN,"&lt;="&amp;CW$3,CLAVE_DESGLOSE,$A92)</f>
        <v>0</v>
      </c>
      <c r="CX92" s="13">
        <f>SUMIFS(SALIDAS_BIT,FECHA_BIT,"&gt;="&amp;CX$2,FECHA_BIT,"&lt;="&amp;CX$3,CLAVE_BIT,$A92)+SUMIFS(SALIDAS_BOV1,FECHA_BOV1,"&gt;="&amp;CX$2,FECHA_BOV1,"&lt;="&amp;CX$3,CLAVE_BOV1,$A92)+SUMIFS(SALIDAS_BOV2,FECHA_BOV2,"&gt;="&amp;CX$2,FECHA_BOV2,"&lt;="&amp;CX$3,CLAVE_BOV2,$A92)+SUMIFS(SALIDAS_BOV3,FECHA_BOV3,"&gt;="&amp;CX$2,FECHA_BOV3,"&lt;="&amp;CX$3,CLAVE_BOV3,$A92)+SUMIFS(SALIDAS_TC,FECHA_TC,"&gt;="&amp;CX$2,FECHA_TC,"&lt;="&amp;CX$3,CLAVE_TC,$A92)+SUMIFS(SALIDAS_COMB,FECHA_COMB,"&gt;="&amp;CX$2,FECHA_COMB,"&lt;="&amp;CX$3,CLAVE_COMB,$A92)+SUMIFS(SALIDAS_DES,FECHA_DESGLOSEN,"&gt;="&amp;CX$2,FECHA_DESGLOSEN,"&lt;="&amp;CX$3,CLAVE_DESGLOSE,$A92)</f>
        <v>0</v>
      </c>
      <c r="CY92" s="13">
        <f>SUMIFS(SALIDAS_BIT,FECHA_BIT,"&gt;="&amp;CY$2,FECHA_BIT,"&lt;="&amp;CY$3,CLAVE_BIT,$A92)+SUMIFS(SALIDAS_BOV1,FECHA_BOV1,"&gt;="&amp;CY$2,FECHA_BOV1,"&lt;="&amp;CY$3,CLAVE_BOV1,$A92)+SUMIFS(SALIDAS_BOV2,FECHA_BOV2,"&gt;="&amp;CY$2,FECHA_BOV2,"&lt;="&amp;CY$3,CLAVE_BOV2,$A92)+SUMIFS(SALIDAS_BOV3,FECHA_BOV3,"&gt;="&amp;CY$2,FECHA_BOV3,"&lt;="&amp;CY$3,CLAVE_BOV3,$A92)+SUMIFS(SALIDAS_TC,FECHA_TC,"&gt;="&amp;CY$2,FECHA_TC,"&lt;="&amp;CY$3,CLAVE_TC,$A92)+SUMIFS(SALIDAS_COMB,FECHA_COMB,"&gt;="&amp;CY$2,FECHA_COMB,"&lt;="&amp;CY$3,CLAVE_COMB,$A92)+SUMIFS(SALIDAS_DES,FECHA_DESGLOSEN,"&gt;="&amp;CY$2,FECHA_DESGLOSEN,"&lt;="&amp;CY$3,CLAVE_DESGLOSE,$A92)</f>
        <v>98778.33</v>
      </c>
      <c r="CZ92" s="68">
        <f t="shared" si="175"/>
        <v>-98778.33</v>
      </c>
      <c r="DB92" s="17">
        <f>F92+N92+W92+AE92+AM92+AV92+BD92+BL92+BU92+CC92+CK92</f>
        <v>1579490</v>
      </c>
      <c r="DC92" s="17">
        <f>K92+T92+AB92+AJ92+AS92+BA92+BI92+BR92+BZ92+CH92+CQ92</f>
        <v>1929323.6</v>
      </c>
    </row>
    <row r="93" spans="1:107" hidden="1">
      <c r="A93" s="12" t="str">
        <f t="shared" si="148"/>
        <v>FINANZASRENTASDOMICILIO FISCAL</v>
      </c>
      <c r="B93" s="12">
        <v>95</v>
      </c>
      <c r="C93" t="s">
        <v>23</v>
      </c>
      <c r="D93" s="12" t="s">
        <v>169</v>
      </c>
      <c r="E93" s="12" t="s">
        <v>170</v>
      </c>
      <c r="F93" s="259">
        <f t="shared" si="141"/>
        <v>3900</v>
      </c>
      <c r="G93" s="13">
        <f t="shared" si="188"/>
        <v>0</v>
      </c>
      <c r="H93" s="13">
        <f t="shared" si="188"/>
        <v>0</v>
      </c>
      <c r="I93" s="13">
        <f t="shared" si="188"/>
        <v>0</v>
      </c>
      <c r="J93" s="13">
        <f t="shared" si="188"/>
        <v>0</v>
      </c>
      <c r="K93" s="13">
        <f t="shared" si="188"/>
        <v>0</v>
      </c>
      <c r="L93" s="68">
        <f t="shared" si="149"/>
        <v>3900</v>
      </c>
      <c r="M93" s="268">
        <f t="shared" si="150"/>
        <v>0</v>
      </c>
      <c r="N93" s="13">
        <f t="shared" si="142"/>
        <v>3900</v>
      </c>
      <c r="O93" s="13">
        <f t="shared" si="189"/>
        <v>0</v>
      </c>
      <c r="P93" s="13">
        <f t="shared" si="189"/>
        <v>0</v>
      </c>
      <c r="Q93" s="13">
        <f t="shared" si="189"/>
        <v>0</v>
      </c>
      <c r="R93" s="13">
        <f t="shared" si="189"/>
        <v>0</v>
      </c>
      <c r="S93" s="13">
        <f t="shared" si="189"/>
        <v>0</v>
      </c>
      <c r="T93" s="13">
        <f t="shared" si="189"/>
        <v>0</v>
      </c>
      <c r="U93" s="68">
        <f t="shared" si="151"/>
        <v>3900</v>
      </c>
      <c r="V93" s="268">
        <f t="shared" si="152"/>
        <v>0</v>
      </c>
      <c r="W93" s="13">
        <f t="shared" si="143"/>
        <v>3900</v>
      </c>
      <c r="X93" s="13">
        <f t="shared" si="190"/>
        <v>0</v>
      </c>
      <c r="Y93" s="13">
        <f t="shared" si="190"/>
        <v>0</v>
      </c>
      <c r="Z93" s="13">
        <f t="shared" si="190"/>
        <v>0</v>
      </c>
      <c r="AA93" s="13">
        <f t="shared" si="190"/>
        <v>0</v>
      </c>
      <c r="AB93" s="13">
        <f t="shared" si="190"/>
        <v>0</v>
      </c>
      <c r="AC93" s="68">
        <f t="shared" si="153"/>
        <v>3900</v>
      </c>
      <c r="AD93" s="268">
        <f t="shared" si="154"/>
        <v>0</v>
      </c>
      <c r="AE93" s="13">
        <f t="shared" si="144"/>
        <v>3900</v>
      </c>
      <c r="AF93" s="13">
        <f t="shared" si="191"/>
        <v>0</v>
      </c>
      <c r="AG93" s="13">
        <f t="shared" si="191"/>
        <v>0</v>
      </c>
      <c r="AH93" s="13">
        <f t="shared" si="191"/>
        <v>0</v>
      </c>
      <c r="AI93" s="13">
        <f t="shared" si="191"/>
        <v>0</v>
      </c>
      <c r="AJ93" s="13">
        <f t="shared" si="191"/>
        <v>0</v>
      </c>
      <c r="AK93" s="68">
        <f t="shared" si="155"/>
        <v>3900</v>
      </c>
      <c r="AL93" s="268">
        <f t="shared" si="156"/>
        <v>0</v>
      </c>
      <c r="AM93" s="13">
        <f t="shared" si="145"/>
        <v>3900</v>
      </c>
      <c r="AN93" s="13">
        <f t="shared" si="192"/>
        <v>0</v>
      </c>
      <c r="AO93" s="13">
        <f t="shared" si="192"/>
        <v>0</v>
      </c>
      <c r="AP93" s="13">
        <f t="shared" si="192"/>
        <v>0</v>
      </c>
      <c r="AQ93" s="13">
        <f t="shared" si="192"/>
        <v>0</v>
      </c>
      <c r="AR93" s="13">
        <f t="shared" si="192"/>
        <v>0</v>
      </c>
      <c r="AS93" s="13">
        <f t="shared" si="192"/>
        <v>0</v>
      </c>
      <c r="AT93" s="68">
        <f>AM93-AS93</f>
        <v>3900</v>
      </c>
      <c r="AU93" s="268">
        <f t="shared" si="157"/>
        <v>0</v>
      </c>
      <c r="AV93" s="13">
        <f t="shared" si="146"/>
        <v>3900</v>
      </c>
      <c r="AW93" s="13">
        <f t="shared" si="119"/>
        <v>0</v>
      </c>
      <c r="AX93" s="13">
        <f t="shared" si="119"/>
        <v>0</v>
      </c>
      <c r="AY93" s="13">
        <f t="shared" si="119"/>
        <v>0</v>
      </c>
      <c r="AZ93" s="13">
        <f t="shared" si="119"/>
        <v>0</v>
      </c>
      <c r="BA93" s="13">
        <f t="shared" si="120"/>
        <v>0</v>
      </c>
      <c r="BB93" s="68">
        <f t="shared" si="158"/>
        <v>3900</v>
      </c>
      <c r="BC93" s="268">
        <f t="shared" si="159"/>
        <v>0</v>
      </c>
      <c r="BD93" s="13">
        <f t="shared" si="160"/>
        <v>3900</v>
      </c>
      <c r="BE93" s="13">
        <f>SUMIFS(SALIDAS_BIT,FECHA_BIT,"&gt;="&amp;BE$2,FECHA_BIT,"&lt;="&amp;BE$3,CLAVE_BIT,$A93)+SUMIFS(SALIDAS_BOV1,FECHA_BOV1,"&gt;="&amp;BE$2,FECHA_BOV1,"&lt;="&amp;BE$3,CLAVE_BOV1,$A93)+SUMIFS(SALIDAS_BOV2,FECHA_BOV2,"&gt;="&amp;BE$2,FECHA_BOV2,"&lt;="&amp;BE$3,CLAVE_BOV2,$A93)+SUMIFS(SALIDAS_BOV3,FECHA_BOV3,"&gt;="&amp;BE$2,FECHA_BOV3,"&lt;="&amp;BE$3,CLAVE_BOV3,$A93)+SUMIFS(SALIDAS_TC,FECHA_TC,"&gt;="&amp;BE$2,FECHA_TC,"&lt;="&amp;BE$3,CLAVE_TC,$A93)+SUMIFS(SALIDAS_COMB,FECHA_COMB,"&gt;="&amp;BE$2,FECHA_COMB,"&lt;="&amp;BE$3,CLAVE_COMB,$A93)+SUMIFS(SALIDAS_DES,FECHA_DESGLOSEN,"&gt;="&amp;BE$2,FECHA_DESGLOSEN,"&lt;="&amp;BE$3,CLAVE_DESGLOSE,$A93)</f>
        <v>0</v>
      </c>
      <c r="BF93" s="13">
        <f>SUMIFS(SALIDAS_BIT,FECHA_BIT,"&gt;="&amp;BF$2,FECHA_BIT,"&lt;="&amp;BF$3,CLAVE_BIT,$A93)+SUMIFS(SALIDAS_BOV1,FECHA_BOV1,"&gt;="&amp;BF$2,FECHA_BOV1,"&lt;="&amp;BF$3,CLAVE_BOV1,$A93)+SUMIFS(SALIDAS_BOV2,FECHA_BOV2,"&gt;="&amp;BF$2,FECHA_BOV2,"&lt;="&amp;BF$3,CLAVE_BOV2,$A93)+SUMIFS(SALIDAS_BOV3,FECHA_BOV3,"&gt;="&amp;BF$2,FECHA_BOV3,"&lt;="&amp;BF$3,CLAVE_BOV3,$A93)+SUMIFS(SALIDAS_TC,FECHA_TC,"&gt;="&amp;BF$2,FECHA_TC,"&lt;="&amp;BF$3,CLAVE_TC,$A93)+SUMIFS(SALIDAS_COMB,FECHA_COMB,"&gt;="&amp;BF$2,FECHA_COMB,"&lt;="&amp;BF$3,CLAVE_COMB,$A93)+SUMIFS(SALIDAS_DES,FECHA_DESGLOSEN,"&gt;="&amp;BF$2,FECHA_DESGLOSEN,"&lt;="&amp;BF$3,CLAVE_DESGLOSE,$A93)</f>
        <v>0</v>
      </c>
      <c r="BG93" s="13">
        <f>SUMIFS(SALIDAS_BIT,FECHA_BIT,"&gt;="&amp;BG$2,FECHA_BIT,"&lt;="&amp;BG$3,CLAVE_BIT,$A93)+SUMIFS(SALIDAS_BOV1,FECHA_BOV1,"&gt;="&amp;BG$2,FECHA_BOV1,"&lt;="&amp;BG$3,CLAVE_BOV1,$A93)+SUMIFS(SALIDAS_BOV2,FECHA_BOV2,"&gt;="&amp;BG$2,FECHA_BOV2,"&lt;="&amp;BG$3,CLAVE_BOV2,$A93)+SUMIFS(SALIDAS_BOV3,FECHA_BOV3,"&gt;="&amp;BG$2,FECHA_BOV3,"&lt;="&amp;BG$3,CLAVE_BOV3,$A93)+SUMIFS(SALIDAS_TC,FECHA_TC,"&gt;="&amp;BG$2,FECHA_TC,"&lt;="&amp;BG$3,CLAVE_TC,$A93)+SUMIFS(SALIDAS_COMB,FECHA_COMB,"&gt;="&amp;BG$2,FECHA_COMB,"&lt;="&amp;BG$3,CLAVE_COMB,$A93)+SUMIFS(SALIDAS_DES,FECHA_DESGLOSEN,"&gt;="&amp;BG$2,FECHA_DESGLOSEN,"&lt;="&amp;BG$3,CLAVE_DESGLOSE,$A93)</f>
        <v>0</v>
      </c>
      <c r="BH93" s="13">
        <f>SUMIFS(SALIDAS_BIT,FECHA_BIT,"&gt;="&amp;BH$2,FECHA_BIT,"&lt;="&amp;BH$3,CLAVE_BIT,$A93)+SUMIFS(SALIDAS_BOV1,FECHA_BOV1,"&gt;="&amp;BH$2,FECHA_BOV1,"&lt;="&amp;BH$3,CLAVE_BOV1,$A93)+SUMIFS(SALIDAS_BOV2,FECHA_BOV2,"&gt;="&amp;BH$2,FECHA_BOV2,"&lt;="&amp;BH$3,CLAVE_BOV2,$A93)+SUMIFS(SALIDAS_BOV3,FECHA_BOV3,"&gt;="&amp;BH$2,FECHA_BOV3,"&lt;="&amp;BH$3,CLAVE_BOV3,$A93)+SUMIFS(SALIDAS_TC,FECHA_TC,"&gt;="&amp;BH$2,FECHA_TC,"&lt;="&amp;BH$3,CLAVE_TC,$A93)+SUMIFS(SALIDAS_COMB,FECHA_COMB,"&gt;="&amp;BH$2,FECHA_COMB,"&lt;="&amp;BH$3,CLAVE_COMB,$A93)+SUMIFS(SALIDAS_DES,FECHA_DESGLOSEN,"&gt;="&amp;BH$2,FECHA_DESGLOSEN,"&lt;="&amp;BH$3,CLAVE_DESGLOSE,$A93)</f>
        <v>0</v>
      </c>
      <c r="BI93" s="13">
        <f t="shared" si="121"/>
        <v>0</v>
      </c>
      <c r="BJ93" s="68">
        <f t="shared" si="161"/>
        <v>3900</v>
      </c>
      <c r="BK93" s="268">
        <f t="shared" si="162"/>
        <v>0</v>
      </c>
      <c r="BL93" s="13">
        <f t="shared" si="163"/>
        <v>3900</v>
      </c>
      <c r="BM93" s="13">
        <f>SUMIFS(SALIDAS_BIT,FECHA_BIT,"&gt;="&amp;BM$2,FECHA_BIT,"&lt;="&amp;BM$3,CLAVE_BIT,$A93)+SUMIFS(SALIDAS_BOV1,FECHA_BOV1,"&gt;="&amp;BM$2,FECHA_BOV1,"&lt;="&amp;BM$3,CLAVE_BOV1,$A93)+SUMIFS(SALIDAS_BOV2,FECHA_BOV2,"&gt;="&amp;BM$2,FECHA_BOV2,"&lt;="&amp;BM$3,CLAVE_BOV2,$A93)+SUMIFS(SALIDAS_BOV3,FECHA_BOV3,"&gt;="&amp;BM$2,FECHA_BOV3,"&lt;="&amp;BM$3,CLAVE_BOV3,$A93)+SUMIFS(SALIDAS_TC,FECHA_TC,"&gt;="&amp;BM$2,FECHA_TC,"&lt;="&amp;BM$3,CLAVE_TC,$A93)+SUMIFS(SALIDAS_COMB,FECHA_COMB,"&gt;="&amp;BM$2,FECHA_COMB,"&lt;="&amp;BM$3,CLAVE_COMB,$A93)+SUMIFS(SALIDAS_DES,FECHA_DESGLOSEN,"&gt;="&amp;BM$2,FECHA_DESGLOSEN,"&lt;="&amp;BM$3,CLAVE_DESGLOSE,$A93)</f>
        <v>0</v>
      </c>
      <c r="BN93" s="13">
        <f>SUMIFS(SALIDAS_BIT,FECHA_BIT,"&gt;="&amp;BN$2,FECHA_BIT,"&lt;="&amp;BN$3,CLAVE_BIT,$A93)+SUMIFS(SALIDAS_BOV1,FECHA_BOV1,"&gt;="&amp;BN$2,FECHA_BOV1,"&lt;="&amp;BN$3,CLAVE_BOV1,$A93)+SUMIFS(SALIDAS_BOV2,FECHA_BOV2,"&gt;="&amp;BN$2,FECHA_BOV2,"&lt;="&amp;BN$3,CLAVE_BOV2,$A93)+SUMIFS(SALIDAS_BOV3,FECHA_BOV3,"&gt;="&amp;BN$2,FECHA_BOV3,"&lt;="&amp;BN$3,CLAVE_BOV3,$A93)+SUMIFS(SALIDAS_TC,FECHA_TC,"&gt;="&amp;BN$2,FECHA_TC,"&lt;="&amp;BN$3,CLAVE_TC,$A93)+SUMIFS(SALIDAS_COMB,FECHA_COMB,"&gt;="&amp;BN$2,FECHA_COMB,"&lt;="&amp;BN$3,CLAVE_COMB,$A93)+SUMIFS(SALIDAS_DES,FECHA_DESGLOSEN,"&gt;="&amp;BN$2,FECHA_DESGLOSEN,"&lt;="&amp;BN$3,CLAVE_DESGLOSE,$A93)</f>
        <v>0</v>
      </c>
      <c r="BO93" s="13">
        <f>SUMIFS(SALIDAS_BIT,FECHA_BIT,"&gt;="&amp;BO$2,FECHA_BIT,"&lt;="&amp;BO$3,CLAVE_BIT,$A93)+SUMIFS(SALIDAS_BOV1,FECHA_BOV1,"&gt;="&amp;BO$2,FECHA_BOV1,"&lt;="&amp;BO$3,CLAVE_BOV1,$A93)+SUMIFS(SALIDAS_BOV2,FECHA_BOV2,"&gt;="&amp;BO$2,FECHA_BOV2,"&lt;="&amp;BO$3,CLAVE_BOV2,$A93)+SUMIFS(SALIDAS_BOV3,FECHA_BOV3,"&gt;="&amp;BO$2,FECHA_BOV3,"&lt;="&amp;BO$3,CLAVE_BOV3,$A93)+SUMIFS(SALIDAS_TC,FECHA_TC,"&gt;="&amp;BO$2,FECHA_TC,"&lt;="&amp;BO$3,CLAVE_TC,$A93)+SUMIFS(SALIDAS_COMB,FECHA_COMB,"&gt;="&amp;BO$2,FECHA_COMB,"&lt;="&amp;BO$3,CLAVE_COMB,$A93)+SUMIFS(SALIDAS_DES,FECHA_DESGLOSEN,"&gt;="&amp;BO$2,FECHA_DESGLOSEN,"&lt;="&amp;BO$3,CLAVE_DESGLOSE,$A93)</f>
        <v>0</v>
      </c>
      <c r="BP93" s="13">
        <f>SUMIFS(SALIDAS_BIT,FECHA_BIT,"&gt;="&amp;BP$2,FECHA_BIT,"&lt;="&amp;BP$3,CLAVE_BIT,$A93)+SUMIFS(SALIDAS_BOV1,FECHA_BOV1,"&gt;="&amp;BP$2,FECHA_BOV1,"&lt;="&amp;BP$3,CLAVE_BOV1,$A93)+SUMIFS(SALIDAS_BOV2,FECHA_BOV2,"&gt;="&amp;BP$2,FECHA_BOV2,"&lt;="&amp;BP$3,CLAVE_BOV2,$A93)+SUMIFS(SALIDAS_BOV3,FECHA_BOV3,"&gt;="&amp;BP$2,FECHA_BOV3,"&lt;="&amp;BP$3,CLAVE_BOV3,$A93)+SUMIFS(SALIDAS_TC,FECHA_TC,"&gt;="&amp;BP$2,FECHA_TC,"&lt;="&amp;BP$3,CLAVE_TC,$A93)+SUMIFS(SALIDAS_COMB,FECHA_COMB,"&gt;="&amp;BP$2,FECHA_COMB,"&lt;="&amp;BP$3,CLAVE_COMB,$A93)+SUMIFS(SALIDAS_DES,FECHA_DESGLOSEN,"&gt;="&amp;BP$2,FECHA_DESGLOSEN,"&lt;="&amp;BP$3,CLAVE_DESGLOSE,$A93)</f>
        <v>0</v>
      </c>
      <c r="BQ93" s="13">
        <f>SUMIFS(SALIDAS_BIT,FECHA_BIT,"&gt;="&amp;BQ$2,FECHA_BIT,"&lt;="&amp;BQ$3,CLAVE_BIT,$A93)+SUMIFS(SALIDAS_BOV1,FECHA_BOV1,"&gt;="&amp;BQ$2,FECHA_BOV1,"&lt;="&amp;BQ$3,CLAVE_BOV1,$A93)+SUMIFS(SALIDAS_BOV2,FECHA_BOV2,"&gt;="&amp;BQ$2,FECHA_BOV2,"&lt;="&amp;BQ$3,CLAVE_BOV2,$A93)+SUMIFS(SALIDAS_BOV3,FECHA_BOV3,"&gt;="&amp;BQ$2,FECHA_BOV3,"&lt;="&amp;BQ$3,CLAVE_BOV3,$A93)+SUMIFS(SALIDAS_TC,FECHA_TC,"&gt;="&amp;BQ$2,FECHA_TC,"&lt;="&amp;BQ$3,CLAVE_TC,$A93)+SUMIFS(SALIDAS_COMB,FECHA_COMB,"&gt;="&amp;BQ$2,FECHA_COMB,"&lt;="&amp;BQ$3,CLAVE_COMB,$A93)+SUMIFS(SALIDAS_DES,FECHA_DESGLOSEN,"&gt;="&amp;BQ$2,FECHA_DESGLOSEN,"&lt;="&amp;BQ$3,CLAVE_DESGLOSE,$A93)</f>
        <v>0</v>
      </c>
      <c r="BR93" s="13">
        <f t="shared" si="193"/>
        <v>0</v>
      </c>
      <c r="BS93" s="68">
        <f t="shared" si="164"/>
        <v>3900</v>
      </c>
      <c r="BT93" s="268">
        <f t="shared" si="165"/>
        <v>0</v>
      </c>
      <c r="BU93" s="13">
        <f t="shared" si="166"/>
        <v>3900</v>
      </c>
      <c r="BV93" s="13">
        <f t="shared" si="186"/>
        <v>0</v>
      </c>
      <c r="BW93" s="13">
        <f t="shared" si="186"/>
        <v>0</v>
      </c>
      <c r="BX93" s="13">
        <f t="shared" si="186"/>
        <v>0</v>
      </c>
      <c r="BY93" s="13">
        <f t="shared" si="186"/>
        <v>0</v>
      </c>
      <c r="BZ93" s="13">
        <f t="shared" si="194"/>
        <v>0</v>
      </c>
      <c r="CA93" s="68">
        <f t="shared" si="167"/>
        <v>3900</v>
      </c>
      <c r="CB93" s="268">
        <f t="shared" si="168"/>
        <v>0</v>
      </c>
      <c r="CC93" s="13">
        <f t="shared" si="169"/>
        <v>3900</v>
      </c>
      <c r="CD93" s="13">
        <f t="shared" si="187"/>
        <v>0</v>
      </c>
      <c r="CE93" s="13">
        <f t="shared" si="187"/>
        <v>0</v>
      </c>
      <c r="CF93" s="13">
        <f t="shared" si="187"/>
        <v>0</v>
      </c>
      <c r="CG93" s="13">
        <f t="shared" si="187"/>
        <v>0</v>
      </c>
      <c r="CH93" s="13">
        <f t="shared" si="195"/>
        <v>0</v>
      </c>
      <c r="CI93" s="68">
        <f t="shared" si="170"/>
        <v>3900</v>
      </c>
      <c r="CJ93" s="268">
        <f t="shared" si="171"/>
        <v>0</v>
      </c>
      <c r="CK93" s="13">
        <f t="shared" si="172"/>
        <v>3900</v>
      </c>
      <c r="CL93" s="13">
        <f t="shared" si="176"/>
        <v>0</v>
      </c>
      <c r="CM93" s="13">
        <f t="shared" si="176"/>
        <v>0</v>
      </c>
      <c r="CN93" s="13">
        <f t="shared" si="176"/>
        <v>0</v>
      </c>
      <c r="CO93" s="13">
        <f t="shared" si="176"/>
        <v>0</v>
      </c>
      <c r="CP93" s="13">
        <f t="shared" si="176"/>
        <v>0</v>
      </c>
      <c r="CQ93" s="13">
        <f t="shared" si="196"/>
        <v>0</v>
      </c>
      <c r="CR93" s="68">
        <f t="shared" si="173"/>
        <v>3900</v>
      </c>
      <c r="CS93" s="268">
        <f t="shared" si="174"/>
        <v>0</v>
      </c>
      <c r="CT93" s="68">
        <f t="shared" si="147"/>
        <v>4002</v>
      </c>
      <c r="CU93" s="13">
        <f>SUMIFS(SALIDAS_BIT,FECHA_BIT,"&gt;="&amp;CU$2,FECHA_BIT,"&lt;="&amp;CU$3,CLAVE_BIT,$A93)+SUMIFS(SALIDAS_BOV1,FECHA_BOV1,"&gt;="&amp;CU$2,FECHA_BOV1,"&lt;="&amp;CU$3,CLAVE_BOV1,$A93)+SUMIFS(SALIDAS_BOV2,FECHA_BOV2,"&gt;="&amp;CU$2,FECHA_BOV2,"&lt;="&amp;CU$3,CLAVE_BOV2,$A93)+SUMIFS(SALIDAS_BOV3,FECHA_BOV3,"&gt;="&amp;CU$2,FECHA_BOV3,"&lt;="&amp;CU$3,CLAVE_BOV3,$A93)+SUMIFS(SALIDAS_TC,FECHA_TC,"&gt;="&amp;CU$2,FECHA_TC,"&lt;="&amp;CU$3,CLAVE_TC,$A93)+SUMIFS(SALIDAS_COMB,FECHA_COMB,"&gt;="&amp;CU$2,FECHA_COMB,"&lt;="&amp;CU$3,CLAVE_COMB,$A93)+SUMIFS(SALIDAS_DES,FECHA_DESGLOSEN,"&gt;="&amp;CU$2,FECHA_DESGLOSEN,"&lt;="&amp;CU$3,CLAVE_DESGLOSE,$A93)</f>
        <v>0</v>
      </c>
      <c r="CV93" s="13">
        <f>SUMIFS(SALIDAS_BIT,FECHA_BIT,"&gt;="&amp;CV$2,FECHA_BIT,"&lt;="&amp;CV$3,CLAVE_BIT,$A93)+SUMIFS(SALIDAS_BOV1,FECHA_BOV1,"&gt;="&amp;CV$2,FECHA_BOV1,"&lt;="&amp;CV$3,CLAVE_BOV1,$A93)+SUMIFS(SALIDAS_BOV2,FECHA_BOV2,"&gt;="&amp;CV$2,FECHA_BOV2,"&lt;="&amp;CV$3,CLAVE_BOV2,$A93)+SUMIFS(SALIDAS_BOV3,FECHA_BOV3,"&gt;="&amp;CV$2,FECHA_BOV3,"&lt;="&amp;CV$3,CLAVE_BOV3,$A93)+SUMIFS(SALIDAS_TC,FECHA_TC,"&gt;="&amp;CV$2,FECHA_TC,"&lt;="&amp;CV$3,CLAVE_TC,$A93)+SUMIFS(SALIDAS_COMB,FECHA_COMB,"&gt;="&amp;CV$2,FECHA_COMB,"&lt;="&amp;CV$3,CLAVE_COMB,$A93)+SUMIFS(SALIDAS_DES,FECHA_DESGLOSEN,"&gt;="&amp;CV$2,FECHA_DESGLOSEN,"&lt;="&amp;CV$3,CLAVE_DESGLOSE,$A93)</f>
        <v>0</v>
      </c>
      <c r="CW93" s="13">
        <f>SUMIFS(SALIDAS_BIT,FECHA_BIT,"&gt;="&amp;CW$2,FECHA_BIT,"&lt;="&amp;CW$3,CLAVE_BIT,$A93)+SUMIFS(SALIDAS_BOV1,FECHA_BOV1,"&gt;="&amp;CW$2,FECHA_BOV1,"&lt;="&amp;CW$3,CLAVE_BOV1,$A93)+SUMIFS(SALIDAS_BOV2,FECHA_BOV2,"&gt;="&amp;CW$2,FECHA_BOV2,"&lt;="&amp;CW$3,CLAVE_BOV2,$A93)+SUMIFS(SALIDAS_BOV3,FECHA_BOV3,"&gt;="&amp;CW$2,FECHA_BOV3,"&lt;="&amp;CW$3,CLAVE_BOV3,$A93)+SUMIFS(SALIDAS_TC,FECHA_TC,"&gt;="&amp;CW$2,FECHA_TC,"&lt;="&amp;CW$3,CLAVE_TC,$A93)+SUMIFS(SALIDAS_COMB,FECHA_COMB,"&gt;="&amp;CW$2,FECHA_COMB,"&lt;="&amp;CW$3,CLAVE_COMB,$A93)+SUMIFS(SALIDAS_DES,FECHA_DESGLOSEN,"&gt;="&amp;CW$2,FECHA_DESGLOSEN,"&lt;="&amp;CW$3,CLAVE_DESGLOSE,$A93)</f>
        <v>0</v>
      </c>
      <c r="CX93" s="13">
        <f>SUMIFS(SALIDAS_BIT,FECHA_BIT,"&gt;="&amp;CX$2,FECHA_BIT,"&lt;="&amp;CX$3,CLAVE_BIT,$A93)+SUMIFS(SALIDAS_BOV1,FECHA_BOV1,"&gt;="&amp;CX$2,FECHA_BOV1,"&lt;="&amp;CX$3,CLAVE_BOV1,$A93)+SUMIFS(SALIDAS_BOV2,FECHA_BOV2,"&gt;="&amp;CX$2,FECHA_BOV2,"&lt;="&amp;CX$3,CLAVE_BOV2,$A93)+SUMIFS(SALIDAS_BOV3,FECHA_BOV3,"&gt;="&amp;CX$2,FECHA_BOV3,"&lt;="&amp;CX$3,CLAVE_BOV3,$A93)+SUMIFS(SALIDAS_TC,FECHA_TC,"&gt;="&amp;CX$2,FECHA_TC,"&lt;="&amp;CX$3,CLAVE_TC,$A93)+SUMIFS(SALIDAS_COMB,FECHA_COMB,"&gt;="&amp;CX$2,FECHA_COMB,"&lt;="&amp;CX$3,CLAVE_COMB,$A93)+SUMIFS(SALIDAS_DES,FECHA_DESGLOSEN,"&gt;="&amp;CX$2,FECHA_DESGLOSEN,"&lt;="&amp;CX$3,CLAVE_DESGLOSE,$A93)</f>
        <v>0</v>
      </c>
      <c r="CY93" s="13">
        <f>SUMIFS(SALIDAS_BIT,FECHA_BIT,"&gt;="&amp;CY$2,FECHA_BIT,"&lt;="&amp;CY$3,CLAVE_BIT,$A93)+SUMIFS(SALIDAS_BOV1,FECHA_BOV1,"&gt;="&amp;CY$2,FECHA_BOV1,"&lt;="&amp;CY$3,CLAVE_BOV1,$A93)+SUMIFS(SALIDAS_BOV2,FECHA_BOV2,"&gt;="&amp;CY$2,FECHA_BOV2,"&lt;="&amp;CY$3,CLAVE_BOV2,$A93)+SUMIFS(SALIDAS_BOV3,FECHA_BOV3,"&gt;="&amp;CY$2,FECHA_BOV3,"&lt;="&amp;CY$3,CLAVE_BOV3,$A93)+SUMIFS(SALIDAS_TC,FECHA_TC,"&gt;="&amp;CY$2,FECHA_TC,"&lt;="&amp;CY$3,CLAVE_TC,$A93)+SUMIFS(SALIDAS_COMB,FECHA_COMB,"&gt;="&amp;CY$2,FECHA_COMB,"&lt;="&amp;CY$3,CLAVE_COMB,$A93)+SUMIFS(SALIDAS_DES,FECHA_DESGLOSEN,"&gt;="&amp;CY$2,FECHA_DESGLOSEN,"&lt;="&amp;CY$3,CLAVE_DESGLOSE,$A93)</f>
        <v>0</v>
      </c>
      <c r="CZ93" s="68">
        <f t="shared" si="175"/>
        <v>4002</v>
      </c>
      <c r="DB93" s="17">
        <f>F93+N93+W93+AE93+AM93+AV93+BD93+BL93+BU93+CC93+CK93</f>
        <v>42900</v>
      </c>
      <c r="DC93" s="17">
        <f>K93+T93+AB93+AJ93+AS93+BA93+BI93+BR93+BZ93+CH93+CQ93</f>
        <v>0</v>
      </c>
    </row>
    <row r="94" spans="1:107" hidden="1">
      <c r="A94" s="12" t="str">
        <f t="shared" si="148"/>
        <v>FINANZASRENTASCONTABILIDAD (WT)</v>
      </c>
      <c r="B94" s="12">
        <v>96</v>
      </c>
      <c r="C94" t="s">
        <v>23</v>
      </c>
      <c r="D94" s="12" t="s">
        <v>169</v>
      </c>
      <c r="E94" s="12" t="s">
        <v>171</v>
      </c>
      <c r="F94" s="259">
        <f t="shared" si="141"/>
        <v>8000</v>
      </c>
      <c r="G94" s="13">
        <f t="shared" si="188"/>
        <v>0</v>
      </c>
      <c r="H94" s="13">
        <f t="shared" si="188"/>
        <v>0</v>
      </c>
      <c r="I94" s="13">
        <f t="shared" si="188"/>
        <v>0</v>
      </c>
      <c r="J94" s="13">
        <f t="shared" si="188"/>
        <v>1659.18</v>
      </c>
      <c r="K94" s="13">
        <f t="shared" si="188"/>
        <v>1659.18</v>
      </c>
      <c r="L94" s="68">
        <f t="shared" si="149"/>
        <v>6340.82</v>
      </c>
      <c r="M94" s="268">
        <f t="shared" si="150"/>
        <v>0.20739750000000001</v>
      </c>
      <c r="N94" s="13">
        <f t="shared" si="142"/>
        <v>8000</v>
      </c>
      <c r="O94" s="13">
        <f t="shared" si="189"/>
        <v>0</v>
      </c>
      <c r="P94" s="13">
        <f t="shared" si="189"/>
        <v>0</v>
      </c>
      <c r="Q94" s="13">
        <f t="shared" si="189"/>
        <v>0</v>
      </c>
      <c r="R94" s="13">
        <f t="shared" si="189"/>
        <v>4838.92</v>
      </c>
      <c r="S94" s="13">
        <f t="shared" si="189"/>
        <v>0</v>
      </c>
      <c r="T94" s="13">
        <f t="shared" si="189"/>
        <v>4838.92</v>
      </c>
      <c r="U94" s="68">
        <f t="shared" si="151"/>
        <v>3161.08</v>
      </c>
      <c r="V94" s="268">
        <f t="shared" si="152"/>
        <v>0.60486499999999999</v>
      </c>
      <c r="W94" s="13">
        <f t="shared" si="143"/>
        <v>8000</v>
      </c>
      <c r="X94" s="13">
        <f t="shared" si="190"/>
        <v>0</v>
      </c>
      <c r="Y94" s="13">
        <f t="shared" si="190"/>
        <v>0</v>
      </c>
      <c r="Z94" s="13">
        <f t="shared" si="190"/>
        <v>0</v>
      </c>
      <c r="AA94" s="13">
        <f t="shared" si="190"/>
        <v>4570.5200000000004</v>
      </c>
      <c r="AB94" s="13">
        <f t="shared" si="190"/>
        <v>4570.5200000000004</v>
      </c>
      <c r="AC94" s="68">
        <f t="shared" si="153"/>
        <v>3429.4799999999996</v>
      </c>
      <c r="AD94" s="268">
        <f t="shared" si="154"/>
        <v>0.57131500000000002</v>
      </c>
      <c r="AE94" s="13">
        <f t="shared" si="144"/>
        <v>8000</v>
      </c>
      <c r="AF94" s="13">
        <f t="shared" si="191"/>
        <v>0</v>
      </c>
      <c r="AG94" s="13">
        <f t="shared" si="191"/>
        <v>0</v>
      </c>
      <c r="AH94" s="13">
        <f t="shared" si="191"/>
        <v>0</v>
      </c>
      <c r="AI94" s="13">
        <f t="shared" si="191"/>
        <v>0</v>
      </c>
      <c r="AJ94" s="13">
        <f t="shared" si="191"/>
        <v>0</v>
      </c>
      <c r="AK94" s="68">
        <f t="shared" si="155"/>
        <v>8000</v>
      </c>
      <c r="AL94" s="268">
        <f t="shared" si="156"/>
        <v>0</v>
      </c>
      <c r="AM94" s="13">
        <f t="shared" si="145"/>
        <v>8000</v>
      </c>
      <c r="AN94" s="13">
        <f t="shared" si="192"/>
        <v>15620</v>
      </c>
      <c r="AO94" s="13">
        <f t="shared" si="192"/>
        <v>0</v>
      </c>
      <c r="AP94" s="13">
        <f t="shared" si="192"/>
        <v>0</v>
      </c>
      <c r="AQ94" s="13">
        <f t="shared" si="192"/>
        <v>0</v>
      </c>
      <c r="AR94" s="13">
        <f t="shared" si="192"/>
        <v>0</v>
      </c>
      <c r="AS94" s="13">
        <f t="shared" si="192"/>
        <v>15620</v>
      </c>
      <c r="AT94" s="68">
        <f>AM94-AS94</f>
        <v>-7620</v>
      </c>
      <c r="AU94" s="268">
        <f t="shared" si="157"/>
        <v>1.9524999999999999</v>
      </c>
      <c r="AV94" s="13">
        <f t="shared" si="146"/>
        <v>8000</v>
      </c>
      <c r="AW94" s="13">
        <f t="shared" si="119"/>
        <v>0</v>
      </c>
      <c r="AX94" s="13">
        <f t="shared" si="119"/>
        <v>0</v>
      </c>
      <c r="AY94" s="13">
        <f t="shared" si="119"/>
        <v>0</v>
      </c>
      <c r="AZ94" s="13">
        <f t="shared" si="119"/>
        <v>6268.42</v>
      </c>
      <c r="BA94" s="13">
        <f t="shared" si="120"/>
        <v>6268.42</v>
      </c>
      <c r="BB94" s="68">
        <f t="shared" si="158"/>
        <v>1731.58</v>
      </c>
      <c r="BC94" s="268">
        <f t="shared" si="159"/>
        <v>0.78355249999999999</v>
      </c>
      <c r="BD94" s="13">
        <f t="shared" si="160"/>
        <v>8000</v>
      </c>
      <c r="BE94" s="13">
        <f>SUMIFS(SALIDAS_BIT,FECHA_BIT,"&gt;="&amp;BE$2,FECHA_BIT,"&lt;="&amp;BE$3,CLAVE_BIT,$A94)+SUMIFS(SALIDAS_BOV1,FECHA_BOV1,"&gt;="&amp;BE$2,FECHA_BOV1,"&lt;="&amp;BE$3,CLAVE_BOV1,$A94)+SUMIFS(SALIDAS_BOV2,FECHA_BOV2,"&gt;="&amp;BE$2,FECHA_BOV2,"&lt;="&amp;BE$3,CLAVE_BOV2,$A94)+SUMIFS(SALIDAS_BOV3,FECHA_BOV3,"&gt;="&amp;BE$2,FECHA_BOV3,"&lt;="&amp;BE$3,CLAVE_BOV3,$A94)+SUMIFS(SALIDAS_TC,FECHA_TC,"&gt;="&amp;BE$2,FECHA_TC,"&lt;="&amp;BE$3,CLAVE_TC,$A94)+SUMIFS(SALIDAS_COMB,FECHA_COMB,"&gt;="&amp;BE$2,FECHA_COMB,"&lt;="&amp;BE$3,CLAVE_COMB,$A94)+SUMIFS(SALIDAS_DES,FECHA_DESGLOSEN,"&gt;="&amp;BE$2,FECHA_DESGLOSEN,"&lt;="&amp;BE$3,CLAVE_DESGLOSE,$A94)</f>
        <v>0</v>
      </c>
      <c r="BF94" s="13">
        <f>SUMIFS(SALIDAS_BIT,FECHA_BIT,"&gt;="&amp;BF$2,FECHA_BIT,"&lt;="&amp;BF$3,CLAVE_BIT,$A94)+SUMIFS(SALIDAS_BOV1,FECHA_BOV1,"&gt;="&amp;BF$2,FECHA_BOV1,"&lt;="&amp;BF$3,CLAVE_BOV1,$A94)+SUMIFS(SALIDAS_BOV2,FECHA_BOV2,"&gt;="&amp;BF$2,FECHA_BOV2,"&lt;="&amp;BF$3,CLAVE_BOV2,$A94)+SUMIFS(SALIDAS_BOV3,FECHA_BOV3,"&gt;="&amp;BF$2,FECHA_BOV3,"&lt;="&amp;BF$3,CLAVE_BOV3,$A94)+SUMIFS(SALIDAS_TC,FECHA_TC,"&gt;="&amp;BF$2,FECHA_TC,"&lt;="&amp;BF$3,CLAVE_TC,$A94)+SUMIFS(SALIDAS_COMB,FECHA_COMB,"&gt;="&amp;BF$2,FECHA_COMB,"&lt;="&amp;BF$3,CLAVE_COMB,$A94)+SUMIFS(SALIDAS_DES,FECHA_DESGLOSEN,"&gt;="&amp;BF$2,FECHA_DESGLOSEN,"&lt;="&amp;BF$3,CLAVE_DESGLOSE,$A94)</f>
        <v>0</v>
      </c>
      <c r="BG94" s="13">
        <f>SUMIFS(SALIDAS_BIT,FECHA_BIT,"&gt;="&amp;BG$2,FECHA_BIT,"&lt;="&amp;BG$3,CLAVE_BIT,$A94)+SUMIFS(SALIDAS_BOV1,FECHA_BOV1,"&gt;="&amp;BG$2,FECHA_BOV1,"&lt;="&amp;BG$3,CLAVE_BOV1,$A94)+SUMIFS(SALIDAS_BOV2,FECHA_BOV2,"&gt;="&amp;BG$2,FECHA_BOV2,"&lt;="&amp;BG$3,CLAVE_BOV2,$A94)+SUMIFS(SALIDAS_BOV3,FECHA_BOV3,"&gt;="&amp;BG$2,FECHA_BOV3,"&lt;="&amp;BG$3,CLAVE_BOV3,$A94)+SUMIFS(SALIDAS_TC,FECHA_TC,"&gt;="&amp;BG$2,FECHA_TC,"&lt;="&amp;BG$3,CLAVE_TC,$A94)+SUMIFS(SALIDAS_COMB,FECHA_COMB,"&gt;="&amp;BG$2,FECHA_COMB,"&lt;="&amp;BG$3,CLAVE_COMB,$A94)+SUMIFS(SALIDAS_DES,FECHA_DESGLOSEN,"&gt;="&amp;BG$2,FECHA_DESGLOSEN,"&lt;="&amp;BG$3,CLAVE_DESGLOSE,$A94)</f>
        <v>0</v>
      </c>
      <c r="BH94" s="13">
        <f>SUMIFS(SALIDAS_BIT,FECHA_BIT,"&gt;="&amp;BH$2,FECHA_BIT,"&lt;="&amp;BH$3,CLAVE_BIT,$A94)+SUMIFS(SALIDAS_BOV1,FECHA_BOV1,"&gt;="&amp;BH$2,FECHA_BOV1,"&lt;="&amp;BH$3,CLAVE_BOV1,$A94)+SUMIFS(SALIDAS_BOV2,FECHA_BOV2,"&gt;="&amp;BH$2,FECHA_BOV2,"&lt;="&amp;BH$3,CLAVE_BOV2,$A94)+SUMIFS(SALIDAS_BOV3,FECHA_BOV3,"&gt;="&amp;BH$2,FECHA_BOV3,"&lt;="&amp;BH$3,CLAVE_BOV3,$A94)+SUMIFS(SALIDAS_TC,FECHA_TC,"&gt;="&amp;BH$2,FECHA_TC,"&lt;="&amp;BH$3,CLAVE_TC,$A94)+SUMIFS(SALIDAS_COMB,FECHA_COMB,"&gt;="&amp;BH$2,FECHA_COMB,"&lt;="&amp;BH$3,CLAVE_COMB,$A94)+SUMIFS(SALIDAS_DES,FECHA_DESGLOSEN,"&gt;="&amp;BH$2,FECHA_DESGLOSEN,"&lt;="&amp;BH$3,CLAVE_DESGLOSE,$A94)</f>
        <v>3090.54</v>
      </c>
      <c r="BI94" s="13">
        <f t="shared" si="121"/>
        <v>3090.54</v>
      </c>
      <c r="BJ94" s="68">
        <f t="shared" si="161"/>
        <v>4909.46</v>
      </c>
      <c r="BK94" s="268">
        <f t="shared" si="162"/>
        <v>0.38631749999999998</v>
      </c>
      <c r="BL94" s="13">
        <f t="shared" si="163"/>
        <v>8000</v>
      </c>
      <c r="BM94" s="13">
        <f>SUMIFS(SALIDAS_BIT,FECHA_BIT,"&gt;="&amp;BM$2,FECHA_BIT,"&lt;="&amp;BM$3,CLAVE_BIT,$A94)+SUMIFS(SALIDAS_BOV1,FECHA_BOV1,"&gt;="&amp;BM$2,FECHA_BOV1,"&lt;="&amp;BM$3,CLAVE_BOV1,$A94)+SUMIFS(SALIDAS_BOV2,FECHA_BOV2,"&gt;="&amp;BM$2,FECHA_BOV2,"&lt;="&amp;BM$3,CLAVE_BOV2,$A94)+SUMIFS(SALIDAS_BOV3,FECHA_BOV3,"&gt;="&amp;BM$2,FECHA_BOV3,"&lt;="&amp;BM$3,CLAVE_BOV3,$A94)+SUMIFS(SALIDAS_TC,FECHA_TC,"&gt;="&amp;BM$2,FECHA_TC,"&lt;="&amp;BM$3,CLAVE_TC,$A94)+SUMIFS(SALIDAS_COMB,FECHA_COMB,"&gt;="&amp;BM$2,FECHA_COMB,"&lt;="&amp;BM$3,CLAVE_COMB,$A94)+SUMIFS(SALIDAS_DES,FECHA_DESGLOSEN,"&gt;="&amp;BM$2,FECHA_DESGLOSEN,"&lt;="&amp;BM$3,CLAVE_DESGLOSE,$A94)</f>
        <v>10253.17</v>
      </c>
      <c r="BN94" s="13">
        <f>SUMIFS(SALIDAS_BIT,FECHA_BIT,"&gt;="&amp;BN$2,FECHA_BIT,"&lt;="&amp;BN$3,CLAVE_BIT,$A94)+SUMIFS(SALIDAS_BOV1,FECHA_BOV1,"&gt;="&amp;BN$2,FECHA_BOV1,"&lt;="&amp;BN$3,CLAVE_BOV1,$A94)+SUMIFS(SALIDAS_BOV2,FECHA_BOV2,"&gt;="&amp;BN$2,FECHA_BOV2,"&lt;="&amp;BN$3,CLAVE_BOV2,$A94)+SUMIFS(SALIDAS_BOV3,FECHA_BOV3,"&gt;="&amp;BN$2,FECHA_BOV3,"&lt;="&amp;BN$3,CLAVE_BOV3,$A94)+SUMIFS(SALIDAS_TC,FECHA_TC,"&gt;="&amp;BN$2,FECHA_TC,"&lt;="&amp;BN$3,CLAVE_TC,$A94)+SUMIFS(SALIDAS_COMB,FECHA_COMB,"&gt;="&amp;BN$2,FECHA_COMB,"&lt;="&amp;BN$3,CLAVE_COMB,$A94)+SUMIFS(SALIDAS_DES,FECHA_DESGLOSEN,"&gt;="&amp;BN$2,FECHA_DESGLOSEN,"&lt;="&amp;BN$3,CLAVE_DESGLOSE,$A94)</f>
        <v>0</v>
      </c>
      <c r="BO94" s="13">
        <f>SUMIFS(SALIDAS_BIT,FECHA_BIT,"&gt;="&amp;BO$2,FECHA_BIT,"&lt;="&amp;BO$3,CLAVE_BIT,$A94)+SUMIFS(SALIDAS_BOV1,FECHA_BOV1,"&gt;="&amp;BO$2,FECHA_BOV1,"&lt;="&amp;BO$3,CLAVE_BOV1,$A94)+SUMIFS(SALIDAS_BOV2,FECHA_BOV2,"&gt;="&amp;BO$2,FECHA_BOV2,"&lt;="&amp;BO$3,CLAVE_BOV2,$A94)+SUMIFS(SALIDAS_BOV3,FECHA_BOV3,"&gt;="&amp;BO$2,FECHA_BOV3,"&lt;="&amp;BO$3,CLAVE_BOV3,$A94)+SUMIFS(SALIDAS_TC,FECHA_TC,"&gt;="&amp;BO$2,FECHA_TC,"&lt;="&amp;BO$3,CLAVE_TC,$A94)+SUMIFS(SALIDAS_COMB,FECHA_COMB,"&gt;="&amp;BO$2,FECHA_COMB,"&lt;="&amp;BO$3,CLAVE_COMB,$A94)+SUMIFS(SALIDAS_DES,FECHA_DESGLOSEN,"&gt;="&amp;BO$2,FECHA_DESGLOSEN,"&lt;="&amp;BO$3,CLAVE_DESGLOSE,$A94)</f>
        <v>0</v>
      </c>
      <c r="BP94" s="13">
        <f>SUMIFS(SALIDAS_BIT,FECHA_BIT,"&gt;="&amp;BP$2,FECHA_BIT,"&lt;="&amp;BP$3,CLAVE_BIT,$A94)+SUMIFS(SALIDAS_BOV1,FECHA_BOV1,"&gt;="&amp;BP$2,FECHA_BOV1,"&lt;="&amp;BP$3,CLAVE_BOV1,$A94)+SUMIFS(SALIDAS_BOV2,FECHA_BOV2,"&gt;="&amp;BP$2,FECHA_BOV2,"&lt;="&amp;BP$3,CLAVE_BOV2,$A94)+SUMIFS(SALIDAS_BOV3,FECHA_BOV3,"&gt;="&amp;BP$2,FECHA_BOV3,"&lt;="&amp;BP$3,CLAVE_BOV3,$A94)+SUMIFS(SALIDAS_TC,FECHA_TC,"&gt;="&amp;BP$2,FECHA_TC,"&lt;="&amp;BP$3,CLAVE_TC,$A94)+SUMIFS(SALIDAS_COMB,FECHA_COMB,"&gt;="&amp;BP$2,FECHA_COMB,"&lt;="&amp;BP$3,CLAVE_COMB,$A94)+SUMIFS(SALIDAS_DES,FECHA_DESGLOSEN,"&gt;="&amp;BP$2,FECHA_DESGLOSEN,"&lt;="&amp;BP$3,CLAVE_DESGLOSE,$A94)</f>
        <v>1844.09</v>
      </c>
      <c r="BQ94" s="13">
        <f>SUMIFS(SALIDAS_BIT,FECHA_BIT,"&gt;="&amp;BQ$2,FECHA_BIT,"&lt;="&amp;BQ$3,CLAVE_BIT,$A94)+SUMIFS(SALIDAS_BOV1,FECHA_BOV1,"&gt;="&amp;BQ$2,FECHA_BOV1,"&lt;="&amp;BQ$3,CLAVE_BOV1,$A94)+SUMIFS(SALIDAS_BOV2,FECHA_BOV2,"&gt;="&amp;BQ$2,FECHA_BOV2,"&lt;="&amp;BQ$3,CLAVE_BOV2,$A94)+SUMIFS(SALIDAS_BOV3,FECHA_BOV3,"&gt;="&amp;BQ$2,FECHA_BOV3,"&lt;="&amp;BQ$3,CLAVE_BOV3,$A94)+SUMIFS(SALIDAS_TC,FECHA_TC,"&gt;="&amp;BQ$2,FECHA_TC,"&lt;="&amp;BQ$3,CLAVE_TC,$A94)+SUMIFS(SALIDAS_COMB,FECHA_COMB,"&gt;="&amp;BQ$2,FECHA_COMB,"&lt;="&amp;BQ$3,CLAVE_COMB,$A94)+SUMIFS(SALIDAS_DES,FECHA_DESGLOSEN,"&gt;="&amp;BQ$2,FECHA_DESGLOSEN,"&lt;="&amp;BQ$3,CLAVE_DESGLOSE,$A94)</f>
        <v>0</v>
      </c>
      <c r="BR94" s="13">
        <f t="shared" si="193"/>
        <v>12097.26</v>
      </c>
      <c r="BS94" s="68">
        <f t="shared" si="164"/>
        <v>-4097.26</v>
      </c>
      <c r="BT94" s="268">
        <f t="shared" si="165"/>
        <v>1.5121575</v>
      </c>
      <c r="BU94" s="13">
        <f t="shared" si="166"/>
        <v>8000</v>
      </c>
      <c r="BV94" s="13">
        <f t="shared" si="186"/>
        <v>0</v>
      </c>
      <c r="BW94" s="13">
        <f t="shared" si="186"/>
        <v>0</v>
      </c>
      <c r="BX94" s="13">
        <f t="shared" si="186"/>
        <v>0</v>
      </c>
      <c r="BY94" s="13">
        <f t="shared" si="186"/>
        <v>4761.9799999999996</v>
      </c>
      <c r="BZ94" s="13">
        <f t="shared" si="194"/>
        <v>4761.9799999999996</v>
      </c>
      <c r="CA94" s="68">
        <f t="shared" si="167"/>
        <v>3238.0200000000004</v>
      </c>
      <c r="CB94" s="268">
        <f t="shared" si="168"/>
        <v>0.59524749999999993</v>
      </c>
      <c r="CC94" s="13">
        <f t="shared" si="169"/>
        <v>8000</v>
      </c>
      <c r="CD94" s="13">
        <f t="shared" si="187"/>
        <v>0</v>
      </c>
      <c r="CE94" s="13">
        <f t="shared" si="187"/>
        <v>0</v>
      </c>
      <c r="CF94" s="13">
        <f t="shared" si="187"/>
        <v>0</v>
      </c>
      <c r="CG94" s="13">
        <f t="shared" si="187"/>
        <v>2237.37</v>
      </c>
      <c r="CH94" s="13">
        <f t="shared" si="195"/>
        <v>2237.37</v>
      </c>
      <c r="CI94" s="68">
        <f t="shared" si="170"/>
        <v>5762.63</v>
      </c>
      <c r="CJ94" s="268">
        <f t="shared" si="171"/>
        <v>0.27967124999999998</v>
      </c>
      <c r="CK94" s="13">
        <f t="shared" si="172"/>
        <v>8000</v>
      </c>
      <c r="CL94" s="13">
        <f t="shared" si="176"/>
        <v>0</v>
      </c>
      <c r="CM94" s="13">
        <f t="shared" si="176"/>
        <v>0</v>
      </c>
      <c r="CN94" s="13">
        <f t="shared" si="176"/>
        <v>0</v>
      </c>
      <c r="CO94" s="13">
        <f t="shared" si="176"/>
        <v>0</v>
      </c>
      <c r="CP94" s="13">
        <f t="shared" si="176"/>
        <v>0</v>
      </c>
      <c r="CQ94" s="13">
        <f t="shared" si="196"/>
        <v>0</v>
      </c>
      <c r="CR94" s="68">
        <f t="shared" si="173"/>
        <v>8000</v>
      </c>
      <c r="CS94" s="268">
        <f t="shared" si="174"/>
        <v>0</v>
      </c>
      <c r="CT94" s="68">
        <f t="shared" si="147"/>
        <v>6671</v>
      </c>
      <c r="CU94" s="13">
        <f>SUMIFS(SALIDAS_BIT,FECHA_BIT,"&gt;="&amp;CU$2,FECHA_BIT,"&lt;="&amp;CU$3,CLAVE_BIT,$A94)+SUMIFS(SALIDAS_BOV1,FECHA_BOV1,"&gt;="&amp;CU$2,FECHA_BOV1,"&lt;="&amp;CU$3,CLAVE_BOV1,$A94)+SUMIFS(SALIDAS_BOV2,FECHA_BOV2,"&gt;="&amp;CU$2,FECHA_BOV2,"&lt;="&amp;CU$3,CLAVE_BOV2,$A94)+SUMIFS(SALIDAS_BOV3,FECHA_BOV3,"&gt;="&amp;CU$2,FECHA_BOV3,"&lt;="&amp;CU$3,CLAVE_BOV3,$A94)+SUMIFS(SALIDAS_TC,FECHA_TC,"&gt;="&amp;CU$2,FECHA_TC,"&lt;="&amp;CU$3,CLAVE_TC,$A94)+SUMIFS(SALIDAS_COMB,FECHA_COMB,"&gt;="&amp;CU$2,FECHA_COMB,"&lt;="&amp;CU$3,CLAVE_COMB,$A94)+SUMIFS(SALIDAS_DES,FECHA_DESGLOSEN,"&gt;="&amp;CU$2,FECHA_DESGLOSEN,"&lt;="&amp;CU$3,CLAVE_DESGLOSE,$A94)</f>
        <v>0</v>
      </c>
      <c r="CV94" s="13">
        <f>SUMIFS(SALIDAS_BIT,FECHA_BIT,"&gt;="&amp;CV$2,FECHA_BIT,"&lt;="&amp;CV$3,CLAVE_BIT,$A94)+SUMIFS(SALIDAS_BOV1,FECHA_BOV1,"&gt;="&amp;CV$2,FECHA_BOV1,"&lt;="&amp;CV$3,CLAVE_BOV1,$A94)+SUMIFS(SALIDAS_BOV2,FECHA_BOV2,"&gt;="&amp;CV$2,FECHA_BOV2,"&lt;="&amp;CV$3,CLAVE_BOV2,$A94)+SUMIFS(SALIDAS_BOV3,FECHA_BOV3,"&gt;="&amp;CV$2,FECHA_BOV3,"&lt;="&amp;CV$3,CLAVE_BOV3,$A94)+SUMIFS(SALIDAS_TC,FECHA_TC,"&gt;="&amp;CV$2,FECHA_TC,"&lt;="&amp;CV$3,CLAVE_TC,$A94)+SUMIFS(SALIDAS_COMB,FECHA_COMB,"&gt;="&amp;CV$2,FECHA_COMB,"&lt;="&amp;CV$3,CLAVE_COMB,$A94)+SUMIFS(SALIDAS_DES,FECHA_DESGLOSEN,"&gt;="&amp;CV$2,FECHA_DESGLOSEN,"&lt;="&amp;CV$3,CLAVE_DESGLOSE,$A94)</f>
        <v>0</v>
      </c>
      <c r="CW94" s="13">
        <f>SUMIFS(SALIDAS_BIT,FECHA_BIT,"&gt;="&amp;CW$2,FECHA_BIT,"&lt;="&amp;CW$3,CLAVE_BIT,$A94)+SUMIFS(SALIDAS_BOV1,FECHA_BOV1,"&gt;="&amp;CW$2,FECHA_BOV1,"&lt;="&amp;CW$3,CLAVE_BOV1,$A94)+SUMIFS(SALIDAS_BOV2,FECHA_BOV2,"&gt;="&amp;CW$2,FECHA_BOV2,"&lt;="&amp;CW$3,CLAVE_BOV2,$A94)+SUMIFS(SALIDAS_BOV3,FECHA_BOV3,"&gt;="&amp;CW$2,FECHA_BOV3,"&lt;="&amp;CW$3,CLAVE_BOV3,$A94)+SUMIFS(SALIDAS_TC,FECHA_TC,"&gt;="&amp;CW$2,FECHA_TC,"&lt;="&amp;CW$3,CLAVE_TC,$A94)+SUMIFS(SALIDAS_COMB,FECHA_COMB,"&gt;="&amp;CW$2,FECHA_COMB,"&lt;="&amp;CW$3,CLAVE_COMB,$A94)+SUMIFS(SALIDAS_DES,FECHA_DESGLOSEN,"&gt;="&amp;CW$2,FECHA_DESGLOSEN,"&lt;="&amp;CW$3,CLAVE_DESGLOSE,$A94)</f>
        <v>0</v>
      </c>
      <c r="CX94" s="13">
        <f>SUMIFS(SALIDAS_BIT,FECHA_BIT,"&gt;="&amp;CX$2,FECHA_BIT,"&lt;="&amp;CX$3,CLAVE_BIT,$A94)+SUMIFS(SALIDAS_BOV1,FECHA_BOV1,"&gt;="&amp;CX$2,FECHA_BOV1,"&lt;="&amp;CX$3,CLAVE_BOV1,$A94)+SUMIFS(SALIDAS_BOV2,FECHA_BOV2,"&gt;="&amp;CX$2,FECHA_BOV2,"&lt;="&amp;CX$3,CLAVE_BOV2,$A94)+SUMIFS(SALIDAS_BOV3,FECHA_BOV3,"&gt;="&amp;CX$2,FECHA_BOV3,"&lt;="&amp;CX$3,CLAVE_BOV3,$A94)+SUMIFS(SALIDAS_TC,FECHA_TC,"&gt;="&amp;CX$2,FECHA_TC,"&lt;="&amp;CX$3,CLAVE_TC,$A94)+SUMIFS(SALIDAS_COMB,FECHA_COMB,"&gt;="&amp;CX$2,FECHA_COMB,"&lt;="&amp;CX$3,CLAVE_COMB,$A94)+SUMIFS(SALIDAS_DES,FECHA_DESGLOSEN,"&gt;="&amp;CX$2,FECHA_DESGLOSEN,"&lt;="&amp;CX$3,CLAVE_DESGLOSE,$A94)</f>
        <v>0</v>
      </c>
      <c r="CY94" s="13">
        <f>SUMIFS(SALIDAS_BIT,FECHA_BIT,"&gt;="&amp;CY$2,FECHA_BIT,"&lt;="&amp;CY$3,CLAVE_BIT,$A94)+SUMIFS(SALIDAS_BOV1,FECHA_BOV1,"&gt;="&amp;CY$2,FECHA_BOV1,"&lt;="&amp;CY$3,CLAVE_BOV1,$A94)+SUMIFS(SALIDAS_BOV2,FECHA_BOV2,"&gt;="&amp;CY$2,FECHA_BOV2,"&lt;="&amp;CY$3,CLAVE_BOV2,$A94)+SUMIFS(SALIDAS_BOV3,FECHA_BOV3,"&gt;="&amp;CY$2,FECHA_BOV3,"&lt;="&amp;CY$3,CLAVE_BOV3,$A94)+SUMIFS(SALIDAS_TC,FECHA_TC,"&gt;="&amp;CY$2,FECHA_TC,"&lt;="&amp;CY$3,CLAVE_TC,$A94)+SUMIFS(SALIDAS_COMB,FECHA_COMB,"&gt;="&amp;CY$2,FECHA_COMB,"&lt;="&amp;CY$3,CLAVE_COMB,$A94)+SUMIFS(SALIDAS_DES,FECHA_DESGLOSEN,"&gt;="&amp;CY$2,FECHA_DESGLOSEN,"&lt;="&amp;CY$3,CLAVE_DESGLOSE,$A94)</f>
        <v>0</v>
      </c>
      <c r="CZ94" s="68">
        <f t="shared" si="175"/>
        <v>6671</v>
      </c>
      <c r="DB94" s="17">
        <f>F94+N94+W94+AE94+AM94+AV94+BD94+BL94+BU94+CC94+CK94</f>
        <v>88000</v>
      </c>
      <c r="DC94" s="17">
        <f>K94+T94+AB94+AJ94+AS94+BA94+BI94+BR94+BZ94+CH94+CQ94</f>
        <v>55144.19000000001</v>
      </c>
    </row>
    <row r="95" spans="1:107" hidden="1">
      <c r="A95" s="12" t="str">
        <f t="shared" si="148"/>
        <v>DEDONATIVOSDONATIVOS</v>
      </c>
      <c r="B95" s="12">
        <v>97</v>
      </c>
      <c r="C95" t="s">
        <v>41</v>
      </c>
      <c r="D95" s="12" t="s">
        <v>86</v>
      </c>
      <c r="E95" s="12" t="s">
        <v>86</v>
      </c>
      <c r="F95" s="259">
        <f t="shared" si="141"/>
        <v>0</v>
      </c>
      <c r="G95" s="13">
        <f t="shared" si="188"/>
        <v>0</v>
      </c>
      <c r="H95" s="13">
        <f t="shared" si="188"/>
        <v>0</v>
      </c>
      <c r="I95" s="13">
        <f t="shared" si="188"/>
        <v>0</v>
      </c>
      <c r="J95" s="13">
        <f t="shared" si="188"/>
        <v>0</v>
      </c>
      <c r="K95" s="13">
        <f t="shared" si="188"/>
        <v>0</v>
      </c>
      <c r="L95" s="68">
        <f t="shared" si="149"/>
        <v>0</v>
      </c>
      <c r="M95" s="268">
        <f t="shared" si="150"/>
        <v>0</v>
      </c>
      <c r="N95" s="13">
        <f t="shared" si="142"/>
        <v>0</v>
      </c>
      <c r="O95" s="13">
        <f t="shared" si="189"/>
        <v>0</v>
      </c>
      <c r="P95" s="13">
        <f t="shared" si="189"/>
        <v>0</v>
      </c>
      <c r="Q95" s="13">
        <f t="shared" si="189"/>
        <v>0</v>
      </c>
      <c r="R95" s="13">
        <f t="shared" si="189"/>
        <v>0</v>
      </c>
      <c r="S95" s="13">
        <f t="shared" si="189"/>
        <v>0</v>
      </c>
      <c r="T95" s="13">
        <f t="shared" si="189"/>
        <v>0</v>
      </c>
      <c r="U95" s="68">
        <f t="shared" si="151"/>
        <v>0</v>
      </c>
      <c r="V95" s="268">
        <f t="shared" si="152"/>
        <v>0</v>
      </c>
      <c r="W95" s="13">
        <f t="shared" si="143"/>
        <v>0</v>
      </c>
      <c r="X95" s="13">
        <f t="shared" si="190"/>
        <v>0</v>
      </c>
      <c r="Y95" s="13">
        <f t="shared" si="190"/>
        <v>0</v>
      </c>
      <c r="Z95" s="13">
        <f t="shared" si="190"/>
        <v>0</v>
      </c>
      <c r="AA95" s="13">
        <f t="shared" si="190"/>
        <v>6000</v>
      </c>
      <c r="AB95" s="13">
        <f t="shared" si="190"/>
        <v>6000</v>
      </c>
      <c r="AC95" s="68">
        <f t="shared" si="153"/>
        <v>-6000</v>
      </c>
      <c r="AD95" s="268">
        <f t="shared" si="154"/>
        <v>0</v>
      </c>
      <c r="AE95" s="13">
        <f t="shared" si="144"/>
        <v>0</v>
      </c>
      <c r="AF95" s="13">
        <f t="shared" si="191"/>
        <v>0</v>
      </c>
      <c r="AG95" s="13">
        <f t="shared" si="191"/>
        <v>0</v>
      </c>
      <c r="AH95" s="13">
        <f t="shared" si="191"/>
        <v>0</v>
      </c>
      <c r="AI95" s="13">
        <f t="shared" si="191"/>
        <v>0</v>
      </c>
      <c r="AJ95" s="13">
        <f t="shared" si="191"/>
        <v>0</v>
      </c>
      <c r="AK95" s="68">
        <f t="shared" si="155"/>
        <v>0</v>
      </c>
      <c r="AL95" s="268">
        <f t="shared" si="156"/>
        <v>0</v>
      </c>
      <c r="AM95" s="13">
        <f t="shared" si="145"/>
        <v>0</v>
      </c>
      <c r="AN95" s="13">
        <f t="shared" si="192"/>
        <v>0</v>
      </c>
      <c r="AO95" s="13">
        <f t="shared" si="192"/>
        <v>0</v>
      </c>
      <c r="AP95" s="13">
        <f t="shared" si="192"/>
        <v>0</v>
      </c>
      <c r="AQ95" s="13">
        <f t="shared" si="192"/>
        <v>0</v>
      </c>
      <c r="AR95" s="13">
        <f t="shared" si="192"/>
        <v>0</v>
      </c>
      <c r="AS95" s="13">
        <f t="shared" si="192"/>
        <v>0</v>
      </c>
      <c r="AT95" s="68">
        <f>AM95-AS95</f>
        <v>0</v>
      </c>
      <c r="AU95" s="268">
        <f t="shared" si="157"/>
        <v>0</v>
      </c>
      <c r="AV95" s="13">
        <f t="shared" si="146"/>
        <v>0</v>
      </c>
      <c r="AW95" s="13">
        <f t="shared" si="119"/>
        <v>0</v>
      </c>
      <c r="AX95" s="13">
        <f t="shared" si="119"/>
        <v>0</v>
      </c>
      <c r="AY95" s="13">
        <f t="shared" si="119"/>
        <v>0</v>
      </c>
      <c r="AZ95" s="13">
        <f t="shared" si="119"/>
        <v>0</v>
      </c>
      <c r="BA95" s="13">
        <f t="shared" si="120"/>
        <v>0</v>
      </c>
      <c r="BB95" s="68">
        <f t="shared" si="158"/>
        <v>0</v>
      </c>
      <c r="BC95" s="268">
        <f t="shared" si="159"/>
        <v>0</v>
      </c>
      <c r="BD95" s="13">
        <f t="shared" si="160"/>
        <v>0</v>
      </c>
      <c r="BE95" s="13">
        <f>SUMIFS(SALIDAS_BIT,FECHA_BIT,"&gt;="&amp;BE$2,FECHA_BIT,"&lt;="&amp;BE$3,CLAVE_BIT,$A95)+SUMIFS(SALIDAS_BOV1,FECHA_BOV1,"&gt;="&amp;BE$2,FECHA_BOV1,"&lt;="&amp;BE$3,CLAVE_BOV1,$A95)+SUMIFS(SALIDAS_BOV2,FECHA_BOV2,"&gt;="&amp;BE$2,FECHA_BOV2,"&lt;="&amp;BE$3,CLAVE_BOV2,$A95)+SUMIFS(SALIDAS_BOV3,FECHA_BOV3,"&gt;="&amp;BE$2,FECHA_BOV3,"&lt;="&amp;BE$3,CLAVE_BOV3,$A95)+SUMIFS(SALIDAS_TC,FECHA_TC,"&gt;="&amp;BE$2,FECHA_TC,"&lt;="&amp;BE$3,CLAVE_TC,$A95)+SUMIFS(SALIDAS_COMB,FECHA_COMB,"&gt;="&amp;BE$2,FECHA_COMB,"&lt;="&amp;BE$3,CLAVE_COMB,$A95)+SUMIFS(SALIDAS_DES,FECHA_DESGLOSEN,"&gt;="&amp;BE$2,FECHA_DESGLOSEN,"&lt;="&amp;BE$3,CLAVE_DESGLOSE,$A95)</f>
        <v>0</v>
      </c>
      <c r="BF95" s="13">
        <f>SUMIFS(SALIDAS_BIT,FECHA_BIT,"&gt;="&amp;BF$2,FECHA_BIT,"&lt;="&amp;BF$3,CLAVE_BIT,$A95)+SUMIFS(SALIDAS_BOV1,FECHA_BOV1,"&gt;="&amp;BF$2,FECHA_BOV1,"&lt;="&amp;BF$3,CLAVE_BOV1,$A95)+SUMIFS(SALIDAS_BOV2,FECHA_BOV2,"&gt;="&amp;BF$2,FECHA_BOV2,"&lt;="&amp;BF$3,CLAVE_BOV2,$A95)+SUMIFS(SALIDAS_BOV3,FECHA_BOV3,"&gt;="&amp;BF$2,FECHA_BOV3,"&lt;="&amp;BF$3,CLAVE_BOV3,$A95)+SUMIFS(SALIDAS_TC,FECHA_TC,"&gt;="&amp;BF$2,FECHA_TC,"&lt;="&amp;BF$3,CLAVE_TC,$A95)+SUMIFS(SALIDAS_COMB,FECHA_COMB,"&gt;="&amp;BF$2,FECHA_COMB,"&lt;="&amp;BF$3,CLAVE_COMB,$A95)+SUMIFS(SALIDAS_DES,FECHA_DESGLOSEN,"&gt;="&amp;BF$2,FECHA_DESGLOSEN,"&lt;="&amp;BF$3,CLAVE_DESGLOSE,$A95)</f>
        <v>0</v>
      </c>
      <c r="BG95" s="13">
        <f>SUMIFS(SALIDAS_BIT,FECHA_BIT,"&gt;="&amp;BG$2,FECHA_BIT,"&lt;="&amp;BG$3,CLAVE_BIT,$A95)+SUMIFS(SALIDAS_BOV1,FECHA_BOV1,"&gt;="&amp;BG$2,FECHA_BOV1,"&lt;="&amp;BG$3,CLAVE_BOV1,$A95)+SUMIFS(SALIDAS_BOV2,FECHA_BOV2,"&gt;="&amp;BG$2,FECHA_BOV2,"&lt;="&amp;BG$3,CLAVE_BOV2,$A95)+SUMIFS(SALIDAS_BOV3,FECHA_BOV3,"&gt;="&amp;BG$2,FECHA_BOV3,"&lt;="&amp;BG$3,CLAVE_BOV3,$A95)+SUMIFS(SALIDAS_TC,FECHA_TC,"&gt;="&amp;BG$2,FECHA_TC,"&lt;="&amp;BG$3,CLAVE_TC,$A95)+SUMIFS(SALIDAS_COMB,FECHA_COMB,"&gt;="&amp;BG$2,FECHA_COMB,"&lt;="&amp;BG$3,CLAVE_COMB,$A95)+SUMIFS(SALIDAS_DES,FECHA_DESGLOSEN,"&gt;="&amp;BG$2,FECHA_DESGLOSEN,"&lt;="&amp;BG$3,CLAVE_DESGLOSE,$A95)</f>
        <v>0</v>
      </c>
      <c r="BH95" s="13">
        <f>SUMIFS(SALIDAS_BIT,FECHA_BIT,"&gt;="&amp;BH$2,FECHA_BIT,"&lt;="&amp;BH$3,CLAVE_BIT,$A95)+SUMIFS(SALIDAS_BOV1,FECHA_BOV1,"&gt;="&amp;BH$2,FECHA_BOV1,"&lt;="&amp;BH$3,CLAVE_BOV1,$A95)+SUMIFS(SALIDAS_BOV2,FECHA_BOV2,"&gt;="&amp;BH$2,FECHA_BOV2,"&lt;="&amp;BH$3,CLAVE_BOV2,$A95)+SUMIFS(SALIDAS_BOV3,FECHA_BOV3,"&gt;="&amp;BH$2,FECHA_BOV3,"&lt;="&amp;BH$3,CLAVE_BOV3,$A95)+SUMIFS(SALIDAS_TC,FECHA_TC,"&gt;="&amp;BH$2,FECHA_TC,"&lt;="&amp;BH$3,CLAVE_TC,$A95)+SUMIFS(SALIDAS_COMB,FECHA_COMB,"&gt;="&amp;BH$2,FECHA_COMB,"&lt;="&amp;BH$3,CLAVE_COMB,$A95)+SUMIFS(SALIDAS_DES,FECHA_DESGLOSEN,"&gt;="&amp;BH$2,FECHA_DESGLOSEN,"&lt;="&amp;BH$3,CLAVE_DESGLOSE,$A95)</f>
        <v>0</v>
      </c>
      <c r="BI95" s="13">
        <f t="shared" si="121"/>
        <v>0</v>
      </c>
      <c r="BJ95" s="68">
        <f t="shared" si="161"/>
        <v>0</v>
      </c>
      <c r="BK95" s="268">
        <f t="shared" si="162"/>
        <v>0</v>
      </c>
      <c r="BL95" s="13">
        <f t="shared" si="163"/>
        <v>0</v>
      </c>
      <c r="BM95" s="13">
        <f>SUMIFS(SALIDAS_BIT,FECHA_BIT,"&gt;="&amp;BM$2,FECHA_BIT,"&lt;="&amp;BM$3,CLAVE_BIT,$A95)+SUMIFS(SALIDAS_BOV1,FECHA_BOV1,"&gt;="&amp;BM$2,FECHA_BOV1,"&lt;="&amp;BM$3,CLAVE_BOV1,$A95)+SUMIFS(SALIDAS_BOV2,FECHA_BOV2,"&gt;="&amp;BM$2,FECHA_BOV2,"&lt;="&amp;BM$3,CLAVE_BOV2,$A95)+SUMIFS(SALIDAS_BOV3,FECHA_BOV3,"&gt;="&amp;BM$2,FECHA_BOV3,"&lt;="&amp;BM$3,CLAVE_BOV3,$A95)+SUMIFS(SALIDAS_TC,FECHA_TC,"&gt;="&amp;BM$2,FECHA_TC,"&lt;="&amp;BM$3,CLAVE_TC,$A95)+SUMIFS(SALIDAS_COMB,FECHA_COMB,"&gt;="&amp;BM$2,FECHA_COMB,"&lt;="&amp;BM$3,CLAVE_COMB,$A95)+SUMIFS(SALIDAS_DES,FECHA_DESGLOSEN,"&gt;="&amp;BM$2,FECHA_DESGLOSEN,"&lt;="&amp;BM$3,CLAVE_DESGLOSE,$A95)</f>
        <v>8000</v>
      </c>
      <c r="BN95" s="13">
        <f>SUMIFS(SALIDAS_BIT,FECHA_BIT,"&gt;="&amp;BN$2,FECHA_BIT,"&lt;="&amp;BN$3,CLAVE_BIT,$A95)+SUMIFS(SALIDAS_BOV1,FECHA_BOV1,"&gt;="&amp;BN$2,FECHA_BOV1,"&lt;="&amp;BN$3,CLAVE_BOV1,$A95)+SUMIFS(SALIDAS_BOV2,FECHA_BOV2,"&gt;="&amp;BN$2,FECHA_BOV2,"&lt;="&amp;BN$3,CLAVE_BOV2,$A95)+SUMIFS(SALIDAS_BOV3,FECHA_BOV3,"&gt;="&amp;BN$2,FECHA_BOV3,"&lt;="&amp;BN$3,CLAVE_BOV3,$A95)+SUMIFS(SALIDAS_TC,FECHA_TC,"&gt;="&amp;BN$2,FECHA_TC,"&lt;="&amp;BN$3,CLAVE_TC,$A95)+SUMIFS(SALIDAS_COMB,FECHA_COMB,"&gt;="&amp;BN$2,FECHA_COMB,"&lt;="&amp;BN$3,CLAVE_COMB,$A95)+SUMIFS(SALIDAS_DES,FECHA_DESGLOSEN,"&gt;="&amp;BN$2,FECHA_DESGLOSEN,"&lt;="&amp;BN$3,CLAVE_DESGLOSE,$A95)</f>
        <v>0</v>
      </c>
      <c r="BO95" s="13">
        <f>SUMIFS(SALIDAS_BIT,FECHA_BIT,"&gt;="&amp;BO$2,FECHA_BIT,"&lt;="&amp;BO$3,CLAVE_BIT,$A95)+SUMIFS(SALIDAS_BOV1,FECHA_BOV1,"&gt;="&amp;BO$2,FECHA_BOV1,"&lt;="&amp;BO$3,CLAVE_BOV1,$A95)+SUMIFS(SALIDAS_BOV2,FECHA_BOV2,"&gt;="&amp;BO$2,FECHA_BOV2,"&lt;="&amp;BO$3,CLAVE_BOV2,$A95)+SUMIFS(SALIDAS_BOV3,FECHA_BOV3,"&gt;="&amp;BO$2,FECHA_BOV3,"&lt;="&amp;BO$3,CLAVE_BOV3,$A95)+SUMIFS(SALIDAS_TC,FECHA_TC,"&gt;="&amp;BO$2,FECHA_TC,"&lt;="&amp;BO$3,CLAVE_TC,$A95)+SUMIFS(SALIDAS_COMB,FECHA_COMB,"&gt;="&amp;BO$2,FECHA_COMB,"&lt;="&amp;BO$3,CLAVE_COMB,$A95)+SUMIFS(SALIDAS_DES,FECHA_DESGLOSEN,"&gt;="&amp;BO$2,FECHA_DESGLOSEN,"&lt;="&amp;BO$3,CLAVE_DESGLOSE,$A95)</f>
        <v>0</v>
      </c>
      <c r="BP95" s="13">
        <f>SUMIFS(SALIDAS_BIT,FECHA_BIT,"&gt;="&amp;BP$2,FECHA_BIT,"&lt;="&amp;BP$3,CLAVE_BIT,$A95)+SUMIFS(SALIDAS_BOV1,FECHA_BOV1,"&gt;="&amp;BP$2,FECHA_BOV1,"&lt;="&amp;BP$3,CLAVE_BOV1,$A95)+SUMIFS(SALIDAS_BOV2,FECHA_BOV2,"&gt;="&amp;BP$2,FECHA_BOV2,"&lt;="&amp;BP$3,CLAVE_BOV2,$A95)+SUMIFS(SALIDAS_BOV3,FECHA_BOV3,"&gt;="&amp;BP$2,FECHA_BOV3,"&lt;="&amp;BP$3,CLAVE_BOV3,$A95)+SUMIFS(SALIDAS_TC,FECHA_TC,"&gt;="&amp;BP$2,FECHA_TC,"&lt;="&amp;BP$3,CLAVE_TC,$A95)+SUMIFS(SALIDAS_COMB,FECHA_COMB,"&gt;="&amp;BP$2,FECHA_COMB,"&lt;="&amp;BP$3,CLAVE_COMB,$A95)+SUMIFS(SALIDAS_DES,FECHA_DESGLOSEN,"&gt;="&amp;BP$2,FECHA_DESGLOSEN,"&lt;="&amp;BP$3,CLAVE_DESGLOSE,$A95)</f>
        <v>0</v>
      </c>
      <c r="BQ95" s="13">
        <f>SUMIFS(SALIDAS_BIT,FECHA_BIT,"&gt;="&amp;BQ$2,FECHA_BIT,"&lt;="&amp;BQ$3,CLAVE_BIT,$A95)+SUMIFS(SALIDAS_BOV1,FECHA_BOV1,"&gt;="&amp;BQ$2,FECHA_BOV1,"&lt;="&amp;BQ$3,CLAVE_BOV1,$A95)+SUMIFS(SALIDAS_BOV2,FECHA_BOV2,"&gt;="&amp;BQ$2,FECHA_BOV2,"&lt;="&amp;BQ$3,CLAVE_BOV2,$A95)+SUMIFS(SALIDAS_BOV3,FECHA_BOV3,"&gt;="&amp;BQ$2,FECHA_BOV3,"&lt;="&amp;BQ$3,CLAVE_BOV3,$A95)+SUMIFS(SALIDAS_TC,FECHA_TC,"&gt;="&amp;BQ$2,FECHA_TC,"&lt;="&amp;BQ$3,CLAVE_TC,$A95)+SUMIFS(SALIDAS_COMB,FECHA_COMB,"&gt;="&amp;BQ$2,FECHA_COMB,"&lt;="&amp;BQ$3,CLAVE_COMB,$A95)+SUMIFS(SALIDAS_DES,FECHA_DESGLOSEN,"&gt;="&amp;BQ$2,FECHA_DESGLOSEN,"&lt;="&amp;BQ$3,CLAVE_DESGLOSE,$A95)</f>
        <v>0</v>
      </c>
      <c r="BR95" s="13">
        <f t="shared" si="193"/>
        <v>8000</v>
      </c>
      <c r="BS95" s="68">
        <f t="shared" si="164"/>
        <v>-8000</v>
      </c>
      <c r="BT95" s="268">
        <f t="shared" si="165"/>
        <v>0</v>
      </c>
      <c r="BU95" s="13">
        <f t="shared" si="166"/>
        <v>0</v>
      </c>
      <c r="BV95" s="13">
        <f t="shared" si="186"/>
        <v>0</v>
      </c>
      <c r="BW95" s="13">
        <f t="shared" si="186"/>
        <v>0</v>
      </c>
      <c r="BX95" s="13">
        <f t="shared" si="186"/>
        <v>0</v>
      </c>
      <c r="BY95" s="13">
        <f t="shared" si="186"/>
        <v>4000</v>
      </c>
      <c r="BZ95" s="13">
        <f t="shared" si="194"/>
        <v>4000</v>
      </c>
      <c r="CA95" s="68">
        <f t="shared" si="167"/>
        <v>-4000</v>
      </c>
      <c r="CB95" s="268">
        <f t="shared" si="168"/>
        <v>0</v>
      </c>
      <c r="CC95" s="13">
        <f t="shared" si="169"/>
        <v>0</v>
      </c>
      <c r="CD95" s="13">
        <f t="shared" si="187"/>
        <v>0</v>
      </c>
      <c r="CE95" s="13">
        <f t="shared" si="187"/>
        <v>6000</v>
      </c>
      <c r="CF95" s="13">
        <f t="shared" si="187"/>
        <v>0</v>
      </c>
      <c r="CG95" s="13">
        <f t="shared" si="187"/>
        <v>0</v>
      </c>
      <c r="CH95" s="13">
        <f t="shared" si="195"/>
        <v>6000</v>
      </c>
      <c r="CI95" s="68">
        <f t="shared" si="170"/>
        <v>-6000</v>
      </c>
      <c r="CJ95" s="268">
        <f t="shared" si="171"/>
        <v>0</v>
      </c>
      <c r="CK95" s="13">
        <f t="shared" si="172"/>
        <v>0</v>
      </c>
      <c r="CL95" s="13">
        <f t="shared" si="176"/>
        <v>0</v>
      </c>
      <c r="CM95" s="13">
        <f t="shared" si="176"/>
        <v>0</v>
      </c>
      <c r="CN95" s="13">
        <f t="shared" si="176"/>
        <v>0</v>
      </c>
      <c r="CO95" s="13">
        <f t="shared" si="176"/>
        <v>0</v>
      </c>
      <c r="CP95" s="13">
        <f t="shared" si="176"/>
        <v>0</v>
      </c>
      <c r="CQ95" s="13">
        <f t="shared" si="196"/>
        <v>0</v>
      </c>
      <c r="CR95" s="68">
        <f t="shared" si="173"/>
        <v>0</v>
      </c>
      <c r="CS95" s="268">
        <f t="shared" si="174"/>
        <v>0</v>
      </c>
      <c r="CT95" s="68">
        <f t="shared" si="147"/>
        <v>0</v>
      </c>
      <c r="CU95" s="13">
        <f>SUMIFS(SALIDAS_BIT,FECHA_BIT,"&gt;="&amp;CU$2,FECHA_BIT,"&lt;="&amp;CU$3,CLAVE_BIT,$A95)+SUMIFS(SALIDAS_BOV1,FECHA_BOV1,"&gt;="&amp;CU$2,FECHA_BOV1,"&lt;="&amp;CU$3,CLAVE_BOV1,$A95)+SUMIFS(SALIDAS_BOV2,FECHA_BOV2,"&gt;="&amp;CU$2,FECHA_BOV2,"&lt;="&amp;CU$3,CLAVE_BOV2,$A95)+SUMIFS(SALIDAS_BOV3,FECHA_BOV3,"&gt;="&amp;CU$2,FECHA_BOV3,"&lt;="&amp;CU$3,CLAVE_BOV3,$A95)+SUMIFS(SALIDAS_TC,FECHA_TC,"&gt;="&amp;CU$2,FECHA_TC,"&lt;="&amp;CU$3,CLAVE_TC,$A95)+SUMIFS(SALIDAS_COMB,FECHA_COMB,"&gt;="&amp;CU$2,FECHA_COMB,"&lt;="&amp;CU$3,CLAVE_COMB,$A95)+SUMIFS(SALIDAS_DES,FECHA_DESGLOSEN,"&gt;="&amp;CU$2,FECHA_DESGLOSEN,"&lt;="&amp;CU$3,CLAVE_DESGLOSE,$A95)</f>
        <v>0</v>
      </c>
      <c r="CV95" s="13">
        <f>SUMIFS(SALIDAS_BIT,FECHA_BIT,"&gt;="&amp;CV$2,FECHA_BIT,"&lt;="&amp;CV$3,CLAVE_BIT,$A95)+SUMIFS(SALIDAS_BOV1,FECHA_BOV1,"&gt;="&amp;CV$2,FECHA_BOV1,"&lt;="&amp;CV$3,CLAVE_BOV1,$A95)+SUMIFS(SALIDAS_BOV2,FECHA_BOV2,"&gt;="&amp;CV$2,FECHA_BOV2,"&lt;="&amp;CV$3,CLAVE_BOV2,$A95)+SUMIFS(SALIDAS_BOV3,FECHA_BOV3,"&gt;="&amp;CV$2,FECHA_BOV3,"&lt;="&amp;CV$3,CLAVE_BOV3,$A95)+SUMIFS(SALIDAS_TC,FECHA_TC,"&gt;="&amp;CV$2,FECHA_TC,"&lt;="&amp;CV$3,CLAVE_TC,$A95)+SUMIFS(SALIDAS_COMB,FECHA_COMB,"&gt;="&amp;CV$2,FECHA_COMB,"&lt;="&amp;CV$3,CLAVE_COMB,$A95)+SUMIFS(SALIDAS_DES,FECHA_DESGLOSEN,"&gt;="&amp;CV$2,FECHA_DESGLOSEN,"&lt;="&amp;CV$3,CLAVE_DESGLOSE,$A95)</f>
        <v>0</v>
      </c>
      <c r="CW95" s="13">
        <f>SUMIFS(SALIDAS_BIT,FECHA_BIT,"&gt;="&amp;CW$2,FECHA_BIT,"&lt;="&amp;CW$3,CLAVE_BIT,$A95)+SUMIFS(SALIDAS_BOV1,FECHA_BOV1,"&gt;="&amp;CW$2,FECHA_BOV1,"&lt;="&amp;CW$3,CLAVE_BOV1,$A95)+SUMIFS(SALIDAS_BOV2,FECHA_BOV2,"&gt;="&amp;CW$2,FECHA_BOV2,"&lt;="&amp;CW$3,CLAVE_BOV2,$A95)+SUMIFS(SALIDAS_BOV3,FECHA_BOV3,"&gt;="&amp;CW$2,FECHA_BOV3,"&lt;="&amp;CW$3,CLAVE_BOV3,$A95)+SUMIFS(SALIDAS_TC,FECHA_TC,"&gt;="&amp;CW$2,FECHA_TC,"&lt;="&amp;CW$3,CLAVE_TC,$A95)+SUMIFS(SALIDAS_COMB,FECHA_COMB,"&gt;="&amp;CW$2,FECHA_COMB,"&lt;="&amp;CW$3,CLAVE_COMB,$A95)+SUMIFS(SALIDAS_DES,FECHA_DESGLOSEN,"&gt;="&amp;CW$2,FECHA_DESGLOSEN,"&lt;="&amp;CW$3,CLAVE_DESGLOSE,$A95)</f>
        <v>0</v>
      </c>
      <c r="CX95" s="13">
        <f>SUMIFS(SALIDAS_BIT,FECHA_BIT,"&gt;="&amp;CX$2,FECHA_BIT,"&lt;="&amp;CX$3,CLAVE_BIT,$A95)+SUMIFS(SALIDAS_BOV1,FECHA_BOV1,"&gt;="&amp;CX$2,FECHA_BOV1,"&lt;="&amp;CX$3,CLAVE_BOV1,$A95)+SUMIFS(SALIDAS_BOV2,FECHA_BOV2,"&gt;="&amp;CX$2,FECHA_BOV2,"&lt;="&amp;CX$3,CLAVE_BOV2,$A95)+SUMIFS(SALIDAS_BOV3,FECHA_BOV3,"&gt;="&amp;CX$2,FECHA_BOV3,"&lt;="&amp;CX$3,CLAVE_BOV3,$A95)+SUMIFS(SALIDAS_TC,FECHA_TC,"&gt;="&amp;CX$2,FECHA_TC,"&lt;="&amp;CX$3,CLAVE_TC,$A95)+SUMIFS(SALIDAS_COMB,FECHA_COMB,"&gt;="&amp;CX$2,FECHA_COMB,"&lt;="&amp;CX$3,CLAVE_COMB,$A95)+SUMIFS(SALIDAS_DES,FECHA_DESGLOSEN,"&gt;="&amp;CX$2,FECHA_DESGLOSEN,"&lt;="&amp;CX$3,CLAVE_DESGLOSE,$A95)</f>
        <v>6000</v>
      </c>
      <c r="CY95" s="13">
        <f>SUMIFS(SALIDAS_BIT,FECHA_BIT,"&gt;="&amp;CY$2,FECHA_BIT,"&lt;="&amp;CY$3,CLAVE_BIT,$A95)+SUMIFS(SALIDAS_BOV1,FECHA_BOV1,"&gt;="&amp;CY$2,FECHA_BOV1,"&lt;="&amp;CY$3,CLAVE_BOV1,$A95)+SUMIFS(SALIDAS_BOV2,FECHA_BOV2,"&gt;="&amp;CY$2,FECHA_BOV2,"&lt;="&amp;CY$3,CLAVE_BOV2,$A95)+SUMIFS(SALIDAS_BOV3,FECHA_BOV3,"&gt;="&amp;CY$2,FECHA_BOV3,"&lt;="&amp;CY$3,CLAVE_BOV3,$A95)+SUMIFS(SALIDAS_TC,FECHA_TC,"&gt;="&amp;CY$2,FECHA_TC,"&lt;="&amp;CY$3,CLAVE_TC,$A95)+SUMIFS(SALIDAS_COMB,FECHA_COMB,"&gt;="&amp;CY$2,FECHA_COMB,"&lt;="&amp;CY$3,CLAVE_COMB,$A95)+SUMIFS(SALIDAS_DES,FECHA_DESGLOSEN,"&gt;="&amp;CY$2,FECHA_DESGLOSEN,"&lt;="&amp;CY$3,CLAVE_DESGLOSE,$A95)</f>
        <v>6000</v>
      </c>
      <c r="CZ95" s="68">
        <f t="shared" si="175"/>
        <v>-6000</v>
      </c>
      <c r="DB95" s="17">
        <f>F95+N95+W95+AE95+AM95+AV95+BD95+BL95+BU95+CC95+CK95</f>
        <v>0</v>
      </c>
      <c r="DC95" s="17">
        <f>K95+T95+AB95+AJ95+AS95+BA95+BI95+BR95+BZ95+CH95+CQ95</f>
        <v>24000</v>
      </c>
    </row>
    <row r="96" spans="1:107" hidden="1">
      <c r="A96" s="12" t="str">
        <f t="shared" si="148"/>
        <v>HRGASHR</v>
      </c>
      <c r="B96" s="12">
        <v>98</v>
      </c>
      <c r="C96" t="s">
        <v>29</v>
      </c>
      <c r="D96" s="12" t="s">
        <v>122</v>
      </c>
      <c r="E96" s="12" t="s">
        <v>29</v>
      </c>
      <c r="F96" s="259">
        <f t="shared" si="141"/>
        <v>12000</v>
      </c>
      <c r="G96" s="13">
        <f t="shared" si="188"/>
        <v>2000</v>
      </c>
      <c r="H96" s="13">
        <f t="shared" si="188"/>
        <v>0</v>
      </c>
      <c r="I96" s="13">
        <f t="shared" si="188"/>
        <v>0</v>
      </c>
      <c r="J96" s="13">
        <f t="shared" si="188"/>
        <v>0</v>
      </c>
      <c r="K96" s="13">
        <f t="shared" si="188"/>
        <v>2000</v>
      </c>
      <c r="L96" s="68">
        <f t="shared" si="149"/>
        <v>10000</v>
      </c>
      <c r="M96" s="268">
        <f t="shared" si="150"/>
        <v>0.16666666666666666</v>
      </c>
      <c r="N96" s="13">
        <f t="shared" si="142"/>
        <v>0</v>
      </c>
      <c r="O96" s="13">
        <f t="shared" si="189"/>
        <v>0</v>
      </c>
      <c r="P96" s="13">
        <f t="shared" si="189"/>
        <v>0</v>
      </c>
      <c r="Q96" s="13">
        <f t="shared" si="189"/>
        <v>0</v>
      </c>
      <c r="R96" s="13">
        <f t="shared" si="189"/>
        <v>0</v>
      </c>
      <c r="S96" s="13">
        <f t="shared" si="189"/>
        <v>0</v>
      </c>
      <c r="T96" s="13">
        <f t="shared" si="189"/>
        <v>0</v>
      </c>
      <c r="U96" s="68">
        <f t="shared" si="151"/>
        <v>0</v>
      </c>
      <c r="V96" s="268">
        <f t="shared" si="152"/>
        <v>0</v>
      </c>
      <c r="W96" s="13">
        <f t="shared" si="143"/>
        <v>0</v>
      </c>
      <c r="X96" s="13">
        <f t="shared" si="190"/>
        <v>0</v>
      </c>
      <c r="Y96" s="13">
        <f t="shared" si="190"/>
        <v>0</v>
      </c>
      <c r="Z96" s="13">
        <f t="shared" si="190"/>
        <v>0</v>
      </c>
      <c r="AA96" s="13">
        <f t="shared" si="190"/>
        <v>0</v>
      </c>
      <c r="AB96" s="13">
        <f t="shared" si="190"/>
        <v>0</v>
      </c>
      <c r="AC96" s="68">
        <f t="shared" si="153"/>
        <v>0</v>
      </c>
      <c r="AD96" s="268">
        <f t="shared" si="154"/>
        <v>0</v>
      </c>
      <c r="AE96" s="13">
        <f t="shared" si="144"/>
        <v>0</v>
      </c>
      <c r="AF96" s="13">
        <f t="shared" si="191"/>
        <v>0</v>
      </c>
      <c r="AG96" s="13">
        <f t="shared" si="191"/>
        <v>0</v>
      </c>
      <c r="AH96" s="13">
        <f t="shared" si="191"/>
        <v>0</v>
      </c>
      <c r="AI96" s="13">
        <f t="shared" si="191"/>
        <v>0</v>
      </c>
      <c r="AJ96" s="13">
        <f t="shared" si="191"/>
        <v>0</v>
      </c>
      <c r="AK96" s="68">
        <f t="shared" si="155"/>
        <v>0</v>
      </c>
      <c r="AL96" s="268">
        <f t="shared" si="156"/>
        <v>0</v>
      </c>
      <c r="AM96" s="13">
        <f t="shared" si="145"/>
        <v>0</v>
      </c>
      <c r="AN96" s="13">
        <f t="shared" si="192"/>
        <v>0</v>
      </c>
      <c r="AO96" s="13">
        <f t="shared" si="192"/>
        <v>0</v>
      </c>
      <c r="AP96" s="13">
        <f t="shared" si="192"/>
        <v>0</v>
      </c>
      <c r="AQ96" s="13">
        <f t="shared" si="192"/>
        <v>0</v>
      </c>
      <c r="AR96" s="13">
        <f t="shared" si="192"/>
        <v>0</v>
      </c>
      <c r="AS96" s="13">
        <f t="shared" si="192"/>
        <v>0</v>
      </c>
      <c r="AT96" s="68">
        <f>AM96-AS96</f>
        <v>0</v>
      </c>
      <c r="AU96" s="268">
        <f t="shared" si="157"/>
        <v>0</v>
      </c>
      <c r="AV96" s="13">
        <f t="shared" si="146"/>
        <v>0</v>
      </c>
      <c r="AW96" s="13">
        <f t="shared" si="119"/>
        <v>0</v>
      </c>
      <c r="AX96" s="13">
        <f t="shared" si="119"/>
        <v>0</v>
      </c>
      <c r="AY96" s="13">
        <f t="shared" si="119"/>
        <v>0</v>
      </c>
      <c r="AZ96" s="13">
        <f t="shared" si="119"/>
        <v>0</v>
      </c>
      <c r="BA96" s="13">
        <f t="shared" si="120"/>
        <v>0</v>
      </c>
      <c r="BB96" s="68">
        <f t="shared" si="158"/>
        <v>0</v>
      </c>
      <c r="BC96" s="268">
        <f t="shared" si="159"/>
        <v>0</v>
      </c>
      <c r="BD96" s="13">
        <f t="shared" si="160"/>
        <v>0</v>
      </c>
      <c r="BE96" s="13">
        <f>SUMIFS(SALIDAS_BIT,FECHA_BIT,"&gt;="&amp;BE$2,FECHA_BIT,"&lt;="&amp;BE$3,CLAVE_BIT,$A96)+SUMIFS(SALIDAS_BOV1,FECHA_BOV1,"&gt;="&amp;BE$2,FECHA_BOV1,"&lt;="&amp;BE$3,CLAVE_BOV1,$A96)+SUMIFS(SALIDAS_BOV2,FECHA_BOV2,"&gt;="&amp;BE$2,FECHA_BOV2,"&lt;="&amp;BE$3,CLAVE_BOV2,$A96)+SUMIFS(SALIDAS_BOV3,FECHA_BOV3,"&gt;="&amp;BE$2,FECHA_BOV3,"&lt;="&amp;BE$3,CLAVE_BOV3,$A96)+SUMIFS(SALIDAS_TC,FECHA_TC,"&gt;="&amp;BE$2,FECHA_TC,"&lt;="&amp;BE$3,CLAVE_TC,$A96)+SUMIFS(SALIDAS_COMB,FECHA_COMB,"&gt;="&amp;BE$2,FECHA_COMB,"&lt;="&amp;BE$3,CLAVE_COMB,$A96)+SUMIFS(SALIDAS_DES,FECHA_DESGLOSEN,"&gt;="&amp;BE$2,FECHA_DESGLOSEN,"&lt;="&amp;BE$3,CLAVE_DESGLOSE,$A96)</f>
        <v>0</v>
      </c>
      <c r="BF96" s="13">
        <f>SUMIFS(SALIDAS_BIT,FECHA_BIT,"&gt;="&amp;BF$2,FECHA_BIT,"&lt;="&amp;BF$3,CLAVE_BIT,$A96)+SUMIFS(SALIDAS_BOV1,FECHA_BOV1,"&gt;="&amp;BF$2,FECHA_BOV1,"&lt;="&amp;BF$3,CLAVE_BOV1,$A96)+SUMIFS(SALIDAS_BOV2,FECHA_BOV2,"&gt;="&amp;BF$2,FECHA_BOV2,"&lt;="&amp;BF$3,CLAVE_BOV2,$A96)+SUMIFS(SALIDAS_BOV3,FECHA_BOV3,"&gt;="&amp;BF$2,FECHA_BOV3,"&lt;="&amp;BF$3,CLAVE_BOV3,$A96)+SUMIFS(SALIDAS_TC,FECHA_TC,"&gt;="&amp;BF$2,FECHA_TC,"&lt;="&amp;BF$3,CLAVE_TC,$A96)+SUMIFS(SALIDAS_COMB,FECHA_COMB,"&gt;="&amp;BF$2,FECHA_COMB,"&lt;="&amp;BF$3,CLAVE_COMB,$A96)+SUMIFS(SALIDAS_DES,FECHA_DESGLOSEN,"&gt;="&amp;BF$2,FECHA_DESGLOSEN,"&lt;="&amp;BF$3,CLAVE_DESGLOSE,$A96)</f>
        <v>0</v>
      </c>
      <c r="BG96" s="13">
        <f>SUMIFS(SALIDAS_BIT,FECHA_BIT,"&gt;="&amp;BG$2,FECHA_BIT,"&lt;="&amp;BG$3,CLAVE_BIT,$A96)+SUMIFS(SALIDAS_BOV1,FECHA_BOV1,"&gt;="&amp;BG$2,FECHA_BOV1,"&lt;="&amp;BG$3,CLAVE_BOV1,$A96)+SUMIFS(SALIDAS_BOV2,FECHA_BOV2,"&gt;="&amp;BG$2,FECHA_BOV2,"&lt;="&amp;BG$3,CLAVE_BOV2,$A96)+SUMIFS(SALIDAS_BOV3,FECHA_BOV3,"&gt;="&amp;BG$2,FECHA_BOV3,"&lt;="&amp;BG$3,CLAVE_BOV3,$A96)+SUMIFS(SALIDAS_TC,FECHA_TC,"&gt;="&amp;BG$2,FECHA_TC,"&lt;="&amp;BG$3,CLAVE_TC,$A96)+SUMIFS(SALIDAS_COMB,FECHA_COMB,"&gt;="&amp;BG$2,FECHA_COMB,"&lt;="&amp;BG$3,CLAVE_COMB,$A96)+SUMIFS(SALIDAS_DES,FECHA_DESGLOSEN,"&gt;="&amp;BG$2,FECHA_DESGLOSEN,"&lt;="&amp;BG$3,CLAVE_DESGLOSE,$A96)</f>
        <v>0</v>
      </c>
      <c r="BH96" s="13">
        <f>SUMIFS(SALIDAS_BIT,FECHA_BIT,"&gt;="&amp;BH$2,FECHA_BIT,"&lt;="&amp;BH$3,CLAVE_BIT,$A96)+SUMIFS(SALIDAS_BOV1,FECHA_BOV1,"&gt;="&amp;BH$2,FECHA_BOV1,"&lt;="&amp;BH$3,CLAVE_BOV1,$A96)+SUMIFS(SALIDAS_BOV2,FECHA_BOV2,"&gt;="&amp;BH$2,FECHA_BOV2,"&lt;="&amp;BH$3,CLAVE_BOV2,$A96)+SUMIFS(SALIDAS_BOV3,FECHA_BOV3,"&gt;="&amp;BH$2,FECHA_BOV3,"&lt;="&amp;BH$3,CLAVE_BOV3,$A96)+SUMIFS(SALIDAS_TC,FECHA_TC,"&gt;="&amp;BH$2,FECHA_TC,"&lt;="&amp;BH$3,CLAVE_TC,$A96)+SUMIFS(SALIDAS_COMB,FECHA_COMB,"&gt;="&amp;BH$2,FECHA_COMB,"&lt;="&amp;BH$3,CLAVE_COMB,$A96)+SUMIFS(SALIDAS_DES,FECHA_DESGLOSEN,"&gt;="&amp;BH$2,FECHA_DESGLOSEN,"&lt;="&amp;BH$3,CLAVE_DESGLOSE,$A96)</f>
        <v>0</v>
      </c>
      <c r="BI96" s="13">
        <f t="shared" si="121"/>
        <v>0</v>
      </c>
      <c r="BJ96" s="68">
        <f t="shared" si="161"/>
        <v>0</v>
      </c>
      <c r="BK96" s="268">
        <f t="shared" si="162"/>
        <v>0</v>
      </c>
      <c r="BL96" s="13">
        <f t="shared" si="163"/>
        <v>0</v>
      </c>
      <c r="BM96" s="13">
        <f>SUMIFS(SALIDAS_BIT,FECHA_BIT,"&gt;="&amp;BM$2,FECHA_BIT,"&lt;="&amp;BM$3,CLAVE_BIT,$A96)+SUMIFS(SALIDAS_BOV1,FECHA_BOV1,"&gt;="&amp;BM$2,FECHA_BOV1,"&lt;="&amp;BM$3,CLAVE_BOV1,$A96)+SUMIFS(SALIDAS_BOV2,FECHA_BOV2,"&gt;="&amp;BM$2,FECHA_BOV2,"&lt;="&amp;BM$3,CLAVE_BOV2,$A96)+SUMIFS(SALIDAS_BOV3,FECHA_BOV3,"&gt;="&amp;BM$2,FECHA_BOV3,"&lt;="&amp;BM$3,CLAVE_BOV3,$A96)+SUMIFS(SALIDAS_TC,FECHA_TC,"&gt;="&amp;BM$2,FECHA_TC,"&lt;="&amp;BM$3,CLAVE_TC,$A96)+SUMIFS(SALIDAS_COMB,FECHA_COMB,"&gt;="&amp;BM$2,FECHA_COMB,"&lt;="&amp;BM$3,CLAVE_COMB,$A96)+SUMIFS(SALIDAS_DES,FECHA_DESGLOSEN,"&gt;="&amp;BM$2,FECHA_DESGLOSEN,"&lt;="&amp;BM$3,CLAVE_DESGLOSE,$A96)</f>
        <v>0</v>
      </c>
      <c r="BN96" s="13">
        <f>SUMIFS(SALIDAS_BIT,FECHA_BIT,"&gt;="&amp;BN$2,FECHA_BIT,"&lt;="&amp;BN$3,CLAVE_BIT,$A96)+SUMIFS(SALIDAS_BOV1,FECHA_BOV1,"&gt;="&amp;BN$2,FECHA_BOV1,"&lt;="&amp;BN$3,CLAVE_BOV1,$A96)+SUMIFS(SALIDAS_BOV2,FECHA_BOV2,"&gt;="&amp;BN$2,FECHA_BOV2,"&lt;="&amp;BN$3,CLAVE_BOV2,$A96)+SUMIFS(SALIDAS_BOV3,FECHA_BOV3,"&gt;="&amp;BN$2,FECHA_BOV3,"&lt;="&amp;BN$3,CLAVE_BOV3,$A96)+SUMIFS(SALIDAS_TC,FECHA_TC,"&gt;="&amp;BN$2,FECHA_TC,"&lt;="&amp;BN$3,CLAVE_TC,$A96)+SUMIFS(SALIDAS_COMB,FECHA_COMB,"&gt;="&amp;BN$2,FECHA_COMB,"&lt;="&amp;BN$3,CLAVE_COMB,$A96)+SUMIFS(SALIDAS_DES,FECHA_DESGLOSEN,"&gt;="&amp;BN$2,FECHA_DESGLOSEN,"&lt;="&amp;BN$3,CLAVE_DESGLOSE,$A96)</f>
        <v>0</v>
      </c>
      <c r="BO96" s="13">
        <f>SUMIFS(SALIDAS_BIT,FECHA_BIT,"&gt;="&amp;BO$2,FECHA_BIT,"&lt;="&amp;BO$3,CLAVE_BIT,$A96)+SUMIFS(SALIDAS_BOV1,FECHA_BOV1,"&gt;="&amp;BO$2,FECHA_BOV1,"&lt;="&amp;BO$3,CLAVE_BOV1,$A96)+SUMIFS(SALIDAS_BOV2,FECHA_BOV2,"&gt;="&amp;BO$2,FECHA_BOV2,"&lt;="&amp;BO$3,CLAVE_BOV2,$A96)+SUMIFS(SALIDAS_BOV3,FECHA_BOV3,"&gt;="&amp;BO$2,FECHA_BOV3,"&lt;="&amp;BO$3,CLAVE_BOV3,$A96)+SUMIFS(SALIDAS_TC,FECHA_TC,"&gt;="&amp;BO$2,FECHA_TC,"&lt;="&amp;BO$3,CLAVE_TC,$A96)+SUMIFS(SALIDAS_COMB,FECHA_COMB,"&gt;="&amp;BO$2,FECHA_COMB,"&lt;="&amp;BO$3,CLAVE_COMB,$A96)+SUMIFS(SALIDAS_DES,FECHA_DESGLOSEN,"&gt;="&amp;BO$2,FECHA_DESGLOSEN,"&lt;="&amp;BO$3,CLAVE_DESGLOSE,$A96)</f>
        <v>0</v>
      </c>
      <c r="BP96" s="13">
        <f>SUMIFS(SALIDAS_BIT,FECHA_BIT,"&gt;="&amp;BP$2,FECHA_BIT,"&lt;="&amp;BP$3,CLAVE_BIT,$A96)+SUMIFS(SALIDAS_BOV1,FECHA_BOV1,"&gt;="&amp;BP$2,FECHA_BOV1,"&lt;="&amp;BP$3,CLAVE_BOV1,$A96)+SUMIFS(SALIDAS_BOV2,FECHA_BOV2,"&gt;="&amp;BP$2,FECHA_BOV2,"&lt;="&amp;BP$3,CLAVE_BOV2,$A96)+SUMIFS(SALIDAS_BOV3,FECHA_BOV3,"&gt;="&amp;BP$2,FECHA_BOV3,"&lt;="&amp;BP$3,CLAVE_BOV3,$A96)+SUMIFS(SALIDAS_TC,FECHA_TC,"&gt;="&amp;BP$2,FECHA_TC,"&lt;="&amp;BP$3,CLAVE_TC,$A96)+SUMIFS(SALIDAS_COMB,FECHA_COMB,"&gt;="&amp;BP$2,FECHA_COMB,"&lt;="&amp;BP$3,CLAVE_COMB,$A96)+SUMIFS(SALIDAS_DES,FECHA_DESGLOSEN,"&gt;="&amp;BP$2,FECHA_DESGLOSEN,"&lt;="&amp;BP$3,CLAVE_DESGLOSE,$A96)</f>
        <v>0</v>
      </c>
      <c r="BQ96" s="13">
        <f>SUMIFS(SALIDAS_BIT,FECHA_BIT,"&gt;="&amp;BQ$2,FECHA_BIT,"&lt;="&amp;BQ$3,CLAVE_BIT,$A96)+SUMIFS(SALIDAS_BOV1,FECHA_BOV1,"&gt;="&amp;BQ$2,FECHA_BOV1,"&lt;="&amp;BQ$3,CLAVE_BOV1,$A96)+SUMIFS(SALIDAS_BOV2,FECHA_BOV2,"&gt;="&amp;BQ$2,FECHA_BOV2,"&lt;="&amp;BQ$3,CLAVE_BOV2,$A96)+SUMIFS(SALIDAS_BOV3,FECHA_BOV3,"&gt;="&amp;BQ$2,FECHA_BOV3,"&lt;="&amp;BQ$3,CLAVE_BOV3,$A96)+SUMIFS(SALIDAS_TC,FECHA_TC,"&gt;="&amp;BQ$2,FECHA_TC,"&lt;="&amp;BQ$3,CLAVE_TC,$A96)+SUMIFS(SALIDAS_COMB,FECHA_COMB,"&gt;="&amp;BQ$2,FECHA_COMB,"&lt;="&amp;BQ$3,CLAVE_COMB,$A96)+SUMIFS(SALIDAS_DES,FECHA_DESGLOSEN,"&gt;="&amp;BQ$2,FECHA_DESGLOSEN,"&lt;="&amp;BQ$3,CLAVE_DESGLOSE,$A96)</f>
        <v>0</v>
      </c>
      <c r="BR96" s="13">
        <f t="shared" si="193"/>
        <v>0</v>
      </c>
      <c r="BS96" s="68">
        <f t="shared" si="164"/>
        <v>0</v>
      </c>
      <c r="BT96" s="268">
        <f t="shared" si="165"/>
        <v>0</v>
      </c>
      <c r="BU96" s="13">
        <f t="shared" si="166"/>
        <v>0</v>
      </c>
      <c r="BV96" s="13">
        <f t="shared" si="186"/>
        <v>0</v>
      </c>
      <c r="BW96" s="13">
        <f t="shared" si="186"/>
        <v>0</v>
      </c>
      <c r="BX96" s="13">
        <f t="shared" si="186"/>
        <v>0</v>
      </c>
      <c r="BY96" s="13">
        <f t="shared" si="186"/>
        <v>0</v>
      </c>
      <c r="BZ96" s="13">
        <f t="shared" si="194"/>
        <v>0</v>
      </c>
      <c r="CA96" s="68">
        <f t="shared" si="167"/>
        <v>0</v>
      </c>
      <c r="CB96" s="268">
        <f t="shared" si="168"/>
        <v>0</v>
      </c>
      <c r="CC96" s="13">
        <f t="shared" si="169"/>
        <v>12000</v>
      </c>
      <c r="CD96" s="13">
        <f t="shared" si="187"/>
        <v>0</v>
      </c>
      <c r="CE96" s="13">
        <f t="shared" si="187"/>
        <v>0</v>
      </c>
      <c r="CF96" s="13">
        <f t="shared" si="187"/>
        <v>0</v>
      </c>
      <c r="CG96" s="13">
        <f t="shared" si="187"/>
        <v>0</v>
      </c>
      <c r="CH96" s="13">
        <f t="shared" si="195"/>
        <v>0</v>
      </c>
      <c r="CI96" s="68">
        <f t="shared" si="170"/>
        <v>12000</v>
      </c>
      <c r="CJ96" s="268">
        <f t="shared" si="171"/>
        <v>0</v>
      </c>
      <c r="CK96" s="13">
        <f t="shared" si="172"/>
        <v>12000</v>
      </c>
      <c r="CL96" s="13">
        <f t="shared" si="176"/>
        <v>0</v>
      </c>
      <c r="CM96" s="13">
        <f t="shared" si="176"/>
        <v>0</v>
      </c>
      <c r="CN96" s="13">
        <f t="shared" si="176"/>
        <v>0</v>
      </c>
      <c r="CO96" s="13">
        <f t="shared" si="176"/>
        <v>0</v>
      </c>
      <c r="CP96" s="13">
        <f t="shared" si="176"/>
        <v>2000</v>
      </c>
      <c r="CQ96" s="13">
        <f t="shared" si="196"/>
        <v>2000</v>
      </c>
      <c r="CR96" s="68">
        <f t="shared" si="173"/>
        <v>10000</v>
      </c>
      <c r="CS96" s="268">
        <f t="shared" si="174"/>
        <v>0.16666666666666666</v>
      </c>
      <c r="CT96" s="68">
        <f t="shared" si="147"/>
        <v>12000</v>
      </c>
      <c r="CU96" s="13">
        <f>SUMIFS(SALIDAS_BIT,FECHA_BIT,"&gt;="&amp;CU$2,FECHA_BIT,"&lt;="&amp;CU$3,CLAVE_BIT,$A96)+SUMIFS(SALIDAS_BOV1,FECHA_BOV1,"&gt;="&amp;CU$2,FECHA_BOV1,"&lt;="&amp;CU$3,CLAVE_BOV1,$A96)+SUMIFS(SALIDAS_BOV2,FECHA_BOV2,"&gt;="&amp;CU$2,FECHA_BOV2,"&lt;="&amp;CU$3,CLAVE_BOV2,$A96)+SUMIFS(SALIDAS_BOV3,FECHA_BOV3,"&gt;="&amp;CU$2,FECHA_BOV3,"&lt;="&amp;CU$3,CLAVE_BOV3,$A96)+SUMIFS(SALIDAS_TC,FECHA_TC,"&gt;="&amp;CU$2,FECHA_TC,"&lt;="&amp;CU$3,CLAVE_TC,$A96)+SUMIFS(SALIDAS_COMB,FECHA_COMB,"&gt;="&amp;CU$2,FECHA_COMB,"&lt;="&amp;CU$3,CLAVE_COMB,$A96)+SUMIFS(SALIDAS_DES,FECHA_DESGLOSEN,"&gt;="&amp;CU$2,FECHA_DESGLOSEN,"&lt;="&amp;CU$3,CLAVE_DESGLOSE,$A96)</f>
        <v>0</v>
      </c>
      <c r="CV96" s="13">
        <f>SUMIFS(SALIDAS_BIT,FECHA_BIT,"&gt;="&amp;CV$2,FECHA_BIT,"&lt;="&amp;CV$3,CLAVE_BIT,$A96)+SUMIFS(SALIDAS_BOV1,FECHA_BOV1,"&gt;="&amp;CV$2,FECHA_BOV1,"&lt;="&amp;CV$3,CLAVE_BOV1,$A96)+SUMIFS(SALIDAS_BOV2,FECHA_BOV2,"&gt;="&amp;CV$2,FECHA_BOV2,"&lt;="&amp;CV$3,CLAVE_BOV2,$A96)+SUMIFS(SALIDAS_BOV3,FECHA_BOV3,"&gt;="&amp;CV$2,FECHA_BOV3,"&lt;="&amp;CV$3,CLAVE_BOV3,$A96)+SUMIFS(SALIDAS_TC,FECHA_TC,"&gt;="&amp;CV$2,FECHA_TC,"&lt;="&amp;CV$3,CLAVE_TC,$A96)+SUMIFS(SALIDAS_COMB,FECHA_COMB,"&gt;="&amp;CV$2,FECHA_COMB,"&lt;="&amp;CV$3,CLAVE_COMB,$A96)+SUMIFS(SALIDAS_DES,FECHA_DESGLOSEN,"&gt;="&amp;CV$2,FECHA_DESGLOSEN,"&lt;="&amp;CV$3,CLAVE_DESGLOSE,$A96)</f>
        <v>0</v>
      </c>
      <c r="CW96" s="13">
        <f>SUMIFS(SALIDAS_BIT,FECHA_BIT,"&gt;="&amp;CW$2,FECHA_BIT,"&lt;="&amp;CW$3,CLAVE_BIT,$A96)+SUMIFS(SALIDAS_BOV1,FECHA_BOV1,"&gt;="&amp;CW$2,FECHA_BOV1,"&lt;="&amp;CW$3,CLAVE_BOV1,$A96)+SUMIFS(SALIDAS_BOV2,FECHA_BOV2,"&gt;="&amp;CW$2,FECHA_BOV2,"&lt;="&amp;CW$3,CLAVE_BOV2,$A96)+SUMIFS(SALIDAS_BOV3,FECHA_BOV3,"&gt;="&amp;CW$2,FECHA_BOV3,"&lt;="&amp;CW$3,CLAVE_BOV3,$A96)+SUMIFS(SALIDAS_TC,FECHA_TC,"&gt;="&amp;CW$2,FECHA_TC,"&lt;="&amp;CW$3,CLAVE_TC,$A96)+SUMIFS(SALIDAS_COMB,FECHA_COMB,"&gt;="&amp;CW$2,FECHA_COMB,"&lt;="&amp;CW$3,CLAVE_COMB,$A96)+SUMIFS(SALIDAS_DES,FECHA_DESGLOSEN,"&gt;="&amp;CW$2,FECHA_DESGLOSEN,"&lt;="&amp;CW$3,CLAVE_DESGLOSE,$A96)</f>
        <v>0</v>
      </c>
      <c r="CX96" s="13">
        <f>SUMIFS(SALIDAS_BIT,FECHA_BIT,"&gt;="&amp;CX$2,FECHA_BIT,"&lt;="&amp;CX$3,CLAVE_BIT,$A96)+SUMIFS(SALIDAS_BOV1,FECHA_BOV1,"&gt;="&amp;CX$2,FECHA_BOV1,"&lt;="&amp;CX$3,CLAVE_BOV1,$A96)+SUMIFS(SALIDAS_BOV2,FECHA_BOV2,"&gt;="&amp;CX$2,FECHA_BOV2,"&lt;="&amp;CX$3,CLAVE_BOV2,$A96)+SUMIFS(SALIDAS_BOV3,FECHA_BOV3,"&gt;="&amp;CX$2,FECHA_BOV3,"&lt;="&amp;CX$3,CLAVE_BOV3,$A96)+SUMIFS(SALIDAS_TC,FECHA_TC,"&gt;="&amp;CX$2,FECHA_TC,"&lt;="&amp;CX$3,CLAVE_TC,$A96)+SUMIFS(SALIDAS_COMB,FECHA_COMB,"&gt;="&amp;CX$2,FECHA_COMB,"&lt;="&amp;CX$3,CLAVE_COMB,$A96)+SUMIFS(SALIDAS_DES,FECHA_DESGLOSEN,"&gt;="&amp;CX$2,FECHA_DESGLOSEN,"&lt;="&amp;CX$3,CLAVE_DESGLOSE,$A96)</f>
        <v>0</v>
      </c>
      <c r="CY96" s="13">
        <f>SUMIFS(SALIDAS_BIT,FECHA_BIT,"&gt;="&amp;CY$2,FECHA_BIT,"&lt;="&amp;CY$3,CLAVE_BIT,$A96)+SUMIFS(SALIDAS_BOV1,FECHA_BOV1,"&gt;="&amp;CY$2,FECHA_BOV1,"&lt;="&amp;CY$3,CLAVE_BOV1,$A96)+SUMIFS(SALIDAS_BOV2,FECHA_BOV2,"&gt;="&amp;CY$2,FECHA_BOV2,"&lt;="&amp;CY$3,CLAVE_BOV2,$A96)+SUMIFS(SALIDAS_BOV3,FECHA_BOV3,"&gt;="&amp;CY$2,FECHA_BOV3,"&lt;="&amp;CY$3,CLAVE_BOV3,$A96)+SUMIFS(SALIDAS_TC,FECHA_TC,"&gt;="&amp;CY$2,FECHA_TC,"&lt;="&amp;CY$3,CLAVE_TC,$A96)+SUMIFS(SALIDAS_COMB,FECHA_COMB,"&gt;="&amp;CY$2,FECHA_COMB,"&lt;="&amp;CY$3,CLAVE_COMB,$A96)+SUMIFS(SALIDAS_DES,FECHA_DESGLOSEN,"&gt;="&amp;CY$2,FECHA_DESGLOSEN,"&lt;="&amp;CY$3,CLAVE_DESGLOSE,$A96)</f>
        <v>0</v>
      </c>
      <c r="CZ96" s="68">
        <f t="shared" si="175"/>
        <v>12000</v>
      </c>
      <c r="DB96" s="17">
        <f>F96+N96+W96+AE96+AM96+AV96+BD96+BL96+BU96+CC96+CK96</f>
        <v>36000</v>
      </c>
      <c r="DC96" s="17">
        <f>K96+T96+AB96+AJ96+AS96+BA96+BI96+BR96+BZ96+CH96+CQ96</f>
        <v>4000</v>
      </c>
    </row>
    <row r="97" spans="1:107" hidden="1">
      <c r="A97" s="12" t="str">
        <f t="shared" si="148"/>
        <v>CAPGASCAPRICHOS</v>
      </c>
      <c r="B97" s="12">
        <v>99</v>
      </c>
      <c r="C97" t="s">
        <v>31</v>
      </c>
      <c r="D97" s="12" t="s">
        <v>122</v>
      </c>
      <c r="E97" s="12" t="s">
        <v>33</v>
      </c>
      <c r="F97" s="259">
        <f t="shared" si="141"/>
        <v>0</v>
      </c>
      <c r="G97" s="13">
        <f t="shared" ref="G97:K106" si="197">SUMIFS(SALIDAS_BIT,FECHA_BIT,"&gt;="&amp;G$2,FECHA_BIT,"&lt;="&amp;G$3,CLAVE_BIT,$A97)+SUMIFS(SALIDAS_BOV1,FECHA_BOV1,"&gt;="&amp;G$2,FECHA_BOV1,"&lt;="&amp;G$3,CLAVE_BOV1,$A97)+SUMIFS(SALIDAS_BOV2,FECHA_BOV2,"&gt;="&amp;G$2,FECHA_BOV2,"&lt;="&amp;G$3,CLAVE_BOV2,$A97)+SUMIFS(SALIDAS_BOV3,FECHA_BOV3,"&gt;="&amp;G$2,FECHA_BOV3,"&lt;="&amp;G$3,CLAVE_BOV3,$A97)+SUMIFS(SALIDAS_TC,FECHA_TC,"&gt;="&amp;G$2,FECHA_TC,"&lt;="&amp;G$3,CLAVE_TC,$A97)+SUMIFS(SALIDAS_COMB,FECHA_COMB,"&gt;="&amp;G$2,FECHA_COMB,"&lt;="&amp;G$3,CLAVE_COMB,$A97)+SUMIFS(SALIDAS_DES,FECHA_DESGLOSEN,"&gt;="&amp;G$2,FECHA_DESGLOSEN,"&lt;="&amp;G$3,CLAVE_DESGLOSE,$A97)</f>
        <v>0</v>
      </c>
      <c r="H97" s="13">
        <f t="shared" si="197"/>
        <v>0</v>
      </c>
      <c r="I97" s="13">
        <f t="shared" si="197"/>
        <v>0</v>
      </c>
      <c r="J97" s="13">
        <f t="shared" si="197"/>
        <v>0</v>
      </c>
      <c r="K97" s="13">
        <f t="shared" si="197"/>
        <v>0</v>
      </c>
      <c r="L97" s="68">
        <f t="shared" si="149"/>
        <v>0</v>
      </c>
      <c r="M97" s="268">
        <f t="shared" si="150"/>
        <v>0</v>
      </c>
      <c r="N97" s="13">
        <f t="shared" si="142"/>
        <v>0</v>
      </c>
      <c r="O97" s="13">
        <f t="shared" ref="O97:T106" si="198">SUMIFS(SALIDAS_BIT,FECHA_BIT,"&gt;="&amp;O$2,FECHA_BIT,"&lt;="&amp;O$3,CLAVE_BIT,$A97)+SUMIFS(SALIDAS_BOV1,FECHA_BOV1,"&gt;="&amp;O$2,FECHA_BOV1,"&lt;="&amp;O$3,CLAVE_BOV1,$A97)+SUMIFS(SALIDAS_BOV2,FECHA_BOV2,"&gt;="&amp;O$2,FECHA_BOV2,"&lt;="&amp;O$3,CLAVE_BOV2,$A97)+SUMIFS(SALIDAS_BOV3,FECHA_BOV3,"&gt;="&amp;O$2,FECHA_BOV3,"&lt;="&amp;O$3,CLAVE_BOV3,$A97)+SUMIFS(SALIDAS_TC,FECHA_TC,"&gt;="&amp;O$2,FECHA_TC,"&lt;="&amp;O$3,CLAVE_TC,$A97)+SUMIFS(SALIDAS_COMB,FECHA_COMB,"&gt;="&amp;O$2,FECHA_COMB,"&lt;="&amp;O$3,CLAVE_COMB,$A97)+SUMIFS(SALIDAS_DES,FECHA_DESGLOSEN,"&gt;="&amp;O$2,FECHA_DESGLOSEN,"&lt;="&amp;O$3,CLAVE_DESGLOSE,$A97)</f>
        <v>0</v>
      </c>
      <c r="P97" s="13">
        <f t="shared" si="198"/>
        <v>0</v>
      </c>
      <c r="Q97" s="13">
        <f t="shared" si="198"/>
        <v>0</v>
      </c>
      <c r="R97" s="13">
        <f t="shared" si="198"/>
        <v>0</v>
      </c>
      <c r="S97" s="13">
        <f t="shared" si="198"/>
        <v>0</v>
      </c>
      <c r="T97" s="13">
        <f t="shared" si="198"/>
        <v>0</v>
      </c>
      <c r="U97" s="68">
        <f t="shared" si="151"/>
        <v>0</v>
      </c>
      <c r="V97" s="268">
        <f t="shared" si="152"/>
        <v>0</v>
      </c>
      <c r="W97" s="13">
        <f t="shared" si="143"/>
        <v>0</v>
      </c>
      <c r="X97" s="13">
        <f t="shared" ref="X97:AB106" si="199">SUMIFS(SALIDAS_BIT,FECHA_BIT,"&gt;="&amp;X$2,FECHA_BIT,"&lt;="&amp;X$3,CLAVE_BIT,$A97)+SUMIFS(SALIDAS_BOV1,FECHA_BOV1,"&gt;="&amp;X$2,FECHA_BOV1,"&lt;="&amp;X$3,CLAVE_BOV1,$A97)+SUMIFS(SALIDAS_BOV2,FECHA_BOV2,"&gt;="&amp;X$2,FECHA_BOV2,"&lt;="&amp;X$3,CLAVE_BOV2,$A97)+SUMIFS(SALIDAS_BOV3,FECHA_BOV3,"&gt;="&amp;X$2,FECHA_BOV3,"&lt;="&amp;X$3,CLAVE_BOV3,$A97)+SUMIFS(SALIDAS_TC,FECHA_TC,"&gt;="&amp;X$2,FECHA_TC,"&lt;="&amp;X$3,CLAVE_TC,$A97)+SUMIFS(SALIDAS_COMB,FECHA_COMB,"&gt;="&amp;X$2,FECHA_COMB,"&lt;="&amp;X$3,CLAVE_COMB,$A97)+SUMIFS(SALIDAS_DES,FECHA_DESGLOSEN,"&gt;="&amp;X$2,FECHA_DESGLOSEN,"&lt;="&amp;X$3,CLAVE_DESGLOSE,$A97)</f>
        <v>0</v>
      </c>
      <c r="Y97" s="13">
        <f t="shared" si="199"/>
        <v>0</v>
      </c>
      <c r="Z97" s="13">
        <f t="shared" si="199"/>
        <v>0</v>
      </c>
      <c r="AA97" s="13">
        <f t="shared" si="199"/>
        <v>0</v>
      </c>
      <c r="AB97" s="13">
        <f t="shared" si="199"/>
        <v>0</v>
      </c>
      <c r="AC97" s="68">
        <f t="shared" si="153"/>
        <v>0</v>
      </c>
      <c r="AD97" s="268">
        <f t="shared" si="154"/>
        <v>0</v>
      </c>
      <c r="AE97" s="13">
        <f t="shared" si="144"/>
        <v>0</v>
      </c>
      <c r="AF97" s="13">
        <f t="shared" ref="AF97:AJ106" si="200">SUMIFS(SALIDAS_BIT,FECHA_BIT,"&gt;="&amp;AF$2,FECHA_BIT,"&lt;="&amp;AF$3,CLAVE_BIT,$A97)+SUMIFS(SALIDAS_BOV1,FECHA_BOV1,"&gt;="&amp;AF$2,FECHA_BOV1,"&lt;="&amp;AF$3,CLAVE_BOV1,$A97)+SUMIFS(SALIDAS_BOV2,FECHA_BOV2,"&gt;="&amp;AF$2,FECHA_BOV2,"&lt;="&amp;AF$3,CLAVE_BOV2,$A97)+SUMIFS(SALIDAS_BOV3,FECHA_BOV3,"&gt;="&amp;AF$2,FECHA_BOV3,"&lt;="&amp;AF$3,CLAVE_BOV3,$A97)+SUMIFS(SALIDAS_TC,FECHA_TC,"&gt;="&amp;AF$2,FECHA_TC,"&lt;="&amp;AF$3,CLAVE_TC,$A97)+SUMIFS(SALIDAS_COMB,FECHA_COMB,"&gt;="&amp;AF$2,FECHA_COMB,"&lt;="&amp;AF$3,CLAVE_COMB,$A97)+SUMIFS(SALIDAS_DES,FECHA_DESGLOSEN,"&gt;="&amp;AF$2,FECHA_DESGLOSEN,"&lt;="&amp;AF$3,CLAVE_DESGLOSE,$A97)</f>
        <v>0</v>
      </c>
      <c r="AG97" s="13">
        <f t="shared" si="200"/>
        <v>0</v>
      </c>
      <c r="AH97" s="13">
        <f t="shared" si="200"/>
        <v>0</v>
      </c>
      <c r="AI97" s="13">
        <f t="shared" si="200"/>
        <v>0</v>
      </c>
      <c r="AJ97" s="13">
        <f t="shared" si="200"/>
        <v>0</v>
      </c>
      <c r="AK97" s="68">
        <f t="shared" si="155"/>
        <v>0</v>
      </c>
      <c r="AL97" s="268">
        <f t="shared" si="156"/>
        <v>0</v>
      </c>
      <c r="AM97" s="13">
        <f t="shared" si="145"/>
        <v>0</v>
      </c>
      <c r="AN97" s="13">
        <f t="shared" ref="AN97:AS106" si="201">SUMIFS(SALIDAS_BIT,FECHA_BIT,"&gt;="&amp;AN$2,FECHA_BIT,"&lt;="&amp;AN$3,CLAVE_BIT,$A97)+SUMIFS(SALIDAS_BOV1,FECHA_BOV1,"&gt;="&amp;AN$2,FECHA_BOV1,"&lt;="&amp;AN$3,CLAVE_BOV1,$A97)+SUMIFS(SALIDAS_BOV2,FECHA_BOV2,"&gt;="&amp;AN$2,FECHA_BOV2,"&lt;="&amp;AN$3,CLAVE_BOV2,$A97)+SUMIFS(SALIDAS_BOV3,FECHA_BOV3,"&gt;="&amp;AN$2,FECHA_BOV3,"&lt;="&amp;AN$3,CLAVE_BOV3,$A97)+SUMIFS(SALIDAS_TC,FECHA_TC,"&gt;="&amp;AN$2,FECHA_TC,"&lt;="&amp;AN$3,CLAVE_TC,$A97)+SUMIFS(SALIDAS_COMB,FECHA_COMB,"&gt;="&amp;AN$2,FECHA_COMB,"&lt;="&amp;AN$3,CLAVE_COMB,$A97)+SUMIFS(SALIDAS_DES,FECHA_DESGLOSEN,"&gt;="&amp;AN$2,FECHA_DESGLOSEN,"&lt;="&amp;AN$3,CLAVE_DESGLOSE,$A97)</f>
        <v>0</v>
      </c>
      <c r="AO97" s="13">
        <f t="shared" si="201"/>
        <v>0</v>
      </c>
      <c r="AP97" s="13">
        <f t="shared" si="201"/>
        <v>0</v>
      </c>
      <c r="AQ97" s="13">
        <f t="shared" si="201"/>
        <v>0</v>
      </c>
      <c r="AR97" s="13">
        <f t="shared" si="201"/>
        <v>0</v>
      </c>
      <c r="AS97" s="13">
        <f t="shared" si="201"/>
        <v>0</v>
      </c>
      <c r="AT97" s="68">
        <f>AM97-AS97</f>
        <v>0</v>
      </c>
      <c r="AU97" s="268">
        <f t="shared" si="157"/>
        <v>0</v>
      </c>
      <c r="AV97" s="13">
        <f t="shared" si="146"/>
        <v>0</v>
      </c>
      <c r="AW97" s="13">
        <f t="shared" si="119"/>
        <v>0</v>
      </c>
      <c r="AX97" s="13">
        <f t="shared" si="119"/>
        <v>0</v>
      </c>
      <c r="AY97" s="13">
        <f t="shared" si="119"/>
        <v>0</v>
      </c>
      <c r="AZ97" s="13">
        <f t="shared" si="119"/>
        <v>0</v>
      </c>
      <c r="BA97" s="13">
        <f t="shared" si="120"/>
        <v>0</v>
      </c>
      <c r="BB97" s="68">
        <f t="shared" si="158"/>
        <v>0</v>
      </c>
      <c r="BC97" s="268">
        <f t="shared" si="159"/>
        <v>0</v>
      </c>
      <c r="BD97" s="13">
        <f t="shared" si="160"/>
        <v>0</v>
      </c>
      <c r="BE97" s="13">
        <f>SUMIFS(SALIDAS_BIT,FECHA_BIT,"&gt;="&amp;BE$2,FECHA_BIT,"&lt;="&amp;BE$3,CLAVE_BIT,$A97)+SUMIFS(SALIDAS_BOV1,FECHA_BOV1,"&gt;="&amp;BE$2,FECHA_BOV1,"&lt;="&amp;BE$3,CLAVE_BOV1,$A97)+SUMIFS(SALIDAS_BOV2,FECHA_BOV2,"&gt;="&amp;BE$2,FECHA_BOV2,"&lt;="&amp;BE$3,CLAVE_BOV2,$A97)+SUMIFS(SALIDAS_BOV3,FECHA_BOV3,"&gt;="&amp;BE$2,FECHA_BOV3,"&lt;="&amp;BE$3,CLAVE_BOV3,$A97)+SUMIFS(SALIDAS_TC,FECHA_TC,"&gt;="&amp;BE$2,FECHA_TC,"&lt;="&amp;BE$3,CLAVE_TC,$A97)+SUMIFS(SALIDAS_COMB,FECHA_COMB,"&gt;="&amp;BE$2,FECHA_COMB,"&lt;="&amp;BE$3,CLAVE_COMB,$A97)+SUMIFS(SALIDAS_DES,FECHA_DESGLOSEN,"&gt;="&amp;BE$2,FECHA_DESGLOSEN,"&lt;="&amp;BE$3,CLAVE_DESGLOSE,$A97)</f>
        <v>0</v>
      </c>
      <c r="BF97" s="13">
        <f>SUMIFS(SALIDAS_BIT,FECHA_BIT,"&gt;="&amp;BF$2,FECHA_BIT,"&lt;="&amp;BF$3,CLAVE_BIT,$A97)+SUMIFS(SALIDAS_BOV1,FECHA_BOV1,"&gt;="&amp;BF$2,FECHA_BOV1,"&lt;="&amp;BF$3,CLAVE_BOV1,$A97)+SUMIFS(SALIDAS_BOV2,FECHA_BOV2,"&gt;="&amp;BF$2,FECHA_BOV2,"&lt;="&amp;BF$3,CLAVE_BOV2,$A97)+SUMIFS(SALIDAS_BOV3,FECHA_BOV3,"&gt;="&amp;BF$2,FECHA_BOV3,"&lt;="&amp;BF$3,CLAVE_BOV3,$A97)+SUMIFS(SALIDAS_TC,FECHA_TC,"&gt;="&amp;BF$2,FECHA_TC,"&lt;="&amp;BF$3,CLAVE_TC,$A97)+SUMIFS(SALIDAS_COMB,FECHA_COMB,"&gt;="&amp;BF$2,FECHA_COMB,"&lt;="&amp;BF$3,CLAVE_COMB,$A97)+SUMIFS(SALIDAS_DES,FECHA_DESGLOSEN,"&gt;="&amp;BF$2,FECHA_DESGLOSEN,"&lt;="&amp;BF$3,CLAVE_DESGLOSE,$A97)</f>
        <v>0</v>
      </c>
      <c r="BG97" s="13">
        <f>SUMIFS(SALIDAS_BIT,FECHA_BIT,"&gt;="&amp;BG$2,FECHA_BIT,"&lt;="&amp;BG$3,CLAVE_BIT,$A97)+SUMIFS(SALIDAS_BOV1,FECHA_BOV1,"&gt;="&amp;BG$2,FECHA_BOV1,"&lt;="&amp;BG$3,CLAVE_BOV1,$A97)+SUMIFS(SALIDAS_BOV2,FECHA_BOV2,"&gt;="&amp;BG$2,FECHA_BOV2,"&lt;="&amp;BG$3,CLAVE_BOV2,$A97)+SUMIFS(SALIDAS_BOV3,FECHA_BOV3,"&gt;="&amp;BG$2,FECHA_BOV3,"&lt;="&amp;BG$3,CLAVE_BOV3,$A97)+SUMIFS(SALIDAS_TC,FECHA_TC,"&gt;="&amp;BG$2,FECHA_TC,"&lt;="&amp;BG$3,CLAVE_TC,$A97)+SUMIFS(SALIDAS_COMB,FECHA_COMB,"&gt;="&amp;BG$2,FECHA_COMB,"&lt;="&amp;BG$3,CLAVE_COMB,$A97)+SUMIFS(SALIDAS_DES,FECHA_DESGLOSEN,"&gt;="&amp;BG$2,FECHA_DESGLOSEN,"&lt;="&amp;BG$3,CLAVE_DESGLOSE,$A97)</f>
        <v>0</v>
      </c>
      <c r="BH97" s="13">
        <f>SUMIFS(SALIDAS_BIT,FECHA_BIT,"&gt;="&amp;BH$2,FECHA_BIT,"&lt;="&amp;BH$3,CLAVE_BIT,$A97)+SUMIFS(SALIDAS_BOV1,FECHA_BOV1,"&gt;="&amp;BH$2,FECHA_BOV1,"&lt;="&amp;BH$3,CLAVE_BOV1,$A97)+SUMIFS(SALIDAS_BOV2,FECHA_BOV2,"&gt;="&amp;BH$2,FECHA_BOV2,"&lt;="&amp;BH$3,CLAVE_BOV2,$A97)+SUMIFS(SALIDAS_BOV3,FECHA_BOV3,"&gt;="&amp;BH$2,FECHA_BOV3,"&lt;="&amp;BH$3,CLAVE_BOV3,$A97)+SUMIFS(SALIDAS_TC,FECHA_TC,"&gt;="&amp;BH$2,FECHA_TC,"&lt;="&amp;BH$3,CLAVE_TC,$A97)+SUMIFS(SALIDAS_COMB,FECHA_COMB,"&gt;="&amp;BH$2,FECHA_COMB,"&lt;="&amp;BH$3,CLAVE_COMB,$A97)+SUMIFS(SALIDAS_DES,FECHA_DESGLOSEN,"&gt;="&amp;BH$2,FECHA_DESGLOSEN,"&lt;="&amp;BH$3,CLAVE_DESGLOSE,$A97)</f>
        <v>0</v>
      </c>
      <c r="BI97" s="13">
        <f t="shared" si="121"/>
        <v>0</v>
      </c>
      <c r="BJ97" s="68">
        <f t="shared" si="161"/>
        <v>0</v>
      </c>
      <c r="BK97" s="268">
        <f t="shared" si="162"/>
        <v>0</v>
      </c>
      <c r="BL97" s="13">
        <f t="shared" si="163"/>
        <v>0</v>
      </c>
      <c r="BM97" s="13">
        <f>SUMIFS(SALIDAS_BIT,FECHA_BIT,"&gt;="&amp;BM$2,FECHA_BIT,"&lt;="&amp;BM$3,CLAVE_BIT,$A97)+SUMIFS(SALIDAS_BOV1,FECHA_BOV1,"&gt;="&amp;BM$2,FECHA_BOV1,"&lt;="&amp;BM$3,CLAVE_BOV1,$A97)+SUMIFS(SALIDAS_BOV2,FECHA_BOV2,"&gt;="&amp;BM$2,FECHA_BOV2,"&lt;="&amp;BM$3,CLAVE_BOV2,$A97)+SUMIFS(SALIDAS_BOV3,FECHA_BOV3,"&gt;="&amp;BM$2,FECHA_BOV3,"&lt;="&amp;BM$3,CLAVE_BOV3,$A97)+SUMIFS(SALIDAS_TC,FECHA_TC,"&gt;="&amp;BM$2,FECHA_TC,"&lt;="&amp;BM$3,CLAVE_TC,$A97)+SUMIFS(SALIDAS_COMB,FECHA_COMB,"&gt;="&amp;BM$2,FECHA_COMB,"&lt;="&amp;BM$3,CLAVE_COMB,$A97)+SUMIFS(SALIDAS_DES,FECHA_DESGLOSEN,"&gt;="&amp;BM$2,FECHA_DESGLOSEN,"&lt;="&amp;BM$3,CLAVE_DESGLOSE,$A97)</f>
        <v>0</v>
      </c>
      <c r="BN97" s="13">
        <f>SUMIFS(SALIDAS_BIT,FECHA_BIT,"&gt;="&amp;BN$2,FECHA_BIT,"&lt;="&amp;BN$3,CLAVE_BIT,$A97)+SUMIFS(SALIDAS_BOV1,FECHA_BOV1,"&gt;="&amp;BN$2,FECHA_BOV1,"&lt;="&amp;BN$3,CLAVE_BOV1,$A97)+SUMIFS(SALIDAS_BOV2,FECHA_BOV2,"&gt;="&amp;BN$2,FECHA_BOV2,"&lt;="&amp;BN$3,CLAVE_BOV2,$A97)+SUMIFS(SALIDAS_BOV3,FECHA_BOV3,"&gt;="&amp;BN$2,FECHA_BOV3,"&lt;="&amp;BN$3,CLAVE_BOV3,$A97)+SUMIFS(SALIDAS_TC,FECHA_TC,"&gt;="&amp;BN$2,FECHA_TC,"&lt;="&amp;BN$3,CLAVE_TC,$A97)+SUMIFS(SALIDAS_COMB,FECHA_COMB,"&gt;="&amp;BN$2,FECHA_COMB,"&lt;="&amp;BN$3,CLAVE_COMB,$A97)+SUMIFS(SALIDAS_DES,FECHA_DESGLOSEN,"&gt;="&amp;BN$2,FECHA_DESGLOSEN,"&lt;="&amp;BN$3,CLAVE_DESGLOSE,$A97)</f>
        <v>0</v>
      </c>
      <c r="BO97" s="13">
        <f>SUMIFS(SALIDAS_BIT,FECHA_BIT,"&gt;="&amp;BO$2,FECHA_BIT,"&lt;="&amp;BO$3,CLAVE_BIT,$A97)+SUMIFS(SALIDAS_BOV1,FECHA_BOV1,"&gt;="&amp;BO$2,FECHA_BOV1,"&lt;="&amp;BO$3,CLAVE_BOV1,$A97)+SUMIFS(SALIDAS_BOV2,FECHA_BOV2,"&gt;="&amp;BO$2,FECHA_BOV2,"&lt;="&amp;BO$3,CLAVE_BOV2,$A97)+SUMIFS(SALIDAS_BOV3,FECHA_BOV3,"&gt;="&amp;BO$2,FECHA_BOV3,"&lt;="&amp;BO$3,CLAVE_BOV3,$A97)+SUMIFS(SALIDAS_TC,FECHA_TC,"&gt;="&amp;BO$2,FECHA_TC,"&lt;="&amp;BO$3,CLAVE_TC,$A97)+SUMIFS(SALIDAS_COMB,FECHA_COMB,"&gt;="&amp;BO$2,FECHA_COMB,"&lt;="&amp;BO$3,CLAVE_COMB,$A97)+SUMIFS(SALIDAS_DES,FECHA_DESGLOSEN,"&gt;="&amp;BO$2,FECHA_DESGLOSEN,"&lt;="&amp;BO$3,CLAVE_DESGLOSE,$A97)</f>
        <v>0</v>
      </c>
      <c r="BP97" s="13">
        <f>SUMIFS(SALIDAS_BIT,FECHA_BIT,"&gt;="&amp;BP$2,FECHA_BIT,"&lt;="&amp;BP$3,CLAVE_BIT,$A97)+SUMIFS(SALIDAS_BOV1,FECHA_BOV1,"&gt;="&amp;BP$2,FECHA_BOV1,"&lt;="&amp;BP$3,CLAVE_BOV1,$A97)+SUMIFS(SALIDAS_BOV2,FECHA_BOV2,"&gt;="&amp;BP$2,FECHA_BOV2,"&lt;="&amp;BP$3,CLAVE_BOV2,$A97)+SUMIFS(SALIDAS_BOV3,FECHA_BOV3,"&gt;="&amp;BP$2,FECHA_BOV3,"&lt;="&amp;BP$3,CLAVE_BOV3,$A97)+SUMIFS(SALIDAS_TC,FECHA_TC,"&gt;="&amp;BP$2,FECHA_TC,"&lt;="&amp;BP$3,CLAVE_TC,$A97)+SUMIFS(SALIDAS_COMB,FECHA_COMB,"&gt;="&amp;BP$2,FECHA_COMB,"&lt;="&amp;BP$3,CLAVE_COMB,$A97)+SUMIFS(SALIDAS_DES,FECHA_DESGLOSEN,"&gt;="&amp;BP$2,FECHA_DESGLOSEN,"&lt;="&amp;BP$3,CLAVE_DESGLOSE,$A97)</f>
        <v>0</v>
      </c>
      <c r="BQ97" s="13">
        <f>SUMIFS(SALIDAS_BIT,FECHA_BIT,"&gt;="&amp;BQ$2,FECHA_BIT,"&lt;="&amp;BQ$3,CLAVE_BIT,$A97)+SUMIFS(SALIDAS_BOV1,FECHA_BOV1,"&gt;="&amp;BQ$2,FECHA_BOV1,"&lt;="&amp;BQ$3,CLAVE_BOV1,$A97)+SUMIFS(SALIDAS_BOV2,FECHA_BOV2,"&gt;="&amp;BQ$2,FECHA_BOV2,"&lt;="&amp;BQ$3,CLAVE_BOV2,$A97)+SUMIFS(SALIDAS_BOV3,FECHA_BOV3,"&gt;="&amp;BQ$2,FECHA_BOV3,"&lt;="&amp;BQ$3,CLAVE_BOV3,$A97)+SUMIFS(SALIDAS_TC,FECHA_TC,"&gt;="&amp;BQ$2,FECHA_TC,"&lt;="&amp;BQ$3,CLAVE_TC,$A97)+SUMIFS(SALIDAS_COMB,FECHA_COMB,"&gt;="&amp;BQ$2,FECHA_COMB,"&lt;="&amp;BQ$3,CLAVE_COMB,$A97)+SUMIFS(SALIDAS_DES,FECHA_DESGLOSEN,"&gt;="&amp;BQ$2,FECHA_DESGLOSEN,"&lt;="&amp;BQ$3,CLAVE_DESGLOSE,$A97)</f>
        <v>0</v>
      </c>
      <c r="BR97" s="13">
        <f t="shared" ref="BM97:BR106" si="202">SUMIFS(SALIDAS_BIT,FECHA_BIT,"&gt;="&amp;BR$2,FECHA_BIT,"&lt;="&amp;BR$3,CLAVE_BIT,$A97)+SUMIFS(SALIDAS_BOV1,FECHA_BOV1,"&gt;="&amp;BR$2,FECHA_BOV1,"&lt;="&amp;BR$3,CLAVE_BOV1,$A97)+SUMIFS(SALIDAS_BOV2,FECHA_BOV2,"&gt;="&amp;BR$2,FECHA_BOV2,"&lt;="&amp;BR$3,CLAVE_BOV2,$A97)+SUMIFS(SALIDAS_BOV3,FECHA_BOV3,"&gt;="&amp;BR$2,FECHA_BOV3,"&lt;="&amp;BR$3,CLAVE_BOV3,$A97)+SUMIFS(SALIDAS_TC,FECHA_TC,"&gt;="&amp;BR$2,FECHA_TC,"&lt;="&amp;BR$3,CLAVE_TC,$A97)+SUMIFS(SALIDAS_COMB,FECHA_COMB,"&gt;="&amp;BR$2,FECHA_COMB,"&lt;="&amp;BR$3,CLAVE_COMB,$A97)+SUMIFS(SALIDAS_DES,FECHA_DESGLOSEN,"&gt;="&amp;BR$2,FECHA_DESGLOSEN,"&lt;="&amp;BR$3,CLAVE_DESGLOSE,$A97)</f>
        <v>0</v>
      </c>
      <c r="BS97" s="68">
        <f t="shared" si="164"/>
        <v>0</v>
      </c>
      <c r="BT97" s="268">
        <f t="shared" si="165"/>
        <v>0</v>
      </c>
      <c r="BU97" s="13">
        <f t="shared" si="166"/>
        <v>0</v>
      </c>
      <c r="BV97" s="13">
        <f t="shared" si="186"/>
        <v>0</v>
      </c>
      <c r="BW97" s="13">
        <f t="shared" si="186"/>
        <v>0</v>
      </c>
      <c r="BX97" s="13">
        <f t="shared" si="186"/>
        <v>0</v>
      </c>
      <c r="BY97" s="13">
        <f t="shared" si="186"/>
        <v>0</v>
      </c>
      <c r="BZ97" s="13">
        <f t="shared" ref="BV97:BZ106" si="203">SUMIFS(SALIDAS_BIT,FECHA_BIT,"&gt;="&amp;BZ$2,FECHA_BIT,"&lt;="&amp;BZ$3,CLAVE_BIT,$A97)+SUMIFS(SALIDAS_BOV1,FECHA_BOV1,"&gt;="&amp;BZ$2,FECHA_BOV1,"&lt;="&amp;BZ$3,CLAVE_BOV1,$A97)+SUMIFS(SALIDAS_BOV2,FECHA_BOV2,"&gt;="&amp;BZ$2,FECHA_BOV2,"&lt;="&amp;BZ$3,CLAVE_BOV2,$A97)+SUMIFS(SALIDAS_BOV3,FECHA_BOV3,"&gt;="&amp;BZ$2,FECHA_BOV3,"&lt;="&amp;BZ$3,CLAVE_BOV3,$A97)+SUMIFS(SALIDAS_TC,FECHA_TC,"&gt;="&amp;BZ$2,FECHA_TC,"&lt;="&amp;BZ$3,CLAVE_TC,$A97)+SUMIFS(SALIDAS_COMB,FECHA_COMB,"&gt;="&amp;BZ$2,FECHA_COMB,"&lt;="&amp;BZ$3,CLAVE_COMB,$A97)+SUMIFS(SALIDAS_DES,FECHA_DESGLOSEN,"&gt;="&amp;BZ$2,FECHA_DESGLOSEN,"&lt;="&amp;BZ$3,CLAVE_DESGLOSE,$A97)</f>
        <v>0</v>
      </c>
      <c r="CA97" s="68">
        <f t="shared" si="167"/>
        <v>0</v>
      </c>
      <c r="CB97" s="268">
        <f t="shared" si="168"/>
        <v>0</v>
      </c>
      <c r="CC97" s="13">
        <f t="shared" si="169"/>
        <v>0</v>
      </c>
      <c r="CD97" s="13">
        <f t="shared" si="187"/>
        <v>0</v>
      </c>
      <c r="CE97" s="13">
        <f t="shared" si="187"/>
        <v>0</v>
      </c>
      <c r="CF97" s="13">
        <f t="shared" si="187"/>
        <v>0</v>
      </c>
      <c r="CG97" s="13">
        <f t="shared" si="187"/>
        <v>0</v>
      </c>
      <c r="CH97" s="13">
        <f t="shared" ref="CD97:CH106" si="204">SUMIFS(SALIDAS_BIT,FECHA_BIT,"&gt;="&amp;CH$2,FECHA_BIT,"&lt;="&amp;CH$3,CLAVE_BIT,$A97)+SUMIFS(SALIDAS_BOV1,FECHA_BOV1,"&gt;="&amp;CH$2,FECHA_BOV1,"&lt;="&amp;CH$3,CLAVE_BOV1,$A97)+SUMIFS(SALIDAS_BOV2,FECHA_BOV2,"&gt;="&amp;CH$2,FECHA_BOV2,"&lt;="&amp;CH$3,CLAVE_BOV2,$A97)+SUMIFS(SALIDAS_BOV3,FECHA_BOV3,"&gt;="&amp;CH$2,FECHA_BOV3,"&lt;="&amp;CH$3,CLAVE_BOV3,$A97)+SUMIFS(SALIDAS_TC,FECHA_TC,"&gt;="&amp;CH$2,FECHA_TC,"&lt;="&amp;CH$3,CLAVE_TC,$A97)+SUMIFS(SALIDAS_COMB,FECHA_COMB,"&gt;="&amp;CH$2,FECHA_COMB,"&lt;="&amp;CH$3,CLAVE_COMB,$A97)+SUMIFS(SALIDAS_DES,FECHA_DESGLOSEN,"&gt;="&amp;CH$2,FECHA_DESGLOSEN,"&lt;="&amp;CH$3,CLAVE_DESGLOSE,$A97)</f>
        <v>0</v>
      </c>
      <c r="CI97" s="68">
        <f t="shared" si="170"/>
        <v>0</v>
      </c>
      <c r="CJ97" s="268">
        <f t="shared" si="171"/>
        <v>0</v>
      </c>
      <c r="CK97" s="13">
        <f t="shared" si="172"/>
        <v>0</v>
      </c>
      <c r="CL97" s="13">
        <f t="shared" si="176"/>
        <v>0</v>
      </c>
      <c r="CM97" s="13">
        <f t="shared" si="176"/>
        <v>0</v>
      </c>
      <c r="CN97" s="13">
        <f t="shared" si="176"/>
        <v>0</v>
      </c>
      <c r="CO97" s="13">
        <f t="shared" si="176"/>
        <v>0</v>
      </c>
      <c r="CP97" s="13">
        <f t="shared" si="176"/>
        <v>0</v>
      </c>
      <c r="CQ97" s="13">
        <f t="shared" ref="CL97:CQ106" si="205">SUMIFS(SALIDAS_BIT,FECHA_BIT,"&gt;="&amp;CQ$2,FECHA_BIT,"&lt;="&amp;CQ$3,CLAVE_BIT,$A97)+SUMIFS(SALIDAS_BOV1,FECHA_BOV1,"&gt;="&amp;CQ$2,FECHA_BOV1,"&lt;="&amp;CQ$3,CLAVE_BOV1,$A97)+SUMIFS(SALIDAS_BOV2,FECHA_BOV2,"&gt;="&amp;CQ$2,FECHA_BOV2,"&lt;="&amp;CQ$3,CLAVE_BOV2,$A97)+SUMIFS(SALIDAS_BOV3,FECHA_BOV3,"&gt;="&amp;CQ$2,FECHA_BOV3,"&lt;="&amp;CQ$3,CLAVE_BOV3,$A97)+SUMIFS(SALIDAS_TC,FECHA_TC,"&gt;="&amp;CQ$2,FECHA_TC,"&lt;="&amp;CQ$3,CLAVE_TC,$A97)+SUMIFS(SALIDAS_COMB,FECHA_COMB,"&gt;="&amp;CQ$2,FECHA_COMB,"&lt;="&amp;CQ$3,CLAVE_COMB,$A97)+SUMIFS(SALIDAS_DES,FECHA_DESGLOSEN,"&gt;="&amp;CQ$2,FECHA_DESGLOSEN,"&lt;="&amp;CQ$3,CLAVE_DESGLOSE,$A97)</f>
        <v>0</v>
      </c>
      <c r="CR97" s="68">
        <f t="shared" si="173"/>
        <v>0</v>
      </c>
      <c r="CS97" s="268">
        <f t="shared" si="174"/>
        <v>0</v>
      </c>
      <c r="CT97" s="68">
        <f t="shared" si="147"/>
        <v>0</v>
      </c>
      <c r="CU97" s="13">
        <f>SUMIFS(SALIDAS_BIT,FECHA_BIT,"&gt;="&amp;CU$2,FECHA_BIT,"&lt;="&amp;CU$3,CLAVE_BIT,$A97)+SUMIFS(SALIDAS_BOV1,FECHA_BOV1,"&gt;="&amp;CU$2,FECHA_BOV1,"&lt;="&amp;CU$3,CLAVE_BOV1,$A97)+SUMIFS(SALIDAS_BOV2,FECHA_BOV2,"&gt;="&amp;CU$2,FECHA_BOV2,"&lt;="&amp;CU$3,CLAVE_BOV2,$A97)+SUMIFS(SALIDAS_BOV3,FECHA_BOV3,"&gt;="&amp;CU$2,FECHA_BOV3,"&lt;="&amp;CU$3,CLAVE_BOV3,$A97)+SUMIFS(SALIDAS_TC,FECHA_TC,"&gt;="&amp;CU$2,FECHA_TC,"&lt;="&amp;CU$3,CLAVE_TC,$A97)+SUMIFS(SALIDAS_COMB,FECHA_COMB,"&gt;="&amp;CU$2,FECHA_COMB,"&lt;="&amp;CU$3,CLAVE_COMB,$A97)+SUMIFS(SALIDAS_DES,FECHA_DESGLOSEN,"&gt;="&amp;CU$2,FECHA_DESGLOSEN,"&lt;="&amp;CU$3,CLAVE_DESGLOSE,$A97)</f>
        <v>0</v>
      </c>
      <c r="CV97" s="13">
        <f>SUMIFS(SALIDAS_BIT,FECHA_BIT,"&gt;="&amp;CV$2,FECHA_BIT,"&lt;="&amp;CV$3,CLAVE_BIT,$A97)+SUMIFS(SALIDAS_BOV1,FECHA_BOV1,"&gt;="&amp;CV$2,FECHA_BOV1,"&lt;="&amp;CV$3,CLAVE_BOV1,$A97)+SUMIFS(SALIDAS_BOV2,FECHA_BOV2,"&gt;="&amp;CV$2,FECHA_BOV2,"&lt;="&amp;CV$3,CLAVE_BOV2,$A97)+SUMIFS(SALIDAS_BOV3,FECHA_BOV3,"&gt;="&amp;CV$2,FECHA_BOV3,"&lt;="&amp;CV$3,CLAVE_BOV3,$A97)+SUMIFS(SALIDAS_TC,FECHA_TC,"&gt;="&amp;CV$2,FECHA_TC,"&lt;="&amp;CV$3,CLAVE_TC,$A97)+SUMIFS(SALIDAS_COMB,FECHA_COMB,"&gt;="&amp;CV$2,FECHA_COMB,"&lt;="&amp;CV$3,CLAVE_COMB,$A97)+SUMIFS(SALIDAS_DES,FECHA_DESGLOSEN,"&gt;="&amp;CV$2,FECHA_DESGLOSEN,"&lt;="&amp;CV$3,CLAVE_DESGLOSE,$A97)</f>
        <v>0</v>
      </c>
      <c r="CW97" s="13">
        <f>SUMIFS(SALIDAS_BIT,FECHA_BIT,"&gt;="&amp;CW$2,FECHA_BIT,"&lt;="&amp;CW$3,CLAVE_BIT,$A97)+SUMIFS(SALIDAS_BOV1,FECHA_BOV1,"&gt;="&amp;CW$2,FECHA_BOV1,"&lt;="&amp;CW$3,CLAVE_BOV1,$A97)+SUMIFS(SALIDAS_BOV2,FECHA_BOV2,"&gt;="&amp;CW$2,FECHA_BOV2,"&lt;="&amp;CW$3,CLAVE_BOV2,$A97)+SUMIFS(SALIDAS_BOV3,FECHA_BOV3,"&gt;="&amp;CW$2,FECHA_BOV3,"&lt;="&amp;CW$3,CLAVE_BOV3,$A97)+SUMIFS(SALIDAS_TC,FECHA_TC,"&gt;="&amp;CW$2,FECHA_TC,"&lt;="&amp;CW$3,CLAVE_TC,$A97)+SUMIFS(SALIDAS_COMB,FECHA_COMB,"&gt;="&amp;CW$2,FECHA_COMB,"&lt;="&amp;CW$3,CLAVE_COMB,$A97)+SUMIFS(SALIDAS_DES,FECHA_DESGLOSEN,"&gt;="&amp;CW$2,FECHA_DESGLOSEN,"&lt;="&amp;CW$3,CLAVE_DESGLOSE,$A97)</f>
        <v>0</v>
      </c>
      <c r="CX97" s="13">
        <f>SUMIFS(SALIDAS_BIT,FECHA_BIT,"&gt;="&amp;CX$2,FECHA_BIT,"&lt;="&amp;CX$3,CLAVE_BIT,$A97)+SUMIFS(SALIDAS_BOV1,FECHA_BOV1,"&gt;="&amp;CX$2,FECHA_BOV1,"&lt;="&amp;CX$3,CLAVE_BOV1,$A97)+SUMIFS(SALIDAS_BOV2,FECHA_BOV2,"&gt;="&amp;CX$2,FECHA_BOV2,"&lt;="&amp;CX$3,CLAVE_BOV2,$A97)+SUMIFS(SALIDAS_BOV3,FECHA_BOV3,"&gt;="&amp;CX$2,FECHA_BOV3,"&lt;="&amp;CX$3,CLAVE_BOV3,$A97)+SUMIFS(SALIDAS_TC,FECHA_TC,"&gt;="&amp;CX$2,FECHA_TC,"&lt;="&amp;CX$3,CLAVE_TC,$A97)+SUMIFS(SALIDAS_COMB,FECHA_COMB,"&gt;="&amp;CX$2,FECHA_COMB,"&lt;="&amp;CX$3,CLAVE_COMB,$A97)+SUMIFS(SALIDAS_DES,FECHA_DESGLOSEN,"&gt;="&amp;CX$2,FECHA_DESGLOSEN,"&lt;="&amp;CX$3,CLAVE_DESGLOSE,$A97)</f>
        <v>0</v>
      </c>
      <c r="CY97" s="13">
        <f>SUMIFS(SALIDAS_BIT,FECHA_BIT,"&gt;="&amp;CY$2,FECHA_BIT,"&lt;="&amp;CY$3,CLAVE_BIT,$A97)+SUMIFS(SALIDAS_BOV1,FECHA_BOV1,"&gt;="&amp;CY$2,FECHA_BOV1,"&lt;="&amp;CY$3,CLAVE_BOV1,$A97)+SUMIFS(SALIDAS_BOV2,FECHA_BOV2,"&gt;="&amp;CY$2,FECHA_BOV2,"&lt;="&amp;CY$3,CLAVE_BOV2,$A97)+SUMIFS(SALIDAS_BOV3,FECHA_BOV3,"&gt;="&amp;CY$2,FECHA_BOV3,"&lt;="&amp;CY$3,CLAVE_BOV3,$A97)+SUMIFS(SALIDAS_TC,FECHA_TC,"&gt;="&amp;CY$2,FECHA_TC,"&lt;="&amp;CY$3,CLAVE_TC,$A97)+SUMIFS(SALIDAS_COMB,FECHA_COMB,"&gt;="&amp;CY$2,FECHA_COMB,"&lt;="&amp;CY$3,CLAVE_COMB,$A97)+SUMIFS(SALIDAS_DES,FECHA_DESGLOSEN,"&gt;="&amp;CY$2,FECHA_DESGLOSEN,"&lt;="&amp;CY$3,CLAVE_DESGLOSE,$A97)</f>
        <v>0</v>
      </c>
      <c r="CZ97" s="68">
        <f t="shared" si="175"/>
        <v>0</v>
      </c>
      <c r="DB97" s="17">
        <f>F97+N97+W97+AE97+AM97+AV97+BD97+BL97+BU97+CC97+CK97</f>
        <v>0</v>
      </c>
      <c r="DC97" s="17">
        <f>K97+T97+AB97+AJ97+AS97+BA97+BI97+BR97+BZ97+CH97+CQ97</f>
        <v>0</v>
      </c>
    </row>
    <row r="98" spans="1:107" hidden="1">
      <c r="A98" s="12" t="str">
        <f t="shared" si="148"/>
        <v>SERVICIOSGASCEDIS</v>
      </c>
      <c r="B98" s="12">
        <v>100</v>
      </c>
      <c r="C98" t="s">
        <v>21</v>
      </c>
      <c r="D98" s="12" t="s">
        <v>122</v>
      </c>
      <c r="E98" s="12" t="s">
        <v>28</v>
      </c>
      <c r="F98" s="259">
        <f t="shared" si="141"/>
        <v>1200</v>
      </c>
      <c r="G98" s="13">
        <f t="shared" si="197"/>
        <v>0</v>
      </c>
      <c r="H98" s="13">
        <f t="shared" si="197"/>
        <v>0</v>
      </c>
      <c r="I98" s="13">
        <f t="shared" si="197"/>
        <v>0</v>
      </c>
      <c r="J98" s="13">
        <f t="shared" si="197"/>
        <v>0</v>
      </c>
      <c r="K98" s="13">
        <f t="shared" si="197"/>
        <v>0</v>
      </c>
      <c r="L98" s="68">
        <f t="shared" si="149"/>
        <v>1200</v>
      </c>
      <c r="M98" s="268">
        <f t="shared" si="150"/>
        <v>0</v>
      </c>
      <c r="N98" s="13">
        <f t="shared" si="142"/>
        <v>1500</v>
      </c>
      <c r="O98" s="13">
        <f t="shared" si="198"/>
        <v>0</v>
      </c>
      <c r="P98" s="13">
        <f t="shared" si="198"/>
        <v>0</v>
      </c>
      <c r="Q98" s="13">
        <f t="shared" si="198"/>
        <v>0</v>
      </c>
      <c r="R98" s="13">
        <f t="shared" si="198"/>
        <v>0</v>
      </c>
      <c r="S98" s="13">
        <f t="shared" si="198"/>
        <v>0</v>
      </c>
      <c r="T98" s="13">
        <f t="shared" si="198"/>
        <v>0</v>
      </c>
      <c r="U98" s="68">
        <f t="shared" si="151"/>
        <v>1500</v>
      </c>
      <c r="V98" s="268">
        <f t="shared" si="152"/>
        <v>0</v>
      </c>
      <c r="W98" s="13">
        <f t="shared" si="143"/>
        <v>1200</v>
      </c>
      <c r="X98" s="13">
        <f t="shared" si="199"/>
        <v>0</v>
      </c>
      <c r="Y98" s="13">
        <f t="shared" si="199"/>
        <v>0</v>
      </c>
      <c r="Z98" s="13">
        <f t="shared" si="199"/>
        <v>0</v>
      </c>
      <c r="AA98" s="13">
        <f t="shared" si="199"/>
        <v>0</v>
      </c>
      <c r="AB98" s="13">
        <f t="shared" si="199"/>
        <v>0</v>
      </c>
      <c r="AC98" s="68">
        <f t="shared" si="153"/>
        <v>1200</v>
      </c>
      <c r="AD98" s="268">
        <f t="shared" si="154"/>
        <v>0</v>
      </c>
      <c r="AE98" s="13">
        <f t="shared" si="144"/>
        <v>1200</v>
      </c>
      <c r="AF98" s="13">
        <f t="shared" si="200"/>
        <v>0</v>
      </c>
      <c r="AG98" s="13">
        <f t="shared" si="200"/>
        <v>0</v>
      </c>
      <c r="AH98" s="13">
        <f t="shared" si="200"/>
        <v>0</v>
      </c>
      <c r="AI98" s="13">
        <f t="shared" si="200"/>
        <v>0</v>
      </c>
      <c r="AJ98" s="13">
        <f t="shared" si="200"/>
        <v>0</v>
      </c>
      <c r="AK98" s="68">
        <f t="shared" si="155"/>
        <v>1200</v>
      </c>
      <c r="AL98" s="268">
        <f t="shared" si="156"/>
        <v>0</v>
      </c>
      <c r="AM98" s="13">
        <f t="shared" si="145"/>
        <v>1500</v>
      </c>
      <c r="AN98" s="13">
        <f t="shared" si="201"/>
        <v>300</v>
      </c>
      <c r="AO98" s="13">
        <f t="shared" si="201"/>
        <v>0</v>
      </c>
      <c r="AP98" s="13">
        <f t="shared" si="201"/>
        <v>0</v>
      </c>
      <c r="AQ98" s="13">
        <f t="shared" si="201"/>
        <v>0</v>
      </c>
      <c r="AR98" s="13">
        <f t="shared" si="201"/>
        <v>0</v>
      </c>
      <c r="AS98" s="13">
        <f t="shared" si="201"/>
        <v>300</v>
      </c>
      <c r="AT98" s="68">
        <f>AM98-AS98</f>
        <v>1200</v>
      </c>
      <c r="AU98" s="268">
        <f t="shared" si="157"/>
        <v>0.2</v>
      </c>
      <c r="AV98" s="13">
        <f t="shared" si="146"/>
        <v>1200</v>
      </c>
      <c r="AW98" s="13">
        <f t="shared" si="119"/>
        <v>300</v>
      </c>
      <c r="AX98" s="13">
        <f t="shared" si="119"/>
        <v>0</v>
      </c>
      <c r="AY98" s="13">
        <f t="shared" si="119"/>
        <v>300</v>
      </c>
      <c r="AZ98" s="13">
        <f t="shared" si="119"/>
        <v>300</v>
      </c>
      <c r="BA98" s="13">
        <f t="shared" si="120"/>
        <v>900</v>
      </c>
      <c r="BB98" s="68">
        <f t="shared" si="158"/>
        <v>300</v>
      </c>
      <c r="BC98" s="268">
        <f t="shared" si="159"/>
        <v>0.75</v>
      </c>
      <c r="BD98" s="13">
        <f t="shared" si="160"/>
        <v>1200</v>
      </c>
      <c r="BE98" s="13">
        <f>SUMIFS(SALIDAS_BIT,FECHA_BIT,"&gt;="&amp;BE$2,FECHA_BIT,"&lt;="&amp;BE$3,CLAVE_BIT,$A98)+SUMIFS(SALIDAS_BOV1,FECHA_BOV1,"&gt;="&amp;BE$2,FECHA_BOV1,"&lt;="&amp;BE$3,CLAVE_BOV1,$A98)+SUMIFS(SALIDAS_BOV2,FECHA_BOV2,"&gt;="&amp;BE$2,FECHA_BOV2,"&lt;="&amp;BE$3,CLAVE_BOV2,$A98)+SUMIFS(SALIDAS_BOV3,FECHA_BOV3,"&gt;="&amp;BE$2,FECHA_BOV3,"&lt;="&amp;BE$3,CLAVE_BOV3,$A98)+SUMIFS(SALIDAS_TC,FECHA_TC,"&gt;="&amp;BE$2,FECHA_TC,"&lt;="&amp;BE$3,CLAVE_TC,$A98)+SUMIFS(SALIDAS_COMB,FECHA_COMB,"&gt;="&amp;BE$2,FECHA_COMB,"&lt;="&amp;BE$3,CLAVE_COMB,$A98)+SUMIFS(SALIDAS_DES,FECHA_DESGLOSEN,"&gt;="&amp;BE$2,FECHA_DESGLOSEN,"&lt;="&amp;BE$3,CLAVE_DESGLOSE,$A98)</f>
        <v>300</v>
      </c>
      <c r="BF98" s="13">
        <f>SUMIFS(SALIDAS_BIT,FECHA_BIT,"&gt;="&amp;BF$2,FECHA_BIT,"&lt;="&amp;BF$3,CLAVE_BIT,$A98)+SUMIFS(SALIDAS_BOV1,FECHA_BOV1,"&gt;="&amp;BF$2,FECHA_BOV1,"&lt;="&amp;BF$3,CLAVE_BOV1,$A98)+SUMIFS(SALIDAS_BOV2,FECHA_BOV2,"&gt;="&amp;BF$2,FECHA_BOV2,"&lt;="&amp;BF$3,CLAVE_BOV2,$A98)+SUMIFS(SALIDAS_BOV3,FECHA_BOV3,"&gt;="&amp;BF$2,FECHA_BOV3,"&lt;="&amp;BF$3,CLAVE_BOV3,$A98)+SUMIFS(SALIDAS_TC,FECHA_TC,"&gt;="&amp;BF$2,FECHA_TC,"&lt;="&amp;BF$3,CLAVE_TC,$A98)+SUMIFS(SALIDAS_COMB,FECHA_COMB,"&gt;="&amp;BF$2,FECHA_COMB,"&lt;="&amp;BF$3,CLAVE_COMB,$A98)+SUMIFS(SALIDAS_DES,FECHA_DESGLOSEN,"&gt;="&amp;BF$2,FECHA_DESGLOSEN,"&lt;="&amp;BF$3,CLAVE_DESGLOSE,$A98)</f>
        <v>0</v>
      </c>
      <c r="BG98" s="13">
        <f>SUMIFS(SALIDAS_BIT,FECHA_BIT,"&gt;="&amp;BG$2,FECHA_BIT,"&lt;="&amp;BG$3,CLAVE_BIT,$A98)+SUMIFS(SALIDAS_BOV1,FECHA_BOV1,"&gt;="&amp;BG$2,FECHA_BOV1,"&lt;="&amp;BG$3,CLAVE_BOV1,$A98)+SUMIFS(SALIDAS_BOV2,FECHA_BOV2,"&gt;="&amp;BG$2,FECHA_BOV2,"&lt;="&amp;BG$3,CLAVE_BOV2,$A98)+SUMIFS(SALIDAS_BOV3,FECHA_BOV3,"&gt;="&amp;BG$2,FECHA_BOV3,"&lt;="&amp;BG$3,CLAVE_BOV3,$A98)+SUMIFS(SALIDAS_TC,FECHA_TC,"&gt;="&amp;BG$2,FECHA_TC,"&lt;="&amp;BG$3,CLAVE_TC,$A98)+SUMIFS(SALIDAS_COMB,FECHA_COMB,"&gt;="&amp;BG$2,FECHA_COMB,"&lt;="&amp;BG$3,CLAVE_COMB,$A98)+SUMIFS(SALIDAS_DES,FECHA_DESGLOSEN,"&gt;="&amp;BG$2,FECHA_DESGLOSEN,"&lt;="&amp;BG$3,CLAVE_DESGLOSE,$A98)</f>
        <v>600</v>
      </c>
      <c r="BH98" s="13">
        <f>SUMIFS(SALIDAS_BIT,FECHA_BIT,"&gt;="&amp;BH$2,FECHA_BIT,"&lt;="&amp;BH$3,CLAVE_BIT,$A98)+SUMIFS(SALIDAS_BOV1,FECHA_BOV1,"&gt;="&amp;BH$2,FECHA_BOV1,"&lt;="&amp;BH$3,CLAVE_BOV1,$A98)+SUMIFS(SALIDAS_BOV2,FECHA_BOV2,"&gt;="&amp;BH$2,FECHA_BOV2,"&lt;="&amp;BH$3,CLAVE_BOV2,$A98)+SUMIFS(SALIDAS_BOV3,FECHA_BOV3,"&gt;="&amp;BH$2,FECHA_BOV3,"&lt;="&amp;BH$3,CLAVE_BOV3,$A98)+SUMIFS(SALIDAS_TC,FECHA_TC,"&gt;="&amp;BH$2,FECHA_TC,"&lt;="&amp;BH$3,CLAVE_TC,$A98)+SUMIFS(SALIDAS_COMB,FECHA_COMB,"&gt;="&amp;BH$2,FECHA_COMB,"&lt;="&amp;BH$3,CLAVE_COMB,$A98)+SUMIFS(SALIDAS_DES,FECHA_DESGLOSEN,"&gt;="&amp;BH$2,FECHA_DESGLOSEN,"&lt;="&amp;BH$3,CLAVE_DESGLOSE,$A98)</f>
        <v>300</v>
      </c>
      <c r="BI98" s="13">
        <f t="shared" si="121"/>
        <v>1200</v>
      </c>
      <c r="BJ98" s="68">
        <f t="shared" si="161"/>
        <v>0</v>
      </c>
      <c r="BK98" s="268">
        <f t="shared" si="162"/>
        <v>1</v>
      </c>
      <c r="BL98" s="13">
        <f t="shared" si="163"/>
        <v>1500</v>
      </c>
      <c r="BM98" s="13">
        <f>SUMIFS(SALIDAS_BIT,FECHA_BIT,"&gt;="&amp;BM$2,FECHA_BIT,"&lt;="&amp;BM$3,CLAVE_BIT,$A98)+SUMIFS(SALIDAS_BOV1,FECHA_BOV1,"&gt;="&amp;BM$2,FECHA_BOV1,"&lt;="&amp;BM$3,CLAVE_BOV1,$A98)+SUMIFS(SALIDAS_BOV2,FECHA_BOV2,"&gt;="&amp;BM$2,FECHA_BOV2,"&lt;="&amp;BM$3,CLAVE_BOV2,$A98)+SUMIFS(SALIDAS_BOV3,FECHA_BOV3,"&gt;="&amp;BM$2,FECHA_BOV3,"&lt;="&amp;BM$3,CLAVE_BOV3,$A98)+SUMIFS(SALIDAS_TC,FECHA_TC,"&gt;="&amp;BM$2,FECHA_TC,"&lt;="&amp;BM$3,CLAVE_TC,$A98)+SUMIFS(SALIDAS_COMB,FECHA_COMB,"&gt;="&amp;BM$2,FECHA_COMB,"&lt;="&amp;BM$3,CLAVE_COMB,$A98)+SUMIFS(SALIDAS_DES,FECHA_DESGLOSEN,"&gt;="&amp;BM$2,FECHA_DESGLOSEN,"&lt;="&amp;BM$3,CLAVE_DESGLOSE,$A98)</f>
        <v>300</v>
      </c>
      <c r="BN98" s="13">
        <f>SUMIFS(SALIDAS_BIT,FECHA_BIT,"&gt;="&amp;BN$2,FECHA_BIT,"&lt;="&amp;BN$3,CLAVE_BIT,$A98)+SUMIFS(SALIDAS_BOV1,FECHA_BOV1,"&gt;="&amp;BN$2,FECHA_BOV1,"&lt;="&amp;BN$3,CLAVE_BOV1,$A98)+SUMIFS(SALIDAS_BOV2,FECHA_BOV2,"&gt;="&amp;BN$2,FECHA_BOV2,"&lt;="&amp;BN$3,CLAVE_BOV2,$A98)+SUMIFS(SALIDAS_BOV3,FECHA_BOV3,"&gt;="&amp;BN$2,FECHA_BOV3,"&lt;="&amp;BN$3,CLAVE_BOV3,$A98)+SUMIFS(SALIDAS_TC,FECHA_TC,"&gt;="&amp;BN$2,FECHA_TC,"&lt;="&amp;BN$3,CLAVE_TC,$A98)+SUMIFS(SALIDAS_COMB,FECHA_COMB,"&gt;="&amp;BN$2,FECHA_COMB,"&lt;="&amp;BN$3,CLAVE_COMB,$A98)+SUMIFS(SALIDAS_DES,FECHA_DESGLOSEN,"&gt;="&amp;BN$2,FECHA_DESGLOSEN,"&lt;="&amp;BN$3,CLAVE_DESGLOSE,$A98)</f>
        <v>300</v>
      </c>
      <c r="BO98" s="13">
        <f>SUMIFS(SALIDAS_BIT,FECHA_BIT,"&gt;="&amp;BO$2,FECHA_BIT,"&lt;="&amp;BO$3,CLAVE_BIT,$A98)+SUMIFS(SALIDAS_BOV1,FECHA_BOV1,"&gt;="&amp;BO$2,FECHA_BOV1,"&lt;="&amp;BO$3,CLAVE_BOV1,$A98)+SUMIFS(SALIDAS_BOV2,FECHA_BOV2,"&gt;="&amp;BO$2,FECHA_BOV2,"&lt;="&amp;BO$3,CLAVE_BOV2,$A98)+SUMIFS(SALIDAS_BOV3,FECHA_BOV3,"&gt;="&amp;BO$2,FECHA_BOV3,"&lt;="&amp;BO$3,CLAVE_BOV3,$A98)+SUMIFS(SALIDAS_TC,FECHA_TC,"&gt;="&amp;BO$2,FECHA_TC,"&lt;="&amp;BO$3,CLAVE_TC,$A98)+SUMIFS(SALIDAS_COMB,FECHA_COMB,"&gt;="&amp;BO$2,FECHA_COMB,"&lt;="&amp;BO$3,CLAVE_COMB,$A98)+SUMIFS(SALIDAS_DES,FECHA_DESGLOSEN,"&gt;="&amp;BO$2,FECHA_DESGLOSEN,"&lt;="&amp;BO$3,CLAVE_DESGLOSE,$A98)</f>
        <v>0</v>
      </c>
      <c r="BP98" s="13">
        <f>SUMIFS(SALIDAS_BIT,FECHA_BIT,"&gt;="&amp;BP$2,FECHA_BIT,"&lt;="&amp;BP$3,CLAVE_BIT,$A98)+SUMIFS(SALIDAS_BOV1,FECHA_BOV1,"&gt;="&amp;BP$2,FECHA_BOV1,"&lt;="&amp;BP$3,CLAVE_BOV1,$A98)+SUMIFS(SALIDAS_BOV2,FECHA_BOV2,"&gt;="&amp;BP$2,FECHA_BOV2,"&lt;="&amp;BP$3,CLAVE_BOV2,$A98)+SUMIFS(SALIDAS_BOV3,FECHA_BOV3,"&gt;="&amp;BP$2,FECHA_BOV3,"&lt;="&amp;BP$3,CLAVE_BOV3,$A98)+SUMIFS(SALIDAS_TC,FECHA_TC,"&gt;="&amp;BP$2,FECHA_TC,"&lt;="&amp;BP$3,CLAVE_TC,$A98)+SUMIFS(SALIDAS_COMB,FECHA_COMB,"&gt;="&amp;BP$2,FECHA_COMB,"&lt;="&amp;BP$3,CLAVE_COMB,$A98)+SUMIFS(SALIDAS_DES,FECHA_DESGLOSEN,"&gt;="&amp;BP$2,FECHA_DESGLOSEN,"&lt;="&amp;BP$3,CLAVE_DESGLOSE,$A98)</f>
        <v>0</v>
      </c>
      <c r="BQ98" s="13">
        <f>SUMIFS(SALIDAS_BIT,FECHA_BIT,"&gt;="&amp;BQ$2,FECHA_BIT,"&lt;="&amp;BQ$3,CLAVE_BIT,$A98)+SUMIFS(SALIDAS_BOV1,FECHA_BOV1,"&gt;="&amp;BQ$2,FECHA_BOV1,"&lt;="&amp;BQ$3,CLAVE_BOV1,$A98)+SUMIFS(SALIDAS_BOV2,FECHA_BOV2,"&gt;="&amp;BQ$2,FECHA_BOV2,"&lt;="&amp;BQ$3,CLAVE_BOV2,$A98)+SUMIFS(SALIDAS_BOV3,FECHA_BOV3,"&gt;="&amp;BQ$2,FECHA_BOV3,"&lt;="&amp;BQ$3,CLAVE_BOV3,$A98)+SUMIFS(SALIDAS_TC,FECHA_TC,"&gt;="&amp;BQ$2,FECHA_TC,"&lt;="&amp;BQ$3,CLAVE_TC,$A98)+SUMIFS(SALIDAS_COMB,FECHA_COMB,"&gt;="&amp;BQ$2,FECHA_COMB,"&lt;="&amp;BQ$3,CLAVE_COMB,$A98)+SUMIFS(SALIDAS_DES,FECHA_DESGLOSEN,"&gt;="&amp;BQ$2,FECHA_DESGLOSEN,"&lt;="&amp;BQ$3,CLAVE_DESGLOSE,$A98)</f>
        <v>300</v>
      </c>
      <c r="BR98" s="13">
        <f t="shared" si="202"/>
        <v>900</v>
      </c>
      <c r="BS98" s="68">
        <f t="shared" si="164"/>
        <v>600</v>
      </c>
      <c r="BT98" s="268">
        <f t="shared" si="165"/>
        <v>0.6</v>
      </c>
      <c r="BU98" s="13">
        <f t="shared" si="166"/>
        <v>1200</v>
      </c>
      <c r="BV98" s="13">
        <f t="shared" si="186"/>
        <v>300</v>
      </c>
      <c r="BW98" s="13">
        <f t="shared" si="186"/>
        <v>0</v>
      </c>
      <c r="BX98" s="13">
        <f t="shared" si="186"/>
        <v>300</v>
      </c>
      <c r="BY98" s="13">
        <f t="shared" si="186"/>
        <v>0</v>
      </c>
      <c r="BZ98" s="13">
        <f t="shared" si="203"/>
        <v>600</v>
      </c>
      <c r="CA98" s="68">
        <f t="shared" si="167"/>
        <v>600</v>
      </c>
      <c r="CB98" s="268">
        <f t="shared" si="168"/>
        <v>0.5</v>
      </c>
      <c r="CC98" s="13">
        <f t="shared" si="169"/>
        <v>1200</v>
      </c>
      <c r="CD98" s="13">
        <f t="shared" si="187"/>
        <v>600</v>
      </c>
      <c r="CE98" s="13">
        <f t="shared" si="187"/>
        <v>603</v>
      </c>
      <c r="CF98" s="13">
        <f t="shared" si="187"/>
        <v>300</v>
      </c>
      <c r="CG98" s="13">
        <f t="shared" si="187"/>
        <v>0</v>
      </c>
      <c r="CH98" s="13">
        <f t="shared" si="204"/>
        <v>1503</v>
      </c>
      <c r="CI98" s="68">
        <f t="shared" si="170"/>
        <v>-303</v>
      </c>
      <c r="CJ98" s="268">
        <f t="shared" si="171"/>
        <v>1.2524999999999999</v>
      </c>
      <c r="CK98" s="13">
        <f t="shared" si="172"/>
        <v>1500</v>
      </c>
      <c r="CL98" s="13">
        <f t="shared" si="176"/>
        <v>300</v>
      </c>
      <c r="CM98" s="13">
        <f t="shared" si="176"/>
        <v>0</v>
      </c>
      <c r="CN98" s="13">
        <f t="shared" si="176"/>
        <v>600</v>
      </c>
      <c r="CO98" s="13">
        <f t="shared" si="176"/>
        <v>0</v>
      </c>
      <c r="CP98" s="13">
        <f t="shared" si="176"/>
        <v>600</v>
      </c>
      <c r="CQ98" s="13">
        <f t="shared" si="205"/>
        <v>1500</v>
      </c>
      <c r="CR98" s="68">
        <f t="shared" si="173"/>
        <v>0</v>
      </c>
      <c r="CS98" s="268">
        <f t="shared" si="174"/>
        <v>1</v>
      </c>
      <c r="CT98" s="68">
        <f t="shared" si="147"/>
        <v>1200</v>
      </c>
      <c r="CU98" s="13">
        <f>SUMIFS(SALIDAS_BIT,FECHA_BIT,"&gt;="&amp;CU$2,FECHA_BIT,"&lt;="&amp;CU$3,CLAVE_BIT,$A98)+SUMIFS(SALIDAS_BOV1,FECHA_BOV1,"&gt;="&amp;CU$2,FECHA_BOV1,"&lt;="&amp;CU$3,CLAVE_BOV1,$A98)+SUMIFS(SALIDAS_BOV2,FECHA_BOV2,"&gt;="&amp;CU$2,FECHA_BOV2,"&lt;="&amp;CU$3,CLAVE_BOV2,$A98)+SUMIFS(SALIDAS_BOV3,FECHA_BOV3,"&gt;="&amp;CU$2,FECHA_BOV3,"&lt;="&amp;CU$3,CLAVE_BOV3,$A98)+SUMIFS(SALIDAS_TC,FECHA_TC,"&gt;="&amp;CU$2,FECHA_TC,"&lt;="&amp;CU$3,CLAVE_TC,$A98)+SUMIFS(SALIDAS_COMB,FECHA_COMB,"&gt;="&amp;CU$2,FECHA_COMB,"&lt;="&amp;CU$3,CLAVE_COMB,$A98)+SUMIFS(SALIDAS_DES,FECHA_DESGLOSEN,"&gt;="&amp;CU$2,FECHA_DESGLOSEN,"&lt;="&amp;CU$3,CLAVE_DESGLOSE,$A98)</f>
        <v>300</v>
      </c>
      <c r="CV98" s="13">
        <f>SUMIFS(SALIDAS_BIT,FECHA_BIT,"&gt;="&amp;CV$2,FECHA_BIT,"&lt;="&amp;CV$3,CLAVE_BIT,$A98)+SUMIFS(SALIDAS_BOV1,FECHA_BOV1,"&gt;="&amp;CV$2,FECHA_BOV1,"&lt;="&amp;CV$3,CLAVE_BOV1,$A98)+SUMIFS(SALIDAS_BOV2,FECHA_BOV2,"&gt;="&amp;CV$2,FECHA_BOV2,"&lt;="&amp;CV$3,CLAVE_BOV2,$A98)+SUMIFS(SALIDAS_BOV3,FECHA_BOV3,"&gt;="&amp;CV$2,FECHA_BOV3,"&lt;="&amp;CV$3,CLAVE_BOV3,$A98)+SUMIFS(SALIDAS_TC,FECHA_TC,"&gt;="&amp;CV$2,FECHA_TC,"&lt;="&amp;CV$3,CLAVE_TC,$A98)+SUMIFS(SALIDAS_COMB,FECHA_COMB,"&gt;="&amp;CV$2,FECHA_COMB,"&lt;="&amp;CV$3,CLAVE_COMB,$A98)+SUMIFS(SALIDAS_DES,FECHA_DESGLOSEN,"&gt;="&amp;CV$2,FECHA_DESGLOSEN,"&lt;="&amp;CV$3,CLAVE_DESGLOSE,$A98)</f>
        <v>0</v>
      </c>
      <c r="CW98" s="13">
        <f>SUMIFS(SALIDAS_BIT,FECHA_BIT,"&gt;="&amp;CW$2,FECHA_BIT,"&lt;="&amp;CW$3,CLAVE_BIT,$A98)+SUMIFS(SALIDAS_BOV1,FECHA_BOV1,"&gt;="&amp;CW$2,FECHA_BOV1,"&lt;="&amp;CW$3,CLAVE_BOV1,$A98)+SUMIFS(SALIDAS_BOV2,FECHA_BOV2,"&gt;="&amp;CW$2,FECHA_BOV2,"&lt;="&amp;CW$3,CLAVE_BOV2,$A98)+SUMIFS(SALIDAS_BOV3,FECHA_BOV3,"&gt;="&amp;CW$2,FECHA_BOV3,"&lt;="&amp;CW$3,CLAVE_BOV3,$A98)+SUMIFS(SALIDAS_TC,FECHA_TC,"&gt;="&amp;CW$2,FECHA_TC,"&lt;="&amp;CW$3,CLAVE_TC,$A98)+SUMIFS(SALIDAS_COMB,FECHA_COMB,"&gt;="&amp;CW$2,FECHA_COMB,"&lt;="&amp;CW$3,CLAVE_COMB,$A98)+SUMIFS(SALIDAS_DES,FECHA_DESGLOSEN,"&gt;="&amp;CW$2,FECHA_DESGLOSEN,"&lt;="&amp;CW$3,CLAVE_DESGLOSE,$A98)</f>
        <v>300</v>
      </c>
      <c r="CX98" s="13">
        <f>SUMIFS(SALIDAS_BIT,FECHA_BIT,"&gt;="&amp;CX$2,FECHA_BIT,"&lt;="&amp;CX$3,CLAVE_BIT,$A98)+SUMIFS(SALIDAS_BOV1,FECHA_BOV1,"&gt;="&amp;CX$2,FECHA_BOV1,"&lt;="&amp;CX$3,CLAVE_BOV1,$A98)+SUMIFS(SALIDAS_BOV2,FECHA_BOV2,"&gt;="&amp;CX$2,FECHA_BOV2,"&lt;="&amp;CX$3,CLAVE_BOV2,$A98)+SUMIFS(SALIDAS_BOV3,FECHA_BOV3,"&gt;="&amp;CX$2,FECHA_BOV3,"&lt;="&amp;CX$3,CLAVE_BOV3,$A98)+SUMIFS(SALIDAS_TC,FECHA_TC,"&gt;="&amp;CX$2,FECHA_TC,"&lt;="&amp;CX$3,CLAVE_TC,$A98)+SUMIFS(SALIDAS_COMB,FECHA_COMB,"&gt;="&amp;CX$2,FECHA_COMB,"&lt;="&amp;CX$3,CLAVE_COMB,$A98)+SUMIFS(SALIDAS_DES,FECHA_DESGLOSEN,"&gt;="&amp;CX$2,FECHA_DESGLOSEN,"&lt;="&amp;CX$3,CLAVE_DESGLOSE,$A98)</f>
        <v>300</v>
      </c>
      <c r="CY98" s="13">
        <f>SUMIFS(SALIDAS_BIT,FECHA_BIT,"&gt;="&amp;CY$2,FECHA_BIT,"&lt;="&amp;CY$3,CLAVE_BIT,$A98)+SUMIFS(SALIDAS_BOV1,FECHA_BOV1,"&gt;="&amp;CY$2,FECHA_BOV1,"&lt;="&amp;CY$3,CLAVE_BOV1,$A98)+SUMIFS(SALIDAS_BOV2,FECHA_BOV2,"&gt;="&amp;CY$2,FECHA_BOV2,"&lt;="&amp;CY$3,CLAVE_BOV2,$A98)+SUMIFS(SALIDAS_BOV3,FECHA_BOV3,"&gt;="&amp;CY$2,FECHA_BOV3,"&lt;="&amp;CY$3,CLAVE_BOV3,$A98)+SUMIFS(SALIDAS_TC,FECHA_TC,"&gt;="&amp;CY$2,FECHA_TC,"&lt;="&amp;CY$3,CLAVE_TC,$A98)+SUMIFS(SALIDAS_COMB,FECHA_COMB,"&gt;="&amp;CY$2,FECHA_COMB,"&lt;="&amp;CY$3,CLAVE_COMB,$A98)+SUMIFS(SALIDAS_DES,FECHA_DESGLOSEN,"&gt;="&amp;CY$2,FECHA_DESGLOSEN,"&lt;="&amp;CY$3,CLAVE_DESGLOSE,$A98)</f>
        <v>900</v>
      </c>
      <c r="CZ98" s="68">
        <f t="shared" si="175"/>
        <v>300</v>
      </c>
      <c r="DB98" s="17">
        <f>F98+N98+W98+AE98+AM98+AV98+BD98+BL98+BU98+CC98+CK98</f>
        <v>14400</v>
      </c>
      <c r="DC98" s="17">
        <f>K98+T98+AB98+AJ98+AS98+BA98+BI98+BR98+BZ98+CH98+CQ98</f>
        <v>6903</v>
      </c>
    </row>
    <row r="99" spans="1:107" hidden="1">
      <c r="A99" s="12" t="str">
        <f t="shared" si="148"/>
        <v>FINANZASTELEFONIATELMEX</v>
      </c>
      <c r="B99" s="12">
        <v>101</v>
      </c>
      <c r="C99" t="s">
        <v>23</v>
      </c>
      <c r="D99" s="12" t="s">
        <v>181</v>
      </c>
      <c r="E99" s="12" t="s">
        <v>182</v>
      </c>
      <c r="F99" s="259">
        <f t="shared" si="141"/>
        <v>0</v>
      </c>
      <c r="G99" s="13">
        <f t="shared" si="197"/>
        <v>0</v>
      </c>
      <c r="H99" s="13">
        <f t="shared" si="197"/>
        <v>0</v>
      </c>
      <c r="I99" s="13">
        <f t="shared" si="197"/>
        <v>0</v>
      </c>
      <c r="J99" s="13">
        <f t="shared" si="197"/>
        <v>0</v>
      </c>
      <c r="K99" s="13">
        <f t="shared" si="197"/>
        <v>0</v>
      </c>
      <c r="L99" s="68">
        <f t="shared" si="149"/>
        <v>0</v>
      </c>
      <c r="M99" s="268">
        <f t="shared" si="150"/>
        <v>0</v>
      </c>
      <c r="N99" s="13">
        <f t="shared" si="142"/>
        <v>0</v>
      </c>
      <c r="O99" s="13">
        <f t="shared" si="198"/>
        <v>0</v>
      </c>
      <c r="P99" s="13">
        <f t="shared" si="198"/>
        <v>0</v>
      </c>
      <c r="Q99" s="13">
        <f t="shared" si="198"/>
        <v>0</v>
      </c>
      <c r="R99" s="13">
        <f t="shared" si="198"/>
        <v>0</v>
      </c>
      <c r="S99" s="13">
        <f t="shared" si="198"/>
        <v>22908</v>
      </c>
      <c r="T99" s="13">
        <f t="shared" si="198"/>
        <v>22908</v>
      </c>
      <c r="U99" s="68">
        <f t="shared" si="151"/>
        <v>-22908</v>
      </c>
      <c r="V99" s="268">
        <f t="shared" si="152"/>
        <v>0</v>
      </c>
      <c r="W99" s="13">
        <f t="shared" si="143"/>
        <v>0</v>
      </c>
      <c r="X99" s="13">
        <f t="shared" si="199"/>
        <v>0</v>
      </c>
      <c r="Y99" s="13">
        <f t="shared" si="199"/>
        <v>0</v>
      </c>
      <c r="Z99" s="13">
        <f t="shared" si="199"/>
        <v>0</v>
      </c>
      <c r="AA99" s="13">
        <f t="shared" si="199"/>
        <v>24700.73</v>
      </c>
      <c r="AB99" s="13">
        <f t="shared" si="199"/>
        <v>24700.73</v>
      </c>
      <c r="AC99" s="68">
        <f t="shared" si="153"/>
        <v>-24700.73</v>
      </c>
      <c r="AD99" s="268">
        <f t="shared" si="154"/>
        <v>0</v>
      </c>
      <c r="AE99" s="13">
        <f t="shared" si="144"/>
        <v>0</v>
      </c>
      <c r="AF99" s="13">
        <f t="shared" si="200"/>
        <v>0</v>
      </c>
      <c r="AG99" s="13">
        <f t="shared" si="200"/>
        <v>0</v>
      </c>
      <c r="AH99" s="13">
        <f t="shared" si="200"/>
        <v>0</v>
      </c>
      <c r="AI99" s="13">
        <f t="shared" si="200"/>
        <v>0</v>
      </c>
      <c r="AJ99" s="13">
        <f t="shared" si="200"/>
        <v>0</v>
      </c>
      <c r="AK99" s="68">
        <f t="shared" si="155"/>
        <v>0</v>
      </c>
      <c r="AL99" s="268">
        <f t="shared" si="156"/>
        <v>0</v>
      </c>
      <c r="AM99" s="13">
        <f t="shared" si="145"/>
        <v>0</v>
      </c>
      <c r="AN99" s="13">
        <f t="shared" si="201"/>
        <v>0</v>
      </c>
      <c r="AO99" s="13">
        <f t="shared" si="201"/>
        <v>0</v>
      </c>
      <c r="AP99" s="13">
        <f t="shared" si="201"/>
        <v>0</v>
      </c>
      <c r="AQ99" s="13">
        <f t="shared" si="201"/>
        <v>0</v>
      </c>
      <c r="AR99" s="13">
        <f t="shared" si="201"/>
        <v>24535</v>
      </c>
      <c r="AS99" s="13">
        <f t="shared" si="201"/>
        <v>24535</v>
      </c>
      <c r="AT99" s="68">
        <f>AM99-AS99</f>
        <v>-24535</v>
      </c>
      <c r="AU99" s="268">
        <f t="shared" si="157"/>
        <v>0</v>
      </c>
      <c r="AV99" s="13">
        <f t="shared" si="146"/>
        <v>0</v>
      </c>
      <c r="AW99" s="13">
        <f t="shared" si="119"/>
        <v>0</v>
      </c>
      <c r="AX99" s="13">
        <f t="shared" si="119"/>
        <v>0</v>
      </c>
      <c r="AY99" s="13">
        <f t="shared" si="119"/>
        <v>0</v>
      </c>
      <c r="AZ99" s="13">
        <f t="shared" si="119"/>
        <v>0</v>
      </c>
      <c r="BA99" s="13">
        <f t="shared" si="120"/>
        <v>0</v>
      </c>
      <c r="BB99" s="68">
        <f t="shared" si="158"/>
        <v>0</v>
      </c>
      <c r="BC99" s="268">
        <f t="shared" si="159"/>
        <v>0</v>
      </c>
      <c r="BD99" s="13">
        <f t="shared" si="160"/>
        <v>0</v>
      </c>
      <c r="BE99" s="13">
        <f>SUMIFS(SALIDAS_BIT,FECHA_BIT,"&gt;="&amp;BE$2,FECHA_BIT,"&lt;="&amp;BE$3,CLAVE_BIT,$A99)+SUMIFS(SALIDAS_BOV1,FECHA_BOV1,"&gt;="&amp;BE$2,FECHA_BOV1,"&lt;="&amp;BE$3,CLAVE_BOV1,$A99)+SUMIFS(SALIDAS_BOV2,FECHA_BOV2,"&gt;="&amp;BE$2,FECHA_BOV2,"&lt;="&amp;BE$3,CLAVE_BOV2,$A99)+SUMIFS(SALIDAS_BOV3,FECHA_BOV3,"&gt;="&amp;BE$2,FECHA_BOV3,"&lt;="&amp;BE$3,CLAVE_BOV3,$A99)+SUMIFS(SALIDAS_TC,FECHA_TC,"&gt;="&amp;BE$2,FECHA_TC,"&lt;="&amp;BE$3,CLAVE_TC,$A99)+SUMIFS(SALIDAS_COMB,FECHA_COMB,"&gt;="&amp;BE$2,FECHA_COMB,"&lt;="&amp;BE$3,CLAVE_COMB,$A99)+SUMIFS(SALIDAS_DES,FECHA_DESGLOSEN,"&gt;="&amp;BE$2,FECHA_DESGLOSEN,"&lt;="&amp;BE$3,CLAVE_DESGLOSE,$A99)</f>
        <v>0</v>
      </c>
      <c r="BF99" s="13">
        <f>SUMIFS(SALIDAS_BIT,FECHA_BIT,"&gt;="&amp;BF$2,FECHA_BIT,"&lt;="&amp;BF$3,CLAVE_BIT,$A99)+SUMIFS(SALIDAS_BOV1,FECHA_BOV1,"&gt;="&amp;BF$2,FECHA_BOV1,"&lt;="&amp;BF$3,CLAVE_BOV1,$A99)+SUMIFS(SALIDAS_BOV2,FECHA_BOV2,"&gt;="&amp;BF$2,FECHA_BOV2,"&lt;="&amp;BF$3,CLAVE_BOV2,$A99)+SUMIFS(SALIDAS_BOV3,FECHA_BOV3,"&gt;="&amp;BF$2,FECHA_BOV3,"&lt;="&amp;BF$3,CLAVE_BOV3,$A99)+SUMIFS(SALIDAS_TC,FECHA_TC,"&gt;="&amp;BF$2,FECHA_TC,"&lt;="&amp;BF$3,CLAVE_TC,$A99)+SUMIFS(SALIDAS_COMB,FECHA_COMB,"&gt;="&amp;BF$2,FECHA_COMB,"&lt;="&amp;BF$3,CLAVE_COMB,$A99)+SUMIFS(SALIDAS_DES,FECHA_DESGLOSEN,"&gt;="&amp;BF$2,FECHA_DESGLOSEN,"&lt;="&amp;BF$3,CLAVE_DESGLOSE,$A99)</f>
        <v>0</v>
      </c>
      <c r="BG99" s="13">
        <f>SUMIFS(SALIDAS_BIT,FECHA_BIT,"&gt;="&amp;BG$2,FECHA_BIT,"&lt;="&amp;BG$3,CLAVE_BIT,$A99)+SUMIFS(SALIDAS_BOV1,FECHA_BOV1,"&gt;="&amp;BG$2,FECHA_BOV1,"&lt;="&amp;BG$3,CLAVE_BOV1,$A99)+SUMIFS(SALIDAS_BOV2,FECHA_BOV2,"&gt;="&amp;BG$2,FECHA_BOV2,"&lt;="&amp;BG$3,CLAVE_BOV2,$A99)+SUMIFS(SALIDAS_BOV3,FECHA_BOV3,"&gt;="&amp;BG$2,FECHA_BOV3,"&lt;="&amp;BG$3,CLAVE_BOV3,$A99)+SUMIFS(SALIDAS_TC,FECHA_TC,"&gt;="&amp;BG$2,FECHA_TC,"&lt;="&amp;BG$3,CLAVE_TC,$A99)+SUMIFS(SALIDAS_COMB,FECHA_COMB,"&gt;="&amp;BG$2,FECHA_COMB,"&lt;="&amp;BG$3,CLAVE_COMB,$A99)+SUMIFS(SALIDAS_DES,FECHA_DESGLOSEN,"&gt;="&amp;BG$2,FECHA_DESGLOSEN,"&lt;="&amp;BG$3,CLAVE_DESGLOSE,$A99)</f>
        <v>0</v>
      </c>
      <c r="BH99" s="13">
        <f>SUMIFS(SALIDAS_BIT,FECHA_BIT,"&gt;="&amp;BH$2,FECHA_BIT,"&lt;="&amp;BH$3,CLAVE_BIT,$A99)+SUMIFS(SALIDAS_BOV1,FECHA_BOV1,"&gt;="&amp;BH$2,FECHA_BOV1,"&lt;="&amp;BH$3,CLAVE_BOV1,$A99)+SUMIFS(SALIDAS_BOV2,FECHA_BOV2,"&gt;="&amp;BH$2,FECHA_BOV2,"&lt;="&amp;BH$3,CLAVE_BOV2,$A99)+SUMIFS(SALIDAS_BOV3,FECHA_BOV3,"&gt;="&amp;BH$2,FECHA_BOV3,"&lt;="&amp;BH$3,CLAVE_BOV3,$A99)+SUMIFS(SALIDAS_TC,FECHA_TC,"&gt;="&amp;BH$2,FECHA_TC,"&lt;="&amp;BH$3,CLAVE_TC,$A99)+SUMIFS(SALIDAS_COMB,FECHA_COMB,"&gt;="&amp;BH$2,FECHA_COMB,"&lt;="&amp;BH$3,CLAVE_COMB,$A99)+SUMIFS(SALIDAS_DES,FECHA_DESGLOSEN,"&gt;="&amp;BH$2,FECHA_DESGLOSEN,"&lt;="&amp;BH$3,CLAVE_DESGLOSE,$A99)</f>
        <v>0</v>
      </c>
      <c r="BI99" s="13">
        <f t="shared" si="121"/>
        <v>0</v>
      </c>
      <c r="BJ99" s="68">
        <f t="shared" si="161"/>
        <v>0</v>
      </c>
      <c r="BK99" s="268">
        <f t="shared" si="162"/>
        <v>0</v>
      </c>
      <c r="BL99" s="13">
        <f t="shared" si="163"/>
        <v>0</v>
      </c>
      <c r="BM99" s="13">
        <f>SUMIFS(SALIDAS_BIT,FECHA_BIT,"&gt;="&amp;BM$2,FECHA_BIT,"&lt;="&amp;BM$3,CLAVE_BIT,$A99)+SUMIFS(SALIDAS_BOV1,FECHA_BOV1,"&gt;="&amp;BM$2,FECHA_BOV1,"&lt;="&amp;BM$3,CLAVE_BOV1,$A99)+SUMIFS(SALIDAS_BOV2,FECHA_BOV2,"&gt;="&amp;BM$2,FECHA_BOV2,"&lt;="&amp;BM$3,CLAVE_BOV2,$A99)+SUMIFS(SALIDAS_BOV3,FECHA_BOV3,"&gt;="&amp;BM$2,FECHA_BOV3,"&lt;="&amp;BM$3,CLAVE_BOV3,$A99)+SUMIFS(SALIDAS_TC,FECHA_TC,"&gt;="&amp;BM$2,FECHA_TC,"&lt;="&amp;BM$3,CLAVE_TC,$A99)+SUMIFS(SALIDAS_COMB,FECHA_COMB,"&gt;="&amp;BM$2,FECHA_COMB,"&lt;="&amp;BM$3,CLAVE_COMB,$A99)+SUMIFS(SALIDAS_DES,FECHA_DESGLOSEN,"&gt;="&amp;BM$2,FECHA_DESGLOSEN,"&lt;="&amp;BM$3,CLAVE_DESGLOSE,$A99)</f>
        <v>0</v>
      </c>
      <c r="BN99" s="13">
        <f>SUMIFS(SALIDAS_BIT,FECHA_BIT,"&gt;="&amp;BN$2,FECHA_BIT,"&lt;="&amp;BN$3,CLAVE_BIT,$A99)+SUMIFS(SALIDAS_BOV1,FECHA_BOV1,"&gt;="&amp;BN$2,FECHA_BOV1,"&lt;="&amp;BN$3,CLAVE_BOV1,$A99)+SUMIFS(SALIDAS_BOV2,FECHA_BOV2,"&gt;="&amp;BN$2,FECHA_BOV2,"&lt;="&amp;BN$3,CLAVE_BOV2,$A99)+SUMIFS(SALIDAS_BOV3,FECHA_BOV3,"&gt;="&amp;BN$2,FECHA_BOV3,"&lt;="&amp;BN$3,CLAVE_BOV3,$A99)+SUMIFS(SALIDAS_TC,FECHA_TC,"&gt;="&amp;BN$2,FECHA_TC,"&lt;="&amp;BN$3,CLAVE_TC,$A99)+SUMIFS(SALIDAS_COMB,FECHA_COMB,"&gt;="&amp;BN$2,FECHA_COMB,"&lt;="&amp;BN$3,CLAVE_COMB,$A99)+SUMIFS(SALIDAS_DES,FECHA_DESGLOSEN,"&gt;="&amp;BN$2,FECHA_DESGLOSEN,"&lt;="&amp;BN$3,CLAVE_DESGLOSE,$A99)</f>
        <v>0</v>
      </c>
      <c r="BO99" s="13">
        <f>SUMIFS(SALIDAS_BIT,FECHA_BIT,"&gt;="&amp;BO$2,FECHA_BIT,"&lt;="&amp;BO$3,CLAVE_BIT,$A99)+SUMIFS(SALIDAS_BOV1,FECHA_BOV1,"&gt;="&amp;BO$2,FECHA_BOV1,"&lt;="&amp;BO$3,CLAVE_BOV1,$A99)+SUMIFS(SALIDAS_BOV2,FECHA_BOV2,"&gt;="&amp;BO$2,FECHA_BOV2,"&lt;="&amp;BO$3,CLAVE_BOV2,$A99)+SUMIFS(SALIDAS_BOV3,FECHA_BOV3,"&gt;="&amp;BO$2,FECHA_BOV3,"&lt;="&amp;BO$3,CLAVE_BOV3,$A99)+SUMIFS(SALIDAS_TC,FECHA_TC,"&gt;="&amp;BO$2,FECHA_TC,"&lt;="&amp;BO$3,CLAVE_TC,$A99)+SUMIFS(SALIDAS_COMB,FECHA_COMB,"&gt;="&amp;BO$2,FECHA_COMB,"&lt;="&amp;BO$3,CLAVE_COMB,$A99)+SUMIFS(SALIDAS_DES,FECHA_DESGLOSEN,"&gt;="&amp;BO$2,FECHA_DESGLOSEN,"&lt;="&amp;BO$3,CLAVE_DESGLOSE,$A99)</f>
        <v>0</v>
      </c>
      <c r="BP99" s="13">
        <f>SUMIFS(SALIDAS_BIT,FECHA_BIT,"&gt;="&amp;BP$2,FECHA_BIT,"&lt;="&amp;BP$3,CLAVE_BIT,$A99)+SUMIFS(SALIDAS_BOV1,FECHA_BOV1,"&gt;="&amp;BP$2,FECHA_BOV1,"&lt;="&amp;BP$3,CLAVE_BOV1,$A99)+SUMIFS(SALIDAS_BOV2,FECHA_BOV2,"&gt;="&amp;BP$2,FECHA_BOV2,"&lt;="&amp;BP$3,CLAVE_BOV2,$A99)+SUMIFS(SALIDAS_BOV3,FECHA_BOV3,"&gt;="&amp;BP$2,FECHA_BOV3,"&lt;="&amp;BP$3,CLAVE_BOV3,$A99)+SUMIFS(SALIDAS_TC,FECHA_TC,"&gt;="&amp;BP$2,FECHA_TC,"&lt;="&amp;BP$3,CLAVE_TC,$A99)+SUMIFS(SALIDAS_COMB,FECHA_COMB,"&gt;="&amp;BP$2,FECHA_COMB,"&lt;="&amp;BP$3,CLAVE_COMB,$A99)+SUMIFS(SALIDAS_DES,FECHA_DESGLOSEN,"&gt;="&amp;BP$2,FECHA_DESGLOSEN,"&lt;="&amp;BP$3,CLAVE_DESGLOSE,$A99)</f>
        <v>0</v>
      </c>
      <c r="BQ99" s="13">
        <f>SUMIFS(SALIDAS_BIT,FECHA_BIT,"&gt;="&amp;BQ$2,FECHA_BIT,"&lt;="&amp;BQ$3,CLAVE_BIT,$A99)+SUMIFS(SALIDAS_BOV1,FECHA_BOV1,"&gt;="&amp;BQ$2,FECHA_BOV1,"&lt;="&amp;BQ$3,CLAVE_BOV1,$A99)+SUMIFS(SALIDAS_BOV2,FECHA_BOV2,"&gt;="&amp;BQ$2,FECHA_BOV2,"&lt;="&amp;BQ$3,CLAVE_BOV2,$A99)+SUMIFS(SALIDAS_BOV3,FECHA_BOV3,"&gt;="&amp;BQ$2,FECHA_BOV3,"&lt;="&amp;BQ$3,CLAVE_BOV3,$A99)+SUMIFS(SALIDAS_TC,FECHA_TC,"&gt;="&amp;BQ$2,FECHA_TC,"&lt;="&amp;BQ$3,CLAVE_TC,$A99)+SUMIFS(SALIDAS_COMB,FECHA_COMB,"&gt;="&amp;BQ$2,FECHA_COMB,"&lt;="&amp;BQ$3,CLAVE_COMB,$A99)+SUMIFS(SALIDAS_DES,FECHA_DESGLOSEN,"&gt;="&amp;BQ$2,FECHA_DESGLOSEN,"&lt;="&amp;BQ$3,CLAVE_DESGLOSE,$A99)</f>
        <v>24358</v>
      </c>
      <c r="BR99" s="13">
        <f t="shared" si="202"/>
        <v>24358</v>
      </c>
      <c r="BS99" s="68">
        <f t="shared" si="164"/>
        <v>-24358</v>
      </c>
      <c r="BT99" s="268">
        <f t="shared" si="165"/>
        <v>0</v>
      </c>
      <c r="BU99" s="13">
        <f t="shared" si="166"/>
        <v>0</v>
      </c>
      <c r="BV99" s="13">
        <f t="shared" si="186"/>
        <v>0</v>
      </c>
      <c r="BW99" s="13">
        <f t="shared" si="186"/>
        <v>0</v>
      </c>
      <c r="BX99" s="13">
        <f t="shared" si="186"/>
        <v>0</v>
      </c>
      <c r="BY99" s="13">
        <f t="shared" si="186"/>
        <v>0</v>
      </c>
      <c r="BZ99" s="13">
        <f t="shared" si="203"/>
        <v>0</v>
      </c>
      <c r="CA99" s="68">
        <f t="shared" si="167"/>
        <v>0</v>
      </c>
      <c r="CB99" s="268">
        <f t="shared" si="168"/>
        <v>0</v>
      </c>
      <c r="CC99" s="13">
        <f t="shared" si="169"/>
        <v>0</v>
      </c>
      <c r="CD99" s="13">
        <f t="shared" si="187"/>
        <v>0</v>
      </c>
      <c r="CE99" s="13">
        <f t="shared" si="187"/>
        <v>0</v>
      </c>
      <c r="CF99" s="13">
        <f t="shared" si="187"/>
        <v>0</v>
      </c>
      <c r="CG99" s="13">
        <f t="shared" si="187"/>
        <v>0</v>
      </c>
      <c r="CH99" s="13">
        <f t="shared" si="204"/>
        <v>0</v>
      </c>
      <c r="CI99" s="68">
        <f t="shared" si="170"/>
        <v>0</v>
      </c>
      <c r="CJ99" s="268">
        <f t="shared" si="171"/>
        <v>0</v>
      </c>
      <c r="CK99" s="13">
        <f t="shared" si="172"/>
        <v>0</v>
      </c>
      <c r="CL99" s="13">
        <f t="shared" si="176"/>
        <v>26261</v>
      </c>
      <c r="CM99" s="13">
        <f t="shared" si="176"/>
        <v>0</v>
      </c>
      <c r="CN99" s="13">
        <f t="shared" si="176"/>
        <v>0</v>
      </c>
      <c r="CO99" s="13">
        <f t="shared" si="176"/>
        <v>0</v>
      </c>
      <c r="CP99" s="13">
        <f t="shared" si="176"/>
        <v>0</v>
      </c>
      <c r="CQ99" s="13">
        <f t="shared" si="205"/>
        <v>26261</v>
      </c>
      <c r="CR99" s="68">
        <f t="shared" si="173"/>
        <v>-26261</v>
      </c>
      <c r="CS99" s="268">
        <f t="shared" si="174"/>
        <v>0</v>
      </c>
      <c r="CT99" s="68">
        <f t="shared" si="147"/>
        <v>28000</v>
      </c>
      <c r="CU99" s="13">
        <f>SUMIFS(SALIDAS_BIT,FECHA_BIT,"&gt;="&amp;CU$2,FECHA_BIT,"&lt;="&amp;CU$3,CLAVE_BIT,$A99)+SUMIFS(SALIDAS_BOV1,FECHA_BOV1,"&gt;="&amp;CU$2,FECHA_BOV1,"&lt;="&amp;CU$3,CLAVE_BOV1,$A99)+SUMIFS(SALIDAS_BOV2,FECHA_BOV2,"&gt;="&amp;CU$2,FECHA_BOV2,"&lt;="&amp;CU$3,CLAVE_BOV2,$A99)+SUMIFS(SALIDAS_BOV3,FECHA_BOV3,"&gt;="&amp;CU$2,FECHA_BOV3,"&lt;="&amp;CU$3,CLAVE_BOV3,$A99)+SUMIFS(SALIDAS_TC,FECHA_TC,"&gt;="&amp;CU$2,FECHA_TC,"&lt;="&amp;CU$3,CLAVE_TC,$A99)+SUMIFS(SALIDAS_COMB,FECHA_COMB,"&gt;="&amp;CU$2,FECHA_COMB,"&lt;="&amp;CU$3,CLAVE_COMB,$A99)+SUMIFS(SALIDAS_DES,FECHA_DESGLOSEN,"&gt;="&amp;CU$2,FECHA_DESGLOSEN,"&lt;="&amp;CU$3,CLAVE_DESGLOSE,$A99)</f>
        <v>0</v>
      </c>
      <c r="CV99" s="13">
        <f>SUMIFS(SALIDAS_BIT,FECHA_BIT,"&gt;="&amp;CV$2,FECHA_BIT,"&lt;="&amp;CV$3,CLAVE_BIT,$A99)+SUMIFS(SALIDAS_BOV1,FECHA_BOV1,"&gt;="&amp;CV$2,FECHA_BOV1,"&lt;="&amp;CV$3,CLAVE_BOV1,$A99)+SUMIFS(SALIDAS_BOV2,FECHA_BOV2,"&gt;="&amp;CV$2,FECHA_BOV2,"&lt;="&amp;CV$3,CLAVE_BOV2,$A99)+SUMIFS(SALIDAS_BOV3,FECHA_BOV3,"&gt;="&amp;CV$2,FECHA_BOV3,"&lt;="&amp;CV$3,CLAVE_BOV3,$A99)+SUMIFS(SALIDAS_TC,FECHA_TC,"&gt;="&amp;CV$2,FECHA_TC,"&lt;="&amp;CV$3,CLAVE_TC,$A99)+SUMIFS(SALIDAS_COMB,FECHA_COMB,"&gt;="&amp;CV$2,FECHA_COMB,"&lt;="&amp;CV$3,CLAVE_COMB,$A99)+SUMIFS(SALIDAS_DES,FECHA_DESGLOSEN,"&gt;="&amp;CV$2,FECHA_DESGLOSEN,"&lt;="&amp;CV$3,CLAVE_DESGLOSE,$A99)</f>
        <v>0</v>
      </c>
      <c r="CW99" s="13">
        <f>SUMIFS(SALIDAS_BIT,FECHA_BIT,"&gt;="&amp;CW$2,FECHA_BIT,"&lt;="&amp;CW$3,CLAVE_BIT,$A99)+SUMIFS(SALIDAS_BOV1,FECHA_BOV1,"&gt;="&amp;CW$2,FECHA_BOV1,"&lt;="&amp;CW$3,CLAVE_BOV1,$A99)+SUMIFS(SALIDAS_BOV2,FECHA_BOV2,"&gt;="&amp;CW$2,FECHA_BOV2,"&lt;="&amp;CW$3,CLAVE_BOV2,$A99)+SUMIFS(SALIDAS_BOV3,FECHA_BOV3,"&gt;="&amp;CW$2,FECHA_BOV3,"&lt;="&amp;CW$3,CLAVE_BOV3,$A99)+SUMIFS(SALIDAS_TC,FECHA_TC,"&gt;="&amp;CW$2,FECHA_TC,"&lt;="&amp;CW$3,CLAVE_TC,$A99)+SUMIFS(SALIDAS_COMB,FECHA_COMB,"&gt;="&amp;CW$2,FECHA_COMB,"&lt;="&amp;CW$3,CLAVE_COMB,$A99)+SUMIFS(SALIDAS_DES,FECHA_DESGLOSEN,"&gt;="&amp;CW$2,FECHA_DESGLOSEN,"&lt;="&amp;CW$3,CLAVE_DESGLOSE,$A99)</f>
        <v>0</v>
      </c>
      <c r="CX99" s="13">
        <f>SUMIFS(SALIDAS_BIT,FECHA_BIT,"&gt;="&amp;CX$2,FECHA_BIT,"&lt;="&amp;CX$3,CLAVE_BIT,$A99)+SUMIFS(SALIDAS_BOV1,FECHA_BOV1,"&gt;="&amp;CX$2,FECHA_BOV1,"&lt;="&amp;CX$3,CLAVE_BOV1,$A99)+SUMIFS(SALIDAS_BOV2,FECHA_BOV2,"&gt;="&amp;CX$2,FECHA_BOV2,"&lt;="&amp;CX$3,CLAVE_BOV2,$A99)+SUMIFS(SALIDAS_BOV3,FECHA_BOV3,"&gt;="&amp;CX$2,FECHA_BOV3,"&lt;="&amp;CX$3,CLAVE_BOV3,$A99)+SUMIFS(SALIDAS_TC,FECHA_TC,"&gt;="&amp;CX$2,FECHA_TC,"&lt;="&amp;CX$3,CLAVE_TC,$A99)+SUMIFS(SALIDAS_COMB,FECHA_COMB,"&gt;="&amp;CX$2,FECHA_COMB,"&lt;="&amp;CX$3,CLAVE_COMB,$A99)+SUMIFS(SALIDAS_DES,FECHA_DESGLOSEN,"&gt;="&amp;CX$2,FECHA_DESGLOSEN,"&lt;="&amp;CX$3,CLAVE_DESGLOSE,$A99)</f>
        <v>0</v>
      </c>
      <c r="CY99" s="13">
        <f>SUMIFS(SALIDAS_BIT,FECHA_BIT,"&gt;="&amp;CY$2,FECHA_BIT,"&lt;="&amp;CY$3,CLAVE_BIT,$A99)+SUMIFS(SALIDAS_BOV1,FECHA_BOV1,"&gt;="&amp;CY$2,FECHA_BOV1,"&lt;="&amp;CY$3,CLAVE_BOV1,$A99)+SUMIFS(SALIDAS_BOV2,FECHA_BOV2,"&gt;="&amp;CY$2,FECHA_BOV2,"&lt;="&amp;CY$3,CLAVE_BOV2,$A99)+SUMIFS(SALIDAS_BOV3,FECHA_BOV3,"&gt;="&amp;CY$2,FECHA_BOV3,"&lt;="&amp;CY$3,CLAVE_BOV3,$A99)+SUMIFS(SALIDAS_TC,FECHA_TC,"&gt;="&amp;CY$2,FECHA_TC,"&lt;="&amp;CY$3,CLAVE_TC,$A99)+SUMIFS(SALIDAS_COMB,FECHA_COMB,"&gt;="&amp;CY$2,FECHA_COMB,"&lt;="&amp;CY$3,CLAVE_COMB,$A99)+SUMIFS(SALIDAS_DES,FECHA_DESGLOSEN,"&gt;="&amp;CY$2,FECHA_DESGLOSEN,"&lt;="&amp;CY$3,CLAVE_DESGLOSE,$A99)</f>
        <v>0</v>
      </c>
      <c r="CZ99" s="68">
        <f t="shared" si="175"/>
        <v>28000</v>
      </c>
      <c r="DB99" s="17">
        <f>F99+N99+W99+AE99+AM99+AV99+BD99+BL99+BU99+CC99+CK99</f>
        <v>0</v>
      </c>
      <c r="DC99" s="17">
        <f>K99+T99+AB99+AJ99+AS99+BA99+BI99+BR99+BZ99+CH99+CQ99</f>
        <v>122762.73</v>
      </c>
    </row>
    <row r="100" spans="1:107" hidden="1">
      <c r="A100" s="12" t="str">
        <f t="shared" si="148"/>
        <v>FINANZASTELEFONIATELCEL</v>
      </c>
      <c r="B100" s="12">
        <v>102</v>
      </c>
      <c r="C100" t="s">
        <v>23</v>
      </c>
      <c r="D100" s="12" t="s">
        <v>181</v>
      </c>
      <c r="E100" s="12" t="s">
        <v>183</v>
      </c>
      <c r="F100" s="259">
        <f t="shared" si="141"/>
        <v>0</v>
      </c>
      <c r="G100" s="13">
        <f t="shared" si="197"/>
        <v>0</v>
      </c>
      <c r="H100" s="13">
        <f t="shared" si="197"/>
        <v>0</v>
      </c>
      <c r="I100" s="13">
        <f t="shared" si="197"/>
        <v>0</v>
      </c>
      <c r="J100" s="13">
        <f t="shared" si="197"/>
        <v>11699.59</v>
      </c>
      <c r="K100" s="13">
        <f t="shared" si="197"/>
        <v>11699.59</v>
      </c>
      <c r="L100" s="68">
        <f t="shared" si="149"/>
        <v>-11699.59</v>
      </c>
      <c r="M100" s="268">
        <f t="shared" si="150"/>
        <v>0</v>
      </c>
      <c r="N100" s="13">
        <f t="shared" si="142"/>
        <v>0</v>
      </c>
      <c r="O100" s="13">
        <f t="shared" si="198"/>
        <v>17011.940000000002</v>
      </c>
      <c r="P100" s="13">
        <f t="shared" si="198"/>
        <v>0</v>
      </c>
      <c r="Q100" s="13">
        <f t="shared" si="198"/>
        <v>269</v>
      </c>
      <c r="R100" s="13">
        <f t="shared" si="198"/>
        <v>12956.89</v>
      </c>
      <c r="S100" s="13">
        <f t="shared" si="198"/>
        <v>20</v>
      </c>
      <c r="T100" s="13">
        <f t="shared" si="198"/>
        <v>30257.83</v>
      </c>
      <c r="U100" s="68">
        <f t="shared" si="151"/>
        <v>-30257.83</v>
      </c>
      <c r="V100" s="268">
        <f t="shared" si="152"/>
        <v>0</v>
      </c>
      <c r="W100" s="13">
        <f t="shared" si="143"/>
        <v>0</v>
      </c>
      <c r="X100" s="13">
        <f t="shared" si="199"/>
        <v>8399.0400000000009</v>
      </c>
      <c r="Y100" s="13">
        <f t="shared" si="199"/>
        <v>0</v>
      </c>
      <c r="Z100" s="13">
        <f t="shared" si="199"/>
        <v>0</v>
      </c>
      <c r="AA100" s="13">
        <f t="shared" si="199"/>
        <v>269</v>
      </c>
      <c r="AB100" s="13">
        <f t="shared" si="199"/>
        <v>8668.0400000000009</v>
      </c>
      <c r="AC100" s="68">
        <f t="shared" si="153"/>
        <v>-8668.0400000000009</v>
      </c>
      <c r="AD100" s="268">
        <f t="shared" si="154"/>
        <v>0</v>
      </c>
      <c r="AE100" s="13">
        <f t="shared" si="144"/>
        <v>0</v>
      </c>
      <c r="AF100" s="13">
        <f t="shared" si="200"/>
        <v>5511.02</v>
      </c>
      <c r="AG100" s="13">
        <f t="shared" si="200"/>
        <v>0</v>
      </c>
      <c r="AH100" s="13">
        <f t="shared" si="200"/>
        <v>0</v>
      </c>
      <c r="AI100" s="13">
        <f t="shared" si="200"/>
        <v>349</v>
      </c>
      <c r="AJ100" s="13">
        <f t="shared" si="200"/>
        <v>5860.02</v>
      </c>
      <c r="AK100" s="68">
        <f t="shared" si="155"/>
        <v>-5860.02</v>
      </c>
      <c r="AL100" s="268">
        <f t="shared" si="156"/>
        <v>0</v>
      </c>
      <c r="AM100" s="13">
        <f t="shared" si="145"/>
        <v>0</v>
      </c>
      <c r="AN100" s="13">
        <f t="shared" si="201"/>
        <v>0</v>
      </c>
      <c r="AO100" s="13">
        <f t="shared" si="201"/>
        <v>5891.11</v>
      </c>
      <c r="AP100" s="13">
        <f t="shared" si="201"/>
        <v>80</v>
      </c>
      <c r="AQ100" s="13">
        <f t="shared" si="201"/>
        <v>11457.01</v>
      </c>
      <c r="AR100" s="13">
        <f t="shared" si="201"/>
        <v>0</v>
      </c>
      <c r="AS100" s="13">
        <f t="shared" si="201"/>
        <v>17428.12</v>
      </c>
      <c r="AT100" s="68">
        <f>AM100-AS100</f>
        <v>-17428.12</v>
      </c>
      <c r="AU100" s="268">
        <f t="shared" si="157"/>
        <v>0</v>
      </c>
      <c r="AV100" s="13">
        <f t="shared" si="146"/>
        <v>0</v>
      </c>
      <c r="AW100" s="13">
        <f t="shared" si="119"/>
        <v>0</v>
      </c>
      <c r="AX100" s="13">
        <f t="shared" si="119"/>
        <v>0</v>
      </c>
      <c r="AY100" s="13">
        <f t="shared" si="119"/>
        <v>0</v>
      </c>
      <c r="AZ100" s="13">
        <f t="shared" si="119"/>
        <v>0</v>
      </c>
      <c r="BA100" s="13">
        <f t="shared" si="120"/>
        <v>0</v>
      </c>
      <c r="BB100" s="68">
        <f t="shared" si="158"/>
        <v>0</v>
      </c>
      <c r="BC100" s="268">
        <f t="shared" si="159"/>
        <v>0</v>
      </c>
      <c r="BD100" s="13">
        <f t="shared" si="160"/>
        <v>0</v>
      </c>
      <c r="BE100" s="13">
        <f>SUMIFS(SALIDAS_BIT,FECHA_BIT,"&gt;="&amp;BE$2,FECHA_BIT,"&lt;="&amp;BE$3,CLAVE_BIT,$A100)+SUMIFS(SALIDAS_BOV1,FECHA_BOV1,"&gt;="&amp;BE$2,FECHA_BOV1,"&lt;="&amp;BE$3,CLAVE_BOV1,$A100)+SUMIFS(SALIDAS_BOV2,FECHA_BOV2,"&gt;="&amp;BE$2,FECHA_BOV2,"&lt;="&amp;BE$3,CLAVE_BOV2,$A100)+SUMIFS(SALIDAS_BOV3,FECHA_BOV3,"&gt;="&amp;BE$2,FECHA_BOV3,"&lt;="&amp;BE$3,CLAVE_BOV3,$A100)+SUMIFS(SALIDAS_TC,FECHA_TC,"&gt;="&amp;BE$2,FECHA_TC,"&lt;="&amp;BE$3,CLAVE_TC,$A100)+SUMIFS(SALIDAS_COMB,FECHA_COMB,"&gt;="&amp;BE$2,FECHA_COMB,"&lt;="&amp;BE$3,CLAVE_COMB,$A100)+SUMIFS(SALIDAS_DES,FECHA_DESGLOSEN,"&gt;="&amp;BE$2,FECHA_DESGLOSEN,"&lt;="&amp;BE$3,CLAVE_DESGLOSE,$A100)</f>
        <v>0</v>
      </c>
      <c r="BF100" s="13">
        <f>SUMIFS(SALIDAS_BIT,FECHA_BIT,"&gt;="&amp;BF$2,FECHA_BIT,"&lt;="&amp;BF$3,CLAVE_BIT,$A100)+SUMIFS(SALIDAS_BOV1,FECHA_BOV1,"&gt;="&amp;BF$2,FECHA_BOV1,"&lt;="&amp;BF$3,CLAVE_BOV1,$A100)+SUMIFS(SALIDAS_BOV2,FECHA_BOV2,"&gt;="&amp;BF$2,FECHA_BOV2,"&lt;="&amp;BF$3,CLAVE_BOV2,$A100)+SUMIFS(SALIDAS_BOV3,FECHA_BOV3,"&gt;="&amp;BF$2,FECHA_BOV3,"&lt;="&amp;BF$3,CLAVE_BOV3,$A100)+SUMIFS(SALIDAS_TC,FECHA_TC,"&gt;="&amp;BF$2,FECHA_TC,"&lt;="&amp;BF$3,CLAVE_TC,$A100)+SUMIFS(SALIDAS_COMB,FECHA_COMB,"&gt;="&amp;BF$2,FECHA_COMB,"&lt;="&amp;BF$3,CLAVE_COMB,$A100)+SUMIFS(SALIDAS_DES,FECHA_DESGLOSEN,"&gt;="&amp;BF$2,FECHA_DESGLOSEN,"&lt;="&amp;BF$3,CLAVE_DESGLOSE,$A100)</f>
        <v>0</v>
      </c>
      <c r="BG100" s="13">
        <f>SUMIFS(SALIDAS_BIT,FECHA_BIT,"&gt;="&amp;BG$2,FECHA_BIT,"&lt;="&amp;BG$3,CLAVE_BIT,$A100)+SUMIFS(SALIDAS_BOV1,FECHA_BOV1,"&gt;="&amp;BG$2,FECHA_BOV1,"&lt;="&amp;BG$3,CLAVE_BOV1,$A100)+SUMIFS(SALIDAS_BOV2,FECHA_BOV2,"&gt;="&amp;BG$2,FECHA_BOV2,"&lt;="&amp;BG$3,CLAVE_BOV2,$A100)+SUMIFS(SALIDAS_BOV3,FECHA_BOV3,"&gt;="&amp;BG$2,FECHA_BOV3,"&lt;="&amp;BG$3,CLAVE_BOV3,$A100)+SUMIFS(SALIDAS_TC,FECHA_TC,"&gt;="&amp;BG$2,FECHA_TC,"&lt;="&amp;BG$3,CLAVE_TC,$A100)+SUMIFS(SALIDAS_COMB,FECHA_COMB,"&gt;="&amp;BG$2,FECHA_COMB,"&lt;="&amp;BG$3,CLAVE_COMB,$A100)+SUMIFS(SALIDAS_DES,FECHA_DESGLOSEN,"&gt;="&amp;BG$2,FECHA_DESGLOSEN,"&lt;="&amp;BG$3,CLAVE_DESGLOSE,$A100)</f>
        <v>0</v>
      </c>
      <c r="BH100" s="13">
        <f>SUMIFS(SALIDAS_BIT,FECHA_BIT,"&gt;="&amp;BH$2,FECHA_BIT,"&lt;="&amp;BH$3,CLAVE_BIT,$A100)+SUMIFS(SALIDAS_BOV1,FECHA_BOV1,"&gt;="&amp;BH$2,FECHA_BOV1,"&lt;="&amp;BH$3,CLAVE_BOV1,$A100)+SUMIFS(SALIDAS_BOV2,FECHA_BOV2,"&gt;="&amp;BH$2,FECHA_BOV2,"&lt;="&amp;BH$3,CLAVE_BOV2,$A100)+SUMIFS(SALIDAS_BOV3,FECHA_BOV3,"&gt;="&amp;BH$2,FECHA_BOV3,"&lt;="&amp;BH$3,CLAVE_BOV3,$A100)+SUMIFS(SALIDAS_TC,FECHA_TC,"&gt;="&amp;BH$2,FECHA_TC,"&lt;="&amp;BH$3,CLAVE_TC,$A100)+SUMIFS(SALIDAS_COMB,FECHA_COMB,"&gt;="&amp;BH$2,FECHA_COMB,"&lt;="&amp;BH$3,CLAVE_COMB,$A100)+SUMIFS(SALIDAS_DES,FECHA_DESGLOSEN,"&gt;="&amp;BH$2,FECHA_DESGLOSEN,"&lt;="&amp;BH$3,CLAVE_DESGLOSE,$A100)</f>
        <v>3183.99</v>
      </c>
      <c r="BI100" s="13">
        <f t="shared" si="121"/>
        <v>3183.99</v>
      </c>
      <c r="BJ100" s="68">
        <f t="shared" si="161"/>
        <v>-3183.99</v>
      </c>
      <c r="BK100" s="268">
        <f t="shared" si="162"/>
        <v>0</v>
      </c>
      <c r="BL100" s="13">
        <f t="shared" si="163"/>
        <v>0</v>
      </c>
      <c r="BM100" s="13">
        <f>SUMIFS(SALIDAS_BIT,FECHA_BIT,"&gt;="&amp;BM$2,FECHA_BIT,"&lt;="&amp;BM$3,CLAVE_BIT,$A100)+SUMIFS(SALIDAS_BOV1,FECHA_BOV1,"&gt;="&amp;BM$2,FECHA_BOV1,"&lt;="&amp;BM$3,CLAVE_BOV1,$A100)+SUMIFS(SALIDAS_BOV2,FECHA_BOV2,"&gt;="&amp;BM$2,FECHA_BOV2,"&lt;="&amp;BM$3,CLAVE_BOV2,$A100)+SUMIFS(SALIDAS_BOV3,FECHA_BOV3,"&gt;="&amp;BM$2,FECHA_BOV3,"&lt;="&amp;BM$3,CLAVE_BOV3,$A100)+SUMIFS(SALIDAS_TC,FECHA_TC,"&gt;="&amp;BM$2,FECHA_TC,"&lt;="&amp;BM$3,CLAVE_TC,$A100)+SUMIFS(SALIDAS_COMB,FECHA_COMB,"&gt;="&amp;BM$2,FECHA_COMB,"&lt;="&amp;BM$3,CLAVE_COMB,$A100)+SUMIFS(SALIDAS_DES,FECHA_DESGLOSEN,"&gt;="&amp;BM$2,FECHA_DESGLOSEN,"&lt;="&amp;BM$3,CLAVE_DESGLOSE,$A100)</f>
        <v>0</v>
      </c>
      <c r="BN100" s="13">
        <f>SUMIFS(SALIDAS_BIT,FECHA_BIT,"&gt;="&amp;BN$2,FECHA_BIT,"&lt;="&amp;BN$3,CLAVE_BIT,$A100)+SUMIFS(SALIDAS_BOV1,FECHA_BOV1,"&gt;="&amp;BN$2,FECHA_BOV1,"&lt;="&amp;BN$3,CLAVE_BOV1,$A100)+SUMIFS(SALIDAS_BOV2,FECHA_BOV2,"&gt;="&amp;BN$2,FECHA_BOV2,"&lt;="&amp;BN$3,CLAVE_BOV2,$A100)+SUMIFS(SALIDAS_BOV3,FECHA_BOV3,"&gt;="&amp;BN$2,FECHA_BOV3,"&lt;="&amp;BN$3,CLAVE_BOV3,$A100)+SUMIFS(SALIDAS_TC,FECHA_TC,"&gt;="&amp;BN$2,FECHA_TC,"&lt;="&amp;BN$3,CLAVE_TC,$A100)+SUMIFS(SALIDAS_COMB,FECHA_COMB,"&gt;="&amp;BN$2,FECHA_COMB,"&lt;="&amp;BN$3,CLAVE_COMB,$A100)+SUMIFS(SALIDAS_DES,FECHA_DESGLOSEN,"&gt;="&amp;BN$2,FECHA_DESGLOSEN,"&lt;="&amp;BN$3,CLAVE_DESGLOSE,$A100)</f>
        <v>0</v>
      </c>
      <c r="BO100" s="13">
        <f>SUMIFS(SALIDAS_BIT,FECHA_BIT,"&gt;="&amp;BO$2,FECHA_BIT,"&lt;="&amp;BO$3,CLAVE_BIT,$A100)+SUMIFS(SALIDAS_BOV1,FECHA_BOV1,"&gt;="&amp;BO$2,FECHA_BOV1,"&lt;="&amp;BO$3,CLAVE_BOV1,$A100)+SUMIFS(SALIDAS_BOV2,FECHA_BOV2,"&gt;="&amp;BO$2,FECHA_BOV2,"&lt;="&amp;BO$3,CLAVE_BOV2,$A100)+SUMIFS(SALIDAS_BOV3,FECHA_BOV3,"&gt;="&amp;BO$2,FECHA_BOV3,"&lt;="&amp;BO$3,CLAVE_BOV3,$A100)+SUMIFS(SALIDAS_TC,FECHA_TC,"&gt;="&amp;BO$2,FECHA_TC,"&lt;="&amp;BO$3,CLAVE_TC,$A100)+SUMIFS(SALIDAS_COMB,FECHA_COMB,"&gt;="&amp;BO$2,FECHA_COMB,"&lt;="&amp;BO$3,CLAVE_COMB,$A100)+SUMIFS(SALIDAS_DES,FECHA_DESGLOSEN,"&gt;="&amp;BO$2,FECHA_DESGLOSEN,"&lt;="&amp;BO$3,CLAVE_DESGLOSE,$A100)</f>
        <v>0</v>
      </c>
      <c r="BP100" s="13">
        <f>SUMIFS(SALIDAS_BIT,FECHA_BIT,"&gt;="&amp;BP$2,FECHA_BIT,"&lt;="&amp;BP$3,CLAVE_BIT,$A100)+SUMIFS(SALIDAS_BOV1,FECHA_BOV1,"&gt;="&amp;BP$2,FECHA_BOV1,"&lt;="&amp;BP$3,CLAVE_BOV1,$A100)+SUMIFS(SALIDAS_BOV2,FECHA_BOV2,"&gt;="&amp;BP$2,FECHA_BOV2,"&lt;="&amp;BP$3,CLAVE_BOV2,$A100)+SUMIFS(SALIDAS_BOV3,FECHA_BOV3,"&gt;="&amp;BP$2,FECHA_BOV3,"&lt;="&amp;BP$3,CLAVE_BOV3,$A100)+SUMIFS(SALIDAS_TC,FECHA_TC,"&gt;="&amp;BP$2,FECHA_TC,"&lt;="&amp;BP$3,CLAVE_TC,$A100)+SUMIFS(SALIDAS_COMB,FECHA_COMB,"&gt;="&amp;BP$2,FECHA_COMB,"&lt;="&amp;BP$3,CLAVE_COMB,$A100)+SUMIFS(SALIDAS_DES,FECHA_DESGLOSEN,"&gt;="&amp;BP$2,FECHA_DESGLOSEN,"&lt;="&amp;BP$3,CLAVE_DESGLOSE,$A100)</f>
        <v>6664.11</v>
      </c>
      <c r="BQ100" s="13">
        <f>SUMIFS(SALIDAS_BIT,FECHA_BIT,"&gt;="&amp;BQ$2,FECHA_BIT,"&lt;="&amp;BQ$3,CLAVE_BIT,$A100)+SUMIFS(SALIDAS_BOV1,FECHA_BOV1,"&gt;="&amp;BQ$2,FECHA_BOV1,"&lt;="&amp;BQ$3,CLAVE_BOV1,$A100)+SUMIFS(SALIDAS_BOV2,FECHA_BOV2,"&gt;="&amp;BQ$2,FECHA_BOV2,"&lt;="&amp;BQ$3,CLAVE_BOV2,$A100)+SUMIFS(SALIDAS_BOV3,FECHA_BOV3,"&gt;="&amp;BQ$2,FECHA_BOV3,"&lt;="&amp;BQ$3,CLAVE_BOV3,$A100)+SUMIFS(SALIDAS_TC,FECHA_TC,"&gt;="&amp;BQ$2,FECHA_TC,"&lt;="&amp;BQ$3,CLAVE_TC,$A100)+SUMIFS(SALIDAS_COMB,FECHA_COMB,"&gt;="&amp;BQ$2,FECHA_COMB,"&lt;="&amp;BQ$3,CLAVE_COMB,$A100)+SUMIFS(SALIDAS_DES,FECHA_DESGLOSEN,"&gt;="&amp;BQ$2,FECHA_DESGLOSEN,"&lt;="&amp;BQ$3,CLAVE_DESGLOSE,$A100)</f>
        <v>0</v>
      </c>
      <c r="BR100" s="13">
        <f t="shared" si="202"/>
        <v>6664.11</v>
      </c>
      <c r="BS100" s="68">
        <f t="shared" si="164"/>
        <v>-6664.11</v>
      </c>
      <c r="BT100" s="268">
        <f t="shared" si="165"/>
        <v>0</v>
      </c>
      <c r="BU100" s="13">
        <f t="shared" si="166"/>
        <v>0</v>
      </c>
      <c r="BV100" s="13">
        <f t="shared" si="186"/>
        <v>0</v>
      </c>
      <c r="BW100" s="13">
        <f t="shared" si="186"/>
        <v>0</v>
      </c>
      <c r="BX100" s="13">
        <f t="shared" si="186"/>
        <v>269</v>
      </c>
      <c r="BY100" s="13">
        <f t="shared" si="186"/>
        <v>0</v>
      </c>
      <c r="BZ100" s="13">
        <f t="shared" si="203"/>
        <v>269</v>
      </c>
      <c r="CA100" s="68">
        <f t="shared" si="167"/>
        <v>-269</v>
      </c>
      <c r="CB100" s="268">
        <f t="shared" si="168"/>
        <v>0</v>
      </c>
      <c r="CC100" s="13">
        <f t="shared" si="169"/>
        <v>0</v>
      </c>
      <c r="CD100" s="13">
        <f t="shared" si="187"/>
        <v>0</v>
      </c>
      <c r="CE100" s="13">
        <f t="shared" si="187"/>
        <v>8299.07</v>
      </c>
      <c r="CF100" s="13">
        <f t="shared" si="187"/>
        <v>0</v>
      </c>
      <c r="CG100" s="13">
        <f t="shared" si="187"/>
        <v>0</v>
      </c>
      <c r="CH100" s="13">
        <f t="shared" si="204"/>
        <v>8299.07</v>
      </c>
      <c r="CI100" s="68">
        <f t="shared" si="170"/>
        <v>-8299.07</v>
      </c>
      <c r="CJ100" s="268">
        <f t="shared" si="171"/>
        <v>0</v>
      </c>
      <c r="CK100" s="13">
        <f t="shared" si="172"/>
        <v>0</v>
      </c>
      <c r="CL100" s="13">
        <f t="shared" si="176"/>
        <v>9775.9700000000012</v>
      </c>
      <c r="CM100" s="13">
        <f t="shared" si="176"/>
        <v>0</v>
      </c>
      <c r="CN100" s="13">
        <f t="shared" si="176"/>
        <v>0</v>
      </c>
      <c r="CO100" s="13">
        <f t="shared" si="176"/>
        <v>242712.02</v>
      </c>
      <c r="CP100" s="13">
        <f t="shared" si="176"/>
        <v>270</v>
      </c>
      <c r="CQ100" s="13">
        <f t="shared" si="205"/>
        <v>252757.99</v>
      </c>
      <c r="CR100" s="68">
        <f t="shared" si="173"/>
        <v>-252757.99</v>
      </c>
      <c r="CS100" s="268">
        <f t="shared" si="174"/>
        <v>0</v>
      </c>
      <c r="CT100" s="68">
        <f t="shared" si="147"/>
        <v>10000</v>
      </c>
      <c r="CU100" s="13">
        <f>SUMIFS(SALIDAS_BIT,FECHA_BIT,"&gt;="&amp;CU$2,FECHA_BIT,"&lt;="&amp;CU$3,CLAVE_BIT,$A100)+SUMIFS(SALIDAS_BOV1,FECHA_BOV1,"&gt;="&amp;CU$2,FECHA_BOV1,"&lt;="&amp;CU$3,CLAVE_BOV1,$A100)+SUMIFS(SALIDAS_BOV2,FECHA_BOV2,"&gt;="&amp;CU$2,FECHA_BOV2,"&lt;="&amp;CU$3,CLAVE_BOV2,$A100)+SUMIFS(SALIDAS_BOV3,FECHA_BOV3,"&gt;="&amp;CU$2,FECHA_BOV3,"&lt;="&amp;CU$3,CLAVE_BOV3,$A100)+SUMIFS(SALIDAS_TC,FECHA_TC,"&gt;="&amp;CU$2,FECHA_TC,"&lt;="&amp;CU$3,CLAVE_TC,$A100)+SUMIFS(SALIDAS_COMB,FECHA_COMB,"&gt;="&amp;CU$2,FECHA_COMB,"&lt;="&amp;CU$3,CLAVE_COMB,$A100)+SUMIFS(SALIDAS_DES,FECHA_DESGLOSEN,"&gt;="&amp;CU$2,FECHA_DESGLOSEN,"&lt;="&amp;CU$3,CLAVE_DESGLOSE,$A100)</f>
        <v>8731.0400000000009</v>
      </c>
      <c r="CV100" s="13">
        <f>SUMIFS(SALIDAS_BIT,FECHA_BIT,"&gt;="&amp;CV$2,FECHA_BIT,"&lt;="&amp;CV$3,CLAVE_BIT,$A100)+SUMIFS(SALIDAS_BOV1,FECHA_BOV1,"&gt;="&amp;CV$2,FECHA_BOV1,"&lt;="&amp;CV$3,CLAVE_BOV1,$A100)+SUMIFS(SALIDAS_BOV2,FECHA_BOV2,"&gt;="&amp;CV$2,FECHA_BOV2,"&lt;="&amp;CV$3,CLAVE_BOV2,$A100)+SUMIFS(SALIDAS_BOV3,FECHA_BOV3,"&gt;="&amp;CV$2,FECHA_BOV3,"&lt;="&amp;CV$3,CLAVE_BOV3,$A100)+SUMIFS(SALIDAS_TC,FECHA_TC,"&gt;="&amp;CV$2,FECHA_TC,"&lt;="&amp;CV$3,CLAVE_TC,$A100)+SUMIFS(SALIDAS_COMB,FECHA_COMB,"&gt;="&amp;CV$2,FECHA_COMB,"&lt;="&amp;CV$3,CLAVE_COMB,$A100)+SUMIFS(SALIDAS_DES,FECHA_DESGLOSEN,"&gt;="&amp;CV$2,FECHA_DESGLOSEN,"&lt;="&amp;CV$3,CLAVE_DESGLOSE,$A100)</f>
        <v>0</v>
      </c>
      <c r="CW100" s="13">
        <f>SUMIFS(SALIDAS_BIT,FECHA_BIT,"&gt;="&amp;CW$2,FECHA_BIT,"&lt;="&amp;CW$3,CLAVE_BIT,$A100)+SUMIFS(SALIDAS_BOV1,FECHA_BOV1,"&gt;="&amp;CW$2,FECHA_BOV1,"&lt;="&amp;CW$3,CLAVE_BOV1,$A100)+SUMIFS(SALIDAS_BOV2,FECHA_BOV2,"&gt;="&amp;CW$2,FECHA_BOV2,"&lt;="&amp;CW$3,CLAVE_BOV2,$A100)+SUMIFS(SALIDAS_BOV3,FECHA_BOV3,"&gt;="&amp;CW$2,FECHA_BOV3,"&lt;="&amp;CW$3,CLAVE_BOV3,$A100)+SUMIFS(SALIDAS_TC,FECHA_TC,"&gt;="&amp;CW$2,FECHA_TC,"&lt;="&amp;CW$3,CLAVE_TC,$A100)+SUMIFS(SALIDAS_COMB,FECHA_COMB,"&gt;="&amp;CW$2,FECHA_COMB,"&lt;="&amp;CW$3,CLAVE_COMB,$A100)+SUMIFS(SALIDAS_DES,FECHA_DESGLOSEN,"&gt;="&amp;CW$2,FECHA_DESGLOSEN,"&lt;="&amp;CW$3,CLAVE_DESGLOSE,$A100)</f>
        <v>0</v>
      </c>
      <c r="CX100" s="13">
        <f>SUMIFS(SALIDAS_BIT,FECHA_BIT,"&gt;="&amp;CX$2,FECHA_BIT,"&lt;="&amp;CX$3,CLAVE_BIT,$A100)+SUMIFS(SALIDAS_BOV1,FECHA_BOV1,"&gt;="&amp;CX$2,FECHA_BOV1,"&lt;="&amp;CX$3,CLAVE_BOV1,$A100)+SUMIFS(SALIDAS_BOV2,FECHA_BOV2,"&gt;="&amp;CX$2,FECHA_BOV2,"&lt;="&amp;CX$3,CLAVE_BOV2,$A100)+SUMIFS(SALIDAS_BOV3,FECHA_BOV3,"&gt;="&amp;CX$2,FECHA_BOV3,"&lt;="&amp;CX$3,CLAVE_BOV3,$A100)+SUMIFS(SALIDAS_TC,FECHA_TC,"&gt;="&amp;CX$2,FECHA_TC,"&lt;="&amp;CX$3,CLAVE_TC,$A100)+SUMIFS(SALIDAS_COMB,FECHA_COMB,"&gt;="&amp;CX$2,FECHA_COMB,"&lt;="&amp;CX$3,CLAVE_COMB,$A100)+SUMIFS(SALIDAS_DES,FECHA_DESGLOSEN,"&gt;="&amp;CX$2,FECHA_DESGLOSEN,"&lt;="&amp;CX$3,CLAVE_DESGLOSE,$A100)</f>
        <v>13383.02</v>
      </c>
      <c r="CY100" s="13">
        <f>SUMIFS(SALIDAS_BIT,FECHA_BIT,"&gt;="&amp;CY$2,FECHA_BIT,"&lt;="&amp;CY$3,CLAVE_BIT,$A100)+SUMIFS(SALIDAS_BOV1,FECHA_BOV1,"&gt;="&amp;CY$2,FECHA_BOV1,"&lt;="&amp;CY$3,CLAVE_BOV1,$A100)+SUMIFS(SALIDAS_BOV2,FECHA_BOV2,"&gt;="&amp;CY$2,FECHA_BOV2,"&lt;="&amp;CY$3,CLAVE_BOV2,$A100)+SUMIFS(SALIDAS_BOV3,FECHA_BOV3,"&gt;="&amp;CY$2,FECHA_BOV3,"&lt;="&amp;CY$3,CLAVE_BOV3,$A100)+SUMIFS(SALIDAS_TC,FECHA_TC,"&gt;="&amp;CY$2,FECHA_TC,"&lt;="&amp;CY$3,CLAVE_TC,$A100)+SUMIFS(SALIDAS_COMB,FECHA_COMB,"&gt;="&amp;CY$2,FECHA_COMB,"&lt;="&amp;CY$3,CLAVE_COMB,$A100)+SUMIFS(SALIDAS_DES,FECHA_DESGLOSEN,"&gt;="&amp;CY$2,FECHA_DESGLOSEN,"&lt;="&amp;CY$3,CLAVE_DESGLOSE,$A100)</f>
        <v>22114.06</v>
      </c>
      <c r="CZ100" s="68">
        <f t="shared" si="175"/>
        <v>-12114.060000000001</v>
      </c>
      <c r="DB100" s="17">
        <f>F100+N100+W100+AE100+AM100+AV100+BD100+BL100+BU100+CC100+CK100</f>
        <v>0</v>
      </c>
      <c r="DC100" s="17">
        <f>K100+T100+AB100+AJ100+AS100+BA100+BI100+BR100+BZ100+CH100+CQ100</f>
        <v>345087.76</v>
      </c>
    </row>
    <row r="101" spans="1:107" hidden="1">
      <c r="A101" s="12" t="str">
        <f t="shared" si="148"/>
        <v>FINANZASTELEFONIASTARLINK</v>
      </c>
      <c r="B101" s="12">
        <v>103</v>
      </c>
      <c r="C101" t="s">
        <v>23</v>
      </c>
      <c r="D101" s="12" t="s">
        <v>181</v>
      </c>
      <c r="E101" s="12" t="s">
        <v>184</v>
      </c>
      <c r="F101" s="259">
        <f t="shared" si="141"/>
        <v>0</v>
      </c>
      <c r="G101" s="13">
        <f t="shared" si="197"/>
        <v>0</v>
      </c>
      <c r="H101" s="13">
        <f t="shared" si="197"/>
        <v>0</v>
      </c>
      <c r="I101" s="13">
        <f t="shared" si="197"/>
        <v>0</v>
      </c>
      <c r="J101" s="13">
        <f t="shared" si="197"/>
        <v>8470</v>
      </c>
      <c r="K101" s="13">
        <f t="shared" si="197"/>
        <v>8470</v>
      </c>
      <c r="L101" s="68">
        <f t="shared" si="149"/>
        <v>-8470</v>
      </c>
      <c r="M101" s="268">
        <f t="shared" si="150"/>
        <v>0</v>
      </c>
      <c r="N101" s="13">
        <f t="shared" si="142"/>
        <v>0</v>
      </c>
      <c r="O101" s="13">
        <f t="shared" si="198"/>
        <v>0</v>
      </c>
      <c r="P101" s="13">
        <f t="shared" si="198"/>
        <v>0</v>
      </c>
      <c r="Q101" s="13">
        <f t="shared" si="198"/>
        <v>0</v>
      </c>
      <c r="R101" s="13">
        <f t="shared" si="198"/>
        <v>8470</v>
      </c>
      <c r="S101" s="13">
        <f t="shared" si="198"/>
        <v>0</v>
      </c>
      <c r="T101" s="13">
        <f t="shared" si="198"/>
        <v>8470</v>
      </c>
      <c r="U101" s="68">
        <f t="shared" si="151"/>
        <v>-8470</v>
      </c>
      <c r="V101" s="268">
        <f t="shared" si="152"/>
        <v>0</v>
      </c>
      <c r="W101" s="13">
        <f t="shared" si="143"/>
        <v>0</v>
      </c>
      <c r="X101" s="13">
        <f t="shared" si="199"/>
        <v>0</v>
      </c>
      <c r="Y101" s="13">
        <f t="shared" si="199"/>
        <v>0</v>
      </c>
      <c r="Z101" s="13">
        <f t="shared" si="199"/>
        <v>0</v>
      </c>
      <c r="AA101" s="13">
        <f t="shared" si="199"/>
        <v>0</v>
      </c>
      <c r="AB101" s="13">
        <f t="shared" si="199"/>
        <v>0</v>
      </c>
      <c r="AC101" s="68">
        <f t="shared" si="153"/>
        <v>0</v>
      </c>
      <c r="AD101" s="268">
        <f t="shared" si="154"/>
        <v>0</v>
      </c>
      <c r="AE101" s="13">
        <f t="shared" si="144"/>
        <v>0</v>
      </c>
      <c r="AF101" s="13">
        <f t="shared" si="200"/>
        <v>0</v>
      </c>
      <c r="AG101" s="13">
        <f t="shared" si="200"/>
        <v>0</v>
      </c>
      <c r="AH101" s="13">
        <f t="shared" si="200"/>
        <v>0</v>
      </c>
      <c r="AI101" s="13">
        <f t="shared" si="200"/>
        <v>0</v>
      </c>
      <c r="AJ101" s="13">
        <f t="shared" si="200"/>
        <v>0</v>
      </c>
      <c r="AK101" s="68">
        <f t="shared" si="155"/>
        <v>0</v>
      </c>
      <c r="AL101" s="268">
        <f t="shared" si="156"/>
        <v>0</v>
      </c>
      <c r="AM101" s="13">
        <f t="shared" si="145"/>
        <v>0</v>
      </c>
      <c r="AN101" s="13">
        <f t="shared" si="201"/>
        <v>0</v>
      </c>
      <c r="AO101" s="13">
        <f t="shared" si="201"/>
        <v>0</v>
      </c>
      <c r="AP101" s="13">
        <f t="shared" si="201"/>
        <v>0</v>
      </c>
      <c r="AQ101" s="13">
        <f t="shared" si="201"/>
        <v>8470</v>
      </c>
      <c r="AR101" s="13">
        <f t="shared" si="201"/>
        <v>0</v>
      </c>
      <c r="AS101" s="13">
        <f t="shared" si="201"/>
        <v>8470</v>
      </c>
      <c r="AT101" s="68">
        <f>AM101-AS101</f>
        <v>-8470</v>
      </c>
      <c r="AU101" s="268">
        <f t="shared" si="157"/>
        <v>0</v>
      </c>
      <c r="AV101" s="13">
        <f t="shared" si="146"/>
        <v>0</v>
      </c>
      <c r="AW101" s="13">
        <f t="shared" si="119"/>
        <v>0</v>
      </c>
      <c r="AX101" s="13">
        <f t="shared" si="119"/>
        <v>0</v>
      </c>
      <c r="AY101" s="13">
        <f t="shared" si="119"/>
        <v>0</v>
      </c>
      <c r="AZ101" s="13">
        <f t="shared" si="119"/>
        <v>8470</v>
      </c>
      <c r="BA101" s="13">
        <f t="shared" si="120"/>
        <v>8470</v>
      </c>
      <c r="BB101" s="68">
        <f t="shared" si="158"/>
        <v>-8470</v>
      </c>
      <c r="BC101" s="268">
        <f t="shared" si="159"/>
        <v>0</v>
      </c>
      <c r="BD101" s="13">
        <f t="shared" si="160"/>
        <v>0</v>
      </c>
      <c r="BE101" s="13">
        <f>SUMIFS(SALIDAS_BIT,FECHA_BIT,"&gt;="&amp;BE$2,FECHA_BIT,"&lt;="&amp;BE$3,CLAVE_BIT,$A101)+SUMIFS(SALIDAS_BOV1,FECHA_BOV1,"&gt;="&amp;BE$2,FECHA_BOV1,"&lt;="&amp;BE$3,CLAVE_BOV1,$A101)+SUMIFS(SALIDAS_BOV2,FECHA_BOV2,"&gt;="&amp;BE$2,FECHA_BOV2,"&lt;="&amp;BE$3,CLAVE_BOV2,$A101)+SUMIFS(SALIDAS_BOV3,FECHA_BOV3,"&gt;="&amp;BE$2,FECHA_BOV3,"&lt;="&amp;BE$3,CLAVE_BOV3,$A101)+SUMIFS(SALIDAS_TC,FECHA_TC,"&gt;="&amp;BE$2,FECHA_TC,"&lt;="&amp;BE$3,CLAVE_TC,$A101)+SUMIFS(SALIDAS_COMB,FECHA_COMB,"&gt;="&amp;BE$2,FECHA_COMB,"&lt;="&amp;BE$3,CLAVE_COMB,$A101)+SUMIFS(SALIDAS_DES,FECHA_DESGLOSEN,"&gt;="&amp;BE$2,FECHA_DESGLOSEN,"&lt;="&amp;BE$3,CLAVE_DESGLOSE,$A101)</f>
        <v>0</v>
      </c>
      <c r="BF101" s="13">
        <f>SUMIFS(SALIDAS_BIT,FECHA_BIT,"&gt;="&amp;BF$2,FECHA_BIT,"&lt;="&amp;BF$3,CLAVE_BIT,$A101)+SUMIFS(SALIDAS_BOV1,FECHA_BOV1,"&gt;="&amp;BF$2,FECHA_BOV1,"&lt;="&amp;BF$3,CLAVE_BOV1,$A101)+SUMIFS(SALIDAS_BOV2,FECHA_BOV2,"&gt;="&amp;BF$2,FECHA_BOV2,"&lt;="&amp;BF$3,CLAVE_BOV2,$A101)+SUMIFS(SALIDAS_BOV3,FECHA_BOV3,"&gt;="&amp;BF$2,FECHA_BOV3,"&lt;="&amp;BF$3,CLAVE_BOV3,$A101)+SUMIFS(SALIDAS_TC,FECHA_TC,"&gt;="&amp;BF$2,FECHA_TC,"&lt;="&amp;BF$3,CLAVE_TC,$A101)+SUMIFS(SALIDAS_COMB,FECHA_COMB,"&gt;="&amp;BF$2,FECHA_COMB,"&lt;="&amp;BF$3,CLAVE_COMB,$A101)+SUMIFS(SALIDAS_DES,FECHA_DESGLOSEN,"&gt;="&amp;BF$2,FECHA_DESGLOSEN,"&lt;="&amp;BF$3,CLAVE_DESGLOSE,$A101)</f>
        <v>0</v>
      </c>
      <c r="BG101" s="13">
        <f>SUMIFS(SALIDAS_BIT,FECHA_BIT,"&gt;="&amp;BG$2,FECHA_BIT,"&lt;="&amp;BG$3,CLAVE_BIT,$A101)+SUMIFS(SALIDAS_BOV1,FECHA_BOV1,"&gt;="&amp;BG$2,FECHA_BOV1,"&lt;="&amp;BG$3,CLAVE_BOV1,$A101)+SUMIFS(SALIDAS_BOV2,FECHA_BOV2,"&gt;="&amp;BG$2,FECHA_BOV2,"&lt;="&amp;BG$3,CLAVE_BOV2,$A101)+SUMIFS(SALIDAS_BOV3,FECHA_BOV3,"&gt;="&amp;BG$2,FECHA_BOV3,"&lt;="&amp;BG$3,CLAVE_BOV3,$A101)+SUMIFS(SALIDAS_TC,FECHA_TC,"&gt;="&amp;BG$2,FECHA_TC,"&lt;="&amp;BG$3,CLAVE_TC,$A101)+SUMIFS(SALIDAS_COMB,FECHA_COMB,"&gt;="&amp;BG$2,FECHA_COMB,"&lt;="&amp;BG$3,CLAVE_COMB,$A101)+SUMIFS(SALIDAS_DES,FECHA_DESGLOSEN,"&gt;="&amp;BG$2,FECHA_DESGLOSEN,"&lt;="&amp;BG$3,CLAVE_DESGLOSE,$A101)</f>
        <v>0</v>
      </c>
      <c r="BH101" s="13">
        <f>SUMIFS(SALIDAS_BIT,FECHA_BIT,"&gt;="&amp;BH$2,FECHA_BIT,"&lt;="&amp;BH$3,CLAVE_BIT,$A101)+SUMIFS(SALIDAS_BOV1,FECHA_BOV1,"&gt;="&amp;BH$2,FECHA_BOV1,"&lt;="&amp;BH$3,CLAVE_BOV1,$A101)+SUMIFS(SALIDAS_BOV2,FECHA_BOV2,"&gt;="&amp;BH$2,FECHA_BOV2,"&lt;="&amp;BH$3,CLAVE_BOV2,$A101)+SUMIFS(SALIDAS_BOV3,FECHA_BOV3,"&gt;="&amp;BH$2,FECHA_BOV3,"&lt;="&amp;BH$3,CLAVE_BOV3,$A101)+SUMIFS(SALIDAS_TC,FECHA_TC,"&gt;="&amp;BH$2,FECHA_TC,"&lt;="&amp;BH$3,CLAVE_TC,$A101)+SUMIFS(SALIDAS_COMB,FECHA_COMB,"&gt;="&amp;BH$2,FECHA_COMB,"&lt;="&amp;BH$3,CLAVE_COMB,$A101)+SUMIFS(SALIDAS_DES,FECHA_DESGLOSEN,"&gt;="&amp;BH$2,FECHA_DESGLOSEN,"&lt;="&amp;BH$3,CLAVE_DESGLOSE,$A101)</f>
        <v>16544</v>
      </c>
      <c r="BI101" s="13">
        <f t="shared" si="121"/>
        <v>16544</v>
      </c>
      <c r="BJ101" s="68">
        <f t="shared" si="161"/>
        <v>-16544</v>
      </c>
      <c r="BK101" s="268">
        <f t="shared" si="162"/>
        <v>0</v>
      </c>
      <c r="BL101" s="13">
        <f t="shared" si="163"/>
        <v>0</v>
      </c>
      <c r="BM101" s="13">
        <f>SUMIFS(SALIDAS_BIT,FECHA_BIT,"&gt;="&amp;BM$2,FECHA_BIT,"&lt;="&amp;BM$3,CLAVE_BIT,$A101)+SUMIFS(SALIDAS_BOV1,FECHA_BOV1,"&gt;="&amp;BM$2,FECHA_BOV1,"&lt;="&amp;BM$3,CLAVE_BOV1,$A101)+SUMIFS(SALIDAS_BOV2,FECHA_BOV2,"&gt;="&amp;BM$2,FECHA_BOV2,"&lt;="&amp;BM$3,CLAVE_BOV2,$A101)+SUMIFS(SALIDAS_BOV3,FECHA_BOV3,"&gt;="&amp;BM$2,FECHA_BOV3,"&lt;="&amp;BM$3,CLAVE_BOV3,$A101)+SUMIFS(SALIDAS_TC,FECHA_TC,"&gt;="&amp;BM$2,FECHA_TC,"&lt;="&amp;BM$3,CLAVE_TC,$A101)+SUMIFS(SALIDAS_COMB,FECHA_COMB,"&gt;="&amp;BM$2,FECHA_COMB,"&lt;="&amp;BM$3,CLAVE_COMB,$A101)+SUMIFS(SALIDAS_DES,FECHA_DESGLOSEN,"&gt;="&amp;BM$2,FECHA_DESGLOSEN,"&lt;="&amp;BM$3,CLAVE_DESGLOSE,$A101)</f>
        <v>0</v>
      </c>
      <c r="BN101" s="13">
        <f>SUMIFS(SALIDAS_BIT,FECHA_BIT,"&gt;="&amp;BN$2,FECHA_BIT,"&lt;="&amp;BN$3,CLAVE_BIT,$A101)+SUMIFS(SALIDAS_BOV1,FECHA_BOV1,"&gt;="&amp;BN$2,FECHA_BOV1,"&lt;="&amp;BN$3,CLAVE_BOV1,$A101)+SUMIFS(SALIDAS_BOV2,FECHA_BOV2,"&gt;="&amp;BN$2,FECHA_BOV2,"&lt;="&amp;BN$3,CLAVE_BOV2,$A101)+SUMIFS(SALIDAS_BOV3,FECHA_BOV3,"&gt;="&amp;BN$2,FECHA_BOV3,"&lt;="&amp;BN$3,CLAVE_BOV3,$A101)+SUMIFS(SALIDAS_TC,FECHA_TC,"&gt;="&amp;BN$2,FECHA_TC,"&lt;="&amp;BN$3,CLAVE_TC,$A101)+SUMIFS(SALIDAS_COMB,FECHA_COMB,"&gt;="&amp;BN$2,FECHA_COMB,"&lt;="&amp;BN$3,CLAVE_COMB,$A101)+SUMIFS(SALIDAS_DES,FECHA_DESGLOSEN,"&gt;="&amp;BN$2,FECHA_DESGLOSEN,"&lt;="&amp;BN$3,CLAVE_DESGLOSE,$A101)</f>
        <v>0</v>
      </c>
      <c r="BO101" s="13">
        <f>SUMIFS(SALIDAS_BIT,FECHA_BIT,"&gt;="&amp;BO$2,FECHA_BIT,"&lt;="&amp;BO$3,CLAVE_BIT,$A101)+SUMIFS(SALIDAS_BOV1,FECHA_BOV1,"&gt;="&amp;BO$2,FECHA_BOV1,"&lt;="&amp;BO$3,CLAVE_BOV1,$A101)+SUMIFS(SALIDAS_BOV2,FECHA_BOV2,"&gt;="&amp;BO$2,FECHA_BOV2,"&lt;="&amp;BO$3,CLAVE_BOV2,$A101)+SUMIFS(SALIDAS_BOV3,FECHA_BOV3,"&gt;="&amp;BO$2,FECHA_BOV3,"&lt;="&amp;BO$3,CLAVE_BOV3,$A101)+SUMIFS(SALIDAS_TC,FECHA_TC,"&gt;="&amp;BO$2,FECHA_TC,"&lt;="&amp;BO$3,CLAVE_TC,$A101)+SUMIFS(SALIDAS_COMB,FECHA_COMB,"&gt;="&amp;BO$2,FECHA_COMB,"&lt;="&amp;BO$3,CLAVE_COMB,$A101)+SUMIFS(SALIDAS_DES,FECHA_DESGLOSEN,"&gt;="&amp;BO$2,FECHA_DESGLOSEN,"&lt;="&amp;BO$3,CLAVE_DESGLOSE,$A101)</f>
        <v>0</v>
      </c>
      <c r="BP101" s="13">
        <f>SUMIFS(SALIDAS_BIT,FECHA_BIT,"&gt;="&amp;BP$2,FECHA_BIT,"&lt;="&amp;BP$3,CLAVE_BIT,$A101)+SUMIFS(SALIDAS_BOV1,FECHA_BOV1,"&gt;="&amp;BP$2,FECHA_BOV1,"&lt;="&amp;BP$3,CLAVE_BOV1,$A101)+SUMIFS(SALIDAS_BOV2,FECHA_BOV2,"&gt;="&amp;BP$2,FECHA_BOV2,"&lt;="&amp;BP$3,CLAVE_BOV2,$A101)+SUMIFS(SALIDAS_BOV3,FECHA_BOV3,"&gt;="&amp;BP$2,FECHA_BOV3,"&lt;="&amp;BP$3,CLAVE_BOV3,$A101)+SUMIFS(SALIDAS_TC,FECHA_TC,"&gt;="&amp;BP$2,FECHA_TC,"&lt;="&amp;BP$3,CLAVE_TC,$A101)+SUMIFS(SALIDAS_COMB,FECHA_COMB,"&gt;="&amp;BP$2,FECHA_COMB,"&lt;="&amp;BP$3,CLAVE_COMB,$A101)+SUMIFS(SALIDAS_DES,FECHA_DESGLOSEN,"&gt;="&amp;BP$2,FECHA_DESGLOSEN,"&lt;="&amp;BP$3,CLAVE_DESGLOSE,$A101)</f>
        <v>9849.68</v>
      </c>
      <c r="BQ101" s="13">
        <f>SUMIFS(SALIDAS_BIT,FECHA_BIT,"&gt;="&amp;BQ$2,FECHA_BIT,"&lt;="&amp;BQ$3,CLAVE_BIT,$A101)+SUMIFS(SALIDAS_BOV1,FECHA_BOV1,"&gt;="&amp;BQ$2,FECHA_BOV1,"&lt;="&amp;BQ$3,CLAVE_BOV1,$A101)+SUMIFS(SALIDAS_BOV2,FECHA_BOV2,"&gt;="&amp;BQ$2,FECHA_BOV2,"&lt;="&amp;BQ$3,CLAVE_BOV2,$A101)+SUMIFS(SALIDAS_BOV3,FECHA_BOV3,"&gt;="&amp;BQ$2,FECHA_BOV3,"&lt;="&amp;BQ$3,CLAVE_BOV3,$A101)+SUMIFS(SALIDAS_TC,FECHA_TC,"&gt;="&amp;BQ$2,FECHA_TC,"&lt;="&amp;BQ$3,CLAVE_TC,$A101)+SUMIFS(SALIDAS_COMB,FECHA_COMB,"&gt;="&amp;BQ$2,FECHA_COMB,"&lt;="&amp;BQ$3,CLAVE_COMB,$A101)+SUMIFS(SALIDAS_DES,FECHA_DESGLOSEN,"&gt;="&amp;BQ$2,FECHA_DESGLOSEN,"&lt;="&amp;BQ$3,CLAVE_DESGLOSE,$A101)</f>
        <v>0</v>
      </c>
      <c r="BR101" s="13">
        <f t="shared" si="202"/>
        <v>9849.68</v>
      </c>
      <c r="BS101" s="68">
        <f t="shared" si="164"/>
        <v>-9849.68</v>
      </c>
      <c r="BT101" s="268">
        <f t="shared" si="165"/>
        <v>0</v>
      </c>
      <c r="BU101" s="13">
        <f t="shared" si="166"/>
        <v>0</v>
      </c>
      <c r="BV101" s="13">
        <f t="shared" si="186"/>
        <v>0</v>
      </c>
      <c r="BW101" s="13">
        <f t="shared" si="186"/>
        <v>0</v>
      </c>
      <c r="BX101" s="13">
        <f t="shared" si="186"/>
        <v>0</v>
      </c>
      <c r="BY101" s="13">
        <f t="shared" si="186"/>
        <v>0</v>
      </c>
      <c r="BZ101" s="13">
        <f t="shared" si="203"/>
        <v>0</v>
      </c>
      <c r="CA101" s="68">
        <f t="shared" si="167"/>
        <v>0</v>
      </c>
      <c r="CB101" s="268">
        <f t="shared" si="168"/>
        <v>0</v>
      </c>
      <c r="CC101" s="13">
        <f t="shared" si="169"/>
        <v>0</v>
      </c>
      <c r="CD101" s="13">
        <f t="shared" si="187"/>
        <v>0</v>
      </c>
      <c r="CE101" s="13">
        <f t="shared" si="187"/>
        <v>0</v>
      </c>
      <c r="CF101" s="13">
        <f t="shared" si="187"/>
        <v>0</v>
      </c>
      <c r="CG101" s="13">
        <f t="shared" si="187"/>
        <v>9570</v>
      </c>
      <c r="CH101" s="13">
        <f t="shared" si="204"/>
        <v>9570</v>
      </c>
      <c r="CI101" s="68">
        <f t="shared" si="170"/>
        <v>-9570</v>
      </c>
      <c r="CJ101" s="268">
        <f t="shared" si="171"/>
        <v>0</v>
      </c>
      <c r="CK101" s="13">
        <f t="shared" si="172"/>
        <v>0</v>
      </c>
      <c r="CL101" s="13">
        <f t="shared" si="176"/>
        <v>0</v>
      </c>
      <c r="CM101" s="13">
        <f t="shared" si="176"/>
        <v>0</v>
      </c>
      <c r="CN101" s="13">
        <f t="shared" si="176"/>
        <v>0</v>
      </c>
      <c r="CO101" s="13">
        <f t="shared" si="176"/>
        <v>9570</v>
      </c>
      <c r="CP101" s="13">
        <f t="shared" si="176"/>
        <v>0</v>
      </c>
      <c r="CQ101" s="13">
        <f t="shared" si="205"/>
        <v>9570</v>
      </c>
      <c r="CR101" s="68">
        <f t="shared" si="173"/>
        <v>-9570</v>
      </c>
      <c r="CS101" s="268">
        <f t="shared" si="174"/>
        <v>0</v>
      </c>
      <c r="CT101" s="68">
        <f t="shared" si="147"/>
        <v>8470</v>
      </c>
      <c r="CU101" s="13">
        <f>SUMIFS(SALIDAS_BIT,FECHA_BIT,"&gt;="&amp;CU$2,FECHA_BIT,"&lt;="&amp;CU$3,CLAVE_BIT,$A101)+SUMIFS(SALIDAS_BOV1,FECHA_BOV1,"&gt;="&amp;CU$2,FECHA_BOV1,"&lt;="&amp;CU$3,CLAVE_BOV1,$A101)+SUMIFS(SALIDAS_BOV2,FECHA_BOV2,"&gt;="&amp;CU$2,FECHA_BOV2,"&lt;="&amp;CU$3,CLAVE_BOV2,$A101)+SUMIFS(SALIDAS_BOV3,FECHA_BOV3,"&gt;="&amp;CU$2,FECHA_BOV3,"&lt;="&amp;CU$3,CLAVE_BOV3,$A101)+SUMIFS(SALIDAS_TC,FECHA_TC,"&gt;="&amp;CU$2,FECHA_TC,"&lt;="&amp;CU$3,CLAVE_TC,$A101)+SUMIFS(SALIDAS_COMB,FECHA_COMB,"&gt;="&amp;CU$2,FECHA_COMB,"&lt;="&amp;CU$3,CLAVE_COMB,$A101)+SUMIFS(SALIDAS_DES,FECHA_DESGLOSEN,"&gt;="&amp;CU$2,FECHA_DESGLOSEN,"&lt;="&amp;CU$3,CLAVE_DESGLOSE,$A101)</f>
        <v>0</v>
      </c>
      <c r="CV101" s="13">
        <f>SUMIFS(SALIDAS_BIT,FECHA_BIT,"&gt;="&amp;CV$2,FECHA_BIT,"&lt;="&amp;CV$3,CLAVE_BIT,$A101)+SUMIFS(SALIDAS_BOV1,FECHA_BOV1,"&gt;="&amp;CV$2,FECHA_BOV1,"&lt;="&amp;CV$3,CLAVE_BOV1,$A101)+SUMIFS(SALIDAS_BOV2,FECHA_BOV2,"&gt;="&amp;CV$2,FECHA_BOV2,"&lt;="&amp;CV$3,CLAVE_BOV2,$A101)+SUMIFS(SALIDAS_BOV3,FECHA_BOV3,"&gt;="&amp;CV$2,FECHA_BOV3,"&lt;="&amp;CV$3,CLAVE_BOV3,$A101)+SUMIFS(SALIDAS_TC,FECHA_TC,"&gt;="&amp;CV$2,FECHA_TC,"&lt;="&amp;CV$3,CLAVE_TC,$A101)+SUMIFS(SALIDAS_COMB,FECHA_COMB,"&gt;="&amp;CV$2,FECHA_COMB,"&lt;="&amp;CV$3,CLAVE_COMB,$A101)+SUMIFS(SALIDAS_DES,FECHA_DESGLOSEN,"&gt;="&amp;CV$2,FECHA_DESGLOSEN,"&lt;="&amp;CV$3,CLAVE_DESGLOSE,$A101)</f>
        <v>0</v>
      </c>
      <c r="CW101" s="13">
        <f>SUMIFS(SALIDAS_BIT,FECHA_BIT,"&gt;="&amp;CW$2,FECHA_BIT,"&lt;="&amp;CW$3,CLAVE_BIT,$A101)+SUMIFS(SALIDAS_BOV1,FECHA_BOV1,"&gt;="&amp;CW$2,FECHA_BOV1,"&lt;="&amp;CW$3,CLAVE_BOV1,$A101)+SUMIFS(SALIDAS_BOV2,FECHA_BOV2,"&gt;="&amp;CW$2,FECHA_BOV2,"&lt;="&amp;CW$3,CLAVE_BOV2,$A101)+SUMIFS(SALIDAS_BOV3,FECHA_BOV3,"&gt;="&amp;CW$2,FECHA_BOV3,"&lt;="&amp;CW$3,CLAVE_BOV3,$A101)+SUMIFS(SALIDAS_TC,FECHA_TC,"&gt;="&amp;CW$2,FECHA_TC,"&lt;="&amp;CW$3,CLAVE_TC,$A101)+SUMIFS(SALIDAS_COMB,FECHA_COMB,"&gt;="&amp;CW$2,FECHA_COMB,"&lt;="&amp;CW$3,CLAVE_COMB,$A101)+SUMIFS(SALIDAS_DES,FECHA_DESGLOSEN,"&gt;="&amp;CW$2,FECHA_DESGLOSEN,"&lt;="&amp;CW$3,CLAVE_DESGLOSE,$A101)</f>
        <v>0</v>
      </c>
      <c r="CX101" s="13">
        <f>SUMIFS(SALIDAS_BIT,FECHA_BIT,"&gt;="&amp;CX$2,FECHA_BIT,"&lt;="&amp;CX$3,CLAVE_BIT,$A101)+SUMIFS(SALIDAS_BOV1,FECHA_BOV1,"&gt;="&amp;CX$2,FECHA_BOV1,"&lt;="&amp;CX$3,CLAVE_BOV1,$A101)+SUMIFS(SALIDAS_BOV2,FECHA_BOV2,"&gt;="&amp;CX$2,FECHA_BOV2,"&lt;="&amp;CX$3,CLAVE_BOV2,$A101)+SUMIFS(SALIDAS_BOV3,FECHA_BOV3,"&gt;="&amp;CX$2,FECHA_BOV3,"&lt;="&amp;CX$3,CLAVE_BOV3,$A101)+SUMIFS(SALIDAS_TC,FECHA_TC,"&gt;="&amp;CX$2,FECHA_TC,"&lt;="&amp;CX$3,CLAVE_TC,$A101)+SUMIFS(SALIDAS_COMB,FECHA_COMB,"&gt;="&amp;CX$2,FECHA_COMB,"&lt;="&amp;CX$3,CLAVE_COMB,$A101)+SUMIFS(SALIDAS_DES,FECHA_DESGLOSEN,"&gt;="&amp;CX$2,FECHA_DESGLOSEN,"&lt;="&amp;CX$3,CLAVE_DESGLOSE,$A101)</f>
        <v>9570</v>
      </c>
      <c r="CY101" s="13">
        <f>SUMIFS(SALIDAS_BIT,FECHA_BIT,"&gt;="&amp;CY$2,FECHA_BIT,"&lt;="&amp;CY$3,CLAVE_BIT,$A101)+SUMIFS(SALIDAS_BOV1,FECHA_BOV1,"&gt;="&amp;CY$2,FECHA_BOV1,"&lt;="&amp;CY$3,CLAVE_BOV1,$A101)+SUMIFS(SALIDAS_BOV2,FECHA_BOV2,"&gt;="&amp;CY$2,FECHA_BOV2,"&lt;="&amp;CY$3,CLAVE_BOV2,$A101)+SUMIFS(SALIDAS_BOV3,FECHA_BOV3,"&gt;="&amp;CY$2,FECHA_BOV3,"&lt;="&amp;CY$3,CLAVE_BOV3,$A101)+SUMIFS(SALIDAS_TC,FECHA_TC,"&gt;="&amp;CY$2,FECHA_TC,"&lt;="&amp;CY$3,CLAVE_TC,$A101)+SUMIFS(SALIDAS_COMB,FECHA_COMB,"&gt;="&amp;CY$2,FECHA_COMB,"&lt;="&amp;CY$3,CLAVE_COMB,$A101)+SUMIFS(SALIDAS_DES,FECHA_DESGLOSEN,"&gt;="&amp;CY$2,FECHA_DESGLOSEN,"&lt;="&amp;CY$3,CLAVE_DESGLOSE,$A101)</f>
        <v>9570</v>
      </c>
      <c r="CZ101" s="68">
        <f t="shared" si="175"/>
        <v>-1100</v>
      </c>
      <c r="DB101" s="17">
        <f>F101+N101+W101+AE101+AM101+AV101+BD101+BL101+BU101+CC101+CK101</f>
        <v>0</v>
      </c>
      <c r="DC101" s="17">
        <f>K101+T101+AB101+AJ101+AS101+BA101+BI101+BR101+BZ101+CH101+CQ101</f>
        <v>79413.679999999993</v>
      </c>
    </row>
    <row r="102" spans="1:107" hidden="1">
      <c r="A102" s="12" t="str">
        <f t="shared" si="148"/>
        <v>FINANZASTELEFONIATOTAL PLAY (CONTA)</v>
      </c>
      <c r="B102" s="12">
        <v>104</v>
      </c>
      <c r="C102" t="s">
        <v>23</v>
      </c>
      <c r="D102" s="12" t="s">
        <v>181</v>
      </c>
      <c r="E102" s="12" t="s">
        <v>185</v>
      </c>
      <c r="F102" s="259">
        <f t="shared" si="141"/>
        <v>610</v>
      </c>
      <c r="G102" s="13">
        <f t="shared" si="197"/>
        <v>0</v>
      </c>
      <c r="H102" s="13">
        <f t="shared" si="197"/>
        <v>0</v>
      </c>
      <c r="I102" s="13">
        <f t="shared" si="197"/>
        <v>0</v>
      </c>
      <c r="J102" s="13">
        <f t="shared" si="197"/>
        <v>0</v>
      </c>
      <c r="K102" s="13">
        <f t="shared" si="197"/>
        <v>0</v>
      </c>
      <c r="L102" s="68">
        <f t="shared" si="149"/>
        <v>610</v>
      </c>
      <c r="M102" s="268">
        <f t="shared" si="150"/>
        <v>0</v>
      </c>
      <c r="N102" s="13">
        <f t="shared" si="142"/>
        <v>610</v>
      </c>
      <c r="O102" s="13">
        <f t="shared" si="198"/>
        <v>602</v>
      </c>
      <c r="P102" s="13">
        <f t="shared" si="198"/>
        <v>0</v>
      </c>
      <c r="Q102" s="13">
        <f t="shared" si="198"/>
        <v>0</v>
      </c>
      <c r="R102" s="13">
        <f t="shared" si="198"/>
        <v>0</v>
      </c>
      <c r="S102" s="13">
        <f t="shared" si="198"/>
        <v>603</v>
      </c>
      <c r="T102" s="13">
        <f t="shared" si="198"/>
        <v>1205</v>
      </c>
      <c r="U102" s="68">
        <f t="shared" si="151"/>
        <v>-595</v>
      </c>
      <c r="V102" s="268">
        <f t="shared" si="152"/>
        <v>1.9754098360655739</v>
      </c>
      <c r="W102" s="13">
        <f t="shared" si="143"/>
        <v>610</v>
      </c>
      <c r="X102" s="13">
        <f t="shared" si="199"/>
        <v>0</v>
      </c>
      <c r="Y102" s="13">
        <f t="shared" si="199"/>
        <v>0</v>
      </c>
      <c r="Z102" s="13">
        <f t="shared" si="199"/>
        <v>0</v>
      </c>
      <c r="AA102" s="13">
        <f t="shared" si="199"/>
        <v>602</v>
      </c>
      <c r="AB102" s="13">
        <f t="shared" si="199"/>
        <v>602</v>
      </c>
      <c r="AC102" s="68">
        <f t="shared" si="153"/>
        <v>8</v>
      </c>
      <c r="AD102" s="268">
        <f t="shared" si="154"/>
        <v>0.9868852459016394</v>
      </c>
      <c r="AE102" s="13">
        <f t="shared" si="144"/>
        <v>610</v>
      </c>
      <c r="AF102" s="13">
        <f t="shared" si="200"/>
        <v>0</v>
      </c>
      <c r="AG102" s="13">
        <f t="shared" si="200"/>
        <v>0</v>
      </c>
      <c r="AH102" s="13">
        <f t="shared" si="200"/>
        <v>0</v>
      </c>
      <c r="AI102" s="13">
        <f t="shared" si="200"/>
        <v>0</v>
      </c>
      <c r="AJ102" s="13">
        <f t="shared" si="200"/>
        <v>0</v>
      </c>
      <c r="AK102" s="68">
        <f t="shared" si="155"/>
        <v>610</v>
      </c>
      <c r="AL102" s="268">
        <f t="shared" si="156"/>
        <v>0</v>
      </c>
      <c r="AM102" s="13">
        <f t="shared" si="145"/>
        <v>610</v>
      </c>
      <c r="AN102" s="13">
        <f t="shared" si="201"/>
        <v>0</v>
      </c>
      <c r="AO102" s="13">
        <f t="shared" si="201"/>
        <v>0</v>
      </c>
      <c r="AP102" s="13">
        <f t="shared" si="201"/>
        <v>0</v>
      </c>
      <c r="AQ102" s="13">
        <f t="shared" si="201"/>
        <v>0</v>
      </c>
      <c r="AR102" s="13">
        <f t="shared" si="201"/>
        <v>602</v>
      </c>
      <c r="AS102" s="13">
        <f t="shared" si="201"/>
        <v>602</v>
      </c>
      <c r="AT102" s="68">
        <f>AM102-AS102</f>
        <v>8</v>
      </c>
      <c r="AU102" s="268">
        <f t="shared" si="157"/>
        <v>0.9868852459016394</v>
      </c>
      <c r="AV102" s="13">
        <f t="shared" si="146"/>
        <v>610</v>
      </c>
      <c r="AW102" s="13">
        <f t="shared" si="119"/>
        <v>0</v>
      </c>
      <c r="AX102" s="13">
        <f t="shared" si="119"/>
        <v>0</v>
      </c>
      <c r="AY102" s="13">
        <f t="shared" si="119"/>
        <v>0</v>
      </c>
      <c r="AZ102" s="13">
        <f t="shared" si="119"/>
        <v>0</v>
      </c>
      <c r="BA102" s="13">
        <f t="shared" si="120"/>
        <v>0</v>
      </c>
      <c r="BB102" s="68">
        <f t="shared" si="158"/>
        <v>610</v>
      </c>
      <c r="BC102" s="268">
        <f t="shared" si="159"/>
        <v>0</v>
      </c>
      <c r="BD102" s="13">
        <f t="shared" si="160"/>
        <v>610</v>
      </c>
      <c r="BE102" s="13">
        <f>SUMIFS(SALIDAS_BIT,FECHA_BIT,"&gt;="&amp;BE$2,FECHA_BIT,"&lt;="&amp;BE$3,CLAVE_BIT,$A102)+SUMIFS(SALIDAS_BOV1,FECHA_BOV1,"&gt;="&amp;BE$2,FECHA_BOV1,"&lt;="&amp;BE$3,CLAVE_BOV1,$A102)+SUMIFS(SALIDAS_BOV2,FECHA_BOV2,"&gt;="&amp;BE$2,FECHA_BOV2,"&lt;="&amp;BE$3,CLAVE_BOV2,$A102)+SUMIFS(SALIDAS_BOV3,FECHA_BOV3,"&gt;="&amp;BE$2,FECHA_BOV3,"&lt;="&amp;BE$3,CLAVE_BOV3,$A102)+SUMIFS(SALIDAS_TC,FECHA_TC,"&gt;="&amp;BE$2,FECHA_TC,"&lt;="&amp;BE$3,CLAVE_TC,$A102)+SUMIFS(SALIDAS_COMB,FECHA_COMB,"&gt;="&amp;BE$2,FECHA_COMB,"&lt;="&amp;BE$3,CLAVE_COMB,$A102)+SUMIFS(SALIDAS_DES,FECHA_DESGLOSEN,"&gt;="&amp;BE$2,FECHA_DESGLOSEN,"&lt;="&amp;BE$3,CLAVE_DESGLOSE,$A102)</f>
        <v>0</v>
      </c>
      <c r="BF102" s="13">
        <f>SUMIFS(SALIDAS_BIT,FECHA_BIT,"&gt;="&amp;BF$2,FECHA_BIT,"&lt;="&amp;BF$3,CLAVE_BIT,$A102)+SUMIFS(SALIDAS_BOV1,FECHA_BOV1,"&gt;="&amp;BF$2,FECHA_BOV1,"&lt;="&amp;BF$3,CLAVE_BOV1,$A102)+SUMIFS(SALIDAS_BOV2,FECHA_BOV2,"&gt;="&amp;BF$2,FECHA_BOV2,"&lt;="&amp;BF$3,CLAVE_BOV2,$A102)+SUMIFS(SALIDAS_BOV3,FECHA_BOV3,"&gt;="&amp;BF$2,FECHA_BOV3,"&lt;="&amp;BF$3,CLAVE_BOV3,$A102)+SUMIFS(SALIDAS_TC,FECHA_TC,"&gt;="&amp;BF$2,FECHA_TC,"&lt;="&amp;BF$3,CLAVE_TC,$A102)+SUMIFS(SALIDAS_COMB,FECHA_COMB,"&gt;="&amp;BF$2,FECHA_COMB,"&lt;="&amp;BF$3,CLAVE_COMB,$A102)+SUMIFS(SALIDAS_DES,FECHA_DESGLOSEN,"&gt;="&amp;BF$2,FECHA_DESGLOSEN,"&lt;="&amp;BF$3,CLAVE_DESGLOSE,$A102)</f>
        <v>0</v>
      </c>
      <c r="BG102" s="13">
        <f>SUMIFS(SALIDAS_BIT,FECHA_BIT,"&gt;="&amp;BG$2,FECHA_BIT,"&lt;="&amp;BG$3,CLAVE_BIT,$A102)+SUMIFS(SALIDAS_BOV1,FECHA_BOV1,"&gt;="&amp;BG$2,FECHA_BOV1,"&lt;="&amp;BG$3,CLAVE_BOV1,$A102)+SUMIFS(SALIDAS_BOV2,FECHA_BOV2,"&gt;="&amp;BG$2,FECHA_BOV2,"&lt;="&amp;BG$3,CLAVE_BOV2,$A102)+SUMIFS(SALIDAS_BOV3,FECHA_BOV3,"&gt;="&amp;BG$2,FECHA_BOV3,"&lt;="&amp;BG$3,CLAVE_BOV3,$A102)+SUMIFS(SALIDAS_TC,FECHA_TC,"&gt;="&amp;BG$2,FECHA_TC,"&lt;="&amp;BG$3,CLAVE_TC,$A102)+SUMIFS(SALIDAS_COMB,FECHA_COMB,"&gt;="&amp;BG$2,FECHA_COMB,"&lt;="&amp;BG$3,CLAVE_COMB,$A102)+SUMIFS(SALIDAS_DES,FECHA_DESGLOSEN,"&gt;="&amp;BG$2,FECHA_DESGLOSEN,"&lt;="&amp;BG$3,CLAVE_DESGLOSE,$A102)</f>
        <v>0</v>
      </c>
      <c r="BH102" s="13">
        <f>SUMIFS(SALIDAS_BIT,FECHA_BIT,"&gt;="&amp;BH$2,FECHA_BIT,"&lt;="&amp;BH$3,CLAVE_BIT,$A102)+SUMIFS(SALIDAS_BOV1,FECHA_BOV1,"&gt;="&amp;BH$2,FECHA_BOV1,"&lt;="&amp;BH$3,CLAVE_BOV1,$A102)+SUMIFS(SALIDAS_BOV2,FECHA_BOV2,"&gt;="&amp;BH$2,FECHA_BOV2,"&lt;="&amp;BH$3,CLAVE_BOV2,$A102)+SUMIFS(SALIDAS_BOV3,FECHA_BOV3,"&gt;="&amp;BH$2,FECHA_BOV3,"&lt;="&amp;BH$3,CLAVE_BOV3,$A102)+SUMIFS(SALIDAS_TC,FECHA_TC,"&gt;="&amp;BH$2,FECHA_TC,"&lt;="&amp;BH$3,CLAVE_TC,$A102)+SUMIFS(SALIDAS_COMB,FECHA_COMB,"&gt;="&amp;BH$2,FECHA_COMB,"&lt;="&amp;BH$3,CLAVE_COMB,$A102)+SUMIFS(SALIDAS_DES,FECHA_DESGLOSEN,"&gt;="&amp;BH$2,FECHA_DESGLOSEN,"&lt;="&amp;BH$3,CLAVE_DESGLOSE,$A102)</f>
        <v>0</v>
      </c>
      <c r="BI102" s="13">
        <f t="shared" si="121"/>
        <v>0</v>
      </c>
      <c r="BJ102" s="68">
        <f t="shared" si="161"/>
        <v>610</v>
      </c>
      <c r="BK102" s="268">
        <f t="shared" si="162"/>
        <v>0</v>
      </c>
      <c r="BL102" s="13">
        <f t="shared" si="163"/>
        <v>610</v>
      </c>
      <c r="BM102" s="13">
        <f>SUMIFS(SALIDAS_BIT,FECHA_BIT,"&gt;="&amp;BM$2,FECHA_BIT,"&lt;="&amp;BM$3,CLAVE_BIT,$A102)+SUMIFS(SALIDAS_BOV1,FECHA_BOV1,"&gt;="&amp;BM$2,FECHA_BOV1,"&lt;="&amp;BM$3,CLAVE_BOV1,$A102)+SUMIFS(SALIDAS_BOV2,FECHA_BOV2,"&gt;="&amp;BM$2,FECHA_BOV2,"&lt;="&amp;BM$3,CLAVE_BOV2,$A102)+SUMIFS(SALIDAS_BOV3,FECHA_BOV3,"&gt;="&amp;BM$2,FECHA_BOV3,"&lt;="&amp;BM$3,CLAVE_BOV3,$A102)+SUMIFS(SALIDAS_TC,FECHA_TC,"&gt;="&amp;BM$2,FECHA_TC,"&lt;="&amp;BM$3,CLAVE_TC,$A102)+SUMIFS(SALIDAS_COMB,FECHA_COMB,"&gt;="&amp;BM$2,FECHA_COMB,"&lt;="&amp;BM$3,CLAVE_COMB,$A102)+SUMIFS(SALIDAS_DES,FECHA_DESGLOSEN,"&gt;="&amp;BM$2,FECHA_DESGLOSEN,"&lt;="&amp;BM$3,CLAVE_DESGLOSE,$A102)</f>
        <v>0</v>
      </c>
      <c r="BN102" s="13">
        <f>SUMIFS(SALIDAS_BIT,FECHA_BIT,"&gt;="&amp;BN$2,FECHA_BIT,"&lt;="&amp;BN$3,CLAVE_BIT,$A102)+SUMIFS(SALIDAS_BOV1,FECHA_BOV1,"&gt;="&amp;BN$2,FECHA_BOV1,"&lt;="&amp;BN$3,CLAVE_BOV1,$A102)+SUMIFS(SALIDAS_BOV2,FECHA_BOV2,"&gt;="&amp;BN$2,FECHA_BOV2,"&lt;="&amp;BN$3,CLAVE_BOV2,$A102)+SUMIFS(SALIDAS_BOV3,FECHA_BOV3,"&gt;="&amp;BN$2,FECHA_BOV3,"&lt;="&amp;BN$3,CLAVE_BOV3,$A102)+SUMIFS(SALIDAS_TC,FECHA_TC,"&gt;="&amp;BN$2,FECHA_TC,"&lt;="&amp;BN$3,CLAVE_TC,$A102)+SUMIFS(SALIDAS_COMB,FECHA_COMB,"&gt;="&amp;BN$2,FECHA_COMB,"&lt;="&amp;BN$3,CLAVE_COMB,$A102)+SUMIFS(SALIDAS_DES,FECHA_DESGLOSEN,"&gt;="&amp;BN$2,FECHA_DESGLOSEN,"&lt;="&amp;BN$3,CLAVE_DESGLOSE,$A102)</f>
        <v>0</v>
      </c>
      <c r="BO102" s="13">
        <f>SUMIFS(SALIDAS_BIT,FECHA_BIT,"&gt;="&amp;BO$2,FECHA_BIT,"&lt;="&amp;BO$3,CLAVE_BIT,$A102)+SUMIFS(SALIDAS_BOV1,FECHA_BOV1,"&gt;="&amp;BO$2,FECHA_BOV1,"&lt;="&amp;BO$3,CLAVE_BOV1,$A102)+SUMIFS(SALIDAS_BOV2,FECHA_BOV2,"&gt;="&amp;BO$2,FECHA_BOV2,"&lt;="&amp;BO$3,CLAVE_BOV2,$A102)+SUMIFS(SALIDAS_BOV3,FECHA_BOV3,"&gt;="&amp;BO$2,FECHA_BOV3,"&lt;="&amp;BO$3,CLAVE_BOV3,$A102)+SUMIFS(SALIDAS_TC,FECHA_TC,"&gt;="&amp;BO$2,FECHA_TC,"&lt;="&amp;BO$3,CLAVE_TC,$A102)+SUMIFS(SALIDAS_COMB,FECHA_COMB,"&gt;="&amp;BO$2,FECHA_COMB,"&lt;="&amp;BO$3,CLAVE_COMB,$A102)+SUMIFS(SALIDAS_DES,FECHA_DESGLOSEN,"&gt;="&amp;BO$2,FECHA_DESGLOSEN,"&lt;="&amp;BO$3,CLAVE_DESGLOSE,$A102)</f>
        <v>0</v>
      </c>
      <c r="BP102" s="13">
        <f>SUMIFS(SALIDAS_BIT,FECHA_BIT,"&gt;="&amp;BP$2,FECHA_BIT,"&lt;="&amp;BP$3,CLAVE_BIT,$A102)+SUMIFS(SALIDAS_BOV1,FECHA_BOV1,"&gt;="&amp;BP$2,FECHA_BOV1,"&lt;="&amp;BP$3,CLAVE_BOV1,$A102)+SUMIFS(SALIDAS_BOV2,FECHA_BOV2,"&gt;="&amp;BP$2,FECHA_BOV2,"&lt;="&amp;BP$3,CLAVE_BOV2,$A102)+SUMIFS(SALIDAS_BOV3,FECHA_BOV3,"&gt;="&amp;BP$2,FECHA_BOV3,"&lt;="&amp;BP$3,CLAVE_BOV3,$A102)+SUMIFS(SALIDAS_TC,FECHA_TC,"&gt;="&amp;BP$2,FECHA_TC,"&lt;="&amp;BP$3,CLAVE_TC,$A102)+SUMIFS(SALIDAS_COMB,FECHA_COMB,"&gt;="&amp;BP$2,FECHA_COMB,"&lt;="&amp;BP$3,CLAVE_COMB,$A102)+SUMIFS(SALIDAS_DES,FECHA_DESGLOSEN,"&gt;="&amp;BP$2,FECHA_DESGLOSEN,"&lt;="&amp;BP$3,CLAVE_DESGLOSE,$A102)</f>
        <v>0</v>
      </c>
      <c r="BQ102" s="13">
        <f>SUMIFS(SALIDAS_BIT,FECHA_BIT,"&gt;="&amp;BQ$2,FECHA_BIT,"&lt;="&amp;BQ$3,CLAVE_BIT,$A102)+SUMIFS(SALIDAS_BOV1,FECHA_BOV1,"&gt;="&amp;BQ$2,FECHA_BOV1,"&lt;="&amp;BQ$3,CLAVE_BOV1,$A102)+SUMIFS(SALIDAS_BOV2,FECHA_BOV2,"&gt;="&amp;BQ$2,FECHA_BOV2,"&lt;="&amp;BQ$3,CLAVE_BOV2,$A102)+SUMIFS(SALIDAS_BOV3,FECHA_BOV3,"&gt;="&amp;BQ$2,FECHA_BOV3,"&lt;="&amp;BQ$3,CLAVE_BOV3,$A102)+SUMIFS(SALIDAS_TC,FECHA_TC,"&gt;="&amp;BQ$2,FECHA_TC,"&lt;="&amp;BQ$3,CLAVE_TC,$A102)+SUMIFS(SALIDAS_COMB,FECHA_COMB,"&gt;="&amp;BQ$2,FECHA_COMB,"&lt;="&amp;BQ$3,CLAVE_COMB,$A102)+SUMIFS(SALIDAS_DES,FECHA_DESGLOSEN,"&gt;="&amp;BQ$2,FECHA_DESGLOSEN,"&lt;="&amp;BQ$3,CLAVE_DESGLOSE,$A102)</f>
        <v>0</v>
      </c>
      <c r="BR102" s="13">
        <f t="shared" si="202"/>
        <v>0</v>
      </c>
      <c r="BS102" s="68">
        <f t="shared" si="164"/>
        <v>610</v>
      </c>
      <c r="BT102" s="268">
        <f t="shared" si="165"/>
        <v>0</v>
      </c>
      <c r="BU102" s="13">
        <f t="shared" si="166"/>
        <v>610</v>
      </c>
      <c r="BV102" s="13">
        <f t="shared" si="186"/>
        <v>0</v>
      </c>
      <c r="BW102" s="13">
        <f t="shared" si="186"/>
        <v>0</v>
      </c>
      <c r="BX102" s="13">
        <f t="shared" si="186"/>
        <v>0</v>
      </c>
      <c r="BY102" s="13">
        <f t="shared" si="186"/>
        <v>0</v>
      </c>
      <c r="BZ102" s="13">
        <f t="shared" si="203"/>
        <v>0</v>
      </c>
      <c r="CA102" s="68">
        <f t="shared" si="167"/>
        <v>610</v>
      </c>
      <c r="CB102" s="268">
        <f t="shared" si="168"/>
        <v>0</v>
      </c>
      <c r="CC102" s="13">
        <f t="shared" si="169"/>
        <v>610</v>
      </c>
      <c r="CD102" s="13">
        <f t="shared" si="187"/>
        <v>0</v>
      </c>
      <c r="CE102" s="13">
        <f t="shared" si="187"/>
        <v>0</v>
      </c>
      <c r="CF102" s="13">
        <f t="shared" si="187"/>
        <v>0</v>
      </c>
      <c r="CG102" s="13">
        <f t="shared" si="187"/>
        <v>0</v>
      </c>
      <c r="CH102" s="13">
        <f t="shared" si="204"/>
        <v>0</v>
      </c>
      <c r="CI102" s="68">
        <f t="shared" si="170"/>
        <v>610</v>
      </c>
      <c r="CJ102" s="268">
        <f t="shared" si="171"/>
        <v>0</v>
      </c>
      <c r="CK102" s="13">
        <f t="shared" si="172"/>
        <v>610</v>
      </c>
      <c r="CL102" s="13">
        <f t="shared" si="176"/>
        <v>0</v>
      </c>
      <c r="CM102" s="13">
        <f t="shared" si="176"/>
        <v>0</v>
      </c>
      <c r="CN102" s="13">
        <f t="shared" si="176"/>
        <v>680</v>
      </c>
      <c r="CO102" s="13">
        <f t="shared" si="176"/>
        <v>603.04</v>
      </c>
      <c r="CP102" s="13">
        <f t="shared" si="176"/>
        <v>0</v>
      </c>
      <c r="CQ102" s="13">
        <f t="shared" si="205"/>
        <v>1283.04</v>
      </c>
      <c r="CR102" s="68">
        <f t="shared" si="173"/>
        <v>-673.04</v>
      </c>
      <c r="CS102" s="268">
        <f t="shared" si="174"/>
        <v>2.103344262295082</v>
      </c>
      <c r="CT102" s="68">
        <f t="shared" si="147"/>
        <v>660</v>
      </c>
      <c r="CU102" s="13">
        <f>SUMIFS(SALIDAS_BIT,FECHA_BIT,"&gt;="&amp;CU$2,FECHA_BIT,"&lt;="&amp;CU$3,CLAVE_BIT,$A102)+SUMIFS(SALIDAS_BOV1,FECHA_BOV1,"&gt;="&amp;CU$2,FECHA_BOV1,"&lt;="&amp;CU$3,CLAVE_BOV1,$A102)+SUMIFS(SALIDAS_BOV2,FECHA_BOV2,"&gt;="&amp;CU$2,FECHA_BOV2,"&lt;="&amp;CU$3,CLAVE_BOV2,$A102)+SUMIFS(SALIDAS_BOV3,FECHA_BOV3,"&gt;="&amp;CU$2,FECHA_BOV3,"&lt;="&amp;CU$3,CLAVE_BOV3,$A102)+SUMIFS(SALIDAS_TC,FECHA_TC,"&gt;="&amp;CU$2,FECHA_TC,"&lt;="&amp;CU$3,CLAVE_TC,$A102)+SUMIFS(SALIDAS_COMB,FECHA_COMB,"&gt;="&amp;CU$2,FECHA_COMB,"&lt;="&amp;CU$3,CLAVE_COMB,$A102)+SUMIFS(SALIDAS_DES,FECHA_DESGLOSEN,"&gt;="&amp;CU$2,FECHA_DESGLOSEN,"&lt;="&amp;CU$3,CLAVE_DESGLOSE,$A102)</f>
        <v>681</v>
      </c>
      <c r="CV102" s="13">
        <f>SUMIFS(SALIDAS_BIT,FECHA_BIT,"&gt;="&amp;CV$2,FECHA_BIT,"&lt;="&amp;CV$3,CLAVE_BIT,$A102)+SUMIFS(SALIDAS_BOV1,FECHA_BOV1,"&gt;="&amp;CV$2,FECHA_BOV1,"&lt;="&amp;CV$3,CLAVE_BOV1,$A102)+SUMIFS(SALIDAS_BOV2,FECHA_BOV2,"&gt;="&amp;CV$2,FECHA_BOV2,"&lt;="&amp;CV$3,CLAVE_BOV2,$A102)+SUMIFS(SALIDAS_BOV3,FECHA_BOV3,"&gt;="&amp;CV$2,FECHA_BOV3,"&lt;="&amp;CV$3,CLAVE_BOV3,$A102)+SUMIFS(SALIDAS_TC,FECHA_TC,"&gt;="&amp;CV$2,FECHA_TC,"&lt;="&amp;CV$3,CLAVE_TC,$A102)+SUMIFS(SALIDAS_COMB,FECHA_COMB,"&gt;="&amp;CV$2,FECHA_COMB,"&lt;="&amp;CV$3,CLAVE_COMB,$A102)+SUMIFS(SALIDAS_DES,FECHA_DESGLOSEN,"&gt;="&amp;CV$2,FECHA_DESGLOSEN,"&lt;="&amp;CV$3,CLAVE_DESGLOSE,$A102)</f>
        <v>0</v>
      </c>
      <c r="CW102" s="13">
        <f>SUMIFS(SALIDAS_BIT,FECHA_BIT,"&gt;="&amp;CW$2,FECHA_BIT,"&lt;="&amp;CW$3,CLAVE_BIT,$A102)+SUMIFS(SALIDAS_BOV1,FECHA_BOV1,"&gt;="&amp;CW$2,FECHA_BOV1,"&lt;="&amp;CW$3,CLAVE_BOV1,$A102)+SUMIFS(SALIDAS_BOV2,FECHA_BOV2,"&gt;="&amp;CW$2,FECHA_BOV2,"&lt;="&amp;CW$3,CLAVE_BOV2,$A102)+SUMIFS(SALIDAS_BOV3,FECHA_BOV3,"&gt;="&amp;CW$2,FECHA_BOV3,"&lt;="&amp;CW$3,CLAVE_BOV3,$A102)+SUMIFS(SALIDAS_TC,FECHA_TC,"&gt;="&amp;CW$2,FECHA_TC,"&lt;="&amp;CW$3,CLAVE_TC,$A102)+SUMIFS(SALIDAS_COMB,FECHA_COMB,"&gt;="&amp;CW$2,FECHA_COMB,"&lt;="&amp;CW$3,CLAVE_COMB,$A102)+SUMIFS(SALIDAS_DES,FECHA_DESGLOSEN,"&gt;="&amp;CW$2,FECHA_DESGLOSEN,"&lt;="&amp;CW$3,CLAVE_DESGLOSE,$A102)</f>
        <v>0</v>
      </c>
      <c r="CX102" s="13">
        <f>SUMIFS(SALIDAS_BIT,FECHA_BIT,"&gt;="&amp;CX$2,FECHA_BIT,"&lt;="&amp;CX$3,CLAVE_BIT,$A102)+SUMIFS(SALIDAS_BOV1,FECHA_BOV1,"&gt;="&amp;CX$2,FECHA_BOV1,"&lt;="&amp;CX$3,CLAVE_BOV1,$A102)+SUMIFS(SALIDAS_BOV2,FECHA_BOV2,"&gt;="&amp;CX$2,FECHA_BOV2,"&lt;="&amp;CX$3,CLAVE_BOV2,$A102)+SUMIFS(SALIDAS_BOV3,FECHA_BOV3,"&gt;="&amp;CX$2,FECHA_BOV3,"&lt;="&amp;CX$3,CLAVE_BOV3,$A102)+SUMIFS(SALIDAS_TC,FECHA_TC,"&gt;="&amp;CX$2,FECHA_TC,"&lt;="&amp;CX$3,CLAVE_TC,$A102)+SUMIFS(SALIDAS_COMB,FECHA_COMB,"&gt;="&amp;CX$2,FECHA_COMB,"&lt;="&amp;CX$3,CLAVE_COMB,$A102)+SUMIFS(SALIDAS_DES,FECHA_DESGLOSEN,"&gt;="&amp;CX$2,FECHA_DESGLOSEN,"&lt;="&amp;CX$3,CLAVE_DESGLOSE,$A102)</f>
        <v>603.03</v>
      </c>
      <c r="CY102" s="13">
        <f>SUMIFS(SALIDAS_BIT,FECHA_BIT,"&gt;="&amp;CY$2,FECHA_BIT,"&lt;="&amp;CY$3,CLAVE_BIT,$A102)+SUMIFS(SALIDAS_BOV1,FECHA_BOV1,"&gt;="&amp;CY$2,FECHA_BOV1,"&lt;="&amp;CY$3,CLAVE_BOV1,$A102)+SUMIFS(SALIDAS_BOV2,FECHA_BOV2,"&gt;="&amp;CY$2,FECHA_BOV2,"&lt;="&amp;CY$3,CLAVE_BOV2,$A102)+SUMIFS(SALIDAS_BOV3,FECHA_BOV3,"&gt;="&amp;CY$2,FECHA_BOV3,"&lt;="&amp;CY$3,CLAVE_BOV3,$A102)+SUMIFS(SALIDAS_TC,FECHA_TC,"&gt;="&amp;CY$2,FECHA_TC,"&lt;="&amp;CY$3,CLAVE_TC,$A102)+SUMIFS(SALIDAS_COMB,FECHA_COMB,"&gt;="&amp;CY$2,FECHA_COMB,"&lt;="&amp;CY$3,CLAVE_COMB,$A102)+SUMIFS(SALIDAS_DES,FECHA_DESGLOSEN,"&gt;="&amp;CY$2,FECHA_DESGLOSEN,"&lt;="&amp;CY$3,CLAVE_DESGLOSE,$A102)</f>
        <v>1284.03</v>
      </c>
      <c r="CZ102" s="68">
        <f t="shared" si="175"/>
        <v>-624.03</v>
      </c>
      <c r="DB102" s="17">
        <f>F102+N102+W102+AE102+AM102+AV102+BD102+BL102+BU102+CC102+CK102</f>
        <v>6710</v>
      </c>
      <c r="DC102" s="17">
        <f>K102+T102+AB102+AJ102+AS102+BA102+BI102+BR102+BZ102+CH102+CQ102</f>
        <v>3692.04</v>
      </c>
    </row>
    <row r="103" spans="1:107" hidden="1">
      <c r="A103" s="12" t="str">
        <f t="shared" si="148"/>
        <v>FINANZASTELEFONIATELEFONIA</v>
      </c>
      <c r="B103" s="12">
        <v>105</v>
      </c>
      <c r="C103" t="s">
        <v>23</v>
      </c>
      <c r="D103" s="12" t="s">
        <v>181</v>
      </c>
      <c r="E103" s="14" t="s">
        <v>181</v>
      </c>
      <c r="F103" s="259">
        <f t="shared" si="141"/>
        <v>55574</v>
      </c>
      <c r="G103" s="13">
        <f t="shared" si="197"/>
        <v>9069</v>
      </c>
      <c r="H103" s="13">
        <f t="shared" si="197"/>
        <v>0</v>
      </c>
      <c r="I103" s="13">
        <f t="shared" si="197"/>
        <v>0</v>
      </c>
      <c r="J103" s="13">
        <f t="shared" si="197"/>
        <v>24433.03</v>
      </c>
      <c r="K103" s="13">
        <f t="shared" si="197"/>
        <v>33502.03</v>
      </c>
      <c r="L103" s="68">
        <f t="shared" si="149"/>
        <v>22071.97</v>
      </c>
      <c r="M103" s="268">
        <f t="shared" si="150"/>
        <v>0.60283639831575919</v>
      </c>
      <c r="N103" s="13">
        <f t="shared" si="142"/>
        <v>45875</v>
      </c>
      <c r="O103" s="13">
        <f t="shared" si="198"/>
        <v>0</v>
      </c>
      <c r="P103" s="13">
        <f t="shared" si="198"/>
        <v>0</v>
      </c>
      <c r="Q103" s="13">
        <f t="shared" si="198"/>
        <v>0</v>
      </c>
      <c r="R103" s="13">
        <f t="shared" si="198"/>
        <v>1202.04</v>
      </c>
      <c r="S103" s="13">
        <f t="shared" si="198"/>
        <v>0</v>
      </c>
      <c r="T103" s="13">
        <f t="shared" si="198"/>
        <v>1202.04</v>
      </c>
      <c r="U103" s="68">
        <f t="shared" si="151"/>
        <v>44672.959999999999</v>
      </c>
      <c r="V103" s="268">
        <f t="shared" si="152"/>
        <v>2.6202506811989101E-2</v>
      </c>
      <c r="W103" s="13">
        <f t="shared" si="143"/>
        <v>46431</v>
      </c>
      <c r="X103" s="13">
        <f t="shared" si="199"/>
        <v>0</v>
      </c>
      <c r="Y103" s="13">
        <f t="shared" si="199"/>
        <v>0</v>
      </c>
      <c r="Z103" s="13">
        <f t="shared" si="199"/>
        <v>0</v>
      </c>
      <c r="AA103" s="13">
        <f t="shared" si="199"/>
        <v>19661.060000000001</v>
      </c>
      <c r="AB103" s="13">
        <f t="shared" si="199"/>
        <v>19661.060000000001</v>
      </c>
      <c r="AC103" s="68">
        <f t="shared" si="153"/>
        <v>26769.94</v>
      </c>
      <c r="AD103" s="268">
        <f t="shared" si="154"/>
        <v>0.42344683508862618</v>
      </c>
      <c r="AE103" s="13">
        <f t="shared" si="144"/>
        <v>26244</v>
      </c>
      <c r="AF103" s="13">
        <f t="shared" si="200"/>
        <v>0</v>
      </c>
      <c r="AG103" s="13">
        <f t="shared" si="200"/>
        <v>0</v>
      </c>
      <c r="AH103" s="13">
        <f t="shared" si="200"/>
        <v>0</v>
      </c>
      <c r="AI103" s="13">
        <f t="shared" si="200"/>
        <v>41360.589999999997</v>
      </c>
      <c r="AJ103" s="13">
        <f t="shared" si="200"/>
        <v>41360.589999999997</v>
      </c>
      <c r="AK103" s="68">
        <f t="shared" si="155"/>
        <v>-15116.589999999997</v>
      </c>
      <c r="AL103" s="268">
        <f t="shared" si="156"/>
        <v>1.5760017527815879</v>
      </c>
      <c r="AM103" s="13">
        <f t="shared" si="145"/>
        <v>35511</v>
      </c>
      <c r="AN103" s="13">
        <f t="shared" si="201"/>
        <v>0</v>
      </c>
      <c r="AO103" s="13">
        <f t="shared" si="201"/>
        <v>0</v>
      </c>
      <c r="AP103" s="13">
        <f t="shared" si="201"/>
        <v>0</v>
      </c>
      <c r="AQ103" s="13">
        <f t="shared" si="201"/>
        <v>603.04</v>
      </c>
      <c r="AR103" s="13">
        <f t="shared" si="201"/>
        <v>0</v>
      </c>
      <c r="AS103" s="13">
        <f t="shared" si="201"/>
        <v>603.04</v>
      </c>
      <c r="AT103" s="68">
        <f>AM103-AS103</f>
        <v>34907.96</v>
      </c>
      <c r="AU103" s="268">
        <f t="shared" si="157"/>
        <v>1.6981780293430202E-2</v>
      </c>
      <c r="AV103" s="13">
        <v>35511</v>
      </c>
      <c r="AW103" s="13">
        <f t="shared" si="119"/>
        <v>8499.07</v>
      </c>
      <c r="AX103" s="13">
        <f t="shared" si="119"/>
        <v>0</v>
      </c>
      <c r="AY103" s="13">
        <f t="shared" si="119"/>
        <v>269</v>
      </c>
      <c r="AZ103" s="13">
        <f t="shared" si="119"/>
        <v>35975.07</v>
      </c>
      <c r="BA103" s="13">
        <f t="shared" si="120"/>
        <v>44743.14</v>
      </c>
      <c r="BB103" s="68">
        <f t="shared" si="158"/>
        <v>-9232.14</v>
      </c>
      <c r="BC103" s="268">
        <f t="shared" si="159"/>
        <v>1.2599797245923798</v>
      </c>
      <c r="BD103" s="13">
        <v>35511</v>
      </c>
      <c r="BE103" s="13">
        <f>SUMIFS(SALIDAS_BIT,FECHA_BIT,"&gt;="&amp;BE$2,FECHA_BIT,"&lt;="&amp;BE$3,CLAVE_BIT,$A103)+SUMIFS(SALIDAS_BOV1,FECHA_BOV1,"&gt;="&amp;BE$2,FECHA_BOV1,"&lt;="&amp;BE$3,CLAVE_BOV1,$A103)+SUMIFS(SALIDAS_BOV2,FECHA_BOV2,"&gt;="&amp;BE$2,FECHA_BOV2,"&lt;="&amp;BE$3,CLAVE_BOV2,$A103)+SUMIFS(SALIDAS_BOV3,FECHA_BOV3,"&gt;="&amp;BE$2,FECHA_BOV3,"&lt;="&amp;BE$3,CLAVE_BOV3,$A103)+SUMIFS(SALIDAS_TC,FECHA_TC,"&gt;="&amp;BE$2,FECHA_TC,"&lt;="&amp;BE$3,CLAVE_TC,$A103)+SUMIFS(SALIDAS_COMB,FECHA_COMB,"&gt;="&amp;BE$2,FECHA_COMB,"&lt;="&amp;BE$3,CLAVE_COMB,$A103)+SUMIFS(SALIDAS_DES,FECHA_DESGLOSEN,"&gt;="&amp;BE$2,FECHA_DESGLOSEN,"&lt;="&amp;BE$3,CLAVE_DESGLOSE,$A103)</f>
        <v>8699.0600000000013</v>
      </c>
      <c r="BF103" s="13">
        <f>SUMIFS(SALIDAS_BIT,FECHA_BIT,"&gt;="&amp;BF$2,FECHA_BIT,"&lt;="&amp;BF$3,CLAVE_BIT,$A103)+SUMIFS(SALIDAS_BOV1,FECHA_BOV1,"&gt;="&amp;BF$2,FECHA_BOV1,"&lt;="&amp;BF$3,CLAVE_BOV1,$A103)+SUMIFS(SALIDAS_BOV2,FECHA_BOV2,"&gt;="&amp;BF$2,FECHA_BOV2,"&lt;="&amp;BF$3,CLAVE_BOV2,$A103)+SUMIFS(SALIDAS_BOV3,FECHA_BOV3,"&gt;="&amp;BF$2,FECHA_BOV3,"&lt;="&amp;BF$3,CLAVE_BOV3,$A103)+SUMIFS(SALIDAS_TC,FECHA_TC,"&gt;="&amp;BF$2,FECHA_TC,"&lt;="&amp;BF$3,CLAVE_TC,$A103)+SUMIFS(SALIDAS_COMB,FECHA_COMB,"&gt;="&amp;BF$2,FECHA_COMB,"&lt;="&amp;BF$3,CLAVE_COMB,$A103)+SUMIFS(SALIDAS_DES,FECHA_DESGLOSEN,"&gt;="&amp;BF$2,FECHA_DESGLOSEN,"&lt;="&amp;BF$3,CLAVE_DESGLOSE,$A103)</f>
        <v>681.14</v>
      </c>
      <c r="BG103" s="13">
        <f>SUMIFS(SALIDAS_BIT,FECHA_BIT,"&gt;="&amp;BG$2,FECHA_BIT,"&lt;="&amp;BG$3,CLAVE_BIT,$A103)+SUMIFS(SALIDAS_BOV1,FECHA_BOV1,"&gt;="&amp;BG$2,FECHA_BOV1,"&lt;="&amp;BG$3,CLAVE_BOV1,$A103)+SUMIFS(SALIDAS_BOV2,FECHA_BOV2,"&gt;="&amp;BG$2,FECHA_BOV2,"&lt;="&amp;BG$3,CLAVE_BOV2,$A103)+SUMIFS(SALIDAS_BOV3,FECHA_BOV3,"&gt;="&amp;BG$2,FECHA_BOV3,"&lt;="&amp;BG$3,CLAVE_BOV3,$A103)+SUMIFS(SALIDAS_TC,FECHA_TC,"&gt;="&amp;BG$2,FECHA_TC,"&lt;="&amp;BG$3,CLAVE_TC,$A103)+SUMIFS(SALIDAS_COMB,FECHA_COMB,"&gt;="&amp;BG$2,FECHA_COMB,"&lt;="&amp;BG$3,CLAVE_COMB,$A103)+SUMIFS(SALIDAS_DES,FECHA_DESGLOSEN,"&gt;="&amp;BG$2,FECHA_DESGLOSEN,"&lt;="&amp;BG$3,CLAVE_DESGLOSE,$A103)</f>
        <v>469</v>
      </c>
      <c r="BH103" s="13">
        <f>SUMIFS(SALIDAS_BIT,FECHA_BIT,"&gt;="&amp;BH$2,FECHA_BIT,"&lt;="&amp;BH$3,CLAVE_BIT,$A103)+SUMIFS(SALIDAS_BOV1,FECHA_BOV1,"&gt;="&amp;BH$2,FECHA_BOV1,"&lt;="&amp;BH$3,CLAVE_BOV1,$A103)+SUMIFS(SALIDAS_BOV2,FECHA_BOV2,"&gt;="&amp;BH$2,FECHA_BOV2,"&lt;="&amp;BH$3,CLAVE_BOV2,$A103)+SUMIFS(SALIDAS_BOV3,FECHA_BOV3,"&gt;="&amp;BH$2,FECHA_BOV3,"&lt;="&amp;BH$3,CLAVE_BOV3,$A103)+SUMIFS(SALIDAS_TC,FECHA_TC,"&gt;="&amp;BH$2,FECHA_TC,"&lt;="&amp;BH$3,CLAVE_TC,$A103)+SUMIFS(SALIDAS_COMB,FECHA_COMB,"&gt;="&amp;BH$2,FECHA_COMB,"&lt;="&amp;BH$3,CLAVE_COMB,$A103)+SUMIFS(SALIDAS_DES,FECHA_DESGLOSEN,"&gt;="&amp;BH$2,FECHA_DESGLOSEN,"&lt;="&amp;BH$3,CLAVE_DESGLOSE,$A103)</f>
        <v>7738.09</v>
      </c>
      <c r="BI103" s="13">
        <f t="shared" si="121"/>
        <v>17587.29</v>
      </c>
      <c r="BJ103" s="68">
        <f t="shared" si="161"/>
        <v>17923.71</v>
      </c>
      <c r="BK103" s="268">
        <f t="shared" si="162"/>
        <v>0.49526315789473685</v>
      </c>
      <c r="BL103" s="13">
        <f t="shared" si="163"/>
        <v>54252</v>
      </c>
      <c r="BM103" s="13">
        <f>SUMIFS(SALIDAS_BIT,FECHA_BIT,"&gt;="&amp;BM$2,FECHA_BIT,"&lt;="&amp;BM$3,CLAVE_BIT,$A103)+SUMIFS(SALIDAS_BOV1,FECHA_BOV1,"&gt;="&amp;BM$2,FECHA_BOV1,"&lt;="&amp;BM$3,CLAVE_BOV1,$A103)+SUMIFS(SALIDAS_BOV2,FECHA_BOV2,"&gt;="&amp;BM$2,FECHA_BOV2,"&lt;="&amp;BM$3,CLAVE_BOV2,$A103)+SUMIFS(SALIDAS_BOV3,FECHA_BOV3,"&gt;="&amp;BM$2,FECHA_BOV3,"&lt;="&amp;BM$3,CLAVE_BOV3,$A103)+SUMIFS(SALIDAS_TC,FECHA_TC,"&gt;="&amp;BM$2,FECHA_TC,"&lt;="&amp;BM$3,CLAVE_TC,$A103)+SUMIFS(SALIDAS_COMB,FECHA_COMB,"&gt;="&amp;BM$2,FECHA_COMB,"&lt;="&amp;BM$3,CLAVE_COMB,$A103)+SUMIFS(SALIDAS_DES,FECHA_DESGLOSEN,"&gt;="&amp;BM$2,FECHA_DESGLOSEN,"&lt;="&amp;BM$3,CLAVE_DESGLOSE,$A103)</f>
        <v>24359</v>
      </c>
      <c r="BN103" s="13">
        <f>SUMIFS(SALIDAS_BIT,FECHA_BIT,"&gt;="&amp;BN$2,FECHA_BIT,"&lt;="&amp;BN$3,CLAVE_BIT,$A103)+SUMIFS(SALIDAS_BOV1,FECHA_BOV1,"&gt;="&amp;BN$2,FECHA_BOV1,"&lt;="&amp;BN$3,CLAVE_BOV1,$A103)+SUMIFS(SALIDAS_BOV2,FECHA_BOV2,"&gt;="&amp;BN$2,FECHA_BOV2,"&lt;="&amp;BN$3,CLAVE_BOV2,$A103)+SUMIFS(SALIDAS_BOV3,FECHA_BOV3,"&gt;="&amp;BN$2,FECHA_BOV3,"&lt;="&amp;BN$3,CLAVE_BOV3,$A103)+SUMIFS(SALIDAS_TC,FECHA_TC,"&gt;="&amp;BN$2,FECHA_TC,"&lt;="&amp;BN$3,CLAVE_TC,$A103)+SUMIFS(SALIDAS_COMB,FECHA_COMB,"&gt;="&amp;BN$2,FECHA_COMB,"&lt;="&amp;BN$3,CLAVE_COMB,$A103)+SUMIFS(SALIDAS_DES,FECHA_DESGLOSEN,"&gt;="&amp;BN$2,FECHA_DESGLOSEN,"&lt;="&amp;BN$3,CLAVE_DESGLOSE,$A103)</f>
        <v>9180.07</v>
      </c>
      <c r="BO103" s="13">
        <f>SUMIFS(SALIDAS_BIT,FECHA_BIT,"&gt;="&amp;BO$2,FECHA_BIT,"&lt;="&amp;BO$3,CLAVE_BIT,$A103)+SUMIFS(SALIDAS_BOV1,FECHA_BOV1,"&gt;="&amp;BO$2,FECHA_BOV1,"&lt;="&amp;BO$3,CLAVE_BOV1,$A103)+SUMIFS(SALIDAS_BOV2,FECHA_BOV2,"&gt;="&amp;BO$2,FECHA_BOV2,"&lt;="&amp;BO$3,CLAVE_BOV2,$A103)+SUMIFS(SALIDAS_BOV3,FECHA_BOV3,"&gt;="&amp;BO$2,FECHA_BOV3,"&lt;="&amp;BO$3,CLAVE_BOV3,$A103)+SUMIFS(SALIDAS_TC,FECHA_TC,"&gt;="&amp;BO$2,FECHA_TC,"&lt;="&amp;BO$3,CLAVE_TC,$A103)+SUMIFS(SALIDAS_COMB,FECHA_COMB,"&gt;="&amp;BO$2,FECHA_COMB,"&lt;="&amp;BO$3,CLAVE_COMB,$A103)+SUMIFS(SALIDAS_DES,FECHA_DESGLOSEN,"&gt;="&amp;BO$2,FECHA_DESGLOSEN,"&lt;="&amp;BO$3,CLAVE_DESGLOSE,$A103)</f>
        <v>0</v>
      </c>
      <c r="BP103" s="13">
        <f>SUMIFS(SALIDAS_BIT,FECHA_BIT,"&gt;="&amp;BP$2,FECHA_BIT,"&lt;="&amp;BP$3,CLAVE_BIT,$A103)+SUMIFS(SALIDAS_BOV1,FECHA_BOV1,"&gt;="&amp;BP$2,FECHA_BOV1,"&lt;="&amp;BP$3,CLAVE_BOV1,$A103)+SUMIFS(SALIDAS_BOV2,FECHA_BOV2,"&gt;="&amp;BP$2,FECHA_BOV2,"&lt;="&amp;BP$3,CLAVE_BOV2,$A103)+SUMIFS(SALIDAS_BOV3,FECHA_BOV3,"&gt;="&amp;BP$2,FECHA_BOV3,"&lt;="&amp;BP$3,CLAVE_BOV3,$A103)+SUMIFS(SALIDAS_TC,FECHA_TC,"&gt;="&amp;BP$2,FECHA_TC,"&lt;="&amp;BP$3,CLAVE_TC,$A103)+SUMIFS(SALIDAS_COMB,FECHA_COMB,"&gt;="&amp;BP$2,FECHA_COMB,"&lt;="&amp;BP$3,CLAVE_COMB,$A103)+SUMIFS(SALIDAS_DES,FECHA_DESGLOSEN,"&gt;="&amp;BP$2,FECHA_DESGLOSEN,"&lt;="&amp;BP$3,CLAVE_DESGLOSE,$A103)</f>
        <v>8338.09</v>
      </c>
      <c r="BQ103" s="13">
        <f>SUMIFS(SALIDAS_BIT,FECHA_BIT,"&gt;="&amp;BQ$2,FECHA_BIT,"&lt;="&amp;BQ$3,CLAVE_BIT,$A103)+SUMIFS(SALIDAS_BOV1,FECHA_BOV1,"&gt;="&amp;BQ$2,FECHA_BOV1,"&lt;="&amp;BQ$3,CLAVE_BOV1,$A103)+SUMIFS(SALIDAS_BOV2,FECHA_BOV2,"&gt;="&amp;BQ$2,FECHA_BOV2,"&lt;="&amp;BQ$3,CLAVE_BOV2,$A103)+SUMIFS(SALIDAS_BOV3,FECHA_BOV3,"&gt;="&amp;BQ$2,FECHA_BOV3,"&lt;="&amp;BQ$3,CLAVE_BOV3,$A103)+SUMIFS(SALIDAS_TC,FECHA_TC,"&gt;="&amp;BQ$2,FECHA_TC,"&lt;="&amp;BQ$3,CLAVE_TC,$A103)+SUMIFS(SALIDAS_COMB,FECHA_COMB,"&gt;="&amp;BQ$2,FECHA_COMB,"&lt;="&amp;BQ$3,CLAVE_COMB,$A103)+SUMIFS(SALIDAS_DES,FECHA_DESGLOSEN,"&gt;="&amp;BQ$2,FECHA_DESGLOSEN,"&lt;="&amp;BQ$3,CLAVE_DESGLOSE,$A103)</f>
        <v>0</v>
      </c>
      <c r="BR103" s="13">
        <f t="shared" si="202"/>
        <v>41877.160000000003</v>
      </c>
      <c r="BS103" s="68">
        <f t="shared" si="164"/>
        <v>12374.839999999997</v>
      </c>
      <c r="BT103" s="268">
        <f t="shared" si="165"/>
        <v>0.77190075941900771</v>
      </c>
      <c r="BU103" s="13">
        <f t="shared" si="166"/>
        <v>21592</v>
      </c>
      <c r="BV103" s="13">
        <f t="shared" si="186"/>
        <v>9502.0400000000009</v>
      </c>
      <c r="BW103" s="13">
        <f t="shared" si="186"/>
        <v>0</v>
      </c>
      <c r="BX103" s="13">
        <f t="shared" si="186"/>
        <v>0</v>
      </c>
      <c r="BY103" s="13">
        <f t="shared" si="186"/>
        <v>47945.5</v>
      </c>
      <c r="BZ103" s="13">
        <f t="shared" si="203"/>
        <v>57447.539999999994</v>
      </c>
      <c r="CA103" s="68">
        <f t="shared" si="167"/>
        <v>-35855.539999999994</v>
      </c>
      <c r="CB103" s="268">
        <f t="shared" si="168"/>
        <v>2.6605937384216372</v>
      </c>
      <c r="CC103" s="13">
        <f t="shared" si="169"/>
        <v>38288</v>
      </c>
      <c r="CD103" s="13">
        <f t="shared" si="187"/>
        <v>0</v>
      </c>
      <c r="CE103" s="13">
        <f t="shared" si="187"/>
        <v>681</v>
      </c>
      <c r="CF103" s="13">
        <f t="shared" si="187"/>
        <v>0</v>
      </c>
      <c r="CG103" s="13">
        <f t="shared" si="187"/>
        <v>12805.779999999999</v>
      </c>
      <c r="CH103" s="13">
        <f t="shared" si="204"/>
        <v>13486.779999999999</v>
      </c>
      <c r="CI103" s="68">
        <f t="shared" si="170"/>
        <v>24801.22</v>
      </c>
      <c r="CJ103" s="268">
        <f t="shared" si="171"/>
        <v>0.35224561220225653</v>
      </c>
      <c r="CK103" s="13">
        <f t="shared" si="172"/>
        <v>29200</v>
      </c>
      <c r="CL103" s="13">
        <f t="shared" si="176"/>
        <v>0</v>
      </c>
      <c r="CM103" s="13">
        <f t="shared" si="176"/>
        <v>0</v>
      </c>
      <c r="CN103" s="13">
        <f t="shared" si="176"/>
        <v>0</v>
      </c>
      <c r="CO103" s="13">
        <f t="shared" si="176"/>
        <v>0</v>
      </c>
      <c r="CP103" s="13">
        <f t="shared" si="176"/>
        <v>27940</v>
      </c>
      <c r="CQ103" s="13">
        <f t="shared" si="205"/>
        <v>27940</v>
      </c>
      <c r="CR103" s="68">
        <f t="shared" si="173"/>
        <v>1260</v>
      </c>
      <c r="CS103" s="268">
        <f t="shared" si="174"/>
        <v>0.95684931506849313</v>
      </c>
      <c r="CT103" s="68">
        <f t="shared" si="147"/>
        <v>30000</v>
      </c>
      <c r="CU103" s="13">
        <f>SUMIFS(SALIDAS_BIT,FECHA_BIT,"&gt;="&amp;CU$2,FECHA_BIT,"&lt;="&amp;CU$3,CLAVE_BIT,$A103)+SUMIFS(SALIDAS_BOV1,FECHA_BOV1,"&gt;="&amp;CU$2,FECHA_BOV1,"&lt;="&amp;CU$3,CLAVE_BOV1,$A103)+SUMIFS(SALIDAS_BOV2,FECHA_BOV2,"&gt;="&amp;CU$2,FECHA_BOV2,"&lt;="&amp;CU$3,CLAVE_BOV2,$A103)+SUMIFS(SALIDAS_BOV3,FECHA_BOV3,"&gt;="&amp;CU$2,FECHA_BOV3,"&lt;="&amp;CU$3,CLAVE_BOV3,$A103)+SUMIFS(SALIDAS_TC,FECHA_TC,"&gt;="&amp;CU$2,FECHA_TC,"&lt;="&amp;CU$3,CLAVE_TC,$A103)+SUMIFS(SALIDAS_COMB,FECHA_COMB,"&gt;="&amp;CU$2,FECHA_COMB,"&lt;="&amp;CU$3,CLAVE_COMB,$A103)+SUMIFS(SALIDAS_DES,FECHA_DESGLOSEN,"&gt;="&amp;CU$2,FECHA_DESGLOSEN,"&lt;="&amp;CU$3,CLAVE_DESGLOSE,$A103)</f>
        <v>0</v>
      </c>
      <c r="CV103" s="13">
        <f>SUMIFS(SALIDAS_BIT,FECHA_BIT,"&gt;="&amp;CV$2,FECHA_BIT,"&lt;="&amp;CV$3,CLAVE_BIT,$A103)+SUMIFS(SALIDAS_BOV1,FECHA_BOV1,"&gt;="&amp;CV$2,FECHA_BOV1,"&lt;="&amp;CV$3,CLAVE_BOV1,$A103)+SUMIFS(SALIDAS_BOV2,FECHA_BOV2,"&gt;="&amp;CV$2,FECHA_BOV2,"&lt;="&amp;CV$3,CLAVE_BOV2,$A103)+SUMIFS(SALIDAS_BOV3,FECHA_BOV3,"&gt;="&amp;CV$2,FECHA_BOV3,"&lt;="&amp;CV$3,CLAVE_BOV3,$A103)+SUMIFS(SALIDAS_TC,FECHA_TC,"&gt;="&amp;CV$2,FECHA_TC,"&lt;="&amp;CV$3,CLAVE_TC,$A103)+SUMIFS(SALIDAS_COMB,FECHA_COMB,"&gt;="&amp;CV$2,FECHA_COMB,"&lt;="&amp;CV$3,CLAVE_COMB,$A103)+SUMIFS(SALIDAS_DES,FECHA_DESGLOSEN,"&gt;="&amp;CV$2,FECHA_DESGLOSEN,"&lt;="&amp;CV$3,CLAVE_DESGLOSE,$A103)</f>
        <v>0</v>
      </c>
      <c r="CW103" s="13">
        <f>SUMIFS(SALIDAS_BIT,FECHA_BIT,"&gt;="&amp;CW$2,FECHA_BIT,"&lt;="&amp;CW$3,CLAVE_BIT,$A103)+SUMIFS(SALIDAS_BOV1,FECHA_BOV1,"&gt;="&amp;CW$2,FECHA_BOV1,"&lt;="&amp;CW$3,CLAVE_BOV1,$A103)+SUMIFS(SALIDAS_BOV2,FECHA_BOV2,"&gt;="&amp;CW$2,FECHA_BOV2,"&lt;="&amp;CW$3,CLAVE_BOV2,$A103)+SUMIFS(SALIDAS_BOV3,FECHA_BOV3,"&gt;="&amp;CW$2,FECHA_BOV3,"&lt;="&amp;CW$3,CLAVE_BOV3,$A103)+SUMIFS(SALIDAS_TC,FECHA_TC,"&gt;="&amp;CW$2,FECHA_TC,"&lt;="&amp;CW$3,CLAVE_TC,$A103)+SUMIFS(SALIDAS_COMB,FECHA_COMB,"&gt;="&amp;CW$2,FECHA_COMB,"&lt;="&amp;CW$3,CLAVE_COMB,$A103)+SUMIFS(SALIDAS_DES,FECHA_DESGLOSEN,"&gt;="&amp;CW$2,FECHA_DESGLOSEN,"&lt;="&amp;CW$3,CLAVE_DESGLOSE,$A103)</f>
        <v>0</v>
      </c>
      <c r="CX103" s="13">
        <f>SUMIFS(SALIDAS_BIT,FECHA_BIT,"&gt;="&amp;CX$2,FECHA_BIT,"&lt;="&amp;CX$3,CLAVE_BIT,$A103)+SUMIFS(SALIDAS_BOV1,FECHA_BOV1,"&gt;="&amp;CX$2,FECHA_BOV1,"&lt;="&amp;CX$3,CLAVE_BOV1,$A103)+SUMIFS(SALIDAS_BOV2,FECHA_BOV2,"&gt;="&amp;CX$2,FECHA_BOV2,"&lt;="&amp;CX$3,CLAVE_BOV2,$A103)+SUMIFS(SALIDAS_BOV3,FECHA_BOV3,"&gt;="&amp;CX$2,FECHA_BOV3,"&lt;="&amp;CX$3,CLAVE_BOV3,$A103)+SUMIFS(SALIDAS_TC,FECHA_TC,"&gt;="&amp;CX$2,FECHA_TC,"&lt;="&amp;CX$3,CLAVE_TC,$A103)+SUMIFS(SALIDAS_COMB,FECHA_COMB,"&gt;="&amp;CX$2,FECHA_COMB,"&lt;="&amp;CX$3,CLAVE_COMB,$A103)+SUMIFS(SALIDAS_DES,FECHA_DESGLOSEN,"&gt;="&amp;CX$2,FECHA_DESGLOSEN,"&lt;="&amp;CX$3,CLAVE_DESGLOSE,$A103)</f>
        <v>0</v>
      </c>
      <c r="CY103" s="13">
        <f>SUMIFS(SALIDAS_BIT,FECHA_BIT,"&gt;="&amp;CY$2,FECHA_BIT,"&lt;="&amp;CY$3,CLAVE_BIT,$A103)+SUMIFS(SALIDAS_BOV1,FECHA_BOV1,"&gt;="&amp;CY$2,FECHA_BOV1,"&lt;="&amp;CY$3,CLAVE_BOV1,$A103)+SUMIFS(SALIDAS_BOV2,FECHA_BOV2,"&gt;="&amp;CY$2,FECHA_BOV2,"&lt;="&amp;CY$3,CLAVE_BOV2,$A103)+SUMIFS(SALIDAS_BOV3,FECHA_BOV3,"&gt;="&amp;CY$2,FECHA_BOV3,"&lt;="&amp;CY$3,CLAVE_BOV3,$A103)+SUMIFS(SALIDAS_TC,FECHA_TC,"&gt;="&amp;CY$2,FECHA_TC,"&lt;="&amp;CY$3,CLAVE_TC,$A103)+SUMIFS(SALIDAS_COMB,FECHA_COMB,"&gt;="&amp;CY$2,FECHA_COMB,"&lt;="&amp;CY$3,CLAVE_COMB,$A103)+SUMIFS(SALIDAS_DES,FECHA_DESGLOSEN,"&gt;="&amp;CY$2,FECHA_DESGLOSEN,"&lt;="&amp;CY$3,CLAVE_DESGLOSE,$A103)</f>
        <v>0</v>
      </c>
      <c r="CZ103" s="68">
        <f t="shared" si="175"/>
        <v>30000</v>
      </c>
      <c r="DB103" s="17">
        <f>F103+N103+W103+AE103+AM103+AV103+BD103+BL103+BU103+CC103+CK103</f>
        <v>423989</v>
      </c>
      <c r="DC103" s="17">
        <f>K103+T103+AB103+AJ103+AS103+BA103+BI103+BR103+BZ103+CH103+CQ103</f>
        <v>299410.67000000004</v>
      </c>
    </row>
    <row r="104" spans="1:107" hidden="1">
      <c r="A104" s="12" t="str">
        <f t="shared" si="148"/>
        <v>SERVICIOSALARMASUCURSALES HR</v>
      </c>
      <c r="B104" s="12">
        <v>106</v>
      </c>
      <c r="C104" t="s">
        <v>21</v>
      </c>
      <c r="D104" s="12" t="s">
        <v>25</v>
      </c>
      <c r="E104" s="12" t="s">
        <v>26</v>
      </c>
      <c r="F104" s="259">
        <f t="shared" si="141"/>
        <v>5600</v>
      </c>
      <c r="G104" s="13">
        <f t="shared" si="197"/>
        <v>0</v>
      </c>
      <c r="H104" s="13">
        <f t="shared" si="197"/>
        <v>0</v>
      </c>
      <c r="I104" s="13">
        <f t="shared" si="197"/>
        <v>0</v>
      </c>
      <c r="J104" s="13">
        <f t="shared" si="197"/>
        <v>2850</v>
      </c>
      <c r="K104" s="13">
        <f t="shared" si="197"/>
        <v>2850</v>
      </c>
      <c r="L104" s="68">
        <f t="shared" si="149"/>
        <v>2750</v>
      </c>
      <c r="M104" s="268">
        <f t="shared" si="150"/>
        <v>0.5089285714285714</v>
      </c>
      <c r="N104" s="13">
        <f t="shared" si="142"/>
        <v>5600</v>
      </c>
      <c r="O104" s="13">
        <f t="shared" si="198"/>
        <v>0</v>
      </c>
      <c r="P104" s="13">
        <f t="shared" si="198"/>
        <v>9950</v>
      </c>
      <c r="Q104" s="13">
        <f t="shared" si="198"/>
        <v>0</v>
      </c>
      <c r="R104" s="13">
        <f t="shared" si="198"/>
        <v>0</v>
      </c>
      <c r="S104" s="13">
        <f t="shared" si="198"/>
        <v>0</v>
      </c>
      <c r="T104" s="13">
        <f t="shared" si="198"/>
        <v>9950</v>
      </c>
      <c r="U104" s="68">
        <f t="shared" si="151"/>
        <v>-4350</v>
      </c>
      <c r="V104" s="268">
        <f t="shared" si="152"/>
        <v>1.7767857142857142</v>
      </c>
      <c r="W104" s="13">
        <f t="shared" si="143"/>
        <v>5600</v>
      </c>
      <c r="X104" s="13">
        <f t="shared" si="199"/>
        <v>5600</v>
      </c>
      <c r="Y104" s="13">
        <f t="shared" si="199"/>
        <v>0</v>
      </c>
      <c r="Z104" s="13">
        <f t="shared" si="199"/>
        <v>0</v>
      </c>
      <c r="AA104" s="13">
        <f t="shared" si="199"/>
        <v>0</v>
      </c>
      <c r="AB104" s="13">
        <f t="shared" si="199"/>
        <v>5600</v>
      </c>
      <c r="AC104" s="68">
        <f t="shared" si="153"/>
        <v>0</v>
      </c>
      <c r="AD104" s="268">
        <f t="shared" si="154"/>
        <v>1</v>
      </c>
      <c r="AE104" s="13">
        <f t="shared" si="144"/>
        <v>5600</v>
      </c>
      <c r="AF104" s="13">
        <f t="shared" si="200"/>
        <v>0</v>
      </c>
      <c r="AG104" s="13">
        <f t="shared" si="200"/>
        <v>0</v>
      </c>
      <c r="AH104" s="13">
        <f t="shared" si="200"/>
        <v>0</v>
      </c>
      <c r="AI104" s="13">
        <f t="shared" si="200"/>
        <v>5600.02</v>
      </c>
      <c r="AJ104" s="13">
        <f t="shared" si="200"/>
        <v>5600.02</v>
      </c>
      <c r="AK104" s="68">
        <f t="shared" si="155"/>
        <v>-2.0000000000436557E-2</v>
      </c>
      <c r="AL104" s="268">
        <f t="shared" si="156"/>
        <v>1.0000035714285715</v>
      </c>
      <c r="AM104" s="13">
        <f t="shared" si="145"/>
        <v>5600</v>
      </c>
      <c r="AN104" s="13">
        <f t="shared" si="201"/>
        <v>0</v>
      </c>
      <c r="AO104" s="13">
        <f t="shared" si="201"/>
        <v>0</v>
      </c>
      <c r="AP104" s="13">
        <f t="shared" si="201"/>
        <v>0</v>
      </c>
      <c r="AQ104" s="13">
        <f t="shared" si="201"/>
        <v>0</v>
      </c>
      <c r="AR104" s="13">
        <f t="shared" si="201"/>
        <v>5600</v>
      </c>
      <c r="AS104" s="13">
        <f t="shared" si="201"/>
        <v>5600</v>
      </c>
      <c r="AT104" s="68">
        <f>AM104-AS104</f>
        <v>0</v>
      </c>
      <c r="AU104" s="268">
        <f t="shared" si="157"/>
        <v>1</v>
      </c>
      <c r="AV104" s="13">
        <f t="shared" si="146"/>
        <v>5600</v>
      </c>
      <c r="AW104" s="13">
        <f t="shared" si="119"/>
        <v>0</v>
      </c>
      <c r="AX104" s="13">
        <f t="shared" si="119"/>
        <v>6410.01</v>
      </c>
      <c r="AY104" s="13">
        <f t="shared" si="119"/>
        <v>0</v>
      </c>
      <c r="AZ104" s="13">
        <f t="shared" si="119"/>
        <v>0</v>
      </c>
      <c r="BA104" s="13">
        <f t="shared" si="120"/>
        <v>6410.01</v>
      </c>
      <c r="BB104" s="68">
        <f t="shared" si="158"/>
        <v>-810.01000000000022</v>
      </c>
      <c r="BC104" s="268">
        <f t="shared" si="159"/>
        <v>1.1446446428571428</v>
      </c>
      <c r="BD104" s="13">
        <f t="shared" si="160"/>
        <v>5600</v>
      </c>
      <c r="BE104" s="13">
        <f>SUMIFS(SALIDAS_BIT,FECHA_BIT,"&gt;="&amp;BE$2,FECHA_BIT,"&lt;="&amp;BE$3,CLAVE_BIT,$A104)+SUMIFS(SALIDAS_BOV1,FECHA_BOV1,"&gt;="&amp;BE$2,FECHA_BOV1,"&lt;="&amp;BE$3,CLAVE_BOV1,$A104)+SUMIFS(SALIDAS_BOV2,FECHA_BOV2,"&gt;="&amp;BE$2,FECHA_BOV2,"&lt;="&amp;BE$3,CLAVE_BOV2,$A104)+SUMIFS(SALIDAS_BOV3,FECHA_BOV3,"&gt;="&amp;BE$2,FECHA_BOV3,"&lt;="&amp;BE$3,CLAVE_BOV3,$A104)+SUMIFS(SALIDAS_TC,FECHA_TC,"&gt;="&amp;BE$2,FECHA_TC,"&lt;="&amp;BE$3,CLAVE_TC,$A104)+SUMIFS(SALIDAS_COMB,FECHA_COMB,"&gt;="&amp;BE$2,FECHA_COMB,"&lt;="&amp;BE$3,CLAVE_COMB,$A104)+SUMIFS(SALIDAS_DES,FECHA_DESGLOSEN,"&gt;="&amp;BE$2,FECHA_DESGLOSEN,"&lt;="&amp;BE$3,CLAVE_DESGLOSE,$A104)</f>
        <v>5600</v>
      </c>
      <c r="BF104" s="13">
        <f>SUMIFS(SALIDAS_BIT,FECHA_BIT,"&gt;="&amp;BF$2,FECHA_BIT,"&lt;="&amp;BF$3,CLAVE_BIT,$A104)+SUMIFS(SALIDAS_BOV1,FECHA_BOV1,"&gt;="&amp;BF$2,FECHA_BOV1,"&lt;="&amp;BF$3,CLAVE_BOV1,$A104)+SUMIFS(SALIDAS_BOV2,FECHA_BOV2,"&gt;="&amp;BF$2,FECHA_BOV2,"&lt;="&amp;BF$3,CLAVE_BOV2,$A104)+SUMIFS(SALIDAS_BOV3,FECHA_BOV3,"&gt;="&amp;BF$2,FECHA_BOV3,"&lt;="&amp;BF$3,CLAVE_BOV3,$A104)+SUMIFS(SALIDAS_TC,FECHA_TC,"&gt;="&amp;BF$2,FECHA_TC,"&lt;="&amp;BF$3,CLAVE_TC,$A104)+SUMIFS(SALIDAS_COMB,FECHA_COMB,"&gt;="&amp;BF$2,FECHA_COMB,"&lt;="&amp;BF$3,CLAVE_COMB,$A104)+SUMIFS(SALIDAS_DES,FECHA_DESGLOSEN,"&gt;="&amp;BF$2,FECHA_DESGLOSEN,"&lt;="&amp;BF$3,CLAVE_DESGLOSE,$A104)</f>
        <v>5600</v>
      </c>
      <c r="BG104" s="13">
        <f>SUMIFS(SALIDAS_BIT,FECHA_BIT,"&gt;="&amp;BG$2,FECHA_BIT,"&lt;="&amp;BG$3,CLAVE_BIT,$A104)+SUMIFS(SALIDAS_BOV1,FECHA_BOV1,"&gt;="&amp;BG$2,FECHA_BOV1,"&lt;="&amp;BG$3,CLAVE_BOV1,$A104)+SUMIFS(SALIDAS_BOV2,FECHA_BOV2,"&gt;="&amp;BG$2,FECHA_BOV2,"&lt;="&amp;BG$3,CLAVE_BOV2,$A104)+SUMIFS(SALIDAS_BOV3,FECHA_BOV3,"&gt;="&amp;BG$2,FECHA_BOV3,"&lt;="&amp;BG$3,CLAVE_BOV3,$A104)+SUMIFS(SALIDAS_TC,FECHA_TC,"&gt;="&amp;BG$2,FECHA_TC,"&lt;="&amp;BG$3,CLAVE_TC,$A104)+SUMIFS(SALIDAS_COMB,FECHA_COMB,"&gt;="&amp;BG$2,FECHA_COMB,"&lt;="&amp;BG$3,CLAVE_COMB,$A104)+SUMIFS(SALIDAS_DES,FECHA_DESGLOSEN,"&gt;="&amp;BG$2,FECHA_DESGLOSEN,"&lt;="&amp;BG$3,CLAVE_DESGLOSE,$A104)</f>
        <v>0</v>
      </c>
      <c r="BH104" s="13">
        <f>SUMIFS(SALIDAS_BIT,FECHA_BIT,"&gt;="&amp;BH$2,FECHA_BIT,"&lt;="&amp;BH$3,CLAVE_BIT,$A104)+SUMIFS(SALIDAS_BOV1,FECHA_BOV1,"&gt;="&amp;BH$2,FECHA_BOV1,"&lt;="&amp;BH$3,CLAVE_BOV1,$A104)+SUMIFS(SALIDAS_BOV2,FECHA_BOV2,"&gt;="&amp;BH$2,FECHA_BOV2,"&lt;="&amp;BH$3,CLAVE_BOV2,$A104)+SUMIFS(SALIDAS_BOV3,FECHA_BOV3,"&gt;="&amp;BH$2,FECHA_BOV3,"&lt;="&amp;BH$3,CLAVE_BOV3,$A104)+SUMIFS(SALIDAS_TC,FECHA_TC,"&gt;="&amp;BH$2,FECHA_TC,"&lt;="&amp;BH$3,CLAVE_TC,$A104)+SUMIFS(SALIDAS_COMB,FECHA_COMB,"&gt;="&amp;BH$2,FECHA_COMB,"&lt;="&amp;BH$3,CLAVE_COMB,$A104)+SUMIFS(SALIDAS_DES,FECHA_DESGLOSEN,"&gt;="&amp;BH$2,FECHA_DESGLOSEN,"&lt;="&amp;BH$3,CLAVE_DESGLOSE,$A104)</f>
        <v>0</v>
      </c>
      <c r="BI104" s="13">
        <f t="shared" si="121"/>
        <v>11200</v>
      </c>
      <c r="BJ104" s="68">
        <f t="shared" si="161"/>
        <v>-5600</v>
      </c>
      <c r="BK104" s="268">
        <f t="shared" si="162"/>
        <v>2</v>
      </c>
      <c r="BL104" s="13">
        <f t="shared" si="163"/>
        <v>5600</v>
      </c>
      <c r="BM104" s="13">
        <f>SUMIFS(SALIDAS_BIT,FECHA_BIT,"&gt;="&amp;BM$2,FECHA_BIT,"&lt;="&amp;BM$3,CLAVE_BIT,$A104)+SUMIFS(SALIDAS_BOV1,FECHA_BOV1,"&gt;="&amp;BM$2,FECHA_BOV1,"&lt;="&amp;BM$3,CLAVE_BOV1,$A104)+SUMIFS(SALIDAS_BOV2,FECHA_BOV2,"&gt;="&amp;BM$2,FECHA_BOV2,"&lt;="&amp;BM$3,CLAVE_BOV2,$A104)+SUMIFS(SALIDAS_BOV3,FECHA_BOV3,"&gt;="&amp;BM$2,FECHA_BOV3,"&lt;="&amp;BM$3,CLAVE_BOV3,$A104)+SUMIFS(SALIDAS_TC,FECHA_TC,"&gt;="&amp;BM$2,FECHA_TC,"&lt;="&amp;BM$3,CLAVE_TC,$A104)+SUMIFS(SALIDAS_COMB,FECHA_COMB,"&gt;="&amp;BM$2,FECHA_COMB,"&lt;="&amp;BM$3,CLAVE_COMB,$A104)+SUMIFS(SALIDAS_DES,FECHA_DESGLOSEN,"&gt;="&amp;BM$2,FECHA_DESGLOSEN,"&lt;="&amp;BM$3,CLAVE_DESGLOSE,$A104)</f>
        <v>0</v>
      </c>
      <c r="BN104" s="13">
        <f>SUMIFS(SALIDAS_BIT,FECHA_BIT,"&gt;="&amp;BN$2,FECHA_BIT,"&lt;="&amp;BN$3,CLAVE_BIT,$A104)+SUMIFS(SALIDAS_BOV1,FECHA_BOV1,"&gt;="&amp;BN$2,FECHA_BOV1,"&lt;="&amp;BN$3,CLAVE_BOV1,$A104)+SUMIFS(SALIDAS_BOV2,FECHA_BOV2,"&gt;="&amp;BN$2,FECHA_BOV2,"&lt;="&amp;BN$3,CLAVE_BOV2,$A104)+SUMIFS(SALIDAS_BOV3,FECHA_BOV3,"&gt;="&amp;BN$2,FECHA_BOV3,"&lt;="&amp;BN$3,CLAVE_BOV3,$A104)+SUMIFS(SALIDAS_TC,FECHA_TC,"&gt;="&amp;BN$2,FECHA_TC,"&lt;="&amp;BN$3,CLAVE_TC,$A104)+SUMIFS(SALIDAS_COMB,FECHA_COMB,"&gt;="&amp;BN$2,FECHA_COMB,"&lt;="&amp;BN$3,CLAVE_COMB,$A104)+SUMIFS(SALIDAS_DES,FECHA_DESGLOSEN,"&gt;="&amp;BN$2,FECHA_DESGLOSEN,"&lt;="&amp;BN$3,CLAVE_DESGLOSE,$A104)</f>
        <v>0</v>
      </c>
      <c r="BO104" s="13">
        <f>SUMIFS(SALIDAS_BIT,FECHA_BIT,"&gt;="&amp;BO$2,FECHA_BIT,"&lt;="&amp;BO$3,CLAVE_BIT,$A104)+SUMIFS(SALIDAS_BOV1,FECHA_BOV1,"&gt;="&amp;BO$2,FECHA_BOV1,"&lt;="&amp;BO$3,CLAVE_BOV1,$A104)+SUMIFS(SALIDAS_BOV2,FECHA_BOV2,"&gt;="&amp;BO$2,FECHA_BOV2,"&lt;="&amp;BO$3,CLAVE_BOV2,$A104)+SUMIFS(SALIDAS_BOV3,FECHA_BOV3,"&gt;="&amp;BO$2,FECHA_BOV3,"&lt;="&amp;BO$3,CLAVE_BOV3,$A104)+SUMIFS(SALIDAS_TC,FECHA_TC,"&gt;="&amp;BO$2,FECHA_TC,"&lt;="&amp;BO$3,CLAVE_TC,$A104)+SUMIFS(SALIDAS_COMB,FECHA_COMB,"&gt;="&amp;BO$2,FECHA_COMB,"&lt;="&amp;BO$3,CLAVE_COMB,$A104)+SUMIFS(SALIDAS_DES,FECHA_DESGLOSEN,"&gt;="&amp;BO$2,FECHA_DESGLOSEN,"&lt;="&amp;BO$3,CLAVE_DESGLOSE,$A104)</f>
        <v>6200</v>
      </c>
      <c r="BP104" s="13">
        <f>SUMIFS(SALIDAS_BIT,FECHA_BIT,"&gt;="&amp;BP$2,FECHA_BIT,"&lt;="&amp;BP$3,CLAVE_BIT,$A104)+SUMIFS(SALIDAS_BOV1,FECHA_BOV1,"&gt;="&amp;BP$2,FECHA_BOV1,"&lt;="&amp;BP$3,CLAVE_BOV1,$A104)+SUMIFS(SALIDAS_BOV2,FECHA_BOV2,"&gt;="&amp;BP$2,FECHA_BOV2,"&lt;="&amp;BP$3,CLAVE_BOV2,$A104)+SUMIFS(SALIDAS_BOV3,FECHA_BOV3,"&gt;="&amp;BP$2,FECHA_BOV3,"&lt;="&amp;BP$3,CLAVE_BOV3,$A104)+SUMIFS(SALIDAS_TC,FECHA_TC,"&gt;="&amp;BP$2,FECHA_TC,"&lt;="&amp;BP$3,CLAVE_TC,$A104)+SUMIFS(SALIDAS_COMB,FECHA_COMB,"&gt;="&amp;BP$2,FECHA_COMB,"&lt;="&amp;BP$3,CLAVE_COMB,$A104)+SUMIFS(SALIDAS_DES,FECHA_DESGLOSEN,"&gt;="&amp;BP$2,FECHA_DESGLOSEN,"&lt;="&amp;BP$3,CLAVE_DESGLOSE,$A104)</f>
        <v>0</v>
      </c>
      <c r="BQ104" s="13">
        <f>SUMIFS(SALIDAS_BIT,FECHA_BIT,"&gt;="&amp;BQ$2,FECHA_BIT,"&lt;="&amp;BQ$3,CLAVE_BIT,$A104)+SUMIFS(SALIDAS_BOV1,FECHA_BOV1,"&gt;="&amp;BQ$2,FECHA_BOV1,"&lt;="&amp;BQ$3,CLAVE_BOV1,$A104)+SUMIFS(SALIDAS_BOV2,FECHA_BOV2,"&gt;="&amp;BQ$2,FECHA_BOV2,"&lt;="&amp;BQ$3,CLAVE_BOV2,$A104)+SUMIFS(SALIDAS_BOV3,FECHA_BOV3,"&gt;="&amp;BQ$2,FECHA_BOV3,"&lt;="&amp;BQ$3,CLAVE_BOV3,$A104)+SUMIFS(SALIDAS_TC,FECHA_TC,"&gt;="&amp;BQ$2,FECHA_TC,"&lt;="&amp;BQ$3,CLAVE_TC,$A104)+SUMIFS(SALIDAS_COMB,FECHA_COMB,"&gt;="&amp;BQ$2,FECHA_COMB,"&lt;="&amp;BQ$3,CLAVE_COMB,$A104)+SUMIFS(SALIDAS_DES,FECHA_DESGLOSEN,"&gt;="&amp;BQ$2,FECHA_DESGLOSEN,"&lt;="&amp;BQ$3,CLAVE_DESGLOSE,$A104)</f>
        <v>0</v>
      </c>
      <c r="BR104" s="13">
        <f t="shared" si="202"/>
        <v>6200</v>
      </c>
      <c r="BS104" s="68">
        <f t="shared" si="164"/>
        <v>-600</v>
      </c>
      <c r="BT104" s="268">
        <f t="shared" si="165"/>
        <v>1.1071428571428572</v>
      </c>
      <c r="BU104" s="13">
        <f t="shared" si="166"/>
        <v>5600</v>
      </c>
      <c r="BV104" s="13">
        <f t="shared" si="186"/>
        <v>0</v>
      </c>
      <c r="BW104" s="13">
        <f t="shared" si="186"/>
        <v>0</v>
      </c>
      <c r="BX104" s="13">
        <f t="shared" si="186"/>
        <v>5889.67</v>
      </c>
      <c r="BY104" s="13">
        <f t="shared" si="186"/>
        <v>0</v>
      </c>
      <c r="BZ104" s="13">
        <f t="shared" si="203"/>
        <v>5889.67</v>
      </c>
      <c r="CA104" s="68">
        <f t="shared" si="167"/>
        <v>-289.67000000000007</v>
      </c>
      <c r="CB104" s="268">
        <f t="shared" si="168"/>
        <v>1.0517267857142858</v>
      </c>
      <c r="CC104" s="13">
        <f t="shared" si="169"/>
        <v>5600</v>
      </c>
      <c r="CD104" s="13">
        <f t="shared" si="187"/>
        <v>5885.9</v>
      </c>
      <c r="CE104" s="13">
        <f t="shared" si="187"/>
        <v>0</v>
      </c>
      <c r="CF104" s="13">
        <f t="shared" si="187"/>
        <v>0</v>
      </c>
      <c r="CG104" s="13">
        <f t="shared" si="187"/>
        <v>0</v>
      </c>
      <c r="CH104" s="13">
        <f t="shared" si="204"/>
        <v>5885.9</v>
      </c>
      <c r="CI104" s="68">
        <f t="shared" si="170"/>
        <v>-285.89999999999964</v>
      </c>
      <c r="CJ104" s="268">
        <f t="shared" si="171"/>
        <v>1.0510535714285714</v>
      </c>
      <c r="CK104" s="13">
        <f t="shared" si="172"/>
        <v>5600</v>
      </c>
      <c r="CL104" s="13">
        <f t="shared" si="176"/>
        <v>0</v>
      </c>
      <c r="CM104" s="13">
        <f t="shared" si="176"/>
        <v>0</v>
      </c>
      <c r="CN104" s="13">
        <f t="shared" si="176"/>
        <v>0</v>
      </c>
      <c r="CO104" s="13">
        <f t="shared" si="176"/>
        <v>0</v>
      </c>
      <c r="CP104" s="13">
        <f t="shared" si="176"/>
        <v>5539.67</v>
      </c>
      <c r="CQ104" s="13">
        <f t="shared" si="205"/>
        <v>5539.67</v>
      </c>
      <c r="CR104" s="68">
        <f t="shared" si="173"/>
        <v>60.329999999999927</v>
      </c>
      <c r="CS104" s="268">
        <f t="shared" si="174"/>
        <v>0.98922678571428568</v>
      </c>
      <c r="CT104" s="68">
        <f t="shared" si="147"/>
        <v>5600</v>
      </c>
      <c r="CU104" s="13">
        <f>SUMIFS(SALIDAS_BIT,FECHA_BIT,"&gt;="&amp;CU$2,FECHA_BIT,"&lt;="&amp;CU$3,CLAVE_BIT,$A104)+SUMIFS(SALIDAS_BOV1,FECHA_BOV1,"&gt;="&amp;CU$2,FECHA_BOV1,"&lt;="&amp;CU$3,CLAVE_BOV1,$A104)+SUMIFS(SALIDAS_BOV2,FECHA_BOV2,"&gt;="&amp;CU$2,FECHA_BOV2,"&lt;="&amp;CU$3,CLAVE_BOV2,$A104)+SUMIFS(SALIDAS_BOV3,FECHA_BOV3,"&gt;="&amp;CU$2,FECHA_BOV3,"&lt;="&amp;CU$3,CLAVE_BOV3,$A104)+SUMIFS(SALIDAS_TC,FECHA_TC,"&gt;="&amp;CU$2,FECHA_TC,"&lt;="&amp;CU$3,CLAVE_TC,$A104)+SUMIFS(SALIDAS_COMB,FECHA_COMB,"&gt;="&amp;CU$2,FECHA_COMB,"&lt;="&amp;CU$3,CLAVE_COMB,$A104)+SUMIFS(SALIDAS_DES,FECHA_DESGLOSEN,"&gt;="&amp;CU$2,FECHA_DESGLOSEN,"&lt;="&amp;CU$3,CLAVE_DESGLOSE,$A104)</f>
        <v>0</v>
      </c>
      <c r="CV104" s="13">
        <f>SUMIFS(SALIDAS_BIT,FECHA_BIT,"&gt;="&amp;CV$2,FECHA_BIT,"&lt;="&amp;CV$3,CLAVE_BIT,$A104)+SUMIFS(SALIDAS_BOV1,FECHA_BOV1,"&gt;="&amp;CV$2,FECHA_BOV1,"&lt;="&amp;CV$3,CLAVE_BOV1,$A104)+SUMIFS(SALIDAS_BOV2,FECHA_BOV2,"&gt;="&amp;CV$2,FECHA_BOV2,"&lt;="&amp;CV$3,CLAVE_BOV2,$A104)+SUMIFS(SALIDAS_BOV3,FECHA_BOV3,"&gt;="&amp;CV$2,FECHA_BOV3,"&lt;="&amp;CV$3,CLAVE_BOV3,$A104)+SUMIFS(SALIDAS_TC,FECHA_TC,"&gt;="&amp;CV$2,FECHA_TC,"&lt;="&amp;CV$3,CLAVE_TC,$A104)+SUMIFS(SALIDAS_COMB,FECHA_COMB,"&gt;="&amp;CV$2,FECHA_COMB,"&lt;="&amp;CV$3,CLAVE_COMB,$A104)+SUMIFS(SALIDAS_DES,FECHA_DESGLOSEN,"&gt;="&amp;CV$2,FECHA_DESGLOSEN,"&lt;="&amp;CV$3,CLAVE_DESGLOSE,$A104)</f>
        <v>5539.67</v>
      </c>
      <c r="CW104" s="13">
        <f>SUMIFS(SALIDAS_BIT,FECHA_BIT,"&gt;="&amp;CW$2,FECHA_BIT,"&lt;="&amp;CW$3,CLAVE_BIT,$A104)+SUMIFS(SALIDAS_BOV1,FECHA_BOV1,"&gt;="&amp;CW$2,FECHA_BOV1,"&lt;="&amp;CW$3,CLAVE_BOV1,$A104)+SUMIFS(SALIDAS_BOV2,FECHA_BOV2,"&gt;="&amp;CW$2,FECHA_BOV2,"&lt;="&amp;CW$3,CLAVE_BOV2,$A104)+SUMIFS(SALIDAS_BOV3,FECHA_BOV3,"&gt;="&amp;CW$2,FECHA_BOV3,"&lt;="&amp;CW$3,CLAVE_BOV3,$A104)+SUMIFS(SALIDAS_TC,FECHA_TC,"&gt;="&amp;CW$2,FECHA_TC,"&lt;="&amp;CW$3,CLAVE_TC,$A104)+SUMIFS(SALIDAS_COMB,FECHA_COMB,"&gt;="&amp;CW$2,FECHA_COMB,"&lt;="&amp;CW$3,CLAVE_COMB,$A104)+SUMIFS(SALIDAS_DES,FECHA_DESGLOSEN,"&gt;="&amp;CW$2,FECHA_DESGLOSEN,"&lt;="&amp;CW$3,CLAVE_DESGLOSE,$A104)</f>
        <v>0</v>
      </c>
      <c r="CX104" s="13">
        <f>SUMIFS(SALIDAS_BIT,FECHA_BIT,"&gt;="&amp;CX$2,FECHA_BIT,"&lt;="&amp;CX$3,CLAVE_BIT,$A104)+SUMIFS(SALIDAS_BOV1,FECHA_BOV1,"&gt;="&amp;CX$2,FECHA_BOV1,"&lt;="&amp;CX$3,CLAVE_BOV1,$A104)+SUMIFS(SALIDAS_BOV2,FECHA_BOV2,"&gt;="&amp;CX$2,FECHA_BOV2,"&lt;="&amp;CX$3,CLAVE_BOV2,$A104)+SUMIFS(SALIDAS_BOV3,FECHA_BOV3,"&gt;="&amp;CX$2,FECHA_BOV3,"&lt;="&amp;CX$3,CLAVE_BOV3,$A104)+SUMIFS(SALIDAS_TC,FECHA_TC,"&gt;="&amp;CX$2,FECHA_TC,"&lt;="&amp;CX$3,CLAVE_TC,$A104)+SUMIFS(SALIDAS_COMB,FECHA_COMB,"&gt;="&amp;CX$2,FECHA_COMB,"&lt;="&amp;CX$3,CLAVE_COMB,$A104)+SUMIFS(SALIDAS_DES,FECHA_DESGLOSEN,"&gt;="&amp;CX$2,FECHA_DESGLOSEN,"&lt;="&amp;CX$3,CLAVE_DESGLOSE,$A104)</f>
        <v>0</v>
      </c>
      <c r="CY104" s="13">
        <f>SUMIFS(SALIDAS_BIT,FECHA_BIT,"&gt;="&amp;CY$2,FECHA_BIT,"&lt;="&amp;CY$3,CLAVE_BIT,$A104)+SUMIFS(SALIDAS_BOV1,FECHA_BOV1,"&gt;="&amp;CY$2,FECHA_BOV1,"&lt;="&amp;CY$3,CLAVE_BOV1,$A104)+SUMIFS(SALIDAS_BOV2,FECHA_BOV2,"&gt;="&amp;CY$2,FECHA_BOV2,"&lt;="&amp;CY$3,CLAVE_BOV2,$A104)+SUMIFS(SALIDAS_BOV3,FECHA_BOV3,"&gt;="&amp;CY$2,FECHA_BOV3,"&lt;="&amp;CY$3,CLAVE_BOV3,$A104)+SUMIFS(SALIDAS_TC,FECHA_TC,"&gt;="&amp;CY$2,FECHA_TC,"&lt;="&amp;CY$3,CLAVE_TC,$A104)+SUMIFS(SALIDAS_COMB,FECHA_COMB,"&gt;="&amp;CY$2,FECHA_COMB,"&lt;="&amp;CY$3,CLAVE_COMB,$A104)+SUMIFS(SALIDAS_DES,FECHA_DESGLOSEN,"&gt;="&amp;CY$2,FECHA_DESGLOSEN,"&lt;="&amp;CY$3,CLAVE_DESGLOSE,$A104)</f>
        <v>5539.67</v>
      </c>
      <c r="CZ104" s="68">
        <f t="shared" si="175"/>
        <v>60.329999999999927</v>
      </c>
      <c r="DB104" s="17">
        <f>F104+N104+W104+AE104+AM104+AV104+BD104+BL104+BU104+CC104+CK104</f>
        <v>61600</v>
      </c>
      <c r="DC104" s="17">
        <f>K104+T104+AB104+AJ104+AS104+BA104+BI104+BR104+BZ104+CH104+CQ104</f>
        <v>70725.27</v>
      </c>
    </row>
    <row r="105" spans="1:107" hidden="1">
      <c r="A105" s="12" t="str">
        <f t="shared" si="148"/>
        <v>SERVICIOSALARMASUCURSALES CAPRICHOS</v>
      </c>
      <c r="B105" s="12">
        <v>107</v>
      </c>
      <c r="C105" t="s">
        <v>21</v>
      </c>
      <c r="D105" s="12" t="s">
        <v>25</v>
      </c>
      <c r="E105" s="12" t="s">
        <v>27</v>
      </c>
      <c r="F105" s="259">
        <f t="shared" si="141"/>
        <v>1250</v>
      </c>
      <c r="G105" s="13">
        <f t="shared" si="197"/>
        <v>386.4</v>
      </c>
      <c r="H105" s="13">
        <f t="shared" si="197"/>
        <v>0</v>
      </c>
      <c r="I105" s="13">
        <f t="shared" si="197"/>
        <v>0</v>
      </c>
      <c r="J105" s="13">
        <f t="shared" si="197"/>
        <v>840</v>
      </c>
      <c r="K105" s="13">
        <f t="shared" si="197"/>
        <v>1226.4000000000001</v>
      </c>
      <c r="L105" s="68">
        <f t="shared" si="149"/>
        <v>23.599999999999909</v>
      </c>
      <c r="M105" s="268">
        <f t="shared" si="150"/>
        <v>0.9811200000000001</v>
      </c>
      <c r="N105" s="13">
        <f t="shared" si="142"/>
        <v>1250</v>
      </c>
      <c r="O105" s="13">
        <f t="shared" si="198"/>
        <v>386.4</v>
      </c>
      <c r="P105" s="13">
        <f t="shared" si="198"/>
        <v>0</v>
      </c>
      <c r="Q105" s="13">
        <f t="shared" si="198"/>
        <v>0</v>
      </c>
      <c r="R105" s="13">
        <f t="shared" si="198"/>
        <v>0</v>
      </c>
      <c r="S105" s="13">
        <f t="shared" si="198"/>
        <v>0</v>
      </c>
      <c r="T105" s="13">
        <f t="shared" si="198"/>
        <v>386.4</v>
      </c>
      <c r="U105" s="68">
        <f t="shared" si="151"/>
        <v>863.6</v>
      </c>
      <c r="V105" s="268">
        <f t="shared" si="152"/>
        <v>0.30912000000000001</v>
      </c>
      <c r="W105" s="13">
        <f t="shared" si="143"/>
        <v>1250</v>
      </c>
      <c r="X105" s="13">
        <f t="shared" si="199"/>
        <v>386.4</v>
      </c>
      <c r="Y105" s="13">
        <f t="shared" si="199"/>
        <v>0</v>
      </c>
      <c r="Z105" s="13">
        <f t="shared" si="199"/>
        <v>0</v>
      </c>
      <c r="AA105" s="13">
        <f t="shared" si="199"/>
        <v>0</v>
      </c>
      <c r="AB105" s="13">
        <f t="shared" si="199"/>
        <v>386.4</v>
      </c>
      <c r="AC105" s="68">
        <f t="shared" si="153"/>
        <v>863.6</v>
      </c>
      <c r="AD105" s="268">
        <f t="shared" si="154"/>
        <v>0.30912000000000001</v>
      </c>
      <c r="AE105" s="13">
        <f t="shared" si="144"/>
        <v>1250</v>
      </c>
      <c r="AF105" s="13">
        <f t="shared" si="200"/>
        <v>0</v>
      </c>
      <c r="AG105" s="13">
        <f t="shared" si="200"/>
        <v>0</v>
      </c>
      <c r="AH105" s="13">
        <f t="shared" si="200"/>
        <v>0</v>
      </c>
      <c r="AI105" s="13">
        <f t="shared" si="200"/>
        <v>2520</v>
      </c>
      <c r="AJ105" s="13">
        <f t="shared" si="200"/>
        <v>2520</v>
      </c>
      <c r="AK105" s="68">
        <f t="shared" si="155"/>
        <v>-1270</v>
      </c>
      <c r="AL105" s="268">
        <f t="shared" si="156"/>
        <v>2.016</v>
      </c>
      <c r="AM105" s="13">
        <f t="shared" si="145"/>
        <v>1250</v>
      </c>
      <c r="AN105" s="13">
        <f t="shared" si="201"/>
        <v>386.4</v>
      </c>
      <c r="AO105" s="13">
        <f t="shared" si="201"/>
        <v>450</v>
      </c>
      <c r="AP105" s="13">
        <f t="shared" si="201"/>
        <v>386.4</v>
      </c>
      <c r="AQ105" s="13">
        <f t="shared" si="201"/>
        <v>0</v>
      </c>
      <c r="AR105" s="13">
        <f t="shared" si="201"/>
        <v>0</v>
      </c>
      <c r="AS105" s="13">
        <f t="shared" si="201"/>
        <v>1222.8</v>
      </c>
      <c r="AT105" s="68">
        <f>AM105-AS105</f>
        <v>27.200000000000045</v>
      </c>
      <c r="AU105" s="268">
        <f t="shared" si="157"/>
        <v>0.97824</v>
      </c>
      <c r="AV105" s="13">
        <f t="shared" si="146"/>
        <v>1250</v>
      </c>
      <c r="AW105" s="13">
        <f t="shared" si="119"/>
        <v>386.4</v>
      </c>
      <c r="AX105" s="13">
        <f t="shared" si="119"/>
        <v>840</v>
      </c>
      <c r="AY105" s="13">
        <f t="shared" si="119"/>
        <v>0</v>
      </c>
      <c r="AZ105" s="13">
        <f t="shared" si="119"/>
        <v>840</v>
      </c>
      <c r="BA105" s="13">
        <f t="shared" si="120"/>
        <v>2066.4</v>
      </c>
      <c r="BB105" s="68">
        <f t="shared" si="158"/>
        <v>-816.40000000000009</v>
      </c>
      <c r="BC105" s="268">
        <f t="shared" si="159"/>
        <v>1.6531200000000001</v>
      </c>
      <c r="BD105" s="13">
        <f t="shared" si="160"/>
        <v>1250</v>
      </c>
      <c r="BE105" s="13">
        <f>SUMIFS(SALIDAS_BIT,FECHA_BIT,"&gt;="&amp;BE$2,FECHA_BIT,"&lt;="&amp;BE$3,CLAVE_BIT,$A105)+SUMIFS(SALIDAS_BOV1,FECHA_BOV1,"&gt;="&amp;BE$2,FECHA_BOV1,"&lt;="&amp;BE$3,CLAVE_BOV1,$A105)+SUMIFS(SALIDAS_BOV2,FECHA_BOV2,"&gt;="&amp;BE$2,FECHA_BOV2,"&lt;="&amp;BE$3,CLAVE_BOV2,$A105)+SUMIFS(SALIDAS_BOV3,FECHA_BOV3,"&gt;="&amp;BE$2,FECHA_BOV3,"&lt;="&amp;BE$3,CLAVE_BOV3,$A105)+SUMIFS(SALIDAS_TC,FECHA_TC,"&gt;="&amp;BE$2,FECHA_TC,"&lt;="&amp;BE$3,CLAVE_TC,$A105)+SUMIFS(SALIDAS_COMB,FECHA_COMB,"&gt;="&amp;BE$2,FECHA_COMB,"&lt;="&amp;BE$3,CLAVE_COMB,$A105)+SUMIFS(SALIDAS_DES,FECHA_DESGLOSEN,"&gt;="&amp;BE$2,FECHA_DESGLOSEN,"&lt;="&amp;BE$3,CLAVE_DESGLOSE,$A105)</f>
        <v>0</v>
      </c>
      <c r="BF105" s="13">
        <f>SUMIFS(SALIDAS_BIT,FECHA_BIT,"&gt;="&amp;BF$2,FECHA_BIT,"&lt;="&amp;BF$3,CLAVE_BIT,$A105)+SUMIFS(SALIDAS_BOV1,FECHA_BOV1,"&gt;="&amp;BF$2,FECHA_BOV1,"&lt;="&amp;BF$3,CLAVE_BOV1,$A105)+SUMIFS(SALIDAS_BOV2,FECHA_BOV2,"&gt;="&amp;BF$2,FECHA_BOV2,"&lt;="&amp;BF$3,CLAVE_BOV2,$A105)+SUMIFS(SALIDAS_BOV3,FECHA_BOV3,"&gt;="&amp;BF$2,FECHA_BOV3,"&lt;="&amp;BF$3,CLAVE_BOV3,$A105)+SUMIFS(SALIDAS_TC,FECHA_TC,"&gt;="&amp;BF$2,FECHA_TC,"&lt;="&amp;BF$3,CLAVE_TC,$A105)+SUMIFS(SALIDAS_COMB,FECHA_COMB,"&gt;="&amp;BF$2,FECHA_COMB,"&lt;="&amp;BF$3,CLAVE_COMB,$A105)+SUMIFS(SALIDAS_DES,FECHA_DESGLOSEN,"&gt;="&amp;BF$2,FECHA_DESGLOSEN,"&lt;="&amp;BF$3,CLAVE_DESGLOSE,$A105)</f>
        <v>1226.4000000000001</v>
      </c>
      <c r="BG105" s="13">
        <f>SUMIFS(SALIDAS_BIT,FECHA_BIT,"&gt;="&amp;BG$2,FECHA_BIT,"&lt;="&amp;BG$3,CLAVE_BIT,$A105)+SUMIFS(SALIDAS_BOV1,FECHA_BOV1,"&gt;="&amp;BG$2,FECHA_BOV1,"&lt;="&amp;BG$3,CLAVE_BOV1,$A105)+SUMIFS(SALIDAS_BOV2,FECHA_BOV2,"&gt;="&amp;BG$2,FECHA_BOV2,"&lt;="&amp;BG$3,CLAVE_BOV2,$A105)+SUMIFS(SALIDAS_BOV3,FECHA_BOV3,"&gt;="&amp;BG$2,FECHA_BOV3,"&lt;="&amp;BG$3,CLAVE_BOV3,$A105)+SUMIFS(SALIDAS_TC,FECHA_TC,"&gt;="&amp;BG$2,FECHA_TC,"&lt;="&amp;BG$3,CLAVE_TC,$A105)+SUMIFS(SALIDAS_COMB,FECHA_COMB,"&gt;="&amp;BG$2,FECHA_COMB,"&lt;="&amp;BG$3,CLAVE_COMB,$A105)+SUMIFS(SALIDAS_DES,FECHA_DESGLOSEN,"&gt;="&amp;BG$2,FECHA_DESGLOSEN,"&lt;="&amp;BG$3,CLAVE_DESGLOSE,$A105)</f>
        <v>0</v>
      </c>
      <c r="BH105" s="13">
        <f>SUMIFS(SALIDAS_BIT,FECHA_BIT,"&gt;="&amp;BH$2,FECHA_BIT,"&lt;="&amp;BH$3,CLAVE_BIT,$A105)+SUMIFS(SALIDAS_BOV1,FECHA_BOV1,"&gt;="&amp;BH$2,FECHA_BOV1,"&lt;="&amp;BH$3,CLAVE_BOV1,$A105)+SUMIFS(SALIDAS_BOV2,FECHA_BOV2,"&gt;="&amp;BH$2,FECHA_BOV2,"&lt;="&amp;BH$3,CLAVE_BOV2,$A105)+SUMIFS(SALIDAS_BOV3,FECHA_BOV3,"&gt;="&amp;BH$2,FECHA_BOV3,"&lt;="&amp;BH$3,CLAVE_BOV3,$A105)+SUMIFS(SALIDAS_TC,FECHA_TC,"&gt;="&amp;BH$2,FECHA_TC,"&lt;="&amp;BH$3,CLAVE_TC,$A105)+SUMIFS(SALIDAS_COMB,FECHA_COMB,"&gt;="&amp;BH$2,FECHA_COMB,"&lt;="&amp;BH$3,CLAVE_COMB,$A105)+SUMIFS(SALIDAS_DES,FECHA_DESGLOSEN,"&gt;="&amp;BH$2,FECHA_DESGLOSEN,"&lt;="&amp;BH$3,CLAVE_DESGLOSE,$A105)</f>
        <v>0</v>
      </c>
      <c r="BI105" s="13">
        <f t="shared" si="121"/>
        <v>1226.4000000000001</v>
      </c>
      <c r="BJ105" s="68">
        <f t="shared" si="161"/>
        <v>23.599999999999909</v>
      </c>
      <c r="BK105" s="268">
        <f t="shared" si="162"/>
        <v>0.9811200000000001</v>
      </c>
      <c r="BL105" s="13">
        <f t="shared" si="163"/>
        <v>1250</v>
      </c>
      <c r="BM105" s="13">
        <f>SUMIFS(SALIDAS_BIT,FECHA_BIT,"&gt;="&amp;BM$2,FECHA_BIT,"&lt;="&amp;BM$3,CLAVE_BIT,$A105)+SUMIFS(SALIDAS_BOV1,FECHA_BOV1,"&gt;="&amp;BM$2,FECHA_BOV1,"&lt;="&amp;BM$3,CLAVE_BOV1,$A105)+SUMIFS(SALIDAS_BOV2,FECHA_BOV2,"&gt;="&amp;BM$2,FECHA_BOV2,"&lt;="&amp;BM$3,CLAVE_BOV2,$A105)+SUMIFS(SALIDAS_BOV3,FECHA_BOV3,"&gt;="&amp;BM$2,FECHA_BOV3,"&lt;="&amp;BM$3,CLAVE_BOV3,$A105)+SUMIFS(SALIDAS_TC,FECHA_TC,"&gt;="&amp;BM$2,FECHA_TC,"&lt;="&amp;BM$3,CLAVE_TC,$A105)+SUMIFS(SALIDAS_COMB,FECHA_COMB,"&gt;="&amp;BM$2,FECHA_COMB,"&lt;="&amp;BM$3,CLAVE_COMB,$A105)+SUMIFS(SALIDAS_DES,FECHA_DESGLOSEN,"&gt;="&amp;BM$2,FECHA_DESGLOSEN,"&lt;="&amp;BM$3,CLAVE_DESGLOSE,$A105)</f>
        <v>386.4</v>
      </c>
      <c r="BN105" s="13">
        <f>SUMIFS(SALIDAS_BIT,FECHA_BIT,"&gt;="&amp;BN$2,FECHA_BIT,"&lt;="&amp;BN$3,CLAVE_BIT,$A105)+SUMIFS(SALIDAS_BOV1,FECHA_BOV1,"&gt;="&amp;BN$2,FECHA_BOV1,"&lt;="&amp;BN$3,CLAVE_BOV1,$A105)+SUMIFS(SALIDAS_BOV2,FECHA_BOV2,"&gt;="&amp;BN$2,FECHA_BOV2,"&lt;="&amp;BN$3,CLAVE_BOV2,$A105)+SUMIFS(SALIDAS_BOV3,FECHA_BOV3,"&gt;="&amp;BN$2,FECHA_BOV3,"&lt;="&amp;BN$3,CLAVE_BOV3,$A105)+SUMIFS(SALIDAS_TC,FECHA_TC,"&gt;="&amp;BN$2,FECHA_TC,"&lt;="&amp;BN$3,CLAVE_TC,$A105)+SUMIFS(SALIDAS_COMB,FECHA_COMB,"&gt;="&amp;BN$2,FECHA_COMB,"&lt;="&amp;BN$3,CLAVE_COMB,$A105)+SUMIFS(SALIDAS_DES,FECHA_DESGLOSEN,"&gt;="&amp;BN$2,FECHA_DESGLOSEN,"&lt;="&amp;BN$3,CLAVE_DESGLOSE,$A105)</f>
        <v>0</v>
      </c>
      <c r="BO105" s="13">
        <f>SUMIFS(SALIDAS_BIT,FECHA_BIT,"&gt;="&amp;BO$2,FECHA_BIT,"&lt;="&amp;BO$3,CLAVE_BIT,$A105)+SUMIFS(SALIDAS_BOV1,FECHA_BOV1,"&gt;="&amp;BO$2,FECHA_BOV1,"&lt;="&amp;BO$3,CLAVE_BOV1,$A105)+SUMIFS(SALIDAS_BOV2,FECHA_BOV2,"&gt;="&amp;BO$2,FECHA_BOV2,"&lt;="&amp;BO$3,CLAVE_BOV2,$A105)+SUMIFS(SALIDAS_BOV3,FECHA_BOV3,"&gt;="&amp;BO$2,FECHA_BOV3,"&lt;="&amp;BO$3,CLAVE_BOV3,$A105)+SUMIFS(SALIDAS_TC,FECHA_TC,"&gt;="&amp;BO$2,FECHA_TC,"&lt;="&amp;BO$3,CLAVE_TC,$A105)+SUMIFS(SALIDAS_COMB,FECHA_COMB,"&gt;="&amp;BO$2,FECHA_COMB,"&lt;="&amp;BO$3,CLAVE_COMB,$A105)+SUMIFS(SALIDAS_DES,FECHA_DESGLOSEN,"&gt;="&amp;BO$2,FECHA_DESGLOSEN,"&lt;="&amp;BO$3,CLAVE_DESGLOSE,$A105)</f>
        <v>840</v>
      </c>
      <c r="BP105" s="13">
        <f>SUMIFS(SALIDAS_BIT,FECHA_BIT,"&gt;="&amp;BP$2,FECHA_BIT,"&lt;="&amp;BP$3,CLAVE_BIT,$A105)+SUMIFS(SALIDAS_BOV1,FECHA_BOV1,"&gt;="&amp;BP$2,FECHA_BOV1,"&lt;="&amp;BP$3,CLAVE_BOV1,$A105)+SUMIFS(SALIDAS_BOV2,FECHA_BOV2,"&gt;="&amp;BP$2,FECHA_BOV2,"&lt;="&amp;BP$3,CLAVE_BOV2,$A105)+SUMIFS(SALIDAS_BOV3,FECHA_BOV3,"&gt;="&amp;BP$2,FECHA_BOV3,"&lt;="&amp;BP$3,CLAVE_BOV3,$A105)+SUMIFS(SALIDAS_TC,FECHA_TC,"&gt;="&amp;BP$2,FECHA_TC,"&lt;="&amp;BP$3,CLAVE_TC,$A105)+SUMIFS(SALIDAS_COMB,FECHA_COMB,"&gt;="&amp;BP$2,FECHA_COMB,"&lt;="&amp;BP$3,CLAVE_COMB,$A105)+SUMIFS(SALIDAS_DES,FECHA_DESGLOSEN,"&gt;="&amp;BP$2,FECHA_DESGLOSEN,"&lt;="&amp;BP$3,CLAVE_DESGLOSE,$A105)</f>
        <v>0</v>
      </c>
      <c r="BQ105" s="13">
        <f>SUMIFS(SALIDAS_BIT,FECHA_BIT,"&gt;="&amp;BQ$2,FECHA_BIT,"&lt;="&amp;BQ$3,CLAVE_BIT,$A105)+SUMIFS(SALIDAS_BOV1,FECHA_BOV1,"&gt;="&amp;BQ$2,FECHA_BOV1,"&lt;="&amp;BQ$3,CLAVE_BOV1,$A105)+SUMIFS(SALIDAS_BOV2,FECHA_BOV2,"&gt;="&amp;BQ$2,FECHA_BOV2,"&lt;="&amp;BQ$3,CLAVE_BOV2,$A105)+SUMIFS(SALIDAS_BOV3,FECHA_BOV3,"&gt;="&amp;BQ$2,FECHA_BOV3,"&lt;="&amp;BQ$3,CLAVE_BOV3,$A105)+SUMIFS(SALIDAS_TC,FECHA_TC,"&gt;="&amp;BQ$2,FECHA_TC,"&lt;="&amp;BQ$3,CLAVE_TC,$A105)+SUMIFS(SALIDAS_COMB,FECHA_COMB,"&gt;="&amp;BQ$2,FECHA_COMB,"&lt;="&amp;BQ$3,CLAVE_COMB,$A105)+SUMIFS(SALIDAS_DES,FECHA_DESGLOSEN,"&gt;="&amp;BQ$2,FECHA_DESGLOSEN,"&lt;="&amp;BQ$3,CLAVE_DESGLOSE,$A105)</f>
        <v>0</v>
      </c>
      <c r="BR105" s="13">
        <f t="shared" si="202"/>
        <v>1226.4000000000001</v>
      </c>
      <c r="BS105" s="68">
        <f t="shared" si="164"/>
        <v>23.599999999999909</v>
      </c>
      <c r="BT105" s="268">
        <f t="shared" si="165"/>
        <v>0.9811200000000001</v>
      </c>
      <c r="BU105" s="13">
        <f t="shared" si="166"/>
        <v>1250</v>
      </c>
      <c r="BV105" s="13">
        <f t="shared" si="186"/>
        <v>386.4</v>
      </c>
      <c r="BW105" s="13">
        <f t="shared" si="186"/>
        <v>0</v>
      </c>
      <c r="BX105" s="13">
        <f t="shared" si="186"/>
        <v>830.95</v>
      </c>
      <c r="BY105" s="13">
        <f t="shared" si="186"/>
        <v>0</v>
      </c>
      <c r="BZ105" s="13">
        <f t="shared" si="203"/>
        <v>1217.3499999999999</v>
      </c>
      <c r="CA105" s="68">
        <f t="shared" si="167"/>
        <v>32.650000000000091</v>
      </c>
      <c r="CB105" s="268">
        <f t="shared" si="168"/>
        <v>0.97387999999999997</v>
      </c>
      <c r="CC105" s="13">
        <f t="shared" si="169"/>
        <v>1250</v>
      </c>
      <c r="CD105" s="13">
        <f t="shared" si="187"/>
        <v>386.4</v>
      </c>
      <c r="CE105" s="13">
        <f t="shared" si="187"/>
        <v>0</v>
      </c>
      <c r="CF105" s="13">
        <f t="shared" si="187"/>
        <v>0</v>
      </c>
      <c r="CG105" s="13">
        <f t="shared" si="187"/>
        <v>0</v>
      </c>
      <c r="CH105" s="13">
        <f t="shared" si="204"/>
        <v>386.4</v>
      </c>
      <c r="CI105" s="68">
        <f t="shared" si="170"/>
        <v>863.6</v>
      </c>
      <c r="CJ105" s="268">
        <f t="shared" si="171"/>
        <v>0.30912000000000001</v>
      </c>
      <c r="CK105" s="13">
        <f t="shared" si="172"/>
        <v>1250</v>
      </c>
      <c r="CL105" s="13">
        <f t="shared" si="176"/>
        <v>835</v>
      </c>
      <c r="CM105" s="13">
        <f t="shared" si="176"/>
        <v>386.4</v>
      </c>
      <c r="CN105" s="13">
        <f t="shared" si="176"/>
        <v>0</v>
      </c>
      <c r="CO105" s="13">
        <f t="shared" si="176"/>
        <v>0</v>
      </c>
      <c r="CP105" s="13">
        <f t="shared" si="176"/>
        <v>2215.86</v>
      </c>
      <c r="CQ105" s="13">
        <f t="shared" si="205"/>
        <v>3437.26</v>
      </c>
      <c r="CR105" s="68">
        <f t="shared" si="173"/>
        <v>-2187.2600000000002</v>
      </c>
      <c r="CS105" s="268">
        <f t="shared" si="174"/>
        <v>2.7498080000000003</v>
      </c>
      <c r="CT105" s="68">
        <f t="shared" si="147"/>
        <v>1250</v>
      </c>
      <c r="CU105" s="13">
        <f>SUMIFS(SALIDAS_BIT,FECHA_BIT,"&gt;="&amp;CU$2,FECHA_BIT,"&lt;="&amp;CU$3,CLAVE_BIT,$A105)+SUMIFS(SALIDAS_BOV1,FECHA_BOV1,"&gt;="&amp;CU$2,FECHA_BOV1,"&lt;="&amp;CU$3,CLAVE_BOV1,$A105)+SUMIFS(SALIDAS_BOV2,FECHA_BOV2,"&gt;="&amp;CU$2,FECHA_BOV2,"&lt;="&amp;CU$3,CLAVE_BOV2,$A105)+SUMIFS(SALIDAS_BOV3,FECHA_BOV3,"&gt;="&amp;CU$2,FECHA_BOV3,"&lt;="&amp;CU$3,CLAVE_BOV3,$A105)+SUMIFS(SALIDAS_TC,FECHA_TC,"&gt;="&amp;CU$2,FECHA_TC,"&lt;="&amp;CU$3,CLAVE_TC,$A105)+SUMIFS(SALIDAS_COMB,FECHA_COMB,"&gt;="&amp;CU$2,FECHA_COMB,"&lt;="&amp;CU$3,CLAVE_COMB,$A105)+SUMIFS(SALIDAS_DES,FECHA_DESGLOSEN,"&gt;="&amp;CU$2,FECHA_DESGLOSEN,"&lt;="&amp;CU$3,CLAVE_DESGLOSE,$A105)</f>
        <v>386.4</v>
      </c>
      <c r="CV105" s="13">
        <f>SUMIFS(SALIDAS_BIT,FECHA_BIT,"&gt;="&amp;CV$2,FECHA_BIT,"&lt;="&amp;CV$3,CLAVE_BIT,$A105)+SUMIFS(SALIDAS_BOV1,FECHA_BOV1,"&gt;="&amp;CV$2,FECHA_BOV1,"&lt;="&amp;CV$3,CLAVE_BOV1,$A105)+SUMIFS(SALIDAS_BOV2,FECHA_BOV2,"&gt;="&amp;CV$2,FECHA_BOV2,"&lt;="&amp;CV$3,CLAVE_BOV2,$A105)+SUMIFS(SALIDAS_BOV3,FECHA_BOV3,"&gt;="&amp;CV$2,FECHA_BOV3,"&lt;="&amp;CV$3,CLAVE_BOV3,$A105)+SUMIFS(SALIDAS_TC,FECHA_TC,"&gt;="&amp;CV$2,FECHA_TC,"&lt;="&amp;CV$3,CLAVE_TC,$A105)+SUMIFS(SALIDAS_COMB,FECHA_COMB,"&gt;="&amp;CV$2,FECHA_COMB,"&lt;="&amp;CV$3,CLAVE_COMB,$A105)+SUMIFS(SALIDAS_DES,FECHA_DESGLOSEN,"&gt;="&amp;CV$2,FECHA_DESGLOSEN,"&lt;="&amp;CV$3,CLAVE_DESGLOSE,$A105)</f>
        <v>0</v>
      </c>
      <c r="CW105" s="13">
        <f>SUMIFS(SALIDAS_BIT,FECHA_BIT,"&gt;="&amp;CW$2,FECHA_BIT,"&lt;="&amp;CW$3,CLAVE_BIT,$A105)+SUMIFS(SALIDAS_BOV1,FECHA_BOV1,"&gt;="&amp;CW$2,FECHA_BOV1,"&lt;="&amp;CW$3,CLAVE_BOV1,$A105)+SUMIFS(SALIDAS_BOV2,FECHA_BOV2,"&gt;="&amp;CW$2,FECHA_BOV2,"&lt;="&amp;CW$3,CLAVE_BOV2,$A105)+SUMIFS(SALIDAS_BOV3,FECHA_BOV3,"&gt;="&amp;CW$2,FECHA_BOV3,"&lt;="&amp;CW$3,CLAVE_BOV3,$A105)+SUMIFS(SALIDAS_TC,FECHA_TC,"&gt;="&amp;CW$2,FECHA_TC,"&lt;="&amp;CW$3,CLAVE_TC,$A105)+SUMIFS(SALIDAS_COMB,FECHA_COMB,"&gt;="&amp;CW$2,FECHA_COMB,"&lt;="&amp;CW$3,CLAVE_COMB,$A105)+SUMIFS(SALIDAS_DES,FECHA_DESGLOSEN,"&gt;="&amp;CW$2,FECHA_DESGLOSEN,"&lt;="&amp;CW$3,CLAVE_DESGLOSE,$A105)</f>
        <v>0</v>
      </c>
      <c r="CX105" s="13">
        <f>SUMIFS(SALIDAS_BIT,FECHA_BIT,"&gt;="&amp;CX$2,FECHA_BIT,"&lt;="&amp;CX$3,CLAVE_BIT,$A105)+SUMIFS(SALIDAS_BOV1,FECHA_BOV1,"&gt;="&amp;CX$2,FECHA_BOV1,"&lt;="&amp;CX$3,CLAVE_BOV1,$A105)+SUMIFS(SALIDAS_BOV2,FECHA_BOV2,"&gt;="&amp;CX$2,FECHA_BOV2,"&lt;="&amp;CX$3,CLAVE_BOV2,$A105)+SUMIFS(SALIDAS_BOV3,FECHA_BOV3,"&gt;="&amp;CX$2,FECHA_BOV3,"&lt;="&amp;CX$3,CLAVE_BOV3,$A105)+SUMIFS(SALIDAS_TC,FECHA_TC,"&gt;="&amp;CX$2,FECHA_TC,"&lt;="&amp;CX$3,CLAVE_TC,$A105)+SUMIFS(SALIDAS_COMB,FECHA_COMB,"&gt;="&amp;CX$2,FECHA_COMB,"&lt;="&amp;CX$3,CLAVE_COMB,$A105)+SUMIFS(SALIDAS_DES,FECHA_DESGLOSEN,"&gt;="&amp;CX$2,FECHA_DESGLOSEN,"&lt;="&amp;CX$3,CLAVE_DESGLOSE,$A105)</f>
        <v>0</v>
      </c>
      <c r="CY105" s="13">
        <f>SUMIFS(SALIDAS_BIT,FECHA_BIT,"&gt;="&amp;CY$2,FECHA_BIT,"&lt;="&amp;CY$3,CLAVE_BIT,$A105)+SUMIFS(SALIDAS_BOV1,FECHA_BOV1,"&gt;="&amp;CY$2,FECHA_BOV1,"&lt;="&amp;CY$3,CLAVE_BOV1,$A105)+SUMIFS(SALIDAS_BOV2,FECHA_BOV2,"&gt;="&amp;CY$2,FECHA_BOV2,"&lt;="&amp;CY$3,CLAVE_BOV2,$A105)+SUMIFS(SALIDAS_BOV3,FECHA_BOV3,"&gt;="&amp;CY$2,FECHA_BOV3,"&lt;="&amp;CY$3,CLAVE_BOV3,$A105)+SUMIFS(SALIDAS_TC,FECHA_TC,"&gt;="&amp;CY$2,FECHA_TC,"&lt;="&amp;CY$3,CLAVE_TC,$A105)+SUMIFS(SALIDAS_COMB,FECHA_COMB,"&gt;="&amp;CY$2,FECHA_COMB,"&lt;="&amp;CY$3,CLAVE_COMB,$A105)+SUMIFS(SALIDAS_DES,FECHA_DESGLOSEN,"&gt;="&amp;CY$2,FECHA_DESGLOSEN,"&lt;="&amp;CY$3,CLAVE_DESGLOSE,$A105)</f>
        <v>386.4</v>
      </c>
      <c r="CZ105" s="68">
        <f t="shared" si="175"/>
        <v>863.6</v>
      </c>
      <c r="DB105" s="17">
        <f>F105+N105+W105+AE105+AM105+AV105+BD105+BL105+BU105+CC105+CK105</f>
        <v>13750</v>
      </c>
      <c r="DC105" s="17">
        <f>K105+T105+AB105+AJ105+AS105+BA105+BI105+BR105+BZ105+CH105+CQ105</f>
        <v>15302.210000000001</v>
      </c>
    </row>
    <row r="106" spans="1:107" hidden="1">
      <c r="A106" s="12" t="str">
        <f t="shared" si="148"/>
        <v>SERVICIOSALARMACEDIS</v>
      </c>
      <c r="B106" s="12">
        <v>108</v>
      </c>
      <c r="C106" t="s">
        <v>21</v>
      </c>
      <c r="D106" s="12" t="s">
        <v>25</v>
      </c>
      <c r="E106" s="12" t="s">
        <v>28</v>
      </c>
      <c r="F106" s="259">
        <f t="shared" si="141"/>
        <v>380</v>
      </c>
      <c r="G106" s="13">
        <f t="shared" si="197"/>
        <v>0</v>
      </c>
      <c r="H106" s="13">
        <f t="shared" si="197"/>
        <v>0</v>
      </c>
      <c r="I106" s="13">
        <f t="shared" si="197"/>
        <v>0</v>
      </c>
      <c r="J106" s="13">
        <f t="shared" si="197"/>
        <v>560</v>
      </c>
      <c r="K106" s="13">
        <f t="shared" si="197"/>
        <v>560</v>
      </c>
      <c r="L106" s="68">
        <f t="shared" si="149"/>
        <v>-180</v>
      </c>
      <c r="M106" s="268">
        <f t="shared" si="150"/>
        <v>1.4736842105263157</v>
      </c>
      <c r="N106" s="13">
        <f t="shared" si="142"/>
        <v>380</v>
      </c>
      <c r="O106" s="13">
        <f t="shared" si="198"/>
        <v>0</v>
      </c>
      <c r="P106" s="13">
        <f t="shared" si="198"/>
        <v>0</v>
      </c>
      <c r="Q106" s="13">
        <f t="shared" si="198"/>
        <v>0</v>
      </c>
      <c r="R106" s="13">
        <f t="shared" si="198"/>
        <v>0</v>
      </c>
      <c r="S106" s="13">
        <f t="shared" si="198"/>
        <v>0</v>
      </c>
      <c r="T106" s="13">
        <f t="shared" si="198"/>
        <v>0</v>
      </c>
      <c r="U106" s="68">
        <f t="shared" si="151"/>
        <v>380</v>
      </c>
      <c r="V106" s="268">
        <f t="shared" si="152"/>
        <v>0</v>
      </c>
      <c r="W106" s="13">
        <f t="shared" si="143"/>
        <v>380</v>
      </c>
      <c r="X106" s="13">
        <f t="shared" si="199"/>
        <v>5700</v>
      </c>
      <c r="Y106" s="13">
        <f t="shared" si="199"/>
        <v>0</v>
      </c>
      <c r="Z106" s="13">
        <f t="shared" si="199"/>
        <v>0</v>
      </c>
      <c r="AA106" s="13">
        <f t="shared" si="199"/>
        <v>0</v>
      </c>
      <c r="AB106" s="13">
        <f t="shared" si="199"/>
        <v>5700</v>
      </c>
      <c r="AC106" s="68">
        <f t="shared" si="153"/>
        <v>-5320</v>
      </c>
      <c r="AD106" s="268">
        <f t="shared" si="154"/>
        <v>15</v>
      </c>
      <c r="AE106" s="13">
        <f t="shared" si="144"/>
        <v>380</v>
      </c>
      <c r="AF106" s="13">
        <f t="shared" si="200"/>
        <v>0</v>
      </c>
      <c r="AG106" s="13">
        <f t="shared" si="200"/>
        <v>0</v>
      </c>
      <c r="AH106" s="13">
        <f t="shared" si="200"/>
        <v>0</v>
      </c>
      <c r="AI106" s="13">
        <f t="shared" si="200"/>
        <v>1120</v>
      </c>
      <c r="AJ106" s="13">
        <f t="shared" si="200"/>
        <v>1120</v>
      </c>
      <c r="AK106" s="68">
        <f t="shared" si="155"/>
        <v>-740</v>
      </c>
      <c r="AL106" s="268">
        <f t="shared" si="156"/>
        <v>2.9473684210526314</v>
      </c>
      <c r="AM106" s="13">
        <f t="shared" si="145"/>
        <v>380</v>
      </c>
      <c r="AN106" s="13">
        <f t="shared" si="201"/>
        <v>560</v>
      </c>
      <c r="AO106" s="13">
        <f t="shared" si="201"/>
        <v>0</v>
      </c>
      <c r="AP106" s="13">
        <f t="shared" si="201"/>
        <v>0</v>
      </c>
      <c r="AQ106" s="13">
        <f t="shared" si="201"/>
        <v>0</v>
      </c>
      <c r="AR106" s="13">
        <f t="shared" si="201"/>
        <v>0</v>
      </c>
      <c r="AS106" s="13">
        <f t="shared" si="201"/>
        <v>560</v>
      </c>
      <c r="AT106" s="68">
        <f>AM106-AS106</f>
        <v>-180</v>
      </c>
      <c r="AU106" s="268">
        <f t="shared" si="157"/>
        <v>1.4736842105263157</v>
      </c>
      <c r="AV106" s="13">
        <f t="shared" si="146"/>
        <v>380</v>
      </c>
      <c r="AW106" s="13">
        <f t="shared" si="119"/>
        <v>0</v>
      </c>
      <c r="AX106" s="13">
        <f t="shared" si="119"/>
        <v>1120</v>
      </c>
      <c r="AY106" s="13">
        <f t="shared" si="119"/>
        <v>0</v>
      </c>
      <c r="AZ106" s="13">
        <f t="shared" si="119"/>
        <v>0</v>
      </c>
      <c r="BA106" s="13">
        <f t="shared" si="120"/>
        <v>1120</v>
      </c>
      <c r="BB106" s="68">
        <f t="shared" si="158"/>
        <v>-740</v>
      </c>
      <c r="BC106" s="268">
        <f t="shared" si="159"/>
        <v>2.9473684210526314</v>
      </c>
      <c r="BD106" s="13">
        <f t="shared" si="160"/>
        <v>380</v>
      </c>
      <c r="BE106" s="13">
        <f>SUMIFS(SALIDAS_BIT,FECHA_BIT,"&gt;="&amp;BE$2,FECHA_BIT,"&lt;="&amp;BE$3,CLAVE_BIT,$A106)+SUMIFS(SALIDAS_BOV1,FECHA_BOV1,"&gt;="&amp;BE$2,FECHA_BOV1,"&lt;="&amp;BE$3,CLAVE_BOV1,$A106)+SUMIFS(SALIDAS_BOV2,FECHA_BOV2,"&gt;="&amp;BE$2,FECHA_BOV2,"&lt;="&amp;BE$3,CLAVE_BOV2,$A106)+SUMIFS(SALIDAS_BOV3,FECHA_BOV3,"&gt;="&amp;BE$2,FECHA_BOV3,"&lt;="&amp;BE$3,CLAVE_BOV3,$A106)+SUMIFS(SALIDAS_TC,FECHA_TC,"&gt;="&amp;BE$2,FECHA_TC,"&lt;="&amp;BE$3,CLAVE_TC,$A106)+SUMIFS(SALIDAS_COMB,FECHA_COMB,"&gt;="&amp;BE$2,FECHA_COMB,"&lt;="&amp;BE$3,CLAVE_COMB,$A106)+SUMIFS(SALIDAS_DES,FECHA_DESGLOSEN,"&gt;="&amp;BE$2,FECHA_DESGLOSEN,"&lt;="&amp;BE$3,CLAVE_DESGLOSE,$A106)</f>
        <v>0</v>
      </c>
      <c r="BF106" s="13">
        <f>SUMIFS(SALIDAS_BIT,FECHA_BIT,"&gt;="&amp;BF$2,FECHA_BIT,"&lt;="&amp;BF$3,CLAVE_BIT,$A106)+SUMIFS(SALIDAS_BOV1,FECHA_BOV1,"&gt;="&amp;BF$2,FECHA_BOV1,"&lt;="&amp;BF$3,CLAVE_BOV1,$A106)+SUMIFS(SALIDAS_BOV2,FECHA_BOV2,"&gt;="&amp;BF$2,FECHA_BOV2,"&lt;="&amp;BF$3,CLAVE_BOV2,$A106)+SUMIFS(SALIDAS_BOV3,FECHA_BOV3,"&gt;="&amp;BF$2,FECHA_BOV3,"&lt;="&amp;BF$3,CLAVE_BOV3,$A106)+SUMIFS(SALIDAS_TC,FECHA_TC,"&gt;="&amp;BF$2,FECHA_TC,"&lt;="&amp;BF$3,CLAVE_TC,$A106)+SUMIFS(SALIDAS_COMB,FECHA_COMB,"&gt;="&amp;BF$2,FECHA_COMB,"&lt;="&amp;BF$3,CLAVE_COMB,$A106)+SUMIFS(SALIDAS_DES,FECHA_DESGLOSEN,"&gt;="&amp;BF$2,FECHA_DESGLOSEN,"&lt;="&amp;BF$3,CLAVE_DESGLOSE,$A106)</f>
        <v>560</v>
      </c>
      <c r="BG106" s="13">
        <f>SUMIFS(SALIDAS_BIT,FECHA_BIT,"&gt;="&amp;BG$2,FECHA_BIT,"&lt;="&amp;BG$3,CLAVE_BIT,$A106)+SUMIFS(SALIDAS_BOV1,FECHA_BOV1,"&gt;="&amp;BG$2,FECHA_BOV1,"&lt;="&amp;BG$3,CLAVE_BOV1,$A106)+SUMIFS(SALIDAS_BOV2,FECHA_BOV2,"&gt;="&amp;BG$2,FECHA_BOV2,"&lt;="&amp;BG$3,CLAVE_BOV2,$A106)+SUMIFS(SALIDAS_BOV3,FECHA_BOV3,"&gt;="&amp;BG$2,FECHA_BOV3,"&lt;="&amp;BG$3,CLAVE_BOV3,$A106)+SUMIFS(SALIDAS_TC,FECHA_TC,"&gt;="&amp;BG$2,FECHA_TC,"&lt;="&amp;BG$3,CLAVE_TC,$A106)+SUMIFS(SALIDAS_COMB,FECHA_COMB,"&gt;="&amp;BG$2,FECHA_COMB,"&lt;="&amp;BG$3,CLAVE_COMB,$A106)+SUMIFS(SALIDAS_DES,FECHA_DESGLOSEN,"&gt;="&amp;BG$2,FECHA_DESGLOSEN,"&lt;="&amp;BG$3,CLAVE_DESGLOSE,$A106)</f>
        <v>0</v>
      </c>
      <c r="BH106" s="13">
        <f>SUMIFS(SALIDAS_BIT,FECHA_BIT,"&gt;="&amp;BH$2,FECHA_BIT,"&lt;="&amp;BH$3,CLAVE_BIT,$A106)+SUMIFS(SALIDAS_BOV1,FECHA_BOV1,"&gt;="&amp;BH$2,FECHA_BOV1,"&lt;="&amp;BH$3,CLAVE_BOV1,$A106)+SUMIFS(SALIDAS_BOV2,FECHA_BOV2,"&gt;="&amp;BH$2,FECHA_BOV2,"&lt;="&amp;BH$3,CLAVE_BOV2,$A106)+SUMIFS(SALIDAS_BOV3,FECHA_BOV3,"&gt;="&amp;BH$2,FECHA_BOV3,"&lt;="&amp;BH$3,CLAVE_BOV3,$A106)+SUMIFS(SALIDAS_TC,FECHA_TC,"&gt;="&amp;BH$2,FECHA_TC,"&lt;="&amp;BH$3,CLAVE_TC,$A106)+SUMIFS(SALIDAS_COMB,FECHA_COMB,"&gt;="&amp;BH$2,FECHA_COMB,"&lt;="&amp;BH$3,CLAVE_COMB,$A106)+SUMIFS(SALIDAS_DES,FECHA_DESGLOSEN,"&gt;="&amp;BH$2,FECHA_DESGLOSEN,"&lt;="&amp;BH$3,CLAVE_DESGLOSE,$A106)</f>
        <v>0</v>
      </c>
      <c r="BI106" s="13">
        <f t="shared" si="121"/>
        <v>560</v>
      </c>
      <c r="BJ106" s="68">
        <f t="shared" si="161"/>
        <v>-180</v>
      </c>
      <c r="BK106" s="268">
        <f t="shared" si="162"/>
        <v>1.4736842105263157</v>
      </c>
      <c r="BL106" s="13">
        <f t="shared" si="163"/>
        <v>380</v>
      </c>
      <c r="BM106" s="13">
        <f>SUMIFS(SALIDAS_BIT,FECHA_BIT,"&gt;="&amp;BM$2,FECHA_BIT,"&lt;="&amp;BM$3,CLAVE_BIT,$A106)+SUMIFS(SALIDAS_BOV1,FECHA_BOV1,"&gt;="&amp;BM$2,FECHA_BOV1,"&lt;="&amp;BM$3,CLAVE_BOV1,$A106)+SUMIFS(SALIDAS_BOV2,FECHA_BOV2,"&gt;="&amp;BM$2,FECHA_BOV2,"&lt;="&amp;BM$3,CLAVE_BOV2,$A106)+SUMIFS(SALIDAS_BOV3,FECHA_BOV3,"&gt;="&amp;BM$2,FECHA_BOV3,"&lt;="&amp;BM$3,CLAVE_BOV3,$A106)+SUMIFS(SALIDAS_TC,FECHA_TC,"&gt;="&amp;BM$2,FECHA_TC,"&lt;="&amp;BM$3,CLAVE_TC,$A106)+SUMIFS(SALIDAS_COMB,FECHA_COMB,"&gt;="&amp;BM$2,FECHA_COMB,"&lt;="&amp;BM$3,CLAVE_COMB,$A106)+SUMIFS(SALIDAS_DES,FECHA_DESGLOSEN,"&gt;="&amp;BM$2,FECHA_DESGLOSEN,"&lt;="&amp;BM$3,CLAVE_DESGLOSE,$A106)</f>
        <v>0</v>
      </c>
      <c r="BN106" s="13">
        <f>SUMIFS(SALIDAS_BIT,FECHA_BIT,"&gt;="&amp;BN$2,FECHA_BIT,"&lt;="&amp;BN$3,CLAVE_BIT,$A106)+SUMIFS(SALIDAS_BOV1,FECHA_BOV1,"&gt;="&amp;BN$2,FECHA_BOV1,"&lt;="&amp;BN$3,CLAVE_BOV1,$A106)+SUMIFS(SALIDAS_BOV2,FECHA_BOV2,"&gt;="&amp;BN$2,FECHA_BOV2,"&lt;="&amp;BN$3,CLAVE_BOV2,$A106)+SUMIFS(SALIDAS_BOV3,FECHA_BOV3,"&gt;="&amp;BN$2,FECHA_BOV3,"&lt;="&amp;BN$3,CLAVE_BOV3,$A106)+SUMIFS(SALIDAS_TC,FECHA_TC,"&gt;="&amp;BN$2,FECHA_TC,"&lt;="&amp;BN$3,CLAVE_TC,$A106)+SUMIFS(SALIDAS_COMB,FECHA_COMB,"&gt;="&amp;BN$2,FECHA_COMB,"&lt;="&amp;BN$3,CLAVE_COMB,$A106)+SUMIFS(SALIDAS_DES,FECHA_DESGLOSEN,"&gt;="&amp;BN$2,FECHA_DESGLOSEN,"&lt;="&amp;BN$3,CLAVE_DESGLOSE,$A106)</f>
        <v>0</v>
      </c>
      <c r="BO106" s="13">
        <f>SUMIFS(SALIDAS_BIT,FECHA_BIT,"&gt;="&amp;BO$2,FECHA_BIT,"&lt;="&amp;BO$3,CLAVE_BIT,$A106)+SUMIFS(SALIDAS_BOV1,FECHA_BOV1,"&gt;="&amp;BO$2,FECHA_BOV1,"&lt;="&amp;BO$3,CLAVE_BOV1,$A106)+SUMIFS(SALIDAS_BOV2,FECHA_BOV2,"&gt;="&amp;BO$2,FECHA_BOV2,"&lt;="&amp;BO$3,CLAVE_BOV2,$A106)+SUMIFS(SALIDAS_BOV3,FECHA_BOV3,"&gt;="&amp;BO$2,FECHA_BOV3,"&lt;="&amp;BO$3,CLAVE_BOV3,$A106)+SUMIFS(SALIDAS_TC,FECHA_TC,"&gt;="&amp;BO$2,FECHA_TC,"&lt;="&amp;BO$3,CLAVE_TC,$A106)+SUMIFS(SALIDAS_COMB,FECHA_COMB,"&gt;="&amp;BO$2,FECHA_COMB,"&lt;="&amp;BO$3,CLAVE_COMB,$A106)+SUMIFS(SALIDAS_DES,FECHA_DESGLOSEN,"&gt;="&amp;BO$2,FECHA_DESGLOSEN,"&lt;="&amp;BO$3,CLAVE_DESGLOSE,$A106)</f>
        <v>0</v>
      </c>
      <c r="BP106" s="13">
        <f>SUMIFS(SALIDAS_BIT,FECHA_BIT,"&gt;="&amp;BP$2,FECHA_BIT,"&lt;="&amp;BP$3,CLAVE_BIT,$A106)+SUMIFS(SALIDAS_BOV1,FECHA_BOV1,"&gt;="&amp;BP$2,FECHA_BOV1,"&lt;="&amp;BP$3,CLAVE_BOV1,$A106)+SUMIFS(SALIDAS_BOV2,FECHA_BOV2,"&gt;="&amp;BP$2,FECHA_BOV2,"&lt;="&amp;BP$3,CLAVE_BOV2,$A106)+SUMIFS(SALIDAS_BOV3,FECHA_BOV3,"&gt;="&amp;BP$2,FECHA_BOV3,"&lt;="&amp;BP$3,CLAVE_BOV3,$A106)+SUMIFS(SALIDAS_TC,FECHA_TC,"&gt;="&amp;BP$2,FECHA_TC,"&lt;="&amp;BP$3,CLAVE_TC,$A106)+SUMIFS(SALIDAS_COMB,FECHA_COMB,"&gt;="&amp;BP$2,FECHA_COMB,"&lt;="&amp;BP$3,CLAVE_COMB,$A106)+SUMIFS(SALIDAS_DES,FECHA_DESGLOSEN,"&gt;="&amp;BP$2,FECHA_DESGLOSEN,"&lt;="&amp;BP$3,CLAVE_DESGLOSE,$A106)</f>
        <v>0</v>
      </c>
      <c r="BQ106" s="13">
        <f>SUMIFS(SALIDAS_BIT,FECHA_BIT,"&gt;="&amp;BQ$2,FECHA_BIT,"&lt;="&amp;BQ$3,CLAVE_BIT,$A106)+SUMIFS(SALIDAS_BOV1,FECHA_BOV1,"&gt;="&amp;BQ$2,FECHA_BOV1,"&lt;="&amp;BQ$3,CLAVE_BOV1,$A106)+SUMIFS(SALIDAS_BOV2,FECHA_BOV2,"&gt;="&amp;BQ$2,FECHA_BOV2,"&lt;="&amp;BQ$3,CLAVE_BOV2,$A106)+SUMIFS(SALIDAS_BOV3,FECHA_BOV3,"&gt;="&amp;BQ$2,FECHA_BOV3,"&lt;="&amp;BQ$3,CLAVE_BOV3,$A106)+SUMIFS(SALIDAS_TC,FECHA_TC,"&gt;="&amp;BQ$2,FECHA_TC,"&lt;="&amp;BQ$3,CLAVE_TC,$A106)+SUMIFS(SALIDAS_COMB,FECHA_COMB,"&gt;="&amp;BQ$2,FECHA_COMB,"&lt;="&amp;BQ$3,CLAVE_COMB,$A106)+SUMIFS(SALIDAS_DES,FECHA_DESGLOSEN,"&gt;="&amp;BQ$2,FECHA_DESGLOSEN,"&lt;="&amp;BQ$3,CLAVE_DESGLOSE,$A106)</f>
        <v>0</v>
      </c>
      <c r="BR106" s="13">
        <f t="shared" si="202"/>
        <v>0</v>
      </c>
      <c r="BS106" s="68">
        <f t="shared" si="164"/>
        <v>380</v>
      </c>
      <c r="BT106" s="268">
        <f t="shared" si="165"/>
        <v>0</v>
      </c>
      <c r="BU106" s="13">
        <f t="shared" si="166"/>
        <v>380</v>
      </c>
      <c r="BV106" s="13">
        <f t="shared" si="186"/>
        <v>0</v>
      </c>
      <c r="BW106" s="13">
        <f t="shared" si="186"/>
        <v>0</v>
      </c>
      <c r="BX106" s="13">
        <f t="shared" si="186"/>
        <v>1113.97</v>
      </c>
      <c r="BY106" s="13">
        <f t="shared" si="186"/>
        <v>0</v>
      </c>
      <c r="BZ106" s="13">
        <f t="shared" si="203"/>
        <v>1113.97</v>
      </c>
      <c r="CA106" s="68">
        <f t="shared" si="167"/>
        <v>-733.97</v>
      </c>
      <c r="CB106" s="268">
        <f t="shared" si="168"/>
        <v>2.9315000000000002</v>
      </c>
      <c r="CC106" s="13">
        <f t="shared" si="169"/>
        <v>380</v>
      </c>
      <c r="CD106" s="13">
        <f t="shared" si="187"/>
        <v>0</v>
      </c>
      <c r="CE106" s="13">
        <f t="shared" si="187"/>
        <v>0</v>
      </c>
      <c r="CF106" s="13">
        <f t="shared" si="187"/>
        <v>0</v>
      </c>
      <c r="CG106" s="13">
        <f t="shared" si="187"/>
        <v>0</v>
      </c>
      <c r="CH106" s="13">
        <f t="shared" si="204"/>
        <v>0</v>
      </c>
      <c r="CI106" s="68">
        <f t="shared" si="170"/>
        <v>380</v>
      </c>
      <c r="CJ106" s="268">
        <f t="shared" si="171"/>
        <v>0</v>
      </c>
      <c r="CK106" s="13">
        <f t="shared" si="172"/>
        <v>380</v>
      </c>
      <c r="CL106" s="13">
        <f t="shared" si="176"/>
        <v>553.97</v>
      </c>
      <c r="CM106" s="13">
        <f t="shared" si="176"/>
        <v>0</v>
      </c>
      <c r="CN106" s="13">
        <f t="shared" si="176"/>
        <v>0</v>
      </c>
      <c r="CO106" s="13">
        <f t="shared" si="176"/>
        <v>0</v>
      </c>
      <c r="CP106" s="13">
        <f t="shared" si="176"/>
        <v>1107.94</v>
      </c>
      <c r="CQ106" s="13">
        <f t="shared" si="205"/>
        <v>1661.91</v>
      </c>
      <c r="CR106" s="68">
        <f t="shared" si="173"/>
        <v>-1281.9100000000001</v>
      </c>
      <c r="CS106" s="268">
        <f t="shared" si="174"/>
        <v>4.3734473684210524</v>
      </c>
      <c r="CT106" s="68">
        <f t="shared" si="147"/>
        <v>560</v>
      </c>
      <c r="CU106" s="13">
        <f>SUMIFS(SALIDAS_BIT,FECHA_BIT,"&gt;="&amp;CU$2,FECHA_BIT,"&lt;="&amp;CU$3,CLAVE_BIT,$A106)+SUMIFS(SALIDAS_BOV1,FECHA_BOV1,"&gt;="&amp;CU$2,FECHA_BOV1,"&lt;="&amp;CU$3,CLAVE_BOV1,$A106)+SUMIFS(SALIDAS_BOV2,FECHA_BOV2,"&gt;="&amp;CU$2,FECHA_BOV2,"&lt;="&amp;CU$3,CLAVE_BOV2,$A106)+SUMIFS(SALIDAS_BOV3,FECHA_BOV3,"&gt;="&amp;CU$2,FECHA_BOV3,"&lt;="&amp;CU$3,CLAVE_BOV3,$A106)+SUMIFS(SALIDAS_TC,FECHA_TC,"&gt;="&amp;CU$2,FECHA_TC,"&lt;="&amp;CU$3,CLAVE_TC,$A106)+SUMIFS(SALIDAS_COMB,FECHA_COMB,"&gt;="&amp;CU$2,FECHA_COMB,"&lt;="&amp;CU$3,CLAVE_COMB,$A106)+SUMIFS(SALIDAS_DES,FECHA_DESGLOSEN,"&gt;="&amp;CU$2,FECHA_DESGLOSEN,"&lt;="&amp;CU$3,CLAVE_DESGLOSE,$A106)</f>
        <v>0</v>
      </c>
      <c r="CV106" s="13">
        <f>SUMIFS(SALIDAS_BIT,FECHA_BIT,"&gt;="&amp;CV$2,FECHA_BIT,"&lt;="&amp;CV$3,CLAVE_BIT,$A106)+SUMIFS(SALIDAS_BOV1,FECHA_BOV1,"&gt;="&amp;CV$2,FECHA_BOV1,"&lt;="&amp;CV$3,CLAVE_BOV1,$A106)+SUMIFS(SALIDAS_BOV2,FECHA_BOV2,"&gt;="&amp;CV$2,FECHA_BOV2,"&lt;="&amp;CV$3,CLAVE_BOV2,$A106)+SUMIFS(SALIDAS_BOV3,FECHA_BOV3,"&gt;="&amp;CV$2,FECHA_BOV3,"&lt;="&amp;CV$3,CLAVE_BOV3,$A106)+SUMIFS(SALIDAS_TC,FECHA_TC,"&gt;="&amp;CV$2,FECHA_TC,"&lt;="&amp;CV$3,CLAVE_TC,$A106)+SUMIFS(SALIDAS_COMB,FECHA_COMB,"&gt;="&amp;CV$2,FECHA_COMB,"&lt;="&amp;CV$3,CLAVE_COMB,$A106)+SUMIFS(SALIDAS_DES,FECHA_DESGLOSEN,"&gt;="&amp;CV$2,FECHA_DESGLOSEN,"&lt;="&amp;CV$3,CLAVE_DESGLOSE,$A106)</f>
        <v>0</v>
      </c>
      <c r="CW106" s="13">
        <f>SUMIFS(SALIDAS_BIT,FECHA_BIT,"&gt;="&amp;CW$2,FECHA_BIT,"&lt;="&amp;CW$3,CLAVE_BIT,$A106)+SUMIFS(SALIDAS_BOV1,FECHA_BOV1,"&gt;="&amp;CW$2,FECHA_BOV1,"&lt;="&amp;CW$3,CLAVE_BOV1,$A106)+SUMIFS(SALIDAS_BOV2,FECHA_BOV2,"&gt;="&amp;CW$2,FECHA_BOV2,"&lt;="&amp;CW$3,CLAVE_BOV2,$A106)+SUMIFS(SALIDAS_BOV3,FECHA_BOV3,"&gt;="&amp;CW$2,FECHA_BOV3,"&lt;="&amp;CW$3,CLAVE_BOV3,$A106)+SUMIFS(SALIDAS_TC,FECHA_TC,"&gt;="&amp;CW$2,FECHA_TC,"&lt;="&amp;CW$3,CLAVE_TC,$A106)+SUMIFS(SALIDAS_COMB,FECHA_COMB,"&gt;="&amp;CW$2,FECHA_COMB,"&lt;="&amp;CW$3,CLAVE_COMB,$A106)+SUMIFS(SALIDAS_DES,FECHA_DESGLOSEN,"&gt;="&amp;CW$2,FECHA_DESGLOSEN,"&lt;="&amp;CW$3,CLAVE_DESGLOSE,$A106)</f>
        <v>0</v>
      </c>
      <c r="CX106" s="13">
        <f>SUMIFS(SALIDAS_BIT,FECHA_BIT,"&gt;="&amp;CX$2,FECHA_BIT,"&lt;="&amp;CX$3,CLAVE_BIT,$A106)+SUMIFS(SALIDAS_BOV1,FECHA_BOV1,"&gt;="&amp;CX$2,FECHA_BOV1,"&lt;="&amp;CX$3,CLAVE_BOV1,$A106)+SUMIFS(SALIDAS_BOV2,FECHA_BOV2,"&gt;="&amp;CX$2,FECHA_BOV2,"&lt;="&amp;CX$3,CLAVE_BOV2,$A106)+SUMIFS(SALIDAS_BOV3,FECHA_BOV3,"&gt;="&amp;CX$2,FECHA_BOV3,"&lt;="&amp;CX$3,CLAVE_BOV3,$A106)+SUMIFS(SALIDAS_TC,FECHA_TC,"&gt;="&amp;CX$2,FECHA_TC,"&lt;="&amp;CX$3,CLAVE_TC,$A106)+SUMIFS(SALIDAS_COMB,FECHA_COMB,"&gt;="&amp;CX$2,FECHA_COMB,"&lt;="&amp;CX$3,CLAVE_COMB,$A106)+SUMIFS(SALIDAS_DES,FECHA_DESGLOSEN,"&gt;="&amp;CX$2,FECHA_DESGLOSEN,"&lt;="&amp;CX$3,CLAVE_DESGLOSE,$A106)</f>
        <v>0</v>
      </c>
      <c r="CY106" s="13">
        <f>SUMIFS(SALIDAS_BIT,FECHA_BIT,"&gt;="&amp;CY$2,FECHA_BIT,"&lt;="&amp;CY$3,CLAVE_BIT,$A106)+SUMIFS(SALIDAS_BOV1,FECHA_BOV1,"&gt;="&amp;CY$2,FECHA_BOV1,"&lt;="&amp;CY$3,CLAVE_BOV1,$A106)+SUMIFS(SALIDAS_BOV2,FECHA_BOV2,"&gt;="&amp;CY$2,FECHA_BOV2,"&lt;="&amp;CY$3,CLAVE_BOV2,$A106)+SUMIFS(SALIDAS_BOV3,FECHA_BOV3,"&gt;="&amp;CY$2,FECHA_BOV3,"&lt;="&amp;CY$3,CLAVE_BOV3,$A106)+SUMIFS(SALIDAS_TC,FECHA_TC,"&gt;="&amp;CY$2,FECHA_TC,"&lt;="&amp;CY$3,CLAVE_TC,$A106)+SUMIFS(SALIDAS_COMB,FECHA_COMB,"&gt;="&amp;CY$2,FECHA_COMB,"&lt;="&amp;CY$3,CLAVE_COMB,$A106)+SUMIFS(SALIDAS_DES,FECHA_DESGLOSEN,"&gt;="&amp;CY$2,FECHA_DESGLOSEN,"&lt;="&amp;CY$3,CLAVE_DESGLOSE,$A106)</f>
        <v>0</v>
      </c>
      <c r="CZ106" s="68">
        <f t="shared" si="175"/>
        <v>560</v>
      </c>
      <c r="DB106" s="17">
        <f>F106+N106+W106+AE106+AM106+AV106+BD106+BL106+BU106+CC106+CK106</f>
        <v>4180</v>
      </c>
      <c r="DC106" s="17">
        <f>K106+T106+AB106+AJ106+AS106+BA106+BI106+BR106+BZ106+CH106+CQ106</f>
        <v>12395.88</v>
      </c>
    </row>
    <row r="107" spans="1:107" hidden="1">
      <c r="A107" s="12" t="str">
        <f t="shared" si="148"/>
        <v>SERVICIOSALARMAALARMA</v>
      </c>
      <c r="B107" s="12">
        <v>109</v>
      </c>
      <c r="C107" t="s">
        <v>21</v>
      </c>
      <c r="D107" s="12" t="s">
        <v>25</v>
      </c>
      <c r="E107" s="12" t="s">
        <v>25</v>
      </c>
      <c r="F107" s="259">
        <f t="shared" si="141"/>
        <v>2000</v>
      </c>
      <c r="G107" s="13">
        <f t="shared" ref="G107:K116" si="206">SUMIFS(SALIDAS_BIT,FECHA_BIT,"&gt;="&amp;G$2,FECHA_BIT,"&lt;="&amp;G$3,CLAVE_BIT,$A107)+SUMIFS(SALIDAS_BOV1,FECHA_BOV1,"&gt;="&amp;G$2,FECHA_BOV1,"&lt;="&amp;G$3,CLAVE_BOV1,$A107)+SUMIFS(SALIDAS_BOV2,FECHA_BOV2,"&gt;="&amp;G$2,FECHA_BOV2,"&lt;="&amp;G$3,CLAVE_BOV2,$A107)+SUMIFS(SALIDAS_BOV3,FECHA_BOV3,"&gt;="&amp;G$2,FECHA_BOV3,"&lt;="&amp;G$3,CLAVE_BOV3,$A107)+SUMIFS(SALIDAS_TC,FECHA_TC,"&gt;="&amp;G$2,FECHA_TC,"&lt;="&amp;G$3,CLAVE_TC,$A107)+SUMIFS(SALIDAS_COMB,FECHA_COMB,"&gt;="&amp;G$2,FECHA_COMB,"&lt;="&amp;G$3,CLAVE_COMB,$A107)+SUMIFS(SALIDAS_DES,FECHA_DESGLOSEN,"&gt;="&amp;G$2,FECHA_DESGLOSEN,"&lt;="&amp;G$3,CLAVE_DESGLOSE,$A107)</f>
        <v>0</v>
      </c>
      <c r="H107" s="13">
        <f t="shared" si="206"/>
        <v>0</v>
      </c>
      <c r="I107" s="13">
        <f t="shared" si="206"/>
        <v>0</v>
      </c>
      <c r="J107" s="13">
        <f t="shared" si="206"/>
        <v>0</v>
      </c>
      <c r="K107" s="13">
        <f t="shared" si="206"/>
        <v>0</v>
      </c>
      <c r="L107" s="68">
        <f t="shared" si="149"/>
        <v>2000</v>
      </c>
      <c r="M107" s="268">
        <f t="shared" si="150"/>
        <v>0</v>
      </c>
      <c r="N107" s="13">
        <f t="shared" si="142"/>
        <v>2000</v>
      </c>
      <c r="O107" s="13">
        <f t="shared" ref="O107:T116" si="207">SUMIFS(SALIDAS_BIT,FECHA_BIT,"&gt;="&amp;O$2,FECHA_BIT,"&lt;="&amp;O$3,CLAVE_BIT,$A107)+SUMIFS(SALIDAS_BOV1,FECHA_BOV1,"&gt;="&amp;O$2,FECHA_BOV1,"&lt;="&amp;O$3,CLAVE_BOV1,$A107)+SUMIFS(SALIDAS_BOV2,FECHA_BOV2,"&gt;="&amp;O$2,FECHA_BOV2,"&lt;="&amp;O$3,CLAVE_BOV2,$A107)+SUMIFS(SALIDAS_BOV3,FECHA_BOV3,"&gt;="&amp;O$2,FECHA_BOV3,"&lt;="&amp;O$3,CLAVE_BOV3,$A107)+SUMIFS(SALIDAS_TC,FECHA_TC,"&gt;="&amp;O$2,FECHA_TC,"&lt;="&amp;O$3,CLAVE_TC,$A107)+SUMIFS(SALIDAS_COMB,FECHA_COMB,"&gt;="&amp;O$2,FECHA_COMB,"&lt;="&amp;O$3,CLAVE_COMB,$A107)+SUMIFS(SALIDAS_DES,FECHA_DESGLOSEN,"&gt;="&amp;O$2,FECHA_DESGLOSEN,"&lt;="&amp;O$3,CLAVE_DESGLOSE,$A107)</f>
        <v>0</v>
      </c>
      <c r="P107" s="13">
        <f t="shared" si="207"/>
        <v>0</v>
      </c>
      <c r="Q107" s="13">
        <f t="shared" si="207"/>
        <v>0</v>
      </c>
      <c r="R107" s="13">
        <f t="shared" si="207"/>
        <v>0</v>
      </c>
      <c r="S107" s="13">
        <f t="shared" si="207"/>
        <v>0</v>
      </c>
      <c r="T107" s="13">
        <f t="shared" si="207"/>
        <v>0</v>
      </c>
      <c r="U107" s="68">
        <f t="shared" si="151"/>
        <v>2000</v>
      </c>
      <c r="V107" s="268">
        <f t="shared" si="152"/>
        <v>0</v>
      </c>
      <c r="W107" s="13">
        <f t="shared" si="143"/>
        <v>2000</v>
      </c>
      <c r="X107" s="13">
        <f t="shared" ref="X107:AB116" si="208">SUMIFS(SALIDAS_BIT,FECHA_BIT,"&gt;="&amp;X$2,FECHA_BIT,"&lt;="&amp;X$3,CLAVE_BIT,$A107)+SUMIFS(SALIDAS_BOV1,FECHA_BOV1,"&gt;="&amp;X$2,FECHA_BOV1,"&lt;="&amp;X$3,CLAVE_BOV1,$A107)+SUMIFS(SALIDAS_BOV2,FECHA_BOV2,"&gt;="&amp;X$2,FECHA_BOV2,"&lt;="&amp;X$3,CLAVE_BOV2,$A107)+SUMIFS(SALIDAS_BOV3,FECHA_BOV3,"&gt;="&amp;X$2,FECHA_BOV3,"&lt;="&amp;X$3,CLAVE_BOV3,$A107)+SUMIFS(SALIDAS_TC,FECHA_TC,"&gt;="&amp;X$2,FECHA_TC,"&lt;="&amp;X$3,CLAVE_TC,$A107)+SUMIFS(SALIDAS_COMB,FECHA_COMB,"&gt;="&amp;X$2,FECHA_COMB,"&lt;="&amp;X$3,CLAVE_COMB,$A107)+SUMIFS(SALIDAS_DES,FECHA_DESGLOSEN,"&gt;="&amp;X$2,FECHA_DESGLOSEN,"&lt;="&amp;X$3,CLAVE_DESGLOSE,$A107)</f>
        <v>0</v>
      </c>
      <c r="Y107" s="13">
        <f t="shared" si="208"/>
        <v>0</v>
      </c>
      <c r="Z107" s="13">
        <f t="shared" si="208"/>
        <v>0</v>
      </c>
      <c r="AA107" s="13">
        <f t="shared" si="208"/>
        <v>0</v>
      </c>
      <c r="AB107" s="13">
        <f t="shared" si="208"/>
        <v>0</v>
      </c>
      <c r="AC107" s="68">
        <f t="shared" si="153"/>
        <v>2000</v>
      </c>
      <c r="AD107" s="268">
        <f t="shared" si="154"/>
        <v>0</v>
      </c>
      <c r="AE107" s="13">
        <f t="shared" si="144"/>
        <v>2000</v>
      </c>
      <c r="AF107" s="13">
        <f t="shared" ref="AF107:AJ116" si="209">SUMIFS(SALIDAS_BIT,FECHA_BIT,"&gt;="&amp;AF$2,FECHA_BIT,"&lt;="&amp;AF$3,CLAVE_BIT,$A107)+SUMIFS(SALIDAS_BOV1,FECHA_BOV1,"&gt;="&amp;AF$2,FECHA_BOV1,"&lt;="&amp;AF$3,CLAVE_BOV1,$A107)+SUMIFS(SALIDAS_BOV2,FECHA_BOV2,"&gt;="&amp;AF$2,FECHA_BOV2,"&lt;="&amp;AF$3,CLAVE_BOV2,$A107)+SUMIFS(SALIDAS_BOV3,FECHA_BOV3,"&gt;="&amp;AF$2,FECHA_BOV3,"&lt;="&amp;AF$3,CLAVE_BOV3,$A107)+SUMIFS(SALIDAS_TC,FECHA_TC,"&gt;="&amp;AF$2,FECHA_TC,"&lt;="&amp;AF$3,CLAVE_TC,$A107)+SUMIFS(SALIDAS_COMB,FECHA_COMB,"&gt;="&amp;AF$2,FECHA_COMB,"&lt;="&amp;AF$3,CLAVE_COMB,$A107)+SUMIFS(SALIDAS_DES,FECHA_DESGLOSEN,"&gt;="&amp;AF$2,FECHA_DESGLOSEN,"&lt;="&amp;AF$3,CLAVE_DESGLOSE,$A107)</f>
        <v>0</v>
      </c>
      <c r="AG107" s="13">
        <f t="shared" si="209"/>
        <v>0</v>
      </c>
      <c r="AH107" s="13">
        <f t="shared" si="209"/>
        <v>0</v>
      </c>
      <c r="AI107" s="13">
        <f t="shared" si="209"/>
        <v>0</v>
      </c>
      <c r="AJ107" s="13">
        <f t="shared" si="209"/>
        <v>0</v>
      </c>
      <c r="AK107" s="68">
        <f t="shared" si="155"/>
        <v>2000</v>
      </c>
      <c r="AL107" s="268">
        <f t="shared" si="156"/>
        <v>0</v>
      </c>
      <c r="AM107" s="13">
        <f t="shared" si="145"/>
        <v>2000</v>
      </c>
      <c r="AN107" s="13">
        <f t="shared" ref="AN107:AS116" si="210">SUMIFS(SALIDAS_BIT,FECHA_BIT,"&gt;="&amp;AN$2,FECHA_BIT,"&lt;="&amp;AN$3,CLAVE_BIT,$A107)+SUMIFS(SALIDAS_BOV1,FECHA_BOV1,"&gt;="&amp;AN$2,FECHA_BOV1,"&lt;="&amp;AN$3,CLAVE_BOV1,$A107)+SUMIFS(SALIDAS_BOV2,FECHA_BOV2,"&gt;="&amp;AN$2,FECHA_BOV2,"&lt;="&amp;AN$3,CLAVE_BOV2,$A107)+SUMIFS(SALIDAS_BOV3,FECHA_BOV3,"&gt;="&amp;AN$2,FECHA_BOV3,"&lt;="&amp;AN$3,CLAVE_BOV3,$A107)+SUMIFS(SALIDAS_TC,FECHA_TC,"&gt;="&amp;AN$2,FECHA_TC,"&lt;="&amp;AN$3,CLAVE_TC,$A107)+SUMIFS(SALIDAS_COMB,FECHA_COMB,"&gt;="&amp;AN$2,FECHA_COMB,"&lt;="&amp;AN$3,CLAVE_COMB,$A107)+SUMIFS(SALIDAS_DES,FECHA_DESGLOSEN,"&gt;="&amp;AN$2,FECHA_DESGLOSEN,"&lt;="&amp;AN$3,CLAVE_DESGLOSE,$A107)</f>
        <v>0</v>
      </c>
      <c r="AO107" s="13">
        <f t="shared" si="210"/>
        <v>0</v>
      </c>
      <c r="AP107" s="13">
        <f t="shared" si="210"/>
        <v>0</v>
      </c>
      <c r="AQ107" s="13">
        <f t="shared" si="210"/>
        <v>0</v>
      </c>
      <c r="AR107" s="13">
        <f t="shared" si="210"/>
        <v>0</v>
      </c>
      <c r="AS107" s="13">
        <f t="shared" si="210"/>
        <v>0</v>
      </c>
      <c r="AT107" s="68">
        <f>AM107-AS107</f>
        <v>2000</v>
      </c>
      <c r="AU107" s="268">
        <f t="shared" si="157"/>
        <v>0</v>
      </c>
      <c r="AV107" s="13">
        <f t="shared" si="146"/>
        <v>2000</v>
      </c>
      <c r="AW107" s="13">
        <f t="shared" si="119"/>
        <v>0</v>
      </c>
      <c r="AX107" s="13">
        <f t="shared" si="119"/>
        <v>0</v>
      </c>
      <c r="AY107" s="13">
        <f t="shared" si="119"/>
        <v>0</v>
      </c>
      <c r="AZ107" s="13">
        <f t="shared" si="119"/>
        <v>0</v>
      </c>
      <c r="BA107" s="13">
        <f t="shared" si="120"/>
        <v>0</v>
      </c>
      <c r="BB107" s="68">
        <f t="shared" si="158"/>
        <v>2000</v>
      </c>
      <c r="BC107" s="268">
        <f t="shared" si="159"/>
        <v>0</v>
      </c>
      <c r="BD107" s="13">
        <f t="shared" si="160"/>
        <v>2000</v>
      </c>
      <c r="BE107" s="13">
        <f>SUMIFS(SALIDAS_BIT,FECHA_BIT,"&gt;="&amp;BE$2,FECHA_BIT,"&lt;="&amp;BE$3,CLAVE_BIT,$A107)+SUMIFS(SALIDAS_BOV1,FECHA_BOV1,"&gt;="&amp;BE$2,FECHA_BOV1,"&lt;="&amp;BE$3,CLAVE_BOV1,$A107)+SUMIFS(SALIDAS_BOV2,FECHA_BOV2,"&gt;="&amp;BE$2,FECHA_BOV2,"&lt;="&amp;BE$3,CLAVE_BOV2,$A107)+SUMIFS(SALIDAS_BOV3,FECHA_BOV3,"&gt;="&amp;BE$2,FECHA_BOV3,"&lt;="&amp;BE$3,CLAVE_BOV3,$A107)+SUMIFS(SALIDAS_TC,FECHA_TC,"&gt;="&amp;BE$2,FECHA_TC,"&lt;="&amp;BE$3,CLAVE_TC,$A107)+SUMIFS(SALIDAS_COMB,FECHA_COMB,"&gt;="&amp;BE$2,FECHA_COMB,"&lt;="&amp;BE$3,CLAVE_COMB,$A107)+SUMIFS(SALIDAS_DES,FECHA_DESGLOSEN,"&gt;="&amp;BE$2,FECHA_DESGLOSEN,"&lt;="&amp;BE$3,CLAVE_DESGLOSE,$A107)</f>
        <v>0</v>
      </c>
      <c r="BF107" s="13">
        <f>SUMIFS(SALIDAS_BIT,FECHA_BIT,"&gt;="&amp;BF$2,FECHA_BIT,"&lt;="&amp;BF$3,CLAVE_BIT,$A107)+SUMIFS(SALIDAS_BOV1,FECHA_BOV1,"&gt;="&amp;BF$2,FECHA_BOV1,"&lt;="&amp;BF$3,CLAVE_BOV1,$A107)+SUMIFS(SALIDAS_BOV2,FECHA_BOV2,"&gt;="&amp;BF$2,FECHA_BOV2,"&lt;="&amp;BF$3,CLAVE_BOV2,$A107)+SUMIFS(SALIDAS_BOV3,FECHA_BOV3,"&gt;="&amp;BF$2,FECHA_BOV3,"&lt;="&amp;BF$3,CLAVE_BOV3,$A107)+SUMIFS(SALIDAS_TC,FECHA_TC,"&gt;="&amp;BF$2,FECHA_TC,"&lt;="&amp;BF$3,CLAVE_TC,$A107)+SUMIFS(SALIDAS_COMB,FECHA_COMB,"&gt;="&amp;BF$2,FECHA_COMB,"&lt;="&amp;BF$3,CLAVE_COMB,$A107)+SUMIFS(SALIDAS_DES,FECHA_DESGLOSEN,"&gt;="&amp;BF$2,FECHA_DESGLOSEN,"&lt;="&amp;BF$3,CLAVE_DESGLOSE,$A107)</f>
        <v>0</v>
      </c>
      <c r="BG107" s="13">
        <f>SUMIFS(SALIDAS_BIT,FECHA_BIT,"&gt;="&amp;BG$2,FECHA_BIT,"&lt;="&amp;BG$3,CLAVE_BIT,$A107)+SUMIFS(SALIDAS_BOV1,FECHA_BOV1,"&gt;="&amp;BG$2,FECHA_BOV1,"&lt;="&amp;BG$3,CLAVE_BOV1,$A107)+SUMIFS(SALIDAS_BOV2,FECHA_BOV2,"&gt;="&amp;BG$2,FECHA_BOV2,"&lt;="&amp;BG$3,CLAVE_BOV2,$A107)+SUMIFS(SALIDAS_BOV3,FECHA_BOV3,"&gt;="&amp;BG$2,FECHA_BOV3,"&lt;="&amp;BG$3,CLAVE_BOV3,$A107)+SUMIFS(SALIDAS_TC,FECHA_TC,"&gt;="&amp;BG$2,FECHA_TC,"&lt;="&amp;BG$3,CLAVE_TC,$A107)+SUMIFS(SALIDAS_COMB,FECHA_COMB,"&gt;="&amp;BG$2,FECHA_COMB,"&lt;="&amp;BG$3,CLAVE_COMB,$A107)+SUMIFS(SALIDAS_DES,FECHA_DESGLOSEN,"&gt;="&amp;BG$2,FECHA_DESGLOSEN,"&lt;="&amp;BG$3,CLAVE_DESGLOSE,$A107)</f>
        <v>0</v>
      </c>
      <c r="BH107" s="13">
        <f>SUMIFS(SALIDAS_BIT,FECHA_BIT,"&gt;="&amp;BH$2,FECHA_BIT,"&lt;="&amp;BH$3,CLAVE_BIT,$A107)+SUMIFS(SALIDAS_BOV1,FECHA_BOV1,"&gt;="&amp;BH$2,FECHA_BOV1,"&lt;="&amp;BH$3,CLAVE_BOV1,$A107)+SUMIFS(SALIDAS_BOV2,FECHA_BOV2,"&gt;="&amp;BH$2,FECHA_BOV2,"&lt;="&amp;BH$3,CLAVE_BOV2,$A107)+SUMIFS(SALIDAS_BOV3,FECHA_BOV3,"&gt;="&amp;BH$2,FECHA_BOV3,"&lt;="&amp;BH$3,CLAVE_BOV3,$A107)+SUMIFS(SALIDAS_TC,FECHA_TC,"&gt;="&amp;BH$2,FECHA_TC,"&lt;="&amp;BH$3,CLAVE_TC,$A107)+SUMIFS(SALIDAS_COMB,FECHA_COMB,"&gt;="&amp;BH$2,FECHA_COMB,"&lt;="&amp;BH$3,CLAVE_COMB,$A107)+SUMIFS(SALIDAS_DES,FECHA_DESGLOSEN,"&gt;="&amp;BH$2,FECHA_DESGLOSEN,"&lt;="&amp;BH$3,CLAVE_DESGLOSE,$A107)</f>
        <v>0</v>
      </c>
      <c r="BI107" s="13">
        <f t="shared" si="121"/>
        <v>0</v>
      </c>
      <c r="BJ107" s="68">
        <f t="shared" si="161"/>
        <v>2000</v>
      </c>
      <c r="BK107" s="268">
        <f t="shared" si="162"/>
        <v>0</v>
      </c>
      <c r="BL107" s="13">
        <f t="shared" si="163"/>
        <v>2000</v>
      </c>
      <c r="BM107" s="13">
        <f>SUMIFS(SALIDAS_BIT,FECHA_BIT,"&gt;="&amp;BM$2,FECHA_BIT,"&lt;="&amp;BM$3,CLAVE_BIT,$A107)+SUMIFS(SALIDAS_BOV1,FECHA_BOV1,"&gt;="&amp;BM$2,FECHA_BOV1,"&lt;="&amp;BM$3,CLAVE_BOV1,$A107)+SUMIFS(SALIDAS_BOV2,FECHA_BOV2,"&gt;="&amp;BM$2,FECHA_BOV2,"&lt;="&amp;BM$3,CLAVE_BOV2,$A107)+SUMIFS(SALIDAS_BOV3,FECHA_BOV3,"&gt;="&amp;BM$2,FECHA_BOV3,"&lt;="&amp;BM$3,CLAVE_BOV3,$A107)+SUMIFS(SALIDAS_TC,FECHA_TC,"&gt;="&amp;BM$2,FECHA_TC,"&lt;="&amp;BM$3,CLAVE_TC,$A107)+SUMIFS(SALIDAS_COMB,FECHA_COMB,"&gt;="&amp;BM$2,FECHA_COMB,"&lt;="&amp;BM$3,CLAVE_COMB,$A107)+SUMIFS(SALIDAS_DES,FECHA_DESGLOSEN,"&gt;="&amp;BM$2,FECHA_DESGLOSEN,"&lt;="&amp;BM$3,CLAVE_DESGLOSE,$A107)</f>
        <v>0</v>
      </c>
      <c r="BN107" s="13">
        <f>SUMIFS(SALIDAS_BIT,FECHA_BIT,"&gt;="&amp;BN$2,FECHA_BIT,"&lt;="&amp;BN$3,CLAVE_BIT,$A107)+SUMIFS(SALIDAS_BOV1,FECHA_BOV1,"&gt;="&amp;BN$2,FECHA_BOV1,"&lt;="&amp;BN$3,CLAVE_BOV1,$A107)+SUMIFS(SALIDAS_BOV2,FECHA_BOV2,"&gt;="&amp;BN$2,FECHA_BOV2,"&lt;="&amp;BN$3,CLAVE_BOV2,$A107)+SUMIFS(SALIDAS_BOV3,FECHA_BOV3,"&gt;="&amp;BN$2,FECHA_BOV3,"&lt;="&amp;BN$3,CLAVE_BOV3,$A107)+SUMIFS(SALIDAS_TC,FECHA_TC,"&gt;="&amp;BN$2,FECHA_TC,"&lt;="&amp;BN$3,CLAVE_TC,$A107)+SUMIFS(SALIDAS_COMB,FECHA_COMB,"&gt;="&amp;BN$2,FECHA_COMB,"&lt;="&amp;BN$3,CLAVE_COMB,$A107)+SUMIFS(SALIDAS_DES,FECHA_DESGLOSEN,"&gt;="&amp;BN$2,FECHA_DESGLOSEN,"&lt;="&amp;BN$3,CLAVE_DESGLOSE,$A107)</f>
        <v>0</v>
      </c>
      <c r="BO107" s="13">
        <f>SUMIFS(SALIDAS_BIT,FECHA_BIT,"&gt;="&amp;BO$2,FECHA_BIT,"&lt;="&amp;BO$3,CLAVE_BIT,$A107)+SUMIFS(SALIDAS_BOV1,FECHA_BOV1,"&gt;="&amp;BO$2,FECHA_BOV1,"&lt;="&amp;BO$3,CLAVE_BOV1,$A107)+SUMIFS(SALIDAS_BOV2,FECHA_BOV2,"&gt;="&amp;BO$2,FECHA_BOV2,"&lt;="&amp;BO$3,CLAVE_BOV2,$A107)+SUMIFS(SALIDAS_BOV3,FECHA_BOV3,"&gt;="&amp;BO$2,FECHA_BOV3,"&lt;="&amp;BO$3,CLAVE_BOV3,$A107)+SUMIFS(SALIDAS_TC,FECHA_TC,"&gt;="&amp;BO$2,FECHA_TC,"&lt;="&amp;BO$3,CLAVE_TC,$A107)+SUMIFS(SALIDAS_COMB,FECHA_COMB,"&gt;="&amp;BO$2,FECHA_COMB,"&lt;="&amp;BO$3,CLAVE_COMB,$A107)+SUMIFS(SALIDAS_DES,FECHA_DESGLOSEN,"&gt;="&amp;BO$2,FECHA_DESGLOSEN,"&lt;="&amp;BO$3,CLAVE_DESGLOSE,$A107)</f>
        <v>0</v>
      </c>
      <c r="BP107" s="13">
        <f>SUMIFS(SALIDAS_BIT,FECHA_BIT,"&gt;="&amp;BP$2,FECHA_BIT,"&lt;="&amp;BP$3,CLAVE_BIT,$A107)+SUMIFS(SALIDAS_BOV1,FECHA_BOV1,"&gt;="&amp;BP$2,FECHA_BOV1,"&lt;="&amp;BP$3,CLAVE_BOV1,$A107)+SUMIFS(SALIDAS_BOV2,FECHA_BOV2,"&gt;="&amp;BP$2,FECHA_BOV2,"&lt;="&amp;BP$3,CLAVE_BOV2,$A107)+SUMIFS(SALIDAS_BOV3,FECHA_BOV3,"&gt;="&amp;BP$2,FECHA_BOV3,"&lt;="&amp;BP$3,CLAVE_BOV3,$A107)+SUMIFS(SALIDAS_TC,FECHA_TC,"&gt;="&amp;BP$2,FECHA_TC,"&lt;="&amp;BP$3,CLAVE_TC,$A107)+SUMIFS(SALIDAS_COMB,FECHA_COMB,"&gt;="&amp;BP$2,FECHA_COMB,"&lt;="&amp;BP$3,CLAVE_COMB,$A107)+SUMIFS(SALIDAS_DES,FECHA_DESGLOSEN,"&gt;="&amp;BP$2,FECHA_DESGLOSEN,"&lt;="&amp;BP$3,CLAVE_DESGLOSE,$A107)</f>
        <v>0</v>
      </c>
      <c r="BQ107" s="13">
        <f>SUMIFS(SALIDAS_BIT,FECHA_BIT,"&gt;="&amp;BQ$2,FECHA_BIT,"&lt;="&amp;BQ$3,CLAVE_BIT,$A107)+SUMIFS(SALIDAS_BOV1,FECHA_BOV1,"&gt;="&amp;BQ$2,FECHA_BOV1,"&lt;="&amp;BQ$3,CLAVE_BOV1,$A107)+SUMIFS(SALIDAS_BOV2,FECHA_BOV2,"&gt;="&amp;BQ$2,FECHA_BOV2,"&lt;="&amp;BQ$3,CLAVE_BOV2,$A107)+SUMIFS(SALIDAS_BOV3,FECHA_BOV3,"&gt;="&amp;BQ$2,FECHA_BOV3,"&lt;="&amp;BQ$3,CLAVE_BOV3,$A107)+SUMIFS(SALIDAS_TC,FECHA_TC,"&gt;="&amp;BQ$2,FECHA_TC,"&lt;="&amp;BQ$3,CLAVE_TC,$A107)+SUMIFS(SALIDAS_COMB,FECHA_COMB,"&gt;="&amp;BQ$2,FECHA_COMB,"&lt;="&amp;BQ$3,CLAVE_COMB,$A107)+SUMIFS(SALIDAS_DES,FECHA_DESGLOSEN,"&gt;="&amp;BQ$2,FECHA_DESGLOSEN,"&lt;="&amp;BQ$3,CLAVE_DESGLOSE,$A107)</f>
        <v>0</v>
      </c>
      <c r="BR107" s="13">
        <f t="shared" ref="BM107:BR116" si="211">SUMIFS(SALIDAS_BIT,FECHA_BIT,"&gt;="&amp;BR$2,FECHA_BIT,"&lt;="&amp;BR$3,CLAVE_BIT,$A107)+SUMIFS(SALIDAS_BOV1,FECHA_BOV1,"&gt;="&amp;BR$2,FECHA_BOV1,"&lt;="&amp;BR$3,CLAVE_BOV1,$A107)+SUMIFS(SALIDAS_BOV2,FECHA_BOV2,"&gt;="&amp;BR$2,FECHA_BOV2,"&lt;="&amp;BR$3,CLAVE_BOV2,$A107)+SUMIFS(SALIDAS_BOV3,FECHA_BOV3,"&gt;="&amp;BR$2,FECHA_BOV3,"&lt;="&amp;BR$3,CLAVE_BOV3,$A107)+SUMIFS(SALIDAS_TC,FECHA_TC,"&gt;="&amp;BR$2,FECHA_TC,"&lt;="&amp;BR$3,CLAVE_TC,$A107)+SUMIFS(SALIDAS_COMB,FECHA_COMB,"&gt;="&amp;BR$2,FECHA_COMB,"&lt;="&amp;BR$3,CLAVE_COMB,$A107)+SUMIFS(SALIDAS_DES,FECHA_DESGLOSEN,"&gt;="&amp;BR$2,FECHA_DESGLOSEN,"&lt;="&amp;BR$3,CLAVE_DESGLOSE,$A107)</f>
        <v>0</v>
      </c>
      <c r="BS107" s="68">
        <f t="shared" si="164"/>
        <v>2000</v>
      </c>
      <c r="BT107" s="268">
        <f t="shared" si="165"/>
        <v>0</v>
      </c>
      <c r="BU107" s="13">
        <f t="shared" si="166"/>
        <v>2000</v>
      </c>
      <c r="BV107" s="13">
        <f t="shared" si="186"/>
        <v>0</v>
      </c>
      <c r="BW107" s="13">
        <f t="shared" si="186"/>
        <v>0</v>
      </c>
      <c r="BX107" s="13">
        <f t="shared" si="186"/>
        <v>0</v>
      </c>
      <c r="BY107" s="13">
        <f t="shared" si="186"/>
        <v>0</v>
      </c>
      <c r="BZ107" s="13">
        <f t="shared" ref="BV107:BZ116" si="212">SUMIFS(SALIDAS_BIT,FECHA_BIT,"&gt;="&amp;BZ$2,FECHA_BIT,"&lt;="&amp;BZ$3,CLAVE_BIT,$A107)+SUMIFS(SALIDAS_BOV1,FECHA_BOV1,"&gt;="&amp;BZ$2,FECHA_BOV1,"&lt;="&amp;BZ$3,CLAVE_BOV1,$A107)+SUMIFS(SALIDAS_BOV2,FECHA_BOV2,"&gt;="&amp;BZ$2,FECHA_BOV2,"&lt;="&amp;BZ$3,CLAVE_BOV2,$A107)+SUMIFS(SALIDAS_BOV3,FECHA_BOV3,"&gt;="&amp;BZ$2,FECHA_BOV3,"&lt;="&amp;BZ$3,CLAVE_BOV3,$A107)+SUMIFS(SALIDAS_TC,FECHA_TC,"&gt;="&amp;BZ$2,FECHA_TC,"&lt;="&amp;BZ$3,CLAVE_TC,$A107)+SUMIFS(SALIDAS_COMB,FECHA_COMB,"&gt;="&amp;BZ$2,FECHA_COMB,"&lt;="&amp;BZ$3,CLAVE_COMB,$A107)+SUMIFS(SALIDAS_DES,FECHA_DESGLOSEN,"&gt;="&amp;BZ$2,FECHA_DESGLOSEN,"&lt;="&amp;BZ$3,CLAVE_DESGLOSE,$A107)</f>
        <v>0</v>
      </c>
      <c r="CA107" s="68">
        <f t="shared" si="167"/>
        <v>2000</v>
      </c>
      <c r="CB107" s="268">
        <f t="shared" si="168"/>
        <v>0</v>
      </c>
      <c r="CC107" s="13">
        <f t="shared" si="169"/>
        <v>2000</v>
      </c>
      <c r="CD107" s="13">
        <f t="shared" si="187"/>
        <v>0</v>
      </c>
      <c r="CE107" s="13">
        <f t="shared" si="187"/>
        <v>0</v>
      </c>
      <c r="CF107" s="13">
        <f t="shared" si="187"/>
        <v>0</v>
      </c>
      <c r="CG107" s="13">
        <f t="shared" si="187"/>
        <v>0</v>
      </c>
      <c r="CH107" s="13">
        <f t="shared" ref="CD107:CH116" si="213">SUMIFS(SALIDAS_BIT,FECHA_BIT,"&gt;="&amp;CH$2,FECHA_BIT,"&lt;="&amp;CH$3,CLAVE_BIT,$A107)+SUMIFS(SALIDAS_BOV1,FECHA_BOV1,"&gt;="&amp;CH$2,FECHA_BOV1,"&lt;="&amp;CH$3,CLAVE_BOV1,$A107)+SUMIFS(SALIDAS_BOV2,FECHA_BOV2,"&gt;="&amp;CH$2,FECHA_BOV2,"&lt;="&amp;CH$3,CLAVE_BOV2,$A107)+SUMIFS(SALIDAS_BOV3,FECHA_BOV3,"&gt;="&amp;CH$2,FECHA_BOV3,"&lt;="&amp;CH$3,CLAVE_BOV3,$A107)+SUMIFS(SALIDAS_TC,FECHA_TC,"&gt;="&amp;CH$2,FECHA_TC,"&lt;="&amp;CH$3,CLAVE_TC,$A107)+SUMIFS(SALIDAS_COMB,FECHA_COMB,"&gt;="&amp;CH$2,FECHA_COMB,"&lt;="&amp;CH$3,CLAVE_COMB,$A107)+SUMIFS(SALIDAS_DES,FECHA_DESGLOSEN,"&gt;="&amp;CH$2,FECHA_DESGLOSEN,"&lt;="&amp;CH$3,CLAVE_DESGLOSE,$A107)</f>
        <v>0</v>
      </c>
      <c r="CI107" s="68">
        <f t="shared" si="170"/>
        <v>2000</v>
      </c>
      <c r="CJ107" s="268">
        <f t="shared" si="171"/>
        <v>0</v>
      </c>
      <c r="CK107" s="13">
        <f t="shared" si="172"/>
        <v>2000</v>
      </c>
      <c r="CL107" s="13">
        <f t="shared" si="176"/>
        <v>0</v>
      </c>
      <c r="CM107" s="13">
        <f t="shared" si="176"/>
        <v>0</v>
      </c>
      <c r="CN107" s="13">
        <f t="shared" si="176"/>
        <v>0</v>
      </c>
      <c r="CO107" s="13">
        <f t="shared" si="176"/>
        <v>0</v>
      </c>
      <c r="CP107" s="13">
        <f t="shared" si="176"/>
        <v>0</v>
      </c>
      <c r="CQ107" s="13">
        <f t="shared" ref="CL107:CQ116" si="214">SUMIFS(SALIDAS_BIT,FECHA_BIT,"&gt;="&amp;CQ$2,FECHA_BIT,"&lt;="&amp;CQ$3,CLAVE_BIT,$A107)+SUMIFS(SALIDAS_BOV1,FECHA_BOV1,"&gt;="&amp;CQ$2,FECHA_BOV1,"&lt;="&amp;CQ$3,CLAVE_BOV1,$A107)+SUMIFS(SALIDAS_BOV2,FECHA_BOV2,"&gt;="&amp;CQ$2,FECHA_BOV2,"&lt;="&amp;CQ$3,CLAVE_BOV2,$A107)+SUMIFS(SALIDAS_BOV3,FECHA_BOV3,"&gt;="&amp;CQ$2,FECHA_BOV3,"&lt;="&amp;CQ$3,CLAVE_BOV3,$A107)+SUMIFS(SALIDAS_TC,FECHA_TC,"&gt;="&amp;CQ$2,FECHA_TC,"&lt;="&amp;CQ$3,CLAVE_TC,$A107)+SUMIFS(SALIDAS_COMB,FECHA_COMB,"&gt;="&amp;CQ$2,FECHA_COMB,"&lt;="&amp;CQ$3,CLAVE_COMB,$A107)+SUMIFS(SALIDAS_DES,FECHA_DESGLOSEN,"&gt;="&amp;CQ$2,FECHA_DESGLOSEN,"&lt;="&amp;CQ$3,CLAVE_DESGLOSE,$A107)</f>
        <v>0</v>
      </c>
      <c r="CR107" s="68">
        <f t="shared" si="173"/>
        <v>2000</v>
      </c>
      <c r="CS107" s="268">
        <f t="shared" si="174"/>
        <v>0</v>
      </c>
      <c r="CT107" s="68">
        <f t="shared" si="147"/>
        <v>2000</v>
      </c>
      <c r="CU107" s="13">
        <f>SUMIFS(SALIDAS_BIT,FECHA_BIT,"&gt;="&amp;CU$2,FECHA_BIT,"&lt;="&amp;CU$3,CLAVE_BIT,$A107)+SUMIFS(SALIDAS_BOV1,FECHA_BOV1,"&gt;="&amp;CU$2,FECHA_BOV1,"&lt;="&amp;CU$3,CLAVE_BOV1,$A107)+SUMIFS(SALIDAS_BOV2,FECHA_BOV2,"&gt;="&amp;CU$2,FECHA_BOV2,"&lt;="&amp;CU$3,CLAVE_BOV2,$A107)+SUMIFS(SALIDAS_BOV3,FECHA_BOV3,"&gt;="&amp;CU$2,FECHA_BOV3,"&lt;="&amp;CU$3,CLAVE_BOV3,$A107)+SUMIFS(SALIDAS_TC,FECHA_TC,"&gt;="&amp;CU$2,FECHA_TC,"&lt;="&amp;CU$3,CLAVE_TC,$A107)+SUMIFS(SALIDAS_COMB,FECHA_COMB,"&gt;="&amp;CU$2,FECHA_COMB,"&lt;="&amp;CU$3,CLAVE_COMB,$A107)+SUMIFS(SALIDAS_DES,FECHA_DESGLOSEN,"&gt;="&amp;CU$2,FECHA_DESGLOSEN,"&lt;="&amp;CU$3,CLAVE_DESGLOSE,$A107)</f>
        <v>0</v>
      </c>
      <c r="CV107" s="13">
        <f>SUMIFS(SALIDAS_BIT,FECHA_BIT,"&gt;="&amp;CV$2,FECHA_BIT,"&lt;="&amp;CV$3,CLAVE_BIT,$A107)+SUMIFS(SALIDAS_BOV1,FECHA_BOV1,"&gt;="&amp;CV$2,FECHA_BOV1,"&lt;="&amp;CV$3,CLAVE_BOV1,$A107)+SUMIFS(SALIDAS_BOV2,FECHA_BOV2,"&gt;="&amp;CV$2,FECHA_BOV2,"&lt;="&amp;CV$3,CLAVE_BOV2,$A107)+SUMIFS(SALIDAS_BOV3,FECHA_BOV3,"&gt;="&amp;CV$2,FECHA_BOV3,"&lt;="&amp;CV$3,CLAVE_BOV3,$A107)+SUMIFS(SALIDAS_TC,FECHA_TC,"&gt;="&amp;CV$2,FECHA_TC,"&lt;="&amp;CV$3,CLAVE_TC,$A107)+SUMIFS(SALIDAS_COMB,FECHA_COMB,"&gt;="&amp;CV$2,FECHA_COMB,"&lt;="&amp;CV$3,CLAVE_COMB,$A107)+SUMIFS(SALIDAS_DES,FECHA_DESGLOSEN,"&gt;="&amp;CV$2,FECHA_DESGLOSEN,"&lt;="&amp;CV$3,CLAVE_DESGLOSE,$A107)</f>
        <v>0</v>
      </c>
      <c r="CW107" s="13">
        <f>SUMIFS(SALIDAS_BIT,FECHA_BIT,"&gt;="&amp;CW$2,FECHA_BIT,"&lt;="&amp;CW$3,CLAVE_BIT,$A107)+SUMIFS(SALIDAS_BOV1,FECHA_BOV1,"&gt;="&amp;CW$2,FECHA_BOV1,"&lt;="&amp;CW$3,CLAVE_BOV1,$A107)+SUMIFS(SALIDAS_BOV2,FECHA_BOV2,"&gt;="&amp;CW$2,FECHA_BOV2,"&lt;="&amp;CW$3,CLAVE_BOV2,$A107)+SUMIFS(SALIDAS_BOV3,FECHA_BOV3,"&gt;="&amp;CW$2,FECHA_BOV3,"&lt;="&amp;CW$3,CLAVE_BOV3,$A107)+SUMIFS(SALIDAS_TC,FECHA_TC,"&gt;="&amp;CW$2,FECHA_TC,"&lt;="&amp;CW$3,CLAVE_TC,$A107)+SUMIFS(SALIDAS_COMB,FECHA_COMB,"&gt;="&amp;CW$2,FECHA_COMB,"&lt;="&amp;CW$3,CLAVE_COMB,$A107)+SUMIFS(SALIDAS_DES,FECHA_DESGLOSEN,"&gt;="&amp;CW$2,FECHA_DESGLOSEN,"&lt;="&amp;CW$3,CLAVE_DESGLOSE,$A107)</f>
        <v>0</v>
      </c>
      <c r="CX107" s="13">
        <f>SUMIFS(SALIDAS_BIT,FECHA_BIT,"&gt;="&amp;CX$2,FECHA_BIT,"&lt;="&amp;CX$3,CLAVE_BIT,$A107)+SUMIFS(SALIDAS_BOV1,FECHA_BOV1,"&gt;="&amp;CX$2,FECHA_BOV1,"&lt;="&amp;CX$3,CLAVE_BOV1,$A107)+SUMIFS(SALIDAS_BOV2,FECHA_BOV2,"&gt;="&amp;CX$2,FECHA_BOV2,"&lt;="&amp;CX$3,CLAVE_BOV2,$A107)+SUMIFS(SALIDAS_BOV3,FECHA_BOV3,"&gt;="&amp;CX$2,FECHA_BOV3,"&lt;="&amp;CX$3,CLAVE_BOV3,$A107)+SUMIFS(SALIDAS_TC,FECHA_TC,"&gt;="&amp;CX$2,FECHA_TC,"&lt;="&amp;CX$3,CLAVE_TC,$A107)+SUMIFS(SALIDAS_COMB,FECHA_COMB,"&gt;="&amp;CX$2,FECHA_COMB,"&lt;="&amp;CX$3,CLAVE_COMB,$A107)+SUMIFS(SALIDAS_DES,FECHA_DESGLOSEN,"&gt;="&amp;CX$2,FECHA_DESGLOSEN,"&lt;="&amp;CX$3,CLAVE_DESGLOSE,$A107)</f>
        <v>0</v>
      </c>
      <c r="CY107" s="13">
        <f>SUMIFS(SALIDAS_BIT,FECHA_BIT,"&gt;="&amp;CY$2,FECHA_BIT,"&lt;="&amp;CY$3,CLAVE_BIT,$A107)+SUMIFS(SALIDAS_BOV1,FECHA_BOV1,"&gt;="&amp;CY$2,FECHA_BOV1,"&lt;="&amp;CY$3,CLAVE_BOV1,$A107)+SUMIFS(SALIDAS_BOV2,FECHA_BOV2,"&gt;="&amp;CY$2,FECHA_BOV2,"&lt;="&amp;CY$3,CLAVE_BOV2,$A107)+SUMIFS(SALIDAS_BOV3,FECHA_BOV3,"&gt;="&amp;CY$2,FECHA_BOV3,"&lt;="&amp;CY$3,CLAVE_BOV3,$A107)+SUMIFS(SALIDAS_TC,FECHA_TC,"&gt;="&amp;CY$2,FECHA_TC,"&lt;="&amp;CY$3,CLAVE_TC,$A107)+SUMIFS(SALIDAS_COMB,FECHA_COMB,"&gt;="&amp;CY$2,FECHA_COMB,"&lt;="&amp;CY$3,CLAVE_COMB,$A107)+SUMIFS(SALIDAS_DES,FECHA_DESGLOSEN,"&gt;="&amp;CY$2,FECHA_DESGLOSEN,"&lt;="&amp;CY$3,CLAVE_DESGLOSE,$A107)</f>
        <v>0</v>
      </c>
      <c r="CZ107" s="68">
        <f t="shared" si="175"/>
        <v>2000</v>
      </c>
      <c r="DB107" s="17">
        <f>F107+N107+W107+AE107+AM107+AV107+BD107+BL107+BU107+CC107+CK107</f>
        <v>22000</v>
      </c>
      <c r="DC107" s="17">
        <f>K107+T107+AB107+AJ107+AS107+BA107+BI107+BR107+BZ107+CH107+CQ107</f>
        <v>0</v>
      </c>
    </row>
    <row r="108" spans="1:107" hidden="1">
      <c r="A108" s="12" t="str">
        <f t="shared" si="148"/>
        <v>HRENERGIA ELECTRICAA1</v>
      </c>
      <c r="B108" s="12">
        <v>110</v>
      </c>
      <c r="C108" t="s">
        <v>29</v>
      </c>
      <c r="D108" s="12" t="s">
        <v>87</v>
      </c>
      <c r="E108" s="12" t="s">
        <v>88</v>
      </c>
      <c r="F108" s="259">
        <f t="shared" si="141"/>
        <v>7104</v>
      </c>
      <c r="G108" s="13">
        <f t="shared" si="206"/>
        <v>0</v>
      </c>
      <c r="H108" s="13">
        <f t="shared" si="206"/>
        <v>5917</v>
      </c>
      <c r="I108" s="13">
        <f t="shared" si="206"/>
        <v>0</v>
      </c>
      <c r="J108" s="13">
        <f t="shared" si="206"/>
        <v>0</v>
      </c>
      <c r="K108" s="13">
        <f t="shared" si="206"/>
        <v>5917</v>
      </c>
      <c r="L108" s="68">
        <f t="shared" si="149"/>
        <v>1187</v>
      </c>
      <c r="M108" s="268">
        <f t="shared" si="150"/>
        <v>0.832911036036036</v>
      </c>
      <c r="N108" s="13">
        <f t="shared" si="142"/>
        <v>5920</v>
      </c>
      <c r="O108" s="13">
        <f t="shared" si="207"/>
        <v>0</v>
      </c>
      <c r="P108" s="13">
        <f t="shared" si="207"/>
        <v>6267</v>
      </c>
      <c r="Q108" s="13">
        <f t="shared" si="207"/>
        <v>0</v>
      </c>
      <c r="R108" s="13">
        <f t="shared" si="207"/>
        <v>0</v>
      </c>
      <c r="S108" s="13">
        <f t="shared" si="207"/>
        <v>0</v>
      </c>
      <c r="T108" s="13">
        <f t="shared" si="207"/>
        <v>6267</v>
      </c>
      <c r="U108" s="68">
        <f t="shared" si="151"/>
        <v>-347</v>
      </c>
      <c r="V108" s="268">
        <f t="shared" si="152"/>
        <v>1.0586148648648648</v>
      </c>
      <c r="W108" s="13">
        <f t="shared" si="143"/>
        <v>5235</v>
      </c>
      <c r="X108" s="13">
        <f t="shared" si="208"/>
        <v>5587</v>
      </c>
      <c r="Y108" s="13">
        <f t="shared" si="208"/>
        <v>0</v>
      </c>
      <c r="Z108" s="13">
        <f t="shared" si="208"/>
        <v>0</v>
      </c>
      <c r="AA108" s="13">
        <f t="shared" si="208"/>
        <v>0</v>
      </c>
      <c r="AB108" s="13">
        <f t="shared" si="208"/>
        <v>5587</v>
      </c>
      <c r="AC108" s="68">
        <f t="shared" si="153"/>
        <v>-352</v>
      </c>
      <c r="AD108" s="268">
        <f t="shared" si="154"/>
        <v>1.0672397325692455</v>
      </c>
      <c r="AE108" s="13">
        <f t="shared" si="144"/>
        <v>0</v>
      </c>
      <c r="AF108" s="13">
        <f t="shared" si="209"/>
        <v>5953</v>
      </c>
      <c r="AG108" s="13">
        <f t="shared" si="209"/>
        <v>0</v>
      </c>
      <c r="AH108" s="13">
        <f t="shared" si="209"/>
        <v>0</v>
      </c>
      <c r="AI108" s="13">
        <f t="shared" si="209"/>
        <v>0</v>
      </c>
      <c r="AJ108" s="13">
        <f t="shared" si="209"/>
        <v>5953</v>
      </c>
      <c r="AK108" s="68">
        <f t="shared" si="155"/>
        <v>-5953</v>
      </c>
      <c r="AL108" s="268">
        <f t="shared" si="156"/>
        <v>0</v>
      </c>
      <c r="AM108" s="13">
        <f t="shared" si="145"/>
        <v>6674</v>
      </c>
      <c r="AN108" s="13">
        <f t="shared" si="210"/>
        <v>0</v>
      </c>
      <c r="AO108" s="13">
        <f t="shared" si="210"/>
        <v>7323</v>
      </c>
      <c r="AP108" s="13">
        <f t="shared" si="210"/>
        <v>0</v>
      </c>
      <c r="AQ108" s="13">
        <f t="shared" si="210"/>
        <v>0</v>
      </c>
      <c r="AR108" s="13">
        <f t="shared" si="210"/>
        <v>0</v>
      </c>
      <c r="AS108" s="13">
        <f t="shared" si="210"/>
        <v>7323</v>
      </c>
      <c r="AT108" s="68">
        <f>AM108-AS108</f>
        <v>-649</v>
      </c>
      <c r="AU108" s="268">
        <f t="shared" si="157"/>
        <v>1.0972430326640694</v>
      </c>
      <c r="AV108" s="13">
        <f t="shared" si="146"/>
        <v>7273</v>
      </c>
      <c r="AW108" s="13">
        <f t="shared" si="119"/>
        <v>7209</v>
      </c>
      <c r="AX108" s="13">
        <f t="shared" si="119"/>
        <v>0</v>
      </c>
      <c r="AY108" s="13">
        <f t="shared" si="119"/>
        <v>0</v>
      </c>
      <c r="AZ108" s="13">
        <f t="shared" si="119"/>
        <v>0</v>
      </c>
      <c r="BA108" s="13">
        <f t="shared" si="120"/>
        <v>7209</v>
      </c>
      <c r="BB108" s="68">
        <f t="shared" si="158"/>
        <v>64</v>
      </c>
      <c r="BC108" s="268">
        <f t="shared" si="159"/>
        <v>0.99120032998762542</v>
      </c>
      <c r="BD108" s="13">
        <f t="shared" si="160"/>
        <v>6924</v>
      </c>
      <c r="BE108" s="13">
        <f>SUMIFS(SALIDAS_BIT,FECHA_BIT,"&gt;="&amp;BE$2,FECHA_BIT,"&lt;="&amp;BE$3,CLAVE_BIT,$A108)+SUMIFS(SALIDAS_BOV1,FECHA_BOV1,"&gt;="&amp;BE$2,FECHA_BOV1,"&lt;="&amp;BE$3,CLAVE_BOV1,$A108)+SUMIFS(SALIDAS_BOV2,FECHA_BOV2,"&gt;="&amp;BE$2,FECHA_BOV2,"&lt;="&amp;BE$3,CLAVE_BOV2,$A108)+SUMIFS(SALIDAS_BOV3,FECHA_BOV3,"&gt;="&amp;BE$2,FECHA_BOV3,"&lt;="&amp;BE$3,CLAVE_BOV3,$A108)+SUMIFS(SALIDAS_TC,FECHA_TC,"&gt;="&amp;BE$2,FECHA_TC,"&lt;="&amp;BE$3,CLAVE_TC,$A108)+SUMIFS(SALIDAS_COMB,FECHA_COMB,"&gt;="&amp;BE$2,FECHA_COMB,"&lt;="&amp;BE$3,CLAVE_COMB,$A108)+SUMIFS(SALIDAS_DES,FECHA_DESGLOSEN,"&gt;="&amp;BE$2,FECHA_DESGLOSEN,"&lt;="&amp;BE$3,CLAVE_DESGLOSE,$A108)</f>
        <v>7570</v>
      </c>
      <c r="BF108" s="13">
        <f>SUMIFS(SALIDAS_BIT,FECHA_BIT,"&gt;="&amp;BF$2,FECHA_BIT,"&lt;="&amp;BF$3,CLAVE_BIT,$A108)+SUMIFS(SALIDAS_BOV1,FECHA_BOV1,"&gt;="&amp;BF$2,FECHA_BOV1,"&lt;="&amp;BF$3,CLAVE_BOV1,$A108)+SUMIFS(SALIDAS_BOV2,FECHA_BOV2,"&gt;="&amp;BF$2,FECHA_BOV2,"&lt;="&amp;BF$3,CLAVE_BOV2,$A108)+SUMIFS(SALIDAS_BOV3,FECHA_BOV3,"&gt;="&amp;BF$2,FECHA_BOV3,"&lt;="&amp;BF$3,CLAVE_BOV3,$A108)+SUMIFS(SALIDAS_TC,FECHA_TC,"&gt;="&amp;BF$2,FECHA_TC,"&lt;="&amp;BF$3,CLAVE_TC,$A108)+SUMIFS(SALIDAS_COMB,FECHA_COMB,"&gt;="&amp;BF$2,FECHA_COMB,"&lt;="&amp;BF$3,CLAVE_COMB,$A108)+SUMIFS(SALIDAS_DES,FECHA_DESGLOSEN,"&gt;="&amp;BF$2,FECHA_DESGLOSEN,"&lt;="&amp;BF$3,CLAVE_DESGLOSE,$A108)</f>
        <v>0</v>
      </c>
      <c r="BG108" s="13">
        <f>SUMIFS(SALIDAS_BIT,FECHA_BIT,"&gt;="&amp;BG$2,FECHA_BIT,"&lt;="&amp;BG$3,CLAVE_BIT,$A108)+SUMIFS(SALIDAS_BOV1,FECHA_BOV1,"&gt;="&amp;BG$2,FECHA_BOV1,"&lt;="&amp;BG$3,CLAVE_BOV1,$A108)+SUMIFS(SALIDAS_BOV2,FECHA_BOV2,"&gt;="&amp;BG$2,FECHA_BOV2,"&lt;="&amp;BG$3,CLAVE_BOV2,$A108)+SUMIFS(SALIDAS_BOV3,FECHA_BOV3,"&gt;="&amp;BG$2,FECHA_BOV3,"&lt;="&amp;BG$3,CLAVE_BOV3,$A108)+SUMIFS(SALIDAS_TC,FECHA_TC,"&gt;="&amp;BG$2,FECHA_TC,"&lt;="&amp;BG$3,CLAVE_TC,$A108)+SUMIFS(SALIDAS_COMB,FECHA_COMB,"&gt;="&amp;BG$2,FECHA_COMB,"&lt;="&amp;BG$3,CLAVE_COMB,$A108)+SUMIFS(SALIDAS_DES,FECHA_DESGLOSEN,"&gt;="&amp;BG$2,FECHA_DESGLOSEN,"&lt;="&amp;BG$3,CLAVE_DESGLOSE,$A108)</f>
        <v>0</v>
      </c>
      <c r="BH108" s="13">
        <f>SUMIFS(SALIDAS_BIT,FECHA_BIT,"&gt;="&amp;BH$2,FECHA_BIT,"&lt;="&amp;BH$3,CLAVE_BIT,$A108)+SUMIFS(SALIDAS_BOV1,FECHA_BOV1,"&gt;="&amp;BH$2,FECHA_BOV1,"&lt;="&amp;BH$3,CLAVE_BOV1,$A108)+SUMIFS(SALIDAS_BOV2,FECHA_BOV2,"&gt;="&amp;BH$2,FECHA_BOV2,"&lt;="&amp;BH$3,CLAVE_BOV2,$A108)+SUMIFS(SALIDAS_BOV3,FECHA_BOV3,"&gt;="&amp;BH$2,FECHA_BOV3,"&lt;="&amp;BH$3,CLAVE_BOV3,$A108)+SUMIFS(SALIDAS_TC,FECHA_TC,"&gt;="&amp;BH$2,FECHA_TC,"&lt;="&amp;BH$3,CLAVE_TC,$A108)+SUMIFS(SALIDAS_COMB,FECHA_COMB,"&gt;="&amp;BH$2,FECHA_COMB,"&lt;="&amp;BH$3,CLAVE_COMB,$A108)+SUMIFS(SALIDAS_DES,FECHA_DESGLOSEN,"&gt;="&amp;BH$2,FECHA_DESGLOSEN,"&lt;="&amp;BH$3,CLAVE_DESGLOSE,$A108)</f>
        <v>0</v>
      </c>
      <c r="BI108" s="13">
        <f t="shared" si="121"/>
        <v>7570</v>
      </c>
      <c r="BJ108" s="68">
        <f t="shared" si="161"/>
        <v>-646</v>
      </c>
      <c r="BK108" s="268">
        <f t="shared" si="162"/>
        <v>1.0932986712882726</v>
      </c>
      <c r="BL108" s="13">
        <f t="shared" si="163"/>
        <v>31531</v>
      </c>
      <c r="BM108" s="13">
        <f>SUMIFS(SALIDAS_BIT,FECHA_BIT,"&gt;="&amp;BM$2,FECHA_BIT,"&lt;="&amp;BM$3,CLAVE_BIT,$A108)+SUMIFS(SALIDAS_BOV1,FECHA_BOV1,"&gt;="&amp;BM$2,FECHA_BOV1,"&lt;="&amp;BM$3,CLAVE_BOV1,$A108)+SUMIFS(SALIDAS_BOV2,FECHA_BOV2,"&gt;="&amp;BM$2,FECHA_BOV2,"&lt;="&amp;BM$3,CLAVE_BOV2,$A108)+SUMIFS(SALIDAS_BOV3,FECHA_BOV3,"&gt;="&amp;BM$2,FECHA_BOV3,"&lt;="&amp;BM$3,CLAVE_BOV3,$A108)+SUMIFS(SALIDAS_TC,FECHA_TC,"&gt;="&amp;BM$2,FECHA_TC,"&lt;="&amp;BM$3,CLAVE_TC,$A108)+SUMIFS(SALIDAS_COMB,FECHA_COMB,"&gt;="&amp;BM$2,FECHA_COMB,"&lt;="&amp;BM$3,CLAVE_COMB,$A108)+SUMIFS(SALIDAS_DES,FECHA_DESGLOSEN,"&gt;="&amp;BM$2,FECHA_DESGLOSEN,"&lt;="&amp;BM$3,CLAVE_DESGLOSE,$A108)</f>
        <v>0</v>
      </c>
      <c r="BN108" s="13">
        <f>SUMIFS(SALIDAS_BIT,FECHA_BIT,"&gt;="&amp;BN$2,FECHA_BIT,"&lt;="&amp;BN$3,CLAVE_BIT,$A108)+SUMIFS(SALIDAS_BOV1,FECHA_BOV1,"&gt;="&amp;BN$2,FECHA_BOV1,"&lt;="&amp;BN$3,CLAVE_BOV1,$A108)+SUMIFS(SALIDAS_BOV2,FECHA_BOV2,"&gt;="&amp;BN$2,FECHA_BOV2,"&lt;="&amp;BN$3,CLAVE_BOV2,$A108)+SUMIFS(SALIDAS_BOV3,FECHA_BOV3,"&gt;="&amp;BN$2,FECHA_BOV3,"&lt;="&amp;BN$3,CLAVE_BOV3,$A108)+SUMIFS(SALIDAS_TC,FECHA_TC,"&gt;="&amp;BN$2,FECHA_TC,"&lt;="&amp;BN$3,CLAVE_TC,$A108)+SUMIFS(SALIDAS_COMB,FECHA_COMB,"&gt;="&amp;BN$2,FECHA_COMB,"&lt;="&amp;BN$3,CLAVE_COMB,$A108)+SUMIFS(SALIDAS_DES,FECHA_DESGLOSEN,"&gt;="&amp;BN$2,FECHA_DESGLOSEN,"&lt;="&amp;BN$3,CLAVE_DESGLOSE,$A108)</f>
        <v>7463</v>
      </c>
      <c r="BO108" s="13">
        <f>SUMIFS(SALIDAS_BIT,FECHA_BIT,"&gt;="&amp;BO$2,FECHA_BIT,"&lt;="&amp;BO$3,CLAVE_BIT,$A108)+SUMIFS(SALIDAS_BOV1,FECHA_BOV1,"&gt;="&amp;BO$2,FECHA_BOV1,"&lt;="&amp;BO$3,CLAVE_BOV1,$A108)+SUMIFS(SALIDAS_BOV2,FECHA_BOV2,"&gt;="&amp;BO$2,FECHA_BOV2,"&lt;="&amp;BO$3,CLAVE_BOV2,$A108)+SUMIFS(SALIDAS_BOV3,FECHA_BOV3,"&gt;="&amp;BO$2,FECHA_BOV3,"&lt;="&amp;BO$3,CLAVE_BOV3,$A108)+SUMIFS(SALIDAS_TC,FECHA_TC,"&gt;="&amp;BO$2,FECHA_TC,"&lt;="&amp;BO$3,CLAVE_TC,$A108)+SUMIFS(SALIDAS_COMB,FECHA_COMB,"&gt;="&amp;BO$2,FECHA_COMB,"&lt;="&amp;BO$3,CLAVE_COMB,$A108)+SUMIFS(SALIDAS_DES,FECHA_DESGLOSEN,"&gt;="&amp;BO$2,FECHA_DESGLOSEN,"&lt;="&amp;BO$3,CLAVE_DESGLOSE,$A108)</f>
        <v>0</v>
      </c>
      <c r="BP108" s="13">
        <f>SUMIFS(SALIDAS_BIT,FECHA_BIT,"&gt;="&amp;BP$2,FECHA_BIT,"&lt;="&amp;BP$3,CLAVE_BIT,$A108)+SUMIFS(SALIDAS_BOV1,FECHA_BOV1,"&gt;="&amp;BP$2,FECHA_BOV1,"&lt;="&amp;BP$3,CLAVE_BOV1,$A108)+SUMIFS(SALIDAS_BOV2,FECHA_BOV2,"&gt;="&amp;BP$2,FECHA_BOV2,"&lt;="&amp;BP$3,CLAVE_BOV2,$A108)+SUMIFS(SALIDAS_BOV3,FECHA_BOV3,"&gt;="&amp;BP$2,FECHA_BOV3,"&lt;="&amp;BP$3,CLAVE_BOV3,$A108)+SUMIFS(SALIDAS_TC,FECHA_TC,"&gt;="&amp;BP$2,FECHA_TC,"&lt;="&amp;BP$3,CLAVE_TC,$A108)+SUMIFS(SALIDAS_COMB,FECHA_COMB,"&gt;="&amp;BP$2,FECHA_COMB,"&lt;="&amp;BP$3,CLAVE_COMB,$A108)+SUMIFS(SALIDAS_DES,FECHA_DESGLOSEN,"&gt;="&amp;BP$2,FECHA_DESGLOSEN,"&lt;="&amp;BP$3,CLAVE_DESGLOSE,$A108)</f>
        <v>0</v>
      </c>
      <c r="BQ108" s="13">
        <f>SUMIFS(SALIDAS_BIT,FECHA_BIT,"&gt;="&amp;BQ$2,FECHA_BIT,"&lt;="&amp;BQ$3,CLAVE_BIT,$A108)+SUMIFS(SALIDAS_BOV1,FECHA_BOV1,"&gt;="&amp;BQ$2,FECHA_BOV1,"&lt;="&amp;BQ$3,CLAVE_BOV1,$A108)+SUMIFS(SALIDAS_BOV2,FECHA_BOV2,"&gt;="&amp;BQ$2,FECHA_BOV2,"&lt;="&amp;BQ$3,CLAVE_BOV2,$A108)+SUMIFS(SALIDAS_BOV3,FECHA_BOV3,"&gt;="&amp;BQ$2,FECHA_BOV3,"&lt;="&amp;BQ$3,CLAVE_BOV3,$A108)+SUMIFS(SALIDAS_TC,FECHA_TC,"&gt;="&amp;BQ$2,FECHA_TC,"&lt;="&amp;BQ$3,CLAVE_TC,$A108)+SUMIFS(SALIDAS_COMB,FECHA_COMB,"&gt;="&amp;BQ$2,FECHA_COMB,"&lt;="&amp;BQ$3,CLAVE_COMB,$A108)+SUMIFS(SALIDAS_DES,FECHA_DESGLOSEN,"&gt;="&amp;BQ$2,FECHA_DESGLOSEN,"&lt;="&amp;BQ$3,CLAVE_DESGLOSE,$A108)</f>
        <v>0</v>
      </c>
      <c r="BR108" s="13">
        <f t="shared" si="211"/>
        <v>7463</v>
      </c>
      <c r="BS108" s="68">
        <f t="shared" si="164"/>
        <v>24068</v>
      </c>
      <c r="BT108" s="268">
        <f t="shared" si="165"/>
        <v>0.23668770416415591</v>
      </c>
      <c r="BU108" s="13">
        <f t="shared" si="166"/>
        <v>8572</v>
      </c>
      <c r="BV108" s="13">
        <f t="shared" si="186"/>
        <v>7197</v>
      </c>
      <c r="BW108" s="13">
        <f t="shared" si="186"/>
        <v>0</v>
      </c>
      <c r="BX108" s="13">
        <f t="shared" si="186"/>
        <v>0</v>
      </c>
      <c r="BY108" s="13">
        <f t="shared" si="186"/>
        <v>0</v>
      </c>
      <c r="BZ108" s="13">
        <f t="shared" si="212"/>
        <v>7197</v>
      </c>
      <c r="CA108" s="68">
        <f t="shared" si="167"/>
        <v>1375</v>
      </c>
      <c r="CB108" s="268">
        <f t="shared" si="168"/>
        <v>0.8395940270648623</v>
      </c>
      <c r="CC108" s="13">
        <f t="shared" si="169"/>
        <v>8500</v>
      </c>
      <c r="CD108" s="13">
        <f t="shared" si="187"/>
        <v>0</v>
      </c>
      <c r="CE108" s="13">
        <f t="shared" si="187"/>
        <v>6890</v>
      </c>
      <c r="CF108" s="13">
        <f t="shared" si="187"/>
        <v>0</v>
      </c>
      <c r="CG108" s="13">
        <f t="shared" si="187"/>
        <v>0</v>
      </c>
      <c r="CH108" s="13">
        <f t="shared" si="213"/>
        <v>6890</v>
      </c>
      <c r="CI108" s="68">
        <f t="shared" si="170"/>
        <v>1610</v>
      </c>
      <c r="CJ108" s="268">
        <f t="shared" si="171"/>
        <v>0.81058823529411761</v>
      </c>
      <c r="CK108" s="13">
        <f t="shared" si="172"/>
        <v>9000</v>
      </c>
      <c r="CL108" s="13">
        <f t="shared" si="176"/>
        <v>0</v>
      </c>
      <c r="CM108" s="13">
        <f t="shared" si="176"/>
        <v>0</v>
      </c>
      <c r="CN108" s="13">
        <f t="shared" si="176"/>
        <v>0</v>
      </c>
      <c r="CO108" s="13">
        <f t="shared" si="176"/>
        <v>0</v>
      </c>
      <c r="CP108" s="13">
        <f t="shared" si="176"/>
        <v>0</v>
      </c>
      <c r="CQ108" s="13">
        <f t="shared" si="214"/>
        <v>0</v>
      </c>
      <c r="CR108" s="68">
        <f t="shared" si="173"/>
        <v>9000</v>
      </c>
      <c r="CS108" s="268">
        <f t="shared" si="174"/>
        <v>0</v>
      </c>
      <c r="CT108" s="68">
        <f t="shared" si="147"/>
        <v>6500</v>
      </c>
      <c r="CU108" s="13">
        <f>SUMIFS(SALIDAS_BIT,FECHA_BIT,"&gt;="&amp;CU$2,FECHA_BIT,"&lt;="&amp;CU$3,CLAVE_BIT,$A108)+SUMIFS(SALIDAS_BOV1,FECHA_BOV1,"&gt;="&amp;CU$2,FECHA_BOV1,"&lt;="&amp;CU$3,CLAVE_BOV1,$A108)+SUMIFS(SALIDAS_BOV2,FECHA_BOV2,"&gt;="&amp;CU$2,FECHA_BOV2,"&lt;="&amp;CU$3,CLAVE_BOV2,$A108)+SUMIFS(SALIDAS_BOV3,FECHA_BOV3,"&gt;="&amp;CU$2,FECHA_BOV3,"&lt;="&amp;CU$3,CLAVE_BOV3,$A108)+SUMIFS(SALIDAS_TC,FECHA_TC,"&gt;="&amp;CU$2,FECHA_TC,"&lt;="&amp;CU$3,CLAVE_TC,$A108)+SUMIFS(SALIDAS_COMB,FECHA_COMB,"&gt;="&amp;CU$2,FECHA_COMB,"&lt;="&amp;CU$3,CLAVE_COMB,$A108)+SUMIFS(SALIDAS_DES,FECHA_DESGLOSEN,"&gt;="&amp;CU$2,FECHA_DESGLOSEN,"&lt;="&amp;CU$3,CLAVE_DESGLOSE,$A108)</f>
        <v>4407</v>
      </c>
      <c r="CV108" s="13">
        <f>SUMIFS(SALIDAS_BIT,FECHA_BIT,"&gt;="&amp;CV$2,FECHA_BIT,"&lt;="&amp;CV$3,CLAVE_BIT,$A108)+SUMIFS(SALIDAS_BOV1,FECHA_BOV1,"&gt;="&amp;CV$2,FECHA_BOV1,"&lt;="&amp;CV$3,CLAVE_BOV1,$A108)+SUMIFS(SALIDAS_BOV2,FECHA_BOV2,"&gt;="&amp;CV$2,FECHA_BOV2,"&lt;="&amp;CV$3,CLAVE_BOV2,$A108)+SUMIFS(SALIDAS_BOV3,FECHA_BOV3,"&gt;="&amp;CV$2,FECHA_BOV3,"&lt;="&amp;CV$3,CLAVE_BOV3,$A108)+SUMIFS(SALIDAS_TC,FECHA_TC,"&gt;="&amp;CV$2,FECHA_TC,"&lt;="&amp;CV$3,CLAVE_TC,$A108)+SUMIFS(SALIDAS_COMB,FECHA_COMB,"&gt;="&amp;CV$2,FECHA_COMB,"&lt;="&amp;CV$3,CLAVE_COMB,$A108)+SUMIFS(SALIDAS_DES,FECHA_DESGLOSEN,"&gt;="&amp;CV$2,FECHA_DESGLOSEN,"&lt;="&amp;CV$3,CLAVE_DESGLOSE,$A108)</f>
        <v>0</v>
      </c>
      <c r="CW108" s="13">
        <f>SUMIFS(SALIDAS_BIT,FECHA_BIT,"&gt;="&amp;CW$2,FECHA_BIT,"&lt;="&amp;CW$3,CLAVE_BIT,$A108)+SUMIFS(SALIDAS_BOV1,FECHA_BOV1,"&gt;="&amp;CW$2,FECHA_BOV1,"&lt;="&amp;CW$3,CLAVE_BOV1,$A108)+SUMIFS(SALIDAS_BOV2,FECHA_BOV2,"&gt;="&amp;CW$2,FECHA_BOV2,"&lt;="&amp;CW$3,CLAVE_BOV2,$A108)+SUMIFS(SALIDAS_BOV3,FECHA_BOV3,"&gt;="&amp;CW$2,FECHA_BOV3,"&lt;="&amp;CW$3,CLAVE_BOV3,$A108)+SUMIFS(SALIDAS_TC,FECHA_TC,"&gt;="&amp;CW$2,FECHA_TC,"&lt;="&amp;CW$3,CLAVE_TC,$A108)+SUMIFS(SALIDAS_COMB,FECHA_COMB,"&gt;="&amp;CW$2,FECHA_COMB,"&lt;="&amp;CW$3,CLAVE_COMB,$A108)+SUMIFS(SALIDAS_DES,FECHA_DESGLOSEN,"&gt;="&amp;CW$2,FECHA_DESGLOSEN,"&lt;="&amp;CW$3,CLAVE_DESGLOSE,$A108)</f>
        <v>0</v>
      </c>
      <c r="CX108" s="13">
        <f>SUMIFS(SALIDAS_BIT,FECHA_BIT,"&gt;="&amp;CX$2,FECHA_BIT,"&lt;="&amp;CX$3,CLAVE_BIT,$A108)+SUMIFS(SALIDAS_BOV1,FECHA_BOV1,"&gt;="&amp;CX$2,FECHA_BOV1,"&lt;="&amp;CX$3,CLAVE_BOV1,$A108)+SUMIFS(SALIDAS_BOV2,FECHA_BOV2,"&gt;="&amp;CX$2,FECHA_BOV2,"&lt;="&amp;CX$3,CLAVE_BOV2,$A108)+SUMIFS(SALIDAS_BOV3,FECHA_BOV3,"&gt;="&amp;CX$2,FECHA_BOV3,"&lt;="&amp;CX$3,CLAVE_BOV3,$A108)+SUMIFS(SALIDAS_TC,FECHA_TC,"&gt;="&amp;CX$2,FECHA_TC,"&lt;="&amp;CX$3,CLAVE_TC,$A108)+SUMIFS(SALIDAS_COMB,FECHA_COMB,"&gt;="&amp;CX$2,FECHA_COMB,"&lt;="&amp;CX$3,CLAVE_COMB,$A108)+SUMIFS(SALIDAS_DES,FECHA_DESGLOSEN,"&gt;="&amp;CX$2,FECHA_DESGLOSEN,"&lt;="&amp;CX$3,CLAVE_DESGLOSE,$A108)</f>
        <v>0</v>
      </c>
      <c r="CY108" s="13">
        <f>SUMIFS(SALIDAS_BIT,FECHA_BIT,"&gt;="&amp;CY$2,FECHA_BIT,"&lt;="&amp;CY$3,CLAVE_BIT,$A108)+SUMIFS(SALIDAS_BOV1,FECHA_BOV1,"&gt;="&amp;CY$2,FECHA_BOV1,"&lt;="&amp;CY$3,CLAVE_BOV1,$A108)+SUMIFS(SALIDAS_BOV2,FECHA_BOV2,"&gt;="&amp;CY$2,FECHA_BOV2,"&lt;="&amp;CY$3,CLAVE_BOV2,$A108)+SUMIFS(SALIDAS_BOV3,FECHA_BOV3,"&gt;="&amp;CY$2,FECHA_BOV3,"&lt;="&amp;CY$3,CLAVE_BOV3,$A108)+SUMIFS(SALIDAS_TC,FECHA_TC,"&gt;="&amp;CY$2,FECHA_TC,"&lt;="&amp;CY$3,CLAVE_TC,$A108)+SUMIFS(SALIDAS_COMB,FECHA_COMB,"&gt;="&amp;CY$2,FECHA_COMB,"&lt;="&amp;CY$3,CLAVE_COMB,$A108)+SUMIFS(SALIDAS_DES,FECHA_DESGLOSEN,"&gt;="&amp;CY$2,FECHA_DESGLOSEN,"&lt;="&amp;CY$3,CLAVE_DESGLOSE,$A108)</f>
        <v>4407</v>
      </c>
      <c r="CZ108" s="68">
        <f t="shared" si="175"/>
        <v>2093</v>
      </c>
      <c r="DB108" s="17">
        <f>F108+N108+W108+AE108+AM108+AV108+BD108+BL108+BU108+CC108+CK108</f>
        <v>96733</v>
      </c>
      <c r="DC108" s="17">
        <f>K108+T108+AB108+AJ108+AS108+BA108+BI108+BR108+BZ108+CH108+CQ108</f>
        <v>67376</v>
      </c>
    </row>
    <row r="109" spans="1:107" hidden="1">
      <c r="A109" s="12" t="str">
        <f t="shared" si="148"/>
        <v>HRENERGIA ELECTRICAA2</v>
      </c>
      <c r="B109" s="12">
        <v>111</v>
      </c>
      <c r="C109" t="s">
        <v>29</v>
      </c>
      <c r="D109" s="12" t="s">
        <v>87</v>
      </c>
      <c r="E109" s="12" t="s">
        <v>89</v>
      </c>
      <c r="F109" s="259">
        <f t="shared" si="141"/>
        <v>0</v>
      </c>
      <c r="G109" s="13">
        <f t="shared" si="206"/>
        <v>0</v>
      </c>
      <c r="H109" s="13">
        <f t="shared" si="206"/>
        <v>0</v>
      </c>
      <c r="I109" s="13">
        <f t="shared" si="206"/>
        <v>0</v>
      </c>
      <c r="J109" s="13">
        <f t="shared" si="206"/>
        <v>0</v>
      </c>
      <c r="K109" s="13">
        <f t="shared" si="206"/>
        <v>0</v>
      </c>
      <c r="L109" s="68">
        <f t="shared" si="149"/>
        <v>0</v>
      </c>
      <c r="M109" s="268">
        <f t="shared" si="150"/>
        <v>0</v>
      </c>
      <c r="N109" s="13">
        <f t="shared" si="142"/>
        <v>6099</v>
      </c>
      <c r="O109" s="13">
        <f t="shared" si="207"/>
        <v>10728</v>
      </c>
      <c r="P109" s="13">
        <f t="shared" si="207"/>
        <v>0</v>
      </c>
      <c r="Q109" s="13">
        <f t="shared" si="207"/>
        <v>0</v>
      </c>
      <c r="R109" s="13">
        <f t="shared" si="207"/>
        <v>2062</v>
      </c>
      <c r="S109" s="13">
        <f t="shared" si="207"/>
        <v>5695</v>
      </c>
      <c r="T109" s="13">
        <f t="shared" si="207"/>
        <v>18485</v>
      </c>
      <c r="U109" s="68">
        <f t="shared" si="151"/>
        <v>-12386</v>
      </c>
      <c r="V109" s="268">
        <f t="shared" si="152"/>
        <v>3.030824725364814</v>
      </c>
      <c r="W109" s="13">
        <f t="shared" si="143"/>
        <v>0</v>
      </c>
      <c r="X109" s="13">
        <f t="shared" si="208"/>
        <v>0</v>
      </c>
      <c r="Y109" s="13">
        <f t="shared" si="208"/>
        <v>0</v>
      </c>
      <c r="Z109" s="13">
        <f t="shared" si="208"/>
        <v>0</v>
      </c>
      <c r="AA109" s="13">
        <f t="shared" si="208"/>
        <v>14056</v>
      </c>
      <c r="AB109" s="13">
        <f t="shared" si="208"/>
        <v>14056</v>
      </c>
      <c r="AC109" s="68">
        <f t="shared" si="153"/>
        <v>-14056</v>
      </c>
      <c r="AD109" s="268">
        <f t="shared" si="154"/>
        <v>0</v>
      </c>
      <c r="AE109" s="13">
        <f t="shared" si="144"/>
        <v>6491</v>
      </c>
      <c r="AF109" s="13">
        <f t="shared" si="209"/>
        <v>0</v>
      </c>
      <c r="AG109" s="13">
        <f t="shared" si="209"/>
        <v>2167</v>
      </c>
      <c r="AH109" s="13">
        <f t="shared" si="209"/>
        <v>0</v>
      </c>
      <c r="AI109" s="13">
        <f t="shared" si="209"/>
        <v>0</v>
      </c>
      <c r="AJ109" s="13">
        <f t="shared" si="209"/>
        <v>2167</v>
      </c>
      <c r="AK109" s="68">
        <f t="shared" si="155"/>
        <v>4324</v>
      </c>
      <c r="AL109" s="268">
        <f t="shared" si="156"/>
        <v>0.33384686488984749</v>
      </c>
      <c r="AM109" s="13">
        <f t="shared" si="145"/>
        <v>10627</v>
      </c>
      <c r="AN109" s="13">
        <f t="shared" si="210"/>
        <v>0</v>
      </c>
      <c r="AO109" s="13">
        <f t="shared" si="210"/>
        <v>0</v>
      </c>
      <c r="AP109" s="13">
        <f t="shared" si="210"/>
        <v>0</v>
      </c>
      <c r="AQ109" s="13">
        <f t="shared" si="210"/>
        <v>0</v>
      </c>
      <c r="AR109" s="13">
        <f t="shared" si="210"/>
        <v>0</v>
      </c>
      <c r="AS109" s="13">
        <f t="shared" si="210"/>
        <v>0</v>
      </c>
      <c r="AT109" s="68">
        <f>AM109-AS109</f>
        <v>10627</v>
      </c>
      <c r="AU109" s="268">
        <f t="shared" si="157"/>
        <v>0</v>
      </c>
      <c r="AV109" s="13">
        <f t="shared" si="146"/>
        <v>0</v>
      </c>
      <c r="AW109" s="13">
        <f t="shared" si="119"/>
        <v>34680</v>
      </c>
      <c r="AX109" s="13">
        <f t="shared" si="119"/>
        <v>0</v>
      </c>
      <c r="AY109" s="13">
        <f t="shared" si="119"/>
        <v>0</v>
      </c>
      <c r="AZ109" s="13">
        <f t="shared" si="119"/>
        <v>0</v>
      </c>
      <c r="BA109" s="13">
        <f t="shared" si="120"/>
        <v>34680</v>
      </c>
      <c r="BB109" s="68">
        <f t="shared" si="158"/>
        <v>-34680</v>
      </c>
      <c r="BC109" s="268">
        <f t="shared" si="159"/>
        <v>0</v>
      </c>
      <c r="BD109" s="13">
        <f t="shared" si="160"/>
        <v>0</v>
      </c>
      <c r="BE109" s="13">
        <f>SUMIFS(SALIDAS_BIT,FECHA_BIT,"&gt;="&amp;BE$2,FECHA_BIT,"&lt;="&amp;BE$3,CLAVE_BIT,$A109)+SUMIFS(SALIDAS_BOV1,FECHA_BOV1,"&gt;="&amp;BE$2,FECHA_BOV1,"&lt;="&amp;BE$3,CLAVE_BOV1,$A109)+SUMIFS(SALIDAS_BOV2,FECHA_BOV2,"&gt;="&amp;BE$2,FECHA_BOV2,"&lt;="&amp;BE$3,CLAVE_BOV2,$A109)+SUMIFS(SALIDAS_BOV3,FECHA_BOV3,"&gt;="&amp;BE$2,FECHA_BOV3,"&lt;="&amp;BE$3,CLAVE_BOV3,$A109)+SUMIFS(SALIDAS_TC,FECHA_TC,"&gt;="&amp;BE$2,FECHA_TC,"&lt;="&amp;BE$3,CLAVE_TC,$A109)+SUMIFS(SALIDAS_COMB,FECHA_COMB,"&gt;="&amp;BE$2,FECHA_COMB,"&lt;="&amp;BE$3,CLAVE_COMB,$A109)+SUMIFS(SALIDAS_DES,FECHA_DESGLOSEN,"&gt;="&amp;BE$2,FECHA_DESGLOSEN,"&lt;="&amp;BE$3,CLAVE_DESGLOSE,$A109)</f>
        <v>0</v>
      </c>
      <c r="BF109" s="13">
        <f>SUMIFS(SALIDAS_BIT,FECHA_BIT,"&gt;="&amp;BF$2,FECHA_BIT,"&lt;="&amp;BF$3,CLAVE_BIT,$A109)+SUMIFS(SALIDAS_BOV1,FECHA_BOV1,"&gt;="&amp;BF$2,FECHA_BOV1,"&lt;="&amp;BF$3,CLAVE_BOV1,$A109)+SUMIFS(SALIDAS_BOV2,FECHA_BOV2,"&gt;="&amp;BF$2,FECHA_BOV2,"&lt;="&amp;BF$3,CLAVE_BOV2,$A109)+SUMIFS(SALIDAS_BOV3,FECHA_BOV3,"&gt;="&amp;BF$2,FECHA_BOV3,"&lt;="&amp;BF$3,CLAVE_BOV3,$A109)+SUMIFS(SALIDAS_TC,FECHA_TC,"&gt;="&amp;BF$2,FECHA_TC,"&lt;="&amp;BF$3,CLAVE_TC,$A109)+SUMIFS(SALIDAS_COMB,FECHA_COMB,"&gt;="&amp;BF$2,FECHA_COMB,"&lt;="&amp;BF$3,CLAVE_COMB,$A109)+SUMIFS(SALIDAS_DES,FECHA_DESGLOSEN,"&gt;="&amp;BF$2,FECHA_DESGLOSEN,"&lt;="&amp;BF$3,CLAVE_DESGLOSE,$A109)</f>
        <v>0</v>
      </c>
      <c r="BG109" s="13">
        <f>SUMIFS(SALIDAS_BIT,FECHA_BIT,"&gt;="&amp;BG$2,FECHA_BIT,"&lt;="&amp;BG$3,CLAVE_BIT,$A109)+SUMIFS(SALIDAS_BOV1,FECHA_BOV1,"&gt;="&amp;BG$2,FECHA_BOV1,"&lt;="&amp;BG$3,CLAVE_BOV1,$A109)+SUMIFS(SALIDAS_BOV2,FECHA_BOV2,"&gt;="&amp;BG$2,FECHA_BOV2,"&lt;="&amp;BG$3,CLAVE_BOV2,$A109)+SUMIFS(SALIDAS_BOV3,FECHA_BOV3,"&gt;="&amp;BG$2,FECHA_BOV3,"&lt;="&amp;BG$3,CLAVE_BOV3,$A109)+SUMIFS(SALIDAS_TC,FECHA_TC,"&gt;="&amp;BG$2,FECHA_TC,"&lt;="&amp;BG$3,CLAVE_TC,$A109)+SUMIFS(SALIDAS_COMB,FECHA_COMB,"&gt;="&amp;BG$2,FECHA_COMB,"&lt;="&amp;BG$3,CLAVE_COMB,$A109)+SUMIFS(SALIDAS_DES,FECHA_DESGLOSEN,"&gt;="&amp;BG$2,FECHA_DESGLOSEN,"&lt;="&amp;BG$3,CLAVE_DESGLOSE,$A109)</f>
        <v>0</v>
      </c>
      <c r="BH109" s="13">
        <f>SUMIFS(SALIDAS_BIT,FECHA_BIT,"&gt;="&amp;BH$2,FECHA_BIT,"&lt;="&amp;BH$3,CLAVE_BIT,$A109)+SUMIFS(SALIDAS_BOV1,FECHA_BOV1,"&gt;="&amp;BH$2,FECHA_BOV1,"&lt;="&amp;BH$3,CLAVE_BOV1,$A109)+SUMIFS(SALIDAS_BOV2,FECHA_BOV2,"&gt;="&amp;BH$2,FECHA_BOV2,"&lt;="&amp;BH$3,CLAVE_BOV2,$A109)+SUMIFS(SALIDAS_BOV3,FECHA_BOV3,"&gt;="&amp;BH$2,FECHA_BOV3,"&lt;="&amp;BH$3,CLAVE_BOV3,$A109)+SUMIFS(SALIDAS_TC,FECHA_TC,"&gt;="&amp;BH$2,FECHA_TC,"&lt;="&amp;BH$3,CLAVE_TC,$A109)+SUMIFS(SALIDAS_COMB,FECHA_COMB,"&gt;="&amp;BH$2,FECHA_COMB,"&lt;="&amp;BH$3,CLAVE_COMB,$A109)+SUMIFS(SALIDAS_DES,FECHA_DESGLOSEN,"&gt;="&amp;BH$2,FECHA_DESGLOSEN,"&lt;="&amp;BH$3,CLAVE_DESGLOSE,$A109)</f>
        <v>0</v>
      </c>
      <c r="BI109" s="13">
        <f t="shared" si="121"/>
        <v>0</v>
      </c>
      <c r="BJ109" s="68">
        <f t="shared" si="161"/>
        <v>0</v>
      </c>
      <c r="BK109" s="268">
        <f t="shared" si="162"/>
        <v>0</v>
      </c>
      <c r="BL109" s="13">
        <f t="shared" si="163"/>
        <v>0</v>
      </c>
      <c r="BM109" s="13">
        <f>SUMIFS(SALIDAS_BIT,FECHA_BIT,"&gt;="&amp;BM$2,FECHA_BIT,"&lt;="&amp;BM$3,CLAVE_BIT,$A109)+SUMIFS(SALIDAS_BOV1,FECHA_BOV1,"&gt;="&amp;BM$2,FECHA_BOV1,"&lt;="&amp;BM$3,CLAVE_BOV1,$A109)+SUMIFS(SALIDAS_BOV2,FECHA_BOV2,"&gt;="&amp;BM$2,FECHA_BOV2,"&lt;="&amp;BM$3,CLAVE_BOV2,$A109)+SUMIFS(SALIDAS_BOV3,FECHA_BOV3,"&gt;="&amp;BM$2,FECHA_BOV3,"&lt;="&amp;BM$3,CLAVE_BOV3,$A109)+SUMIFS(SALIDAS_TC,FECHA_TC,"&gt;="&amp;BM$2,FECHA_TC,"&lt;="&amp;BM$3,CLAVE_TC,$A109)+SUMIFS(SALIDAS_COMB,FECHA_COMB,"&gt;="&amp;BM$2,FECHA_COMB,"&lt;="&amp;BM$3,CLAVE_COMB,$A109)+SUMIFS(SALIDAS_DES,FECHA_DESGLOSEN,"&gt;="&amp;BM$2,FECHA_DESGLOSEN,"&lt;="&amp;BM$3,CLAVE_DESGLOSE,$A109)</f>
        <v>43187</v>
      </c>
      <c r="BN109" s="13">
        <f>SUMIFS(SALIDAS_BIT,FECHA_BIT,"&gt;="&amp;BN$2,FECHA_BIT,"&lt;="&amp;BN$3,CLAVE_BIT,$A109)+SUMIFS(SALIDAS_BOV1,FECHA_BOV1,"&gt;="&amp;BN$2,FECHA_BOV1,"&lt;="&amp;BN$3,CLAVE_BOV1,$A109)+SUMIFS(SALIDAS_BOV2,FECHA_BOV2,"&gt;="&amp;BN$2,FECHA_BOV2,"&lt;="&amp;BN$3,CLAVE_BOV2,$A109)+SUMIFS(SALIDAS_BOV3,FECHA_BOV3,"&gt;="&amp;BN$2,FECHA_BOV3,"&lt;="&amp;BN$3,CLAVE_BOV3,$A109)+SUMIFS(SALIDAS_TC,FECHA_TC,"&gt;="&amp;BN$2,FECHA_TC,"&lt;="&amp;BN$3,CLAVE_TC,$A109)+SUMIFS(SALIDAS_COMB,FECHA_COMB,"&gt;="&amp;BN$2,FECHA_COMB,"&lt;="&amp;BN$3,CLAVE_COMB,$A109)+SUMIFS(SALIDAS_DES,FECHA_DESGLOSEN,"&gt;="&amp;BN$2,FECHA_DESGLOSEN,"&lt;="&amp;BN$3,CLAVE_DESGLOSE,$A109)</f>
        <v>0</v>
      </c>
      <c r="BO109" s="13">
        <f>SUMIFS(SALIDAS_BIT,FECHA_BIT,"&gt;="&amp;BO$2,FECHA_BIT,"&lt;="&amp;BO$3,CLAVE_BIT,$A109)+SUMIFS(SALIDAS_BOV1,FECHA_BOV1,"&gt;="&amp;BO$2,FECHA_BOV1,"&lt;="&amp;BO$3,CLAVE_BOV1,$A109)+SUMIFS(SALIDAS_BOV2,FECHA_BOV2,"&gt;="&amp;BO$2,FECHA_BOV2,"&lt;="&amp;BO$3,CLAVE_BOV2,$A109)+SUMIFS(SALIDAS_BOV3,FECHA_BOV3,"&gt;="&amp;BO$2,FECHA_BOV3,"&lt;="&amp;BO$3,CLAVE_BOV3,$A109)+SUMIFS(SALIDAS_TC,FECHA_TC,"&gt;="&amp;BO$2,FECHA_TC,"&lt;="&amp;BO$3,CLAVE_TC,$A109)+SUMIFS(SALIDAS_COMB,FECHA_COMB,"&gt;="&amp;BO$2,FECHA_COMB,"&lt;="&amp;BO$3,CLAVE_COMB,$A109)+SUMIFS(SALIDAS_DES,FECHA_DESGLOSEN,"&gt;="&amp;BO$2,FECHA_DESGLOSEN,"&lt;="&amp;BO$3,CLAVE_DESGLOSE,$A109)</f>
        <v>0</v>
      </c>
      <c r="BP109" s="13">
        <f>SUMIFS(SALIDAS_BIT,FECHA_BIT,"&gt;="&amp;BP$2,FECHA_BIT,"&lt;="&amp;BP$3,CLAVE_BIT,$A109)+SUMIFS(SALIDAS_BOV1,FECHA_BOV1,"&gt;="&amp;BP$2,FECHA_BOV1,"&lt;="&amp;BP$3,CLAVE_BOV1,$A109)+SUMIFS(SALIDAS_BOV2,FECHA_BOV2,"&gt;="&amp;BP$2,FECHA_BOV2,"&lt;="&amp;BP$3,CLAVE_BOV2,$A109)+SUMIFS(SALIDAS_BOV3,FECHA_BOV3,"&gt;="&amp;BP$2,FECHA_BOV3,"&lt;="&amp;BP$3,CLAVE_BOV3,$A109)+SUMIFS(SALIDAS_TC,FECHA_TC,"&gt;="&amp;BP$2,FECHA_TC,"&lt;="&amp;BP$3,CLAVE_TC,$A109)+SUMIFS(SALIDAS_COMB,FECHA_COMB,"&gt;="&amp;BP$2,FECHA_COMB,"&lt;="&amp;BP$3,CLAVE_COMB,$A109)+SUMIFS(SALIDAS_DES,FECHA_DESGLOSEN,"&gt;="&amp;BP$2,FECHA_DESGLOSEN,"&lt;="&amp;BP$3,CLAVE_DESGLOSE,$A109)</f>
        <v>0</v>
      </c>
      <c r="BQ109" s="13">
        <f>SUMIFS(SALIDAS_BIT,FECHA_BIT,"&gt;="&amp;BQ$2,FECHA_BIT,"&lt;="&amp;BQ$3,CLAVE_BIT,$A109)+SUMIFS(SALIDAS_BOV1,FECHA_BOV1,"&gt;="&amp;BQ$2,FECHA_BOV1,"&lt;="&amp;BQ$3,CLAVE_BOV1,$A109)+SUMIFS(SALIDAS_BOV2,FECHA_BOV2,"&gt;="&amp;BQ$2,FECHA_BOV2,"&lt;="&amp;BQ$3,CLAVE_BOV2,$A109)+SUMIFS(SALIDAS_BOV3,FECHA_BOV3,"&gt;="&amp;BQ$2,FECHA_BOV3,"&lt;="&amp;BQ$3,CLAVE_BOV3,$A109)+SUMIFS(SALIDAS_TC,FECHA_TC,"&gt;="&amp;BQ$2,FECHA_TC,"&lt;="&amp;BQ$3,CLAVE_TC,$A109)+SUMIFS(SALIDAS_COMB,FECHA_COMB,"&gt;="&amp;BQ$2,FECHA_COMB,"&lt;="&amp;BQ$3,CLAVE_COMB,$A109)+SUMIFS(SALIDAS_DES,FECHA_DESGLOSEN,"&gt;="&amp;BQ$2,FECHA_DESGLOSEN,"&lt;="&amp;BQ$3,CLAVE_DESGLOSE,$A109)</f>
        <v>0</v>
      </c>
      <c r="BR109" s="13">
        <f t="shared" si="211"/>
        <v>43187</v>
      </c>
      <c r="BS109" s="68">
        <f t="shared" si="164"/>
        <v>-43187</v>
      </c>
      <c r="BT109" s="268">
        <f t="shared" si="165"/>
        <v>0</v>
      </c>
      <c r="BU109" s="13">
        <f t="shared" si="166"/>
        <v>0</v>
      </c>
      <c r="BV109" s="13">
        <f t="shared" si="186"/>
        <v>0</v>
      </c>
      <c r="BW109" s="13">
        <f t="shared" si="186"/>
        <v>0</v>
      </c>
      <c r="BX109" s="13">
        <f t="shared" si="186"/>
        <v>0</v>
      </c>
      <c r="BY109" s="13">
        <f t="shared" si="186"/>
        <v>0</v>
      </c>
      <c r="BZ109" s="13">
        <f t="shared" si="212"/>
        <v>0</v>
      </c>
      <c r="CA109" s="68">
        <f t="shared" si="167"/>
        <v>0</v>
      </c>
      <c r="CB109" s="268">
        <f t="shared" si="168"/>
        <v>0</v>
      </c>
      <c r="CC109" s="13">
        <f t="shared" si="169"/>
        <v>7919</v>
      </c>
      <c r="CD109" s="13">
        <f t="shared" si="187"/>
        <v>32701</v>
      </c>
      <c r="CE109" s="13">
        <f t="shared" si="187"/>
        <v>0</v>
      </c>
      <c r="CF109" s="13">
        <f t="shared" si="187"/>
        <v>0</v>
      </c>
      <c r="CG109" s="13">
        <f t="shared" si="187"/>
        <v>0</v>
      </c>
      <c r="CH109" s="13">
        <f t="shared" si="213"/>
        <v>32701</v>
      </c>
      <c r="CI109" s="68">
        <f t="shared" si="170"/>
        <v>-24782</v>
      </c>
      <c r="CJ109" s="268">
        <f t="shared" si="171"/>
        <v>4.1294355347897458</v>
      </c>
      <c r="CK109" s="13">
        <f t="shared" si="172"/>
        <v>0</v>
      </c>
      <c r="CL109" s="13">
        <f t="shared" si="176"/>
        <v>0</v>
      </c>
      <c r="CM109" s="13">
        <f t="shared" si="176"/>
        <v>0</v>
      </c>
      <c r="CN109" s="13">
        <f t="shared" si="176"/>
        <v>0</v>
      </c>
      <c r="CO109" s="13">
        <f t="shared" si="176"/>
        <v>0</v>
      </c>
      <c r="CP109" s="13">
        <f t="shared" si="176"/>
        <v>0</v>
      </c>
      <c r="CQ109" s="13">
        <f t="shared" si="214"/>
        <v>0</v>
      </c>
      <c r="CR109" s="68">
        <f t="shared" si="173"/>
        <v>0</v>
      </c>
      <c r="CS109" s="268">
        <f t="shared" si="174"/>
        <v>0</v>
      </c>
      <c r="CT109" s="68">
        <f t="shared" si="147"/>
        <v>26000</v>
      </c>
      <c r="CU109" s="13">
        <f>SUMIFS(SALIDAS_BIT,FECHA_BIT,"&gt;="&amp;CU$2,FECHA_BIT,"&lt;="&amp;CU$3,CLAVE_BIT,$A109)+SUMIFS(SALIDAS_BOV1,FECHA_BOV1,"&gt;="&amp;CU$2,FECHA_BOV1,"&lt;="&amp;CU$3,CLAVE_BOV1,$A109)+SUMIFS(SALIDAS_BOV2,FECHA_BOV2,"&gt;="&amp;CU$2,FECHA_BOV2,"&lt;="&amp;CU$3,CLAVE_BOV2,$A109)+SUMIFS(SALIDAS_BOV3,FECHA_BOV3,"&gt;="&amp;CU$2,FECHA_BOV3,"&lt;="&amp;CU$3,CLAVE_BOV3,$A109)+SUMIFS(SALIDAS_TC,FECHA_TC,"&gt;="&amp;CU$2,FECHA_TC,"&lt;="&amp;CU$3,CLAVE_TC,$A109)+SUMIFS(SALIDAS_COMB,FECHA_COMB,"&gt;="&amp;CU$2,FECHA_COMB,"&lt;="&amp;CU$3,CLAVE_COMB,$A109)+SUMIFS(SALIDAS_DES,FECHA_DESGLOSEN,"&gt;="&amp;CU$2,FECHA_DESGLOSEN,"&lt;="&amp;CU$3,CLAVE_DESGLOSE,$A109)</f>
        <v>15387</v>
      </c>
      <c r="CV109" s="13">
        <f>SUMIFS(SALIDAS_BIT,FECHA_BIT,"&gt;="&amp;CV$2,FECHA_BIT,"&lt;="&amp;CV$3,CLAVE_BIT,$A109)+SUMIFS(SALIDAS_BOV1,FECHA_BOV1,"&gt;="&amp;CV$2,FECHA_BOV1,"&lt;="&amp;CV$3,CLAVE_BOV1,$A109)+SUMIFS(SALIDAS_BOV2,FECHA_BOV2,"&gt;="&amp;CV$2,FECHA_BOV2,"&lt;="&amp;CV$3,CLAVE_BOV2,$A109)+SUMIFS(SALIDAS_BOV3,FECHA_BOV3,"&gt;="&amp;CV$2,FECHA_BOV3,"&lt;="&amp;CV$3,CLAVE_BOV3,$A109)+SUMIFS(SALIDAS_TC,FECHA_TC,"&gt;="&amp;CV$2,FECHA_TC,"&lt;="&amp;CV$3,CLAVE_TC,$A109)+SUMIFS(SALIDAS_COMB,FECHA_COMB,"&gt;="&amp;CV$2,FECHA_COMB,"&lt;="&amp;CV$3,CLAVE_COMB,$A109)+SUMIFS(SALIDAS_DES,FECHA_DESGLOSEN,"&gt;="&amp;CV$2,FECHA_DESGLOSEN,"&lt;="&amp;CV$3,CLAVE_DESGLOSE,$A109)</f>
        <v>0</v>
      </c>
      <c r="CW109" s="13">
        <f>SUMIFS(SALIDAS_BIT,FECHA_BIT,"&gt;="&amp;CW$2,FECHA_BIT,"&lt;="&amp;CW$3,CLAVE_BIT,$A109)+SUMIFS(SALIDAS_BOV1,FECHA_BOV1,"&gt;="&amp;CW$2,FECHA_BOV1,"&lt;="&amp;CW$3,CLAVE_BOV1,$A109)+SUMIFS(SALIDAS_BOV2,FECHA_BOV2,"&gt;="&amp;CW$2,FECHA_BOV2,"&lt;="&amp;CW$3,CLAVE_BOV2,$A109)+SUMIFS(SALIDAS_BOV3,FECHA_BOV3,"&gt;="&amp;CW$2,FECHA_BOV3,"&lt;="&amp;CW$3,CLAVE_BOV3,$A109)+SUMIFS(SALIDAS_TC,FECHA_TC,"&gt;="&amp;CW$2,FECHA_TC,"&lt;="&amp;CW$3,CLAVE_TC,$A109)+SUMIFS(SALIDAS_COMB,FECHA_COMB,"&gt;="&amp;CW$2,FECHA_COMB,"&lt;="&amp;CW$3,CLAVE_COMB,$A109)+SUMIFS(SALIDAS_DES,FECHA_DESGLOSEN,"&gt;="&amp;CW$2,FECHA_DESGLOSEN,"&lt;="&amp;CW$3,CLAVE_DESGLOSE,$A109)</f>
        <v>0</v>
      </c>
      <c r="CX109" s="13">
        <f>SUMIFS(SALIDAS_BIT,FECHA_BIT,"&gt;="&amp;CX$2,FECHA_BIT,"&lt;="&amp;CX$3,CLAVE_BIT,$A109)+SUMIFS(SALIDAS_BOV1,FECHA_BOV1,"&gt;="&amp;CX$2,FECHA_BOV1,"&lt;="&amp;CX$3,CLAVE_BOV1,$A109)+SUMIFS(SALIDAS_BOV2,FECHA_BOV2,"&gt;="&amp;CX$2,FECHA_BOV2,"&lt;="&amp;CX$3,CLAVE_BOV2,$A109)+SUMIFS(SALIDAS_BOV3,FECHA_BOV3,"&gt;="&amp;CX$2,FECHA_BOV3,"&lt;="&amp;CX$3,CLAVE_BOV3,$A109)+SUMIFS(SALIDAS_TC,FECHA_TC,"&gt;="&amp;CX$2,FECHA_TC,"&lt;="&amp;CX$3,CLAVE_TC,$A109)+SUMIFS(SALIDAS_COMB,FECHA_COMB,"&gt;="&amp;CX$2,FECHA_COMB,"&lt;="&amp;CX$3,CLAVE_COMB,$A109)+SUMIFS(SALIDAS_DES,FECHA_DESGLOSEN,"&gt;="&amp;CX$2,FECHA_DESGLOSEN,"&lt;="&amp;CX$3,CLAVE_DESGLOSE,$A109)</f>
        <v>0</v>
      </c>
      <c r="CY109" s="13">
        <f>SUMIFS(SALIDAS_BIT,FECHA_BIT,"&gt;="&amp;CY$2,FECHA_BIT,"&lt;="&amp;CY$3,CLAVE_BIT,$A109)+SUMIFS(SALIDAS_BOV1,FECHA_BOV1,"&gt;="&amp;CY$2,FECHA_BOV1,"&lt;="&amp;CY$3,CLAVE_BOV1,$A109)+SUMIFS(SALIDAS_BOV2,FECHA_BOV2,"&gt;="&amp;CY$2,FECHA_BOV2,"&lt;="&amp;CY$3,CLAVE_BOV2,$A109)+SUMIFS(SALIDAS_BOV3,FECHA_BOV3,"&gt;="&amp;CY$2,FECHA_BOV3,"&lt;="&amp;CY$3,CLAVE_BOV3,$A109)+SUMIFS(SALIDAS_TC,FECHA_TC,"&gt;="&amp;CY$2,FECHA_TC,"&lt;="&amp;CY$3,CLAVE_TC,$A109)+SUMIFS(SALIDAS_COMB,FECHA_COMB,"&gt;="&amp;CY$2,FECHA_COMB,"&lt;="&amp;CY$3,CLAVE_COMB,$A109)+SUMIFS(SALIDAS_DES,FECHA_DESGLOSEN,"&gt;="&amp;CY$2,FECHA_DESGLOSEN,"&lt;="&amp;CY$3,CLAVE_DESGLOSE,$A109)</f>
        <v>15387</v>
      </c>
      <c r="CZ109" s="68">
        <f t="shared" si="175"/>
        <v>10613</v>
      </c>
      <c r="DB109" s="17">
        <f>F109+N109+W109+AE109+AM109+AV109+BD109+BL109+BU109+CC109+CK109</f>
        <v>31136</v>
      </c>
      <c r="DC109" s="17">
        <f>K109+T109+AB109+AJ109+AS109+BA109+BI109+BR109+BZ109+CH109+CQ109</f>
        <v>145276</v>
      </c>
    </row>
    <row r="110" spans="1:107" hidden="1">
      <c r="A110" s="12" t="str">
        <f t="shared" si="148"/>
        <v>HRENERGIA ELECTRICAA3</v>
      </c>
      <c r="B110" s="12">
        <v>112</v>
      </c>
      <c r="C110" t="s">
        <v>29</v>
      </c>
      <c r="D110" s="12" t="s">
        <v>87</v>
      </c>
      <c r="E110" s="12" t="s">
        <v>90</v>
      </c>
      <c r="F110" s="259">
        <f t="shared" si="141"/>
        <v>0</v>
      </c>
      <c r="G110" s="13">
        <f t="shared" si="206"/>
        <v>0</v>
      </c>
      <c r="H110" s="13">
        <f t="shared" si="206"/>
        <v>0</v>
      </c>
      <c r="I110" s="13">
        <f t="shared" si="206"/>
        <v>0</v>
      </c>
      <c r="J110" s="13">
        <f t="shared" si="206"/>
        <v>0</v>
      </c>
      <c r="K110" s="13">
        <f t="shared" si="206"/>
        <v>0</v>
      </c>
      <c r="L110" s="68">
        <f t="shared" si="149"/>
        <v>0</v>
      </c>
      <c r="M110" s="268">
        <f t="shared" si="150"/>
        <v>0</v>
      </c>
      <c r="N110" s="13">
        <f t="shared" si="142"/>
        <v>8808</v>
      </c>
      <c r="O110" s="13">
        <f t="shared" si="207"/>
        <v>9812</v>
      </c>
      <c r="P110" s="13">
        <f t="shared" si="207"/>
        <v>0</v>
      </c>
      <c r="Q110" s="13">
        <f t="shared" si="207"/>
        <v>0</v>
      </c>
      <c r="R110" s="13">
        <f t="shared" si="207"/>
        <v>0</v>
      </c>
      <c r="S110" s="13">
        <f t="shared" si="207"/>
        <v>0</v>
      </c>
      <c r="T110" s="13">
        <f t="shared" si="207"/>
        <v>9812</v>
      </c>
      <c r="U110" s="68">
        <f t="shared" si="151"/>
        <v>-1004</v>
      </c>
      <c r="V110" s="268">
        <f t="shared" si="152"/>
        <v>1.1139872842870118</v>
      </c>
      <c r="W110" s="13">
        <f t="shared" si="143"/>
        <v>0</v>
      </c>
      <c r="X110" s="13">
        <f t="shared" si="208"/>
        <v>0</v>
      </c>
      <c r="Y110" s="13">
        <f t="shared" si="208"/>
        <v>0</v>
      </c>
      <c r="Z110" s="13">
        <f t="shared" si="208"/>
        <v>0</v>
      </c>
      <c r="AA110" s="13">
        <f t="shared" si="208"/>
        <v>10512</v>
      </c>
      <c r="AB110" s="13">
        <f t="shared" si="208"/>
        <v>10512</v>
      </c>
      <c r="AC110" s="68">
        <f t="shared" si="153"/>
        <v>-10512</v>
      </c>
      <c r="AD110" s="268">
        <f t="shared" si="154"/>
        <v>0</v>
      </c>
      <c r="AE110" s="13">
        <f t="shared" si="144"/>
        <v>9654</v>
      </c>
      <c r="AF110" s="13">
        <f t="shared" si="209"/>
        <v>0</v>
      </c>
      <c r="AG110" s="13">
        <f t="shared" si="209"/>
        <v>0</v>
      </c>
      <c r="AH110" s="13">
        <f t="shared" si="209"/>
        <v>0</v>
      </c>
      <c r="AI110" s="13">
        <f t="shared" si="209"/>
        <v>0</v>
      </c>
      <c r="AJ110" s="13">
        <f t="shared" si="209"/>
        <v>0</v>
      </c>
      <c r="AK110" s="68">
        <f t="shared" si="155"/>
        <v>9654</v>
      </c>
      <c r="AL110" s="268">
        <f t="shared" si="156"/>
        <v>0</v>
      </c>
      <c r="AM110" s="13">
        <f t="shared" si="145"/>
        <v>10854</v>
      </c>
      <c r="AN110" s="13">
        <f t="shared" si="210"/>
        <v>0</v>
      </c>
      <c r="AO110" s="13">
        <f t="shared" si="210"/>
        <v>0</v>
      </c>
      <c r="AP110" s="13">
        <f t="shared" si="210"/>
        <v>0</v>
      </c>
      <c r="AQ110" s="13">
        <f t="shared" si="210"/>
        <v>0</v>
      </c>
      <c r="AR110" s="13">
        <f t="shared" si="210"/>
        <v>0</v>
      </c>
      <c r="AS110" s="13">
        <f t="shared" si="210"/>
        <v>0</v>
      </c>
      <c r="AT110" s="68">
        <f>AM110-AS110</f>
        <v>10854</v>
      </c>
      <c r="AU110" s="268">
        <f t="shared" si="157"/>
        <v>0</v>
      </c>
      <c r="AV110" s="13">
        <f t="shared" si="146"/>
        <v>0</v>
      </c>
      <c r="AW110" s="13">
        <f t="shared" si="119"/>
        <v>11602</v>
      </c>
      <c r="AX110" s="13">
        <f t="shared" si="119"/>
        <v>0</v>
      </c>
      <c r="AY110" s="13">
        <f t="shared" si="119"/>
        <v>0</v>
      </c>
      <c r="AZ110" s="13">
        <f t="shared" si="119"/>
        <v>0</v>
      </c>
      <c r="BA110" s="13">
        <f t="shared" si="120"/>
        <v>11602</v>
      </c>
      <c r="BB110" s="68">
        <f t="shared" si="158"/>
        <v>-11602</v>
      </c>
      <c r="BC110" s="268">
        <f t="shared" si="159"/>
        <v>0</v>
      </c>
      <c r="BD110" s="13">
        <f t="shared" si="160"/>
        <v>0</v>
      </c>
      <c r="BE110" s="13">
        <f>SUMIFS(SALIDAS_BIT,FECHA_BIT,"&gt;="&amp;BE$2,FECHA_BIT,"&lt;="&amp;BE$3,CLAVE_BIT,$A110)+SUMIFS(SALIDAS_BOV1,FECHA_BOV1,"&gt;="&amp;BE$2,FECHA_BOV1,"&lt;="&amp;BE$3,CLAVE_BOV1,$A110)+SUMIFS(SALIDAS_BOV2,FECHA_BOV2,"&gt;="&amp;BE$2,FECHA_BOV2,"&lt;="&amp;BE$3,CLAVE_BOV2,$A110)+SUMIFS(SALIDAS_BOV3,FECHA_BOV3,"&gt;="&amp;BE$2,FECHA_BOV3,"&lt;="&amp;BE$3,CLAVE_BOV3,$A110)+SUMIFS(SALIDAS_TC,FECHA_TC,"&gt;="&amp;BE$2,FECHA_TC,"&lt;="&amp;BE$3,CLAVE_TC,$A110)+SUMIFS(SALIDAS_COMB,FECHA_COMB,"&gt;="&amp;BE$2,FECHA_COMB,"&lt;="&amp;BE$3,CLAVE_COMB,$A110)+SUMIFS(SALIDAS_DES,FECHA_DESGLOSEN,"&gt;="&amp;BE$2,FECHA_DESGLOSEN,"&lt;="&amp;BE$3,CLAVE_DESGLOSE,$A110)</f>
        <v>0</v>
      </c>
      <c r="BF110" s="13">
        <f>SUMIFS(SALIDAS_BIT,FECHA_BIT,"&gt;="&amp;BF$2,FECHA_BIT,"&lt;="&amp;BF$3,CLAVE_BIT,$A110)+SUMIFS(SALIDAS_BOV1,FECHA_BOV1,"&gt;="&amp;BF$2,FECHA_BOV1,"&lt;="&amp;BF$3,CLAVE_BOV1,$A110)+SUMIFS(SALIDAS_BOV2,FECHA_BOV2,"&gt;="&amp;BF$2,FECHA_BOV2,"&lt;="&amp;BF$3,CLAVE_BOV2,$A110)+SUMIFS(SALIDAS_BOV3,FECHA_BOV3,"&gt;="&amp;BF$2,FECHA_BOV3,"&lt;="&amp;BF$3,CLAVE_BOV3,$A110)+SUMIFS(SALIDAS_TC,FECHA_TC,"&gt;="&amp;BF$2,FECHA_TC,"&lt;="&amp;BF$3,CLAVE_TC,$A110)+SUMIFS(SALIDAS_COMB,FECHA_COMB,"&gt;="&amp;BF$2,FECHA_COMB,"&lt;="&amp;BF$3,CLAVE_COMB,$A110)+SUMIFS(SALIDAS_DES,FECHA_DESGLOSEN,"&gt;="&amp;BF$2,FECHA_DESGLOSEN,"&lt;="&amp;BF$3,CLAVE_DESGLOSE,$A110)</f>
        <v>0</v>
      </c>
      <c r="BG110" s="13">
        <f>SUMIFS(SALIDAS_BIT,FECHA_BIT,"&gt;="&amp;BG$2,FECHA_BIT,"&lt;="&amp;BG$3,CLAVE_BIT,$A110)+SUMIFS(SALIDAS_BOV1,FECHA_BOV1,"&gt;="&amp;BG$2,FECHA_BOV1,"&lt;="&amp;BG$3,CLAVE_BOV1,$A110)+SUMIFS(SALIDAS_BOV2,FECHA_BOV2,"&gt;="&amp;BG$2,FECHA_BOV2,"&lt;="&amp;BG$3,CLAVE_BOV2,$A110)+SUMIFS(SALIDAS_BOV3,FECHA_BOV3,"&gt;="&amp;BG$2,FECHA_BOV3,"&lt;="&amp;BG$3,CLAVE_BOV3,$A110)+SUMIFS(SALIDAS_TC,FECHA_TC,"&gt;="&amp;BG$2,FECHA_TC,"&lt;="&amp;BG$3,CLAVE_TC,$A110)+SUMIFS(SALIDAS_COMB,FECHA_COMB,"&gt;="&amp;BG$2,FECHA_COMB,"&lt;="&amp;BG$3,CLAVE_COMB,$A110)+SUMIFS(SALIDAS_DES,FECHA_DESGLOSEN,"&gt;="&amp;BG$2,FECHA_DESGLOSEN,"&lt;="&amp;BG$3,CLAVE_DESGLOSE,$A110)</f>
        <v>0</v>
      </c>
      <c r="BH110" s="13">
        <f>SUMIFS(SALIDAS_BIT,FECHA_BIT,"&gt;="&amp;BH$2,FECHA_BIT,"&lt;="&amp;BH$3,CLAVE_BIT,$A110)+SUMIFS(SALIDAS_BOV1,FECHA_BOV1,"&gt;="&amp;BH$2,FECHA_BOV1,"&lt;="&amp;BH$3,CLAVE_BOV1,$A110)+SUMIFS(SALIDAS_BOV2,FECHA_BOV2,"&gt;="&amp;BH$2,FECHA_BOV2,"&lt;="&amp;BH$3,CLAVE_BOV2,$A110)+SUMIFS(SALIDAS_BOV3,FECHA_BOV3,"&gt;="&amp;BH$2,FECHA_BOV3,"&lt;="&amp;BH$3,CLAVE_BOV3,$A110)+SUMIFS(SALIDAS_TC,FECHA_TC,"&gt;="&amp;BH$2,FECHA_TC,"&lt;="&amp;BH$3,CLAVE_TC,$A110)+SUMIFS(SALIDAS_COMB,FECHA_COMB,"&gt;="&amp;BH$2,FECHA_COMB,"&lt;="&amp;BH$3,CLAVE_COMB,$A110)+SUMIFS(SALIDAS_DES,FECHA_DESGLOSEN,"&gt;="&amp;BH$2,FECHA_DESGLOSEN,"&lt;="&amp;BH$3,CLAVE_DESGLOSE,$A110)</f>
        <v>0</v>
      </c>
      <c r="BI110" s="13">
        <f t="shared" ref="BI110:BI173" si="215">SUMIFS(SALIDAS_BIT,FECHA_BIT,"&gt;="&amp;BI$2,FECHA_BIT,"&lt;="&amp;BI$3,CLAVE_BIT,$A110)+SUMIFS(SALIDAS_BOV1,FECHA_BOV1,"&gt;="&amp;BI$2,FECHA_BOV1,"&lt;="&amp;BI$3,CLAVE_BOV1,$A110)+SUMIFS(SALIDAS_BOV2,FECHA_BOV2,"&gt;="&amp;BI$2,FECHA_BOV2,"&lt;="&amp;BI$3,CLAVE_BOV2,$A110)+SUMIFS(SALIDAS_BOV3,FECHA_BOV3,"&gt;="&amp;BI$2,FECHA_BOV3,"&lt;="&amp;BI$3,CLAVE_BOV3,$A110)+SUMIFS(SALIDAS_TC,FECHA_TC,"&gt;="&amp;BI$2,FECHA_TC,"&lt;="&amp;BI$3,CLAVE_TC,$A110)+SUMIFS(SALIDAS_COMB,FECHA_COMB,"&gt;="&amp;BI$2,FECHA_COMB,"&lt;="&amp;BI$3,CLAVE_COMB,$A110)+SUMIFS(SALIDAS_DES,FECHA_DESGLOSEN,"&gt;="&amp;BI$2,FECHA_DESGLOSEN,"&lt;="&amp;BI$3,CLAVE_DESGLOSE,$A110)</f>
        <v>0</v>
      </c>
      <c r="BJ110" s="68">
        <f t="shared" si="161"/>
        <v>0</v>
      </c>
      <c r="BK110" s="268">
        <f t="shared" si="162"/>
        <v>0</v>
      </c>
      <c r="BL110" s="13">
        <f t="shared" si="163"/>
        <v>0</v>
      </c>
      <c r="BM110" s="13">
        <f>SUMIFS(SALIDAS_BIT,FECHA_BIT,"&gt;="&amp;BM$2,FECHA_BIT,"&lt;="&amp;BM$3,CLAVE_BIT,$A110)+SUMIFS(SALIDAS_BOV1,FECHA_BOV1,"&gt;="&amp;BM$2,FECHA_BOV1,"&lt;="&amp;BM$3,CLAVE_BOV1,$A110)+SUMIFS(SALIDAS_BOV2,FECHA_BOV2,"&gt;="&amp;BM$2,FECHA_BOV2,"&lt;="&amp;BM$3,CLAVE_BOV2,$A110)+SUMIFS(SALIDAS_BOV3,FECHA_BOV3,"&gt;="&amp;BM$2,FECHA_BOV3,"&lt;="&amp;BM$3,CLAVE_BOV3,$A110)+SUMIFS(SALIDAS_TC,FECHA_TC,"&gt;="&amp;BM$2,FECHA_TC,"&lt;="&amp;BM$3,CLAVE_TC,$A110)+SUMIFS(SALIDAS_COMB,FECHA_COMB,"&gt;="&amp;BM$2,FECHA_COMB,"&lt;="&amp;BM$3,CLAVE_COMB,$A110)+SUMIFS(SALIDAS_DES,FECHA_DESGLOSEN,"&gt;="&amp;BM$2,FECHA_DESGLOSEN,"&lt;="&amp;BM$3,CLAVE_DESGLOSE,$A110)</f>
        <v>12121</v>
      </c>
      <c r="BN110" s="13">
        <f>SUMIFS(SALIDAS_BIT,FECHA_BIT,"&gt;="&amp;BN$2,FECHA_BIT,"&lt;="&amp;BN$3,CLAVE_BIT,$A110)+SUMIFS(SALIDAS_BOV1,FECHA_BOV1,"&gt;="&amp;BN$2,FECHA_BOV1,"&lt;="&amp;BN$3,CLAVE_BOV1,$A110)+SUMIFS(SALIDAS_BOV2,FECHA_BOV2,"&gt;="&amp;BN$2,FECHA_BOV2,"&lt;="&amp;BN$3,CLAVE_BOV2,$A110)+SUMIFS(SALIDAS_BOV3,FECHA_BOV3,"&gt;="&amp;BN$2,FECHA_BOV3,"&lt;="&amp;BN$3,CLAVE_BOV3,$A110)+SUMIFS(SALIDAS_TC,FECHA_TC,"&gt;="&amp;BN$2,FECHA_TC,"&lt;="&amp;BN$3,CLAVE_TC,$A110)+SUMIFS(SALIDAS_COMB,FECHA_COMB,"&gt;="&amp;BN$2,FECHA_COMB,"&lt;="&amp;BN$3,CLAVE_COMB,$A110)+SUMIFS(SALIDAS_DES,FECHA_DESGLOSEN,"&gt;="&amp;BN$2,FECHA_DESGLOSEN,"&lt;="&amp;BN$3,CLAVE_DESGLOSE,$A110)</f>
        <v>0</v>
      </c>
      <c r="BO110" s="13">
        <f>SUMIFS(SALIDAS_BIT,FECHA_BIT,"&gt;="&amp;BO$2,FECHA_BIT,"&lt;="&amp;BO$3,CLAVE_BIT,$A110)+SUMIFS(SALIDAS_BOV1,FECHA_BOV1,"&gt;="&amp;BO$2,FECHA_BOV1,"&lt;="&amp;BO$3,CLAVE_BOV1,$A110)+SUMIFS(SALIDAS_BOV2,FECHA_BOV2,"&gt;="&amp;BO$2,FECHA_BOV2,"&lt;="&amp;BO$3,CLAVE_BOV2,$A110)+SUMIFS(SALIDAS_BOV3,FECHA_BOV3,"&gt;="&amp;BO$2,FECHA_BOV3,"&lt;="&amp;BO$3,CLAVE_BOV3,$A110)+SUMIFS(SALIDAS_TC,FECHA_TC,"&gt;="&amp;BO$2,FECHA_TC,"&lt;="&amp;BO$3,CLAVE_TC,$A110)+SUMIFS(SALIDAS_COMB,FECHA_COMB,"&gt;="&amp;BO$2,FECHA_COMB,"&lt;="&amp;BO$3,CLAVE_COMB,$A110)+SUMIFS(SALIDAS_DES,FECHA_DESGLOSEN,"&gt;="&amp;BO$2,FECHA_DESGLOSEN,"&lt;="&amp;BO$3,CLAVE_DESGLOSE,$A110)</f>
        <v>0</v>
      </c>
      <c r="BP110" s="13">
        <f>SUMIFS(SALIDAS_BIT,FECHA_BIT,"&gt;="&amp;BP$2,FECHA_BIT,"&lt;="&amp;BP$3,CLAVE_BIT,$A110)+SUMIFS(SALIDAS_BOV1,FECHA_BOV1,"&gt;="&amp;BP$2,FECHA_BOV1,"&lt;="&amp;BP$3,CLAVE_BOV1,$A110)+SUMIFS(SALIDAS_BOV2,FECHA_BOV2,"&gt;="&amp;BP$2,FECHA_BOV2,"&lt;="&amp;BP$3,CLAVE_BOV2,$A110)+SUMIFS(SALIDAS_BOV3,FECHA_BOV3,"&gt;="&amp;BP$2,FECHA_BOV3,"&lt;="&amp;BP$3,CLAVE_BOV3,$A110)+SUMIFS(SALIDAS_TC,FECHA_TC,"&gt;="&amp;BP$2,FECHA_TC,"&lt;="&amp;BP$3,CLAVE_TC,$A110)+SUMIFS(SALIDAS_COMB,FECHA_COMB,"&gt;="&amp;BP$2,FECHA_COMB,"&lt;="&amp;BP$3,CLAVE_COMB,$A110)+SUMIFS(SALIDAS_DES,FECHA_DESGLOSEN,"&gt;="&amp;BP$2,FECHA_DESGLOSEN,"&lt;="&amp;BP$3,CLAVE_DESGLOSE,$A110)</f>
        <v>0</v>
      </c>
      <c r="BQ110" s="13">
        <f>SUMIFS(SALIDAS_BIT,FECHA_BIT,"&gt;="&amp;BQ$2,FECHA_BIT,"&lt;="&amp;BQ$3,CLAVE_BIT,$A110)+SUMIFS(SALIDAS_BOV1,FECHA_BOV1,"&gt;="&amp;BQ$2,FECHA_BOV1,"&lt;="&amp;BQ$3,CLAVE_BOV1,$A110)+SUMIFS(SALIDAS_BOV2,FECHA_BOV2,"&gt;="&amp;BQ$2,FECHA_BOV2,"&lt;="&amp;BQ$3,CLAVE_BOV2,$A110)+SUMIFS(SALIDAS_BOV3,FECHA_BOV3,"&gt;="&amp;BQ$2,FECHA_BOV3,"&lt;="&amp;BQ$3,CLAVE_BOV3,$A110)+SUMIFS(SALIDAS_TC,FECHA_TC,"&gt;="&amp;BQ$2,FECHA_TC,"&lt;="&amp;BQ$3,CLAVE_TC,$A110)+SUMIFS(SALIDAS_COMB,FECHA_COMB,"&gt;="&amp;BQ$2,FECHA_COMB,"&lt;="&amp;BQ$3,CLAVE_COMB,$A110)+SUMIFS(SALIDAS_DES,FECHA_DESGLOSEN,"&gt;="&amp;BQ$2,FECHA_DESGLOSEN,"&lt;="&amp;BQ$3,CLAVE_DESGLOSE,$A110)</f>
        <v>0</v>
      </c>
      <c r="BR110" s="13">
        <f t="shared" si="211"/>
        <v>12121</v>
      </c>
      <c r="BS110" s="68">
        <f t="shared" si="164"/>
        <v>-12121</v>
      </c>
      <c r="BT110" s="268">
        <f t="shared" si="165"/>
        <v>0</v>
      </c>
      <c r="BU110" s="13">
        <f t="shared" si="166"/>
        <v>0</v>
      </c>
      <c r="BV110" s="13">
        <f t="shared" si="186"/>
        <v>0</v>
      </c>
      <c r="BW110" s="13">
        <f t="shared" si="186"/>
        <v>0</v>
      </c>
      <c r="BX110" s="13">
        <f t="shared" si="186"/>
        <v>0</v>
      </c>
      <c r="BY110" s="13">
        <f t="shared" si="186"/>
        <v>0</v>
      </c>
      <c r="BZ110" s="13">
        <f t="shared" si="212"/>
        <v>0</v>
      </c>
      <c r="CA110" s="68">
        <f t="shared" si="167"/>
        <v>0</v>
      </c>
      <c r="CB110" s="268">
        <f t="shared" si="168"/>
        <v>0</v>
      </c>
      <c r="CC110" s="13">
        <f t="shared" si="169"/>
        <v>8227</v>
      </c>
      <c r="CD110" s="13">
        <f t="shared" si="187"/>
        <v>12086</v>
      </c>
      <c r="CE110" s="13">
        <f t="shared" si="187"/>
        <v>0</v>
      </c>
      <c r="CF110" s="13">
        <f t="shared" si="187"/>
        <v>0</v>
      </c>
      <c r="CG110" s="13">
        <f t="shared" si="187"/>
        <v>0</v>
      </c>
      <c r="CH110" s="13">
        <f t="shared" si="213"/>
        <v>12086</v>
      </c>
      <c r="CI110" s="68">
        <f t="shared" si="170"/>
        <v>-3859</v>
      </c>
      <c r="CJ110" s="268">
        <f t="shared" si="171"/>
        <v>1.469065272881974</v>
      </c>
      <c r="CK110" s="13">
        <f t="shared" si="172"/>
        <v>0</v>
      </c>
      <c r="CL110" s="13">
        <f t="shared" si="176"/>
        <v>0</v>
      </c>
      <c r="CM110" s="13">
        <f t="shared" si="176"/>
        <v>0</v>
      </c>
      <c r="CN110" s="13">
        <f t="shared" si="176"/>
        <v>0</v>
      </c>
      <c r="CO110" s="13">
        <f t="shared" si="176"/>
        <v>0</v>
      </c>
      <c r="CP110" s="13">
        <f t="shared" si="176"/>
        <v>0</v>
      </c>
      <c r="CQ110" s="13">
        <f t="shared" si="214"/>
        <v>0</v>
      </c>
      <c r="CR110" s="68">
        <f t="shared" si="173"/>
        <v>0</v>
      </c>
      <c r="CS110" s="268">
        <f t="shared" si="174"/>
        <v>0</v>
      </c>
      <c r="CT110" s="68">
        <f t="shared" si="147"/>
        <v>11774</v>
      </c>
      <c r="CU110" s="13">
        <f>SUMIFS(SALIDAS_BIT,FECHA_BIT,"&gt;="&amp;CU$2,FECHA_BIT,"&lt;="&amp;CU$3,CLAVE_BIT,$A110)+SUMIFS(SALIDAS_BOV1,FECHA_BOV1,"&gt;="&amp;CU$2,FECHA_BOV1,"&lt;="&amp;CU$3,CLAVE_BOV1,$A110)+SUMIFS(SALIDAS_BOV2,FECHA_BOV2,"&gt;="&amp;CU$2,FECHA_BOV2,"&lt;="&amp;CU$3,CLAVE_BOV2,$A110)+SUMIFS(SALIDAS_BOV3,FECHA_BOV3,"&gt;="&amp;CU$2,FECHA_BOV3,"&lt;="&amp;CU$3,CLAVE_BOV3,$A110)+SUMIFS(SALIDAS_TC,FECHA_TC,"&gt;="&amp;CU$2,FECHA_TC,"&lt;="&amp;CU$3,CLAVE_TC,$A110)+SUMIFS(SALIDAS_COMB,FECHA_COMB,"&gt;="&amp;CU$2,FECHA_COMB,"&lt;="&amp;CU$3,CLAVE_COMB,$A110)+SUMIFS(SALIDAS_DES,FECHA_DESGLOSEN,"&gt;="&amp;CU$2,FECHA_DESGLOSEN,"&lt;="&amp;CU$3,CLAVE_DESGLOSE,$A110)</f>
        <v>9205</v>
      </c>
      <c r="CV110" s="13">
        <f>SUMIFS(SALIDAS_BIT,FECHA_BIT,"&gt;="&amp;CV$2,FECHA_BIT,"&lt;="&amp;CV$3,CLAVE_BIT,$A110)+SUMIFS(SALIDAS_BOV1,FECHA_BOV1,"&gt;="&amp;CV$2,FECHA_BOV1,"&lt;="&amp;CV$3,CLAVE_BOV1,$A110)+SUMIFS(SALIDAS_BOV2,FECHA_BOV2,"&gt;="&amp;CV$2,FECHA_BOV2,"&lt;="&amp;CV$3,CLAVE_BOV2,$A110)+SUMIFS(SALIDAS_BOV3,FECHA_BOV3,"&gt;="&amp;CV$2,FECHA_BOV3,"&lt;="&amp;CV$3,CLAVE_BOV3,$A110)+SUMIFS(SALIDAS_TC,FECHA_TC,"&gt;="&amp;CV$2,FECHA_TC,"&lt;="&amp;CV$3,CLAVE_TC,$A110)+SUMIFS(SALIDAS_COMB,FECHA_COMB,"&gt;="&amp;CV$2,FECHA_COMB,"&lt;="&amp;CV$3,CLAVE_COMB,$A110)+SUMIFS(SALIDAS_DES,FECHA_DESGLOSEN,"&gt;="&amp;CV$2,FECHA_DESGLOSEN,"&lt;="&amp;CV$3,CLAVE_DESGLOSE,$A110)</f>
        <v>0</v>
      </c>
      <c r="CW110" s="13">
        <f>SUMIFS(SALIDAS_BIT,FECHA_BIT,"&gt;="&amp;CW$2,FECHA_BIT,"&lt;="&amp;CW$3,CLAVE_BIT,$A110)+SUMIFS(SALIDAS_BOV1,FECHA_BOV1,"&gt;="&amp;CW$2,FECHA_BOV1,"&lt;="&amp;CW$3,CLAVE_BOV1,$A110)+SUMIFS(SALIDAS_BOV2,FECHA_BOV2,"&gt;="&amp;CW$2,FECHA_BOV2,"&lt;="&amp;CW$3,CLAVE_BOV2,$A110)+SUMIFS(SALIDAS_BOV3,FECHA_BOV3,"&gt;="&amp;CW$2,FECHA_BOV3,"&lt;="&amp;CW$3,CLAVE_BOV3,$A110)+SUMIFS(SALIDAS_TC,FECHA_TC,"&gt;="&amp;CW$2,FECHA_TC,"&lt;="&amp;CW$3,CLAVE_TC,$A110)+SUMIFS(SALIDAS_COMB,FECHA_COMB,"&gt;="&amp;CW$2,FECHA_COMB,"&lt;="&amp;CW$3,CLAVE_COMB,$A110)+SUMIFS(SALIDAS_DES,FECHA_DESGLOSEN,"&gt;="&amp;CW$2,FECHA_DESGLOSEN,"&lt;="&amp;CW$3,CLAVE_DESGLOSE,$A110)</f>
        <v>0</v>
      </c>
      <c r="CX110" s="13">
        <f>SUMIFS(SALIDAS_BIT,FECHA_BIT,"&gt;="&amp;CX$2,FECHA_BIT,"&lt;="&amp;CX$3,CLAVE_BIT,$A110)+SUMIFS(SALIDAS_BOV1,FECHA_BOV1,"&gt;="&amp;CX$2,FECHA_BOV1,"&lt;="&amp;CX$3,CLAVE_BOV1,$A110)+SUMIFS(SALIDAS_BOV2,FECHA_BOV2,"&gt;="&amp;CX$2,FECHA_BOV2,"&lt;="&amp;CX$3,CLAVE_BOV2,$A110)+SUMIFS(SALIDAS_BOV3,FECHA_BOV3,"&gt;="&amp;CX$2,FECHA_BOV3,"&lt;="&amp;CX$3,CLAVE_BOV3,$A110)+SUMIFS(SALIDAS_TC,FECHA_TC,"&gt;="&amp;CX$2,FECHA_TC,"&lt;="&amp;CX$3,CLAVE_TC,$A110)+SUMIFS(SALIDAS_COMB,FECHA_COMB,"&gt;="&amp;CX$2,FECHA_COMB,"&lt;="&amp;CX$3,CLAVE_COMB,$A110)+SUMIFS(SALIDAS_DES,FECHA_DESGLOSEN,"&gt;="&amp;CX$2,FECHA_DESGLOSEN,"&lt;="&amp;CX$3,CLAVE_DESGLOSE,$A110)</f>
        <v>0</v>
      </c>
      <c r="CY110" s="13">
        <f>SUMIFS(SALIDAS_BIT,FECHA_BIT,"&gt;="&amp;CY$2,FECHA_BIT,"&lt;="&amp;CY$3,CLAVE_BIT,$A110)+SUMIFS(SALIDAS_BOV1,FECHA_BOV1,"&gt;="&amp;CY$2,FECHA_BOV1,"&lt;="&amp;CY$3,CLAVE_BOV1,$A110)+SUMIFS(SALIDAS_BOV2,FECHA_BOV2,"&gt;="&amp;CY$2,FECHA_BOV2,"&lt;="&amp;CY$3,CLAVE_BOV2,$A110)+SUMIFS(SALIDAS_BOV3,FECHA_BOV3,"&gt;="&amp;CY$2,FECHA_BOV3,"&lt;="&amp;CY$3,CLAVE_BOV3,$A110)+SUMIFS(SALIDAS_TC,FECHA_TC,"&gt;="&amp;CY$2,FECHA_TC,"&lt;="&amp;CY$3,CLAVE_TC,$A110)+SUMIFS(SALIDAS_COMB,FECHA_COMB,"&gt;="&amp;CY$2,FECHA_COMB,"&lt;="&amp;CY$3,CLAVE_COMB,$A110)+SUMIFS(SALIDAS_DES,FECHA_DESGLOSEN,"&gt;="&amp;CY$2,FECHA_DESGLOSEN,"&lt;="&amp;CY$3,CLAVE_DESGLOSE,$A110)</f>
        <v>9205</v>
      </c>
      <c r="CZ110" s="68">
        <f t="shared" si="175"/>
        <v>2569</v>
      </c>
      <c r="DB110" s="17">
        <f>F110+N110+W110+AE110+AM110+AV110+BD110+BL110+BU110+CC110+CK110</f>
        <v>37543</v>
      </c>
      <c r="DC110" s="17">
        <f>K110+T110+AB110+AJ110+AS110+BA110+BI110+BR110+BZ110+CH110+CQ110</f>
        <v>56133</v>
      </c>
    </row>
    <row r="111" spans="1:107" hidden="1">
      <c r="A111" s="12" t="str">
        <f t="shared" si="148"/>
        <v>HRENERGIA ELECTRICAA4</v>
      </c>
      <c r="B111" s="12">
        <v>113</v>
      </c>
      <c r="C111" t="s">
        <v>29</v>
      </c>
      <c r="D111" s="404" t="s">
        <v>87</v>
      </c>
      <c r="E111" s="404" t="s">
        <v>91</v>
      </c>
      <c r="F111" s="259">
        <f t="shared" si="141"/>
        <v>5220</v>
      </c>
      <c r="G111" s="13">
        <f t="shared" si="206"/>
        <v>0</v>
      </c>
      <c r="H111" s="13">
        <f t="shared" si="206"/>
        <v>0</v>
      </c>
      <c r="I111" s="13">
        <f t="shared" si="206"/>
        <v>5534</v>
      </c>
      <c r="J111" s="13">
        <f t="shared" si="206"/>
        <v>0</v>
      </c>
      <c r="K111" s="13">
        <f t="shared" si="206"/>
        <v>5534</v>
      </c>
      <c r="L111" s="68">
        <f t="shared" si="149"/>
        <v>-314</v>
      </c>
      <c r="M111" s="268">
        <f t="shared" si="150"/>
        <v>1.060153256704981</v>
      </c>
      <c r="N111" s="13">
        <f t="shared" si="142"/>
        <v>0</v>
      </c>
      <c r="O111" s="13">
        <f t="shared" si="207"/>
        <v>0</v>
      </c>
      <c r="P111" s="13">
        <f t="shared" si="207"/>
        <v>0</v>
      </c>
      <c r="Q111" s="13">
        <f t="shared" si="207"/>
        <v>0</v>
      </c>
      <c r="R111" s="13">
        <f t="shared" si="207"/>
        <v>0</v>
      </c>
      <c r="S111" s="13">
        <f t="shared" si="207"/>
        <v>0</v>
      </c>
      <c r="T111" s="13">
        <f t="shared" si="207"/>
        <v>0</v>
      </c>
      <c r="U111" s="68">
        <f t="shared" si="151"/>
        <v>0</v>
      </c>
      <c r="V111" s="268">
        <f t="shared" si="152"/>
        <v>0</v>
      </c>
      <c r="W111" s="13">
        <f t="shared" si="143"/>
        <v>5683</v>
      </c>
      <c r="X111" s="13">
        <f t="shared" si="208"/>
        <v>0</v>
      </c>
      <c r="Y111" s="13">
        <f t="shared" si="208"/>
        <v>0</v>
      </c>
      <c r="Z111" s="13">
        <f t="shared" si="208"/>
        <v>5926</v>
      </c>
      <c r="AA111" s="13">
        <f t="shared" si="208"/>
        <v>0</v>
      </c>
      <c r="AB111" s="13">
        <f t="shared" si="208"/>
        <v>5926</v>
      </c>
      <c r="AC111" s="68">
        <f t="shared" si="153"/>
        <v>-243</v>
      </c>
      <c r="AD111" s="268">
        <f t="shared" si="154"/>
        <v>1.04275910610593</v>
      </c>
      <c r="AE111" s="13">
        <f t="shared" si="144"/>
        <v>0</v>
      </c>
      <c r="AF111" s="13">
        <f t="shared" si="209"/>
        <v>0</v>
      </c>
      <c r="AG111" s="13">
        <f t="shared" si="209"/>
        <v>0</v>
      </c>
      <c r="AH111" s="13">
        <f t="shared" si="209"/>
        <v>0</v>
      </c>
      <c r="AI111" s="13">
        <f t="shared" si="209"/>
        <v>0</v>
      </c>
      <c r="AJ111" s="13">
        <f t="shared" si="209"/>
        <v>0</v>
      </c>
      <c r="AK111" s="68">
        <f t="shared" si="155"/>
        <v>0</v>
      </c>
      <c r="AL111" s="268">
        <f t="shared" si="156"/>
        <v>0</v>
      </c>
      <c r="AM111" s="13">
        <f t="shared" si="145"/>
        <v>6187</v>
      </c>
      <c r="AN111" s="13">
        <f t="shared" si="210"/>
        <v>0</v>
      </c>
      <c r="AO111" s="13">
        <f t="shared" si="210"/>
        <v>0</v>
      </c>
      <c r="AP111" s="13">
        <f t="shared" si="210"/>
        <v>8706</v>
      </c>
      <c r="AQ111" s="13">
        <f t="shared" si="210"/>
        <v>0</v>
      </c>
      <c r="AR111" s="13">
        <f t="shared" si="210"/>
        <v>0</v>
      </c>
      <c r="AS111" s="13">
        <f t="shared" si="210"/>
        <v>8706</v>
      </c>
      <c r="AT111" s="68">
        <f>AM111-AS111</f>
        <v>-2519</v>
      </c>
      <c r="AU111" s="268">
        <f t="shared" si="157"/>
        <v>1.407144011637304</v>
      </c>
      <c r="AV111" s="13">
        <f t="shared" si="146"/>
        <v>0</v>
      </c>
      <c r="AW111" s="13">
        <f t="shared" si="119"/>
        <v>0</v>
      </c>
      <c r="AX111" s="13">
        <f t="shared" si="119"/>
        <v>0</v>
      </c>
      <c r="AY111" s="13">
        <f t="shared" si="119"/>
        <v>0</v>
      </c>
      <c r="AZ111" s="13">
        <f t="shared" si="119"/>
        <v>0</v>
      </c>
      <c r="BA111" s="13">
        <f t="shared" si="120"/>
        <v>0</v>
      </c>
      <c r="BB111" s="68">
        <f t="shared" si="158"/>
        <v>0</v>
      </c>
      <c r="BC111" s="268">
        <f t="shared" si="159"/>
        <v>0</v>
      </c>
      <c r="BD111" s="13">
        <f t="shared" si="160"/>
        <v>10018</v>
      </c>
      <c r="BE111" s="13">
        <f>SUMIFS(SALIDAS_BIT,FECHA_BIT,"&gt;="&amp;BE$2,FECHA_BIT,"&lt;="&amp;BE$3,CLAVE_BIT,$A111)+SUMIFS(SALIDAS_BOV1,FECHA_BOV1,"&gt;="&amp;BE$2,FECHA_BOV1,"&lt;="&amp;BE$3,CLAVE_BOV1,$A111)+SUMIFS(SALIDAS_BOV2,FECHA_BOV2,"&gt;="&amp;BE$2,FECHA_BOV2,"&lt;="&amp;BE$3,CLAVE_BOV2,$A111)+SUMIFS(SALIDAS_BOV3,FECHA_BOV3,"&gt;="&amp;BE$2,FECHA_BOV3,"&lt;="&amp;BE$3,CLAVE_BOV3,$A111)+SUMIFS(SALIDAS_TC,FECHA_TC,"&gt;="&amp;BE$2,FECHA_TC,"&lt;="&amp;BE$3,CLAVE_TC,$A111)+SUMIFS(SALIDAS_COMB,FECHA_COMB,"&gt;="&amp;BE$2,FECHA_COMB,"&lt;="&amp;BE$3,CLAVE_COMB,$A111)+SUMIFS(SALIDAS_DES,FECHA_DESGLOSEN,"&gt;="&amp;BE$2,FECHA_DESGLOSEN,"&lt;="&amp;BE$3,CLAVE_DESGLOSE,$A111)</f>
        <v>0</v>
      </c>
      <c r="BF111" s="13">
        <f>SUMIFS(SALIDAS_BIT,FECHA_BIT,"&gt;="&amp;BF$2,FECHA_BIT,"&lt;="&amp;BF$3,CLAVE_BIT,$A111)+SUMIFS(SALIDAS_BOV1,FECHA_BOV1,"&gt;="&amp;BF$2,FECHA_BOV1,"&lt;="&amp;BF$3,CLAVE_BOV1,$A111)+SUMIFS(SALIDAS_BOV2,FECHA_BOV2,"&gt;="&amp;BF$2,FECHA_BOV2,"&lt;="&amp;BF$3,CLAVE_BOV2,$A111)+SUMIFS(SALIDAS_BOV3,FECHA_BOV3,"&gt;="&amp;BF$2,FECHA_BOV3,"&lt;="&amp;BF$3,CLAVE_BOV3,$A111)+SUMIFS(SALIDAS_TC,FECHA_TC,"&gt;="&amp;BF$2,FECHA_TC,"&lt;="&amp;BF$3,CLAVE_TC,$A111)+SUMIFS(SALIDAS_COMB,FECHA_COMB,"&gt;="&amp;BF$2,FECHA_COMB,"&lt;="&amp;BF$3,CLAVE_COMB,$A111)+SUMIFS(SALIDAS_DES,FECHA_DESGLOSEN,"&gt;="&amp;BF$2,FECHA_DESGLOSEN,"&lt;="&amp;BF$3,CLAVE_DESGLOSE,$A111)</f>
        <v>0</v>
      </c>
      <c r="BG111" s="13">
        <f>SUMIFS(SALIDAS_BIT,FECHA_BIT,"&gt;="&amp;BG$2,FECHA_BIT,"&lt;="&amp;BG$3,CLAVE_BIT,$A111)+SUMIFS(SALIDAS_BOV1,FECHA_BOV1,"&gt;="&amp;BG$2,FECHA_BOV1,"&lt;="&amp;BG$3,CLAVE_BOV1,$A111)+SUMIFS(SALIDAS_BOV2,FECHA_BOV2,"&gt;="&amp;BG$2,FECHA_BOV2,"&lt;="&amp;BG$3,CLAVE_BOV2,$A111)+SUMIFS(SALIDAS_BOV3,FECHA_BOV3,"&gt;="&amp;BG$2,FECHA_BOV3,"&lt;="&amp;BG$3,CLAVE_BOV3,$A111)+SUMIFS(SALIDAS_TC,FECHA_TC,"&gt;="&amp;BG$2,FECHA_TC,"&lt;="&amp;BG$3,CLAVE_TC,$A111)+SUMIFS(SALIDAS_COMB,FECHA_COMB,"&gt;="&amp;BG$2,FECHA_COMB,"&lt;="&amp;BG$3,CLAVE_COMB,$A111)+SUMIFS(SALIDAS_DES,FECHA_DESGLOSEN,"&gt;="&amp;BG$2,FECHA_DESGLOSEN,"&lt;="&amp;BG$3,CLAVE_DESGLOSE,$A111)</f>
        <v>14234</v>
      </c>
      <c r="BH111" s="13">
        <f>SUMIFS(SALIDAS_BIT,FECHA_BIT,"&gt;="&amp;BH$2,FECHA_BIT,"&lt;="&amp;BH$3,CLAVE_BIT,$A111)+SUMIFS(SALIDAS_BOV1,FECHA_BOV1,"&gt;="&amp;BH$2,FECHA_BOV1,"&lt;="&amp;BH$3,CLAVE_BOV1,$A111)+SUMIFS(SALIDAS_BOV2,FECHA_BOV2,"&gt;="&amp;BH$2,FECHA_BOV2,"&lt;="&amp;BH$3,CLAVE_BOV2,$A111)+SUMIFS(SALIDAS_BOV3,FECHA_BOV3,"&gt;="&amp;BH$2,FECHA_BOV3,"&lt;="&amp;BH$3,CLAVE_BOV3,$A111)+SUMIFS(SALIDAS_TC,FECHA_TC,"&gt;="&amp;BH$2,FECHA_TC,"&lt;="&amp;BH$3,CLAVE_TC,$A111)+SUMIFS(SALIDAS_COMB,FECHA_COMB,"&gt;="&amp;BH$2,FECHA_COMB,"&lt;="&amp;BH$3,CLAVE_COMB,$A111)+SUMIFS(SALIDAS_DES,FECHA_DESGLOSEN,"&gt;="&amp;BH$2,FECHA_DESGLOSEN,"&lt;="&amp;BH$3,CLAVE_DESGLOSE,$A111)</f>
        <v>0</v>
      </c>
      <c r="BI111" s="13">
        <f t="shared" si="215"/>
        <v>14234</v>
      </c>
      <c r="BJ111" s="68">
        <f t="shared" si="161"/>
        <v>-4216</v>
      </c>
      <c r="BK111" s="268">
        <f t="shared" si="162"/>
        <v>1.4208424835296467</v>
      </c>
      <c r="BL111" s="13">
        <f t="shared" si="163"/>
        <v>0</v>
      </c>
      <c r="BM111" s="13">
        <f>SUMIFS(SALIDAS_BIT,FECHA_BIT,"&gt;="&amp;BM$2,FECHA_BIT,"&lt;="&amp;BM$3,CLAVE_BIT,$A111)+SUMIFS(SALIDAS_BOV1,FECHA_BOV1,"&gt;="&amp;BM$2,FECHA_BOV1,"&lt;="&amp;BM$3,CLAVE_BOV1,$A111)+SUMIFS(SALIDAS_BOV2,FECHA_BOV2,"&gt;="&amp;BM$2,FECHA_BOV2,"&lt;="&amp;BM$3,CLAVE_BOV2,$A111)+SUMIFS(SALIDAS_BOV3,FECHA_BOV3,"&gt;="&amp;BM$2,FECHA_BOV3,"&lt;="&amp;BM$3,CLAVE_BOV3,$A111)+SUMIFS(SALIDAS_TC,FECHA_TC,"&gt;="&amp;BM$2,FECHA_TC,"&lt;="&amp;BM$3,CLAVE_TC,$A111)+SUMIFS(SALIDAS_COMB,FECHA_COMB,"&gt;="&amp;BM$2,FECHA_COMB,"&lt;="&amp;BM$3,CLAVE_COMB,$A111)+SUMIFS(SALIDAS_DES,FECHA_DESGLOSEN,"&gt;="&amp;BM$2,FECHA_DESGLOSEN,"&lt;="&amp;BM$3,CLAVE_DESGLOSE,$A111)</f>
        <v>0</v>
      </c>
      <c r="BN111" s="13">
        <f>SUMIFS(SALIDAS_BIT,FECHA_BIT,"&gt;="&amp;BN$2,FECHA_BIT,"&lt;="&amp;BN$3,CLAVE_BIT,$A111)+SUMIFS(SALIDAS_BOV1,FECHA_BOV1,"&gt;="&amp;BN$2,FECHA_BOV1,"&lt;="&amp;BN$3,CLAVE_BOV1,$A111)+SUMIFS(SALIDAS_BOV2,FECHA_BOV2,"&gt;="&amp;BN$2,FECHA_BOV2,"&lt;="&amp;BN$3,CLAVE_BOV2,$A111)+SUMIFS(SALIDAS_BOV3,FECHA_BOV3,"&gt;="&amp;BN$2,FECHA_BOV3,"&lt;="&amp;BN$3,CLAVE_BOV3,$A111)+SUMIFS(SALIDAS_TC,FECHA_TC,"&gt;="&amp;BN$2,FECHA_TC,"&lt;="&amp;BN$3,CLAVE_TC,$A111)+SUMIFS(SALIDAS_COMB,FECHA_COMB,"&gt;="&amp;BN$2,FECHA_COMB,"&lt;="&amp;BN$3,CLAVE_COMB,$A111)+SUMIFS(SALIDAS_DES,FECHA_DESGLOSEN,"&gt;="&amp;BN$2,FECHA_DESGLOSEN,"&lt;="&amp;BN$3,CLAVE_DESGLOSE,$A111)</f>
        <v>0</v>
      </c>
      <c r="BO111" s="13">
        <f>SUMIFS(SALIDAS_BIT,FECHA_BIT,"&gt;="&amp;BO$2,FECHA_BIT,"&lt;="&amp;BO$3,CLAVE_BIT,$A111)+SUMIFS(SALIDAS_BOV1,FECHA_BOV1,"&gt;="&amp;BO$2,FECHA_BOV1,"&lt;="&amp;BO$3,CLAVE_BOV1,$A111)+SUMIFS(SALIDAS_BOV2,FECHA_BOV2,"&gt;="&amp;BO$2,FECHA_BOV2,"&lt;="&amp;BO$3,CLAVE_BOV2,$A111)+SUMIFS(SALIDAS_BOV3,FECHA_BOV3,"&gt;="&amp;BO$2,FECHA_BOV3,"&lt;="&amp;BO$3,CLAVE_BOV3,$A111)+SUMIFS(SALIDAS_TC,FECHA_TC,"&gt;="&amp;BO$2,FECHA_TC,"&lt;="&amp;BO$3,CLAVE_TC,$A111)+SUMIFS(SALIDAS_COMB,FECHA_COMB,"&gt;="&amp;BO$2,FECHA_COMB,"&lt;="&amp;BO$3,CLAVE_COMB,$A111)+SUMIFS(SALIDAS_DES,FECHA_DESGLOSEN,"&gt;="&amp;BO$2,FECHA_DESGLOSEN,"&lt;="&amp;BO$3,CLAVE_DESGLOSE,$A111)</f>
        <v>0</v>
      </c>
      <c r="BP111" s="13">
        <f>SUMIFS(SALIDAS_BIT,FECHA_BIT,"&gt;="&amp;BP$2,FECHA_BIT,"&lt;="&amp;BP$3,CLAVE_BIT,$A111)+SUMIFS(SALIDAS_BOV1,FECHA_BOV1,"&gt;="&amp;BP$2,FECHA_BOV1,"&lt;="&amp;BP$3,CLAVE_BOV1,$A111)+SUMIFS(SALIDAS_BOV2,FECHA_BOV2,"&gt;="&amp;BP$2,FECHA_BOV2,"&lt;="&amp;BP$3,CLAVE_BOV2,$A111)+SUMIFS(SALIDAS_BOV3,FECHA_BOV3,"&gt;="&amp;BP$2,FECHA_BOV3,"&lt;="&amp;BP$3,CLAVE_BOV3,$A111)+SUMIFS(SALIDAS_TC,FECHA_TC,"&gt;="&amp;BP$2,FECHA_TC,"&lt;="&amp;BP$3,CLAVE_TC,$A111)+SUMIFS(SALIDAS_COMB,FECHA_COMB,"&gt;="&amp;BP$2,FECHA_COMB,"&lt;="&amp;BP$3,CLAVE_COMB,$A111)+SUMIFS(SALIDAS_DES,FECHA_DESGLOSEN,"&gt;="&amp;BP$2,FECHA_DESGLOSEN,"&lt;="&amp;BP$3,CLAVE_DESGLOSE,$A111)</f>
        <v>0</v>
      </c>
      <c r="BQ111" s="13">
        <f>SUMIFS(SALIDAS_BIT,FECHA_BIT,"&gt;="&amp;BQ$2,FECHA_BIT,"&lt;="&amp;BQ$3,CLAVE_BIT,$A111)+SUMIFS(SALIDAS_BOV1,FECHA_BOV1,"&gt;="&amp;BQ$2,FECHA_BOV1,"&lt;="&amp;BQ$3,CLAVE_BOV1,$A111)+SUMIFS(SALIDAS_BOV2,FECHA_BOV2,"&gt;="&amp;BQ$2,FECHA_BOV2,"&lt;="&amp;BQ$3,CLAVE_BOV2,$A111)+SUMIFS(SALIDAS_BOV3,FECHA_BOV3,"&gt;="&amp;BQ$2,FECHA_BOV3,"&lt;="&amp;BQ$3,CLAVE_BOV3,$A111)+SUMIFS(SALIDAS_TC,FECHA_TC,"&gt;="&amp;BQ$2,FECHA_TC,"&lt;="&amp;BQ$3,CLAVE_TC,$A111)+SUMIFS(SALIDAS_COMB,FECHA_COMB,"&gt;="&amp;BQ$2,FECHA_COMB,"&lt;="&amp;BQ$3,CLAVE_COMB,$A111)+SUMIFS(SALIDAS_DES,FECHA_DESGLOSEN,"&gt;="&amp;BQ$2,FECHA_DESGLOSEN,"&lt;="&amp;BQ$3,CLAVE_DESGLOSE,$A111)</f>
        <v>0</v>
      </c>
      <c r="BR111" s="13">
        <f t="shared" si="211"/>
        <v>0</v>
      </c>
      <c r="BS111" s="68">
        <f t="shared" si="164"/>
        <v>0</v>
      </c>
      <c r="BT111" s="268">
        <f t="shared" si="165"/>
        <v>0</v>
      </c>
      <c r="BU111" s="13">
        <f t="shared" si="166"/>
        <v>6757</v>
      </c>
      <c r="BV111" s="13">
        <f t="shared" si="186"/>
        <v>0</v>
      </c>
      <c r="BW111" s="13">
        <f t="shared" si="186"/>
        <v>0</v>
      </c>
      <c r="BX111" s="13">
        <f t="shared" si="186"/>
        <v>12013</v>
      </c>
      <c r="BY111" s="13">
        <f t="shared" si="186"/>
        <v>0</v>
      </c>
      <c r="BZ111" s="13">
        <f t="shared" si="212"/>
        <v>12013</v>
      </c>
      <c r="CA111" s="68">
        <f t="shared" si="167"/>
        <v>-5256</v>
      </c>
      <c r="CB111" s="268">
        <f t="shared" si="168"/>
        <v>1.7778599970401066</v>
      </c>
      <c r="CC111" s="13">
        <f t="shared" si="169"/>
        <v>0</v>
      </c>
      <c r="CD111" s="13">
        <f t="shared" si="187"/>
        <v>0</v>
      </c>
      <c r="CE111" s="13">
        <f t="shared" si="187"/>
        <v>0</v>
      </c>
      <c r="CF111" s="13">
        <f t="shared" si="187"/>
        <v>0</v>
      </c>
      <c r="CG111" s="13">
        <f t="shared" si="187"/>
        <v>0</v>
      </c>
      <c r="CH111" s="13">
        <f t="shared" si="213"/>
        <v>0</v>
      </c>
      <c r="CI111" s="68">
        <f t="shared" si="170"/>
        <v>0</v>
      </c>
      <c r="CJ111" s="268">
        <f t="shared" si="171"/>
        <v>0</v>
      </c>
      <c r="CK111" s="13">
        <f t="shared" si="172"/>
        <v>7162</v>
      </c>
      <c r="CL111" s="13">
        <f t="shared" si="176"/>
        <v>0</v>
      </c>
      <c r="CM111" s="13">
        <f t="shared" si="176"/>
        <v>0</v>
      </c>
      <c r="CN111" s="13">
        <f t="shared" si="176"/>
        <v>7254</v>
      </c>
      <c r="CO111" s="13">
        <f t="shared" si="176"/>
        <v>0</v>
      </c>
      <c r="CP111" s="13">
        <f t="shared" si="176"/>
        <v>0</v>
      </c>
      <c r="CQ111" s="13">
        <f t="shared" si="214"/>
        <v>7254</v>
      </c>
      <c r="CR111" s="68">
        <f t="shared" si="173"/>
        <v>-92</v>
      </c>
      <c r="CS111" s="268">
        <f t="shared" si="174"/>
        <v>1.0128455738620497</v>
      </c>
      <c r="CT111" s="68">
        <f t="shared" si="147"/>
        <v>0</v>
      </c>
      <c r="CU111" s="13">
        <f>SUMIFS(SALIDAS_BIT,FECHA_BIT,"&gt;="&amp;CU$2,FECHA_BIT,"&lt;="&amp;CU$3,CLAVE_BIT,$A111)+SUMIFS(SALIDAS_BOV1,FECHA_BOV1,"&gt;="&amp;CU$2,FECHA_BOV1,"&lt;="&amp;CU$3,CLAVE_BOV1,$A111)+SUMIFS(SALIDAS_BOV2,FECHA_BOV2,"&gt;="&amp;CU$2,FECHA_BOV2,"&lt;="&amp;CU$3,CLAVE_BOV2,$A111)+SUMIFS(SALIDAS_BOV3,FECHA_BOV3,"&gt;="&amp;CU$2,FECHA_BOV3,"&lt;="&amp;CU$3,CLAVE_BOV3,$A111)+SUMIFS(SALIDAS_TC,FECHA_TC,"&gt;="&amp;CU$2,FECHA_TC,"&lt;="&amp;CU$3,CLAVE_TC,$A111)+SUMIFS(SALIDAS_COMB,FECHA_COMB,"&gt;="&amp;CU$2,FECHA_COMB,"&lt;="&amp;CU$3,CLAVE_COMB,$A111)+SUMIFS(SALIDAS_DES,FECHA_DESGLOSEN,"&gt;="&amp;CU$2,FECHA_DESGLOSEN,"&lt;="&amp;CU$3,CLAVE_DESGLOSE,$A111)</f>
        <v>0</v>
      </c>
      <c r="CV111" s="13">
        <f>SUMIFS(SALIDAS_BIT,FECHA_BIT,"&gt;="&amp;CV$2,FECHA_BIT,"&lt;="&amp;CV$3,CLAVE_BIT,$A111)+SUMIFS(SALIDAS_BOV1,FECHA_BOV1,"&gt;="&amp;CV$2,FECHA_BOV1,"&lt;="&amp;CV$3,CLAVE_BOV1,$A111)+SUMIFS(SALIDAS_BOV2,FECHA_BOV2,"&gt;="&amp;CV$2,FECHA_BOV2,"&lt;="&amp;CV$3,CLAVE_BOV2,$A111)+SUMIFS(SALIDAS_BOV3,FECHA_BOV3,"&gt;="&amp;CV$2,FECHA_BOV3,"&lt;="&amp;CV$3,CLAVE_BOV3,$A111)+SUMIFS(SALIDAS_TC,FECHA_TC,"&gt;="&amp;CV$2,FECHA_TC,"&lt;="&amp;CV$3,CLAVE_TC,$A111)+SUMIFS(SALIDAS_COMB,FECHA_COMB,"&gt;="&amp;CV$2,FECHA_COMB,"&lt;="&amp;CV$3,CLAVE_COMB,$A111)+SUMIFS(SALIDAS_DES,FECHA_DESGLOSEN,"&gt;="&amp;CV$2,FECHA_DESGLOSEN,"&lt;="&amp;CV$3,CLAVE_DESGLOSE,$A111)</f>
        <v>0</v>
      </c>
      <c r="CW111" s="13">
        <f>SUMIFS(SALIDAS_BIT,FECHA_BIT,"&gt;="&amp;CW$2,FECHA_BIT,"&lt;="&amp;CW$3,CLAVE_BIT,$A111)+SUMIFS(SALIDAS_BOV1,FECHA_BOV1,"&gt;="&amp;CW$2,FECHA_BOV1,"&lt;="&amp;CW$3,CLAVE_BOV1,$A111)+SUMIFS(SALIDAS_BOV2,FECHA_BOV2,"&gt;="&amp;CW$2,FECHA_BOV2,"&lt;="&amp;CW$3,CLAVE_BOV2,$A111)+SUMIFS(SALIDAS_BOV3,FECHA_BOV3,"&gt;="&amp;CW$2,FECHA_BOV3,"&lt;="&amp;CW$3,CLAVE_BOV3,$A111)+SUMIFS(SALIDAS_TC,FECHA_TC,"&gt;="&amp;CW$2,FECHA_TC,"&lt;="&amp;CW$3,CLAVE_TC,$A111)+SUMIFS(SALIDAS_COMB,FECHA_COMB,"&gt;="&amp;CW$2,FECHA_COMB,"&lt;="&amp;CW$3,CLAVE_COMB,$A111)+SUMIFS(SALIDAS_DES,FECHA_DESGLOSEN,"&gt;="&amp;CW$2,FECHA_DESGLOSEN,"&lt;="&amp;CW$3,CLAVE_DESGLOSE,$A111)</f>
        <v>0</v>
      </c>
      <c r="CX111" s="13">
        <f>SUMIFS(SALIDAS_BIT,FECHA_BIT,"&gt;="&amp;CX$2,FECHA_BIT,"&lt;="&amp;CX$3,CLAVE_BIT,$A111)+SUMIFS(SALIDAS_BOV1,FECHA_BOV1,"&gt;="&amp;CX$2,FECHA_BOV1,"&lt;="&amp;CX$3,CLAVE_BOV1,$A111)+SUMIFS(SALIDAS_BOV2,FECHA_BOV2,"&gt;="&amp;CX$2,FECHA_BOV2,"&lt;="&amp;CX$3,CLAVE_BOV2,$A111)+SUMIFS(SALIDAS_BOV3,FECHA_BOV3,"&gt;="&amp;CX$2,FECHA_BOV3,"&lt;="&amp;CX$3,CLAVE_BOV3,$A111)+SUMIFS(SALIDAS_TC,FECHA_TC,"&gt;="&amp;CX$2,FECHA_TC,"&lt;="&amp;CX$3,CLAVE_TC,$A111)+SUMIFS(SALIDAS_COMB,FECHA_COMB,"&gt;="&amp;CX$2,FECHA_COMB,"&lt;="&amp;CX$3,CLAVE_COMB,$A111)+SUMIFS(SALIDAS_DES,FECHA_DESGLOSEN,"&gt;="&amp;CX$2,FECHA_DESGLOSEN,"&lt;="&amp;CX$3,CLAVE_DESGLOSE,$A111)</f>
        <v>0</v>
      </c>
      <c r="CY111" s="13">
        <f>SUMIFS(SALIDAS_BIT,FECHA_BIT,"&gt;="&amp;CY$2,FECHA_BIT,"&lt;="&amp;CY$3,CLAVE_BIT,$A111)+SUMIFS(SALIDAS_BOV1,FECHA_BOV1,"&gt;="&amp;CY$2,FECHA_BOV1,"&lt;="&amp;CY$3,CLAVE_BOV1,$A111)+SUMIFS(SALIDAS_BOV2,FECHA_BOV2,"&gt;="&amp;CY$2,FECHA_BOV2,"&lt;="&amp;CY$3,CLAVE_BOV2,$A111)+SUMIFS(SALIDAS_BOV3,FECHA_BOV3,"&gt;="&amp;CY$2,FECHA_BOV3,"&lt;="&amp;CY$3,CLAVE_BOV3,$A111)+SUMIFS(SALIDAS_TC,FECHA_TC,"&gt;="&amp;CY$2,FECHA_TC,"&lt;="&amp;CY$3,CLAVE_TC,$A111)+SUMIFS(SALIDAS_COMB,FECHA_COMB,"&gt;="&amp;CY$2,FECHA_COMB,"&lt;="&amp;CY$3,CLAVE_COMB,$A111)+SUMIFS(SALIDAS_DES,FECHA_DESGLOSEN,"&gt;="&amp;CY$2,FECHA_DESGLOSEN,"&lt;="&amp;CY$3,CLAVE_DESGLOSE,$A111)</f>
        <v>0</v>
      </c>
      <c r="CZ111" s="68">
        <f t="shared" si="175"/>
        <v>0</v>
      </c>
      <c r="DB111" s="17">
        <f>F111+N111+W111+AE111+AM111+AV111+BD111+BL111+BU111+CC111+CK111</f>
        <v>41027</v>
      </c>
      <c r="DC111" s="17">
        <f>K111+T111+AB111+AJ111+AS111+BA111+BI111+BR111+BZ111+CH111+CQ111</f>
        <v>53667</v>
      </c>
    </row>
    <row r="112" spans="1:107" hidden="1">
      <c r="A112" s="12" t="str">
        <f t="shared" si="148"/>
        <v>HRENERGIA ELECTRICAA5</v>
      </c>
      <c r="B112" s="12">
        <v>114</v>
      </c>
      <c r="C112" t="s">
        <v>29</v>
      </c>
      <c r="D112" s="404" t="s">
        <v>87</v>
      </c>
      <c r="E112" s="404" t="s">
        <v>92</v>
      </c>
      <c r="F112" s="259">
        <f t="shared" si="141"/>
        <v>13845</v>
      </c>
      <c r="G112" s="13">
        <f t="shared" si="206"/>
        <v>0</v>
      </c>
      <c r="H112" s="13">
        <f t="shared" si="206"/>
        <v>0</v>
      </c>
      <c r="I112" s="13">
        <f t="shared" si="206"/>
        <v>16291</v>
      </c>
      <c r="J112" s="13">
        <f t="shared" si="206"/>
        <v>0</v>
      </c>
      <c r="K112" s="13">
        <f t="shared" si="206"/>
        <v>16291</v>
      </c>
      <c r="L112" s="68">
        <f t="shared" si="149"/>
        <v>-2446</v>
      </c>
      <c r="M112" s="268">
        <f t="shared" si="150"/>
        <v>1.1766702780787288</v>
      </c>
      <c r="N112" s="13">
        <f t="shared" si="142"/>
        <v>0</v>
      </c>
      <c r="O112" s="13">
        <f t="shared" si="207"/>
        <v>0</v>
      </c>
      <c r="P112" s="13">
        <f t="shared" si="207"/>
        <v>0</v>
      </c>
      <c r="Q112" s="13">
        <f t="shared" si="207"/>
        <v>0</v>
      </c>
      <c r="R112" s="13">
        <f t="shared" si="207"/>
        <v>0</v>
      </c>
      <c r="S112" s="13">
        <f t="shared" si="207"/>
        <v>0</v>
      </c>
      <c r="T112" s="13">
        <f t="shared" si="207"/>
        <v>0</v>
      </c>
      <c r="U112" s="68">
        <f t="shared" si="151"/>
        <v>0</v>
      </c>
      <c r="V112" s="268">
        <f t="shared" si="152"/>
        <v>0</v>
      </c>
      <c r="W112" s="13">
        <f t="shared" si="143"/>
        <v>13645</v>
      </c>
      <c r="X112" s="13">
        <f t="shared" si="208"/>
        <v>0</v>
      </c>
      <c r="Y112" s="13">
        <f t="shared" si="208"/>
        <v>15620</v>
      </c>
      <c r="Z112" s="13">
        <f t="shared" si="208"/>
        <v>0</v>
      </c>
      <c r="AA112" s="13">
        <f t="shared" si="208"/>
        <v>0</v>
      </c>
      <c r="AB112" s="13">
        <f t="shared" si="208"/>
        <v>15620</v>
      </c>
      <c r="AC112" s="68">
        <f t="shared" si="153"/>
        <v>-1975</v>
      </c>
      <c r="AD112" s="268">
        <f t="shared" si="154"/>
        <v>1.144741663613045</v>
      </c>
      <c r="AE112" s="13">
        <f t="shared" si="144"/>
        <v>0</v>
      </c>
      <c r="AF112" s="13">
        <f t="shared" si="209"/>
        <v>0</v>
      </c>
      <c r="AG112" s="13">
        <f t="shared" si="209"/>
        <v>0</v>
      </c>
      <c r="AH112" s="13">
        <f t="shared" si="209"/>
        <v>0</v>
      </c>
      <c r="AI112" s="13">
        <f t="shared" si="209"/>
        <v>0</v>
      </c>
      <c r="AJ112" s="13">
        <f t="shared" si="209"/>
        <v>0</v>
      </c>
      <c r="AK112" s="68">
        <f t="shared" si="155"/>
        <v>0</v>
      </c>
      <c r="AL112" s="268">
        <f t="shared" si="156"/>
        <v>0</v>
      </c>
      <c r="AM112" s="13">
        <f t="shared" si="145"/>
        <v>16033</v>
      </c>
      <c r="AN112" s="13">
        <f t="shared" si="210"/>
        <v>0</v>
      </c>
      <c r="AO112" s="13">
        <f t="shared" si="210"/>
        <v>0</v>
      </c>
      <c r="AP112" s="13">
        <f t="shared" si="210"/>
        <v>13829</v>
      </c>
      <c r="AQ112" s="13">
        <f t="shared" si="210"/>
        <v>0</v>
      </c>
      <c r="AR112" s="13">
        <f t="shared" si="210"/>
        <v>0</v>
      </c>
      <c r="AS112" s="13">
        <f t="shared" si="210"/>
        <v>13829</v>
      </c>
      <c r="AT112" s="68">
        <f>AM112-AS112</f>
        <v>2204</v>
      </c>
      <c r="AU112" s="268">
        <f t="shared" si="157"/>
        <v>0.86253352460550115</v>
      </c>
      <c r="AV112" s="13">
        <f t="shared" si="146"/>
        <v>0</v>
      </c>
      <c r="AW112" s="13">
        <f t="shared" si="119"/>
        <v>0</v>
      </c>
      <c r="AX112" s="13">
        <f t="shared" si="119"/>
        <v>0</v>
      </c>
      <c r="AY112" s="13">
        <f t="shared" si="119"/>
        <v>0</v>
      </c>
      <c r="AZ112" s="13">
        <f t="shared" si="119"/>
        <v>0</v>
      </c>
      <c r="BA112" s="13">
        <f t="shared" si="120"/>
        <v>0</v>
      </c>
      <c r="BB112" s="68">
        <f t="shared" si="158"/>
        <v>0</v>
      </c>
      <c r="BC112" s="268">
        <f t="shared" si="159"/>
        <v>0</v>
      </c>
      <c r="BD112" s="13">
        <f t="shared" si="160"/>
        <v>20288</v>
      </c>
      <c r="BE112" s="13">
        <f>SUMIFS(SALIDAS_BIT,FECHA_BIT,"&gt;="&amp;BE$2,FECHA_BIT,"&lt;="&amp;BE$3,CLAVE_BIT,$A112)+SUMIFS(SALIDAS_BOV1,FECHA_BOV1,"&gt;="&amp;BE$2,FECHA_BOV1,"&lt;="&amp;BE$3,CLAVE_BOV1,$A112)+SUMIFS(SALIDAS_BOV2,FECHA_BOV2,"&gt;="&amp;BE$2,FECHA_BOV2,"&lt;="&amp;BE$3,CLAVE_BOV2,$A112)+SUMIFS(SALIDAS_BOV3,FECHA_BOV3,"&gt;="&amp;BE$2,FECHA_BOV3,"&lt;="&amp;BE$3,CLAVE_BOV3,$A112)+SUMIFS(SALIDAS_TC,FECHA_TC,"&gt;="&amp;BE$2,FECHA_TC,"&lt;="&amp;BE$3,CLAVE_TC,$A112)+SUMIFS(SALIDAS_COMB,FECHA_COMB,"&gt;="&amp;BE$2,FECHA_COMB,"&lt;="&amp;BE$3,CLAVE_COMB,$A112)+SUMIFS(SALIDAS_DES,FECHA_DESGLOSEN,"&gt;="&amp;BE$2,FECHA_DESGLOSEN,"&lt;="&amp;BE$3,CLAVE_DESGLOSE,$A112)</f>
        <v>0</v>
      </c>
      <c r="BF112" s="13">
        <f>SUMIFS(SALIDAS_BIT,FECHA_BIT,"&gt;="&amp;BF$2,FECHA_BIT,"&lt;="&amp;BF$3,CLAVE_BIT,$A112)+SUMIFS(SALIDAS_BOV1,FECHA_BOV1,"&gt;="&amp;BF$2,FECHA_BOV1,"&lt;="&amp;BF$3,CLAVE_BOV1,$A112)+SUMIFS(SALIDAS_BOV2,FECHA_BOV2,"&gt;="&amp;BF$2,FECHA_BOV2,"&lt;="&amp;BF$3,CLAVE_BOV2,$A112)+SUMIFS(SALIDAS_BOV3,FECHA_BOV3,"&gt;="&amp;BF$2,FECHA_BOV3,"&lt;="&amp;BF$3,CLAVE_BOV3,$A112)+SUMIFS(SALIDAS_TC,FECHA_TC,"&gt;="&amp;BF$2,FECHA_TC,"&lt;="&amp;BF$3,CLAVE_TC,$A112)+SUMIFS(SALIDAS_COMB,FECHA_COMB,"&gt;="&amp;BF$2,FECHA_COMB,"&lt;="&amp;BF$3,CLAVE_COMB,$A112)+SUMIFS(SALIDAS_DES,FECHA_DESGLOSEN,"&gt;="&amp;BF$2,FECHA_DESGLOSEN,"&lt;="&amp;BF$3,CLAVE_DESGLOSE,$A112)</f>
        <v>0</v>
      </c>
      <c r="BG112" s="13">
        <f>SUMIFS(SALIDAS_BIT,FECHA_BIT,"&gt;="&amp;BG$2,FECHA_BIT,"&lt;="&amp;BG$3,CLAVE_BIT,$A112)+SUMIFS(SALIDAS_BOV1,FECHA_BOV1,"&gt;="&amp;BG$2,FECHA_BOV1,"&lt;="&amp;BG$3,CLAVE_BOV1,$A112)+SUMIFS(SALIDAS_BOV2,FECHA_BOV2,"&gt;="&amp;BG$2,FECHA_BOV2,"&lt;="&amp;BG$3,CLAVE_BOV2,$A112)+SUMIFS(SALIDAS_BOV3,FECHA_BOV3,"&gt;="&amp;BG$2,FECHA_BOV3,"&lt;="&amp;BG$3,CLAVE_BOV3,$A112)+SUMIFS(SALIDAS_TC,FECHA_TC,"&gt;="&amp;BG$2,FECHA_TC,"&lt;="&amp;BG$3,CLAVE_TC,$A112)+SUMIFS(SALIDAS_COMB,FECHA_COMB,"&gt;="&amp;BG$2,FECHA_COMB,"&lt;="&amp;BG$3,CLAVE_COMB,$A112)+SUMIFS(SALIDAS_DES,FECHA_DESGLOSEN,"&gt;="&amp;BG$2,FECHA_DESGLOSEN,"&lt;="&amp;BG$3,CLAVE_DESGLOSE,$A112)</f>
        <v>17777</v>
      </c>
      <c r="BH112" s="13">
        <f>SUMIFS(SALIDAS_BIT,FECHA_BIT,"&gt;="&amp;BH$2,FECHA_BIT,"&lt;="&amp;BH$3,CLAVE_BIT,$A112)+SUMIFS(SALIDAS_BOV1,FECHA_BOV1,"&gt;="&amp;BH$2,FECHA_BOV1,"&lt;="&amp;BH$3,CLAVE_BOV1,$A112)+SUMIFS(SALIDAS_BOV2,FECHA_BOV2,"&gt;="&amp;BH$2,FECHA_BOV2,"&lt;="&amp;BH$3,CLAVE_BOV2,$A112)+SUMIFS(SALIDAS_BOV3,FECHA_BOV3,"&gt;="&amp;BH$2,FECHA_BOV3,"&lt;="&amp;BH$3,CLAVE_BOV3,$A112)+SUMIFS(SALIDAS_TC,FECHA_TC,"&gt;="&amp;BH$2,FECHA_TC,"&lt;="&amp;BH$3,CLAVE_TC,$A112)+SUMIFS(SALIDAS_COMB,FECHA_COMB,"&gt;="&amp;BH$2,FECHA_COMB,"&lt;="&amp;BH$3,CLAVE_COMB,$A112)+SUMIFS(SALIDAS_DES,FECHA_DESGLOSEN,"&gt;="&amp;BH$2,FECHA_DESGLOSEN,"&lt;="&amp;BH$3,CLAVE_DESGLOSE,$A112)</f>
        <v>0</v>
      </c>
      <c r="BI112" s="13">
        <f t="shared" si="215"/>
        <v>17777</v>
      </c>
      <c r="BJ112" s="68">
        <f t="shared" si="161"/>
        <v>2511</v>
      </c>
      <c r="BK112" s="268">
        <f t="shared" si="162"/>
        <v>0.87623225552050477</v>
      </c>
      <c r="BL112" s="13">
        <f t="shared" si="163"/>
        <v>0</v>
      </c>
      <c r="BM112" s="13">
        <f>SUMIFS(SALIDAS_BIT,FECHA_BIT,"&gt;="&amp;BM$2,FECHA_BIT,"&lt;="&amp;BM$3,CLAVE_BIT,$A112)+SUMIFS(SALIDAS_BOV1,FECHA_BOV1,"&gt;="&amp;BM$2,FECHA_BOV1,"&lt;="&amp;BM$3,CLAVE_BOV1,$A112)+SUMIFS(SALIDAS_BOV2,FECHA_BOV2,"&gt;="&amp;BM$2,FECHA_BOV2,"&lt;="&amp;BM$3,CLAVE_BOV2,$A112)+SUMIFS(SALIDAS_BOV3,FECHA_BOV3,"&gt;="&amp;BM$2,FECHA_BOV3,"&lt;="&amp;BM$3,CLAVE_BOV3,$A112)+SUMIFS(SALIDAS_TC,FECHA_TC,"&gt;="&amp;BM$2,FECHA_TC,"&lt;="&amp;BM$3,CLAVE_TC,$A112)+SUMIFS(SALIDAS_COMB,FECHA_COMB,"&gt;="&amp;BM$2,FECHA_COMB,"&lt;="&amp;BM$3,CLAVE_COMB,$A112)+SUMIFS(SALIDAS_DES,FECHA_DESGLOSEN,"&gt;="&amp;BM$2,FECHA_DESGLOSEN,"&lt;="&amp;BM$3,CLAVE_DESGLOSE,$A112)</f>
        <v>0</v>
      </c>
      <c r="BN112" s="13">
        <f>SUMIFS(SALIDAS_BIT,FECHA_BIT,"&gt;="&amp;BN$2,FECHA_BIT,"&lt;="&amp;BN$3,CLAVE_BIT,$A112)+SUMIFS(SALIDAS_BOV1,FECHA_BOV1,"&gt;="&amp;BN$2,FECHA_BOV1,"&lt;="&amp;BN$3,CLAVE_BOV1,$A112)+SUMIFS(SALIDAS_BOV2,FECHA_BOV2,"&gt;="&amp;BN$2,FECHA_BOV2,"&lt;="&amp;BN$3,CLAVE_BOV2,$A112)+SUMIFS(SALIDAS_BOV3,FECHA_BOV3,"&gt;="&amp;BN$2,FECHA_BOV3,"&lt;="&amp;BN$3,CLAVE_BOV3,$A112)+SUMIFS(SALIDAS_TC,FECHA_TC,"&gt;="&amp;BN$2,FECHA_TC,"&lt;="&amp;BN$3,CLAVE_TC,$A112)+SUMIFS(SALIDAS_COMB,FECHA_COMB,"&gt;="&amp;BN$2,FECHA_COMB,"&lt;="&amp;BN$3,CLAVE_COMB,$A112)+SUMIFS(SALIDAS_DES,FECHA_DESGLOSEN,"&gt;="&amp;BN$2,FECHA_DESGLOSEN,"&lt;="&amp;BN$3,CLAVE_DESGLOSE,$A112)</f>
        <v>0</v>
      </c>
      <c r="BO112" s="13">
        <f>SUMIFS(SALIDAS_BIT,FECHA_BIT,"&gt;="&amp;BO$2,FECHA_BIT,"&lt;="&amp;BO$3,CLAVE_BIT,$A112)+SUMIFS(SALIDAS_BOV1,FECHA_BOV1,"&gt;="&amp;BO$2,FECHA_BOV1,"&lt;="&amp;BO$3,CLAVE_BOV1,$A112)+SUMIFS(SALIDAS_BOV2,FECHA_BOV2,"&gt;="&amp;BO$2,FECHA_BOV2,"&lt;="&amp;BO$3,CLAVE_BOV2,$A112)+SUMIFS(SALIDAS_BOV3,FECHA_BOV3,"&gt;="&amp;BO$2,FECHA_BOV3,"&lt;="&amp;BO$3,CLAVE_BOV3,$A112)+SUMIFS(SALIDAS_TC,FECHA_TC,"&gt;="&amp;BO$2,FECHA_TC,"&lt;="&amp;BO$3,CLAVE_TC,$A112)+SUMIFS(SALIDAS_COMB,FECHA_COMB,"&gt;="&amp;BO$2,FECHA_COMB,"&lt;="&amp;BO$3,CLAVE_COMB,$A112)+SUMIFS(SALIDAS_DES,FECHA_DESGLOSEN,"&gt;="&amp;BO$2,FECHA_DESGLOSEN,"&lt;="&amp;BO$3,CLAVE_DESGLOSE,$A112)</f>
        <v>0</v>
      </c>
      <c r="BP112" s="13">
        <f>SUMIFS(SALIDAS_BIT,FECHA_BIT,"&gt;="&amp;BP$2,FECHA_BIT,"&lt;="&amp;BP$3,CLAVE_BIT,$A112)+SUMIFS(SALIDAS_BOV1,FECHA_BOV1,"&gt;="&amp;BP$2,FECHA_BOV1,"&lt;="&amp;BP$3,CLAVE_BOV1,$A112)+SUMIFS(SALIDAS_BOV2,FECHA_BOV2,"&gt;="&amp;BP$2,FECHA_BOV2,"&lt;="&amp;BP$3,CLAVE_BOV2,$A112)+SUMIFS(SALIDAS_BOV3,FECHA_BOV3,"&gt;="&amp;BP$2,FECHA_BOV3,"&lt;="&amp;BP$3,CLAVE_BOV3,$A112)+SUMIFS(SALIDAS_TC,FECHA_TC,"&gt;="&amp;BP$2,FECHA_TC,"&lt;="&amp;BP$3,CLAVE_TC,$A112)+SUMIFS(SALIDAS_COMB,FECHA_COMB,"&gt;="&amp;BP$2,FECHA_COMB,"&lt;="&amp;BP$3,CLAVE_COMB,$A112)+SUMIFS(SALIDAS_DES,FECHA_DESGLOSEN,"&gt;="&amp;BP$2,FECHA_DESGLOSEN,"&lt;="&amp;BP$3,CLAVE_DESGLOSE,$A112)</f>
        <v>0</v>
      </c>
      <c r="BQ112" s="13">
        <f>SUMIFS(SALIDAS_BIT,FECHA_BIT,"&gt;="&amp;BQ$2,FECHA_BIT,"&lt;="&amp;BQ$3,CLAVE_BIT,$A112)+SUMIFS(SALIDAS_BOV1,FECHA_BOV1,"&gt;="&amp;BQ$2,FECHA_BOV1,"&lt;="&amp;BQ$3,CLAVE_BOV1,$A112)+SUMIFS(SALIDAS_BOV2,FECHA_BOV2,"&gt;="&amp;BQ$2,FECHA_BOV2,"&lt;="&amp;BQ$3,CLAVE_BOV2,$A112)+SUMIFS(SALIDAS_BOV3,FECHA_BOV3,"&gt;="&amp;BQ$2,FECHA_BOV3,"&lt;="&amp;BQ$3,CLAVE_BOV3,$A112)+SUMIFS(SALIDAS_TC,FECHA_TC,"&gt;="&amp;BQ$2,FECHA_TC,"&lt;="&amp;BQ$3,CLAVE_TC,$A112)+SUMIFS(SALIDAS_COMB,FECHA_COMB,"&gt;="&amp;BQ$2,FECHA_COMB,"&lt;="&amp;BQ$3,CLAVE_COMB,$A112)+SUMIFS(SALIDAS_DES,FECHA_DESGLOSEN,"&gt;="&amp;BQ$2,FECHA_DESGLOSEN,"&lt;="&amp;BQ$3,CLAVE_DESGLOSE,$A112)</f>
        <v>0</v>
      </c>
      <c r="BR112" s="13">
        <f t="shared" si="211"/>
        <v>0</v>
      </c>
      <c r="BS112" s="68">
        <f t="shared" si="164"/>
        <v>0</v>
      </c>
      <c r="BT112" s="268">
        <f t="shared" si="165"/>
        <v>0</v>
      </c>
      <c r="BU112" s="13">
        <f t="shared" si="166"/>
        <v>7746</v>
      </c>
      <c r="BV112" s="13">
        <f t="shared" si="186"/>
        <v>0</v>
      </c>
      <c r="BW112" s="13">
        <f t="shared" si="186"/>
        <v>0</v>
      </c>
      <c r="BX112" s="13">
        <f t="shared" si="186"/>
        <v>17929</v>
      </c>
      <c r="BY112" s="13">
        <f t="shared" si="186"/>
        <v>0</v>
      </c>
      <c r="BZ112" s="13">
        <f t="shared" si="212"/>
        <v>17929</v>
      </c>
      <c r="CA112" s="68">
        <f t="shared" si="167"/>
        <v>-10183</v>
      </c>
      <c r="CB112" s="268">
        <f t="shared" si="168"/>
        <v>2.3146139943196489</v>
      </c>
      <c r="CC112" s="13">
        <f t="shared" si="169"/>
        <v>0</v>
      </c>
      <c r="CD112" s="13">
        <f t="shared" si="187"/>
        <v>0</v>
      </c>
      <c r="CE112" s="13">
        <f t="shared" si="187"/>
        <v>0</v>
      </c>
      <c r="CF112" s="13">
        <f t="shared" si="187"/>
        <v>0</v>
      </c>
      <c r="CG112" s="13">
        <f t="shared" si="187"/>
        <v>0</v>
      </c>
      <c r="CH112" s="13">
        <f t="shared" si="213"/>
        <v>0</v>
      </c>
      <c r="CI112" s="68">
        <f t="shared" si="170"/>
        <v>0</v>
      </c>
      <c r="CJ112" s="268">
        <f t="shared" si="171"/>
        <v>0</v>
      </c>
      <c r="CK112" s="13">
        <f t="shared" si="172"/>
        <v>7748</v>
      </c>
      <c r="CL112" s="13">
        <f t="shared" si="176"/>
        <v>0</v>
      </c>
      <c r="CM112" s="13">
        <f t="shared" si="176"/>
        <v>0</v>
      </c>
      <c r="CN112" s="13">
        <f t="shared" si="176"/>
        <v>13461</v>
      </c>
      <c r="CO112" s="13">
        <f t="shared" si="176"/>
        <v>0</v>
      </c>
      <c r="CP112" s="13">
        <f t="shared" si="176"/>
        <v>0</v>
      </c>
      <c r="CQ112" s="13">
        <f t="shared" si="214"/>
        <v>13461</v>
      </c>
      <c r="CR112" s="68">
        <f t="shared" si="173"/>
        <v>-5713</v>
      </c>
      <c r="CS112" s="268">
        <f t="shared" si="174"/>
        <v>1.7373515745998966</v>
      </c>
      <c r="CT112" s="68">
        <f t="shared" si="147"/>
        <v>0</v>
      </c>
      <c r="CU112" s="13">
        <f>SUMIFS(SALIDAS_BIT,FECHA_BIT,"&gt;="&amp;CU$2,FECHA_BIT,"&lt;="&amp;CU$3,CLAVE_BIT,$A112)+SUMIFS(SALIDAS_BOV1,FECHA_BOV1,"&gt;="&amp;CU$2,FECHA_BOV1,"&lt;="&amp;CU$3,CLAVE_BOV1,$A112)+SUMIFS(SALIDAS_BOV2,FECHA_BOV2,"&gt;="&amp;CU$2,FECHA_BOV2,"&lt;="&amp;CU$3,CLAVE_BOV2,$A112)+SUMIFS(SALIDAS_BOV3,FECHA_BOV3,"&gt;="&amp;CU$2,FECHA_BOV3,"&lt;="&amp;CU$3,CLAVE_BOV3,$A112)+SUMIFS(SALIDAS_TC,FECHA_TC,"&gt;="&amp;CU$2,FECHA_TC,"&lt;="&amp;CU$3,CLAVE_TC,$A112)+SUMIFS(SALIDAS_COMB,FECHA_COMB,"&gt;="&amp;CU$2,FECHA_COMB,"&lt;="&amp;CU$3,CLAVE_COMB,$A112)+SUMIFS(SALIDAS_DES,FECHA_DESGLOSEN,"&gt;="&amp;CU$2,FECHA_DESGLOSEN,"&lt;="&amp;CU$3,CLAVE_DESGLOSE,$A112)</f>
        <v>0</v>
      </c>
      <c r="CV112" s="13">
        <f>SUMIFS(SALIDAS_BIT,FECHA_BIT,"&gt;="&amp;CV$2,FECHA_BIT,"&lt;="&amp;CV$3,CLAVE_BIT,$A112)+SUMIFS(SALIDAS_BOV1,FECHA_BOV1,"&gt;="&amp;CV$2,FECHA_BOV1,"&lt;="&amp;CV$3,CLAVE_BOV1,$A112)+SUMIFS(SALIDAS_BOV2,FECHA_BOV2,"&gt;="&amp;CV$2,FECHA_BOV2,"&lt;="&amp;CV$3,CLAVE_BOV2,$A112)+SUMIFS(SALIDAS_BOV3,FECHA_BOV3,"&gt;="&amp;CV$2,FECHA_BOV3,"&lt;="&amp;CV$3,CLAVE_BOV3,$A112)+SUMIFS(SALIDAS_TC,FECHA_TC,"&gt;="&amp;CV$2,FECHA_TC,"&lt;="&amp;CV$3,CLAVE_TC,$A112)+SUMIFS(SALIDAS_COMB,FECHA_COMB,"&gt;="&amp;CV$2,FECHA_COMB,"&lt;="&amp;CV$3,CLAVE_COMB,$A112)+SUMIFS(SALIDAS_DES,FECHA_DESGLOSEN,"&gt;="&amp;CV$2,FECHA_DESGLOSEN,"&lt;="&amp;CV$3,CLAVE_DESGLOSE,$A112)</f>
        <v>0</v>
      </c>
      <c r="CW112" s="13">
        <f>SUMIFS(SALIDAS_BIT,FECHA_BIT,"&gt;="&amp;CW$2,FECHA_BIT,"&lt;="&amp;CW$3,CLAVE_BIT,$A112)+SUMIFS(SALIDAS_BOV1,FECHA_BOV1,"&gt;="&amp;CW$2,FECHA_BOV1,"&lt;="&amp;CW$3,CLAVE_BOV1,$A112)+SUMIFS(SALIDAS_BOV2,FECHA_BOV2,"&gt;="&amp;CW$2,FECHA_BOV2,"&lt;="&amp;CW$3,CLAVE_BOV2,$A112)+SUMIFS(SALIDAS_BOV3,FECHA_BOV3,"&gt;="&amp;CW$2,FECHA_BOV3,"&lt;="&amp;CW$3,CLAVE_BOV3,$A112)+SUMIFS(SALIDAS_TC,FECHA_TC,"&gt;="&amp;CW$2,FECHA_TC,"&lt;="&amp;CW$3,CLAVE_TC,$A112)+SUMIFS(SALIDAS_COMB,FECHA_COMB,"&gt;="&amp;CW$2,FECHA_COMB,"&lt;="&amp;CW$3,CLAVE_COMB,$A112)+SUMIFS(SALIDAS_DES,FECHA_DESGLOSEN,"&gt;="&amp;CW$2,FECHA_DESGLOSEN,"&lt;="&amp;CW$3,CLAVE_DESGLOSE,$A112)</f>
        <v>0</v>
      </c>
      <c r="CX112" s="13">
        <f>SUMIFS(SALIDAS_BIT,FECHA_BIT,"&gt;="&amp;CX$2,FECHA_BIT,"&lt;="&amp;CX$3,CLAVE_BIT,$A112)+SUMIFS(SALIDAS_BOV1,FECHA_BOV1,"&gt;="&amp;CX$2,FECHA_BOV1,"&lt;="&amp;CX$3,CLAVE_BOV1,$A112)+SUMIFS(SALIDAS_BOV2,FECHA_BOV2,"&gt;="&amp;CX$2,FECHA_BOV2,"&lt;="&amp;CX$3,CLAVE_BOV2,$A112)+SUMIFS(SALIDAS_BOV3,FECHA_BOV3,"&gt;="&amp;CX$2,FECHA_BOV3,"&lt;="&amp;CX$3,CLAVE_BOV3,$A112)+SUMIFS(SALIDAS_TC,FECHA_TC,"&gt;="&amp;CX$2,FECHA_TC,"&lt;="&amp;CX$3,CLAVE_TC,$A112)+SUMIFS(SALIDAS_COMB,FECHA_COMB,"&gt;="&amp;CX$2,FECHA_COMB,"&lt;="&amp;CX$3,CLAVE_COMB,$A112)+SUMIFS(SALIDAS_DES,FECHA_DESGLOSEN,"&gt;="&amp;CX$2,FECHA_DESGLOSEN,"&lt;="&amp;CX$3,CLAVE_DESGLOSE,$A112)</f>
        <v>0</v>
      </c>
      <c r="CY112" s="13">
        <f>SUMIFS(SALIDAS_BIT,FECHA_BIT,"&gt;="&amp;CY$2,FECHA_BIT,"&lt;="&amp;CY$3,CLAVE_BIT,$A112)+SUMIFS(SALIDAS_BOV1,FECHA_BOV1,"&gt;="&amp;CY$2,FECHA_BOV1,"&lt;="&amp;CY$3,CLAVE_BOV1,$A112)+SUMIFS(SALIDAS_BOV2,FECHA_BOV2,"&gt;="&amp;CY$2,FECHA_BOV2,"&lt;="&amp;CY$3,CLAVE_BOV2,$A112)+SUMIFS(SALIDAS_BOV3,FECHA_BOV3,"&gt;="&amp;CY$2,FECHA_BOV3,"&lt;="&amp;CY$3,CLAVE_BOV3,$A112)+SUMIFS(SALIDAS_TC,FECHA_TC,"&gt;="&amp;CY$2,FECHA_TC,"&lt;="&amp;CY$3,CLAVE_TC,$A112)+SUMIFS(SALIDAS_COMB,FECHA_COMB,"&gt;="&amp;CY$2,FECHA_COMB,"&lt;="&amp;CY$3,CLAVE_COMB,$A112)+SUMIFS(SALIDAS_DES,FECHA_DESGLOSEN,"&gt;="&amp;CY$2,FECHA_DESGLOSEN,"&lt;="&amp;CY$3,CLAVE_DESGLOSE,$A112)</f>
        <v>0</v>
      </c>
      <c r="CZ112" s="68">
        <f t="shared" si="175"/>
        <v>0</v>
      </c>
      <c r="DB112" s="17">
        <f>F112+N112+W112+AE112+AM112+AV112+BD112+BL112+BU112+CC112+CK112</f>
        <v>79305</v>
      </c>
      <c r="DC112" s="17">
        <f>K112+T112+AB112+AJ112+AS112+BA112+BI112+BR112+BZ112+CH112+CQ112</f>
        <v>94907</v>
      </c>
    </row>
    <row r="113" spans="1:107" hidden="1">
      <c r="A113" s="12" t="str">
        <f t="shared" si="148"/>
        <v>HRENERGIA ELECTRICAA6</v>
      </c>
      <c r="B113" s="12">
        <v>115</v>
      </c>
      <c r="C113" t="s">
        <v>29</v>
      </c>
      <c r="D113" s="404" t="s">
        <v>87</v>
      </c>
      <c r="E113" s="404" t="s">
        <v>93</v>
      </c>
      <c r="F113" s="259">
        <f t="shared" si="141"/>
        <v>17056</v>
      </c>
      <c r="G113" s="13">
        <f t="shared" si="206"/>
        <v>0</v>
      </c>
      <c r="H113" s="13">
        <f t="shared" si="206"/>
        <v>0</v>
      </c>
      <c r="I113" s="13">
        <f t="shared" si="206"/>
        <v>0</v>
      </c>
      <c r="J113" s="13">
        <f t="shared" si="206"/>
        <v>7779</v>
      </c>
      <c r="K113" s="13">
        <f t="shared" si="206"/>
        <v>7779</v>
      </c>
      <c r="L113" s="68">
        <f t="shared" si="149"/>
        <v>9277</v>
      </c>
      <c r="M113" s="268">
        <f t="shared" si="150"/>
        <v>0.45608583489681048</v>
      </c>
      <c r="N113" s="13">
        <f t="shared" si="142"/>
        <v>0</v>
      </c>
      <c r="O113" s="13">
        <f t="shared" si="207"/>
        <v>0</v>
      </c>
      <c r="P113" s="13">
        <f t="shared" si="207"/>
        <v>0</v>
      </c>
      <c r="Q113" s="13">
        <f t="shared" si="207"/>
        <v>0</v>
      </c>
      <c r="R113" s="13">
        <f t="shared" si="207"/>
        <v>0</v>
      </c>
      <c r="S113" s="13">
        <f t="shared" si="207"/>
        <v>0</v>
      </c>
      <c r="T113" s="13">
        <f t="shared" si="207"/>
        <v>0</v>
      </c>
      <c r="U113" s="68">
        <f t="shared" si="151"/>
        <v>0</v>
      </c>
      <c r="V113" s="268">
        <f t="shared" si="152"/>
        <v>0</v>
      </c>
      <c r="W113" s="13">
        <f t="shared" si="143"/>
        <v>7385</v>
      </c>
      <c r="X113" s="13">
        <f t="shared" si="208"/>
        <v>0</v>
      </c>
      <c r="Y113" s="13">
        <f t="shared" si="208"/>
        <v>0</v>
      </c>
      <c r="Z113" s="13">
        <f t="shared" si="208"/>
        <v>0</v>
      </c>
      <c r="AA113" s="13">
        <f t="shared" si="208"/>
        <v>0</v>
      </c>
      <c r="AB113" s="13">
        <f t="shared" si="208"/>
        <v>0</v>
      </c>
      <c r="AC113" s="68">
        <f t="shared" si="153"/>
        <v>7385</v>
      </c>
      <c r="AD113" s="268">
        <f t="shared" si="154"/>
        <v>0</v>
      </c>
      <c r="AE113" s="13">
        <f t="shared" si="144"/>
        <v>0</v>
      </c>
      <c r="AF113" s="13">
        <f t="shared" si="209"/>
        <v>0</v>
      </c>
      <c r="AG113" s="13">
        <f t="shared" si="209"/>
        <v>0</v>
      </c>
      <c r="AH113" s="13">
        <f t="shared" si="209"/>
        <v>0</v>
      </c>
      <c r="AI113" s="13">
        <f t="shared" si="209"/>
        <v>287</v>
      </c>
      <c r="AJ113" s="13">
        <f t="shared" si="209"/>
        <v>287</v>
      </c>
      <c r="AK113" s="68">
        <f t="shared" si="155"/>
        <v>-287</v>
      </c>
      <c r="AL113" s="268">
        <f t="shared" si="156"/>
        <v>0</v>
      </c>
      <c r="AM113" s="13">
        <f t="shared" si="145"/>
        <v>11162</v>
      </c>
      <c r="AN113" s="13">
        <f t="shared" si="210"/>
        <v>0</v>
      </c>
      <c r="AO113" s="13">
        <f t="shared" si="210"/>
        <v>0</v>
      </c>
      <c r="AP113" s="13">
        <f t="shared" si="210"/>
        <v>0</v>
      </c>
      <c r="AQ113" s="13">
        <f t="shared" si="210"/>
        <v>13106</v>
      </c>
      <c r="AR113" s="13">
        <f t="shared" si="210"/>
        <v>0</v>
      </c>
      <c r="AS113" s="13">
        <f t="shared" si="210"/>
        <v>13106</v>
      </c>
      <c r="AT113" s="68">
        <f>AM113-AS113</f>
        <v>-1944</v>
      </c>
      <c r="AU113" s="268">
        <f t="shared" si="157"/>
        <v>1.1741623364988354</v>
      </c>
      <c r="AV113" s="13">
        <f t="shared" si="146"/>
        <v>0</v>
      </c>
      <c r="AW113" s="13">
        <f t="shared" si="119"/>
        <v>0</v>
      </c>
      <c r="AX113" s="13">
        <f t="shared" si="119"/>
        <v>0</v>
      </c>
      <c r="AY113" s="13">
        <f t="shared" si="119"/>
        <v>0</v>
      </c>
      <c r="AZ113" s="13">
        <f t="shared" si="119"/>
        <v>0</v>
      </c>
      <c r="BA113" s="13">
        <f t="shared" si="120"/>
        <v>0</v>
      </c>
      <c r="BB113" s="68">
        <f t="shared" si="158"/>
        <v>0</v>
      </c>
      <c r="BC113" s="268">
        <f t="shared" si="159"/>
        <v>0</v>
      </c>
      <c r="BD113" s="13">
        <f t="shared" si="160"/>
        <v>12958</v>
      </c>
      <c r="BE113" s="13">
        <f>SUMIFS(SALIDAS_BIT,FECHA_BIT,"&gt;="&amp;BE$2,FECHA_BIT,"&lt;="&amp;BE$3,CLAVE_BIT,$A113)+SUMIFS(SALIDAS_BOV1,FECHA_BOV1,"&gt;="&amp;BE$2,FECHA_BOV1,"&lt;="&amp;BE$3,CLAVE_BOV1,$A113)+SUMIFS(SALIDAS_BOV2,FECHA_BOV2,"&gt;="&amp;BE$2,FECHA_BOV2,"&lt;="&amp;BE$3,CLAVE_BOV2,$A113)+SUMIFS(SALIDAS_BOV3,FECHA_BOV3,"&gt;="&amp;BE$2,FECHA_BOV3,"&lt;="&amp;BE$3,CLAVE_BOV3,$A113)+SUMIFS(SALIDAS_TC,FECHA_TC,"&gt;="&amp;BE$2,FECHA_TC,"&lt;="&amp;BE$3,CLAVE_TC,$A113)+SUMIFS(SALIDAS_COMB,FECHA_COMB,"&gt;="&amp;BE$2,FECHA_COMB,"&lt;="&amp;BE$3,CLAVE_COMB,$A113)+SUMIFS(SALIDAS_DES,FECHA_DESGLOSEN,"&gt;="&amp;BE$2,FECHA_DESGLOSEN,"&lt;="&amp;BE$3,CLAVE_DESGLOSE,$A113)</f>
        <v>0</v>
      </c>
      <c r="BF113" s="13">
        <f>SUMIFS(SALIDAS_BIT,FECHA_BIT,"&gt;="&amp;BF$2,FECHA_BIT,"&lt;="&amp;BF$3,CLAVE_BIT,$A113)+SUMIFS(SALIDAS_BOV1,FECHA_BOV1,"&gt;="&amp;BF$2,FECHA_BOV1,"&lt;="&amp;BF$3,CLAVE_BOV1,$A113)+SUMIFS(SALIDAS_BOV2,FECHA_BOV2,"&gt;="&amp;BF$2,FECHA_BOV2,"&lt;="&amp;BF$3,CLAVE_BOV2,$A113)+SUMIFS(SALIDAS_BOV3,FECHA_BOV3,"&gt;="&amp;BF$2,FECHA_BOV3,"&lt;="&amp;BF$3,CLAVE_BOV3,$A113)+SUMIFS(SALIDAS_TC,FECHA_TC,"&gt;="&amp;BF$2,FECHA_TC,"&lt;="&amp;BF$3,CLAVE_TC,$A113)+SUMIFS(SALIDAS_COMB,FECHA_COMB,"&gt;="&amp;BF$2,FECHA_COMB,"&lt;="&amp;BF$3,CLAVE_COMB,$A113)+SUMIFS(SALIDAS_DES,FECHA_DESGLOSEN,"&gt;="&amp;BF$2,FECHA_DESGLOSEN,"&lt;="&amp;BF$3,CLAVE_DESGLOSE,$A113)</f>
        <v>0</v>
      </c>
      <c r="BG113" s="13">
        <f>SUMIFS(SALIDAS_BIT,FECHA_BIT,"&gt;="&amp;BG$2,FECHA_BIT,"&lt;="&amp;BG$3,CLAVE_BIT,$A113)+SUMIFS(SALIDAS_BOV1,FECHA_BOV1,"&gt;="&amp;BG$2,FECHA_BOV1,"&lt;="&amp;BG$3,CLAVE_BOV1,$A113)+SUMIFS(SALIDAS_BOV2,FECHA_BOV2,"&gt;="&amp;BG$2,FECHA_BOV2,"&lt;="&amp;BG$3,CLAVE_BOV2,$A113)+SUMIFS(SALIDAS_BOV3,FECHA_BOV3,"&gt;="&amp;BG$2,FECHA_BOV3,"&lt;="&amp;BG$3,CLAVE_BOV3,$A113)+SUMIFS(SALIDAS_TC,FECHA_TC,"&gt;="&amp;BG$2,FECHA_TC,"&lt;="&amp;BG$3,CLAVE_TC,$A113)+SUMIFS(SALIDAS_COMB,FECHA_COMB,"&gt;="&amp;BG$2,FECHA_COMB,"&lt;="&amp;BG$3,CLAVE_COMB,$A113)+SUMIFS(SALIDAS_DES,FECHA_DESGLOSEN,"&gt;="&amp;BG$2,FECHA_DESGLOSEN,"&lt;="&amp;BG$3,CLAVE_DESGLOSE,$A113)</f>
        <v>0</v>
      </c>
      <c r="BH113" s="13">
        <f>SUMIFS(SALIDAS_BIT,FECHA_BIT,"&gt;="&amp;BH$2,FECHA_BIT,"&lt;="&amp;BH$3,CLAVE_BIT,$A113)+SUMIFS(SALIDAS_BOV1,FECHA_BOV1,"&gt;="&amp;BH$2,FECHA_BOV1,"&lt;="&amp;BH$3,CLAVE_BOV1,$A113)+SUMIFS(SALIDAS_BOV2,FECHA_BOV2,"&gt;="&amp;BH$2,FECHA_BOV2,"&lt;="&amp;BH$3,CLAVE_BOV2,$A113)+SUMIFS(SALIDAS_BOV3,FECHA_BOV3,"&gt;="&amp;BH$2,FECHA_BOV3,"&lt;="&amp;BH$3,CLAVE_BOV3,$A113)+SUMIFS(SALIDAS_TC,FECHA_TC,"&gt;="&amp;BH$2,FECHA_TC,"&lt;="&amp;BH$3,CLAVE_TC,$A113)+SUMIFS(SALIDAS_COMB,FECHA_COMB,"&gt;="&amp;BH$2,FECHA_COMB,"&lt;="&amp;BH$3,CLAVE_COMB,$A113)+SUMIFS(SALIDAS_DES,FECHA_DESGLOSEN,"&gt;="&amp;BH$2,FECHA_DESGLOSEN,"&lt;="&amp;BH$3,CLAVE_DESGLOSE,$A113)</f>
        <v>14281</v>
      </c>
      <c r="BI113" s="13">
        <f t="shared" si="215"/>
        <v>14281</v>
      </c>
      <c r="BJ113" s="68">
        <f t="shared" si="161"/>
        <v>-1323</v>
      </c>
      <c r="BK113" s="268">
        <f t="shared" si="162"/>
        <v>1.1020990893656428</v>
      </c>
      <c r="BL113" s="13">
        <f t="shared" si="163"/>
        <v>10551</v>
      </c>
      <c r="BM113" s="13">
        <f>SUMIFS(SALIDAS_BIT,FECHA_BIT,"&gt;="&amp;BM$2,FECHA_BIT,"&lt;="&amp;BM$3,CLAVE_BIT,$A113)+SUMIFS(SALIDAS_BOV1,FECHA_BOV1,"&gt;="&amp;BM$2,FECHA_BOV1,"&lt;="&amp;BM$3,CLAVE_BOV1,$A113)+SUMIFS(SALIDAS_BOV2,FECHA_BOV2,"&gt;="&amp;BM$2,FECHA_BOV2,"&lt;="&amp;BM$3,CLAVE_BOV2,$A113)+SUMIFS(SALIDAS_BOV3,FECHA_BOV3,"&gt;="&amp;BM$2,FECHA_BOV3,"&lt;="&amp;BM$3,CLAVE_BOV3,$A113)+SUMIFS(SALIDAS_TC,FECHA_TC,"&gt;="&amp;BM$2,FECHA_TC,"&lt;="&amp;BM$3,CLAVE_TC,$A113)+SUMIFS(SALIDAS_COMB,FECHA_COMB,"&gt;="&amp;BM$2,FECHA_COMB,"&lt;="&amp;BM$3,CLAVE_COMB,$A113)+SUMIFS(SALIDAS_DES,FECHA_DESGLOSEN,"&gt;="&amp;BM$2,FECHA_DESGLOSEN,"&lt;="&amp;BM$3,CLAVE_DESGLOSE,$A113)</f>
        <v>0</v>
      </c>
      <c r="BN113" s="13">
        <f>SUMIFS(SALIDAS_BIT,FECHA_BIT,"&gt;="&amp;BN$2,FECHA_BIT,"&lt;="&amp;BN$3,CLAVE_BIT,$A113)+SUMIFS(SALIDAS_BOV1,FECHA_BOV1,"&gt;="&amp;BN$2,FECHA_BOV1,"&lt;="&amp;BN$3,CLAVE_BOV1,$A113)+SUMIFS(SALIDAS_BOV2,FECHA_BOV2,"&gt;="&amp;BN$2,FECHA_BOV2,"&lt;="&amp;BN$3,CLAVE_BOV2,$A113)+SUMIFS(SALIDAS_BOV3,FECHA_BOV3,"&gt;="&amp;BN$2,FECHA_BOV3,"&lt;="&amp;BN$3,CLAVE_BOV3,$A113)+SUMIFS(SALIDAS_TC,FECHA_TC,"&gt;="&amp;BN$2,FECHA_TC,"&lt;="&amp;BN$3,CLAVE_TC,$A113)+SUMIFS(SALIDAS_COMB,FECHA_COMB,"&gt;="&amp;BN$2,FECHA_COMB,"&lt;="&amp;BN$3,CLAVE_COMB,$A113)+SUMIFS(SALIDAS_DES,FECHA_DESGLOSEN,"&gt;="&amp;BN$2,FECHA_DESGLOSEN,"&lt;="&amp;BN$3,CLAVE_DESGLOSE,$A113)</f>
        <v>0</v>
      </c>
      <c r="BO113" s="13">
        <f>SUMIFS(SALIDAS_BIT,FECHA_BIT,"&gt;="&amp;BO$2,FECHA_BIT,"&lt;="&amp;BO$3,CLAVE_BIT,$A113)+SUMIFS(SALIDAS_BOV1,FECHA_BOV1,"&gt;="&amp;BO$2,FECHA_BOV1,"&lt;="&amp;BO$3,CLAVE_BOV1,$A113)+SUMIFS(SALIDAS_BOV2,FECHA_BOV2,"&gt;="&amp;BO$2,FECHA_BOV2,"&lt;="&amp;BO$3,CLAVE_BOV2,$A113)+SUMIFS(SALIDAS_BOV3,FECHA_BOV3,"&gt;="&amp;BO$2,FECHA_BOV3,"&lt;="&amp;BO$3,CLAVE_BOV3,$A113)+SUMIFS(SALIDAS_TC,FECHA_TC,"&gt;="&amp;BO$2,FECHA_TC,"&lt;="&amp;BO$3,CLAVE_TC,$A113)+SUMIFS(SALIDAS_COMB,FECHA_COMB,"&gt;="&amp;BO$2,FECHA_COMB,"&lt;="&amp;BO$3,CLAVE_COMB,$A113)+SUMIFS(SALIDAS_DES,FECHA_DESGLOSEN,"&gt;="&amp;BO$2,FECHA_DESGLOSEN,"&lt;="&amp;BO$3,CLAVE_DESGLOSE,$A113)</f>
        <v>0</v>
      </c>
      <c r="BP113" s="13">
        <f>SUMIFS(SALIDAS_BIT,FECHA_BIT,"&gt;="&amp;BP$2,FECHA_BIT,"&lt;="&amp;BP$3,CLAVE_BIT,$A113)+SUMIFS(SALIDAS_BOV1,FECHA_BOV1,"&gt;="&amp;BP$2,FECHA_BOV1,"&lt;="&amp;BP$3,CLAVE_BOV1,$A113)+SUMIFS(SALIDAS_BOV2,FECHA_BOV2,"&gt;="&amp;BP$2,FECHA_BOV2,"&lt;="&amp;BP$3,CLAVE_BOV2,$A113)+SUMIFS(SALIDAS_BOV3,FECHA_BOV3,"&gt;="&amp;BP$2,FECHA_BOV3,"&lt;="&amp;BP$3,CLAVE_BOV3,$A113)+SUMIFS(SALIDAS_TC,FECHA_TC,"&gt;="&amp;BP$2,FECHA_TC,"&lt;="&amp;BP$3,CLAVE_TC,$A113)+SUMIFS(SALIDAS_COMB,FECHA_COMB,"&gt;="&amp;BP$2,FECHA_COMB,"&lt;="&amp;BP$3,CLAVE_COMB,$A113)+SUMIFS(SALIDAS_DES,FECHA_DESGLOSEN,"&gt;="&amp;BP$2,FECHA_DESGLOSEN,"&lt;="&amp;BP$3,CLAVE_DESGLOSE,$A113)</f>
        <v>0</v>
      </c>
      <c r="BQ113" s="13">
        <f>SUMIFS(SALIDAS_BIT,FECHA_BIT,"&gt;="&amp;BQ$2,FECHA_BIT,"&lt;="&amp;BQ$3,CLAVE_BIT,$A113)+SUMIFS(SALIDAS_BOV1,FECHA_BOV1,"&gt;="&amp;BQ$2,FECHA_BOV1,"&lt;="&amp;BQ$3,CLAVE_BOV1,$A113)+SUMIFS(SALIDAS_BOV2,FECHA_BOV2,"&gt;="&amp;BQ$2,FECHA_BOV2,"&lt;="&amp;BQ$3,CLAVE_BOV2,$A113)+SUMIFS(SALIDAS_BOV3,FECHA_BOV3,"&gt;="&amp;BQ$2,FECHA_BOV3,"&lt;="&amp;BQ$3,CLAVE_BOV3,$A113)+SUMIFS(SALIDAS_TC,FECHA_TC,"&gt;="&amp;BQ$2,FECHA_TC,"&lt;="&amp;BQ$3,CLAVE_TC,$A113)+SUMIFS(SALIDAS_COMB,FECHA_COMB,"&gt;="&amp;BQ$2,FECHA_COMB,"&lt;="&amp;BQ$3,CLAVE_COMB,$A113)+SUMIFS(SALIDAS_DES,FECHA_DESGLOSEN,"&gt;="&amp;BQ$2,FECHA_DESGLOSEN,"&lt;="&amp;BQ$3,CLAVE_DESGLOSE,$A113)</f>
        <v>0</v>
      </c>
      <c r="BR113" s="13">
        <f t="shared" si="211"/>
        <v>0</v>
      </c>
      <c r="BS113" s="68">
        <f t="shared" si="164"/>
        <v>10551</v>
      </c>
      <c r="BT113" s="268">
        <f t="shared" si="165"/>
        <v>0</v>
      </c>
      <c r="BU113" s="13">
        <f t="shared" si="166"/>
        <v>12556</v>
      </c>
      <c r="BV113" s="13">
        <f t="shared" si="186"/>
        <v>0</v>
      </c>
      <c r="BW113" s="13">
        <f t="shared" si="186"/>
        <v>0</v>
      </c>
      <c r="BX113" s="13">
        <f t="shared" si="186"/>
        <v>0</v>
      </c>
      <c r="BY113" s="13">
        <f t="shared" si="186"/>
        <v>12554</v>
      </c>
      <c r="BZ113" s="13">
        <f t="shared" si="212"/>
        <v>12554</v>
      </c>
      <c r="CA113" s="68">
        <f t="shared" si="167"/>
        <v>2</v>
      </c>
      <c r="CB113" s="268">
        <f t="shared" si="168"/>
        <v>0.99984071360305826</v>
      </c>
      <c r="CC113" s="13">
        <f t="shared" si="169"/>
        <v>0</v>
      </c>
      <c r="CD113" s="13">
        <f t="shared" si="187"/>
        <v>0</v>
      </c>
      <c r="CE113" s="13">
        <f t="shared" si="187"/>
        <v>0</v>
      </c>
      <c r="CF113" s="13">
        <f t="shared" si="187"/>
        <v>0</v>
      </c>
      <c r="CG113" s="13">
        <f t="shared" si="187"/>
        <v>0</v>
      </c>
      <c r="CH113" s="13">
        <f t="shared" si="213"/>
        <v>0</v>
      </c>
      <c r="CI113" s="68">
        <f t="shared" si="170"/>
        <v>0</v>
      </c>
      <c r="CJ113" s="268">
        <f t="shared" si="171"/>
        <v>0</v>
      </c>
      <c r="CK113" s="13">
        <f t="shared" si="172"/>
        <v>8318</v>
      </c>
      <c r="CL113" s="13">
        <f t="shared" si="176"/>
        <v>0</v>
      </c>
      <c r="CM113" s="13">
        <f t="shared" si="176"/>
        <v>0</v>
      </c>
      <c r="CN113" s="13">
        <f t="shared" si="176"/>
        <v>0</v>
      </c>
      <c r="CO113" s="13">
        <f t="shared" si="176"/>
        <v>0</v>
      </c>
      <c r="CP113" s="13">
        <f t="shared" si="176"/>
        <v>0</v>
      </c>
      <c r="CQ113" s="13">
        <f t="shared" si="214"/>
        <v>0</v>
      </c>
      <c r="CR113" s="68">
        <f t="shared" si="173"/>
        <v>8318</v>
      </c>
      <c r="CS113" s="268">
        <f t="shared" si="174"/>
        <v>0</v>
      </c>
      <c r="CT113" s="68">
        <f t="shared" si="147"/>
        <v>0</v>
      </c>
      <c r="CU113" s="13">
        <f>SUMIFS(SALIDAS_BIT,FECHA_BIT,"&gt;="&amp;CU$2,FECHA_BIT,"&lt;="&amp;CU$3,CLAVE_BIT,$A113)+SUMIFS(SALIDAS_BOV1,FECHA_BOV1,"&gt;="&amp;CU$2,FECHA_BOV1,"&lt;="&amp;CU$3,CLAVE_BOV1,$A113)+SUMIFS(SALIDAS_BOV2,FECHA_BOV2,"&gt;="&amp;CU$2,FECHA_BOV2,"&lt;="&amp;CU$3,CLAVE_BOV2,$A113)+SUMIFS(SALIDAS_BOV3,FECHA_BOV3,"&gt;="&amp;CU$2,FECHA_BOV3,"&lt;="&amp;CU$3,CLAVE_BOV3,$A113)+SUMIFS(SALIDAS_TC,FECHA_TC,"&gt;="&amp;CU$2,FECHA_TC,"&lt;="&amp;CU$3,CLAVE_TC,$A113)+SUMIFS(SALIDAS_COMB,FECHA_COMB,"&gt;="&amp;CU$2,FECHA_COMB,"&lt;="&amp;CU$3,CLAVE_COMB,$A113)+SUMIFS(SALIDAS_DES,FECHA_DESGLOSEN,"&gt;="&amp;CU$2,FECHA_DESGLOSEN,"&lt;="&amp;CU$3,CLAVE_DESGLOSE,$A113)</f>
        <v>0</v>
      </c>
      <c r="CV113" s="13">
        <f>SUMIFS(SALIDAS_BIT,FECHA_BIT,"&gt;="&amp;CV$2,FECHA_BIT,"&lt;="&amp;CV$3,CLAVE_BIT,$A113)+SUMIFS(SALIDAS_BOV1,FECHA_BOV1,"&gt;="&amp;CV$2,FECHA_BOV1,"&lt;="&amp;CV$3,CLAVE_BOV1,$A113)+SUMIFS(SALIDAS_BOV2,FECHA_BOV2,"&gt;="&amp;CV$2,FECHA_BOV2,"&lt;="&amp;CV$3,CLAVE_BOV2,$A113)+SUMIFS(SALIDAS_BOV3,FECHA_BOV3,"&gt;="&amp;CV$2,FECHA_BOV3,"&lt;="&amp;CV$3,CLAVE_BOV3,$A113)+SUMIFS(SALIDAS_TC,FECHA_TC,"&gt;="&amp;CV$2,FECHA_TC,"&lt;="&amp;CV$3,CLAVE_TC,$A113)+SUMIFS(SALIDAS_COMB,FECHA_COMB,"&gt;="&amp;CV$2,FECHA_COMB,"&lt;="&amp;CV$3,CLAVE_COMB,$A113)+SUMIFS(SALIDAS_DES,FECHA_DESGLOSEN,"&gt;="&amp;CV$2,FECHA_DESGLOSEN,"&lt;="&amp;CV$3,CLAVE_DESGLOSE,$A113)</f>
        <v>0</v>
      </c>
      <c r="CW113" s="13">
        <f>SUMIFS(SALIDAS_BIT,FECHA_BIT,"&gt;="&amp;CW$2,FECHA_BIT,"&lt;="&amp;CW$3,CLAVE_BIT,$A113)+SUMIFS(SALIDAS_BOV1,FECHA_BOV1,"&gt;="&amp;CW$2,FECHA_BOV1,"&lt;="&amp;CW$3,CLAVE_BOV1,$A113)+SUMIFS(SALIDAS_BOV2,FECHA_BOV2,"&gt;="&amp;CW$2,FECHA_BOV2,"&lt;="&amp;CW$3,CLAVE_BOV2,$A113)+SUMIFS(SALIDAS_BOV3,FECHA_BOV3,"&gt;="&amp;CW$2,FECHA_BOV3,"&lt;="&amp;CW$3,CLAVE_BOV3,$A113)+SUMIFS(SALIDAS_TC,FECHA_TC,"&gt;="&amp;CW$2,FECHA_TC,"&lt;="&amp;CW$3,CLAVE_TC,$A113)+SUMIFS(SALIDAS_COMB,FECHA_COMB,"&gt;="&amp;CW$2,FECHA_COMB,"&lt;="&amp;CW$3,CLAVE_COMB,$A113)+SUMIFS(SALIDAS_DES,FECHA_DESGLOSEN,"&gt;="&amp;CW$2,FECHA_DESGLOSEN,"&lt;="&amp;CW$3,CLAVE_DESGLOSE,$A113)</f>
        <v>0</v>
      </c>
      <c r="CX113" s="13">
        <f>SUMIFS(SALIDAS_BIT,FECHA_BIT,"&gt;="&amp;CX$2,FECHA_BIT,"&lt;="&amp;CX$3,CLAVE_BIT,$A113)+SUMIFS(SALIDAS_BOV1,FECHA_BOV1,"&gt;="&amp;CX$2,FECHA_BOV1,"&lt;="&amp;CX$3,CLAVE_BOV1,$A113)+SUMIFS(SALIDAS_BOV2,FECHA_BOV2,"&gt;="&amp;CX$2,FECHA_BOV2,"&lt;="&amp;CX$3,CLAVE_BOV2,$A113)+SUMIFS(SALIDAS_BOV3,FECHA_BOV3,"&gt;="&amp;CX$2,FECHA_BOV3,"&lt;="&amp;CX$3,CLAVE_BOV3,$A113)+SUMIFS(SALIDAS_TC,FECHA_TC,"&gt;="&amp;CX$2,FECHA_TC,"&lt;="&amp;CX$3,CLAVE_TC,$A113)+SUMIFS(SALIDAS_COMB,FECHA_COMB,"&gt;="&amp;CX$2,FECHA_COMB,"&lt;="&amp;CX$3,CLAVE_COMB,$A113)+SUMIFS(SALIDAS_DES,FECHA_DESGLOSEN,"&gt;="&amp;CX$2,FECHA_DESGLOSEN,"&lt;="&amp;CX$3,CLAVE_DESGLOSE,$A113)</f>
        <v>0</v>
      </c>
      <c r="CY113" s="13">
        <f>SUMIFS(SALIDAS_BIT,FECHA_BIT,"&gt;="&amp;CY$2,FECHA_BIT,"&lt;="&amp;CY$3,CLAVE_BIT,$A113)+SUMIFS(SALIDAS_BOV1,FECHA_BOV1,"&gt;="&amp;CY$2,FECHA_BOV1,"&lt;="&amp;CY$3,CLAVE_BOV1,$A113)+SUMIFS(SALIDAS_BOV2,FECHA_BOV2,"&gt;="&amp;CY$2,FECHA_BOV2,"&lt;="&amp;CY$3,CLAVE_BOV2,$A113)+SUMIFS(SALIDAS_BOV3,FECHA_BOV3,"&gt;="&amp;CY$2,FECHA_BOV3,"&lt;="&amp;CY$3,CLAVE_BOV3,$A113)+SUMIFS(SALIDAS_TC,FECHA_TC,"&gt;="&amp;CY$2,FECHA_TC,"&lt;="&amp;CY$3,CLAVE_TC,$A113)+SUMIFS(SALIDAS_COMB,FECHA_COMB,"&gt;="&amp;CY$2,FECHA_COMB,"&lt;="&amp;CY$3,CLAVE_COMB,$A113)+SUMIFS(SALIDAS_DES,FECHA_DESGLOSEN,"&gt;="&amp;CY$2,FECHA_DESGLOSEN,"&lt;="&amp;CY$3,CLAVE_DESGLOSE,$A113)</f>
        <v>0</v>
      </c>
      <c r="CZ113" s="68">
        <f t="shared" si="175"/>
        <v>0</v>
      </c>
      <c r="DB113" s="17">
        <f>F113+N113+W113+AE113+AM113+AV113+BD113+BL113+BU113+CC113+CK113</f>
        <v>79986</v>
      </c>
      <c r="DC113" s="17">
        <f>K113+T113+AB113+AJ113+AS113+BA113+BI113+BR113+BZ113+CH113+CQ113</f>
        <v>48007</v>
      </c>
    </row>
    <row r="114" spans="1:107" hidden="1">
      <c r="A114" s="12" t="str">
        <f t="shared" si="148"/>
        <v>HRENERGIA ELECTRICAA8</v>
      </c>
      <c r="B114" s="12">
        <v>116</v>
      </c>
      <c r="C114" t="s">
        <v>29</v>
      </c>
      <c r="D114" s="404" t="s">
        <v>87</v>
      </c>
      <c r="E114" s="404" t="s">
        <v>94</v>
      </c>
      <c r="F114" s="259">
        <f t="shared" si="141"/>
        <v>8413</v>
      </c>
      <c r="G114" s="13">
        <f t="shared" si="206"/>
        <v>0</v>
      </c>
      <c r="H114" s="13">
        <f t="shared" si="206"/>
        <v>0</v>
      </c>
      <c r="I114" s="13">
        <f t="shared" si="206"/>
        <v>0</v>
      </c>
      <c r="J114" s="13">
        <f t="shared" si="206"/>
        <v>0</v>
      </c>
      <c r="K114" s="13">
        <f t="shared" si="206"/>
        <v>0</v>
      </c>
      <c r="L114" s="68">
        <f t="shared" si="149"/>
        <v>8413</v>
      </c>
      <c r="M114" s="268">
        <f t="shared" si="150"/>
        <v>0</v>
      </c>
      <c r="N114" s="13">
        <f t="shared" si="142"/>
        <v>0</v>
      </c>
      <c r="O114" s="13">
        <f t="shared" si="207"/>
        <v>0</v>
      </c>
      <c r="P114" s="13">
        <f t="shared" si="207"/>
        <v>0</v>
      </c>
      <c r="Q114" s="13">
        <f t="shared" si="207"/>
        <v>0</v>
      </c>
      <c r="R114" s="13">
        <f t="shared" si="207"/>
        <v>0</v>
      </c>
      <c r="S114" s="13">
        <f t="shared" si="207"/>
        <v>0</v>
      </c>
      <c r="T114" s="13">
        <f t="shared" si="207"/>
        <v>0</v>
      </c>
      <c r="U114" s="68">
        <f t="shared" si="151"/>
        <v>0</v>
      </c>
      <c r="V114" s="268">
        <f t="shared" si="152"/>
        <v>0</v>
      </c>
      <c r="W114" s="13">
        <f t="shared" si="143"/>
        <v>8883</v>
      </c>
      <c r="X114" s="13">
        <f t="shared" si="208"/>
        <v>0</v>
      </c>
      <c r="Y114" s="13">
        <f t="shared" si="208"/>
        <v>9759</v>
      </c>
      <c r="Z114" s="13">
        <f t="shared" si="208"/>
        <v>0</v>
      </c>
      <c r="AA114" s="13">
        <f t="shared" si="208"/>
        <v>0</v>
      </c>
      <c r="AB114" s="13">
        <f t="shared" si="208"/>
        <v>9759</v>
      </c>
      <c r="AC114" s="68">
        <f t="shared" si="153"/>
        <v>-876</v>
      </c>
      <c r="AD114" s="268">
        <f t="shared" si="154"/>
        <v>1.0986153326578858</v>
      </c>
      <c r="AE114" s="13">
        <f t="shared" si="144"/>
        <v>0</v>
      </c>
      <c r="AF114" s="13">
        <f t="shared" si="209"/>
        <v>0</v>
      </c>
      <c r="AG114" s="13">
        <f t="shared" si="209"/>
        <v>0</v>
      </c>
      <c r="AH114" s="13">
        <f t="shared" si="209"/>
        <v>0</v>
      </c>
      <c r="AI114" s="13">
        <f t="shared" si="209"/>
        <v>0</v>
      </c>
      <c r="AJ114" s="13">
        <f t="shared" si="209"/>
        <v>0</v>
      </c>
      <c r="AK114" s="68">
        <f t="shared" si="155"/>
        <v>0</v>
      </c>
      <c r="AL114" s="268">
        <f t="shared" si="156"/>
        <v>0</v>
      </c>
      <c r="AM114" s="13">
        <f t="shared" si="145"/>
        <v>9825</v>
      </c>
      <c r="AN114" s="13">
        <f t="shared" si="210"/>
        <v>0</v>
      </c>
      <c r="AO114" s="13">
        <f t="shared" si="210"/>
        <v>0</v>
      </c>
      <c r="AP114" s="13">
        <f t="shared" si="210"/>
        <v>10118</v>
      </c>
      <c r="AQ114" s="13">
        <f t="shared" si="210"/>
        <v>0</v>
      </c>
      <c r="AR114" s="13">
        <f t="shared" si="210"/>
        <v>0</v>
      </c>
      <c r="AS114" s="13">
        <f t="shared" si="210"/>
        <v>10118</v>
      </c>
      <c r="AT114" s="68">
        <f>AM114-AS114</f>
        <v>-293</v>
      </c>
      <c r="AU114" s="268">
        <f t="shared" si="157"/>
        <v>1.0298218829516539</v>
      </c>
      <c r="AV114" s="13">
        <f t="shared" si="146"/>
        <v>0</v>
      </c>
      <c r="AW114" s="13">
        <f t="shared" si="119"/>
        <v>0</v>
      </c>
      <c r="AX114" s="13">
        <f t="shared" si="119"/>
        <v>0</v>
      </c>
      <c r="AY114" s="13">
        <f t="shared" si="119"/>
        <v>0</v>
      </c>
      <c r="AZ114" s="13">
        <f t="shared" si="119"/>
        <v>0</v>
      </c>
      <c r="BA114" s="13">
        <f t="shared" si="120"/>
        <v>0</v>
      </c>
      <c r="BB114" s="68">
        <f t="shared" si="158"/>
        <v>0</v>
      </c>
      <c r="BC114" s="268">
        <f t="shared" si="159"/>
        <v>0</v>
      </c>
      <c r="BD114" s="13">
        <f t="shared" si="160"/>
        <v>11902</v>
      </c>
      <c r="BE114" s="13">
        <f>SUMIFS(SALIDAS_BIT,FECHA_BIT,"&gt;="&amp;BE$2,FECHA_BIT,"&lt;="&amp;BE$3,CLAVE_BIT,$A114)+SUMIFS(SALIDAS_BOV1,FECHA_BOV1,"&gt;="&amp;BE$2,FECHA_BOV1,"&lt;="&amp;BE$3,CLAVE_BOV1,$A114)+SUMIFS(SALIDAS_BOV2,FECHA_BOV2,"&gt;="&amp;BE$2,FECHA_BOV2,"&lt;="&amp;BE$3,CLAVE_BOV2,$A114)+SUMIFS(SALIDAS_BOV3,FECHA_BOV3,"&gt;="&amp;BE$2,FECHA_BOV3,"&lt;="&amp;BE$3,CLAVE_BOV3,$A114)+SUMIFS(SALIDAS_TC,FECHA_TC,"&gt;="&amp;BE$2,FECHA_TC,"&lt;="&amp;BE$3,CLAVE_TC,$A114)+SUMIFS(SALIDAS_COMB,FECHA_COMB,"&gt;="&amp;BE$2,FECHA_COMB,"&lt;="&amp;BE$3,CLAVE_COMB,$A114)+SUMIFS(SALIDAS_DES,FECHA_DESGLOSEN,"&gt;="&amp;BE$2,FECHA_DESGLOSEN,"&lt;="&amp;BE$3,CLAVE_DESGLOSE,$A114)</f>
        <v>0</v>
      </c>
      <c r="BF114" s="13">
        <f>SUMIFS(SALIDAS_BIT,FECHA_BIT,"&gt;="&amp;BF$2,FECHA_BIT,"&lt;="&amp;BF$3,CLAVE_BIT,$A114)+SUMIFS(SALIDAS_BOV1,FECHA_BOV1,"&gt;="&amp;BF$2,FECHA_BOV1,"&lt;="&amp;BF$3,CLAVE_BOV1,$A114)+SUMIFS(SALIDAS_BOV2,FECHA_BOV2,"&gt;="&amp;BF$2,FECHA_BOV2,"&lt;="&amp;BF$3,CLAVE_BOV2,$A114)+SUMIFS(SALIDAS_BOV3,FECHA_BOV3,"&gt;="&amp;BF$2,FECHA_BOV3,"&lt;="&amp;BF$3,CLAVE_BOV3,$A114)+SUMIFS(SALIDAS_TC,FECHA_TC,"&gt;="&amp;BF$2,FECHA_TC,"&lt;="&amp;BF$3,CLAVE_TC,$A114)+SUMIFS(SALIDAS_COMB,FECHA_COMB,"&gt;="&amp;BF$2,FECHA_COMB,"&lt;="&amp;BF$3,CLAVE_COMB,$A114)+SUMIFS(SALIDAS_DES,FECHA_DESGLOSEN,"&gt;="&amp;BF$2,FECHA_DESGLOSEN,"&lt;="&amp;BF$3,CLAVE_DESGLOSE,$A114)</f>
        <v>0</v>
      </c>
      <c r="BG114" s="13">
        <f>SUMIFS(SALIDAS_BIT,FECHA_BIT,"&gt;="&amp;BG$2,FECHA_BIT,"&lt;="&amp;BG$3,CLAVE_BIT,$A114)+SUMIFS(SALIDAS_BOV1,FECHA_BOV1,"&gt;="&amp;BG$2,FECHA_BOV1,"&lt;="&amp;BG$3,CLAVE_BOV1,$A114)+SUMIFS(SALIDAS_BOV2,FECHA_BOV2,"&gt;="&amp;BG$2,FECHA_BOV2,"&lt;="&amp;BG$3,CLAVE_BOV2,$A114)+SUMIFS(SALIDAS_BOV3,FECHA_BOV3,"&gt;="&amp;BG$2,FECHA_BOV3,"&lt;="&amp;BG$3,CLAVE_BOV3,$A114)+SUMIFS(SALIDAS_TC,FECHA_TC,"&gt;="&amp;BG$2,FECHA_TC,"&lt;="&amp;BG$3,CLAVE_TC,$A114)+SUMIFS(SALIDAS_COMB,FECHA_COMB,"&gt;="&amp;BG$2,FECHA_COMB,"&lt;="&amp;BG$3,CLAVE_COMB,$A114)+SUMIFS(SALIDAS_DES,FECHA_DESGLOSEN,"&gt;="&amp;BG$2,FECHA_DESGLOSEN,"&lt;="&amp;BG$3,CLAVE_DESGLOSE,$A114)</f>
        <v>9945</v>
      </c>
      <c r="BH114" s="13">
        <f>SUMIFS(SALIDAS_BIT,FECHA_BIT,"&gt;="&amp;BH$2,FECHA_BIT,"&lt;="&amp;BH$3,CLAVE_BIT,$A114)+SUMIFS(SALIDAS_BOV1,FECHA_BOV1,"&gt;="&amp;BH$2,FECHA_BOV1,"&lt;="&amp;BH$3,CLAVE_BOV1,$A114)+SUMIFS(SALIDAS_BOV2,FECHA_BOV2,"&gt;="&amp;BH$2,FECHA_BOV2,"&lt;="&amp;BH$3,CLAVE_BOV2,$A114)+SUMIFS(SALIDAS_BOV3,FECHA_BOV3,"&gt;="&amp;BH$2,FECHA_BOV3,"&lt;="&amp;BH$3,CLAVE_BOV3,$A114)+SUMIFS(SALIDAS_TC,FECHA_TC,"&gt;="&amp;BH$2,FECHA_TC,"&lt;="&amp;BH$3,CLAVE_TC,$A114)+SUMIFS(SALIDAS_COMB,FECHA_COMB,"&gt;="&amp;BH$2,FECHA_COMB,"&lt;="&amp;BH$3,CLAVE_COMB,$A114)+SUMIFS(SALIDAS_DES,FECHA_DESGLOSEN,"&gt;="&amp;BH$2,FECHA_DESGLOSEN,"&lt;="&amp;BH$3,CLAVE_DESGLOSE,$A114)</f>
        <v>0</v>
      </c>
      <c r="BI114" s="13">
        <f t="shared" si="215"/>
        <v>9945</v>
      </c>
      <c r="BJ114" s="68">
        <f t="shared" si="161"/>
        <v>1957</v>
      </c>
      <c r="BK114" s="268">
        <f t="shared" si="162"/>
        <v>0.83557385313392707</v>
      </c>
      <c r="BL114" s="13">
        <f t="shared" si="163"/>
        <v>0</v>
      </c>
      <c r="BM114" s="13">
        <f>SUMIFS(SALIDAS_BIT,FECHA_BIT,"&gt;="&amp;BM$2,FECHA_BIT,"&lt;="&amp;BM$3,CLAVE_BIT,$A114)+SUMIFS(SALIDAS_BOV1,FECHA_BOV1,"&gt;="&amp;BM$2,FECHA_BOV1,"&lt;="&amp;BM$3,CLAVE_BOV1,$A114)+SUMIFS(SALIDAS_BOV2,FECHA_BOV2,"&gt;="&amp;BM$2,FECHA_BOV2,"&lt;="&amp;BM$3,CLAVE_BOV2,$A114)+SUMIFS(SALIDAS_BOV3,FECHA_BOV3,"&gt;="&amp;BM$2,FECHA_BOV3,"&lt;="&amp;BM$3,CLAVE_BOV3,$A114)+SUMIFS(SALIDAS_TC,FECHA_TC,"&gt;="&amp;BM$2,FECHA_TC,"&lt;="&amp;BM$3,CLAVE_TC,$A114)+SUMIFS(SALIDAS_COMB,FECHA_COMB,"&gt;="&amp;BM$2,FECHA_COMB,"&lt;="&amp;BM$3,CLAVE_COMB,$A114)+SUMIFS(SALIDAS_DES,FECHA_DESGLOSEN,"&gt;="&amp;BM$2,FECHA_DESGLOSEN,"&lt;="&amp;BM$3,CLAVE_DESGLOSE,$A114)</f>
        <v>0</v>
      </c>
      <c r="BN114" s="13">
        <f>SUMIFS(SALIDAS_BIT,FECHA_BIT,"&gt;="&amp;BN$2,FECHA_BIT,"&lt;="&amp;BN$3,CLAVE_BIT,$A114)+SUMIFS(SALIDAS_BOV1,FECHA_BOV1,"&gt;="&amp;BN$2,FECHA_BOV1,"&lt;="&amp;BN$3,CLAVE_BOV1,$A114)+SUMIFS(SALIDAS_BOV2,FECHA_BOV2,"&gt;="&amp;BN$2,FECHA_BOV2,"&lt;="&amp;BN$3,CLAVE_BOV2,$A114)+SUMIFS(SALIDAS_BOV3,FECHA_BOV3,"&gt;="&amp;BN$2,FECHA_BOV3,"&lt;="&amp;BN$3,CLAVE_BOV3,$A114)+SUMIFS(SALIDAS_TC,FECHA_TC,"&gt;="&amp;BN$2,FECHA_TC,"&lt;="&amp;BN$3,CLAVE_TC,$A114)+SUMIFS(SALIDAS_COMB,FECHA_COMB,"&gt;="&amp;BN$2,FECHA_COMB,"&lt;="&amp;BN$3,CLAVE_COMB,$A114)+SUMIFS(SALIDAS_DES,FECHA_DESGLOSEN,"&gt;="&amp;BN$2,FECHA_DESGLOSEN,"&lt;="&amp;BN$3,CLAVE_DESGLOSE,$A114)</f>
        <v>0</v>
      </c>
      <c r="BO114" s="13">
        <f>SUMIFS(SALIDAS_BIT,FECHA_BIT,"&gt;="&amp;BO$2,FECHA_BIT,"&lt;="&amp;BO$3,CLAVE_BIT,$A114)+SUMIFS(SALIDAS_BOV1,FECHA_BOV1,"&gt;="&amp;BO$2,FECHA_BOV1,"&lt;="&amp;BO$3,CLAVE_BOV1,$A114)+SUMIFS(SALIDAS_BOV2,FECHA_BOV2,"&gt;="&amp;BO$2,FECHA_BOV2,"&lt;="&amp;BO$3,CLAVE_BOV2,$A114)+SUMIFS(SALIDAS_BOV3,FECHA_BOV3,"&gt;="&amp;BO$2,FECHA_BOV3,"&lt;="&amp;BO$3,CLAVE_BOV3,$A114)+SUMIFS(SALIDAS_TC,FECHA_TC,"&gt;="&amp;BO$2,FECHA_TC,"&lt;="&amp;BO$3,CLAVE_TC,$A114)+SUMIFS(SALIDAS_COMB,FECHA_COMB,"&gt;="&amp;BO$2,FECHA_COMB,"&lt;="&amp;BO$3,CLAVE_COMB,$A114)+SUMIFS(SALIDAS_DES,FECHA_DESGLOSEN,"&gt;="&amp;BO$2,FECHA_DESGLOSEN,"&lt;="&amp;BO$3,CLAVE_DESGLOSE,$A114)</f>
        <v>0</v>
      </c>
      <c r="BP114" s="13">
        <f>SUMIFS(SALIDAS_BIT,FECHA_BIT,"&gt;="&amp;BP$2,FECHA_BIT,"&lt;="&amp;BP$3,CLAVE_BIT,$A114)+SUMIFS(SALIDAS_BOV1,FECHA_BOV1,"&gt;="&amp;BP$2,FECHA_BOV1,"&lt;="&amp;BP$3,CLAVE_BOV1,$A114)+SUMIFS(SALIDAS_BOV2,FECHA_BOV2,"&gt;="&amp;BP$2,FECHA_BOV2,"&lt;="&amp;BP$3,CLAVE_BOV2,$A114)+SUMIFS(SALIDAS_BOV3,FECHA_BOV3,"&gt;="&amp;BP$2,FECHA_BOV3,"&lt;="&amp;BP$3,CLAVE_BOV3,$A114)+SUMIFS(SALIDAS_TC,FECHA_TC,"&gt;="&amp;BP$2,FECHA_TC,"&lt;="&amp;BP$3,CLAVE_TC,$A114)+SUMIFS(SALIDAS_COMB,FECHA_COMB,"&gt;="&amp;BP$2,FECHA_COMB,"&lt;="&amp;BP$3,CLAVE_COMB,$A114)+SUMIFS(SALIDAS_DES,FECHA_DESGLOSEN,"&gt;="&amp;BP$2,FECHA_DESGLOSEN,"&lt;="&amp;BP$3,CLAVE_DESGLOSE,$A114)</f>
        <v>0</v>
      </c>
      <c r="BQ114" s="13">
        <f>SUMIFS(SALIDAS_BIT,FECHA_BIT,"&gt;="&amp;BQ$2,FECHA_BIT,"&lt;="&amp;BQ$3,CLAVE_BIT,$A114)+SUMIFS(SALIDAS_BOV1,FECHA_BOV1,"&gt;="&amp;BQ$2,FECHA_BOV1,"&lt;="&amp;BQ$3,CLAVE_BOV1,$A114)+SUMIFS(SALIDAS_BOV2,FECHA_BOV2,"&gt;="&amp;BQ$2,FECHA_BOV2,"&lt;="&amp;BQ$3,CLAVE_BOV2,$A114)+SUMIFS(SALIDAS_BOV3,FECHA_BOV3,"&gt;="&amp;BQ$2,FECHA_BOV3,"&lt;="&amp;BQ$3,CLAVE_BOV3,$A114)+SUMIFS(SALIDAS_TC,FECHA_TC,"&gt;="&amp;BQ$2,FECHA_TC,"&lt;="&amp;BQ$3,CLAVE_TC,$A114)+SUMIFS(SALIDAS_COMB,FECHA_COMB,"&gt;="&amp;BQ$2,FECHA_COMB,"&lt;="&amp;BQ$3,CLAVE_COMB,$A114)+SUMIFS(SALIDAS_DES,FECHA_DESGLOSEN,"&gt;="&amp;BQ$2,FECHA_DESGLOSEN,"&lt;="&amp;BQ$3,CLAVE_DESGLOSE,$A114)</f>
        <v>0</v>
      </c>
      <c r="BR114" s="13">
        <f t="shared" si="211"/>
        <v>0</v>
      </c>
      <c r="BS114" s="68">
        <f t="shared" si="164"/>
        <v>0</v>
      </c>
      <c r="BT114" s="268">
        <f t="shared" si="165"/>
        <v>0</v>
      </c>
      <c r="BU114" s="13">
        <f t="shared" si="166"/>
        <v>7790</v>
      </c>
      <c r="BV114" s="13">
        <f t="shared" si="186"/>
        <v>0</v>
      </c>
      <c r="BW114" s="13">
        <f t="shared" si="186"/>
        <v>0</v>
      </c>
      <c r="BX114" s="13">
        <f t="shared" si="186"/>
        <v>9767</v>
      </c>
      <c r="BY114" s="13">
        <f t="shared" si="186"/>
        <v>0</v>
      </c>
      <c r="BZ114" s="13">
        <f t="shared" si="212"/>
        <v>9767</v>
      </c>
      <c r="CA114" s="68">
        <f t="shared" si="167"/>
        <v>-1977</v>
      </c>
      <c r="CB114" s="268">
        <f t="shared" si="168"/>
        <v>1.2537869062901155</v>
      </c>
      <c r="CC114" s="13">
        <f t="shared" si="169"/>
        <v>0</v>
      </c>
      <c r="CD114" s="13">
        <f t="shared" si="187"/>
        <v>0</v>
      </c>
      <c r="CE114" s="13">
        <f t="shared" si="187"/>
        <v>0</v>
      </c>
      <c r="CF114" s="13">
        <f t="shared" si="187"/>
        <v>0</v>
      </c>
      <c r="CG114" s="13">
        <f t="shared" si="187"/>
        <v>0</v>
      </c>
      <c r="CH114" s="13">
        <f t="shared" si="213"/>
        <v>0</v>
      </c>
      <c r="CI114" s="68">
        <f t="shared" si="170"/>
        <v>0</v>
      </c>
      <c r="CJ114" s="268">
        <f t="shared" si="171"/>
        <v>0</v>
      </c>
      <c r="CK114" s="13">
        <f t="shared" si="172"/>
        <v>9275</v>
      </c>
      <c r="CL114" s="13">
        <f t="shared" si="176"/>
        <v>0</v>
      </c>
      <c r="CM114" s="13">
        <f t="shared" si="176"/>
        <v>0</v>
      </c>
      <c r="CN114" s="13">
        <f t="shared" si="176"/>
        <v>8770</v>
      </c>
      <c r="CO114" s="13">
        <f t="shared" si="176"/>
        <v>0</v>
      </c>
      <c r="CP114" s="13">
        <f t="shared" si="176"/>
        <v>0</v>
      </c>
      <c r="CQ114" s="13">
        <f t="shared" si="214"/>
        <v>8770</v>
      </c>
      <c r="CR114" s="68">
        <f t="shared" si="173"/>
        <v>505</v>
      </c>
      <c r="CS114" s="268">
        <f t="shared" si="174"/>
        <v>0.9455525606469003</v>
      </c>
      <c r="CT114" s="68">
        <f t="shared" si="147"/>
        <v>0</v>
      </c>
      <c r="CU114" s="13">
        <f>SUMIFS(SALIDAS_BIT,FECHA_BIT,"&gt;="&amp;CU$2,FECHA_BIT,"&lt;="&amp;CU$3,CLAVE_BIT,$A114)+SUMIFS(SALIDAS_BOV1,FECHA_BOV1,"&gt;="&amp;CU$2,FECHA_BOV1,"&lt;="&amp;CU$3,CLAVE_BOV1,$A114)+SUMIFS(SALIDAS_BOV2,FECHA_BOV2,"&gt;="&amp;CU$2,FECHA_BOV2,"&lt;="&amp;CU$3,CLAVE_BOV2,$A114)+SUMIFS(SALIDAS_BOV3,FECHA_BOV3,"&gt;="&amp;CU$2,FECHA_BOV3,"&lt;="&amp;CU$3,CLAVE_BOV3,$A114)+SUMIFS(SALIDAS_TC,FECHA_TC,"&gt;="&amp;CU$2,FECHA_TC,"&lt;="&amp;CU$3,CLAVE_TC,$A114)+SUMIFS(SALIDAS_COMB,FECHA_COMB,"&gt;="&amp;CU$2,FECHA_COMB,"&lt;="&amp;CU$3,CLAVE_COMB,$A114)+SUMIFS(SALIDAS_DES,FECHA_DESGLOSEN,"&gt;="&amp;CU$2,FECHA_DESGLOSEN,"&lt;="&amp;CU$3,CLAVE_DESGLOSE,$A114)</f>
        <v>0</v>
      </c>
      <c r="CV114" s="13">
        <f>SUMIFS(SALIDAS_BIT,FECHA_BIT,"&gt;="&amp;CV$2,FECHA_BIT,"&lt;="&amp;CV$3,CLAVE_BIT,$A114)+SUMIFS(SALIDAS_BOV1,FECHA_BOV1,"&gt;="&amp;CV$2,FECHA_BOV1,"&lt;="&amp;CV$3,CLAVE_BOV1,$A114)+SUMIFS(SALIDAS_BOV2,FECHA_BOV2,"&gt;="&amp;CV$2,FECHA_BOV2,"&lt;="&amp;CV$3,CLAVE_BOV2,$A114)+SUMIFS(SALIDAS_BOV3,FECHA_BOV3,"&gt;="&amp;CV$2,FECHA_BOV3,"&lt;="&amp;CV$3,CLAVE_BOV3,$A114)+SUMIFS(SALIDAS_TC,FECHA_TC,"&gt;="&amp;CV$2,FECHA_TC,"&lt;="&amp;CV$3,CLAVE_TC,$A114)+SUMIFS(SALIDAS_COMB,FECHA_COMB,"&gt;="&amp;CV$2,FECHA_COMB,"&lt;="&amp;CV$3,CLAVE_COMB,$A114)+SUMIFS(SALIDAS_DES,FECHA_DESGLOSEN,"&gt;="&amp;CV$2,FECHA_DESGLOSEN,"&lt;="&amp;CV$3,CLAVE_DESGLOSE,$A114)</f>
        <v>0</v>
      </c>
      <c r="CW114" s="13">
        <f>SUMIFS(SALIDAS_BIT,FECHA_BIT,"&gt;="&amp;CW$2,FECHA_BIT,"&lt;="&amp;CW$3,CLAVE_BIT,$A114)+SUMIFS(SALIDAS_BOV1,FECHA_BOV1,"&gt;="&amp;CW$2,FECHA_BOV1,"&lt;="&amp;CW$3,CLAVE_BOV1,$A114)+SUMIFS(SALIDAS_BOV2,FECHA_BOV2,"&gt;="&amp;CW$2,FECHA_BOV2,"&lt;="&amp;CW$3,CLAVE_BOV2,$A114)+SUMIFS(SALIDAS_BOV3,FECHA_BOV3,"&gt;="&amp;CW$2,FECHA_BOV3,"&lt;="&amp;CW$3,CLAVE_BOV3,$A114)+SUMIFS(SALIDAS_TC,FECHA_TC,"&gt;="&amp;CW$2,FECHA_TC,"&lt;="&amp;CW$3,CLAVE_TC,$A114)+SUMIFS(SALIDAS_COMB,FECHA_COMB,"&gt;="&amp;CW$2,FECHA_COMB,"&lt;="&amp;CW$3,CLAVE_COMB,$A114)+SUMIFS(SALIDAS_DES,FECHA_DESGLOSEN,"&gt;="&amp;CW$2,FECHA_DESGLOSEN,"&lt;="&amp;CW$3,CLAVE_DESGLOSE,$A114)</f>
        <v>0</v>
      </c>
      <c r="CX114" s="13">
        <f>SUMIFS(SALIDAS_BIT,FECHA_BIT,"&gt;="&amp;CX$2,FECHA_BIT,"&lt;="&amp;CX$3,CLAVE_BIT,$A114)+SUMIFS(SALIDAS_BOV1,FECHA_BOV1,"&gt;="&amp;CX$2,FECHA_BOV1,"&lt;="&amp;CX$3,CLAVE_BOV1,$A114)+SUMIFS(SALIDAS_BOV2,FECHA_BOV2,"&gt;="&amp;CX$2,FECHA_BOV2,"&lt;="&amp;CX$3,CLAVE_BOV2,$A114)+SUMIFS(SALIDAS_BOV3,FECHA_BOV3,"&gt;="&amp;CX$2,FECHA_BOV3,"&lt;="&amp;CX$3,CLAVE_BOV3,$A114)+SUMIFS(SALIDAS_TC,FECHA_TC,"&gt;="&amp;CX$2,FECHA_TC,"&lt;="&amp;CX$3,CLAVE_TC,$A114)+SUMIFS(SALIDAS_COMB,FECHA_COMB,"&gt;="&amp;CX$2,FECHA_COMB,"&lt;="&amp;CX$3,CLAVE_COMB,$A114)+SUMIFS(SALIDAS_DES,FECHA_DESGLOSEN,"&gt;="&amp;CX$2,FECHA_DESGLOSEN,"&lt;="&amp;CX$3,CLAVE_DESGLOSE,$A114)</f>
        <v>0</v>
      </c>
      <c r="CY114" s="13">
        <f>SUMIFS(SALIDAS_BIT,FECHA_BIT,"&gt;="&amp;CY$2,FECHA_BIT,"&lt;="&amp;CY$3,CLAVE_BIT,$A114)+SUMIFS(SALIDAS_BOV1,FECHA_BOV1,"&gt;="&amp;CY$2,FECHA_BOV1,"&lt;="&amp;CY$3,CLAVE_BOV1,$A114)+SUMIFS(SALIDAS_BOV2,FECHA_BOV2,"&gt;="&amp;CY$2,FECHA_BOV2,"&lt;="&amp;CY$3,CLAVE_BOV2,$A114)+SUMIFS(SALIDAS_BOV3,FECHA_BOV3,"&gt;="&amp;CY$2,FECHA_BOV3,"&lt;="&amp;CY$3,CLAVE_BOV3,$A114)+SUMIFS(SALIDAS_TC,FECHA_TC,"&gt;="&amp;CY$2,FECHA_TC,"&lt;="&amp;CY$3,CLAVE_TC,$A114)+SUMIFS(SALIDAS_COMB,FECHA_COMB,"&gt;="&amp;CY$2,FECHA_COMB,"&lt;="&amp;CY$3,CLAVE_COMB,$A114)+SUMIFS(SALIDAS_DES,FECHA_DESGLOSEN,"&gt;="&amp;CY$2,FECHA_DESGLOSEN,"&lt;="&amp;CY$3,CLAVE_DESGLOSE,$A114)</f>
        <v>0</v>
      </c>
      <c r="CZ114" s="68">
        <f t="shared" si="175"/>
        <v>0</v>
      </c>
      <c r="DB114" s="17">
        <f>F114+N114+W114+AE114+AM114+AV114+BD114+BL114+BU114+CC114+CK114</f>
        <v>56088</v>
      </c>
      <c r="DC114" s="17">
        <f>K114+T114+AB114+AJ114+AS114+BA114+BI114+BR114+BZ114+CH114+CQ114</f>
        <v>48359</v>
      </c>
    </row>
    <row r="115" spans="1:107" hidden="1">
      <c r="A115" s="12" t="str">
        <f t="shared" si="148"/>
        <v>HRENERGIA ELECTRICAA9</v>
      </c>
      <c r="B115" s="12">
        <v>117</v>
      </c>
      <c r="C115" t="s">
        <v>29</v>
      </c>
      <c r="D115" s="404" t="s">
        <v>87</v>
      </c>
      <c r="E115" s="404" t="s">
        <v>95</v>
      </c>
      <c r="F115" s="259">
        <f t="shared" si="141"/>
        <v>0</v>
      </c>
      <c r="G115" s="13">
        <f t="shared" si="206"/>
        <v>0</v>
      </c>
      <c r="H115" s="13">
        <f t="shared" si="206"/>
        <v>0</v>
      </c>
      <c r="I115" s="13">
        <f t="shared" si="206"/>
        <v>0</v>
      </c>
      <c r="J115" s="13">
        <f t="shared" si="206"/>
        <v>0</v>
      </c>
      <c r="K115" s="13">
        <f t="shared" si="206"/>
        <v>0</v>
      </c>
      <c r="L115" s="68">
        <f t="shared" si="149"/>
        <v>0</v>
      </c>
      <c r="M115" s="268">
        <f t="shared" si="150"/>
        <v>0</v>
      </c>
      <c r="N115" s="13">
        <f t="shared" si="142"/>
        <v>3307</v>
      </c>
      <c r="O115" s="13">
        <f t="shared" si="207"/>
        <v>0</v>
      </c>
      <c r="P115" s="13">
        <f t="shared" si="207"/>
        <v>11955</v>
      </c>
      <c r="Q115" s="13">
        <f t="shared" si="207"/>
        <v>0</v>
      </c>
      <c r="R115" s="13">
        <f t="shared" si="207"/>
        <v>0</v>
      </c>
      <c r="S115" s="13">
        <f t="shared" si="207"/>
        <v>0</v>
      </c>
      <c r="T115" s="13">
        <f t="shared" si="207"/>
        <v>11955</v>
      </c>
      <c r="U115" s="68">
        <f t="shared" si="151"/>
        <v>-8648</v>
      </c>
      <c r="V115" s="268">
        <f t="shared" si="152"/>
        <v>3.6150589658300576</v>
      </c>
      <c r="W115" s="13">
        <f t="shared" si="143"/>
        <v>0</v>
      </c>
      <c r="X115" s="13">
        <f t="shared" si="208"/>
        <v>0</v>
      </c>
      <c r="Y115" s="13">
        <f t="shared" si="208"/>
        <v>0</v>
      </c>
      <c r="Z115" s="13">
        <f t="shared" si="208"/>
        <v>0</v>
      </c>
      <c r="AA115" s="13">
        <f t="shared" si="208"/>
        <v>0</v>
      </c>
      <c r="AB115" s="13">
        <f t="shared" si="208"/>
        <v>0</v>
      </c>
      <c r="AC115" s="68">
        <f t="shared" si="153"/>
        <v>0</v>
      </c>
      <c r="AD115" s="268">
        <f t="shared" si="154"/>
        <v>0</v>
      </c>
      <c r="AE115" s="13">
        <f t="shared" si="144"/>
        <v>11648</v>
      </c>
      <c r="AF115" s="13">
        <f t="shared" si="209"/>
        <v>18256</v>
      </c>
      <c r="AG115" s="13">
        <f t="shared" si="209"/>
        <v>0</v>
      </c>
      <c r="AH115" s="13">
        <f t="shared" si="209"/>
        <v>0</v>
      </c>
      <c r="AI115" s="13">
        <f t="shared" si="209"/>
        <v>0</v>
      </c>
      <c r="AJ115" s="13">
        <f t="shared" si="209"/>
        <v>18256</v>
      </c>
      <c r="AK115" s="68">
        <f t="shared" si="155"/>
        <v>-6608</v>
      </c>
      <c r="AL115" s="268">
        <f t="shared" si="156"/>
        <v>1.5673076923076923</v>
      </c>
      <c r="AM115" s="13">
        <f t="shared" si="145"/>
        <v>21168</v>
      </c>
      <c r="AN115" s="13">
        <f t="shared" si="210"/>
        <v>0</v>
      </c>
      <c r="AO115" s="13">
        <f t="shared" si="210"/>
        <v>0</v>
      </c>
      <c r="AP115" s="13">
        <f t="shared" si="210"/>
        <v>0</v>
      </c>
      <c r="AQ115" s="13">
        <f t="shared" si="210"/>
        <v>0</v>
      </c>
      <c r="AR115" s="13">
        <f t="shared" si="210"/>
        <v>0</v>
      </c>
      <c r="AS115" s="13">
        <f t="shared" si="210"/>
        <v>0</v>
      </c>
      <c r="AT115" s="68">
        <f>AM115-AS115</f>
        <v>21168</v>
      </c>
      <c r="AU115" s="268">
        <f t="shared" si="157"/>
        <v>0</v>
      </c>
      <c r="AV115" s="13">
        <f t="shared" si="146"/>
        <v>0</v>
      </c>
      <c r="AW115" s="13">
        <f t="shared" si="119"/>
        <v>17015</v>
      </c>
      <c r="AX115" s="13">
        <f t="shared" si="119"/>
        <v>0</v>
      </c>
      <c r="AY115" s="13">
        <f t="shared" si="119"/>
        <v>0</v>
      </c>
      <c r="AZ115" s="13">
        <f t="shared" si="119"/>
        <v>0</v>
      </c>
      <c r="BA115" s="13">
        <f t="shared" si="120"/>
        <v>17015</v>
      </c>
      <c r="BB115" s="68">
        <f t="shared" si="158"/>
        <v>-17015</v>
      </c>
      <c r="BC115" s="268">
        <f t="shared" si="159"/>
        <v>0</v>
      </c>
      <c r="BD115" s="13">
        <f t="shared" si="160"/>
        <v>0</v>
      </c>
      <c r="BE115" s="13">
        <f>SUMIFS(SALIDAS_BIT,FECHA_BIT,"&gt;="&amp;BE$2,FECHA_BIT,"&lt;="&amp;BE$3,CLAVE_BIT,$A115)+SUMIFS(SALIDAS_BOV1,FECHA_BOV1,"&gt;="&amp;BE$2,FECHA_BOV1,"&lt;="&amp;BE$3,CLAVE_BOV1,$A115)+SUMIFS(SALIDAS_BOV2,FECHA_BOV2,"&gt;="&amp;BE$2,FECHA_BOV2,"&lt;="&amp;BE$3,CLAVE_BOV2,$A115)+SUMIFS(SALIDAS_BOV3,FECHA_BOV3,"&gt;="&amp;BE$2,FECHA_BOV3,"&lt;="&amp;BE$3,CLAVE_BOV3,$A115)+SUMIFS(SALIDAS_TC,FECHA_TC,"&gt;="&amp;BE$2,FECHA_TC,"&lt;="&amp;BE$3,CLAVE_TC,$A115)+SUMIFS(SALIDAS_COMB,FECHA_COMB,"&gt;="&amp;BE$2,FECHA_COMB,"&lt;="&amp;BE$3,CLAVE_COMB,$A115)+SUMIFS(SALIDAS_DES,FECHA_DESGLOSEN,"&gt;="&amp;BE$2,FECHA_DESGLOSEN,"&lt;="&amp;BE$3,CLAVE_DESGLOSE,$A115)</f>
        <v>0</v>
      </c>
      <c r="BF115" s="13">
        <f>SUMIFS(SALIDAS_BIT,FECHA_BIT,"&gt;="&amp;BF$2,FECHA_BIT,"&lt;="&amp;BF$3,CLAVE_BIT,$A115)+SUMIFS(SALIDAS_BOV1,FECHA_BOV1,"&gt;="&amp;BF$2,FECHA_BOV1,"&lt;="&amp;BF$3,CLAVE_BOV1,$A115)+SUMIFS(SALIDAS_BOV2,FECHA_BOV2,"&gt;="&amp;BF$2,FECHA_BOV2,"&lt;="&amp;BF$3,CLAVE_BOV2,$A115)+SUMIFS(SALIDAS_BOV3,FECHA_BOV3,"&gt;="&amp;BF$2,FECHA_BOV3,"&lt;="&amp;BF$3,CLAVE_BOV3,$A115)+SUMIFS(SALIDAS_TC,FECHA_TC,"&gt;="&amp;BF$2,FECHA_TC,"&lt;="&amp;BF$3,CLAVE_TC,$A115)+SUMIFS(SALIDAS_COMB,FECHA_COMB,"&gt;="&amp;BF$2,FECHA_COMB,"&lt;="&amp;BF$3,CLAVE_COMB,$A115)+SUMIFS(SALIDAS_DES,FECHA_DESGLOSEN,"&gt;="&amp;BF$2,FECHA_DESGLOSEN,"&lt;="&amp;BF$3,CLAVE_DESGLOSE,$A115)</f>
        <v>0</v>
      </c>
      <c r="BG115" s="13">
        <f>SUMIFS(SALIDAS_BIT,FECHA_BIT,"&gt;="&amp;BG$2,FECHA_BIT,"&lt;="&amp;BG$3,CLAVE_BIT,$A115)+SUMIFS(SALIDAS_BOV1,FECHA_BOV1,"&gt;="&amp;BG$2,FECHA_BOV1,"&lt;="&amp;BG$3,CLAVE_BOV1,$A115)+SUMIFS(SALIDAS_BOV2,FECHA_BOV2,"&gt;="&amp;BG$2,FECHA_BOV2,"&lt;="&amp;BG$3,CLAVE_BOV2,$A115)+SUMIFS(SALIDAS_BOV3,FECHA_BOV3,"&gt;="&amp;BG$2,FECHA_BOV3,"&lt;="&amp;BG$3,CLAVE_BOV3,$A115)+SUMIFS(SALIDAS_TC,FECHA_TC,"&gt;="&amp;BG$2,FECHA_TC,"&lt;="&amp;BG$3,CLAVE_TC,$A115)+SUMIFS(SALIDAS_COMB,FECHA_COMB,"&gt;="&amp;BG$2,FECHA_COMB,"&lt;="&amp;BG$3,CLAVE_COMB,$A115)+SUMIFS(SALIDAS_DES,FECHA_DESGLOSEN,"&gt;="&amp;BG$2,FECHA_DESGLOSEN,"&lt;="&amp;BG$3,CLAVE_DESGLOSE,$A115)</f>
        <v>0</v>
      </c>
      <c r="BH115" s="13">
        <f>SUMIFS(SALIDAS_BIT,FECHA_BIT,"&gt;="&amp;BH$2,FECHA_BIT,"&lt;="&amp;BH$3,CLAVE_BIT,$A115)+SUMIFS(SALIDAS_BOV1,FECHA_BOV1,"&gt;="&amp;BH$2,FECHA_BOV1,"&lt;="&amp;BH$3,CLAVE_BOV1,$A115)+SUMIFS(SALIDAS_BOV2,FECHA_BOV2,"&gt;="&amp;BH$2,FECHA_BOV2,"&lt;="&amp;BH$3,CLAVE_BOV2,$A115)+SUMIFS(SALIDAS_BOV3,FECHA_BOV3,"&gt;="&amp;BH$2,FECHA_BOV3,"&lt;="&amp;BH$3,CLAVE_BOV3,$A115)+SUMIFS(SALIDAS_TC,FECHA_TC,"&gt;="&amp;BH$2,FECHA_TC,"&lt;="&amp;BH$3,CLAVE_TC,$A115)+SUMIFS(SALIDAS_COMB,FECHA_COMB,"&gt;="&amp;BH$2,FECHA_COMB,"&lt;="&amp;BH$3,CLAVE_COMB,$A115)+SUMIFS(SALIDAS_DES,FECHA_DESGLOSEN,"&gt;="&amp;BH$2,FECHA_DESGLOSEN,"&lt;="&amp;BH$3,CLAVE_DESGLOSE,$A115)</f>
        <v>0</v>
      </c>
      <c r="BI115" s="13">
        <f t="shared" si="215"/>
        <v>0</v>
      </c>
      <c r="BJ115" s="68">
        <f t="shared" si="161"/>
        <v>0</v>
      </c>
      <c r="BK115" s="268">
        <f t="shared" si="162"/>
        <v>0</v>
      </c>
      <c r="BL115" s="13">
        <f t="shared" si="163"/>
        <v>22228</v>
      </c>
      <c r="BM115" s="13">
        <f>SUMIFS(SALIDAS_BIT,FECHA_BIT,"&gt;="&amp;BM$2,FECHA_BIT,"&lt;="&amp;BM$3,CLAVE_BIT,$A115)+SUMIFS(SALIDAS_BOV1,FECHA_BOV1,"&gt;="&amp;BM$2,FECHA_BOV1,"&lt;="&amp;BM$3,CLAVE_BOV1,$A115)+SUMIFS(SALIDAS_BOV2,FECHA_BOV2,"&gt;="&amp;BM$2,FECHA_BOV2,"&lt;="&amp;BM$3,CLAVE_BOV2,$A115)+SUMIFS(SALIDAS_BOV3,FECHA_BOV3,"&gt;="&amp;BM$2,FECHA_BOV3,"&lt;="&amp;BM$3,CLAVE_BOV3,$A115)+SUMIFS(SALIDAS_TC,FECHA_TC,"&gt;="&amp;BM$2,FECHA_TC,"&lt;="&amp;BM$3,CLAVE_TC,$A115)+SUMIFS(SALIDAS_COMB,FECHA_COMB,"&gt;="&amp;BM$2,FECHA_COMB,"&lt;="&amp;BM$3,CLAVE_COMB,$A115)+SUMIFS(SALIDAS_DES,FECHA_DESGLOSEN,"&gt;="&amp;BM$2,FECHA_DESGLOSEN,"&lt;="&amp;BM$3,CLAVE_DESGLOSE,$A115)</f>
        <v>0</v>
      </c>
      <c r="BN115" s="13">
        <f>SUMIFS(SALIDAS_BIT,FECHA_BIT,"&gt;="&amp;BN$2,FECHA_BIT,"&lt;="&amp;BN$3,CLAVE_BIT,$A115)+SUMIFS(SALIDAS_BOV1,FECHA_BOV1,"&gt;="&amp;BN$2,FECHA_BOV1,"&lt;="&amp;BN$3,CLAVE_BOV1,$A115)+SUMIFS(SALIDAS_BOV2,FECHA_BOV2,"&gt;="&amp;BN$2,FECHA_BOV2,"&lt;="&amp;BN$3,CLAVE_BOV2,$A115)+SUMIFS(SALIDAS_BOV3,FECHA_BOV3,"&gt;="&amp;BN$2,FECHA_BOV3,"&lt;="&amp;BN$3,CLAVE_BOV3,$A115)+SUMIFS(SALIDAS_TC,FECHA_TC,"&gt;="&amp;BN$2,FECHA_TC,"&lt;="&amp;BN$3,CLAVE_TC,$A115)+SUMIFS(SALIDAS_COMB,FECHA_COMB,"&gt;="&amp;BN$2,FECHA_COMB,"&lt;="&amp;BN$3,CLAVE_COMB,$A115)+SUMIFS(SALIDAS_DES,FECHA_DESGLOSEN,"&gt;="&amp;BN$2,FECHA_DESGLOSEN,"&lt;="&amp;BN$3,CLAVE_DESGLOSE,$A115)</f>
        <v>22526</v>
      </c>
      <c r="BO115" s="13">
        <f>SUMIFS(SALIDAS_BIT,FECHA_BIT,"&gt;="&amp;BO$2,FECHA_BIT,"&lt;="&amp;BO$3,CLAVE_BIT,$A115)+SUMIFS(SALIDAS_BOV1,FECHA_BOV1,"&gt;="&amp;BO$2,FECHA_BOV1,"&lt;="&amp;BO$3,CLAVE_BOV1,$A115)+SUMIFS(SALIDAS_BOV2,FECHA_BOV2,"&gt;="&amp;BO$2,FECHA_BOV2,"&lt;="&amp;BO$3,CLAVE_BOV2,$A115)+SUMIFS(SALIDAS_BOV3,FECHA_BOV3,"&gt;="&amp;BO$2,FECHA_BOV3,"&lt;="&amp;BO$3,CLAVE_BOV3,$A115)+SUMIFS(SALIDAS_TC,FECHA_TC,"&gt;="&amp;BO$2,FECHA_TC,"&lt;="&amp;BO$3,CLAVE_TC,$A115)+SUMIFS(SALIDAS_COMB,FECHA_COMB,"&gt;="&amp;BO$2,FECHA_COMB,"&lt;="&amp;BO$3,CLAVE_COMB,$A115)+SUMIFS(SALIDAS_DES,FECHA_DESGLOSEN,"&gt;="&amp;BO$2,FECHA_DESGLOSEN,"&lt;="&amp;BO$3,CLAVE_DESGLOSE,$A115)</f>
        <v>0</v>
      </c>
      <c r="BP115" s="13">
        <f>SUMIFS(SALIDAS_BIT,FECHA_BIT,"&gt;="&amp;BP$2,FECHA_BIT,"&lt;="&amp;BP$3,CLAVE_BIT,$A115)+SUMIFS(SALIDAS_BOV1,FECHA_BOV1,"&gt;="&amp;BP$2,FECHA_BOV1,"&lt;="&amp;BP$3,CLAVE_BOV1,$A115)+SUMIFS(SALIDAS_BOV2,FECHA_BOV2,"&gt;="&amp;BP$2,FECHA_BOV2,"&lt;="&amp;BP$3,CLAVE_BOV2,$A115)+SUMIFS(SALIDAS_BOV3,FECHA_BOV3,"&gt;="&amp;BP$2,FECHA_BOV3,"&lt;="&amp;BP$3,CLAVE_BOV3,$A115)+SUMIFS(SALIDAS_TC,FECHA_TC,"&gt;="&amp;BP$2,FECHA_TC,"&lt;="&amp;BP$3,CLAVE_TC,$A115)+SUMIFS(SALIDAS_COMB,FECHA_COMB,"&gt;="&amp;BP$2,FECHA_COMB,"&lt;="&amp;BP$3,CLAVE_COMB,$A115)+SUMIFS(SALIDAS_DES,FECHA_DESGLOSEN,"&gt;="&amp;BP$2,FECHA_DESGLOSEN,"&lt;="&amp;BP$3,CLAVE_DESGLOSE,$A115)</f>
        <v>0</v>
      </c>
      <c r="BQ115" s="13">
        <f>SUMIFS(SALIDAS_BIT,FECHA_BIT,"&gt;="&amp;BQ$2,FECHA_BIT,"&lt;="&amp;BQ$3,CLAVE_BIT,$A115)+SUMIFS(SALIDAS_BOV1,FECHA_BOV1,"&gt;="&amp;BQ$2,FECHA_BOV1,"&lt;="&amp;BQ$3,CLAVE_BOV1,$A115)+SUMIFS(SALIDAS_BOV2,FECHA_BOV2,"&gt;="&amp;BQ$2,FECHA_BOV2,"&lt;="&amp;BQ$3,CLAVE_BOV2,$A115)+SUMIFS(SALIDAS_BOV3,FECHA_BOV3,"&gt;="&amp;BQ$2,FECHA_BOV3,"&lt;="&amp;BQ$3,CLAVE_BOV3,$A115)+SUMIFS(SALIDAS_TC,FECHA_TC,"&gt;="&amp;BQ$2,FECHA_TC,"&lt;="&amp;BQ$3,CLAVE_TC,$A115)+SUMIFS(SALIDAS_COMB,FECHA_COMB,"&gt;="&amp;BQ$2,FECHA_COMB,"&lt;="&amp;BQ$3,CLAVE_COMB,$A115)+SUMIFS(SALIDAS_DES,FECHA_DESGLOSEN,"&gt;="&amp;BQ$2,FECHA_DESGLOSEN,"&lt;="&amp;BQ$3,CLAVE_DESGLOSE,$A115)</f>
        <v>0</v>
      </c>
      <c r="BR115" s="13">
        <f t="shared" si="211"/>
        <v>22526</v>
      </c>
      <c r="BS115" s="68">
        <f t="shared" si="164"/>
        <v>-298</v>
      </c>
      <c r="BT115" s="268">
        <f t="shared" si="165"/>
        <v>1.0134065143062803</v>
      </c>
      <c r="BU115" s="13">
        <f t="shared" si="166"/>
        <v>0</v>
      </c>
      <c r="BV115" s="13">
        <f t="shared" si="186"/>
        <v>0</v>
      </c>
      <c r="BW115" s="13">
        <f t="shared" si="186"/>
        <v>0</v>
      </c>
      <c r="BX115" s="13">
        <f t="shared" si="186"/>
        <v>0</v>
      </c>
      <c r="BY115" s="13">
        <f t="shared" si="186"/>
        <v>0</v>
      </c>
      <c r="BZ115" s="13">
        <f t="shared" si="212"/>
        <v>0</v>
      </c>
      <c r="CA115" s="68">
        <f t="shared" si="167"/>
        <v>0</v>
      </c>
      <c r="CB115" s="268">
        <f t="shared" si="168"/>
        <v>0</v>
      </c>
      <c r="CC115" s="13">
        <f t="shared" si="169"/>
        <v>16409</v>
      </c>
      <c r="CD115" s="13">
        <f t="shared" si="187"/>
        <v>0</v>
      </c>
      <c r="CE115" s="13">
        <f t="shared" si="187"/>
        <v>4362</v>
      </c>
      <c r="CF115" s="13">
        <f t="shared" si="187"/>
        <v>0</v>
      </c>
      <c r="CG115" s="13">
        <f t="shared" si="187"/>
        <v>0</v>
      </c>
      <c r="CH115" s="13">
        <f t="shared" si="213"/>
        <v>4362</v>
      </c>
      <c r="CI115" s="68">
        <f t="shared" si="170"/>
        <v>12047</v>
      </c>
      <c r="CJ115" s="268">
        <f t="shared" si="171"/>
        <v>0.26582972758851847</v>
      </c>
      <c r="CK115" s="13">
        <f t="shared" si="172"/>
        <v>0</v>
      </c>
      <c r="CL115" s="13">
        <f t="shared" si="176"/>
        <v>0</v>
      </c>
      <c r="CM115" s="13">
        <f t="shared" si="176"/>
        <v>0</v>
      </c>
      <c r="CN115" s="13">
        <f t="shared" si="176"/>
        <v>0</v>
      </c>
      <c r="CO115" s="13">
        <f t="shared" si="176"/>
        <v>0</v>
      </c>
      <c r="CP115" s="13">
        <f t="shared" si="176"/>
        <v>0</v>
      </c>
      <c r="CQ115" s="13">
        <f t="shared" si="214"/>
        <v>0</v>
      </c>
      <c r="CR115" s="68">
        <f t="shared" si="173"/>
        <v>0</v>
      </c>
      <c r="CS115" s="268">
        <f t="shared" si="174"/>
        <v>0</v>
      </c>
      <c r="CT115" s="68">
        <f t="shared" si="147"/>
        <v>15049</v>
      </c>
      <c r="CU115" s="13">
        <f>SUMIFS(SALIDAS_BIT,FECHA_BIT,"&gt;="&amp;CU$2,FECHA_BIT,"&lt;="&amp;CU$3,CLAVE_BIT,$A115)+SUMIFS(SALIDAS_BOV1,FECHA_BOV1,"&gt;="&amp;CU$2,FECHA_BOV1,"&lt;="&amp;CU$3,CLAVE_BOV1,$A115)+SUMIFS(SALIDAS_BOV2,FECHA_BOV2,"&gt;="&amp;CU$2,FECHA_BOV2,"&lt;="&amp;CU$3,CLAVE_BOV2,$A115)+SUMIFS(SALIDAS_BOV3,FECHA_BOV3,"&gt;="&amp;CU$2,FECHA_BOV3,"&lt;="&amp;CU$3,CLAVE_BOV3,$A115)+SUMIFS(SALIDAS_TC,FECHA_TC,"&gt;="&amp;CU$2,FECHA_TC,"&lt;="&amp;CU$3,CLAVE_TC,$A115)+SUMIFS(SALIDAS_COMB,FECHA_COMB,"&gt;="&amp;CU$2,FECHA_COMB,"&lt;="&amp;CU$3,CLAVE_COMB,$A115)+SUMIFS(SALIDAS_DES,FECHA_DESGLOSEN,"&gt;="&amp;CU$2,FECHA_DESGLOSEN,"&lt;="&amp;CU$3,CLAVE_DESGLOSE,$A115)</f>
        <v>13589</v>
      </c>
      <c r="CV115" s="13">
        <f>SUMIFS(SALIDAS_BIT,FECHA_BIT,"&gt;="&amp;CV$2,FECHA_BIT,"&lt;="&amp;CV$3,CLAVE_BIT,$A115)+SUMIFS(SALIDAS_BOV1,FECHA_BOV1,"&gt;="&amp;CV$2,FECHA_BOV1,"&lt;="&amp;CV$3,CLAVE_BOV1,$A115)+SUMIFS(SALIDAS_BOV2,FECHA_BOV2,"&gt;="&amp;CV$2,FECHA_BOV2,"&lt;="&amp;CV$3,CLAVE_BOV2,$A115)+SUMIFS(SALIDAS_BOV3,FECHA_BOV3,"&gt;="&amp;CV$2,FECHA_BOV3,"&lt;="&amp;CV$3,CLAVE_BOV3,$A115)+SUMIFS(SALIDAS_TC,FECHA_TC,"&gt;="&amp;CV$2,FECHA_TC,"&lt;="&amp;CV$3,CLAVE_TC,$A115)+SUMIFS(SALIDAS_COMB,FECHA_COMB,"&gt;="&amp;CV$2,FECHA_COMB,"&lt;="&amp;CV$3,CLAVE_COMB,$A115)+SUMIFS(SALIDAS_DES,FECHA_DESGLOSEN,"&gt;="&amp;CV$2,FECHA_DESGLOSEN,"&lt;="&amp;CV$3,CLAVE_DESGLOSE,$A115)</f>
        <v>0</v>
      </c>
      <c r="CW115" s="13">
        <f>SUMIFS(SALIDAS_BIT,FECHA_BIT,"&gt;="&amp;CW$2,FECHA_BIT,"&lt;="&amp;CW$3,CLAVE_BIT,$A115)+SUMIFS(SALIDAS_BOV1,FECHA_BOV1,"&gt;="&amp;CW$2,FECHA_BOV1,"&lt;="&amp;CW$3,CLAVE_BOV1,$A115)+SUMIFS(SALIDAS_BOV2,FECHA_BOV2,"&gt;="&amp;CW$2,FECHA_BOV2,"&lt;="&amp;CW$3,CLAVE_BOV2,$A115)+SUMIFS(SALIDAS_BOV3,FECHA_BOV3,"&gt;="&amp;CW$2,FECHA_BOV3,"&lt;="&amp;CW$3,CLAVE_BOV3,$A115)+SUMIFS(SALIDAS_TC,FECHA_TC,"&gt;="&amp;CW$2,FECHA_TC,"&lt;="&amp;CW$3,CLAVE_TC,$A115)+SUMIFS(SALIDAS_COMB,FECHA_COMB,"&gt;="&amp;CW$2,FECHA_COMB,"&lt;="&amp;CW$3,CLAVE_COMB,$A115)+SUMIFS(SALIDAS_DES,FECHA_DESGLOSEN,"&gt;="&amp;CW$2,FECHA_DESGLOSEN,"&lt;="&amp;CW$3,CLAVE_DESGLOSE,$A115)</f>
        <v>0</v>
      </c>
      <c r="CX115" s="13">
        <f>SUMIFS(SALIDAS_BIT,FECHA_BIT,"&gt;="&amp;CX$2,FECHA_BIT,"&lt;="&amp;CX$3,CLAVE_BIT,$A115)+SUMIFS(SALIDAS_BOV1,FECHA_BOV1,"&gt;="&amp;CX$2,FECHA_BOV1,"&lt;="&amp;CX$3,CLAVE_BOV1,$A115)+SUMIFS(SALIDAS_BOV2,FECHA_BOV2,"&gt;="&amp;CX$2,FECHA_BOV2,"&lt;="&amp;CX$3,CLAVE_BOV2,$A115)+SUMIFS(SALIDAS_BOV3,FECHA_BOV3,"&gt;="&amp;CX$2,FECHA_BOV3,"&lt;="&amp;CX$3,CLAVE_BOV3,$A115)+SUMIFS(SALIDAS_TC,FECHA_TC,"&gt;="&amp;CX$2,FECHA_TC,"&lt;="&amp;CX$3,CLAVE_TC,$A115)+SUMIFS(SALIDAS_COMB,FECHA_COMB,"&gt;="&amp;CX$2,FECHA_COMB,"&lt;="&amp;CX$3,CLAVE_COMB,$A115)+SUMIFS(SALIDAS_DES,FECHA_DESGLOSEN,"&gt;="&amp;CX$2,FECHA_DESGLOSEN,"&lt;="&amp;CX$3,CLAVE_DESGLOSE,$A115)</f>
        <v>0</v>
      </c>
      <c r="CY115" s="13">
        <f>SUMIFS(SALIDAS_BIT,FECHA_BIT,"&gt;="&amp;CY$2,FECHA_BIT,"&lt;="&amp;CY$3,CLAVE_BIT,$A115)+SUMIFS(SALIDAS_BOV1,FECHA_BOV1,"&gt;="&amp;CY$2,FECHA_BOV1,"&lt;="&amp;CY$3,CLAVE_BOV1,$A115)+SUMIFS(SALIDAS_BOV2,FECHA_BOV2,"&gt;="&amp;CY$2,FECHA_BOV2,"&lt;="&amp;CY$3,CLAVE_BOV2,$A115)+SUMIFS(SALIDAS_BOV3,FECHA_BOV3,"&gt;="&amp;CY$2,FECHA_BOV3,"&lt;="&amp;CY$3,CLAVE_BOV3,$A115)+SUMIFS(SALIDAS_TC,FECHA_TC,"&gt;="&amp;CY$2,FECHA_TC,"&lt;="&amp;CY$3,CLAVE_TC,$A115)+SUMIFS(SALIDAS_COMB,FECHA_COMB,"&gt;="&amp;CY$2,FECHA_COMB,"&lt;="&amp;CY$3,CLAVE_COMB,$A115)+SUMIFS(SALIDAS_DES,FECHA_DESGLOSEN,"&gt;="&amp;CY$2,FECHA_DESGLOSEN,"&lt;="&amp;CY$3,CLAVE_DESGLOSE,$A115)</f>
        <v>13589</v>
      </c>
      <c r="CZ115" s="68">
        <f t="shared" si="175"/>
        <v>1460</v>
      </c>
      <c r="DB115" s="17">
        <f>F115+N115+W115+AE115+AM115+AV115+BD115+BL115+BU115+CC115+CK115</f>
        <v>74760</v>
      </c>
      <c r="DC115" s="17">
        <f>K115+T115+AB115+AJ115+AS115+BA115+BI115+BR115+BZ115+CH115+CQ115</f>
        <v>74114</v>
      </c>
    </row>
    <row r="116" spans="1:107" hidden="1">
      <c r="A116" s="12" t="str">
        <f t="shared" si="148"/>
        <v>HRENERGIA ELECTRICAA10</v>
      </c>
      <c r="B116" s="12">
        <v>118</v>
      </c>
      <c r="C116" t="s">
        <v>29</v>
      </c>
      <c r="D116" s="12" t="s">
        <v>87</v>
      </c>
      <c r="E116" s="12" t="s">
        <v>96</v>
      </c>
      <c r="F116" s="259">
        <f t="shared" si="141"/>
        <v>0</v>
      </c>
      <c r="G116" s="13">
        <f t="shared" si="206"/>
        <v>0</v>
      </c>
      <c r="H116" s="13">
        <f t="shared" si="206"/>
        <v>0</v>
      </c>
      <c r="I116" s="13">
        <f t="shared" si="206"/>
        <v>0</v>
      </c>
      <c r="J116" s="13">
        <f t="shared" si="206"/>
        <v>0</v>
      </c>
      <c r="K116" s="13">
        <f t="shared" si="206"/>
        <v>0</v>
      </c>
      <c r="L116" s="68">
        <f t="shared" si="149"/>
        <v>0</v>
      </c>
      <c r="M116" s="268">
        <f t="shared" si="150"/>
        <v>0</v>
      </c>
      <c r="N116" s="13">
        <f t="shared" si="142"/>
        <v>23337</v>
      </c>
      <c r="O116" s="13">
        <f t="shared" si="207"/>
        <v>0</v>
      </c>
      <c r="P116" s="13">
        <f t="shared" si="207"/>
        <v>0</v>
      </c>
      <c r="Q116" s="13">
        <f t="shared" si="207"/>
        <v>28555</v>
      </c>
      <c r="R116" s="13">
        <f t="shared" si="207"/>
        <v>0</v>
      </c>
      <c r="S116" s="13">
        <f t="shared" si="207"/>
        <v>0</v>
      </c>
      <c r="T116" s="13">
        <f t="shared" si="207"/>
        <v>28555</v>
      </c>
      <c r="U116" s="68">
        <f t="shared" si="151"/>
        <v>-5218</v>
      </c>
      <c r="V116" s="268">
        <f t="shared" si="152"/>
        <v>1.2235934353173072</v>
      </c>
      <c r="W116" s="13">
        <f t="shared" si="143"/>
        <v>0</v>
      </c>
      <c r="X116" s="13">
        <f t="shared" si="208"/>
        <v>0</v>
      </c>
      <c r="Y116" s="13">
        <f t="shared" si="208"/>
        <v>0</v>
      </c>
      <c r="Z116" s="13">
        <f t="shared" si="208"/>
        <v>0</v>
      </c>
      <c r="AA116" s="13">
        <f t="shared" si="208"/>
        <v>0</v>
      </c>
      <c r="AB116" s="13">
        <f t="shared" si="208"/>
        <v>0</v>
      </c>
      <c r="AC116" s="68">
        <f t="shared" si="153"/>
        <v>0</v>
      </c>
      <c r="AD116" s="268">
        <f t="shared" si="154"/>
        <v>0</v>
      </c>
      <c r="AE116" s="13">
        <f t="shared" si="144"/>
        <v>26716</v>
      </c>
      <c r="AF116" s="13">
        <f t="shared" si="209"/>
        <v>0</v>
      </c>
      <c r="AG116" s="13">
        <f t="shared" si="209"/>
        <v>0</v>
      </c>
      <c r="AH116" s="13">
        <f t="shared" si="209"/>
        <v>32889</v>
      </c>
      <c r="AI116" s="13">
        <f t="shared" si="209"/>
        <v>0</v>
      </c>
      <c r="AJ116" s="13">
        <f t="shared" si="209"/>
        <v>32889</v>
      </c>
      <c r="AK116" s="68">
        <f t="shared" si="155"/>
        <v>-6173</v>
      </c>
      <c r="AL116" s="268">
        <f t="shared" si="156"/>
        <v>1.2310600389279833</v>
      </c>
      <c r="AM116" s="13">
        <f t="shared" si="145"/>
        <v>0</v>
      </c>
      <c r="AN116" s="13">
        <f t="shared" si="210"/>
        <v>0</v>
      </c>
      <c r="AO116" s="13">
        <f t="shared" si="210"/>
        <v>0</v>
      </c>
      <c r="AP116" s="13">
        <f t="shared" si="210"/>
        <v>0</v>
      </c>
      <c r="AQ116" s="13">
        <f t="shared" si="210"/>
        <v>0</v>
      </c>
      <c r="AR116" s="13">
        <f t="shared" si="210"/>
        <v>0</v>
      </c>
      <c r="AS116" s="13">
        <f t="shared" si="210"/>
        <v>0</v>
      </c>
      <c r="AT116" s="68">
        <f>AM116-AS116</f>
        <v>0</v>
      </c>
      <c r="AU116" s="268">
        <f t="shared" si="157"/>
        <v>0</v>
      </c>
      <c r="AV116" s="13">
        <f t="shared" si="146"/>
        <v>33456</v>
      </c>
      <c r="AW116" s="13">
        <f t="shared" si="119"/>
        <v>0</v>
      </c>
      <c r="AX116" s="13">
        <f t="shared" si="119"/>
        <v>0</v>
      </c>
      <c r="AY116" s="13">
        <f t="shared" si="119"/>
        <v>36947</v>
      </c>
      <c r="AZ116" s="13">
        <f t="shared" ref="AZ116:AZ179" si="216">SUMIFS(SALIDAS_BIT,FECHA_BIT,"&gt;="&amp;AZ$2,FECHA_BIT,"&lt;="&amp;AZ$3,CLAVE_BIT,$A116)+SUMIFS(SALIDAS_BOV1,FECHA_BOV1,"&gt;="&amp;AZ$2,FECHA_BOV1,"&lt;="&amp;AZ$3,CLAVE_BOV1,$A116)+SUMIFS(SALIDAS_BOV2,FECHA_BOV2,"&gt;="&amp;AZ$2,FECHA_BOV2,"&lt;="&amp;AZ$3,CLAVE_BOV2,$A116)+SUMIFS(SALIDAS_BOV3,FECHA_BOV3,"&gt;="&amp;AZ$2,FECHA_BOV3,"&lt;="&amp;AZ$3,CLAVE_BOV3,$A116)+SUMIFS(SALIDAS_TC,FECHA_TC,"&gt;="&amp;AZ$2,FECHA_TC,"&lt;="&amp;AZ$3,CLAVE_TC,$A116)+SUMIFS(SALIDAS_COMB,FECHA_COMB,"&gt;="&amp;AZ$2,FECHA_COMB,"&lt;="&amp;AZ$3,CLAVE_COMB,$A116)+SUMIFS(SALIDAS_DES,FECHA_DESGLOSEN,"&gt;="&amp;AZ$2,FECHA_DESGLOSEN,"&lt;="&amp;AZ$3,CLAVE_DESGLOSE,$A116)</f>
        <v>0</v>
      </c>
      <c r="BA116" s="13">
        <f t="shared" si="120"/>
        <v>36947</v>
      </c>
      <c r="BB116" s="68">
        <f t="shared" si="158"/>
        <v>-3491</v>
      </c>
      <c r="BC116" s="268">
        <f t="shared" si="159"/>
        <v>1.104346006695361</v>
      </c>
      <c r="BD116" s="13">
        <f t="shared" si="160"/>
        <v>0</v>
      </c>
      <c r="BE116" s="13">
        <f>SUMIFS(SALIDAS_BIT,FECHA_BIT,"&gt;="&amp;BE$2,FECHA_BIT,"&lt;="&amp;BE$3,CLAVE_BIT,$A116)+SUMIFS(SALIDAS_BOV1,FECHA_BOV1,"&gt;="&amp;BE$2,FECHA_BOV1,"&lt;="&amp;BE$3,CLAVE_BOV1,$A116)+SUMIFS(SALIDAS_BOV2,FECHA_BOV2,"&gt;="&amp;BE$2,FECHA_BOV2,"&lt;="&amp;BE$3,CLAVE_BOV2,$A116)+SUMIFS(SALIDAS_BOV3,FECHA_BOV3,"&gt;="&amp;BE$2,FECHA_BOV3,"&lt;="&amp;BE$3,CLAVE_BOV3,$A116)+SUMIFS(SALIDAS_TC,FECHA_TC,"&gt;="&amp;BE$2,FECHA_TC,"&lt;="&amp;BE$3,CLAVE_TC,$A116)+SUMIFS(SALIDAS_COMB,FECHA_COMB,"&gt;="&amp;BE$2,FECHA_COMB,"&lt;="&amp;BE$3,CLAVE_COMB,$A116)+SUMIFS(SALIDAS_DES,FECHA_DESGLOSEN,"&gt;="&amp;BE$2,FECHA_DESGLOSEN,"&lt;="&amp;BE$3,CLAVE_DESGLOSE,$A116)</f>
        <v>0</v>
      </c>
      <c r="BF116" s="13">
        <f>SUMIFS(SALIDAS_BIT,FECHA_BIT,"&gt;="&amp;BF$2,FECHA_BIT,"&lt;="&amp;BF$3,CLAVE_BIT,$A116)+SUMIFS(SALIDAS_BOV1,FECHA_BOV1,"&gt;="&amp;BF$2,FECHA_BOV1,"&lt;="&amp;BF$3,CLAVE_BOV1,$A116)+SUMIFS(SALIDAS_BOV2,FECHA_BOV2,"&gt;="&amp;BF$2,FECHA_BOV2,"&lt;="&amp;BF$3,CLAVE_BOV2,$A116)+SUMIFS(SALIDAS_BOV3,FECHA_BOV3,"&gt;="&amp;BF$2,FECHA_BOV3,"&lt;="&amp;BF$3,CLAVE_BOV3,$A116)+SUMIFS(SALIDAS_TC,FECHA_TC,"&gt;="&amp;BF$2,FECHA_TC,"&lt;="&amp;BF$3,CLAVE_TC,$A116)+SUMIFS(SALIDAS_COMB,FECHA_COMB,"&gt;="&amp;BF$2,FECHA_COMB,"&lt;="&amp;BF$3,CLAVE_COMB,$A116)+SUMIFS(SALIDAS_DES,FECHA_DESGLOSEN,"&gt;="&amp;BF$2,FECHA_DESGLOSEN,"&lt;="&amp;BF$3,CLAVE_DESGLOSE,$A116)</f>
        <v>0</v>
      </c>
      <c r="BG116" s="13">
        <f>SUMIFS(SALIDAS_BIT,FECHA_BIT,"&gt;="&amp;BG$2,FECHA_BIT,"&lt;="&amp;BG$3,CLAVE_BIT,$A116)+SUMIFS(SALIDAS_BOV1,FECHA_BOV1,"&gt;="&amp;BG$2,FECHA_BOV1,"&lt;="&amp;BG$3,CLAVE_BOV1,$A116)+SUMIFS(SALIDAS_BOV2,FECHA_BOV2,"&gt;="&amp;BG$2,FECHA_BOV2,"&lt;="&amp;BG$3,CLAVE_BOV2,$A116)+SUMIFS(SALIDAS_BOV3,FECHA_BOV3,"&gt;="&amp;BG$2,FECHA_BOV3,"&lt;="&amp;BG$3,CLAVE_BOV3,$A116)+SUMIFS(SALIDAS_TC,FECHA_TC,"&gt;="&amp;BG$2,FECHA_TC,"&lt;="&amp;BG$3,CLAVE_TC,$A116)+SUMIFS(SALIDAS_COMB,FECHA_COMB,"&gt;="&amp;BG$2,FECHA_COMB,"&lt;="&amp;BG$3,CLAVE_COMB,$A116)+SUMIFS(SALIDAS_DES,FECHA_DESGLOSEN,"&gt;="&amp;BG$2,FECHA_DESGLOSEN,"&lt;="&amp;BG$3,CLAVE_DESGLOSE,$A116)</f>
        <v>0</v>
      </c>
      <c r="BH116" s="13">
        <f>SUMIFS(SALIDAS_BIT,FECHA_BIT,"&gt;="&amp;BH$2,FECHA_BIT,"&lt;="&amp;BH$3,CLAVE_BIT,$A116)+SUMIFS(SALIDAS_BOV1,FECHA_BOV1,"&gt;="&amp;BH$2,FECHA_BOV1,"&lt;="&amp;BH$3,CLAVE_BOV1,$A116)+SUMIFS(SALIDAS_BOV2,FECHA_BOV2,"&gt;="&amp;BH$2,FECHA_BOV2,"&lt;="&amp;BH$3,CLAVE_BOV2,$A116)+SUMIFS(SALIDAS_BOV3,FECHA_BOV3,"&gt;="&amp;BH$2,FECHA_BOV3,"&lt;="&amp;BH$3,CLAVE_BOV3,$A116)+SUMIFS(SALIDAS_TC,FECHA_TC,"&gt;="&amp;BH$2,FECHA_TC,"&lt;="&amp;BH$3,CLAVE_TC,$A116)+SUMIFS(SALIDAS_COMB,FECHA_COMB,"&gt;="&amp;BH$2,FECHA_COMB,"&lt;="&amp;BH$3,CLAVE_COMB,$A116)+SUMIFS(SALIDAS_DES,FECHA_DESGLOSEN,"&gt;="&amp;BH$2,FECHA_DESGLOSEN,"&lt;="&amp;BH$3,CLAVE_DESGLOSE,$A116)</f>
        <v>0</v>
      </c>
      <c r="BI116" s="13">
        <f t="shared" si="215"/>
        <v>0</v>
      </c>
      <c r="BJ116" s="68">
        <f t="shared" si="161"/>
        <v>0</v>
      </c>
      <c r="BK116" s="268">
        <f t="shared" si="162"/>
        <v>0</v>
      </c>
      <c r="BL116" s="13">
        <f t="shared" si="163"/>
        <v>7714</v>
      </c>
      <c r="BM116" s="13">
        <f>SUMIFS(SALIDAS_BIT,FECHA_BIT,"&gt;="&amp;BM$2,FECHA_BIT,"&lt;="&amp;BM$3,CLAVE_BIT,$A116)+SUMIFS(SALIDAS_BOV1,FECHA_BOV1,"&gt;="&amp;BM$2,FECHA_BOV1,"&lt;="&amp;BM$3,CLAVE_BOV1,$A116)+SUMIFS(SALIDAS_BOV2,FECHA_BOV2,"&gt;="&amp;BM$2,FECHA_BOV2,"&lt;="&amp;BM$3,CLAVE_BOV2,$A116)+SUMIFS(SALIDAS_BOV3,FECHA_BOV3,"&gt;="&amp;BM$2,FECHA_BOV3,"&lt;="&amp;BM$3,CLAVE_BOV3,$A116)+SUMIFS(SALIDAS_TC,FECHA_TC,"&gt;="&amp;BM$2,FECHA_TC,"&lt;="&amp;BM$3,CLAVE_TC,$A116)+SUMIFS(SALIDAS_COMB,FECHA_COMB,"&gt;="&amp;BM$2,FECHA_COMB,"&lt;="&amp;BM$3,CLAVE_COMB,$A116)+SUMIFS(SALIDAS_DES,FECHA_DESGLOSEN,"&gt;="&amp;BM$2,FECHA_DESGLOSEN,"&lt;="&amp;BM$3,CLAVE_DESGLOSE,$A116)</f>
        <v>0</v>
      </c>
      <c r="BN116" s="13">
        <f>SUMIFS(SALIDAS_BIT,FECHA_BIT,"&gt;="&amp;BN$2,FECHA_BIT,"&lt;="&amp;BN$3,CLAVE_BIT,$A116)+SUMIFS(SALIDAS_BOV1,FECHA_BOV1,"&gt;="&amp;BN$2,FECHA_BOV1,"&lt;="&amp;BN$3,CLAVE_BOV1,$A116)+SUMIFS(SALIDAS_BOV2,FECHA_BOV2,"&gt;="&amp;BN$2,FECHA_BOV2,"&lt;="&amp;BN$3,CLAVE_BOV2,$A116)+SUMIFS(SALIDAS_BOV3,FECHA_BOV3,"&gt;="&amp;BN$2,FECHA_BOV3,"&lt;="&amp;BN$3,CLAVE_BOV3,$A116)+SUMIFS(SALIDAS_TC,FECHA_TC,"&gt;="&amp;BN$2,FECHA_TC,"&lt;="&amp;BN$3,CLAVE_TC,$A116)+SUMIFS(SALIDAS_COMB,FECHA_COMB,"&gt;="&amp;BN$2,FECHA_COMB,"&lt;="&amp;BN$3,CLAVE_COMB,$A116)+SUMIFS(SALIDAS_DES,FECHA_DESGLOSEN,"&gt;="&amp;BN$2,FECHA_DESGLOSEN,"&lt;="&amp;BN$3,CLAVE_DESGLOSE,$A116)</f>
        <v>0</v>
      </c>
      <c r="BO116" s="13">
        <f>SUMIFS(SALIDAS_BIT,FECHA_BIT,"&gt;="&amp;BO$2,FECHA_BIT,"&lt;="&amp;BO$3,CLAVE_BIT,$A116)+SUMIFS(SALIDAS_BOV1,FECHA_BOV1,"&gt;="&amp;BO$2,FECHA_BOV1,"&lt;="&amp;BO$3,CLAVE_BOV1,$A116)+SUMIFS(SALIDAS_BOV2,FECHA_BOV2,"&gt;="&amp;BO$2,FECHA_BOV2,"&lt;="&amp;BO$3,CLAVE_BOV2,$A116)+SUMIFS(SALIDAS_BOV3,FECHA_BOV3,"&gt;="&amp;BO$2,FECHA_BOV3,"&lt;="&amp;BO$3,CLAVE_BOV3,$A116)+SUMIFS(SALIDAS_TC,FECHA_TC,"&gt;="&amp;BO$2,FECHA_TC,"&lt;="&amp;BO$3,CLAVE_TC,$A116)+SUMIFS(SALIDAS_COMB,FECHA_COMB,"&gt;="&amp;BO$2,FECHA_COMB,"&lt;="&amp;BO$3,CLAVE_COMB,$A116)+SUMIFS(SALIDAS_DES,FECHA_DESGLOSEN,"&gt;="&amp;BO$2,FECHA_DESGLOSEN,"&lt;="&amp;BO$3,CLAVE_DESGLOSE,$A116)</f>
        <v>37038</v>
      </c>
      <c r="BP116" s="13">
        <f>SUMIFS(SALIDAS_BIT,FECHA_BIT,"&gt;="&amp;BP$2,FECHA_BIT,"&lt;="&amp;BP$3,CLAVE_BIT,$A116)+SUMIFS(SALIDAS_BOV1,FECHA_BOV1,"&gt;="&amp;BP$2,FECHA_BOV1,"&lt;="&amp;BP$3,CLAVE_BOV1,$A116)+SUMIFS(SALIDAS_BOV2,FECHA_BOV2,"&gt;="&amp;BP$2,FECHA_BOV2,"&lt;="&amp;BP$3,CLAVE_BOV2,$A116)+SUMIFS(SALIDAS_BOV3,FECHA_BOV3,"&gt;="&amp;BP$2,FECHA_BOV3,"&lt;="&amp;BP$3,CLAVE_BOV3,$A116)+SUMIFS(SALIDAS_TC,FECHA_TC,"&gt;="&amp;BP$2,FECHA_TC,"&lt;="&amp;BP$3,CLAVE_TC,$A116)+SUMIFS(SALIDAS_COMB,FECHA_COMB,"&gt;="&amp;BP$2,FECHA_COMB,"&lt;="&amp;BP$3,CLAVE_COMB,$A116)+SUMIFS(SALIDAS_DES,FECHA_DESGLOSEN,"&gt;="&amp;BP$2,FECHA_DESGLOSEN,"&lt;="&amp;BP$3,CLAVE_DESGLOSE,$A116)</f>
        <v>0</v>
      </c>
      <c r="BQ116" s="13">
        <f>SUMIFS(SALIDAS_BIT,FECHA_BIT,"&gt;="&amp;BQ$2,FECHA_BIT,"&lt;="&amp;BQ$3,CLAVE_BIT,$A116)+SUMIFS(SALIDAS_BOV1,FECHA_BOV1,"&gt;="&amp;BQ$2,FECHA_BOV1,"&lt;="&amp;BQ$3,CLAVE_BOV1,$A116)+SUMIFS(SALIDAS_BOV2,FECHA_BOV2,"&gt;="&amp;BQ$2,FECHA_BOV2,"&lt;="&amp;BQ$3,CLAVE_BOV2,$A116)+SUMIFS(SALIDAS_BOV3,FECHA_BOV3,"&gt;="&amp;BQ$2,FECHA_BOV3,"&lt;="&amp;BQ$3,CLAVE_BOV3,$A116)+SUMIFS(SALIDAS_TC,FECHA_TC,"&gt;="&amp;BQ$2,FECHA_TC,"&lt;="&amp;BQ$3,CLAVE_TC,$A116)+SUMIFS(SALIDAS_COMB,FECHA_COMB,"&gt;="&amp;BQ$2,FECHA_COMB,"&lt;="&amp;BQ$3,CLAVE_COMB,$A116)+SUMIFS(SALIDAS_DES,FECHA_DESGLOSEN,"&gt;="&amp;BQ$2,FECHA_DESGLOSEN,"&lt;="&amp;BQ$3,CLAVE_DESGLOSE,$A116)</f>
        <v>0</v>
      </c>
      <c r="BR116" s="13">
        <f t="shared" si="211"/>
        <v>37038</v>
      </c>
      <c r="BS116" s="68">
        <f t="shared" si="164"/>
        <v>-29324</v>
      </c>
      <c r="BT116" s="268">
        <f t="shared" si="165"/>
        <v>4.8014000518537721</v>
      </c>
      <c r="BU116" s="13">
        <f t="shared" si="166"/>
        <v>0</v>
      </c>
      <c r="BV116" s="13">
        <f t="shared" si="186"/>
        <v>0</v>
      </c>
      <c r="BW116" s="13">
        <f t="shared" si="186"/>
        <v>0</v>
      </c>
      <c r="BX116" s="13">
        <f t="shared" si="186"/>
        <v>0</v>
      </c>
      <c r="BY116" s="13">
        <f t="shared" si="186"/>
        <v>0</v>
      </c>
      <c r="BZ116" s="13">
        <f t="shared" si="212"/>
        <v>0</v>
      </c>
      <c r="CA116" s="68">
        <f t="shared" si="167"/>
        <v>0</v>
      </c>
      <c r="CB116" s="268">
        <f t="shared" si="168"/>
        <v>0</v>
      </c>
      <c r="CC116" s="13">
        <f t="shared" si="169"/>
        <v>22311</v>
      </c>
      <c r="CD116" s="13">
        <f t="shared" si="187"/>
        <v>0</v>
      </c>
      <c r="CE116" s="13">
        <f t="shared" si="187"/>
        <v>0</v>
      </c>
      <c r="CF116" s="13">
        <f t="shared" si="187"/>
        <v>35834</v>
      </c>
      <c r="CG116" s="13">
        <f t="shared" si="187"/>
        <v>0</v>
      </c>
      <c r="CH116" s="13">
        <f t="shared" si="213"/>
        <v>35834</v>
      </c>
      <c r="CI116" s="68">
        <f t="shared" si="170"/>
        <v>-13523</v>
      </c>
      <c r="CJ116" s="268">
        <f t="shared" si="171"/>
        <v>1.60611357626283</v>
      </c>
      <c r="CK116" s="13">
        <f t="shared" si="172"/>
        <v>0</v>
      </c>
      <c r="CL116" s="13">
        <f t="shared" si="176"/>
        <v>0</v>
      </c>
      <c r="CM116" s="13">
        <f t="shared" si="176"/>
        <v>0</v>
      </c>
      <c r="CN116" s="13">
        <f t="shared" si="176"/>
        <v>0</v>
      </c>
      <c r="CO116" s="13">
        <f t="shared" si="176"/>
        <v>0</v>
      </c>
      <c r="CP116" s="13">
        <f t="shared" si="176"/>
        <v>0</v>
      </c>
      <c r="CQ116" s="13">
        <f t="shared" si="214"/>
        <v>0</v>
      </c>
      <c r="CR116" s="68">
        <f t="shared" si="173"/>
        <v>0</v>
      </c>
      <c r="CS116" s="268">
        <f t="shared" si="174"/>
        <v>0</v>
      </c>
      <c r="CT116" s="68">
        <f t="shared" si="147"/>
        <v>36856</v>
      </c>
      <c r="CU116" s="13">
        <f>SUMIFS(SALIDAS_BIT,FECHA_BIT,"&gt;="&amp;CU$2,FECHA_BIT,"&lt;="&amp;CU$3,CLAVE_BIT,$A116)+SUMIFS(SALIDAS_BOV1,FECHA_BOV1,"&gt;="&amp;CU$2,FECHA_BOV1,"&lt;="&amp;CU$3,CLAVE_BOV1,$A116)+SUMIFS(SALIDAS_BOV2,FECHA_BOV2,"&gt;="&amp;CU$2,FECHA_BOV2,"&lt;="&amp;CU$3,CLAVE_BOV2,$A116)+SUMIFS(SALIDAS_BOV3,FECHA_BOV3,"&gt;="&amp;CU$2,FECHA_BOV3,"&lt;="&amp;CU$3,CLAVE_BOV3,$A116)+SUMIFS(SALIDAS_TC,FECHA_TC,"&gt;="&amp;CU$2,FECHA_TC,"&lt;="&amp;CU$3,CLAVE_TC,$A116)+SUMIFS(SALIDAS_COMB,FECHA_COMB,"&gt;="&amp;CU$2,FECHA_COMB,"&lt;="&amp;CU$3,CLAVE_COMB,$A116)+SUMIFS(SALIDAS_DES,FECHA_DESGLOSEN,"&gt;="&amp;CU$2,FECHA_DESGLOSEN,"&lt;="&amp;CU$3,CLAVE_DESGLOSE,$A116)</f>
        <v>0</v>
      </c>
      <c r="CV116" s="13">
        <f>SUMIFS(SALIDAS_BIT,FECHA_BIT,"&gt;="&amp;CV$2,FECHA_BIT,"&lt;="&amp;CV$3,CLAVE_BIT,$A116)+SUMIFS(SALIDAS_BOV1,FECHA_BOV1,"&gt;="&amp;CV$2,FECHA_BOV1,"&lt;="&amp;CV$3,CLAVE_BOV1,$A116)+SUMIFS(SALIDAS_BOV2,FECHA_BOV2,"&gt;="&amp;CV$2,FECHA_BOV2,"&lt;="&amp;CV$3,CLAVE_BOV2,$A116)+SUMIFS(SALIDAS_BOV3,FECHA_BOV3,"&gt;="&amp;CV$2,FECHA_BOV3,"&lt;="&amp;CV$3,CLAVE_BOV3,$A116)+SUMIFS(SALIDAS_TC,FECHA_TC,"&gt;="&amp;CV$2,FECHA_TC,"&lt;="&amp;CV$3,CLAVE_TC,$A116)+SUMIFS(SALIDAS_COMB,FECHA_COMB,"&gt;="&amp;CV$2,FECHA_COMB,"&lt;="&amp;CV$3,CLAVE_COMB,$A116)+SUMIFS(SALIDAS_DES,FECHA_DESGLOSEN,"&gt;="&amp;CV$2,FECHA_DESGLOSEN,"&lt;="&amp;CV$3,CLAVE_DESGLOSE,$A116)</f>
        <v>0</v>
      </c>
      <c r="CW116" s="13">
        <f>SUMIFS(SALIDAS_BIT,FECHA_BIT,"&gt;="&amp;CW$2,FECHA_BIT,"&lt;="&amp;CW$3,CLAVE_BIT,$A116)+SUMIFS(SALIDAS_BOV1,FECHA_BOV1,"&gt;="&amp;CW$2,FECHA_BOV1,"&lt;="&amp;CW$3,CLAVE_BOV1,$A116)+SUMIFS(SALIDAS_BOV2,FECHA_BOV2,"&gt;="&amp;CW$2,FECHA_BOV2,"&lt;="&amp;CW$3,CLAVE_BOV2,$A116)+SUMIFS(SALIDAS_BOV3,FECHA_BOV3,"&gt;="&amp;CW$2,FECHA_BOV3,"&lt;="&amp;CW$3,CLAVE_BOV3,$A116)+SUMIFS(SALIDAS_TC,FECHA_TC,"&gt;="&amp;CW$2,FECHA_TC,"&lt;="&amp;CW$3,CLAVE_TC,$A116)+SUMIFS(SALIDAS_COMB,FECHA_COMB,"&gt;="&amp;CW$2,FECHA_COMB,"&lt;="&amp;CW$3,CLAVE_COMB,$A116)+SUMIFS(SALIDAS_DES,FECHA_DESGLOSEN,"&gt;="&amp;CW$2,FECHA_DESGLOSEN,"&lt;="&amp;CW$3,CLAVE_DESGLOSE,$A116)</f>
        <v>30227</v>
      </c>
      <c r="CX116" s="13">
        <f>SUMIFS(SALIDAS_BIT,FECHA_BIT,"&gt;="&amp;CX$2,FECHA_BIT,"&lt;="&amp;CX$3,CLAVE_BIT,$A116)+SUMIFS(SALIDAS_BOV1,FECHA_BOV1,"&gt;="&amp;CX$2,FECHA_BOV1,"&lt;="&amp;CX$3,CLAVE_BOV1,$A116)+SUMIFS(SALIDAS_BOV2,FECHA_BOV2,"&gt;="&amp;CX$2,FECHA_BOV2,"&lt;="&amp;CX$3,CLAVE_BOV2,$A116)+SUMIFS(SALIDAS_BOV3,FECHA_BOV3,"&gt;="&amp;CX$2,FECHA_BOV3,"&lt;="&amp;CX$3,CLAVE_BOV3,$A116)+SUMIFS(SALIDAS_TC,FECHA_TC,"&gt;="&amp;CX$2,FECHA_TC,"&lt;="&amp;CX$3,CLAVE_TC,$A116)+SUMIFS(SALIDAS_COMB,FECHA_COMB,"&gt;="&amp;CX$2,FECHA_COMB,"&lt;="&amp;CX$3,CLAVE_COMB,$A116)+SUMIFS(SALIDAS_DES,FECHA_DESGLOSEN,"&gt;="&amp;CX$2,FECHA_DESGLOSEN,"&lt;="&amp;CX$3,CLAVE_DESGLOSE,$A116)</f>
        <v>0</v>
      </c>
      <c r="CY116" s="13">
        <f>SUMIFS(SALIDAS_BIT,FECHA_BIT,"&gt;="&amp;CY$2,FECHA_BIT,"&lt;="&amp;CY$3,CLAVE_BIT,$A116)+SUMIFS(SALIDAS_BOV1,FECHA_BOV1,"&gt;="&amp;CY$2,FECHA_BOV1,"&lt;="&amp;CY$3,CLAVE_BOV1,$A116)+SUMIFS(SALIDAS_BOV2,FECHA_BOV2,"&gt;="&amp;CY$2,FECHA_BOV2,"&lt;="&amp;CY$3,CLAVE_BOV2,$A116)+SUMIFS(SALIDAS_BOV3,FECHA_BOV3,"&gt;="&amp;CY$2,FECHA_BOV3,"&lt;="&amp;CY$3,CLAVE_BOV3,$A116)+SUMIFS(SALIDAS_TC,FECHA_TC,"&gt;="&amp;CY$2,FECHA_TC,"&lt;="&amp;CY$3,CLAVE_TC,$A116)+SUMIFS(SALIDAS_COMB,FECHA_COMB,"&gt;="&amp;CY$2,FECHA_COMB,"&lt;="&amp;CY$3,CLAVE_COMB,$A116)+SUMIFS(SALIDAS_DES,FECHA_DESGLOSEN,"&gt;="&amp;CY$2,FECHA_DESGLOSEN,"&lt;="&amp;CY$3,CLAVE_DESGLOSE,$A116)</f>
        <v>30227</v>
      </c>
      <c r="CZ116" s="68">
        <f t="shared" si="175"/>
        <v>6629</v>
      </c>
      <c r="DB116" s="17">
        <f>F116+N116+W116+AE116+AM116+AV116+BD116+BL116+BU116+CC116+CK116</f>
        <v>113534</v>
      </c>
      <c r="DC116" s="17">
        <f>K116+T116+AB116+AJ116+AS116+BA116+BI116+BR116+BZ116+CH116+CQ116</f>
        <v>171263</v>
      </c>
    </row>
    <row r="117" spans="1:107" hidden="1">
      <c r="A117" s="12" t="str">
        <f t="shared" si="148"/>
        <v>HRENERGIA ELECTRICAA11</v>
      </c>
      <c r="B117" s="12">
        <v>119</v>
      </c>
      <c r="C117" t="s">
        <v>29</v>
      </c>
      <c r="D117" s="12" t="s">
        <v>87</v>
      </c>
      <c r="E117" s="12" t="s">
        <v>97</v>
      </c>
      <c r="F117" s="259">
        <f t="shared" si="141"/>
        <v>0</v>
      </c>
      <c r="G117" s="13">
        <f t="shared" ref="G117:K126" si="217">SUMIFS(SALIDAS_BIT,FECHA_BIT,"&gt;="&amp;G$2,FECHA_BIT,"&lt;="&amp;G$3,CLAVE_BIT,$A117)+SUMIFS(SALIDAS_BOV1,FECHA_BOV1,"&gt;="&amp;G$2,FECHA_BOV1,"&lt;="&amp;G$3,CLAVE_BOV1,$A117)+SUMIFS(SALIDAS_BOV2,FECHA_BOV2,"&gt;="&amp;G$2,FECHA_BOV2,"&lt;="&amp;G$3,CLAVE_BOV2,$A117)+SUMIFS(SALIDAS_BOV3,FECHA_BOV3,"&gt;="&amp;G$2,FECHA_BOV3,"&lt;="&amp;G$3,CLAVE_BOV3,$A117)+SUMIFS(SALIDAS_TC,FECHA_TC,"&gt;="&amp;G$2,FECHA_TC,"&lt;="&amp;G$3,CLAVE_TC,$A117)+SUMIFS(SALIDAS_COMB,FECHA_COMB,"&gt;="&amp;G$2,FECHA_COMB,"&lt;="&amp;G$3,CLAVE_COMB,$A117)+SUMIFS(SALIDAS_DES,FECHA_DESGLOSEN,"&gt;="&amp;G$2,FECHA_DESGLOSEN,"&lt;="&amp;G$3,CLAVE_DESGLOSE,$A117)</f>
        <v>0</v>
      </c>
      <c r="H117" s="13">
        <f t="shared" si="217"/>
        <v>0</v>
      </c>
      <c r="I117" s="13">
        <f t="shared" si="217"/>
        <v>0</v>
      </c>
      <c r="J117" s="13">
        <f t="shared" si="217"/>
        <v>0</v>
      </c>
      <c r="K117" s="13">
        <f t="shared" si="217"/>
        <v>0</v>
      </c>
      <c r="L117" s="68">
        <f t="shared" si="149"/>
        <v>0</v>
      </c>
      <c r="M117" s="268">
        <f t="shared" si="150"/>
        <v>0</v>
      </c>
      <c r="N117" s="13">
        <f t="shared" si="142"/>
        <v>14059</v>
      </c>
      <c r="O117" s="13">
        <f t="shared" ref="O117:T126" si="218">SUMIFS(SALIDAS_BIT,FECHA_BIT,"&gt;="&amp;O$2,FECHA_BIT,"&lt;="&amp;O$3,CLAVE_BIT,$A117)+SUMIFS(SALIDAS_BOV1,FECHA_BOV1,"&gt;="&amp;O$2,FECHA_BOV1,"&lt;="&amp;O$3,CLAVE_BOV1,$A117)+SUMIFS(SALIDAS_BOV2,FECHA_BOV2,"&gt;="&amp;O$2,FECHA_BOV2,"&lt;="&amp;O$3,CLAVE_BOV2,$A117)+SUMIFS(SALIDAS_BOV3,FECHA_BOV3,"&gt;="&amp;O$2,FECHA_BOV3,"&lt;="&amp;O$3,CLAVE_BOV3,$A117)+SUMIFS(SALIDAS_TC,FECHA_TC,"&gt;="&amp;O$2,FECHA_TC,"&lt;="&amp;O$3,CLAVE_TC,$A117)+SUMIFS(SALIDAS_COMB,FECHA_COMB,"&gt;="&amp;O$2,FECHA_COMB,"&lt;="&amp;O$3,CLAVE_COMB,$A117)+SUMIFS(SALIDAS_DES,FECHA_DESGLOSEN,"&gt;="&amp;O$2,FECHA_DESGLOSEN,"&lt;="&amp;O$3,CLAVE_DESGLOSE,$A117)</f>
        <v>16870</v>
      </c>
      <c r="P117" s="13">
        <f t="shared" si="218"/>
        <v>0</v>
      </c>
      <c r="Q117" s="13">
        <f t="shared" si="218"/>
        <v>0</v>
      </c>
      <c r="R117" s="13">
        <f t="shared" si="218"/>
        <v>0</v>
      </c>
      <c r="S117" s="13">
        <f t="shared" si="218"/>
        <v>0</v>
      </c>
      <c r="T117" s="13">
        <f t="shared" si="218"/>
        <v>16870</v>
      </c>
      <c r="U117" s="68">
        <f t="shared" si="151"/>
        <v>-2811</v>
      </c>
      <c r="V117" s="268">
        <f t="shared" si="152"/>
        <v>1.1999430969485738</v>
      </c>
      <c r="W117" s="13">
        <f t="shared" si="143"/>
        <v>0</v>
      </c>
      <c r="X117" s="13">
        <f t="shared" ref="X117:AB126" si="219">SUMIFS(SALIDAS_BIT,FECHA_BIT,"&gt;="&amp;X$2,FECHA_BIT,"&lt;="&amp;X$3,CLAVE_BIT,$A117)+SUMIFS(SALIDAS_BOV1,FECHA_BOV1,"&gt;="&amp;X$2,FECHA_BOV1,"&lt;="&amp;X$3,CLAVE_BOV1,$A117)+SUMIFS(SALIDAS_BOV2,FECHA_BOV2,"&gt;="&amp;X$2,FECHA_BOV2,"&lt;="&amp;X$3,CLAVE_BOV2,$A117)+SUMIFS(SALIDAS_BOV3,FECHA_BOV3,"&gt;="&amp;X$2,FECHA_BOV3,"&lt;="&amp;X$3,CLAVE_BOV3,$A117)+SUMIFS(SALIDAS_TC,FECHA_TC,"&gt;="&amp;X$2,FECHA_TC,"&lt;="&amp;X$3,CLAVE_TC,$A117)+SUMIFS(SALIDAS_COMB,FECHA_COMB,"&gt;="&amp;X$2,FECHA_COMB,"&lt;="&amp;X$3,CLAVE_COMB,$A117)+SUMIFS(SALIDAS_DES,FECHA_DESGLOSEN,"&gt;="&amp;X$2,FECHA_DESGLOSEN,"&lt;="&amp;X$3,CLAVE_DESGLOSE,$A117)</f>
        <v>0</v>
      </c>
      <c r="Y117" s="13">
        <f t="shared" si="219"/>
        <v>0</v>
      </c>
      <c r="Z117" s="13">
        <f t="shared" si="219"/>
        <v>0</v>
      </c>
      <c r="AA117" s="13">
        <f t="shared" si="219"/>
        <v>18559</v>
      </c>
      <c r="AB117" s="13">
        <f t="shared" si="219"/>
        <v>18559</v>
      </c>
      <c r="AC117" s="68">
        <f t="shared" si="153"/>
        <v>-18559</v>
      </c>
      <c r="AD117" s="268">
        <f t="shared" si="154"/>
        <v>0</v>
      </c>
      <c r="AE117" s="13">
        <f t="shared" si="144"/>
        <v>15232</v>
      </c>
      <c r="AF117" s="13">
        <f t="shared" ref="AF117:AJ126" si="220">SUMIFS(SALIDAS_BIT,FECHA_BIT,"&gt;="&amp;AF$2,FECHA_BIT,"&lt;="&amp;AF$3,CLAVE_BIT,$A117)+SUMIFS(SALIDAS_BOV1,FECHA_BOV1,"&gt;="&amp;AF$2,FECHA_BOV1,"&lt;="&amp;AF$3,CLAVE_BOV1,$A117)+SUMIFS(SALIDAS_BOV2,FECHA_BOV2,"&gt;="&amp;AF$2,FECHA_BOV2,"&lt;="&amp;AF$3,CLAVE_BOV2,$A117)+SUMIFS(SALIDAS_BOV3,FECHA_BOV3,"&gt;="&amp;AF$2,FECHA_BOV3,"&lt;="&amp;AF$3,CLAVE_BOV3,$A117)+SUMIFS(SALIDAS_TC,FECHA_TC,"&gt;="&amp;AF$2,FECHA_TC,"&lt;="&amp;AF$3,CLAVE_TC,$A117)+SUMIFS(SALIDAS_COMB,FECHA_COMB,"&gt;="&amp;AF$2,FECHA_COMB,"&lt;="&amp;AF$3,CLAVE_COMB,$A117)+SUMIFS(SALIDAS_DES,FECHA_DESGLOSEN,"&gt;="&amp;AF$2,FECHA_DESGLOSEN,"&lt;="&amp;AF$3,CLAVE_DESGLOSE,$A117)</f>
        <v>0</v>
      </c>
      <c r="AG117" s="13">
        <f t="shared" si="220"/>
        <v>0</v>
      </c>
      <c r="AH117" s="13">
        <f t="shared" si="220"/>
        <v>0</v>
      </c>
      <c r="AI117" s="13">
        <f t="shared" si="220"/>
        <v>0</v>
      </c>
      <c r="AJ117" s="13">
        <f t="shared" si="220"/>
        <v>0</v>
      </c>
      <c r="AK117" s="68">
        <f t="shared" si="155"/>
        <v>15232</v>
      </c>
      <c r="AL117" s="268">
        <f t="shared" si="156"/>
        <v>0</v>
      </c>
      <c r="AM117" s="13">
        <f t="shared" si="145"/>
        <v>21808</v>
      </c>
      <c r="AN117" s="13">
        <f t="shared" ref="AN117:AS126" si="221">SUMIFS(SALIDAS_BIT,FECHA_BIT,"&gt;="&amp;AN$2,FECHA_BIT,"&lt;="&amp;AN$3,CLAVE_BIT,$A117)+SUMIFS(SALIDAS_BOV1,FECHA_BOV1,"&gt;="&amp;AN$2,FECHA_BOV1,"&lt;="&amp;AN$3,CLAVE_BOV1,$A117)+SUMIFS(SALIDAS_BOV2,FECHA_BOV2,"&gt;="&amp;AN$2,FECHA_BOV2,"&lt;="&amp;AN$3,CLAVE_BOV2,$A117)+SUMIFS(SALIDAS_BOV3,FECHA_BOV3,"&gt;="&amp;AN$2,FECHA_BOV3,"&lt;="&amp;AN$3,CLAVE_BOV3,$A117)+SUMIFS(SALIDAS_TC,FECHA_TC,"&gt;="&amp;AN$2,FECHA_TC,"&lt;="&amp;AN$3,CLAVE_TC,$A117)+SUMIFS(SALIDAS_COMB,FECHA_COMB,"&gt;="&amp;AN$2,FECHA_COMB,"&lt;="&amp;AN$3,CLAVE_COMB,$A117)+SUMIFS(SALIDAS_DES,FECHA_DESGLOSEN,"&gt;="&amp;AN$2,FECHA_DESGLOSEN,"&lt;="&amp;AN$3,CLAVE_DESGLOSE,$A117)</f>
        <v>0</v>
      </c>
      <c r="AO117" s="13">
        <f t="shared" si="221"/>
        <v>0</v>
      </c>
      <c r="AP117" s="13">
        <f t="shared" si="221"/>
        <v>0</v>
      </c>
      <c r="AQ117" s="13">
        <f t="shared" si="221"/>
        <v>0</v>
      </c>
      <c r="AR117" s="13">
        <f t="shared" si="221"/>
        <v>0</v>
      </c>
      <c r="AS117" s="13">
        <f t="shared" si="221"/>
        <v>0</v>
      </c>
      <c r="AT117" s="68">
        <f>AM117-AS117</f>
        <v>21808</v>
      </c>
      <c r="AU117" s="268">
        <f t="shared" si="157"/>
        <v>0</v>
      </c>
      <c r="AV117" s="13">
        <f t="shared" si="146"/>
        <v>0</v>
      </c>
      <c r="AW117" s="13">
        <f t="shared" ref="AW117:AZ180" si="222">SUMIFS(SALIDAS_BIT,FECHA_BIT,"&gt;="&amp;AW$2,FECHA_BIT,"&lt;="&amp;AW$3,CLAVE_BIT,$A117)+SUMIFS(SALIDAS_BOV1,FECHA_BOV1,"&gt;="&amp;AW$2,FECHA_BOV1,"&lt;="&amp;AW$3,CLAVE_BOV1,$A117)+SUMIFS(SALIDAS_BOV2,FECHA_BOV2,"&gt;="&amp;AW$2,FECHA_BOV2,"&lt;="&amp;AW$3,CLAVE_BOV2,$A117)+SUMIFS(SALIDAS_BOV3,FECHA_BOV3,"&gt;="&amp;AW$2,FECHA_BOV3,"&lt;="&amp;AW$3,CLAVE_BOV3,$A117)+SUMIFS(SALIDAS_TC,FECHA_TC,"&gt;="&amp;AW$2,FECHA_TC,"&lt;="&amp;AW$3,CLAVE_TC,$A117)+SUMIFS(SALIDAS_COMB,FECHA_COMB,"&gt;="&amp;AW$2,FECHA_COMB,"&lt;="&amp;AW$3,CLAVE_COMB,$A117)+SUMIFS(SALIDAS_DES,FECHA_DESGLOSEN,"&gt;="&amp;AW$2,FECHA_DESGLOSEN,"&lt;="&amp;AW$3,CLAVE_DESGLOSE,$A117)</f>
        <v>25653</v>
      </c>
      <c r="AX117" s="13">
        <f t="shared" si="222"/>
        <v>0</v>
      </c>
      <c r="AY117" s="13">
        <f t="shared" si="222"/>
        <v>0</v>
      </c>
      <c r="AZ117" s="13">
        <f t="shared" si="222"/>
        <v>0</v>
      </c>
      <c r="BA117" s="13">
        <f t="shared" ref="BA117:BA180" si="223">SUMIFS(SALIDAS_BIT,FECHA_BIT,"&gt;="&amp;BA$2,FECHA_BIT,"&lt;="&amp;BA$3,CLAVE_BIT,$A117)+SUMIFS(SALIDAS_BOV1,FECHA_BOV1,"&gt;="&amp;BA$2,FECHA_BOV1,"&lt;="&amp;BA$3,CLAVE_BOV1,$A117)+SUMIFS(SALIDAS_BOV2,FECHA_BOV2,"&gt;="&amp;BA$2,FECHA_BOV2,"&lt;="&amp;BA$3,CLAVE_BOV2,$A117)+SUMIFS(SALIDAS_BOV3,FECHA_BOV3,"&gt;="&amp;BA$2,FECHA_BOV3,"&lt;="&amp;BA$3,CLAVE_BOV3,$A117)+SUMIFS(SALIDAS_TC,FECHA_TC,"&gt;="&amp;BA$2,FECHA_TC,"&lt;="&amp;BA$3,CLAVE_TC,$A117)+SUMIFS(SALIDAS_COMB,FECHA_COMB,"&gt;="&amp;BA$2,FECHA_COMB,"&lt;="&amp;BA$3,CLAVE_COMB,$A117)+SUMIFS(SALIDAS_DES,FECHA_DESGLOSEN,"&gt;="&amp;BA$2,FECHA_DESGLOSEN,"&lt;="&amp;BA$3,CLAVE_DESGLOSE,$A117)</f>
        <v>25653</v>
      </c>
      <c r="BB117" s="68">
        <f t="shared" si="158"/>
        <v>-25653</v>
      </c>
      <c r="BC117" s="268">
        <f t="shared" si="159"/>
        <v>0</v>
      </c>
      <c r="BD117" s="13">
        <f t="shared" si="160"/>
        <v>0</v>
      </c>
      <c r="BE117" s="13">
        <f>SUMIFS(SALIDAS_BIT,FECHA_BIT,"&gt;="&amp;BE$2,FECHA_BIT,"&lt;="&amp;BE$3,CLAVE_BIT,$A117)+SUMIFS(SALIDAS_BOV1,FECHA_BOV1,"&gt;="&amp;BE$2,FECHA_BOV1,"&lt;="&amp;BE$3,CLAVE_BOV1,$A117)+SUMIFS(SALIDAS_BOV2,FECHA_BOV2,"&gt;="&amp;BE$2,FECHA_BOV2,"&lt;="&amp;BE$3,CLAVE_BOV2,$A117)+SUMIFS(SALIDAS_BOV3,FECHA_BOV3,"&gt;="&amp;BE$2,FECHA_BOV3,"&lt;="&amp;BE$3,CLAVE_BOV3,$A117)+SUMIFS(SALIDAS_TC,FECHA_TC,"&gt;="&amp;BE$2,FECHA_TC,"&lt;="&amp;BE$3,CLAVE_TC,$A117)+SUMIFS(SALIDAS_COMB,FECHA_COMB,"&gt;="&amp;BE$2,FECHA_COMB,"&lt;="&amp;BE$3,CLAVE_COMB,$A117)+SUMIFS(SALIDAS_DES,FECHA_DESGLOSEN,"&gt;="&amp;BE$2,FECHA_DESGLOSEN,"&lt;="&amp;BE$3,CLAVE_DESGLOSE,$A117)</f>
        <v>0</v>
      </c>
      <c r="BF117" s="13">
        <f>SUMIFS(SALIDAS_BIT,FECHA_BIT,"&gt;="&amp;BF$2,FECHA_BIT,"&lt;="&amp;BF$3,CLAVE_BIT,$A117)+SUMIFS(SALIDAS_BOV1,FECHA_BOV1,"&gt;="&amp;BF$2,FECHA_BOV1,"&lt;="&amp;BF$3,CLAVE_BOV1,$A117)+SUMIFS(SALIDAS_BOV2,FECHA_BOV2,"&gt;="&amp;BF$2,FECHA_BOV2,"&lt;="&amp;BF$3,CLAVE_BOV2,$A117)+SUMIFS(SALIDAS_BOV3,FECHA_BOV3,"&gt;="&amp;BF$2,FECHA_BOV3,"&lt;="&amp;BF$3,CLAVE_BOV3,$A117)+SUMIFS(SALIDAS_TC,FECHA_TC,"&gt;="&amp;BF$2,FECHA_TC,"&lt;="&amp;BF$3,CLAVE_TC,$A117)+SUMIFS(SALIDAS_COMB,FECHA_COMB,"&gt;="&amp;BF$2,FECHA_COMB,"&lt;="&amp;BF$3,CLAVE_COMB,$A117)+SUMIFS(SALIDAS_DES,FECHA_DESGLOSEN,"&gt;="&amp;BF$2,FECHA_DESGLOSEN,"&lt;="&amp;BF$3,CLAVE_DESGLOSE,$A117)</f>
        <v>0</v>
      </c>
      <c r="BG117" s="13">
        <f>SUMIFS(SALIDAS_BIT,FECHA_BIT,"&gt;="&amp;BG$2,FECHA_BIT,"&lt;="&amp;BG$3,CLAVE_BIT,$A117)+SUMIFS(SALIDAS_BOV1,FECHA_BOV1,"&gt;="&amp;BG$2,FECHA_BOV1,"&lt;="&amp;BG$3,CLAVE_BOV1,$A117)+SUMIFS(SALIDAS_BOV2,FECHA_BOV2,"&gt;="&amp;BG$2,FECHA_BOV2,"&lt;="&amp;BG$3,CLAVE_BOV2,$A117)+SUMIFS(SALIDAS_BOV3,FECHA_BOV3,"&gt;="&amp;BG$2,FECHA_BOV3,"&lt;="&amp;BG$3,CLAVE_BOV3,$A117)+SUMIFS(SALIDAS_TC,FECHA_TC,"&gt;="&amp;BG$2,FECHA_TC,"&lt;="&amp;BG$3,CLAVE_TC,$A117)+SUMIFS(SALIDAS_COMB,FECHA_COMB,"&gt;="&amp;BG$2,FECHA_COMB,"&lt;="&amp;BG$3,CLAVE_COMB,$A117)+SUMIFS(SALIDAS_DES,FECHA_DESGLOSEN,"&gt;="&amp;BG$2,FECHA_DESGLOSEN,"&lt;="&amp;BG$3,CLAVE_DESGLOSE,$A117)</f>
        <v>0</v>
      </c>
      <c r="BH117" s="13">
        <f>SUMIFS(SALIDAS_BIT,FECHA_BIT,"&gt;="&amp;BH$2,FECHA_BIT,"&lt;="&amp;BH$3,CLAVE_BIT,$A117)+SUMIFS(SALIDAS_BOV1,FECHA_BOV1,"&gt;="&amp;BH$2,FECHA_BOV1,"&lt;="&amp;BH$3,CLAVE_BOV1,$A117)+SUMIFS(SALIDAS_BOV2,FECHA_BOV2,"&gt;="&amp;BH$2,FECHA_BOV2,"&lt;="&amp;BH$3,CLAVE_BOV2,$A117)+SUMIFS(SALIDAS_BOV3,FECHA_BOV3,"&gt;="&amp;BH$2,FECHA_BOV3,"&lt;="&amp;BH$3,CLAVE_BOV3,$A117)+SUMIFS(SALIDAS_TC,FECHA_TC,"&gt;="&amp;BH$2,FECHA_TC,"&lt;="&amp;BH$3,CLAVE_TC,$A117)+SUMIFS(SALIDAS_COMB,FECHA_COMB,"&gt;="&amp;BH$2,FECHA_COMB,"&lt;="&amp;BH$3,CLAVE_COMB,$A117)+SUMIFS(SALIDAS_DES,FECHA_DESGLOSEN,"&gt;="&amp;BH$2,FECHA_DESGLOSEN,"&lt;="&amp;BH$3,CLAVE_DESGLOSE,$A117)</f>
        <v>0</v>
      </c>
      <c r="BI117" s="13">
        <f t="shared" si="215"/>
        <v>0</v>
      </c>
      <c r="BJ117" s="68">
        <f t="shared" si="161"/>
        <v>0</v>
      </c>
      <c r="BK117" s="268">
        <f t="shared" si="162"/>
        <v>0</v>
      </c>
      <c r="BL117" s="13">
        <f t="shared" si="163"/>
        <v>11226</v>
      </c>
      <c r="BM117" s="13">
        <f>SUMIFS(SALIDAS_BIT,FECHA_BIT,"&gt;="&amp;BM$2,FECHA_BIT,"&lt;="&amp;BM$3,CLAVE_BIT,$A117)+SUMIFS(SALIDAS_BOV1,FECHA_BOV1,"&gt;="&amp;BM$2,FECHA_BOV1,"&lt;="&amp;BM$3,CLAVE_BOV1,$A117)+SUMIFS(SALIDAS_BOV2,FECHA_BOV2,"&gt;="&amp;BM$2,FECHA_BOV2,"&lt;="&amp;BM$3,CLAVE_BOV2,$A117)+SUMIFS(SALIDAS_BOV3,FECHA_BOV3,"&gt;="&amp;BM$2,FECHA_BOV3,"&lt;="&amp;BM$3,CLAVE_BOV3,$A117)+SUMIFS(SALIDAS_TC,FECHA_TC,"&gt;="&amp;BM$2,FECHA_TC,"&lt;="&amp;BM$3,CLAVE_TC,$A117)+SUMIFS(SALIDAS_COMB,FECHA_COMB,"&gt;="&amp;BM$2,FECHA_COMB,"&lt;="&amp;BM$3,CLAVE_COMB,$A117)+SUMIFS(SALIDAS_DES,FECHA_DESGLOSEN,"&gt;="&amp;BM$2,FECHA_DESGLOSEN,"&lt;="&amp;BM$3,CLAVE_DESGLOSE,$A117)</f>
        <v>26822</v>
      </c>
      <c r="BN117" s="13">
        <f>SUMIFS(SALIDAS_BIT,FECHA_BIT,"&gt;="&amp;BN$2,FECHA_BIT,"&lt;="&amp;BN$3,CLAVE_BIT,$A117)+SUMIFS(SALIDAS_BOV1,FECHA_BOV1,"&gt;="&amp;BN$2,FECHA_BOV1,"&lt;="&amp;BN$3,CLAVE_BOV1,$A117)+SUMIFS(SALIDAS_BOV2,FECHA_BOV2,"&gt;="&amp;BN$2,FECHA_BOV2,"&lt;="&amp;BN$3,CLAVE_BOV2,$A117)+SUMIFS(SALIDAS_BOV3,FECHA_BOV3,"&gt;="&amp;BN$2,FECHA_BOV3,"&lt;="&amp;BN$3,CLAVE_BOV3,$A117)+SUMIFS(SALIDAS_TC,FECHA_TC,"&gt;="&amp;BN$2,FECHA_TC,"&lt;="&amp;BN$3,CLAVE_TC,$A117)+SUMIFS(SALIDAS_COMB,FECHA_COMB,"&gt;="&amp;BN$2,FECHA_COMB,"&lt;="&amp;BN$3,CLAVE_COMB,$A117)+SUMIFS(SALIDAS_DES,FECHA_DESGLOSEN,"&gt;="&amp;BN$2,FECHA_DESGLOSEN,"&lt;="&amp;BN$3,CLAVE_DESGLOSE,$A117)</f>
        <v>0</v>
      </c>
      <c r="BO117" s="13">
        <f>SUMIFS(SALIDAS_BIT,FECHA_BIT,"&gt;="&amp;BO$2,FECHA_BIT,"&lt;="&amp;BO$3,CLAVE_BIT,$A117)+SUMIFS(SALIDAS_BOV1,FECHA_BOV1,"&gt;="&amp;BO$2,FECHA_BOV1,"&lt;="&amp;BO$3,CLAVE_BOV1,$A117)+SUMIFS(SALIDAS_BOV2,FECHA_BOV2,"&gt;="&amp;BO$2,FECHA_BOV2,"&lt;="&amp;BO$3,CLAVE_BOV2,$A117)+SUMIFS(SALIDAS_BOV3,FECHA_BOV3,"&gt;="&amp;BO$2,FECHA_BOV3,"&lt;="&amp;BO$3,CLAVE_BOV3,$A117)+SUMIFS(SALIDAS_TC,FECHA_TC,"&gt;="&amp;BO$2,FECHA_TC,"&lt;="&amp;BO$3,CLAVE_TC,$A117)+SUMIFS(SALIDAS_COMB,FECHA_COMB,"&gt;="&amp;BO$2,FECHA_COMB,"&lt;="&amp;BO$3,CLAVE_COMB,$A117)+SUMIFS(SALIDAS_DES,FECHA_DESGLOSEN,"&gt;="&amp;BO$2,FECHA_DESGLOSEN,"&lt;="&amp;BO$3,CLAVE_DESGLOSE,$A117)</f>
        <v>0</v>
      </c>
      <c r="BP117" s="13">
        <f>SUMIFS(SALIDAS_BIT,FECHA_BIT,"&gt;="&amp;BP$2,FECHA_BIT,"&lt;="&amp;BP$3,CLAVE_BIT,$A117)+SUMIFS(SALIDAS_BOV1,FECHA_BOV1,"&gt;="&amp;BP$2,FECHA_BOV1,"&lt;="&amp;BP$3,CLAVE_BOV1,$A117)+SUMIFS(SALIDAS_BOV2,FECHA_BOV2,"&gt;="&amp;BP$2,FECHA_BOV2,"&lt;="&amp;BP$3,CLAVE_BOV2,$A117)+SUMIFS(SALIDAS_BOV3,FECHA_BOV3,"&gt;="&amp;BP$2,FECHA_BOV3,"&lt;="&amp;BP$3,CLAVE_BOV3,$A117)+SUMIFS(SALIDAS_TC,FECHA_TC,"&gt;="&amp;BP$2,FECHA_TC,"&lt;="&amp;BP$3,CLAVE_TC,$A117)+SUMIFS(SALIDAS_COMB,FECHA_COMB,"&gt;="&amp;BP$2,FECHA_COMB,"&lt;="&amp;BP$3,CLAVE_COMB,$A117)+SUMIFS(SALIDAS_DES,FECHA_DESGLOSEN,"&gt;="&amp;BP$2,FECHA_DESGLOSEN,"&lt;="&amp;BP$3,CLAVE_DESGLOSE,$A117)</f>
        <v>0</v>
      </c>
      <c r="BQ117" s="13">
        <f>SUMIFS(SALIDAS_BIT,FECHA_BIT,"&gt;="&amp;BQ$2,FECHA_BIT,"&lt;="&amp;BQ$3,CLAVE_BIT,$A117)+SUMIFS(SALIDAS_BOV1,FECHA_BOV1,"&gt;="&amp;BQ$2,FECHA_BOV1,"&lt;="&amp;BQ$3,CLAVE_BOV1,$A117)+SUMIFS(SALIDAS_BOV2,FECHA_BOV2,"&gt;="&amp;BQ$2,FECHA_BOV2,"&lt;="&amp;BQ$3,CLAVE_BOV2,$A117)+SUMIFS(SALIDAS_BOV3,FECHA_BOV3,"&gt;="&amp;BQ$2,FECHA_BOV3,"&lt;="&amp;BQ$3,CLAVE_BOV3,$A117)+SUMIFS(SALIDAS_TC,FECHA_TC,"&gt;="&amp;BQ$2,FECHA_TC,"&lt;="&amp;BQ$3,CLAVE_TC,$A117)+SUMIFS(SALIDAS_COMB,FECHA_COMB,"&gt;="&amp;BQ$2,FECHA_COMB,"&lt;="&amp;BQ$3,CLAVE_COMB,$A117)+SUMIFS(SALIDAS_DES,FECHA_DESGLOSEN,"&gt;="&amp;BQ$2,FECHA_DESGLOSEN,"&lt;="&amp;BQ$3,CLAVE_DESGLOSE,$A117)</f>
        <v>0</v>
      </c>
      <c r="BR117" s="13">
        <f t="shared" ref="BM117:BR126" si="224">SUMIFS(SALIDAS_BIT,FECHA_BIT,"&gt;="&amp;BR$2,FECHA_BIT,"&lt;="&amp;BR$3,CLAVE_BIT,$A117)+SUMIFS(SALIDAS_BOV1,FECHA_BOV1,"&gt;="&amp;BR$2,FECHA_BOV1,"&lt;="&amp;BR$3,CLAVE_BOV1,$A117)+SUMIFS(SALIDAS_BOV2,FECHA_BOV2,"&gt;="&amp;BR$2,FECHA_BOV2,"&lt;="&amp;BR$3,CLAVE_BOV2,$A117)+SUMIFS(SALIDAS_BOV3,FECHA_BOV3,"&gt;="&amp;BR$2,FECHA_BOV3,"&lt;="&amp;BR$3,CLAVE_BOV3,$A117)+SUMIFS(SALIDAS_TC,FECHA_TC,"&gt;="&amp;BR$2,FECHA_TC,"&lt;="&amp;BR$3,CLAVE_TC,$A117)+SUMIFS(SALIDAS_COMB,FECHA_COMB,"&gt;="&amp;BR$2,FECHA_COMB,"&lt;="&amp;BR$3,CLAVE_COMB,$A117)+SUMIFS(SALIDAS_DES,FECHA_DESGLOSEN,"&gt;="&amp;BR$2,FECHA_DESGLOSEN,"&lt;="&amp;BR$3,CLAVE_DESGLOSE,$A117)</f>
        <v>26822</v>
      </c>
      <c r="BS117" s="68">
        <f t="shared" si="164"/>
        <v>-15596</v>
      </c>
      <c r="BT117" s="268">
        <f t="shared" si="165"/>
        <v>2.3892748975592375</v>
      </c>
      <c r="BU117" s="13">
        <f t="shared" si="166"/>
        <v>18605</v>
      </c>
      <c r="BV117" s="13">
        <f t="shared" si="186"/>
        <v>0</v>
      </c>
      <c r="BW117" s="13">
        <f t="shared" si="186"/>
        <v>0</v>
      </c>
      <c r="BX117" s="13">
        <f t="shared" si="186"/>
        <v>0</v>
      </c>
      <c r="BY117" s="13">
        <f t="shared" si="186"/>
        <v>0</v>
      </c>
      <c r="BZ117" s="13">
        <f t="shared" ref="BV117:BZ126" si="225">SUMIFS(SALIDAS_BIT,FECHA_BIT,"&gt;="&amp;BZ$2,FECHA_BIT,"&lt;="&amp;BZ$3,CLAVE_BIT,$A117)+SUMIFS(SALIDAS_BOV1,FECHA_BOV1,"&gt;="&amp;BZ$2,FECHA_BOV1,"&lt;="&amp;BZ$3,CLAVE_BOV1,$A117)+SUMIFS(SALIDAS_BOV2,FECHA_BOV2,"&gt;="&amp;BZ$2,FECHA_BOV2,"&lt;="&amp;BZ$3,CLAVE_BOV2,$A117)+SUMIFS(SALIDAS_BOV3,FECHA_BOV3,"&gt;="&amp;BZ$2,FECHA_BOV3,"&lt;="&amp;BZ$3,CLAVE_BOV3,$A117)+SUMIFS(SALIDAS_TC,FECHA_TC,"&gt;="&amp;BZ$2,FECHA_TC,"&lt;="&amp;BZ$3,CLAVE_TC,$A117)+SUMIFS(SALIDAS_COMB,FECHA_COMB,"&gt;="&amp;BZ$2,FECHA_COMB,"&lt;="&amp;BZ$3,CLAVE_COMB,$A117)+SUMIFS(SALIDAS_DES,FECHA_DESGLOSEN,"&gt;="&amp;BZ$2,FECHA_DESGLOSEN,"&lt;="&amp;BZ$3,CLAVE_DESGLOSE,$A117)</f>
        <v>0</v>
      </c>
      <c r="CA117" s="68">
        <f t="shared" si="167"/>
        <v>18605</v>
      </c>
      <c r="CB117" s="268">
        <f t="shared" si="168"/>
        <v>0</v>
      </c>
      <c r="CC117" s="13">
        <f t="shared" si="169"/>
        <v>0</v>
      </c>
      <c r="CD117" s="13">
        <f t="shared" si="187"/>
        <v>23657</v>
      </c>
      <c r="CE117" s="13">
        <f t="shared" si="187"/>
        <v>0</v>
      </c>
      <c r="CF117" s="13">
        <f t="shared" si="187"/>
        <v>0</v>
      </c>
      <c r="CG117" s="13">
        <f t="shared" si="187"/>
        <v>0</v>
      </c>
      <c r="CH117" s="13">
        <f t="shared" ref="CD117:CH126" si="226">SUMIFS(SALIDAS_BIT,FECHA_BIT,"&gt;="&amp;CH$2,FECHA_BIT,"&lt;="&amp;CH$3,CLAVE_BIT,$A117)+SUMIFS(SALIDAS_BOV1,FECHA_BOV1,"&gt;="&amp;CH$2,FECHA_BOV1,"&lt;="&amp;CH$3,CLAVE_BOV1,$A117)+SUMIFS(SALIDAS_BOV2,FECHA_BOV2,"&gt;="&amp;CH$2,FECHA_BOV2,"&lt;="&amp;CH$3,CLAVE_BOV2,$A117)+SUMIFS(SALIDAS_BOV3,FECHA_BOV3,"&gt;="&amp;CH$2,FECHA_BOV3,"&lt;="&amp;CH$3,CLAVE_BOV3,$A117)+SUMIFS(SALIDAS_TC,FECHA_TC,"&gt;="&amp;CH$2,FECHA_TC,"&lt;="&amp;CH$3,CLAVE_TC,$A117)+SUMIFS(SALIDAS_COMB,FECHA_COMB,"&gt;="&amp;CH$2,FECHA_COMB,"&lt;="&amp;CH$3,CLAVE_COMB,$A117)+SUMIFS(SALIDAS_DES,FECHA_DESGLOSEN,"&gt;="&amp;CH$2,FECHA_DESGLOSEN,"&lt;="&amp;CH$3,CLAVE_DESGLOSE,$A117)</f>
        <v>23657</v>
      </c>
      <c r="CI117" s="68">
        <f t="shared" si="170"/>
        <v>-23657</v>
      </c>
      <c r="CJ117" s="268">
        <f t="shared" si="171"/>
        <v>0</v>
      </c>
      <c r="CK117" s="13">
        <f t="shared" si="172"/>
        <v>13441</v>
      </c>
      <c r="CL117" s="13">
        <f t="shared" si="176"/>
        <v>0</v>
      </c>
      <c r="CM117" s="13">
        <f t="shared" si="176"/>
        <v>0</v>
      </c>
      <c r="CN117" s="13">
        <f t="shared" si="176"/>
        <v>0</v>
      </c>
      <c r="CO117" s="13">
        <f t="shared" si="176"/>
        <v>0</v>
      </c>
      <c r="CP117" s="13">
        <f t="shared" si="176"/>
        <v>0</v>
      </c>
      <c r="CQ117" s="13">
        <f t="shared" ref="CL117:CQ126" si="227">SUMIFS(SALIDAS_BIT,FECHA_BIT,"&gt;="&amp;CQ$2,FECHA_BIT,"&lt;="&amp;CQ$3,CLAVE_BIT,$A117)+SUMIFS(SALIDAS_BOV1,FECHA_BOV1,"&gt;="&amp;CQ$2,FECHA_BOV1,"&lt;="&amp;CQ$3,CLAVE_BOV1,$A117)+SUMIFS(SALIDAS_BOV2,FECHA_BOV2,"&gt;="&amp;CQ$2,FECHA_BOV2,"&lt;="&amp;CQ$3,CLAVE_BOV2,$A117)+SUMIFS(SALIDAS_BOV3,FECHA_BOV3,"&gt;="&amp;CQ$2,FECHA_BOV3,"&lt;="&amp;CQ$3,CLAVE_BOV3,$A117)+SUMIFS(SALIDAS_TC,FECHA_TC,"&gt;="&amp;CQ$2,FECHA_TC,"&lt;="&amp;CQ$3,CLAVE_TC,$A117)+SUMIFS(SALIDAS_COMB,FECHA_COMB,"&gt;="&amp;CQ$2,FECHA_COMB,"&lt;="&amp;CQ$3,CLAVE_COMB,$A117)+SUMIFS(SALIDAS_DES,FECHA_DESGLOSEN,"&gt;="&amp;CQ$2,FECHA_DESGLOSEN,"&lt;="&amp;CQ$3,CLAVE_DESGLOSE,$A117)</f>
        <v>0</v>
      </c>
      <c r="CR117" s="68">
        <f t="shared" si="173"/>
        <v>13441</v>
      </c>
      <c r="CS117" s="268">
        <f t="shared" si="174"/>
        <v>0</v>
      </c>
      <c r="CT117" s="68">
        <f t="shared" si="147"/>
        <v>6598</v>
      </c>
      <c r="CU117" s="13">
        <f>SUMIFS(SALIDAS_BIT,FECHA_BIT,"&gt;="&amp;CU$2,FECHA_BIT,"&lt;="&amp;CU$3,CLAVE_BIT,$A117)+SUMIFS(SALIDAS_BOV1,FECHA_BOV1,"&gt;="&amp;CU$2,FECHA_BOV1,"&lt;="&amp;CU$3,CLAVE_BOV1,$A117)+SUMIFS(SALIDAS_BOV2,FECHA_BOV2,"&gt;="&amp;CU$2,FECHA_BOV2,"&lt;="&amp;CU$3,CLAVE_BOV2,$A117)+SUMIFS(SALIDAS_BOV3,FECHA_BOV3,"&gt;="&amp;CU$2,FECHA_BOV3,"&lt;="&amp;CU$3,CLAVE_BOV3,$A117)+SUMIFS(SALIDAS_TC,FECHA_TC,"&gt;="&amp;CU$2,FECHA_TC,"&lt;="&amp;CU$3,CLAVE_TC,$A117)+SUMIFS(SALIDAS_COMB,FECHA_COMB,"&gt;="&amp;CU$2,FECHA_COMB,"&lt;="&amp;CU$3,CLAVE_COMB,$A117)+SUMIFS(SALIDAS_DES,FECHA_DESGLOSEN,"&gt;="&amp;CU$2,FECHA_DESGLOSEN,"&lt;="&amp;CU$3,CLAVE_DESGLOSE,$A117)</f>
        <v>16115</v>
      </c>
      <c r="CV117" s="13">
        <f>SUMIFS(SALIDAS_BIT,FECHA_BIT,"&gt;="&amp;CV$2,FECHA_BIT,"&lt;="&amp;CV$3,CLAVE_BIT,$A117)+SUMIFS(SALIDAS_BOV1,FECHA_BOV1,"&gt;="&amp;CV$2,FECHA_BOV1,"&lt;="&amp;CV$3,CLAVE_BOV1,$A117)+SUMIFS(SALIDAS_BOV2,FECHA_BOV2,"&gt;="&amp;CV$2,FECHA_BOV2,"&lt;="&amp;CV$3,CLAVE_BOV2,$A117)+SUMIFS(SALIDAS_BOV3,FECHA_BOV3,"&gt;="&amp;CV$2,FECHA_BOV3,"&lt;="&amp;CV$3,CLAVE_BOV3,$A117)+SUMIFS(SALIDAS_TC,FECHA_TC,"&gt;="&amp;CV$2,FECHA_TC,"&lt;="&amp;CV$3,CLAVE_TC,$A117)+SUMIFS(SALIDAS_COMB,FECHA_COMB,"&gt;="&amp;CV$2,FECHA_COMB,"&lt;="&amp;CV$3,CLAVE_COMB,$A117)+SUMIFS(SALIDAS_DES,FECHA_DESGLOSEN,"&gt;="&amp;CV$2,FECHA_DESGLOSEN,"&lt;="&amp;CV$3,CLAVE_DESGLOSE,$A117)</f>
        <v>0</v>
      </c>
      <c r="CW117" s="13">
        <f>SUMIFS(SALIDAS_BIT,FECHA_BIT,"&gt;="&amp;CW$2,FECHA_BIT,"&lt;="&amp;CW$3,CLAVE_BIT,$A117)+SUMIFS(SALIDAS_BOV1,FECHA_BOV1,"&gt;="&amp;CW$2,FECHA_BOV1,"&lt;="&amp;CW$3,CLAVE_BOV1,$A117)+SUMIFS(SALIDAS_BOV2,FECHA_BOV2,"&gt;="&amp;CW$2,FECHA_BOV2,"&lt;="&amp;CW$3,CLAVE_BOV2,$A117)+SUMIFS(SALIDAS_BOV3,FECHA_BOV3,"&gt;="&amp;CW$2,FECHA_BOV3,"&lt;="&amp;CW$3,CLAVE_BOV3,$A117)+SUMIFS(SALIDAS_TC,FECHA_TC,"&gt;="&amp;CW$2,FECHA_TC,"&lt;="&amp;CW$3,CLAVE_TC,$A117)+SUMIFS(SALIDAS_COMB,FECHA_COMB,"&gt;="&amp;CW$2,FECHA_COMB,"&lt;="&amp;CW$3,CLAVE_COMB,$A117)+SUMIFS(SALIDAS_DES,FECHA_DESGLOSEN,"&gt;="&amp;CW$2,FECHA_DESGLOSEN,"&lt;="&amp;CW$3,CLAVE_DESGLOSE,$A117)</f>
        <v>0</v>
      </c>
      <c r="CX117" s="13">
        <f>SUMIFS(SALIDAS_BIT,FECHA_BIT,"&gt;="&amp;CX$2,FECHA_BIT,"&lt;="&amp;CX$3,CLAVE_BIT,$A117)+SUMIFS(SALIDAS_BOV1,FECHA_BOV1,"&gt;="&amp;CX$2,FECHA_BOV1,"&lt;="&amp;CX$3,CLAVE_BOV1,$A117)+SUMIFS(SALIDAS_BOV2,FECHA_BOV2,"&gt;="&amp;CX$2,FECHA_BOV2,"&lt;="&amp;CX$3,CLAVE_BOV2,$A117)+SUMIFS(SALIDAS_BOV3,FECHA_BOV3,"&gt;="&amp;CX$2,FECHA_BOV3,"&lt;="&amp;CX$3,CLAVE_BOV3,$A117)+SUMIFS(SALIDAS_TC,FECHA_TC,"&gt;="&amp;CX$2,FECHA_TC,"&lt;="&amp;CX$3,CLAVE_TC,$A117)+SUMIFS(SALIDAS_COMB,FECHA_COMB,"&gt;="&amp;CX$2,FECHA_COMB,"&lt;="&amp;CX$3,CLAVE_COMB,$A117)+SUMIFS(SALIDAS_DES,FECHA_DESGLOSEN,"&gt;="&amp;CX$2,FECHA_DESGLOSEN,"&lt;="&amp;CX$3,CLAVE_DESGLOSE,$A117)</f>
        <v>0</v>
      </c>
      <c r="CY117" s="13">
        <f>SUMIFS(SALIDAS_BIT,FECHA_BIT,"&gt;="&amp;CY$2,FECHA_BIT,"&lt;="&amp;CY$3,CLAVE_BIT,$A117)+SUMIFS(SALIDAS_BOV1,FECHA_BOV1,"&gt;="&amp;CY$2,FECHA_BOV1,"&lt;="&amp;CY$3,CLAVE_BOV1,$A117)+SUMIFS(SALIDAS_BOV2,FECHA_BOV2,"&gt;="&amp;CY$2,FECHA_BOV2,"&lt;="&amp;CY$3,CLAVE_BOV2,$A117)+SUMIFS(SALIDAS_BOV3,FECHA_BOV3,"&gt;="&amp;CY$2,FECHA_BOV3,"&lt;="&amp;CY$3,CLAVE_BOV3,$A117)+SUMIFS(SALIDAS_TC,FECHA_TC,"&gt;="&amp;CY$2,FECHA_TC,"&lt;="&amp;CY$3,CLAVE_TC,$A117)+SUMIFS(SALIDAS_COMB,FECHA_COMB,"&gt;="&amp;CY$2,FECHA_COMB,"&lt;="&amp;CY$3,CLAVE_COMB,$A117)+SUMIFS(SALIDAS_DES,FECHA_DESGLOSEN,"&gt;="&amp;CY$2,FECHA_DESGLOSEN,"&lt;="&amp;CY$3,CLAVE_DESGLOSE,$A117)</f>
        <v>16115</v>
      </c>
      <c r="CZ117" s="68">
        <f t="shared" si="175"/>
        <v>-9517</v>
      </c>
      <c r="DB117" s="17">
        <f>F117+N117+W117+AE117+AM117+AV117+BD117+BL117+BU117+CC117+CK117</f>
        <v>94371</v>
      </c>
      <c r="DC117" s="17">
        <f>K117+T117+AB117+AJ117+AS117+BA117+BI117+BR117+BZ117+CH117+CQ117</f>
        <v>111561</v>
      </c>
    </row>
    <row r="118" spans="1:107" hidden="1">
      <c r="A118" s="12" t="str">
        <f t="shared" si="148"/>
        <v>HRENERGIA ELECTRICAA12</v>
      </c>
      <c r="B118" s="12">
        <v>120</v>
      </c>
      <c r="C118" t="s">
        <v>29</v>
      </c>
      <c r="D118" s="404" t="s">
        <v>87</v>
      </c>
      <c r="E118" s="404" t="s">
        <v>98</v>
      </c>
      <c r="F118" s="259">
        <f t="shared" si="141"/>
        <v>10173</v>
      </c>
      <c r="G118" s="13">
        <f t="shared" si="217"/>
        <v>0</v>
      </c>
      <c r="H118" s="13">
        <f t="shared" si="217"/>
        <v>0</v>
      </c>
      <c r="I118" s="13">
        <f t="shared" si="217"/>
        <v>12075</v>
      </c>
      <c r="J118" s="13">
        <f t="shared" si="217"/>
        <v>0</v>
      </c>
      <c r="K118" s="13">
        <f t="shared" si="217"/>
        <v>12075</v>
      </c>
      <c r="L118" s="68">
        <f t="shared" si="149"/>
        <v>-1902</v>
      </c>
      <c r="M118" s="268">
        <f t="shared" si="150"/>
        <v>1.1869654969035683</v>
      </c>
      <c r="N118" s="13">
        <f t="shared" si="142"/>
        <v>0</v>
      </c>
      <c r="O118" s="13">
        <f t="shared" si="218"/>
        <v>0</v>
      </c>
      <c r="P118" s="13">
        <f t="shared" si="218"/>
        <v>0</v>
      </c>
      <c r="Q118" s="13">
        <f t="shared" si="218"/>
        <v>0</v>
      </c>
      <c r="R118" s="13">
        <f t="shared" si="218"/>
        <v>0</v>
      </c>
      <c r="S118" s="13">
        <f t="shared" si="218"/>
        <v>0</v>
      </c>
      <c r="T118" s="13">
        <f t="shared" si="218"/>
        <v>0</v>
      </c>
      <c r="U118" s="68">
        <f t="shared" si="151"/>
        <v>0</v>
      </c>
      <c r="V118" s="268">
        <f t="shared" si="152"/>
        <v>0</v>
      </c>
      <c r="W118" s="13">
        <f t="shared" si="143"/>
        <v>9553</v>
      </c>
      <c r="X118" s="13">
        <f t="shared" si="219"/>
        <v>0</v>
      </c>
      <c r="Y118" s="13">
        <f t="shared" si="219"/>
        <v>0</v>
      </c>
      <c r="Z118" s="13">
        <f t="shared" si="219"/>
        <v>12920</v>
      </c>
      <c r="AA118" s="13">
        <f t="shared" si="219"/>
        <v>0</v>
      </c>
      <c r="AB118" s="13">
        <f t="shared" si="219"/>
        <v>12920</v>
      </c>
      <c r="AC118" s="68">
        <f t="shared" si="153"/>
        <v>-3367</v>
      </c>
      <c r="AD118" s="268">
        <f t="shared" si="154"/>
        <v>1.3524547262640008</v>
      </c>
      <c r="AE118" s="13">
        <f t="shared" si="144"/>
        <v>0</v>
      </c>
      <c r="AF118" s="13">
        <f t="shared" si="220"/>
        <v>0</v>
      </c>
      <c r="AG118" s="13">
        <f t="shared" si="220"/>
        <v>0</v>
      </c>
      <c r="AH118" s="13">
        <f t="shared" si="220"/>
        <v>0</v>
      </c>
      <c r="AI118" s="13">
        <f t="shared" si="220"/>
        <v>0</v>
      </c>
      <c r="AJ118" s="13">
        <f t="shared" si="220"/>
        <v>0</v>
      </c>
      <c r="AK118" s="68">
        <f t="shared" si="155"/>
        <v>0</v>
      </c>
      <c r="AL118" s="268">
        <f t="shared" si="156"/>
        <v>0</v>
      </c>
      <c r="AM118" s="13">
        <f t="shared" si="145"/>
        <v>14438</v>
      </c>
      <c r="AN118" s="13">
        <f t="shared" si="221"/>
        <v>0</v>
      </c>
      <c r="AO118" s="13">
        <f t="shared" si="221"/>
        <v>0</v>
      </c>
      <c r="AP118" s="13">
        <f t="shared" si="221"/>
        <v>17247</v>
      </c>
      <c r="AQ118" s="13">
        <f t="shared" si="221"/>
        <v>0</v>
      </c>
      <c r="AR118" s="13">
        <f t="shared" si="221"/>
        <v>0</v>
      </c>
      <c r="AS118" s="13">
        <f t="shared" si="221"/>
        <v>17247</v>
      </c>
      <c r="AT118" s="68">
        <f>AM118-AS118</f>
        <v>-2809</v>
      </c>
      <c r="AU118" s="268">
        <f t="shared" si="157"/>
        <v>1.1945560326915086</v>
      </c>
      <c r="AV118" s="13">
        <f t="shared" si="146"/>
        <v>0</v>
      </c>
      <c r="AW118" s="13">
        <f t="shared" si="222"/>
        <v>0</v>
      </c>
      <c r="AX118" s="13">
        <f t="shared" si="222"/>
        <v>0</v>
      </c>
      <c r="AY118" s="13">
        <f t="shared" si="222"/>
        <v>0</v>
      </c>
      <c r="AZ118" s="13">
        <f t="shared" si="222"/>
        <v>0</v>
      </c>
      <c r="BA118" s="13">
        <f t="shared" si="223"/>
        <v>0</v>
      </c>
      <c r="BB118" s="68">
        <f t="shared" si="158"/>
        <v>0</v>
      </c>
      <c r="BC118" s="268">
        <f t="shared" si="159"/>
        <v>0</v>
      </c>
      <c r="BD118" s="13">
        <f t="shared" si="160"/>
        <v>18408</v>
      </c>
      <c r="BE118" s="13">
        <f>SUMIFS(SALIDAS_BIT,FECHA_BIT,"&gt;="&amp;BE$2,FECHA_BIT,"&lt;="&amp;BE$3,CLAVE_BIT,$A118)+SUMIFS(SALIDAS_BOV1,FECHA_BOV1,"&gt;="&amp;BE$2,FECHA_BOV1,"&lt;="&amp;BE$3,CLAVE_BOV1,$A118)+SUMIFS(SALIDAS_BOV2,FECHA_BOV2,"&gt;="&amp;BE$2,FECHA_BOV2,"&lt;="&amp;BE$3,CLAVE_BOV2,$A118)+SUMIFS(SALIDAS_BOV3,FECHA_BOV3,"&gt;="&amp;BE$2,FECHA_BOV3,"&lt;="&amp;BE$3,CLAVE_BOV3,$A118)+SUMIFS(SALIDAS_TC,FECHA_TC,"&gt;="&amp;BE$2,FECHA_TC,"&lt;="&amp;BE$3,CLAVE_TC,$A118)+SUMIFS(SALIDAS_COMB,FECHA_COMB,"&gt;="&amp;BE$2,FECHA_COMB,"&lt;="&amp;BE$3,CLAVE_COMB,$A118)+SUMIFS(SALIDAS_DES,FECHA_DESGLOSEN,"&gt;="&amp;BE$2,FECHA_DESGLOSEN,"&lt;="&amp;BE$3,CLAVE_DESGLOSE,$A118)</f>
        <v>0</v>
      </c>
      <c r="BF118" s="13">
        <f>SUMIFS(SALIDAS_BIT,FECHA_BIT,"&gt;="&amp;BF$2,FECHA_BIT,"&lt;="&amp;BF$3,CLAVE_BIT,$A118)+SUMIFS(SALIDAS_BOV1,FECHA_BOV1,"&gt;="&amp;BF$2,FECHA_BOV1,"&lt;="&amp;BF$3,CLAVE_BOV1,$A118)+SUMIFS(SALIDAS_BOV2,FECHA_BOV2,"&gt;="&amp;BF$2,FECHA_BOV2,"&lt;="&amp;BF$3,CLAVE_BOV2,$A118)+SUMIFS(SALIDAS_BOV3,FECHA_BOV3,"&gt;="&amp;BF$2,FECHA_BOV3,"&lt;="&amp;BF$3,CLAVE_BOV3,$A118)+SUMIFS(SALIDAS_TC,FECHA_TC,"&gt;="&amp;BF$2,FECHA_TC,"&lt;="&amp;BF$3,CLAVE_TC,$A118)+SUMIFS(SALIDAS_COMB,FECHA_COMB,"&gt;="&amp;BF$2,FECHA_COMB,"&lt;="&amp;BF$3,CLAVE_COMB,$A118)+SUMIFS(SALIDAS_DES,FECHA_DESGLOSEN,"&gt;="&amp;BF$2,FECHA_DESGLOSEN,"&lt;="&amp;BF$3,CLAVE_DESGLOSE,$A118)</f>
        <v>0</v>
      </c>
      <c r="BG118" s="13">
        <f>SUMIFS(SALIDAS_BIT,FECHA_BIT,"&gt;="&amp;BG$2,FECHA_BIT,"&lt;="&amp;BG$3,CLAVE_BIT,$A118)+SUMIFS(SALIDAS_BOV1,FECHA_BOV1,"&gt;="&amp;BG$2,FECHA_BOV1,"&lt;="&amp;BG$3,CLAVE_BOV1,$A118)+SUMIFS(SALIDAS_BOV2,FECHA_BOV2,"&gt;="&amp;BG$2,FECHA_BOV2,"&lt;="&amp;BG$3,CLAVE_BOV2,$A118)+SUMIFS(SALIDAS_BOV3,FECHA_BOV3,"&gt;="&amp;BG$2,FECHA_BOV3,"&lt;="&amp;BG$3,CLAVE_BOV3,$A118)+SUMIFS(SALIDAS_TC,FECHA_TC,"&gt;="&amp;BG$2,FECHA_TC,"&lt;="&amp;BG$3,CLAVE_TC,$A118)+SUMIFS(SALIDAS_COMB,FECHA_COMB,"&gt;="&amp;BG$2,FECHA_COMB,"&lt;="&amp;BG$3,CLAVE_COMB,$A118)+SUMIFS(SALIDAS_DES,FECHA_DESGLOSEN,"&gt;="&amp;BG$2,FECHA_DESGLOSEN,"&lt;="&amp;BG$3,CLAVE_DESGLOSE,$A118)</f>
        <v>20397</v>
      </c>
      <c r="BH118" s="13">
        <f>SUMIFS(SALIDAS_BIT,FECHA_BIT,"&gt;="&amp;BH$2,FECHA_BIT,"&lt;="&amp;BH$3,CLAVE_BIT,$A118)+SUMIFS(SALIDAS_BOV1,FECHA_BOV1,"&gt;="&amp;BH$2,FECHA_BOV1,"&lt;="&amp;BH$3,CLAVE_BOV1,$A118)+SUMIFS(SALIDAS_BOV2,FECHA_BOV2,"&gt;="&amp;BH$2,FECHA_BOV2,"&lt;="&amp;BH$3,CLAVE_BOV2,$A118)+SUMIFS(SALIDAS_BOV3,FECHA_BOV3,"&gt;="&amp;BH$2,FECHA_BOV3,"&lt;="&amp;BH$3,CLAVE_BOV3,$A118)+SUMIFS(SALIDAS_TC,FECHA_TC,"&gt;="&amp;BH$2,FECHA_TC,"&lt;="&amp;BH$3,CLAVE_TC,$A118)+SUMIFS(SALIDAS_COMB,FECHA_COMB,"&gt;="&amp;BH$2,FECHA_COMB,"&lt;="&amp;BH$3,CLAVE_COMB,$A118)+SUMIFS(SALIDAS_DES,FECHA_DESGLOSEN,"&gt;="&amp;BH$2,FECHA_DESGLOSEN,"&lt;="&amp;BH$3,CLAVE_DESGLOSE,$A118)</f>
        <v>0</v>
      </c>
      <c r="BI118" s="13">
        <f t="shared" si="215"/>
        <v>20397</v>
      </c>
      <c r="BJ118" s="68">
        <f t="shared" si="161"/>
        <v>-1989</v>
      </c>
      <c r="BK118" s="268">
        <f t="shared" si="162"/>
        <v>1.1080508474576272</v>
      </c>
      <c r="BL118" s="13">
        <f t="shared" si="163"/>
        <v>11577</v>
      </c>
      <c r="BM118" s="13">
        <f>SUMIFS(SALIDAS_BIT,FECHA_BIT,"&gt;="&amp;BM$2,FECHA_BIT,"&lt;="&amp;BM$3,CLAVE_BIT,$A118)+SUMIFS(SALIDAS_BOV1,FECHA_BOV1,"&gt;="&amp;BM$2,FECHA_BOV1,"&lt;="&amp;BM$3,CLAVE_BOV1,$A118)+SUMIFS(SALIDAS_BOV2,FECHA_BOV2,"&gt;="&amp;BM$2,FECHA_BOV2,"&lt;="&amp;BM$3,CLAVE_BOV2,$A118)+SUMIFS(SALIDAS_BOV3,FECHA_BOV3,"&gt;="&amp;BM$2,FECHA_BOV3,"&lt;="&amp;BM$3,CLAVE_BOV3,$A118)+SUMIFS(SALIDAS_TC,FECHA_TC,"&gt;="&amp;BM$2,FECHA_TC,"&lt;="&amp;BM$3,CLAVE_TC,$A118)+SUMIFS(SALIDAS_COMB,FECHA_COMB,"&gt;="&amp;BM$2,FECHA_COMB,"&lt;="&amp;BM$3,CLAVE_COMB,$A118)+SUMIFS(SALIDAS_DES,FECHA_DESGLOSEN,"&gt;="&amp;BM$2,FECHA_DESGLOSEN,"&lt;="&amp;BM$3,CLAVE_DESGLOSE,$A118)</f>
        <v>0</v>
      </c>
      <c r="BN118" s="13">
        <f>SUMIFS(SALIDAS_BIT,FECHA_BIT,"&gt;="&amp;BN$2,FECHA_BIT,"&lt;="&amp;BN$3,CLAVE_BIT,$A118)+SUMIFS(SALIDAS_BOV1,FECHA_BOV1,"&gt;="&amp;BN$2,FECHA_BOV1,"&lt;="&amp;BN$3,CLAVE_BOV1,$A118)+SUMIFS(SALIDAS_BOV2,FECHA_BOV2,"&gt;="&amp;BN$2,FECHA_BOV2,"&lt;="&amp;BN$3,CLAVE_BOV2,$A118)+SUMIFS(SALIDAS_BOV3,FECHA_BOV3,"&gt;="&amp;BN$2,FECHA_BOV3,"&lt;="&amp;BN$3,CLAVE_BOV3,$A118)+SUMIFS(SALIDAS_TC,FECHA_TC,"&gt;="&amp;BN$2,FECHA_TC,"&lt;="&amp;BN$3,CLAVE_TC,$A118)+SUMIFS(SALIDAS_COMB,FECHA_COMB,"&gt;="&amp;BN$2,FECHA_COMB,"&lt;="&amp;BN$3,CLAVE_COMB,$A118)+SUMIFS(SALIDAS_DES,FECHA_DESGLOSEN,"&gt;="&amp;BN$2,FECHA_DESGLOSEN,"&lt;="&amp;BN$3,CLAVE_DESGLOSE,$A118)</f>
        <v>0</v>
      </c>
      <c r="BO118" s="13">
        <f>SUMIFS(SALIDAS_BIT,FECHA_BIT,"&gt;="&amp;BO$2,FECHA_BIT,"&lt;="&amp;BO$3,CLAVE_BIT,$A118)+SUMIFS(SALIDAS_BOV1,FECHA_BOV1,"&gt;="&amp;BO$2,FECHA_BOV1,"&lt;="&amp;BO$3,CLAVE_BOV1,$A118)+SUMIFS(SALIDAS_BOV2,FECHA_BOV2,"&gt;="&amp;BO$2,FECHA_BOV2,"&lt;="&amp;BO$3,CLAVE_BOV2,$A118)+SUMIFS(SALIDAS_BOV3,FECHA_BOV3,"&gt;="&amp;BO$2,FECHA_BOV3,"&lt;="&amp;BO$3,CLAVE_BOV3,$A118)+SUMIFS(SALIDAS_TC,FECHA_TC,"&gt;="&amp;BO$2,FECHA_TC,"&lt;="&amp;BO$3,CLAVE_TC,$A118)+SUMIFS(SALIDAS_COMB,FECHA_COMB,"&gt;="&amp;BO$2,FECHA_COMB,"&lt;="&amp;BO$3,CLAVE_COMB,$A118)+SUMIFS(SALIDAS_DES,FECHA_DESGLOSEN,"&gt;="&amp;BO$2,FECHA_DESGLOSEN,"&lt;="&amp;BO$3,CLAVE_DESGLOSE,$A118)</f>
        <v>0</v>
      </c>
      <c r="BP118" s="13">
        <f>SUMIFS(SALIDAS_BIT,FECHA_BIT,"&gt;="&amp;BP$2,FECHA_BIT,"&lt;="&amp;BP$3,CLAVE_BIT,$A118)+SUMIFS(SALIDAS_BOV1,FECHA_BOV1,"&gt;="&amp;BP$2,FECHA_BOV1,"&lt;="&amp;BP$3,CLAVE_BOV1,$A118)+SUMIFS(SALIDAS_BOV2,FECHA_BOV2,"&gt;="&amp;BP$2,FECHA_BOV2,"&lt;="&amp;BP$3,CLAVE_BOV2,$A118)+SUMIFS(SALIDAS_BOV3,FECHA_BOV3,"&gt;="&amp;BP$2,FECHA_BOV3,"&lt;="&amp;BP$3,CLAVE_BOV3,$A118)+SUMIFS(SALIDAS_TC,FECHA_TC,"&gt;="&amp;BP$2,FECHA_TC,"&lt;="&amp;BP$3,CLAVE_TC,$A118)+SUMIFS(SALIDAS_COMB,FECHA_COMB,"&gt;="&amp;BP$2,FECHA_COMB,"&lt;="&amp;BP$3,CLAVE_COMB,$A118)+SUMIFS(SALIDAS_DES,FECHA_DESGLOSEN,"&gt;="&amp;BP$2,FECHA_DESGLOSEN,"&lt;="&amp;BP$3,CLAVE_DESGLOSE,$A118)</f>
        <v>0</v>
      </c>
      <c r="BQ118" s="13">
        <f>SUMIFS(SALIDAS_BIT,FECHA_BIT,"&gt;="&amp;BQ$2,FECHA_BIT,"&lt;="&amp;BQ$3,CLAVE_BIT,$A118)+SUMIFS(SALIDAS_BOV1,FECHA_BOV1,"&gt;="&amp;BQ$2,FECHA_BOV1,"&lt;="&amp;BQ$3,CLAVE_BOV1,$A118)+SUMIFS(SALIDAS_BOV2,FECHA_BOV2,"&gt;="&amp;BQ$2,FECHA_BOV2,"&lt;="&amp;BQ$3,CLAVE_BOV2,$A118)+SUMIFS(SALIDAS_BOV3,FECHA_BOV3,"&gt;="&amp;BQ$2,FECHA_BOV3,"&lt;="&amp;BQ$3,CLAVE_BOV3,$A118)+SUMIFS(SALIDAS_TC,FECHA_TC,"&gt;="&amp;BQ$2,FECHA_TC,"&lt;="&amp;BQ$3,CLAVE_TC,$A118)+SUMIFS(SALIDAS_COMB,FECHA_COMB,"&gt;="&amp;BQ$2,FECHA_COMB,"&lt;="&amp;BQ$3,CLAVE_COMB,$A118)+SUMIFS(SALIDAS_DES,FECHA_DESGLOSEN,"&gt;="&amp;BQ$2,FECHA_DESGLOSEN,"&lt;="&amp;BQ$3,CLAVE_DESGLOSE,$A118)</f>
        <v>0</v>
      </c>
      <c r="BR118" s="13">
        <f t="shared" si="224"/>
        <v>0</v>
      </c>
      <c r="BS118" s="68">
        <f t="shared" si="164"/>
        <v>11577</v>
      </c>
      <c r="BT118" s="268">
        <f t="shared" si="165"/>
        <v>0</v>
      </c>
      <c r="BU118" s="13">
        <f t="shared" si="166"/>
        <v>13613</v>
      </c>
      <c r="BV118" s="13">
        <f t="shared" si="186"/>
        <v>0</v>
      </c>
      <c r="BW118" s="13">
        <f t="shared" si="186"/>
        <v>0</v>
      </c>
      <c r="BX118" s="13">
        <f t="shared" si="186"/>
        <v>19504</v>
      </c>
      <c r="BY118" s="13">
        <f t="shared" si="186"/>
        <v>0</v>
      </c>
      <c r="BZ118" s="13">
        <f t="shared" si="225"/>
        <v>19504</v>
      </c>
      <c r="CA118" s="68">
        <f t="shared" si="167"/>
        <v>-5891</v>
      </c>
      <c r="CB118" s="268">
        <f t="shared" si="168"/>
        <v>1.4327481084257694</v>
      </c>
      <c r="CC118" s="13">
        <f t="shared" si="169"/>
        <v>0</v>
      </c>
      <c r="CD118" s="13">
        <f t="shared" si="187"/>
        <v>0</v>
      </c>
      <c r="CE118" s="13">
        <f t="shared" si="187"/>
        <v>0</v>
      </c>
      <c r="CF118" s="13">
        <f t="shared" si="187"/>
        <v>0</v>
      </c>
      <c r="CG118" s="13">
        <f t="shared" si="187"/>
        <v>0</v>
      </c>
      <c r="CH118" s="13">
        <f t="shared" si="226"/>
        <v>0</v>
      </c>
      <c r="CI118" s="68">
        <f t="shared" si="170"/>
        <v>0</v>
      </c>
      <c r="CJ118" s="268">
        <f t="shared" si="171"/>
        <v>0</v>
      </c>
      <c r="CK118" s="13">
        <f t="shared" si="172"/>
        <v>10116</v>
      </c>
      <c r="CL118" s="13">
        <f t="shared" si="176"/>
        <v>0</v>
      </c>
      <c r="CM118" s="13">
        <f t="shared" si="176"/>
        <v>0</v>
      </c>
      <c r="CN118" s="13">
        <f t="shared" si="176"/>
        <v>0</v>
      </c>
      <c r="CO118" s="13">
        <f t="shared" si="176"/>
        <v>15541</v>
      </c>
      <c r="CP118" s="13">
        <f t="shared" si="176"/>
        <v>0</v>
      </c>
      <c r="CQ118" s="13">
        <f t="shared" si="227"/>
        <v>15541</v>
      </c>
      <c r="CR118" s="68">
        <f t="shared" si="173"/>
        <v>-5425</v>
      </c>
      <c r="CS118" s="268">
        <f t="shared" si="174"/>
        <v>1.5362791617240015</v>
      </c>
      <c r="CT118" s="68">
        <f t="shared" si="147"/>
        <v>0</v>
      </c>
      <c r="CU118" s="13">
        <f>SUMIFS(SALIDAS_BIT,FECHA_BIT,"&gt;="&amp;CU$2,FECHA_BIT,"&lt;="&amp;CU$3,CLAVE_BIT,$A118)+SUMIFS(SALIDAS_BOV1,FECHA_BOV1,"&gt;="&amp;CU$2,FECHA_BOV1,"&lt;="&amp;CU$3,CLAVE_BOV1,$A118)+SUMIFS(SALIDAS_BOV2,FECHA_BOV2,"&gt;="&amp;CU$2,FECHA_BOV2,"&lt;="&amp;CU$3,CLAVE_BOV2,$A118)+SUMIFS(SALIDAS_BOV3,FECHA_BOV3,"&gt;="&amp;CU$2,FECHA_BOV3,"&lt;="&amp;CU$3,CLAVE_BOV3,$A118)+SUMIFS(SALIDAS_TC,FECHA_TC,"&gt;="&amp;CU$2,FECHA_TC,"&lt;="&amp;CU$3,CLAVE_TC,$A118)+SUMIFS(SALIDAS_COMB,FECHA_COMB,"&gt;="&amp;CU$2,FECHA_COMB,"&lt;="&amp;CU$3,CLAVE_COMB,$A118)+SUMIFS(SALIDAS_DES,FECHA_DESGLOSEN,"&gt;="&amp;CU$2,FECHA_DESGLOSEN,"&lt;="&amp;CU$3,CLAVE_DESGLOSE,$A118)</f>
        <v>0</v>
      </c>
      <c r="CV118" s="13">
        <f>SUMIFS(SALIDAS_BIT,FECHA_BIT,"&gt;="&amp;CV$2,FECHA_BIT,"&lt;="&amp;CV$3,CLAVE_BIT,$A118)+SUMIFS(SALIDAS_BOV1,FECHA_BOV1,"&gt;="&amp;CV$2,FECHA_BOV1,"&lt;="&amp;CV$3,CLAVE_BOV1,$A118)+SUMIFS(SALIDAS_BOV2,FECHA_BOV2,"&gt;="&amp;CV$2,FECHA_BOV2,"&lt;="&amp;CV$3,CLAVE_BOV2,$A118)+SUMIFS(SALIDAS_BOV3,FECHA_BOV3,"&gt;="&amp;CV$2,FECHA_BOV3,"&lt;="&amp;CV$3,CLAVE_BOV3,$A118)+SUMIFS(SALIDAS_TC,FECHA_TC,"&gt;="&amp;CV$2,FECHA_TC,"&lt;="&amp;CV$3,CLAVE_TC,$A118)+SUMIFS(SALIDAS_COMB,FECHA_COMB,"&gt;="&amp;CV$2,FECHA_COMB,"&lt;="&amp;CV$3,CLAVE_COMB,$A118)+SUMIFS(SALIDAS_DES,FECHA_DESGLOSEN,"&gt;="&amp;CV$2,FECHA_DESGLOSEN,"&lt;="&amp;CV$3,CLAVE_DESGLOSE,$A118)</f>
        <v>0</v>
      </c>
      <c r="CW118" s="13">
        <f>SUMIFS(SALIDAS_BIT,FECHA_BIT,"&gt;="&amp;CW$2,FECHA_BIT,"&lt;="&amp;CW$3,CLAVE_BIT,$A118)+SUMIFS(SALIDAS_BOV1,FECHA_BOV1,"&gt;="&amp;CW$2,FECHA_BOV1,"&lt;="&amp;CW$3,CLAVE_BOV1,$A118)+SUMIFS(SALIDAS_BOV2,FECHA_BOV2,"&gt;="&amp;CW$2,FECHA_BOV2,"&lt;="&amp;CW$3,CLAVE_BOV2,$A118)+SUMIFS(SALIDAS_BOV3,FECHA_BOV3,"&gt;="&amp;CW$2,FECHA_BOV3,"&lt;="&amp;CW$3,CLAVE_BOV3,$A118)+SUMIFS(SALIDAS_TC,FECHA_TC,"&gt;="&amp;CW$2,FECHA_TC,"&lt;="&amp;CW$3,CLAVE_TC,$A118)+SUMIFS(SALIDAS_COMB,FECHA_COMB,"&gt;="&amp;CW$2,FECHA_COMB,"&lt;="&amp;CW$3,CLAVE_COMB,$A118)+SUMIFS(SALIDAS_DES,FECHA_DESGLOSEN,"&gt;="&amp;CW$2,FECHA_DESGLOSEN,"&lt;="&amp;CW$3,CLAVE_DESGLOSE,$A118)</f>
        <v>0</v>
      </c>
      <c r="CX118" s="13">
        <f>SUMIFS(SALIDAS_BIT,FECHA_BIT,"&gt;="&amp;CX$2,FECHA_BIT,"&lt;="&amp;CX$3,CLAVE_BIT,$A118)+SUMIFS(SALIDAS_BOV1,FECHA_BOV1,"&gt;="&amp;CX$2,FECHA_BOV1,"&lt;="&amp;CX$3,CLAVE_BOV1,$A118)+SUMIFS(SALIDAS_BOV2,FECHA_BOV2,"&gt;="&amp;CX$2,FECHA_BOV2,"&lt;="&amp;CX$3,CLAVE_BOV2,$A118)+SUMIFS(SALIDAS_BOV3,FECHA_BOV3,"&gt;="&amp;CX$2,FECHA_BOV3,"&lt;="&amp;CX$3,CLAVE_BOV3,$A118)+SUMIFS(SALIDAS_TC,FECHA_TC,"&gt;="&amp;CX$2,FECHA_TC,"&lt;="&amp;CX$3,CLAVE_TC,$A118)+SUMIFS(SALIDAS_COMB,FECHA_COMB,"&gt;="&amp;CX$2,FECHA_COMB,"&lt;="&amp;CX$3,CLAVE_COMB,$A118)+SUMIFS(SALIDAS_DES,FECHA_DESGLOSEN,"&gt;="&amp;CX$2,FECHA_DESGLOSEN,"&lt;="&amp;CX$3,CLAVE_DESGLOSE,$A118)</f>
        <v>0</v>
      </c>
      <c r="CY118" s="13">
        <f>SUMIFS(SALIDAS_BIT,FECHA_BIT,"&gt;="&amp;CY$2,FECHA_BIT,"&lt;="&amp;CY$3,CLAVE_BIT,$A118)+SUMIFS(SALIDAS_BOV1,FECHA_BOV1,"&gt;="&amp;CY$2,FECHA_BOV1,"&lt;="&amp;CY$3,CLAVE_BOV1,$A118)+SUMIFS(SALIDAS_BOV2,FECHA_BOV2,"&gt;="&amp;CY$2,FECHA_BOV2,"&lt;="&amp;CY$3,CLAVE_BOV2,$A118)+SUMIFS(SALIDAS_BOV3,FECHA_BOV3,"&gt;="&amp;CY$2,FECHA_BOV3,"&lt;="&amp;CY$3,CLAVE_BOV3,$A118)+SUMIFS(SALIDAS_TC,FECHA_TC,"&gt;="&amp;CY$2,FECHA_TC,"&lt;="&amp;CY$3,CLAVE_TC,$A118)+SUMIFS(SALIDAS_COMB,FECHA_COMB,"&gt;="&amp;CY$2,FECHA_COMB,"&lt;="&amp;CY$3,CLAVE_COMB,$A118)+SUMIFS(SALIDAS_DES,FECHA_DESGLOSEN,"&gt;="&amp;CY$2,FECHA_DESGLOSEN,"&lt;="&amp;CY$3,CLAVE_DESGLOSE,$A118)</f>
        <v>0</v>
      </c>
      <c r="CZ118" s="68">
        <f t="shared" si="175"/>
        <v>0</v>
      </c>
      <c r="DB118" s="17">
        <f>F118+N118+W118+AE118+AM118+AV118+BD118+BL118+BU118+CC118+CK118</f>
        <v>87878</v>
      </c>
      <c r="DC118" s="17">
        <f>K118+T118+AB118+AJ118+AS118+BA118+BI118+BR118+BZ118+CH118+CQ118</f>
        <v>97684</v>
      </c>
    </row>
    <row r="119" spans="1:107" hidden="1">
      <c r="A119" s="12" t="str">
        <f t="shared" si="148"/>
        <v>HRENERGIA ELECTRICAA14</v>
      </c>
      <c r="B119" s="12">
        <v>121</v>
      </c>
      <c r="C119" t="s">
        <v>29</v>
      </c>
      <c r="D119" s="12" t="s">
        <v>87</v>
      </c>
      <c r="E119" s="12" t="s">
        <v>99</v>
      </c>
      <c r="F119" s="259">
        <f t="shared" si="141"/>
        <v>0</v>
      </c>
      <c r="G119" s="13">
        <f t="shared" si="217"/>
        <v>0</v>
      </c>
      <c r="H119" s="13">
        <f t="shared" si="217"/>
        <v>0</v>
      </c>
      <c r="I119" s="13">
        <f t="shared" si="217"/>
        <v>0</v>
      </c>
      <c r="J119" s="13">
        <f t="shared" si="217"/>
        <v>0</v>
      </c>
      <c r="K119" s="13">
        <f t="shared" si="217"/>
        <v>0</v>
      </c>
      <c r="L119" s="68">
        <f t="shared" si="149"/>
        <v>0</v>
      </c>
      <c r="M119" s="268">
        <f t="shared" si="150"/>
        <v>0</v>
      </c>
      <c r="N119" s="13">
        <f t="shared" si="142"/>
        <v>6358</v>
      </c>
      <c r="O119" s="13">
        <f t="shared" si="218"/>
        <v>0</v>
      </c>
      <c r="P119" s="13">
        <f t="shared" si="218"/>
        <v>0</v>
      </c>
      <c r="Q119" s="13">
        <f t="shared" si="218"/>
        <v>13562</v>
      </c>
      <c r="R119" s="13">
        <f t="shared" si="218"/>
        <v>0</v>
      </c>
      <c r="S119" s="13">
        <f t="shared" si="218"/>
        <v>0</v>
      </c>
      <c r="T119" s="13">
        <f t="shared" si="218"/>
        <v>13562</v>
      </c>
      <c r="U119" s="68">
        <f t="shared" si="151"/>
        <v>-7204</v>
      </c>
      <c r="V119" s="268">
        <f t="shared" si="152"/>
        <v>2.1330607109153821</v>
      </c>
      <c r="W119" s="13">
        <f t="shared" si="143"/>
        <v>0</v>
      </c>
      <c r="X119" s="13">
        <f t="shared" si="219"/>
        <v>0</v>
      </c>
      <c r="Y119" s="13">
        <f t="shared" si="219"/>
        <v>0</v>
      </c>
      <c r="Z119" s="13">
        <f t="shared" si="219"/>
        <v>0</v>
      </c>
      <c r="AA119" s="13">
        <f t="shared" si="219"/>
        <v>0</v>
      </c>
      <c r="AB119" s="13">
        <f t="shared" si="219"/>
        <v>0</v>
      </c>
      <c r="AC119" s="68">
        <f t="shared" si="153"/>
        <v>0</v>
      </c>
      <c r="AD119" s="268">
        <f t="shared" si="154"/>
        <v>0</v>
      </c>
      <c r="AE119" s="13">
        <f t="shared" si="144"/>
        <v>7390</v>
      </c>
      <c r="AF119" s="13">
        <f t="shared" si="220"/>
        <v>0</v>
      </c>
      <c r="AG119" s="13">
        <f t="shared" si="220"/>
        <v>0</v>
      </c>
      <c r="AH119" s="13">
        <f t="shared" si="220"/>
        <v>8534</v>
      </c>
      <c r="AI119" s="13">
        <f t="shared" si="220"/>
        <v>0</v>
      </c>
      <c r="AJ119" s="13">
        <f t="shared" si="220"/>
        <v>8534</v>
      </c>
      <c r="AK119" s="68">
        <f t="shared" si="155"/>
        <v>-1144</v>
      </c>
      <c r="AL119" s="268">
        <f t="shared" si="156"/>
        <v>1.1548037889039242</v>
      </c>
      <c r="AM119" s="13">
        <f t="shared" si="145"/>
        <v>9234</v>
      </c>
      <c r="AN119" s="13">
        <f t="shared" si="221"/>
        <v>0</v>
      </c>
      <c r="AO119" s="13">
        <f t="shared" si="221"/>
        <v>0</v>
      </c>
      <c r="AP119" s="13">
        <f t="shared" si="221"/>
        <v>0</v>
      </c>
      <c r="AQ119" s="13">
        <f t="shared" si="221"/>
        <v>0</v>
      </c>
      <c r="AR119" s="13">
        <f t="shared" si="221"/>
        <v>0</v>
      </c>
      <c r="AS119" s="13">
        <f t="shared" si="221"/>
        <v>0</v>
      </c>
      <c r="AT119" s="68">
        <f>AM119-AS119</f>
        <v>9234</v>
      </c>
      <c r="AU119" s="268">
        <f t="shared" si="157"/>
        <v>0</v>
      </c>
      <c r="AV119" s="13">
        <f t="shared" si="146"/>
        <v>10044</v>
      </c>
      <c r="AW119" s="13">
        <f t="shared" si="222"/>
        <v>0</v>
      </c>
      <c r="AX119" s="13">
        <f t="shared" si="222"/>
        <v>0</v>
      </c>
      <c r="AY119" s="13">
        <f t="shared" si="222"/>
        <v>10824</v>
      </c>
      <c r="AZ119" s="13">
        <f t="shared" si="222"/>
        <v>0</v>
      </c>
      <c r="BA119" s="13">
        <f t="shared" si="223"/>
        <v>10824</v>
      </c>
      <c r="BB119" s="68">
        <f t="shared" si="158"/>
        <v>-780</v>
      </c>
      <c r="BC119" s="268">
        <f t="shared" si="159"/>
        <v>1.0776583034647551</v>
      </c>
      <c r="BD119" s="13">
        <f t="shared" si="160"/>
        <v>0</v>
      </c>
      <c r="BE119" s="13">
        <f>SUMIFS(SALIDAS_BIT,FECHA_BIT,"&gt;="&amp;BE$2,FECHA_BIT,"&lt;="&amp;BE$3,CLAVE_BIT,$A119)+SUMIFS(SALIDAS_BOV1,FECHA_BOV1,"&gt;="&amp;BE$2,FECHA_BOV1,"&lt;="&amp;BE$3,CLAVE_BOV1,$A119)+SUMIFS(SALIDAS_BOV2,FECHA_BOV2,"&gt;="&amp;BE$2,FECHA_BOV2,"&lt;="&amp;BE$3,CLAVE_BOV2,$A119)+SUMIFS(SALIDAS_BOV3,FECHA_BOV3,"&gt;="&amp;BE$2,FECHA_BOV3,"&lt;="&amp;BE$3,CLAVE_BOV3,$A119)+SUMIFS(SALIDAS_TC,FECHA_TC,"&gt;="&amp;BE$2,FECHA_TC,"&lt;="&amp;BE$3,CLAVE_TC,$A119)+SUMIFS(SALIDAS_COMB,FECHA_COMB,"&gt;="&amp;BE$2,FECHA_COMB,"&lt;="&amp;BE$3,CLAVE_COMB,$A119)+SUMIFS(SALIDAS_DES,FECHA_DESGLOSEN,"&gt;="&amp;BE$2,FECHA_DESGLOSEN,"&lt;="&amp;BE$3,CLAVE_DESGLOSE,$A119)</f>
        <v>0</v>
      </c>
      <c r="BF119" s="13">
        <f>SUMIFS(SALIDAS_BIT,FECHA_BIT,"&gt;="&amp;BF$2,FECHA_BIT,"&lt;="&amp;BF$3,CLAVE_BIT,$A119)+SUMIFS(SALIDAS_BOV1,FECHA_BOV1,"&gt;="&amp;BF$2,FECHA_BOV1,"&lt;="&amp;BF$3,CLAVE_BOV1,$A119)+SUMIFS(SALIDAS_BOV2,FECHA_BOV2,"&gt;="&amp;BF$2,FECHA_BOV2,"&lt;="&amp;BF$3,CLAVE_BOV2,$A119)+SUMIFS(SALIDAS_BOV3,FECHA_BOV3,"&gt;="&amp;BF$2,FECHA_BOV3,"&lt;="&amp;BF$3,CLAVE_BOV3,$A119)+SUMIFS(SALIDAS_TC,FECHA_TC,"&gt;="&amp;BF$2,FECHA_TC,"&lt;="&amp;BF$3,CLAVE_TC,$A119)+SUMIFS(SALIDAS_COMB,FECHA_COMB,"&gt;="&amp;BF$2,FECHA_COMB,"&lt;="&amp;BF$3,CLAVE_COMB,$A119)+SUMIFS(SALIDAS_DES,FECHA_DESGLOSEN,"&gt;="&amp;BF$2,FECHA_DESGLOSEN,"&lt;="&amp;BF$3,CLAVE_DESGLOSE,$A119)</f>
        <v>0</v>
      </c>
      <c r="BG119" s="13">
        <f>SUMIFS(SALIDAS_BIT,FECHA_BIT,"&gt;="&amp;BG$2,FECHA_BIT,"&lt;="&amp;BG$3,CLAVE_BIT,$A119)+SUMIFS(SALIDAS_BOV1,FECHA_BOV1,"&gt;="&amp;BG$2,FECHA_BOV1,"&lt;="&amp;BG$3,CLAVE_BOV1,$A119)+SUMIFS(SALIDAS_BOV2,FECHA_BOV2,"&gt;="&amp;BG$2,FECHA_BOV2,"&lt;="&amp;BG$3,CLAVE_BOV2,$A119)+SUMIFS(SALIDAS_BOV3,FECHA_BOV3,"&gt;="&amp;BG$2,FECHA_BOV3,"&lt;="&amp;BG$3,CLAVE_BOV3,$A119)+SUMIFS(SALIDAS_TC,FECHA_TC,"&gt;="&amp;BG$2,FECHA_TC,"&lt;="&amp;BG$3,CLAVE_TC,$A119)+SUMIFS(SALIDAS_COMB,FECHA_COMB,"&gt;="&amp;BG$2,FECHA_COMB,"&lt;="&amp;BG$3,CLAVE_COMB,$A119)+SUMIFS(SALIDAS_DES,FECHA_DESGLOSEN,"&gt;="&amp;BG$2,FECHA_DESGLOSEN,"&lt;="&amp;BG$3,CLAVE_DESGLOSE,$A119)</f>
        <v>0</v>
      </c>
      <c r="BH119" s="13">
        <f>SUMIFS(SALIDAS_BIT,FECHA_BIT,"&gt;="&amp;BH$2,FECHA_BIT,"&lt;="&amp;BH$3,CLAVE_BIT,$A119)+SUMIFS(SALIDAS_BOV1,FECHA_BOV1,"&gt;="&amp;BH$2,FECHA_BOV1,"&lt;="&amp;BH$3,CLAVE_BOV1,$A119)+SUMIFS(SALIDAS_BOV2,FECHA_BOV2,"&gt;="&amp;BH$2,FECHA_BOV2,"&lt;="&amp;BH$3,CLAVE_BOV2,$A119)+SUMIFS(SALIDAS_BOV3,FECHA_BOV3,"&gt;="&amp;BH$2,FECHA_BOV3,"&lt;="&amp;BH$3,CLAVE_BOV3,$A119)+SUMIFS(SALIDAS_TC,FECHA_TC,"&gt;="&amp;BH$2,FECHA_TC,"&lt;="&amp;BH$3,CLAVE_TC,$A119)+SUMIFS(SALIDAS_COMB,FECHA_COMB,"&gt;="&amp;BH$2,FECHA_COMB,"&lt;="&amp;BH$3,CLAVE_COMB,$A119)+SUMIFS(SALIDAS_DES,FECHA_DESGLOSEN,"&gt;="&amp;BH$2,FECHA_DESGLOSEN,"&lt;="&amp;BH$3,CLAVE_DESGLOSE,$A119)</f>
        <v>0</v>
      </c>
      <c r="BI119" s="13">
        <f t="shared" si="215"/>
        <v>0</v>
      </c>
      <c r="BJ119" s="68">
        <f t="shared" si="161"/>
        <v>0</v>
      </c>
      <c r="BK119" s="268">
        <f t="shared" si="162"/>
        <v>0</v>
      </c>
      <c r="BL119" s="13">
        <f t="shared" si="163"/>
        <v>0</v>
      </c>
      <c r="BM119" s="13">
        <f>SUMIFS(SALIDAS_BIT,FECHA_BIT,"&gt;="&amp;BM$2,FECHA_BIT,"&lt;="&amp;BM$3,CLAVE_BIT,$A119)+SUMIFS(SALIDAS_BOV1,FECHA_BOV1,"&gt;="&amp;BM$2,FECHA_BOV1,"&lt;="&amp;BM$3,CLAVE_BOV1,$A119)+SUMIFS(SALIDAS_BOV2,FECHA_BOV2,"&gt;="&amp;BM$2,FECHA_BOV2,"&lt;="&amp;BM$3,CLAVE_BOV2,$A119)+SUMIFS(SALIDAS_BOV3,FECHA_BOV3,"&gt;="&amp;BM$2,FECHA_BOV3,"&lt;="&amp;BM$3,CLAVE_BOV3,$A119)+SUMIFS(SALIDAS_TC,FECHA_TC,"&gt;="&amp;BM$2,FECHA_TC,"&lt;="&amp;BM$3,CLAVE_TC,$A119)+SUMIFS(SALIDAS_COMB,FECHA_COMB,"&gt;="&amp;BM$2,FECHA_COMB,"&lt;="&amp;BM$3,CLAVE_COMB,$A119)+SUMIFS(SALIDAS_DES,FECHA_DESGLOSEN,"&gt;="&amp;BM$2,FECHA_DESGLOSEN,"&lt;="&amp;BM$3,CLAVE_DESGLOSE,$A119)</f>
        <v>0</v>
      </c>
      <c r="BN119" s="13">
        <f>SUMIFS(SALIDAS_BIT,FECHA_BIT,"&gt;="&amp;BN$2,FECHA_BIT,"&lt;="&amp;BN$3,CLAVE_BIT,$A119)+SUMIFS(SALIDAS_BOV1,FECHA_BOV1,"&gt;="&amp;BN$2,FECHA_BOV1,"&lt;="&amp;BN$3,CLAVE_BOV1,$A119)+SUMIFS(SALIDAS_BOV2,FECHA_BOV2,"&gt;="&amp;BN$2,FECHA_BOV2,"&lt;="&amp;BN$3,CLAVE_BOV2,$A119)+SUMIFS(SALIDAS_BOV3,FECHA_BOV3,"&gt;="&amp;BN$2,FECHA_BOV3,"&lt;="&amp;BN$3,CLAVE_BOV3,$A119)+SUMIFS(SALIDAS_TC,FECHA_TC,"&gt;="&amp;BN$2,FECHA_TC,"&lt;="&amp;BN$3,CLAVE_TC,$A119)+SUMIFS(SALIDAS_COMB,FECHA_COMB,"&gt;="&amp;BN$2,FECHA_COMB,"&lt;="&amp;BN$3,CLAVE_COMB,$A119)+SUMIFS(SALIDAS_DES,FECHA_DESGLOSEN,"&gt;="&amp;BN$2,FECHA_DESGLOSEN,"&lt;="&amp;BN$3,CLAVE_DESGLOSE,$A119)</f>
        <v>0</v>
      </c>
      <c r="BO119" s="13">
        <f>SUMIFS(SALIDAS_BIT,FECHA_BIT,"&gt;="&amp;BO$2,FECHA_BIT,"&lt;="&amp;BO$3,CLAVE_BIT,$A119)+SUMIFS(SALIDAS_BOV1,FECHA_BOV1,"&gt;="&amp;BO$2,FECHA_BOV1,"&lt;="&amp;BO$3,CLAVE_BOV1,$A119)+SUMIFS(SALIDAS_BOV2,FECHA_BOV2,"&gt;="&amp;BO$2,FECHA_BOV2,"&lt;="&amp;BO$3,CLAVE_BOV2,$A119)+SUMIFS(SALIDAS_BOV3,FECHA_BOV3,"&gt;="&amp;BO$2,FECHA_BOV3,"&lt;="&amp;BO$3,CLAVE_BOV3,$A119)+SUMIFS(SALIDAS_TC,FECHA_TC,"&gt;="&amp;BO$2,FECHA_TC,"&lt;="&amp;BO$3,CLAVE_TC,$A119)+SUMIFS(SALIDAS_COMB,FECHA_COMB,"&gt;="&amp;BO$2,FECHA_COMB,"&lt;="&amp;BO$3,CLAVE_COMB,$A119)+SUMIFS(SALIDAS_DES,FECHA_DESGLOSEN,"&gt;="&amp;BO$2,FECHA_DESGLOSEN,"&lt;="&amp;BO$3,CLAVE_DESGLOSE,$A119)</f>
        <v>10524</v>
      </c>
      <c r="BP119" s="13">
        <f>SUMIFS(SALIDAS_BIT,FECHA_BIT,"&gt;="&amp;BP$2,FECHA_BIT,"&lt;="&amp;BP$3,CLAVE_BIT,$A119)+SUMIFS(SALIDAS_BOV1,FECHA_BOV1,"&gt;="&amp;BP$2,FECHA_BOV1,"&lt;="&amp;BP$3,CLAVE_BOV1,$A119)+SUMIFS(SALIDAS_BOV2,FECHA_BOV2,"&gt;="&amp;BP$2,FECHA_BOV2,"&lt;="&amp;BP$3,CLAVE_BOV2,$A119)+SUMIFS(SALIDAS_BOV3,FECHA_BOV3,"&gt;="&amp;BP$2,FECHA_BOV3,"&lt;="&amp;BP$3,CLAVE_BOV3,$A119)+SUMIFS(SALIDAS_TC,FECHA_TC,"&gt;="&amp;BP$2,FECHA_TC,"&lt;="&amp;BP$3,CLAVE_TC,$A119)+SUMIFS(SALIDAS_COMB,FECHA_COMB,"&gt;="&amp;BP$2,FECHA_COMB,"&lt;="&amp;BP$3,CLAVE_COMB,$A119)+SUMIFS(SALIDAS_DES,FECHA_DESGLOSEN,"&gt;="&amp;BP$2,FECHA_DESGLOSEN,"&lt;="&amp;BP$3,CLAVE_DESGLOSE,$A119)</f>
        <v>0</v>
      </c>
      <c r="BQ119" s="13">
        <f>SUMIFS(SALIDAS_BIT,FECHA_BIT,"&gt;="&amp;BQ$2,FECHA_BIT,"&lt;="&amp;BQ$3,CLAVE_BIT,$A119)+SUMIFS(SALIDAS_BOV1,FECHA_BOV1,"&gt;="&amp;BQ$2,FECHA_BOV1,"&lt;="&amp;BQ$3,CLAVE_BOV1,$A119)+SUMIFS(SALIDAS_BOV2,FECHA_BOV2,"&gt;="&amp;BQ$2,FECHA_BOV2,"&lt;="&amp;BQ$3,CLAVE_BOV2,$A119)+SUMIFS(SALIDAS_BOV3,FECHA_BOV3,"&gt;="&amp;BQ$2,FECHA_BOV3,"&lt;="&amp;BQ$3,CLAVE_BOV3,$A119)+SUMIFS(SALIDAS_TC,FECHA_TC,"&gt;="&amp;BQ$2,FECHA_TC,"&lt;="&amp;BQ$3,CLAVE_TC,$A119)+SUMIFS(SALIDAS_COMB,FECHA_COMB,"&gt;="&amp;BQ$2,FECHA_COMB,"&lt;="&amp;BQ$3,CLAVE_COMB,$A119)+SUMIFS(SALIDAS_DES,FECHA_DESGLOSEN,"&gt;="&amp;BQ$2,FECHA_DESGLOSEN,"&lt;="&amp;BQ$3,CLAVE_DESGLOSE,$A119)</f>
        <v>0</v>
      </c>
      <c r="BR119" s="13">
        <f t="shared" si="224"/>
        <v>10524</v>
      </c>
      <c r="BS119" s="68">
        <f t="shared" si="164"/>
        <v>-10524</v>
      </c>
      <c r="BT119" s="268">
        <f t="shared" si="165"/>
        <v>0</v>
      </c>
      <c r="BU119" s="13">
        <f t="shared" si="166"/>
        <v>0</v>
      </c>
      <c r="BV119" s="13">
        <f t="shared" si="186"/>
        <v>0</v>
      </c>
      <c r="BW119" s="13">
        <f t="shared" si="186"/>
        <v>0</v>
      </c>
      <c r="BX119" s="13">
        <f t="shared" si="186"/>
        <v>0</v>
      </c>
      <c r="BY119" s="13">
        <f t="shared" si="186"/>
        <v>0</v>
      </c>
      <c r="BZ119" s="13">
        <f t="shared" si="225"/>
        <v>0</v>
      </c>
      <c r="CA119" s="68">
        <f t="shared" si="167"/>
        <v>0</v>
      </c>
      <c r="CB119" s="268">
        <f t="shared" si="168"/>
        <v>0</v>
      </c>
      <c r="CC119" s="13">
        <f t="shared" si="169"/>
        <v>8177</v>
      </c>
      <c r="CD119" s="13">
        <f t="shared" si="187"/>
        <v>0</v>
      </c>
      <c r="CE119" s="13">
        <f t="shared" si="187"/>
        <v>0</v>
      </c>
      <c r="CF119" s="13">
        <f t="shared" si="187"/>
        <v>8775</v>
      </c>
      <c r="CG119" s="13">
        <f t="shared" si="187"/>
        <v>0</v>
      </c>
      <c r="CH119" s="13">
        <f t="shared" si="226"/>
        <v>8775</v>
      </c>
      <c r="CI119" s="68">
        <f t="shared" si="170"/>
        <v>-598</v>
      </c>
      <c r="CJ119" s="268">
        <f t="shared" si="171"/>
        <v>1.0731319554848966</v>
      </c>
      <c r="CK119" s="13">
        <f t="shared" si="172"/>
        <v>0</v>
      </c>
      <c r="CL119" s="13">
        <f t="shared" si="176"/>
        <v>0</v>
      </c>
      <c r="CM119" s="13">
        <f t="shared" si="176"/>
        <v>0</v>
      </c>
      <c r="CN119" s="13">
        <f t="shared" si="176"/>
        <v>0</v>
      </c>
      <c r="CO119" s="13">
        <f t="shared" si="176"/>
        <v>0</v>
      </c>
      <c r="CP119" s="13">
        <f t="shared" si="176"/>
        <v>0</v>
      </c>
      <c r="CQ119" s="13">
        <f t="shared" si="227"/>
        <v>0</v>
      </c>
      <c r="CR119" s="68">
        <f t="shared" si="173"/>
        <v>0</v>
      </c>
      <c r="CS119" s="268">
        <f t="shared" si="174"/>
        <v>0</v>
      </c>
      <c r="CT119" s="68">
        <f t="shared" si="147"/>
        <v>6778</v>
      </c>
      <c r="CU119" s="13">
        <f>SUMIFS(SALIDAS_BIT,FECHA_BIT,"&gt;="&amp;CU$2,FECHA_BIT,"&lt;="&amp;CU$3,CLAVE_BIT,$A119)+SUMIFS(SALIDAS_BOV1,FECHA_BOV1,"&gt;="&amp;CU$2,FECHA_BOV1,"&lt;="&amp;CU$3,CLAVE_BOV1,$A119)+SUMIFS(SALIDAS_BOV2,FECHA_BOV2,"&gt;="&amp;CU$2,FECHA_BOV2,"&lt;="&amp;CU$3,CLAVE_BOV2,$A119)+SUMIFS(SALIDAS_BOV3,FECHA_BOV3,"&gt;="&amp;CU$2,FECHA_BOV3,"&lt;="&amp;CU$3,CLAVE_BOV3,$A119)+SUMIFS(SALIDAS_TC,FECHA_TC,"&gt;="&amp;CU$2,FECHA_TC,"&lt;="&amp;CU$3,CLAVE_TC,$A119)+SUMIFS(SALIDAS_COMB,FECHA_COMB,"&gt;="&amp;CU$2,FECHA_COMB,"&lt;="&amp;CU$3,CLAVE_COMB,$A119)+SUMIFS(SALIDAS_DES,FECHA_DESGLOSEN,"&gt;="&amp;CU$2,FECHA_DESGLOSEN,"&lt;="&amp;CU$3,CLAVE_DESGLOSE,$A119)</f>
        <v>0</v>
      </c>
      <c r="CV119" s="13">
        <f>SUMIFS(SALIDAS_BIT,FECHA_BIT,"&gt;="&amp;CV$2,FECHA_BIT,"&lt;="&amp;CV$3,CLAVE_BIT,$A119)+SUMIFS(SALIDAS_BOV1,FECHA_BOV1,"&gt;="&amp;CV$2,FECHA_BOV1,"&lt;="&amp;CV$3,CLAVE_BOV1,$A119)+SUMIFS(SALIDAS_BOV2,FECHA_BOV2,"&gt;="&amp;CV$2,FECHA_BOV2,"&lt;="&amp;CV$3,CLAVE_BOV2,$A119)+SUMIFS(SALIDAS_BOV3,FECHA_BOV3,"&gt;="&amp;CV$2,FECHA_BOV3,"&lt;="&amp;CV$3,CLAVE_BOV3,$A119)+SUMIFS(SALIDAS_TC,FECHA_TC,"&gt;="&amp;CV$2,FECHA_TC,"&lt;="&amp;CV$3,CLAVE_TC,$A119)+SUMIFS(SALIDAS_COMB,FECHA_COMB,"&gt;="&amp;CV$2,FECHA_COMB,"&lt;="&amp;CV$3,CLAVE_COMB,$A119)+SUMIFS(SALIDAS_DES,FECHA_DESGLOSEN,"&gt;="&amp;CV$2,FECHA_DESGLOSEN,"&lt;="&amp;CV$3,CLAVE_DESGLOSE,$A119)</f>
        <v>0</v>
      </c>
      <c r="CW119" s="13">
        <f>SUMIFS(SALIDAS_BIT,FECHA_BIT,"&gt;="&amp;CW$2,FECHA_BIT,"&lt;="&amp;CW$3,CLAVE_BIT,$A119)+SUMIFS(SALIDAS_BOV1,FECHA_BOV1,"&gt;="&amp;CW$2,FECHA_BOV1,"&lt;="&amp;CW$3,CLAVE_BOV1,$A119)+SUMIFS(SALIDAS_BOV2,FECHA_BOV2,"&gt;="&amp;CW$2,FECHA_BOV2,"&lt;="&amp;CW$3,CLAVE_BOV2,$A119)+SUMIFS(SALIDAS_BOV3,FECHA_BOV3,"&gt;="&amp;CW$2,FECHA_BOV3,"&lt;="&amp;CW$3,CLAVE_BOV3,$A119)+SUMIFS(SALIDAS_TC,FECHA_TC,"&gt;="&amp;CW$2,FECHA_TC,"&lt;="&amp;CW$3,CLAVE_TC,$A119)+SUMIFS(SALIDAS_COMB,FECHA_COMB,"&gt;="&amp;CW$2,FECHA_COMB,"&lt;="&amp;CW$3,CLAVE_COMB,$A119)+SUMIFS(SALIDAS_DES,FECHA_DESGLOSEN,"&gt;="&amp;CW$2,FECHA_DESGLOSEN,"&lt;="&amp;CW$3,CLAVE_DESGLOSE,$A119)</f>
        <v>6458</v>
      </c>
      <c r="CX119" s="13">
        <f>SUMIFS(SALIDAS_BIT,FECHA_BIT,"&gt;="&amp;CX$2,FECHA_BIT,"&lt;="&amp;CX$3,CLAVE_BIT,$A119)+SUMIFS(SALIDAS_BOV1,FECHA_BOV1,"&gt;="&amp;CX$2,FECHA_BOV1,"&lt;="&amp;CX$3,CLAVE_BOV1,$A119)+SUMIFS(SALIDAS_BOV2,FECHA_BOV2,"&gt;="&amp;CX$2,FECHA_BOV2,"&lt;="&amp;CX$3,CLAVE_BOV2,$A119)+SUMIFS(SALIDAS_BOV3,FECHA_BOV3,"&gt;="&amp;CX$2,FECHA_BOV3,"&lt;="&amp;CX$3,CLAVE_BOV3,$A119)+SUMIFS(SALIDAS_TC,FECHA_TC,"&gt;="&amp;CX$2,FECHA_TC,"&lt;="&amp;CX$3,CLAVE_TC,$A119)+SUMIFS(SALIDAS_COMB,FECHA_COMB,"&gt;="&amp;CX$2,FECHA_COMB,"&lt;="&amp;CX$3,CLAVE_COMB,$A119)+SUMIFS(SALIDAS_DES,FECHA_DESGLOSEN,"&gt;="&amp;CX$2,FECHA_DESGLOSEN,"&lt;="&amp;CX$3,CLAVE_DESGLOSE,$A119)</f>
        <v>0</v>
      </c>
      <c r="CY119" s="13">
        <f>SUMIFS(SALIDAS_BIT,FECHA_BIT,"&gt;="&amp;CY$2,FECHA_BIT,"&lt;="&amp;CY$3,CLAVE_BIT,$A119)+SUMIFS(SALIDAS_BOV1,FECHA_BOV1,"&gt;="&amp;CY$2,FECHA_BOV1,"&lt;="&amp;CY$3,CLAVE_BOV1,$A119)+SUMIFS(SALIDAS_BOV2,FECHA_BOV2,"&gt;="&amp;CY$2,FECHA_BOV2,"&lt;="&amp;CY$3,CLAVE_BOV2,$A119)+SUMIFS(SALIDAS_BOV3,FECHA_BOV3,"&gt;="&amp;CY$2,FECHA_BOV3,"&lt;="&amp;CY$3,CLAVE_BOV3,$A119)+SUMIFS(SALIDAS_TC,FECHA_TC,"&gt;="&amp;CY$2,FECHA_TC,"&lt;="&amp;CY$3,CLAVE_TC,$A119)+SUMIFS(SALIDAS_COMB,FECHA_COMB,"&gt;="&amp;CY$2,FECHA_COMB,"&lt;="&amp;CY$3,CLAVE_COMB,$A119)+SUMIFS(SALIDAS_DES,FECHA_DESGLOSEN,"&gt;="&amp;CY$2,FECHA_DESGLOSEN,"&lt;="&amp;CY$3,CLAVE_DESGLOSE,$A119)</f>
        <v>6458</v>
      </c>
      <c r="CZ119" s="68">
        <f t="shared" si="175"/>
        <v>320</v>
      </c>
      <c r="DB119" s="17">
        <f>F119+N119+W119+AE119+AM119+AV119+BD119+BL119+BU119+CC119+CK119</f>
        <v>41203</v>
      </c>
      <c r="DC119" s="17">
        <f>K119+T119+AB119+AJ119+AS119+BA119+BI119+BR119+BZ119+CH119+CQ119</f>
        <v>52219</v>
      </c>
    </row>
    <row r="120" spans="1:107" hidden="1">
      <c r="A120" s="12" t="str">
        <f t="shared" si="148"/>
        <v>HRENERGIA ELECTRICAA15</v>
      </c>
      <c r="B120" s="12">
        <v>122</v>
      </c>
      <c r="C120" t="s">
        <v>29</v>
      </c>
      <c r="D120" s="404" t="s">
        <v>87</v>
      </c>
      <c r="E120" s="404" t="s">
        <v>100</v>
      </c>
      <c r="F120" s="259">
        <f t="shared" si="141"/>
        <v>5971</v>
      </c>
      <c r="G120" s="13">
        <f t="shared" si="217"/>
        <v>0</v>
      </c>
      <c r="H120" s="13">
        <f t="shared" si="217"/>
        <v>0</v>
      </c>
      <c r="I120" s="13">
        <f t="shared" si="217"/>
        <v>15285</v>
      </c>
      <c r="J120" s="13">
        <f t="shared" si="217"/>
        <v>0</v>
      </c>
      <c r="K120" s="13">
        <f t="shared" si="217"/>
        <v>15285</v>
      </c>
      <c r="L120" s="68">
        <f t="shared" si="149"/>
        <v>-9314</v>
      </c>
      <c r="M120" s="268">
        <f t="shared" si="150"/>
        <v>2.5598727181376653</v>
      </c>
      <c r="N120" s="13">
        <f t="shared" si="142"/>
        <v>0</v>
      </c>
      <c r="O120" s="13">
        <f t="shared" si="218"/>
        <v>0</v>
      </c>
      <c r="P120" s="13">
        <f t="shared" si="218"/>
        <v>0</v>
      </c>
      <c r="Q120" s="13">
        <f t="shared" si="218"/>
        <v>0</v>
      </c>
      <c r="R120" s="13">
        <f t="shared" si="218"/>
        <v>0</v>
      </c>
      <c r="S120" s="13">
        <f t="shared" si="218"/>
        <v>0</v>
      </c>
      <c r="T120" s="13">
        <f t="shared" si="218"/>
        <v>0</v>
      </c>
      <c r="U120" s="68">
        <f t="shared" si="151"/>
        <v>0</v>
      </c>
      <c r="V120" s="268">
        <f t="shared" si="152"/>
        <v>0</v>
      </c>
      <c r="W120" s="13">
        <f t="shared" si="143"/>
        <v>7659</v>
      </c>
      <c r="X120" s="13">
        <f t="shared" si="219"/>
        <v>0</v>
      </c>
      <c r="Y120" s="13">
        <f t="shared" si="219"/>
        <v>0</v>
      </c>
      <c r="Z120" s="13">
        <f t="shared" si="219"/>
        <v>8763</v>
      </c>
      <c r="AA120" s="13">
        <f t="shared" si="219"/>
        <v>0</v>
      </c>
      <c r="AB120" s="13">
        <f t="shared" si="219"/>
        <v>8763</v>
      </c>
      <c r="AC120" s="68">
        <f t="shared" si="153"/>
        <v>-1104</v>
      </c>
      <c r="AD120" s="268">
        <f t="shared" si="154"/>
        <v>1.1441441441441442</v>
      </c>
      <c r="AE120" s="13">
        <f t="shared" si="144"/>
        <v>0</v>
      </c>
      <c r="AF120" s="13">
        <f t="shared" si="220"/>
        <v>0</v>
      </c>
      <c r="AG120" s="13">
        <f t="shared" si="220"/>
        <v>0</v>
      </c>
      <c r="AH120" s="13">
        <f t="shared" si="220"/>
        <v>0</v>
      </c>
      <c r="AI120" s="13">
        <f t="shared" si="220"/>
        <v>0</v>
      </c>
      <c r="AJ120" s="13">
        <f t="shared" si="220"/>
        <v>0</v>
      </c>
      <c r="AK120" s="68">
        <f t="shared" si="155"/>
        <v>0</v>
      </c>
      <c r="AL120" s="268">
        <f t="shared" si="156"/>
        <v>0</v>
      </c>
      <c r="AM120" s="13">
        <f t="shared" si="145"/>
        <v>11715</v>
      </c>
      <c r="AN120" s="13">
        <f t="shared" si="221"/>
        <v>0</v>
      </c>
      <c r="AO120" s="13">
        <f t="shared" si="221"/>
        <v>0</v>
      </c>
      <c r="AP120" s="13">
        <f t="shared" si="221"/>
        <v>10323</v>
      </c>
      <c r="AQ120" s="13">
        <f t="shared" si="221"/>
        <v>0</v>
      </c>
      <c r="AR120" s="13">
        <f t="shared" si="221"/>
        <v>0</v>
      </c>
      <c r="AS120" s="13">
        <f t="shared" si="221"/>
        <v>10323</v>
      </c>
      <c r="AT120" s="68">
        <f>AM120-AS120</f>
        <v>1392</v>
      </c>
      <c r="AU120" s="268">
        <f t="shared" si="157"/>
        <v>0.88117797695262479</v>
      </c>
      <c r="AV120" s="13">
        <f t="shared" si="146"/>
        <v>0</v>
      </c>
      <c r="AW120" s="13">
        <f t="shared" si="222"/>
        <v>0</v>
      </c>
      <c r="AX120" s="13">
        <f t="shared" si="222"/>
        <v>0</v>
      </c>
      <c r="AY120" s="13">
        <f t="shared" si="222"/>
        <v>0</v>
      </c>
      <c r="AZ120" s="13">
        <f t="shared" si="222"/>
        <v>0</v>
      </c>
      <c r="BA120" s="13">
        <f t="shared" si="223"/>
        <v>0</v>
      </c>
      <c r="BB120" s="68">
        <f t="shared" si="158"/>
        <v>0</v>
      </c>
      <c r="BC120" s="268">
        <f t="shared" si="159"/>
        <v>0</v>
      </c>
      <c r="BD120" s="13">
        <f t="shared" si="160"/>
        <v>14717</v>
      </c>
      <c r="BE120" s="13">
        <f>SUMIFS(SALIDAS_BIT,FECHA_BIT,"&gt;="&amp;BE$2,FECHA_BIT,"&lt;="&amp;BE$3,CLAVE_BIT,$A120)+SUMIFS(SALIDAS_BOV1,FECHA_BOV1,"&gt;="&amp;BE$2,FECHA_BOV1,"&lt;="&amp;BE$3,CLAVE_BOV1,$A120)+SUMIFS(SALIDAS_BOV2,FECHA_BOV2,"&gt;="&amp;BE$2,FECHA_BOV2,"&lt;="&amp;BE$3,CLAVE_BOV2,$A120)+SUMIFS(SALIDAS_BOV3,FECHA_BOV3,"&gt;="&amp;BE$2,FECHA_BOV3,"&lt;="&amp;BE$3,CLAVE_BOV3,$A120)+SUMIFS(SALIDAS_TC,FECHA_TC,"&gt;="&amp;BE$2,FECHA_TC,"&lt;="&amp;BE$3,CLAVE_TC,$A120)+SUMIFS(SALIDAS_COMB,FECHA_COMB,"&gt;="&amp;BE$2,FECHA_COMB,"&lt;="&amp;BE$3,CLAVE_COMB,$A120)+SUMIFS(SALIDAS_DES,FECHA_DESGLOSEN,"&gt;="&amp;BE$2,FECHA_DESGLOSEN,"&lt;="&amp;BE$3,CLAVE_DESGLOSE,$A120)</f>
        <v>0</v>
      </c>
      <c r="BF120" s="13">
        <f>SUMIFS(SALIDAS_BIT,FECHA_BIT,"&gt;="&amp;BF$2,FECHA_BIT,"&lt;="&amp;BF$3,CLAVE_BIT,$A120)+SUMIFS(SALIDAS_BOV1,FECHA_BOV1,"&gt;="&amp;BF$2,FECHA_BOV1,"&lt;="&amp;BF$3,CLAVE_BOV1,$A120)+SUMIFS(SALIDAS_BOV2,FECHA_BOV2,"&gt;="&amp;BF$2,FECHA_BOV2,"&lt;="&amp;BF$3,CLAVE_BOV2,$A120)+SUMIFS(SALIDAS_BOV3,FECHA_BOV3,"&gt;="&amp;BF$2,FECHA_BOV3,"&lt;="&amp;BF$3,CLAVE_BOV3,$A120)+SUMIFS(SALIDAS_TC,FECHA_TC,"&gt;="&amp;BF$2,FECHA_TC,"&lt;="&amp;BF$3,CLAVE_TC,$A120)+SUMIFS(SALIDAS_COMB,FECHA_COMB,"&gt;="&amp;BF$2,FECHA_COMB,"&lt;="&amp;BF$3,CLAVE_COMB,$A120)+SUMIFS(SALIDAS_DES,FECHA_DESGLOSEN,"&gt;="&amp;BF$2,FECHA_DESGLOSEN,"&lt;="&amp;BF$3,CLAVE_DESGLOSE,$A120)</f>
        <v>0</v>
      </c>
      <c r="BG120" s="13">
        <f>SUMIFS(SALIDAS_BIT,FECHA_BIT,"&gt;="&amp;BG$2,FECHA_BIT,"&lt;="&amp;BG$3,CLAVE_BIT,$A120)+SUMIFS(SALIDAS_BOV1,FECHA_BOV1,"&gt;="&amp;BG$2,FECHA_BOV1,"&lt;="&amp;BG$3,CLAVE_BOV1,$A120)+SUMIFS(SALIDAS_BOV2,FECHA_BOV2,"&gt;="&amp;BG$2,FECHA_BOV2,"&lt;="&amp;BG$3,CLAVE_BOV2,$A120)+SUMIFS(SALIDAS_BOV3,FECHA_BOV3,"&gt;="&amp;BG$2,FECHA_BOV3,"&lt;="&amp;BG$3,CLAVE_BOV3,$A120)+SUMIFS(SALIDAS_TC,FECHA_TC,"&gt;="&amp;BG$2,FECHA_TC,"&lt;="&amp;BG$3,CLAVE_TC,$A120)+SUMIFS(SALIDAS_COMB,FECHA_COMB,"&gt;="&amp;BG$2,FECHA_COMB,"&lt;="&amp;BG$3,CLAVE_COMB,$A120)+SUMIFS(SALIDAS_DES,FECHA_DESGLOSEN,"&gt;="&amp;BG$2,FECHA_DESGLOSEN,"&lt;="&amp;BG$3,CLAVE_DESGLOSE,$A120)</f>
        <v>11415</v>
      </c>
      <c r="BH120" s="13">
        <f>SUMIFS(SALIDAS_BIT,FECHA_BIT,"&gt;="&amp;BH$2,FECHA_BIT,"&lt;="&amp;BH$3,CLAVE_BIT,$A120)+SUMIFS(SALIDAS_BOV1,FECHA_BOV1,"&gt;="&amp;BH$2,FECHA_BOV1,"&lt;="&amp;BH$3,CLAVE_BOV1,$A120)+SUMIFS(SALIDAS_BOV2,FECHA_BOV2,"&gt;="&amp;BH$2,FECHA_BOV2,"&lt;="&amp;BH$3,CLAVE_BOV2,$A120)+SUMIFS(SALIDAS_BOV3,FECHA_BOV3,"&gt;="&amp;BH$2,FECHA_BOV3,"&lt;="&amp;BH$3,CLAVE_BOV3,$A120)+SUMIFS(SALIDAS_TC,FECHA_TC,"&gt;="&amp;BH$2,FECHA_TC,"&lt;="&amp;BH$3,CLAVE_TC,$A120)+SUMIFS(SALIDAS_COMB,FECHA_COMB,"&gt;="&amp;BH$2,FECHA_COMB,"&lt;="&amp;BH$3,CLAVE_COMB,$A120)+SUMIFS(SALIDAS_DES,FECHA_DESGLOSEN,"&gt;="&amp;BH$2,FECHA_DESGLOSEN,"&lt;="&amp;BH$3,CLAVE_DESGLOSE,$A120)</f>
        <v>0</v>
      </c>
      <c r="BI120" s="13">
        <f t="shared" si="215"/>
        <v>11415</v>
      </c>
      <c r="BJ120" s="68">
        <f t="shared" si="161"/>
        <v>3302</v>
      </c>
      <c r="BK120" s="268">
        <f t="shared" si="162"/>
        <v>0.77563362098253719</v>
      </c>
      <c r="BL120" s="13">
        <f t="shared" si="163"/>
        <v>0</v>
      </c>
      <c r="BM120" s="13">
        <f>SUMIFS(SALIDAS_BIT,FECHA_BIT,"&gt;="&amp;BM$2,FECHA_BIT,"&lt;="&amp;BM$3,CLAVE_BIT,$A120)+SUMIFS(SALIDAS_BOV1,FECHA_BOV1,"&gt;="&amp;BM$2,FECHA_BOV1,"&lt;="&amp;BM$3,CLAVE_BOV1,$A120)+SUMIFS(SALIDAS_BOV2,FECHA_BOV2,"&gt;="&amp;BM$2,FECHA_BOV2,"&lt;="&amp;BM$3,CLAVE_BOV2,$A120)+SUMIFS(SALIDAS_BOV3,FECHA_BOV3,"&gt;="&amp;BM$2,FECHA_BOV3,"&lt;="&amp;BM$3,CLAVE_BOV3,$A120)+SUMIFS(SALIDAS_TC,FECHA_TC,"&gt;="&amp;BM$2,FECHA_TC,"&lt;="&amp;BM$3,CLAVE_TC,$A120)+SUMIFS(SALIDAS_COMB,FECHA_COMB,"&gt;="&amp;BM$2,FECHA_COMB,"&lt;="&amp;BM$3,CLAVE_COMB,$A120)+SUMIFS(SALIDAS_DES,FECHA_DESGLOSEN,"&gt;="&amp;BM$2,FECHA_DESGLOSEN,"&lt;="&amp;BM$3,CLAVE_DESGLOSE,$A120)</f>
        <v>0</v>
      </c>
      <c r="BN120" s="13">
        <f>SUMIFS(SALIDAS_BIT,FECHA_BIT,"&gt;="&amp;BN$2,FECHA_BIT,"&lt;="&amp;BN$3,CLAVE_BIT,$A120)+SUMIFS(SALIDAS_BOV1,FECHA_BOV1,"&gt;="&amp;BN$2,FECHA_BOV1,"&lt;="&amp;BN$3,CLAVE_BOV1,$A120)+SUMIFS(SALIDAS_BOV2,FECHA_BOV2,"&gt;="&amp;BN$2,FECHA_BOV2,"&lt;="&amp;BN$3,CLAVE_BOV2,$A120)+SUMIFS(SALIDAS_BOV3,FECHA_BOV3,"&gt;="&amp;BN$2,FECHA_BOV3,"&lt;="&amp;BN$3,CLAVE_BOV3,$A120)+SUMIFS(SALIDAS_TC,FECHA_TC,"&gt;="&amp;BN$2,FECHA_TC,"&lt;="&amp;BN$3,CLAVE_TC,$A120)+SUMIFS(SALIDAS_COMB,FECHA_COMB,"&gt;="&amp;BN$2,FECHA_COMB,"&lt;="&amp;BN$3,CLAVE_COMB,$A120)+SUMIFS(SALIDAS_DES,FECHA_DESGLOSEN,"&gt;="&amp;BN$2,FECHA_DESGLOSEN,"&lt;="&amp;BN$3,CLAVE_DESGLOSE,$A120)</f>
        <v>0</v>
      </c>
      <c r="BO120" s="13">
        <f>SUMIFS(SALIDAS_BIT,FECHA_BIT,"&gt;="&amp;BO$2,FECHA_BIT,"&lt;="&amp;BO$3,CLAVE_BIT,$A120)+SUMIFS(SALIDAS_BOV1,FECHA_BOV1,"&gt;="&amp;BO$2,FECHA_BOV1,"&lt;="&amp;BO$3,CLAVE_BOV1,$A120)+SUMIFS(SALIDAS_BOV2,FECHA_BOV2,"&gt;="&amp;BO$2,FECHA_BOV2,"&lt;="&amp;BO$3,CLAVE_BOV2,$A120)+SUMIFS(SALIDAS_BOV3,FECHA_BOV3,"&gt;="&amp;BO$2,FECHA_BOV3,"&lt;="&amp;BO$3,CLAVE_BOV3,$A120)+SUMIFS(SALIDAS_TC,FECHA_TC,"&gt;="&amp;BO$2,FECHA_TC,"&lt;="&amp;BO$3,CLAVE_TC,$A120)+SUMIFS(SALIDAS_COMB,FECHA_COMB,"&gt;="&amp;BO$2,FECHA_COMB,"&lt;="&amp;BO$3,CLAVE_COMB,$A120)+SUMIFS(SALIDAS_DES,FECHA_DESGLOSEN,"&gt;="&amp;BO$2,FECHA_DESGLOSEN,"&lt;="&amp;BO$3,CLAVE_DESGLOSE,$A120)</f>
        <v>0</v>
      </c>
      <c r="BP120" s="13">
        <f>SUMIFS(SALIDAS_BIT,FECHA_BIT,"&gt;="&amp;BP$2,FECHA_BIT,"&lt;="&amp;BP$3,CLAVE_BIT,$A120)+SUMIFS(SALIDAS_BOV1,FECHA_BOV1,"&gt;="&amp;BP$2,FECHA_BOV1,"&lt;="&amp;BP$3,CLAVE_BOV1,$A120)+SUMIFS(SALIDAS_BOV2,FECHA_BOV2,"&gt;="&amp;BP$2,FECHA_BOV2,"&lt;="&amp;BP$3,CLAVE_BOV2,$A120)+SUMIFS(SALIDAS_BOV3,FECHA_BOV3,"&gt;="&amp;BP$2,FECHA_BOV3,"&lt;="&amp;BP$3,CLAVE_BOV3,$A120)+SUMIFS(SALIDAS_TC,FECHA_TC,"&gt;="&amp;BP$2,FECHA_TC,"&lt;="&amp;BP$3,CLAVE_TC,$A120)+SUMIFS(SALIDAS_COMB,FECHA_COMB,"&gt;="&amp;BP$2,FECHA_COMB,"&lt;="&amp;BP$3,CLAVE_COMB,$A120)+SUMIFS(SALIDAS_DES,FECHA_DESGLOSEN,"&gt;="&amp;BP$2,FECHA_DESGLOSEN,"&lt;="&amp;BP$3,CLAVE_DESGLOSE,$A120)</f>
        <v>0</v>
      </c>
      <c r="BQ120" s="13">
        <f>SUMIFS(SALIDAS_BIT,FECHA_BIT,"&gt;="&amp;BQ$2,FECHA_BIT,"&lt;="&amp;BQ$3,CLAVE_BIT,$A120)+SUMIFS(SALIDAS_BOV1,FECHA_BOV1,"&gt;="&amp;BQ$2,FECHA_BOV1,"&lt;="&amp;BQ$3,CLAVE_BOV1,$A120)+SUMIFS(SALIDAS_BOV2,FECHA_BOV2,"&gt;="&amp;BQ$2,FECHA_BOV2,"&lt;="&amp;BQ$3,CLAVE_BOV2,$A120)+SUMIFS(SALIDAS_BOV3,FECHA_BOV3,"&gt;="&amp;BQ$2,FECHA_BOV3,"&lt;="&amp;BQ$3,CLAVE_BOV3,$A120)+SUMIFS(SALIDAS_TC,FECHA_TC,"&gt;="&amp;BQ$2,FECHA_TC,"&lt;="&amp;BQ$3,CLAVE_TC,$A120)+SUMIFS(SALIDAS_COMB,FECHA_COMB,"&gt;="&amp;BQ$2,FECHA_COMB,"&lt;="&amp;BQ$3,CLAVE_COMB,$A120)+SUMIFS(SALIDAS_DES,FECHA_DESGLOSEN,"&gt;="&amp;BQ$2,FECHA_DESGLOSEN,"&lt;="&amp;BQ$3,CLAVE_DESGLOSE,$A120)</f>
        <v>0</v>
      </c>
      <c r="BR120" s="13">
        <f t="shared" si="224"/>
        <v>0</v>
      </c>
      <c r="BS120" s="68">
        <f t="shared" si="164"/>
        <v>0</v>
      </c>
      <c r="BT120" s="268">
        <f t="shared" si="165"/>
        <v>0</v>
      </c>
      <c r="BU120" s="13">
        <f t="shared" si="166"/>
        <v>9039</v>
      </c>
      <c r="BV120" s="13">
        <f t="shared" si="186"/>
        <v>0</v>
      </c>
      <c r="BW120" s="13">
        <f t="shared" si="186"/>
        <v>0</v>
      </c>
      <c r="BX120" s="13">
        <f t="shared" si="186"/>
        <v>12563</v>
      </c>
      <c r="BY120" s="13">
        <f t="shared" si="186"/>
        <v>0</v>
      </c>
      <c r="BZ120" s="13">
        <f t="shared" si="225"/>
        <v>12563</v>
      </c>
      <c r="CA120" s="68">
        <f t="shared" si="167"/>
        <v>-3524</v>
      </c>
      <c r="CB120" s="268">
        <f t="shared" si="168"/>
        <v>1.3898661356344728</v>
      </c>
      <c r="CC120" s="13">
        <f t="shared" si="169"/>
        <v>0</v>
      </c>
      <c r="CD120" s="13">
        <f t="shared" si="187"/>
        <v>0</v>
      </c>
      <c r="CE120" s="13">
        <f t="shared" si="187"/>
        <v>0</v>
      </c>
      <c r="CF120" s="13">
        <f t="shared" si="187"/>
        <v>0</v>
      </c>
      <c r="CG120" s="13">
        <f t="shared" si="187"/>
        <v>0</v>
      </c>
      <c r="CH120" s="13">
        <f t="shared" si="226"/>
        <v>0</v>
      </c>
      <c r="CI120" s="68">
        <f t="shared" si="170"/>
        <v>0</v>
      </c>
      <c r="CJ120" s="268">
        <f t="shared" si="171"/>
        <v>0</v>
      </c>
      <c r="CK120" s="13">
        <f t="shared" si="172"/>
        <v>8276</v>
      </c>
      <c r="CL120" s="13">
        <f t="shared" si="176"/>
        <v>0</v>
      </c>
      <c r="CM120" s="13">
        <f t="shared" si="176"/>
        <v>0</v>
      </c>
      <c r="CN120" s="13">
        <f t="shared" si="176"/>
        <v>10350</v>
      </c>
      <c r="CO120" s="13">
        <f t="shared" si="176"/>
        <v>0</v>
      </c>
      <c r="CP120" s="13">
        <f t="shared" si="176"/>
        <v>0</v>
      </c>
      <c r="CQ120" s="13">
        <f t="shared" si="227"/>
        <v>10350</v>
      </c>
      <c r="CR120" s="68">
        <f t="shared" si="173"/>
        <v>-2074</v>
      </c>
      <c r="CS120" s="268">
        <f t="shared" si="174"/>
        <v>1.25060415659739</v>
      </c>
      <c r="CT120" s="68">
        <f t="shared" si="147"/>
        <v>0</v>
      </c>
      <c r="CU120" s="13">
        <f>SUMIFS(SALIDAS_BIT,FECHA_BIT,"&gt;="&amp;CU$2,FECHA_BIT,"&lt;="&amp;CU$3,CLAVE_BIT,$A120)+SUMIFS(SALIDAS_BOV1,FECHA_BOV1,"&gt;="&amp;CU$2,FECHA_BOV1,"&lt;="&amp;CU$3,CLAVE_BOV1,$A120)+SUMIFS(SALIDAS_BOV2,FECHA_BOV2,"&gt;="&amp;CU$2,FECHA_BOV2,"&lt;="&amp;CU$3,CLAVE_BOV2,$A120)+SUMIFS(SALIDAS_BOV3,FECHA_BOV3,"&gt;="&amp;CU$2,FECHA_BOV3,"&lt;="&amp;CU$3,CLAVE_BOV3,$A120)+SUMIFS(SALIDAS_TC,FECHA_TC,"&gt;="&amp;CU$2,FECHA_TC,"&lt;="&amp;CU$3,CLAVE_TC,$A120)+SUMIFS(SALIDAS_COMB,FECHA_COMB,"&gt;="&amp;CU$2,FECHA_COMB,"&lt;="&amp;CU$3,CLAVE_COMB,$A120)+SUMIFS(SALIDAS_DES,FECHA_DESGLOSEN,"&gt;="&amp;CU$2,FECHA_DESGLOSEN,"&lt;="&amp;CU$3,CLAVE_DESGLOSE,$A120)</f>
        <v>0</v>
      </c>
      <c r="CV120" s="13">
        <f>SUMIFS(SALIDAS_BIT,FECHA_BIT,"&gt;="&amp;CV$2,FECHA_BIT,"&lt;="&amp;CV$3,CLAVE_BIT,$A120)+SUMIFS(SALIDAS_BOV1,FECHA_BOV1,"&gt;="&amp;CV$2,FECHA_BOV1,"&lt;="&amp;CV$3,CLAVE_BOV1,$A120)+SUMIFS(SALIDAS_BOV2,FECHA_BOV2,"&gt;="&amp;CV$2,FECHA_BOV2,"&lt;="&amp;CV$3,CLAVE_BOV2,$A120)+SUMIFS(SALIDAS_BOV3,FECHA_BOV3,"&gt;="&amp;CV$2,FECHA_BOV3,"&lt;="&amp;CV$3,CLAVE_BOV3,$A120)+SUMIFS(SALIDAS_TC,FECHA_TC,"&gt;="&amp;CV$2,FECHA_TC,"&lt;="&amp;CV$3,CLAVE_TC,$A120)+SUMIFS(SALIDAS_COMB,FECHA_COMB,"&gt;="&amp;CV$2,FECHA_COMB,"&lt;="&amp;CV$3,CLAVE_COMB,$A120)+SUMIFS(SALIDAS_DES,FECHA_DESGLOSEN,"&gt;="&amp;CV$2,FECHA_DESGLOSEN,"&lt;="&amp;CV$3,CLAVE_DESGLOSE,$A120)</f>
        <v>0</v>
      </c>
      <c r="CW120" s="13">
        <f>SUMIFS(SALIDAS_BIT,FECHA_BIT,"&gt;="&amp;CW$2,FECHA_BIT,"&lt;="&amp;CW$3,CLAVE_BIT,$A120)+SUMIFS(SALIDAS_BOV1,FECHA_BOV1,"&gt;="&amp;CW$2,FECHA_BOV1,"&lt;="&amp;CW$3,CLAVE_BOV1,$A120)+SUMIFS(SALIDAS_BOV2,FECHA_BOV2,"&gt;="&amp;CW$2,FECHA_BOV2,"&lt;="&amp;CW$3,CLAVE_BOV2,$A120)+SUMIFS(SALIDAS_BOV3,FECHA_BOV3,"&gt;="&amp;CW$2,FECHA_BOV3,"&lt;="&amp;CW$3,CLAVE_BOV3,$A120)+SUMIFS(SALIDAS_TC,FECHA_TC,"&gt;="&amp;CW$2,FECHA_TC,"&lt;="&amp;CW$3,CLAVE_TC,$A120)+SUMIFS(SALIDAS_COMB,FECHA_COMB,"&gt;="&amp;CW$2,FECHA_COMB,"&lt;="&amp;CW$3,CLAVE_COMB,$A120)+SUMIFS(SALIDAS_DES,FECHA_DESGLOSEN,"&gt;="&amp;CW$2,FECHA_DESGLOSEN,"&lt;="&amp;CW$3,CLAVE_DESGLOSE,$A120)</f>
        <v>0</v>
      </c>
      <c r="CX120" s="13">
        <f>SUMIFS(SALIDAS_BIT,FECHA_BIT,"&gt;="&amp;CX$2,FECHA_BIT,"&lt;="&amp;CX$3,CLAVE_BIT,$A120)+SUMIFS(SALIDAS_BOV1,FECHA_BOV1,"&gt;="&amp;CX$2,FECHA_BOV1,"&lt;="&amp;CX$3,CLAVE_BOV1,$A120)+SUMIFS(SALIDAS_BOV2,FECHA_BOV2,"&gt;="&amp;CX$2,FECHA_BOV2,"&lt;="&amp;CX$3,CLAVE_BOV2,$A120)+SUMIFS(SALIDAS_BOV3,FECHA_BOV3,"&gt;="&amp;CX$2,FECHA_BOV3,"&lt;="&amp;CX$3,CLAVE_BOV3,$A120)+SUMIFS(SALIDAS_TC,FECHA_TC,"&gt;="&amp;CX$2,FECHA_TC,"&lt;="&amp;CX$3,CLAVE_TC,$A120)+SUMIFS(SALIDAS_COMB,FECHA_COMB,"&gt;="&amp;CX$2,FECHA_COMB,"&lt;="&amp;CX$3,CLAVE_COMB,$A120)+SUMIFS(SALIDAS_DES,FECHA_DESGLOSEN,"&gt;="&amp;CX$2,FECHA_DESGLOSEN,"&lt;="&amp;CX$3,CLAVE_DESGLOSE,$A120)</f>
        <v>0</v>
      </c>
      <c r="CY120" s="13">
        <f>SUMIFS(SALIDAS_BIT,FECHA_BIT,"&gt;="&amp;CY$2,FECHA_BIT,"&lt;="&amp;CY$3,CLAVE_BIT,$A120)+SUMIFS(SALIDAS_BOV1,FECHA_BOV1,"&gt;="&amp;CY$2,FECHA_BOV1,"&lt;="&amp;CY$3,CLAVE_BOV1,$A120)+SUMIFS(SALIDAS_BOV2,FECHA_BOV2,"&gt;="&amp;CY$2,FECHA_BOV2,"&lt;="&amp;CY$3,CLAVE_BOV2,$A120)+SUMIFS(SALIDAS_BOV3,FECHA_BOV3,"&gt;="&amp;CY$2,FECHA_BOV3,"&lt;="&amp;CY$3,CLAVE_BOV3,$A120)+SUMIFS(SALIDAS_TC,FECHA_TC,"&gt;="&amp;CY$2,FECHA_TC,"&lt;="&amp;CY$3,CLAVE_TC,$A120)+SUMIFS(SALIDAS_COMB,FECHA_COMB,"&gt;="&amp;CY$2,FECHA_COMB,"&lt;="&amp;CY$3,CLAVE_COMB,$A120)+SUMIFS(SALIDAS_DES,FECHA_DESGLOSEN,"&gt;="&amp;CY$2,FECHA_DESGLOSEN,"&lt;="&amp;CY$3,CLAVE_DESGLOSE,$A120)</f>
        <v>0</v>
      </c>
      <c r="CZ120" s="68">
        <f t="shared" si="175"/>
        <v>0</v>
      </c>
      <c r="DB120" s="17">
        <f>F120+N120+W120+AE120+AM120+AV120+BD120+BL120+BU120+CC120+CK120</f>
        <v>57377</v>
      </c>
      <c r="DC120" s="17">
        <f>K120+T120+AB120+AJ120+AS120+BA120+BI120+BR120+BZ120+CH120+CQ120</f>
        <v>68699</v>
      </c>
    </row>
    <row r="121" spans="1:107" hidden="1">
      <c r="A121" s="12" t="str">
        <f t="shared" si="148"/>
        <v>HRENERGIA ELECTRICAA16</v>
      </c>
      <c r="B121" s="12">
        <v>123</v>
      </c>
      <c r="C121" t="s">
        <v>29</v>
      </c>
      <c r="D121" s="12" t="s">
        <v>87</v>
      </c>
      <c r="E121" s="12" t="s">
        <v>101</v>
      </c>
      <c r="F121" s="259">
        <f t="shared" si="141"/>
        <v>0</v>
      </c>
      <c r="G121" s="13">
        <f t="shared" si="217"/>
        <v>0</v>
      </c>
      <c r="H121" s="13">
        <f t="shared" si="217"/>
        <v>0</v>
      </c>
      <c r="I121" s="13">
        <f t="shared" si="217"/>
        <v>0</v>
      </c>
      <c r="J121" s="13">
        <f t="shared" si="217"/>
        <v>0</v>
      </c>
      <c r="K121" s="13">
        <f t="shared" si="217"/>
        <v>0</v>
      </c>
      <c r="L121" s="68">
        <f t="shared" si="149"/>
        <v>0</v>
      </c>
      <c r="M121" s="268">
        <f t="shared" si="150"/>
        <v>0</v>
      </c>
      <c r="N121" s="13">
        <f t="shared" si="142"/>
        <v>2758</v>
      </c>
      <c r="O121" s="13">
        <f t="shared" si="218"/>
        <v>0</v>
      </c>
      <c r="P121" s="13">
        <f t="shared" si="218"/>
        <v>0</v>
      </c>
      <c r="Q121" s="13">
        <f t="shared" si="218"/>
        <v>0</v>
      </c>
      <c r="R121" s="13">
        <f t="shared" si="218"/>
        <v>0</v>
      </c>
      <c r="S121" s="13">
        <f t="shared" si="218"/>
        <v>0</v>
      </c>
      <c r="T121" s="13">
        <f t="shared" si="218"/>
        <v>0</v>
      </c>
      <c r="U121" s="68">
        <f t="shared" si="151"/>
        <v>2758</v>
      </c>
      <c r="V121" s="268">
        <f t="shared" si="152"/>
        <v>0</v>
      </c>
      <c r="W121" s="13">
        <f t="shared" si="143"/>
        <v>0</v>
      </c>
      <c r="X121" s="13">
        <f t="shared" si="219"/>
        <v>0</v>
      </c>
      <c r="Y121" s="13">
        <f t="shared" si="219"/>
        <v>0</v>
      </c>
      <c r="Z121" s="13">
        <f t="shared" si="219"/>
        <v>0</v>
      </c>
      <c r="AA121" s="13">
        <f t="shared" si="219"/>
        <v>0</v>
      </c>
      <c r="AB121" s="13">
        <f t="shared" si="219"/>
        <v>0</v>
      </c>
      <c r="AC121" s="68">
        <f t="shared" si="153"/>
        <v>0</v>
      </c>
      <c r="AD121" s="268">
        <f t="shared" si="154"/>
        <v>0</v>
      </c>
      <c r="AE121" s="13">
        <f t="shared" si="144"/>
        <v>0</v>
      </c>
      <c r="AF121" s="13">
        <f t="shared" si="220"/>
        <v>0</v>
      </c>
      <c r="AG121" s="13">
        <f t="shared" si="220"/>
        <v>0</v>
      </c>
      <c r="AH121" s="13">
        <f t="shared" si="220"/>
        <v>0</v>
      </c>
      <c r="AI121" s="13">
        <f t="shared" si="220"/>
        <v>0</v>
      </c>
      <c r="AJ121" s="13">
        <f t="shared" si="220"/>
        <v>0</v>
      </c>
      <c r="AK121" s="68">
        <f t="shared" si="155"/>
        <v>0</v>
      </c>
      <c r="AL121" s="268">
        <f t="shared" si="156"/>
        <v>0</v>
      </c>
      <c r="AM121" s="13">
        <f t="shared" si="145"/>
        <v>0</v>
      </c>
      <c r="AN121" s="13">
        <f t="shared" si="221"/>
        <v>0</v>
      </c>
      <c r="AO121" s="13">
        <f t="shared" si="221"/>
        <v>0</v>
      </c>
      <c r="AP121" s="13">
        <f t="shared" si="221"/>
        <v>0</v>
      </c>
      <c r="AQ121" s="13">
        <f t="shared" si="221"/>
        <v>0</v>
      </c>
      <c r="AR121" s="13">
        <f t="shared" si="221"/>
        <v>0</v>
      </c>
      <c r="AS121" s="13">
        <f t="shared" si="221"/>
        <v>0</v>
      </c>
      <c r="AT121" s="68">
        <f>AM121-AS121</f>
        <v>0</v>
      </c>
      <c r="AU121" s="268">
        <f t="shared" si="157"/>
        <v>0</v>
      </c>
      <c r="AV121" s="13">
        <f t="shared" si="146"/>
        <v>258</v>
      </c>
      <c r="AW121" s="13">
        <f t="shared" si="222"/>
        <v>0</v>
      </c>
      <c r="AX121" s="13">
        <f t="shared" si="222"/>
        <v>0</v>
      </c>
      <c r="AY121" s="13">
        <f t="shared" si="222"/>
        <v>0</v>
      </c>
      <c r="AZ121" s="13">
        <f t="shared" si="222"/>
        <v>4738</v>
      </c>
      <c r="BA121" s="13">
        <f t="shared" si="223"/>
        <v>4738</v>
      </c>
      <c r="BB121" s="68">
        <f t="shared" si="158"/>
        <v>-4480</v>
      </c>
      <c r="BC121" s="268">
        <f t="shared" si="159"/>
        <v>18.364341085271317</v>
      </c>
      <c r="BD121" s="13">
        <f t="shared" si="160"/>
        <v>0</v>
      </c>
      <c r="BE121" s="13">
        <f>SUMIFS(SALIDAS_BIT,FECHA_BIT,"&gt;="&amp;BE$2,FECHA_BIT,"&lt;="&amp;BE$3,CLAVE_BIT,$A121)+SUMIFS(SALIDAS_BOV1,FECHA_BOV1,"&gt;="&amp;BE$2,FECHA_BOV1,"&lt;="&amp;BE$3,CLAVE_BOV1,$A121)+SUMIFS(SALIDAS_BOV2,FECHA_BOV2,"&gt;="&amp;BE$2,FECHA_BOV2,"&lt;="&amp;BE$3,CLAVE_BOV2,$A121)+SUMIFS(SALIDAS_BOV3,FECHA_BOV3,"&gt;="&amp;BE$2,FECHA_BOV3,"&lt;="&amp;BE$3,CLAVE_BOV3,$A121)+SUMIFS(SALIDAS_TC,FECHA_TC,"&gt;="&amp;BE$2,FECHA_TC,"&lt;="&amp;BE$3,CLAVE_TC,$A121)+SUMIFS(SALIDAS_COMB,FECHA_COMB,"&gt;="&amp;BE$2,FECHA_COMB,"&lt;="&amp;BE$3,CLAVE_COMB,$A121)+SUMIFS(SALIDAS_DES,FECHA_DESGLOSEN,"&gt;="&amp;BE$2,FECHA_DESGLOSEN,"&lt;="&amp;BE$3,CLAVE_DESGLOSE,$A121)</f>
        <v>0</v>
      </c>
      <c r="BF121" s="13">
        <f>SUMIFS(SALIDAS_BIT,FECHA_BIT,"&gt;="&amp;BF$2,FECHA_BIT,"&lt;="&amp;BF$3,CLAVE_BIT,$A121)+SUMIFS(SALIDAS_BOV1,FECHA_BOV1,"&gt;="&amp;BF$2,FECHA_BOV1,"&lt;="&amp;BF$3,CLAVE_BOV1,$A121)+SUMIFS(SALIDAS_BOV2,FECHA_BOV2,"&gt;="&amp;BF$2,FECHA_BOV2,"&lt;="&amp;BF$3,CLAVE_BOV2,$A121)+SUMIFS(SALIDAS_BOV3,FECHA_BOV3,"&gt;="&amp;BF$2,FECHA_BOV3,"&lt;="&amp;BF$3,CLAVE_BOV3,$A121)+SUMIFS(SALIDAS_TC,FECHA_TC,"&gt;="&amp;BF$2,FECHA_TC,"&lt;="&amp;BF$3,CLAVE_TC,$A121)+SUMIFS(SALIDAS_COMB,FECHA_COMB,"&gt;="&amp;BF$2,FECHA_COMB,"&lt;="&amp;BF$3,CLAVE_COMB,$A121)+SUMIFS(SALIDAS_DES,FECHA_DESGLOSEN,"&gt;="&amp;BF$2,FECHA_DESGLOSEN,"&lt;="&amp;BF$3,CLAVE_DESGLOSE,$A121)</f>
        <v>0</v>
      </c>
      <c r="BG121" s="13">
        <f>SUMIFS(SALIDAS_BIT,FECHA_BIT,"&gt;="&amp;BG$2,FECHA_BIT,"&lt;="&amp;BG$3,CLAVE_BIT,$A121)+SUMIFS(SALIDAS_BOV1,FECHA_BOV1,"&gt;="&amp;BG$2,FECHA_BOV1,"&lt;="&amp;BG$3,CLAVE_BOV1,$A121)+SUMIFS(SALIDAS_BOV2,FECHA_BOV2,"&gt;="&amp;BG$2,FECHA_BOV2,"&lt;="&amp;BG$3,CLAVE_BOV2,$A121)+SUMIFS(SALIDAS_BOV3,FECHA_BOV3,"&gt;="&amp;BG$2,FECHA_BOV3,"&lt;="&amp;BG$3,CLAVE_BOV3,$A121)+SUMIFS(SALIDAS_TC,FECHA_TC,"&gt;="&amp;BG$2,FECHA_TC,"&lt;="&amp;BG$3,CLAVE_TC,$A121)+SUMIFS(SALIDAS_COMB,FECHA_COMB,"&gt;="&amp;BG$2,FECHA_COMB,"&lt;="&amp;BG$3,CLAVE_COMB,$A121)+SUMIFS(SALIDAS_DES,FECHA_DESGLOSEN,"&gt;="&amp;BG$2,FECHA_DESGLOSEN,"&lt;="&amp;BG$3,CLAVE_DESGLOSE,$A121)</f>
        <v>0</v>
      </c>
      <c r="BH121" s="13">
        <f>SUMIFS(SALIDAS_BIT,FECHA_BIT,"&gt;="&amp;BH$2,FECHA_BIT,"&lt;="&amp;BH$3,CLAVE_BIT,$A121)+SUMIFS(SALIDAS_BOV1,FECHA_BOV1,"&gt;="&amp;BH$2,FECHA_BOV1,"&lt;="&amp;BH$3,CLAVE_BOV1,$A121)+SUMIFS(SALIDAS_BOV2,FECHA_BOV2,"&gt;="&amp;BH$2,FECHA_BOV2,"&lt;="&amp;BH$3,CLAVE_BOV2,$A121)+SUMIFS(SALIDAS_BOV3,FECHA_BOV3,"&gt;="&amp;BH$2,FECHA_BOV3,"&lt;="&amp;BH$3,CLAVE_BOV3,$A121)+SUMIFS(SALIDAS_TC,FECHA_TC,"&gt;="&amp;BH$2,FECHA_TC,"&lt;="&amp;BH$3,CLAVE_TC,$A121)+SUMIFS(SALIDAS_COMB,FECHA_COMB,"&gt;="&amp;BH$2,FECHA_COMB,"&lt;="&amp;BH$3,CLAVE_COMB,$A121)+SUMIFS(SALIDAS_DES,FECHA_DESGLOSEN,"&gt;="&amp;BH$2,FECHA_DESGLOSEN,"&lt;="&amp;BH$3,CLAVE_DESGLOSE,$A121)</f>
        <v>0</v>
      </c>
      <c r="BI121" s="13">
        <f t="shared" si="215"/>
        <v>0</v>
      </c>
      <c r="BJ121" s="68">
        <f t="shared" si="161"/>
        <v>0</v>
      </c>
      <c r="BK121" s="268">
        <f t="shared" si="162"/>
        <v>0</v>
      </c>
      <c r="BL121" s="13">
        <f t="shared" si="163"/>
        <v>0</v>
      </c>
      <c r="BM121" s="13">
        <f>SUMIFS(SALIDAS_BIT,FECHA_BIT,"&gt;="&amp;BM$2,FECHA_BIT,"&lt;="&amp;BM$3,CLAVE_BIT,$A121)+SUMIFS(SALIDAS_BOV1,FECHA_BOV1,"&gt;="&amp;BM$2,FECHA_BOV1,"&lt;="&amp;BM$3,CLAVE_BOV1,$A121)+SUMIFS(SALIDAS_BOV2,FECHA_BOV2,"&gt;="&amp;BM$2,FECHA_BOV2,"&lt;="&amp;BM$3,CLAVE_BOV2,$A121)+SUMIFS(SALIDAS_BOV3,FECHA_BOV3,"&gt;="&amp;BM$2,FECHA_BOV3,"&lt;="&amp;BM$3,CLAVE_BOV3,$A121)+SUMIFS(SALIDAS_TC,FECHA_TC,"&gt;="&amp;BM$2,FECHA_TC,"&lt;="&amp;BM$3,CLAVE_TC,$A121)+SUMIFS(SALIDAS_COMB,FECHA_COMB,"&gt;="&amp;BM$2,FECHA_COMB,"&lt;="&amp;BM$3,CLAVE_COMB,$A121)+SUMIFS(SALIDAS_DES,FECHA_DESGLOSEN,"&gt;="&amp;BM$2,FECHA_DESGLOSEN,"&lt;="&amp;BM$3,CLAVE_DESGLOSE,$A121)</f>
        <v>0</v>
      </c>
      <c r="BN121" s="13">
        <f>SUMIFS(SALIDAS_BIT,FECHA_BIT,"&gt;="&amp;BN$2,FECHA_BIT,"&lt;="&amp;BN$3,CLAVE_BIT,$A121)+SUMIFS(SALIDAS_BOV1,FECHA_BOV1,"&gt;="&amp;BN$2,FECHA_BOV1,"&lt;="&amp;BN$3,CLAVE_BOV1,$A121)+SUMIFS(SALIDAS_BOV2,FECHA_BOV2,"&gt;="&amp;BN$2,FECHA_BOV2,"&lt;="&amp;BN$3,CLAVE_BOV2,$A121)+SUMIFS(SALIDAS_BOV3,FECHA_BOV3,"&gt;="&amp;BN$2,FECHA_BOV3,"&lt;="&amp;BN$3,CLAVE_BOV3,$A121)+SUMIFS(SALIDAS_TC,FECHA_TC,"&gt;="&amp;BN$2,FECHA_TC,"&lt;="&amp;BN$3,CLAVE_TC,$A121)+SUMIFS(SALIDAS_COMB,FECHA_COMB,"&gt;="&amp;BN$2,FECHA_COMB,"&lt;="&amp;BN$3,CLAVE_COMB,$A121)+SUMIFS(SALIDAS_DES,FECHA_DESGLOSEN,"&gt;="&amp;BN$2,FECHA_DESGLOSEN,"&lt;="&amp;BN$3,CLAVE_DESGLOSE,$A121)</f>
        <v>0</v>
      </c>
      <c r="BO121" s="13">
        <f>SUMIFS(SALIDAS_BIT,FECHA_BIT,"&gt;="&amp;BO$2,FECHA_BIT,"&lt;="&amp;BO$3,CLAVE_BIT,$A121)+SUMIFS(SALIDAS_BOV1,FECHA_BOV1,"&gt;="&amp;BO$2,FECHA_BOV1,"&lt;="&amp;BO$3,CLAVE_BOV1,$A121)+SUMIFS(SALIDAS_BOV2,FECHA_BOV2,"&gt;="&amp;BO$2,FECHA_BOV2,"&lt;="&amp;BO$3,CLAVE_BOV2,$A121)+SUMIFS(SALIDAS_BOV3,FECHA_BOV3,"&gt;="&amp;BO$2,FECHA_BOV3,"&lt;="&amp;BO$3,CLAVE_BOV3,$A121)+SUMIFS(SALIDAS_TC,FECHA_TC,"&gt;="&amp;BO$2,FECHA_TC,"&lt;="&amp;BO$3,CLAVE_TC,$A121)+SUMIFS(SALIDAS_COMB,FECHA_COMB,"&gt;="&amp;BO$2,FECHA_COMB,"&lt;="&amp;BO$3,CLAVE_COMB,$A121)+SUMIFS(SALIDAS_DES,FECHA_DESGLOSEN,"&gt;="&amp;BO$2,FECHA_DESGLOSEN,"&lt;="&amp;BO$3,CLAVE_DESGLOSE,$A121)</f>
        <v>0</v>
      </c>
      <c r="BP121" s="13">
        <f>SUMIFS(SALIDAS_BIT,FECHA_BIT,"&gt;="&amp;BP$2,FECHA_BIT,"&lt;="&amp;BP$3,CLAVE_BIT,$A121)+SUMIFS(SALIDAS_BOV1,FECHA_BOV1,"&gt;="&amp;BP$2,FECHA_BOV1,"&lt;="&amp;BP$3,CLAVE_BOV1,$A121)+SUMIFS(SALIDAS_BOV2,FECHA_BOV2,"&gt;="&amp;BP$2,FECHA_BOV2,"&lt;="&amp;BP$3,CLAVE_BOV2,$A121)+SUMIFS(SALIDAS_BOV3,FECHA_BOV3,"&gt;="&amp;BP$2,FECHA_BOV3,"&lt;="&amp;BP$3,CLAVE_BOV3,$A121)+SUMIFS(SALIDAS_TC,FECHA_TC,"&gt;="&amp;BP$2,FECHA_TC,"&lt;="&amp;BP$3,CLAVE_TC,$A121)+SUMIFS(SALIDAS_COMB,FECHA_COMB,"&gt;="&amp;BP$2,FECHA_COMB,"&lt;="&amp;BP$3,CLAVE_COMB,$A121)+SUMIFS(SALIDAS_DES,FECHA_DESGLOSEN,"&gt;="&amp;BP$2,FECHA_DESGLOSEN,"&lt;="&amp;BP$3,CLAVE_DESGLOSE,$A121)</f>
        <v>0</v>
      </c>
      <c r="BQ121" s="13">
        <f>SUMIFS(SALIDAS_BIT,FECHA_BIT,"&gt;="&amp;BQ$2,FECHA_BIT,"&lt;="&amp;BQ$3,CLAVE_BIT,$A121)+SUMIFS(SALIDAS_BOV1,FECHA_BOV1,"&gt;="&amp;BQ$2,FECHA_BOV1,"&lt;="&amp;BQ$3,CLAVE_BOV1,$A121)+SUMIFS(SALIDAS_BOV2,FECHA_BOV2,"&gt;="&amp;BQ$2,FECHA_BOV2,"&lt;="&amp;BQ$3,CLAVE_BOV2,$A121)+SUMIFS(SALIDAS_BOV3,FECHA_BOV3,"&gt;="&amp;BQ$2,FECHA_BOV3,"&lt;="&amp;BQ$3,CLAVE_BOV3,$A121)+SUMIFS(SALIDAS_TC,FECHA_TC,"&gt;="&amp;BQ$2,FECHA_TC,"&lt;="&amp;BQ$3,CLAVE_TC,$A121)+SUMIFS(SALIDAS_COMB,FECHA_COMB,"&gt;="&amp;BQ$2,FECHA_COMB,"&lt;="&amp;BQ$3,CLAVE_COMB,$A121)+SUMIFS(SALIDAS_DES,FECHA_DESGLOSEN,"&gt;="&amp;BQ$2,FECHA_DESGLOSEN,"&lt;="&amp;BQ$3,CLAVE_DESGLOSE,$A121)</f>
        <v>0</v>
      </c>
      <c r="BR121" s="13">
        <f t="shared" si="224"/>
        <v>0</v>
      </c>
      <c r="BS121" s="68">
        <f t="shared" si="164"/>
        <v>0</v>
      </c>
      <c r="BT121" s="268">
        <f t="shared" si="165"/>
        <v>0</v>
      </c>
      <c r="BU121" s="13">
        <f t="shared" si="166"/>
        <v>0</v>
      </c>
      <c r="BV121" s="13">
        <f t="shared" si="186"/>
        <v>0</v>
      </c>
      <c r="BW121" s="13">
        <f t="shared" si="186"/>
        <v>0</v>
      </c>
      <c r="BX121" s="13">
        <f t="shared" si="186"/>
        <v>0</v>
      </c>
      <c r="BY121" s="13">
        <f t="shared" si="186"/>
        <v>0</v>
      </c>
      <c r="BZ121" s="13">
        <f t="shared" si="225"/>
        <v>0</v>
      </c>
      <c r="CA121" s="68">
        <f t="shared" si="167"/>
        <v>0</v>
      </c>
      <c r="CB121" s="268">
        <f t="shared" si="168"/>
        <v>0</v>
      </c>
      <c r="CC121" s="13">
        <f t="shared" si="169"/>
        <v>0</v>
      </c>
      <c r="CD121" s="13">
        <f t="shared" si="187"/>
        <v>0</v>
      </c>
      <c r="CE121" s="13">
        <f t="shared" si="187"/>
        <v>0</v>
      </c>
      <c r="CF121" s="13">
        <f t="shared" si="187"/>
        <v>0</v>
      </c>
      <c r="CG121" s="13">
        <f t="shared" si="187"/>
        <v>0</v>
      </c>
      <c r="CH121" s="13">
        <f t="shared" si="226"/>
        <v>0</v>
      </c>
      <c r="CI121" s="68">
        <f t="shared" si="170"/>
        <v>0</v>
      </c>
      <c r="CJ121" s="268">
        <f t="shared" si="171"/>
        <v>0</v>
      </c>
      <c r="CK121" s="13">
        <f t="shared" si="172"/>
        <v>6341</v>
      </c>
      <c r="CL121" s="13">
        <f t="shared" si="176"/>
        <v>10550</v>
      </c>
      <c r="CM121" s="13">
        <f t="shared" si="176"/>
        <v>0</v>
      </c>
      <c r="CN121" s="13">
        <f t="shared" si="176"/>
        <v>0</v>
      </c>
      <c r="CO121" s="13">
        <f t="shared" si="176"/>
        <v>0</v>
      </c>
      <c r="CP121" s="13">
        <f t="shared" si="176"/>
        <v>0</v>
      </c>
      <c r="CQ121" s="13">
        <f t="shared" si="227"/>
        <v>10550</v>
      </c>
      <c r="CR121" s="68">
        <f t="shared" si="173"/>
        <v>-4209</v>
      </c>
      <c r="CS121" s="268">
        <f t="shared" si="174"/>
        <v>1.6637754297429428</v>
      </c>
      <c r="CT121" s="68">
        <f t="shared" si="147"/>
        <v>7045</v>
      </c>
      <c r="CU121" s="13">
        <f>SUMIFS(SALIDAS_BIT,FECHA_BIT,"&gt;="&amp;CU$2,FECHA_BIT,"&lt;="&amp;CU$3,CLAVE_BIT,$A121)+SUMIFS(SALIDAS_BOV1,FECHA_BOV1,"&gt;="&amp;CU$2,FECHA_BOV1,"&lt;="&amp;CU$3,CLAVE_BOV1,$A121)+SUMIFS(SALIDAS_BOV2,FECHA_BOV2,"&gt;="&amp;CU$2,FECHA_BOV2,"&lt;="&amp;CU$3,CLAVE_BOV2,$A121)+SUMIFS(SALIDAS_BOV3,FECHA_BOV3,"&gt;="&amp;CU$2,FECHA_BOV3,"&lt;="&amp;CU$3,CLAVE_BOV3,$A121)+SUMIFS(SALIDAS_TC,FECHA_TC,"&gt;="&amp;CU$2,FECHA_TC,"&lt;="&amp;CU$3,CLAVE_TC,$A121)+SUMIFS(SALIDAS_COMB,FECHA_COMB,"&gt;="&amp;CU$2,FECHA_COMB,"&lt;="&amp;CU$3,CLAVE_COMB,$A121)+SUMIFS(SALIDAS_DES,FECHA_DESGLOSEN,"&gt;="&amp;CU$2,FECHA_DESGLOSEN,"&lt;="&amp;CU$3,CLAVE_DESGLOSE,$A121)</f>
        <v>0</v>
      </c>
      <c r="CV121" s="13">
        <f>SUMIFS(SALIDAS_BIT,FECHA_BIT,"&gt;="&amp;CV$2,FECHA_BIT,"&lt;="&amp;CV$3,CLAVE_BIT,$A121)+SUMIFS(SALIDAS_BOV1,FECHA_BOV1,"&gt;="&amp;CV$2,FECHA_BOV1,"&lt;="&amp;CV$3,CLAVE_BOV1,$A121)+SUMIFS(SALIDAS_BOV2,FECHA_BOV2,"&gt;="&amp;CV$2,FECHA_BOV2,"&lt;="&amp;CV$3,CLAVE_BOV2,$A121)+SUMIFS(SALIDAS_BOV3,FECHA_BOV3,"&gt;="&amp;CV$2,FECHA_BOV3,"&lt;="&amp;CV$3,CLAVE_BOV3,$A121)+SUMIFS(SALIDAS_TC,FECHA_TC,"&gt;="&amp;CV$2,FECHA_TC,"&lt;="&amp;CV$3,CLAVE_TC,$A121)+SUMIFS(SALIDAS_COMB,FECHA_COMB,"&gt;="&amp;CV$2,FECHA_COMB,"&lt;="&amp;CV$3,CLAVE_COMB,$A121)+SUMIFS(SALIDAS_DES,FECHA_DESGLOSEN,"&gt;="&amp;CV$2,FECHA_DESGLOSEN,"&lt;="&amp;CV$3,CLAVE_DESGLOSE,$A121)</f>
        <v>0</v>
      </c>
      <c r="CW121" s="13">
        <f>SUMIFS(SALIDAS_BIT,FECHA_BIT,"&gt;="&amp;CW$2,FECHA_BIT,"&lt;="&amp;CW$3,CLAVE_BIT,$A121)+SUMIFS(SALIDAS_BOV1,FECHA_BOV1,"&gt;="&amp;CW$2,FECHA_BOV1,"&lt;="&amp;CW$3,CLAVE_BOV1,$A121)+SUMIFS(SALIDAS_BOV2,FECHA_BOV2,"&gt;="&amp;CW$2,FECHA_BOV2,"&lt;="&amp;CW$3,CLAVE_BOV2,$A121)+SUMIFS(SALIDAS_BOV3,FECHA_BOV3,"&gt;="&amp;CW$2,FECHA_BOV3,"&lt;="&amp;CW$3,CLAVE_BOV3,$A121)+SUMIFS(SALIDAS_TC,FECHA_TC,"&gt;="&amp;CW$2,FECHA_TC,"&lt;="&amp;CW$3,CLAVE_TC,$A121)+SUMIFS(SALIDAS_COMB,FECHA_COMB,"&gt;="&amp;CW$2,FECHA_COMB,"&lt;="&amp;CW$3,CLAVE_COMB,$A121)+SUMIFS(SALIDAS_DES,FECHA_DESGLOSEN,"&gt;="&amp;CW$2,FECHA_DESGLOSEN,"&lt;="&amp;CW$3,CLAVE_DESGLOSE,$A121)</f>
        <v>0</v>
      </c>
      <c r="CX121" s="13">
        <f>SUMIFS(SALIDAS_BIT,FECHA_BIT,"&gt;="&amp;CX$2,FECHA_BIT,"&lt;="&amp;CX$3,CLAVE_BIT,$A121)+SUMIFS(SALIDAS_BOV1,FECHA_BOV1,"&gt;="&amp;CX$2,FECHA_BOV1,"&lt;="&amp;CX$3,CLAVE_BOV1,$A121)+SUMIFS(SALIDAS_BOV2,FECHA_BOV2,"&gt;="&amp;CX$2,FECHA_BOV2,"&lt;="&amp;CX$3,CLAVE_BOV2,$A121)+SUMIFS(SALIDAS_BOV3,FECHA_BOV3,"&gt;="&amp;CX$2,FECHA_BOV3,"&lt;="&amp;CX$3,CLAVE_BOV3,$A121)+SUMIFS(SALIDAS_TC,FECHA_TC,"&gt;="&amp;CX$2,FECHA_TC,"&lt;="&amp;CX$3,CLAVE_TC,$A121)+SUMIFS(SALIDAS_COMB,FECHA_COMB,"&gt;="&amp;CX$2,FECHA_COMB,"&lt;="&amp;CX$3,CLAVE_COMB,$A121)+SUMIFS(SALIDAS_DES,FECHA_DESGLOSEN,"&gt;="&amp;CX$2,FECHA_DESGLOSEN,"&lt;="&amp;CX$3,CLAVE_DESGLOSE,$A121)</f>
        <v>0</v>
      </c>
      <c r="CY121" s="13">
        <f>SUMIFS(SALIDAS_BIT,FECHA_BIT,"&gt;="&amp;CY$2,FECHA_BIT,"&lt;="&amp;CY$3,CLAVE_BIT,$A121)+SUMIFS(SALIDAS_BOV1,FECHA_BOV1,"&gt;="&amp;CY$2,FECHA_BOV1,"&lt;="&amp;CY$3,CLAVE_BOV1,$A121)+SUMIFS(SALIDAS_BOV2,FECHA_BOV2,"&gt;="&amp;CY$2,FECHA_BOV2,"&lt;="&amp;CY$3,CLAVE_BOV2,$A121)+SUMIFS(SALIDAS_BOV3,FECHA_BOV3,"&gt;="&amp;CY$2,FECHA_BOV3,"&lt;="&amp;CY$3,CLAVE_BOV3,$A121)+SUMIFS(SALIDAS_TC,FECHA_TC,"&gt;="&amp;CY$2,FECHA_TC,"&lt;="&amp;CY$3,CLAVE_TC,$A121)+SUMIFS(SALIDAS_COMB,FECHA_COMB,"&gt;="&amp;CY$2,FECHA_COMB,"&lt;="&amp;CY$3,CLAVE_COMB,$A121)+SUMIFS(SALIDAS_DES,FECHA_DESGLOSEN,"&gt;="&amp;CY$2,FECHA_DESGLOSEN,"&lt;="&amp;CY$3,CLAVE_DESGLOSE,$A121)</f>
        <v>0</v>
      </c>
      <c r="CZ121" s="68">
        <f t="shared" si="175"/>
        <v>7045</v>
      </c>
      <c r="DB121" s="17">
        <f>F121+N121+W121+AE121+AM121+AV121+BD121+BL121+BU121+CC121+CK121</f>
        <v>9357</v>
      </c>
      <c r="DC121" s="17">
        <f>K121+T121+AB121+AJ121+AS121+BA121+BI121+BR121+BZ121+CH121+CQ121</f>
        <v>15288</v>
      </c>
    </row>
    <row r="122" spans="1:107" hidden="1">
      <c r="A122" s="12" t="str">
        <f t="shared" si="148"/>
        <v>HRENERGIA ELECTRICAA17</v>
      </c>
      <c r="B122" s="12">
        <v>124</v>
      </c>
      <c r="C122" t="s">
        <v>29</v>
      </c>
      <c r="D122" s="404" t="s">
        <v>87</v>
      </c>
      <c r="E122" s="404" t="s">
        <v>102</v>
      </c>
      <c r="F122" s="259">
        <f t="shared" si="141"/>
        <v>0</v>
      </c>
      <c r="G122" s="13">
        <f t="shared" si="217"/>
        <v>0</v>
      </c>
      <c r="H122" s="13">
        <f t="shared" si="217"/>
        <v>8556</v>
      </c>
      <c r="I122" s="13">
        <f t="shared" si="217"/>
        <v>0</v>
      </c>
      <c r="J122" s="13">
        <f t="shared" si="217"/>
        <v>0</v>
      </c>
      <c r="K122" s="13">
        <f t="shared" si="217"/>
        <v>8556</v>
      </c>
      <c r="L122" s="68">
        <f t="shared" si="149"/>
        <v>-8556</v>
      </c>
      <c r="M122" s="268">
        <f t="shared" si="150"/>
        <v>0</v>
      </c>
      <c r="N122" s="13">
        <f t="shared" si="142"/>
        <v>10648</v>
      </c>
      <c r="O122" s="13">
        <f t="shared" si="218"/>
        <v>0</v>
      </c>
      <c r="P122" s="13">
        <f t="shared" si="218"/>
        <v>0</v>
      </c>
      <c r="Q122" s="13">
        <f t="shared" si="218"/>
        <v>0</v>
      </c>
      <c r="R122" s="13">
        <f t="shared" si="218"/>
        <v>0</v>
      </c>
      <c r="S122" s="13">
        <f t="shared" si="218"/>
        <v>0</v>
      </c>
      <c r="T122" s="13">
        <f t="shared" si="218"/>
        <v>0</v>
      </c>
      <c r="U122" s="68">
        <f t="shared" si="151"/>
        <v>10648</v>
      </c>
      <c r="V122" s="268">
        <f t="shared" si="152"/>
        <v>0</v>
      </c>
      <c r="W122" s="13">
        <f t="shared" si="143"/>
        <v>8073</v>
      </c>
      <c r="X122" s="13">
        <f t="shared" si="219"/>
        <v>10827</v>
      </c>
      <c r="Y122" s="13">
        <f t="shared" si="219"/>
        <v>0</v>
      </c>
      <c r="Z122" s="13">
        <f t="shared" si="219"/>
        <v>0</v>
      </c>
      <c r="AA122" s="13">
        <f t="shared" si="219"/>
        <v>0</v>
      </c>
      <c r="AB122" s="13">
        <f t="shared" si="219"/>
        <v>10827</v>
      </c>
      <c r="AC122" s="68">
        <f t="shared" si="153"/>
        <v>-2754</v>
      </c>
      <c r="AD122" s="268">
        <f t="shared" si="154"/>
        <v>1.3411371237458194</v>
      </c>
      <c r="AE122" s="13">
        <f t="shared" si="144"/>
        <v>0</v>
      </c>
      <c r="AF122" s="13">
        <f t="shared" si="220"/>
        <v>0</v>
      </c>
      <c r="AG122" s="13">
        <f t="shared" si="220"/>
        <v>0</v>
      </c>
      <c r="AH122" s="13">
        <f t="shared" si="220"/>
        <v>0</v>
      </c>
      <c r="AI122" s="13">
        <f t="shared" si="220"/>
        <v>0</v>
      </c>
      <c r="AJ122" s="13">
        <f t="shared" si="220"/>
        <v>0</v>
      </c>
      <c r="AK122" s="68">
        <f t="shared" si="155"/>
        <v>0</v>
      </c>
      <c r="AL122" s="268">
        <f t="shared" si="156"/>
        <v>0</v>
      </c>
      <c r="AM122" s="13">
        <f t="shared" si="145"/>
        <v>20113</v>
      </c>
      <c r="AN122" s="13">
        <f t="shared" si="221"/>
        <v>0</v>
      </c>
      <c r="AO122" s="13">
        <f t="shared" si="221"/>
        <v>14678</v>
      </c>
      <c r="AP122" s="13">
        <f t="shared" si="221"/>
        <v>0</v>
      </c>
      <c r="AQ122" s="13">
        <f t="shared" si="221"/>
        <v>0</v>
      </c>
      <c r="AR122" s="13">
        <f t="shared" si="221"/>
        <v>0</v>
      </c>
      <c r="AS122" s="13">
        <f t="shared" si="221"/>
        <v>14678</v>
      </c>
      <c r="AT122" s="68">
        <f>AM122-AS122</f>
        <v>5435</v>
      </c>
      <c r="AU122" s="268">
        <f t="shared" si="157"/>
        <v>0.72977676129866254</v>
      </c>
      <c r="AV122" s="13">
        <f t="shared" si="146"/>
        <v>0</v>
      </c>
      <c r="AW122" s="13">
        <f t="shared" si="222"/>
        <v>0</v>
      </c>
      <c r="AX122" s="13">
        <f t="shared" si="222"/>
        <v>0</v>
      </c>
      <c r="AY122" s="13">
        <f t="shared" si="222"/>
        <v>0</v>
      </c>
      <c r="AZ122" s="13">
        <f t="shared" si="222"/>
        <v>0</v>
      </c>
      <c r="BA122" s="13">
        <f t="shared" si="223"/>
        <v>0</v>
      </c>
      <c r="BB122" s="68">
        <f t="shared" si="158"/>
        <v>0</v>
      </c>
      <c r="BC122" s="268">
        <f t="shared" si="159"/>
        <v>0</v>
      </c>
      <c r="BD122" s="13">
        <f t="shared" si="160"/>
        <v>10175</v>
      </c>
      <c r="BE122" s="13">
        <f>SUMIFS(SALIDAS_BIT,FECHA_BIT,"&gt;="&amp;BE$2,FECHA_BIT,"&lt;="&amp;BE$3,CLAVE_BIT,$A122)+SUMIFS(SALIDAS_BOV1,FECHA_BOV1,"&gt;="&amp;BE$2,FECHA_BOV1,"&lt;="&amp;BE$3,CLAVE_BOV1,$A122)+SUMIFS(SALIDAS_BOV2,FECHA_BOV2,"&gt;="&amp;BE$2,FECHA_BOV2,"&lt;="&amp;BE$3,CLAVE_BOV2,$A122)+SUMIFS(SALIDAS_BOV3,FECHA_BOV3,"&gt;="&amp;BE$2,FECHA_BOV3,"&lt;="&amp;BE$3,CLAVE_BOV3,$A122)+SUMIFS(SALIDAS_TC,FECHA_TC,"&gt;="&amp;BE$2,FECHA_TC,"&lt;="&amp;BE$3,CLAVE_TC,$A122)+SUMIFS(SALIDAS_COMB,FECHA_COMB,"&gt;="&amp;BE$2,FECHA_COMB,"&lt;="&amp;BE$3,CLAVE_COMB,$A122)+SUMIFS(SALIDAS_DES,FECHA_DESGLOSEN,"&gt;="&amp;BE$2,FECHA_DESGLOSEN,"&lt;="&amp;BE$3,CLAVE_DESGLOSE,$A122)</f>
        <v>0</v>
      </c>
      <c r="BF122" s="13">
        <f>SUMIFS(SALIDAS_BIT,FECHA_BIT,"&gt;="&amp;BF$2,FECHA_BIT,"&lt;="&amp;BF$3,CLAVE_BIT,$A122)+SUMIFS(SALIDAS_BOV1,FECHA_BOV1,"&gt;="&amp;BF$2,FECHA_BOV1,"&lt;="&amp;BF$3,CLAVE_BOV1,$A122)+SUMIFS(SALIDAS_BOV2,FECHA_BOV2,"&gt;="&amp;BF$2,FECHA_BOV2,"&lt;="&amp;BF$3,CLAVE_BOV2,$A122)+SUMIFS(SALIDAS_BOV3,FECHA_BOV3,"&gt;="&amp;BF$2,FECHA_BOV3,"&lt;="&amp;BF$3,CLAVE_BOV3,$A122)+SUMIFS(SALIDAS_TC,FECHA_TC,"&gt;="&amp;BF$2,FECHA_TC,"&lt;="&amp;BF$3,CLAVE_TC,$A122)+SUMIFS(SALIDAS_COMB,FECHA_COMB,"&gt;="&amp;BF$2,FECHA_COMB,"&lt;="&amp;BF$3,CLAVE_COMB,$A122)+SUMIFS(SALIDAS_DES,FECHA_DESGLOSEN,"&gt;="&amp;BF$2,FECHA_DESGLOSEN,"&lt;="&amp;BF$3,CLAVE_DESGLOSE,$A122)</f>
        <v>14655</v>
      </c>
      <c r="BG122" s="13">
        <f>SUMIFS(SALIDAS_BIT,FECHA_BIT,"&gt;="&amp;BG$2,FECHA_BIT,"&lt;="&amp;BG$3,CLAVE_BIT,$A122)+SUMIFS(SALIDAS_BOV1,FECHA_BOV1,"&gt;="&amp;BG$2,FECHA_BOV1,"&lt;="&amp;BG$3,CLAVE_BOV1,$A122)+SUMIFS(SALIDAS_BOV2,FECHA_BOV2,"&gt;="&amp;BG$2,FECHA_BOV2,"&lt;="&amp;BG$3,CLAVE_BOV2,$A122)+SUMIFS(SALIDAS_BOV3,FECHA_BOV3,"&gt;="&amp;BG$2,FECHA_BOV3,"&lt;="&amp;BG$3,CLAVE_BOV3,$A122)+SUMIFS(SALIDAS_TC,FECHA_TC,"&gt;="&amp;BG$2,FECHA_TC,"&lt;="&amp;BG$3,CLAVE_TC,$A122)+SUMIFS(SALIDAS_COMB,FECHA_COMB,"&gt;="&amp;BG$2,FECHA_COMB,"&lt;="&amp;BG$3,CLAVE_COMB,$A122)+SUMIFS(SALIDAS_DES,FECHA_DESGLOSEN,"&gt;="&amp;BG$2,FECHA_DESGLOSEN,"&lt;="&amp;BG$3,CLAVE_DESGLOSE,$A122)</f>
        <v>0</v>
      </c>
      <c r="BH122" s="13">
        <f>SUMIFS(SALIDAS_BIT,FECHA_BIT,"&gt;="&amp;BH$2,FECHA_BIT,"&lt;="&amp;BH$3,CLAVE_BIT,$A122)+SUMIFS(SALIDAS_BOV1,FECHA_BOV1,"&gt;="&amp;BH$2,FECHA_BOV1,"&lt;="&amp;BH$3,CLAVE_BOV1,$A122)+SUMIFS(SALIDAS_BOV2,FECHA_BOV2,"&gt;="&amp;BH$2,FECHA_BOV2,"&lt;="&amp;BH$3,CLAVE_BOV2,$A122)+SUMIFS(SALIDAS_BOV3,FECHA_BOV3,"&gt;="&amp;BH$2,FECHA_BOV3,"&lt;="&amp;BH$3,CLAVE_BOV3,$A122)+SUMIFS(SALIDAS_TC,FECHA_TC,"&gt;="&amp;BH$2,FECHA_TC,"&lt;="&amp;BH$3,CLAVE_TC,$A122)+SUMIFS(SALIDAS_COMB,FECHA_COMB,"&gt;="&amp;BH$2,FECHA_COMB,"&lt;="&amp;BH$3,CLAVE_COMB,$A122)+SUMIFS(SALIDAS_DES,FECHA_DESGLOSEN,"&gt;="&amp;BH$2,FECHA_DESGLOSEN,"&lt;="&amp;BH$3,CLAVE_DESGLOSE,$A122)</f>
        <v>0</v>
      </c>
      <c r="BI122" s="13">
        <f t="shared" si="215"/>
        <v>14655</v>
      </c>
      <c r="BJ122" s="68">
        <f t="shared" si="161"/>
        <v>-4480</v>
      </c>
      <c r="BK122" s="268">
        <f t="shared" si="162"/>
        <v>1.4402948402948403</v>
      </c>
      <c r="BL122" s="13">
        <f t="shared" si="163"/>
        <v>0</v>
      </c>
      <c r="BM122" s="13">
        <f>SUMIFS(SALIDAS_BIT,FECHA_BIT,"&gt;="&amp;BM$2,FECHA_BIT,"&lt;="&amp;BM$3,CLAVE_BIT,$A122)+SUMIFS(SALIDAS_BOV1,FECHA_BOV1,"&gt;="&amp;BM$2,FECHA_BOV1,"&lt;="&amp;BM$3,CLAVE_BOV1,$A122)+SUMIFS(SALIDAS_BOV2,FECHA_BOV2,"&gt;="&amp;BM$2,FECHA_BOV2,"&lt;="&amp;BM$3,CLAVE_BOV2,$A122)+SUMIFS(SALIDAS_BOV3,FECHA_BOV3,"&gt;="&amp;BM$2,FECHA_BOV3,"&lt;="&amp;BM$3,CLAVE_BOV3,$A122)+SUMIFS(SALIDAS_TC,FECHA_TC,"&gt;="&amp;BM$2,FECHA_TC,"&lt;="&amp;BM$3,CLAVE_TC,$A122)+SUMIFS(SALIDAS_COMB,FECHA_COMB,"&gt;="&amp;BM$2,FECHA_COMB,"&lt;="&amp;BM$3,CLAVE_COMB,$A122)+SUMIFS(SALIDAS_DES,FECHA_DESGLOSEN,"&gt;="&amp;BM$2,FECHA_DESGLOSEN,"&lt;="&amp;BM$3,CLAVE_DESGLOSE,$A122)</f>
        <v>0</v>
      </c>
      <c r="BN122" s="13">
        <f>SUMIFS(SALIDAS_BIT,FECHA_BIT,"&gt;="&amp;BN$2,FECHA_BIT,"&lt;="&amp;BN$3,CLAVE_BIT,$A122)+SUMIFS(SALIDAS_BOV1,FECHA_BOV1,"&gt;="&amp;BN$2,FECHA_BOV1,"&lt;="&amp;BN$3,CLAVE_BOV1,$A122)+SUMIFS(SALIDAS_BOV2,FECHA_BOV2,"&gt;="&amp;BN$2,FECHA_BOV2,"&lt;="&amp;BN$3,CLAVE_BOV2,$A122)+SUMIFS(SALIDAS_BOV3,FECHA_BOV3,"&gt;="&amp;BN$2,FECHA_BOV3,"&lt;="&amp;BN$3,CLAVE_BOV3,$A122)+SUMIFS(SALIDAS_TC,FECHA_TC,"&gt;="&amp;BN$2,FECHA_TC,"&lt;="&amp;BN$3,CLAVE_TC,$A122)+SUMIFS(SALIDAS_COMB,FECHA_COMB,"&gt;="&amp;BN$2,FECHA_COMB,"&lt;="&amp;BN$3,CLAVE_COMB,$A122)+SUMIFS(SALIDAS_DES,FECHA_DESGLOSEN,"&gt;="&amp;BN$2,FECHA_DESGLOSEN,"&lt;="&amp;BN$3,CLAVE_DESGLOSE,$A122)</f>
        <v>0</v>
      </c>
      <c r="BO122" s="13">
        <f>SUMIFS(SALIDAS_BIT,FECHA_BIT,"&gt;="&amp;BO$2,FECHA_BIT,"&lt;="&amp;BO$3,CLAVE_BIT,$A122)+SUMIFS(SALIDAS_BOV1,FECHA_BOV1,"&gt;="&amp;BO$2,FECHA_BOV1,"&lt;="&amp;BO$3,CLAVE_BOV1,$A122)+SUMIFS(SALIDAS_BOV2,FECHA_BOV2,"&gt;="&amp;BO$2,FECHA_BOV2,"&lt;="&amp;BO$3,CLAVE_BOV2,$A122)+SUMIFS(SALIDAS_BOV3,FECHA_BOV3,"&gt;="&amp;BO$2,FECHA_BOV3,"&lt;="&amp;BO$3,CLAVE_BOV3,$A122)+SUMIFS(SALIDAS_TC,FECHA_TC,"&gt;="&amp;BO$2,FECHA_TC,"&lt;="&amp;BO$3,CLAVE_TC,$A122)+SUMIFS(SALIDAS_COMB,FECHA_COMB,"&gt;="&amp;BO$2,FECHA_COMB,"&lt;="&amp;BO$3,CLAVE_COMB,$A122)+SUMIFS(SALIDAS_DES,FECHA_DESGLOSEN,"&gt;="&amp;BO$2,FECHA_DESGLOSEN,"&lt;="&amp;BO$3,CLAVE_DESGLOSE,$A122)</f>
        <v>0</v>
      </c>
      <c r="BP122" s="13">
        <f>SUMIFS(SALIDAS_BIT,FECHA_BIT,"&gt;="&amp;BP$2,FECHA_BIT,"&lt;="&amp;BP$3,CLAVE_BIT,$A122)+SUMIFS(SALIDAS_BOV1,FECHA_BOV1,"&gt;="&amp;BP$2,FECHA_BOV1,"&lt;="&amp;BP$3,CLAVE_BOV1,$A122)+SUMIFS(SALIDAS_BOV2,FECHA_BOV2,"&gt;="&amp;BP$2,FECHA_BOV2,"&lt;="&amp;BP$3,CLAVE_BOV2,$A122)+SUMIFS(SALIDAS_BOV3,FECHA_BOV3,"&gt;="&amp;BP$2,FECHA_BOV3,"&lt;="&amp;BP$3,CLAVE_BOV3,$A122)+SUMIFS(SALIDAS_TC,FECHA_TC,"&gt;="&amp;BP$2,FECHA_TC,"&lt;="&amp;BP$3,CLAVE_TC,$A122)+SUMIFS(SALIDAS_COMB,FECHA_COMB,"&gt;="&amp;BP$2,FECHA_COMB,"&lt;="&amp;BP$3,CLAVE_COMB,$A122)+SUMIFS(SALIDAS_DES,FECHA_DESGLOSEN,"&gt;="&amp;BP$2,FECHA_DESGLOSEN,"&lt;="&amp;BP$3,CLAVE_DESGLOSE,$A122)</f>
        <v>0</v>
      </c>
      <c r="BQ122" s="13">
        <f>SUMIFS(SALIDAS_BIT,FECHA_BIT,"&gt;="&amp;BQ$2,FECHA_BIT,"&lt;="&amp;BQ$3,CLAVE_BIT,$A122)+SUMIFS(SALIDAS_BOV1,FECHA_BOV1,"&gt;="&amp;BQ$2,FECHA_BOV1,"&lt;="&amp;BQ$3,CLAVE_BOV1,$A122)+SUMIFS(SALIDAS_BOV2,FECHA_BOV2,"&gt;="&amp;BQ$2,FECHA_BOV2,"&lt;="&amp;BQ$3,CLAVE_BOV2,$A122)+SUMIFS(SALIDAS_BOV3,FECHA_BOV3,"&gt;="&amp;BQ$2,FECHA_BOV3,"&lt;="&amp;BQ$3,CLAVE_BOV3,$A122)+SUMIFS(SALIDAS_TC,FECHA_TC,"&gt;="&amp;BQ$2,FECHA_TC,"&lt;="&amp;BQ$3,CLAVE_TC,$A122)+SUMIFS(SALIDAS_COMB,FECHA_COMB,"&gt;="&amp;BQ$2,FECHA_COMB,"&lt;="&amp;BQ$3,CLAVE_COMB,$A122)+SUMIFS(SALIDAS_DES,FECHA_DESGLOSEN,"&gt;="&amp;BQ$2,FECHA_DESGLOSEN,"&lt;="&amp;BQ$3,CLAVE_DESGLOSE,$A122)</f>
        <v>0</v>
      </c>
      <c r="BR122" s="13">
        <f t="shared" si="224"/>
        <v>0</v>
      </c>
      <c r="BS122" s="68">
        <f t="shared" si="164"/>
        <v>0</v>
      </c>
      <c r="BT122" s="268">
        <f t="shared" si="165"/>
        <v>0</v>
      </c>
      <c r="BU122" s="13">
        <f t="shared" si="166"/>
        <v>12979</v>
      </c>
      <c r="BV122" s="13">
        <f t="shared" si="186"/>
        <v>15594</v>
      </c>
      <c r="BW122" s="13">
        <f t="shared" si="186"/>
        <v>0</v>
      </c>
      <c r="BX122" s="13">
        <f t="shared" si="186"/>
        <v>0</v>
      </c>
      <c r="BY122" s="13">
        <f t="shared" si="186"/>
        <v>0</v>
      </c>
      <c r="BZ122" s="13">
        <f t="shared" si="225"/>
        <v>15594</v>
      </c>
      <c r="CA122" s="68">
        <f t="shared" si="167"/>
        <v>-2615</v>
      </c>
      <c r="CB122" s="268">
        <f t="shared" si="168"/>
        <v>1.201479312735958</v>
      </c>
      <c r="CC122" s="13">
        <f t="shared" si="169"/>
        <v>0</v>
      </c>
      <c r="CD122" s="13">
        <f t="shared" si="187"/>
        <v>0</v>
      </c>
      <c r="CE122" s="13">
        <f t="shared" si="187"/>
        <v>0</v>
      </c>
      <c r="CF122" s="13">
        <f t="shared" si="187"/>
        <v>0</v>
      </c>
      <c r="CG122" s="13">
        <f t="shared" si="187"/>
        <v>0</v>
      </c>
      <c r="CH122" s="13">
        <f t="shared" si="226"/>
        <v>0</v>
      </c>
      <c r="CI122" s="68">
        <f t="shared" si="170"/>
        <v>0</v>
      </c>
      <c r="CJ122" s="268">
        <f t="shared" si="171"/>
        <v>0</v>
      </c>
      <c r="CK122" s="13">
        <f t="shared" si="172"/>
        <v>6417</v>
      </c>
      <c r="CL122" s="13">
        <f t="shared" si="176"/>
        <v>0</v>
      </c>
      <c r="CM122" s="13">
        <f t="shared" si="176"/>
        <v>13402</v>
      </c>
      <c r="CN122" s="13">
        <f t="shared" si="176"/>
        <v>0</v>
      </c>
      <c r="CO122" s="13">
        <f t="shared" si="176"/>
        <v>0</v>
      </c>
      <c r="CP122" s="13">
        <f t="shared" si="176"/>
        <v>0</v>
      </c>
      <c r="CQ122" s="13">
        <f t="shared" si="227"/>
        <v>13402</v>
      </c>
      <c r="CR122" s="68">
        <f t="shared" si="173"/>
        <v>-6985</v>
      </c>
      <c r="CS122" s="268">
        <f t="shared" si="174"/>
        <v>2.0885148823437745</v>
      </c>
      <c r="CT122" s="68">
        <f t="shared" si="147"/>
        <v>0</v>
      </c>
      <c r="CU122" s="13">
        <f>SUMIFS(SALIDAS_BIT,FECHA_BIT,"&gt;="&amp;CU$2,FECHA_BIT,"&lt;="&amp;CU$3,CLAVE_BIT,$A122)+SUMIFS(SALIDAS_BOV1,FECHA_BOV1,"&gt;="&amp;CU$2,FECHA_BOV1,"&lt;="&amp;CU$3,CLAVE_BOV1,$A122)+SUMIFS(SALIDAS_BOV2,FECHA_BOV2,"&gt;="&amp;CU$2,FECHA_BOV2,"&lt;="&amp;CU$3,CLAVE_BOV2,$A122)+SUMIFS(SALIDAS_BOV3,FECHA_BOV3,"&gt;="&amp;CU$2,FECHA_BOV3,"&lt;="&amp;CU$3,CLAVE_BOV3,$A122)+SUMIFS(SALIDAS_TC,FECHA_TC,"&gt;="&amp;CU$2,FECHA_TC,"&lt;="&amp;CU$3,CLAVE_TC,$A122)+SUMIFS(SALIDAS_COMB,FECHA_COMB,"&gt;="&amp;CU$2,FECHA_COMB,"&lt;="&amp;CU$3,CLAVE_COMB,$A122)+SUMIFS(SALIDAS_DES,FECHA_DESGLOSEN,"&gt;="&amp;CU$2,FECHA_DESGLOSEN,"&lt;="&amp;CU$3,CLAVE_DESGLOSE,$A122)</f>
        <v>0</v>
      </c>
      <c r="CV122" s="13">
        <f>SUMIFS(SALIDAS_BIT,FECHA_BIT,"&gt;="&amp;CV$2,FECHA_BIT,"&lt;="&amp;CV$3,CLAVE_BIT,$A122)+SUMIFS(SALIDAS_BOV1,FECHA_BOV1,"&gt;="&amp;CV$2,FECHA_BOV1,"&lt;="&amp;CV$3,CLAVE_BOV1,$A122)+SUMIFS(SALIDAS_BOV2,FECHA_BOV2,"&gt;="&amp;CV$2,FECHA_BOV2,"&lt;="&amp;CV$3,CLAVE_BOV2,$A122)+SUMIFS(SALIDAS_BOV3,FECHA_BOV3,"&gt;="&amp;CV$2,FECHA_BOV3,"&lt;="&amp;CV$3,CLAVE_BOV3,$A122)+SUMIFS(SALIDAS_TC,FECHA_TC,"&gt;="&amp;CV$2,FECHA_TC,"&lt;="&amp;CV$3,CLAVE_TC,$A122)+SUMIFS(SALIDAS_COMB,FECHA_COMB,"&gt;="&amp;CV$2,FECHA_COMB,"&lt;="&amp;CV$3,CLAVE_COMB,$A122)+SUMIFS(SALIDAS_DES,FECHA_DESGLOSEN,"&gt;="&amp;CV$2,FECHA_DESGLOSEN,"&lt;="&amp;CV$3,CLAVE_DESGLOSE,$A122)</f>
        <v>0</v>
      </c>
      <c r="CW122" s="13">
        <f>SUMIFS(SALIDAS_BIT,FECHA_BIT,"&gt;="&amp;CW$2,FECHA_BIT,"&lt;="&amp;CW$3,CLAVE_BIT,$A122)+SUMIFS(SALIDAS_BOV1,FECHA_BOV1,"&gt;="&amp;CW$2,FECHA_BOV1,"&lt;="&amp;CW$3,CLAVE_BOV1,$A122)+SUMIFS(SALIDAS_BOV2,FECHA_BOV2,"&gt;="&amp;CW$2,FECHA_BOV2,"&lt;="&amp;CW$3,CLAVE_BOV2,$A122)+SUMIFS(SALIDAS_BOV3,FECHA_BOV3,"&gt;="&amp;CW$2,FECHA_BOV3,"&lt;="&amp;CW$3,CLAVE_BOV3,$A122)+SUMIFS(SALIDAS_TC,FECHA_TC,"&gt;="&amp;CW$2,FECHA_TC,"&lt;="&amp;CW$3,CLAVE_TC,$A122)+SUMIFS(SALIDAS_COMB,FECHA_COMB,"&gt;="&amp;CW$2,FECHA_COMB,"&lt;="&amp;CW$3,CLAVE_COMB,$A122)+SUMIFS(SALIDAS_DES,FECHA_DESGLOSEN,"&gt;="&amp;CW$2,FECHA_DESGLOSEN,"&lt;="&amp;CW$3,CLAVE_DESGLOSE,$A122)</f>
        <v>0</v>
      </c>
      <c r="CX122" s="13">
        <f>SUMIFS(SALIDAS_BIT,FECHA_BIT,"&gt;="&amp;CX$2,FECHA_BIT,"&lt;="&amp;CX$3,CLAVE_BIT,$A122)+SUMIFS(SALIDAS_BOV1,FECHA_BOV1,"&gt;="&amp;CX$2,FECHA_BOV1,"&lt;="&amp;CX$3,CLAVE_BOV1,$A122)+SUMIFS(SALIDAS_BOV2,FECHA_BOV2,"&gt;="&amp;CX$2,FECHA_BOV2,"&lt;="&amp;CX$3,CLAVE_BOV2,$A122)+SUMIFS(SALIDAS_BOV3,FECHA_BOV3,"&gt;="&amp;CX$2,FECHA_BOV3,"&lt;="&amp;CX$3,CLAVE_BOV3,$A122)+SUMIFS(SALIDAS_TC,FECHA_TC,"&gt;="&amp;CX$2,FECHA_TC,"&lt;="&amp;CX$3,CLAVE_TC,$A122)+SUMIFS(SALIDAS_COMB,FECHA_COMB,"&gt;="&amp;CX$2,FECHA_COMB,"&lt;="&amp;CX$3,CLAVE_COMB,$A122)+SUMIFS(SALIDAS_DES,FECHA_DESGLOSEN,"&gt;="&amp;CX$2,FECHA_DESGLOSEN,"&lt;="&amp;CX$3,CLAVE_DESGLOSE,$A122)</f>
        <v>0</v>
      </c>
      <c r="CY122" s="13">
        <f>SUMIFS(SALIDAS_BIT,FECHA_BIT,"&gt;="&amp;CY$2,FECHA_BIT,"&lt;="&amp;CY$3,CLAVE_BIT,$A122)+SUMIFS(SALIDAS_BOV1,FECHA_BOV1,"&gt;="&amp;CY$2,FECHA_BOV1,"&lt;="&amp;CY$3,CLAVE_BOV1,$A122)+SUMIFS(SALIDAS_BOV2,FECHA_BOV2,"&gt;="&amp;CY$2,FECHA_BOV2,"&lt;="&amp;CY$3,CLAVE_BOV2,$A122)+SUMIFS(SALIDAS_BOV3,FECHA_BOV3,"&gt;="&amp;CY$2,FECHA_BOV3,"&lt;="&amp;CY$3,CLAVE_BOV3,$A122)+SUMIFS(SALIDAS_TC,FECHA_TC,"&gt;="&amp;CY$2,FECHA_TC,"&lt;="&amp;CY$3,CLAVE_TC,$A122)+SUMIFS(SALIDAS_COMB,FECHA_COMB,"&gt;="&amp;CY$2,FECHA_COMB,"&lt;="&amp;CY$3,CLAVE_COMB,$A122)+SUMIFS(SALIDAS_DES,FECHA_DESGLOSEN,"&gt;="&amp;CY$2,FECHA_DESGLOSEN,"&lt;="&amp;CY$3,CLAVE_DESGLOSE,$A122)</f>
        <v>0</v>
      </c>
      <c r="CZ122" s="68">
        <f t="shared" si="175"/>
        <v>0</v>
      </c>
      <c r="DB122" s="17">
        <f>F122+N122+W122+AE122+AM122+AV122+BD122+BL122+BU122+CC122+CK122</f>
        <v>68405</v>
      </c>
      <c r="DC122" s="17">
        <f>K122+T122+AB122+AJ122+AS122+BA122+BI122+BR122+BZ122+CH122+CQ122</f>
        <v>77712</v>
      </c>
    </row>
    <row r="123" spans="1:107" hidden="1">
      <c r="A123" s="12" t="str">
        <f t="shared" si="148"/>
        <v>HRENERGIA ELECTRICAA18</v>
      </c>
      <c r="B123" s="12">
        <v>125</v>
      </c>
      <c r="C123" t="s">
        <v>29</v>
      </c>
      <c r="D123" s="12" t="s">
        <v>87</v>
      </c>
      <c r="E123" s="12" t="s">
        <v>103</v>
      </c>
      <c r="F123" s="259">
        <f t="shared" si="141"/>
        <v>2858</v>
      </c>
      <c r="G123" s="13">
        <f t="shared" si="217"/>
        <v>5116</v>
      </c>
      <c r="H123" s="13">
        <f t="shared" si="217"/>
        <v>0</v>
      </c>
      <c r="I123" s="13">
        <f t="shared" si="217"/>
        <v>0</v>
      </c>
      <c r="J123" s="13">
        <f t="shared" si="217"/>
        <v>0</v>
      </c>
      <c r="K123" s="13">
        <f t="shared" si="217"/>
        <v>5116</v>
      </c>
      <c r="L123" s="68">
        <f t="shared" si="149"/>
        <v>-2258</v>
      </c>
      <c r="M123" s="268">
        <f t="shared" si="150"/>
        <v>1.7900629811056683</v>
      </c>
      <c r="N123" s="13">
        <f t="shared" si="142"/>
        <v>2584</v>
      </c>
      <c r="O123" s="13">
        <f t="shared" si="218"/>
        <v>4625</v>
      </c>
      <c r="P123" s="13">
        <f t="shared" si="218"/>
        <v>0</v>
      </c>
      <c r="Q123" s="13">
        <f t="shared" si="218"/>
        <v>0</v>
      </c>
      <c r="R123" s="13">
        <f t="shared" si="218"/>
        <v>0</v>
      </c>
      <c r="S123" s="13">
        <f t="shared" si="218"/>
        <v>3768</v>
      </c>
      <c r="T123" s="13">
        <f t="shared" si="218"/>
        <v>8393</v>
      </c>
      <c r="U123" s="68">
        <f t="shared" si="151"/>
        <v>-5809</v>
      </c>
      <c r="V123" s="268">
        <f t="shared" si="152"/>
        <v>3.248065015479876</v>
      </c>
      <c r="W123" s="13">
        <f t="shared" si="143"/>
        <v>2539</v>
      </c>
      <c r="X123" s="13">
        <f t="shared" si="219"/>
        <v>0</v>
      </c>
      <c r="Y123" s="13">
        <f t="shared" si="219"/>
        <v>0</v>
      </c>
      <c r="Z123" s="13">
        <f t="shared" si="219"/>
        <v>0</v>
      </c>
      <c r="AA123" s="13">
        <f t="shared" si="219"/>
        <v>0</v>
      </c>
      <c r="AB123" s="13">
        <f t="shared" si="219"/>
        <v>0</v>
      </c>
      <c r="AC123" s="68">
        <f t="shared" si="153"/>
        <v>2539</v>
      </c>
      <c r="AD123" s="268">
        <f t="shared" si="154"/>
        <v>0</v>
      </c>
      <c r="AE123" s="13">
        <f t="shared" si="144"/>
        <v>2799</v>
      </c>
      <c r="AF123" s="13">
        <f t="shared" si="220"/>
        <v>6024</v>
      </c>
      <c r="AG123" s="13">
        <f t="shared" si="220"/>
        <v>0</v>
      </c>
      <c r="AH123" s="13">
        <f t="shared" si="220"/>
        <v>0</v>
      </c>
      <c r="AI123" s="13">
        <f t="shared" si="220"/>
        <v>0</v>
      </c>
      <c r="AJ123" s="13">
        <f t="shared" si="220"/>
        <v>6024</v>
      </c>
      <c r="AK123" s="68">
        <f t="shared" si="155"/>
        <v>-3225</v>
      </c>
      <c r="AL123" s="268">
        <f t="shared" si="156"/>
        <v>2.152197213290461</v>
      </c>
      <c r="AM123" s="13">
        <f t="shared" si="145"/>
        <v>9700</v>
      </c>
      <c r="AN123" s="13">
        <f t="shared" si="221"/>
        <v>7153</v>
      </c>
      <c r="AO123" s="13">
        <f t="shared" si="221"/>
        <v>0</v>
      </c>
      <c r="AP123" s="13">
        <f t="shared" si="221"/>
        <v>0</v>
      </c>
      <c r="AQ123" s="13">
        <f t="shared" si="221"/>
        <v>0</v>
      </c>
      <c r="AR123" s="13">
        <f t="shared" si="221"/>
        <v>0</v>
      </c>
      <c r="AS123" s="13">
        <f t="shared" si="221"/>
        <v>7153</v>
      </c>
      <c r="AT123" s="68">
        <f>AM123-AS123</f>
        <v>2547</v>
      </c>
      <c r="AU123" s="268">
        <f t="shared" si="157"/>
        <v>0.73742268041237113</v>
      </c>
      <c r="AV123" s="13">
        <f t="shared" si="146"/>
        <v>0</v>
      </c>
      <c r="AW123" s="13">
        <f t="shared" si="222"/>
        <v>8767</v>
      </c>
      <c r="AX123" s="13">
        <f t="shared" si="222"/>
        <v>0</v>
      </c>
      <c r="AY123" s="13">
        <f t="shared" si="222"/>
        <v>0</v>
      </c>
      <c r="AZ123" s="13">
        <f t="shared" si="222"/>
        <v>0</v>
      </c>
      <c r="BA123" s="13">
        <f t="shared" si="223"/>
        <v>8767</v>
      </c>
      <c r="BB123" s="68">
        <f t="shared" si="158"/>
        <v>-8767</v>
      </c>
      <c r="BC123" s="268">
        <f t="shared" si="159"/>
        <v>0</v>
      </c>
      <c r="BD123" s="13">
        <f t="shared" si="160"/>
        <v>5240</v>
      </c>
      <c r="BE123" s="13">
        <f>SUMIFS(SALIDAS_BIT,FECHA_BIT,"&gt;="&amp;BE$2,FECHA_BIT,"&lt;="&amp;BE$3,CLAVE_BIT,$A123)+SUMIFS(SALIDAS_BOV1,FECHA_BOV1,"&gt;="&amp;BE$2,FECHA_BOV1,"&lt;="&amp;BE$3,CLAVE_BOV1,$A123)+SUMIFS(SALIDAS_BOV2,FECHA_BOV2,"&gt;="&amp;BE$2,FECHA_BOV2,"&lt;="&amp;BE$3,CLAVE_BOV2,$A123)+SUMIFS(SALIDAS_BOV3,FECHA_BOV3,"&gt;="&amp;BE$2,FECHA_BOV3,"&lt;="&amp;BE$3,CLAVE_BOV3,$A123)+SUMIFS(SALIDAS_TC,FECHA_TC,"&gt;="&amp;BE$2,FECHA_TC,"&lt;="&amp;BE$3,CLAVE_TC,$A123)+SUMIFS(SALIDAS_COMB,FECHA_COMB,"&gt;="&amp;BE$2,FECHA_COMB,"&lt;="&amp;BE$3,CLAVE_COMB,$A123)+SUMIFS(SALIDAS_DES,FECHA_DESGLOSEN,"&gt;="&amp;BE$2,FECHA_DESGLOSEN,"&lt;="&amp;BE$3,CLAVE_DESGLOSE,$A123)</f>
        <v>9280</v>
      </c>
      <c r="BF123" s="13">
        <f>SUMIFS(SALIDAS_BIT,FECHA_BIT,"&gt;="&amp;BF$2,FECHA_BIT,"&lt;="&amp;BF$3,CLAVE_BIT,$A123)+SUMIFS(SALIDAS_BOV1,FECHA_BOV1,"&gt;="&amp;BF$2,FECHA_BOV1,"&lt;="&amp;BF$3,CLAVE_BOV1,$A123)+SUMIFS(SALIDAS_BOV2,FECHA_BOV2,"&gt;="&amp;BF$2,FECHA_BOV2,"&lt;="&amp;BF$3,CLAVE_BOV2,$A123)+SUMIFS(SALIDAS_BOV3,FECHA_BOV3,"&gt;="&amp;BF$2,FECHA_BOV3,"&lt;="&amp;BF$3,CLAVE_BOV3,$A123)+SUMIFS(SALIDAS_TC,FECHA_TC,"&gt;="&amp;BF$2,FECHA_TC,"&lt;="&amp;BF$3,CLAVE_TC,$A123)+SUMIFS(SALIDAS_COMB,FECHA_COMB,"&gt;="&amp;BF$2,FECHA_COMB,"&lt;="&amp;BF$3,CLAVE_COMB,$A123)+SUMIFS(SALIDAS_DES,FECHA_DESGLOSEN,"&gt;="&amp;BF$2,FECHA_DESGLOSEN,"&lt;="&amp;BF$3,CLAVE_DESGLOSE,$A123)</f>
        <v>0</v>
      </c>
      <c r="BG123" s="13">
        <f>SUMIFS(SALIDAS_BIT,FECHA_BIT,"&gt;="&amp;BG$2,FECHA_BIT,"&lt;="&amp;BG$3,CLAVE_BIT,$A123)+SUMIFS(SALIDAS_BOV1,FECHA_BOV1,"&gt;="&amp;BG$2,FECHA_BOV1,"&lt;="&amp;BG$3,CLAVE_BOV1,$A123)+SUMIFS(SALIDAS_BOV2,FECHA_BOV2,"&gt;="&amp;BG$2,FECHA_BOV2,"&lt;="&amp;BG$3,CLAVE_BOV2,$A123)+SUMIFS(SALIDAS_BOV3,FECHA_BOV3,"&gt;="&amp;BG$2,FECHA_BOV3,"&lt;="&amp;BG$3,CLAVE_BOV3,$A123)+SUMIFS(SALIDAS_TC,FECHA_TC,"&gt;="&amp;BG$2,FECHA_TC,"&lt;="&amp;BG$3,CLAVE_TC,$A123)+SUMIFS(SALIDAS_COMB,FECHA_COMB,"&gt;="&amp;BG$2,FECHA_COMB,"&lt;="&amp;BG$3,CLAVE_COMB,$A123)+SUMIFS(SALIDAS_DES,FECHA_DESGLOSEN,"&gt;="&amp;BG$2,FECHA_DESGLOSEN,"&lt;="&amp;BG$3,CLAVE_DESGLOSE,$A123)</f>
        <v>0</v>
      </c>
      <c r="BH123" s="13">
        <f>SUMIFS(SALIDAS_BIT,FECHA_BIT,"&gt;="&amp;BH$2,FECHA_BIT,"&lt;="&amp;BH$3,CLAVE_BIT,$A123)+SUMIFS(SALIDAS_BOV1,FECHA_BOV1,"&gt;="&amp;BH$2,FECHA_BOV1,"&lt;="&amp;BH$3,CLAVE_BOV1,$A123)+SUMIFS(SALIDAS_BOV2,FECHA_BOV2,"&gt;="&amp;BH$2,FECHA_BOV2,"&lt;="&amp;BH$3,CLAVE_BOV2,$A123)+SUMIFS(SALIDAS_BOV3,FECHA_BOV3,"&gt;="&amp;BH$2,FECHA_BOV3,"&lt;="&amp;BH$3,CLAVE_BOV3,$A123)+SUMIFS(SALIDAS_TC,FECHA_TC,"&gt;="&amp;BH$2,FECHA_TC,"&lt;="&amp;BH$3,CLAVE_TC,$A123)+SUMIFS(SALIDAS_COMB,FECHA_COMB,"&gt;="&amp;BH$2,FECHA_COMB,"&lt;="&amp;BH$3,CLAVE_COMB,$A123)+SUMIFS(SALIDAS_DES,FECHA_DESGLOSEN,"&gt;="&amp;BH$2,FECHA_DESGLOSEN,"&lt;="&amp;BH$3,CLAVE_DESGLOSE,$A123)</f>
        <v>0</v>
      </c>
      <c r="BI123" s="13">
        <f t="shared" si="215"/>
        <v>9280</v>
      </c>
      <c r="BJ123" s="68">
        <f t="shared" si="161"/>
        <v>-4040</v>
      </c>
      <c r="BK123" s="268">
        <f t="shared" si="162"/>
        <v>1.7709923664122138</v>
      </c>
      <c r="BL123" s="13">
        <f t="shared" si="163"/>
        <v>21758</v>
      </c>
      <c r="BM123" s="13">
        <f>SUMIFS(SALIDAS_BIT,FECHA_BIT,"&gt;="&amp;BM$2,FECHA_BIT,"&lt;="&amp;BM$3,CLAVE_BIT,$A123)+SUMIFS(SALIDAS_BOV1,FECHA_BOV1,"&gt;="&amp;BM$2,FECHA_BOV1,"&lt;="&amp;BM$3,CLAVE_BOV1,$A123)+SUMIFS(SALIDAS_BOV2,FECHA_BOV2,"&gt;="&amp;BM$2,FECHA_BOV2,"&lt;="&amp;BM$3,CLAVE_BOV2,$A123)+SUMIFS(SALIDAS_BOV3,FECHA_BOV3,"&gt;="&amp;BM$2,FECHA_BOV3,"&lt;="&amp;BM$3,CLAVE_BOV3,$A123)+SUMIFS(SALIDAS_TC,FECHA_TC,"&gt;="&amp;BM$2,FECHA_TC,"&lt;="&amp;BM$3,CLAVE_TC,$A123)+SUMIFS(SALIDAS_COMB,FECHA_COMB,"&gt;="&amp;BM$2,FECHA_COMB,"&lt;="&amp;BM$3,CLAVE_COMB,$A123)+SUMIFS(SALIDAS_DES,FECHA_DESGLOSEN,"&gt;="&amp;BM$2,FECHA_DESGLOSEN,"&lt;="&amp;BM$3,CLAVE_DESGLOSE,$A123)</f>
        <v>0</v>
      </c>
      <c r="BN123" s="13">
        <f>SUMIFS(SALIDAS_BIT,FECHA_BIT,"&gt;="&amp;BN$2,FECHA_BIT,"&lt;="&amp;BN$3,CLAVE_BIT,$A123)+SUMIFS(SALIDAS_BOV1,FECHA_BOV1,"&gt;="&amp;BN$2,FECHA_BOV1,"&lt;="&amp;BN$3,CLAVE_BOV1,$A123)+SUMIFS(SALIDAS_BOV2,FECHA_BOV2,"&gt;="&amp;BN$2,FECHA_BOV2,"&lt;="&amp;BN$3,CLAVE_BOV2,$A123)+SUMIFS(SALIDAS_BOV3,FECHA_BOV3,"&gt;="&amp;BN$2,FECHA_BOV3,"&lt;="&amp;BN$3,CLAVE_BOV3,$A123)+SUMIFS(SALIDAS_TC,FECHA_TC,"&gt;="&amp;BN$2,FECHA_TC,"&lt;="&amp;BN$3,CLAVE_TC,$A123)+SUMIFS(SALIDAS_COMB,FECHA_COMB,"&gt;="&amp;BN$2,FECHA_COMB,"&lt;="&amp;BN$3,CLAVE_COMB,$A123)+SUMIFS(SALIDAS_DES,FECHA_DESGLOSEN,"&gt;="&amp;BN$2,FECHA_DESGLOSEN,"&lt;="&amp;BN$3,CLAVE_DESGLOSE,$A123)</f>
        <v>9703</v>
      </c>
      <c r="BO123" s="13">
        <f>SUMIFS(SALIDAS_BIT,FECHA_BIT,"&gt;="&amp;BO$2,FECHA_BIT,"&lt;="&amp;BO$3,CLAVE_BIT,$A123)+SUMIFS(SALIDAS_BOV1,FECHA_BOV1,"&gt;="&amp;BO$2,FECHA_BOV1,"&lt;="&amp;BO$3,CLAVE_BOV1,$A123)+SUMIFS(SALIDAS_BOV2,FECHA_BOV2,"&gt;="&amp;BO$2,FECHA_BOV2,"&lt;="&amp;BO$3,CLAVE_BOV2,$A123)+SUMIFS(SALIDAS_BOV3,FECHA_BOV3,"&gt;="&amp;BO$2,FECHA_BOV3,"&lt;="&amp;BO$3,CLAVE_BOV3,$A123)+SUMIFS(SALIDAS_TC,FECHA_TC,"&gt;="&amp;BO$2,FECHA_TC,"&lt;="&amp;BO$3,CLAVE_TC,$A123)+SUMIFS(SALIDAS_COMB,FECHA_COMB,"&gt;="&amp;BO$2,FECHA_COMB,"&lt;="&amp;BO$3,CLAVE_COMB,$A123)+SUMIFS(SALIDAS_DES,FECHA_DESGLOSEN,"&gt;="&amp;BO$2,FECHA_DESGLOSEN,"&lt;="&amp;BO$3,CLAVE_DESGLOSE,$A123)</f>
        <v>0</v>
      </c>
      <c r="BP123" s="13">
        <f>SUMIFS(SALIDAS_BIT,FECHA_BIT,"&gt;="&amp;BP$2,FECHA_BIT,"&lt;="&amp;BP$3,CLAVE_BIT,$A123)+SUMIFS(SALIDAS_BOV1,FECHA_BOV1,"&gt;="&amp;BP$2,FECHA_BOV1,"&lt;="&amp;BP$3,CLAVE_BOV1,$A123)+SUMIFS(SALIDAS_BOV2,FECHA_BOV2,"&gt;="&amp;BP$2,FECHA_BOV2,"&lt;="&amp;BP$3,CLAVE_BOV2,$A123)+SUMIFS(SALIDAS_BOV3,FECHA_BOV3,"&gt;="&amp;BP$2,FECHA_BOV3,"&lt;="&amp;BP$3,CLAVE_BOV3,$A123)+SUMIFS(SALIDAS_TC,FECHA_TC,"&gt;="&amp;BP$2,FECHA_TC,"&lt;="&amp;BP$3,CLAVE_TC,$A123)+SUMIFS(SALIDAS_COMB,FECHA_COMB,"&gt;="&amp;BP$2,FECHA_COMB,"&lt;="&amp;BP$3,CLAVE_COMB,$A123)+SUMIFS(SALIDAS_DES,FECHA_DESGLOSEN,"&gt;="&amp;BP$2,FECHA_DESGLOSEN,"&lt;="&amp;BP$3,CLAVE_DESGLOSE,$A123)</f>
        <v>0</v>
      </c>
      <c r="BQ123" s="13">
        <f>SUMIFS(SALIDAS_BIT,FECHA_BIT,"&gt;="&amp;BQ$2,FECHA_BIT,"&lt;="&amp;BQ$3,CLAVE_BIT,$A123)+SUMIFS(SALIDAS_BOV1,FECHA_BOV1,"&gt;="&amp;BQ$2,FECHA_BOV1,"&lt;="&amp;BQ$3,CLAVE_BOV1,$A123)+SUMIFS(SALIDAS_BOV2,FECHA_BOV2,"&gt;="&amp;BQ$2,FECHA_BOV2,"&lt;="&amp;BQ$3,CLAVE_BOV2,$A123)+SUMIFS(SALIDAS_BOV3,FECHA_BOV3,"&gt;="&amp;BQ$2,FECHA_BOV3,"&lt;="&amp;BQ$3,CLAVE_BOV3,$A123)+SUMIFS(SALIDAS_TC,FECHA_TC,"&gt;="&amp;BQ$2,FECHA_TC,"&lt;="&amp;BQ$3,CLAVE_TC,$A123)+SUMIFS(SALIDAS_COMB,FECHA_COMB,"&gt;="&amp;BQ$2,FECHA_COMB,"&lt;="&amp;BQ$3,CLAVE_COMB,$A123)+SUMIFS(SALIDAS_DES,FECHA_DESGLOSEN,"&gt;="&amp;BQ$2,FECHA_DESGLOSEN,"&lt;="&amp;BQ$3,CLAVE_DESGLOSE,$A123)</f>
        <v>0</v>
      </c>
      <c r="BR123" s="13">
        <f t="shared" si="224"/>
        <v>9703</v>
      </c>
      <c r="BS123" s="68">
        <f t="shared" si="164"/>
        <v>12055</v>
      </c>
      <c r="BT123" s="268">
        <f t="shared" si="165"/>
        <v>0.44595091460612191</v>
      </c>
      <c r="BU123" s="13">
        <f t="shared" si="166"/>
        <v>3940</v>
      </c>
      <c r="BV123" s="13">
        <f t="shared" si="186"/>
        <v>9909</v>
      </c>
      <c r="BW123" s="13">
        <f t="shared" si="186"/>
        <v>0</v>
      </c>
      <c r="BX123" s="13">
        <f t="shared" si="186"/>
        <v>0</v>
      </c>
      <c r="BY123" s="13">
        <f t="shared" si="186"/>
        <v>0</v>
      </c>
      <c r="BZ123" s="13">
        <f t="shared" si="225"/>
        <v>9909</v>
      </c>
      <c r="CA123" s="68">
        <f t="shared" si="167"/>
        <v>-5969</v>
      </c>
      <c r="CB123" s="268">
        <f t="shared" si="168"/>
        <v>2.5149746192893403</v>
      </c>
      <c r="CC123" s="13">
        <f t="shared" si="169"/>
        <v>3569</v>
      </c>
      <c r="CD123" s="13">
        <f t="shared" si="187"/>
        <v>0</v>
      </c>
      <c r="CE123" s="13">
        <f t="shared" si="187"/>
        <v>0</v>
      </c>
      <c r="CF123" s="13">
        <f t="shared" si="187"/>
        <v>0</v>
      </c>
      <c r="CG123" s="13">
        <f t="shared" si="187"/>
        <v>0</v>
      </c>
      <c r="CH123" s="13">
        <f t="shared" si="226"/>
        <v>0</v>
      </c>
      <c r="CI123" s="68">
        <f t="shared" si="170"/>
        <v>3569</v>
      </c>
      <c r="CJ123" s="268">
        <f t="shared" si="171"/>
        <v>0</v>
      </c>
      <c r="CK123" s="13">
        <f t="shared" si="172"/>
        <v>4394</v>
      </c>
      <c r="CL123" s="13">
        <f t="shared" si="176"/>
        <v>4970</v>
      </c>
      <c r="CM123" s="13">
        <f t="shared" si="176"/>
        <v>0</v>
      </c>
      <c r="CN123" s="13">
        <f t="shared" si="176"/>
        <v>0</v>
      </c>
      <c r="CO123" s="13">
        <f t="shared" si="176"/>
        <v>0</v>
      </c>
      <c r="CP123" s="13">
        <f t="shared" si="176"/>
        <v>0</v>
      </c>
      <c r="CQ123" s="13">
        <f t="shared" si="227"/>
        <v>4970</v>
      </c>
      <c r="CR123" s="68">
        <f t="shared" si="173"/>
        <v>-576</v>
      </c>
      <c r="CS123" s="268">
        <f t="shared" si="174"/>
        <v>1.1310878470641785</v>
      </c>
      <c r="CT123" s="68">
        <f t="shared" si="147"/>
        <v>4603</v>
      </c>
      <c r="CU123" s="13">
        <f>SUMIFS(SALIDAS_BIT,FECHA_BIT,"&gt;="&amp;CU$2,FECHA_BIT,"&lt;="&amp;CU$3,CLAVE_BIT,$A123)+SUMIFS(SALIDAS_BOV1,FECHA_BOV1,"&gt;="&amp;CU$2,FECHA_BOV1,"&lt;="&amp;CU$3,CLAVE_BOV1,$A123)+SUMIFS(SALIDAS_BOV2,FECHA_BOV2,"&gt;="&amp;CU$2,FECHA_BOV2,"&lt;="&amp;CU$3,CLAVE_BOV2,$A123)+SUMIFS(SALIDAS_BOV3,FECHA_BOV3,"&gt;="&amp;CU$2,FECHA_BOV3,"&lt;="&amp;CU$3,CLAVE_BOV3,$A123)+SUMIFS(SALIDAS_TC,FECHA_TC,"&gt;="&amp;CU$2,FECHA_TC,"&lt;="&amp;CU$3,CLAVE_TC,$A123)+SUMIFS(SALIDAS_COMB,FECHA_COMB,"&gt;="&amp;CU$2,FECHA_COMB,"&lt;="&amp;CU$3,CLAVE_COMB,$A123)+SUMIFS(SALIDAS_DES,FECHA_DESGLOSEN,"&gt;="&amp;CU$2,FECHA_DESGLOSEN,"&lt;="&amp;CU$3,CLAVE_DESGLOSE,$A123)</f>
        <v>3447</v>
      </c>
      <c r="CV123" s="13">
        <f>SUMIFS(SALIDAS_BIT,FECHA_BIT,"&gt;="&amp;CV$2,FECHA_BIT,"&lt;="&amp;CV$3,CLAVE_BIT,$A123)+SUMIFS(SALIDAS_BOV1,FECHA_BOV1,"&gt;="&amp;CV$2,FECHA_BOV1,"&lt;="&amp;CV$3,CLAVE_BOV1,$A123)+SUMIFS(SALIDAS_BOV2,FECHA_BOV2,"&gt;="&amp;CV$2,FECHA_BOV2,"&lt;="&amp;CV$3,CLAVE_BOV2,$A123)+SUMIFS(SALIDAS_BOV3,FECHA_BOV3,"&gt;="&amp;CV$2,FECHA_BOV3,"&lt;="&amp;CV$3,CLAVE_BOV3,$A123)+SUMIFS(SALIDAS_TC,FECHA_TC,"&gt;="&amp;CV$2,FECHA_TC,"&lt;="&amp;CV$3,CLAVE_TC,$A123)+SUMIFS(SALIDAS_COMB,FECHA_COMB,"&gt;="&amp;CV$2,FECHA_COMB,"&lt;="&amp;CV$3,CLAVE_COMB,$A123)+SUMIFS(SALIDAS_DES,FECHA_DESGLOSEN,"&gt;="&amp;CV$2,FECHA_DESGLOSEN,"&lt;="&amp;CV$3,CLAVE_DESGLOSE,$A123)</f>
        <v>0</v>
      </c>
      <c r="CW123" s="13">
        <f>SUMIFS(SALIDAS_BIT,FECHA_BIT,"&gt;="&amp;CW$2,FECHA_BIT,"&lt;="&amp;CW$3,CLAVE_BIT,$A123)+SUMIFS(SALIDAS_BOV1,FECHA_BOV1,"&gt;="&amp;CW$2,FECHA_BOV1,"&lt;="&amp;CW$3,CLAVE_BOV1,$A123)+SUMIFS(SALIDAS_BOV2,FECHA_BOV2,"&gt;="&amp;CW$2,FECHA_BOV2,"&lt;="&amp;CW$3,CLAVE_BOV2,$A123)+SUMIFS(SALIDAS_BOV3,FECHA_BOV3,"&gt;="&amp;CW$2,FECHA_BOV3,"&lt;="&amp;CW$3,CLAVE_BOV3,$A123)+SUMIFS(SALIDAS_TC,FECHA_TC,"&gt;="&amp;CW$2,FECHA_TC,"&lt;="&amp;CW$3,CLAVE_TC,$A123)+SUMIFS(SALIDAS_COMB,FECHA_COMB,"&gt;="&amp;CW$2,FECHA_COMB,"&lt;="&amp;CW$3,CLAVE_COMB,$A123)+SUMIFS(SALIDAS_DES,FECHA_DESGLOSEN,"&gt;="&amp;CW$2,FECHA_DESGLOSEN,"&lt;="&amp;CW$3,CLAVE_DESGLOSE,$A123)</f>
        <v>0</v>
      </c>
      <c r="CX123" s="13">
        <f>SUMIFS(SALIDAS_BIT,FECHA_BIT,"&gt;="&amp;CX$2,FECHA_BIT,"&lt;="&amp;CX$3,CLAVE_BIT,$A123)+SUMIFS(SALIDAS_BOV1,FECHA_BOV1,"&gt;="&amp;CX$2,FECHA_BOV1,"&lt;="&amp;CX$3,CLAVE_BOV1,$A123)+SUMIFS(SALIDAS_BOV2,FECHA_BOV2,"&gt;="&amp;CX$2,FECHA_BOV2,"&lt;="&amp;CX$3,CLAVE_BOV2,$A123)+SUMIFS(SALIDAS_BOV3,FECHA_BOV3,"&gt;="&amp;CX$2,FECHA_BOV3,"&lt;="&amp;CX$3,CLAVE_BOV3,$A123)+SUMIFS(SALIDAS_TC,FECHA_TC,"&gt;="&amp;CX$2,FECHA_TC,"&lt;="&amp;CX$3,CLAVE_TC,$A123)+SUMIFS(SALIDAS_COMB,FECHA_COMB,"&gt;="&amp;CX$2,FECHA_COMB,"&lt;="&amp;CX$3,CLAVE_COMB,$A123)+SUMIFS(SALIDAS_DES,FECHA_DESGLOSEN,"&gt;="&amp;CX$2,FECHA_DESGLOSEN,"&lt;="&amp;CX$3,CLAVE_DESGLOSE,$A123)</f>
        <v>0</v>
      </c>
      <c r="CY123" s="13">
        <f>SUMIFS(SALIDAS_BIT,FECHA_BIT,"&gt;="&amp;CY$2,FECHA_BIT,"&lt;="&amp;CY$3,CLAVE_BIT,$A123)+SUMIFS(SALIDAS_BOV1,FECHA_BOV1,"&gt;="&amp;CY$2,FECHA_BOV1,"&lt;="&amp;CY$3,CLAVE_BOV1,$A123)+SUMIFS(SALIDAS_BOV2,FECHA_BOV2,"&gt;="&amp;CY$2,FECHA_BOV2,"&lt;="&amp;CY$3,CLAVE_BOV2,$A123)+SUMIFS(SALIDAS_BOV3,FECHA_BOV3,"&gt;="&amp;CY$2,FECHA_BOV3,"&lt;="&amp;CY$3,CLAVE_BOV3,$A123)+SUMIFS(SALIDAS_TC,FECHA_TC,"&gt;="&amp;CY$2,FECHA_TC,"&lt;="&amp;CY$3,CLAVE_TC,$A123)+SUMIFS(SALIDAS_COMB,FECHA_COMB,"&gt;="&amp;CY$2,FECHA_COMB,"&lt;="&amp;CY$3,CLAVE_COMB,$A123)+SUMIFS(SALIDAS_DES,FECHA_DESGLOSEN,"&gt;="&amp;CY$2,FECHA_DESGLOSEN,"&lt;="&amp;CY$3,CLAVE_DESGLOSE,$A123)</f>
        <v>3447</v>
      </c>
      <c r="CZ123" s="68">
        <f t="shared" si="175"/>
        <v>1156</v>
      </c>
      <c r="DB123" s="17">
        <f>F123+N123+W123+AE123+AM123+AV123+BD123+BL123+BU123+CC123+CK123</f>
        <v>59381</v>
      </c>
      <c r="DC123" s="17">
        <f>K123+T123+AB123+AJ123+AS123+BA123+BI123+BR123+BZ123+CH123+CQ123</f>
        <v>69315</v>
      </c>
    </row>
    <row r="124" spans="1:107" hidden="1">
      <c r="A124" s="12" t="str">
        <f t="shared" si="148"/>
        <v>HRENERGIA ELECTRICAA22</v>
      </c>
      <c r="B124" s="12">
        <v>126</v>
      </c>
      <c r="C124" t="s">
        <v>29</v>
      </c>
      <c r="D124" s="404" t="s">
        <v>87</v>
      </c>
      <c r="E124" s="404" t="s">
        <v>104</v>
      </c>
      <c r="F124" s="259">
        <f t="shared" si="141"/>
        <v>6870</v>
      </c>
      <c r="G124" s="13">
        <f t="shared" si="217"/>
        <v>0</v>
      </c>
      <c r="H124" s="13">
        <f t="shared" si="217"/>
        <v>0</v>
      </c>
      <c r="I124" s="13">
        <f t="shared" si="217"/>
        <v>9007</v>
      </c>
      <c r="J124" s="13">
        <f t="shared" si="217"/>
        <v>0</v>
      </c>
      <c r="K124" s="13">
        <f t="shared" si="217"/>
        <v>9007</v>
      </c>
      <c r="L124" s="68">
        <f t="shared" si="149"/>
        <v>-2137</v>
      </c>
      <c r="M124" s="268">
        <f t="shared" si="150"/>
        <v>1.3110625909752547</v>
      </c>
      <c r="N124" s="13">
        <f t="shared" si="142"/>
        <v>0</v>
      </c>
      <c r="O124" s="13">
        <f t="shared" si="218"/>
        <v>0</v>
      </c>
      <c r="P124" s="13">
        <f t="shared" si="218"/>
        <v>0</v>
      </c>
      <c r="Q124" s="13">
        <f t="shared" si="218"/>
        <v>0</v>
      </c>
      <c r="R124" s="13">
        <f t="shared" si="218"/>
        <v>0</v>
      </c>
      <c r="S124" s="13">
        <f t="shared" si="218"/>
        <v>0</v>
      </c>
      <c r="T124" s="13">
        <f t="shared" si="218"/>
        <v>0</v>
      </c>
      <c r="U124" s="68">
        <f t="shared" si="151"/>
        <v>0</v>
      </c>
      <c r="V124" s="268">
        <f t="shared" si="152"/>
        <v>0</v>
      </c>
      <c r="W124" s="13">
        <f t="shared" si="143"/>
        <v>6837</v>
      </c>
      <c r="X124" s="13">
        <f t="shared" si="219"/>
        <v>0</v>
      </c>
      <c r="Y124" s="13">
        <f t="shared" si="219"/>
        <v>6115</v>
      </c>
      <c r="Z124" s="13">
        <f t="shared" si="219"/>
        <v>0</v>
      </c>
      <c r="AA124" s="13">
        <f t="shared" si="219"/>
        <v>0</v>
      </c>
      <c r="AB124" s="13">
        <f t="shared" si="219"/>
        <v>6115</v>
      </c>
      <c r="AC124" s="68">
        <f t="shared" si="153"/>
        <v>722</v>
      </c>
      <c r="AD124" s="268">
        <f t="shared" si="154"/>
        <v>0.8943981278338452</v>
      </c>
      <c r="AE124" s="13">
        <f t="shared" si="144"/>
        <v>0</v>
      </c>
      <c r="AF124" s="13">
        <f t="shared" si="220"/>
        <v>0</v>
      </c>
      <c r="AG124" s="13">
        <f t="shared" si="220"/>
        <v>0</v>
      </c>
      <c r="AH124" s="13">
        <f t="shared" si="220"/>
        <v>0</v>
      </c>
      <c r="AI124" s="13">
        <f t="shared" si="220"/>
        <v>0</v>
      </c>
      <c r="AJ124" s="13">
        <f t="shared" si="220"/>
        <v>0</v>
      </c>
      <c r="AK124" s="68">
        <f t="shared" si="155"/>
        <v>0</v>
      </c>
      <c r="AL124" s="268">
        <f t="shared" si="156"/>
        <v>0</v>
      </c>
      <c r="AM124" s="13">
        <f t="shared" si="145"/>
        <v>7179</v>
      </c>
      <c r="AN124" s="13">
        <f t="shared" si="221"/>
        <v>0</v>
      </c>
      <c r="AO124" s="13">
        <f t="shared" si="221"/>
        <v>0</v>
      </c>
      <c r="AP124" s="13">
        <f t="shared" si="221"/>
        <v>6443</v>
      </c>
      <c r="AQ124" s="13">
        <f t="shared" si="221"/>
        <v>0</v>
      </c>
      <c r="AR124" s="13">
        <f t="shared" si="221"/>
        <v>0</v>
      </c>
      <c r="AS124" s="13">
        <f t="shared" si="221"/>
        <v>6443</v>
      </c>
      <c r="AT124" s="68">
        <f>AM124-AS124</f>
        <v>736</v>
      </c>
      <c r="AU124" s="268">
        <f t="shared" si="157"/>
        <v>0.89747875748711514</v>
      </c>
      <c r="AV124" s="13">
        <f t="shared" si="146"/>
        <v>0</v>
      </c>
      <c r="AW124" s="13">
        <f t="shared" si="222"/>
        <v>0</v>
      </c>
      <c r="AX124" s="13">
        <f t="shared" si="222"/>
        <v>0</v>
      </c>
      <c r="AY124" s="13">
        <f t="shared" si="222"/>
        <v>0</v>
      </c>
      <c r="AZ124" s="13">
        <f t="shared" si="222"/>
        <v>0</v>
      </c>
      <c r="BA124" s="13">
        <f t="shared" si="223"/>
        <v>0</v>
      </c>
      <c r="BB124" s="68">
        <f t="shared" si="158"/>
        <v>0</v>
      </c>
      <c r="BC124" s="268">
        <f t="shared" si="159"/>
        <v>0</v>
      </c>
      <c r="BD124" s="13">
        <f t="shared" si="160"/>
        <v>8370</v>
      </c>
      <c r="BE124" s="13">
        <f>SUMIFS(SALIDAS_BIT,FECHA_BIT,"&gt;="&amp;BE$2,FECHA_BIT,"&lt;="&amp;BE$3,CLAVE_BIT,$A124)+SUMIFS(SALIDAS_BOV1,FECHA_BOV1,"&gt;="&amp;BE$2,FECHA_BOV1,"&lt;="&amp;BE$3,CLAVE_BOV1,$A124)+SUMIFS(SALIDAS_BOV2,FECHA_BOV2,"&gt;="&amp;BE$2,FECHA_BOV2,"&lt;="&amp;BE$3,CLAVE_BOV2,$A124)+SUMIFS(SALIDAS_BOV3,FECHA_BOV3,"&gt;="&amp;BE$2,FECHA_BOV3,"&lt;="&amp;BE$3,CLAVE_BOV3,$A124)+SUMIFS(SALIDAS_TC,FECHA_TC,"&gt;="&amp;BE$2,FECHA_TC,"&lt;="&amp;BE$3,CLAVE_TC,$A124)+SUMIFS(SALIDAS_COMB,FECHA_COMB,"&gt;="&amp;BE$2,FECHA_COMB,"&lt;="&amp;BE$3,CLAVE_COMB,$A124)+SUMIFS(SALIDAS_DES,FECHA_DESGLOSEN,"&gt;="&amp;BE$2,FECHA_DESGLOSEN,"&lt;="&amp;BE$3,CLAVE_DESGLOSE,$A124)</f>
        <v>0</v>
      </c>
      <c r="BF124" s="13">
        <f>SUMIFS(SALIDAS_BIT,FECHA_BIT,"&gt;="&amp;BF$2,FECHA_BIT,"&lt;="&amp;BF$3,CLAVE_BIT,$A124)+SUMIFS(SALIDAS_BOV1,FECHA_BOV1,"&gt;="&amp;BF$2,FECHA_BOV1,"&lt;="&amp;BF$3,CLAVE_BOV1,$A124)+SUMIFS(SALIDAS_BOV2,FECHA_BOV2,"&gt;="&amp;BF$2,FECHA_BOV2,"&lt;="&amp;BF$3,CLAVE_BOV2,$A124)+SUMIFS(SALIDAS_BOV3,FECHA_BOV3,"&gt;="&amp;BF$2,FECHA_BOV3,"&lt;="&amp;BF$3,CLAVE_BOV3,$A124)+SUMIFS(SALIDAS_TC,FECHA_TC,"&gt;="&amp;BF$2,FECHA_TC,"&lt;="&amp;BF$3,CLAVE_TC,$A124)+SUMIFS(SALIDAS_COMB,FECHA_COMB,"&gt;="&amp;BF$2,FECHA_COMB,"&lt;="&amp;BF$3,CLAVE_COMB,$A124)+SUMIFS(SALIDAS_DES,FECHA_DESGLOSEN,"&gt;="&amp;BF$2,FECHA_DESGLOSEN,"&lt;="&amp;BF$3,CLAVE_DESGLOSE,$A124)</f>
        <v>0</v>
      </c>
      <c r="BG124" s="13">
        <f>SUMIFS(SALIDAS_BIT,FECHA_BIT,"&gt;="&amp;BG$2,FECHA_BIT,"&lt;="&amp;BG$3,CLAVE_BIT,$A124)+SUMIFS(SALIDAS_BOV1,FECHA_BOV1,"&gt;="&amp;BG$2,FECHA_BOV1,"&lt;="&amp;BG$3,CLAVE_BOV1,$A124)+SUMIFS(SALIDAS_BOV2,FECHA_BOV2,"&gt;="&amp;BG$2,FECHA_BOV2,"&lt;="&amp;BG$3,CLAVE_BOV2,$A124)+SUMIFS(SALIDAS_BOV3,FECHA_BOV3,"&gt;="&amp;BG$2,FECHA_BOV3,"&lt;="&amp;BG$3,CLAVE_BOV3,$A124)+SUMIFS(SALIDAS_TC,FECHA_TC,"&gt;="&amp;BG$2,FECHA_TC,"&lt;="&amp;BG$3,CLAVE_TC,$A124)+SUMIFS(SALIDAS_COMB,FECHA_COMB,"&gt;="&amp;BG$2,FECHA_COMB,"&lt;="&amp;BG$3,CLAVE_COMB,$A124)+SUMIFS(SALIDAS_DES,FECHA_DESGLOSEN,"&gt;="&amp;BG$2,FECHA_DESGLOSEN,"&lt;="&amp;BG$3,CLAVE_DESGLOSE,$A124)</f>
        <v>6470</v>
      </c>
      <c r="BH124" s="13">
        <f>SUMIFS(SALIDAS_BIT,FECHA_BIT,"&gt;="&amp;BH$2,FECHA_BIT,"&lt;="&amp;BH$3,CLAVE_BIT,$A124)+SUMIFS(SALIDAS_BOV1,FECHA_BOV1,"&gt;="&amp;BH$2,FECHA_BOV1,"&lt;="&amp;BH$3,CLAVE_BOV1,$A124)+SUMIFS(SALIDAS_BOV2,FECHA_BOV2,"&gt;="&amp;BH$2,FECHA_BOV2,"&lt;="&amp;BH$3,CLAVE_BOV2,$A124)+SUMIFS(SALIDAS_BOV3,FECHA_BOV3,"&gt;="&amp;BH$2,FECHA_BOV3,"&lt;="&amp;BH$3,CLAVE_BOV3,$A124)+SUMIFS(SALIDAS_TC,FECHA_TC,"&gt;="&amp;BH$2,FECHA_TC,"&lt;="&amp;BH$3,CLAVE_TC,$A124)+SUMIFS(SALIDAS_COMB,FECHA_COMB,"&gt;="&amp;BH$2,FECHA_COMB,"&lt;="&amp;BH$3,CLAVE_COMB,$A124)+SUMIFS(SALIDAS_DES,FECHA_DESGLOSEN,"&gt;="&amp;BH$2,FECHA_DESGLOSEN,"&lt;="&amp;BH$3,CLAVE_DESGLOSE,$A124)</f>
        <v>0</v>
      </c>
      <c r="BI124" s="13">
        <f t="shared" si="215"/>
        <v>6470</v>
      </c>
      <c r="BJ124" s="68">
        <f t="shared" si="161"/>
        <v>1900</v>
      </c>
      <c r="BK124" s="268">
        <f t="shared" si="162"/>
        <v>0.77299880525686981</v>
      </c>
      <c r="BL124" s="13">
        <f t="shared" si="163"/>
        <v>35987</v>
      </c>
      <c r="BM124" s="13">
        <f>SUMIFS(SALIDAS_BIT,FECHA_BIT,"&gt;="&amp;BM$2,FECHA_BIT,"&lt;="&amp;BM$3,CLAVE_BIT,$A124)+SUMIFS(SALIDAS_BOV1,FECHA_BOV1,"&gt;="&amp;BM$2,FECHA_BOV1,"&lt;="&amp;BM$3,CLAVE_BOV1,$A124)+SUMIFS(SALIDAS_BOV2,FECHA_BOV2,"&gt;="&amp;BM$2,FECHA_BOV2,"&lt;="&amp;BM$3,CLAVE_BOV2,$A124)+SUMIFS(SALIDAS_BOV3,FECHA_BOV3,"&gt;="&amp;BM$2,FECHA_BOV3,"&lt;="&amp;BM$3,CLAVE_BOV3,$A124)+SUMIFS(SALIDAS_TC,FECHA_TC,"&gt;="&amp;BM$2,FECHA_TC,"&lt;="&amp;BM$3,CLAVE_TC,$A124)+SUMIFS(SALIDAS_COMB,FECHA_COMB,"&gt;="&amp;BM$2,FECHA_COMB,"&lt;="&amp;BM$3,CLAVE_COMB,$A124)+SUMIFS(SALIDAS_DES,FECHA_DESGLOSEN,"&gt;="&amp;BM$2,FECHA_DESGLOSEN,"&lt;="&amp;BM$3,CLAVE_DESGLOSE,$A124)</f>
        <v>0</v>
      </c>
      <c r="BN124" s="13">
        <f>SUMIFS(SALIDAS_BIT,FECHA_BIT,"&gt;="&amp;BN$2,FECHA_BIT,"&lt;="&amp;BN$3,CLAVE_BIT,$A124)+SUMIFS(SALIDAS_BOV1,FECHA_BOV1,"&gt;="&amp;BN$2,FECHA_BOV1,"&lt;="&amp;BN$3,CLAVE_BOV1,$A124)+SUMIFS(SALIDAS_BOV2,FECHA_BOV2,"&gt;="&amp;BN$2,FECHA_BOV2,"&lt;="&amp;BN$3,CLAVE_BOV2,$A124)+SUMIFS(SALIDAS_BOV3,FECHA_BOV3,"&gt;="&amp;BN$2,FECHA_BOV3,"&lt;="&amp;BN$3,CLAVE_BOV3,$A124)+SUMIFS(SALIDAS_TC,FECHA_TC,"&gt;="&amp;BN$2,FECHA_TC,"&lt;="&amp;BN$3,CLAVE_TC,$A124)+SUMIFS(SALIDAS_COMB,FECHA_COMB,"&gt;="&amp;BN$2,FECHA_COMB,"&lt;="&amp;BN$3,CLAVE_COMB,$A124)+SUMIFS(SALIDAS_DES,FECHA_DESGLOSEN,"&gt;="&amp;BN$2,FECHA_DESGLOSEN,"&lt;="&amp;BN$3,CLAVE_DESGLOSE,$A124)</f>
        <v>0</v>
      </c>
      <c r="BO124" s="13">
        <f>SUMIFS(SALIDAS_BIT,FECHA_BIT,"&gt;="&amp;BO$2,FECHA_BIT,"&lt;="&amp;BO$3,CLAVE_BIT,$A124)+SUMIFS(SALIDAS_BOV1,FECHA_BOV1,"&gt;="&amp;BO$2,FECHA_BOV1,"&lt;="&amp;BO$3,CLAVE_BOV1,$A124)+SUMIFS(SALIDAS_BOV2,FECHA_BOV2,"&gt;="&amp;BO$2,FECHA_BOV2,"&lt;="&amp;BO$3,CLAVE_BOV2,$A124)+SUMIFS(SALIDAS_BOV3,FECHA_BOV3,"&gt;="&amp;BO$2,FECHA_BOV3,"&lt;="&amp;BO$3,CLAVE_BOV3,$A124)+SUMIFS(SALIDAS_TC,FECHA_TC,"&gt;="&amp;BO$2,FECHA_TC,"&lt;="&amp;BO$3,CLAVE_TC,$A124)+SUMIFS(SALIDAS_COMB,FECHA_COMB,"&gt;="&amp;BO$2,FECHA_COMB,"&lt;="&amp;BO$3,CLAVE_COMB,$A124)+SUMIFS(SALIDAS_DES,FECHA_DESGLOSEN,"&gt;="&amp;BO$2,FECHA_DESGLOSEN,"&lt;="&amp;BO$3,CLAVE_DESGLOSE,$A124)</f>
        <v>0</v>
      </c>
      <c r="BP124" s="13">
        <f>SUMIFS(SALIDAS_BIT,FECHA_BIT,"&gt;="&amp;BP$2,FECHA_BIT,"&lt;="&amp;BP$3,CLAVE_BIT,$A124)+SUMIFS(SALIDAS_BOV1,FECHA_BOV1,"&gt;="&amp;BP$2,FECHA_BOV1,"&lt;="&amp;BP$3,CLAVE_BOV1,$A124)+SUMIFS(SALIDAS_BOV2,FECHA_BOV2,"&gt;="&amp;BP$2,FECHA_BOV2,"&lt;="&amp;BP$3,CLAVE_BOV2,$A124)+SUMIFS(SALIDAS_BOV3,FECHA_BOV3,"&gt;="&amp;BP$2,FECHA_BOV3,"&lt;="&amp;BP$3,CLAVE_BOV3,$A124)+SUMIFS(SALIDAS_TC,FECHA_TC,"&gt;="&amp;BP$2,FECHA_TC,"&lt;="&amp;BP$3,CLAVE_TC,$A124)+SUMIFS(SALIDAS_COMB,FECHA_COMB,"&gt;="&amp;BP$2,FECHA_COMB,"&lt;="&amp;BP$3,CLAVE_COMB,$A124)+SUMIFS(SALIDAS_DES,FECHA_DESGLOSEN,"&gt;="&amp;BP$2,FECHA_DESGLOSEN,"&lt;="&amp;BP$3,CLAVE_DESGLOSE,$A124)</f>
        <v>0</v>
      </c>
      <c r="BQ124" s="13">
        <f>SUMIFS(SALIDAS_BIT,FECHA_BIT,"&gt;="&amp;BQ$2,FECHA_BIT,"&lt;="&amp;BQ$3,CLAVE_BIT,$A124)+SUMIFS(SALIDAS_BOV1,FECHA_BOV1,"&gt;="&amp;BQ$2,FECHA_BOV1,"&lt;="&amp;BQ$3,CLAVE_BOV1,$A124)+SUMIFS(SALIDAS_BOV2,FECHA_BOV2,"&gt;="&amp;BQ$2,FECHA_BOV2,"&lt;="&amp;BQ$3,CLAVE_BOV2,$A124)+SUMIFS(SALIDAS_BOV3,FECHA_BOV3,"&gt;="&amp;BQ$2,FECHA_BOV3,"&lt;="&amp;BQ$3,CLAVE_BOV3,$A124)+SUMIFS(SALIDAS_TC,FECHA_TC,"&gt;="&amp;BQ$2,FECHA_TC,"&lt;="&amp;BQ$3,CLAVE_TC,$A124)+SUMIFS(SALIDAS_COMB,FECHA_COMB,"&gt;="&amp;BQ$2,FECHA_COMB,"&lt;="&amp;BQ$3,CLAVE_COMB,$A124)+SUMIFS(SALIDAS_DES,FECHA_DESGLOSEN,"&gt;="&amp;BQ$2,FECHA_DESGLOSEN,"&lt;="&amp;BQ$3,CLAVE_DESGLOSE,$A124)</f>
        <v>0</v>
      </c>
      <c r="BR124" s="13">
        <f t="shared" si="224"/>
        <v>0</v>
      </c>
      <c r="BS124" s="68">
        <f t="shared" si="164"/>
        <v>35987</v>
      </c>
      <c r="BT124" s="268">
        <f t="shared" si="165"/>
        <v>0</v>
      </c>
      <c r="BU124" s="13">
        <f t="shared" si="166"/>
        <v>8143</v>
      </c>
      <c r="BV124" s="13">
        <f t="shared" si="186"/>
        <v>0</v>
      </c>
      <c r="BW124" s="13">
        <f t="shared" si="186"/>
        <v>0</v>
      </c>
      <c r="BX124" s="13">
        <f t="shared" si="186"/>
        <v>7225</v>
      </c>
      <c r="BY124" s="13">
        <f t="shared" si="186"/>
        <v>0</v>
      </c>
      <c r="BZ124" s="13">
        <f t="shared" si="225"/>
        <v>7225</v>
      </c>
      <c r="CA124" s="68">
        <f t="shared" si="167"/>
        <v>918</v>
      </c>
      <c r="CB124" s="268">
        <f t="shared" si="168"/>
        <v>0.88726513569937371</v>
      </c>
      <c r="CC124" s="13">
        <f t="shared" si="169"/>
        <v>0</v>
      </c>
      <c r="CD124" s="13">
        <f t="shared" si="187"/>
        <v>0</v>
      </c>
      <c r="CE124" s="13">
        <f t="shared" si="187"/>
        <v>0</v>
      </c>
      <c r="CF124" s="13">
        <f t="shared" si="187"/>
        <v>0</v>
      </c>
      <c r="CG124" s="13">
        <f t="shared" si="187"/>
        <v>0</v>
      </c>
      <c r="CH124" s="13">
        <f t="shared" si="226"/>
        <v>0</v>
      </c>
      <c r="CI124" s="68">
        <f t="shared" si="170"/>
        <v>0</v>
      </c>
      <c r="CJ124" s="268">
        <f t="shared" si="171"/>
        <v>0</v>
      </c>
      <c r="CK124" s="13">
        <f t="shared" si="172"/>
        <v>6263</v>
      </c>
      <c r="CL124" s="13">
        <f t="shared" si="176"/>
        <v>0</v>
      </c>
      <c r="CM124" s="13">
        <f t="shared" si="176"/>
        <v>0</v>
      </c>
      <c r="CN124" s="13">
        <f t="shared" si="176"/>
        <v>5719</v>
      </c>
      <c r="CO124" s="13">
        <f t="shared" si="176"/>
        <v>0</v>
      </c>
      <c r="CP124" s="13">
        <f t="shared" si="176"/>
        <v>0</v>
      </c>
      <c r="CQ124" s="13">
        <f t="shared" si="227"/>
        <v>5719</v>
      </c>
      <c r="CR124" s="68">
        <f t="shared" si="173"/>
        <v>544</v>
      </c>
      <c r="CS124" s="268">
        <f t="shared" si="174"/>
        <v>0.91314066741178346</v>
      </c>
      <c r="CT124" s="68">
        <f t="shared" si="147"/>
        <v>0</v>
      </c>
      <c r="CU124" s="13">
        <f>SUMIFS(SALIDAS_BIT,FECHA_BIT,"&gt;="&amp;CU$2,FECHA_BIT,"&lt;="&amp;CU$3,CLAVE_BIT,$A124)+SUMIFS(SALIDAS_BOV1,FECHA_BOV1,"&gt;="&amp;CU$2,FECHA_BOV1,"&lt;="&amp;CU$3,CLAVE_BOV1,$A124)+SUMIFS(SALIDAS_BOV2,FECHA_BOV2,"&gt;="&amp;CU$2,FECHA_BOV2,"&lt;="&amp;CU$3,CLAVE_BOV2,$A124)+SUMIFS(SALIDAS_BOV3,FECHA_BOV3,"&gt;="&amp;CU$2,FECHA_BOV3,"&lt;="&amp;CU$3,CLAVE_BOV3,$A124)+SUMIFS(SALIDAS_TC,FECHA_TC,"&gt;="&amp;CU$2,FECHA_TC,"&lt;="&amp;CU$3,CLAVE_TC,$A124)+SUMIFS(SALIDAS_COMB,FECHA_COMB,"&gt;="&amp;CU$2,FECHA_COMB,"&lt;="&amp;CU$3,CLAVE_COMB,$A124)+SUMIFS(SALIDAS_DES,FECHA_DESGLOSEN,"&gt;="&amp;CU$2,FECHA_DESGLOSEN,"&lt;="&amp;CU$3,CLAVE_DESGLOSE,$A124)</f>
        <v>0</v>
      </c>
      <c r="CV124" s="13">
        <f>SUMIFS(SALIDAS_BIT,FECHA_BIT,"&gt;="&amp;CV$2,FECHA_BIT,"&lt;="&amp;CV$3,CLAVE_BIT,$A124)+SUMIFS(SALIDAS_BOV1,FECHA_BOV1,"&gt;="&amp;CV$2,FECHA_BOV1,"&lt;="&amp;CV$3,CLAVE_BOV1,$A124)+SUMIFS(SALIDAS_BOV2,FECHA_BOV2,"&gt;="&amp;CV$2,FECHA_BOV2,"&lt;="&amp;CV$3,CLAVE_BOV2,$A124)+SUMIFS(SALIDAS_BOV3,FECHA_BOV3,"&gt;="&amp;CV$2,FECHA_BOV3,"&lt;="&amp;CV$3,CLAVE_BOV3,$A124)+SUMIFS(SALIDAS_TC,FECHA_TC,"&gt;="&amp;CV$2,FECHA_TC,"&lt;="&amp;CV$3,CLAVE_TC,$A124)+SUMIFS(SALIDAS_COMB,FECHA_COMB,"&gt;="&amp;CV$2,FECHA_COMB,"&lt;="&amp;CV$3,CLAVE_COMB,$A124)+SUMIFS(SALIDAS_DES,FECHA_DESGLOSEN,"&gt;="&amp;CV$2,FECHA_DESGLOSEN,"&lt;="&amp;CV$3,CLAVE_DESGLOSE,$A124)</f>
        <v>0</v>
      </c>
      <c r="CW124" s="13">
        <f>SUMIFS(SALIDAS_BIT,FECHA_BIT,"&gt;="&amp;CW$2,FECHA_BIT,"&lt;="&amp;CW$3,CLAVE_BIT,$A124)+SUMIFS(SALIDAS_BOV1,FECHA_BOV1,"&gt;="&amp;CW$2,FECHA_BOV1,"&lt;="&amp;CW$3,CLAVE_BOV1,$A124)+SUMIFS(SALIDAS_BOV2,FECHA_BOV2,"&gt;="&amp;CW$2,FECHA_BOV2,"&lt;="&amp;CW$3,CLAVE_BOV2,$A124)+SUMIFS(SALIDAS_BOV3,FECHA_BOV3,"&gt;="&amp;CW$2,FECHA_BOV3,"&lt;="&amp;CW$3,CLAVE_BOV3,$A124)+SUMIFS(SALIDAS_TC,FECHA_TC,"&gt;="&amp;CW$2,FECHA_TC,"&lt;="&amp;CW$3,CLAVE_TC,$A124)+SUMIFS(SALIDAS_COMB,FECHA_COMB,"&gt;="&amp;CW$2,FECHA_COMB,"&lt;="&amp;CW$3,CLAVE_COMB,$A124)+SUMIFS(SALIDAS_DES,FECHA_DESGLOSEN,"&gt;="&amp;CW$2,FECHA_DESGLOSEN,"&lt;="&amp;CW$3,CLAVE_DESGLOSE,$A124)</f>
        <v>0</v>
      </c>
      <c r="CX124" s="13">
        <f>SUMIFS(SALIDAS_BIT,FECHA_BIT,"&gt;="&amp;CX$2,FECHA_BIT,"&lt;="&amp;CX$3,CLAVE_BIT,$A124)+SUMIFS(SALIDAS_BOV1,FECHA_BOV1,"&gt;="&amp;CX$2,FECHA_BOV1,"&lt;="&amp;CX$3,CLAVE_BOV1,$A124)+SUMIFS(SALIDAS_BOV2,FECHA_BOV2,"&gt;="&amp;CX$2,FECHA_BOV2,"&lt;="&amp;CX$3,CLAVE_BOV2,$A124)+SUMIFS(SALIDAS_BOV3,FECHA_BOV3,"&gt;="&amp;CX$2,FECHA_BOV3,"&lt;="&amp;CX$3,CLAVE_BOV3,$A124)+SUMIFS(SALIDAS_TC,FECHA_TC,"&gt;="&amp;CX$2,FECHA_TC,"&lt;="&amp;CX$3,CLAVE_TC,$A124)+SUMIFS(SALIDAS_COMB,FECHA_COMB,"&gt;="&amp;CX$2,FECHA_COMB,"&lt;="&amp;CX$3,CLAVE_COMB,$A124)+SUMIFS(SALIDAS_DES,FECHA_DESGLOSEN,"&gt;="&amp;CX$2,FECHA_DESGLOSEN,"&lt;="&amp;CX$3,CLAVE_DESGLOSE,$A124)</f>
        <v>0</v>
      </c>
      <c r="CY124" s="13">
        <f>SUMIFS(SALIDAS_BIT,FECHA_BIT,"&gt;="&amp;CY$2,FECHA_BIT,"&lt;="&amp;CY$3,CLAVE_BIT,$A124)+SUMIFS(SALIDAS_BOV1,FECHA_BOV1,"&gt;="&amp;CY$2,FECHA_BOV1,"&lt;="&amp;CY$3,CLAVE_BOV1,$A124)+SUMIFS(SALIDAS_BOV2,FECHA_BOV2,"&gt;="&amp;CY$2,FECHA_BOV2,"&lt;="&amp;CY$3,CLAVE_BOV2,$A124)+SUMIFS(SALIDAS_BOV3,FECHA_BOV3,"&gt;="&amp;CY$2,FECHA_BOV3,"&lt;="&amp;CY$3,CLAVE_BOV3,$A124)+SUMIFS(SALIDAS_TC,FECHA_TC,"&gt;="&amp;CY$2,FECHA_TC,"&lt;="&amp;CY$3,CLAVE_TC,$A124)+SUMIFS(SALIDAS_COMB,FECHA_COMB,"&gt;="&amp;CY$2,FECHA_COMB,"&lt;="&amp;CY$3,CLAVE_COMB,$A124)+SUMIFS(SALIDAS_DES,FECHA_DESGLOSEN,"&gt;="&amp;CY$2,FECHA_DESGLOSEN,"&lt;="&amp;CY$3,CLAVE_DESGLOSE,$A124)</f>
        <v>0</v>
      </c>
      <c r="CZ124" s="68">
        <f t="shared" si="175"/>
        <v>0</v>
      </c>
      <c r="DB124" s="17">
        <f>F124+N124+W124+AE124+AM124+AV124+BD124+BL124+BU124+CC124+CK124</f>
        <v>79649</v>
      </c>
      <c r="DC124" s="17">
        <f>K124+T124+AB124+AJ124+AS124+BA124+BI124+BR124+BZ124+CH124+CQ124</f>
        <v>40979</v>
      </c>
    </row>
    <row r="125" spans="1:107" hidden="1">
      <c r="A125" s="12" t="str">
        <f t="shared" si="148"/>
        <v>HRENERGIA ELECTRICAA23</v>
      </c>
      <c r="B125" s="12">
        <v>127</v>
      </c>
      <c r="C125" t="s">
        <v>29</v>
      </c>
      <c r="D125" s="12" t="s">
        <v>87</v>
      </c>
      <c r="E125" s="12" t="s">
        <v>105</v>
      </c>
      <c r="F125" s="259">
        <f t="shared" si="141"/>
        <v>2582</v>
      </c>
      <c r="G125" s="13">
        <f t="shared" si="217"/>
        <v>3626</v>
      </c>
      <c r="H125" s="13">
        <f t="shared" si="217"/>
        <v>0</v>
      </c>
      <c r="I125" s="13">
        <f t="shared" si="217"/>
        <v>0</v>
      </c>
      <c r="J125" s="13">
        <f t="shared" si="217"/>
        <v>0</v>
      </c>
      <c r="K125" s="13">
        <f t="shared" si="217"/>
        <v>3626</v>
      </c>
      <c r="L125" s="68">
        <f t="shared" si="149"/>
        <v>-1044</v>
      </c>
      <c r="M125" s="268">
        <f t="shared" si="150"/>
        <v>1.4043377226955849</v>
      </c>
      <c r="N125" s="13">
        <f t="shared" si="142"/>
        <v>2314</v>
      </c>
      <c r="O125" s="13">
        <f t="shared" si="218"/>
        <v>3603</v>
      </c>
      <c r="P125" s="13">
        <f t="shared" si="218"/>
        <v>0</v>
      </c>
      <c r="Q125" s="13">
        <f t="shared" si="218"/>
        <v>0</v>
      </c>
      <c r="R125" s="13">
        <f t="shared" si="218"/>
        <v>0</v>
      </c>
      <c r="S125" s="13">
        <f t="shared" si="218"/>
        <v>0</v>
      </c>
      <c r="T125" s="13">
        <f t="shared" si="218"/>
        <v>3603</v>
      </c>
      <c r="U125" s="68">
        <f t="shared" si="151"/>
        <v>-1289</v>
      </c>
      <c r="V125" s="268">
        <f t="shared" si="152"/>
        <v>1.5570440795159897</v>
      </c>
      <c r="W125" s="13">
        <f t="shared" si="143"/>
        <v>2337</v>
      </c>
      <c r="X125" s="13">
        <f t="shared" si="219"/>
        <v>3195</v>
      </c>
      <c r="Y125" s="13">
        <f t="shared" si="219"/>
        <v>0</v>
      </c>
      <c r="Z125" s="13">
        <f t="shared" si="219"/>
        <v>0</v>
      </c>
      <c r="AA125" s="13">
        <f t="shared" si="219"/>
        <v>0</v>
      </c>
      <c r="AB125" s="13">
        <f t="shared" si="219"/>
        <v>3195</v>
      </c>
      <c r="AC125" s="68">
        <f t="shared" si="153"/>
        <v>-858</v>
      </c>
      <c r="AD125" s="268">
        <f t="shared" si="154"/>
        <v>1.3671373555840822</v>
      </c>
      <c r="AE125" s="13">
        <f t="shared" si="144"/>
        <v>2613</v>
      </c>
      <c r="AF125" s="13">
        <f t="shared" si="220"/>
        <v>2814</v>
      </c>
      <c r="AG125" s="13">
        <f t="shared" si="220"/>
        <v>0</v>
      </c>
      <c r="AH125" s="13">
        <f t="shared" si="220"/>
        <v>0</v>
      </c>
      <c r="AI125" s="13">
        <f t="shared" si="220"/>
        <v>0</v>
      </c>
      <c r="AJ125" s="13">
        <f t="shared" si="220"/>
        <v>2814</v>
      </c>
      <c r="AK125" s="68">
        <f t="shared" si="155"/>
        <v>-201</v>
      </c>
      <c r="AL125" s="268">
        <f t="shared" si="156"/>
        <v>1.0769230769230769</v>
      </c>
      <c r="AM125" s="13">
        <f t="shared" si="145"/>
        <v>6795</v>
      </c>
      <c r="AN125" s="13">
        <f t="shared" si="221"/>
        <v>0</v>
      </c>
      <c r="AO125" s="13">
        <f t="shared" si="221"/>
        <v>4170</v>
      </c>
      <c r="AP125" s="13">
        <f t="shared" si="221"/>
        <v>0</v>
      </c>
      <c r="AQ125" s="13">
        <f t="shared" si="221"/>
        <v>0</v>
      </c>
      <c r="AR125" s="13">
        <f t="shared" si="221"/>
        <v>0</v>
      </c>
      <c r="AS125" s="13">
        <f t="shared" si="221"/>
        <v>4170</v>
      </c>
      <c r="AT125" s="68">
        <f>AM125-AS125</f>
        <v>2625</v>
      </c>
      <c r="AU125" s="268">
        <f t="shared" si="157"/>
        <v>0.61368653421633557</v>
      </c>
      <c r="AV125" s="13">
        <f t="shared" si="146"/>
        <v>0</v>
      </c>
      <c r="AW125" s="13">
        <f t="shared" si="222"/>
        <v>4187</v>
      </c>
      <c r="AX125" s="13">
        <f t="shared" si="222"/>
        <v>0</v>
      </c>
      <c r="AY125" s="13">
        <f t="shared" si="222"/>
        <v>0</v>
      </c>
      <c r="AZ125" s="13">
        <f t="shared" si="222"/>
        <v>0</v>
      </c>
      <c r="BA125" s="13">
        <f t="shared" si="223"/>
        <v>4187</v>
      </c>
      <c r="BB125" s="68">
        <f t="shared" si="158"/>
        <v>-4187</v>
      </c>
      <c r="BC125" s="268">
        <f t="shared" si="159"/>
        <v>0</v>
      </c>
      <c r="BD125" s="13">
        <f t="shared" si="160"/>
        <v>4222</v>
      </c>
      <c r="BE125" s="13">
        <f>SUMIFS(SALIDAS_BIT,FECHA_BIT,"&gt;="&amp;BE$2,FECHA_BIT,"&lt;="&amp;BE$3,CLAVE_BIT,$A125)+SUMIFS(SALIDAS_BOV1,FECHA_BOV1,"&gt;="&amp;BE$2,FECHA_BOV1,"&lt;="&amp;BE$3,CLAVE_BOV1,$A125)+SUMIFS(SALIDAS_BOV2,FECHA_BOV2,"&gt;="&amp;BE$2,FECHA_BOV2,"&lt;="&amp;BE$3,CLAVE_BOV2,$A125)+SUMIFS(SALIDAS_BOV3,FECHA_BOV3,"&gt;="&amp;BE$2,FECHA_BOV3,"&lt;="&amp;BE$3,CLAVE_BOV3,$A125)+SUMIFS(SALIDAS_TC,FECHA_TC,"&gt;="&amp;BE$2,FECHA_TC,"&lt;="&amp;BE$3,CLAVE_TC,$A125)+SUMIFS(SALIDAS_COMB,FECHA_COMB,"&gt;="&amp;BE$2,FECHA_COMB,"&lt;="&amp;BE$3,CLAVE_COMB,$A125)+SUMIFS(SALIDAS_DES,FECHA_DESGLOSEN,"&gt;="&amp;BE$2,FECHA_DESGLOSEN,"&lt;="&amp;BE$3,CLAVE_DESGLOSE,$A125)</f>
        <v>5916</v>
      </c>
      <c r="BF125" s="13">
        <f>SUMIFS(SALIDAS_BIT,FECHA_BIT,"&gt;="&amp;BF$2,FECHA_BIT,"&lt;="&amp;BF$3,CLAVE_BIT,$A125)+SUMIFS(SALIDAS_BOV1,FECHA_BOV1,"&gt;="&amp;BF$2,FECHA_BOV1,"&lt;="&amp;BF$3,CLAVE_BOV1,$A125)+SUMIFS(SALIDAS_BOV2,FECHA_BOV2,"&gt;="&amp;BF$2,FECHA_BOV2,"&lt;="&amp;BF$3,CLAVE_BOV2,$A125)+SUMIFS(SALIDAS_BOV3,FECHA_BOV3,"&gt;="&amp;BF$2,FECHA_BOV3,"&lt;="&amp;BF$3,CLAVE_BOV3,$A125)+SUMIFS(SALIDAS_TC,FECHA_TC,"&gt;="&amp;BF$2,FECHA_TC,"&lt;="&amp;BF$3,CLAVE_TC,$A125)+SUMIFS(SALIDAS_COMB,FECHA_COMB,"&gt;="&amp;BF$2,FECHA_COMB,"&lt;="&amp;BF$3,CLAVE_COMB,$A125)+SUMIFS(SALIDAS_DES,FECHA_DESGLOSEN,"&gt;="&amp;BF$2,FECHA_DESGLOSEN,"&lt;="&amp;BF$3,CLAVE_DESGLOSE,$A125)</f>
        <v>0</v>
      </c>
      <c r="BG125" s="13">
        <f>SUMIFS(SALIDAS_BIT,FECHA_BIT,"&gt;="&amp;BG$2,FECHA_BIT,"&lt;="&amp;BG$3,CLAVE_BIT,$A125)+SUMIFS(SALIDAS_BOV1,FECHA_BOV1,"&gt;="&amp;BG$2,FECHA_BOV1,"&lt;="&amp;BG$3,CLAVE_BOV1,$A125)+SUMIFS(SALIDAS_BOV2,FECHA_BOV2,"&gt;="&amp;BG$2,FECHA_BOV2,"&lt;="&amp;BG$3,CLAVE_BOV2,$A125)+SUMIFS(SALIDAS_BOV3,FECHA_BOV3,"&gt;="&amp;BG$2,FECHA_BOV3,"&lt;="&amp;BG$3,CLAVE_BOV3,$A125)+SUMIFS(SALIDAS_TC,FECHA_TC,"&gt;="&amp;BG$2,FECHA_TC,"&lt;="&amp;BG$3,CLAVE_TC,$A125)+SUMIFS(SALIDAS_COMB,FECHA_COMB,"&gt;="&amp;BG$2,FECHA_COMB,"&lt;="&amp;BG$3,CLAVE_COMB,$A125)+SUMIFS(SALIDAS_DES,FECHA_DESGLOSEN,"&gt;="&amp;BG$2,FECHA_DESGLOSEN,"&lt;="&amp;BG$3,CLAVE_DESGLOSE,$A125)</f>
        <v>0</v>
      </c>
      <c r="BH125" s="13">
        <f>SUMIFS(SALIDAS_BIT,FECHA_BIT,"&gt;="&amp;BH$2,FECHA_BIT,"&lt;="&amp;BH$3,CLAVE_BIT,$A125)+SUMIFS(SALIDAS_BOV1,FECHA_BOV1,"&gt;="&amp;BH$2,FECHA_BOV1,"&lt;="&amp;BH$3,CLAVE_BOV1,$A125)+SUMIFS(SALIDAS_BOV2,FECHA_BOV2,"&gt;="&amp;BH$2,FECHA_BOV2,"&lt;="&amp;BH$3,CLAVE_BOV2,$A125)+SUMIFS(SALIDAS_BOV3,FECHA_BOV3,"&gt;="&amp;BH$2,FECHA_BOV3,"&lt;="&amp;BH$3,CLAVE_BOV3,$A125)+SUMIFS(SALIDAS_TC,FECHA_TC,"&gt;="&amp;BH$2,FECHA_TC,"&lt;="&amp;BH$3,CLAVE_TC,$A125)+SUMIFS(SALIDAS_COMB,FECHA_COMB,"&gt;="&amp;BH$2,FECHA_COMB,"&lt;="&amp;BH$3,CLAVE_COMB,$A125)+SUMIFS(SALIDAS_DES,FECHA_DESGLOSEN,"&gt;="&amp;BH$2,FECHA_DESGLOSEN,"&lt;="&amp;BH$3,CLAVE_DESGLOSE,$A125)</f>
        <v>0</v>
      </c>
      <c r="BI125" s="13">
        <f t="shared" si="215"/>
        <v>5916</v>
      </c>
      <c r="BJ125" s="68">
        <f t="shared" si="161"/>
        <v>-1694</v>
      </c>
      <c r="BK125" s="268">
        <f t="shared" si="162"/>
        <v>1.4012316437707248</v>
      </c>
      <c r="BL125" s="13">
        <f t="shared" si="163"/>
        <v>23297</v>
      </c>
      <c r="BM125" s="13">
        <f>SUMIFS(SALIDAS_BIT,FECHA_BIT,"&gt;="&amp;BM$2,FECHA_BIT,"&lt;="&amp;BM$3,CLAVE_BIT,$A125)+SUMIFS(SALIDAS_BOV1,FECHA_BOV1,"&gt;="&amp;BM$2,FECHA_BOV1,"&lt;="&amp;BM$3,CLAVE_BOV1,$A125)+SUMIFS(SALIDAS_BOV2,FECHA_BOV2,"&gt;="&amp;BM$2,FECHA_BOV2,"&lt;="&amp;BM$3,CLAVE_BOV2,$A125)+SUMIFS(SALIDAS_BOV3,FECHA_BOV3,"&gt;="&amp;BM$2,FECHA_BOV3,"&lt;="&amp;BM$3,CLAVE_BOV3,$A125)+SUMIFS(SALIDAS_TC,FECHA_TC,"&gt;="&amp;BM$2,FECHA_TC,"&lt;="&amp;BM$3,CLAVE_TC,$A125)+SUMIFS(SALIDAS_COMB,FECHA_COMB,"&gt;="&amp;BM$2,FECHA_COMB,"&lt;="&amp;BM$3,CLAVE_COMB,$A125)+SUMIFS(SALIDAS_DES,FECHA_DESGLOSEN,"&gt;="&amp;BM$2,FECHA_DESGLOSEN,"&lt;="&amp;BM$3,CLAVE_DESGLOSE,$A125)</f>
        <v>0</v>
      </c>
      <c r="BN125" s="13">
        <f>SUMIFS(SALIDAS_BIT,FECHA_BIT,"&gt;="&amp;BN$2,FECHA_BIT,"&lt;="&amp;BN$3,CLAVE_BIT,$A125)+SUMIFS(SALIDAS_BOV1,FECHA_BOV1,"&gt;="&amp;BN$2,FECHA_BOV1,"&lt;="&amp;BN$3,CLAVE_BOV1,$A125)+SUMIFS(SALIDAS_BOV2,FECHA_BOV2,"&gt;="&amp;BN$2,FECHA_BOV2,"&lt;="&amp;BN$3,CLAVE_BOV2,$A125)+SUMIFS(SALIDAS_BOV3,FECHA_BOV3,"&gt;="&amp;BN$2,FECHA_BOV3,"&lt;="&amp;BN$3,CLAVE_BOV3,$A125)+SUMIFS(SALIDAS_TC,FECHA_TC,"&gt;="&amp;BN$2,FECHA_TC,"&lt;="&amp;BN$3,CLAVE_TC,$A125)+SUMIFS(SALIDAS_COMB,FECHA_COMB,"&gt;="&amp;BN$2,FECHA_COMB,"&lt;="&amp;BN$3,CLAVE_COMB,$A125)+SUMIFS(SALIDAS_DES,FECHA_DESGLOSEN,"&gt;="&amp;BN$2,FECHA_DESGLOSEN,"&lt;="&amp;BN$3,CLAVE_DESGLOSE,$A125)</f>
        <v>5661</v>
      </c>
      <c r="BO125" s="13">
        <f>SUMIFS(SALIDAS_BIT,FECHA_BIT,"&gt;="&amp;BO$2,FECHA_BIT,"&lt;="&amp;BO$3,CLAVE_BIT,$A125)+SUMIFS(SALIDAS_BOV1,FECHA_BOV1,"&gt;="&amp;BO$2,FECHA_BOV1,"&lt;="&amp;BO$3,CLAVE_BOV1,$A125)+SUMIFS(SALIDAS_BOV2,FECHA_BOV2,"&gt;="&amp;BO$2,FECHA_BOV2,"&lt;="&amp;BO$3,CLAVE_BOV2,$A125)+SUMIFS(SALIDAS_BOV3,FECHA_BOV3,"&gt;="&amp;BO$2,FECHA_BOV3,"&lt;="&amp;BO$3,CLAVE_BOV3,$A125)+SUMIFS(SALIDAS_TC,FECHA_TC,"&gt;="&amp;BO$2,FECHA_TC,"&lt;="&amp;BO$3,CLAVE_TC,$A125)+SUMIFS(SALIDAS_COMB,FECHA_COMB,"&gt;="&amp;BO$2,FECHA_COMB,"&lt;="&amp;BO$3,CLAVE_COMB,$A125)+SUMIFS(SALIDAS_DES,FECHA_DESGLOSEN,"&gt;="&amp;BO$2,FECHA_DESGLOSEN,"&lt;="&amp;BO$3,CLAVE_DESGLOSE,$A125)</f>
        <v>0</v>
      </c>
      <c r="BP125" s="13">
        <f>SUMIFS(SALIDAS_BIT,FECHA_BIT,"&gt;="&amp;BP$2,FECHA_BIT,"&lt;="&amp;BP$3,CLAVE_BIT,$A125)+SUMIFS(SALIDAS_BOV1,FECHA_BOV1,"&gt;="&amp;BP$2,FECHA_BOV1,"&lt;="&amp;BP$3,CLAVE_BOV1,$A125)+SUMIFS(SALIDAS_BOV2,FECHA_BOV2,"&gt;="&amp;BP$2,FECHA_BOV2,"&lt;="&amp;BP$3,CLAVE_BOV2,$A125)+SUMIFS(SALIDAS_BOV3,FECHA_BOV3,"&gt;="&amp;BP$2,FECHA_BOV3,"&lt;="&amp;BP$3,CLAVE_BOV3,$A125)+SUMIFS(SALIDAS_TC,FECHA_TC,"&gt;="&amp;BP$2,FECHA_TC,"&lt;="&amp;BP$3,CLAVE_TC,$A125)+SUMIFS(SALIDAS_COMB,FECHA_COMB,"&gt;="&amp;BP$2,FECHA_COMB,"&lt;="&amp;BP$3,CLAVE_COMB,$A125)+SUMIFS(SALIDAS_DES,FECHA_DESGLOSEN,"&gt;="&amp;BP$2,FECHA_DESGLOSEN,"&lt;="&amp;BP$3,CLAVE_DESGLOSE,$A125)</f>
        <v>0</v>
      </c>
      <c r="BQ125" s="13">
        <f>SUMIFS(SALIDAS_BIT,FECHA_BIT,"&gt;="&amp;BQ$2,FECHA_BIT,"&lt;="&amp;BQ$3,CLAVE_BIT,$A125)+SUMIFS(SALIDAS_BOV1,FECHA_BOV1,"&gt;="&amp;BQ$2,FECHA_BOV1,"&lt;="&amp;BQ$3,CLAVE_BOV1,$A125)+SUMIFS(SALIDAS_BOV2,FECHA_BOV2,"&gt;="&amp;BQ$2,FECHA_BOV2,"&lt;="&amp;BQ$3,CLAVE_BOV2,$A125)+SUMIFS(SALIDAS_BOV3,FECHA_BOV3,"&gt;="&amp;BQ$2,FECHA_BOV3,"&lt;="&amp;BQ$3,CLAVE_BOV3,$A125)+SUMIFS(SALIDAS_TC,FECHA_TC,"&gt;="&amp;BQ$2,FECHA_TC,"&lt;="&amp;BQ$3,CLAVE_TC,$A125)+SUMIFS(SALIDAS_COMB,FECHA_COMB,"&gt;="&amp;BQ$2,FECHA_COMB,"&lt;="&amp;BQ$3,CLAVE_COMB,$A125)+SUMIFS(SALIDAS_DES,FECHA_DESGLOSEN,"&gt;="&amp;BQ$2,FECHA_DESGLOSEN,"&lt;="&amp;BQ$3,CLAVE_DESGLOSE,$A125)</f>
        <v>0</v>
      </c>
      <c r="BR125" s="13">
        <f t="shared" si="224"/>
        <v>5661</v>
      </c>
      <c r="BS125" s="68">
        <f t="shared" si="164"/>
        <v>17636</v>
      </c>
      <c r="BT125" s="268">
        <f t="shared" si="165"/>
        <v>0.24299265999914152</v>
      </c>
      <c r="BU125" s="13">
        <f t="shared" si="166"/>
        <v>4040</v>
      </c>
      <c r="BV125" s="13">
        <f t="shared" si="186"/>
        <v>5893</v>
      </c>
      <c r="BW125" s="13">
        <f t="shared" si="186"/>
        <v>0</v>
      </c>
      <c r="BX125" s="13">
        <f t="shared" si="186"/>
        <v>0</v>
      </c>
      <c r="BY125" s="13">
        <f t="shared" si="186"/>
        <v>0</v>
      </c>
      <c r="BZ125" s="13">
        <f t="shared" si="225"/>
        <v>5893</v>
      </c>
      <c r="CA125" s="68">
        <f t="shared" si="167"/>
        <v>-1853</v>
      </c>
      <c r="CB125" s="268">
        <f t="shared" si="168"/>
        <v>1.4586633663366337</v>
      </c>
      <c r="CC125" s="13">
        <f t="shared" si="169"/>
        <v>3701</v>
      </c>
      <c r="CD125" s="13">
        <f t="shared" si="187"/>
        <v>0</v>
      </c>
      <c r="CE125" s="13">
        <f t="shared" si="187"/>
        <v>22131</v>
      </c>
      <c r="CF125" s="13">
        <f t="shared" si="187"/>
        <v>0</v>
      </c>
      <c r="CG125" s="13">
        <f t="shared" si="187"/>
        <v>0</v>
      </c>
      <c r="CH125" s="13">
        <f t="shared" si="226"/>
        <v>22131</v>
      </c>
      <c r="CI125" s="68">
        <f t="shared" si="170"/>
        <v>-18430</v>
      </c>
      <c r="CJ125" s="268">
        <f t="shared" si="171"/>
        <v>5.9797352067008918</v>
      </c>
      <c r="CK125" s="13">
        <f t="shared" si="172"/>
        <v>4090</v>
      </c>
      <c r="CL125" s="13">
        <f t="shared" ref="CL125:CP175" si="228">SUMIFS(SALIDAS_BIT,FECHA_BIT,"&gt;="&amp;CL$2,FECHA_BIT,"&lt;="&amp;CL$3,CLAVE_BIT,$A125)+SUMIFS(SALIDAS_BOV1,FECHA_BOV1,"&gt;="&amp;CL$2,FECHA_BOV1,"&lt;="&amp;CL$3,CLAVE_BOV1,$A125)+SUMIFS(SALIDAS_BOV2,FECHA_BOV2,"&gt;="&amp;CL$2,FECHA_BOV2,"&lt;="&amp;CL$3,CLAVE_BOV2,$A125)+SUMIFS(SALIDAS_BOV3,FECHA_BOV3,"&gt;="&amp;CL$2,FECHA_BOV3,"&lt;="&amp;CL$3,CLAVE_BOV3,$A125)+SUMIFS(SALIDAS_TC,FECHA_TC,"&gt;="&amp;CL$2,FECHA_TC,"&lt;="&amp;CL$3,CLAVE_TC,$A125)+SUMIFS(SALIDAS_COMB,FECHA_COMB,"&gt;="&amp;CL$2,FECHA_COMB,"&lt;="&amp;CL$3,CLAVE_COMB,$A125)+SUMIFS(SALIDAS_DES,FECHA_DESGLOSEN,"&gt;="&amp;CL$2,FECHA_DESGLOSEN,"&lt;="&amp;CL$3,CLAVE_DESGLOSE,$A125)</f>
        <v>2756</v>
      </c>
      <c r="CM125" s="13">
        <f t="shared" si="228"/>
        <v>0</v>
      </c>
      <c r="CN125" s="13">
        <f t="shared" si="228"/>
        <v>0</v>
      </c>
      <c r="CO125" s="13">
        <f t="shared" si="228"/>
        <v>0</v>
      </c>
      <c r="CP125" s="13">
        <f t="shared" si="228"/>
        <v>0</v>
      </c>
      <c r="CQ125" s="13">
        <f t="shared" si="227"/>
        <v>2756</v>
      </c>
      <c r="CR125" s="68">
        <f t="shared" si="173"/>
        <v>1334</v>
      </c>
      <c r="CS125" s="268">
        <f t="shared" si="174"/>
        <v>0.67383863080684592</v>
      </c>
      <c r="CT125" s="68">
        <f t="shared" si="147"/>
        <v>4000</v>
      </c>
      <c r="CU125" s="13">
        <f>SUMIFS(SALIDAS_BIT,FECHA_BIT,"&gt;="&amp;CU$2,FECHA_BIT,"&lt;="&amp;CU$3,CLAVE_BIT,$A125)+SUMIFS(SALIDAS_BOV1,FECHA_BOV1,"&gt;="&amp;CU$2,FECHA_BOV1,"&lt;="&amp;CU$3,CLAVE_BOV1,$A125)+SUMIFS(SALIDAS_BOV2,FECHA_BOV2,"&gt;="&amp;CU$2,FECHA_BOV2,"&lt;="&amp;CU$3,CLAVE_BOV2,$A125)+SUMIFS(SALIDAS_BOV3,FECHA_BOV3,"&gt;="&amp;CU$2,FECHA_BOV3,"&lt;="&amp;CU$3,CLAVE_BOV3,$A125)+SUMIFS(SALIDAS_TC,FECHA_TC,"&gt;="&amp;CU$2,FECHA_TC,"&lt;="&amp;CU$3,CLAVE_TC,$A125)+SUMIFS(SALIDAS_COMB,FECHA_COMB,"&gt;="&amp;CU$2,FECHA_COMB,"&lt;="&amp;CU$3,CLAVE_COMB,$A125)+SUMIFS(SALIDAS_DES,FECHA_DESGLOSEN,"&gt;="&amp;CU$2,FECHA_DESGLOSEN,"&lt;="&amp;CU$3,CLAVE_DESGLOSE,$A125)</f>
        <v>2815</v>
      </c>
      <c r="CV125" s="13">
        <f>SUMIFS(SALIDAS_BIT,FECHA_BIT,"&gt;="&amp;CV$2,FECHA_BIT,"&lt;="&amp;CV$3,CLAVE_BIT,$A125)+SUMIFS(SALIDAS_BOV1,FECHA_BOV1,"&gt;="&amp;CV$2,FECHA_BOV1,"&lt;="&amp;CV$3,CLAVE_BOV1,$A125)+SUMIFS(SALIDAS_BOV2,FECHA_BOV2,"&gt;="&amp;CV$2,FECHA_BOV2,"&lt;="&amp;CV$3,CLAVE_BOV2,$A125)+SUMIFS(SALIDAS_BOV3,FECHA_BOV3,"&gt;="&amp;CV$2,FECHA_BOV3,"&lt;="&amp;CV$3,CLAVE_BOV3,$A125)+SUMIFS(SALIDAS_TC,FECHA_TC,"&gt;="&amp;CV$2,FECHA_TC,"&lt;="&amp;CV$3,CLAVE_TC,$A125)+SUMIFS(SALIDAS_COMB,FECHA_COMB,"&gt;="&amp;CV$2,FECHA_COMB,"&lt;="&amp;CV$3,CLAVE_COMB,$A125)+SUMIFS(SALIDAS_DES,FECHA_DESGLOSEN,"&gt;="&amp;CV$2,FECHA_DESGLOSEN,"&lt;="&amp;CV$3,CLAVE_DESGLOSE,$A125)</f>
        <v>0</v>
      </c>
      <c r="CW125" s="13">
        <f>SUMIFS(SALIDAS_BIT,FECHA_BIT,"&gt;="&amp;CW$2,FECHA_BIT,"&lt;="&amp;CW$3,CLAVE_BIT,$A125)+SUMIFS(SALIDAS_BOV1,FECHA_BOV1,"&gt;="&amp;CW$2,FECHA_BOV1,"&lt;="&amp;CW$3,CLAVE_BOV1,$A125)+SUMIFS(SALIDAS_BOV2,FECHA_BOV2,"&gt;="&amp;CW$2,FECHA_BOV2,"&lt;="&amp;CW$3,CLAVE_BOV2,$A125)+SUMIFS(SALIDAS_BOV3,FECHA_BOV3,"&gt;="&amp;CW$2,FECHA_BOV3,"&lt;="&amp;CW$3,CLAVE_BOV3,$A125)+SUMIFS(SALIDAS_TC,FECHA_TC,"&gt;="&amp;CW$2,FECHA_TC,"&lt;="&amp;CW$3,CLAVE_TC,$A125)+SUMIFS(SALIDAS_COMB,FECHA_COMB,"&gt;="&amp;CW$2,FECHA_COMB,"&lt;="&amp;CW$3,CLAVE_COMB,$A125)+SUMIFS(SALIDAS_DES,FECHA_DESGLOSEN,"&gt;="&amp;CW$2,FECHA_DESGLOSEN,"&lt;="&amp;CW$3,CLAVE_DESGLOSE,$A125)</f>
        <v>0</v>
      </c>
      <c r="CX125" s="13">
        <f>SUMIFS(SALIDAS_BIT,FECHA_BIT,"&gt;="&amp;CX$2,FECHA_BIT,"&lt;="&amp;CX$3,CLAVE_BIT,$A125)+SUMIFS(SALIDAS_BOV1,FECHA_BOV1,"&gt;="&amp;CX$2,FECHA_BOV1,"&lt;="&amp;CX$3,CLAVE_BOV1,$A125)+SUMIFS(SALIDAS_BOV2,FECHA_BOV2,"&gt;="&amp;CX$2,FECHA_BOV2,"&lt;="&amp;CX$3,CLAVE_BOV2,$A125)+SUMIFS(SALIDAS_BOV3,FECHA_BOV3,"&gt;="&amp;CX$2,FECHA_BOV3,"&lt;="&amp;CX$3,CLAVE_BOV3,$A125)+SUMIFS(SALIDAS_TC,FECHA_TC,"&gt;="&amp;CX$2,FECHA_TC,"&lt;="&amp;CX$3,CLAVE_TC,$A125)+SUMIFS(SALIDAS_COMB,FECHA_COMB,"&gt;="&amp;CX$2,FECHA_COMB,"&lt;="&amp;CX$3,CLAVE_COMB,$A125)+SUMIFS(SALIDAS_DES,FECHA_DESGLOSEN,"&gt;="&amp;CX$2,FECHA_DESGLOSEN,"&lt;="&amp;CX$3,CLAVE_DESGLOSE,$A125)</f>
        <v>0</v>
      </c>
      <c r="CY125" s="13">
        <f>SUMIFS(SALIDAS_BIT,FECHA_BIT,"&gt;="&amp;CY$2,FECHA_BIT,"&lt;="&amp;CY$3,CLAVE_BIT,$A125)+SUMIFS(SALIDAS_BOV1,FECHA_BOV1,"&gt;="&amp;CY$2,FECHA_BOV1,"&lt;="&amp;CY$3,CLAVE_BOV1,$A125)+SUMIFS(SALIDAS_BOV2,FECHA_BOV2,"&gt;="&amp;CY$2,FECHA_BOV2,"&lt;="&amp;CY$3,CLAVE_BOV2,$A125)+SUMIFS(SALIDAS_BOV3,FECHA_BOV3,"&gt;="&amp;CY$2,FECHA_BOV3,"&lt;="&amp;CY$3,CLAVE_BOV3,$A125)+SUMIFS(SALIDAS_TC,FECHA_TC,"&gt;="&amp;CY$2,FECHA_TC,"&lt;="&amp;CY$3,CLAVE_TC,$A125)+SUMIFS(SALIDAS_COMB,FECHA_COMB,"&gt;="&amp;CY$2,FECHA_COMB,"&lt;="&amp;CY$3,CLAVE_COMB,$A125)+SUMIFS(SALIDAS_DES,FECHA_DESGLOSEN,"&gt;="&amp;CY$2,FECHA_DESGLOSEN,"&lt;="&amp;CY$3,CLAVE_DESGLOSE,$A125)</f>
        <v>2815</v>
      </c>
      <c r="CZ125" s="68">
        <f t="shared" si="175"/>
        <v>1185</v>
      </c>
      <c r="DB125" s="17">
        <f>F125+N125+W125+AE125+AM125+AV125+BD125+BL125+BU125+CC125+CK125</f>
        <v>55991</v>
      </c>
      <c r="DC125" s="17">
        <f>K125+T125+AB125+AJ125+AS125+BA125+BI125+BR125+BZ125+CH125+CQ125</f>
        <v>63952</v>
      </c>
    </row>
    <row r="126" spans="1:107" hidden="1">
      <c r="A126" s="12" t="str">
        <f t="shared" si="148"/>
        <v>HRENERGIA ELECTRICAA24</v>
      </c>
      <c r="B126" s="12">
        <v>128</v>
      </c>
      <c r="C126" t="s">
        <v>29</v>
      </c>
      <c r="D126" s="404" t="s">
        <v>87</v>
      </c>
      <c r="E126" s="404" t="s">
        <v>106</v>
      </c>
      <c r="F126" s="259">
        <f t="shared" si="141"/>
        <v>6072</v>
      </c>
      <c r="G126" s="13">
        <f t="shared" si="217"/>
        <v>0</v>
      </c>
      <c r="H126" s="13">
        <f t="shared" si="217"/>
        <v>0</v>
      </c>
      <c r="I126" s="13">
        <f t="shared" si="217"/>
        <v>8685</v>
      </c>
      <c r="J126" s="13">
        <f t="shared" si="217"/>
        <v>0</v>
      </c>
      <c r="K126" s="13">
        <f t="shared" si="217"/>
        <v>8685</v>
      </c>
      <c r="L126" s="68">
        <f t="shared" si="149"/>
        <v>-2613</v>
      </c>
      <c r="M126" s="268">
        <f t="shared" si="150"/>
        <v>1.4303359683794465</v>
      </c>
      <c r="N126" s="13">
        <f t="shared" si="142"/>
        <v>0</v>
      </c>
      <c r="O126" s="13">
        <f t="shared" si="218"/>
        <v>0</v>
      </c>
      <c r="P126" s="13">
        <f t="shared" si="218"/>
        <v>0</v>
      </c>
      <c r="Q126" s="13">
        <f t="shared" si="218"/>
        <v>0</v>
      </c>
      <c r="R126" s="13">
        <f t="shared" si="218"/>
        <v>0</v>
      </c>
      <c r="S126" s="13">
        <f t="shared" si="218"/>
        <v>0</v>
      </c>
      <c r="T126" s="13">
        <f t="shared" si="218"/>
        <v>0</v>
      </c>
      <c r="U126" s="68">
        <f t="shared" si="151"/>
        <v>0</v>
      </c>
      <c r="V126" s="268">
        <f t="shared" si="152"/>
        <v>0</v>
      </c>
      <c r="W126" s="13">
        <f t="shared" si="143"/>
        <v>5965</v>
      </c>
      <c r="X126" s="13">
        <f t="shared" si="219"/>
        <v>0</v>
      </c>
      <c r="Y126" s="13">
        <f t="shared" si="219"/>
        <v>0</v>
      </c>
      <c r="Z126" s="13">
        <f t="shared" si="219"/>
        <v>8997</v>
      </c>
      <c r="AA126" s="13">
        <f t="shared" si="219"/>
        <v>0</v>
      </c>
      <c r="AB126" s="13">
        <f t="shared" si="219"/>
        <v>8997</v>
      </c>
      <c r="AC126" s="68">
        <f t="shared" si="153"/>
        <v>-3032</v>
      </c>
      <c r="AD126" s="268">
        <f t="shared" si="154"/>
        <v>1.5082984073763621</v>
      </c>
      <c r="AE126" s="13">
        <f t="shared" si="144"/>
        <v>0</v>
      </c>
      <c r="AF126" s="13">
        <f t="shared" si="220"/>
        <v>0</v>
      </c>
      <c r="AG126" s="13">
        <f t="shared" si="220"/>
        <v>0</v>
      </c>
      <c r="AH126" s="13">
        <f t="shared" si="220"/>
        <v>0</v>
      </c>
      <c r="AI126" s="13">
        <f t="shared" si="220"/>
        <v>0</v>
      </c>
      <c r="AJ126" s="13">
        <f t="shared" si="220"/>
        <v>0</v>
      </c>
      <c r="AK126" s="68">
        <f t="shared" si="155"/>
        <v>0</v>
      </c>
      <c r="AL126" s="268">
        <f t="shared" si="156"/>
        <v>0</v>
      </c>
      <c r="AM126" s="13">
        <f t="shared" si="145"/>
        <v>0</v>
      </c>
      <c r="AN126" s="13">
        <f t="shared" si="221"/>
        <v>0</v>
      </c>
      <c r="AO126" s="13">
        <f t="shared" si="221"/>
        <v>0</v>
      </c>
      <c r="AP126" s="13">
        <f t="shared" si="221"/>
        <v>12651</v>
      </c>
      <c r="AQ126" s="13">
        <f t="shared" si="221"/>
        <v>0</v>
      </c>
      <c r="AR126" s="13">
        <f t="shared" si="221"/>
        <v>0</v>
      </c>
      <c r="AS126" s="13">
        <f t="shared" si="221"/>
        <v>12651</v>
      </c>
      <c r="AT126" s="68">
        <f>AM126-AS126</f>
        <v>-12651</v>
      </c>
      <c r="AU126" s="268">
        <f t="shared" si="157"/>
        <v>0</v>
      </c>
      <c r="AV126" s="13">
        <f t="shared" si="146"/>
        <v>0</v>
      </c>
      <c r="AW126" s="13">
        <f t="shared" si="222"/>
        <v>0</v>
      </c>
      <c r="AX126" s="13">
        <f t="shared" si="222"/>
        <v>0</v>
      </c>
      <c r="AY126" s="13">
        <f t="shared" si="222"/>
        <v>0</v>
      </c>
      <c r="AZ126" s="13">
        <f t="shared" si="222"/>
        <v>0</v>
      </c>
      <c r="BA126" s="13">
        <f t="shared" si="223"/>
        <v>0</v>
      </c>
      <c r="BB126" s="68">
        <f t="shared" si="158"/>
        <v>0</v>
      </c>
      <c r="BC126" s="268">
        <f t="shared" si="159"/>
        <v>0</v>
      </c>
      <c r="BD126" s="13">
        <f t="shared" si="160"/>
        <v>10895</v>
      </c>
      <c r="BE126" s="13">
        <f>SUMIFS(SALIDAS_BIT,FECHA_BIT,"&gt;="&amp;BE$2,FECHA_BIT,"&lt;="&amp;BE$3,CLAVE_BIT,$A126)+SUMIFS(SALIDAS_BOV1,FECHA_BOV1,"&gt;="&amp;BE$2,FECHA_BOV1,"&lt;="&amp;BE$3,CLAVE_BOV1,$A126)+SUMIFS(SALIDAS_BOV2,FECHA_BOV2,"&gt;="&amp;BE$2,FECHA_BOV2,"&lt;="&amp;BE$3,CLAVE_BOV2,$A126)+SUMIFS(SALIDAS_BOV3,FECHA_BOV3,"&gt;="&amp;BE$2,FECHA_BOV3,"&lt;="&amp;BE$3,CLAVE_BOV3,$A126)+SUMIFS(SALIDAS_TC,FECHA_TC,"&gt;="&amp;BE$2,FECHA_TC,"&lt;="&amp;BE$3,CLAVE_TC,$A126)+SUMIFS(SALIDAS_COMB,FECHA_COMB,"&gt;="&amp;BE$2,FECHA_COMB,"&lt;="&amp;BE$3,CLAVE_COMB,$A126)+SUMIFS(SALIDAS_DES,FECHA_DESGLOSEN,"&gt;="&amp;BE$2,FECHA_DESGLOSEN,"&lt;="&amp;BE$3,CLAVE_DESGLOSE,$A126)</f>
        <v>0</v>
      </c>
      <c r="BF126" s="13">
        <f>SUMIFS(SALIDAS_BIT,FECHA_BIT,"&gt;="&amp;BF$2,FECHA_BIT,"&lt;="&amp;BF$3,CLAVE_BIT,$A126)+SUMIFS(SALIDAS_BOV1,FECHA_BOV1,"&gt;="&amp;BF$2,FECHA_BOV1,"&lt;="&amp;BF$3,CLAVE_BOV1,$A126)+SUMIFS(SALIDAS_BOV2,FECHA_BOV2,"&gt;="&amp;BF$2,FECHA_BOV2,"&lt;="&amp;BF$3,CLAVE_BOV2,$A126)+SUMIFS(SALIDAS_BOV3,FECHA_BOV3,"&gt;="&amp;BF$2,FECHA_BOV3,"&lt;="&amp;BF$3,CLAVE_BOV3,$A126)+SUMIFS(SALIDAS_TC,FECHA_TC,"&gt;="&amp;BF$2,FECHA_TC,"&lt;="&amp;BF$3,CLAVE_TC,$A126)+SUMIFS(SALIDAS_COMB,FECHA_COMB,"&gt;="&amp;BF$2,FECHA_COMB,"&lt;="&amp;BF$3,CLAVE_COMB,$A126)+SUMIFS(SALIDAS_DES,FECHA_DESGLOSEN,"&gt;="&amp;BF$2,FECHA_DESGLOSEN,"&lt;="&amp;BF$3,CLAVE_DESGLOSE,$A126)</f>
        <v>0</v>
      </c>
      <c r="BG126" s="13">
        <f>SUMIFS(SALIDAS_BIT,FECHA_BIT,"&gt;="&amp;BG$2,FECHA_BIT,"&lt;="&amp;BG$3,CLAVE_BIT,$A126)+SUMIFS(SALIDAS_BOV1,FECHA_BOV1,"&gt;="&amp;BG$2,FECHA_BOV1,"&lt;="&amp;BG$3,CLAVE_BOV1,$A126)+SUMIFS(SALIDAS_BOV2,FECHA_BOV2,"&gt;="&amp;BG$2,FECHA_BOV2,"&lt;="&amp;BG$3,CLAVE_BOV2,$A126)+SUMIFS(SALIDAS_BOV3,FECHA_BOV3,"&gt;="&amp;BG$2,FECHA_BOV3,"&lt;="&amp;BG$3,CLAVE_BOV3,$A126)+SUMIFS(SALIDAS_TC,FECHA_TC,"&gt;="&amp;BG$2,FECHA_TC,"&lt;="&amp;BG$3,CLAVE_TC,$A126)+SUMIFS(SALIDAS_COMB,FECHA_COMB,"&gt;="&amp;BG$2,FECHA_COMB,"&lt;="&amp;BG$3,CLAVE_COMB,$A126)+SUMIFS(SALIDAS_DES,FECHA_DESGLOSEN,"&gt;="&amp;BG$2,FECHA_DESGLOSEN,"&lt;="&amp;BG$3,CLAVE_DESGLOSE,$A126)</f>
        <v>16716</v>
      </c>
      <c r="BH126" s="13">
        <f>SUMIFS(SALIDAS_BIT,FECHA_BIT,"&gt;="&amp;BH$2,FECHA_BIT,"&lt;="&amp;BH$3,CLAVE_BIT,$A126)+SUMIFS(SALIDAS_BOV1,FECHA_BOV1,"&gt;="&amp;BH$2,FECHA_BOV1,"&lt;="&amp;BH$3,CLAVE_BOV1,$A126)+SUMIFS(SALIDAS_BOV2,FECHA_BOV2,"&gt;="&amp;BH$2,FECHA_BOV2,"&lt;="&amp;BH$3,CLAVE_BOV2,$A126)+SUMIFS(SALIDAS_BOV3,FECHA_BOV3,"&gt;="&amp;BH$2,FECHA_BOV3,"&lt;="&amp;BH$3,CLAVE_BOV3,$A126)+SUMIFS(SALIDAS_TC,FECHA_TC,"&gt;="&amp;BH$2,FECHA_TC,"&lt;="&amp;BH$3,CLAVE_TC,$A126)+SUMIFS(SALIDAS_COMB,FECHA_COMB,"&gt;="&amp;BH$2,FECHA_COMB,"&lt;="&amp;BH$3,CLAVE_COMB,$A126)+SUMIFS(SALIDAS_DES,FECHA_DESGLOSEN,"&gt;="&amp;BH$2,FECHA_DESGLOSEN,"&lt;="&amp;BH$3,CLAVE_DESGLOSE,$A126)</f>
        <v>0</v>
      </c>
      <c r="BI126" s="13">
        <f t="shared" si="215"/>
        <v>16716</v>
      </c>
      <c r="BJ126" s="68">
        <f t="shared" si="161"/>
        <v>-5821</v>
      </c>
      <c r="BK126" s="268">
        <f t="shared" si="162"/>
        <v>1.534281780633318</v>
      </c>
      <c r="BL126" s="13">
        <f t="shared" si="163"/>
        <v>0</v>
      </c>
      <c r="BM126" s="13">
        <f>SUMIFS(SALIDAS_BIT,FECHA_BIT,"&gt;="&amp;BM$2,FECHA_BIT,"&lt;="&amp;BM$3,CLAVE_BIT,$A126)+SUMIFS(SALIDAS_BOV1,FECHA_BOV1,"&gt;="&amp;BM$2,FECHA_BOV1,"&lt;="&amp;BM$3,CLAVE_BOV1,$A126)+SUMIFS(SALIDAS_BOV2,FECHA_BOV2,"&gt;="&amp;BM$2,FECHA_BOV2,"&lt;="&amp;BM$3,CLAVE_BOV2,$A126)+SUMIFS(SALIDAS_BOV3,FECHA_BOV3,"&gt;="&amp;BM$2,FECHA_BOV3,"&lt;="&amp;BM$3,CLAVE_BOV3,$A126)+SUMIFS(SALIDAS_TC,FECHA_TC,"&gt;="&amp;BM$2,FECHA_TC,"&lt;="&amp;BM$3,CLAVE_TC,$A126)+SUMIFS(SALIDAS_COMB,FECHA_COMB,"&gt;="&amp;BM$2,FECHA_COMB,"&lt;="&amp;BM$3,CLAVE_COMB,$A126)+SUMIFS(SALIDAS_DES,FECHA_DESGLOSEN,"&gt;="&amp;BM$2,FECHA_DESGLOSEN,"&lt;="&amp;BM$3,CLAVE_DESGLOSE,$A126)</f>
        <v>0</v>
      </c>
      <c r="BN126" s="13">
        <f>SUMIFS(SALIDAS_BIT,FECHA_BIT,"&gt;="&amp;BN$2,FECHA_BIT,"&lt;="&amp;BN$3,CLAVE_BIT,$A126)+SUMIFS(SALIDAS_BOV1,FECHA_BOV1,"&gt;="&amp;BN$2,FECHA_BOV1,"&lt;="&amp;BN$3,CLAVE_BOV1,$A126)+SUMIFS(SALIDAS_BOV2,FECHA_BOV2,"&gt;="&amp;BN$2,FECHA_BOV2,"&lt;="&amp;BN$3,CLAVE_BOV2,$A126)+SUMIFS(SALIDAS_BOV3,FECHA_BOV3,"&gt;="&amp;BN$2,FECHA_BOV3,"&lt;="&amp;BN$3,CLAVE_BOV3,$A126)+SUMIFS(SALIDAS_TC,FECHA_TC,"&gt;="&amp;BN$2,FECHA_TC,"&lt;="&amp;BN$3,CLAVE_TC,$A126)+SUMIFS(SALIDAS_COMB,FECHA_COMB,"&gt;="&amp;BN$2,FECHA_COMB,"&lt;="&amp;BN$3,CLAVE_COMB,$A126)+SUMIFS(SALIDAS_DES,FECHA_DESGLOSEN,"&gt;="&amp;BN$2,FECHA_DESGLOSEN,"&lt;="&amp;BN$3,CLAVE_DESGLOSE,$A126)</f>
        <v>0</v>
      </c>
      <c r="BO126" s="13">
        <f>SUMIFS(SALIDAS_BIT,FECHA_BIT,"&gt;="&amp;BO$2,FECHA_BIT,"&lt;="&amp;BO$3,CLAVE_BIT,$A126)+SUMIFS(SALIDAS_BOV1,FECHA_BOV1,"&gt;="&amp;BO$2,FECHA_BOV1,"&lt;="&amp;BO$3,CLAVE_BOV1,$A126)+SUMIFS(SALIDAS_BOV2,FECHA_BOV2,"&gt;="&amp;BO$2,FECHA_BOV2,"&lt;="&amp;BO$3,CLAVE_BOV2,$A126)+SUMIFS(SALIDAS_BOV3,FECHA_BOV3,"&gt;="&amp;BO$2,FECHA_BOV3,"&lt;="&amp;BO$3,CLAVE_BOV3,$A126)+SUMIFS(SALIDAS_TC,FECHA_TC,"&gt;="&amp;BO$2,FECHA_TC,"&lt;="&amp;BO$3,CLAVE_TC,$A126)+SUMIFS(SALIDAS_COMB,FECHA_COMB,"&gt;="&amp;BO$2,FECHA_COMB,"&lt;="&amp;BO$3,CLAVE_COMB,$A126)+SUMIFS(SALIDAS_DES,FECHA_DESGLOSEN,"&gt;="&amp;BO$2,FECHA_DESGLOSEN,"&lt;="&amp;BO$3,CLAVE_DESGLOSE,$A126)</f>
        <v>0</v>
      </c>
      <c r="BP126" s="13">
        <f>SUMIFS(SALIDAS_BIT,FECHA_BIT,"&gt;="&amp;BP$2,FECHA_BIT,"&lt;="&amp;BP$3,CLAVE_BIT,$A126)+SUMIFS(SALIDAS_BOV1,FECHA_BOV1,"&gt;="&amp;BP$2,FECHA_BOV1,"&lt;="&amp;BP$3,CLAVE_BOV1,$A126)+SUMIFS(SALIDAS_BOV2,FECHA_BOV2,"&gt;="&amp;BP$2,FECHA_BOV2,"&lt;="&amp;BP$3,CLAVE_BOV2,$A126)+SUMIFS(SALIDAS_BOV3,FECHA_BOV3,"&gt;="&amp;BP$2,FECHA_BOV3,"&lt;="&amp;BP$3,CLAVE_BOV3,$A126)+SUMIFS(SALIDAS_TC,FECHA_TC,"&gt;="&amp;BP$2,FECHA_TC,"&lt;="&amp;BP$3,CLAVE_TC,$A126)+SUMIFS(SALIDAS_COMB,FECHA_COMB,"&gt;="&amp;BP$2,FECHA_COMB,"&lt;="&amp;BP$3,CLAVE_COMB,$A126)+SUMIFS(SALIDAS_DES,FECHA_DESGLOSEN,"&gt;="&amp;BP$2,FECHA_DESGLOSEN,"&lt;="&amp;BP$3,CLAVE_DESGLOSE,$A126)</f>
        <v>0</v>
      </c>
      <c r="BQ126" s="13">
        <f>SUMIFS(SALIDAS_BIT,FECHA_BIT,"&gt;="&amp;BQ$2,FECHA_BIT,"&lt;="&amp;BQ$3,CLAVE_BIT,$A126)+SUMIFS(SALIDAS_BOV1,FECHA_BOV1,"&gt;="&amp;BQ$2,FECHA_BOV1,"&lt;="&amp;BQ$3,CLAVE_BOV1,$A126)+SUMIFS(SALIDAS_BOV2,FECHA_BOV2,"&gt;="&amp;BQ$2,FECHA_BOV2,"&lt;="&amp;BQ$3,CLAVE_BOV2,$A126)+SUMIFS(SALIDAS_BOV3,FECHA_BOV3,"&gt;="&amp;BQ$2,FECHA_BOV3,"&lt;="&amp;BQ$3,CLAVE_BOV3,$A126)+SUMIFS(SALIDAS_TC,FECHA_TC,"&gt;="&amp;BQ$2,FECHA_TC,"&lt;="&amp;BQ$3,CLAVE_TC,$A126)+SUMIFS(SALIDAS_COMB,FECHA_COMB,"&gt;="&amp;BQ$2,FECHA_COMB,"&lt;="&amp;BQ$3,CLAVE_COMB,$A126)+SUMIFS(SALIDAS_DES,FECHA_DESGLOSEN,"&gt;="&amp;BQ$2,FECHA_DESGLOSEN,"&lt;="&amp;BQ$3,CLAVE_DESGLOSE,$A126)</f>
        <v>0</v>
      </c>
      <c r="BR126" s="13">
        <f t="shared" si="224"/>
        <v>0</v>
      </c>
      <c r="BS126" s="68">
        <f t="shared" si="164"/>
        <v>0</v>
      </c>
      <c r="BT126" s="268">
        <f t="shared" si="165"/>
        <v>0</v>
      </c>
      <c r="BU126" s="13">
        <f t="shared" si="166"/>
        <v>11827</v>
      </c>
      <c r="BV126" s="13">
        <f t="shared" si="186"/>
        <v>0</v>
      </c>
      <c r="BW126" s="13">
        <f t="shared" si="186"/>
        <v>0</v>
      </c>
      <c r="BX126" s="13">
        <f>SUMIFS(SALIDAS_BIT,FECHA_BIT,"&gt;="&amp;BX$2,FECHA_BIT,"&lt;="&amp;BX$3,CLAVE_BIT,$A126)+SUMIFS(SALIDAS_BOV1,FECHA_BOV1,"&gt;="&amp;BX$2,FECHA_BOV1,"&lt;="&amp;BX$3,CLAVE_BOV1,$A126)+SUMIFS(SALIDAS_BOV2,FECHA_BOV2,"&gt;="&amp;BX$2,FECHA_BOV2,"&lt;="&amp;BX$3,CLAVE_BOV2,$A126)+SUMIFS(SALIDAS_BOV3,FECHA_BOV3,"&gt;="&amp;BX$2,FECHA_BOV3,"&lt;="&amp;BX$3,CLAVE_BOV3,$A126)+SUMIFS(SALIDAS_TC,FECHA_TC,"&gt;="&amp;BX$2,FECHA_TC,"&lt;="&amp;BX$3,CLAVE_TC,$A126)+SUMIFS(SALIDAS_COMB,FECHA_COMB,"&gt;="&amp;BX$2,FECHA_COMB,"&lt;="&amp;BX$3,CLAVE_COMB,$A126)+SUMIFS(SALIDAS_DES,FECHA_DESGLOSEN,"&gt;="&amp;BX$2,FECHA_DESGLOSEN,"&lt;="&amp;BX$3,CLAVE_DESGLOSE,$A126)</f>
        <v>15036</v>
      </c>
      <c r="BY126" s="13">
        <f t="shared" si="186"/>
        <v>0</v>
      </c>
      <c r="BZ126" s="13">
        <f t="shared" si="225"/>
        <v>15036</v>
      </c>
      <c r="CA126" s="68">
        <f t="shared" si="167"/>
        <v>-3209</v>
      </c>
      <c r="CB126" s="268">
        <f t="shared" si="168"/>
        <v>1.2713283165637947</v>
      </c>
      <c r="CC126" s="13">
        <f t="shared" si="169"/>
        <v>0</v>
      </c>
      <c r="CD126" s="13">
        <f t="shared" si="187"/>
        <v>0</v>
      </c>
      <c r="CE126" s="13">
        <f t="shared" si="187"/>
        <v>0</v>
      </c>
      <c r="CF126" s="13">
        <f t="shared" si="187"/>
        <v>0</v>
      </c>
      <c r="CG126" s="13">
        <f t="shared" si="187"/>
        <v>0</v>
      </c>
      <c r="CH126" s="13">
        <f t="shared" si="226"/>
        <v>0</v>
      </c>
      <c r="CI126" s="68">
        <f t="shared" si="170"/>
        <v>0</v>
      </c>
      <c r="CJ126" s="268">
        <f t="shared" si="171"/>
        <v>0</v>
      </c>
      <c r="CK126" s="13">
        <f t="shared" si="172"/>
        <v>11814</v>
      </c>
      <c r="CL126" s="13">
        <f t="shared" si="228"/>
        <v>0</v>
      </c>
      <c r="CM126" s="13">
        <f t="shared" si="228"/>
        <v>0</v>
      </c>
      <c r="CN126" s="13">
        <f t="shared" si="228"/>
        <v>0</v>
      </c>
      <c r="CO126" s="13">
        <f t="shared" si="228"/>
        <v>12007</v>
      </c>
      <c r="CP126" s="13">
        <f t="shared" si="228"/>
        <v>0</v>
      </c>
      <c r="CQ126" s="13">
        <f t="shared" si="227"/>
        <v>12007</v>
      </c>
      <c r="CR126" s="68">
        <f t="shared" si="173"/>
        <v>-193</v>
      </c>
      <c r="CS126" s="268">
        <f t="shared" si="174"/>
        <v>1.016336549856103</v>
      </c>
      <c r="CT126" s="68">
        <f t="shared" si="147"/>
        <v>0</v>
      </c>
      <c r="CU126" s="13">
        <f>SUMIFS(SALIDAS_BIT,FECHA_BIT,"&gt;="&amp;CU$2,FECHA_BIT,"&lt;="&amp;CU$3,CLAVE_BIT,$A126)+SUMIFS(SALIDAS_BOV1,FECHA_BOV1,"&gt;="&amp;CU$2,FECHA_BOV1,"&lt;="&amp;CU$3,CLAVE_BOV1,$A126)+SUMIFS(SALIDAS_BOV2,FECHA_BOV2,"&gt;="&amp;CU$2,FECHA_BOV2,"&lt;="&amp;CU$3,CLAVE_BOV2,$A126)+SUMIFS(SALIDAS_BOV3,FECHA_BOV3,"&gt;="&amp;CU$2,FECHA_BOV3,"&lt;="&amp;CU$3,CLAVE_BOV3,$A126)+SUMIFS(SALIDAS_TC,FECHA_TC,"&gt;="&amp;CU$2,FECHA_TC,"&lt;="&amp;CU$3,CLAVE_TC,$A126)+SUMIFS(SALIDAS_COMB,FECHA_COMB,"&gt;="&amp;CU$2,FECHA_COMB,"&lt;="&amp;CU$3,CLAVE_COMB,$A126)+SUMIFS(SALIDAS_DES,FECHA_DESGLOSEN,"&gt;="&amp;CU$2,FECHA_DESGLOSEN,"&lt;="&amp;CU$3,CLAVE_DESGLOSE,$A126)</f>
        <v>0</v>
      </c>
      <c r="CV126" s="13">
        <f>SUMIFS(SALIDAS_BIT,FECHA_BIT,"&gt;="&amp;CV$2,FECHA_BIT,"&lt;="&amp;CV$3,CLAVE_BIT,$A126)+SUMIFS(SALIDAS_BOV1,FECHA_BOV1,"&gt;="&amp;CV$2,FECHA_BOV1,"&lt;="&amp;CV$3,CLAVE_BOV1,$A126)+SUMIFS(SALIDAS_BOV2,FECHA_BOV2,"&gt;="&amp;CV$2,FECHA_BOV2,"&lt;="&amp;CV$3,CLAVE_BOV2,$A126)+SUMIFS(SALIDAS_BOV3,FECHA_BOV3,"&gt;="&amp;CV$2,FECHA_BOV3,"&lt;="&amp;CV$3,CLAVE_BOV3,$A126)+SUMIFS(SALIDAS_TC,FECHA_TC,"&gt;="&amp;CV$2,FECHA_TC,"&lt;="&amp;CV$3,CLAVE_TC,$A126)+SUMIFS(SALIDAS_COMB,FECHA_COMB,"&gt;="&amp;CV$2,FECHA_COMB,"&lt;="&amp;CV$3,CLAVE_COMB,$A126)+SUMIFS(SALIDAS_DES,FECHA_DESGLOSEN,"&gt;="&amp;CV$2,FECHA_DESGLOSEN,"&lt;="&amp;CV$3,CLAVE_DESGLOSE,$A126)</f>
        <v>0</v>
      </c>
      <c r="CW126" s="13">
        <f>SUMIFS(SALIDAS_BIT,FECHA_BIT,"&gt;="&amp;CW$2,FECHA_BIT,"&lt;="&amp;CW$3,CLAVE_BIT,$A126)+SUMIFS(SALIDAS_BOV1,FECHA_BOV1,"&gt;="&amp;CW$2,FECHA_BOV1,"&lt;="&amp;CW$3,CLAVE_BOV1,$A126)+SUMIFS(SALIDAS_BOV2,FECHA_BOV2,"&gt;="&amp;CW$2,FECHA_BOV2,"&lt;="&amp;CW$3,CLAVE_BOV2,$A126)+SUMIFS(SALIDAS_BOV3,FECHA_BOV3,"&gt;="&amp;CW$2,FECHA_BOV3,"&lt;="&amp;CW$3,CLAVE_BOV3,$A126)+SUMIFS(SALIDAS_TC,FECHA_TC,"&gt;="&amp;CW$2,FECHA_TC,"&lt;="&amp;CW$3,CLAVE_TC,$A126)+SUMIFS(SALIDAS_COMB,FECHA_COMB,"&gt;="&amp;CW$2,FECHA_COMB,"&lt;="&amp;CW$3,CLAVE_COMB,$A126)+SUMIFS(SALIDAS_DES,FECHA_DESGLOSEN,"&gt;="&amp;CW$2,FECHA_DESGLOSEN,"&lt;="&amp;CW$3,CLAVE_DESGLOSE,$A126)</f>
        <v>0</v>
      </c>
      <c r="CX126" s="13">
        <f>SUMIFS(SALIDAS_BIT,FECHA_BIT,"&gt;="&amp;CX$2,FECHA_BIT,"&lt;="&amp;CX$3,CLAVE_BIT,$A126)+SUMIFS(SALIDAS_BOV1,FECHA_BOV1,"&gt;="&amp;CX$2,FECHA_BOV1,"&lt;="&amp;CX$3,CLAVE_BOV1,$A126)+SUMIFS(SALIDAS_BOV2,FECHA_BOV2,"&gt;="&amp;CX$2,FECHA_BOV2,"&lt;="&amp;CX$3,CLAVE_BOV2,$A126)+SUMIFS(SALIDAS_BOV3,FECHA_BOV3,"&gt;="&amp;CX$2,FECHA_BOV3,"&lt;="&amp;CX$3,CLAVE_BOV3,$A126)+SUMIFS(SALIDAS_TC,FECHA_TC,"&gt;="&amp;CX$2,FECHA_TC,"&lt;="&amp;CX$3,CLAVE_TC,$A126)+SUMIFS(SALIDAS_COMB,FECHA_COMB,"&gt;="&amp;CX$2,FECHA_COMB,"&lt;="&amp;CX$3,CLAVE_COMB,$A126)+SUMIFS(SALIDAS_DES,FECHA_DESGLOSEN,"&gt;="&amp;CX$2,FECHA_DESGLOSEN,"&lt;="&amp;CX$3,CLAVE_DESGLOSE,$A126)</f>
        <v>0</v>
      </c>
      <c r="CY126" s="13">
        <f>SUMIFS(SALIDAS_BIT,FECHA_BIT,"&gt;="&amp;CY$2,FECHA_BIT,"&lt;="&amp;CY$3,CLAVE_BIT,$A126)+SUMIFS(SALIDAS_BOV1,FECHA_BOV1,"&gt;="&amp;CY$2,FECHA_BOV1,"&lt;="&amp;CY$3,CLAVE_BOV1,$A126)+SUMIFS(SALIDAS_BOV2,FECHA_BOV2,"&gt;="&amp;CY$2,FECHA_BOV2,"&lt;="&amp;CY$3,CLAVE_BOV2,$A126)+SUMIFS(SALIDAS_BOV3,FECHA_BOV3,"&gt;="&amp;CY$2,FECHA_BOV3,"&lt;="&amp;CY$3,CLAVE_BOV3,$A126)+SUMIFS(SALIDAS_TC,FECHA_TC,"&gt;="&amp;CY$2,FECHA_TC,"&lt;="&amp;CY$3,CLAVE_TC,$A126)+SUMIFS(SALIDAS_COMB,FECHA_COMB,"&gt;="&amp;CY$2,FECHA_COMB,"&lt;="&amp;CY$3,CLAVE_COMB,$A126)+SUMIFS(SALIDAS_DES,FECHA_DESGLOSEN,"&gt;="&amp;CY$2,FECHA_DESGLOSEN,"&lt;="&amp;CY$3,CLAVE_DESGLOSE,$A126)</f>
        <v>0</v>
      </c>
      <c r="CZ126" s="68">
        <f t="shared" si="175"/>
        <v>0</v>
      </c>
      <c r="DB126" s="17">
        <f>F126+N126+W126+AE126+AM126+AV126+BD126+BL126+BU126+CC126+CK126</f>
        <v>46573</v>
      </c>
      <c r="DC126" s="17">
        <f>K126+T126+AB126+AJ126+AS126+BA126+BI126+BR126+BZ126+CH126+CQ126</f>
        <v>74092</v>
      </c>
    </row>
    <row r="127" spans="1:107" hidden="1">
      <c r="A127" s="12" t="str">
        <f t="shared" si="148"/>
        <v>CAPENERGIA ELECTRICAE1</v>
      </c>
      <c r="B127" s="12">
        <v>129</v>
      </c>
      <c r="C127" t="s">
        <v>31</v>
      </c>
      <c r="D127" s="12" t="s">
        <v>87</v>
      </c>
      <c r="E127" s="12" t="s">
        <v>107</v>
      </c>
      <c r="F127" s="259">
        <f t="shared" si="141"/>
        <v>0</v>
      </c>
      <c r="G127" s="13">
        <f t="shared" ref="G127:K136" si="229">SUMIFS(SALIDAS_BIT,FECHA_BIT,"&gt;="&amp;G$2,FECHA_BIT,"&lt;="&amp;G$3,CLAVE_BIT,$A127)+SUMIFS(SALIDAS_BOV1,FECHA_BOV1,"&gt;="&amp;G$2,FECHA_BOV1,"&lt;="&amp;G$3,CLAVE_BOV1,$A127)+SUMIFS(SALIDAS_BOV2,FECHA_BOV2,"&gt;="&amp;G$2,FECHA_BOV2,"&lt;="&amp;G$3,CLAVE_BOV2,$A127)+SUMIFS(SALIDAS_BOV3,FECHA_BOV3,"&gt;="&amp;G$2,FECHA_BOV3,"&lt;="&amp;G$3,CLAVE_BOV3,$A127)+SUMIFS(SALIDAS_TC,FECHA_TC,"&gt;="&amp;G$2,FECHA_TC,"&lt;="&amp;G$3,CLAVE_TC,$A127)+SUMIFS(SALIDAS_COMB,FECHA_COMB,"&gt;="&amp;G$2,FECHA_COMB,"&lt;="&amp;G$3,CLAVE_COMB,$A127)+SUMIFS(SALIDAS_DES,FECHA_DESGLOSEN,"&gt;="&amp;G$2,FECHA_DESGLOSEN,"&lt;="&amp;G$3,CLAVE_DESGLOSE,$A127)</f>
        <v>0</v>
      </c>
      <c r="H127" s="13">
        <f t="shared" si="229"/>
        <v>0</v>
      </c>
      <c r="I127" s="13">
        <f t="shared" si="229"/>
        <v>0</v>
      </c>
      <c r="J127" s="13">
        <f t="shared" si="229"/>
        <v>0</v>
      </c>
      <c r="K127" s="13">
        <f t="shared" si="229"/>
        <v>0</v>
      </c>
      <c r="L127" s="68">
        <f t="shared" si="149"/>
        <v>0</v>
      </c>
      <c r="M127" s="268">
        <f t="shared" si="150"/>
        <v>0</v>
      </c>
      <c r="N127" s="13">
        <f t="shared" si="142"/>
        <v>13739</v>
      </c>
      <c r="O127" s="13">
        <f t="shared" ref="O127:T136" si="230">SUMIFS(SALIDAS_BIT,FECHA_BIT,"&gt;="&amp;O$2,FECHA_BIT,"&lt;="&amp;O$3,CLAVE_BIT,$A127)+SUMIFS(SALIDAS_BOV1,FECHA_BOV1,"&gt;="&amp;O$2,FECHA_BOV1,"&lt;="&amp;O$3,CLAVE_BOV1,$A127)+SUMIFS(SALIDAS_BOV2,FECHA_BOV2,"&gt;="&amp;O$2,FECHA_BOV2,"&lt;="&amp;O$3,CLAVE_BOV2,$A127)+SUMIFS(SALIDAS_BOV3,FECHA_BOV3,"&gt;="&amp;O$2,FECHA_BOV3,"&lt;="&amp;O$3,CLAVE_BOV3,$A127)+SUMIFS(SALIDAS_TC,FECHA_TC,"&gt;="&amp;O$2,FECHA_TC,"&lt;="&amp;O$3,CLAVE_TC,$A127)+SUMIFS(SALIDAS_COMB,FECHA_COMB,"&gt;="&amp;O$2,FECHA_COMB,"&lt;="&amp;O$3,CLAVE_COMB,$A127)+SUMIFS(SALIDAS_DES,FECHA_DESGLOSEN,"&gt;="&amp;O$2,FECHA_DESGLOSEN,"&lt;="&amp;O$3,CLAVE_DESGLOSE,$A127)</f>
        <v>0</v>
      </c>
      <c r="P127" s="13">
        <f t="shared" si="230"/>
        <v>0</v>
      </c>
      <c r="Q127" s="13">
        <f t="shared" si="230"/>
        <v>6317</v>
      </c>
      <c r="R127" s="13">
        <f t="shared" si="230"/>
        <v>0</v>
      </c>
      <c r="S127" s="13">
        <f t="shared" si="230"/>
        <v>0</v>
      </c>
      <c r="T127" s="13">
        <f t="shared" si="230"/>
        <v>6317</v>
      </c>
      <c r="U127" s="68">
        <f t="shared" si="151"/>
        <v>7422</v>
      </c>
      <c r="V127" s="268">
        <f t="shared" si="152"/>
        <v>0.45978601062668317</v>
      </c>
      <c r="W127" s="13">
        <f t="shared" si="143"/>
        <v>0</v>
      </c>
      <c r="X127" s="13">
        <f t="shared" ref="X127:AB136" si="231">SUMIFS(SALIDAS_BIT,FECHA_BIT,"&gt;="&amp;X$2,FECHA_BIT,"&lt;="&amp;X$3,CLAVE_BIT,$A127)+SUMIFS(SALIDAS_BOV1,FECHA_BOV1,"&gt;="&amp;X$2,FECHA_BOV1,"&lt;="&amp;X$3,CLAVE_BOV1,$A127)+SUMIFS(SALIDAS_BOV2,FECHA_BOV2,"&gt;="&amp;X$2,FECHA_BOV2,"&lt;="&amp;X$3,CLAVE_BOV2,$A127)+SUMIFS(SALIDAS_BOV3,FECHA_BOV3,"&gt;="&amp;X$2,FECHA_BOV3,"&lt;="&amp;X$3,CLAVE_BOV3,$A127)+SUMIFS(SALIDAS_TC,FECHA_TC,"&gt;="&amp;X$2,FECHA_TC,"&lt;="&amp;X$3,CLAVE_TC,$A127)+SUMIFS(SALIDAS_COMB,FECHA_COMB,"&gt;="&amp;X$2,FECHA_COMB,"&lt;="&amp;X$3,CLAVE_COMB,$A127)+SUMIFS(SALIDAS_DES,FECHA_DESGLOSEN,"&gt;="&amp;X$2,FECHA_DESGLOSEN,"&lt;="&amp;X$3,CLAVE_DESGLOSE,$A127)</f>
        <v>0</v>
      </c>
      <c r="Y127" s="13">
        <f t="shared" si="231"/>
        <v>0</v>
      </c>
      <c r="Z127" s="13">
        <f t="shared" si="231"/>
        <v>0</v>
      </c>
      <c r="AA127" s="13">
        <f t="shared" si="231"/>
        <v>0</v>
      </c>
      <c r="AB127" s="13">
        <f t="shared" si="231"/>
        <v>0</v>
      </c>
      <c r="AC127" s="68">
        <f t="shared" si="153"/>
        <v>0</v>
      </c>
      <c r="AD127" s="268">
        <f t="shared" si="154"/>
        <v>0</v>
      </c>
      <c r="AE127" s="13">
        <f t="shared" si="144"/>
        <v>12979</v>
      </c>
      <c r="AF127" s="13">
        <f t="shared" ref="AF127:AJ136" si="232">SUMIFS(SALIDAS_BIT,FECHA_BIT,"&gt;="&amp;AF$2,FECHA_BIT,"&lt;="&amp;AF$3,CLAVE_BIT,$A127)+SUMIFS(SALIDAS_BOV1,FECHA_BOV1,"&gt;="&amp;AF$2,FECHA_BOV1,"&lt;="&amp;AF$3,CLAVE_BOV1,$A127)+SUMIFS(SALIDAS_BOV2,FECHA_BOV2,"&gt;="&amp;AF$2,FECHA_BOV2,"&lt;="&amp;AF$3,CLAVE_BOV2,$A127)+SUMIFS(SALIDAS_BOV3,FECHA_BOV3,"&gt;="&amp;AF$2,FECHA_BOV3,"&lt;="&amp;AF$3,CLAVE_BOV3,$A127)+SUMIFS(SALIDAS_TC,FECHA_TC,"&gt;="&amp;AF$2,FECHA_TC,"&lt;="&amp;AF$3,CLAVE_TC,$A127)+SUMIFS(SALIDAS_COMB,FECHA_COMB,"&gt;="&amp;AF$2,FECHA_COMB,"&lt;="&amp;AF$3,CLAVE_COMB,$A127)+SUMIFS(SALIDAS_DES,FECHA_DESGLOSEN,"&gt;="&amp;AF$2,FECHA_DESGLOSEN,"&lt;="&amp;AF$3,CLAVE_DESGLOSE,$A127)</f>
        <v>0</v>
      </c>
      <c r="AG127" s="13">
        <f t="shared" si="232"/>
        <v>0</v>
      </c>
      <c r="AH127" s="13">
        <f t="shared" si="232"/>
        <v>15302</v>
      </c>
      <c r="AI127" s="13">
        <f t="shared" si="232"/>
        <v>0</v>
      </c>
      <c r="AJ127" s="13">
        <f t="shared" si="232"/>
        <v>15302</v>
      </c>
      <c r="AK127" s="68">
        <f t="shared" si="155"/>
        <v>-2323</v>
      </c>
      <c r="AL127" s="268">
        <f t="shared" si="156"/>
        <v>1.1789814315432623</v>
      </c>
      <c r="AM127" s="13">
        <f t="shared" si="145"/>
        <v>0</v>
      </c>
      <c r="AN127" s="13">
        <f t="shared" ref="AN127:AS136" si="233">SUMIFS(SALIDAS_BIT,FECHA_BIT,"&gt;="&amp;AN$2,FECHA_BIT,"&lt;="&amp;AN$3,CLAVE_BIT,$A127)+SUMIFS(SALIDAS_BOV1,FECHA_BOV1,"&gt;="&amp;AN$2,FECHA_BOV1,"&lt;="&amp;AN$3,CLAVE_BOV1,$A127)+SUMIFS(SALIDAS_BOV2,FECHA_BOV2,"&gt;="&amp;AN$2,FECHA_BOV2,"&lt;="&amp;AN$3,CLAVE_BOV2,$A127)+SUMIFS(SALIDAS_BOV3,FECHA_BOV3,"&gt;="&amp;AN$2,FECHA_BOV3,"&lt;="&amp;AN$3,CLAVE_BOV3,$A127)+SUMIFS(SALIDAS_TC,FECHA_TC,"&gt;="&amp;AN$2,FECHA_TC,"&lt;="&amp;AN$3,CLAVE_TC,$A127)+SUMIFS(SALIDAS_COMB,FECHA_COMB,"&gt;="&amp;AN$2,FECHA_COMB,"&lt;="&amp;AN$3,CLAVE_COMB,$A127)+SUMIFS(SALIDAS_DES,FECHA_DESGLOSEN,"&gt;="&amp;AN$2,FECHA_DESGLOSEN,"&lt;="&amp;AN$3,CLAVE_DESGLOSE,$A127)</f>
        <v>0</v>
      </c>
      <c r="AO127" s="13">
        <f t="shared" si="233"/>
        <v>0</v>
      </c>
      <c r="AP127" s="13">
        <f t="shared" si="233"/>
        <v>0</v>
      </c>
      <c r="AQ127" s="13">
        <f t="shared" si="233"/>
        <v>0</v>
      </c>
      <c r="AR127" s="13">
        <f t="shared" si="233"/>
        <v>0</v>
      </c>
      <c r="AS127" s="13">
        <f t="shared" si="233"/>
        <v>0</v>
      </c>
      <c r="AT127" s="68">
        <f>AM127-AS127</f>
        <v>0</v>
      </c>
      <c r="AU127" s="268">
        <f t="shared" si="157"/>
        <v>0</v>
      </c>
      <c r="AV127" s="13">
        <f t="shared" si="146"/>
        <v>13409</v>
      </c>
      <c r="AW127" s="13">
        <f t="shared" si="222"/>
        <v>0</v>
      </c>
      <c r="AX127" s="13">
        <f t="shared" si="222"/>
        <v>0</v>
      </c>
      <c r="AY127" s="13">
        <f t="shared" si="222"/>
        <v>24980</v>
      </c>
      <c r="AZ127" s="13">
        <f t="shared" si="222"/>
        <v>0</v>
      </c>
      <c r="BA127" s="13">
        <f t="shared" si="223"/>
        <v>24980</v>
      </c>
      <c r="BB127" s="68">
        <f t="shared" si="158"/>
        <v>-11571</v>
      </c>
      <c r="BC127" s="268">
        <f t="shared" si="159"/>
        <v>1.8629278842568424</v>
      </c>
      <c r="BD127" s="13">
        <f t="shared" si="160"/>
        <v>0</v>
      </c>
      <c r="BE127" s="13">
        <f>SUMIFS(SALIDAS_BIT,FECHA_BIT,"&gt;="&amp;BE$2,FECHA_BIT,"&lt;="&amp;BE$3,CLAVE_BIT,$A127)+SUMIFS(SALIDAS_BOV1,FECHA_BOV1,"&gt;="&amp;BE$2,FECHA_BOV1,"&lt;="&amp;BE$3,CLAVE_BOV1,$A127)+SUMIFS(SALIDAS_BOV2,FECHA_BOV2,"&gt;="&amp;BE$2,FECHA_BOV2,"&lt;="&amp;BE$3,CLAVE_BOV2,$A127)+SUMIFS(SALIDAS_BOV3,FECHA_BOV3,"&gt;="&amp;BE$2,FECHA_BOV3,"&lt;="&amp;BE$3,CLAVE_BOV3,$A127)+SUMIFS(SALIDAS_TC,FECHA_TC,"&gt;="&amp;BE$2,FECHA_TC,"&lt;="&amp;BE$3,CLAVE_TC,$A127)+SUMIFS(SALIDAS_COMB,FECHA_COMB,"&gt;="&amp;BE$2,FECHA_COMB,"&lt;="&amp;BE$3,CLAVE_COMB,$A127)+SUMIFS(SALIDAS_DES,FECHA_DESGLOSEN,"&gt;="&amp;BE$2,FECHA_DESGLOSEN,"&lt;="&amp;BE$3,CLAVE_DESGLOSE,$A127)</f>
        <v>0</v>
      </c>
      <c r="BF127" s="13">
        <f>SUMIFS(SALIDAS_BIT,FECHA_BIT,"&gt;="&amp;BF$2,FECHA_BIT,"&lt;="&amp;BF$3,CLAVE_BIT,$A127)+SUMIFS(SALIDAS_BOV1,FECHA_BOV1,"&gt;="&amp;BF$2,FECHA_BOV1,"&lt;="&amp;BF$3,CLAVE_BOV1,$A127)+SUMIFS(SALIDAS_BOV2,FECHA_BOV2,"&gt;="&amp;BF$2,FECHA_BOV2,"&lt;="&amp;BF$3,CLAVE_BOV2,$A127)+SUMIFS(SALIDAS_BOV3,FECHA_BOV3,"&gt;="&amp;BF$2,FECHA_BOV3,"&lt;="&amp;BF$3,CLAVE_BOV3,$A127)+SUMIFS(SALIDAS_TC,FECHA_TC,"&gt;="&amp;BF$2,FECHA_TC,"&lt;="&amp;BF$3,CLAVE_TC,$A127)+SUMIFS(SALIDAS_COMB,FECHA_COMB,"&gt;="&amp;BF$2,FECHA_COMB,"&lt;="&amp;BF$3,CLAVE_COMB,$A127)+SUMIFS(SALIDAS_DES,FECHA_DESGLOSEN,"&gt;="&amp;BF$2,FECHA_DESGLOSEN,"&lt;="&amp;BF$3,CLAVE_DESGLOSE,$A127)</f>
        <v>0</v>
      </c>
      <c r="BG127" s="13">
        <f>SUMIFS(SALIDAS_BIT,FECHA_BIT,"&gt;="&amp;BG$2,FECHA_BIT,"&lt;="&amp;BG$3,CLAVE_BIT,$A127)+SUMIFS(SALIDAS_BOV1,FECHA_BOV1,"&gt;="&amp;BG$2,FECHA_BOV1,"&lt;="&amp;BG$3,CLAVE_BOV1,$A127)+SUMIFS(SALIDAS_BOV2,FECHA_BOV2,"&gt;="&amp;BG$2,FECHA_BOV2,"&lt;="&amp;BG$3,CLAVE_BOV2,$A127)+SUMIFS(SALIDAS_BOV3,FECHA_BOV3,"&gt;="&amp;BG$2,FECHA_BOV3,"&lt;="&amp;BG$3,CLAVE_BOV3,$A127)+SUMIFS(SALIDAS_TC,FECHA_TC,"&gt;="&amp;BG$2,FECHA_TC,"&lt;="&amp;BG$3,CLAVE_TC,$A127)+SUMIFS(SALIDAS_COMB,FECHA_COMB,"&gt;="&amp;BG$2,FECHA_COMB,"&lt;="&amp;BG$3,CLAVE_COMB,$A127)+SUMIFS(SALIDAS_DES,FECHA_DESGLOSEN,"&gt;="&amp;BG$2,FECHA_DESGLOSEN,"&lt;="&amp;BG$3,CLAVE_DESGLOSE,$A127)</f>
        <v>0</v>
      </c>
      <c r="BH127" s="13">
        <f>SUMIFS(SALIDAS_BIT,FECHA_BIT,"&gt;="&amp;BH$2,FECHA_BIT,"&lt;="&amp;BH$3,CLAVE_BIT,$A127)+SUMIFS(SALIDAS_BOV1,FECHA_BOV1,"&gt;="&amp;BH$2,FECHA_BOV1,"&lt;="&amp;BH$3,CLAVE_BOV1,$A127)+SUMIFS(SALIDAS_BOV2,FECHA_BOV2,"&gt;="&amp;BH$2,FECHA_BOV2,"&lt;="&amp;BH$3,CLAVE_BOV2,$A127)+SUMIFS(SALIDAS_BOV3,FECHA_BOV3,"&gt;="&amp;BH$2,FECHA_BOV3,"&lt;="&amp;BH$3,CLAVE_BOV3,$A127)+SUMIFS(SALIDAS_TC,FECHA_TC,"&gt;="&amp;BH$2,FECHA_TC,"&lt;="&amp;BH$3,CLAVE_TC,$A127)+SUMIFS(SALIDAS_COMB,FECHA_COMB,"&gt;="&amp;BH$2,FECHA_COMB,"&lt;="&amp;BH$3,CLAVE_COMB,$A127)+SUMIFS(SALIDAS_DES,FECHA_DESGLOSEN,"&gt;="&amp;BH$2,FECHA_DESGLOSEN,"&lt;="&amp;BH$3,CLAVE_DESGLOSE,$A127)</f>
        <v>0</v>
      </c>
      <c r="BI127" s="13">
        <f t="shared" si="215"/>
        <v>0</v>
      </c>
      <c r="BJ127" s="68">
        <f t="shared" si="161"/>
        <v>0</v>
      </c>
      <c r="BK127" s="268">
        <f t="shared" si="162"/>
        <v>0</v>
      </c>
      <c r="BL127" s="13">
        <f t="shared" si="163"/>
        <v>9158</v>
      </c>
      <c r="BM127" s="13">
        <f>SUMIFS(SALIDAS_BIT,FECHA_BIT,"&gt;="&amp;BM$2,FECHA_BIT,"&lt;="&amp;BM$3,CLAVE_BIT,$A127)+SUMIFS(SALIDAS_BOV1,FECHA_BOV1,"&gt;="&amp;BM$2,FECHA_BOV1,"&lt;="&amp;BM$3,CLAVE_BOV1,$A127)+SUMIFS(SALIDAS_BOV2,FECHA_BOV2,"&gt;="&amp;BM$2,FECHA_BOV2,"&lt;="&amp;BM$3,CLAVE_BOV2,$A127)+SUMIFS(SALIDAS_BOV3,FECHA_BOV3,"&gt;="&amp;BM$2,FECHA_BOV3,"&lt;="&amp;BM$3,CLAVE_BOV3,$A127)+SUMIFS(SALIDAS_TC,FECHA_TC,"&gt;="&amp;BM$2,FECHA_TC,"&lt;="&amp;BM$3,CLAVE_TC,$A127)+SUMIFS(SALIDAS_COMB,FECHA_COMB,"&gt;="&amp;BM$2,FECHA_COMB,"&lt;="&amp;BM$3,CLAVE_COMB,$A127)+SUMIFS(SALIDAS_DES,FECHA_DESGLOSEN,"&gt;="&amp;BM$2,FECHA_DESGLOSEN,"&lt;="&amp;BM$3,CLAVE_DESGLOSE,$A127)</f>
        <v>0</v>
      </c>
      <c r="BN127" s="13">
        <f>SUMIFS(SALIDAS_BIT,FECHA_BIT,"&gt;="&amp;BN$2,FECHA_BIT,"&lt;="&amp;BN$3,CLAVE_BIT,$A127)+SUMIFS(SALIDAS_BOV1,FECHA_BOV1,"&gt;="&amp;BN$2,FECHA_BOV1,"&lt;="&amp;BN$3,CLAVE_BOV1,$A127)+SUMIFS(SALIDAS_BOV2,FECHA_BOV2,"&gt;="&amp;BN$2,FECHA_BOV2,"&lt;="&amp;BN$3,CLAVE_BOV2,$A127)+SUMIFS(SALIDAS_BOV3,FECHA_BOV3,"&gt;="&amp;BN$2,FECHA_BOV3,"&lt;="&amp;BN$3,CLAVE_BOV3,$A127)+SUMIFS(SALIDAS_TC,FECHA_TC,"&gt;="&amp;BN$2,FECHA_TC,"&lt;="&amp;BN$3,CLAVE_TC,$A127)+SUMIFS(SALIDAS_COMB,FECHA_COMB,"&gt;="&amp;BN$2,FECHA_COMB,"&lt;="&amp;BN$3,CLAVE_COMB,$A127)+SUMIFS(SALIDAS_DES,FECHA_DESGLOSEN,"&gt;="&amp;BN$2,FECHA_DESGLOSEN,"&lt;="&amp;BN$3,CLAVE_DESGLOSE,$A127)</f>
        <v>0</v>
      </c>
      <c r="BO127" s="13">
        <f>SUMIFS(SALIDAS_BIT,FECHA_BIT,"&gt;="&amp;BO$2,FECHA_BIT,"&lt;="&amp;BO$3,CLAVE_BIT,$A127)+SUMIFS(SALIDAS_BOV1,FECHA_BOV1,"&gt;="&amp;BO$2,FECHA_BOV1,"&lt;="&amp;BO$3,CLAVE_BOV1,$A127)+SUMIFS(SALIDAS_BOV2,FECHA_BOV2,"&gt;="&amp;BO$2,FECHA_BOV2,"&lt;="&amp;BO$3,CLAVE_BOV2,$A127)+SUMIFS(SALIDAS_BOV3,FECHA_BOV3,"&gt;="&amp;BO$2,FECHA_BOV3,"&lt;="&amp;BO$3,CLAVE_BOV3,$A127)+SUMIFS(SALIDAS_TC,FECHA_TC,"&gt;="&amp;BO$2,FECHA_TC,"&lt;="&amp;BO$3,CLAVE_TC,$A127)+SUMIFS(SALIDAS_COMB,FECHA_COMB,"&gt;="&amp;BO$2,FECHA_COMB,"&lt;="&amp;BO$3,CLAVE_COMB,$A127)+SUMIFS(SALIDAS_DES,FECHA_DESGLOSEN,"&gt;="&amp;BO$2,FECHA_DESGLOSEN,"&lt;="&amp;BO$3,CLAVE_DESGLOSE,$A127)</f>
        <v>25382</v>
      </c>
      <c r="BP127" s="13">
        <f>SUMIFS(SALIDAS_BIT,FECHA_BIT,"&gt;="&amp;BP$2,FECHA_BIT,"&lt;="&amp;BP$3,CLAVE_BIT,$A127)+SUMIFS(SALIDAS_BOV1,FECHA_BOV1,"&gt;="&amp;BP$2,FECHA_BOV1,"&lt;="&amp;BP$3,CLAVE_BOV1,$A127)+SUMIFS(SALIDAS_BOV2,FECHA_BOV2,"&gt;="&amp;BP$2,FECHA_BOV2,"&lt;="&amp;BP$3,CLAVE_BOV2,$A127)+SUMIFS(SALIDAS_BOV3,FECHA_BOV3,"&gt;="&amp;BP$2,FECHA_BOV3,"&lt;="&amp;BP$3,CLAVE_BOV3,$A127)+SUMIFS(SALIDAS_TC,FECHA_TC,"&gt;="&amp;BP$2,FECHA_TC,"&lt;="&amp;BP$3,CLAVE_TC,$A127)+SUMIFS(SALIDAS_COMB,FECHA_COMB,"&gt;="&amp;BP$2,FECHA_COMB,"&lt;="&amp;BP$3,CLAVE_COMB,$A127)+SUMIFS(SALIDAS_DES,FECHA_DESGLOSEN,"&gt;="&amp;BP$2,FECHA_DESGLOSEN,"&lt;="&amp;BP$3,CLAVE_DESGLOSE,$A127)</f>
        <v>0</v>
      </c>
      <c r="BQ127" s="13">
        <f>SUMIFS(SALIDAS_BIT,FECHA_BIT,"&gt;="&amp;BQ$2,FECHA_BIT,"&lt;="&amp;BQ$3,CLAVE_BIT,$A127)+SUMIFS(SALIDAS_BOV1,FECHA_BOV1,"&gt;="&amp;BQ$2,FECHA_BOV1,"&lt;="&amp;BQ$3,CLAVE_BOV1,$A127)+SUMIFS(SALIDAS_BOV2,FECHA_BOV2,"&gt;="&amp;BQ$2,FECHA_BOV2,"&lt;="&amp;BQ$3,CLAVE_BOV2,$A127)+SUMIFS(SALIDAS_BOV3,FECHA_BOV3,"&gt;="&amp;BQ$2,FECHA_BOV3,"&lt;="&amp;BQ$3,CLAVE_BOV3,$A127)+SUMIFS(SALIDAS_TC,FECHA_TC,"&gt;="&amp;BQ$2,FECHA_TC,"&lt;="&amp;BQ$3,CLAVE_TC,$A127)+SUMIFS(SALIDAS_COMB,FECHA_COMB,"&gt;="&amp;BQ$2,FECHA_COMB,"&lt;="&amp;BQ$3,CLAVE_COMB,$A127)+SUMIFS(SALIDAS_DES,FECHA_DESGLOSEN,"&gt;="&amp;BQ$2,FECHA_DESGLOSEN,"&lt;="&amp;BQ$3,CLAVE_DESGLOSE,$A127)</f>
        <v>0</v>
      </c>
      <c r="BR127" s="13">
        <f t="shared" ref="BM127:BR136" si="234">SUMIFS(SALIDAS_BIT,FECHA_BIT,"&gt;="&amp;BR$2,FECHA_BIT,"&lt;="&amp;BR$3,CLAVE_BIT,$A127)+SUMIFS(SALIDAS_BOV1,FECHA_BOV1,"&gt;="&amp;BR$2,FECHA_BOV1,"&lt;="&amp;BR$3,CLAVE_BOV1,$A127)+SUMIFS(SALIDAS_BOV2,FECHA_BOV2,"&gt;="&amp;BR$2,FECHA_BOV2,"&lt;="&amp;BR$3,CLAVE_BOV2,$A127)+SUMIFS(SALIDAS_BOV3,FECHA_BOV3,"&gt;="&amp;BR$2,FECHA_BOV3,"&lt;="&amp;BR$3,CLAVE_BOV3,$A127)+SUMIFS(SALIDAS_TC,FECHA_TC,"&gt;="&amp;BR$2,FECHA_TC,"&lt;="&amp;BR$3,CLAVE_TC,$A127)+SUMIFS(SALIDAS_COMB,FECHA_COMB,"&gt;="&amp;BR$2,FECHA_COMB,"&lt;="&amp;BR$3,CLAVE_COMB,$A127)+SUMIFS(SALIDAS_DES,FECHA_DESGLOSEN,"&gt;="&amp;BR$2,FECHA_DESGLOSEN,"&lt;="&amp;BR$3,CLAVE_DESGLOSE,$A127)</f>
        <v>25382</v>
      </c>
      <c r="BS127" s="68">
        <f t="shared" si="164"/>
        <v>-16224</v>
      </c>
      <c r="BT127" s="268">
        <f t="shared" si="165"/>
        <v>2.771565844070758</v>
      </c>
      <c r="BU127" s="13">
        <f t="shared" si="166"/>
        <v>0</v>
      </c>
      <c r="BV127" s="13">
        <f t="shared" si="186"/>
        <v>0</v>
      </c>
      <c r="BW127" s="13">
        <f t="shared" si="186"/>
        <v>0</v>
      </c>
      <c r="BX127" s="13">
        <f t="shared" si="186"/>
        <v>0</v>
      </c>
      <c r="BY127" s="13">
        <f t="shared" si="186"/>
        <v>0</v>
      </c>
      <c r="BZ127" s="13">
        <f t="shared" ref="BV127:BZ136" si="235">SUMIFS(SALIDAS_BIT,FECHA_BIT,"&gt;="&amp;BZ$2,FECHA_BIT,"&lt;="&amp;BZ$3,CLAVE_BIT,$A127)+SUMIFS(SALIDAS_BOV1,FECHA_BOV1,"&gt;="&amp;BZ$2,FECHA_BOV1,"&lt;="&amp;BZ$3,CLAVE_BOV1,$A127)+SUMIFS(SALIDAS_BOV2,FECHA_BOV2,"&gt;="&amp;BZ$2,FECHA_BOV2,"&lt;="&amp;BZ$3,CLAVE_BOV2,$A127)+SUMIFS(SALIDAS_BOV3,FECHA_BOV3,"&gt;="&amp;BZ$2,FECHA_BOV3,"&lt;="&amp;BZ$3,CLAVE_BOV3,$A127)+SUMIFS(SALIDAS_TC,FECHA_TC,"&gt;="&amp;BZ$2,FECHA_TC,"&lt;="&amp;BZ$3,CLAVE_TC,$A127)+SUMIFS(SALIDAS_COMB,FECHA_COMB,"&gt;="&amp;BZ$2,FECHA_COMB,"&lt;="&amp;BZ$3,CLAVE_COMB,$A127)+SUMIFS(SALIDAS_DES,FECHA_DESGLOSEN,"&gt;="&amp;BZ$2,FECHA_DESGLOSEN,"&lt;="&amp;BZ$3,CLAVE_DESGLOSE,$A127)</f>
        <v>0</v>
      </c>
      <c r="CA127" s="68">
        <f t="shared" si="167"/>
        <v>0</v>
      </c>
      <c r="CB127" s="268">
        <f t="shared" si="168"/>
        <v>0</v>
      </c>
      <c r="CC127" s="13">
        <f t="shared" si="169"/>
        <v>9212</v>
      </c>
      <c r="CD127" s="13">
        <f t="shared" si="187"/>
        <v>0</v>
      </c>
      <c r="CE127" s="13">
        <f t="shared" si="187"/>
        <v>0</v>
      </c>
      <c r="CF127" s="13">
        <f t="shared" si="187"/>
        <v>19507</v>
      </c>
      <c r="CG127" s="13">
        <f t="shared" si="187"/>
        <v>0</v>
      </c>
      <c r="CH127" s="13">
        <f t="shared" ref="CD127:CH136" si="236">SUMIFS(SALIDAS_BIT,FECHA_BIT,"&gt;="&amp;CH$2,FECHA_BIT,"&lt;="&amp;CH$3,CLAVE_BIT,$A127)+SUMIFS(SALIDAS_BOV1,FECHA_BOV1,"&gt;="&amp;CH$2,FECHA_BOV1,"&lt;="&amp;CH$3,CLAVE_BOV1,$A127)+SUMIFS(SALIDAS_BOV2,FECHA_BOV2,"&gt;="&amp;CH$2,FECHA_BOV2,"&lt;="&amp;CH$3,CLAVE_BOV2,$A127)+SUMIFS(SALIDAS_BOV3,FECHA_BOV3,"&gt;="&amp;CH$2,FECHA_BOV3,"&lt;="&amp;CH$3,CLAVE_BOV3,$A127)+SUMIFS(SALIDAS_TC,FECHA_TC,"&gt;="&amp;CH$2,FECHA_TC,"&lt;="&amp;CH$3,CLAVE_TC,$A127)+SUMIFS(SALIDAS_COMB,FECHA_COMB,"&gt;="&amp;CH$2,FECHA_COMB,"&lt;="&amp;CH$3,CLAVE_COMB,$A127)+SUMIFS(SALIDAS_DES,FECHA_DESGLOSEN,"&gt;="&amp;CH$2,FECHA_DESGLOSEN,"&lt;="&amp;CH$3,CLAVE_DESGLOSE,$A127)</f>
        <v>19507</v>
      </c>
      <c r="CI127" s="68">
        <f t="shared" si="170"/>
        <v>-10295</v>
      </c>
      <c r="CJ127" s="268">
        <f t="shared" si="171"/>
        <v>2.117564046895354</v>
      </c>
      <c r="CK127" s="13">
        <f t="shared" si="172"/>
        <v>0</v>
      </c>
      <c r="CL127" s="13">
        <f t="shared" si="228"/>
        <v>0</v>
      </c>
      <c r="CM127" s="13">
        <f t="shared" si="228"/>
        <v>4817</v>
      </c>
      <c r="CN127" s="13">
        <f t="shared" si="228"/>
        <v>0</v>
      </c>
      <c r="CO127" s="13">
        <f t="shared" si="228"/>
        <v>0</v>
      </c>
      <c r="CP127" s="13">
        <f t="shared" si="228"/>
        <v>0</v>
      </c>
      <c r="CQ127" s="13">
        <f t="shared" ref="CL127:CQ136" si="237">SUMIFS(SALIDAS_BIT,FECHA_BIT,"&gt;="&amp;CQ$2,FECHA_BIT,"&lt;="&amp;CQ$3,CLAVE_BIT,$A127)+SUMIFS(SALIDAS_BOV1,FECHA_BOV1,"&gt;="&amp;CQ$2,FECHA_BOV1,"&lt;="&amp;CQ$3,CLAVE_BOV1,$A127)+SUMIFS(SALIDAS_BOV2,FECHA_BOV2,"&gt;="&amp;CQ$2,FECHA_BOV2,"&lt;="&amp;CQ$3,CLAVE_BOV2,$A127)+SUMIFS(SALIDAS_BOV3,FECHA_BOV3,"&gt;="&amp;CQ$2,FECHA_BOV3,"&lt;="&amp;CQ$3,CLAVE_BOV3,$A127)+SUMIFS(SALIDAS_TC,FECHA_TC,"&gt;="&amp;CQ$2,FECHA_TC,"&lt;="&amp;CQ$3,CLAVE_TC,$A127)+SUMIFS(SALIDAS_COMB,FECHA_COMB,"&gt;="&amp;CQ$2,FECHA_COMB,"&lt;="&amp;CQ$3,CLAVE_COMB,$A127)+SUMIFS(SALIDAS_DES,FECHA_DESGLOSEN,"&gt;="&amp;CQ$2,FECHA_DESGLOSEN,"&lt;="&amp;CQ$3,CLAVE_DESGLOSE,$A127)</f>
        <v>4817</v>
      </c>
      <c r="CR127" s="68">
        <f t="shared" si="173"/>
        <v>-4817</v>
      </c>
      <c r="CS127" s="268">
        <f t="shared" si="174"/>
        <v>0</v>
      </c>
      <c r="CT127" s="68">
        <f t="shared" si="147"/>
        <v>15866</v>
      </c>
      <c r="CU127" s="13">
        <f>SUMIFS(SALIDAS_BIT,FECHA_BIT,"&gt;="&amp;CU$2,FECHA_BIT,"&lt;="&amp;CU$3,CLAVE_BIT,$A127)+SUMIFS(SALIDAS_BOV1,FECHA_BOV1,"&gt;="&amp;CU$2,FECHA_BOV1,"&lt;="&amp;CU$3,CLAVE_BOV1,$A127)+SUMIFS(SALIDAS_BOV2,FECHA_BOV2,"&gt;="&amp;CU$2,FECHA_BOV2,"&lt;="&amp;CU$3,CLAVE_BOV2,$A127)+SUMIFS(SALIDAS_BOV3,FECHA_BOV3,"&gt;="&amp;CU$2,FECHA_BOV3,"&lt;="&amp;CU$3,CLAVE_BOV3,$A127)+SUMIFS(SALIDAS_TC,FECHA_TC,"&gt;="&amp;CU$2,FECHA_TC,"&lt;="&amp;CU$3,CLAVE_TC,$A127)+SUMIFS(SALIDAS_COMB,FECHA_COMB,"&gt;="&amp;CU$2,FECHA_COMB,"&lt;="&amp;CU$3,CLAVE_COMB,$A127)+SUMIFS(SALIDAS_DES,FECHA_DESGLOSEN,"&gt;="&amp;CU$2,FECHA_DESGLOSEN,"&lt;="&amp;CU$3,CLAVE_DESGLOSE,$A127)</f>
        <v>0</v>
      </c>
      <c r="CV127" s="13">
        <f>SUMIFS(SALIDAS_BIT,FECHA_BIT,"&gt;="&amp;CV$2,FECHA_BIT,"&lt;="&amp;CV$3,CLAVE_BIT,$A127)+SUMIFS(SALIDAS_BOV1,FECHA_BOV1,"&gt;="&amp;CV$2,FECHA_BOV1,"&lt;="&amp;CV$3,CLAVE_BOV1,$A127)+SUMIFS(SALIDAS_BOV2,FECHA_BOV2,"&gt;="&amp;CV$2,FECHA_BOV2,"&lt;="&amp;CV$3,CLAVE_BOV2,$A127)+SUMIFS(SALIDAS_BOV3,FECHA_BOV3,"&gt;="&amp;CV$2,FECHA_BOV3,"&lt;="&amp;CV$3,CLAVE_BOV3,$A127)+SUMIFS(SALIDAS_TC,FECHA_TC,"&gt;="&amp;CV$2,FECHA_TC,"&lt;="&amp;CV$3,CLAVE_TC,$A127)+SUMIFS(SALIDAS_COMB,FECHA_COMB,"&gt;="&amp;CV$2,FECHA_COMB,"&lt;="&amp;CV$3,CLAVE_COMB,$A127)+SUMIFS(SALIDAS_DES,FECHA_DESGLOSEN,"&gt;="&amp;CV$2,FECHA_DESGLOSEN,"&lt;="&amp;CV$3,CLAVE_DESGLOSE,$A127)</f>
        <v>0</v>
      </c>
      <c r="CW127" s="13">
        <f>SUMIFS(SALIDAS_BIT,FECHA_BIT,"&gt;="&amp;CW$2,FECHA_BIT,"&lt;="&amp;CW$3,CLAVE_BIT,$A127)+SUMIFS(SALIDAS_BOV1,FECHA_BOV1,"&gt;="&amp;CW$2,FECHA_BOV1,"&lt;="&amp;CW$3,CLAVE_BOV1,$A127)+SUMIFS(SALIDAS_BOV2,FECHA_BOV2,"&gt;="&amp;CW$2,FECHA_BOV2,"&lt;="&amp;CW$3,CLAVE_BOV2,$A127)+SUMIFS(SALIDAS_BOV3,FECHA_BOV3,"&gt;="&amp;CW$2,FECHA_BOV3,"&lt;="&amp;CW$3,CLAVE_BOV3,$A127)+SUMIFS(SALIDAS_TC,FECHA_TC,"&gt;="&amp;CW$2,FECHA_TC,"&lt;="&amp;CW$3,CLAVE_TC,$A127)+SUMIFS(SALIDAS_COMB,FECHA_COMB,"&gt;="&amp;CW$2,FECHA_COMB,"&lt;="&amp;CW$3,CLAVE_COMB,$A127)+SUMIFS(SALIDAS_DES,FECHA_DESGLOSEN,"&gt;="&amp;CW$2,FECHA_DESGLOSEN,"&lt;="&amp;CW$3,CLAVE_DESGLOSE,$A127)</f>
        <v>13187</v>
      </c>
      <c r="CX127" s="13">
        <f>SUMIFS(SALIDAS_BIT,FECHA_BIT,"&gt;="&amp;CX$2,FECHA_BIT,"&lt;="&amp;CX$3,CLAVE_BIT,$A127)+SUMIFS(SALIDAS_BOV1,FECHA_BOV1,"&gt;="&amp;CX$2,FECHA_BOV1,"&lt;="&amp;CX$3,CLAVE_BOV1,$A127)+SUMIFS(SALIDAS_BOV2,FECHA_BOV2,"&gt;="&amp;CX$2,FECHA_BOV2,"&lt;="&amp;CX$3,CLAVE_BOV2,$A127)+SUMIFS(SALIDAS_BOV3,FECHA_BOV3,"&gt;="&amp;CX$2,FECHA_BOV3,"&lt;="&amp;CX$3,CLAVE_BOV3,$A127)+SUMIFS(SALIDAS_TC,FECHA_TC,"&gt;="&amp;CX$2,FECHA_TC,"&lt;="&amp;CX$3,CLAVE_TC,$A127)+SUMIFS(SALIDAS_COMB,FECHA_COMB,"&gt;="&amp;CX$2,FECHA_COMB,"&lt;="&amp;CX$3,CLAVE_COMB,$A127)+SUMIFS(SALIDAS_DES,FECHA_DESGLOSEN,"&gt;="&amp;CX$2,FECHA_DESGLOSEN,"&lt;="&amp;CX$3,CLAVE_DESGLOSE,$A127)</f>
        <v>0</v>
      </c>
      <c r="CY127" s="13">
        <f>SUMIFS(SALIDAS_BIT,FECHA_BIT,"&gt;="&amp;CY$2,FECHA_BIT,"&lt;="&amp;CY$3,CLAVE_BIT,$A127)+SUMIFS(SALIDAS_BOV1,FECHA_BOV1,"&gt;="&amp;CY$2,FECHA_BOV1,"&lt;="&amp;CY$3,CLAVE_BOV1,$A127)+SUMIFS(SALIDAS_BOV2,FECHA_BOV2,"&gt;="&amp;CY$2,FECHA_BOV2,"&lt;="&amp;CY$3,CLAVE_BOV2,$A127)+SUMIFS(SALIDAS_BOV3,FECHA_BOV3,"&gt;="&amp;CY$2,FECHA_BOV3,"&lt;="&amp;CY$3,CLAVE_BOV3,$A127)+SUMIFS(SALIDAS_TC,FECHA_TC,"&gt;="&amp;CY$2,FECHA_TC,"&lt;="&amp;CY$3,CLAVE_TC,$A127)+SUMIFS(SALIDAS_COMB,FECHA_COMB,"&gt;="&amp;CY$2,FECHA_COMB,"&lt;="&amp;CY$3,CLAVE_COMB,$A127)+SUMIFS(SALIDAS_DES,FECHA_DESGLOSEN,"&gt;="&amp;CY$2,FECHA_DESGLOSEN,"&lt;="&amp;CY$3,CLAVE_DESGLOSE,$A127)</f>
        <v>13187</v>
      </c>
      <c r="CZ127" s="68">
        <f t="shared" si="175"/>
        <v>2679</v>
      </c>
      <c r="DB127" s="17">
        <f>F127+N127+W127+AE127+AM127+AV127+BD127+BL127+BU127+CC127+CK127</f>
        <v>58497</v>
      </c>
      <c r="DC127" s="17">
        <f>K127+T127+AB127+AJ127+AS127+BA127+BI127+BR127+BZ127+CH127+CQ127</f>
        <v>96305</v>
      </c>
    </row>
    <row r="128" spans="1:107" hidden="1">
      <c r="A128" s="12" t="str">
        <f t="shared" si="148"/>
        <v>CAPENERGIA ELECTRICAE2</v>
      </c>
      <c r="B128" s="12">
        <v>130</v>
      </c>
      <c r="C128" t="s">
        <v>31</v>
      </c>
      <c r="D128" s="12" t="s">
        <v>87</v>
      </c>
      <c r="E128" s="12" t="s">
        <v>108</v>
      </c>
      <c r="F128" s="259">
        <f t="shared" si="141"/>
        <v>0</v>
      </c>
      <c r="G128" s="13">
        <f t="shared" si="229"/>
        <v>0</v>
      </c>
      <c r="H128" s="13">
        <f t="shared" si="229"/>
        <v>0</v>
      </c>
      <c r="I128" s="13">
        <f t="shared" si="229"/>
        <v>0</v>
      </c>
      <c r="J128" s="13">
        <f t="shared" si="229"/>
        <v>4831.74</v>
      </c>
      <c r="K128" s="13">
        <f t="shared" si="229"/>
        <v>4831.74</v>
      </c>
      <c r="L128" s="68">
        <f t="shared" si="149"/>
        <v>-4831.74</v>
      </c>
      <c r="M128" s="268">
        <f t="shared" si="150"/>
        <v>0</v>
      </c>
      <c r="N128" s="13">
        <f t="shared" si="142"/>
        <v>0</v>
      </c>
      <c r="O128" s="13">
        <f t="shared" si="230"/>
        <v>0</v>
      </c>
      <c r="P128" s="13">
        <f t="shared" si="230"/>
        <v>0</v>
      </c>
      <c r="Q128" s="13">
        <f t="shared" si="230"/>
        <v>0</v>
      </c>
      <c r="R128" s="13">
        <f t="shared" si="230"/>
        <v>0</v>
      </c>
      <c r="S128" s="13">
        <f t="shared" si="230"/>
        <v>0</v>
      </c>
      <c r="T128" s="13">
        <f t="shared" si="230"/>
        <v>0</v>
      </c>
      <c r="U128" s="68">
        <f t="shared" si="151"/>
        <v>0</v>
      </c>
      <c r="V128" s="268">
        <f t="shared" si="152"/>
        <v>0</v>
      </c>
      <c r="W128" s="13">
        <f t="shared" si="143"/>
        <v>0</v>
      </c>
      <c r="X128" s="13">
        <f t="shared" si="231"/>
        <v>0</v>
      </c>
      <c r="Y128" s="13">
        <f t="shared" si="231"/>
        <v>0</v>
      </c>
      <c r="Z128" s="13">
        <f t="shared" si="231"/>
        <v>0</v>
      </c>
      <c r="AA128" s="13">
        <f t="shared" si="231"/>
        <v>0</v>
      </c>
      <c r="AB128" s="13">
        <f t="shared" si="231"/>
        <v>0</v>
      </c>
      <c r="AC128" s="68">
        <f t="shared" si="153"/>
        <v>0</v>
      </c>
      <c r="AD128" s="268">
        <f t="shared" si="154"/>
        <v>0</v>
      </c>
      <c r="AE128" s="13">
        <f t="shared" si="144"/>
        <v>0</v>
      </c>
      <c r="AF128" s="13">
        <f t="shared" si="232"/>
        <v>0</v>
      </c>
      <c r="AG128" s="13">
        <f t="shared" si="232"/>
        <v>0</v>
      </c>
      <c r="AH128" s="13">
        <f t="shared" si="232"/>
        <v>0</v>
      </c>
      <c r="AI128" s="13">
        <f t="shared" si="232"/>
        <v>0</v>
      </c>
      <c r="AJ128" s="13">
        <f t="shared" si="232"/>
        <v>0</v>
      </c>
      <c r="AK128" s="68">
        <f t="shared" si="155"/>
        <v>0</v>
      </c>
      <c r="AL128" s="268">
        <f t="shared" si="156"/>
        <v>0</v>
      </c>
      <c r="AM128" s="13">
        <f t="shared" si="145"/>
        <v>0</v>
      </c>
      <c r="AN128" s="13">
        <f t="shared" si="233"/>
        <v>0</v>
      </c>
      <c r="AO128" s="13">
        <f t="shared" si="233"/>
        <v>0</v>
      </c>
      <c r="AP128" s="13">
        <f t="shared" si="233"/>
        <v>0</v>
      </c>
      <c r="AQ128" s="13">
        <f t="shared" si="233"/>
        <v>0</v>
      </c>
      <c r="AR128" s="13">
        <f t="shared" si="233"/>
        <v>0</v>
      </c>
      <c r="AS128" s="13">
        <f t="shared" si="233"/>
        <v>0</v>
      </c>
      <c r="AT128" s="68">
        <f>AM128-AS128</f>
        <v>0</v>
      </c>
      <c r="AU128" s="268">
        <f t="shared" si="157"/>
        <v>0</v>
      </c>
      <c r="AV128" s="13">
        <f t="shared" si="146"/>
        <v>0</v>
      </c>
      <c r="AW128" s="13">
        <f t="shared" si="222"/>
        <v>4720</v>
      </c>
      <c r="AX128" s="13">
        <f t="shared" si="222"/>
        <v>0</v>
      </c>
      <c r="AY128" s="13">
        <f t="shared" si="222"/>
        <v>7309.67</v>
      </c>
      <c r="AZ128" s="13">
        <f t="shared" si="222"/>
        <v>0</v>
      </c>
      <c r="BA128" s="13">
        <f t="shared" si="223"/>
        <v>12029.67</v>
      </c>
      <c r="BB128" s="68">
        <f t="shared" si="158"/>
        <v>-12029.67</v>
      </c>
      <c r="BC128" s="268">
        <f t="shared" si="159"/>
        <v>0</v>
      </c>
      <c r="BD128" s="13">
        <f t="shared" si="160"/>
        <v>0</v>
      </c>
      <c r="BE128" s="13">
        <f>SUMIFS(SALIDAS_BIT,FECHA_BIT,"&gt;="&amp;BE$2,FECHA_BIT,"&lt;="&amp;BE$3,CLAVE_BIT,$A128)+SUMIFS(SALIDAS_BOV1,FECHA_BOV1,"&gt;="&amp;BE$2,FECHA_BOV1,"&lt;="&amp;BE$3,CLAVE_BOV1,$A128)+SUMIFS(SALIDAS_BOV2,FECHA_BOV2,"&gt;="&amp;BE$2,FECHA_BOV2,"&lt;="&amp;BE$3,CLAVE_BOV2,$A128)+SUMIFS(SALIDAS_BOV3,FECHA_BOV3,"&gt;="&amp;BE$2,FECHA_BOV3,"&lt;="&amp;BE$3,CLAVE_BOV3,$A128)+SUMIFS(SALIDAS_TC,FECHA_TC,"&gt;="&amp;BE$2,FECHA_TC,"&lt;="&amp;BE$3,CLAVE_TC,$A128)+SUMIFS(SALIDAS_COMB,FECHA_COMB,"&gt;="&amp;BE$2,FECHA_COMB,"&lt;="&amp;BE$3,CLAVE_COMB,$A128)+SUMIFS(SALIDAS_DES,FECHA_DESGLOSEN,"&gt;="&amp;BE$2,FECHA_DESGLOSEN,"&lt;="&amp;BE$3,CLAVE_DESGLOSE,$A128)</f>
        <v>0</v>
      </c>
      <c r="BF128" s="13">
        <f>SUMIFS(SALIDAS_BIT,FECHA_BIT,"&gt;="&amp;BF$2,FECHA_BIT,"&lt;="&amp;BF$3,CLAVE_BIT,$A128)+SUMIFS(SALIDAS_BOV1,FECHA_BOV1,"&gt;="&amp;BF$2,FECHA_BOV1,"&lt;="&amp;BF$3,CLAVE_BOV1,$A128)+SUMIFS(SALIDAS_BOV2,FECHA_BOV2,"&gt;="&amp;BF$2,FECHA_BOV2,"&lt;="&amp;BF$3,CLAVE_BOV2,$A128)+SUMIFS(SALIDAS_BOV3,FECHA_BOV3,"&gt;="&amp;BF$2,FECHA_BOV3,"&lt;="&amp;BF$3,CLAVE_BOV3,$A128)+SUMIFS(SALIDAS_TC,FECHA_TC,"&gt;="&amp;BF$2,FECHA_TC,"&lt;="&amp;BF$3,CLAVE_TC,$A128)+SUMIFS(SALIDAS_COMB,FECHA_COMB,"&gt;="&amp;BF$2,FECHA_COMB,"&lt;="&amp;BF$3,CLAVE_COMB,$A128)+SUMIFS(SALIDAS_DES,FECHA_DESGLOSEN,"&gt;="&amp;BF$2,FECHA_DESGLOSEN,"&lt;="&amp;BF$3,CLAVE_DESGLOSE,$A128)</f>
        <v>0</v>
      </c>
      <c r="BG128" s="13">
        <f>SUMIFS(SALIDAS_BIT,FECHA_BIT,"&gt;="&amp;BG$2,FECHA_BIT,"&lt;="&amp;BG$3,CLAVE_BIT,$A128)+SUMIFS(SALIDAS_BOV1,FECHA_BOV1,"&gt;="&amp;BG$2,FECHA_BOV1,"&lt;="&amp;BG$3,CLAVE_BOV1,$A128)+SUMIFS(SALIDAS_BOV2,FECHA_BOV2,"&gt;="&amp;BG$2,FECHA_BOV2,"&lt;="&amp;BG$3,CLAVE_BOV2,$A128)+SUMIFS(SALIDAS_BOV3,FECHA_BOV3,"&gt;="&amp;BG$2,FECHA_BOV3,"&lt;="&amp;BG$3,CLAVE_BOV3,$A128)+SUMIFS(SALIDAS_TC,FECHA_TC,"&gt;="&amp;BG$2,FECHA_TC,"&lt;="&amp;BG$3,CLAVE_TC,$A128)+SUMIFS(SALIDAS_COMB,FECHA_COMB,"&gt;="&amp;BG$2,FECHA_COMB,"&lt;="&amp;BG$3,CLAVE_COMB,$A128)+SUMIFS(SALIDAS_DES,FECHA_DESGLOSEN,"&gt;="&amp;BG$2,FECHA_DESGLOSEN,"&lt;="&amp;BG$3,CLAVE_DESGLOSE,$A128)</f>
        <v>0</v>
      </c>
      <c r="BH128" s="13">
        <f>SUMIFS(SALIDAS_BIT,FECHA_BIT,"&gt;="&amp;BH$2,FECHA_BIT,"&lt;="&amp;BH$3,CLAVE_BIT,$A128)+SUMIFS(SALIDAS_BOV1,FECHA_BOV1,"&gt;="&amp;BH$2,FECHA_BOV1,"&lt;="&amp;BH$3,CLAVE_BOV1,$A128)+SUMIFS(SALIDAS_BOV2,FECHA_BOV2,"&gt;="&amp;BH$2,FECHA_BOV2,"&lt;="&amp;BH$3,CLAVE_BOV2,$A128)+SUMIFS(SALIDAS_BOV3,FECHA_BOV3,"&gt;="&amp;BH$2,FECHA_BOV3,"&lt;="&amp;BH$3,CLAVE_BOV3,$A128)+SUMIFS(SALIDAS_TC,FECHA_TC,"&gt;="&amp;BH$2,FECHA_TC,"&lt;="&amp;BH$3,CLAVE_TC,$A128)+SUMIFS(SALIDAS_COMB,FECHA_COMB,"&gt;="&amp;BH$2,FECHA_COMB,"&lt;="&amp;BH$3,CLAVE_COMB,$A128)+SUMIFS(SALIDAS_DES,FECHA_DESGLOSEN,"&gt;="&amp;BH$2,FECHA_DESGLOSEN,"&lt;="&amp;BH$3,CLAVE_DESGLOSE,$A128)</f>
        <v>0</v>
      </c>
      <c r="BI128" s="13">
        <f t="shared" si="215"/>
        <v>0</v>
      </c>
      <c r="BJ128" s="68">
        <f t="shared" si="161"/>
        <v>0</v>
      </c>
      <c r="BK128" s="268">
        <f t="shared" si="162"/>
        <v>0</v>
      </c>
      <c r="BL128" s="13">
        <f t="shared" si="163"/>
        <v>0</v>
      </c>
      <c r="BM128" s="13">
        <f>SUMIFS(SALIDAS_BIT,FECHA_BIT,"&gt;="&amp;BM$2,FECHA_BIT,"&lt;="&amp;BM$3,CLAVE_BIT,$A128)+SUMIFS(SALIDAS_BOV1,FECHA_BOV1,"&gt;="&amp;BM$2,FECHA_BOV1,"&lt;="&amp;BM$3,CLAVE_BOV1,$A128)+SUMIFS(SALIDAS_BOV2,FECHA_BOV2,"&gt;="&amp;BM$2,FECHA_BOV2,"&lt;="&amp;BM$3,CLAVE_BOV2,$A128)+SUMIFS(SALIDAS_BOV3,FECHA_BOV3,"&gt;="&amp;BM$2,FECHA_BOV3,"&lt;="&amp;BM$3,CLAVE_BOV3,$A128)+SUMIFS(SALIDAS_TC,FECHA_TC,"&gt;="&amp;BM$2,FECHA_TC,"&lt;="&amp;BM$3,CLAVE_TC,$A128)+SUMIFS(SALIDAS_COMB,FECHA_COMB,"&gt;="&amp;BM$2,FECHA_COMB,"&lt;="&amp;BM$3,CLAVE_COMB,$A128)+SUMIFS(SALIDAS_DES,FECHA_DESGLOSEN,"&gt;="&amp;BM$2,FECHA_DESGLOSEN,"&lt;="&amp;BM$3,CLAVE_DESGLOSE,$A128)</f>
        <v>0</v>
      </c>
      <c r="BN128" s="13">
        <f>SUMIFS(SALIDAS_BIT,FECHA_BIT,"&gt;="&amp;BN$2,FECHA_BIT,"&lt;="&amp;BN$3,CLAVE_BIT,$A128)+SUMIFS(SALIDAS_BOV1,FECHA_BOV1,"&gt;="&amp;BN$2,FECHA_BOV1,"&lt;="&amp;BN$3,CLAVE_BOV1,$A128)+SUMIFS(SALIDAS_BOV2,FECHA_BOV2,"&gt;="&amp;BN$2,FECHA_BOV2,"&lt;="&amp;BN$3,CLAVE_BOV2,$A128)+SUMIFS(SALIDAS_BOV3,FECHA_BOV3,"&gt;="&amp;BN$2,FECHA_BOV3,"&lt;="&amp;BN$3,CLAVE_BOV3,$A128)+SUMIFS(SALIDAS_TC,FECHA_TC,"&gt;="&amp;BN$2,FECHA_TC,"&lt;="&amp;BN$3,CLAVE_TC,$A128)+SUMIFS(SALIDAS_COMB,FECHA_COMB,"&gt;="&amp;BN$2,FECHA_COMB,"&lt;="&amp;BN$3,CLAVE_COMB,$A128)+SUMIFS(SALIDAS_DES,FECHA_DESGLOSEN,"&gt;="&amp;BN$2,FECHA_DESGLOSEN,"&lt;="&amp;BN$3,CLAVE_DESGLOSE,$A128)</f>
        <v>0</v>
      </c>
      <c r="BO128" s="13">
        <f>SUMIFS(SALIDAS_BIT,FECHA_BIT,"&gt;="&amp;BO$2,FECHA_BIT,"&lt;="&amp;BO$3,CLAVE_BIT,$A128)+SUMIFS(SALIDAS_BOV1,FECHA_BOV1,"&gt;="&amp;BO$2,FECHA_BOV1,"&lt;="&amp;BO$3,CLAVE_BOV1,$A128)+SUMIFS(SALIDAS_BOV2,FECHA_BOV2,"&gt;="&amp;BO$2,FECHA_BOV2,"&lt;="&amp;BO$3,CLAVE_BOV2,$A128)+SUMIFS(SALIDAS_BOV3,FECHA_BOV3,"&gt;="&amp;BO$2,FECHA_BOV3,"&lt;="&amp;BO$3,CLAVE_BOV3,$A128)+SUMIFS(SALIDAS_TC,FECHA_TC,"&gt;="&amp;BO$2,FECHA_TC,"&lt;="&amp;BO$3,CLAVE_TC,$A128)+SUMIFS(SALIDAS_COMB,FECHA_COMB,"&gt;="&amp;BO$2,FECHA_COMB,"&lt;="&amp;BO$3,CLAVE_COMB,$A128)+SUMIFS(SALIDAS_DES,FECHA_DESGLOSEN,"&gt;="&amp;BO$2,FECHA_DESGLOSEN,"&lt;="&amp;BO$3,CLAVE_DESGLOSE,$A128)</f>
        <v>0</v>
      </c>
      <c r="BP128" s="13">
        <f>SUMIFS(SALIDAS_BIT,FECHA_BIT,"&gt;="&amp;BP$2,FECHA_BIT,"&lt;="&amp;BP$3,CLAVE_BIT,$A128)+SUMIFS(SALIDAS_BOV1,FECHA_BOV1,"&gt;="&amp;BP$2,FECHA_BOV1,"&lt;="&amp;BP$3,CLAVE_BOV1,$A128)+SUMIFS(SALIDAS_BOV2,FECHA_BOV2,"&gt;="&amp;BP$2,FECHA_BOV2,"&lt;="&amp;BP$3,CLAVE_BOV2,$A128)+SUMIFS(SALIDAS_BOV3,FECHA_BOV3,"&gt;="&amp;BP$2,FECHA_BOV3,"&lt;="&amp;BP$3,CLAVE_BOV3,$A128)+SUMIFS(SALIDAS_TC,FECHA_TC,"&gt;="&amp;BP$2,FECHA_TC,"&lt;="&amp;BP$3,CLAVE_TC,$A128)+SUMIFS(SALIDAS_COMB,FECHA_COMB,"&gt;="&amp;BP$2,FECHA_COMB,"&lt;="&amp;BP$3,CLAVE_COMB,$A128)+SUMIFS(SALIDAS_DES,FECHA_DESGLOSEN,"&gt;="&amp;BP$2,FECHA_DESGLOSEN,"&lt;="&amp;BP$3,CLAVE_DESGLOSE,$A128)</f>
        <v>0</v>
      </c>
      <c r="BQ128" s="13">
        <f>SUMIFS(SALIDAS_BIT,FECHA_BIT,"&gt;="&amp;BQ$2,FECHA_BIT,"&lt;="&amp;BQ$3,CLAVE_BIT,$A128)+SUMIFS(SALIDAS_BOV1,FECHA_BOV1,"&gt;="&amp;BQ$2,FECHA_BOV1,"&lt;="&amp;BQ$3,CLAVE_BOV1,$A128)+SUMIFS(SALIDAS_BOV2,FECHA_BOV2,"&gt;="&amp;BQ$2,FECHA_BOV2,"&lt;="&amp;BQ$3,CLAVE_BOV2,$A128)+SUMIFS(SALIDAS_BOV3,FECHA_BOV3,"&gt;="&amp;BQ$2,FECHA_BOV3,"&lt;="&amp;BQ$3,CLAVE_BOV3,$A128)+SUMIFS(SALIDAS_TC,FECHA_TC,"&gt;="&amp;BQ$2,FECHA_TC,"&lt;="&amp;BQ$3,CLAVE_TC,$A128)+SUMIFS(SALIDAS_COMB,FECHA_COMB,"&gt;="&amp;BQ$2,FECHA_COMB,"&lt;="&amp;BQ$3,CLAVE_COMB,$A128)+SUMIFS(SALIDAS_DES,FECHA_DESGLOSEN,"&gt;="&amp;BQ$2,FECHA_DESGLOSEN,"&lt;="&amp;BQ$3,CLAVE_DESGLOSE,$A128)</f>
        <v>0</v>
      </c>
      <c r="BR128" s="13">
        <f t="shared" si="234"/>
        <v>0</v>
      </c>
      <c r="BS128" s="68">
        <f t="shared" si="164"/>
        <v>0</v>
      </c>
      <c r="BT128" s="268">
        <f t="shared" si="165"/>
        <v>0</v>
      </c>
      <c r="BU128" s="13">
        <f t="shared" si="166"/>
        <v>6600</v>
      </c>
      <c r="BV128" s="13">
        <f t="shared" si="186"/>
        <v>0</v>
      </c>
      <c r="BW128" s="13">
        <f t="shared" si="186"/>
        <v>0</v>
      </c>
      <c r="BX128" s="13">
        <f t="shared" si="186"/>
        <v>0</v>
      </c>
      <c r="BY128" s="13">
        <f t="shared" si="186"/>
        <v>0</v>
      </c>
      <c r="BZ128" s="13">
        <f t="shared" si="235"/>
        <v>0</v>
      </c>
      <c r="CA128" s="68">
        <f t="shared" si="167"/>
        <v>6600</v>
      </c>
      <c r="CB128" s="268">
        <f t="shared" si="168"/>
        <v>0</v>
      </c>
      <c r="CC128" s="13">
        <f t="shared" si="169"/>
        <v>5500</v>
      </c>
      <c r="CD128" s="13">
        <f t="shared" si="187"/>
        <v>0</v>
      </c>
      <c r="CE128" s="13">
        <f t="shared" si="187"/>
        <v>0</v>
      </c>
      <c r="CF128" s="13">
        <f t="shared" si="187"/>
        <v>0</v>
      </c>
      <c r="CG128" s="13">
        <f t="shared" si="187"/>
        <v>0</v>
      </c>
      <c r="CH128" s="13">
        <f t="shared" si="236"/>
        <v>0</v>
      </c>
      <c r="CI128" s="68">
        <f t="shared" si="170"/>
        <v>5500</v>
      </c>
      <c r="CJ128" s="268">
        <f t="shared" si="171"/>
        <v>0</v>
      </c>
      <c r="CK128" s="13">
        <f t="shared" si="172"/>
        <v>5900</v>
      </c>
      <c r="CL128" s="13">
        <f t="shared" si="228"/>
        <v>0</v>
      </c>
      <c r="CM128" s="13">
        <f t="shared" si="228"/>
        <v>0</v>
      </c>
      <c r="CN128" s="13">
        <f t="shared" si="228"/>
        <v>0</v>
      </c>
      <c r="CO128" s="13">
        <f t="shared" si="228"/>
        <v>0</v>
      </c>
      <c r="CP128" s="13">
        <f t="shared" si="228"/>
        <v>0</v>
      </c>
      <c r="CQ128" s="13">
        <f t="shared" si="237"/>
        <v>0</v>
      </c>
      <c r="CR128" s="68">
        <f t="shared" si="173"/>
        <v>5900</v>
      </c>
      <c r="CS128" s="268">
        <f t="shared" si="174"/>
        <v>0</v>
      </c>
      <c r="CT128" s="68">
        <f t="shared" si="147"/>
        <v>12000</v>
      </c>
      <c r="CU128" s="13">
        <f>SUMIFS(SALIDAS_BIT,FECHA_BIT,"&gt;="&amp;CU$2,FECHA_BIT,"&lt;="&amp;CU$3,CLAVE_BIT,$A128)+SUMIFS(SALIDAS_BOV1,FECHA_BOV1,"&gt;="&amp;CU$2,FECHA_BOV1,"&lt;="&amp;CU$3,CLAVE_BOV1,$A128)+SUMIFS(SALIDAS_BOV2,FECHA_BOV2,"&gt;="&amp;CU$2,FECHA_BOV2,"&lt;="&amp;CU$3,CLAVE_BOV2,$A128)+SUMIFS(SALIDAS_BOV3,FECHA_BOV3,"&gt;="&amp;CU$2,FECHA_BOV3,"&lt;="&amp;CU$3,CLAVE_BOV3,$A128)+SUMIFS(SALIDAS_TC,FECHA_TC,"&gt;="&amp;CU$2,FECHA_TC,"&lt;="&amp;CU$3,CLAVE_TC,$A128)+SUMIFS(SALIDAS_COMB,FECHA_COMB,"&gt;="&amp;CU$2,FECHA_COMB,"&lt;="&amp;CU$3,CLAVE_COMB,$A128)+SUMIFS(SALIDAS_DES,FECHA_DESGLOSEN,"&gt;="&amp;CU$2,FECHA_DESGLOSEN,"&lt;="&amp;CU$3,CLAVE_DESGLOSE,$A128)</f>
        <v>0</v>
      </c>
      <c r="CV128" s="13">
        <f>SUMIFS(SALIDAS_BIT,FECHA_BIT,"&gt;="&amp;CV$2,FECHA_BIT,"&lt;="&amp;CV$3,CLAVE_BIT,$A128)+SUMIFS(SALIDAS_BOV1,FECHA_BOV1,"&gt;="&amp;CV$2,FECHA_BOV1,"&lt;="&amp;CV$3,CLAVE_BOV1,$A128)+SUMIFS(SALIDAS_BOV2,FECHA_BOV2,"&gt;="&amp;CV$2,FECHA_BOV2,"&lt;="&amp;CV$3,CLAVE_BOV2,$A128)+SUMIFS(SALIDAS_BOV3,FECHA_BOV3,"&gt;="&amp;CV$2,FECHA_BOV3,"&lt;="&amp;CV$3,CLAVE_BOV3,$A128)+SUMIFS(SALIDAS_TC,FECHA_TC,"&gt;="&amp;CV$2,FECHA_TC,"&lt;="&amp;CV$3,CLAVE_TC,$A128)+SUMIFS(SALIDAS_COMB,FECHA_COMB,"&gt;="&amp;CV$2,FECHA_COMB,"&lt;="&amp;CV$3,CLAVE_COMB,$A128)+SUMIFS(SALIDAS_DES,FECHA_DESGLOSEN,"&gt;="&amp;CV$2,FECHA_DESGLOSEN,"&lt;="&amp;CV$3,CLAVE_DESGLOSE,$A128)</f>
        <v>0</v>
      </c>
      <c r="CW128" s="13">
        <f>SUMIFS(SALIDAS_BIT,FECHA_BIT,"&gt;="&amp;CW$2,FECHA_BIT,"&lt;="&amp;CW$3,CLAVE_BIT,$A128)+SUMIFS(SALIDAS_BOV1,FECHA_BOV1,"&gt;="&amp;CW$2,FECHA_BOV1,"&lt;="&amp;CW$3,CLAVE_BOV1,$A128)+SUMIFS(SALIDAS_BOV2,FECHA_BOV2,"&gt;="&amp;CW$2,FECHA_BOV2,"&lt;="&amp;CW$3,CLAVE_BOV2,$A128)+SUMIFS(SALIDAS_BOV3,FECHA_BOV3,"&gt;="&amp;CW$2,FECHA_BOV3,"&lt;="&amp;CW$3,CLAVE_BOV3,$A128)+SUMIFS(SALIDAS_TC,FECHA_TC,"&gt;="&amp;CW$2,FECHA_TC,"&lt;="&amp;CW$3,CLAVE_TC,$A128)+SUMIFS(SALIDAS_COMB,FECHA_COMB,"&gt;="&amp;CW$2,FECHA_COMB,"&lt;="&amp;CW$3,CLAVE_COMB,$A128)+SUMIFS(SALIDAS_DES,FECHA_DESGLOSEN,"&gt;="&amp;CW$2,FECHA_DESGLOSEN,"&lt;="&amp;CW$3,CLAVE_DESGLOSE,$A128)</f>
        <v>0</v>
      </c>
      <c r="CX128" s="13">
        <f>SUMIFS(SALIDAS_BIT,FECHA_BIT,"&gt;="&amp;CX$2,FECHA_BIT,"&lt;="&amp;CX$3,CLAVE_BIT,$A128)+SUMIFS(SALIDAS_BOV1,FECHA_BOV1,"&gt;="&amp;CX$2,FECHA_BOV1,"&lt;="&amp;CX$3,CLAVE_BOV1,$A128)+SUMIFS(SALIDAS_BOV2,FECHA_BOV2,"&gt;="&amp;CX$2,FECHA_BOV2,"&lt;="&amp;CX$3,CLAVE_BOV2,$A128)+SUMIFS(SALIDAS_BOV3,FECHA_BOV3,"&gt;="&amp;CX$2,FECHA_BOV3,"&lt;="&amp;CX$3,CLAVE_BOV3,$A128)+SUMIFS(SALIDAS_TC,FECHA_TC,"&gt;="&amp;CX$2,FECHA_TC,"&lt;="&amp;CX$3,CLAVE_TC,$A128)+SUMIFS(SALIDAS_COMB,FECHA_COMB,"&gt;="&amp;CX$2,FECHA_COMB,"&lt;="&amp;CX$3,CLAVE_COMB,$A128)+SUMIFS(SALIDAS_DES,FECHA_DESGLOSEN,"&gt;="&amp;CX$2,FECHA_DESGLOSEN,"&lt;="&amp;CX$3,CLAVE_DESGLOSE,$A128)</f>
        <v>0</v>
      </c>
      <c r="CY128" s="13">
        <f>SUMIFS(SALIDAS_BIT,FECHA_BIT,"&gt;="&amp;CY$2,FECHA_BIT,"&lt;="&amp;CY$3,CLAVE_BIT,$A128)+SUMIFS(SALIDAS_BOV1,FECHA_BOV1,"&gt;="&amp;CY$2,FECHA_BOV1,"&lt;="&amp;CY$3,CLAVE_BOV1,$A128)+SUMIFS(SALIDAS_BOV2,FECHA_BOV2,"&gt;="&amp;CY$2,FECHA_BOV2,"&lt;="&amp;CY$3,CLAVE_BOV2,$A128)+SUMIFS(SALIDAS_BOV3,FECHA_BOV3,"&gt;="&amp;CY$2,FECHA_BOV3,"&lt;="&amp;CY$3,CLAVE_BOV3,$A128)+SUMIFS(SALIDAS_TC,FECHA_TC,"&gt;="&amp;CY$2,FECHA_TC,"&lt;="&amp;CY$3,CLAVE_TC,$A128)+SUMIFS(SALIDAS_COMB,FECHA_COMB,"&gt;="&amp;CY$2,FECHA_COMB,"&lt;="&amp;CY$3,CLAVE_COMB,$A128)+SUMIFS(SALIDAS_DES,FECHA_DESGLOSEN,"&gt;="&amp;CY$2,FECHA_DESGLOSEN,"&lt;="&amp;CY$3,CLAVE_DESGLOSE,$A128)</f>
        <v>0</v>
      </c>
      <c r="CZ128" s="68">
        <f t="shared" si="175"/>
        <v>12000</v>
      </c>
      <c r="DB128" s="17">
        <f>F128+N128+W128+AE128+AM128+AV128+BD128+BL128+BU128+CC128+CK128</f>
        <v>18000</v>
      </c>
      <c r="DC128" s="17">
        <f>K128+T128+AB128+AJ128+AS128+BA128+BI128+BR128+BZ128+CH128+CQ128</f>
        <v>16861.41</v>
      </c>
    </row>
    <row r="129" spans="1:107" hidden="1">
      <c r="A129" s="12" t="str">
        <f t="shared" si="148"/>
        <v>CAPENERGIA ELECTRICAE3</v>
      </c>
      <c r="B129" s="12">
        <v>131</v>
      </c>
      <c r="C129" t="s">
        <v>31</v>
      </c>
      <c r="D129" s="404" t="s">
        <v>87</v>
      </c>
      <c r="E129" s="404" t="s">
        <v>109</v>
      </c>
      <c r="F129" s="259">
        <f t="shared" si="141"/>
        <v>5266</v>
      </c>
      <c r="G129" s="13">
        <f t="shared" si="229"/>
        <v>0</v>
      </c>
      <c r="H129" s="13">
        <f t="shared" si="229"/>
        <v>0</v>
      </c>
      <c r="I129" s="13">
        <f t="shared" si="229"/>
        <v>5454</v>
      </c>
      <c r="J129" s="13">
        <f t="shared" si="229"/>
        <v>0</v>
      </c>
      <c r="K129" s="13">
        <f t="shared" si="229"/>
        <v>5454</v>
      </c>
      <c r="L129" s="68">
        <f t="shared" si="149"/>
        <v>-188</v>
      </c>
      <c r="M129" s="268">
        <f t="shared" si="150"/>
        <v>1.0357007216103304</v>
      </c>
      <c r="N129" s="13">
        <f t="shared" si="142"/>
        <v>0</v>
      </c>
      <c r="O129" s="13">
        <f t="shared" si="230"/>
        <v>0</v>
      </c>
      <c r="P129" s="13">
        <f t="shared" si="230"/>
        <v>0</v>
      </c>
      <c r="Q129" s="13">
        <f t="shared" si="230"/>
        <v>0</v>
      </c>
      <c r="R129" s="13">
        <f t="shared" si="230"/>
        <v>0</v>
      </c>
      <c r="S129" s="13">
        <f t="shared" si="230"/>
        <v>0</v>
      </c>
      <c r="T129" s="13">
        <f t="shared" si="230"/>
        <v>0</v>
      </c>
      <c r="U129" s="68">
        <f t="shared" si="151"/>
        <v>0</v>
      </c>
      <c r="V129" s="268">
        <f t="shared" si="152"/>
        <v>0</v>
      </c>
      <c r="W129" s="13">
        <f t="shared" si="143"/>
        <v>5882</v>
      </c>
      <c r="X129" s="13">
        <f t="shared" si="231"/>
        <v>0</v>
      </c>
      <c r="Y129" s="13">
        <f t="shared" si="231"/>
        <v>6350</v>
      </c>
      <c r="Z129" s="13">
        <f t="shared" si="231"/>
        <v>0</v>
      </c>
      <c r="AA129" s="13">
        <f t="shared" si="231"/>
        <v>0</v>
      </c>
      <c r="AB129" s="13">
        <f t="shared" si="231"/>
        <v>6350</v>
      </c>
      <c r="AC129" s="68">
        <f t="shared" si="153"/>
        <v>-468</v>
      </c>
      <c r="AD129" s="268">
        <f t="shared" si="154"/>
        <v>1.0795647738864331</v>
      </c>
      <c r="AE129" s="13">
        <f t="shared" si="144"/>
        <v>0</v>
      </c>
      <c r="AF129" s="13">
        <f t="shared" si="232"/>
        <v>0</v>
      </c>
      <c r="AG129" s="13">
        <f t="shared" si="232"/>
        <v>0</v>
      </c>
      <c r="AH129" s="13">
        <f t="shared" si="232"/>
        <v>0</v>
      </c>
      <c r="AI129" s="13">
        <f t="shared" si="232"/>
        <v>0</v>
      </c>
      <c r="AJ129" s="13">
        <f t="shared" si="232"/>
        <v>0</v>
      </c>
      <c r="AK129" s="68">
        <f t="shared" si="155"/>
        <v>0</v>
      </c>
      <c r="AL129" s="268">
        <f t="shared" si="156"/>
        <v>0</v>
      </c>
      <c r="AM129" s="13">
        <f t="shared" si="145"/>
        <v>6465</v>
      </c>
      <c r="AN129" s="13">
        <f t="shared" si="233"/>
        <v>0</v>
      </c>
      <c r="AO129" s="13">
        <f t="shared" si="233"/>
        <v>0</v>
      </c>
      <c r="AP129" s="13">
        <f t="shared" si="233"/>
        <v>6856</v>
      </c>
      <c r="AQ129" s="13">
        <f t="shared" si="233"/>
        <v>0</v>
      </c>
      <c r="AR129" s="13">
        <f t="shared" si="233"/>
        <v>0</v>
      </c>
      <c r="AS129" s="13">
        <f t="shared" si="233"/>
        <v>6856</v>
      </c>
      <c r="AT129" s="68">
        <f>AM129-AS129</f>
        <v>-391</v>
      </c>
      <c r="AU129" s="268">
        <f t="shared" si="157"/>
        <v>1.0604795050270688</v>
      </c>
      <c r="AV129" s="13">
        <f t="shared" si="146"/>
        <v>0</v>
      </c>
      <c r="AW129" s="13">
        <f t="shared" si="222"/>
        <v>0</v>
      </c>
      <c r="AX129" s="13">
        <f t="shared" si="222"/>
        <v>0</v>
      </c>
      <c r="AY129" s="13">
        <f t="shared" si="222"/>
        <v>0</v>
      </c>
      <c r="AZ129" s="13">
        <f t="shared" si="222"/>
        <v>0</v>
      </c>
      <c r="BA129" s="13">
        <f t="shared" si="223"/>
        <v>0</v>
      </c>
      <c r="BB129" s="68">
        <f t="shared" si="158"/>
        <v>0</v>
      </c>
      <c r="BC129" s="268">
        <f t="shared" si="159"/>
        <v>0</v>
      </c>
      <c r="BD129" s="13">
        <f t="shared" si="160"/>
        <v>7565</v>
      </c>
      <c r="BE129" s="13">
        <f>SUMIFS(SALIDAS_BIT,FECHA_BIT,"&gt;="&amp;BE$2,FECHA_BIT,"&lt;="&amp;BE$3,CLAVE_BIT,$A129)+SUMIFS(SALIDAS_BOV1,FECHA_BOV1,"&gt;="&amp;BE$2,FECHA_BOV1,"&lt;="&amp;BE$3,CLAVE_BOV1,$A129)+SUMIFS(SALIDAS_BOV2,FECHA_BOV2,"&gt;="&amp;BE$2,FECHA_BOV2,"&lt;="&amp;BE$3,CLAVE_BOV2,$A129)+SUMIFS(SALIDAS_BOV3,FECHA_BOV3,"&gt;="&amp;BE$2,FECHA_BOV3,"&lt;="&amp;BE$3,CLAVE_BOV3,$A129)+SUMIFS(SALIDAS_TC,FECHA_TC,"&gt;="&amp;BE$2,FECHA_TC,"&lt;="&amp;BE$3,CLAVE_TC,$A129)+SUMIFS(SALIDAS_COMB,FECHA_COMB,"&gt;="&amp;BE$2,FECHA_COMB,"&lt;="&amp;BE$3,CLAVE_COMB,$A129)+SUMIFS(SALIDAS_DES,FECHA_DESGLOSEN,"&gt;="&amp;BE$2,FECHA_DESGLOSEN,"&lt;="&amp;BE$3,CLAVE_DESGLOSE,$A129)</f>
        <v>0</v>
      </c>
      <c r="BF129" s="13">
        <f>SUMIFS(SALIDAS_BIT,FECHA_BIT,"&gt;="&amp;BF$2,FECHA_BIT,"&lt;="&amp;BF$3,CLAVE_BIT,$A129)+SUMIFS(SALIDAS_BOV1,FECHA_BOV1,"&gt;="&amp;BF$2,FECHA_BOV1,"&lt;="&amp;BF$3,CLAVE_BOV1,$A129)+SUMIFS(SALIDAS_BOV2,FECHA_BOV2,"&gt;="&amp;BF$2,FECHA_BOV2,"&lt;="&amp;BF$3,CLAVE_BOV2,$A129)+SUMIFS(SALIDAS_BOV3,FECHA_BOV3,"&gt;="&amp;BF$2,FECHA_BOV3,"&lt;="&amp;BF$3,CLAVE_BOV3,$A129)+SUMIFS(SALIDAS_TC,FECHA_TC,"&gt;="&amp;BF$2,FECHA_TC,"&lt;="&amp;BF$3,CLAVE_TC,$A129)+SUMIFS(SALIDAS_COMB,FECHA_COMB,"&gt;="&amp;BF$2,FECHA_COMB,"&lt;="&amp;BF$3,CLAVE_COMB,$A129)+SUMIFS(SALIDAS_DES,FECHA_DESGLOSEN,"&gt;="&amp;BF$2,FECHA_DESGLOSEN,"&lt;="&amp;BF$3,CLAVE_DESGLOSE,$A129)</f>
        <v>0</v>
      </c>
      <c r="BG129" s="13">
        <f>SUMIFS(SALIDAS_BIT,FECHA_BIT,"&gt;="&amp;BG$2,FECHA_BIT,"&lt;="&amp;BG$3,CLAVE_BIT,$A129)+SUMIFS(SALIDAS_BOV1,FECHA_BOV1,"&gt;="&amp;BG$2,FECHA_BOV1,"&lt;="&amp;BG$3,CLAVE_BOV1,$A129)+SUMIFS(SALIDAS_BOV2,FECHA_BOV2,"&gt;="&amp;BG$2,FECHA_BOV2,"&lt;="&amp;BG$3,CLAVE_BOV2,$A129)+SUMIFS(SALIDAS_BOV3,FECHA_BOV3,"&gt;="&amp;BG$2,FECHA_BOV3,"&lt;="&amp;BG$3,CLAVE_BOV3,$A129)+SUMIFS(SALIDAS_TC,FECHA_TC,"&gt;="&amp;BG$2,FECHA_TC,"&lt;="&amp;BG$3,CLAVE_TC,$A129)+SUMIFS(SALIDAS_COMB,FECHA_COMB,"&gt;="&amp;BG$2,FECHA_COMB,"&lt;="&amp;BG$3,CLAVE_COMB,$A129)+SUMIFS(SALIDAS_DES,FECHA_DESGLOSEN,"&gt;="&amp;BG$2,FECHA_DESGLOSEN,"&lt;="&amp;BG$3,CLAVE_DESGLOSE,$A129)</f>
        <v>7558</v>
      </c>
      <c r="BH129" s="13">
        <f>SUMIFS(SALIDAS_BIT,FECHA_BIT,"&gt;="&amp;BH$2,FECHA_BIT,"&lt;="&amp;BH$3,CLAVE_BIT,$A129)+SUMIFS(SALIDAS_BOV1,FECHA_BOV1,"&gt;="&amp;BH$2,FECHA_BOV1,"&lt;="&amp;BH$3,CLAVE_BOV1,$A129)+SUMIFS(SALIDAS_BOV2,FECHA_BOV2,"&gt;="&amp;BH$2,FECHA_BOV2,"&lt;="&amp;BH$3,CLAVE_BOV2,$A129)+SUMIFS(SALIDAS_BOV3,FECHA_BOV3,"&gt;="&amp;BH$2,FECHA_BOV3,"&lt;="&amp;BH$3,CLAVE_BOV3,$A129)+SUMIFS(SALIDAS_TC,FECHA_TC,"&gt;="&amp;BH$2,FECHA_TC,"&lt;="&amp;BH$3,CLAVE_TC,$A129)+SUMIFS(SALIDAS_COMB,FECHA_COMB,"&gt;="&amp;BH$2,FECHA_COMB,"&lt;="&amp;BH$3,CLAVE_COMB,$A129)+SUMIFS(SALIDAS_DES,FECHA_DESGLOSEN,"&gt;="&amp;BH$2,FECHA_DESGLOSEN,"&lt;="&amp;BH$3,CLAVE_DESGLOSE,$A129)</f>
        <v>0</v>
      </c>
      <c r="BI129" s="13">
        <f t="shared" si="215"/>
        <v>7558</v>
      </c>
      <c r="BJ129" s="68">
        <f t="shared" si="161"/>
        <v>7</v>
      </c>
      <c r="BK129" s="268">
        <f t="shared" si="162"/>
        <v>0.99907468605419691</v>
      </c>
      <c r="BL129" s="13">
        <f t="shared" si="163"/>
        <v>0</v>
      </c>
      <c r="BM129" s="13">
        <f>SUMIFS(SALIDAS_BIT,FECHA_BIT,"&gt;="&amp;BM$2,FECHA_BIT,"&lt;="&amp;BM$3,CLAVE_BIT,$A129)+SUMIFS(SALIDAS_BOV1,FECHA_BOV1,"&gt;="&amp;BM$2,FECHA_BOV1,"&lt;="&amp;BM$3,CLAVE_BOV1,$A129)+SUMIFS(SALIDAS_BOV2,FECHA_BOV2,"&gt;="&amp;BM$2,FECHA_BOV2,"&lt;="&amp;BM$3,CLAVE_BOV2,$A129)+SUMIFS(SALIDAS_BOV3,FECHA_BOV3,"&gt;="&amp;BM$2,FECHA_BOV3,"&lt;="&amp;BM$3,CLAVE_BOV3,$A129)+SUMIFS(SALIDAS_TC,FECHA_TC,"&gt;="&amp;BM$2,FECHA_TC,"&lt;="&amp;BM$3,CLAVE_TC,$A129)+SUMIFS(SALIDAS_COMB,FECHA_COMB,"&gt;="&amp;BM$2,FECHA_COMB,"&lt;="&amp;BM$3,CLAVE_COMB,$A129)+SUMIFS(SALIDAS_DES,FECHA_DESGLOSEN,"&gt;="&amp;BM$2,FECHA_DESGLOSEN,"&lt;="&amp;BM$3,CLAVE_DESGLOSE,$A129)</f>
        <v>0</v>
      </c>
      <c r="BN129" s="13">
        <f>SUMIFS(SALIDAS_BIT,FECHA_BIT,"&gt;="&amp;BN$2,FECHA_BIT,"&lt;="&amp;BN$3,CLAVE_BIT,$A129)+SUMIFS(SALIDAS_BOV1,FECHA_BOV1,"&gt;="&amp;BN$2,FECHA_BOV1,"&lt;="&amp;BN$3,CLAVE_BOV1,$A129)+SUMIFS(SALIDAS_BOV2,FECHA_BOV2,"&gt;="&amp;BN$2,FECHA_BOV2,"&lt;="&amp;BN$3,CLAVE_BOV2,$A129)+SUMIFS(SALIDAS_BOV3,FECHA_BOV3,"&gt;="&amp;BN$2,FECHA_BOV3,"&lt;="&amp;BN$3,CLAVE_BOV3,$A129)+SUMIFS(SALIDAS_TC,FECHA_TC,"&gt;="&amp;BN$2,FECHA_TC,"&lt;="&amp;BN$3,CLAVE_TC,$A129)+SUMIFS(SALIDAS_COMB,FECHA_COMB,"&gt;="&amp;BN$2,FECHA_COMB,"&lt;="&amp;BN$3,CLAVE_COMB,$A129)+SUMIFS(SALIDAS_DES,FECHA_DESGLOSEN,"&gt;="&amp;BN$2,FECHA_DESGLOSEN,"&lt;="&amp;BN$3,CLAVE_DESGLOSE,$A129)</f>
        <v>0</v>
      </c>
      <c r="BO129" s="13">
        <f>SUMIFS(SALIDAS_BIT,FECHA_BIT,"&gt;="&amp;BO$2,FECHA_BIT,"&lt;="&amp;BO$3,CLAVE_BIT,$A129)+SUMIFS(SALIDAS_BOV1,FECHA_BOV1,"&gt;="&amp;BO$2,FECHA_BOV1,"&lt;="&amp;BO$3,CLAVE_BOV1,$A129)+SUMIFS(SALIDAS_BOV2,FECHA_BOV2,"&gt;="&amp;BO$2,FECHA_BOV2,"&lt;="&amp;BO$3,CLAVE_BOV2,$A129)+SUMIFS(SALIDAS_BOV3,FECHA_BOV3,"&gt;="&amp;BO$2,FECHA_BOV3,"&lt;="&amp;BO$3,CLAVE_BOV3,$A129)+SUMIFS(SALIDAS_TC,FECHA_TC,"&gt;="&amp;BO$2,FECHA_TC,"&lt;="&amp;BO$3,CLAVE_TC,$A129)+SUMIFS(SALIDAS_COMB,FECHA_COMB,"&gt;="&amp;BO$2,FECHA_COMB,"&lt;="&amp;BO$3,CLAVE_COMB,$A129)+SUMIFS(SALIDAS_DES,FECHA_DESGLOSEN,"&gt;="&amp;BO$2,FECHA_DESGLOSEN,"&lt;="&amp;BO$3,CLAVE_DESGLOSE,$A129)</f>
        <v>0</v>
      </c>
      <c r="BP129" s="13">
        <f>SUMIFS(SALIDAS_BIT,FECHA_BIT,"&gt;="&amp;BP$2,FECHA_BIT,"&lt;="&amp;BP$3,CLAVE_BIT,$A129)+SUMIFS(SALIDAS_BOV1,FECHA_BOV1,"&gt;="&amp;BP$2,FECHA_BOV1,"&lt;="&amp;BP$3,CLAVE_BOV1,$A129)+SUMIFS(SALIDAS_BOV2,FECHA_BOV2,"&gt;="&amp;BP$2,FECHA_BOV2,"&lt;="&amp;BP$3,CLAVE_BOV2,$A129)+SUMIFS(SALIDAS_BOV3,FECHA_BOV3,"&gt;="&amp;BP$2,FECHA_BOV3,"&lt;="&amp;BP$3,CLAVE_BOV3,$A129)+SUMIFS(SALIDAS_TC,FECHA_TC,"&gt;="&amp;BP$2,FECHA_TC,"&lt;="&amp;BP$3,CLAVE_TC,$A129)+SUMIFS(SALIDAS_COMB,FECHA_COMB,"&gt;="&amp;BP$2,FECHA_COMB,"&lt;="&amp;BP$3,CLAVE_COMB,$A129)+SUMIFS(SALIDAS_DES,FECHA_DESGLOSEN,"&gt;="&amp;BP$2,FECHA_DESGLOSEN,"&lt;="&amp;BP$3,CLAVE_DESGLOSE,$A129)</f>
        <v>0</v>
      </c>
      <c r="BQ129" s="13">
        <f>SUMIFS(SALIDAS_BIT,FECHA_BIT,"&gt;="&amp;BQ$2,FECHA_BIT,"&lt;="&amp;BQ$3,CLAVE_BIT,$A129)+SUMIFS(SALIDAS_BOV1,FECHA_BOV1,"&gt;="&amp;BQ$2,FECHA_BOV1,"&lt;="&amp;BQ$3,CLAVE_BOV1,$A129)+SUMIFS(SALIDAS_BOV2,FECHA_BOV2,"&gt;="&amp;BQ$2,FECHA_BOV2,"&lt;="&amp;BQ$3,CLAVE_BOV2,$A129)+SUMIFS(SALIDAS_BOV3,FECHA_BOV3,"&gt;="&amp;BQ$2,FECHA_BOV3,"&lt;="&amp;BQ$3,CLAVE_BOV3,$A129)+SUMIFS(SALIDAS_TC,FECHA_TC,"&gt;="&amp;BQ$2,FECHA_TC,"&lt;="&amp;BQ$3,CLAVE_TC,$A129)+SUMIFS(SALIDAS_COMB,FECHA_COMB,"&gt;="&amp;BQ$2,FECHA_COMB,"&lt;="&amp;BQ$3,CLAVE_COMB,$A129)+SUMIFS(SALIDAS_DES,FECHA_DESGLOSEN,"&gt;="&amp;BQ$2,FECHA_DESGLOSEN,"&lt;="&amp;BQ$3,CLAVE_DESGLOSE,$A129)</f>
        <v>0</v>
      </c>
      <c r="BR129" s="13">
        <f t="shared" si="234"/>
        <v>0</v>
      </c>
      <c r="BS129" s="68">
        <f t="shared" si="164"/>
        <v>0</v>
      </c>
      <c r="BT129" s="268">
        <f t="shared" si="165"/>
        <v>0</v>
      </c>
      <c r="BU129" s="13">
        <f t="shared" si="166"/>
        <v>6299</v>
      </c>
      <c r="BV129" s="13">
        <f t="shared" si="186"/>
        <v>0</v>
      </c>
      <c r="BW129" s="13">
        <f t="shared" si="186"/>
        <v>0</v>
      </c>
      <c r="BX129" s="13">
        <f t="shared" si="186"/>
        <v>7131</v>
      </c>
      <c r="BY129" s="13">
        <f t="shared" si="186"/>
        <v>0</v>
      </c>
      <c r="BZ129" s="13">
        <f t="shared" si="235"/>
        <v>7131</v>
      </c>
      <c r="CA129" s="68">
        <f t="shared" si="167"/>
        <v>-832</v>
      </c>
      <c r="CB129" s="268">
        <f t="shared" si="168"/>
        <v>1.1320844578504525</v>
      </c>
      <c r="CC129" s="13">
        <f t="shared" si="169"/>
        <v>0</v>
      </c>
      <c r="CD129" s="13">
        <f t="shared" si="187"/>
        <v>0</v>
      </c>
      <c r="CE129" s="13">
        <f t="shared" si="187"/>
        <v>0</v>
      </c>
      <c r="CF129" s="13">
        <f t="shared" si="187"/>
        <v>0</v>
      </c>
      <c r="CG129" s="13">
        <f t="shared" si="187"/>
        <v>0</v>
      </c>
      <c r="CH129" s="13">
        <f t="shared" si="236"/>
        <v>0</v>
      </c>
      <c r="CI129" s="68">
        <f t="shared" si="170"/>
        <v>0</v>
      </c>
      <c r="CJ129" s="268">
        <f t="shared" si="171"/>
        <v>0</v>
      </c>
      <c r="CK129" s="13">
        <f t="shared" si="172"/>
        <v>5921</v>
      </c>
      <c r="CL129" s="13">
        <f t="shared" si="228"/>
        <v>0</v>
      </c>
      <c r="CM129" s="13">
        <f t="shared" si="228"/>
        <v>0</v>
      </c>
      <c r="CN129" s="13">
        <f t="shared" si="228"/>
        <v>5927</v>
      </c>
      <c r="CO129" s="13">
        <f t="shared" si="228"/>
        <v>0</v>
      </c>
      <c r="CP129" s="13">
        <f t="shared" si="228"/>
        <v>0</v>
      </c>
      <c r="CQ129" s="13">
        <f t="shared" si="237"/>
        <v>5927</v>
      </c>
      <c r="CR129" s="68">
        <f t="shared" si="173"/>
        <v>-6</v>
      </c>
      <c r="CS129" s="268">
        <f t="shared" si="174"/>
        <v>1.0010133423408207</v>
      </c>
      <c r="CT129" s="68">
        <f t="shared" si="147"/>
        <v>0</v>
      </c>
      <c r="CU129" s="13">
        <f>SUMIFS(SALIDAS_BIT,FECHA_BIT,"&gt;="&amp;CU$2,FECHA_BIT,"&lt;="&amp;CU$3,CLAVE_BIT,$A129)+SUMIFS(SALIDAS_BOV1,FECHA_BOV1,"&gt;="&amp;CU$2,FECHA_BOV1,"&lt;="&amp;CU$3,CLAVE_BOV1,$A129)+SUMIFS(SALIDAS_BOV2,FECHA_BOV2,"&gt;="&amp;CU$2,FECHA_BOV2,"&lt;="&amp;CU$3,CLAVE_BOV2,$A129)+SUMIFS(SALIDAS_BOV3,FECHA_BOV3,"&gt;="&amp;CU$2,FECHA_BOV3,"&lt;="&amp;CU$3,CLAVE_BOV3,$A129)+SUMIFS(SALIDAS_TC,FECHA_TC,"&gt;="&amp;CU$2,FECHA_TC,"&lt;="&amp;CU$3,CLAVE_TC,$A129)+SUMIFS(SALIDAS_COMB,FECHA_COMB,"&gt;="&amp;CU$2,FECHA_COMB,"&lt;="&amp;CU$3,CLAVE_COMB,$A129)+SUMIFS(SALIDAS_DES,FECHA_DESGLOSEN,"&gt;="&amp;CU$2,FECHA_DESGLOSEN,"&lt;="&amp;CU$3,CLAVE_DESGLOSE,$A129)</f>
        <v>0</v>
      </c>
      <c r="CV129" s="13">
        <f>SUMIFS(SALIDAS_BIT,FECHA_BIT,"&gt;="&amp;CV$2,FECHA_BIT,"&lt;="&amp;CV$3,CLAVE_BIT,$A129)+SUMIFS(SALIDAS_BOV1,FECHA_BOV1,"&gt;="&amp;CV$2,FECHA_BOV1,"&lt;="&amp;CV$3,CLAVE_BOV1,$A129)+SUMIFS(SALIDAS_BOV2,FECHA_BOV2,"&gt;="&amp;CV$2,FECHA_BOV2,"&lt;="&amp;CV$3,CLAVE_BOV2,$A129)+SUMIFS(SALIDAS_BOV3,FECHA_BOV3,"&gt;="&amp;CV$2,FECHA_BOV3,"&lt;="&amp;CV$3,CLAVE_BOV3,$A129)+SUMIFS(SALIDAS_TC,FECHA_TC,"&gt;="&amp;CV$2,FECHA_TC,"&lt;="&amp;CV$3,CLAVE_TC,$A129)+SUMIFS(SALIDAS_COMB,FECHA_COMB,"&gt;="&amp;CV$2,FECHA_COMB,"&lt;="&amp;CV$3,CLAVE_COMB,$A129)+SUMIFS(SALIDAS_DES,FECHA_DESGLOSEN,"&gt;="&amp;CV$2,FECHA_DESGLOSEN,"&lt;="&amp;CV$3,CLAVE_DESGLOSE,$A129)</f>
        <v>0</v>
      </c>
      <c r="CW129" s="13">
        <f>SUMIFS(SALIDAS_BIT,FECHA_BIT,"&gt;="&amp;CW$2,FECHA_BIT,"&lt;="&amp;CW$3,CLAVE_BIT,$A129)+SUMIFS(SALIDAS_BOV1,FECHA_BOV1,"&gt;="&amp;CW$2,FECHA_BOV1,"&lt;="&amp;CW$3,CLAVE_BOV1,$A129)+SUMIFS(SALIDAS_BOV2,FECHA_BOV2,"&gt;="&amp;CW$2,FECHA_BOV2,"&lt;="&amp;CW$3,CLAVE_BOV2,$A129)+SUMIFS(SALIDAS_BOV3,FECHA_BOV3,"&gt;="&amp;CW$2,FECHA_BOV3,"&lt;="&amp;CW$3,CLAVE_BOV3,$A129)+SUMIFS(SALIDAS_TC,FECHA_TC,"&gt;="&amp;CW$2,FECHA_TC,"&lt;="&amp;CW$3,CLAVE_TC,$A129)+SUMIFS(SALIDAS_COMB,FECHA_COMB,"&gt;="&amp;CW$2,FECHA_COMB,"&lt;="&amp;CW$3,CLAVE_COMB,$A129)+SUMIFS(SALIDAS_DES,FECHA_DESGLOSEN,"&gt;="&amp;CW$2,FECHA_DESGLOSEN,"&lt;="&amp;CW$3,CLAVE_DESGLOSE,$A129)</f>
        <v>0</v>
      </c>
      <c r="CX129" s="13">
        <f>SUMIFS(SALIDAS_BIT,FECHA_BIT,"&gt;="&amp;CX$2,FECHA_BIT,"&lt;="&amp;CX$3,CLAVE_BIT,$A129)+SUMIFS(SALIDAS_BOV1,FECHA_BOV1,"&gt;="&amp;CX$2,FECHA_BOV1,"&lt;="&amp;CX$3,CLAVE_BOV1,$A129)+SUMIFS(SALIDAS_BOV2,FECHA_BOV2,"&gt;="&amp;CX$2,FECHA_BOV2,"&lt;="&amp;CX$3,CLAVE_BOV2,$A129)+SUMIFS(SALIDAS_BOV3,FECHA_BOV3,"&gt;="&amp;CX$2,FECHA_BOV3,"&lt;="&amp;CX$3,CLAVE_BOV3,$A129)+SUMIFS(SALIDAS_TC,FECHA_TC,"&gt;="&amp;CX$2,FECHA_TC,"&lt;="&amp;CX$3,CLAVE_TC,$A129)+SUMIFS(SALIDAS_COMB,FECHA_COMB,"&gt;="&amp;CX$2,FECHA_COMB,"&lt;="&amp;CX$3,CLAVE_COMB,$A129)+SUMIFS(SALIDAS_DES,FECHA_DESGLOSEN,"&gt;="&amp;CX$2,FECHA_DESGLOSEN,"&lt;="&amp;CX$3,CLAVE_DESGLOSE,$A129)</f>
        <v>0</v>
      </c>
      <c r="CY129" s="13">
        <f>SUMIFS(SALIDAS_BIT,FECHA_BIT,"&gt;="&amp;CY$2,FECHA_BIT,"&lt;="&amp;CY$3,CLAVE_BIT,$A129)+SUMIFS(SALIDAS_BOV1,FECHA_BOV1,"&gt;="&amp;CY$2,FECHA_BOV1,"&lt;="&amp;CY$3,CLAVE_BOV1,$A129)+SUMIFS(SALIDAS_BOV2,FECHA_BOV2,"&gt;="&amp;CY$2,FECHA_BOV2,"&lt;="&amp;CY$3,CLAVE_BOV2,$A129)+SUMIFS(SALIDAS_BOV3,FECHA_BOV3,"&gt;="&amp;CY$2,FECHA_BOV3,"&lt;="&amp;CY$3,CLAVE_BOV3,$A129)+SUMIFS(SALIDAS_TC,FECHA_TC,"&gt;="&amp;CY$2,FECHA_TC,"&lt;="&amp;CY$3,CLAVE_TC,$A129)+SUMIFS(SALIDAS_COMB,FECHA_COMB,"&gt;="&amp;CY$2,FECHA_COMB,"&lt;="&amp;CY$3,CLAVE_COMB,$A129)+SUMIFS(SALIDAS_DES,FECHA_DESGLOSEN,"&gt;="&amp;CY$2,FECHA_DESGLOSEN,"&lt;="&amp;CY$3,CLAVE_DESGLOSE,$A129)</f>
        <v>0</v>
      </c>
      <c r="CZ129" s="68">
        <f t="shared" si="175"/>
        <v>0</v>
      </c>
      <c r="DB129" s="17">
        <f>F129+N129+W129+AE129+AM129+AV129+BD129+BL129+BU129+CC129+CK129</f>
        <v>37398</v>
      </c>
      <c r="DC129" s="17">
        <f>K129+T129+AB129+AJ129+AS129+BA129+BI129+BR129+BZ129+CH129+CQ129</f>
        <v>39276</v>
      </c>
    </row>
    <row r="130" spans="1:107" hidden="1">
      <c r="A130" s="12" t="str">
        <f t="shared" si="148"/>
        <v>CAPENERGIA ELECTRICAE4</v>
      </c>
      <c r="B130" s="12">
        <v>132</v>
      </c>
      <c r="C130" t="s">
        <v>31</v>
      </c>
      <c r="D130" s="404" t="s">
        <v>87</v>
      </c>
      <c r="E130" s="404" t="s">
        <v>110</v>
      </c>
      <c r="F130" s="259">
        <f t="shared" si="141"/>
        <v>9210</v>
      </c>
      <c r="G130" s="13">
        <f t="shared" si="229"/>
        <v>0</v>
      </c>
      <c r="H130" s="13">
        <f t="shared" si="229"/>
        <v>0</v>
      </c>
      <c r="I130" s="13">
        <f t="shared" si="229"/>
        <v>7748</v>
      </c>
      <c r="J130" s="13">
        <f t="shared" si="229"/>
        <v>0</v>
      </c>
      <c r="K130" s="13">
        <f t="shared" si="229"/>
        <v>7748</v>
      </c>
      <c r="L130" s="68">
        <f t="shared" si="149"/>
        <v>1462</v>
      </c>
      <c r="M130" s="268">
        <f t="shared" si="150"/>
        <v>0.84125950054288812</v>
      </c>
      <c r="N130" s="13">
        <f t="shared" si="142"/>
        <v>0</v>
      </c>
      <c r="O130" s="13">
        <f t="shared" si="230"/>
        <v>0</v>
      </c>
      <c r="P130" s="13">
        <f t="shared" si="230"/>
        <v>0</v>
      </c>
      <c r="Q130" s="13">
        <f t="shared" si="230"/>
        <v>0</v>
      </c>
      <c r="R130" s="13">
        <f t="shared" si="230"/>
        <v>0</v>
      </c>
      <c r="S130" s="13">
        <f t="shared" si="230"/>
        <v>0</v>
      </c>
      <c r="T130" s="13">
        <f t="shared" si="230"/>
        <v>0</v>
      </c>
      <c r="U130" s="68">
        <f t="shared" si="151"/>
        <v>0</v>
      </c>
      <c r="V130" s="268">
        <f t="shared" si="152"/>
        <v>0</v>
      </c>
      <c r="W130" s="13">
        <f t="shared" si="143"/>
        <v>9510</v>
      </c>
      <c r="X130" s="13">
        <f t="shared" si="231"/>
        <v>0</v>
      </c>
      <c r="Y130" s="13">
        <f t="shared" si="231"/>
        <v>8432</v>
      </c>
      <c r="Z130" s="13">
        <f t="shared" si="231"/>
        <v>0</v>
      </c>
      <c r="AA130" s="13">
        <f t="shared" si="231"/>
        <v>0</v>
      </c>
      <c r="AB130" s="13">
        <f t="shared" si="231"/>
        <v>8432</v>
      </c>
      <c r="AC130" s="68">
        <f t="shared" si="153"/>
        <v>1078</v>
      </c>
      <c r="AD130" s="268">
        <f t="shared" si="154"/>
        <v>0.88664563617245007</v>
      </c>
      <c r="AE130" s="13">
        <f t="shared" si="144"/>
        <v>0</v>
      </c>
      <c r="AF130" s="13">
        <f t="shared" si="232"/>
        <v>0</v>
      </c>
      <c r="AG130" s="13">
        <f t="shared" si="232"/>
        <v>0</v>
      </c>
      <c r="AH130" s="13">
        <f t="shared" si="232"/>
        <v>0</v>
      </c>
      <c r="AI130" s="13">
        <f t="shared" si="232"/>
        <v>0</v>
      </c>
      <c r="AJ130" s="13">
        <f t="shared" si="232"/>
        <v>0</v>
      </c>
      <c r="AK130" s="68">
        <f t="shared" si="155"/>
        <v>0</v>
      </c>
      <c r="AL130" s="268">
        <f t="shared" si="156"/>
        <v>0</v>
      </c>
      <c r="AM130" s="13">
        <f t="shared" si="145"/>
        <v>8401</v>
      </c>
      <c r="AN130" s="13">
        <f t="shared" si="233"/>
        <v>0</v>
      </c>
      <c r="AO130" s="13">
        <f t="shared" si="233"/>
        <v>0</v>
      </c>
      <c r="AP130" s="13">
        <f t="shared" si="233"/>
        <v>7916</v>
      </c>
      <c r="AQ130" s="13">
        <f t="shared" si="233"/>
        <v>0</v>
      </c>
      <c r="AR130" s="13">
        <f t="shared" si="233"/>
        <v>0</v>
      </c>
      <c r="AS130" s="13">
        <f t="shared" si="233"/>
        <v>7916</v>
      </c>
      <c r="AT130" s="68">
        <f>AM130-AS130</f>
        <v>485</v>
      </c>
      <c r="AU130" s="268">
        <f t="shared" si="157"/>
        <v>0.94226877752648497</v>
      </c>
      <c r="AV130" s="13">
        <f t="shared" si="146"/>
        <v>0</v>
      </c>
      <c r="AW130" s="13">
        <f t="shared" si="222"/>
        <v>0</v>
      </c>
      <c r="AX130" s="13">
        <f t="shared" si="222"/>
        <v>0</v>
      </c>
      <c r="AY130" s="13">
        <f t="shared" si="222"/>
        <v>0</v>
      </c>
      <c r="AZ130" s="13">
        <f t="shared" si="222"/>
        <v>0</v>
      </c>
      <c r="BA130" s="13">
        <f t="shared" si="223"/>
        <v>0</v>
      </c>
      <c r="BB130" s="68">
        <f t="shared" si="158"/>
        <v>0</v>
      </c>
      <c r="BC130" s="268">
        <f t="shared" si="159"/>
        <v>0</v>
      </c>
      <c r="BD130" s="13">
        <f t="shared" si="160"/>
        <v>8828</v>
      </c>
      <c r="BE130" s="13">
        <f>SUMIFS(SALIDAS_BIT,FECHA_BIT,"&gt;="&amp;BE$2,FECHA_BIT,"&lt;="&amp;BE$3,CLAVE_BIT,$A130)+SUMIFS(SALIDAS_BOV1,FECHA_BOV1,"&gt;="&amp;BE$2,FECHA_BOV1,"&lt;="&amp;BE$3,CLAVE_BOV1,$A130)+SUMIFS(SALIDAS_BOV2,FECHA_BOV2,"&gt;="&amp;BE$2,FECHA_BOV2,"&lt;="&amp;BE$3,CLAVE_BOV2,$A130)+SUMIFS(SALIDAS_BOV3,FECHA_BOV3,"&gt;="&amp;BE$2,FECHA_BOV3,"&lt;="&amp;BE$3,CLAVE_BOV3,$A130)+SUMIFS(SALIDAS_TC,FECHA_TC,"&gt;="&amp;BE$2,FECHA_TC,"&lt;="&amp;BE$3,CLAVE_TC,$A130)+SUMIFS(SALIDAS_COMB,FECHA_COMB,"&gt;="&amp;BE$2,FECHA_COMB,"&lt;="&amp;BE$3,CLAVE_COMB,$A130)+SUMIFS(SALIDAS_DES,FECHA_DESGLOSEN,"&gt;="&amp;BE$2,FECHA_DESGLOSEN,"&lt;="&amp;BE$3,CLAVE_DESGLOSE,$A130)</f>
        <v>0</v>
      </c>
      <c r="BF130" s="13">
        <f>SUMIFS(SALIDAS_BIT,FECHA_BIT,"&gt;="&amp;BF$2,FECHA_BIT,"&lt;="&amp;BF$3,CLAVE_BIT,$A130)+SUMIFS(SALIDAS_BOV1,FECHA_BOV1,"&gt;="&amp;BF$2,FECHA_BOV1,"&lt;="&amp;BF$3,CLAVE_BOV1,$A130)+SUMIFS(SALIDAS_BOV2,FECHA_BOV2,"&gt;="&amp;BF$2,FECHA_BOV2,"&lt;="&amp;BF$3,CLAVE_BOV2,$A130)+SUMIFS(SALIDAS_BOV3,FECHA_BOV3,"&gt;="&amp;BF$2,FECHA_BOV3,"&lt;="&amp;BF$3,CLAVE_BOV3,$A130)+SUMIFS(SALIDAS_TC,FECHA_TC,"&gt;="&amp;BF$2,FECHA_TC,"&lt;="&amp;BF$3,CLAVE_TC,$A130)+SUMIFS(SALIDAS_COMB,FECHA_COMB,"&gt;="&amp;BF$2,FECHA_COMB,"&lt;="&amp;BF$3,CLAVE_COMB,$A130)+SUMIFS(SALIDAS_DES,FECHA_DESGLOSEN,"&gt;="&amp;BF$2,FECHA_DESGLOSEN,"&lt;="&amp;BF$3,CLAVE_DESGLOSE,$A130)</f>
        <v>0</v>
      </c>
      <c r="BG130" s="13">
        <f>SUMIFS(SALIDAS_BIT,FECHA_BIT,"&gt;="&amp;BG$2,FECHA_BIT,"&lt;="&amp;BG$3,CLAVE_BIT,$A130)+SUMIFS(SALIDAS_BOV1,FECHA_BOV1,"&gt;="&amp;BG$2,FECHA_BOV1,"&lt;="&amp;BG$3,CLAVE_BOV1,$A130)+SUMIFS(SALIDAS_BOV2,FECHA_BOV2,"&gt;="&amp;BG$2,FECHA_BOV2,"&lt;="&amp;BG$3,CLAVE_BOV2,$A130)+SUMIFS(SALIDAS_BOV3,FECHA_BOV3,"&gt;="&amp;BG$2,FECHA_BOV3,"&lt;="&amp;BG$3,CLAVE_BOV3,$A130)+SUMIFS(SALIDAS_TC,FECHA_TC,"&gt;="&amp;BG$2,FECHA_TC,"&lt;="&amp;BG$3,CLAVE_TC,$A130)+SUMIFS(SALIDAS_COMB,FECHA_COMB,"&gt;="&amp;BG$2,FECHA_COMB,"&lt;="&amp;BG$3,CLAVE_COMB,$A130)+SUMIFS(SALIDAS_DES,FECHA_DESGLOSEN,"&gt;="&amp;BG$2,FECHA_DESGLOSEN,"&lt;="&amp;BG$3,CLAVE_DESGLOSE,$A130)</f>
        <v>8215</v>
      </c>
      <c r="BH130" s="13">
        <f>SUMIFS(SALIDAS_BIT,FECHA_BIT,"&gt;="&amp;BH$2,FECHA_BIT,"&lt;="&amp;BH$3,CLAVE_BIT,$A130)+SUMIFS(SALIDAS_BOV1,FECHA_BOV1,"&gt;="&amp;BH$2,FECHA_BOV1,"&lt;="&amp;BH$3,CLAVE_BOV1,$A130)+SUMIFS(SALIDAS_BOV2,FECHA_BOV2,"&gt;="&amp;BH$2,FECHA_BOV2,"&lt;="&amp;BH$3,CLAVE_BOV2,$A130)+SUMIFS(SALIDAS_BOV3,FECHA_BOV3,"&gt;="&amp;BH$2,FECHA_BOV3,"&lt;="&amp;BH$3,CLAVE_BOV3,$A130)+SUMIFS(SALIDAS_TC,FECHA_TC,"&gt;="&amp;BH$2,FECHA_TC,"&lt;="&amp;BH$3,CLAVE_TC,$A130)+SUMIFS(SALIDAS_COMB,FECHA_COMB,"&gt;="&amp;BH$2,FECHA_COMB,"&lt;="&amp;BH$3,CLAVE_COMB,$A130)+SUMIFS(SALIDAS_DES,FECHA_DESGLOSEN,"&gt;="&amp;BH$2,FECHA_DESGLOSEN,"&lt;="&amp;BH$3,CLAVE_DESGLOSE,$A130)</f>
        <v>0</v>
      </c>
      <c r="BI130" s="13">
        <f t="shared" si="215"/>
        <v>8215</v>
      </c>
      <c r="BJ130" s="68">
        <f t="shared" si="161"/>
        <v>613</v>
      </c>
      <c r="BK130" s="268">
        <f t="shared" si="162"/>
        <v>0.9305618486633439</v>
      </c>
      <c r="BL130" s="13">
        <f t="shared" si="163"/>
        <v>0</v>
      </c>
      <c r="BM130" s="13">
        <f>SUMIFS(SALIDAS_BIT,FECHA_BIT,"&gt;="&amp;BM$2,FECHA_BIT,"&lt;="&amp;BM$3,CLAVE_BIT,$A130)+SUMIFS(SALIDAS_BOV1,FECHA_BOV1,"&gt;="&amp;BM$2,FECHA_BOV1,"&lt;="&amp;BM$3,CLAVE_BOV1,$A130)+SUMIFS(SALIDAS_BOV2,FECHA_BOV2,"&gt;="&amp;BM$2,FECHA_BOV2,"&lt;="&amp;BM$3,CLAVE_BOV2,$A130)+SUMIFS(SALIDAS_BOV3,FECHA_BOV3,"&gt;="&amp;BM$2,FECHA_BOV3,"&lt;="&amp;BM$3,CLAVE_BOV3,$A130)+SUMIFS(SALIDAS_TC,FECHA_TC,"&gt;="&amp;BM$2,FECHA_TC,"&lt;="&amp;BM$3,CLAVE_TC,$A130)+SUMIFS(SALIDAS_COMB,FECHA_COMB,"&gt;="&amp;BM$2,FECHA_COMB,"&lt;="&amp;BM$3,CLAVE_COMB,$A130)+SUMIFS(SALIDAS_DES,FECHA_DESGLOSEN,"&gt;="&amp;BM$2,FECHA_DESGLOSEN,"&lt;="&amp;BM$3,CLAVE_DESGLOSE,$A130)</f>
        <v>0</v>
      </c>
      <c r="BN130" s="13">
        <f>SUMIFS(SALIDAS_BIT,FECHA_BIT,"&gt;="&amp;BN$2,FECHA_BIT,"&lt;="&amp;BN$3,CLAVE_BIT,$A130)+SUMIFS(SALIDAS_BOV1,FECHA_BOV1,"&gt;="&amp;BN$2,FECHA_BOV1,"&lt;="&amp;BN$3,CLAVE_BOV1,$A130)+SUMIFS(SALIDAS_BOV2,FECHA_BOV2,"&gt;="&amp;BN$2,FECHA_BOV2,"&lt;="&amp;BN$3,CLAVE_BOV2,$A130)+SUMIFS(SALIDAS_BOV3,FECHA_BOV3,"&gt;="&amp;BN$2,FECHA_BOV3,"&lt;="&amp;BN$3,CLAVE_BOV3,$A130)+SUMIFS(SALIDAS_TC,FECHA_TC,"&gt;="&amp;BN$2,FECHA_TC,"&lt;="&amp;BN$3,CLAVE_TC,$A130)+SUMIFS(SALIDAS_COMB,FECHA_COMB,"&gt;="&amp;BN$2,FECHA_COMB,"&lt;="&amp;BN$3,CLAVE_COMB,$A130)+SUMIFS(SALIDAS_DES,FECHA_DESGLOSEN,"&gt;="&amp;BN$2,FECHA_DESGLOSEN,"&lt;="&amp;BN$3,CLAVE_DESGLOSE,$A130)</f>
        <v>0</v>
      </c>
      <c r="BO130" s="13">
        <f>SUMIFS(SALIDAS_BIT,FECHA_BIT,"&gt;="&amp;BO$2,FECHA_BIT,"&lt;="&amp;BO$3,CLAVE_BIT,$A130)+SUMIFS(SALIDAS_BOV1,FECHA_BOV1,"&gt;="&amp;BO$2,FECHA_BOV1,"&lt;="&amp;BO$3,CLAVE_BOV1,$A130)+SUMIFS(SALIDAS_BOV2,FECHA_BOV2,"&gt;="&amp;BO$2,FECHA_BOV2,"&lt;="&amp;BO$3,CLAVE_BOV2,$A130)+SUMIFS(SALIDAS_BOV3,FECHA_BOV3,"&gt;="&amp;BO$2,FECHA_BOV3,"&lt;="&amp;BO$3,CLAVE_BOV3,$A130)+SUMIFS(SALIDAS_TC,FECHA_TC,"&gt;="&amp;BO$2,FECHA_TC,"&lt;="&amp;BO$3,CLAVE_TC,$A130)+SUMIFS(SALIDAS_COMB,FECHA_COMB,"&gt;="&amp;BO$2,FECHA_COMB,"&lt;="&amp;BO$3,CLAVE_COMB,$A130)+SUMIFS(SALIDAS_DES,FECHA_DESGLOSEN,"&gt;="&amp;BO$2,FECHA_DESGLOSEN,"&lt;="&amp;BO$3,CLAVE_DESGLOSE,$A130)</f>
        <v>0</v>
      </c>
      <c r="BP130" s="13">
        <f>SUMIFS(SALIDAS_BIT,FECHA_BIT,"&gt;="&amp;BP$2,FECHA_BIT,"&lt;="&amp;BP$3,CLAVE_BIT,$A130)+SUMIFS(SALIDAS_BOV1,FECHA_BOV1,"&gt;="&amp;BP$2,FECHA_BOV1,"&lt;="&amp;BP$3,CLAVE_BOV1,$A130)+SUMIFS(SALIDAS_BOV2,FECHA_BOV2,"&gt;="&amp;BP$2,FECHA_BOV2,"&lt;="&amp;BP$3,CLAVE_BOV2,$A130)+SUMIFS(SALIDAS_BOV3,FECHA_BOV3,"&gt;="&amp;BP$2,FECHA_BOV3,"&lt;="&amp;BP$3,CLAVE_BOV3,$A130)+SUMIFS(SALIDAS_TC,FECHA_TC,"&gt;="&amp;BP$2,FECHA_TC,"&lt;="&amp;BP$3,CLAVE_TC,$A130)+SUMIFS(SALIDAS_COMB,FECHA_COMB,"&gt;="&amp;BP$2,FECHA_COMB,"&lt;="&amp;BP$3,CLAVE_COMB,$A130)+SUMIFS(SALIDAS_DES,FECHA_DESGLOSEN,"&gt;="&amp;BP$2,FECHA_DESGLOSEN,"&lt;="&amp;BP$3,CLAVE_DESGLOSE,$A130)</f>
        <v>0</v>
      </c>
      <c r="BQ130" s="13">
        <f>SUMIFS(SALIDAS_BIT,FECHA_BIT,"&gt;="&amp;BQ$2,FECHA_BIT,"&lt;="&amp;BQ$3,CLAVE_BIT,$A130)+SUMIFS(SALIDAS_BOV1,FECHA_BOV1,"&gt;="&amp;BQ$2,FECHA_BOV1,"&lt;="&amp;BQ$3,CLAVE_BOV1,$A130)+SUMIFS(SALIDAS_BOV2,FECHA_BOV2,"&gt;="&amp;BQ$2,FECHA_BOV2,"&lt;="&amp;BQ$3,CLAVE_BOV2,$A130)+SUMIFS(SALIDAS_BOV3,FECHA_BOV3,"&gt;="&amp;BQ$2,FECHA_BOV3,"&lt;="&amp;BQ$3,CLAVE_BOV3,$A130)+SUMIFS(SALIDAS_TC,FECHA_TC,"&gt;="&amp;BQ$2,FECHA_TC,"&lt;="&amp;BQ$3,CLAVE_TC,$A130)+SUMIFS(SALIDAS_COMB,FECHA_COMB,"&gt;="&amp;BQ$2,FECHA_COMB,"&lt;="&amp;BQ$3,CLAVE_COMB,$A130)+SUMIFS(SALIDAS_DES,FECHA_DESGLOSEN,"&gt;="&amp;BQ$2,FECHA_DESGLOSEN,"&lt;="&amp;BQ$3,CLAVE_DESGLOSE,$A130)</f>
        <v>0</v>
      </c>
      <c r="BR130" s="13">
        <f t="shared" si="234"/>
        <v>0</v>
      </c>
      <c r="BS130" s="68">
        <f t="shared" si="164"/>
        <v>0</v>
      </c>
      <c r="BT130" s="268">
        <f t="shared" si="165"/>
        <v>0</v>
      </c>
      <c r="BU130" s="13">
        <f t="shared" si="166"/>
        <v>6032</v>
      </c>
      <c r="BV130" s="13">
        <f t="shared" si="186"/>
        <v>0</v>
      </c>
      <c r="BW130" s="13">
        <f t="shared" si="186"/>
        <v>0</v>
      </c>
      <c r="BX130" s="13">
        <f t="shared" si="186"/>
        <v>8811</v>
      </c>
      <c r="BY130" s="13">
        <f t="shared" si="186"/>
        <v>0</v>
      </c>
      <c r="BZ130" s="13">
        <f t="shared" si="235"/>
        <v>8811</v>
      </c>
      <c r="CA130" s="68">
        <f t="shared" si="167"/>
        <v>-2779</v>
      </c>
      <c r="CB130" s="268">
        <f t="shared" si="168"/>
        <v>1.460709549071618</v>
      </c>
      <c r="CC130" s="13">
        <f t="shared" si="169"/>
        <v>0</v>
      </c>
      <c r="CD130" s="13">
        <f t="shared" si="187"/>
        <v>0</v>
      </c>
      <c r="CE130" s="13">
        <f t="shared" si="187"/>
        <v>0</v>
      </c>
      <c r="CF130" s="13">
        <f t="shared" si="187"/>
        <v>0</v>
      </c>
      <c r="CG130" s="13">
        <f t="shared" si="187"/>
        <v>0</v>
      </c>
      <c r="CH130" s="13">
        <f t="shared" si="236"/>
        <v>0</v>
      </c>
      <c r="CI130" s="68">
        <f t="shared" si="170"/>
        <v>0</v>
      </c>
      <c r="CJ130" s="268">
        <f t="shared" si="171"/>
        <v>0</v>
      </c>
      <c r="CK130" s="13">
        <f t="shared" si="172"/>
        <v>7343</v>
      </c>
      <c r="CL130" s="13">
        <f t="shared" si="228"/>
        <v>0</v>
      </c>
      <c r="CM130" s="13">
        <f t="shared" si="228"/>
        <v>0</v>
      </c>
      <c r="CN130" s="13">
        <f t="shared" si="228"/>
        <v>8595</v>
      </c>
      <c r="CO130" s="13">
        <f t="shared" si="228"/>
        <v>0</v>
      </c>
      <c r="CP130" s="13">
        <f t="shared" si="228"/>
        <v>0</v>
      </c>
      <c r="CQ130" s="13">
        <f t="shared" si="237"/>
        <v>8595</v>
      </c>
      <c r="CR130" s="68">
        <f t="shared" si="173"/>
        <v>-1252</v>
      </c>
      <c r="CS130" s="268">
        <f t="shared" si="174"/>
        <v>1.1705025194062373</v>
      </c>
      <c r="CT130" s="68">
        <f t="shared" si="147"/>
        <v>0</v>
      </c>
      <c r="CU130" s="13">
        <f>SUMIFS(SALIDAS_BIT,FECHA_BIT,"&gt;="&amp;CU$2,FECHA_BIT,"&lt;="&amp;CU$3,CLAVE_BIT,$A130)+SUMIFS(SALIDAS_BOV1,FECHA_BOV1,"&gt;="&amp;CU$2,FECHA_BOV1,"&lt;="&amp;CU$3,CLAVE_BOV1,$A130)+SUMIFS(SALIDAS_BOV2,FECHA_BOV2,"&gt;="&amp;CU$2,FECHA_BOV2,"&lt;="&amp;CU$3,CLAVE_BOV2,$A130)+SUMIFS(SALIDAS_BOV3,FECHA_BOV3,"&gt;="&amp;CU$2,FECHA_BOV3,"&lt;="&amp;CU$3,CLAVE_BOV3,$A130)+SUMIFS(SALIDAS_TC,FECHA_TC,"&gt;="&amp;CU$2,FECHA_TC,"&lt;="&amp;CU$3,CLAVE_TC,$A130)+SUMIFS(SALIDAS_COMB,FECHA_COMB,"&gt;="&amp;CU$2,FECHA_COMB,"&lt;="&amp;CU$3,CLAVE_COMB,$A130)+SUMIFS(SALIDAS_DES,FECHA_DESGLOSEN,"&gt;="&amp;CU$2,FECHA_DESGLOSEN,"&lt;="&amp;CU$3,CLAVE_DESGLOSE,$A130)</f>
        <v>0</v>
      </c>
      <c r="CV130" s="13">
        <f>SUMIFS(SALIDAS_BIT,FECHA_BIT,"&gt;="&amp;CV$2,FECHA_BIT,"&lt;="&amp;CV$3,CLAVE_BIT,$A130)+SUMIFS(SALIDAS_BOV1,FECHA_BOV1,"&gt;="&amp;CV$2,FECHA_BOV1,"&lt;="&amp;CV$3,CLAVE_BOV1,$A130)+SUMIFS(SALIDAS_BOV2,FECHA_BOV2,"&gt;="&amp;CV$2,FECHA_BOV2,"&lt;="&amp;CV$3,CLAVE_BOV2,$A130)+SUMIFS(SALIDAS_BOV3,FECHA_BOV3,"&gt;="&amp;CV$2,FECHA_BOV3,"&lt;="&amp;CV$3,CLAVE_BOV3,$A130)+SUMIFS(SALIDAS_TC,FECHA_TC,"&gt;="&amp;CV$2,FECHA_TC,"&lt;="&amp;CV$3,CLAVE_TC,$A130)+SUMIFS(SALIDAS_COMB,FECHA_COMB,"&gt;="&amp;CV$2,FECHA_COMB,"&lt;="&amp;CV$3,CLAVE_COMB,$A130)+SUMIFS(SALIDAS_DES,FECHA_DESGLOSEN,"&gt;="&amp;CV$2,FECHA_DESGLOSEN,"&lt;="&amp;CV$3,CLAVE_DESGLOSE,$A130)</f>
        <v>0</v>
      </c>
      <c r="CW130" s="13">
        <f>SUMIFS(SALIDAS_BIT,FECHA_BIT,"&gt;="&amp;CW$2,FECHA_BIT,"&lt;="&amp;CW$3,CLAVE_BIT,$A130)+SUMIFS(SALIDAS_BOV1,FECHA_BOV1,"&gt;="&amp;CW$2,FECHA_BOV1,"&lt;="&amp;CW$3,CLAVE_BOV1,$A130)+SUMIFS(SALIDAS_BOV2,FECHA_BOV2,"&gt;="&amp;CW$2,FECHA_BOV2,"&lt;="&amp;CW$3,CLAVE_BOV2,$A130)+SUMIFS(SALIDAS_BOV3,FECHA_BOV3,"&gt;="&amp;CW$2,FECHA_BOV3,"&lt;="&amp;CW$3,CLAVE_BOV3,$A130)+SUMIFS(SALIDAS_TC,FECHA_TC,"&gt;="&amp;CW$2,FECHA_TC,"&lt;="&amp;CW$3,CLAVE_TC,$A130)+SUMIFS(SALIDAS_COMB,FECHA_COMB,"&gt;="&amp;CW$2,FECHA_COMB,"&lt;="&amp;CW$3,CLAVE_COMB,$A130)+SUMIFS(SALIDAS_DES,FECHA_DESGLOSEN,"&gt;="&amp;CW$2,FECHA_DESGLOSEN,"&lt;="&amp;CW$3,CLAVE_DESGLOSE,$A130)</f>
        <v>0</v>
      </c>
      <c r="CX130" s="13">
        <f>SUMIFS(SALIDAS_BIT,FECHA_BIT,"&gt;="&amp;CX$2,FECHA_BIT,"&lt;="&amp;CX$3,CLAVE_BIT,$A130)+SUMIFS(SALIDAS_BOV1,FECHA_BOV1,"&gt;="&amp;CX$2,FECHA_BOV1,"&lt;="&amp;CX$3,CLAVE_BOV1,$A130)+SUMIFS(SALIDAS_BOV2,FECHA_BOV2,"&gt;="&amp;CX$2,FECHA_BOV2,"&lt;="&amp;CX$3,CLAVE_BOV2,$A130)+SUMIFS(SALIDAS_BOV3,FECHA_BOV3,"&gt;="&amp;CX$2,FECHA_BOV3,"&lt;="&amp;CX$3,CLAVE_BOV3,$A130)+SUMIFS(SALIDAS_TC,FECHA_TC,"&gt;="&amp;CX$2,FECHA_TC,"&lt;="&amp;CX$3,CLAVE_TC,$A130)+SUMIFS(SALIDAS_COMB,FECHA_COMB,"&gt;="&amp;CX$2,FECHA_COMB,"&lt;="&amp;CX$3,CLAVE_COMB,$A130)+SUMIFS(SALIDAS_DES,FECHA_DESGLOSEN,"&gt;="&amp;CX$2,FECHA_DESGLOSEN,"&lt;="&amp;CX$3,CLAVE_DESGLOSE,$A130)</f>
        <v>0</v>
      </c>
      <c r="CY130" s="13">
        <f>SUMIFS(SALIDAS_BIT,FECHA_BIT,"&gt;="&amp;CY$2,FECHA_BIT,"&lt;="&amp;CY$3,CLAVE_BIT,$A130)+SUMIFS(SALIDAS_BOV1,FECHA_BOV1,"&gt;="&amp;CY$2,FECHA_BOV1,"&lt;="&amp;CY$3,CLAVE_BOV1,$A130)+SUMIFS(SALIDAS_BOV2,FECHA_BOV2,"&gt;="&amp;CY$2,FECHA_BOV2,"&lt;="&amp;CY$3,CLAVE_BOV2,$A130)+SUMIFS(SALIDAS_BOV3,FECHA_BOV3,"&gt;="&amp;CY$2,FECHA_BOV3,"&lt;="&amp;CY$3,CLAVE_BOV3,$A130)+SUMIFS(SALIDAS_TC,FECHA_TC,"&gt;="&amp;CY$2,FECHA_TC,"&lt;="&amp;CY$3,CLAVE_TC,$A130)+SUMIFS(SALIDAS_COMB,FECHA_COMB,"&gt;="&amp;CY$2,FECHA_COMB,"&lt;="&amp;CY$3,CLAVE_COMB,$A130)+SUMIFS(SALIDAS_DES,FECHA_DESGLOSEN,"&gt;="&amp;CY$2,FECHA_DESGLOSEN,"&lt;="&amp;CY$3,CLAVE_DESGLOSE,$A130)</f>
        <v>0</v>
      </c>
      <c r="CZ130" s="68">
        <f t="shared" si="175"/>
        <v>0</v>
      </c>
      <c r="DB130" s="17">
        <f>F130+N130+W130+AE130+AM130+AV130+BD130+BL130+BU130+CC130+CK130</f>
        <v>49324</v>
      </c>
      <c r="DC130" s="17">
        <f>K130+T130+AB130+AJ130+AS130+BA130+BI130+BR130+BZ130+CH130+CQ130</f>
        <v>49717</v>
      </c>
    </row>
    <row r="131" spans="1:107" hidden="1">
      <c r="A131" s="12" t="str">
        <f t="shared" si="148"/>
        <v>CAPENERGIA ELECTRICAE5</v>
      </c>
      <c r="B131" s="12">
        <v>133</v>
      </c>
      <c r="C131" t="s">
        <v>31</v>
      </c>
      <c r="D131" s="404" t="s">
        <v>87</v>
      </c>
      <c r="E131" s="404" t="s">
        <v>111</v>
      </c>
      <c r="F131" s="259">
        <f t="shared" si="141"/>
        <v>26903</v>
      </c>
      <c r="G131" s="13">
        <f t="shared" si="229"/>
        <v>0</v>
      </c>
      <c r="H131" s="13">
        <f t="shared" si="229"/>
        <v>0</v>
      </c>
      <c r="I131" s="13">
        <f t="shared" si="229"/>
        <v>22165</v>
      </c>
      <c r="J131" s="13">
        <f t="shared" si="229"/>
        <v>0</v>
      </c>
      <c r="K131" s="13">
        <f t="shared" si="229"/>
        <v>22165</v>
      </c>
      <c r="L131" s="68">
        <f t="shared" si="149"/>
        <v>4738</v>
      </c>
      <c r="M131" s="268">
        <f t="shared" si="150"/>
        <v>0.82388581199122779</v>
      </c>
      <c r="N131" s="13">
        <f t="shared" si="142"/>
        <v>0</v>
      </c>
      <c r="O131" s="13">
        <f t="shared" si="230"/>
        <v>0</v>
      </c>
      <c r="P131" s="13">
        <f t="shared" si="230"/>
        <v>0</v>
      </c>
      <c r="Q131" s="13">
        <f t="shared" si="230"/>
        <v>0</v>
      </c>
      <c r="R131" s="13">
        <f t="shared" si="230"/>
        <v>0</v>
      </c>
      <c r="S131" s="13">
        <f t="shared" si="230"/>
        <v>0</v>
      </c>
      <c r="T131" s="13">
        <f t="shared" si="230"/>
        <v>0</v>
      </c>
      <c r="U131" s="68">
        <f t="shared" si="151"/>
        <v>0</v>
      </c>
      <c r="V131" s="268">
        <f t="shared" si="152"/>
        <v>0</v>
      </c>
      <c r="W131" s="13">
        <f t="shared" si="143"/>
        <v>21129</v>
      </c>
      <c r="X131" s="13">
        <f t="shared" si="231"/>
        <v>0</v>
      </c>
      <c r="Y131" s="13">
        <f t="shared" si="231"/>
        <v>0</v>
      </c>
      <c r="Z131" s="13">
        <f t="shared" si="231"/>
        <v>15036</v>
      </c>
      <c r="AA131" s="13">
        <f t="shared" si="231"/>
        <v>0</v>
      </c>
      <c r="AB131" s="13">
        <f t="shared" si="231"/>
        <v>15036</v>
      </c>
      <c r="AC131" s="68">
        <f t="shared" si="153"/>
        <v>6093</v>
      </c>
      <c r="AD131" s="268">
        <f t="shared" si="154"/>
        <v>0.71162856737185853</v>
      </c>
      <c r="AE131" s="13">
        <f t="shared" si="144"/>
        <v>0</v>
      </c>
      <c r="AF131" s="13">
        <f t="shared" si="232"/>
        <v>0</v>
      </c>
      <c r="AG131" s="13">
        <f t="shared" si="232"/>
        <v>0</v>
      </c>
      <c r="AH131" s="13">
        <f t="shared" si="232"/>
        <v>0</v>
      </c>
      <c r="AI131" s="13">
        <f t="shared" si="232"/>
        <v>0</v>
      </c>
      <c r="AJ131" s="13">
        <f t="shared" si="232"/>
        <v>0</v>
      </c>
      <c r="AK131" s="68">
        <f t="shared" si="155"/>
        <v>0</v>
      </c>
      <c r="AL131" s="268">
        <f t="shared" si="156"/>
        <v>0</v>
      </c>
      <c r="AM131" s="13">
        <f t="shared" si="145"/>
        <v>22408</v>
      </c>
      <c r="AN131" s="13">
        <f t="shared" si="233"/>
        <v>0</v>
      </c>
      <c r="AO131" s="13">
        <f t="shared" si="233"/>
        <v>0</v>
      </c>
      <c r="AP131" s="13">
        <f t="shared" si="233"/>
        <v>18166</v>
      </c>
      <c r="AQ131" s="13">
        <f t="shared" si="233"/>
        <v>0</v>
      </c>
      <c r="AR131" s="13">
        <f t="shared" si="233"/>
        <v>0</v>
      </c>
      <c r="AS131" s="13">
        <f t="shared" si="233"/>
        <v>18166</v>
      </c>
      <c r="AT131" s="68">
        <f>AM131-AS131</f>
        <v>4242</v>
      </c>
      <c r="AU131" s="268">
        <f t="shared" si="157"/>
        <v>0.81069260978222069</v>
      </c>
      <c r="AV131" s="13">
        <f t="shared" si="146"/>
        <v>0</v>
      </c>
      <c r="AW131" s="13">
        <f t="shared" si="222"/>
        <v>0</v>
      </c>
      <c r="AX131" s="13">
        <f t="shared" si="222"/>
        <v>0</v>
      </c>
      <c r="AY131" s="13">
        <f t="shared" si="222"/>
        <v>0</v>
      </c>
      <c r="AZ131" s="13">
        <f t="shared" si="222"/>
        <v>0</v>
      </c>
      <c r="BA131" s="13">
        <f t="shared" si="223"/>
        <v>0</v>
      </c>
      <c r="BB131" s="68">
        <f t="shared" si="158"/>
        <v>0</v>
      </c>
      <c r="BC131" s="268">
        <f t="shared" si="159"/>
        <v>0</v>
      </c>
      <c r="BD131" s="13">
        <f t="shared" si="160"/>
        <v>27911</v>
      </c>
      <c r="BE131" s="13">
        <f>SUMIFS(SALIDAS_BIT,FECHA_BIT,"&gt;="&amp;BE$2,FECHA_BIT,"&lt;="&amp;BE$3,CLAVE_BIT,$A131)+SUMIFS(SALIDAS_BOV1,FECHA_BOV1,"&gt;="&amp;BE$2,FECHA_BOV1,"&lt;="&amp;BE$3,CLAVE_BOV1,$A131)+SUMIFS(SALIDAS_BOV2,FECHA_BOV2,"&gt;="&amp;BE$2,FECHA_BOV2,"&lt;="&amp;BE$3,CLAVE_BOV2,$A131)+SUMIFS(SALIDAS_BOV3,FECHA_BOV3,"&gt;="&amp;BE$2,FECHA_BOV3,"&lt;="&amp;BE$3,CLAVE_BOV3,$A131)+SUMIFS(SALIDAS_TC,FECHA_TC,"&gt;="&amp;BE$2,FECHA_TC,"&lt;="&amp;BE$3,CLAVE_TC,$A131)+SUMIFS(SALIDAS_COMB,FECHA_COMB,"&gt;="&amp;BE$2,FECHA_COMB,"&lt;="&amp;BE$3,CLAVE_COMB,$A131)+SUMIFS(SALIDAS_DES,FECHA_DESGLOSEN,"&gt;="&amp;BE$2,FECHA_DESGLOSEN,"&lt;="&amp;BE$3,CLAVE_DESGLOSE,$A131)</f>
        <v>0</v>
      </c>
      <c r="BF131" s="13">
        <f>SUMIFS(SALIDAS_BIT,FECHA_BIT,"&gt;="&amp;BF$2,FECHA_BIT,"&lt;="&amp;BF$3,CLAVE_BIT,$A131)+SUMIFS(SALIDAS_BOV1,FECHA_BOV1,"&gt;="&amp;BF$2,FECHA_BOV1,"&lt;="&amp;BF$3,CLAVE_BOV1,$A131)+SUMIFS(SALIDAS_BOV2,FECHA_BOV2,"&gt;="&amp;BF$2,FECHA_BOV2,"&lt;="&amp;BF$3,CLAVE_BOV2,$A131)+SUMIFS(SALIDAS_BOV3,FECHA_BOV3,"&gt;="&amp;BF$2,FECHA_BOV3,"&lt;="&amp;BF$3,CLAVE_BOV3,$A131)+SUMIFS(SALIDAS_TC,FECHA_TC,"&gt;="&amp;BF$2,FECHA_TC,"&lt;="&amp;BF$3,CLAVE_TC,$A131)+SUMIFS(SALIDAS_COMB,FECHA_COMB,"&gt;="&amp;BF$2,FECHA_COMB,"&lt;="&amp;BF$3,CLAVE_COMB,$A131)+SUMIFS(SALIDAS_DES,FECHA_DESGLOSEN,"&gt;="&amp;BF$2,FECHA_DESGLOSEN,"&lt;="&amp;BF$3,CLAVE_DESGLOSE,$A131)</f>
        <v>0</v>
      </c>
      <c r="BG131" s="13">
        <f>SUMIFS(SALIDAS_BIT,FECHA_BIT,"&gt;="&amp;BG$2,FECHA_BIT,"&lt;="&amp;BG$3,CLAVE_BIT,$A131)+SUMIFS(SALIDAS_BOV1,FECHA_BOV1,"&gt;="&amp;BG$2,FECHA_BOV1,"&lt;="&amp;BG$3,CLAVE_BOV1,$A131)+SUMIFS(SALIDAS_BOV2,FECHA_BOV2,"&gt;="&amp;BG$2,FECHA_BOV2,"&lt;="&amp;BG$3,CLAVE_BOV2,$A131)+SUMIFS(SALIDAS_BOV3,FECHA_BOV3,"&gt;="&amp;BG$2,FECHA_BOV3,"&lt;="&amp;BG$3,CLAVE_BOV3,$A131)+SUMIFS(SALIDAS_TC,FECHA_TC,"&gt;="&amp;BG$2,FECHA_TC,"&lt;="&amp;BG$3,CLAVE_TC,$A131)+SUMIFS(SALIDAS_COMB,FECHA_COMB,"&gt;="&amp;BG$2,FECHA_COMB,"&lt;="&amp;BG$3,CLAVE_COMB,$A131)+SUMIFS(SALIDAS_DES,FECHA_DESGLOSEN,"&gt;="&amp;BG$2,FECHA_DESGLOSEN,"&lt;="&amp;BG$3,CLAVE_DESGLOSE,$A131)</f>
        <v>14338</v>
      </c>
      <c r="BH131" s="13">
        <f>SUMIFS(SALIDAS_BIT,FECHA_BIT,"&gt;="&amp;BH$2,FECHA_BIT,"&lt;="&amp;BH$3,CLAVE_BIT,$A131)+SUMIFS(SALIDAS_BOV1,FECHA_BOV1,"&gt;="&amp;BH$2,FECHA_BOV1,"&lt;="&amp;BH$3,CLAVE_BOV1,$A131)+SUMIFS(SALIDAS_BOV2,FECHA_BOV2,"&gt;="&amp;BH$2,FECHA_BOV2,"&lt;="&amp;BH$3,CLAVE_BOV2,$A131)+SUMIFS(SALIDAS_BOV3,FECHA_BOV3,"&gt;="&amp;BH$2,FECHA_BOV3,"&lt;="&amp;BH$3,CLAVE_BOV3,$A131)+SUMIFS(SALIDAS_TC,FECHA_TC,"&gt;="&amp;BH$2,FECHA_TC,"&lt;="&amp;BH$3,CLAVE_TC,$A131)+SUMIFS(SALIDAS_COMB,FECHA_COMB,"&gt;="&amp;BH$2,FECHA_COMB,"&lt;="&amp;BH$3,CLAVE_COMB,$A131)+SUMIFS(SALIDAS_DES,FECHA_DESGLOSEN,"&gt;="&amp;BH$2,FECHA_DESGLOSEN,"&lt;="&amp;BH$3,CLAVE_DESGLOSE,$A131)</f>
        <v>0</v>
      </c>
      <c r="BI131" s="13">
        <f t="shared" si="215"/>
        <v>14338</v>
      </c>
      <c r="BJ131" s="68">
        <f t="shared" si="161"/>
        <v>13573</v>
      </c>
      <c r="BK131" s="268">
        <f t="shared" si="162"/>
        <v>0.51370427430045507</v>
      </c>
      <c r="BL131" s="13">
        <f t="shared" si="163"/>
        <v>13970</v>
      </c>
      <c r="BM131" s="13">
        <f>SUMIFS(SALIDAS_BIT,FECHA_BIT,"&gt;="&amp;BM$2,FECHA_BIT,"&lt;="&amp;BM$3,CLAVE_BIT,$A131)+SUMIFS(SALIDAS_BOV1,FECHA_BOV1,"&gt;="&amp;BM$2,FECHA_BOV1,"&lt;="&amp;BM$3,CLAVE_BOV1,$A131)+SUMIFS(SALIDAS_BOV2,FECHA_BOV2,"&gt;="&amp;BM$2,FECHA_BOV2,"&lt;="&amp;BM$3,CLAVE_BOV2,$A131)+SUMIFS(SALIDAS_BOV3,FECHA_BOV3,"&gt;="&amp;BM$2,FECHA_BOV3,"&lt;="&amp;BM$3,CLAVE_BOV3,$A131)+SUMIFS(SALIDAS_TC,FECHA_TC,"&gt;="&amp;BM$2,FECHA_TC,"&lt;="&amp;BM$3,CLAVE_TC,$A131)+SUMIFS(SALIDAS_COMB,FECHA_COMB,"&gt;="&amp;BM$2,FECHA_COMB,"&lt;="&amp;BM$3,CLAVE_COMB,$A131)+SUMIFS(SALIDAS_DES,FECHA_DESGLOSEN,"&gt;="&amp;BM$2,FECHA_DESGLOSEN,"&lt;="&amp;BM$3,CLAVE_DESGLOSE,$A131)</f>
        <v>0</v>
      </c>
      <c r="BN131" s="13">
        <f>SUMIFS(SALIDAS_BIT,FECHA_BIT,"&gt;="&amp;BN$2,FECHA_BIT,"&lt;="&amp;BN$3,CLAVE_BIT,$A131)+SUMIFS(SALIDAS_BOV1,FECHA_BOV1,"&gt;="&amp;BN$2,FECHA_BOV1,"&lt;="&amp;BN$3,CLAVE_BOV1,$A131)+SUMIFS(SALIDAS_BOV2,FECHA_BOV2,"&gt;="&amp;BN$2,FECHA_BOV2,"&lt;="&amp;BN$3,CLAVE_BOV2,$A131)+SUMIFS(SALIDAS_BOV3,FECHA_BOV3,"&gt;="&amp;BN$2,FECHA_BOV3,"&lt;="&amp;BN$3,CLAVE_BOV3,$A131)+SUMIFS(SALIDAS_TC,FECHA_TC,"&gt;="&amp;BN$2,FECHA_TC,"&lt;="&amp;BN$3,CLAVE_TC,$A131)+SUMIFS(SALIDAS_COMB,FECHA_COMB,"&gt;="&amp;BN$2,FECHA_COMB,"&lt;="&amp;BN$3,CLAVE_COMB,$A131)+SUMIFS(SALIDAS_DES,FECHA_DESGLOSEN,"&gt;="&amp;BN$2,FECHA_DESGLOSEN,"&lt;="&amp;BN$3,CLAVE_DESGLOSE,$A131)</f>
        <v>0</v>
      </c>
      <c r="BO131" s="13">
        <f>SUMIFS(SALIDAS_BIT,FECHA_BIT,"&gt;="&amp;BO$2,FECHA_BIT,"&lt;="&amp;BO$3,CLAVE_BIT,$A131)+SUMIFS(SALIDAS_BOV1,FECHA_BOV1,"&gt;="&amp;BO$2,FECHA_BOV1,"&lt;="&amp;BO$3,CLAVE_BOV1,$A131)+SUMIFS(SALIDAS_BOV2,FECHA_BOV2,"&gt;="&amp;BO$2,FECHA_BOV2,"&lt;="&amp;BO$3,CLAVE_BOV2,$A131)+SUMIFS(SALIDAS_BOV3,FECHA_BOV3,"&gt;="&amp;BO$2,FECHA_BOV3,"&lt;="&amp;BO$3,CLAVE_BOV3,$A131)+SUMIFS(SALIDAS_TC,FECHA_TC,"&gt;="&amp;BO$2,FECHA_TC,"&lt;="&amp;BO$3,CLAVE_TC,$A131)+SUMIFS(SALIDAS_COMB,FECHA_COMB,"&gt;="&amp;BO$2,FECHA_COMB,"&lt;="&amp;BO$3,CLAVE_COMB,$A131)+SUMIFS(SALIDAS_DES,FECHA_DESGLOSEN,"&gt;="&amp;BO$2,FECHA_DESGLOSEN,"&lt;="&amp;BO$3,CLAVE_DESGLOSE,$A131)</f>
        <v>0</v>
      </c>
      <c r="BP131" s="13">
        <f>SUMIFS(SALIDAS_BIT,FECHA_BIT,"&gt;="&amp;BP$2,FECHA_BIT,"&lt;="&amp;BP$3,CLAVE_BIT,$A131)+SUMIFS(SALIDAS_BOV1,FECHA_BOV1,"&gt;="&amp;BP$2,FECHA_BOV1,"&lt;="&amp;BP$3,CLAVE_BOV1,$A131)+SUMIFS(SALIDAS_BOV2,FECHA_BOV2,"&gt;="&amp;BP$2,FECHA_BOV2,"&lt;="&amp;BP$3,CLAVE_BOV2,$A131)+SUMIFS(SALIDAS_BOV3,FECHA_BOV3,"&gt;="&amp;BP$2,FECHA_BOV3,"&lt;="&amp;BP$3,CLAVE_BOV3,$A131)+SUMIFS(SALIDAS_TC,FECHA_TC,"&gt;="&amp;BP$2,FECHA_TC,"&lt;="&amp;BP$3,CLAVE_TC,$A131)+SUMIFS(SALIDAS_COMB,FECHA_COMB,"&gt;="&amp;BP$2,FECHA_COMB,"&lt;="&amp;BP$3,CLAVE_COMB,$A131)+SUMIFS(SALIDAS_DES,FECHA_DESGLOSEN,"&gt;="&amp;BP$2,FECHA_DESGLOSEN,"&lt;="&amp;BP$3,CLAVE_DESGLOSE,$A131)</f>
        <v>0</v>
      </c>
      <c r="BQ131" s="13">
        <f>SUMIFS(SALIDAS_BIT,FECHA_BIT,"&gt;="&amp;BQ$2,FECHA_BIT,"&lt;="&amp;BQ$3,CLAVE_BIT,$A131)+SUMIFS(SALIDAS_BOV1,FECHA_BOV1,"&gt;="&amp;BQ$2,FECHA_BOV1,"&lt;="&amp;BQ$3,CLAVE_BOV1,$A131)+SUMIFS(SALIDAS_BOV2,FECHA_BOV2,"&gt;="&amp;BQ$2,FECHA_BOV2,"&lt;="&amp;BQ$3,CLAVE_BOV2,$A131)+SUMIFS(SALIDAS_BOV3,FECHA_BOV3,"&gt;="&amp;BQ$2,FECHA_BOV3,"&lt;="&amp;BQ$3,CLAVE_BOV3,$A131)+SUMIFS(SALIDAS_TC,FECHA_TC,"&gt;="&amp;BQ$2,FECHA_TC,"&lt;="&amp;BQ$3,CLAVE_TC,$A131)+SUMIFS(SALIDAS_COMB,FECHA_COMB,"&gt;="&amp;BQ$2,FECHA_COMB,"&lt;="&amp;BQ$3,CLAVE_COMB,$A131)+SUMIFS(SALIDAS_DES,FECHA_DESGLOSEN,"&gt;="&amp;BQ$2,FECHA_DESGLOSEN,"&lt;="&amp;BQ$3,CLAVE_DESGLOSE,$A131)</f>
        <v>0</v>
      </c>
      <c r="BR131" s="13">
        <f t="shared" si="234"/>
        <v>0</v>
      </c>
      <c r="BS131" s="68">
        <f t="shared" si="164"/>
        <v>13970</v>
      </c>
      <c r="BT131" s="268">
        <f t="shared" si="165"/>
        <v>0</v>
      </c>
      <c r="BU131" s="13">
        <f t="shared" si="166"/>
        <v>13910</v>
      </c>
      <c r="BV131" s="13">
        <f t="shared" si="186"/>
        <v>0</v>
      </c>
      <c r="BW131" s="13">
        <f t="shared" si="186"/>
        <v>0</v>
      </c>
      <c r="BX131" s="13">
        <f t="shared" si="186"/>
        <v>23464</v>
      </c>
      <c r="BY131" s="13">
        <f t="shared" si="186"/>
        <v>0</v>
      </c>
      <c r="BZ131" s="13">
        <f t="shared" si="235"/>
        <v>23464</v>
      </c>
      <c r="CA131" s="68">
        <f t="shared" si="167"/>
        <v>-9554</v>
      </c>
      <c r="CB131" s="268">
        <f t="shared" si="168"/>
        <v>1.6868439971243709</v>
      </c>
      <c r="CC131" s="13">
        <f t="shared" si="169"/>
        <v>0</v>
      </c>
      <c r="CD131" s="13">
        <f t="shared" si="187"/>
        <v>0</v>
      </c>
      <c r="CE131" s="13">
        <f t="shared" si="187"/>
        <v>0</v>
      </c>
      <c r="CF131" s="13">
        <f t="shared" si="187"/>
        <v>0</v>
      </c>
      <c r="CG131" s="13">
        <f t="shared" si="187"/>
        <v>0</v>
      </c>
      <c r="CH131" s="13">
        <f t="shared" si="236"/>
        <v>0</v>
      </c>
      <c r="CI131" s="68">
        <f t="shared" si="170"/>
        <v>0</v>
      </c>
      <c r="CJ131" s="268">
        <f t="shared" si="171"/>
        <v>0</v>
      </c>
      <c r="CK131" s="13">
        <f t="shared" si="172"/>
        <v>10409</v>
      </c>
      <c r="CL131" s="13">
        <f t="shared" si="228"/>
        <v>0</v>
      </c>
      <c r="CM131" s="13">
        <f t="shared" si="228"/>
        <v>0</v>
      </c>
      <c r="CN131" s="13">
        <f t="shared" si="228"/>
        <v>0</v>
      </c>
      <c r="CO131" s="13">
        <f t="shared" si="228"/>
        <v>0</v>
      </c>
      <c r="CP131" s="13">
        <f t="shared" si="228"/>
        <v>15419</v>
      </c>
      <c r="CQ131" s="13">
        <f t="shared" si="237"/>
        <v>15419</v>
      </c>
      <c r="CR131" s="68">
        <f t="shared" si="173"/>
        <v>-5010</v>
      </c>
      <c r="CS131" s="268">
        <f t="shared" si="174"/>
        <v>1.4813142472860026</v>
      </c>
      <c r="CT131" s="68">
        <f t="shared" si="147"/>
        <v>0</v>
      </c>
      <c r="CU131" s="13">
        <f>SUMIFS(SALIDAS_BIT,FECHA_BIT,"&gt;="&amp;CU$2,FECHA_BIT,"&lt;="&amp;CU$3,CLAVE_BIT,$A131)+SUMIFS(SALIDAS_BOV1,FECHA_BOV1,"&gt;="&amp;CU$2,FECHA_BOV1,"&lt;="&amp;CU$3,CLAVE_BOV1,$A131)+SUMIFS(SALIDAS_BOV2,FECHA_BOV2,"&gt;="&amp;CU$2,FECHA_BOV2,"&lt;="&amp;CU$3,CLAVE_BOV2,$A131)+SUMIFS(SALIDAS_BOV3,FECHA_BOV3,"&gt;="&amp;CU$2,FECHA_BOV3,"&lt;="&amp;CU$3,CLAVE_BOV3,$A131)+SUMIFS(SALIDAS_TC,FECHA_TC,"&gt;="&amp;CU$2,FECHA_TC,"&lt;="&amp;CU$3,CLAVE_TC,$A131)+SUMIFS(SALIDAS_COMB,FECHA_COMB,"&gt;="&amp;CU$2,FECHA_COMB,"&lt;="&amp;CU$3,CLAVE_COMB,$A131)+SUMIFS(SALIDAS_DES,FECHA_DESGLOSEN,"&gt;="&amp;CU$2,FECHA_DESGLOSEN,"&lt;="&amp;CU$3,CLAVE_DESGLOSE,$A131)</f>
        <v>0</v>
      </c>
      <c r="CV131" s="13">
        <f>SUMIFS(SALIDAS_BIT,FECHA_BIT,"&gt;="&amp;CV$2,FECHA_BIT,"&lt;="&amp;CV$3,CLAVE_BIT,$A131)+SUMIFS(SALIDAS_BOV1,FECHA_BOV1,"&gt;="&amp;CV$2,FECHA_BOV1,"&lt;="&amp;CV$3,CLAVE_BOV1,$A131)+SUMIFS(SALIDAS_BOV2,FECHA_BOV2,"&gt;="&amp;CV$2,FECHA_BOV2,"&lt;="&amp;CV$3,CLAVE_BOV2,$A131)+SUMIFS(SALIDAS_BOV3,FECHA_BOV3,"&gt;="&amp;CV$2,FECHA_BOV3,"&lt;="&amp;CV$3,CLAVE_BOV3,$A131)+SUMIFS(SALIDAS_TC,FECHA_TC,"&gt;="&amp;CV$2,FECHA_TC,"&lt;="&amp;CV$3,CLAVE_TC,$A131)+SUMIFS(SALIDAS_COMB,FECHA_COMB,"&gt;="&amp;CV$2,FECHA_COMB,"&lt;="&amp;CV$3,CLAVE_COMB,$A131)+SUMIFS(SALIDAS_DES,FECHA_DESGLOSEN,"&gt;="&amp;CV$2,FECHA_DESGLOSEN,"&lt;="&amp;CV$3,CLAVE_DESGLOSE,$A131)</f>
        <v>0</v>
      </c>
      <c r="CW131" s="13">
        <f>SUMIFS(SALIDAS_BIT,FECHA_BIT,"&gt;="&amp;CW$2,FECHA_BIT,"&lt;="&amp;CW$3,CLAVE_BIT,$A131)+SUMIFS(SALIDAS_BOV1,FECHA_BOV1,"&gt;="&amp;CW$2,FECHA_BOV1,"&lt;="&amp;CW$3,CLAVE_BOV1,$A131)+SUMIFS(SALIDAS_BOV2,FECHA_BOV2,"&gt;="&amp;CW$2,FECHA_BOV2,"&lt;="&amp;CW$3,CLAVE_BOV2,$A131)+SUMIFS(SALIDAS_BOV3,FECHA_BOV3,"&gt;="&amp;CW$2,FECHA_BOV3,"&lt;="&amp;CW$3,CLAVE_BOV3,$A131)+SUMIFS(SALIDAS_TC,FECHA_TC,"&gt;="&amp;CW$2,FECHA_TC,"&lt;="&amp;CW$3,CLAVE_TC,$A131)+SUMIFS(SALIDAS_COMB,FECHA_COMB,"&gt;="&amp;CW$2,FECHA_COMB,"&lt;="&amp;CW$3,CLAVE_COMB,$A131)+SUMIFS(SALIDAS_DES,FECHA_DESGLOSEN,"&gt;="&amp;CW$2,FECHA_DESGLOSEN,"&lt;="&amp;CW$3,CLAVE_DESGLOSE,$A131)</f>
        <v>0</v>
      </c>
      <c r="CX131" s="13">
        <f>SUMIFS(SALIDAS_BIT,FECHA_BIT,"&gt;="&amp;CX$2,FECHA_BIT,"&lt;="&amp;CX$3,CLAVE_BIT,$A131)+SUMIFS(SALIDAS_BOV1,FECHA_BOV1,"&gt;="&amp;CX$2,FECHA_BOV1,"&lt;="&amp;CX$3,CLAVE_BOV1,$A131)+SUMIFS(SALIDAS_BOV2,FECHA_BOV2,"&gt;="&amp;CX$2,FECHA_BOV2,"&lt;="&amp;CX$3,CLAVE_BOV2,$A131)+SUMIFS(SALIDAS_BOV3,FECHA_BOV3,"&gt;="&amp;CX$2,FECHA_BOV3,"&lt;="&amp;CX$3,CLAVE_BOV3,$A131)+SUMIFS(SALIDAS_TC,FECHA_TC,"&gt;="&amp;CX$2,FECHA_TC,"&lt;="&amp;CX$3,CLAVE_TC,$A131)+SUMIFS(SALIDAS_COMB,FECHA_COMB,"&gt;="&amp;CX$2,FECHA_COMB,"&lt;="&amp;CX$3,CLAVE_COMB,$A131)+SUMIFS(SALIDAS_DES,FECHA_DESGLOSEN,"&gt;="&amp;CX$2,FECHA_DESGLOSEN,"&lt;="&amp;CX$3,CLAVE_DESGLOSE,$A131)</f>
        <v>0</v>
      </c>
      <c r="CY131" s="13">
        <f>SUMIFS(SALIDAS_BIT,FECHA_BIT,"&gt;="&amp;CY$2,FECHA_BIT,"&lt;="&amp;CY$3,CLAVE_BIT,$A131)+SUMIFS(SALIDAS_BOV1,FECHA_BOV1,"&gt;="&amp;CY$2,FECHA_BOV1,"&lt;="&amp;CY$3,CLAVE_BOV1,$A131)+SUMIFS(SALIDAS_BOV2,FECHA_BOV2,"&gt;="&amp;CY$2,FECHA_BOV2,"&lt;="&amp;CY$3,CLAVE_BOV2,$A131)+SUMIFS(SALIDAS_BOV3,FECHA_BOV3,"&gt;="&amp;CY$2,FECHA_BOV3,"&lt;="&amp;CY$3,CLAVE_BOV3,$A131)+SUMIFS(SALIDAS_TC,FECHA_TC,"&gt;="&amp;CY$2,FECHA_TC,"&lt;="&amp;CY$3,CLAVE_TC,$A131)+SUMIFS(SALIDAS_COMB,FECHA_COMB,"&gt;="&amp;CY$2,FECHA_COMB,"&lt;="&amp;CY$3,CLAVE_COMB,$A131)+SUMIFS(SALIDAS_DES,FECHA_DESGLOSEN,"&gt;="&amp;CY$2,FECHA_DESGLOSEN,"&lt;="&amp;CY$3,CLAVE_DESGLOSE,$A131)</f>
        <v>0</v>
      </c>
      <c r="CZ131" s="68">
        <f t="shared" si="175"/>
        <v>0</v>
      </c>
      <c r="DB131" s="17">
        <f>F131+N131+W131+AE131+AM131+AV131+BD131+BL131+BU131+CC131+CK131</f>
        <v>136640</v>
      </c>
      <c r="DC131" s="17">
        <f>K131+T131+AB131+AJ131+AS131+BA131+BI131+BR131+BZ131+CH131+CQ131</f>
        <v>108588</v>
      </c>
    </row>
    <row r="132" spans="1:107" hidden="1">
      <c r="A132" s="12" t="str">
        <f t="shared" si="148"/>
        <v>CAPENERGIA ELECTRICAE6</v>
      </c>
      <c r="B132" s="12">
        <v>134</v>
      </c>
      <c r="C132" t="s">
        <v>31</v>
      </c>
      <c r="D132" s="404" t="s">
        <v>87</v>
      </c>
      <c r="E132" s="404" t="s">
        <v>112</v>
      </c>
      <c r="F132" s="259">
        <f t="shared" si="141"/>
        <v>0</v>
      </c>
      <c r="G132" s="13">
        <f t="shared" si="229"/>
        <v>0</v>
      </c>
      <c r="H132" s="13">
        <f t="shared" si="229"/>
        <v>0</v>
      </c>
      <c r="I132" s="13">
        <f t="shared" si="229"/>
        <v>0</v>
      </c>
      <c r="J132" s="13">
        <f t="shared" si="229"/>
        <v>0</v>
      </c>
      <c r="K132" s="13">
        <f t="shared" si="229"/>
        <v>0</v>
      </c>
      <c r="L132" s="68">
        <f t="shared" si="149"/>
        <v>0</v>
      </c>
      <c r="M132" s="268">
        <f t="shared" si="150"/>
        <v>0</v>
      </c>
      <c r="N132" s="13">
        <f t="shared" si="142"/>
        <v>7723</v>
      </c>
      <c r="O132" s="13">
        <f t="shared" si="230"/>
        <v>0</v>
      </c>
      <c r="P132" s="13">
        <f t="shared" si="230"/>
        <v>0</v>
      </c>
      <c r="Q132" s="13">
        <f t="shared" si="230"/>
        <v>0</v>
      </c>
      <c r="R132" s="13">
        <f t="shared" si="230"/>
        <v>5849</v>
      </c>
      <c r="S132" s="13">
        <f t="shared" si="230"/>
        <v>0</v>
      </c>
      <c r="T132" s="13">
        <f t="shared" si="230"/>
        <v>5849</v>
      </c>
      <c r="U132" s="68">
        <f t="shared" si="151"/>
        <v>1874</v>
      </c>
      <c r="V132" s="268">
        <f t="shared" si="152"/>
        <v>0.75734818075877253</v>
      </c>
      <c r="W132" s="13">
        <f t="shared" si="143"/>
        <v>0</v>
      </c>
      <c r="X132" s="13">
        <f t="shared" si="231"/>
        <v>0</v>
      </c>
      <c r="Y132" s="13">
        <f t="shared" si="231"/>
        <v>0</v>
      </c>
      <c r="Z132" s="13">
        <f t="shared" si="231"/>
        <v>0</v>
      </c>
      <c r="AA132" s="13">
        <f t="shared" si="231"/>
        <v>0</v>
      </c>
      <c r="AB132" s="13">
        <f t="shared" si="231"/>
        <v>0</v>
      </c>
      <c r="AC132" s="68">
        <f t="shared" si="153"/>
        <v>0</v>
      </c>
      <c r="AD132" s="268">
        <f t="shared" si="154"/>
        <v>0</v>
      </c>
      <c r="AE132" s="13">
        <f t="shared" si="144"/>
        <v>10371</v>
      </c>
      <c r="AF132" s="13">
        <f t="shared" si="232"/>
        <v>0</v>
      </c>
      <c r="AG132" s="13">
        <f t="shared" si="232"/>
        <v>0</v>
      </c>
      <c r="AH132" s="13">
        <f t="shared" si="232"/>
        <v>0</v>
      </c>
      <c r="AI132" s="13">
        <f t="shared" si="232"/>
        <v>9151</v>
      </c>
      <c r="AJ132" s="13">
        <f t="shared" si="232"/>
        <v>9151</v>
      </c>
      <c r="AK132" s="68">
        <f t="shared" si="155"/>
        <v>1220</v>
      </c>
      <c r="AL132" s="268">
        <f t="shared" si="156"/>
        <v>0.88236428502555198</v>
      </c>
      <c r="AM132" s="13">
        <f t="shared" si="145"/>
        <v>2220</v>
      </c>
      <c r="AN132" s="13">
        <f t="shared" si="233"/>
        <v>0</v>
      </c>
      <c r="AO132" s="13">
        <f t="shared" si="233"/>
        <v>0</v>
      </c>
      <c r="AP132" s="13">
        <f t="shared" si="233"/>
        <v>0</v>
      </c>
      <c r="AQ132" s="13">
        <f t="shared" si="233"/>
        <v>0</v>
      </c>
      <c r="AR132" s="13">
        <f t="shared" si="233"/>
        <v>0</v>
      </c>
      <c r="AS132" s="13">
        <f t="shared" si="233"/>
        <v>0</v>
      </c>
      <c r="AT132" s="68">
        <f>AM132-AS132</f>
        <v>2220</v>
      </c>
      <c r="AU132" s="268">
        <f t="shared" si="157"/>
        <v>0</v>
      </c>
      <c r="AV132" s="13">
        <f t="shared" si="146"/>
        <v>11031</v>
      </c>
      <c r="AW132" s="13">
        <f t="shared" si="222"/>
        <v>0</v>
      </c>
      <c r="AX132" s="13">
        <f t="shared" si="222"/>
        <v>0</v>
      </c>
      <c r="AY132" s="13">
        <f t="shared" si="222"/>
        <v>0</v>
      </c>
      <c r="AZ132" s="13">
        <f t="shared" si="222"/>
        <v>9937</v>
      </c>
      <c r="BA132" s="13">
        <f t="shared" si="223"/>
        <v>9937</v>
      </c>
      <c r="BB132" s="68">
        <f t="shared" si="158"/>
        <v>1094</v>
      </c>
      <c r="BC132" s="268">
        <f t="shared" si="159"/>
        <v>0.90082494787417278</v>
      </c>
      <c r="BD132" s="13">
        <f t="shared" si="160"/>
        <v>608</v>
      </c>
      <c r="BE132" s="13">
        <f>SUMIFS(SALIDAS_BIT,FECHA_BIT,"&gt;="&amp;BE$2,FECHA_BIT,"&lt;="&amp;BE$3,CLAVE_BIT,$A132)+SUMIFS(SALIDAS_BOV1,FECHA_BOV1,"&gt;="&amp;BE$2,FECHA_BOV1,"&lt;="&amp;BE$3,CLAVE_BOV1,$A132)+SUMIFS(SALIDAS_BOV2,FECHA_BOV2,"&gt;="&amp;BE$2,FECHA_BOV2,"&lt;="&amp;BE$3,CLAVE_BOV2,$A132)+SUMIFS(SALIDAS_BOV3,FECHA_BOV3,"&gt;="&amp;BE$2,FECHA_BOV3,"&lt;="&amp;BE$3,CLAVE_BOV3,$A132)+SUMIFS(SALIDAS_TC,FECHA_TC,"&gt;="&amp;BE$2,FECHA_TC,"&lt;="&amp;BE$3,CLAVE_TC,$A132)+SUMIFS(SALIDAS_COMB,FECHA_COMB,"&gt;="&amp;BE$2,FECHA_COMB,"&lt;="&amp;BE$3,CLAVE_COMB,$A132)+SUMIFS(SALIDAS_DES,FECHA_DESGLOSEN,"&gt;="&amp;BE$2,FECHA_DESGLOSEN,"&lt;="&amp;BE$3,CLAVE_DESGLOSE,$A132)</f>
        <v>0</v>
      </c>
      <c r="BF132" s="13">
        <f>SUMIFS(SALIDAS_BIT,FECHA_BIT,"&gt;="&amp;BF$2,FECHA_BIT,"&lt;="&amp;BF$3,CLAVE_BIT,$A132)+SUMIFS(SALIDAS_BOV1,FECHA_BOV1,"&gt;="&amp;BF$2,FECHA_BOV1,"&lt;="&amp;BF$3,CLAVE_BOV1,$A132)+SUMIFS(SALIDAS_BOV2,FECHA_BOV2,"&gt;="&amp;BF$2,FECHA_BOV2,"&lt;="&amp;BF$3,CLAVE_BOV2,$A132)+SUMIFS(SALIDAS_BOV3,FECHA_BOV3,"&gt;="&amp;BF$2,FECHA_BOV3,"&lt;="&amp;BF$3,CLAVE_BOV3,$A132)+SUMIFS(SALIDAS_TC,FECHA_TC,"&gt;="&amp;BF$2,FECHA_TC,"&lt;="&amp;BF$3,CLAVE_TC,$A132)+SUMIFS(SALIDAS_COMB,FECHA_COMB,"&gt;="&amp;BF$2,FECHA_COMB,"&lt;="&amp;BF$3,CLAVE_COMB,$A132)+SUMIFS(SALIDAS_DES,FECHA_DESGLOSEN,"&gt;="&amp;BF$2,FECHA_DESGLOSEN,"&lt;="&amp;BF$3,CLAVE_DESGLOSE,$A132)</f>
        <v>0</v>
      </c>
      <c r="BG132" s="13">
        <f>SUMIFS(SALIDAS_BIT,FECHA_BIT,"&gt;="&amp;BG$2,FECHA_BIT,"&lt;="&amp;BG$3,CLAVE_BIT,$A132)+SUMIFS(SALIDAS_BOV1,FECHA_BOV1,"&gt;="&amp;BG$2,FECHA_BOV1,"&lt;="&amp;BG$3,CLAVE_BOV1,$A132)+SUMIFS(SALIDAS_BOV2,FECHA_BOV2,"&gt;="&amp;BG$2,FECHA_BOV2,"&lt;="&amp;BG$3,CLAVE_BOV2,$A132)+SUMIFS(SALIDAS_BOV3,FECHA_BOV3,"&gt;="&amp;BG$2,FECHA_BOV3,"&lt;="&amp;BG$3,CLAVE_BOV3,$A132)+SUMIFS(SALIDAS_TC,FECHA_TC,"&gt;="&amp;BG$2,FECHA_TC,"&lt;="&amp;BG$3,CLAVE_TC,$A132)+SUMIFS(SALIDAS_COMB,FECHA_COMB,"&gt;="&amp;BG$2,FECHA_COMB,"&lt;="&amp;BG$3,CLAVE_COMB,$A132)+SUMIFS(SALIDAS_DES,FECHA_DESGLOSEN,"&gt;="&amp;BG$2,FECHA_DESGLOSEN,"&lt;="&amp;BG$3,CLAVE_DESGLOSE,$A132)</f>
        <v>1564</v>
      </c>
      <c r="BH132" s="13">
        <f>SUMIFS(SALIDAS_BIT,FECHA_BIT,"&gt;="&amp;BH$2,FECHA_BIT,"&lt;="&amp;BH$3,CLAVE_BIT,$A132)+SUMIFS(SALIDAS_BOV1,FECHA_BOV1,"&gt;="&amp;BH$2,FECHA_BOV1,"&lt;="&amp;BH$3,CLAVE_BOV1,$A132)+SUMIFS(SALIDAS_BOV2,FECHA_BOV2,"&gt;="&amp;BH$2,FECHA_BOV2,"&lt;="&amp;BH$3,CLAVE_BOV2,$A132)+SUMIFS(SALIDAS_BOV3,FECHA_BOV3,"&gt;="&amp;BH$2,FECHA_BOV3,"&lt;="&amp;BH$3,CLAVE_BOV3,$A132)+SUMIFS(SALIDAS_TC,FECHA_TC,"&gt;="&amp;BH$2,FECHA_TC,"&lt;="&amp;BH$3,CLAVE_TC,$A132)+SUMIFS(SALIDAS_COMB,FECHA_COMB,"&gt;="&amp;BH$2,FECHA_COMB,"&lt;="&amp;BH$3,CLAVE_COMB,$A132)+SUMIFS(SALIDAS_DES,FECHA_DESGLOSEN,"&gt;="&amp;BH$2,FECHA_DESGLOSEN,"&lt;="&amp;BH$3,CLAVE_DESGLOSE,$A132)</f>
        <v>0</v>
      </c>
      <c r="BI132" s="13">
        <f t="shared" si="215"/>
        <v>1564</v>
      </c>
      <c r="BJ132" s="68">
        <f t="shared" si="161"/>
        <v>-956</v>
      </c>
      <c r="BK132" s="268">
        <f t="shared" si="162"/>
        <v>2.5723684210526314</v>
      </c>
      <c r="BL132" s="13">
        <f t="shared" si="163"/>
        <v>0</v>
      </c>
      <c r="BM132" s="13">
        <f>SUMIFS(SALIDAS_BIT,FECHA_BIT,"&gt;="&amp;BM$2,FECHA_BIT,"&lt;="&amp;BM$3,CLAVE_BIT,$A132)+SUMIFS(SALIDAS_BOV1,FECHA_BOV1,"&gt;="&amp;BM$2,FECHA_BOV1,"&lt;="&amp;BM$3,CLAVE_BOV1,$A132)+SUMIFS(SALIDAS_BOV2,FECHA_BOV2,"&gt;="&amp;BM$2,FECHA_BOV2,"&lt;="&amp;BM$3,CLAVE_BOV2,$A132)+SUMIFS(SALIDAS_BOV3,FECHA_BOV3,"&gt;="&amp;BM$2,FECHA_BOV3,"&lt;="&amp;BM$3,CLAVE_BOV3,$A132)+SUMIFS(SALIDAS_TC,FECHA_TC,"&gt;="&amp;BM$2,FECHA_TC,"&lt;="&amp;BM$3,CLAVE_TC,$A132)+SUMIFS(SALIDAS_COMB,FECHA_COMB,"&gt;="&amp;BM$2,FECHA_COMB,"&lt;="&amp;BM$3,CLAVE_COMB,$A132)+SUMIFS(SALIDAS_DES,FECHA_DESGLOSEN,"&gt;="&amp;BM$2,FECHA_DESGLOSEN,"&lt;="&amp;BM$3,CLAVE_DESGLOSE,$A132)</f>
        <v>0</v>
      </c>
      <c r="BN132" s="13">
        <f>SUMIFS(SALIDAS_BIT,FECHA_BIT,"&gt;="&amp;BN$2,FECHA_BIT,"&lt;="&amp;BN$3,CLAVE_BIT,$A132)+SUMIFS(SALIDAS_BOV1,FECHA_BOV1,"&gt;="&amp;BN$2,FECHA_BOV1,"&lt;="&amp;BN$3,CLAVE_BOV1,$A132)+SUMIFS(SALIDAS_BOV2,FECHA_BOV2,"&gt;="&amp;BN$2,FECHA_BOV2,"&lt;="&amp;BN$3,CLAVE_BOV2,$A132)+SUMIFS(SALIDAS_BOV3,FECHA_BOV3,"&gt;="&amp;BN$2,FECHA_BOV3,"&lt;="&amp;BN$3,CLAVE_BOV3,$A132)+SUMIFS(SALIDAS_TC,FECHA_TC,"&gt;="&amp;BN$2,FECHA_TC,"&lt;="&amp;BN$3,CLAVE_TC,$A132)+SUMIFS(SALIDAS_COMB,FECHA_COMB,"&gt;="&amp;BN$2,FECHA_COMB,"&lt;="&amp;BN$3,CLAVE_COMB,$A132)+SUMIFS(SALIDAS_DES,FECHA_DESGLOSEN,"&gt;="&amp;BN$2,FECHA_DESGLOSEN,"&lt;="&amp;BN$3,CLAVE_DESGLOSE,$A132)</f>
        <v>0</v>
      </c>
      <c r="BO132" s="13">
        <f>SUMIFS(SALIDAS_BIT,FECHA_BIT,"&gt;="&amp;BO$2,FECHA_BIT,"&lt;="&amp;BO$3,CLAVE_BIT,$A132)+SUMIFS(SALIDAS_BOV1,FECHA_BOV1,"&gt;="&amp;BO$2,FECHA_BOV1,"&lt;="&amp;BO$3,CLAVE_BOV1,$A132)+SUMIFS(SALIDAS_BOV2,FECHA_BOV2,"&gt;="&amp;BO$2,FECHA_BOV2,"&lt;="&amp;BO$3,CLAVE_BOV2,$A132)+SUMIFS(SALIDAS_BOV3,FECHA_BOV3,"&gt;="&amp;BO$2,FECHA_BOV3,"&lt;="&amp;BO$3,CLAVE_BOV3,$A132)+SUMIFS(SALIDAS_TC,FECHA_TC,"&gt;="&amp;BO$2,FECHA_TC,"&lt;="&amp;BO$3,CLAVE_TC,$A132)+SUMIFS(SALIDAS_COMB,FECHA_COMB,"&gt;="&amp;BO$2,FECHA_COMB,"&lt;="&amp;BO$3,CLAVE_COMB,$A132)+SUMIFS(SALIDAS_DES,FECHA_DESGLOSEN,"&gt;="&amp;BO$2,FECHA_DESGLOSEN,"&lt;="&amp;BO$3,CLAVE_DESGLOSE,$A132)</f>
        <v>0</v>
      </c>
      <c r="BP132" s="13">
        <f>SUMIFS(SALIDAS_BIT,FECHA_BIT,"&gt;="&amp;BP$2,FECHA_BIT,"&lt;="&amp;BP$3,CLAVE_BIT,$A132)+SUMIFS(SALIDAS_BOV1,FECHA_BOV1,"&gt;="&amp;BP$2,FECHA_BOV1,"&lt;="&amp;BP$3,CLAVE_BOV1,$A132)+SUMIFS(SALIDAS_BOV2,FECHA_BOV2,"&gt;="&amp;BP$2,FECHA_BOV2,"&lt;="&amp;BP$3,CLAVE_BOV2,$A132)+SUMIFS(SALIDAS_BOV3,FECHA_BOV3,"&gt;="&amp;BP$2,FECHA_BOV3,"&lt;="&amp;BP$3,CLAVE_BOV3,$A132)+SUMIFS(SALIDAS_TC,FECHA_TC,"&gt;="&amp;BP$2,FECHA_TC,"&lt;="&amp;BP$3,CLAVE_TC,$A132)+SUMIFS(SALIDAS_COMB,FECHA_COMB,"&gt;="&amp;BP$2,FECHA_COMB,"&lt;="&amp;BP$3,CLAVE_COMB,$A132)+SUMIFS(SALIDAS_DES,FECHA_DESGLOSEN,"&gt;="&amp;BP$2,FECHA_DESGLOSEN,"&lt;="&amp;BP$3,CLAVE_DESGLOSE,$A132)</f>
        <v>0</v>
      </c>
      <c r="BQ132" s="13">
        <f>SUMIFS(SALIDAS_BIT,FECHA_BIT,"&gt;="&amp;BQ$2,FECHA_BIT,"&lt;="&amp;BQ$3,CLAVE_BIT,$A132)+SUMIFS(SALIDAS_BOV1,FECHA_BOV1,"&gt;="&amp;BQ$2,FECHA_BOV1,"&lt;="&amp;BQ$3,CLAVE_BOV1,$A132)+SUMIFS(SALIDAS_BOV2,FECHA_BOV2,"&gt;="&amp;BQ$2,FECHA_BOV2,"&lt;="&amp;BQ$3,CLAVE_BOV2,$A132)+SUMIFS(SALIDAS_BOV3,FECHA_BOV3,"&gt;="&amp;BQ$2,FECHA_BOV3,"&lt;="&amp;BQ$3,CLAVE_BOV3,$A132)+SUMIFS(SALIDAS_TC,FECHA_TC,"&gt;="&amp;BQ$2,FECHA_TC,"&lt;="&amp;BQ$3,CLAVE_TC,$A132)+SUMIFS(SALIDAS_COMB,FECHA_COMB,"&gt;="&amp;BQ$2,FECHA_COMB,"&lt;="&amp;BQ$3,CLAVE_COMB,$A132)+SUMIFS(SALIDAS_DES,FECHA_DESGLOSEN,"&gt;="&amp;BQ$2,FECHA_DESGLOSEN,"&lt;="&amp;BQ$3,CLAVE_DESGLOSE,$A132)</f>
        <v>8242</v>
      </c>
      <c r="BR132" s="13">
        <f t="shared" si="234"/>
        <v>8242</v>
      </c>
      <c r="BS132" s="68">
        <f t="shared" si="164"/>
        <v>-8242</v>
      </c>
      <c r="BT132" s="268">
        <f t="shared" si="165"/>
        <v>0</v>
      </c>
      <c r="BU132" s="13">
        <f t="shared" si="166"/>
        <v>0</v>
      </c>
      <c r="BV132" s="13">
        <f t="shared" si="186"/>
        <v>0</v>
      </c>
      <c r="BW132" s="13">
        <f t="shared" si="186"/>
        <v>0</v>
      </c>
      <c r="BX132" s="13">
        <f t="shared" si="186"/>
        <v>0</v>
      </c>
      <c r="BY132" s="13">
        <f t="shared" si="186"/>
        <v>0</v>
      </c>
      <c r="BZ132" s="13">
        <f t="shared" si="235"/>
        <v>0</v>
      </c>
      <c r="CA132" s="68">
        <f t="shared" si="167"/>
        <v>0</v>
      </c>
      <c r="CB132" s="268">
        <f t="shared" si="168"/>
        <v>0</v>
      </c>
      <c r="CC132" s="13">
        <f t="shared" si="169"/>
        <v>18223</v>
      </c>
      <c r="CD132" s="13">
        <f t="shared" si="187"/>
        <v>0</v>
      </c>
      <c r="CE132" s="13">
        <f t="shared" si="187"/>
        <v>0</v>
      </c>
      <c r="CF132" s="13">
        <f t="shared" si="187"/>
        <v>0</v>
      </c>
      <c r="CG132" s="13">
        <f t="shared" si="187"/>
        <v>8341</v>
      </c>
      <c r="CH132" s="13">
        <f t="shared" si="236"/>
        <v>8341</v>
      </c>
      <c r="CI132" s="68">
        <f t="shared" si="170"/>
        <v>9882</v>
      </c>
      <c r="CJ132" s="268">
        <f t="shared" si="171"/>
        <v>0.45771826812270205</v>
      </c>
      <c r="CK132" s="13">
        <f t="shared" si="172"/>
        <v>0</v>
      </c>
      <c r="CL132" s="13">
        <f t="shared" si="228"/>
        <v>0</v>
      </c>
      <c r="CM132" s="13">
        <f t="shared" si="228"/>
        <v>0</v>
      </c>
      <c r="CN132" s="13">
        <f t="shared" si="228"/>
        <v>0</v>
      </c>
      <c r="CO132" s="13">
        <f t="shared" si="228"/>
        <v>0</v>
      </c>
      <c r="CP132" s="13">
        <f t="shared" si="228"/>
        <v>0</v>
      </c>
      <c r="CQ132" s="13">
        <f t="shared" si="237"/>
        <v>0</v>
      </c>
      <c r="CR132" s="68">
        <f t="shared" si="173"/>
        <v>0</v>
      </c>
      <c r="CS132" s="268">
        <f t="shared" si="174"/>
        <v>0</v>
      </c>
      <c r="CT132" s="68">
        <f t="shared" si="147"/>
        <v>8299</v>
      </c>
      <c r="CU132" s="13">
        <f>SUMIFS(SALIDAS_BIT,FECHA_BIT,"&gt;="&amp;CU$2,FECHA_BIT,"&lt;="&amp;CU$3,CLAVE_BIT,$A132)+SUMIFS(SALIDAS_BOV1,FECHA_BOV1,"&gt;="&amp;CU$2,FECHA_BOV1,"&lt;="&amp;CU$3,CLAVE_BOV1,$A132)+SUMIFS(SALIDAS_BOV2,FECHA_BOV2,"&gt;="&amp;CU$2,FECHA_BOV2,"&lt;="&amp;CU$3,CLAVE_BOV2,$A132)+SUMIFS(SALIDAS_BOV3,FECHA_BOV3,"&gt;="&amp;CU$2,FECHA_BOV3,"&lt;="&amp;CU$3,CLAVE_BOV3,$A132)+SUMIFS(SALIDAS_TC,FECHA_TC,"&gt;="&amp;CU$2,FECHA_TC,"&lt;="&amp;CU$3,CLAVE_TC,$A132)+SUMIFS(SALIDAS_COMB,FECHA_COMB,"&gt;="&amp;CU$2,FECHA_COMB,"&lt;="&amp;CU$3,CLAVE_COMB,$A132)+SUMIFS(SALIDAS_DES,FECHA_DESGLOSEN,"&gt;="&amp;CU$2,FECHA_DESGLOSEN,"&lt;="&amp;CU$3,CLAVE_DESGLOSE,$A132)</f>
        <v>0</v>
      </c>
      <c r="CV132" s="13">
        <f>SUMIFS(SALIDAS_BIT,FECHA_BIT,"&gt;="&amp;CV$2,FECHA_BIT,"&lt;="&amp;CV$3,CLAVE_BIT,$A132)+SUMIFS(SALIDAS_BOV1,FECHA_BOV1,"&gt;="&amp;CV$2,FECHA_BOV1,"&lt;="&amp;CV$3,CLAVE_BOV1,$A132)+SUMIFS(SALIDAS_BOV2,FECHA_BOV2,"&gt;="&amp;CV$2,FECHA_BOV2,"&lt;="&amp;CV$3,CLAVE_BOV2,$A132)+SUMIFS(SALIDAS_BOV3,FECHA_BOV3,"&gt;="&amp;CV$2,FECHA_BOV3,"&lt;="&amp;CV$3,CLAVE_BOV3,$A132)+SUMIFS(SALIDAS_TC,FECHA_TC,"&gt;="&amp;CV$2,FECHA_TC,"&lt;="&amp;CV$3,CLAVE_TC,$A132)+SUMIFS(SALIDAS_COMB,FECHA_COMB,"&gt;="&amp;CV$2,FECHA_COMB,"&lt;="&amp;CV$3,CLAVE_COMB,$A132)+SUMIFS(SALIDAS_DES,FECHA_DESGLOSEN,"&gt;="&amp;CV$2,FECHA_DESGLOSEN,"&lt;="&amp;CV$3,CLAVE_DESGLOSE,$A132)</f>
        <v>0</v>
      </c>
      <c r="CW132" s="13">
        <f>SUMIFS(SALIDAS_BIT,FECHA_BIT,"&gt;="&amp;CW$2,FECHA_BIT,"&lt;="&amp;CW$3,CLAVE_BIT,$A132)+SUMIFS(SALIDAS_BOV1,FECHA_BOV1,"&gt;="&amp;CW$2,FECHA_BOV1,"&lt;="&amp;CW$3,CLAVE_BOV1,$A132)+SUMIFS(SALIDAS_BOV2,FECHA_BOV2,"&gt;="&amp;CW$2,FECHA_BOV2,"&lt;="&amp;CW$3,CLAVE_BOV2,$A132)+SUMIFS(SALIDAS_BOV3,FECHA_BOV3,"&gt;="&amp;CW$2,FECHA_BOV3,"&lt;="&amp;CW$3,CLAVE_BOV3,$A132)+SUMIFS(SALIDAS_TC,FECHA_TC,"&gt;="&amp;CW$2,FECHA_TC,"&lt;="&amp;CW$3,CLAVE_TC,$A132)+SUMIFS(SALIDAS_COMB,FECHA_COMB,"&gt;="&amp;CW$2,FECHA_COMB,"&lt;="&amp;CW$3,CLAVE_COMB,$A132)+SUMIFS(SALIDAS_DES,FECHA_DESGLOSEN,"&gt;="&amp;CW$2,FECHA_DESGLOSEN,"&lt;="&amp;CW$3,CLAVE_DESGLOSE,$A132)</f>
        <v>0</v>
      </c>
      <c r="CX132" s="13">
        <f>SUMIFS(SALIDAS_BIT,FECHA_BIT,"&gt;="&amp;CX$2,FECHA_BIT,"&lt;="&amp;CX$3,CLAVE_BIT,$A132)+SUMIFS(SALIDAS_BOV1,FECHA_BOV1,"&gt;="&amp;CX$2,FECHA_BOV1,"&lt;="&amp;CX$3,CLAVE_BOV1,$A132)+SUMIFS(SALIDAS_BOV2,FECHA_BOV2,"&gt;="&amp;CX$2,FECHA_BOV2,"&lt;="&amp;CX$3,CLAVE_BOV2,$A132)+SUMIFS(SALIDAS_BOV3,FECHA_BOV3,"&gt;="&amp;CX$2,FECHA_BOV3,"&lt;="&amp;CX$3,CLAVE_BOV3,$A132)+SUMIFS(SALIDAS_TC,FECHA_TC,"&gt;="&amp;CX$2,FECHA_TC,"&lt;="&amp;CX$3,CLAVE_TC,$A132)+SUMIFS(SALIDAS_COMB,FECHA_COMB,"&gt;="&amp;CX$2,FECHA_COMB,"&lt;="&amp;CX$3,CLAVE_COMB,$A132)+SUMIFS(SALIDAS_DES,FECHA_DESGLOSEN,"&gt;="&amp;CX$2,FECHA_DESGLOSEN,"&lt;="&amp;CX$3,CLAVE_DESGLOSE,$A132)</f>
        <v>6787</v>
      </c>
      <c r="CY132" s="13">
        <f>SUMIFS(SALIDAS_BIT,FECHA_BIT,"&gt;="&amp;CY$2,FECHA_BIT,"&lt;="&amp;CY$3,CLAVE_BIT,$A132)+SUMIFS(SALIDAS_BOV1,FECHA_BOV1,"&gt;="&amp;CY$2,FECHA_BOV1,"&lt;="&amp;CY$3,CLAVE_BOV1,$A132)+SUMIFS(SALIDAS_BOV2,FECHA_BOV2,"&gt;="&amp;CY$2,FECHA_BOV2,"&lt;="&amp;CY$3,CLAVE_BOV2,$A132)+SUMIFS(SALIDAS_BOV3,FECHA_BOV3,"&gt;="&amp;CY$2,FECHA_BOV3,"&lt;="&amp;CY$3,CLAVE_BOV3,$A132)+SUMIFS(SALIDAS_TC,FECHA_TC,"&gt;="&amp;CY$2,FECHA_TC,"&lt;="&amp;CY$3,CLAVE_TC,$A132)+SUMIFS(SALIDAS_COMB,FECHA_COMB,"&gt;="&amp;CY$2,FECHA_COMB,"&lt;="&amp;CY$3,CLAVE_COMB,$A132)+SUMIFS(SALIDAS_DES,FECHA_DESGLOSEN,"&gt;="&amp;CY$2,FECHA_DESGLOSEN,"&lt;="&amp;CY$3,CLAVE_DESGLOSE,$A132)</f>
        <v>6787</v>
      </c>
      <c r="CZ132" s="68">
        <f t="shared" si="175"/>
        <v>1512</v>
      </c>
      <c r="DB132" s="17">
        <f>F132+N132+W132+AE132+AM132+AV132+BD132+BL132+BU132+CC132+CK132</f>
        <v>50176</v>
      </c>
      <c r="DC132" s="17">
        <f>K132+T132+AB132+AJ132+AS132+BA132+BI132+BR132+BZ132+CH132+CQ132</f>
        <v>43084</v>
      </c>
    </row>
    <row r="133" spans="1:107" hidden="1">
      <c r="A133" s="12" t="str">
        <f t="shared" si="148"/>
        <v>CAPENERGIA ELECTRICAE7</v>
      </c>
      <c r="B133" s="12">
        <v>135</v>
      </c>
      <c r="C133" t="s">
        <v>31</v>
      </c>
      <c r="D133" s="404" t="s">
        <v>87</v>
      </c>
      <c r="E133" s="404" t="s">
        <v>113</v>
      </c>
      <c r="F133" s="259">
        <f t="shared" si="141"/>
        <v>9487</v>
      </c>
      <c r="G133" s="13">
        <f t="shared" si="229"/>
        <v>0</v>
      </c>
      <c r="H133" s="13">
        <f t="shared" si="229"/>
        <v>0</v>
      </c>
      <c r="I133" s="13">
        <f t="shared" si="229"/>
        <v>8792</v>
      </c>
      <c r="J133" s="13">
        <f t="shared" si="229"/>
        <v>0</v>
      </c>
      <c r="K133" s="13">
        <f t="shared" si="229"/>
        <v>8792</v>
      </c>
      <c r="L133" s="68">
        <f t="shared" si="149"/>
        <v>695</v>
      </c>
      <c r="M133" s="268">
        <f t="shared" si="150"/>
        <v>0.92674185727838099</v>
      </c>
      <c r="N133" s="13">
        <f t="shared" si="142"/>
        <v>0</v>
      </c>
      <c r="O133" s="13">
        <f t="shared" si="230"/>
        <v>0</v>
      </c>
      <c r="P133" s="13">
        <f t="shared" si="230"/>
        <v>0</v>
      </c>
      <c r="Q133" s="13">
        <f t="shared" si="230"/>
        <v>0</v>
      </c>
      <c r="R133" s="13">
        <f t="shared" si="230"/>
        <v>0</v>
      </c>
      <c r="S133" s="13">
        <f t="shared" si="230"/>
        <v>0</v>
      </c>
      <c r="T133" s="13">
        <f t="shared" si="230"/>
        <v>0</v>
      </c>
      <c r="U133" s="68">
        <f t="shared" si="151"/>
        <v>0</v>
      </c>
      <c r="V133" s="268">
        <f t="shared" si="152"/>
        <v>0</v>
      </c>
      <c r="W133" s="13">
        <f t="shared" si="143"/>
        <v>8309</v>
      </c>
      <c r="X133" s="13">
        <f t="shared" si="231"/>
        <v>0</v>
      </c>
      <c r="Y133" s="13">
        <f t="shared" si="231"/>
        <v>8389</v>
      </c>
      <c r="Z133" s="13">
        <f t="shared" si="231"/>
        <v>0</v>
      </c>
      <c r="AA133" s="13">
        <f t="shared" si="231"/>
        <v>0</v>
      </c>
      <c r="AB133" s="13">
        <f t="shared" si="231"/>
        <v>8389</v>
      </c>
      <c r="AC133" s="68">
        <f t="shared" si="153"/>
        <v>-80</v>
      </c>
      <c r="AD133" s="268">
        <f t="shared" si="154"/>
        <v>1.009628114093152</v>
      </c>
      <c r="AE133" s="13">
        <f t="shared" si="144"/>
        <v>0</v>
      </c>
      <c r="AF133" s="13">
        <f t="shared" si="232"/>
        <v>0</v>
      </c>
      <c r="AG133" s="13">
        <f t="shared" si="232"/>
        <v>0</v>
      </c>
      <c r="AH133" s="13">
        <f t="shared" si="232"/>
        <v>0</v>
      </c>
      <c r="AI133" s="13">
        <f t="shared" si="232"/>
        <v>0</v>
      </c>
      <c r="AJ133" s="13">
        <f t="shared" si="232"/>
        <v>0</v>
      </c>
      <c r="AK133" s="68">
        <f t="shared" si="155"/>
        <v>0</v>
      </c>
      <c r="AL133" s="268">
        <f t="shared" si="156"/>
        <v>0</v>
      </c>
      <c r="AM133" s="13">
        <f t="shared" si="145"/>
        <v>0</v>
      </c>
      <c r="AN133" s="13">
        <f t="shared" si="233"/>
        <v>0</v>
      </c>
      <c r="AO133" s="13">
        <f t="shared" si="233"/>
        <v>0</v>
      </c>
      <c r="AP133" s="13">
        <f t="shared" si="233"/>
        <v>9778</v>
      </c>
      <c r="AQ133" s="13">
        <f t="shared" si="233"/>
        <v>0</v>
      </c>
      <c r="AR133" s="13">
        <f t="shared" si="233"/>
        <v>0</v>
      </c>
      <c r="AS133" s="13">
        <f t="shared" si="233"/>
        <v>9778</v>
      </c>
      <c r="AT133" s="68">
        <f>AM133-AS133</f>
        <v>-9778</v>
      </c>
      <c r="AU133" s="268">
        <f t="shared" si="157"/>
        <v>0</v>
      </c>
      <c r="AV133" s="13">
        <f t="shared" si="146"/>
        <v>0</v>
      </c>
      <c r="AW133" s="13">
        <f t="shared" si="222"/>
        <v>0</v>
      </c>
      <c r="AX133" s="13">
        <f t="shared" si="222"/>
        <v>0</v>
      </c>
      <c r="AY133" s="13">
        <f t="shared" si="222"/>
        <v>0</v>
      </c>
      <c r="AZ133" s="13">
        <f t="shared" si="222"/>
        <v>0</v>
      </c>
      <c r="BA133" s="13">
        <f t="shared" si="223"/>
        <v>0</v>
      </c>
      <c r="BB133" s="68">
        <f t="shared" si="158"/>
        <v>0</v>
      </c>
      <c r="BC133" s="268">
        <f t="shared" si="159"/>
        <v>0</v>
      </c>
      <c r="BD133" s="13">
        <f t="shared" si="160"/>
        <v>14546</v>
      </c>
      <c r="BE133" s="13">
        <f>SUMIFS(SALIDAS_BIT,FECHA_BIT,"&gt;="&amp;BE$2,FECHA_BIT,"&lt;="&amp;BE$3,CLAVE_BIT,$A133)+SUMIFS(SALIDAS_BOV1,FECHA_BOV1,"&gt;="&amp;BE$2,FECHA_BOV1,"&lt;="&amp;BE$3,CLAVE_BOV1,$A133)+SUMIFS(SALIDAS_BOV2,FECHA_BOV2,"&gt;="&amp;BE$2,FECHA_BOV2,"&lt;="&amp;BE$3,CLAVE_BOV2,$A133)+SUMIFS(SALIDAS_BOV3,FECHA_BOV3,"&gt;="&amp;BE$2,FECHA_BOV3,"&lt;="&amp;BE$3,CLAVE_BOV3,$A133)+SUMIFS(SALIDAS_TC,FECHA_TC,"&gt;="&amp;BE$2,FECHA_TC,"&lt;="&amp;BE$3,CLAVE_TC,$A133)+SUMIFS(SALIDAS_COMB,FECHA_COMB,"&gt;="&amp;BE$2,FECHA_COMB,"&lt;="&amp;BE$3,CLAVE_COMB,$A133)+SUMIFS(SALIDAS_DES,FECHA_DESGLOSEN,"&gt;="&amp;BE$2,FECHA_DESGLOSEN,"&lt;="&amp;BE$3,CLAVE_DESGLOSE,$A133)</f>
        <v>0</v>
      </c>
      <c r="BF133" s="13">
        <f>SUMIFS(SALIDAS_BIT,FECHA_BIT,"&gt;="&amp;BF$2,FECHA_BIT,"&lt;="&amp;BF$3,CLAVE_BIT,$A133)+SUMIFS(SALIDAS_BOV1,FECHA_BOV1,"&gt;="&amp;BF$2,FECHA_BOV1,"&lt;="&amp;BF$3,CLAVE_BOV1,$A133)+SUMIFS(SALIDAS_BOV2,FECHA_BOV2,"&gt;="&amp;BF$2,FECHA_BOV2,"&lt;="&amp;BF$3,CLAVE_BOV2,$A133)+SUMIFS(SALIDAS_BOV3,FECHA_BOV3,"&gt;="&amp;BF$2,FECHA_BOV3,"&lt;="&amp;BF$3,CLAVE_BOV3,$A133)+SUMIFS(SALIDAS_TC,FECHA_TC,"&gt;="&amp;BF$2,FECHA_TC,"&lt;="&amp;BF$3,CLAVE_TC,$A133)+SUMIFS(SALIDAS_COMB,FECHA_COMB,"&gt;="&amp;BF$2,FECHA_COMB,"&lt;="&amp;BF$3,CLAVE_COMB,$A133)+SUMIFS(SALIDAS_DES,FECHA_DESGLOSEN,"&gt;="&amp;BF$2,FECHA_DESGLOSEN,"&lt;="&amp;BF$3,CLAVE_DESGLOSE,$A133)</f>
        <v>0</v>
      </c>
      <c r="BG133" s="13">
        <f>SUMIFS(SALIDAS_BIT,FECHA_BIT,"&gt;="&amp;BG$2,FECHA_BIT,"&lt;="&amp;BG$3,CLAVE_BIT,$A133)+SUMIFS(SALIDAS_BOV1,FECHA_BOV1,"&gt;="&amp;BG$2,FECHA_BOV1,"&lt;="&amp;BG$3,CLAVE_BOV1,$A133)+SUMIFS(SALIDAS_BOV2,FECHA_BOV2,"&gt;="&amp;BG$2,FECHA_BOV2,"&lt;="&amp;BG$3,CLAVE_BOV2,$A133)+SUMIFS(SALIDAS_BOV3,FECHA_BOV3,"&gt;="&amp;BG$2,FECHA_BOV3,"&lt;="&amp;BG$3,CLAVE_BOV3,$A133)+SUMIFS(SALIDAS_TC,FECHA_TC,"&gt;="&amp;BG$2,FECHA_TC,"&lt;="&amp;BG$3,CLAVE_TC,$A133)+SUMIFS(SALIDAS_COMB,FECHA_COMB,"&gt;="&amp;BG$2,FECHA_COMB,"&lt;="&amp;BG$3,CLAVE_COMB,$A133)+SUMIFS(SALIDAS_DES,FECHA_DESGLOSEN,"&gt;="&amp;BG$2,FECHA_DESGLOSEN,"&lt;="&amp;BG$3,CLAVE_DESGLOSE,$A133)</f>
        <v>14201</v>
      </c>
      <c r="BH133" s="13">
        <f>SUMIFS(SALIDAS_BIT,FECHA_BIT,"&gt;="&amp;BH$2,FECHA_BIT,"&lt;="&amp;BH$3,CLAVE_BIT,$A133)+SUMIFS(SALIDAS_BOV1,FECHA_BOV1,"&gt;="&amp;BH$2,FECHA_BOV1,"&lt;="&amp;BH$3,CLAVE_BOV1,$A133)+SUMIFS(SALIDAS_BOV2,FECHA_BOV2,"&gt;="&amp;BH$2,FECHA_BOV2,"&lt;="&amp;BH$3,CLAVE_BOV2,$A133)+SUMIFS(SALIDAS_BOV3,FECHA_BOV3,"&gt;="&amp;BH$2,FECHA_BOV3,"&lt;="&amp;BH$3,CLAVE_BOV3,$A133)+SUMIFS(SALIDAS_TC,FECHA_TC,"&gt;="&amp;BH$2,FECHA_TC,"&lt;="&amp;BH$3,CLAVE_TC,$A133)+SUMIFS(SALIDAS_COMB,FECHA_COMB,"&gt;="&amp;BH$2,FECHA_COMB,"&lt;="&amp;BH$3,CLAVE_COMB,$A133)+SUMIFS(SALIDAS_DES,FECHA_DESGLOSEN,"&gt;="&amp;BH$2,FECHA_DESGLOSEN,"&lt;="&amp;BH$3,CLAVE_DESGLOSE,$A133)</f>
        <v>0</v>
      </c>
      <c r="BI133" s="13">
        <f t="shared" si="215"/>
        <v>14201</v>
      </c>
      <c r="BJ133" s="68">
        <f t="shared" si="161"/>
        <v>345</v>
      </c>
      <c r="BK133" s="268">
        <f t="shared" si="162"/>
        <v>0.97628213941977171</v>
      </c>
      <c r="BL133" s="13">
        <f t="shared" si="163"/>
        <v>4716</v>
      </c>
      <c r="BM133" s="13">
        <f>SUMIFS(SALIDAS_BIT,FECHA_BIT,"&gt;="&amp;BM$2,FECHA_BIT,"&lt;="&amp;BM$3,CLAVE_BIT,$A133)+SUMIFS(SALIDAS_BOV1,FECHA_BOV1,"&gt;="&amp;BM$2,FECHA_BOV1,"&lt;="&amp;BM$3,CLAVE_BOV1,$A133)+SUMIFS(SALIDAS_BOV2,FECHA_BOV2,"&gt;="&amp;BM$2,FECHA_BOV2,"&lt;="&amp;BM$3,CLAVE_BOV2,$A133)+SUMIFS(SALIDAS_BOV3,FECHA_BOV3,"&gt;="&amp;BM$2,FECHA_BOV3,"&lt;="&amp;BM$3,CLAVE_BOV3,$A133)+SUMIFS(SALIDAS_TC,FECHA_TC,"&gt;="&amp;BM$2,FECHA_TC,"&lt;="&amp;BM$3,CLAVE_TC,$A133)+SUMIFS(SALIDAS_COMB,FECHA_COMB,"&gt;="&amp;BM$2,FECHA_COMB,"&lt;="&amp;BM$3,CLAVE_COMB,$A133)+SUMIFS(SALIDAS_DES,FECHA_DESGLOSEN,"&gt;="&amp;BM$2,FECHA_DESGLOSEN,"&lt;="&amp;BM$3,CLAVE_DESGLOSE,$A133)</f>
        <v>0</v>
      </c>
      <c r="BN133" s="13">
        <f>SUMIFS(SALIDAS_BIT,FECHA_BIT,"&gt;="&amp;BN$2,FECHA_BIT,"&lt;="&amp;BN$3,CLAVE_BIT,$A133)+SUMIFS(SALIDAS_BOV1,FECHA_BOV1,"&gt;="&amp;BN$2,FECHA_BOV1,"&lt;="&amp;BN$3,CLAVE_BOV1,$A133)+SUMIFS(SALIDAS_BOV2,FECHA_BOV2,"&gt;="&amp;BN$2,FECHA_BOV2,"&lt;="&amp;BN$3,CLAVE_BOV2,$A133)+SUMIFS(SALIDAS_BOV3,FECHA_BOV3,"&gt;="&amp;BN$2,FECHA_BOV3,"&lt;="&amp;BN$3,CLAVE_BOV3,$A133)+SUMIFS(SALIDAS_TC,FECHA_TC,"&gt;="&amp;BN$2,FECHA_TC,"&lt;="&amp;BN$3,CLAVE_TC,$A133)+SUMIFS(SALIDAS_COMB,FECHA_COMB,"&gt;="&amp;BN$2,FECHA_COMB,"&lt;="&amp;BN$3,CLAVE_COMB,$A133)+SUMIFS(SALIDAS_DES,FECHA_DESGLOSEN,"&gt;="&amp;BN$2,FECHA_DESGLOSEN,"&lt;="&amp;BN$3,CLAVE_DESGLOSE,$A133)</f>
        <v>0</v>
      </c>
      <c r="BO133" s="13">
        <f>SUMIFS(SALIDAS_BIT,FECHA_BIT,"&gt;="&amp;BO$2,FECHA_BIT,"&lt;="&amp;BO$3,CLAVE_BIT,$A133)+SUMIFS(SALIDAS_BOV1,FECHA_BOV1,"&gt;="&amp;BO$2,FECHA_BOV1,"&lt;="&amp;BO$3,CLAVE_BOV1,$A133)+SUMIFS(SALIDAS_BOV2,FECHA_BOV2,"&gt;="&amp;BO$2,FECHA_BOV2,"&lt;="&amp;BO$3,CLAVE_BOV2,$A133)+SUMIFS(SALIDAS_BOV3,FECHA_BOV3,"&gt;="&amp;BO$2,FECHA_BOV3,"&lt;="&amp;BO$3,CLAVE_BOV3,$A133)+SUMIFS(SALIDAS_TC,FECHA_TC,"&gt;="&amp;BO$2,FECHA_TC,"&lt;="&amp;BO$3,CLAVE_TC,$A133)+SUMIFS(SALIDAS_COMB,FECHA_COMB,"&gt;="&amp;BO$2,FECHA_COMB,"&lt;="&amp;BO$3,CLAVE_COMB,$A133)+SUMIFS(SALIDAS_DES,FECHA_DESGLOSEN,"&gt;="&amp;BO$2,FECHA_DESGLOSEN,"&lt;="&amp;BO$3,CLAVE_DESGLOSE,$A133)</f>
        <v>0</v>
      </c>
      <c r="BP133" s="13">
        <f>SUMIFS(SALIDAS_BIT,FECHA_BIT,"&gt;="&amp;BP$2,FECHA_BIT,"&lt;="&amp;BP$3,CLAVE_BIT,$A133)+SUMIFS(SALIDAS_BOV1,FECHA_BOV1,"&gt;="&amp;BP$2,FECHA_BOV1,"&lt;="&amp;BP$3,CLAVE_BOV1,$A133)+SUMIFS(SALIDAS_BOV2,FECHA_BOV2,"&gt;="&amp;BP$2,FECHA_BOV2,"&lt;="&amp;BP$3,CLAVE_BOV2,$A133)+SUMIFS(SALIDAS_BOV3,FECHA_BOV3,"&gt;="&amp;BP$2,FECHA_BOV3,"&lt;="&amp;BP$3,CLAVE_BOV3,$A133)+SUMIFS(SALIDAS_TC,FECHA_TC,"&gt;="&amp;BP$2,FECHA_TC,"&lt;="&amp;BP$3,CLAVE_TC,$A133)+SUMIFS(SALIDAS_COMB,FECHA_COMB,"&gt;="&amp;BP$2,FECHA_COMB,"&lt;="&amp;BP$3,CLAVE_COMB,$A133)+SUMIFS(SALIDAS_DES,FECHA_DESGLOSEN,"&gt;="&amp;BP$2,FECHA_DESGLOSEN,"&lt;="&amp;BP$3,CLAVE_DESGLOSE,$A133)</f>
        <v>0</v>
      </c>
      <c r="BQ133" s="13">
        <f>SUMIFS(SALIDAS_BIT,FECHA_BIT,"&gt;="&amp;BQ$2,FECHA_BIT,"&lt;="&amp;BQ$3,CLAVE_BIT,$A133)+SUMIFS(SALIDAS_BOV1,FECHA_BOV1,"&gt;="&amp;BQ$2,FECHA_BOV1,"&lt;="&amp;BQ$3,CLAVE_BOV1,$A133)+SUMIFS(SALIDAS_BOV2,FECHA_BOV2,"&gt;="&amp;BQ$2,FECHA_BOV2,"&lt;="&amp;BQ$3,CLAVE_BOV2,$A133)+SUMIFS(SALIDAS_BOV3,FECHA_BOV3,"&gt;="&amp;BQ$2,FECHA_BOV3,"&lt;="&amp;BQ$3,CLAVE_BOV3,$A133)+SUMIFS(SALIDAS_TC,FECHA_TC,"&gt;="&amp;BQ$2,FECHA_TC,"&lt;="&amp;BQ$3,CLAVE_TC,$A133)+SUMIFS(SALIDAS_COMB,FECHA_COMB,"&gt;="&amp;BQ$2,FECHA_COMB,"&lt;="&amp;BQ$3,CLAVE_COMB,$A133)+SUMIFS(SALIDAS_DES,FECHA_DESGLOSEN,"&gt;="&amp;BQ$2,FECHA_DESGLOSEN,"&lt;="&amp;BQ$3,CLAVE_DESGLOSE,$A133)</f>
        <v>0</v>
      </c>
      <c r="BR133" s="13">
        <f t="shared" si="234"/>
        <v>0</v>
      </c>
      <c r="BS133" s="68">
        <f t="shared" si="164"/>
        <v>4716</v>
      </c>
      <c r="BT133" s="268">
        <f t="shared" si="165"/>
        <v>0</v>
      </c>
      <c r="BU133" s="13">
        <f t="shared" si="166"/>
        <v>12000</v>
      </c>
      <c r="BV133" s="13">
        <f t="shared" si="186"/>
        <v>0</v>
      </c>
      <c r="BW133" s="13">
        <f t="shared" si="186"/>
        <v>0</v>
      </c>
      <c r="BX133" s="13">
        <f t="shared" si="186"/>
        <v>12955</v>
      </c>
      <c r="BY133" s="13">
        <f t="shared" si="186"/>
        <v>0</v>
      </c>
      <c r="BZ133" s="13">
        <f t="shared" si="235"/>
        <v>12955</v>
      </c>
      <c r="CA133" s="68">
        <f t="shared" si="167"/>
        <v>-955</v>
      </c>
      <c r="CB133" s="268">
        <f t="shared" si="168"/>
        <v>1.0795833333333333</v>
      </c>
      <c r="CC133" s="13">
        <f t="shared" si="169"/>
        <v>0</v>
      </c>
      <c r="CD133" s="13">
        <f t="shared" si="187"/>
        <v>0</v>
      </c>
      <c r="CE133" s="13">
        <f t="shared" si="187"/>
        <v>0</v>
      </c>
      <c r="CF133" s="13">
        <f t="shared" si="187"/>
        <v>0</v>
      </c>
      <c r="CG133" s="13">
        <f t="shared" si="187"/>
        <v>0</v>
      </c>
      <c r="CH133" s="13">
        <f t="shared" si="236"/>
        <v>0</v>
      </c>
      <c r="CI133" s="68">
        <f t="shared" si="170"/>
        <v>0</v>
      </c>
      <c r="CJ133" s="268">
        <f t="shared" si="171"/>
        <v>0</v>
      </c>
      <c r="CK133" s="13">
        <f t="shared" si="172"/>
        <v>13100</v>
      </c>
      <c r="CL133" s="13">
        <f t="shared" si="228"/>
        <v>0</v>
      </c>
      <c r="CM133" s="13">
        <f t="shared" si="228"/>
        <v>0</v>
      </c>
      <c r="CN133" s="13">
        <f t="shared" si="228"/>
        <v>9077</v>
      </c>
      <c r="CO133" s="13">
        <f t="shared" si="228"/>
        <v>0</v>
      </c>
      <c r="CP133" s="13">
        <f t="shared" si="228"/>
        <v>0</v>
      </c>
      <c r="CQ133" s="13">
        <f t="shared" si="237"/>
        <v>9077</v>
      </c>
      <c r="CR133" s="68">
        <f t="shared" si="173"/>
        <v>4023</v>
      </c>
      <c r="CS133" s="268">
        <f t="shared" si="174"/>
        <v>0.69290076335877859</v>
      </c>
      <c r="CT133" s="68">
        <f t="shared" si="147"/>
        <v>0</v>
      </c>
      <c r="CU133" s="13">
        <f>SUMIFS(SALIDAS_BIT,FECHA_BIT,"&gt;="&amp;CU$2,FECHA_BIT,"&lt;="&amp;CU$3,CLAVE_BIT,$A133)+SUMIFS(SALIDAS_BOV1,FECHA_BOV1,"&gt;="&amp;CU$2,FECHA_BOV1,"&lt;="&amp;CU$3,CLAVE_BOV1,$A133)+SUMIFS(SALIDAS_BOV2,FECHA_BOV2,"&gt;="&amp;CU$2,FECHA_BOV2,"&lt;="&amp;CU$3,CLAVE_BOV2,$A133)+SUMIFS(SALIDAS_BOV3,FECHA_BOV3,"&gt;="&amp;CU$2,FECHA_BOV3,"&lt;="&amp;CU$3,CLAVE_BOV3,$A133)+SUMIFS(SALIDAS_TC,FECHA_TC,"&gt;="&amp;CU$2,FECHA_TC,"&lt;="&amp;CU$3,CLAVE_TC,$A133)+SUMIFS(SALIDAS_COMB,FECHA_COMB,"&gt;="&amp;CU$2,FECHA_COMB,"&lt;="&amp;CU$3,CLAVE_COMB,$A133)+SUMIFS(SALIDAS_DES,FECHA_DESGLOSEN,"&gt;="&amp;CU$2,FECHA_DESGLOSEN,"&lt;="&amp;CU$3,CLAVE_DESGLOSE,$A133)</f>
        <v>0</v>
      </c>
      <c r="CV133" s="13">
        <f>SUMIFS(SALIDAS_BIT,FECHA_BIT,"&gt;="&amp;CV$2,FECHA_BIT,"&lt;="&amp;CV$3,CLAVE_BIT,$A133)+SUMIFS(SALIDAS_BOV1,FECHA_BOV1,"&gt;="&amp;CV$2,FECHA_BOV1,"&lt;="&amp;CV$3,CLAVE_BOV1,$A133)+SUMIFS(SALIDAS_BOV2,FECHA_BOV2,"&gt;="&amp;CV$2,FECHA_BOV2,"&lt;="&amp;CV$3,CLAVE_BOV2,$A133)+SUMIFS(SALIDAS_BOV3,FECHA_BOV3,"&gt;="&amp;CV$2,FECHA_BOV3,"&lt;="&amp;CV$3,CLAVE_BOV3,$A133)+SUMIFS(SALIDAS_TC,FECHA_TC,"&gt;="&amp;CV$2,FECHA_TC,"&lt;="&amp;CV$3,CLAVE_TC,$A133)+SUMIFS(SALIDAS_COMB,FECHA_COMB,"&gt;="&amp;CV$2,FECHA_COMB,"&lt;="&amp;CV$3,CLAVE_COMB,$A133)+SUMIFS(SALIDAS_DES,FECHA_DESGLOSEN,"&gt;="&amp;CV$2,FECHA_DESGLOSEN,"&lt;="&amp;CV$3,CLAVE_DESGLOSE,$A133)</f>
        <v>0</v>
      </c>
      <c r="CW133" s="13">
        <f>SUMIFS(SALIDAS_BIT,FECHA_BIT,"&gt;="&amp;CW$2,FECHA_BIT,"&lt;="&amp;CW$3,CLAVE_BIT,$A133)+SUMIFS(SALIDAS_BOV1,FECHA_BOV1,"&gt;="&amp;CW$2,FECHA_BOV1,"&lt;="&amp;CW$3,CLAVE_BOV1,$A133)+SUMIFS(SALIDAS_BOV2,FECHA_BOV2,"&gt;="&amp;CW$2,FECHA_BOV2,"&lt;="&amp;CW$3,CLAVE_BOV2,$A133)+SUMIFS(SALIDAS_BOV3,FECHA_BOV3,"&gt;="&amp;CW$2,FECHA_BOV3,"&lt;="&amp;CW$3,CLAVE_BOV3,$A133)+SUMIFS(SALIDAS_TC,FECHA_TC,"&gt;="&amp;CW$2,FECHA_TC,"&lt;="&amp;CW$3,CLAVE_TC,$A133)+SUMIFS(SALIDAS_COMB,FECHA_COMB,"&gt;="&amp;CW$2,FECHA_COMB,"&lt;="&amp;CW$3,CLAVE_COMB,$A133)+SUMIFS(SALIDAS_DES,FECHA_DESGLOSEN,"&gt;="&amp;CW$2,FECHA_DESGLOSEN,"&lt;="&amp;CW$3,CLAVE_DESGLOSE,$A133)</f>
        <v>0</v>
      </c>
      <c r="CX133" s="13">
        <f>SUMIFS(SALIDAS_BIT,FECHA_BIT,"&gt;="&amp;CX$2,FECHA_BIT,"&lt;="&amp;CX$3,CLAVE_BIT,$A133)+SUMIFS(SALIDAS_BOV1,FECHA_BOV1,"&gt;="&amp;CX$2,FECHA_BOV1,"&lt;="&amp;CX$3,CLAVE_BOV1,$A133)+SUMIFS(SALIDAS_BOV2,FECHA_BOV2,"&gt;="&amp;CX$2,FECHA_BOV2,"&lt;="&amp;CX$3,CLAVE_BOV2,$A133)+SUMIFS(SALIDAS_BOV3,FECHA_BOV3,"&gt;="&amp;CX$2,FECHA_BOV3,"&lt;="&amp;CX$3,CLAVE_BOV3,$A133)+SUMIFS(SALIDAS_TC,FECHA_TC,"&gt;="&amp;CX$2,FECHA_TC,"&lt;="&amp;CX$3,CLAVE_TC,$A133)+SUMIFS(SALIDAS_COMB,FECHA_COMB,"&gt;="&amp;CX$2,FECHA_COMB,"&lt;="&amp;CX$3,CLAVE_COMB,$A133)+SUMIFS(SALIDAS_DES,FECHA_DESGLOSEN,"&gt;="&amp;CX$2,FECHA_DESGLOSEN,"&lt;="&amp;CX$3,CLAVE_DESGLOSE,$A133)</f>
        <v>0</v>
      </c>
      <c r="CY133" s="13">
        <f>SUMIFS(SALIDAS_BIT,FECHA_BIT,"&gt;="&amp;CY$2,FECHA_BIT,"&lt;="&amp;CY$3,CLAVE_BIT,$A133)+SUMIFS(SALIDAS_BOV1,FECHA_BOV1,"&gt;="&amp;CY$2,FECHA_BOV1,"&lt;="&amp;CY$3,CLAVE_BOV1,$A133)+SUMIFS(SALIDAS_BOV2,FECHA_BOV2,"&gt;="&amp;CY$2,FECHA_BOV2,"&lt;="&amp;CY$3,CLAVE_BOV2,$A133)+SUMIFS(SALIDAS_BOV3,FECHA_BOV3,"&gt;="&amp;CY$2,FECHA_BOV3,"&lt;="&amp;CY$3,CLAVE_BOV3,$A133)+SUMIFS(SALIDAS_TC,FECHA_TC,"&gt;="&amp;CY$2,FECHA_TC,"&lt;="&amp;CY$3,CLAVE_TC,$A133)+SUMIFS(SALIDAS_COMB,FECHA_COMB,"&gt;="&amp;CY$2,FECHA_COMB,"&lt;="&amp;CY$3,CLAVE_COMB,$A133)+SUMIFS(SALIDAS_DES,FECHA_DESGLOSEN,"&gt;="&amp;CY$2,FECHA_DESGLOSEN,"&lt;="&amp;CY$3,CLAVE_DESGLOSE,$A133)</f>
        <v>0</v>
      </c>
      <c r="CZ133" s="68">
        <f t="shared" si="175"/>
        <v>0</v>
      </c>
      <c r="DB133" s="17">
        <f>F133+N133+W133+AE133+AM133+AV133+BD133+BL133+BU133+CC133+CK133</f>
        <v>62158</v>
      </c>
      <c r="DC133" s="17">
        <f>K133+T133+AB133+AJ133+AS133+BA133+BI133+BR133+BZ133+CH133+CQ133</f>
        <v>63192</v>
      </c>
    </row>
    <row r="134" spans="1:107" hidden="1">
      <c r="A134" s="12" t="str">
        <f t="shared" si="148"/>
        <v>CAPENERGIA ELECTRICAE8</v>
      </c>
      <c r="B134" s="12">
        <v>136</v>
      </c>
      <c r="C134" t="s">
        <v>31</v>
      </c>
      <c r="D134" s="12" t="s">
        <v>87</v>
      </c>
      <c r="E134" s="12" t="s">
        <v>114</v>
      </c>
      <c r="F134" s="259">
        <f t="shared" si="141"/>
        <v>14994</v>
      </c>
      <c r="G134" s="13">
        <f t="shared" si="229"/>
        <v>13878</v>
      </c>
      <c r="H134" s="13">
        <f t="shared" si="229"/>
        <v>0</v>
      </c>
      <c r="I134" s="13">
        <f t="shared" si="229"/>
        <v>0</v>
      </c>
      <c r="J134" s="13">
        <f t="shared" si="229"/>
        <v>0</v>
      </c>
      <c r="K134" s="13">
        <f t="shared" si="229"/>
        <v>13878</v>
      </c>
      <c r="L134" s="68">
        <f t="shared" si="149"/>
        <v>1116</v>
      </c>
      <c r="M134" s="268">
        <f t="shared" si="150"/>
        <v>0.92557022809123646</v>
      </c>
      <c r="N134" s="13">
        <f t="shared" si="142"/>
        <v>0</v>
      </c>
      <c r="O134" s="13">
        <f t="shared" si="230"/>
        <v>0</v>
      </c>
      <c r="P134" s="13">
        <f t="shared" si="230"/>
        <v>0</v>
      </c>
      <c r="Q134" s="13">
        <f t="shared" si="230"/>
        <v>0</v>
      </c>
      <c r="R134" s="13">
        <f t="shared" si="230"/>
        <v>0</v>
      </c>
      <c r="S134" s="13">
        <f t="shared" si="230"/>
        <v>13002</v>
      </c>
      <c r="T134" s="13">
        <f t="shared" si="230"/>
        <v>13002</v>
      </c>
      <c r="U134" s="68">
        <f t="shared" si="151"/>
        <v>-13002</v>
      </c>
      <c r="V134" s="268">
        <f t="shared" si="152"/>
        <v>0</v>
      </c>
      <c r="W134" s="13">
        <f t="shared" si="143"/>
        <v>12470</v>
      </c>
      <c r="X134" s="13">
        <f t="shared" si="231"/>
        <v>0</v>
      </c>
      <c r="Y134" s="13">
        <f t="shared" si="231"/>
        <v>0</v>
      </c>
      <c r="Z134" s="13">
        <f t="shared" si="231"/>
        <v>0</v>
      </c>
      <c r="AA134" s="13">
        <f t="shared" si="231"/>
        <v>0</v>
      </c>
      <c r="AB134" s="13">
        <f t="shared" si="231"/>
        <v>0</v>
      </c>
      <c r="AC134" s="68">
        <f t="shared" si="153"/>
        <v>12470</v>
      </c>
      <c r="AD134" s="268">
        <f t="shared" si="154"/>
        <v>0</v>
      </c>
      <c r="AE134" s="13">
        <f t="shared" si="144"/>
        <v>0</v>
      </c>
      <c r="AF134" s="13">
        <f t="shared" si="232"/>
        <v>0</v>
      </c>
      <c r="AG134" s="13">
        <f t="shared" si="232"/>
        <v>0</v>
      </c>
      <c r="AH134" s="13">
        <f t="shared" si="232"/>
        <v>0</v>
      </c>
      <c r="AI134" s="13">
        <f t="shared" si="232"/>
        <v>0</v>
      </c>
      <c r="AJ134" s="13">
        <f t="shared" si="232"/>
        <v>0</v>
      </c>
      <c r="AK134" s="68">
        <f t="shared" si="155"/>
        <v>0</v>
      </c>
      <c r="AL134" s="268">
        <f t="shared" si="156"/>
        <v>0</v>
      </c>
      <c r="AM134" s="13">
        <f t="shared" si="145"/>
        <v>24015</v>
      </c>
      <c r="AN134" s="13">
        <f t="shared" si="233"/>
        <v>19871</v>
      </c>
      <c r="AO134" s="13">
        <f t="shared" si="233"/>
        <v>0</v>
      </c>
      <c r="AP134" s="13">
        <f t="shared" si="233"/>
        <v>0</v>
      </c>
      <c r="AQ134" s="13">
        <f t="shared" si="233"/>
        <v>0</v>
      </c>
      <c r="AR134" s="13">
        <f t="shared" si="233"/>
        <v>0</v>
      </c>
      <c r="AS134" s="13">
        <f t="shared" si="233"/>
        <v>19871</v>
      </c>
      <c r="AT134" s="68">
        <f>AM134-AS134</f>
        <v>4144</v>
      </c>
      <c r="AU134" s="268">
        <f t="shared" si="157"/>
        <v>0.82744118259421195</v>
      </c>
      <c r="AV134" s="13">
        <f t="shared" si="146"/>
        <v>0</v>
      </c>
      <c r="AW134" s="13">
        <f t="shared" si="222"/>
        <v>0</v>
      </c>
      <c r="AX134" s="13">
        <f t="shared" si="222"/>
        <v>0</v>
      </c>
      <c r="AY134" s="13">
        <f t="shared" si="222"/>
        <v>0</v>
      </c>
      <c r="AZ134" s="13">
        <f t="shared" si="222"/>
        <v>0</v>
      </c>
      <c r="BA134" s="13">
        <f t="shared" si="223"/>
        <v>0</v>
      </c>
      <c r="BB134" s="68">
        <f t="shared" si="158"/>
        <v>0</v>
      </c>
      <c r="BC134" s="268">
        <f t="shared" si="159"/>
        <v>0</v>
      </c>
      <c r="BD134" s="13">
        <f t="shared" si="160"/>
        <v>21163</v>
      </c>
      <c r="BE134" s="13">
        <f>SUMIFS(SALIDAS_BIT,FECHA_BIT,"&gt;="&amp;BE$2,FECHA_BIT,"&lt;="&amp;BE$3,CLAVE_BIT,$A134)+SUMIFS(SALIDAS_BOV1,FECHA_BOV1,"&gt;="&amp;BE$2,FECHA_BOV1,"&lt;="&amp;BE$3,CLAVE_BOV1,$A134)+SUMIFS(SALIDAS_BOV2,FECHA_BOV2,"&gt;="&amp;BE$2,FECHA_BOV2,"&lt;="&amp;BE$3,CLAVE_BOV2,$A134)+SUMIFS(SALIDAS_BOV3,FECHA_BOV3,"&gt;="&amp;BE$2,FECHA_BOV3,"&lt;="&amp;BE$3,CLAVE_BOV3,$A134)+SUMIFS(SALIDAS_TC,FECHA_TC,"&gt;="&amp;BE$2,FECHA_TC,"&lt;="&amp;BE$3,CLAVE_TC,$A134)+SUMIFS(SALIDAS_COMB,FECHA_COMB,"&gt;="&amp;BE$2,FECHA_COMB,"&lt;="&amp;BE$3,CLAVE_COMB,$A134)+SUMIFS(SALIDAS_DES,FECHA_DESGLOSEN,"&gt;="&amp;BE$2,FECHA_DESGLOSEN,"&lt;="&amp;BE$3,CLAVE_DESGLOSE,$A134)</f>
        <v>27469</v>
      </c>
      <c r="BF134" s="13">
        <f>SUMIFS(SALIDAS_BIT,FECHA_BIT,"&gt;="&amp;BF$2,FECHA_BIT,"&lt;="&amp;BF$3,CLAVE_BIT,$A134)+SUMIFS(SALIDAS_BOV1,FECHA_BOV1,"&gt;="&amp;BF$2,FECHA_BOV1,"&lt;="&amp;BF$3,CLAVE_BOV1,$A134)+SUMIFS(SALIDAS_BOV2,FECHA_BOV2,"&gt;="&amp;BF$2,FECHA_BOV2,"&lt;="&amp;BF$3,CLAVE_BOV2,$A134)+SUMIFS(SALIDAS_BOV3,FECHA_BOV3,"&gt;="&amp;BF$2,FECHA_BOV3,"&lt;="&amp;BF$3,CLAVE_BOV3,$A134)+SUMIFS(SALIDAS_TC,FECHA_TC,"&gt;="&amp;BF$2,FECHA_TC,"&lt;="&amp;BF$3,CLAVE_TC,$A134)+SUMIFS(SALIDAS_COMB,FECHA_COMB,"&gt;="&amp;BF$2,FECHA_COMB,"&lt;="&amp;BF$3,CLAVE_COMB,$A134)+SUMIFS(SALIDAS_DES,FECHA_DESGLOSEN,"&gt;="&amp;BF$2,FECHA_DESGLOSEN,"&lt;="&amp;BF$3,CLAVE_DESGLOSE,$A134)</f>
        <v>0</v>
      </c>
      <c r="BG134" s="13">
        <f>SUMIFS(SALIDAS_BIT,FECHA_BIT,"&gt;="&amp;BG$2,FECHA_BIT,"&lt;="&amp;BG$3,CLAVE_BIT,$A134)+SUMIFS(SALIDAS_BOV1,FECHA_BOV1,"&gt;="&amp;BG$2,FECHA_BOV1,"&lt;="&amp;BG$3,CLAVE_BOV1,$A134)+SUMIFS(SALIDAS_BOV2,FECHA_BOV2,"&gt;="&amp;BG$2,FECHA_BOV2,"&lt;="&amp;BG$3,CLAVE_BOV2,$A134)+SUMIFS(SALIDAS_BOV3,FECHA_BOV3,"&gt;="&amp;BG$2,FECHA_BOV3,"&lt;="&amp;BG$3,CLAVE_BOV3,$A134)+SUMIFS(SALIDAS_TC,FECHA_TC,"&gt;="&amp;BG$2,FECHA_TC,"&lt;="&amp;BG$3,CLAVE_TC,$A134)+SUMIFS(SALIDAS_COMB,FECHA_COMB,"&gt;="&amp;BG$2,FECHA_COMB,"&lt;="&amp;BG$3,CLAVE_COMB,$A134)+SUMIFS(SALIDAS_DES,FECHA_DESGLOSEN,"&gt;="&amp;BG$2,FECHA_DESGLOSEN,"&lt;="&amp;BG$3,CLAVE_DESGLOSE,$A134)</f>
        <v>0</v>
      </c>
      <c r="BH134" s="13">
        <f>SUMIFS(SALIDAS_BIT,FECHA_BIT,"&gt;="&amp;BH$2,FECHA_BIT,"&lt;="&amp;BH$3,CLAVE_BIT,$A134)+SUMIFS(SALIDAS_BOV1,FECHA_BOV1,"&gt;="&amp;BH$2,FECHA_BOV1,"&lt;="&amp;BH$3,CLAVE_BOV1,$A134)+SUMIFS(SALIDAS_BOV2,FECHA_BOV2,"&gt;="&amp;BH$2,FECHA_BOV2,"&lt;="&amp;BH$3,CLAVE_BOV2,$A134)+SUMIFS(SALIDAS_BOV3,FECHA_BOV3,"&gt;="&amp;BH$2,FECHA_BOV3,"&lt;="&amp;BH$3,CLAVE_BOV3,$A134)+SUMIFS(SALIDAS_TC,FECHA_TC,"&gt;="&amp;BH$2,FECHA_TC,"&lt;="&amp;BH$3,CLAVE_TC,$A134)+SUMIFS(SALIDAS_COMB,FECHA_COMB,"&gt;="&amp;BH$2,FECHA_COMB,"&lt;="&amp;BH$3,CLAVE_COMB,$A134)+SUMIFS(SALIDAS_DES,FECHA_DESGLOSEN,"&gt;="&amp;BH$2,FECHA_DESGLOSEN,"&lt;="&amp;BH$3,CLAVE_DESGLOSE,$A134)</f>
        <v>0</v>
      </c>
      <c r="BI134" s="13">
        <f t="shared" si="215"/>
        <v>27469</v>
      </c>
      <c r="BJ134" s="68">
        <f t="shared" si="161"/>
        <v>-6306</v>
      </c>
      <c r="BK134" s="268">
        <f t="shared" si="162"/>
        <v>1.2979728771913246</v>
      </c>
      <c r="BL134" s="13">
        <f t="shared" si="163"/>
        <v>0</v>
      </c>
      <c r="BM134" s="13">
        <f>SUMIFS(SALIDAS_BIT,FECHA_BIT,"&gt;="&amp;BM$2,FECHA_BIT,"&lt;="&amp;BM$3,CLAVE_BIT,$A134)+SUMIFS(SALIDAS_BOV1,FECHA_BOV1,"&gt;="&amp;BM$2,FECHA_BOV1,"&lt;="&amp;BM$3,CLAVE_BOV1,$A134)+SUMIFS(SALIDAS_BOV2,FECHA_BOV2,"&gt;="&amp;BM$2,FECHA_BOV2,"&lt;="&amp;BM$3,CLAVE_BOV2,$A134)+SUMIFS(SALIDAS_BOV3,FECHA_BOV3,"&gt;="&amp;BM$2,FECHA_BOV3,"&lt;="&amp;BM$3,CLAVE_BOV3,$A134)+SUMIFS(SALIDAS_TC,FECHA_TC,"&gt;="&amp;BM$2,FECHA_TC,"&lt;="&amp;BM$3,CLAVE_TC,$A134)+SUMIFS(SALIDAS_COMB,FECHA_COMB,"&gt;="&amp;BM$2,FECHA_COMB,"&lt;="&amp;BM$3,CLAVE_COMB,$A134)+SUMIFS(SALIDAS_DES,FECHA_DESGLOSEN,"&gt;="&amp;BM$2,FECHA_DESGLOSEN,"&lt;="&amp;BM$3,CLAVE_DESGLOSE,$A134)</f>
        <v>0</v>
      </c>
      <c r="BN134" s="13">
        <f>SUMIFS(SALIDAS_BIT,FECHA_BIT,"&gt;="&amp;BN$2,FECHA_BIT,"&lt;="&amp;BN$3,CLAVE_BIT,$A134)+SUMIFS(SALIDAS_BOV1,FECHA_BOV1,"&gt;="&amp;BN$2,FECHA_BOV1,"&lt;="&amp;BN$3,CLAVE_BOV1,$A134)+SUMIFS(SALIDAS_BOV2,FECHA_BOV2,"&gt;="&amp;BN$2,FECHA_BOV2,"&lt;="&amp;BN$3,CLAVE_BOV2,$A134)+SUMIFS(SALIDAS_BOV3,FECHA_BOV3,"&gt;="&amp;BN$2,FECHA_BOV3,"&lt;="&amp;BN$3,CLAVE_BOV3,$A134)+SUMIFS(SALIDAS_TC,FECHA_TC,"&gt;="&amp;BN$2,FECHA_TC,"&lt;="&amp;BN$3,CLAVE_TC,$A134)+SUMIFS(SALIDAS_COMB,FECHA_COMB,"&gt;="&amp;BN$2,FECHA_COMB,"&lt;="&amp;BN$3,CLAVE_COMB,$A134)+SUMIFS(SALIDAS_DES,FECHA_DESGLOSEN,"&gt;="&amp;BN$2,FECHA_DESGLOSEN,"&lt;="&amp;BN$3,CLAVE_DESGLOSE,$A134)</f>
        <v>0</v>
      </c>
      <c r="BO134" s="13">
        <f>SUMIFS(SALIDAS_BIT,FECHA_BIT,"&gt;="&amp;BO$2,FECHA_BIT,"&lt;="&amp;BO$3,CLAVE_BIT,$A134)+SUMIFS(SALIDAS_BOV1,FECHA_BOV1,"&gt;="&amp;BO$2,FECHA_BOV1,"&lt;="&amp;BO$3,CLAVE_BOV1,$A134)+SUMIFS(SALIDAS_BOV2,FECHA_BOV2,"&gt;="&amp;BO$2,FECHA_BOV2,"&lt;="&amp;BO$3,CLAVE_BOV2,$A134)+SUMIFS(SALIDAS_BOV3,FECHA_BOV3,"&gt;="&amp;BO$2,FECHA_BOV3,"&lt;="&amp;BO$3,CLAVE_BOV3,$A134)+SUMIFS(SALIDAS_TC,FECHA_TC,"&gt;="&amp;BO$2,FECHA_TC,"&lt;="&amp;BO$3,CLAVE_TC,$A134)+SUMIFS(SALIDAS_COMB,FECHA_COMB,"&gt;="&amp;BO$2,FECHA_COMB,"&lt;="&amp;BO$3,CLAVE_COMB,$A134)+SUMIFS(SALIDAS_DES,FECHA_DESGLOSEN,"&gt;="&amp;BO$2,FECHA_DESGLOSEN,"&lt;="&amp;BO$3,CLAVE_DESGLOSE,$A134)</f>
        <v>0</v>
      </c>
      <c r="BP134" s="13">
        <f>SUMIFS(SALIDAS_BIT,FECHA_BIT,"&gt;="&amp;BP$2,FECHA_BIT,"&lt;="&amp;BP$3,CLAVE_BIT,$A134)+SUMIFS(SALIDAS_BOV1,FECHA_BOV1,"&gt;="&amp;BP$2,FECHA_BOV1,"&lt;="&amp;BP$3,CLAVE_BOV1,$A134)+SUMIFS(SALIDAS_BOV2,FECHA_BOV2,"&gt;="&amp;BP$2,FECHA_BOV2,"&lt;="&amp;BP$3,CLAVE_BOV2,$A134)+SUMIFS(SALIDAS_BOV3,FECHA_BOV3,"&gt;="&amp;BP$2,FECHA_BOV3,"&lt;="&amp;BP$3,CLAVE_BOV3,$A134)+SUMIFS(SALIDAS_TC,FECHA_TC,"&gt;="&amp;BP$2,FECHA_TC,"&lt;="&amp;BP$3,CLAVE_TC,$A134)+SUMIFS(SALIDAS_COMB,FECHA_COMB,"&gt;="&amp;BP$2,FECHA_COMB,"&lt;="&amp;BP$3,CLAVE_COMB,$A134)+SUMIFS(SALIDAS_DES,FECHA_DESGLOSEN,"&gt;="&amp;BP$2,FECHA_DESGLOSEN,"&lt;="&amp;BP$3,CLAVE_DESGLOSE,$A134)</f>
        <v>0</v>
      </c>
      <c r="BQ134" s="13">
        <f>SUMIFS(SALIDAS_BIT,FECHA_BIT,"&gt;="&amp;BQ$2,FECHA_BIT,"&lt;="&amp;BQ$3,CLAVE_BIT,$A134)+SUMIFS(SALIDAS_BOV1,FECHA_BOV1,"&gt;="&amp;BQ$2,FECHA_BOV1,"&lt;="&amp;BQ$3,CLAVE_BOV1,$A134)+SUMIFS(SALIDAS_BOV2,FECHA_BOV2,"&gt;="&amp;BQ$2,FECHA_BOV2,"&lt;="&amp;BQ$3,CLAVE_BOV2,$A134)+SUMIFS(SALIDAS_BOV3,FECHA_BOV3,"&gt;="&amp;BQ$2,FECHA_BOV3,"&lt;="&amp;BQ$3,CLAVE_BOV3,$A134)+SUMIFS(SALIDAS_TC,FECHA_TC,"&gt;="&amp;BQ$2,FECHA_TC,"&lt;="&amp;BQ$3,CLAVE_TC,$A134)+SUMIFS(SALIDAS_COMB,FECHA_COMB,"&gt;="&amp;BQ$2,FECHA_COMB,"&lt;="&amp;BQ$3,CLAVE_COMB,$A134)+SUMIFS(SALIDAS_DES,FECHA_DESGLOSEN,"&gt;="&amp;BQ$2,FECHA_DESGLOSEN,"&lt;="&amp;BQ$3,CLAVE_DESGLOSE,$A134)</f>
        <v>0</v>
      </c>
      <c r="BR134" s="13">
        <f t="shared" si="234"/>
        <v>0</v>
      </c>
      <c r="BS134" s="68">
        <f t="shared" si="164"/>
        <v>0</v>
      </c>
      <c r="BT134" s="268">
        <f t="shared" si="165"/>
        <v>0</v>
      </c>
      <c r="BU134" s="13">
        <f t="shared" si="166"/>
        <v>9000</v>
      </c>
      <c r="BV134" s="13">
        <f t="shared" si="186"/>
        <v>26277</v>
      </c>
      <c r="BW134" s="13">
        <f t="shared" si="186"/>
        <v>0</v>
      </c>
      <c r="BX134" s="13">
        <f t="shared" si="186"/>
        <v>0</v>
      </c>
      <c r="BY134" s="13">
        <f t="shared" si="186"/>
        <v>0</v>
      </c>
      <c r="BZ134" s="13">
        <f t="shared" si="235"/>
        <v>26277</v>
      </c>
      <c r="CA134" s="68">
        <f t="shared" si="167"/>
        <v>-17277</v>
      </c>
      <c r="CB134" s="268">
        <f t="shared" si="168"/>
        <v>2.9196666666666666</v>
      </c>
      <c r="CC134" s="13">
        <f t="shared" si="169"/>
        <v>0</v>
      </c>
      <c r="CD134" s="13">
        <f t="shared" si="187"/>
        <v>0</v>
      </c>
      <c r="CE134" s="13">
        <f t="shared" si="187"/>
        <v>0</v>
      </c>
      <c r="CF134" s="13">
        <f t="shared" si="187"/>
        <v>0</v>
      </c>
      <c r="CG134" s="13">
        <f t="shared" si="187"/>
        <v>0</v>
      </c>
      <c r="CH134" s="13">
        <f t="shared" si="236"/>
        <v>0</v>
      </c>
      <c r="CI134" s="68">
        <f t="shared" si="170"/>
        <v>0</v>
      </c>
      <c r="CJ134" s="268">
        <f t="shared" si="171"/>
        <v>0</v>
      </c>
      <c r="CK134" s="13">
        <f t="shared" si="172"/>
        <v>8000</v>
      </c>
      <c r="CL134" s="13">
        <f t="shared" si="228"/>
        <v>0</v>
      </c>
      <c r="CM134" s="13">
        <f t="shared" si="228"/>
        <v>21181</v>
      </c>
      <c r="CN134" s="13">
        <f t="shared" si="228"/>
        <v>0</v>
      </c>
      <c r="CO134" s="13">
        <f t="shared" si="228"/>
        <v>0</v>
      </c>
      <c r="CP134" s="13">
        <f t="shared" si="228"/>
        <v>0</v>
      </c>
      <c r="CQ134" s="13">
        <f t="shared" si="237"/>
        <v>21181</v>
      </c>
      <c r="CR134" s="68">
        <f t="shared" si="173"/>
        <v>-13181</v>
      </c>
      <c r="CS134" s="268">
        <f t="shared" si="174"/>
        <v>2.6476250000000001</v>
      </c>
      <c r="CT134" s="68">
        <f t="shared" si="147"/>
        <v>0</v>
      </c>
      <c r="CU134" s="13">
        <f>SUMIFS(SALIDAS_BIT,FECHA_BIT,"&gt;="&amp;CU$2,FECHA_BIT,"&lt;="&amp;CU$3,CLAVE_BIT,$A134)+SUMIFS(SALIDAS_BOV1,FECHA_BOV1,"&gt;="&amp;CU$2,FECHA_BOV1,"&lt;="&amp;CU$3,CLAVE_BOV1,$A134)+SUMIFS(SALIDAS_BOV2,FECHA_BOV2,"&gt;="&amp;CU$2,FECHA_BOV2,"&lt;="&amp;CU$3,CLAVE_BOV2,$A134)+SUMIFS(SALIDAS_BOV3,FECHA_BOV3,"&gt;="&amp;CU$2,FECHA_BOV3,"&lt;="&amp;CU$3,CLAVE_BOV3,$A134)+SUMIFS(SALIDAS_TC,FECHA_TC,"&gt;="&amp;CU$2,FECHA_TC,"&lt;="&amp;CU$3,CLAVE_TC,$A134)+SUMIFS(SALIDAS_COMB,FECHA_COMB,"&gt;="&amp;CU$2,FECHA_COMB,"&lt;="&amp;CU$3,CLAVE_COMB,$A134)+SUMIFS(SALIDAS_DES,FECHA_DESGLOSEN,"&gt;="&amp;CU$2,FECHA_DESGLOSEN,"&lt;="&amp;CU$3,CLAVE_DESGLOSE,$A134)</f>
        <v>0</v>
      </c>
      <c r="CV134" s="13">
        <f>SUMIFS(SALIDAS_BIT,FECHA_BIT,"&gt;="&amp;CV$2,FECHA_BIT,"&lt;="&amp;CV$3,CLAVE_BIT,$A134)+SUMIFS(SALIDAS_BOV1,FECHA_BOV1,"&gt;="&amp;CV$2,FECHA_BOV1,"&lt;="&amp;CV$3,CLAVE_BOV1,$A134)+SUMIFS(SALIDAS_BOV2,FECHA_BOV2,"&gt;="&amp;CV$2,FECHA_BOV2,"&lt;="&amp;CV$3,CLAVE_BOV2,$A134)+SUMIFS(SALIDAS_BOV3,FECHA_BOV3,"&gt;="&amp;CV$2,FECHA_BOV3,"&lt;="&amp;CV$3,CLAVE_BOV3,$A134)+SUMIFS(SALIDAS_TC,FECHA_TC,"&gt;="&amp;CV$2,FECHA_TC,"&lt;="&amp;CV$3,CLAVE_TC,$A134)+SUMIFS(SALIDAS_COMB,FECHA_COMB,"&gt;="&amp;CV$2,FECHA_COMB,"&lt;="&amp;CV$3,CLAVE_COMB,$A134)+SUMIFS(SALIDAS_DES,FECHA_DESGLOSEN,"&gt;="&amp;CV$2,FECHA_DESGLOSEN,"&lt;="&amp;CV$3,CLAVE_DESGLOSE,$A134)</f>
        <v>0</v>
      </c>
      <c r="CW134" s="13">
        <f>SUMIFS(SALIDAS_BIT,FECHA_BIT,"&gt;="&amp;CW$2,FECHA_BIT,"&lt;="&amp;CW$3,CLAVE_BIT,$A134)+SUMIFS(SALIDAS_BOV1,FECHA_BOV1,"&gt;="&amp;CW$2,FECHA_BOV1,"&lt;="&amp;CW$3,CLAVE_BOV1,$A134)+SUMIFS(SALIDAS_BOV2,FECHA_BOV2,"&gt;="&amp;CW$2,FECHA_BOV2,"&lt;="&amp;CW$3,CLAVE_BOV2,$A134)+SUMIFS(SALIDAS_BOV3,FECHA_BOV3,"&gt;="&amp;CW$2,FECHA_BOV3,"&lt;="&amp;CW$3,CLAVE_BOV3,$A134)+SUMIFS(SALIDAS_TC,FECHA_TC,"&gt;="&amp;CW$2,FECHA_TC,"&lt;="&amp;CW$3,CLAVE_TC,$A134)+SUMIFS(SALIDAS_COMB,FECHA_COMB,"&gt;="&amp;CW$2,FECHA_COMB,"&lt;="&amp;CW$3,CLAVE_COMB,$A134)+SUMIFS(SALIDAS_DES,FECHA_DESGLOSEN,"&gt;="&amp;CW$2,FECHA_DESGLOSEN,"&lt;="&amp;CW$3,CLAVE_DESGLOSE,$A134)</f>
        <v>0</v>
      </c>
      <c r="CX134" s="13">
        <f>SUMIFS(SALIDAS_BIT,FECHA_BIT,"&gt;="&amp;CX$2,FECHA_BIT,"&lt;="&amp;CX$3,CLAVE_BIT,$A134)+SUMIFS(SALIDAS_BOV1,FECHA_BOV1,"&gt;="&amp;CX$2,FECHA_BOV1,"&lt;="&amp;CX$3,CLAVE_BOV1,$A134)+SUMIFS(SALIDAS_BOV2,FECHA_BOV2,"&gt;="&amp;CX$2,FECHA_BOV2,"&lt;="&amp;CX$3,CLAVE_BOV2,$A134)+SUMIFS(SALIDAS_BOV3,FECHA_BOV3,"&gt;="&amp;CX$2,FECHA_BOV3,"&lt;="&amp;CX$3,CLAVE_BOV3,$A134)+SUMIFS(SALIDAS_TC,FECHA_TC,"&gt;="&amp;CX$2,FECHA_TC,"&lt;="&amp;CX$3,CLAVE_TC,$A134)+SUMIFS(SALIDAS_COMB,FECHA_COMB,"&gt;="&amp;CX$2,FECHA_COMB,"&lt;="&amp;CX$3,CLAVE_COMB,$A134)+SUMIFS(SALIDAS_DES,FECHA_DESGLOSEN,"&gt;="&amp;CX$2,FECHA_DESGLOSEN,"&lt;="&amp;CX$3,CLAVE_DESGLOSE,$A134)</f>
        <v>0</v>
      </c>
      <c r="CY134" s="13">
        <f>SUMIFS(SALIDAS_BIT,FECHA_BIT,"&gt;="&amp;CY$2,FECHA_BIT,"&lt;="&amp;CY$3,CLAVE_BIT,$A134)+SUMIFS(SALIDAS_BOV1,FECHA_BOV1,"&gt;="&amp;CY$2,FECHA_BOV1,"&lt;="&amp;CY$3,CLAVE_BOV1,$A134)+SUMIFS(SALIDAS_BOV2,FECHA_BOV2,"&gt;="&amp;CY$2,FECHA_BOV2,"&lt;="&amp;CY$3,CLAVE_BOV2,$A134)+SUMIFS(SALIDAS_BOV3,FECHA_BOV3,"&gt;="&amp;CY$2,FECHA_BOV3,"&lt;="&amp;CY$3,CLAVE_BOV3,$A134)+SUMIFS(SALIDAS_TC,FECHA_TC,"&gt;="&amp;CY$2,FECHA_TC,"&lt;="&amp;CY$3,CLAVE_TC,$A134)+SUMIFS(SALIDAS_COMB,FECHA_COMB,"&gt;="&amp;CY$2,FECHA_COMB,"&lt;="&amp;CY$3,CLAVE_COMB,$A134)+SUMIFS(SALIDAS_DES,FECHA_DESGLOSEN,"&gt;="&amp;CY$2,FECHA_DESGLOSEN,"&lt;="&amp;CY$3,CLAVE_DESGLOSE,$A134)</f>
        <v>0</v>
      </c>
      <c r="CZ134" s="68">
        <f t="shared" si="175"/>
        <v>0</v>
      </c>
      <c r="DB134" s="17">
        <f>F134+N134+W134+AE134+AM134+AV134+BD134+BL134+BU134+CC134+CK134</f>
        <v>89642</v>
      </c>
      <c r="DC134" s="17">
        <f>K134+T134+AB134+AJ134+AS134+BA134+BI134+BR134+BZ134+CH134+CQ134</f>
        <v>121678</v>
      </c>
    </row>
    <row r="135" spans="1:107" hidden="1">
      <c r="A135" s="12" t="str">
        <f t="shared" si="148"/>
        <v>FINANZASENERGIA ELECTRICACEDIS</v>
      </c>
      <c r="B135" s="12">
        <v>137</v>
      </c>
      <c r="C135" t="s">
        <v>23</v>
      </c>
      <c r="D135" s="12" t="s">
        <v>87</v>
      </c>
      <c r="E135" s="12" t="s">
        <v>28</v>
      </c>
      <c r="F135" s="259">
        <f t="shared" ref="F135:F198" si="238">VLOOKUP($A135,T_PRESUPUESTO,MATCH(F$6,E_PRESUPUESTO,0),FALSE)</f>
        <v>5196</v>
      </c>
      <c r="G135" s="13">
        <f t="shared" si="229"/>
        <v>0</v>
      </c>
      <c r="H135" s="13">
        <f t="shared" si="229"/>
        <v>0</v>
      </c>
      <c r="I135" s="13">
        <f t="shared" si="229"/>
        <v>519</v>
      </c>
      <c r="J135" s="13">
        <f t="shared" si="229"/>
        <v>0</v>
      </c>
      <c r="K135" s="13">
        <f t="shared" si="229"/>
        <v>519</v>
      </c>
      <c r="L135" s="68">
        <f t="shared" si="149"/>
        <v>4677</v>
      </c>
      <c r="M135" s="268">
        <f t="shared" si="150"/>
        <v>9.9884526558891448E-2</v>
      </c>
      <c r="N135" s="13">
        <f t="shared" ref="N135:N198" si="239">VLOOKUP($A135,T_PRESUPUESTO,MATCH(N$6,E_PRESUPUESTO,0),FALSE)</f>
        <v>3885</v>
      </c>
      <c r="O135" s="13">
        <f t="shared" si="230"/>
        <v>0</v>
      </c>
      <c r="P135" s="13">
        <f t="shared" si="230"/>
        <v>0</v>
      </c>
      <c r="Q135" s="13">
        <f t="shared" si="230"/>
        <v>427</v>
      </c>
      <c r="R135" s="13">
        <f t="shared" si="230"/>
        <v>16193</v>
      </c>
      <c r="S135" s="13">
        <f t="shared" si="230"/>
        <v>0</v>
      </c>
      <c r="T135" s="13">
        <f t="shared" si="230"/>
        <v>16620</v>
      </c>
      <c r="U135" s="68">
        <f t="shared" si="151"/>
        <v>-12735</v>
      </c>
      <c r="V135" s="268">
        <f t="shared" si="152"/>
        <v>4.2779922779922783</v>
      </c>
      <c r="W135" s="13">
        <f t="shared" ref="W135:W198" si="240">VLOOKUP($A135,T_PRESUPUESTO,MATCH(W$6,E_PRESUPUESTO,0),FALSE)</f>
        <v>558</v>
      </c>
      <c r="X135" s="13">
        <f t="shared" si="231"/>
        <v>0</v>
      </c>
      <c r="Y135" s="13">
        <f t="shared" si="231"/>
        <v>0</v>
      </c>
      <c r="Z135" s="13">
        <f t="shared" si="231"/>
        <v>508</v>
      </c>
      <c r="AA135" s="13">
        <f t="shared" si="231"/>
        <v>0</v>
      </c>
      <c r="AB135" s="13">
        <f t="shared" si="231"/>
        <v>508</v>
      </c>
      <c r="AC135" s="68">
        <f t="shared" si="153"/>
        <v>50</v>
      </c>
      <c r="AD135" s="268">
        <f t="shared" si="154"/>
        <v>0.91039426523297495</v>
      </c>
      <c r="AE135" s="13">
        <f t="shared" ref="AE135:AE198" si="241">VLOOKUP($A135,T_PRESUPUESTO,MATCH(AE$6,E_PRESUPUESTO,0),FALSE)</f>
        <v>3626</v>
      </c>
      <c r="AF135" s="13">
        <f t="shared" si="232"/>
        <v>0</v>
      </c>
      <c r="AG135" s="13">
        <f t="shared" si="232"/>
        <v>0</v>
      </c>
      <c r="AH135" s="13">
        <f t="shared" si="232"/>
        <v>374</v>
      </c>
      <c r="AI135" s="13">
        <f t="shared" si="232"/>
        <v>1124</v>
      </c>
      <c r="AJ135" s="13">
        <f t="shared" si="232"/>
        <v>1498</v>
      </c>
      <c r="AK135" s="68">
        <f t="shared" si="155"/>
        <v>2128</v>
      </c>
      <c r="AL135" s="268">
        <f t="shared" si="156"/>
        <v>0.41312741312741313</v>
      </c>
      <c r="AM135" s="13">
        <f t="shared" ref="AM135:AM198" si="242">VLOOKUP($A135,T_PRESUPUESTO,MATCH(AM$6,E_PRESUPUESTO,0),FALSE)</f>
        <v>0</v>
      </c>
      <c r="AN135" s="13">
        <f t="shared" si="233"/>
        <v>0</v>
      </c>
      <c r="AO135" s="13">
        <f t="shared" si="233"/>
        <v>0</v>
      </c>
      <c r="AP135" s="13">
        <f t="shared" si="233"/>
        <v>158</v>
      </c>
      <c r="AQ135" s="13">
        <f t="shared" si="233"/>
        <v>0</v>
      </c>
      <c r="AR135" s="13">
        <f t="shared" si="233"/>
        <v>0</v>
      </c>
      <c r="AS135" s="13">
        <f t="shared" si="233"/>
        <v>158</v>
      </c>
      <c r="AT135" s="68">
        <f>AM135-AS135</f>
        <v>-158</v>
      </c>
      <c r="AU135" s="268">
        <f t="shared" si="157"/>
        <v>0</v>
      </c>
      <c r="AV135" s="13">
        <f t="shared" ref="AV135:AV198" si="243">VLOOKUP($A135,T_PRESUPUESTO,MATCH(AV$6,E_PRESUPUESTO,0),FALSE)</f>
        <v>6203</v>
      </c>
      <c r="AW135" s="13">
        <f t="shared" si="222"/>
        <v>0</v>
      </c>
      <c r="AX135" s="13">
        <f t="shared" si="222"/>
        <v>0</v>
      </c>
      <c r="AY135" s="13">
        <f t="shared" si="222"/>
        <v>332</v>
      </c>
      <c r="AZ135" s="13">
        <f t="shared" si="222"/>
        <v>9420</v>
      </c>
      <c r="BA135" s="13">
        <f t="shared" si="223"/>
        <v>9752</v>
      </c>
      <c r="BB135" s="68">
        <f t="shared" si="158"/>
        <v>-3549</v>
      </c>
      <c r="BC135" s="268">
        <f t="shared" si="159"/>
        <v>1.5721425116878929</v>
      </c>
      <c r="BD135" s="13">
        <f t="shared" si="160"/>
        <v>297</v>
      </c>
      <c r="BE135" s="13">
        <f>SUMIFS(SALIDAS_BIT,FECHA_BIT,"&gt;="&amp;BE$2,FECHA_BIT,"&lt;="&amp;BE$3,CLAVE_BIT,$A135)+SUMIFS(SALIDAS_BOV1,FECHA_BOV1,"&gt;="&amp;BE$2,FECHA_BOV1,"&lt;="&amp;BE$3,CLAVE_BOV1,$A135)+SUMIFS(SALIDAS_BOV2,FECHA_BOV2,"&gt;="&amp;BE$2,FECHA_BOV2,"&lt;="&amp;BE$3,CLAVE_BOV2,$A135)+SUMIFS(SALIDAS_BOV3,FECHA_BOV3,"&gt;="&amp;BE$2,FECHA_BOV3,"&lt;="&amp;BE$3,CLAVE_BOV3,$A135)+SUMIFS(SALIDAS_TC,FECHA_TC,"&gt;="&amp;BE$2,FECHA_TC,"&lt;="&amp;BE$3,CLAVE_TC,$A135)+SUMIFS(SALIDAS_COMB,FECHA_COMB,"&gt;="&amp;BE$2,FECHA_COMB,"&lt;="&amp;BE$3,CLAVE_COMB,$A135)+SUMIFS(SALIDAS_DES,FECHA_DESGLOSEN,"&gt;="&amp;BE$2,FECHA_DESGLOSEN,"&lt;="&amp;BE$3,CLAVE_DESGLOSE,$A135)</f>
        <v>0</v>
      </c>
      <c r="BF135" s="13">
        <f>SUMIFS(SALIDAS_BIT,FECHA_BIT,"&gt;="&amp;BF$2,FECHA_BIT,"&lt;="&amp;BF$3,CLAVE_BIT,$A135)+SUMIFS(SALIDAS_BOV1,FECHA_BOV1,"&gt;="&amp;BF$2,FECHA_BOV1,"&lt;="&amp;BF$3,CLAVE_BOV1,$A135)+SUMIFS(SALIDAS_BOV2,FECHA_BOV2,"&gt;="&amp;BF$2,FECHA_BOV2,"&lt;="&amp;BF$3,CLAVE_BOV2,$A135)+SUMIFS(SALIDAS_BOV3,FECHA_BOV3,"&gt;="&amp;BF$2,FECHA_BOV3,"&lt;="&amp;BF$3,CLAVE_BOV3,$A135)+SUMIFS(SALIDAS_TC,FECHA_TC,"&gt;="&amp;BF$2,FECHA_TC,"&lt;="&amp;BF$3,CLAVE_TC,$A135)+SUMIFS(SALIDAS_COMB,FECHA_COMB,"&gt;="&amp;BF$2,FECHA_COMB,"&lt;="&amp;BF$3,CLAVE_COMB,$A135)+SUMIFS(SALIDAS_DES,FECHA_DESGLOSEN,"&gt;="&amp;BF$2,FECHA_DESGLOSEN,"&lt;="&amp;BF$3,CLAVE_DESGLOSE,$A135)</f>
        <v>0</v>
      </c>
      <c r="BG135" s="13">
        <f>SUMIFS(SALIDAS_BIT,FECHA_BIT,"&gt;="&amp;BG$2,FECHA_BIT,"&lt;="&amp;BG$3,CLAVE_BIT,$A135)+SUMIFS(SALIDAS_BOV1,FECHA_BOV1,"&gt;="&amp;BG$2,FECHA_BOV1,"&lt;="&amp;BG$3,CLAVE_BOV1,$A135)+SUMIFS(SALIDAS_BOV2,FECHA_BOV2,"&gt;="&amp;BG$2,FECHA_BOV2,"&lt;="&amp;BG$3,CLAVE_BOV2,$A135)+SUMIFS(SALIDAS_BOV3,FECHA_BOV3,"&gt;="&amp;BG$2,FECHA_BOV3,"&lt;="&amp;BG$3,CLAVE_BOV3,$A135)+SUMIFS(SALIDAS_TC,FECHA_TC,"&gt;="&amp;BG$2,FECHA_TC,"&lt;="&amp;BG$3,CLAVE_TC,$A135)+SUMIFS(SALIDAS_COMB,FECHA_COMB,"&gt;="&amp;BG$2,FECHA_COMB,"&lt;="&amp;BG$3,CLAVE_COMB,$A135)+SUMIFS(SALIDAS_DES,FECHA_DESGLOSEN,"&gt;="&amp;BG$2,FECHA_DESGLOSEN,"&lt;="&amp;BG$3,CLAVE_DESGLOSE,$A135)</f>
        <v>484</v>
      </c>
      <c r="BH135" s="13">
        <f>SUMIFS(SALIDAS_BIT,FECHA_BIT,"&gt;="&amp;BH$2,FECHA_BIT,"&lt;="&amp;BH$3,CLAVE_BIT,$A135)+SUMIFS(SALIDAS_BOV1,FECHA_BOV1,"&gt;="&amp;BH$2,FECHA_BOV1,"&lt;="&amp;BH$3,CLAVE_BOV1,$A135)+SUMIFS(SALIDAS_BOV2,FECHA_BOV2,"&gt;="&amp;BH$2,FECHA_BOV2,"&lt;="&amp;BH$3,CLAVE_BOV2,$A135)+SUMIFS(SALIDAS_BOV3,FECHA_BOV3,"&gt;="&amp;BH$2,FECHA_BOV3,"&lt;="&amp;BH$3,CLAVE_BOV3,$A135)+SUMIFS(SALIDAS_TC,FECHA_TC,"&gt;="&amp;BH$2,FECHA_TC,"&lt;="&amp;BH$3,CLAVE_TC,$A135)+SUMIFS(SALIDAS_COMB,FECHA_COMB,"&gt;="&amp;BH$2,FECHA_COMB,"&lt;="&amp;BH$3,CLAVE_COMB,$A135)+SUMIFS(SALIDAS_DES,FECHA_DESGLOSEN,"&gt;="&amp;BH$2,FECHA_DESGLOSEN,"&lt;="&amp;BH$3,CLAVE_DESGLOSE,$A135)</f>
        <v>0</v>
      </c>
      <c r="BI135" s="13">
        <f t="shared" si="215"/>
        <v>484</v>
      </c>
      <c r="BJ135" s="68">
        <f t="shared" si="161"/>
        <v>-187</v>
      </c>
      <c r="BK135" s="268">
        <f t="shared" si="162"/>
        <v>1.6296296296296295</v>
      </c>
      <c r="BL135" s="13">
        <f t="shared" si="163"/>
        <v>5687</v>
      </c>
      <c r="BM135" s="13">
        <f>SUMIFS(SALIDAS_BIT,FECHA_BIT,"&gt;="&amp;BM$2,FECHA_BIT,"&lt;="&amp;BM$3,CLAVE_BIT,$A135)+SUMIFS(SALIDAS_BOV1,FECHA_BOV1,"&gt;="&amp;BM$2,FECHA_BOV1,"&lt;="&amp;BM$3,CLAVE_BOV1,$A135)+SUMIFS(SALIDAS_BOV2,FECHA_BOV2,"&gt;="&amp;BM$2,FECHA_BOV2,"&lt;="&amp;BM$3,CLAVE_BOV2,$A135)+SUMIFS(SALIDAS_BOV3,FECHA_BOV3,"&gt;="&amp;BM$2,FECHA_BOV3,"&lt;="&amp;BM$3,CLAVE_BOV3,$A135)+SUMIFS(SALIDAS_TC,FECHA_TC,"&gt;="&amp;BM$2,FECHA_TC,"&lt;="&amp;BM$3,CLAVE_TC,$A135)+SUMIFS(SALIDAS_COMB,FECHA_COMB,"&gt;="&amp;BM$2,FECHA_COMB,"&lt;="&amp;BM$3,CLAVE_COMB,$A135)+SUMIFS(SALIDAS_DES,FECHA_DESGLOSEN,"&gt;="&amp;BM$2,FECHA_DESGLOSEN,"&lt;="&amp;BM$3,CLAVE_DESGLOSE,$A135)</f>
        <v>0</v>
      </c>
      <c r="BN135" s="13">
        <f>SUMIFS(SALIDAS_BIT,FECHA_BIT,"&gt;="&amp;BN$2,FECHA_BIT,"&lt;="&amp;BN$3,CLAVE_BIT,$A135)+SUMIFS(SALIDAS_BOV1,FECHA_BOV1,"&gt;="&amp;BN$2,FECHA_BOV1,"&lt;="&amp;BN$3,CLAVE_BOV1,$A135)+SUMIFS(SALIDAS_BOV2,FECHA_BOV2,"&gt;="&amp;BN$2,FECHA_BOV2,"&lt;="&amp;BN$3,CLAVE_BOV2,$A135)+SUMIFS(SALIDAS_BOV3,FECHA_BOV3,"&gt;="&amp;BN$2,FECHA_BOV3,"&lt;="&amp;BN$3,CLAVE_BOV3,$A135)+SUMIFS(SALIDAS_TC,FECHA_TC,"&gt;="&amp;BN$2,FECHA_TC,"&lt;="&amp;BN$3,CLAVE_TC,$A135)+SUMIFS(SALIDAS_COMB,FECHA_COMB,"&gt;="&amp;BN$2,FECHA_COMB,"&lt;="&amp;BN$3,CLAVE_COMB,$A135)+SUMIFS(SALIDAS_DES,FECHA_DESGLOSEN,"&gt;="&amp;BN$2,FECHA_DESGLOSEN,"&lt;="&amp;BN$3,CLAVE_DESGLOSE,$A135)</f>
        <v>0</v>
      </c>
      <c r="BO135" s="13">
        <f>SUMIFS(SALIDAS_BIT,FECHA_BIT,"&gt;="&amp;BO$2,FECHA_BIT,"&lt;="&amp;BO$3,CLAVE_BIT,$A135)+SUMIFS(SALIDAS_BOV1,FECHA_BOV1,"&gt;="&amp;BO$2,FECHA_BOV1,"&lt;="&amp;BO$3,CLAVE_BOV1,$A135)+SUMIFS(SALIDAS_BOV2,FECHA_BOV2,"&gt;="&amp;BO$2,FECHA_BOV2,"&lt;="&amp;BO$3,CLAVE_BOV2,$A135)+SUMIFS(SALIDAS_BOV3,FECHA_BOV3,"&gt;="&amp;BO$2,FECHA_BOV3,"&lt;="&amp;BO$3,CLAVE_BOV3,$A135)+SUMIFS(SALIDAS_TC,FECHA_TC,"&gt;="&amp;BO$2,FECHA_TC,"&lt;="&amp;BO$3,CLAVE_TC,$A135)+SUMIFS(SALIDAS_COMB,FECHA_COMB,"&gt;="&amp;BO$2,FECHA_COMB,"&lt;="&amp;BO$3,CLAVE_COMB,$A135)+SUMIFS(SALIDAS_DES,FECHA_DESGLOSEN,"&gt;="&amp;BO$2,FECHA_DESGLOSEN,"&lt;="&amp;BO$3,CLAVE_DESGLOSE,$A135)</f>
        <v>0</v>
      </c>
      <c r="BP135" s="13">
        <f>SUMIFS(SALIDAS_BIT,FECHA_BIT,"&gt;="&amp;BP$2,FECHA_BIT,"&lt;="&amp;BP$3,CLAVE_BIT,$A135)+SUMIFS(SALIDAS_BOV1,FECHA_BOV1,"&gt;="&amp;BP$2,FECHA_BOV1,"&lt;="&amp;BP$3,CLAVE_BOV1,$A135)+SUMIFS(SALIDAS_BOV2,FECHA_BOV2,"&gt;="&amp;BP$2,FECHA_BOV2,"&lt;="&amp;BP$3,CLAVE_BOV2,$A135)+SUMIFS(SALIDAS_BOV3,FECHA_BOV3,"&gt;="&amp;BP$2,FECHA_BOV3,"&lt;="&amp;BP$3,CLAVE_BOV3,$A135)+SUMIFS(SALIDAS_TC,FECHA_TC,"&gt;="&amp;BP$2,FECHA_TC,"&lt;="&amp;BP$3,CLAVE_TC,$A135)+SUMIFS(SALIDAS_COMB,FECHA_COMB,"&gt;="&amp;BP$2,FECHA_COMB,"&lt;="&amp;BP$3,CLAVE_COMB,$A135)+SUMIFS(SALIDAS_DES,FECHA_DESGLOSEN,"&gt;="&amp;BP$2,FECHA_DESGLOSEN,"&lt;="&amp;BP$3,CLAVE_DESGLOSE,$A135)</f>
        <v>518</v>
      </c>
      <c r="BQ135" s="13">
        <f>SUMIFS(SALIDAS_BIT,FECHA_BIT,"&gt;="&amp;BQ$2,FECHA_BIT,"&lt;="&amp;BQ$3,CLAVE_BIT,$A135)+SUMIFS(SALIDAS_BOV1,FECHA_BOV1,"&gt;="&amp;BQ$2,FECHA_BOV1,"&lt;="&amp;BQ$3,CLAVE_BOV1,$A135)+SUMIFS(SALIDAS_BOV2,FECHA_BOV2,"&gt;="&amp;BQ$2,FECHA_BOV2,"&lt;="&amp;BQ$3,CLAVE_BOV2,$A135)+SUMIFS(SALIDAS_BOV3,FECHA_BOV3,"&gt;="&amp;BQ$2,FECHA_BOV3,"&lt;="&amp;BQ$3,CLAVE_BOV3,$A135)+SUMIFS(SALIDAS_TC,FECHA_TC,"&gt;="&amp;BQ$2,FECHA_TC,"&lt;="&amp;BQ$3,CLAVE_TC,$A135)+SUMIFS(SALIDAS_COMB,FECHA_COMB,"&gt;="&amp;BQ$2,FECHA_COMB,"&lt;="&amp;BQ$3,CLAVE_COMB,$A135)+SUMIFS(SALIDAS_DES,FECHA_DESGLOSEN,"&gt;="&amp;BQ$2,FECHA_DESGLOSEN,"&lt;="&amp;BQ$3,CLAVE_DESGLOSE,$A135)</f>
        <v>33684</v>
      </c>
      <c r="BR135" s="13">
        <f t="shared" si="234"/>
        <v>34202</v>
      </c>
      <c r="BS135" s="68">
        <f t="shared" si="164"/>
        <v>-28515</v>
      </c>
      <c r="BT135" s="268">
        <f t="shared" si="165"/>
        <v>6.0140671707402849</v>
      </c>
      <c r="BU135" s="13">
        <f t="shared" si="166"/>
        <v>500</v>
      </c>
      <c r="BV135" s="13">
        <f t="shared" si="186"/>
        <v>0</v>
      </c>
      <c r="BW135" s="13">
        <f t="shared" si="186"/>
        <v>0</v>
      </c>
      <c r="BX135" s="13">
        <f t="shared" si="186"/>
        <v>254</v>
      </c>
      <c r="BY135" s="13">
        <f t="shared" si="186"/>
        <v>0</v>
      </c>
      <c r="BZ135" s="13">
        <f t="shared" si="235"/>
        <v>254</v>
      </c>
      <c r="CA135" s="68">
        <f t="shared" si="167"/>
        <v>246</v>
      </c>
      <c r="CB135" s="268">
        <f t="shared" si="168"/>
        <v>0.50800000000000001</v>
      </c>
      <c r="CC135" s="13">
        <f t="shared" si="169"/>
        <v>3700</v>
      </c>
      <c r="CD135" s="13">
        <f t="shared" si="187"/>
        <v>0</v>
      </c>
      <c r="CE135" s="13">
        <f t="shared" si="187"/>
        <v>0</v>
      </c>
      <c r="CF135" s="13">
        <f t="shared" si="187"/>
        <v>0</v>
      </c>
      <c r="CG135" s="13">
        <f t="shared" si="187"/>
        <v>10830</v>
      </c>
      <c r="CH135" s="13">
        <f t="shared" si="236"/>
        <v>10830</v>
      </c>
      <c r="CI135" s="68">
        <f t="shared" si="170"/>
        <v>-7130</v>
      </c>
      <c r="CJ135" s="268">
        <f t="shared" si="171"/>
        <v>2.9270270270270271</v>
      </c>
      <c r="CK135" s="13">
        <f t="shared" si="172"/>
        <v>500</v>
      </c>
      <c r="CL135" s="13">
        <f t="shared" si="228"/>
        <v>285</v>
      </c>
      <c r="CM135" s="13">
        <f t="shared" si="228"/>
        <v>0</v>
      </c>
      <c r="CN135" s="13">
        <f t="shared" si="228"/>
        <v>0</v>
      </c>
      <c r="CO135" s="13">
        <f t="shared" si="228"/>
        <v>702</v>
      </c>
      <c r="CP135" s="13">
        <f t="shared" si="228"/>
        <v>0</v>
      </c>
      <c r="CQ135" s="13">
        <f t="shared" si="237"/>
        <v>987</v>
      </c>
      <c r="CR135" s="68">
        <f t="shared" si="173"/>
        <v>-487</v>
      </c>
      <c r="CS135" s="268">
        <f t="shared" si="174"/>
        <v>1.974</v>
      </c>
      <c r="CT135" s="68">
        <f t="shared" ref="CT135:CT198" si="244">VLOOKUP($A135,T_PRESUPUESTO,MATCH(CT$6,E_PRESUPUESTO,0),FALSE)</f>
        <v>1000</v>
      </c>
      <c r="CU135" s="13">
        <f>SUMIFS(SALIDAS_BIT,FECHA_BIT,"&gt;="&amp;CU$2,FECHA_BIT,"&lt;="&amp;CU$3,CLAVE_BIT,$A135)+SUMIFS(SALIDAS_BOV1,FECHA_BOV1,"&gt;="&amp;CU$2,FECHA_BOV1,"&lt;="&amp;CU$3,CLAVE_BOV1,$A135)+SUMIFS(SALIDAS_BOV2,FECHA_BOV2,"&gt;="&amp;CU$2,FECHA_BOV2,"&lt;="&amp;CU$3,CLAVE_BOV2,$A135)+SUMIFS(SALIDAS_BOV3,FECHA_BOV3,"&gt;="&amp;CU$2,FECHA_BOV3,"&lt;="&amp;CU$3,CLAVE_BOV3,$A135)+SUMIFS(SALIDAS_TC,FECHA_TC,"&gt;="&amp;CU$2,FECHA_TC,"&lt;="&amp;CU$3,CLAVE_TC,$A135)+SUMIFS(SALIDAS_COMB,FECHA_COMB,"&gt;="&amp;CU$2,FECHA_COMB,"&lt;="&amp;CU$3,CLAVE_COMB,$A135)+SUMIFS(SALIDAS_DES,FECHA_DESGLOSEN,"&gt;="&amp;CU$2,FECHA_DESGLOSEN,"&lt;="&amp;CU$3,CLAVE_DESGLOSE,$A135)</f>
        <v>0</v>
      </c>
      <c r="CV135" s="13">
        <f>SUMIFS(SALIDAS_BIT,FECHA_BIT,"&gt;="&amp;CV$2,FECHA_BIT,"&lt;="&amp;CV$3,CLAVE_BIT,$A135)+SUMIFS(SALIDAS_BOV1,FECHA_BOV1,"&gt;="&amp;CV$2,FECHA_BOV1,"&lt;="&amp;CV$3,CLAVE_BOV1,$A135)+SUMIFS(SALIDAS_BOV2,FECHA_BOV2,"&gt;="&amp;CV$2,FECHA_BOV2,"&lt;="&amp;CV$3,CLAVE_BOV2,$A135)+SUMIFS(SALIDAS_BOV3,FECHA_BOV3,"&gt;="&amp;CV$2,FECHA_BOV3,"&lt;="&amp;CV$3,CLAVE_BOV3,$A135)+SUMIFS(SALIDAS_TC,FECHA_TC,"&gt;="&amp;CV$2,FECHA_TC,"&lt;="&amp;CV$3,CLAVE_TC,$A135)+SUMIFS(SALIDAS_COMB,FECHA_COMB,"&gt;="&amp;CV$2,FECHA_COMB,"&lt;="&amp;CV$3,CLAVE_COMB,$A135)+SUMIFS(SALIDAS_DES,FECHA_DESGLOSEN,"&gt;="&amp;CV$2,FECHA_DESGLOSEN,"&lt;="&amp;CV$3,CLAVE_DESGLOSE,$A135)</f>
        <v>0</v>
      </c>
      <c r="CW135" s="13">
        <f>SUMIFS(SALIDAS_BIT,FECHA_BIT,"&gt;="&amp;CW$2,FECHA_BIT,"&lt;="&amp;CW$3,CLAVE_BIT,$A135)+SUMIFS(SALIDAS_BOV1,FECHA_BOV1,"&gt;="&amp;CW$2,FECHA_BOV1,"&lt;="&amp;CW$3,CLAVE_BOV1,$A135)+SUMIFS(SALIDAS_BOV2,FECHA_BOV2,"&gt;="&amp;CW$2,FECHA_BOV2,"&lt;="&amp;CW$3,CLAVE_BOV2,$A135)+SUMIFS(SALIDAS_BOV3,FECHA_BOV3,"&gt;="&amp;CW$2,FECHA_BOV3,"&lt;="&amp;CW$3,CLAVE_BOV3,$A135)+SUMIFS(SALIDAS_TC,FECHA_TC,"&gt;="&amp;CW$2,FECHA_TC,"&lt;="&amp;CW$3,CLAVE_TC,$A135)+SUMIFS(SALIDAS_COMB,FECHA_COMB,"&gt;="&amp;CW$2,FECHA_COMB,"&lt;="&amp;CW$3,CLAVE_COMB,$A135)+SUMIFS(SALIDAS_DES,FECHA_DESGLOSEN,"&gt;="&amp;CW$2,FECHA_DESGLOSEN,"&lt;="&amp;CW$3,CLAVE_DESGLOSE,$A135)</f>
        <v>636</v>
      </c>
      <c r="CX135" s="13">
        <f>SUMIFS(SALIDAS_BIT,FECHA_BIT,"&gt;="&amp;CX$2,FECHA_BIT,"&lt;="&amp;CX$3,CLAVE_BIT,$A135)+SUMIFS(SALIDAS_BOV1,FECHA_BOV1,"&gt;="&amp;CX$2,FECHA_BOV1,"&lt;="&amp;CX$3,CLAVE_BOV1,$A135)+SUMIFS(SALIDAS_BOV2,FECHA_BOV2,"&gt;="&amp;CX$2,FECHA_BOV2,"&lt;="&amp;CX$3,CLAVE_BOV2,$A135)+SUMIFS(SALIDAS_BOV3,FECHA_BOV3,"&gt;="&amp;CX$2,FECHA_BOV3,"&lt;="&amp;CX$3,CLAVE_BOV3,$A135)+SUMIFS(SALIDAS_TC,FECHA_TC,"&gt;="&amp;CX$2,FECHA_TC,"&lt;="&amp;CX$3,CLAVE_TC,$A135)+SUMIFS(SALIDAS_COMB,FECHA_COMB,"&gt;="&amp;CX$2,FECHA_COMB,"&lt;="&amp;CX$3,CLAVE_COMB,$A135)+SUMIFS(SALIDAS_DES,FECHA_DESGLOSEN,"&gt;="&amp;CX$2,FECHA_DESGLOSEN,"&lt;="&amp;CX$3,CLAVE_DESGLOSE,$A135)</f>
        <v>0</v>
      </c>
      <c r="CY135" s="13">
        <f>SUMIFS(SALIDAS_BIT,FECHA_BIT,"&gt;="&amp;CY$2,FECHA_BIT,"&lt;="&amp;CY$3,CLAVE_BIT,$A135)+SUMIFS(SALIDAS_BOV1,FECHA_BOV1,"&gt;="&amp;CY$2,FECHA_BOV1,"&lt;="&amp;CY$3,CLAVE_BOV1,$A135)+SUMIFS(SALIDAS_BOV2,FECHA_BOV2,"&gt;="&amp;CY$2,FECHA_BOV2,"&lt;="&amp;CY$3,CLAVE_BOV2,$A135)+SUMIFS(SALIDAS_BOV3,FECHA_BOV3,"&gt;="&amp;CY$2,FECHA_BOV3,"&lt;="&amp;CY$3,CLAVE_BOV3,$A135)+SUMIFS(SALIDAS_TC,FECHA_TC,"&gt;="&amp;CY$2,FECHA_TC,"&lt;="&amp;CY$3,CLAVE_TC,$A135)+SUMIFS(SALIDAS_COMB,FECHA_COMB,"&gt;="&amp;CY$2,FECHA_COMB,"&lt;="&amp;CY$3,CLAVE_COMB,$A135)+SUMIFS(SALIDAS_DES,FECHA_DESGLOSEN,"&gt;="&amp;CY$2,FECHA_DESGLOSEN,"&lt;="&amp;CY$3,CLAVE_DESGLOSE,$A135)</f>
        <v>636</v>
      </c>
      <c r="CZ135" s="68">
        <f t="shared" si="175"/>
        <v>364</v>
      </c>
      <c r="DB135" s="17">
        <f>F135+N135+W135+AE135+AM135+AV135+BD135+BL135+BU135+CC135+CK135</f>
        <v>30152</v>
      </c>
      <c r="DC135" s="17">
        <f>K135+T135+AB135+AJ135+AS135+BA135+BI135+BR135+BZ135+CH135+CQ135</f>
        <v>75812</v>
      </c>
    </row>
    <row r="136" spans="1:107" hidden="1">
      <c r="A136" s="12" t="str">
        <f t="shared" ref="A136:A199" si="245">C136&amp;D136&amp;E136</f>
        <v>FINANZASENERGIA ELECTRICACONTABILIDAD</v>
      </c>
      <c r="B136" s="12">
        <v>138</v>
      </c>
      <c r="C136" t="s">
        <v>23</v>
      </c>
      <c r="D136" s="12" t="s">
        <v>87</v>
      </c>
      <c r="E136" s="12" t="s">
        <v>37</v>
      </c>
      <c r="F136" s="259">
        <f t="shared" si="238"/>
        <v>1500</v>
      </c>
      <c r="G136" s="13">
        <f t="shared" si="229"/>
        <v>0</v>
      </c>
      <c r="H136" s="13">
        <f t="shared" si="229"/>
        <v>0</v>
      </c>
      <c r="I136" s="13">
        <f t="shared" si="229"/>
        <v>0</v>
      </c>
      <c r="J136" s="13">
        <f t="shared" si="229"/>
        <v>0</v>
      </c>
      <c r="K136" s="13">
        <f t="shared" si="229"/>
        <v>0</v>
      </c>
      <c r="L136" s="68">
        <f t="shared" ref="L136:L199" si="246">F136-K136</f>
        <v>1500</v>
      </c>
      <c r="M136" s="268">
        <f t="shared" ref="M136:M199" si="247">IFERROR((K136/F136),0)</f>
        <v>0</v>
      </c>
      <c r="N136" s="13">
        <f t="shared" si="239"/>
        <v>0</v>
      </c>
      <c r="O136" s="13">
        <f t="shared" si="230"/>
        <v>0</v>
      </c>
      <c r="P136" s="13">
        <f t="shared" si="230"/>
        <v>0</v>
      </c>
      <c r="Q136" s="13">
        <f t="shared" si="230"/>
        <v>0</v>
      </c>
      <c r="R136" s="13">
        <f t="shared" si="230"/>
        <v>0</v>
      </c>
      <c r="S136" s="13">
        <f t="shared" si="230"/>
        <v>0</v>
      </c>
      <c r="T136" s="13">
        <f t="shared" si="230"/>
        <v>0</v>
      </c>
      <c r="U136" s="68">
        <f t="shared" ref="U136:U199" si="248">N136-T136</f>
        <v>0</v>
      </c>
      <c r="V136" s="268">
        <f t="shared" ref="V136:V199" si="249">IFERROR((T136/N136),0)</f>
        <v>0</v>
      </c>
      <c r="W136" s="13">
        <f t="shared" si="240"/>
        <v>1500</v>
      </c>
      <c r="X136" s="13">
        <f>SUMIFS(SALIDAS_BIT,FECHA_BIT,"&gt;="&amp;X$2,FECHA_BIT,"&lt;="&amp;X$3,CLAVE_BIT,$A136)+SUMIFS(SALIDAS_BOV1,FECHA_BOV1,"&gt;="&amp;X$2,FECHA_BOV1,"&lt;="&amp;X$3,CLAVE_BOV1,$A136)+SUMIFS(SALIDAS_BOV2,FECHA_BOV2,"&gt;="&amp;X$2,FECHA_BOV2,"&lt;="&amp;X$3,CLAVE_BOV2,$A136)+SUMIFS(SALIDAS_BOV3,FECHA_BOV3,"&gt;="&amp;X$2,FECHA_BOV3,"&lt;="&amp;X$3,CLAVE_BOV3,$A136)+SUMIFS(SALIDAS_TC,FECHA_TC,"&gt;="&amp;X$2,FECHA_TC,"&lt;="&amp;X$3,CLAVE_TC,$A136)+SUMIFS(SALIDAS_COMB,FECHA_COMB,"&gt;="&amp;X$2,FECHA_COMB,"&lt;="&amp;X$3,CLAVE_COMB,$A136)+SUMIFS(SALIDAS_DES,FECHA_DESGLOSEN,"&gt;="&amp;X$2,FECHA_DESGLOSEN,"&lt;="&amp;X$3,CLAVE_DESGLOSE,$A136)</f>
        <v>0</v>
      </c>
      <c r="Y136" s="13">
        <f t="shared" si="231"/>
        <v>0</v>
      </c>
      <c r="Z136" s="13">
        <f t="shared" si="231"/>
        <v>0</v>
      </c>
      <c r="AA136" s="13">
        <f t="shared" si="231"/>
        <v>0</v>
      </c>
      <c r="AB136" s="13">
        <f t="shared" si="231"/>
        <v>0</v>
      </c>
      <c r="AC136" s="68">
        <f t="shared" ref="AC136:AC199" si="250">W136-AB136</f>
        <v>1500</v>
      </c>
      <c r="AD136" s="268">
        <f t="shared" ref="AD136:AD199" si="251">IFERROR((AB136/W136),0)</f>
        <v>0</v>
      </c>
      <c r="AE136" s="13">
        <f t="shared" si="241"/>
        <v>0</v>
      </c>
      <c r="AF136" s="13">
        <f t="shared" si="232"/>
        <v>0</v>
      </c>
      <c r="AG136" s="13">
        <f t="shared" si="232"/>
        <v>0</v>
      </c>
      <c r="AH136" s="13">
        <f t="shared" si="232"/>
        <v>0</v>
      </c>
      <c r="AI136" s="13">
        <f t="shared" si="232"/>
        <v>0</v>
      </c>
      <c r="AJ136" s="13">
        <f t="shared" si="232"/>
        <v>0</v>
      </c>
      <c r="AK136" s="68">
        <f t="shared" ref="AK136:AK199" si="252">AE136-AJ136</f>
        <v>0</v>
      </c>
      <c r="AL136" s="268">
        <f t="shared" ref="AL136:AL199" si="253">IFERROR((AJ136/AE136),0)</f>
        <v>0</v>
      </c>
      <c r="AM136" s="13">
        <f t="shared" si="242"/>
        <v>1500</v>
      </c>
      <c r="AN136" s="13">
        <f t="shared" si="233"/>
        <v>0</v>
      </c>
      <c r="AO136" s="13">
        <f t="shared" si="233"/>
        <v>0</v>
      </c>
      <c r="AP136" s="13">
        <f t="shared" si="233"/>
        <v>0</v>
      </c>
      <c r="AQ136" s="13">
        <f t="shared" si="233"/>
        <v>0</v>
      </c>
      <c r="AR136" s="13">
        <f t="shared" si="233"/>
        <v>0</v>
      </c>
      <c r="AS136" s="13">
        <f t="shared" si="233"/>
        <v>0</v>
      </c>
      <c r="AT136" s="68">
        <f>AM136-AS136</f>
        <v>1500</v>
      </c>
      <c r="AU136" s="268">
        <f t="shared" ref="AU136:AU199" si="254">IFERROR((AS136/AM136),0)</f>
        <v>0</v>
      </c>
      <c r="AV136" s="13">
        <f t="shared" si="243"/>
        <v>0</v>
      </c>
      <c r="AW136" s="13">
        <f t="shared" si="222"/>
        <v>0</v>
      </c>
      <c r="AX136" s="13">
        <f t="shared" si="222"/>
        <v>0</v>
      </c>
      <c r="AY136" s="13">
        <f t="shared" si="222"/>
        <v>0</v>
      </c>
      <c r="AZ136" s="13">
        <f t="shared" si="222"/>
        <v>0</v>
      </c>
      <c r="BA136" s="13">
        <f t="shared" si="223"/>
        <v>0</v>
      </c>
      <c r="BB136" s="68">
        <f t="shared" ref="BB136:BB199" si="255">AV136-BA136</f>
        <v>0</v>
      </c>
      <c r="BC136" s="268">
        <f t="shared" ref="BC136:BC199" si="256">IFERROR((BA136/AV136),0)</f>
        <v>0</v>
      </c>
      <c r="BD136" s="13">
        <f t="shared" ref="BD136:BD199" si="257">VLOOKUP($A136,T_PRESUPUESTO,MATCH(BD$6,E_PRESUPUESTO,0),FALSE)</f>
        <v>1500</v>
      </c>
      <c r="BE136" s="13">
        <f>SUMIFS(SALIDAS_BIT,FECHA_BIT,"&gt;="&amp;BE$2,FECHA_BIT,"&lt;="&amp;BE$3,CLAVE_BIT,$A136)+SUMIFS(SALIDAS_BOV1,FECHA_BOV1,"&gt;="&amp;BE$2,FECHA_BOV1,"&lt;="&amp;BE$3,CLAVE_BOV1,$A136)+SUMIFS(SALIDAS_BOV2,FECHA_BOV2,"&gt;="&amp;BE$2,FECHA_BOV2,"&lt;="&amp;BE$3,CLAVE_BOV2,$A136)+SUMIFS(SALIDAS_BOV3,FECHA_BOV3,"&gt;="&amp;BE$2,FECHA_BOV3,"&lt;="&amp;BE$3,CLAVE_BOV3,$A136)+SUMIFS(SALIDAS_TC,FECHA_TC,"&gt;="&amp;BE$2,FECHA_TC,"&lt;="&amp;BE$3,CLAVE_TC,$A136)+SUMIFS(SALIDAS_COMB,FECHA_COMB,"&gt;="&amp;BE$2,FECHA_COMB,"&lt;="&amp;BE$3,CLAVE_COMB,$A136)+SUMIFS(SALIDAS_DES,FECHA_DESGLOSEN,"&gt;="&amp;BE$2,FECHA_DESGLOSEN,"&lt;="&amp;BE$3,CLAVE_DESGLOSE,$A136)</f>
        <v>0</v>
      </c>
      <c r="BF136" s="13">
        <f>SUMIFS(SALIDAS_BIT,FECHA_BIT,"&gt;="&amp;BF$2,FECHA_BIT,"&lt;="&amp;BF$3,CLAVE_BIT,$A136)+SUMIFS(SALIDAS_BOV1,FECHA_BOV1,"&gt;="&amp;BF$2,FECHA_BOV1,"&lt;="&amp;BF$3,CLAVE_BOV1,$A136)+SUMIFS(SALIDAS_BOV2,FECHA_BOV2,"&gt;="&amp;BF$2,FECHA_BOV2,"&lt;="&amp;BF$3,CLAVE_BOV2,$A136)+SUMIFS(SALIDAS_BOV3,FECHA_BOV3,"&gt;="&amp;BF$2,FECHA_BOV3,"&lt;="&amp;BF$3,CLAVE_BOV3,$A136)+SUMIFS(SALIDAS_TC,FECHA_TC,"&gt;="&amp;BF$2,FECHA_TC,"&lt;="&amp;BF$3,CLAVE_TC,$A136)+SUMIFS(SALIDAS_COMB,FECHA_COMB,"&gt;="&amp;BF$2,FECHA_COMB,"&lt;="&amp;BF$3,CLAVE_COMB,$A136)+SUMIFS(SALIDAS_DES,FECHA_DESGLOSEN,"&gt;="&amp;BF$2,FECHA_DESGLOSEN,"&lt;="&amp;BF$3,CLAVE_DESGLOSE,$A136)</f>
        <v>0</v>
      </c>
      <c r="BG136" s="13">
        <f>SUMIFS(SALIDAS_BIT,FECHA_BIT,"&gt;="&amp;BG$2,FECHA_BIT,"&lt;="&amp;BG$3,CLAVE_BIT,$A136)+SUMIFS(SALIDAS_BOV1,FECHA_BOV1,"&gt;="&amp;BG$2,FECHA_BOV1,"&lt;="&amp;BG$3,CLAVE_BOV1,$A136)+SUMIFS(SALIDAS_BOV2,FECHA_BOV2,"&gt;="&amp;BG$2,FECHA_BOV2,"&lt;="&amp;BG$3,CLAVE_BOV2,$A136)+SUMIFS(SALIDAS_BOV3,FECHA_BOV3,"&gt;="&amp;BG$2,FECHA_BOV3,"&lt;="&amp;BG$3,CLAVE_BOV3,$A136)+SUMIFS(SALIDAS_TC,FECHA_TC,"&gt;="&amp;BG$2,FECHA_TC,"&lt;="&amp;BG$3,CLAVE_TC,$A136)+SUMIFS(SALIDAS_COMB,FECHA_COMB,"&gt;="&amp;BG$2,FECHA_COMB,"&lt;="&amp;BG$3,CLAVE_COMB,$A136)+SUMIFS(SALIDAS_DES,FECHA_DESGLOSEN,"&gt;="&amp;BG$2,FECHA_DESGLOSEN,"&lt;="&amp;BG$3,CLAVE_DESGLOSE,$A136)</f>
        <v>0</v>
      </c>
      <c r="BH136" s="13">
        <f>SUMIFS(SALIDAS_BIT,FECHA_BIT,"&gt;="&amp;BH$2,FECHA_BIT,"&lt;="&amp;BH$3,CLAVE_BIT,$A136)+SUMIFS(SALIDAS_BOV1,FECHA_BOV1,"&gt;="&amp;BH$2,FECHA_BOV1,"&lt;="&amp;BH$3,CLAVE_BOV1,$A136)+SUMIFS(SALIDAS_BOV2,FECHA_BOV2,"&gt;="&amp;BH$2,FECHA_BOV2,"&lt;="&amp;BH$3,CLAVE_BOV2,$A136)+SUMIFS(SALIDAS_BOV3,FECHA_BOV3,"&gt;="&amp;BH$2,FECHA_BOV3,"&lt;="&amp;BH$3,CLAVE_BOV3,$A136)+SUMIFS(SALIDAS_TC,FECHA_TC,"&gt;="&amp;BH$2,FECHA_TC,"&lt;="&amp;BH$3,CLAVE_TC,$A136)+SUMIFS(SALIDAS_COMB,FECHA_COMB,"&gt;="&amp;BH$2,FECHA_COMB,"&lt;="&amp;BH$3,CLAVE_COMB,$A136)+SUMIFS(SALIDAS_DES,FECHA_DESGLOSEN,"&gt;="&amp;BH$2,FECHA_DESGLOSEN,"&lt;="&amp;BH$3,CLAVE_DESGLOSE,$A136)</f>
        <v>0</v>
      </c>
      <c r="BI136" s="13">
        <f t="shared" si="215"/>
        <v>0</v>
      </c>
      <c r="BJ136" s="68">
        <f t="shared" ref="BJ136:BJ199" si="258">BD136-BI136</f>
        <v>1500</v>
      </c>
      <c r="BK136" s="268">
        <f t="shared" ref="BK136:BK199" si="259">IFERROR((BI136/BD136),0)</f>
        <v>0</v>
      </c>
      <c r="BL136" s="13">
        <f t="shared" ref="BL136:BL199" si="260">VLOOKUP($A136,T_PRESUPUESTO,MATCH(BL$6,E_PRESUPUESTO,0),FALSE)</f>
        <v>0</v>
      </c>
      <c r="BM136" s="13">
        <f>SUMIFS(SALIDAS_BIT,FECHA_BIT,"&gt;="&amp;BM$2,FECHA_BIT,"&lt;="&amp;BM$3,CLAVE_BIT,$A136)+SUMIFS(SALIDAS_BOV1,FECHA_BOV1,"&gt;="&amp;BM$2,FECHA_BOV1,"&lt;="&amp;BM$3,CLAVE_BOV1,$A136)+SUMIFS(SALIDAS_BOV2,FECHA_BOV2,"&gt;="&amp;BM$2,FECHA_BOV2,"&lt;="&amp;BM$3,CLAVE_BOV2,$A136)+SUMIFS(SALIDAS_BOV3,FECHA_BOV3,"&gt;="&amp;BM$2,FECHA_BOV3,"&lt;="&amp;BM$3,CLAVE_BOV3,$A136)+SUMIFS(SALIDAS_TC,FECHA_TC,"&gt;="&amp;BM$2,FECHA_TC,"&lt;="&amp;BM$3,CLAVE_TC,$A136)+SUMIFS(SALIDAS_COMB,FECHA_COMB,"&gt;="&amp;BM$2,FECHA_COMB,"&lt;="&amp;BM$3,CLAVE_COMB,$A136)+SUMIFS(SALIDAS_DES,FECHA_DESGLOSEN,"&gt;="&amp;BM$2,FECHA_DESGLOSEN,"&lt;="&amp;BM$3,CLAVE_DESGLOSE,$A136)</f>
        <v>0</v>
      </c>
      <c r="BN136" s="13">
        <f>SUMIFS(SALIDAS_BIT,FECHA_BIT,"&gt;="&amp;BN$2,FECHA_BIT,"&lt;="&amp;BN$3,CLAVE_BIT,$A136)+SUMIFS(SALIDAS_BOV1,FECHA_BOV1,"&gt;="&amp;BN$2,FECHA_BOV1,"&lt;="&amp;BN$3,CLAVE_BOV1,$A136)+SUMIFS(SALIDAS_BOV2,FECHA_BOV2,"&gt;="&amp;BN$2,FECHA_BOV2,"&lt;="&amp;BN$3,CLAVE_BOV2,$A136)+SUMIFS(SALIDAS_BOV3,FECHA_BOV3,"&gt;="&amp;BN$2,FECHA_BOV3,"&lt;="&amp;BN$3,CLAVE_BOV3,$A136)+SUMIFS(SALIDAS_TC,FECHA_TC,"&gt;="&amp;BN$2,FECHA_TC,"&lt;="&amp;BN$3,CLAVE_TC,$A136)+SUMIFS(SALIDAS_COMB,FECHA_COMB,"&gt;="&amp;BN$2,FECHA_COMB,"&lt;="&amp;BN$3,CLAVE_COMB,$A136)+SUMIFS(SALIDAS_DES,FECHA_DESGLOSEN,"&gt;="&amp;BN$2,FECHA_DESGLOSEN,"&lt;="&amp;BN$3,CLAVE_DESGLOSE,$A136)</f>
        <v>0</v>
      </c>
      <c r="BO136" s="13">
        <f>SUMIFS(SALIDAS_BIT,FECHA_BIT,"&gt;="&amp;BO$2,FECHA_BIT,"&lt;="&amp;BO$3,CLAVE_BIT,$A136)+SUMIFS(SALIDAS_BOV1,FECHA_BOV1,"&gt;="&amp;BO$2,FECHA_BOV1,"&lt;="&amp;BO$3,CLAVE_BOV1,$A136)+SUMIFS(SALIDAS_BOV2,FECHA_BOV2,"&gt;="&amp;BO$2,FECHA_BOV2,"&lt;="&amp;BO$3,CLAVE_BOV2,$A136)+SUMIFS(SALIDAS_BOV3,FECHA_BOV3,"&gt;="&amp;BO$2,FECHA_BOV3,"&lt;="&amp;BO$3,CLAVE_BOV3,$A136)+SUMIFS(SALIDAS_TC,FECHA_TC,"&gt;="&amp;BO$2,FECHA_TC,"&lt;="&amp;BO$3,CLAVE_TC,$A136)+SUMIFS(SALIDAS_COMB,FECHA_COMB,"&gt;="&amp;BO$2,FECHA_COMB,"&lt;="&amp;BO$3,CLAVE_COMB,$A136)+SUMIFS(SALIDAS_DES,FECHA_DESGLOSEN,"&gt;="&amp;BO$2,FECHA_DESGLOSEN,"&lt;="&amp;BO$3,CLAVE_DESGLOSE,$A136)</f>
        <v>0</v>
      </c>
      <c r="BP136" s="13">
        <f>SUMIFS(SALIDAS_BIT,FECHA_BIT,"&gt;="&amp;BP$2,FECHA_BIT,"&lt;="&amp;BP$3,CLAVE_BIT,$A136)+SUMIFS(SALIDAS_BOV1,FECHA_BOV1,"&gt;="&amp;BP$2,FECHA_BOV1,"&lt;="&amp;BP$3,CLAVE_BOV1,$A136)+SUMIFS(SALIDAS_BOV2,FECHA_BOV2,"&gt;="&amp;BP$2,FECHA_BOV2,"&lt;="&amp;BP$3,CLAVE_BOV2,$A136)+SUMIFS(SALIDAS_BOV3,FECHA_BOV3,"&gt;="&amp;BP$2,FECHA_BOV3,"&lt;="&amp;BP$3,CLAVE_BOV3,$A136)+SUMIFS(SALIDAS_TC,FECHA_TC,"&gt;="&amp;BP$2,FECHA_TC,"&lt;="&amp;BP$3,CLAVE_TC,$A136)+SUMIFS(SALIDAS_COMB,FECHA_COMB,"&gt;="&amp;BP$2,FECHA_COMB,"&lt;="&amp;BP$3,CLAVE_COMB,$A136)+SUMIFS(SALIDAS_DES,FECHA_DESGLOSEN,"&gt;="&amp;BP$2,FECHA_DESGLOSEN,"&lt;="&amp;BP$3,CLAVE_DESGLOSE,$A136)</f>
        <v>0</v>
      </c>
      <c r="BQ136" s="13">
        <f>SUMIFS(SALIDAS_BIT,FECHA_BIT,"&gt;="&amp;BQ$2,FECHA_BIT,"&lt;="&amp;BQ$3,CLAVE_BIT,$A136)+SUMIFS(SALIDAS_BOV1,FECHA_BOV1,"&gt;="&amp;BQ$2,FECHA_BOV1,"&lt;="&amp;BQ$3,CLAVE_BOV1,$A136)+SUMIFS(SALIDAS_BOV2,FECHA_BOV2,"&gt;="&amp;BQ$2,FECHA_BOV2,"&lt;="&amp;BQ$3,CLAVE_BOV2,$A136)+SUMIFS(SALIDAS_BOV3,FECHA_BOV3,"&gt;="&amp;BQ$2,FECHA_BOV3,"&lt;="&amp;BQ$3,CLAVE_BOV3,$A136)+SUMIFS(SALIDAS_TC,FECHA_TC,"&gt;="&amp;BQ$2,FECHA_TC,"&lt;="&amp;BQ$3,CLAVE_TC,$A136)+SUMIFS(SALIDAS_COMB,FECHA_COMB,"&gt;="&amp;BQ$2,FECHA_COMB,"&lt;="&amp;BQ$3,CLAVE_COMB,$A136)+SUMIFS(SALIDAS_DES,FECHA_DESGLOSEN,"&gt;="&amp;BQ$2,FECHA_DESGLOSEN,"&lt;="&amp;BQ$3,CLAVE_DESGLOSE,$A136)</f>
        <v>0</v>
      </c>
      <c r="BR136" s="13">
        <f t="shared" si="234"/>
        <v>0</v>
      </c>
      <c r="BS136" s="68">
        <f t="shared" ref="BS136:BS199" si="261">BL136-BR136</f>
        <v>0</v>
      </c>
      <c r="BT136" s="268">
        <f t="shared" ref="BT136:BT199" si="262">IFERROR((BR136/BL136),0)</f>
        <v>0</v>
      </c>
      <c r="BU136" s="13">
        <f t="shared" ref="BU136:BU199" si="263">VLOOKUP($A136,T_PRESUPUESTO,MATCH(BU$6,E_PRESUPUESTO,0),FALSE)</f>
        <v>1500</v>
      </c>
      <c r="BV136" s="13">
        <f t="shared" si="186"/>
        <v>0</v>
      </c>
      <c r="BW136" s="13">
        <f t="shared" si="186"/>
        <v>0</v>
      </c>
      <c r="BX136" s="13">
        <f t="shared" si="186"/>
        <v>0</v>
      </c>
      <c r="BY136" s="13">
        <f t="shared" si="186"/>
        <v>0</v>
      </c>
      <c r="BZ136" s="13">
        <f t="shared" si="235"/>
        <v>0</v>
      </c>
      <c r="CA136" s="68">
        <f t="shared" ref="CA136:CA199" si="264">BU136-BZ136</f>
        <v>1500</v>
      </c>
      <c r="CB136" s="268">
        <f t="shared" ref="CB136:CB199" si="265">IFERROR((BZ136/BU136),0)</f>
        <v>0</v>
      </c>
      <c r="CC136" s="13">
        <f t="shared" ref="CC136:CC199" si="266">VLOOKUP($A136,T_PRESUPUESTO,MATCH(CC$6,E_PRESUPUESTO,0),FALSE)</f>
        <v>0</v>
      </c>
      <c r="CD136" s="13">
        <f t="shared" si="187"/>
        <v>0</v>
      </c>
      <c r="CE136" s="13">
        <f t="shared" si="187"/>
        <v>0</v>
      </c>
      <c r="CF136" s="13">
        <f t="shared" si="187"/>
        <v>0</v>
      </c>
      <c r="CG136" s="13">
        <f t="shared" si="187"/>
        <v>0</v>
      </c>
      <c r="CH136" s="13">
        <f t="shared" si="236"/>
        <v>0</v>
      </c>
      <c r="CI136" s="68">
        <f t="shared" ref="CI136:CI199" si="267">CC136-CH136</f>
        <v>0</v>
      </c>
      <c r="CJ136" s="268">
        <f t="shared" ref="CJ136:CJ199" si="268">IFERROR((CH136/CC136),0)</f>
        <v>0</v>
      </c>
      <c r="CK136" s="13">
        <f t="shared" ref="CK136:CK199" si="269">VLOOKUP($A136,T_PRESUPUESTO,MATCH(CK$6,E_PRESUPUESTO,0),FALSE)</f>
        <v>1500</v>
      </c>
      <c r="CL136" s="13">
        <f t="shared" si="228"/>
        <v>0</v>
      </c>
      <c r="CM136" s="13">
        <f t="shared" si="228"/>
        <v>0</v>
      </c>
      <c r="CN136" s="13">
        <f t="shared" si="228"/>
        <v>0</v>
      </c>
      <c r="CO136" s="13">
        <f t="shared" si="228"/>
        <v>0</v>
      </c>
      <c r="CP136" s="13">
        <f t="shared" si="228"/>
        <v>0</v>
      </c>
      <c r="CQ136" s="13">
        <f t="shared" si="237"/>
        <v>0</v>
      </c>
      <c r="CR136" s="68">
        <f t="shared" ref="CR136:CR199" si="270">CK136-CQ136</f>
        <v>1500</v>
      </c>
      <c r="CS136" s="268">
        <f t="shared" ref="CS136:CS199" si="271">IFERROR((CQ136/CK136),0)</f>
        <v>0</v>
      </c>
      <c r="CT136" s="68">
        <f t="shared" si="244"/>
        <v>0</v>
      </c>
      <c r="CU136" s="13">
        <f>SUMIFS(SALIDAS_BIT,FECHA_BIT,"&gt;="&amp;CU$2,FECHA_BIT,"&lt;="&amp;CU$3,CLAVE_BIT,$A136)+SUMIFS(SALIDAS_BOV1,FECHA_BOV1,"&gt;="&amp;CU$2,FECHA_BOV1,"&lt;="&amp;CU$3,CLAVE_BOV1,$A136)+SUMIFS(SALIDAS_BOV2,FECHA_BOV2,"&gt;="&amp;CU$2,FECHA_BOV2,"&lt;="&amp;CU$3,CLAVE_BOV2,$A136)+SUMIFS(SALIDAS_BOV3,FECHA_BOV3,"&gt;="&amp;CU$2,FECHA_BOV3,"&lt;="&amp;CU$3,CLAVE_BOV3,$A136)+SUMIFS(SALIDAS_TC,FECHA_TC,"&gt;="&amp;CU$2,FECHA_TC,"&lt;="&amp;CU$3,CLAVE_TC,$A136)+SUMIFS(SALIDAS_COMB,FECHA_COMB,"&gt;="&amp;CU$2,FECHA_COMB,"&lt;="&amp;CU$3,CLAVE_COMB,$A136)+SUMIFS(SALIDAS_DES,FECHA_DESGLOSEN,"&gt;="&amp;CU$2,FECHA_DESGLOSEN,"&lt;="&amp;CU$3,CLAVE_DESGLOSE,$A136)</f>
        <v>0</v>
      </c>
      <c r="CV136" s="13">
        <f>SUMIFS(SALIDAS_BIT,FECHA_BIT,"&gt;="&amp;CV$2,FECHA_BIT,"&lt;="&amp;CV$3,CLAVE_BIT,$A136)+SUMIFS(SALIDAS_BOV1,FECHA_BOV1,"&gt;="&amp;CV$2,FECHA_BOV1,"&lt;="&amp;CV$3,CLAVE_BOV1,$A136)+SUMIFS(SALIDAS_BOV2,FECHA_BOV2,"&gt;="&amp;CV$2,FECHA_BOV2,"&lt;="&amp;CV$3,CLAVE_BOV2,$A136)+SUMIFS(SALIDAS_BOV3,FECHA_BOV3,"&gt;="&amp;CV$2,FECHA_BOV3,"&lt;="&amp;CV$3,CLAVE_BOV3,$A136)+SUMIFS(SALIDAS_TC,FECHA_TC,"&gt;="&amp;CV$2,FECHA_TC,"&lt;="&amp;CV$3,CLAVE_TC,$A136)+SUMIFS(SALIDAS_COMB,FECHA_COMB,"&gt;="&amp;CV$2,FECHA_COMB,"&lt;="&amp;CV$3,CLAVE_COMB,$A136)+SUMIFS(SALIDAS_DES,FECHA_DESGLOSEN,"&gt;="&amp;CV$2,FECHA_DESGLOSEN,"&lt;="&amp;CV$3,CLAVE_DESGLOSE,$A136)</f>
        <v>0</v>
      </c>
      <c r="CW136" s="13">
        <f>SUMIFS(SALIDAS_BIT,FECHA_BIT,"&gt;="&amp;CW$2,FECHA_BIT,"&lt;="&amp;CW$3,CLAVE_BIT,$A136)+SUMIFS(SALIDAS_BOV1,FECHA_BOV1,"&gt;="&amp;CW$2,FECHA_BOV1,"&lt;="&amp;CW$3,CLAVE_BOV1,$A136)+SUMIFS(SALIDAS_BOV2,FECHA_BOV2,"&gt;="&amp;CW$2,FECHA_BOV2,"&lt;="&amp;CW$3,CLAVE_BOV2,$A136)+SUMIFS(SALIDAS_BOV3,FECHA_BOV3,"&gt;="&amp;CW$2,FECHA_BOV3,"&lt;="&amp;CW$3,CLAVE_BOV3,$A136)+SUMIFS(SALIDAS_TC,FECHA_TC,"&gt;="&amp;CW$2,FECHA_TC,"&lt;="&amp;CW$3,CLAVE_TC,$A136)+SUMIFS(SALIDAS_COMB,FECHA_COMB,"&gt;="&amp;CW$2,FECHA_COMB,"&lt;="&amp;CW$3,CLAVE_COMB,$A136)+SUMIFS(SALIDAS_DES,FECHA_DESGLOSEN,"&gt;="&amp;CW$2,FECHA_DESGLOSEN,"&lt;="&amp;CW$3,CLAVE_DESGLOSE,$A136)</f>
        <v>0</v>
      </c>
      <c r="CX136" s="13">
        <f>SUMIFS(SALIDAS_BIT,FECHA_BIT,"&gt;="&amp;CX$2,FECHA_BIT,"&lt;="&amp;CX$3,CLAVE_BIT,$A136)+SUMIFS(SALIDAS_BOV1,FECHA_BOV1,"&gt;="&amp;CX$2,FECHA_BOV1,"&lt;="&amp;CX$3,CLAVE_BOV1,$A136)+SUMIFS(SALIDAS_BOV2,FECHA_BOV2,"&gt;="&amp;CX$2,FECHA_BOV2,"&lt;="&amp;CX$3,CLAVE_BOV2,$A136)+SUMIFS(SALIDAS_BOV3,FECHA_BOV3,"&gt;="&amp;CX$2,FECHA_BOV3,"&lt;="&amp;CX$3,CLAVE_BOV3,$A136)+SUMIFS(SALIDAS_TC,FECHA_TC,"&gt;="&amp;CX$2,FECHA_TC,"&lt;="&amp;CX$3,CLAVE_TC,$A136)+SUMIFS(SALIDAS_COMB,FECHA_COMB,"&gt;="&amp;CX$2,FECHA_COMB,"&lt;="&amp;CX$3,CLAVE_COMB,$A136)+SUMIFS(SALIDAS_DES,FECHA_DESGLOSEN,"&gt;="&amp;CX$2,FECHA_DESGLOSEN,"&lt;="&amp;CX$3,CLAVE_DESGLOSE,$A136)</f>
        <v>0</v>
      </c>
      <c r="CY136" s="13">
        <f>SUMIFS(SALIDAS_BIT,FECHA_BIT,"&gt;="&amp;CY$2,FECHA_BIT,"&lt;="&amp;CY$3,CLAVE_BIT,$A136)+SUMIFS(SALIDAS_BOV1,FECHA_BOV1,"&gt;="&amp;CY$2,FECHA_BOV1,"&lt;="&amp;CY$3,CLAVE_BOV1,$A136)+SUMIFS(SALIDAS_BOV2,FECHA_BOV2,"&gt;="&amp;CY$2,FECHA_BOV2,"&lt;="&amp;CY$3,CLAVE_BOV2,$A136)+SUMIFS(SALIDAS_BOV3,FECHA_BOV3,"&gt;="&amp;CY$2,FECHA_BOV3,"&lt;="&amp;CY$3,CLAVE_BOV3,$A136)+SUMIFS(SALIDAS_TC,FECHA_TC,"&gt;="&amp;CY$2,FECHA_TC,"&lt;="&amp;CY$3,CLAVE_TC,$A136)+SUMIFS(SALIDAS_COMB,FECHA_COMB,"&gt;="&amp;CY$2,FECHA_COMB,"&lt;="&amp;CY$3,CLAVE_COMB,$A136)+SUMIFS(SALIDAS_DES,FECHA_DESGLOSEN,"&gt;="&amp;CY$2,FECHA_DESGLOSEN,"&lt;="&amp;CY$3,CLAVE_DESGLOSE,$A136)</f>
        <v>0</v>
      </c>
      <c r="CZ136" s="68">
        <f t="shared" ref="CZ136:CZ199" si="272">CT136-CY136</f>
        <v>0</v>
      </c>
      <c r="DB136" s="17">
        <f>F136+N136+W136+AE136+AM136+AV136+BD136+BL136+BU136+CC136+CK136</f>
        <v>9000</v>
      </c>
      <c r="DC136" s="17">
        <f>K136+T136+AB136+AJ136+AS136+BA136+BI136+BR136+BZ136+CH136+CQ136</f>
        <v>0</v>
      </c>
    </row>
    <row r="137" spans="1:107" hidden="1">
      <c r="A137" s="12" t="str">
        <f t="shared" si="245"/>
        <v>FINANZASENERGIA ELECTRICAINCREMENTO 2025</v>
      </c>
      <c r="B137" s="12">
        <v>139</v>
      </c>
      <c r="C137" t="s">
        <v>23</v>
      </c>
      <c r="D137" s="12" t="s">
        <v>87</v>
      </c>
      <c r="E137" s="12" t="s">
        <v>115</v>
      </c>
      <c r="F137" s="259">
        <f t="shared" si="238"/>
        <v>15722</v>
      </c>
      <c r="G137" s="13">
        <f t="shared" ref="G137:K146" si="273">SUMIFS(SALIDAS_BIT,FECHA_BIT,"&gt;="&amp;G$2,FECHA_BIT,"&lt;="&amp;G$3,CLAVE_BIT,$A137)+SUMIFS(SALIDAS_BOV1,FECHA_BOV1,"&gt;="&amp;G$2,FECHA_BOV1,"&lt;="&amp;G$3,CLAVE_BOV1,$A137)+SUMIFS(SALIDAS_BOV2,FECHA_BOV2,"&gt;="&amp;G$2,FECHA_BOV2,"&lt;="&amp;G$3,CLAVE_BOV2,$A137)+SUMIFS(SALIDAS_BOV3,FECHA_BOV3,"&gt;="&amp;G$2,FECHA_BOV3,"&lt;="&amp;G$3,CLAVE_BOV3,$A137)+SUMIFS(SALIDAS_TC,FECHA_TC,"&gt;="&amp;G$2,FECHA_TC,"&lt;="&amp;G$3,CLAVE_TC,$A137)+SUMIFS(SALIDAS_COMB,FECHA_COMB,"&gt;="&amp;G$2,FECHA_COMB,"&lt;="&amp;G$3,CLAVE_COMB,$A137)+SUMIFS(SALIDAS_DES,FECHA_DESGLOSEN,"&gt;="&amp;G$2,FECHA_DESGLOSEN,"&lt;="&amp;G$3,CLAVE_DESGLOSE,$A137)</f>
        <v>0</v>
      </c>
      <c r="H137" s="13">
        <f t="shared" si="273"/>
        <v>0</v>
      </c>
      <c r="I137" s="13">
        <f t="shared" si="273"/>
        <v>0</v>
      </c>
      <c r="J137" s="13">
        <f t="shared" si="273"/>
        <v>0</v>
      </c>
      <c r="K137" s="13">
        <f t="shared" si="273"/>
        <v>0</v>
      </c>
      <c r="L137" s="68">
        <f t="shared" si="246"/>
        <v>15722</v>
      </c>
      <c r="M137" s="268">
        <f t="shared" si="247"/>
        <v>0</v>
      </c>
      <c r="N137" s="13">
        <f t="shared" si="239"/>
        <v>11304</v>
      </c>
      <c r="O137" s="13">
        <f t="shared" ref="O137:T146" si="274">SUMIFS(SALIDAS_BIT,FECHA_BIT,"&gt;="&amp;O$2,FECHA_BIT,"&lt;="&amp;O$3,CLAVE_BIT,$A137)+SUMIFS(SALIDAS_BOV1,FECHA_BOV1,"&gt;="&amp;O$2,FECHA_BOV1,"&lt;="&amp;O$3,CLAVE_BOV1,$A137)+SUMIFS(SALIDAS_BOV2,FECHA_BOV2,"&gt;="&amp;O$2,FECHA_BOV2,"&lt;="&amp;O$3,CLAVE_BOV2,$A137)+SUMIFS(SALIDAS_BOV3,FECHA_BOV3,"&gt;="&amp;O$2,FECHA_BOV3,"&lt;="&amp;O$3,CLAVE_BOV3,$A137)+SUMIFS(SALIDAS_TC,FECHA_TC,"&gt;="&amp;O$2,FECHA_TC,"&lt;="&amp;O$3,CLAVE_TC,$A137)+SUMIFS(SALIDAS_COMB,FECHA_COMB,"&gt;="&amp;O$2,FECHA_COMB,"&lt;="&amp;O$3,CLAVE_COMB,$A137)+SUMIFS(SALIDAS_DES,FECHA_DESGLOSEN,"&gt;="&amp;O$2,FECHA_DESGLOSEN,"&lt;="&amp;O$3,CLAVE_DESGLOSE,$A137)</f>
        <v>0</v>
      </c>
      <c r="P137" s="13">
        <f t="shared" si="274"/>
        <v>0</v>
      </c>
      <c r="Q137" s="13">
        <f t="shared" si="274"/>
        <v>0</v>
      </c>
      <c r="R137" s="13">
        <f t="shared" si="274"/>
        <v>0</v>
      </c>
      <c r="S137" s="13">
        <f t="shared" si="274"/>
        <v>0</v>
      </c>
      <c r="T137" s="13">
        <f t="shared" si="274"/>
        <v>0</v>
      </c>
      <c r="U137" s="68">
        <f t="shared" si="248"/>
        <v>11304</v>
      </c>
      <c r="V137" s="268">
        <f t="shared" si="249"/>
        <v>0</v>
      </c>
      <c r="W137" s="13">
        <f t="shared" si="240"/>
        <v>14165</v>
      </c>
      <c r="X137" s="13">
        <f t="shared" ref="X137:AB146" si="275">SUMIFS(SALIDAS_BIT,FECHA_BIT,"&gt;="&amp;X$2,FECHA_BIT,"&lt;="&amp;X$3,CLAVE_BIT,$A137)+SUMIFS(SALIDAS_BOV1,FECHA_BOV1,"&gt;="&amp;X$2,FECHA_BOV1,"&lt;="&amp;X$3,CLAVE_BOV1,$A137)+SUMIFS(SALIDAS_BOV2,FECHA_BOV2,"&gt;="&amp;X$2,FECHA_BOV2,"&lt;="&amp;X$3,CLAVE_BOV2,$A137)+SUMIFS(SALIDAS_BOV3,FECHA_BOV3,"&gt;="&amp;X$2,FECHA_BOV3,"&lt;="&amp;X$3,CLAVE_BOV3,$A137)+SUMIFS(SALIDAS_TC,FECHA_TC,"&gt;="&amp;X$2,FECHA_TC,"&lt;="&amp;X$3,CLAVE_TC,$A137)+SUMIFS(SALIDAS_COMB,FECHA_COMB,"&gt;="&amp;X$2,FECHA_COMB,"&lt;="&amp;X$3,CLAVE_COMB,$A137)+SUMIFS(SALIDAS_DES,FECHA_DESGLOSEN,"&gt;="&amp;X$2,FECHA_DESGLOSEN,"&lt;="&amp;X$3,CLAVE_DESGLOSE,$A137)</f>
        <v>0</v>
      </c>
      <c r="Y137" s="13">
        <f t="shared" si="275"/>
        <v>0</v>
      </c>
      <c r="Z137" s="13">
        <f t="shared" si="275"/>
        <v>0</v>
      </c>
      <c r="AA137" s="13">
        <f t="shared" si="275"/>
        <v>0</v>
      </c>
      <c r="AB137" s="13">
        <f t="shared" si="275"/>
        <v>0</v>
      </c>
      <c r="AC137" s="68">
        <f t="shared" si="250"/>
        <v>14165</v>
      </c>
      <c r="AD137" s="268">
        <f t="shared" si="251"/>
        <v>0</v>
      </c>
      <c r="AE137" s="13">
        <f t="shared" si="241"/>
        <v>11102</v>
      </c>
      <c r="AF137" s="13">
        <f t="shared" ref="AF137:AJ146" si="276">SUMIFS(SALIDAS_BIT,FECHA_BIT,"&gt;="&amp;AF$2,FECHA_BIT,"&lt;="&amp;AF$3,CLAVE_BIT,$A137)+SUMIFS(SALIDAS_BOV1,FECHA_BOV1,"&gt;="&amp;AF$2,FECHA_BOV1,"&lt;="&amp;AF$3,CLAVE_BOV1,$A137)+SUMIFS(SALIDAS_BOV2,FECHA_BOV2,"&gt;="&amp;AF$2,FECHA_BOV2,"&lt;="&amp;AF$3,CLAVE_BOV2,$A137)+SUMIFS(SALIDAS_BOV3,FECHA_BOV3,"&gt;="&amp;AF$2,FECHA_BOV3,"&lt;="&amp;AF$3,CLAVE_BOV3,$A137)+SUMIFS(SALIDAS_TC,FECHA_TC,"&gt;="&amp;AF$2,FECHA_TC,"&lt;="&amp;AF$3,CLAVE_TC,$A137)+SUMIFS(SALIDAS_COMB,FECHA_COMB,"&gt;="&amp;AF$2,FECHA_COMB,"&lt;="&amp;AF$3,CLAVE_COMB,$A137)+SUMIFS(SALIDAS_DES,FECHA_DESGLOSEN,"&gt;="&amp;AF$2,FECHA_DESGLOSEN,"&lt;="&amp;AF$3,CLAVE_DESGLOSE,$A137)</f>
        <v>0</v>
      </c>
      <c r="AG137" s="13">
        <f t="shared" si="276"/>
        <v>0</v>
      </c>
      <c r="AH137" s="13">
        <f t="shared" si="276"/>
        <v>0</v>
      </c>
      <c r="AI137" s="13">
        <f t="shared" si="276"/>
        <v>0</v>
      </c>
      <c r="AJ137" s="13">
        <f t="shared" si="276"/>
        <v>0</v>
      </c>
      <c r="AK137" s="68">
        <f t="shared" si="252"/>
        <v>11102</v>
      </c>
      <c r="AL137" s="268">
        <f t="shared" si="253"/>
        <v>0</v>
      </c>
      <c r="AM137" s="13">
        <f t="shared" si="242"/>
        <v>25702</v>
      </c>
      <c r="AN137" s="13">
        <f t="shared" ref="AN137:AS146" si="277">SUMIFS(SALIDAS_BIT,FECHA_BIT,"&gt;="&amp;AN$2,FECHA_BIT,"&lt;="&amp;AN$3,CLAVE_BIT,$A137)+SUMIFS(SALIDAS_BOV1,FECHA_BOV1,"&gt;="&amp;AN$2,FECHA_BOV1,"&lt;="&amp;AN$3,CLAVE_BOV1,$A137)+SUMIFS(SALIDAS_BOV2,FECHA_BOV2,"&gt;="&amp;AN$2,FECHA_BOV2,"&lt;="&amp;AN$3,CLAVE_BOV2,$A137)+SUMIFS(SALIDAS_BOV3,FECHA_BOV3,"&gt;="&amp;AN$2,FECHA_BOV3,"&lt;="&amp;AN$3,CLAVE_BOV3,$A137)+SUMIFS(SALIDAS_TC,FECHA_TC,"&gt;="&amp;AN$2,FECHA_TC,"&lt;="&amp;AN$3,CLAVE_TC,$A137)+SUMIFS(SALIDAS_COMB,FECHA_COMB,"&gt;="&amp;AN$2,FECHA_COMB,"&lt;="&amp;AN$3,CLAVE_COMB,$A137)+SUMIFS(SALIDAS_DES,FECHA_DESGLOSEN,"&gt;="&amp;AN$2,FECHA_DESGLOSEN,"&lt;="&amp;AN$3,CLAVE_DESGLOSE,$A137)</f>
        <v>0</v>
      </c>
      <c r="AO137" s="13">
        <f t="shared" si="277"/>
        <v>0</v>
      </c>
      <c r="AP137" s="13">
        <f t="shared" si="277"/>
        <v>0</v>
      </c>
      <c r="AQ137" s="13">
        <f t="shared" si="277"/>
        <v>0</v>
      </c>
      <c r="AR137" s="13">
        <f t="shared" si="277"/>
        <v>0</v>
      </c>
      <c r="AS137" s="13">
        <f t="shared" si="277"/>
        <v>0</v>
      </c>
      <c r="AT137" s="68">
        <f>AM137-AS137</f>
        <v>25702</v>
      </c>
      <c r="AU137" s="268">
        <f t="shared" si="254"/>
        <v>0</v>
      </c>
      <c r="AV137" s="13">
        <f t="shared" si="243"/>
        <v>8317</v>
      </c>
      <c r="AW137" s="13">
        <f t="shared" si="222"/>
        <v>0</v>
      </c>
      <c r="AX137" s="13">
        <f t="shared" si="222"/>
        <v>0</v>
      </c>
      <c r="AY137" s="13">
        <f t="shared" si="222"/>
        <v>0</v>
      </c>
      <c r="AZ137" s="13">
        <f t="shared" si="222"/>
        <v>0</v>
      </c>
      <c r="BA137" s="13">
        <f t="shared" si="223"/>
        <v>0</v>
      </c>
      <c r="BB137" s="68">
        <f t="shared" si="255"/>
        <v>8317</v>
      </c>
      <c r="BC137" s="268">
        <f t="shared" si="256"/>
        <v>0</v>
      </c>
      <c r="BD137" s="13">
        <f t="shared" si="257"/>
        <v>21504</v>
      </c>
      <c r="BE137" s="13">
        <f>SUMIFS(SALIDAS_BIT,FECHA_BIT,"&gt;="&amp;BE$2,FECHA_BIT,"&lt;="&amp;BE$3,CLAVE_BIT,$A137)+SUMIFS(SALIDAS_BOV1,FECHA_BOV1,"&gt;="&amp;BE$2,FECHA_BOV1,"&lt;="&amp;BE$3,CLAVE_BOV1,$A137)+SUMIFS(SALIDAS_BOV2,FECHA_BOV2,"&gt;="&amp;BE$2,FECHA_BOV2,"&lt;="&amp;BE$3,CLAVE_BOV2,$A137)+SUMIFS(SALIDAS_BOV3,FECHA_BOV3,"&gt;="&amp;BE$2,FECHA_BOV3,"&lt;="&amp;BE$3,CLAVE_BOV3,$A137)+SUMIFS(SALIDAS_TC,FECHA_TC,"&gt;="&amp;BE$2,FECHA_TC,"&lt;="&amp;BE$3,CLAVE_TC,$A137)+SUMIFS(SALIDAS_COMB,FECHA_COMB,"&gt;="&amp;BE$2,FECHA_COMB,"&lt;="&amp;BE$3,CLAVE_COMB,$A137)+SUMIFS(SALIDAS_DES,FECHA_DESGLOSEN,"&gt;="&amp;BE$2,FECHA_DESGLOSEN,"&lt;="&amp;BE$3,CLAVE_DESGLOSE,$A137)</f>
        <v>0</v>
      </c>
      <c r="BF137" s="13">
        <f>SUMIFS(SALIDAS_BIT,FECHA_BIT,"&gt;="&amp;BF$2,FECHA_BIT,"&lt;="&amp;BF$3,CLAVE_BIT,$A137)+SUMIFS(SALIDAS_BOV1,FECHA_BOV1,"&gt;="&amp;BF$2,FECHA_BOV1,"&lt;="&amp;BF$3,CLAVE_BOV1,$A137)+SUMIFS(SALIDAS_BOV2,FECHA_BOV2,"&gt;="&amp;BF$2,FECHA_BOV2,"&lt;="&amp;BF$3,CLAVE_BOV2,$A137)+SUMIFS(SALIDAS_BOV3,FECHA_BOV3,"&gt;="&amp;BF$2,FECHA_BOV3,"&lt;="&amp;BF$3,CLAVE_BOV3,$A137)+SUMIFS(SALIDAS_TC,FECHA_TC,"&gt;="&amp;BF$2,FECHA_TC,"&lt;="&amp;BF$3,CLAVE_TC,$A137)+SUMIFS(SALIDAS_COMB,FECHA_COMB,"&gt;="&amp;BF$2,FECHA_COMB,"&lt;="&amp;BF$3,CLAVE_COMB,$A137)+SUMIFS(SALIDAS_DES,FECHA_DESGLOSEN,"&gt;="&amp;BF$2,FECHA_DESGLOSEN,"&lt;="&amp;BF$3,CLAVE_DESGLOSE,$A137)</f>
        <v>0</v>
      </c>
      <c r="BG137" s="13">
        <f>SUMIFS(SALIDAS_BIT,FECHA_BIT,"&gt;="&amp;BG$2,FECHA_BIT,"&lt;="&amp;BG$3,CLAVE_BIT,$A137)+SUMIFS(SALIDAS_BOV1,FECHA_BOV1,"&gt;="&amp;BG$2,FECHA_BOV1,"&lt;="&amp;BG$3,CLAVE_BOV1,$A137)+SUMIFS(SALIDAS_BOV2,FECHA_BOV2,"&gt;="&amp;BG$2,FECHA_BOV2,"&lt;="&amp;BG$3,CLAVE_BOV2,$A137)+SUMIFS(SALIDAS_BOV3,FECHA_BOV3,"&gt;="&amp;BG$2,FECHA_BOV3,"&lt;="&amp;BG$3,CLAVE_BOV3,$A137)+SUMIFS(SALIDAS_TC,FECHA_TC,"&gt;="&amp;BG$2,FECHA_TC,"&lt;="&amp;BG$3,CLAVE_TC,$A137)+SUMIFS(SALIDAS_COMB,FECHA_COMB,"&gt;="&amp;BG$2,FECHA_COMB,"&lt;="&amp;BG$3,CLAVE_COMB,$A137)+SUMIFS(SALIDAS_DES,FECHA_DESGLOSEN,"&gt;="&amp;BG$2,FECHA_DESGLOSEN,"&lt;="&amp;BG$3,CLAVE_DESGLOSE,$A137)</f>
        <v>0</v>
      </c>
      <c r="BH137" s="13">
        <f>SUMIFS(SALIDAS_BIT,FECHA_BIT,"&gt;="&amp;BH$2,FECHA_BIT,"&lt;="&amp;BH$3,CLAVE_BIT,$A137)+SUMIFS(SALIDAS_BOV1,FECHA_BOV1,"&gt;="&amp;BH$2,FECHA_BOV1,"&lt;="&amp;BH$3,CLAVE_BOV1,$A137)+SUMIFS(SALIDAS_BOV2,FECHA_BOV2,"&gt;="&amp;BH$2,FECHA_BOV2,"&lt;="&amp;BH$3,CLAVE_BOV2,$A137)+SUMIFS(SALIDAS_BOV3,FECHA_BOV3,"&gt;="&amp;BH$2,FECHA_BOV3,"&lt;="&amp;BH$3,CLAVE_BOV3,$A137)+SUMIFS(SALIDAS_TC,FECHA_TC,"&gt;="&amp;BH$2,FECHA_TC,"&lt;="&amp;BH$3,CLAVE_TC,$A137)+SUMIFS(SALIDAS_COMB,FECHA_COMB,"&gt;="&amp;BH$2,FECHA_COMB,"&lt;="&amp;BH$3,CLAVE_COMB,$A137)+SUMIFS(SALIDAS_DES,FECHA_DESGLOSEN,"&gt;="&amp;BH$2,FECHA_DESGLOSEN,"&lt;="&amp;BH$3,CLAVE_DESGLOSE,$A137)</f>
        <v>0</v>
      </c>
      <c r="BI137" s="13">
        <f t="shared" si="215"/>
        <v>0</v>
      </c>
      <c r="BJ137" s="68">
        <f t="shared" si="258"/>
        <v>21504</v>
      </c>
      <c r="BK137" s="268">
        <f t="shared" si="259"/>
        <v>0</v>
      </c>
      <c r="BL137" s="13">
        <f t="shared" si="260"/>
        <v>21090</v>
      </c>
      <c r="BM137" s="13">
        <f>SUMIFS(SALIDAS_BIT,FECHA_BIT,"&gt;="&amp;BM$2,FECHA_BIT,"&lt;="&amp;BM$3,CLAVE_BIT,$A137)+SUMIFS(SALIDAS_BOV1,FECHA_BOV1,"&gt;="&amp;BM$2,FECHA_BOV1,"&lt;="&amp;BM$3,CLAVE_BOV1,$A137)+SUMIFS(SALIDAS_BOV2,FECHA_BOV2,"&gt;="&amp;BM$2,FECHA_BOV2,"&lt;="&amp;BM$3,CLAVE_BOV2,$A137)+SUMIFS(SALIDAS_BOV3,FECHA_BOV3,"&gt;="&amp;BM$2,FECHA_BOV3,"&lt;="&amp;BM$3,CLAVE_BOV3,$A137)+SUMIFS(SALIDAS_TC,FECHA_TC,"&gt;="&amp;BM$2,FECHA_TC,"&lt;="&amp;BM$3,CLAVE_TC,$A137)+SUMIFS(SALIDAS_COMB,FECHA_COMB,"&gt;="&amp;BM$2,FECHA_COMB,"&lt;="&amp;BM$3,CLAVE_COMB,$A137)+SUMIFS(SALIDAS_DES,FECHA_DESGLOSEN,"&gt;="&amp;BM$2,FECHA_DESGLOSEN,"&lt;="&amp;BM$3,CLAVE_DESGLOSE,$A137)</f>
        <v>0</v>
      </c>
      <c r="BN137" s="13">
        <f>SUMIFS(SALIDAS_BIT,FECHA_BIT,"&gt;="&amp;BN$2,FECHA_BIT,"&lt;="&amp;BN$3,CLAVE_BIT,$A137)+SUMIFS(SALIDAS_BOV1,FECHA_BOV1,"&gt;="&amp;BN$2,FECHA_BOV1,"&lt;="&amp;BN$3,CLAVE_BOV1,$A137)+SUMIFS(SALIDAS_BOV2,FECHA_BOV2,"&gt;="&amp;BN$2,FECHA_BOV2,"&lt;="&amp;BN$3,CLAVE_BOV2,$A137)+SUMIFS(SALIDAS_BOV3,FECHA_BOV3,"&gt;="&amp;BN$2,FECHA_BOV3,"&lt;="&amp;BN$3,CLAVE_BOV3,$A137)+SUMIFS(SALIDAS_TC,FECHA_TC,"&gt;="&amp;BN$2,FECHA_TC,"&lt;="&amp;BN$3,CLAVE_TC,$A137)+SUMIFS(SALIDAS_COMB,FECHA_COMB,"&gt;="&amp;BN$2,FECHA_COMB,"&lt;="&amp;BN$3,CLAVE_COMB,$A137)+SUMIFS(SALIDAS_DES,FECHA_DESGLOSEN,"&gt;="&amp;BN$2,FECHA_DESGLOSEN,"&lt;="&amp;BN$3,CLAVE_DESGLOSE,$A137)</f>
        <v>0</v>
      </c>
      <c r="BO137" s="13">
        <f>SUMIFS(SALIDAS_BIT,FECHA_BIT,"&gt;="&amp;BO$2,FECHA_BIT,"&lt;="&amp;BO$3,CLAVE_BIT,$A137)+SUMIFS(SALIDAS_BOV1,FECHA_BOV1,"&gt;="&amp;BO$2,FECHA_BOV1,"&lt;="&amp;BO$3,CLAVE_BOV1,$A137)+SUMIFS(SALIDAS_BOV2,FECHA_BOV2,"&gt;="&amp;BO$2,FECHA_BOV2,"&lt;="&amp;BO$3,CLAVE_BOV2,$A137)+SUMIFS(SALIDAS_BOV3,FECHA_BOV3,"&gt;="&amp;BO$2,FECHA_BOV3,"&lt;="&amp;BO$3,CLAVE_BOV3,$A137)+SUMIFS(SALIDAS_TC,FECHA_TC,"&gt;="&amp;BO$2,FECHA_TC,"&lt;="&amp;BO$3,CLAVE_TC,$A137)+SUMIFS(SALIDAS_COMB,FECHA_COMB,"&gt;="&amp;BO$2,FECHA_COMB,"&lt;="&amp;BO$3,CLAVE_COMB,$A137)+SUMIFS(SALIDAS_DES,FECHA_DESGLOSEN,"&gt;="&amp;BO$2,FECHA_DESGLOSEN,"&lt;="&amp;BO$3,CLAVE_DESGLOSE,$A137)</f>
        <v>0</v>
      </c>
      <c r="BP137" s="13">
        <f>SUMIFS(SALIDAS_BIT,FECHA_BIT,"&gt;="&amp;BP$2,FECHA_BIT,"&lt;="&amp;BP$3,CLAVE_BIT,$A137)+SUMIFS(SALIDAS_BOV1,FECHA_BOV1,"&gt;="&amp;BP$2,FECHA_BOV1,"&lt;="&amp;BP$3,CLAVE_BOV1,$A137)+SUMIFS(SALIDAS_BOV2,FECHA_BOV2,"&gt;="&amp;BP$2,FECHA_BOV2,"&lt;="&amp;BP$3,CLAVE_BOV2,$A137)+SUMIFS(SALIDAS_BOV3,FECHA_BOV3,"&gt;="&amp;BP$2,FECHA_BOV3,"&lt;="&amp;BP$3,CLAVE_BOV3,$A137)+SUMIFS(SALIDAS_TC,FECHA_TC,"&gt;="&amp;BP$2,FECHA_TC,"&lt;="&amp;BP$3,CLAVE_TC,$A137)+SUMIFS(SALIDAS_COMB,FECHA_COMB,"&gt;="&amp;BP$2,FECHA_COMB,"&lt;="&amp;BP$3,CLAVE_COMB,$A137)+SUMIFS(SALIDAS_DES,FECHA_DESGLOSEN,"&gt;="&amp;BP$2,FECHA_DESGLOSEN,"&lt;="&amp;BP$3,CLAVE_DESGLOSE,$A137)</f>
        <v>0</v>
      </c>
      <c r="BQ137" s="13">
        <f>SUMIFS(SALIDAS_BIT,FECHA_BIT,"&gt;="&amp;BQ$2,FECHA_BIT,"&lt;="&amp;BQ$3,CLAVE_BIT,$A137)+SUMIFS(SALIDAS_BOV1,FECHA_BOV1,"&gt;="&amp;BQ$2,FECHA_BOV1,"&lt;="&amp;BQ$3,CLAVE_BOV1,$A137)+SUMIFS(SALIDAS_BOV2,FECHA_BOV2,"&gt;="&amp;BQ$2,FECHA_BOV2,"&lt;="&amp;BQ$3,CLAVE_BOV2,$A137)+SUMIFS(SALIDAS_BOV3,FECHA_BOV3,"&gt;="&amp;BQ$2,FECHA_BOV3,"&lt;="&amp;BQ$3,CLAVE_BOV3,$A137)+SUMIFS(SALIDAS_TC,FECHA_TC,"&gt;="&amp;BQ$2,FECHA_TC,"&lt;="&amp;BQ$3,CLAVE_TC,$A137)+SUMIFS(SALIDAS_COMB,FECHA_COMB,"&gt;="&amp;BQ$2,FECHA_COMB,"&lt;="&amp;BQ$3,CLAVE_COMB,$A137)+SUMIFS(SALIDAS_DES,FECHA_DESGLOSEN,"&gt;="&amp;BQ$2,FECHA_DESGLOSEN,"&lt;="&amp;BQ$3,CLAVE_DESGLOSE,$A137)</f>
        <v>0</v>
      </c>
      <c r="BR137" s="13">
        <f t="shared" ref="BM137:BR146" si="278">SUMIFS(SALIDAS_BIT,FECHA_BIT,"&gt;="&amp;BR$2,FECHA_BIT,"&lt;="&amp;BR$3,CLAVE_BIT,$A137)+SUMIFS(SALIDAS_BOV1,FECHA_BOV1,"&gt;="&amp;BR$2,FECHA_BOV1,"&lt;="&amp;BR$3,CLAVE_BOV1,$A137)+SUMIFS(SALIDAS_BOV2,FECHA_BOV2,"&gt;="&amp;BR$2,FECHA_BOV2,"&lt;="&amp;BR$3,CLAVE_BOV2,$A137)+SUMIFS(SALIDAS_BOV3,FECHA_BOV3,"&gt;="&amp;BR$2,FECHA_BOV3,"&lt;="&amp;BR$3,CLAVE_BOV3,$A137)+SUMIFS(SALIDAS_TC,FECHA_TC,"&gt;="&amp;BR$2,FECHA_TC,"&lt;="&amp;BR$3,CLAVE_TC,$A137)+SUMIFS(SALIDAS_COMB,FECHA_COMB,"&gt;="&amp;BR$2,FECHA_COMB,"&lt;="&amp;BR$3,CLAVE_COMB,$A137)+SUMIFS(SALIDAS_DES,FECHA_DESGLOSEN,"&gt;="&amp;BR$2,FECHA_DESGLOSEN,"&lt;="&amp;BR$3,CLAVE_DESGLOSE,$A137)</f>
        <v>0</v>
      </c>
      <c r="BS137" s="68">
        <f t="shared" si="261"/>
        <v>21090</v>
      </c>
      <c r="BT137" s="268">
        <f t="shared" si="262"/>
        <v>0</v>
      </c>
      <c r="BU137" s="13">
        <f t="shared" si="263"/>
        <v>17995</v>
      </c>
      <c r="BV137" s="13">
        <f t="shared" si="186"/>
        <v>0</v>
      </c>
      <c r="BW137" s="13">
        <f t="shared" si="186"/>
        <v>0</v>
      </c>
      <c r="BX137" s="13">
        <f t="shared" si="186"/>
        <v>0</v>
      </c>
      <c r="BY137" s="13">
        <f t="shared" si="186"/>
        <v>0</v>
      </c>
      <c r="BZ137" s="13">
        <f t="shared" ref="BV137:BZ146" si="279">SUMIFS(SALIDAS_BIT,FECHA_BIT,"&gt;="&amp;BZ$2,FECHA_BIT,"&lt;="&amp;BZ$3,CLAVE_BIT,$A137)+SUMIFS(SALIDAS_BOV1,FECHA_BOV1,"&gt;="&amp;BZ$2,FECHA_BOV1,"&lt;="&amp;BZ$3,CLAVE_BOV1,$A137)+SUMIFS(SALIDAS_BOV2,FECHA_BOV2,"&gt;="&amp;BZ$2,FECHA_BOV2,"&lt;="&amp;BZ$3,CLAVE_BOV2,$A137)+SUMIFS(SALIDAS_BOV3,FECHA_BOV3,"&gt;="&amp;BZ$2,FECHA_BOV3,"&lt;="&amp;BZ$3,CLAVE_BOV3,$A137)+SUMIFS(SALIDAS_TC,FECHA_TC,"&gt;="&amp;BZ$2,FECHA_TC,"&lt;="&amp;BZ$3,CLAVE_TC,$A137)+SUMIFS(SALIDAS_COMB,FECHA_COMB,"&gt;="&amp;BZ$2,FECHA_COMB,"&lt;="&amp;BZ$3,CLAVE_COMB,$A137)+SUMIFS(SALIDAS_DES,FECHA_DESGLOSEN,"&gt;="&amp;BZ$2,FECHA_DESGLOSEN,"&lt;="&amp;BZ$3,CLAVE_DESGLOSE,$A137)</f>
        <v>0</v>
      </c>
      <c r="CA137" s="68">
        <f t="shared" si="264"/>
        <v>17995</v>
      </c>
      <c r="CB137" s="268">
        <f t="shared" si="265"/>
        <v>0</v>
      </c>
      <c r="CC137" s="13">
        <f t="shared" si="266"/>
        <v>11695</v>
      </c>
      <c r="CD137" s="13">
        <f t="shared" si="187"/>
        <v>0</v>
      </c>
      <c r="CE137" s="13">
        <f t="shared" si="187"/>
        <v>0</v>
      </c>
      <c r="CF137" s="13">
        <f t="shared" si="187"/>
        <v>0</v>
      </c>
      <c r="CG137" s="13">
        <f t="shared" si="187"/>
        <v>0</v>
      </c>
      <c r="CH137" s="13">
        <f t="shared" ref="CD137:CH146" si="280">SUMIFS(SALIDAS_BIT,FECHA_BIT,"&gt;="&amp;CH$2,FECHA_BIT,"&lt;="&amp;CH$3,CLAVE_BIT,$A137)+SUMIFS(SALIDAS_BOV1,FECHA_BOV1,"&gt;="&amp;CH$2,FECHA_BOV1,"&lt;="&amp;CH$3,CLAVE_BOV1,$A137)+SUMIFS(SALIDAS_BOV2,FECHA_BOV2,"&gt;="&amp;CH$2,FECHA_BOV2,"&lt;="&amp;CH$3,CLAVE_BOV2,$A137)+SUMIFS(SALIDAS_BOV3,FECHA_BOV3,"&gt;="&amp;CH$2,FECHA_BOV3,"&lt;="&amp;CH$3,CLAVE_BOV3,$A137)+SUMIFS(SALIDAS_TC,FECHA_TC,"&gt;="&amp;CH$2,FECHA_TC,"&lt;="&amp;CH$3,CLAVE_TC,$A137)+SUMIFS(SALIDAS_COMB,FECHA_COMB,"&gt;="&amp;CH$2,FECHA_COMB,"&lt;="&amp;CH$3,CLAVE_COMB,$A137)+SUMIFS(SALIDAS_DES,FECHA_DESGLOSEN,"&gt;="&amp;CH$2,FECHA_DESGLOSEN,"&lt;="&amp;CH$3,CLAVE_DESGLOSE,$A137)</f>
        <v>0</v>
      </c>
      <c r="CI137" s="68">
        <f t="shared" si="267"/>
        <v>11695</v>
      </c>
      <c r="CJ137" s="268">
        <f t="shared" si="268"/>
        <v>0</v>
      </c>
      <c r="CK137" s="13">
        <f t="shared" si="269"/>
        <v>16383</v>
      </c>
      <c r="CL137" s="13">
        <f t="shared" si="228"/>
        <v>0</v>
      </c>
      <c r="CM137" s="13">
        <f t="shared" si="228"/>
        <v>0</v>
      </c>
      <c r="CN137" s="13">
        <f t="shared" si="228"/>
        <v>0</v>
      </c>
      <c r="CO137" s="13">
        <f t="shared" si="228"/>
        <v>0</v>
      </c>
      <c r="CP137" s="13">
        <f t="shared" si="228"/>
        <v>0</v>
      </c>
      <c r="CQ137" s="13">
        <f t="shared" ref="CL137:CQ146" si="281">SUMIFS(SALIDAS_BIT,FECHA_BIT,"&gt;="&amp;CQ$2,FECHA_BIT,"&lt;="&amp;CQ$3,CLAVE_BIT,$A137)+SUMIFS(SALIDAS_BOV1,FECHA_BOV1,"&gt;="&amp;CQ$2,FECHA_BOV1,"&lt;="&amp;CQ$3,CLAVE_BOV1,$A137)+SUMIFS(SALIDAS_BOV2,FECHA_BOV2,"&gt;="&amp;CQ$2,FECHA_BOV2,"&lt;="&amp;CQ$3,CLAVE_BOV2,$A137)+SUMIFS(SALIDAS_BOV3,FECHA_BOV3,"&gt;="&amp;CQ$2,FECHA_BOV3,"&lt;="&amp;CQ$3,CLAVE_BOV3,$A137)+SUMIFS(SALIDAS_TC,FECHA_TC,"&gt;="&amp;CQ$2,FECHA_TC,"&lt;="&amp;CQ$3,CLAVE_TC,$A137)+SUMIFS(SALIDAS_COMB,FECHA_COMB,"&gt;="&amp;CQ$2,FECHA_COMB,"&lt;="&amp;CQ$3,CLAVE_COMB,$A137)+SUMIFS(SALIDAS_DES,FECHA_DESGLOSEN,"&gt;="&amp;CQ$2,FECHA_DESGLOSEN,"&lt;="&amp;CQ$3,CLAVE_DESGLOSE,$A137)</f>
        <v>0</v>
      </c>
      <c r="CR137" s="68">
        <f t="shared" si="270"/>
        <v>16383</v>
      </c>
      <c r="CS137" s="268">
        <f t="shared" si="271"/>
        <v>0</v>
      </c>
      <c r="CT137" s="68">
        <f t="shared" si="244"/>
        <v>0</v>
      </c>
      <c r="CU137" s="13">
        <f>SUMIFS(SALIDAS_BIT,FECHA_BIT,"&gt;="&amp;CU$2,FECHA_BIT,"&lt;="&amp;CU$3,CLAVE_BIT,$A137)+SUMIFS(SALIDAS_BOV1,FECHA_BOV1,"&gt;="&amp;CU$2,FECHA_BOV1,"&lt;="&amp;CU$3,CLAVE_BOV1,$A137)+SUMIFS(SALIDAS_BOV2,FECHA_BOV2,"&gt;="&amp;CU$2,FECHA_BOV2,"&lt;="&amp;CU$3,CLAVE_BOV2,$A137)+SUMIFS(SALIDAS_BOV3,FECHA_BOV3,"&gt;="&amp;CU$2,FECHA_BOV3,"&lt;="&amp;CU$3,CLAVE_BOV3,$A137)+SUMIFS(SALIDAS_TC,FECHA_TC,"&gt;="&amp;CU$2,FECHA_TC,"&lt;="&amp;CU$3,CLAVE_TC,$A137)+SUMIFS(SALIDAS_COMB,FECHA_COMB,"&gt;="&amp;CU$2,FECHA_COMB,"&lt;="&amp;CU$3,CLAVE_COMB,$A137)+SUMIFS(SALIDAS_DES,FECHA_DESGLOSEN,"&gt;="&amp;CU$2,FECHA_DESGLOSEN,"&lt;="&amp;CU$3,CLAVE_DESGLOSE,$A137)</f>
        <v>0</v>
      </c>
      <c r="CV137" s="13">
        <f>SUMIFS(SALIDAS_BIT,FECHA_BIT,"&gt;="&amp;CV$2,FECHA_BIT,"&lt;="&amp;CV$3,CLAVE_BIT,$A137)+SUMIFS(SALIDAS_BOV1,FECHA_BOV1,"&gt;="&amp;CV$2,FECHA_BOV1,"&lt;="&amp;CV$3,CLAVE_BOV1,$A137)+SUMIFS(SALIDAS_BOV2,FECHA_BOV2,"&gt;="&amp;CV$2,FECHA_BOV2,"&lt;="&amp;CV$3,CLAVE_BOV2,$A137)+SUMIFS(SALIDAS_BOV3,FECHA_BOV3,"&gt;="&amp;CV$2,FECHA_BOV3,"&lt;="&amp;CV$3,CLAVE_BOV3,$A137)+SUMIFS(SALIDAS_TC,FECHA_TC,"&gt;="&amp;CV$2,FECHA_TC,"&lt;="&amp;CV$3,CLAVE_TC,$A137)+SUMIFS(SALIDAS_COMB,FECHA_COMB,"&gt;="&amp;CV$2,FECHA_COMB,"&lt;="&amp;CV$3,CLAVE_COMB,$A137)+SUMIFS(SALIDAS_DES,FECHA_DESGLOSEN,"&gt;="&amp;CV$2,FECHA_DESGLOSEN,"&lt;="&amp;CV$3,CLAVE_DESGLOSE,$A137)</f>
        <v>0</v>
      </c>
      <c r="CW137" s="13">
        <f>SUMIFS(SALIDAS_BIT,FECHA_BIT,"&gt;="&amp;CW$2,FECHA_BIT,"&lt;="&amp;CW$3,CLAVE_BIT,$A137)+SUMIFS(SALIDAS_BOV1,FECHA_BOV1,"&gt;="&amp;CW$2,FECHA_BOV1,"&lt;="&amp;CW$3,CLAVE_BOV1,$A137)+SUMIFS(SALIDAS_BOV2,FECHA_BOV2,"&gt;="&amp;CW$2,FECHA_BOV2,"&lt;="&amp;CW$3,CLAVE_BOV2,$A137)+SUMIFS(SALIDAS_BOV3,FECHA_BOV3,"&gt;="&amp;CW$2,FECHA_BOV3,"&lt;="&amp;CW$3,CLAVE_BOV3,$A137)+SUMIFS(SALIDAS_TC,FECHA_TC,"&gt;="&amp;CW$2,FECHA_TC,"&lt;="&amp;CW$3,CLAVE_TC,$A137)+SUMIFS(SALIDAS_COMB,FECHA_COMB,"&gt;="&amp;CW$2,FECHA_COMB,"&lt;="&amp;CW$3,CLAVE_COMB,$A137)+SUMIFS(SALIDAS_DES,FECHA_DESGLOSEN,"&gt;="&amp;CW$2,FECHA_DESGLOSEN,"&lt;="&amp;CW$3,CLAVE_DESGLOSE,$A137)</f>
        <v>0</v>
      </c>
      <c r="CX137" s="13">
        <f>SUMIFS(SALIDAS_BIT,FECHA_BIT,"&gt;="&amp;CX$2,FECHA_BIT,"&lt;="&amp;CX$3,CLAVE_BIT,$A137)+SUMIFS(SALIDAS_BOV1,FECHA_BOV1,"&gt;="&amp;CX$2,FECHA_BOV1,"&lt;="&amp;CX$3,CLAVE_BOV1,$A137)+SUMIFS(SALIDAS_BOV2,FECHA_BOV2,"&gt;="&amp;CX$2,FECHA_BOV2,"&lt;="&amp;CX$3,CLAVE_BOV2,$A137)+SUMIFS(SALIDAS_BOV3,FECHA_BOV3,"&gt;="&amp;CX$2,FECHA_BOV3,"&lt;="&amp;CX$3,CLAVE_BOV3,$A137)+SUMIFS(SALIDAS_TC,FECHA_TC,"&gt;="&amp;CX$2,FECHA_TC,"&lt;="&amp;CX$3,CLAVE_TC,$A137)+SUMIFS(SALIDAS_COMB,FECHA_COMB,"&gt;="&amp;CX$2,FECHA_COMB,"&lt;="&amp;CX$3,CLAVE_COMB,$A137)+SUMIFS(SALIDAS_DES,FECHA_DESGLOSEN,"&gt;="&amp;CX$2,FECHA_DESGLOSEN,"&lt;="&amp;CX$3,CLAVE_DESGLOSE,$A137)</f>
        <v>0</v>
      </c>
      <c r="CY137" s="13">
        <f>SUMIFS(SALIDAS_BIT,FECHA_BIT,"&gt;="&amp;CY$2,FECHA_BIT,"&lt;="&amp;CY$3,CLAVE_BIT,$A137)+SUMIFS(SALIDAS_BOV1,FECHA_BOV1,"&gt;="&amp;CY$2,FECHA_BOV1,"&lt;="&amp;CY$3,CLAVE_BOV1,$A137)+SUMIFS(SALIDAS_BOV2,FECHA_BOV2,"&gt;="&amp;CY$2,FECHA_BOV2,"&lt;="&amp;CY$3,CLAVE_BOV2,$A137)+SUMIFS(SALIDAS_BOV3,FECHA_BOV3,"&gt;="&amp;CY$2,FECHA_BOV3,"&lt;="&amp;CY$3,CLAVE_BOV3,$A137)+SUMIFS(SALIDAS_TC,FECHA_TC,"&gt;="&amp;CY$2,FECHA_TC,"&lt;="&amp;CY$3,CLAVE_TC,$A137)+SUMIFS(SALIDAS_COMB,FECHA_COMB,"&gt;="&amp;CY$2,FECHA_COMB,"&lt;="&amp;CY$3,CLAVE_COMB,$A137)+SUMIFS(SALIDAS_DES,FECHA_DESGLOSEN,"&gt;="&amp;CY$2,FECHA_DESGLOSEN,"&lt;="&amp;CY$3,CLAVE_DESGLOSE,$A137)</f>
        <v>0</v>
      </c>
      <c r="CZ137" s="68">
        <f t="shared" si="272"/>
        <v>0</v>
      </c>
      <c r="DB137" s="17">
        <f>F137+N137+W137+AE137+AM137+AV137+BD137+BL137+BU137+CC137+CK137</f>
        <v>174979</v>
      </c>
      <c r="DC137" s="17">
        <f>K137+T137+AB137+AJ137+AS137+BA137+BI137+BR137+BZ137+CH137+CQ137</f>
        <v>0</v>
      </c>
    </row>
    <row r="138" spans="1:107" hidden="1">
      <c r="A138" s="12" t="str">
        <f t="shared" si="245"/>
        <v>HRJMASA1</v>
      </c>
      <c r="B138" s="12">
        <v>140</v>
      </c>
      <c r="C138" t="s">
        <v>29</v>
      </c>
      <c r="D138" s="12" t="s">
        <v>137</v>
      </c>
      <c r="E138" s="12" t="s">
        <v>88</v>
      </c>
      <c r="F138" s="259">
        <f t="shared" si="238"/>
        <v>1022</v>
      </c>
      <c r="G138" s="13">
        <f t="shared" si="273"/>
        <v>931</v>
      </c>
      <c r="H138" s="13">
        <f t="shared" si="273"/>
        <v>0</v>
      </c>
      <c r="I138" s="13">
        <f t="shared" si="273"/>
        <v>0</v>
      </c>
      <c r="J138" s="13">
        <f t="shared" si="273"/>
        <v>0</v>
      </c>
      <c r="K138" s="13">
        <f t="shared" si="273"/>
        <v>931</v>
      </c>
      <c r="L138" s="68">
        <f t="shared" si="246"/>
        <v>91</v>
      </c>
      <c r="M138" s="268">
        <f t="shared" si="247"/>
        <v>0.91095890410958902</v>
      </c>
      <c r="N138" s="13">
        <f t="shared" si="239"/>
        <v>0</v>
      </c>
      <c r="O138" s="13">
        <f t="shared" si="274"/>
        <v>0</v>
      </c>
      <c r="P138" s="13">
        <f t="shared" si="274"/>
        <v>0</v>
      </c>
      <c r="Q138" s="13">
        <f t="shared" si="274"/>
        <v>0</v>
      </c>
      <c r="R138" s="13">
        <f t="shared" si="274"/>
        <v>0</v>
      </c>
      <c r="S138" s="13">
        <f t="shared" si="274"/>
        <v>0</v>
      </c>
      <c r="T138" s="13">
        <f t="shared" si="274"/>
        <v>0</v>
      </c>
      <c r="U138" s="68">
        <f t="shared" si="248"/>
        <v>0</v>
      </c>
      <c r="V138" s="268">
        <f t="shared" si="249"/>
        <v>0</v>
      </c>
      <c r="W138" s="13">
        <f t="shared" si="240"/>
        <v>0</v>
      </c>
      <c r="X138" s="13">
        <f t="shared" si="275"/>
        <v>5175</v>
      </c>
      <c r="Y138" s="13">
        <f t="shared" si="275"/>
        <v>0</v>
      </c>
      <c r="Z138" s="13">
        <f t="shared" si="275"/>
        <v>0</v>
      </c>
      <c r="AA138" s="13">
        <f t="shared" si="275"/>
        <v>0</v>
      </c>
      <c r="AB138" s="13">
        <f t="shared" si="275"/>
        <v>5175</v>
      </c>
      <c r="AC138" s="68">
        <f t="shared" si="250"/>
        <v>-5175</v>
      </c>
      <c r="AD138" s="268">
        <f t="shared" si="251"/>
        <v>0</v>
      </c>
      <c r="AE138" s="13">
        <f t="shared" si="241"/>
        <v>2372</v>
      </c>
      <c r="AF138" s="13">
        <f t="shared" si="276"/>
        <v>0</v>
      </c>
      <c r="AG138" s="13">
        <f t="shared" si="276"/>
        <v>5399</v>
      </c>
      <c r="AH138" s="13">
        <f t="shared" si="276"/>
        <v>0</v>
      </c>
      <c r="AI138" s="13">
        <f t="shared" si="276"/>
        <v>3155</v>
      </c>
      <c r="AJ138" s="13">
        <f t="shared" si="276"/>
        <v>8554</v>
      </c>
      <c r="AK138" s="68">
        <f t="shared" si="252"/>
        <v>-6182</v>
      </c>
      <c r="AL138" s="268">
        <f t="shared" si="253"/>
        <v>3.6062394603709951</v>
      </c>
      <c r="AM138" s="13">
        <f t="shared" si="242"/>
        <v>989</v>
      </c>
      <c r="AN138" s="13">
        <f t="shared" si="277"/>
        <v>0</v>
      </c>
      <c r="AO138" s="13">
        <f t="shared" si="277"/>
        <v>0</v>
      </c>
      <c r="AP138" s="13">
        <f t="shared" si="277"/>
        <v>0</v>
      </c>
      <c r="AQ138" s="13">
        <f t="shared" si="277"/>
        <v>0</v>
      </c>
      <c r="AR138" s="13">
        <f t="shared" si="277"/>
        <v>1229</v>
      </c>
      <c r="AS138" s="13">
        <f t="shared" si="277"/>
        <v>1229</v>
      </c>
      <c r="AT138" s="68">
        <f>AM138-AS138</f>
        <v>-240</v>
      </c>
      <c r="AU138" s="268">
        <f t="shared" si="254"/>
        <v>1.2426693629929222</v>
      </c>
      <c r="AV138" s="13">
        <f t="shared" si="243"/>
        <v>339</v>
      </c>
      <c r="AW138" s="13">
        <f t="shared" si="222"/>
        <v>0</v>
      </c>
      <c r="AX138" s="13">
        <f t="shared" si="222"/>
        <v>0</v>
      </c>
      <c r="AY138" s="13">
        <f t="shared" si="222"/>
        <v>1189</v>
      </c>
      <c r="AZ138" s="13">
        <f t="shared" si="222"/>
        <v>0</v>
      </c>
      <c r="BA138" s="13">
        <f t="shared" si="223"/>
        <v>1189</v>
      </c>
      <c r="BB138" s="68">
        <f t="shared" si="255"/>
        <v>-850</v>
      </c>
      <c r="BC138" s="268">
        <f t="shared" si="256"/>
        <v>3.5073746312684366</v>
      </c>
      <c r="BD138" s="13">
        <f t="shared" si="257"/>
        <v>2923</v>
      </c>
      <c r="BE138" s="13">
        <f>SUMIFS(SALIDAS_BIT,FECHA_BIT,"&gt;="&amp;BE$2,FECHA_BIT,"&lt;="&amp;BE$3,CLAVE_BIT,$A138)+SUMIFS(SALIDAS_BOV1,FECHA_BOV1,"&gt;="&amp;BE$2,FECHA_BOV1,"&lt;="&amp;BE$3,CLAVE_BOV1,$A138)+SUMIFS(SALIDAS_BOV2,FECHA_BOV2,"&gt;="&amp;BE$2,FECHA_BOV2,"&lt;="&amp;BE$3,CLAVE_BOV2,$A138)+SUMIFS(SALIDAS_BOV3,FECHA_BOV3,"&gt;="&amp;BE$2,FECHA_BOV3,"&lt;="&amp;BE$3,CLAVE_BOV3,$A138)+SUMIFS(SALIDAS_TC,FECHA_TC,"&gt;="&amp;BE$2,FECHA_TC,"&lt;="&amp;BE$3,CLAVE_TC,$A138)+SUMIFS(SALIDAS_COMB,FECHA_COMB,"&gt;="&amp;BE$2,FECHA_COMB,"&lt;="&amp;BE$3,CLAVE_COMB,$A138)+SUMIFS(SALIDAS_DES,FECHA_DESGLOSEN,"&gt;="&amp;BE$2,FECHA_DESGLOSEN,"&lt;="&amp;BE$3,CLAVE_DESGLOSE,$A138)</f>
        <v>0</v>
      </c>
      <c r="BF138" s="13">
        <f>SUMIFS(SALIDAS_BIT,FECHA_BIT,"&gt;="&amp;BF$2,FECHA_BIT,"&lt;="&amp;BF$3,CLAVE_BIT,$A138)+SUMIFS(SALIDAS_BOV1,FECHA_BOV1,"&gt;="&amp;BF$2,FECHA_BOV1,"&lt;="&amp;BF$3,CLAVE_BOV1,$A138)+SUMIFS(SALIDAS_BOV2,FECHA_BOV2,"&gt;="&amp;BF$2,FECHA_BOV2,"&lt;="&amp;BF$3,CLAVE_BOV2,$A138)+SUMIFS(SALIDAS_BOV3,FECHA_BOV3,"&gt;="&amp;BF$2,FECHA_BOV3,"&lt;="&amp;BF$3,CLAVE_BOV3,$A138)+SUMIFS(SALIDAS_TC,FECHA_TC,"&gt;="&amp;BF$2,FECHA_TC,"&lt;="&amp;BF$3,CLAVE_TC,$A138)+SUMIFS(SALIDAS_COMB,FECHA_COMB,"&gt;="&amp;BF$2,FECHA_COMB,"&lt;="&amp;BF$3,CLAVE_COMB,$A138)+SUMIFS(SALIDAS_DES,FECHA_DESGLOSEN,"&gt;="&amp;BF$2,FECHA_DESGLOSEN,"&lt;="&amp;BF$3,CLAVE_DESGLOSE,$A138)</f>
        <v>0</v>
      </c>
      <c r="BG138" s="13">
        <f>SUMIFS(SALIDAS_BIT,FECHA_BIT,"&gt;="&amp;BG$2,FECHA_BIT,"&lt;="&amp;BG$3,CLAVE_BIT,$A138)+SUMIFS(SALIDAS_BOV1,FECHA_BOV1,"&gt;="&amp;BG$2,FECHA_BOV1,"&lt;="&amp;BG$3,CLAVE_BOV1,$A138)+SUMIFS(SALIDAS_BOV2,FECHA_BOV2,"&gt;="&amp;BG$2,FECHA_BOV2,"&lt;="&amp;BG$3,CLAVE_BOV2,$A138)+SUMIFS(SALIDAS_BOV3,FECHA_BOV3,"&gt;="&amp;BG$2,FECHA_BOV3,"&lt;="&amp;BG$3,CLAVE_BOV3,$A138)+SUMIFS(SALIDAS_TC,FECHA_TC,"&gt;="&amp;BG$2,FECHA_TC,"&lt;="&amp;BG$3,CLAVE_TC,$A138)+SUMIFS(SALIDAS_COMB,FECHA_COMB,"&gt;="&amp;BG$2,FECHA_COMB,"&lt;="&amp;BG$3,CLAVE_COMB,$A138)+SUMIFS(SALIDAS_DES,FECHA_DESGLOSEN,"&gt;="&amp;BG$2,FECHA_DESGLOSEN,"&lt;="&amp;BG$3,CLAVE_DESGLOSE,$A138)</f>
        <v>0</v>
      </c>
      <c r="BH138" s="13">
        <f>SUMIFS(SALIDAS_BIT,FECHA_BIT,"&gt;="&amp;BH$2,FECHA_BIT,"&lt;="&amp;BH$3,CLAVE_BIT,$A138)+SUMIFS(SALIDAS_BOV1,FECHA_BOV1,"&gt;="&amp;BH$2,FECHA_BOV1,"&lt;="&amp;BH$3,CLAVE_BOV1,$A138)+SUMIFS(SALIDAS_BOV2,FECHA_BOV2,"&gt;="&amp;BH$2,FECHA_BOV2,"&lt;="&amp;BH$3,CLAVE_BOV2,$A138)+SUMIFS(SALIDAS_BOV3,FECHA_BOV3,"&gt;="&amp;BH$2,FECHA_BOV3,"&lt;="&amp;BH$3,CLAVE_BOV3,$A138)+SUMIFS(SALIDAS_TC,FECHA_TC,"&gt;="&amp;BH$2,FECHA_TC,"&lt;="&amp;BH$3,CLAVE_TC,$A138)+SUMIFS(SALIDAS_COMB,FECHA_COMB,"&gt;="&amp;BH$2,FECHA_COMB,"&lt;="&amp;BH$3,CLAVE_COMB,$A138)+SUMIFS(SALIDAS_DES,FECHA_DESGLOSEN,"&gt;="&amp;BH$2,FECHA_DESGLOSEN,"&lt;="&amp;BH$3,CLAVE_DESGLOSE,$A138)</f>
        <v>0</v>
      </c>
      <c r="BI138" s="13">
        <f t="shared" si="215"/>
        <v>0</v>
      </c>
      <c r="BJ138" s="68">
        <f t="shared" si="258"/>
        <v>2923</v>
      </c>
      <c r="BK138" s="268">
        <f t="shared" si="259"/>
        <v>0</v>
      </c>
      <c r="BL138" s="13">
        <f t="shared" si="260"/>
        <v>0</v>
      </c>
      <c r="BM138" s="13">
        <f>SUMIFS(SALIDAS_BIT,FECHA_BIT,"&gt;="&amp;BM$2,FECHA_BIT,"&lt;="&amp;BM$3,CLAVE_BIT,$A138)+SUMIFS(SALIDAS_BOV1,FECHA_BOV1,"&gt;="&amp;BM$2,FECHA_BOV1,"&lt;="&amp;BM$3,CLAVE_BOV1,$A138)+SUMIFS(SALIDAS_BOV2,FECHA_BOV2,"&gt;="&amp;BM$2,FECHA_BOV2,"&lt;="&amp;BM$3,CLAVE_BOV2,$A138)+SUMIFS(SALIDAS_BOV3,FECHA_BOV3,"&gt;="&amp;BM$2,FECHA_BOV3,"&lt;="&amp;BM$3,CLAVE_BOV3,$A138)+SUMIFS(SALIDAS_TC,FECHA_TC,"&gt;="&amp;BM$2,FECHA_TC,"&lt;="&amp;BM$3,CLAVE_TC,$A138)+SUMIFS(SALIDAS_COMB,FECHA_COMB,"&gt;="&amp;BM$2,FECHA_COMB,"&lt;="&amp;BM$3,CLAVE_COMB,$A138)+SUMIFS(SALIDAS_DES,FECHA_DESGLOSEN,"&gt;="&amp;BM$2,FECHA_DESGLOSEN,"&lt;="&amp;BM$3,CLAVE_DESGLOSE,$A138)</f>
        <v>1108</v>
      </c>
      <c r="BN138" s="13">
        <f>SUMIFS(SALIDAS_BIT,FECHA_BIT,"&gt;="&amp;BN$2,FECHA_BIT,"&lt;="&amp;BN$3,CLAVE_BIT,$A138)+SUMIFS(SALIDAS_BOV1,FECHA_BOV1,"&gt;="&amp;BN$2,FECHA_BOV1,"&lt;="&amp;BN$3,CLAVE_BOV1,$A138)+SUMIFS(SALIDAS_BOV2,FECHA_BOV2,"&gt;="&amp;BN$2,FECHA_BOV2,"&lt;="&amp;BN$3,CLAVE_BOV2,$A138)+SUMIFS(SALIDAS_BOV3,FECHA_BOV3,"&gt;="&amp;BN$2,FECHA_BOV3,"&lt;="&amp;BN$3,CLAVE_BOV3,$A138)+SUMIFS(SALIDAS_TC,FECHA_TC,"&gt;="&amp;BN$2,FECHA_TC,"&lt;="&amp;BN$3,CLAVE_TC,$A138)+SUMIFS(SALIDAS_COMB,FECHA_COMB,"&gt;="&amp;BN$2,FECHA_COMB,"&lt;="&amp;BN$3,CLAVE_COMB,$A138)+SUMIFS(SALIDAS_DES,FECHA_DESGLOSEN,"&gt;="&amp;BN$2,FECHA_DESGLOSEN,"&lt;="&amp;BN$3,CLAVE_DESGLOSE,$A138)</f>
        <v>0</v>
      </c>
      <c r="BO138" s="13">
        <f>SUMIFS(SALIDAS_BIT,FECHA_BIT,"&gt;="&amp;BO$2,FECHA_BIT,"&lt;="&amp;BO$3,CLAVE_BIT,$A138)+SUMIFS(SALIDAS_BOV1,FECHA_BOV1,"&gt;="&amp;BO$2,FECHA_BOV1,"&lt;="&amp;BO$3,CLAVE_BOV1,$A138)+SUMIFS(SALIDAS_BOV2,FECHA_BOV2,"&gt;="&amp;BO$2,FECHA_BOV2,"&lt;="&amp;BO$3,CLAVE_BOV2,$A138)+SUMIFS(SALIDAS_BOV3,FECHA_BOV3,"&gt;="&amp;BO$2,FECHA_BOV3,"&lt;="&amp;BO$3,CLAVE_BOV3,$A138)+SUMIFS(SALIDAS_TC,FECHA_TC,"&gt;="&amp;BO$2,FECHA_TC,"&lt;="&amp;BO$3,CLAVE_TC,$A138)+SUMIFS(SALIDAS_COMB,FECHA_COMB,"&gt;="&amp;BO$2,FECHA_COMB,"&lt;="&amp;BO$3,CLAVE_COMB,$A138)+SUMIFS(SALIDAS_DES,FECHA_DESGLOSEN,"&gt;="&amp;BO$2,FECHA_DESGLOSEN,"&lt;="&amp;BO$3,CLAVE_DESGLOSE,$A138)</f>
        <v>0</v>
      </c>
      <c r="BP138" s="13">
        <f>SUMIFS(SALIDAS_BIT,FECHA_BIT,"&gt;="&amp;BP$2,FECHA_BIT,"&lt;="&amp;BP$3,CLAVE_BIT,$A138)+SUMIFS(SALIDAS_BOV1,FECHA_BOV1,"&gt;="&amp;BP$2,FECHA_BOV1,"&lt;="&amp;BP$3,CLAVE_BOV1,$A138)+SUMIFS(SALIDAS_BOV2,FECHA_BOV2,"&gt;="&amp;BP$2,FECHA_BOV2,"&lt;="&amp;BP$3,CLAVE_BOV2,$A138)+SUMIFS(SALIDAS_BOV3,FECHA_BOV3,"&gt;="&amp;BP$2,FECHA_BOV3,"&lt;="&amp;BP$3,CLAVE_BOV3,$A138)+SUMIFS(SALIDAS_TC,FECHA_TC,"&gt;="&amp;BP$2,FECHA_TC,"&lt;="&amp;BP$3,CLAVE_TC,$A138)+SUMIFS(SALIDAS_COMB,FECHA_COMB,"&gt;="&amp;BP$2,FECHA_COMB,"&lt;="&amp;BP$3,CLAVE_COMB,$A138)+SUMIFS(SALIDAS_DES,FECHA_DESGLOSEN,"&gt;="&amp;BP$2,FECHA_DESGLOSEN,"&lt;="&amp;BP$3,CLAVE_DESGLOSE,$A138)</f>
        <v>0</v>
      </c>
      <c r="BQ138" s="13">
        <f>SUMIFS(SALIDAS_BIT,FECHA_BIT,"&gt;="&amp;BQ$2,FECHA_BIT,"&lt;="&amp;BQ$3,CLAVE_BIT,$A138)+SUMIFS(SALIDAS_BOV1,FECHA_BOV1,"&gt;="&amp;BQ$2,FECHA_BOV1,"&lt;="&amp;BQ$3,CLAVE_BOV1,$A138)+SUMIFS(SALIDAS_BOV2,FECHA_BOV2,"&gt;="&amp;BQ$2,FECHA_BOV2,"&lt;="&amp;BQ$3,CLAVE_BOV2,$A138)+SUMIFS(SALIDAS_BOV3,FECHA_BOV3,"&gt;="&amp;BQ$2,FECHA_BOV3,"&lt;="&amp;BQ$3,CLAVE_BOV3,$A138)+SUMIFS(SALIDAS_TC,FECHA_TC,"&gt;="&amp;BQ$2,FECHA_TC,"&lt;="&amp;BQ$3,CLAVE_TC,$A138)+SUMIFS(SALIDAS_COMB,FECHA_COMB,"&gt;="&amp;BQ$2,FECHA_COMB,"&lt;="&amp;BQ$3,CLAVE_COMB,$A138)+SUMIFS(SALIDAS_DES,FECHA_DESGLOSEN,"&gt;="&amp;BQ$2,FECHA_DESGLOSEN,"&lt;="&amp;BQ$3,CLAVE_DESGLOSE,$A138)</f>
        <v>1003</v>
      </c>
      <c r="BR138" s="13">
        <f t="shared" si="278"/>
        <v>2111</v>
      </c>
      <c r="BS138" s="68">
        <f t="shared" si="261"/>
        <v>-2111</v>
      </c>
      <c r="BT138" s="268">
        <f t="shared" si="262"/>
        <v>0</v>
      </c>
      <c r="BU138" s="13">
        <f t="shared" si="263"/>
        <v>750</v>
      </c>
      <c r="BV138" s="13">
        <f t="shared" si="186"/>
        <v>0</v>
      </c>
      <c r="BW138" s="13">
        <f t="shared" si="186"/>
        <v>0</v>
      </c>
      <c r="BX138" s="13">
        <f t="shared" si="186"/>
        <v>0</v>
      </c>
      <c r="BY138" s="13">
        <f t="shared" si="186"/>
        <v>0</v>
      </c>
      <c r="BZ138" s="13">
        <f t="shared" si="279"/>
        <v>0</v>
      </c>
      <c r="CA138" s="68">
        <f t="shared" si="264"/>
        <v>750</v>
      </c>
      <c r="CB138" s="268">
        <f t="shared" si="265"/>
        <v>0</v>
      </c>
      <c r="CC138" s="13">
        <f t="shared" si="266"/>
        <v>750</v>
      </c>
      <c r="CD138" s="13">
        <f t="shared" si="187"/>
        <v>865</v>
      </c>
      <c r="CE138" s="13">
        <f t="shared" si="187"/>
        <v>0</v>
      </c>
      <c r="CF138" s="13">
        <f t="shared" si="187"/>
        <v>0</v>
      </c>
      <c r="CG138" s="13">
        <f t="shared" si="187"/>
        <v>0</v>
      </c>
      <c r="CH138" s="13">
        <f t="shared" si="280"/>
        <v>865</v>
      </c>
      <c r="CI138" s="68">
        <f t="shared" si="267"/>
        <v>-115</v>
      </c>
      <c r="CJ138" s="268">
        <f t="shared" si="268"/>
        <v>1.1533333333333333</v>
      </c>
      <c r="CK138" s="13">
        <f t="shared" si="269"/>
        <v>750</v>
      </c>
      <c r="CL138" s="13">
        <f t="shared" si="228"/>
        <v>2231</v>
      </c>
      <c r="CM138" s="13">
        <f t="shared" si="228"/>
        <v>0</v>
      </c>
      <c r="CN138" s="13">
        <f t="shared" si="228"/>
        <v>0</v>
      </c>
      <c r="CO138" s="13">
        <f t="shared" si="228"/>
        <v>0</v>
      </c>
      <c r="CP138" s="13">
        <f t="shared" si="228"/>
        <v>0</v>
      </c>
      <c r="CQ138" s="13">
        <f t="shared" si="281"/>
        <v>2231</v>
      </c>
      <c r="CR138" s="68">
        <f t="shared" si="270"/>
        <v>-1481</v>
      </c>
      <c r="CS138" s="268">
        <f t="shared" si="271"/>
        <v>2.9746666666666668</v>
      </c>
      <c r="CT138" s="68">
        <f t="shared" si="244"/>
        <v>1200</v>
      </c>
      <c r="CU138" s="13">
        <f>SUMIFS(SALIDAS_BIT,FECHA_BIT,"&gt;="&amp;CU$2,FECHA_BIT,"&lt;="&amp;CU$3,CLAVE_BIT,$A138)+SUMIFS(SALIDAS_BOV1,FECHA_BOV1,"&gt;="&amp;CU$2,FECHA_BOV1,"&lt;="&amp;CU$3,CLAVE_BOV1,$A138)+SUMIFS(SALIDAS_BOV2,FECHA_BOV2,"&gt;="&amp;CU$2,FECHA_BOV2,"&lt;="&amp;CU$3,CLAVE_BOV2,$A138)+SUMIFS(SALIDAS_BOV3,FECHA_BOV3,"&gt;="&amp;CU$2,FECHA_BOV3,"&lt;="&amp;CU$3,CLAVE_BOV3,$A138)+SUMIFS(SALIDAS_TC,FECHA_TC,"&gt;="&amp;CU$2,FECHA_TC,"&lt;="&amp;CU$3,CLAVE_TC,$A138)+SUMIFS(SALIDAS_COMB,FECHA_COMB,"&gt;="&amp;CU$2,FECHA_COMB,"&lt;="&amp;CU$3,CLAVE_COMB,$A138)+SUMIFS(SALIDAS_DES,FECHA_DESGLOSEN,"&gt;="&amp;CU$2,FECHA_DESGLOSEN,"&lt;="&amp;CU$3,CLAVE_DESGLOSE,$A138)</f>
        <v>1913</v>
      </c>
      <c r="CV138" s="13">
        <f>SUMIFS(SALIDAS_BIT,FECHA_BIT,"&gt;="&amp;CV$2,FECHA_BIT,"&lt;="&amp;CV$3,CLAVE_BIT,$A138)+SUMIFS(SALIDAS_BOV1,FECHA_BOV1,"&gt;="&amp;CV$2,FECHA_BOV1,"&lt;="&amp;CV$3,CLAVE_BOV1,$A138)+SUMIFS(SALIDAS_BOV2,FECHA_BOV2,"&gt;="&amp;CV$2,FECHA_BOV2,"&lt;="&amp;CV$3,CLAVE_BOV2,$A138)+SUMIFS(SALIDAS_BOV3,FECHA_BOV3,"&gt;="&amp;CV$2,FECHA_BOV3,"&lt;="&amp;CV$3,CLAVE_BOV3,$A138)+SUMIFS(SALIDAS_TC,FECHA_TC,"&gt;="&amp;CV$2,FECHA_TC,"&lt;="&amp;CV$3,CLAVE_TC,$A138)+SUMIFS(SALIDAS_COMB,FECHA_COMB,"&gt;="&amp;CV$2,FECHA_COMB,"&lt;="&amp;CV$3,CLAVE_COMB,$A138)+SUMIFS(SALIDAS_DES,FECHA_DESGLOSEN,"&gt;="&amp;CV$2,FECHA_DESGLOSEN,"&lt;="&amp;CV$3,CLAVE_DESGLOSE,$A138)</f>
        <v>0</v>
      </c>
      <c r="CW138" s="13">
        <f>SUMIFS(SALIDAS_BIT,FECHA_BIT,"&gt;="&amp;CW$2,FECHA_BIT,"&lt;="&amp;CW$3,CLAVE_BIT,$A138)+SUMIFS(SALIDAS_BOV1,FECHA_BOV1,"&gt;="&amp;CW$2,FECHA_BOV1,"&lt;="&amp;CW$3,CLAVE_BOV1,$A138)+SUMIFS(SALIDAS_BOV2,FECHA_BOV2,"&gt;="&amp;CW$2,FECHA_BOV2,"&lt;="&amp;CW$3,CLAVE_BOV2,$A138)+SUMIFS(SALIDAS_BOV3,FECHA_BOV3,"&gt;="&amp;CW$2,FECHA_BOV3,"&lt;="&amp;CW$3,CLAVE_BOV3,$A138)+SUMIFS(SALIDAS_TC,FECHA_TC,"&gt;="&amp;CW$2,FECHA_TC,"&lt;="&amp;CW$3,CLAVE_TC,$A138)+SUMIFS(SALIDAS_COMB,FECHA_COMB,"&gt;="&amp;CW$2,FECHA_COMB,"&lt;="&amp;CW$3,CLAVE_COMB,$A138)+SUMIFS(SALIDAS_DES,FECHA_DESGLOSEN,"&gt;="&amp;CW$2,FECHA_DESGLOSEN,"&lt;="&amp;CW$3,CLAVE_DESGLOSE,$A138)</f>
        <v>0</v>
      </c>
      <c r="CX138" s="13">
        <f>SUMIFS(SALIDAS_BIT,FECHA_BIT,"&gt;="&amp;CX$2,FECHA_BIT,"&lt;="&amp;CX$3,CLAVE_BIT,$A138)+SUMIFS(SALIDAS_BOV1,FECHA_BOV1,"&gt;="&amp;CX$2,FECHA_BOV1,"&lt;="&amp;CX$3,CLAVE_BOV1,$A138)+SUMIFS(SALIDAS_BOV2,FECHA_BOV2,"&gt;="&amp;CX$2,FECHA_BOV2,"&lt;="&amp;CX$3,CLAVE_BOV2,$A138)+SUMIFS(SALIDAS_BOV3,FECHA_BOV3,"&gt;="&amp;CX$2,FECHA_BOV3,"&lt;="&amp;CX$3,CLAVE_BOV3,$A138)+SUMIFS(SALIDAS_TC,FECHA_TC,"&gt;="&amp;CX$2,FECHA_TC,"&lt;="&amp;CX$3,CLAVE_TC,$A138)+SUMIFS(SALIDAS_COMB,FECHA_COMB,"&gt;="&amp;CX$2,FECHA_COMB,"&lt;="&amp;CX$3,CLAVE_COMB,$A138)+SUMIFS(SALIDAS_DES,FECHA_DESGLOSEN,"&gt;="&amp;CX$2,FECHA_DESGLOSEN,"&lt;="&amp;CX$3,CLAVE_DESGLOSE,$A138)</f>
        <v>0</v>
      </c>
      <c r="CY138" s="13">
        <f>SUMIFS(SALIDAS_BIT,FECHA_BIT,"&gt;="&amp;CY$2,FECHA_BIT,"&lt;="&amp;CY$3,CLAVE_BIT,$A138)+SUMIFS(SALIDAS_BOV1,FECHA_BOV1,"&gt;="&amp;CY$2,FECHA_BOV1,"&lt;="&amp;CY$3,CLAVE_BOV1,$A138)+SUMIFS(SALIDAS_BOV2,FECHA_BOV2,"&gt;="&amp;CY$2,FECHA_BOV2,"&lt;="&amp;CY$3,CLAVE_BOV2,$A138)+SUMIFS(SALIDAS_BOV3,FECHA_BOV3,"&gt;="&amp;CY$2,FECHA_BOV3,"&lt;="&amp;CY$3,CLAVE_BOV3,$A138)+SUMIFS(SALIDAS_TC,FECHA_TC,"&gt;="&amp;CY$2,FECHA_TC,"&lt;="&amp;CY$3,CLAVE_TC,$A138)+SUMIFS(SALIDAS_COMB,FECHA_COMB,"&gt;="&amp;CY$2,FECHA_COMB,"&lt;="&amp;CY$3,CLAVE_COMB,$A138)+SUMIFS(SALIDAS_DES,FECHA_DESGLOSEN,"&gt;="&amp;CY$2,FECHA_DESGLOSEN,"&lt;="&amp;CY$3,CLAVE_DESGLOSE,$A138)</f>
        <v>1913</v>
      </c>
      <c r="CZ138" s="68">
        <f t="shared" si="272"/>
        <v>-713</v>
      </c>
      <c r="DB138" s="17">
        <f>F138+N138+W138+AE138+AM138+AV138+BD138+BL138+BU138+CC138+CK138</f>
        <v>9895</v>
      </c>
      <c r="DC138" s="17">
        <f>K138+T138+AB138+AJ138+AS138+BA138+BI138+BR138+BZ138+CH138+CQ138</f>
        <v>22285</v>
      </c>
    </row>
    <row r="139" spans="1:107" hidden="1">
      <c r="A139" s="12" t="str">
        <f t="shared" si="245"/>
        <v>HRJMASA2</v>
      </c>
      <c r="B139" s="12">
        <v>141</v>
      </c>
      <c r="C139" t="s">
        <v>29</v>
      </c>
      <c r="D139" s="12" t="s">
        <v>137</v>
      </c>
      <c r="E139" s="12" t="s">
        <v>89</v>
      </c>
      <c r="F139" s="259">
        <f t="shared" si="238"/>
        <v>0</v>
      </c>
      <c r="G139" s="13">
        <f t="shared" si="273"/>
        <v>384</v>
      </c>
      <c r="H139" s="13">
        <f t="shared" si="273"/>
        <v>0</v>
      </c>
      <c r="I139" s="13">
        <f t="shared" si="273"/>
        <v>0</v>
      </c>
      <c r="J139" s="13">
        <f t="shared" si="273"/>
        <v>0</v>
      </c>
      <c r="K139" s="13">
        <f t="shared" si="273"/>
        <v>384</v>
      </c>
      <c r="L139" s="68">
        <f t="shared" si="246"/>
        <v>-384</v>
      </c>
      <c r="M139" s="268">
        <f t="shared" si="247"/>
        <v>0</v>
      </c>
      <c r="N139" s="13">
        <f t="shared" si="239"/>
        <v>336</v>
      </c>
      <c r="O139" s="13">
        <f t="shared" si="274"/>
        <v>0</v>
      </c>
      <c r="P139" s="13">
        <f t="shared" si="274"/>
        <v>0</v>
      </c>
      <c r="Q139" s="13">
        <f t="shared" si="274"/>
        <v>0</v>
      </c>
      <c r="R139" s="13">
        <f t="shared" si="274"/>
        <v>0</v>
      </c>
      <c r="S139" s="13">
        <f t="shared" si="274"/>
        <v>0</v>
      </c>
      <c r="T139" s="13">
        <f t="shared" si="274"/>
        <v>0</v>
      </c>
      <c r="U139" s="68">
        <f t="shared" si="248"/>
        <v>336</v>
      </c>
      <c r="V139" s="268">
        <f t="shared" si="249"/>
        <v>0</v>
      </c>
      <c r="W139" s="13">
        <f t="shared" si="240"/>
        <v>342</v>
      </c>
      <c r="X139" s="13">
        <f t="shared" si="275"/>
        <v>3548</v>
      </c>
      <c r="Y139" s="13">
        <f t="shared" si="275"/>
        <v>0</v>
      </c>
      <c r="Z139" s="13">
        <f t="shared" si="275"/>
        <v>0</v>
      </c>
      <c r="AA139" s="13">
        <f t="shared" si="275"/>
        <v>0</v>
      </c>
      <c r="AB139" s="13">
        <f t="shared" si="275"/>
        <v>3548</v>
      </c>
      <c r="AC139" s="68">
        <f t="shared" si="250"/>
        <v>-3206</v>
      </c>
      <c r="AD139" s="268">
        <f t="shared" si="251"/>
        <v>10.374269005847953</v>
      </c>
      <c r="AE139" s="13">
        <f t="shared" si="241"/>
        <v>360</v>
      </c>
      <c r="AF139" s="13">
        <f t="shared" si="276"/>
        <v>0</v>
      </c>
      <c r="AG139" s="13">
        <f t="shared" si="276"/>
        <v>403</v>
      </c>
      <c r="AH139" s="13">
        <f t="shared" si="276"/>
        <v>0</v>
      </c>
      <c r="AI139" s="13">
        <f t="shared" si="276"/>
        <v>0</v>
      </c>
      <c r="AJ139" s="13">
        <f t="shared" si="276"/>
        <v>403</v>
      </c>
      <c r="AK139" s="68">
        <f t="shared" si="252"/>
        <v>-43</v>
      </c>
      <c r="AL139" s="268">
        <f t="shared" si="253"/>
        <v>1.1194444444444445</v>
      </c>
      <c r="AM139" s="13">
        <f t="shared" si="242"/>
        <v>684</v>
      </c>
      <c r="AN139" s="13">
        <f t="shared" si="277"/>
        <v>818</v>
      </c>
      <c r="AO139" s="13">
        <f t="shared" si="277"/>
        <v>0</v>
      </c>
      <c r="AP139" s="13">
        <f t="shared" si="277"/>
        <v>0</v>
      </c>
      <c r="AQ139" s="13">
        <f t="shared" si="277"/>
        <v>0</v>
      </c>
      <c r="AR139" s="13">
        <f t="shared" si="277"/>
        <v>0</v>
      </c>
      <c r="AS139" s="13">
        <f t="shared" si="277"/>
        <v>818</v>
      </c>
      <c r="AT139" s="68">
        <f>AM139-AS139</f>
        <v>-134</v>
      </c>
      <c r="AU139" s="268">
        <f t="shared" si="254"/>
        <v>1.195906432748538</v>
      </c>
      <c r="AV139" s="13">
        <f t="shared" si="243"/>
        <v>0</v>
      </c>
      <c r="AW139" s="13">
        <f t="shared" si="222"/>
        <v>829</v>
      </c>
      <c r="AX139" s="13">
        <f t="shared" si="222"/>
        <v>0</v>
      </c>
      <c r="AY139" s="13">
        <f t="shared" si="222"/>
        <v>0</v>
      </c>
      <c r="AZ139" s="13">
        <f t="shared" si="222"/>
        <v>0</v>
      </c>
      <c r="BA139" s="13">
        <f t="shared" si="223"/>
        <v>829</v>
      </c>
      <c r="BB139" s="68">
        <f t="shared" si="255"/>
        <v>-829</v>
      </c>
      <c r="BC139" s="268">
        <f t="shared" si="256"/>
        <v>0</v>
      </c>
      <c r="BD139" s="13">
        <f t="shared" si="257"/>
        <v>0</v>
      </c>
      <c r="BE139" s="13">
        <f>SUMIFS(SALIDAS_BIT,FECHA_BIT,"&gt;="&amp;BE$2,FECHA_BIT,"&lt;="&amp;BE$3,CLAVE_BIT,$A139)+SUMIFS(SALIDAS_BOV1,FECHA_BOV1,"&gt;="&amp;BE$2,FECHA_BOV1,"&lt;="&amp;BE$3,CLAVE_BOV1,$A139)+SUMIFS(SALIDAS_BOV2,FECHA_BOV2,"&gt;="&amp;BE$2,FECHA_BOV2,"&lt;="&amp;BE$3,CLAVE_BOV2,$A139)+SUMIFS(SALIDAS_BOV3,FECHA_BOV3,"&gt;="&amp;BE$2,FECHA_BOV3,"&lt;="&amp;BE$3,CLAVE_BOV3,$A139)+SUMIFS(SALIDAS_TC,FECHA_TC,"&gt;="&amp;BE$2,FECHA_TC,"&lt;="&amp;BE$3,CLAVE_TC,$A139)+SUMIFS(SALIDAS_COMB,FECHA_COMB,"&gt;="&amp;BE$2,FECHA_COMB,"&lt;="&amp;BE$3,CLAVE_COMB,$A139)+SUMIFS(SALIDAS_DES,FECHA_DESGLOSEN,"&gt;="&amp;BE$2,FECHA_DESGLOSEN,"&lt;="&amp;BE$3,CLAVE_DESGLOSE,$A139)</f>
        <v>0</v>
      </c>
      <c r="BF139" s="13">
        <f>SUMIFS(SALIDAS_BIT,FECHA_BIT,"&gt;="&amp;BF$2,FECHA_BIT,"&lt;="&amp;BF$3,CLAVE_BIT,$A139)+SUMIFS(SALIDAS_BOV1,FECHA_BOV1,"&gt;="&amp;BF$2,FECHA_BOV1,"&lt;="&amp;BF$3,CLAVE_BOV1,$A139)+SUMIFS(SALIDAS_BOV2,FECHA_BOV2,"&gt;="&amp;BF$2,FECHA_BOV2,"&lt;="&amp;BF$3,CLAVE_BOV2,$A139)+SUMIFS(SALIDAS_BOV3,FECHA_BOV3,"&gt;="&amp;BF$2,FECHA_BOV3,"&lt;="&amp;BF$3,CLAVE_BOV3,$A139)+SUMIFS(SALIDAS_TC,FECHA_TC,"&gt;="&amp;BF$2,FECHA_TC,"&lt;="&amp;BF$3,CLAVE_TC,$A139)+SUMIFS(SALIDAS_COMB,FECHA_COMB,"&gt;="&amp;BF$2,FECHA_COMB,"&lt;="&amp;BF$3,CLAVE_COMB,$A139)+SUMIFS(SALIDAS_DES,FECHA_DESGLOSEN,"&gt;="&amp;BF$2,FECHA_DESGLOSEN,"&lt;="&amp;BF$3,CLAVE_DESGLOSE,$A139)</f>
        <v>0</v>
      </c>
      <c r="BG139" s="13">
        <f>SUMIFS(SALIDAS_BIT,FECHA_BIT,"&gt;="&amp;BG$2,FECHA_BIT,"&lt;="&amp;BG$3,CLAVE_BIT,$A139)+SUMIFS(SALIDAS_BOV1,FECHA_BOV1,"&gt;="&amp;BG$2,FECHA_BOV1,"&lt;="&amp;BG$3,CLAVE_BOV1,$A139)+SUMIFS(SALIDAS_BOV2,FECHA_BOV2,"&gt;="&amp;BG$2,FECHA_BOV2,"&lt;="&amp;BG$3,CLAVE_BOV2,$A139)+SUMIFS(SALIDAS_BOV3,FECHA_BOV3,"&gt;="&amp;BG$2,FECHA_BOV3,"&lt;="&amp;BG$3,CLAVE_BOV3,$A139)+SUMIFS(SALIDAS_TC,FECHA_TC,"&gt;="&amp;BG$2,FECHA_TC,"&lt;="&amp;BG$3,CLAVE_TC,$A139)+SUMIFS(SALIDAS_COMB,FECHA_COMB,"&gt;="&amp;BG$2,FECHA_COMB,"&lt;="&amp;BG$3,CLAVE_COMB,$A139)+SUMIFS(SALIDAS_DES,FECHA_DESGLOSEN,"&gt;="&amp;BG$2,FECHA_DESGLOSEN,"&lt;="&amp;BG$3,CLAVE_DESGLOSE,$A139)</f>
        <v>0</v>
      </c>
      <c r="BH139" s="13">
        <f>SUMIFS(SALIDAS_BIT,FECHA_BIT,"&gt;="&amp;BH$2,FECHA_BIT,"&lt;="&amp;BH$3,CLAVE_BIT,$A139)+SUMIFS(SALIDAS_BOV1,FECHA_BOV1,"&gt;="&amp;BH$2,FECHA_BOV1,"&lt;="&amp;BH$3,CLAVE_BOV1,$A139)+SUMIFS(SALIDAS_BOV2,FECHA_BOV2,"&gt;="&amp;BH$2,FECHA_BOV2,"&lt;="&amp;BH$3,CLAVE_BOV2,$A139)+SUMIFS(SALIDAS_BOV3,FECHA_BOV3,"&gt;="&amp;BH$2,FECHA_BOV3,"&lt;="&amp;BH$3,CLAVE_BOV3,$A139)+SUMIFS(SALIDAS_TC,FECHA_TC,"&gt;="&amp;BH$2,FECHA_TC,"&lt;="&amp;BH$3,CLAVE_TC,$A139)+SUMIFS(SALIDAS_COMB,FECHA_COMB,"&gt;="&amp;BH$2,FECHA_COMB,"&lt;="&amp;BH$3,CLAVE_COMB,$A139)+SUMIFS(SALIDAS_DES,FECHA_DESGLOSEN,"&gt;="&amp;BH$2,FECHA_DESGLOSEN,"&lt;="&amp;BH$3,CLAVE_DESGLOSE,$A139)</f>
        <v>0</v>
      </c>
      <c r="BI139" s="13">
        <f t="shared" si="215"/>
        <v>0</v>
      </c>
      <c r="BJ139" s="68">
        <f t="shared" si="258"/>
        <v>0</v>
      </c>
      <c r="BK139" s="268">
        <f t="shared" si="259"/>
        <v>0</v>
      </c>
      <c r="BL139" s="13">
        <f t="shared" si="260"/>
        <v>0</v>
      </c>
      <c r="BM139" s="13">
        <f>SUMIFS(SALIDAS_BIT,FECHA_BIT,"&gt;="&amp;BM$2,FECHA_BIT,"&lt;="&amp;BM$3,CLAVE_BIT,$A139)+SUMIFS(SALIDAS_BOV1,FECHA_BOV1,"&gt;="&amp;BM$2,FECHA_BOV1,"&lt;="&amp;BM$3,CLAVE_BOV1,$A139)+SUMIFS(SALIDAS_BOV2,FECHA_BOV2,"&gt;="&amp;BM$2,FECHA_BOV2,"&lt;="&amp;BM$3,CLAVE_BOV2,$A139)+SUMIFS(SALIDAS_BOV3,FECHA_BOV3,"&gt;="&amp;BM$2,FECHA_BOV3,"&lt;="&amp;BM$3,CLAVE_BOV3,$A139)+SUMIFS(SALIDAS_TC,FECHA_TC,"&gt;="&amp;BM$2,FECHA_TC,"&lt;="&amp;BM$3,CLAVE_TC,$A139)+SUMIFS(SALIDAS_COMB,FECHA_COMB,"&gt;="&amp;BM$2,FECHA_COMB,"&lt;="&amp;BM$3,CLAVE_COMB,$A139)+SUMIFS(SALIDAS_DES,FECHA_DESGLOSEN,"&gt;="&amp;BM$2,FECHA_DESGLOSEN,"&lt;="&amp;BM$3,CLAVE_DESGLOSE,$A139)</f>
        <v>1859</v>
      </c>
      <c r="BN139" s="13">
        <f>SUMIFS(SALIDAS_BIT,FECHA_BIT,"&gt;="&amp;BN$2,FECHA_BIT,"&lt;="&amp;BN$3,CLAVE_BIT,$A139)+SUMIFS(SALIDAS_BOV1,FECHA_BOV1,"&gt;="&amp;BN$2,FECHA_BOV1,"&lt;="&amp;BN$3,CLAVE_BOV1,$A139)+SUMIFS(SALIDAS_BOV2,FECHA_BOV2,"&gt;="&amp;BN$2,FECHA_BOV2,"&lt;="&amp;BN$3,CLAVE_BOV2,$A139)+SUMIFS(SALIDAS_BOV3,FECHA_BOV3,"&gt;="&amp;BN$2,FECHA_BOV3,"&lt;="&amp;BN$3,CLAVE_BOV3,$A139)+SUMIFS(SALIDAS_TC,FECHA_TC,"&gt;="&amp;BN$2,FECHA_TC,"&lt;="&amp;BN$3,CLAVE_TC,$A139)+SUMIFS(SALIDAS_COMB,FECHA_COMB,"&gt;="&amp;BN$2,FECHA_COMB,"&lt;="&amp;BN$3,CLAVE_COMB,$A139)+SUMIFS(SALIDAS_DES,FECHA_DESGLOSEN,"&gt;="&amp;BN$2,FECHA_DESGLOSEN,"&lt;="&amp;BN$3,CLAVE_DESGLOSE,$A139)</f>
        <v>0</v>
      </c>
      <c r="BO139" s="13">
        <f>SUMIFS(SALIDAS_BIT,FECHA_BIT,"&gt;="&amp;BO$2,FECHA_BIT,"&lt;="&amp;BO$3,CLAVE_BIT,$A139)+SUMIFS(SALIDAS_BOV1,FECHA_BOV1,"&gt;="&amp;BO$2,FECHA_BOV1,"&lt;="&amp;BO$3,CLAVE_BOV1,$A139)+SUMIFS(SALIDAS_BOV2,FECHA_BOV2,"&gt;="&amp;BO$2,FECHA_BOV2,"&lt;="&amp;BO$3,CLAVE_BOV2,$A139)+SUMIFS(SALIDAS_BOV3,FECHA_BOV3,"&gt;="&amp;BO$2,FECHA_BOV3,"&lt;="&amp;BO$3,CLAVE_BOV3,$A139)+SUMIFS(SALIDAS_TC,FECHA_TC,"&gt;="&amp;BO$2,FECHA_TC,"&lt;="&amp;BO$3,CLAVE_TC,$A139)+SUMIFS(SALIDAS_COMB,FECHA_COMB,"&gt;="&amp;BO$2,FECHA_COMB,"&lt;="&amp;BO$3,CLAVE_COMB,$A139)+SUMIFS(SALIDAS_DES,FECHA_DESGLOSEN,"&gt;="&amp;BO$2,FECHA_DESGLOSEN,"&lt;="&amp;BO$3,CLAVE_DESGLOSE,$A139)</f>
        <v>0</v>
      </c>
      <c r="BP139" s="13">
        <f>SUMIFS(SALIDAS_BIT,FECHA_BIT,"&gt;="&amp;BP$2,FECHA_BIT,"&lt;="&amp;BP$3,CLAVE_BIT,$A139)+SUMIFS(SALIDAS_BOV1,FECHA_BOV1,"&gt;="&amp;BP$2,FECHA_BOV1,"&lt;="&amp;BP$3,CLAVE_BOV1,$A139)+SUMIFS(SALIDAS_BOV2,FECHA_BOV2,"&gt;="&amp;BP$2,FECHA_BOV2,"&lt;="&amp;BP$3,CLAVE_BOV2,$A139)+SUMIFS(SALIDAS_BOV3,FECHA_BOV3,"&gt;="&amp;BP$2,FECHA_BOV3,"&lt;="&amp;BP$3,CLAVE_BOV3,$A139)+SUMIFS(SALIDAS_TC,FECHA_TC,"&gt;="&amp;BP$2,FECHA_TC,"&lt;="&amp;BP$3,CLAVE_TC,$A139)+SUMIFS(SALIDAS_COMB,FECHA_COMB,"&gt;="&amp;BP$2,FECHA_COMB,"&lt;="&amp;BP$3,CLAVE_COMB,$A139)+SUMIFS(SALIDAS_DES,FECHA_DESGLOSEN,"&gt;="&amp;BP$2,FECHA_DESGLOSEN,"&lt;="&amp;BP$3,CLAVE_DESGLOSE,$A139)</f>
        <v>0</v>
      </c>
      <c r="BQ139" s="13">
        <f>SUMIFS(SALIDAS_BIT,FECHA_BIT,"&gt;="&amp;BQ$2,FECHA_BIT,"&lt;="&amp;BQ$3,CLAVE_BIT,$A139)+SUMIFS(SALIDAS_BOV1,FECHA_BOV1,"&gt;="&amp;BQ$2,FECHA_BOV1,"&lt;="&amp;BQ$3,CLAVE_BOV1,$A139)+SUMIFS(SALIDAS_BOV2,FECHA_BOV2,"&gt;="&amp;BQ$2,FECHA_BOV2,"&lt;="&amp;BQ$3,CLAVE_BOV2,$A139)+SUMIFS(SALIDAS_BOV3,FECHA_BOV3,"&gt;="&amp;BQ$2,FECHA_BOV3,"&lt;="&amp;BQ$3,CLAVE_BOV3,$A139)+SUMIFS(SALIDAS_TC,FECHA_TC,"&gt;="&amp;BQ$2,FECHA_TC,"&lt;="&amp;BQ$3,CLAVE_TC,$A139)+SUMIFS(SALIDAS_COMB,FECHA_COMB,"&gt;="&amp;BQ$2,FECHA_COMB,"&lt;="&amp;BQ$3,CLAVE_COMB,$A139)+SUMIFS(SALIDAS_DES,FECHA_DESGLOSEN,"&gt;="&amp;BQ$2,FECHA_DESGLOSEN,"&lt;="&amp;BQ$3,CLAVE_DESGLOSE,$A139)</f>
        <v>866</v>
      </c>
      <c r="BR139" s="13">
        <f t="shared" si="278"/>
        <v>2725</v>
      </c>
      <c r="BS139" s="68">
        <f t="shared" si="261"/>
        <v>-2725</v>
      </c>
      <c r="BT139" s="268">
        <f t="shared" si="262"/>
        <v>0</v>
      </c>
      <c r="BU139" s="13">
        <f t="shared" si="263"/>
        <v>350</v>
      </c>
      <c r="BV139" s="13">
        <f t="shared" si="186"/>
        <v>0</v>
      </c>
      <c r="BW139" s="13">
        <f t="shared" si="186"/>
        <v>0</v>
      </c>
      <c r="BX139" s="13">
        <f t="shared" si="186"/>
        <v>0</v>
      </c>
      <c r="BY139" s="13">
        <f t="shared" si="186"/>
        <v>0</v>
      </c>
      <c r="BZ139" s="13">
        <f t="shared" si="279"/>
        <v>0</v>
      </c>
      <c r="CA139" s="68">
        <f t="shared" si="264"/>
        <v>350</v>
      </c>
      <c r="CB139" s="268">
        <f t="shared" si="265"/>
        <v>0</v>
      </c>
      <c r="CC139" s="13">
        <f t="shared" si="266"/>
        <v>350</v>
      </c>
      <c r="CD139" s="13">
        <f t="shared" si="187"/>
        <v>878</v>
      </c>
      <c r="CE139" s="13">
        <f t="shared" si="187"/>
        <v>0</v>
      </c>
      <c r="CF139" s="13">
        <f t="shared" si="187"/>
        <v>0</v>
      </c>
      <c r="CG139" s="13">
        <f t="shared" si="187"/>
        <v>0</v>
      </c>
      <c r="CH139" s="13">
        <f t="shared" si="280"/>
        <v>878</v>
      </c>
      <c r="CI139" s="68">
        <f t="shared" si="267"/>
        <v>-528</v>
      </c>
      <c r="CJ139" s="268">
        <f t="shared" si="268"/>
        <v>2.5085714285714285</v>
      </c>
      <c r="CK139" s="13">
        <f t="shared" si="269"/>
        <v>350</v>
      </c>
      <c r="CL139" s="13">
        <f t="shared" si="228"/>
        <v>891</v>
      </c>
      <c r="CM139" s="13">
        <f t="shared" si="228"/>
        <v>0</v>
      </c>
      <c r="CN139" s="13">
        <f t="shared" si="228"/>
        <v>0</v>
      </c>
      <c r="CO139" s="13">
        <f t="shared" si="228"/>
        <v>0</v>
      </c>
      <c r="CP139" s="13">
        <f t="shared" si="228"/>
        <v>0</v>
      </c>
      <c r="CQ139" s="13">
        <f t="shared" si="281"/>
        <v>891</v>
      </c>
      <c r="CR139" s="68">
        <f t="shared" si="270"/>
        <v>-541</v>
      </c>
      <c r="CS139" s="268">
        <f t="shared" si="271"/>
        <v>2.5457142857142858</v>
      </c>
      <c r="CT139" s="68">
        <f t="shared" si="244"/>
        <v>900</v>
      </c>
      <c r="CU139" s="13">
        <f>SUMIFS(SALIDAS_BIT,FECHA_BIT,"&gt;="&amp;CU$2,FECHA_BIT,"&lt;="&amp;CU$3,CLAVE_BIT,$A139)+SUMIFS(SALIDAS_BOV1,FECHA_BOV1,"&gt;="&amp;CU$2,FECHA_BOV1,"&lt;="&amp;CU$3,CLAVE_BOV1,$A139)+SUMIFS(SALIDAS_BOV2,FECHA_BOV2,"&gt;="&amp;CU$2,FECHA_BOV2,"&lt;="&amp;CU$3,CLAVE_BOV2,$A139)+SUMIFS(SALIDAS_BOV3,FECHA_BOV3,"&gt;="&amp;CU$2,FECHA_BOV3,"&lt;="&amp;CU$3,CLAVE_BOV3,$A139)+SUMIFS(SALIDAS_TC,FECHA_TC,"&gt;="&amp;CU$2,FECHA_TC,"&lt;="&amp;CU$3,CLAVE_TC,$A139)+SUMIFS(SALIDAS_COMB,FECHA_COMB,"&gt;="&amp;CU$2,FECHA_COMB,"&lt;="&amp;CU$3,CLAVE_COMB,$A139)+SUMIFS(SALIDAS_DES,FECHA_DESGLOSEN,"&gt;="&amp;CU$2,FECHA_DESGLOSEN,"&lt;="&amp;CU$3,CLAVE_DESGLOSE,$A139)</f>
        <v>904</v>
      </c>
      <c r="CV139" s="13">
        <f>SUMIFS(SALIDAS_BIT,FECHA_BIT,"&gt;="&amp;CV$2,FECHA_BIT,"&lt;="&amp;CV$3,CLAVE_BIT,$A139)+SUMIFS(SALIDAS_BOV1,FECHA_BOV1,"&gt;="&amp;CV$2,FECHA_BOV1,"&lt;="&amp;CV$3,CLAVE_BOV1,$A139)+SUMIFS(SALIDAS_BOV2,FECHA_BOV2,"&gt;="&amp;CV$2,FECHA_BOV2,"&lt;="&amp;CV$3,CLAVE_BOV2,$A139)+SUMIFS(SALIDAS_BOV3,FECHA_BOV3,"&gt;="&amp;CV$2,FECHA_BOV3,"&lt;="&amp;CV$3,CLAVE_BOV3,$A139)+SUMIFS(SALIDAS_TC,FECHA_TC,"&gt;="&amp;CV$2,FECHA_TC,"&lt;="&amp;CV$3,CLAVE_TC,$A139)+SUMIFS(SALIDAS_COMB,FECHA_COMB,"&gt;="&amp;CV$2,FECHA_COMB,"&lt;="&amp;CV$3,CLAVE_COMB,$A139)+SUMIFS(SALIDAS_DES,FECHA_DESGLOSEN,"&gt;="&amp;CV$2,FECHA_DESGLOSEN,"&lt;="&amp;CV$3,CLAVE_DESGLOSE,$A139)</f>
        <v>0</v>
      </c>
      <c r="CW139" s="13">
        <f>SUMIFS(SALIDAS_BIT,FECHA_BIT,"&gt;="&amp;CW$2,FECHA_BIT,"&lt;="&amp;CW$3,CLAVE_BIT,$A139)+SUMIFS(SALIDAS_BOV1,FECHA_BOV1,"&gt;="&amp;CW$2,FECHA_BOV1,"&lt;="&amp;CW$3,CLAVE_BOV1,$A139)+SUMIFS(SALIDAS_BOV2,FECHA_BOV2,"&gt;="&amp;CW$2,FECHA_BOV2,"&lt;="&amp;CW$3,CLAVE_BOV2,$A139)+SUMIFS(SALIDAS_BOV3,FECHA_BOV3,"&gt;="&amp;CW$2,FECHA_BOV3,"&lt;="&amp;CW$3,CLAVE_BOV3,$A139)+SUMIFS(SALIDAS_TC,FECHA_TC,"&gt;="&amp;CW$2,FECHA_TC,"&lt;="&amp;CW$3,CLAVE_TC,$A139)+SUMIFS(SALIDAS_COMB,FECHA_COMB,"&gt;="&amp;CW$2,FECHA_COMB,"&lt;="&amp;CW$3,CLAVE_COMB,$A139)+SUMIFS(SALIDAS_DES,FECHA_DESGLOSEN,"&gt;="&amp;CW$2,FECHA_DESGLOSEN,"&lt;="&amp;CW$3,CLAVE_DESGLOSE,$A139)</f>
        <v>0</v>
      </c>
      <c r="CX139" s="13">
        <f>SUMIFS(SALIDAS_BIT,FECHA_BIT,"&gt;="&amp;CX$2,FECHA_BIT,"&lt;="&amp;CX$3,CLAVE_BIT,$A139)+SUMIFS(SALIDAS_BOV1,FECHA_BOV1,"&gt;="&amp;CX$2,FECHA_BOV1,"&lt;="&amp;CX$3,CLAVE_BOV1,$A139)+SUMIFS(SALIDAS_BOV2,FECHA_BOV2,"&gt;="&amp;CX$2,FECHA_BOV2,"&lt;="&amp;CX$3,CLAVE_BOV2,$A139)+SUMIFS(SALIDAS_BOV3,FECHA_BOV3,"&gt;="&amp;CX$2,FECHA_BOV3,"&lt;="&amp;CX$3,CLAVE_BOV3,$A139)+SUMIFS(SALIDAS_TC,FECHA_TC,"&gt;="&amp;CX$2,FECHA_TC,"&lt;="&amp;CX$3,CLAVE_TC,$A139)+SUMIFS(SALIDAS_COMB,FECHA_COMB,"&gt;="&amp;CX$2,FECHA_COMB,"&lt;="&amp;CX$3,CLAVE_COMB,$A139)+SUMIFS(SALIDAS_DES,FECHA_DESGLOSEN,"&gt;="&amp;CX$2,FECHA_DESGLOSEN,"&lt;="&amp;CX$3,CLAVE_DESGLOSE,$A139)</f>
        <v>0</v>
      </c>
      <c r="CY139" s="13">
        <f>SUMIFS(SALIDAS_BIT,FECHA_BIT,"&gt;="&amp;CY$2,FECHA_BIT,"&lt;="&amp;CY$3,CLAVE_BIT,$A139)+SUMIFS(SALIDAS_BOV1,FECHA_BOV1,"&gt;="&amp;CY$2,FECHA_BOV1,"&lt;="&amp;CY$3,CLAVE_BOV1,$A139)+SUMIFS(SALIDAS_BOV2,FECHA_BOV2,"&gt;="&amp;CY$2,FECHA_BOV2,"&lt;="&amp;CY$3,CLAVE_BOV2,$A139)+SUMIFS(SALIDAS_BOV3,FECHA_BOV3,"&gt;="&amp;CY$2,FECHA_BOV3,"&lt;="&amp;CY$3,CLAVE_BOV3,$A139)+SUMIFS(SALIDAS_TC,FECHA_TC,"&gt;="&amp;CY$2,FECHA_TC,"&lt;="&amp;CY$3,CLAVE_TC,$A139)+SUMIFS(SALIDAS_COMB,FECHA_COMB,"&gt;="&amp;CY$2,FECHA_COMB,"&lt;="&amp;CY$3,CLAVE_COMB,$A139)+SUMIFS(SALIDAS_DES,FECHA_DESGLOSEN,"&gt;="&amp;CY$2,FECHA_DESGLOSEN,"&lt;="&amp;CY$3,CLAVE_DESGLOSE,$A139)</f>
        <v>904</v>
      </c>
      <c r="CZ139" s="68">
        <f t="shared" si="272"/>
        <v>-4</v>
      </c>
      <c r="DB139" s="17">
        <f>F139+N139+W139+AE139+AM139+AV139+BD139+BL139+BU139+CC139+CK139</f>
        <v>2772</v>
      </c>
      <c r="DC139" s="17">
        <f>K139+T139+AB139+AJ139+AS139+BA139+BI139+BR139+BZ139+CH139+CQ139</f>
        <v>10476</v>
      </c>
    </row>
    <row r="140" spans="1:107" hidden="1">
      <c r="A140" s="12" t="str">
        <f t="shared" si="245"/>
        <v>HRJMASA3</v>
      </c>
      <c r="B140" s="12">
        <v>142</v>
      </c>
      <c r="C140" t="s">
        <v>29</v>
      </c>
      <c r="D140" s="12" t="s">
        <v>137</v>
      </c>
      <c r="E140" s="12" t="s">
        <v>90</v>
      </c>
      <c r="F140" s="259">
        <f t="shared" si="238"/>
        <v>0</v>
      </c>
      <c r="G140" s="13">
        <f t="shared" si="273"/>
        <v>0</v>
      </c>
      <c r="H140" s="13">
        <f t="shared" si="273"/>
        <v>0</v>
      </c>
      <c r="I140" s="13">
        <f t="shared" si="273"/>
        <v>0</v>
      </c>
      <c r="J140" s="13">
        <f t="shared" si="273"/>
        <v>0</v>
      </c>
      <c r="K140" s="13">
        <f t="shared" si="273"/>
        <v>0</v>
      </c>
      <c r="L140" s="68">
        <f t="shared" si="246"/>
        <v>0</v>
      </c>
      <c r="M140" s="268">
        <f t="shared" si="247"/>
        <v>0</v>
      </c>
      <c r="N140" s="13">
        <f t="shared" si="239"/>
        <v>0</v>
      </c>
      <c r="O140" s="13">
        <f t="shared" si="274"/>
        <v>0</v>
      </c>
      <c r="P140" s="13">
        <f t="shared" si="274"/>
        <v>0</v>
      </c>
      <c r="Q140" s="13">
        <f t="shared" si="274"/>
        <v>0</v>
      </c>
      <c r="R140" s="13">
        <f t="shared" si="274"/>
        <v>0</v>
      </c>
      <c r="S140" s="13">
        <f t="shared" si="274"/>
        <v>0</v>
      </c>
      <c r="T140" s="13">
        <f t="shared" si="274"/>
        <v>0</v>
      </c>
      <c r="U140" s="68">
        <f t="shared" si="248"/>
        <v>0</v>
      </c>
      <c r="V140" s="268">
        <f t="shared" si="249"/>
        <v>0</v>
      </c>
      <c r="W140" s="13">
        <f t="shared" si="240"/>
        <v>0</v>
      </c>
      <c r="X140" s="13">
        <f t="shared" si="275"/>
        <v>0</v>
      </c>
      <c r="Y140" s="13">
        <f t="shared" si="275"/>
        <v>0</v>
      </c>
      <c r="Z140" s="13">
        <f t="shared" si="275"/>
        <v>0</v>
      </c>
      <c r="AA140" s="13">
        <f t="shared" si="275"/>
        <v>0</v>
      </c>
      <c r="AB140" s="13">
        <f t="shared" si="275"/>
        <v>0</v>
      </c>
      <c r="AC140" s="68">
        <f t="shared" si="250"/>
        <v>0</v>
      </c>
      <c r="AD140" s="268">
        <f t="shared" si="251"/>
        <v>0</v>
      </c>
      <c r="AE140" s="13">
        <f t="shared" si="241"/>
        <v>0</v>
      </c>
      <c r="AF140" s="13">
        <f t="shared" si="276"/>
        <v>0</v>
      </c>
      <c r="AG140" s="13">
        <f t="shared" si="276"/>
        <v>402</v>
      </c>
      <c r="AH140" s="13">
        <f t="shared" si="276"/>
        <v>0</v>
      </c>
      <c r="AI140" s="13">
        <f t="shared" si="276"/>
        <v>0</v>
      </c>
      <c r="AJ140" s="13">
        <f t="shared" si="276"/>
        <v>402</v>
      </c>
      <c r="AK140" s="68">
        <f t="shared" si="252"/>
        <v>-402</v>
      </c>
      <c r="AL140" s="268">
        <f t="shared" si="253"/>
        <v>0</v>
      </c>
      <c r="AM140" s="13">
        <f t="shared" si="242"/>
        <v>0</v>
      </c>
      <c r="AN140" s="13">
        <f t="shared" si="277"/>
        <v>0</v>
      </c>
      <c r="AO140" s="13">
        <f t="shared" si="277"/>
        <v>0</v>
      </c>
      <c r="AP140" s="13">
        <f t="shared" si="277"/>
        <v>0</v>
      </c>
      <c r="AQ140" s="13">
        <f t="shared" si="277"/>
        <v>0</v>
      </c>
      <c r="AR140" s="13">
        <f t="shared" si="277"/>
        <v>0</v>
      </c>
      <c r="AS140" s="13">
        <f t="shared" si="277"/>
        <v>0</v>
      </c>
      <c r="AT140" s="68">
        <f>AM140-AS140</f>
        <v>0</v>
      </c>
      <c r="AU140" s="268">
        <f t="shared" si="254"/>
        <v>0</v>
      </c>
      <c r="AV140" s="13">
        <f t="shared" si="243"/>
        <v>0</v>
      </c>
      <c r="AW140" s="13">
        <f t="shared" si="222"/>
        <v>0</v>
      </c>
      <c r="AX140" s="13">
        <f t="shared" si="222"/>
        <v>0</v>
      </c>
      <c r="AY140" s="13">
        <f t="shared" si="222"/>
        <v>0</v>
      </c>
      <c r="AZ140" s="13">
        <f t="shared" si="222"/>
        <v>0</v>
      </c>
      <c r="BA140" s="13">
        <f t="shared" si="223"/>
        <v>0</v>
      </c>
      <c r="BB140" s="68">
        <f t="shared" si="255"/>
        <v>0</v>
      </c>
      <c r="BC140" s="268">
        <f t="shared" si="256"/>
        <v>0</v>
      </c>
      <c r="BD140" s="13">
        <f t="shared" si="257"/>
        <v>0</v>
      </c>
      <c r="BE140" s="13">
        <f>SUMIFS(SALIDAS_BIT,FECHA_BIT,"&gt;="&amp;BE$2,FECHA_BIT,"&lt;="&amp;BE$3,CLAVE_BIT,$A140)+SUMIFS(SALIDAS_BOV1,FECHA_BOV1,"&gt;="&amp;BE$2,FECHA_BOV1,"&lt;="&amp;BE$3,CLAVE_BOV1,$A140)+SUMIFS(SALIDAS_BOV2,FECHA_BOV2,"&gt;="&amp;BE$2,FECHA_BOV2,"&lt;="&amp;BE$3,CLAVE_BOV2,$A140)+SUMIFS(SALIDAS_BOV3,FECHA_BOV3,"&gt;="&amp;BE$2,FECHA_BOV3,"&lt;="&amp;BE$3,CLAVE_BOV3,$A140)+SUMIFS(SALIDAS_TC,FECHA_TC,"&gt;="&amp;BE$2,FECHA_TC,"&lt;="&amp;BE$3,CLAVE_TC,$A140)+SUMIFS(SALIDAS_COMB,FECHA_COMB,"&gt;="&amp;BE$2,FECHA_COMB,"&lt;="&amp;BE$3,CLAVE_COMB,$A140)+SUMIFS(SALIDAS_DES,FECHA_DESGLOSEN,"&gt;="&amp;BE$2,FECHA_DESGLOSEN,"&lt;="&amp;BE$3,CLAVE_DESGLOSE,$A140)</f>
        <v>0</v>
      </c>
      <c r="BF140" s="13">
        <f>SUMIFS(SALIDAS_BIT,FECHA_BIT,"&gt;="&amp;BF$2,FECHA_BIT,"&lt;="&amp;BF$3,CLAVE_BIT,$A140)+SUMIFS(SALIDAS_BOV1,FECHA_BOV1,"&gt;="&amp;BF$2,FECHA_BOV1,"&lt;="&amp;BF$3,CLAVE_BOV1,$A140)+SUMIFS(SALIDAS_BOV2,FECHA_BOV2,"&gt;="&amp;BF$2,FECHA_BOV2,"&lt;="&amp;BF$3,CLAVE_BOV2,$A140)+SUMIFS(SALIDAS_BOV3,FECHA_BOV3,"&gt;="&amp;BF$2,FECHA_BOV3,"&lt;="&amp;BF$3,CLAVE_BOV3,$A140)+SUMIFS(SALIDAS_TC,FECHA_TC,"&gt;="&amp;BF$2,FECHA_TC,"&lt;="&amp;BF$3,CLAVE_TC,$A140)+SUMIFS(SALIDAS_COMB,FECHA_COMB,"&gt;="&amp;BF$2,FECHA_COMB,"&lt;="&amp;BF$3,CLAVE_COMB,$A140)+SUMIFS(SALIDAS_DES,FECHA_DESGLOSEN,"&gt;="&amp;BF$2,FECHA_DESGLOSEN,"&lt;="&amp;BF$3,CLAVE_DESGLOSE,$A140)</f>
        <v>0</v>
      </c>
      <c r="BG140" s="13">
        <f>SUMIFS(SALIDAS_BIT,FECHA_BIT,"&gt;="&amp;BG$2,FECHA_BIT,"&lt;="&amp;BG$3,CLAVE_BIT,$A140)+SUMIFS(SALIDAS_BOV1,FECHA_BOV1,"&gt;="&amp;BG$2,FECHA_BOV1,"&lt;="&amp;BG$3,CLAVE_BOV1,$A140)+SUMIFS(SALIDAS_BOV2,FECHA_BOV2,"&gt;="&amp;BG$2,FECHA_BOV2,"&lt;="&amp;BG$3,CLAVE_BOV2,$A140)+SUMIFS(SALIDAS_BOV3,FECHA_BOV3,"&gt;="&amp;BG$2,FECHA_BOV3,"&lt;="&amp;BG$3,CLAVE_BOV3,$A140)+SUMIFS(SALIDAS_TC,FECHA_TC,"&gt;="&amp;BG$2,FECHA_TC,"&lt;="&amp;BG$3,CLAVE_TC,$A140)+SUMIFS(SALIDAS_COMB,FECHA_COMB,"&gt;="&amp;BG$2,FECHA_COMB,"&lt;="&amp;BG$3,CLAVE_COMB,$A140)+SUMIFS(SALIDAS_DES,FECHA_DESGLOSEN,"&gt;="&amp;BG$2,FECHA_DESGLOSEN,"&lt;="&amp;BG$3,CLAVE_DESGLOSE,$A140)</f>
        <v>0</v>
      </c>
      <c r="BH140" s="13">
        <f>SUMIFS(SALIDAS_BIT,FECHA_BIT,"&gt;="&amp;BH$2,FECHA_BIT,"&lt;="&amp;BH$3,CLAVE_BIT,$A140)+SUMIFS(SALIDAS_BOV1,FECHA_BOV1,"&gt;="&amp;BH$2,FECHA_BOV1,"&lt;="&amp;BH$3,CLAVE_BOV1,$A140)+SUMIFS(SALIDAS_BOV2,FECHA_BOV2,"&gt;="&amp;BH$2,FECHA_BOV2,"&lt;="&amp;BH$3,CLAVE_BOV2,$A140)+SUMIFS(SALIDAS_BOV3,FECHA_BOV3,"&gt;="&amp;BH$2,FECHA_BOV3,"&lt;="&amp;BH$3,CLAVE_BOV3,$A140)+SUMIFS(SALIDAS_TC,FECHA_TC,"&gt;="&amp;BH$2,FECHA_TC,"&lt;="&amp;BH$3,CLAVE_TC,$A140)+SUMIFS(SALIDAS_COMB,FECHA_COMB,"&gt;="&amp;BH$2,FECHA_COMB,"&lt;="&amp;BH$3,CLAVE_COMB,$A140)+SUMIFS(SALIDAS_DES,FECHA_DESGLOSEN,"&gt;="&amp;BH$2,FECHA_DESGLOSEN,"&lt;="&amp;BH$3,CLAVE_DESGLOSE,$A140)</f>
        <v>0</v>
      </c>
      <c r="BI140" s="13">
        <f t="shared" si="215"/>
        <v>0</v>
      </c>
      <c r="BJ140" s="68">
        <f t="shared" si="258"/>
        <v>0</v>
      </c>
      <c r="BK140" s="268">
        <f t="shared" si="259"/>
        <v>0</v>
      </c>
      <c r="BL140" s="13">
        <f t="shared" si="260"/>
        <v>0</v>
      </c>
      <c r="BM140" s="13">
        <f>SUMIFS(SALIDAS_BIT,FECHA_BIT,"&gt;="&amp;BM$2,FECHA_BIT,"&lt;="&amp;BM$3,CLAVE_BIT,$A140)+SUMIFS(SALIDAS_BOV1,FECHA_BOV1,"&gt;="&amp;BM$2,FECHA_BOV1,"&lt;="&amp;BM$3,CLAVE_BOV1,$A140)+SUMIFS(SALIDAS_BOV2,FECHA_BOV2,"&gt;="&amp;BM$2,FECHA_BOV2,"&lt;="&amp;BM$3,CLAVE_BOV2,$A140)+SUMIFS(SALIDAS_BOV3,FECHA_BOV3,"&gt;="&amp;BM$2,FECHA_BOV3,"&lt;="&amp;BM$3,CLAVE_BOV3,$A140)+SUMIFS(SALIDAS_TC,FECHA_TC,"&gt;="&amp;BM$2,FECHA_TC,"&lt;="&amp;BM$3,CLAVE_TC,$A140)+SUMIFS(SALIDAS_COMB,FECHA_COMB,"&gt;="&amp;BM$2,FECHA_COMB,"&lt;="&amp;BM$3,CLAVE_COMB,$A140)+SUMIFS(SALIDAS_DES,FECHA_DESGLOSEN,"&gt;="&amp;BM$2,FECHA_DESGLOSEN,"&lt;="&amp;BM$3,CLAVE_DESGLOSE,$A140)</f>
        <v>0</v>
      </c>
      <c r="BN140" s="13">
        <f>SUMIFS(SALIDAS_BIT,FECHA_BIT,"&gt;="&amp;BN$2,FECHA_BIT,"&lt;="&amp;BN$3,CLAVE_BIT,$A140)+SUMIFS(SALIDAS_BOV1,FECHA_BOV1,"&gt;="&amp;BN$2,FECHA_BOV1,"&lt;="&amp;BN$3,CLAVE_BOV1,$A140)+SUMIFS(SALIDAS_BOV2,FECHA_BOV2,"&gt;="&amp;BN$2,FECHA_BOV2,"&lt;="&amp;BN$3,CLAVE_BOV2,$A140)+SUMIFS(SALIDAS_BOV3,FECHA_BOV3,"&gt;="&amp;BN$2,FECHA_BOV3,"&lt;="&amp;BN$3,CLAVE_BOV3,$A140)+SUMIFS(SALIDAS_TC,FECHA_TC,"&gt;="&amp;BN$2,FECHA_TC,"&lt;="&amp;BN$3,CLAVE_TC,$A140)+SUMIFS(SALIDAS_COMB,FECHA_COMB,"&gt;="&amp;BN$2,FECHA_COMB,"&lt;="&amp;BN$3,CLAVE_COMB,$A140)+SUMIFS(SALIDAS_DES,FECHA_DESGLOSEN,"&gt;="&amp;BN$2,FECHA_DESGLOSEN,"&lt;="&amp;BN$3,CLAVE_DESGLOSE,$A140)</f>
        <v>0</v>
      </c>
      <c r="BO140" s="13">
        <f>SUMIFS(SALIDAS_BIT,FECHA_BIT,"&gt;="&amp;BO$2,FECHA_BIT,"&lt;="&amp;BO$3,CLAVE_BIT,$A140)+SUMIFS(SALIDAS_BOV1,FECHA_BOV1,"&gt;="&amp;BO$2,FECHA_BOV1,"&lt;="&amp;BO$3,CLAVE_BOV1,$A140)+SUMIFS(SALIDAS_BOV2,FECHA_BOV2,"&gt;="&amp;BO$2,FECHA_BOV2,"&lt;="&amp;BO$3,CLAVE_BOV2,$A140)+SUMIFS(SALIDAS_BOV3,FECHA_BOV3,"&gt;="&amp;BO$2,FECHA_BOV3,"&lt;="&amp;BO$3,CLAVE_BOV3,$A140)+SUMIFS(SALIDAS_TC,FECHA_TC,"&gt;="&amp;BO$2,FECHA_TC,"&lt;="&amp;BO$3,CLAVE_TC,$A140)+SUMIFS(SALIDAS_COMB,FECHA_COMB,"&gt;="&amp;BO$2,FECHA_COMB,"&lt;="&amp;BO$3,CLAVE_COMB,$A140)+SUMIFS(SALIDAS_DES,FECHA_DESGLOSEN,"&gt;="&amp;BO$2,FECHA_DESGLOSEN,"&lt;="&amp;BO$3,CLAVE_DESGLOSE,$A140)</f>
        <v>0</v>
      </c>
      <c r="BP140" s="13">
        <f>SUMIFS(SALIDAS_BIT,FECHA_BIT,"&gt;="&amp;BP$2,FECHA_BIT,"&lt;="&amp;BP$3,CLAVE_BIT,$A140)+SUMIFS(SALIDAS_BOV1,FECHA_BOV1,"&gt;="&amp;BP$2,FECHA_BOV1,"&lt;="&amp;BP$3,CLAVE_BOV1,$A140)+SUMIFS(SALIDAS_BOV2,FECHA_BOV2,"&gt;="&amp;BP$2,FECHA_BOV2,"&lt;="&amp;BP$3,CLAVE_BOV2,$A140)+SUMIFS(SALIDAS_BOV3,FECHA_BOV3,"&gt;="&amp;BP$2,FECHA_BOV3,"&lt;="&amp;BP$3,CLAVE_BOV3,$A140)+SUMIFS(SALIDAS_TC,FECHA_TC,"&gt;="&amp;BP$2,FECHA_TC,"&lt;="&amp;BP$3,CLAVE_TC,$A140)+SUMIFS(SALIDAS_COMB,FECHA_COMB,"&gt;="&amp;BP$2,FECHA_COMB,"&lt;="&amp;BP$3,CLAVE_COMB,$A140)+SUMIFS(SALIDAS_DES,FECHA_DESGLOSEN,"&gt;="&amp;BP$2,FECHA_DESGLOSEN,"&lt;="&amp;BP$3,CLAVE_DESGLOSE,$A140)</f>
        <v>0</v>
      </c>
      <c r="BQ140" s="13">
        <f>SUMIFS(SALIDAS_BIT,FECHA_BIT,"&gt;="&amp;BQ$2,FECHA_BIT,"&lt;="&amp;BQ$3,CLAVE_BIT,$A140)+SUMIFS(SALIDAS_BOV1,FECHA_BOV1,"&gt;="&amp;BQ$2,FECHA_BOV1,"&lt;="&amp;BQ$3,CLAVE_BOV1,$A140)+SUMIFS(SALIDAS_BOV2,FECHA_BOV2,"&gt;="&amp;BQ$2,FECHA_BOV2,"&lt;="&amp;BQ$3,CLAVE_BOV2,$A140)+SUMIFS(SALIDAS_BOV3,FECHA_BOV3,"&gt;="&amp;BQ$2,FECHA_BOV3,"&lt;="&amp;BQ$3,CLAVE_BOV3,$A140)+SUMIFS(SALIDAS_TC,FECHA_TC,"&gt;="&amp;BQ$2,FECHA_TC,"&lt;="&amp;BQ$3,CLAVE_TC,$A140)+SUMIFS(SALIDAS_COMB,FECHA_COMB,"&gt;="&amp;BQ$2,FECHA_COMB,"&lt;="&amp;BQ$3,CLAVE_COMB,$A140)+SUMIFS(SALIDAS_DES,FECHA_DESGLOSEN,"&gt;="&amp;BQ$2,FECHA_DESGLOSEN,"&lt;="&amp;BQ$3,CLAVE_DESGLOSE,$A140)</f>
        <v>0</v>
      </c>
      <c r="BR140" s="13">
        <f t="shared" si="278"/>
        <v>0</v>
      </c>
      <c r="BS140" s="68">
        <f t="shared" si="261"/>
        <v>0</v>
      </c>
      <c r="BT140" s="268">
        <f t="shared" si="262"/>
        <v>0</v>
      </c>
      <c r="BU140" s="13">
        <f t="shared" si="263"/>
        <v>400</v>
      </c>
      <c r="BV140" s="13">
        <f t="shared" si="186"/>
        <v>0</v>
      </c>
      <c r="BW140" s="13">
        <f t="shared" si="186"/>
        <v>0</v>
      </c>
      <c r="BX140" s="13">
        <f t="shared" si="186"/>
        <v>0</v>
      </c>
      <c r="BY140" s="13">
        <f t="shared" si="186"/>
        <v>0</v>
      </c>
      <c r="BZ140" s="13">
        <f t="shared" si="279"/>
        <v>0</v>
      </c>
      <c r="CA140" s="68">
        <f t="shared" si="264"/>
        <v>400</v>
      </c>
      <c r="CB140" s="268">
        <f t="shared" si="265"/>
        <v>0</v>
      </c>
      <c r="CC140" s="13">
        <f t="shared" si="266"/>
        <v>400</v>
      </c>
      <c r="CD140" s="13">
        <f t="shared" si="187"/>
        <v>0</v>
      </c>
      <c r="CE140" s="13">
        <f t="shared" si="187"/>
        <v>0</v>
      </c>
      <c r="CF140" s="13">
        <f t="shared" si="187"/>
        <v>0</v>
      </c>
      <c r="CG140" s="13">
        <f t="shared" si="187"/>
        <v>0</v>
      </c>
      <c r="CH140" s="13">
        <f t="shared" si="280"/>
        <v>0</v>
      </c>
      <c r="CI140" s="68">
        <f t="shared" si="267"/>
        <v>400</v>
      </c>
      <c r="CJ140" s="268">
        <f t="shared" si="268"/>
        <v>0</v>
      </c>
      <c r="CK140" s="13">
        <f t="shared" si="269"/>
        <v>400</v>
      </c>
      <c r="CL140" s="13">
        <f t="shared" si="228"/>
        <v>0</v>
      </c>
      <c r="CM140" s="13">
        <f t="shared" si="228"/>
        <v>0</v>
      </c>
      <c r="CN140" s="13">
        <f t="shared" si="228"/>
        <v>0</v>
      </c>
      <c r="CO140" s="13">
        <f t="shared" si="228"/>
        <v>0</v>
      </c>
      <c r="CP140" s="13">
        <f t="shared" si="228"/>
        <v>0</v>
      </c>
      <c r="CQ140" s="13">
        <f t="shared" si="281"/>
        <v>0</v>
      </c>
      <c r="CR140" s="68">
        <f t="shared" si="270"/>
        <v>400</v>
      </c>
      <c r="CS140" s="268">
        <f t="shared" si="271"/>
        <v>0</v>
      </c>
      <c r="CT140" s="68">
        <f t="shared" si="244"/>
        <v>600</v>
      </c>
      <c r="CU140" s="13">
        <f>SUMIFS(SALIDAS_BIT,FECHA_BIT,"&gt;="&amp;CU$2,FECHA_BIT,"&lt;="&amp;CU$3,CLAVE_BIT,$A140)+SUMIFS(SALIDAS_BOV1,FECHA_BOV1,"&gt;="&amp;CU$2,FECHA_BOV1,"&lt;="&amp;CU$3,CLAVE_BOV1,$A140)+SUMIFS(SALIDAS_BOV2,FECHA_BOV2,"&gt;="&amp;CU$2,FECHA_BOV2,"&lt;="&amp;CU$3,CLAVE_BOV2,$A140)+SUMIFS(SALIDAS_BOV3,FECHA_BOV3,"&gt;="&amp;CU$2,FECHA_BOV3,"&lt;="&amp;CU$3,CLAVE_BOV3,$A140)+SUMIFS(SALIDAS_TC,FECHA_TC,"&gt;="&amp;CU$2,FECHA_TC,"&lt;="&amp;CU$3,CLAVE_TC,$A140)+SUMIFS(SALIDAS_COMB,FECHA_COMB,"&gt;="&amp;CU$2,FECHA_COMB,"&lt;="&amp;CU$3,CLAVE_COMB,$A140)+SUMIFS(SALIDAS_DES,FECHA_DESGLOSEN,"&gt;="&amp;CU$2,FECHA_DESGLOSEN,"&lt;="&amp;CU$3,CLAVE_DESGLOSE,$A140)</f>
        <v>0</v>
      </c>
      <c r="CV140" s="13">
        <f>SUMIFS(SALIDAS_BIT,FECHA_BIT,"&gt;="&amp;CV$2,FECHA_BIT,"&lt;="&amp;CV$3,CLAVE_BIT,$A140)+SUMIFS(SALIDAS_BOV1,FECHA_BOV1,"&gt;="&amp;CV$2,FECHA_BOV1,"&lt;="&amp;CV$3,CLAVE_BOV1,$A140)+SUMIFS(SALIDAS_BOV2,FECHA_BOV2,"&gt;="&amp;CV$2,FECHA_BOV2,"&lt;="&amp;CV$3,CLAVE_BOV2,$A140)+SUMIFS(SALIDAS_BOV3,FECHA_BOV3,"&gt;="&amp;CV$2,FECHA_BOV3,"&lt;="&amp;CV$3,CLAVE_BOV3,$A140)+SUMIFS(SALIDAS_TC,FECHA_TC,"&gt;="&amp;CV$2,FECHA_TC,"&lt;="&amp;CV$3,CLAVE_TC,$A140)+SUMIFS(SALIDAS_COMB,FECHA_COMB,"&gt;="&amp;CV$2,FECHA_COMB,"&lt;="&amp;CV$3,CLAVE_COMB,$A140)+SUMIFS(SALIDAS_DES,FECHA_DESGLOSEN,"&gt;="&amp;CV$2,FECHA_DESGLOSEN,"&lt;="&amp;CV$3,CLAVE_DESGLOSE,$A140)</f>
        <v>0</v>
      </c>
      <c r="CW140" s="13">
        <f>SUMIFS(SALIDAS_BIT,FECHA_BIT,"&gt;="&amp;CW$2,FECHA_BIT,"&lt;="&amp;CW$3,CLAVE_BIT,$A140)+SUMIFS(SALIDAS_BOV1,FECHA_BOV1,"&gt;="&amp;CW$2,FECHA_BOV1,"&lt;="&amp;CW$3,CLAVE_BOV1,$A140)+SUMIFS(SALIDAS_BOV2,FECHA_BOV2,"&gt;="&amp;CW$2,FECHA_BOV2,"&lt;="&amp;CW$3,CLAVE_BOV2,$A140)+SUMIFS(SALIDAS_BOV3,FECHA_BOV3,"&gt;="&amp;CW$2,FECHA_BOV3,"&lt;="&amp;CW$3,CLAVE_BOV3,$A140)+SUMIFS(SALIDAS_TC,FECHA_TC,"&gt;="&amp;CW$2,FECHA_TC,"&lt;="&amp;CW$3,CLAVE_TC,$A140)+SUMIFS(SALIDAS_COMB,FECHA_COMB,"&gt;="&amp;CW$2,FECHA_COMB,"&lt;="&amp;CW$3,CLAVE_COMB,$A140)+SUMIFS(SALIDAS_DES,FECHA_DESGLOSEN,"&gt;="&amp;CW$2,FECHA_DESGLOSEN,"&lt;="&amp;CW$3,CLAVE_DESGLOSE,$A140)</f>
        <v>0</v>
      </c>
      <c r="CX140" s="13">
        <f>SUMIFS(SALIDAS_BIT,FECHA_BIT,"&gt;="&amp;CX$2,FECHA_BIT,"&lt;="&amp;CX$3,CLAVE_BIT,$A140)+SUMIFS(SALIDAS_BOV1,FECHA_BOV1,"&gt;="&amp;CX$2,FECHA_BOV1,"&lt;="&amp;CX$3,CLAVE_BOV1,$A140)+SUMIFS(SALIDAS_BOV2,FECHA_BOV2,"&gt;="&amp;CX$2,FECHA_BOV2,"&lt;="&amp;CX$3,CLAVE_BOV2,$A140)+SUMIFS(SALIDAS_BOV3,FECHA_BOV3,"&gt;="&amp;CX$2,FECHA_BOV3,"&lt;="&amp;CX$3,CLAVE_BOV3,$A140)+SUMIFS(SALIDAS_TC,FECHA_TC,"&gt;="&amp;CX$2,FECHA_TC,"&lt;="&amp;CX$3,CLAVE_TC,$A140)+SUMIFS(SALIDAS_COMB,FECHA_COMB,"&gt;="&amp;CX$2,FECHA_COMB,"&lt;="&amp;CX$3,CLAVE_COMB,$A140)+SUMIFS(SALIDAS_DES,FECHA_DESGLOSEN,"&gt;="&amp;CX$2,FECHA_DESGLOSEN,"&lt;="&amp;CX$3,CLAVE_DESGLOSE,$A140)</f>
        <v>0</v>
      </c>
      <c r="CY140" s="13">
        <f>SUMIFS(SALIDAS_BIT,FECHA_BIT,"&gt;="&amp;CY$2,FECHA_BIT,"&lt;="&amp;CY$3,CLAVE_BIT,$A140)+SUMIFS(SALIDAS_BOV1,FECHA_BOV1,"&gt;="&amp;CY$2,FECHA_BOV1,"&lt;="&amp;CY$3,CLAVE_BOV1,$A140)+SUMIFS(SALIDAS_BOV2,FECHA_BOV2,"&gt;="&amp;CY$2,FECHA_BOV2,"&lt;="&amp;CY$3,CLAVE_BOV2,$A140)+SUMIFS(SALIDAS_BOV3,FECHA_BOV3,"&gt;="&amp;CY$2,FECHA_BOV3,"&lt;="&amp;CY$3,CLAVE_BOV3,$A140)+SUMIFS(SALIDAS_TC,FECHA_TC,"&gt;="&amp;CY$2,FECHA_TC,"&lt;="&amp;CY$3,CLAVE_TC,$A140)+SUMIFS(SALIDAS_COMB,FECHA_COMB,"&gt;="&amp;CY$2,FECHA_COMB,"&lt;="&amp;CY$3,CLAVE_COMB,$A140)+SUMIFS(SALIDAS_DES,FECHA_DESGLOSEN,"&gt;="&amp;CY$2,FECHA_DESGLOSEN,"&lt;="&amp;CY$3,CLAVE_DESGLOSE,$A140)</f>
        <v>0</v>
      </c>
      <c r="CZ140" s="68">
        <f t="shared" si="272"/>
        <v>600</v>
      </c>
      <c r="DB140" s="17">
        <f>F140+N140+W140+AE140+AM140+AV140+BD140+BL140+BU140+CC140+CK140</f>
        <v>1200</v>
      </c>
      <c r="DC140" s="17">
        <f>K140+T140+AB140+AJ140+AS140+BA140+BI140+BR140+BZ140+CH140+CQ140</f>
        <v>402</v>
      </c>
    </row>
    <row r="141" spans="1:107" hidden="1">
      <c r="A141" s="12" t="str">
        <f t="shared" si="245"/>
        <v>HRJMASA4</v>
      </c>
      <c r="B141" s="12">
        <v>143</v>
      </c>
      <c r="C141" t="s">
        <v>29</v>
      </c>
      <c r="D141" s="12" t="s">
        <v>137</v>
      </c>
      <c r="E141" s="12" t="s">
        <v>91</v>
      </c>
      <c r="F141" s="259">
        <f t="shared" si="238"/>
        <v>482</v>
      </c>
      <c r="G141" s="13">
        <f t="shared" si="273"/>
        <v>0</v>
      </c>
      <c r="H141" s="13">
        <f t="shared" si="273"/>
        <v>522</v>
      </c>
      <c r="I141" s="13">
        <f t="shared" si="273"/>
        <v>0</v>
      </c>
      <c r="J141" s="13">
        <f t="shared" si="273"/>
        <v>0</v>
      </c>
      <c r="K141" s="13">
        <f t="shared" si="273"/>
        <v>522</v>
      </c>
      <c r="L141" s="68">
        <f t="shared" si="246"/>
        <v>-40</v>
      </c>
      <c r="M141" s="268">
        <f t="shared" si="247"/>
        <v>1.0829875518672198</v>
      </c>
      <c r="N141" s="13">
        <f t="shared" si="239"/>
        <v>461</v>
      </c>
      <c r="O141" s="13">
        <f t="shared" si="274"/>
        <v>0</v>
      </c>
      <c r="P141" s="13">
        <f t="shared" si="274"/>
        <v>529</v>
      </c>
      <c r="Q141" s="13">
        <f t="shared" si="274"/>
        <v>0</v>
      </c>
      <c r="R141" s="13">
        <f t="shared" si="274"/>
        <v>0</v>
      </c>
      <c r="S141" s="13">
        <f t="shared" si="274"/>
        <v>0</v>
      </c>
      <c r="T141" s="13">
        <f t="shared" si="274"/>
        <v>529</v>
      </c>
      <c r="U141" s="68">
        <f t="shared" si="248"/>
        <v>-68</v>
      </c>
      <c r="V141" s="268">
        <f t="shared" si="249"/>
        <v>1.1475054229934925</v>
      </c>
      <c r="W141" s="13">
        <f t="shared" si="240"/>
        <v>0</v>
      </c>
      <c r="X141" s="13">
        <f t="shared" si="275"/>
        <v>0</v>
      </c>
      <c r="Y141" s="13">
        <f t="shared" si="275"/>
        <v>0</v>
      </c>
      <c r="Z141" s="13">
        <f t="shared" si="275"/>
        <v>0</v>
      </c>
      <c r="AA141" s="13">
        <f t="shared" si="275"/>
        <v>0</v>
      </c>
      <c r="AB141" s="13">
        <f t="shared" si="275"/>
        <v>0</v>
      </c>
      <c r="AC141" s="68">
        <f t="shared" si="250"/>
        <v>0</v>
      </c>
      <c r="AD141" s="268">
        <f t="shared" si="251"/>
        <v>0</v>
      </c>
      <c r="AE141" s="13">
        <f t="shared" si="241"/>
        <v>461</v>
      </c>
      <c r="AF141" s="13">
        <f t="shared" si="276"/>
        <v>0</v>
      </c>
      <c r="AG141" s="13">
        <f t="shared" si="276"/>
        <v>547</v>
      </c>
      <c r="AH141" s="13">
        <f t="shared" si="276"/>
        <v>0</v>
      </c>
      <c r="AI141" s="13">
        <f t="shared" si="276"/>
        <v>0</v>
      </c>
      <c r="AJ141" s="13">
        <f t="shared" si="276"/>
        <v>547</v>
      </c>
      <c r="AK141" s="68">
        <f t="shared" si="252"/>
        <v>-86</v>
      </c>
      <c r="AL141" s="268">
        <f t="shared" si="253"/>
        <v>1.1865509761388287</v>
      </c>
      <c r="AM141" s="13">
        <f t="shared" si="242"/>
        <v>504</v>
      </c>
      <c r="AN141" s="13">
        <f t="shared" si="277"/>
        <v>0</v>
      </c>
      <c r="AO141" s="13">
        <f t="shared" si="277"/>
        <v>560</v>
      </c>
      <c r="AP141" s="13">
        <f t="shared" si="277"/>
        <v>0</v>
      </c>
      <c r="AQ141" s="13">
        <f t="shared" si="277"/>
        <v>0</v>
      </c>
      <c r="AR141" s="13">
        <f t="shared" si="277"/>
        <v>0</v>
      </c>
      <c r="AS141" s="13">
        <f t="shared" si="277"/>
        <v>560</v>
      </c>
      <c r="AT141" s="68">
        <f>AM141-AS141</f>
        <v>-56</v>
      </c>
      <c r="AU141" s="268">
        <f t="shared" si="254"/>
        <v>1.1111111111111112</v>
      </c>
      <c r="AV141" s="13">
        <f t="shared" si="243"/>
        <v>464</v>
      </c>
      <c r="AW141" s="13">
        <f t="shared" si="222"/>
        <v>787</v>
      </c>
      <c r="AX141" s="13">
        <f t="shared" si="222"/>
        <v>0</v>
      </c>
      <c r="AY141" s="13">
        <f t="shared" si="222"/>
        <v>0</v>
      </c>
      <c r="AZ141" s="13">
        <f t="shared" si="222"/>
        <v>0</v>
      </c>
      <c r="BA141" s="13">
        <f t="shared" si="223"/>
        <v>787</v>
      </c>
      <c r="BB141" s="68">
        <f t="shared" si="255"/>
        <v>-323</v>
      </c>
      <c r="BC141" s="268">
        <f t="shared" si="256"/>
        <v>1.6961206896551724</v>
      </c>
      <c r="BD141" s="13">
        <f t="shared" si="257"/>
        <v>481</v>
      </c>
      <c r="BE141" s="13">
        <f>SUMIFS(SALIDAS_BIT,FECHA_BIT,"&gt;="&amp;BE$2,FECHA_BIT,"&lt;="&amp;BE$3,CLAVE_BIT,$A141)+SUMIFS(SALIDAS_BOV1,FECHA_BOV1,"&gt;="&amp;BE$2,FECHA_BOV1,"&lt;="&amp;BE$3,CLAVE_BOV1,$A141)+SUMIFS(SALIDAS_BOV2,FECHA_BOV2,"&gt;="&amp;BE$2,FECHA_BOV2,"&lt;="&amp;BE$3,CLAVE_BOV2,$A141)+SUMIFS(SALIDAS_BOV3,FECHA_BOV3,"&gt;="&amp;BE$2,FECHA_BOV3,"&lt;="&amp;BE$3,CLAVE_BOV3,$A141)+SUMIFS(SALIDAS_TC,FECHA_TC,"&gt;="&amp;BE$2,FECHA_TC,"&lt;="&amp;BE$3,CLAVE_TC,$A141)+SUMIFS(SALIDAS_COMB,FECHA_COMB,"&gt;="&amp;BE$2,FECHA_COMB,"&lt;="&amp;BE$3,CLAVE_COMB,$A141)+SUMIFS(SALIDAS_DES,FECHA_DESGLOSEN,"&gt;="&amp;BE$2,FECHA_DESGLOSEN,"&lt;="&amp;BE$3,CLAVE_DESGLOSE,$A141)</f>
        <v>0</v>
      </c>
      <c r="BF141" s="13">
        <f>SUMIFS(SALIDAS_BIT,FECHA_BIT,"&gt;="&amp;BF$2,FECHA_BIT,"&lt;="&amp;BF$3,CLAVE_BIT,$A141)+SUMIFS(SALIDAS_BOV1,FECHA_BOV1,"&gt;="&amp;BF$2,FECHA_BOV1,"&lt;="&amp;BF$3,CLAVE_BOV1,$A141)+SUMIFS(SALIDAS_BOV2,FECHA_BOV2,"&gt;="&amp;BF$2,FECHA_BOV2,"&lt;="&amp;BF$3,CLAVE_BOV2,$A141)+SUMIFS(SALIDAS_BOV3,FECHA_BOV3,"&gt;="&amp;BF$2,FECHA_BOV3,"&lt;="&amp;BF$3,CLAVE_BOV3,$A141)+SUMIFS(SALIDAS_TC,FECHA_TC,"&gt;="&amp;BF$2,FECHA_TC,"&lt;="&amp;BF$3,CLAVE_TC,$A141)+SUMIFS(SALIDAS_COMB,FECHA_COMB,"&gt;="&amp;BF$2,FECHA_COMB,"&lt;="&amp;BF$3,CLAVE_COMB,$A141)+SUMIFS(SALIDAS_DES,FECHA_DESGLOSEN,"&gt;="&amp;BF$2,FECHA_DESGLOSEN,"&lt;="&amp;BF$3,CLAVE_DESGLOSE,$A141)</f>
        <v>576</v>
      </c>
      <c r="BG141" s="13">
        <f>SUMIFS(SALIDAS_BIT,FECHA_BIT,"&gt;="&amp;BG$2,FECHA_BIT,"&lt;="&amp;BG$3,CLAVE_BIT,$A141)+SUMIFS(SALIDAS_BOV1,FECHA_BOV1,"&gt;="&amp;BG$2,FECHA_BOV1,"&lt;="&amp;BG$3,CLAVE_BOV1,$A141)+SUMIFS(SALIDAS_BOV2,FECHA_BOV2,"&gt;="&amp;BG$2,FECHA_BOV2,"&lt;="&amp;BG$3,CLAVE_BOV2,$A141)+SUMIFS(SALIDAS_BOV3,FECHA_BOV3,"&gt;="&amp;BG$2,FECHA_BOV3,"&lt;="&amp;BG$3,CLAVE_BOV3,$A141)+SUMIFS(SALIDAS_TC,FECHA_TC,"&gt;="&amp;BG$2,FECHA_TC,"&lt;="&amp;BG$3,CLAVE_TC,$A141)+SUMIFS(SALIDAS_COMB,FECHA_COMB,"&gt;="&amp;BG$2,FECHA_COMB,"&lt;="&amp;BG$3,CLAVE_COMB,$A141)+SUMIFS(SALIDAS_DES,FECHA_DESGLOSEN,"&gt;="&amp;BG$2,FECHA_DESGLOSEN,"&lt;="&amp;BG$3,CLAVE_DESGLOSE,$A141)</f>
        <v>0</v>
      </c>
      <c r="BH141" s="13">
        <f>SUMIFS(SALIDAS_BIT,FECHA_BIT,"&gt;="&amp;BH$2,FECHA_BIT,"&lt;="&amp;BH$3,CLAVE_BIT,$A141)+SUMIFS(SALIDAS_BOV1,FECHA_BOV1,"&gt;="&amp;BH$2,FECHA_BOV1,"&lt;="&amp;BH$3,CLAVE_BOV1,$A141)+SUMIFS(SALIDAS_BOV2,FECHA_BOV2,"&gt;="&amp;BH$2,FECHA_BOV2,"&lt;="&amp;BH$3,CLAVE_BOV2,$A141)+SUMIFS(SALIDAS_BOV3,FECHA_BOV3,"&gt;="&amp;BH$2,FECHA_BOV3,"&lt;="&amp;BH$3,CLAVE_BOV3,$A141)+SUMIFS(SALIDAS_TC,FECHA_TC,"&gt;="&amp;BH$2,FECHA_TC,"&lt;="&amp;BH$3,CLAVE_TC,$A141)+SUMIFS(SALIDAS_COMB,FECHA_COMB,"&gt;="&amp;BH$2,FECHA_COMB,"&lt;="&amp;BH$3,CLAVE_COMB,$A141)+SUMIFS(SALIDAS_DES,FECHA_DESGLOSEN,"&gt;="&amp;BH$2,FECHA_DESGLOSEN,"&lt;="&amp;BH$3,CLAVE_DESGLOSE,$A141)</f>
        <v>0</v>
      </c>
      <c r="BI141" s="13">
        <f t="shared" si="215"/>
        <v>576</v>
      </c>
      <c r="BJ141" s="68">
        <f t="shared" si="258"/>
        <v>-95</v>
      </c>
      <c r="BK141" s="268">
        <f t="shared" si="259"/>
        <v>1.1975051975051976</v>
      </c>
      <c r="BL141" s="13">
        <f t="shared" si="260"/>
        <v>489</v>
      </c>
      <c r="BM141" s="13">
        <f>SUMIFS(SALIDAS_BIT,FECHA_BIT,"&gt;="&amp;BM$2,FECHA_BIT,"&lt;="&amp;BM$3,CLAVE_BIT,$A141)+SUMIFS(SALIDAS_BOV1,FECHA_BOV1,"&gt;="&amp;BM$2,FECHA_BOV1,"&lt;="&amp;BM$3,CLAVE_BOV1,$A141)+SUMIFS(SALIDAS_BOV2,FECHA_BOV2,"&gt;="&amp;BM$2,FECHA_BOV2,"&lt;="&amp;BM$3,CLAVE_BOV2,$A141)+SUMIFS(SALIDAS_BOV3,FECHA_BOV3,"&gt;="&amp;BM$2,FECHA_BOV3,"&lt;="&amp;BM$3,CLAVE_BOV3,$A141)+SUMIFS(SALIDAS_TC,FECHA_TC,"&gt;="&amp;BM$2,FECHA_TC,"&lt;="&amp;BM$3,CLAVE_TC,$A141)+SUMIFS(SALIDAS_COMB,FECHA_COMB,"&gt;="&amp;BM$2,FECHA_COMB,"&lt;="&amp;BM$3,CLAVE_COMB,$A141)+SUMIFS(SALIDAS_DES,FECHA_DESGLOSEN,"&gt;="&amp;BM$2,FECHA_DESGLOSEN,"&lt;="&amp;BM$3,CLAVE_DESGLOSE,$A141)</f>
        <v>0</v>
      </c>
      <c r="BN141" s="13">
        <f>SUMIFS(SALIDAS_BIT,FECHA_BIT,"&gt;="&amp;BN$2,FECHA_BIT,"&lt;="&amp;BN$3,CLAVE_BIT,$A141)+SUMIFS(SALIDAS_BOV1,FECHA_BOV1,"&gt;="&amp;BN$2,FECHA_BOV1,"&lt;="&amp;BN$3,CLAVE_BOV1,$A141)+SUMIFS(SALIDAS_BOV2,FECHA_BOV2,"&gt;="&amp;BN$2,FECHA_BOV2,"&lt;="&amp;BN$3,CLAVE_BOV2,$A141)+SUMIFS(SALIDAS_BOV3,FECHA_BOV3,"&gt;="&amp;BN$2,FECHA_BOV3,"&lt;="&amp;BN$3,CLAVE_BOV3,$A141)+SUMIFS(SALIDAS_TC,FECHA_TC,"&gt;="&amp;BN$2,FECHA_TC,"&lt;="&amp;BN$3,CLAVE_TC,$A141)+SUMIFS(SALIDAS_COMB,FECHA_COMB,"&gt;="&amp;BN$2,FECHA_COMB,"&lt;="&amp;BN$3,CLAVE_COMB,$A141)+SUMIFS(SALIDAS_DES,FECHA_DESGLOSEN,"&gt;="&amp;BN$2,FECHA_DESGLOSEN,"&lt;="&amp;BN$3,CLAVE_DESGLOSE,$A141)</f>
        <v>0</v>
      </c>
      <c r="BO141" s="13">
        <f>SUMIFS(SALIDAS_BIT,FECHA_BIT,"&gt;="&amp;BO$2,FECHA_BIT,"&lt;="&amp;BO$3,CLAVE_BIT,$A141)+SUMIFS(SALIDAS_BOV1,FECHA_BOV1,"&gt;="&amp;BO$2,FECHA_BOV1,"&lt;="&amp;BO$3,CLAVE_BOV1,$A141)+SUMIFS(SALIDAS_BOV2,FECHA_BOV2,"&gt;="&amp;BO$2,FECHA_BOV2,"&lt;="&amp;BO$3,CLAVE_BOV2,$A141)+SUMIFS(SALIDAS_BOV3,FECHA_BOV3,"&gt;="&amp;BO$2,FECHA_BOV3,"&lt;="&amp;BO$3,CLAVE_BOV3,$A141)+SUMIFS(SALIDAS_TC,FECHA_TC,"&gt;="&amp;BO$2,FECHA_TC,"&lt;="&amp;BO$3,CLAVE_TC,$A141)+SUMIFS(SALIDAS_COMB,FECHA_COMB,"&gt;="&amp;BO$2,FECHA_COMB,"&lt;="&amp;BO$3,CLAVE_COMB,$A141)+SUMIFS(SALIDAS_DES,FECHA_DESGLOSEN,"&gt;="&amp;BO$2,FECHA_DESGLOSEN,"&lt;="&amp;BO$3,CLAVE_DESGLOSE,$A141)</f>
        <v>0</v>
      </c>
      <c r="BP141" s="13">
        <f>SUMIFS(SALIDAS_BIT,FECHA_BIT,"&gt;="&amp;BP$2,FECHA_BIT,"&lt;="&amp;BP$3,CLAVE_BIT,$A141)+SUMIFS(SALIDAS_BOV1,FECHA_BOV1,"&gt;="&amp;BP$2,FECHA_BOV1,"&lt;="&amp;BP$3,CLAVE_BOV1,$A141)+SUMIFS(SALIDAS_BOV2,FECHA_BOV2,"&gt;="&amp;BP$2,FECHA_BOV2,"&lt;="&amp;BP$3,CLAVE_BOV2,$A141)+SUMIFS(SALIDAS_BOV3,FECHA_BOV3,"&gt;="&amp;BP$2,FECHA_BOV3,"&lt;="&amp;BP$3,CLAVE_BOV3,$A141)+SUMIFS(SALIDAS_TC,FECHA_TC,"&gt;="&amp;BP$2,FECHA_TC,"&lt;="&amp;BP$3,CLAVE_TC,$A141)+SUMIFS(SALIDAS_COMB,FECHA_COMB,"&gt;="&amp;BP$2,FECHA_COMB,"&lt;="&amp;BP$3,CLAVE_COMB,$A141)+SUMIFS(SALIDAS_DES,FECHA_DESGLOSEN,"&gt;="&amp;BP$2,FECHA_DESGLOSEN,"&lt;="&amp;BP$3,CLAVE_DESGLOSE,$A141)</f>
        <v>0</v>
      </c>
      <c r="BQ141" s="13">
        <f>SUMIFS(SALIDAS_BIT,FECHA_BIT,"&gt;="&amp;BQ$2,FECHA_BIT,"&lt;="&amp;BQ$3,CLAVE_BIT,$A141)+SUMIFS(SALIDAS_BOV1,FECHA_BOV1,"&gt;="&amp;BQ$2,FECHA_BOV1,"&lt;="&amp;BQ$3,CLAVE_BOV1,$A141)+SUMIFS(SALIDAS_BOV2,FECHA_BOV2,"&gt;="&amp;BQ$2,FECHA_BOV2,"&lt;="&amp;BQ$3,CLAVE_BOV2,$A141)+SUMIFS(SALIDAS_BOV3,FECHA_BOV3,"&gt;="&amp;BQ$2,FECHA_BOV3,"&lt;="&amp;BQ$3,CLAVE_BOV3,$A141)+SUMIFS(SALIDAS_TC,FECHA_TC,"&gt;="&amp;BQ$2,FECHA_TC,"&lt;="&amp;BQ$3,CLAVE_TC,$A141)+SUMIFS(SALIDAS_COMB,FECHA_COMB,"&gt;="&amp;BQ$2,FECHA_COMB,"&lt;="&amp;BQ$3,CLAVE_COMB,$A141)+SUMIFS(SALIDAS_DES,FECHA_DESGLOSEN,"&gt;="&amp;BQ$2,FECHA_DESGLOSEN,"&lt;="&amp;BQ$3,CLAVE_DESGLOSE,$A141)</f>
        <v>0</v>
      </c>
      <c r="BR141" s="13">
        <f t="shared" si="278"/>
        <v>0</v>
      </c>
      <c r="BS141" s="68">
        <f t="shared" si="261"/>
        <v>489</v>
      </c>
      <c r="BT141" s="268">
        <f t="shared" si="262"/>
        <v>0</v>
      </c>
      <c r="BU141" s="13">
        <f t="shared" si="263"/>
        <v>500</v>
      </c>
      <c r="BV141" s="13">
        <f t="shared" si="186"/>
        <v>0</v>
      </c>
      <c r="BW141" s="13">
        <f t="shared" si="186"/>
        <v>593</v>
      </c>
      <c r="BX141" s="13">
        <f t="shared" si="186"/>
        <v>0</v>
      </c>
      <c r="BY141" s="13">
        <f t="shared" si="186"/>
        <v>0</v>
      </c>
      <c r="BZ141" s="13">
        <f t="shared" si="279"/>
        <v>593</v>
      </c>
      <c r="CA141" s="68">
        <f t="shared" si="264"/>
        <v>-93</v>
      </c>
      <c r="CB141" s="268">
        <f t="shared" si="265"/>
        <v>1.1859999999999999</v>
      </c>
      <c r="CC141" s="13">
        <f t="shared" si="266"/>
        <v>500</v>
      </c>
      <c r="CD141" s="13">
        <f t="shared" si="187"/>
        <v>0</v>
      </c>
      <c r="CE141" s="13">
        <f t="shared" si="187"/>
        <v>597</v>
      </c>
      <c r="CF141" s="13">
        <f t="shared" si="187"/>
        <v>0</v>
      </c>
      <c r="CG141" s="13">
        <f t="shared" si="187"/>
        <v>0</v>
      </c>
      <c r="CH141" s="13">
        <f t="shared" si="280"/>
        <v>597</v>
      </c>
      <c r="CI141" s="68">
        <f t="shared" si="267"/>
        <v>-97</v>
      </c>
      <c r="CJ141" s="268">
        <f t="shared" si="268"/>
        <v>1.194</v>
      </c>
      <c r="CK141" s="13">
        <f t="shared" si="269"/>
        <v>500</v>
      </c>
      <c r="CL141" s="13">
        <f t="shared" si="228"/>
        <v>0</v>
      </c>
      <c r="CM141" s="13">
        <f t="shared" si="228"/>
        <v>604</v>
      </c>
      <c r="CN141" s="13">
        <f t="shared" si="228"/>
        <v>0</v>
      </c>
      <c r="CO141" s="13">
        <f t="shared" si="228"/>
        <v>0</v>
      </c>
      <c r="CP141" s="13">
        <f t="shared" si="228"/>
        <v>0</v>
      </c>
      <c r="CQ141" s="13">
        <f t="shared" si="281"/>
        <v>604</v>
      </c>
      <c r="CR141" s="68">
        <f t="shared" si="270"/>
        <v>-104</v>
      </c>
      <c r="CS141" s="268">
        <f t="shared" si="271"/>
        <v>1.208</v>
      </c>
      <c r="CT141" s="68">
        <f t="shared" si="244"/>
        <v>600</v>
      </c>
      <c r="CU141" s="13">
        <f>SUMIFS(SALIDAS_BIT,FECHA_BIT,"&gt;="&amp;CU$2,FECHA_BIT,"&lt;="&amp;CU$3,CLAVE_BIT,$A141)+SUMIFS(SALIDAS_BOV1,FECHA_BOV1,"&gt;="&amp;CU$2,FECHA_BOV1,"&lt;="&amp;CU$3,CLAVE_BOV1,$A141)+SUMIFS(SALIDAS_BOV2,FECHA_BOV2,"&gt;="&amp;CU$2,FECHA_BOV2,"&lt;="&amp;CU$3,CLAVE_BOV2,$A141)+SUMIFS(SALIDAS_BOV3,FECHA_BOV3,"&gt;="&amp;CU$2,FECHA_BOV3,"&lt;="&amp;CU$3,CLAVE_BOV3,$A141)+SUMIFS(SALIDAS_TC,FECHA_TC,"&gt;="&amp;CU$2,FECHA_TC,"&lt;="&amp;CU$3,CLAVE_TC,$A141)+SUMIFS(SALIDAS_COMB,FECHA_COMB,"&gt;="&amp;CU$2,FECHA_COMB,"&lt;="&amp;CU$3,CLAVE_COMB,$A141)+SUMIFS(SALIDAS_DES,FECHA_DESGLOSEN,"&gt;="&amp;CU$2,FECHA_DESGLOSEN,"&lt;="&amp;CU$3,CLAVE_DESGLOSE,$A141)</f>
        <v>0</v>
      </c>
      <c r="CV141" s="13">
        <f>SUMIFS(SALIDAS_BIT,FECHA_BIT,"&gt;="&amp;CV$2,FECHA_BIT,"&lt;="&amp;CV$3,CLAVE_BIT,$A141)+SUMIFS(SALIDAS_BOV1,FECHA_BOV1,"&gt;="&amp;CV$2,FECHA_BOV1,"&lt;="&amp;CV$3,CLAVE_BOV1,$A141)+SUMIFS(SALIDAS_BOV2,FECHA_BOV2,"&gt;="&amp;CV$2,FECHA_BOV2,"&lt;="&amp;CV$3,CLAVE_BOV2,$A141)+SUMIFS(SALIDAS_BOV3,FECHA_BOV3,"&gt;="&amp;CV$2,FECHA_BOV3,"&lt;="&amp;CV$3,CLAVE_BOV3,$A141)+SUMIFS(SALIDAS_TC,FECHA_TC,"&gt;="&amp;CV$2,FECHA_TC,"&lt;="&amp;CV$3,CLAVE_TC,$A141)+SUMIFS(SALIDAS_COMB,FECHA_COMB,"&gt;="&amp;CV$2,FECHA_COMB,"&lt;="&amp;CV$3,CLAVE_COMB,$A141)+SUMIFS(SALIDAS_DES,FECHA_DESGLOSEN,"&gt;="&amp;CV$2,FECHA_DESGLOSEN,"&lt;="&amp;CV$3,CLAVE_DESGLOSE,$A141)</f>
        <v>0</v>
      </c>
      <c r="CW141" s="13">
        <f>SUMIFS(SALIDAS_BIT,FECHA_BIT,"&gt;="&amp;CW$2,FECHA_BIT,"&lt;="&amp;CW$3,CLAVE_BIT,$A141)+SUMIFS(SALIDAS_BOV1,FECHA_BOV1,"&gt;="&amp;CW$2,FECHA_BOV1,"&lt;="&amp;CW$3,CLAVE_BOV1,$A141)+SUMIFS(SALIDAS_BOV2,FECHA_BOV2,"&gt;="&amp;CW$2,FECHA_BOV2,"&lt;="&amp;CW$3,CLAVE_BOV2,$A141)+SUMIFS(SALIDAS_BOV3,FECHA_BOV3,"&gt;="&amp;CW$2,FECHA_BOV3,"&lt;="&amp;CW$3,CLAVE_BOV3,$A141)+SUMIFS(SALIDAS_TC,FECHA_TC,"&gt;="&amp;CW$2,FECHA_TC,"&lt;="&amp;CW$3,CLAVE_TC,$A141)+SUMIFS(SALIDAS_COMB,FECHA_COMB,"&gt;="&amp;CW$2,FECHA_COMB,"&lt;="&amp;CW$3,CLAVE_COMB,$A141)+SUMIFS(SALIDAS_DES,FECHA_DESGLOSEN,"&gt;="&amp;CW$2,FECHA_DESGLOSEN,"&lt;="&amp;CW$3,CLAVE_DESGLOSE,$A141)</f>
        <v>613</v>
      </c>
      <c r="CX141" s="13">
        <f>SUMIFS(SALIDAS_BIT,FECHA_BIT,"&gt;="&amp;CX$2,FECHA_BIT,"&lt;="&amp;CX$3,CLAVE_BIT,$A141)+SUMIFS(SALIDAS_BOV1,FECHA_BOV1,"&gt;="&amp;CX$2,FECHA_BOV1,"&lt;="&amp;CX$3,CLAVE_BOV1,$A141)+SUMIFS(SALIDAS_BOV2,FECHA_BOV2,"&gt;="&amp;CX$2,FECHA_BOV2,"&lt;="&amp;CX$3,CLAVE_BOV2,$A141)+SUMIFS(SALIDAS_BOV3,FECHA_BOV3,"&gt;="&amp;CX$2,FECHA_BOV3,"&lt;="&amp;CX$3,CLAVE_BOV3,$A141)+SUMIFS(SALIDAS_TC,FECHA_TC,"&gt;="&amp;CX$2,FECHA_TC,"&lt;="&amp;CX$3,CLAVE_TC,$A141)+SUMIFS(SALIDAS_COMB,FECHA_COMB,"&gt;="&amp;CX$2,FECHA_COMB,"&lt;="&amp;CX$3,CLAVE_COMB,$A141)+SUMIFS(SALIDAS_DES,FECHA_DESGLOSEN,"&gt;="&amp;CX$2,FECHA_DESGLOSEN,"&lt;="&amp;CX$3,CLAVE_DESGLOSE,$A141)</f>
        <v>0</v>
      </c>
      <c r="CY141" s="13">
        <f>SUMIFS(SALIDAS_BIT,FECHA_BIT,"&gt;="&amp;CY$2,FECHA_BIT,"&lt;="&amp;CY$3,CLAVE_BIT,$A141)+SUMIFS(SALIDAS_BOV1,FECHA_BOV1,"&gt;="&amp;CY$2,FECHA_BOV1,"&lt;="&amp;CY$3,CLAVE_BOV1,$A141)+SUMIFS(SALIDAS_BOV2,FECHA_BOV2,"&gt;="&amp;CY$2,FECHA_BOV2,"&lt;="&amp;CY$3,CLAVE_BOV2,$A141)+SUMIFS(SALIDAS_BOV3,FECHA_BOV3,"&gt;="&amp;CY$2,FECHA_BOV3,"&lt;="&amp;CY$3,CLAVE_BOV3,$A141)+SUMIFS(SALIDAS_TC,FECHA_TC,"&gt;="&amp;CY$2,FECHA_TC,"&lt;="&amp;CY$3,CLAVE_TC,$A141)+SUMIFS(SALIDAS_COMB,FECHA_COMB,"&gt;="&amp;CY$2,FECHA_COMB,"&lt;="&amp;CY$3,CLAVE_COMB,$A141)+SUMIFS(SALIDAS_DES,FECHA_DESGLOSEN,"&gt;="&amp;CY$2,FECHA_DESGLOSEN,"&lt;="&amp;CY$3,CLAVE_DESGLOSE,$A141)</f>
        <v>613</v>
      </c>
      <c r="CZ141" s="68">
        <f t="shared" si="272"/>
        <v>-13</v>
      </c>
      <c r="DB141" s="17">
        <f>F141+N141+W141+AE141+AM141+AV141+BD141+BL141+BU141+CC141+CK141</f>
        <v>4842</v>
      </c>
      <c r="DC141" s="17">
        <f>K141+T141+AB141+AJ141+AS141+BA141+BI141+BR141+BZ141+CH141+CQ141</f>
        <v>5315</v>
      </c>
    </row>
    <row r="142" spans="1:107" hidden="1">
      <c r="A142" s="12" t="str">
        <f t="shared" si="245"/>
        <v>HRJMASA5</v>
      </c>
      <c r="B142" s="12">
        <v>144</v>
      </c>
      <c r="C142" t="s">
        <v>29</v>
      </c>
      <c r="D142" s="12" t="s">
        <v>137</v>
      </c>
      <c r="E142" s="12" t="s">
        <v>92</v>
      </c>
      <c r="F142" s="259">
        <f t="shared" si="238"/>
        <v>546</v>
      </c>
      <c r="G142" s="13">
        <f t="shared" si="273"/>
        <v>0</v>
      </c>
      <c r="H142" s="13">
        <f t="shared" si="273"/>
        <v>0</v>
      </c>
      <c r="I142" s="13">
        <f t="shared" si="273"/>
        <v>0</v>
      </c>
      <c r="J142" s="13">
        <f t="shared" si="273"/>
        <v>0</v>
      </c>
      <c r="K142" s="13">
        <f t="shared" si="273"/>
        <v>0</v>
      </c>
      <c r="L142" s="68">
        <f t="shared" si="246"/>
        <v>546</v>
      </c>
      <c r="M142" s="268">
        <f t="shared" si="247"/>
        <v>0</v>
      </c>
      <c r="N142" s="13">
        <f t="shared" si="239"/>
        <v>651</v>
      </c>
      <c r="O142" s="13">
        <f t="shared" si="274"/>
        <v>550</v>
      </c>
      <c r="P142" s="13">
        <f t="shared" si="274"/>
        <v>0</v>
      </c>
      <c r="Q142" s="13">
        <f t="shared" si="274"/>
        <v>68</v>
      </c>
      <c r="R142" s="13">
        <f t="shared" si="274"/>
        <v>0</v>
      </c>
      <c r="S142" s="13">
        <f t="shared" si="274"/>
        <v>655</v>
      </c>
      <c r="T142" s="13">
        <f t="shared" si="274"/>
        <v>1273</v>
      </c>
      <c r="U142" s="68">
        <f t="shared" si="248"/>
        <v>-622</v>
      </c>
      <c r="V142" s="268">
        <f t="shared" si="249"/>
        <v>1.9554531490015361</v>
      </c>
      <c r="W142" s="13">
        <f t="shared" si="240"/>
        <v>543</v>
      </c>
      <c r="X142" s="13">
        <f t="shared" si="275"/>
        <v>0</v>
      </c>
      <c r="Y142" s="13">
        <f t="shared" si="275"/>
        <v>0</v>
      </c>
      <c r="Z142" s="13">
        <f t="shared" si="275"/>
        <v>0</v>
      </c>
      <c r="AA142" s="13">
        <f t="shared" si="275"/>
        <v>0</v>
      </c>
      <c r="AB142" s="13">
        <f t="shared" si="275"/>
        <v>0</v>
      </c>
      <c r="AC142" s="68">
        <f t="shared" si="250"/>
        <v>543</v>
      </c>
      <c r="AD142" s="268">
        <f t="shared" si="251"/>
        <v>0</v>
      </c>
      <c r="AE142" s="13">
        <f t="shared" si="241"/>
        <v>543</v>
      </c>
      <c r="AF142" s="13">
        <f t="shared" si="276"/>
        <v>0</v>
      </c>
      <c r="AG142" s="13">
        <f t="shared" si="276"/>
        <v>600</v>
      </c>
      <c r="AH142" s="13">
        <f t="shared" si="276"/>
        <v>0</v>
      </c>
      <c r="AI142" s="13">
        <f t="shared" si="276"/>
        <v>600</v>
      </c>
      <c r="AJ142" s="13">
        <f t="shared" si="276"/>
        <v>1200</v>
      </c>
      <c r="AK142" s="68">
        <f t="shared" si="252"/>
        <v>-657</v>
      </c>
      <c r="AL142" s="268">
        <f t="shared" si="253"/>
        <v>2.2099447513812156</v>
      </c>
      <c r="AM142" s="13">
        <f t="shared" si="242"/>
        <v>543</v>
      </c>
      <c r="AN142" s="13">
        <f t="shared" si="277"/>
        <v>0</v>
      </c>
      <c r="AO142" s="13">
        <f t="shared" si="277"/>
        <v>0</v>
      </c>
      <c r="AP142" s="13">
        <f t="shared" si="277"/>
        <v>0</v>
      </c>
      <c r="AQ142" s="13">
        <f t="shared" si="277"/>
        <v>0</v>
      </c>
      <c r="AR142" s="13">
        <f t="shared" si="277"/>
        <v>570</v>
      </c>
      <c r="AS142" s="13">
        <f t="shared" si="277"/>
        <v>570</v>
      </c>
      <c r="AT142" s="68">
        <f>AM142-AS142</f>
        <v>-27</v>
      </c>
      <c r="AU142" s="268">
        <f t="shared" si="254"/>
        <v>1.0497237569060773</v>
      </c>
      <c r="AV142" s="13">
        <f t="shared" si="243"/>
        <v>544</v>
      </c>
      <c r="AW142" s="13">
        <f t="shared" si="222"/>
        <v>0</v>
      </c>
      <c r="AX142" s="13">
        <f t="shared" si="222"/>
        <v>0</v>
      </c>
      <c r="AY142" s="13">
        <f t="shared" si="222"/>
        <v>0</v>
      </c>
      <c r="AZ142" s="13">
        <f t="shared" si="222"/>
        <v>0</v>
      </c>
      <c r="BA142" s="13">
        <f t="shared" si="223"/>
        <v>0</v>
      </c>
      <c r="BB142" s="68">
        <f t="shared" si="255"/>
        <v>544</v>
      </c>
      <c r="BC142" s="268">
        <f t="shared" si="256"/>
        <v>0</v>
      </c>
      <c r="BD142" s="13">
        <f t="shared" si="257"/>
        <v>531</v>
      </c>
      <c r="BE142" s="13">
        <f>SUMIFS(SALIDAS_BIT,FECHA_BIT,"&gt;="&amp;BE$2,FECHA_BIT,"&lt;="&amp;BE$3,CLAVE_BIT,$A142)+SUMIFS(SALIDAS_BOV1,FECHA_BOV1,"&gt;="&amp;BE$2,FECHA_BOV1,"&lt;="&amp;BE$3,CLAVE_BOV1,$A142)+SUMIFS(SALIDAS_BOV2,FECHA_BOV2,"&gt;="&amp;BE$2,FECHA_BOV2,"&lt;="&amp;BE$3,CLAVE_BOV2,$A142)+SUMIFS(SALIDAS_BOV3,FECHA_BOV3,"&gt;="&amp;BE$2,FECHA_BOV3,"&lt;="&amp;BE$3,CLAVE_BOV3,$A142)+SUMIFS(SALIDAS_TC,FECHA_TC,"&gt;="&amp;BE$2,FECHA_TC,"&lt;="&amp;BE$3,CLAVE_TC,$A142)+SUMIFS(SALIDAS_COMB,FECHA_COMB,"&gt;="&amp;BE$2,FECHA_COMB,"&lt;="&amp;BE$3,CLAVE_COMB,$A142)+SUMIFS(SALIDAS_DES,FECHA_DESGLOSEN,"&gt;="&amp;BE$2,FECHA_DESGLOSEN,"&lt;="&amp;BE$3,CLAVE_DESGLOSE,$A142)</f>
        <v>0</v>
      </c>
      <c r="BF142" s="13">
        <f>SUMIFS(SALIDAS_BIT,FECHA_BIT,"&gt;="&amp;BF$2,FECHA_BIT,"&lt;="&amp;BF$3,CLAVE_BIT,$A142)+SUMIFS(SALIDAS_BOV1,FECHA_BOV1,"&gt;="&amp;BF$2,FECHA_BOV1,"&lt;="&amp;BF$3,CLAVE_BOV1,$A142)+SUMIFS(SALIDAS_BOV2,FECHA_BOV2,"&gt;="&amp;BF$2,FECHA_BOV2,"&lt;="&amp;BF$3,CLAVE_BOV2,$A142)+SUMIFS(SALIDAS_BOV3,FECHA_BOV3,"&gt;="&amp;BF$2,FECHA_BOV3,"&lt;="&amp;BF$3,CLAVE_BOV3,$A142)+SUMIFS(SALIDAS_TC,FECHA_TC,"&gt;="&amp;BF$2,FECHA_TC,"&lt;="&amp;BF$3,CLAVE_TC,$A142)+SUMIFS(SALIDAS_COMB,FECHA_COMB,"&gt;="&amp;BF$2,FECHA_COMB,"&lt;="&amp;BF$3,CLAVE_COMB,$A142)+SUMIFS(SALIDAS_DES,FECHA_DESGLOSEN,"&gt;="&amp;BF$2,FECHA_DESGLOSEN,"&lt;="&amp;BF$3,CLAVE_DESGLOSE,$A142)</f>
        <v>570</v>
      </c>
      <c r="BG142" s="13">
        <f>SUMIFS(SALIDAS_BIT,FECHA_BIT,"&gt;="&amp;BG$2,FECHA_BIT,"&lt;="&amp;BG$3,CLAVE_BIT,$A142)+SUMIFS(SALIDAS_BOV1,FECHA_BOV1,"&gt;="&amp;BG$2,FECHA_BOV1,"&lt;="&amp;BG$3,CLAVE_BOV1,$A142)+SUMIFS(SALIDAS_BOV2,FECHA_BOV2,"&gt;="&amp;BG$2,FECHA_BOV2,"&lt;="&amp;BG$3,CLAVE_BOV2,$A142)+SUMIFS(SALIDAS_BOV3,FECHA_BOV3,"&gt;="&amp;BG$2,FECHA_BOV3,"&lt;="&amp;BG$3,CLAVE_BOV3,$A142)+SUMIFS(SALIDAS_TC,FECHA_TC,"&gt;="&amp;BG$2,FECHA_TC,"&lt;="&amp;BG$3,CLAVE_TC,$A142)+SUMIFS(SALIDAS_COMB,FECHA_COMB,"&gt;="&amp;BG$2,FECHA_COMB,"&lt;="&amp;BG$3,CLAVE_COMB,$A142)+SUMIFS(SALIDAS_DES,FECHA_DESGLOSEN,"&gt;="&amp;BG$2,FECHA_DESGLOSEN,"&lt;="&amp;BG$3,CLAVE_DESGLOSE,$A142)</f>
        <v>0</v>
      </c>
      <c r="BH142" s="13">
        <f>SUMIFS(SALIDAS_BIT,FECHA_BIT,"&gt;="&amp;BH$2,FECHA_BIT,"&lt;="&amp;BH$3,CLAVE_BIT,$A142)+SUMIFS(SALIDAS_BOV1,FECHA_BOV1,"&gt;="&amp;BH$2,FECHA_BOV1,"&lt;="&amp;BH$3,CLAVE_BOV1,$A142)+SUMIFS(SALIDAS_BOV2,FECHA_BOV2,"&gt;="&amp;BH$2,FECHA_BOV2,"&lt;="&amp;BH$3,CLAVE_BOV2,$A142)+SUMIFS(SALIDAS_BOV3,FECHA_BOV3,"&gt;="&amp;BH$2,FECHA_BOV3,"&lt;="&amp;BH$3,CLAVE_BOV3,$A142)+SUMIFS(SALIDAS_TC,FECHA_TC,"&gt;="&amp;BH$2,FECHA_TC,"&lt;="&amp;BH$3,CLAVE_TC,$A142)+SUMIFS(SALIDAS_COMB,FECHA_COMB,"&gt;="&amp;BH$2,FECHA_COMB,"&lt;="&amp;BH$3,CLAVE_COMB,$A142)+SUMIFS(SALIDAS_DES,FECHA_DESGLOSEN,"&gt;="&amp;BH$2,FECHA_DESGLOSEN,"&lt;="&amp;BH$3,CLAVE_DESGLOSE,$A142)</f>
        <v>0</v>
      </c>
      <c r="BI142" s="13">
        <f t="shared" si="215"/>
        <v>570</v>
      </c>
      <c r="BJ142" s="68">
        <f t="shared" si="258"/>
        <v>-39</v>
      </c>
      <c r="BK142" s="268">
        <f t="shared" si="259"/>
        <v>1.0734463276836159</v>
      </c>
      <c r="BL142" s="13">
        <f t="shared" si="260"/>
        <v>543</v>
      </c>
      <c r="BM142" s="13">
        <f>SUMIFS(SALIDAS_BIT,FECHA_BIT,"&gt;="&amp;BM$2,FECHA_BIT,"&lt;="&amp;BM$3,CLAVE_BIT,$A142)+SUMIFS(SALIDAS_BOV1,FECHA_BOV1,"&gt;="&amp;BM$2,FECHA_BOV1,"&lt;="&amp;BM$3,CLAVE_BOV1,$A142)+SUMIFS(SALIDAS_BOV2,FECHA_BOV2,"&gt;="&amp;BM$2,FECHA_BOV2,"&lt;="&amp;BM$3,CLAVE_BOV2,$A142)+SUMIFS(SALIDAS_BOV3,FECHA_BOV3,"&gt;="&amp;BM$2,FECHA_BOV3,"&lt;="&amp;BM$3,CLAVE_BOV3,$A142)+SUMIFS(SALIDAS_TC,FECHA_TC,"&gt;="&amp;BM$2,FECHA_TC,"&lt;="&amp;BM$3,CLAVE_TC,$A142)+SUMIFS(SALIDAS_COMB,FECHA_COMB,"&gt;="&amp;BM$2,FECHA_COMB,"&lt;="&amp;BM$3,CLAVE_COMB,$A142)+SUMIFS(SALIDAS_DES,FECHA_DESGLOSEN,"&gt;="&amp;BM$2,FECHA_DESGLOSEN,"&lt;="&amp;BM$3,CLAVE_DESGLOSE,$A142)</f>
        <v>0</v>
      </c>
      <c r="BN142" s="13">
        <f>SUMIFS(SALIDAS_BIT,FECHA_BIT,"&gt;="&amp;BN$2,FECHA_BIT,"&lt;="&amp;BN$3,CLAVE_BIT,$A142)+SUMIFS(SALIDAS_BOV1,FECHA_BOV1,"&gt;="&amp;BN$2,FECHA_BOV1,"&lt;="&amp;BN$3,CLAVE_BOV1,$A142)+SUMIFS(SALIDAS_BOV2,FECHA_BOV2,"&gt;="&amp;BN$2,FECHA_BOV2,"&lt;="&amp;BN$3,CLAVE_BOV2,$A142)+SUMIFS(SALIDAS_BOV3,FECHA_BOV3,"&gt;="&amp;BN$2,FECHA_BOV3,"&lt;="&amp;BN$3,CLAVE_BOV3,$A142)+SUMIFS(SALIDAS_TC,FECHA_TC,"&gt;="&amp;BN$2,FECHA_TC,"&lt;="&amp;BN$3,CLAVE_TC,$A142)+SUMIFS(SALIDAS_COMB,FECHA_COMB,"&gt;="&amp;BN$2,FECHA_COMB,"&lt;="&amp;BN$3,CLAVE_COMB,$A142)+SUMIFS(SALIDAS_DES,FECHA_DESGLOSEN,"&gt;="&amp;BN$2,FECHA_DESGLOSEN,"&lt;="&amp;BN$3,CLAVE_DESGLOSE,$A142)</f>
        <v>0</v>
      </c>
      <c r="BO142" s="13">
        <f>SUMIFS(SALIDAS_BIT,FECHA_BIT,"&gt;="&amp;BO$2,FECHA_BIT,"&lt;="&amp;BO$3,CLAVE_BIT,$A142)+SUMIFS(SALIDAS_BOV1,FECHA_BOV1,"&gt;="&amp;BO$2,FECHA_BOV1,"&lt;="&amp;BO$3,CLAVE_BOV1,$A142)+SUMIFS(SALIDAS_BOV2,FECHA_BOV2,"&gt;="&amp;BO$2,FECHA_BOV2,"&lt;="&amp;BO$3,CLAVE_BOV2,$A142)+SUMIFS(SALIDAS_BOV3,FECHA_BOV3,"&gt;="&amp;BO$2,FECHA_BOV3,"&lt;="&amp;BO$3,CLAVE_BOV3,$A142)+SUMIFS(SALIDAS_TC,FECHA_TC,"&gt;="&amp;BO$2,FECHA_TC,"&lt;="&amp;BO$3,CLAVE_TC,$A142)+SUMIFS(SALIDAS_COMB,FECHA_COMB,"&gt;="&amp;BO$2,FECHA_COMB,"&lt;="&amp;BO$3,CLAVE_COMB,$A142)+SUMIFS(SALIDAS_DES,FECHA_DESGLOSEN,"&gt;="&amp;BO$2,FECHA_DESGLOSEN,"&lt;="&amp;BO$3,CLAVE_DESGLOSE,$A142)</f>
        <v>0</v>
      </c>
      <c r="BP142" s="13">
        <f>SUMIFS(SALIDAS_BIT,FECHA_BIT,"&gt;="&amp;BP$2,FECHA_BIT,"&lt;="&amp;BP$3,CLAVE_BIT,$A142)+SUMIFS(SALIDAS_BOV1,FECHA_BOV1,"&gt;="&amp;BP$2,FECHA_BOV1,"&lt;="&amp;BP$3,CLAVE_BOV1,$A142)+SUMIFS(SALIDAS_BOV2,FECHA_BOV2,"&gt;="&amp;BP$2,FECHA_BOV2,"&lt;="&amp;BP$3,CLAVE_BOV2,$A142)+SUMIFS(SALIDAS_BOV3,FECHA_BOV3,"&gt;="&amp;BP$2,FECHA_BOV3,"&lt;="&amp;BP$3,CLAVE_BOV3,$A142)+SUMIFS(SALIDAS_TC,FECHA_TC,"&gt;="&amp;BP$2,FECHA_TC,"&lt;="&amp;BP$3,CLAVE_TC,$A142)+SUMIFS(SALIDAS_COMB,FECHA_COMB,"&gt;="&amp;BP$2,FECHA_COMB,"&lt;="&amp;BP$3,CLAVE_COMB,$A142)+SUMIFS(SALIDAS_DES,FECHA_DESGLOSEN,"&gt;="&amp;BP$2,FECHA_DESGLOSEN,"&lt;="&amp;BP$3,CLAVE_DESGLOSE,$A142)</f>
        <v>0</v>
      </c>
      <c r="BQ142" s="13">
        <f>SUMIFS(SALIDAS_BIT,FECHA_BIT,"&gt;="&amp;BQ$2,FECHA_BIT,"&lt;="&amp;BQ$3,CLAVE_BIT,$A142)+SUMIFS(SALIDAS_BOV1,FECHA_BOV1,"&gt;="&amp;BQ$2,FECHA_BOV1,"&lt;="&amp;BQ$3,CLAVE_BOV1,$A142)+SUMIFS(SALIDAS_BOV2,FECHA_BOV2,"&gt;="&amp;BQ$2,FECHA_BOV2,"&lt;="&amp;BQ$3,CLAVE_BOV2,$A142)+SUMIFS(SALIDAS_BOV3,FECHA_BOV3,"&gt;="&amp;BQ$2,FECHA_BOV3,"&lt;="&amp;BQ$3,CLAVE_BOV3,$A142)+SUMIFS(SALIDAS_TC,FECHA_TC,"&gt;="&amp;BQ$2,FECHA_TC,"&lt;="&amp;BQ$3,CLAVE_TC,$A142)+SUMIFS(SALIDAS_COMB,FECHA_COMB,"&gt;="&amp;BQ$2,FECHA_COMB,"&lt;="&amp;BQ$3,CLAVE_COMB,$A142)+SUMIFS(SALIDAS_DES,FECHA_DESGLOSEN,"&gt;="&amp;BQ$2,FECHA_DESGLOSEN,"&lt;="&amp;BQ$3,CLAVE_DESGLOSE,$A142)</f>
        <v>0</v>
      </c>
      <c r="BR142" s="13">
        <f t="shared" si="278"/>
        <v>0</v>
      </c>
      <c r="BS142" s="68">
        <f t="shared" si="261"/>
        <v>543</v>
      </c>
      <c r="BT142" s="268">
        <f t="shared" si="262"/>
        <v>0</v>
      </c>
      <c r="BU142" s="13">
        <f t="shared" si="263"/>
        <v>700</v>
      </c>
      <c r="BV142" s="13">
        <f t="shared" si="186"/>
        <v>0</v>
      </c>
      <c r="BW142" s="13">
        <f t="shared" si="186"/>
        <v>600</v>
      </c>
      <c r="BX142" s="13">
        <f t="shared" si="186"/>
        <v>0</v>
      </c>
      <c r="BY142" s="13">
        <f t="shared" si="186"/>
        <v>0</v>
      </c>
      <c r="BZ142" s="13">
        <f t="shared" si="279"/>
        <v>600</v>
      </c>
      <c r="CA142" s="68">
        <f t="shared" si="264"/>
        <v>100</v>
      </c>
      <c r="CB142" s="268">
        <f t="shared" si="265"/>
        <v>0.8571428571428571</v>
      </c>
      <c r="CC142" s="13">
        <f t="shared" si="266"/>
        <v>700</v>
      </c>
      <c r="CD142" s="13">
        <f t="shared" si="187"/>
        <v>0</v>
      </c>
      <c r="CE142" s="13">
        <f t="shared" si="187"/>
        <v>0</v>
      </c>
      <c r="CF142" s="13">
        <f t="shared" si="187"/>
        <v>0</v>
      </c>
      <c r="CG142" s="13">
        <f t="shared" si="187"/>
        <v>1400</v>
      </c>
      <c r="CH142" s="13">
        <f t="shared" si="280"/>
        <v>1400</v>
      </c>
      <c r="CI142" s="68">
        <f t="shared" si="267"/>
        <v>-700</v>
      </c>
      <c r="CJ142" s="268">
        <f t="shared" si="268"/>
        <v>2</v>
      </c>
      <c r="CK142" s="13">
        <f t="shared" si="269"/>
        <v>700</v>
      </c>
      <c r="CL142" s="13">
        <f t="shared" si="228"/>
        <v>0</v>
      </c>
      <c r="CM142" s="13">
        <f t="shared" si="228"/>
        <v>0</v>
      </c>
      <c r="CN142" s="13">
        <f t="shared" si="228"/>
        <v>0</v>
      </c>
      <c r="CO142" s="13">
        <f t="shared" si="228"/>
        <v>0</v>
      </c>
      <c r="CP142" s="13">
        <f t="shared" si="228"/>
        <v>0</v>
      </c>
      <c r="CQ142" s="13">
        <f t="shared" si="281"/>
        <v>0</v>
      </c>
      <c r="CR142" s="68">
        <f t="shared" si="270"/>
        <v>700</v>
      </c>
      <c r="CS142" s="268">
        <f t="shared" si="271"/>
        <v>0</v>
      </c>
      <c r="CT142" s="68">
        <f t="shared" si="244"/>
        <v>600</v>
      </c>
      <c r="CU142" s="13">
        <f>SUMIFS(SALIDAS_BIT,FECHA_BIT,"&gt;="&amp;CU$2,FECHA_BIT,"&lt;="&amp;CU$3,CLAVE_BIT,$A142)+SUMIFS(SALIDAS_BOV1,FECHA_BOV1,"&gt;="&amp;CU$2,FECHA_BOV1,"&lt;="&amp;CU$3,CLAVE_BOV1,$A142)+SUMIFS(SALIDAS_BOV2,FECHA_BOV2,"&gt;="&amp;CU$2,FECHA_BOV2,"&lt;="&amp;CU$3,CLAVE_BOV2,$A142)+SUMIFS(SALIDAS_BOV3,FECHA_BOV3,"&gt;="&amp;CU$2,FECHA_BOV3,"&lt;="&amp;CU$3,CLAVE_BOV3,$A142)+SUMIFS(SALIDAS_TC,FECHA_TC,"&gt;="&amp;CU$2,FECHA_TC,"&lt;="&amp;CU$3,CLAVE_TC,$A142)+SUMIFS(SALIDAS_COMB,FECHA_COMB,"&gt;="&amp;CU$2,FECHA_COMB,"&lt;="&amp;CU$3,CLAVE_COMB,$A142)+SUMIFS(SALIDAS_DES,FECHA_DESGLOSEN,"&gt;="&amp;CU$2,FECHA_DESGLOSEN,"&lt;="&amp;CU$3,CLAVE_DESGLOSE,$A142)</f>
        <v>0</v>
      </c>
      <c r="CV142" s="13">
        <f>SUMIFS(SALIDAS_BIT,FECHA_BIT,"&gt;="&amp;CV$2,FECHA_BIT,"&lt;="&amp;CV$3,CLAVE_BIT,$A142)+SUMIFS(SALIDAS_BOV1,FECHA_BOV1,"&gt;="&amp;CV$2,FECHA_BOV1,"&lt;="&amp;CV$3,CLAVE_BOV1,$A142)+SUMIFS(SALIDAS_BOV2,FECHA_BOV2,"&gt;="&amp;CV$2,FECHA_BOV2,"&lt;="&amp;CV$3,CLAVE_BOV2,$A142)+SUMIFS(SALIDAS_BOV3,FECHA_BOV3,"&gt;="&amp;CV$2,FECHA_BOV3,"&lt;="&amp;CV$3,CLAVE_BOV3,$A142)+SUMIFS(SALIDAS_TC,FECHA_TC,"&gt;="&amp;CV$2,FECHA_TC,"&lt;="&amp;CV$3,CLAVE_TC,$A142)+SUMIFS(SALIDAS_COMB,FECHA_COMB,"&gt;="&amp;CV$2,FECHA_COMB,"&lt;="&amp;CV$3,CLAVE_COMB,$A142)+SUMIFS(SALIDAS_DES,FECHA_DESGLOSEN,"&gt;="&amp;CV$2,FECHA_DESGLOSEN,"&lt;="&amp;CV$3,CLAVE_DESGLOSE,$A142)</f>
        <v>0</v>
      </c>
      <c r="CW142" s="13">
        <f>SUMIFS(SALIDAS_BIT,FECHA_BIT,"&gt;="&amp;CW$2,FECHA_BIT,"&lt;="&amp;CW$3,CLAVE_BIT,$A142)+SUMIFS(SALIDAS_BOV1,FECHA_BOV1,"&gt;="&amp;CW$2,FECHA_BOV1,"&lt;="&amp;CW$3,CLAVE_BOV1,$A142)+SUMIFS(SALIDAS_BOV2,FECHA_BOV2,"&gt;="&amp;CW$2,FECHA_BOV2,"&lt;="&amp;CW$3,CLAVE_BOV2,$A142)+SUMIFS(SALIDAS_BOV3,FECHA_BOV3,"&gt;="&amp;CW$2,FECHA_BOV3,"&lt;="&amp;CW$3,CLAVE_BOV3,$A142)+SUMIFS(SALIDAS_TC,FECHA_TC,"&gt;="&amp;CW$2,FECHA_TC,"&lt;="&amp;CW$3,CLAVE_TC,$A142)+SUMIFS(SALIDAS_COMB,FECHA_COMB,"&gt;="&amp;CW$2,FECHA_COMB,"&lt;="&amp;CW$3,CLAVE_COMB,$A142)+SUMIFS(SALIDAS_DES,FECHA_DESGLOSEN,"&gt;="&amp;CW$2,FECHA_DESGLOSEN,"&lt;="&amp;CW$3,CLAVE_DESGLOSE,$A142)</f>
        <v>0</v>
      </c>
      <c r="CX142" s="13">
        <f>SUMIFS(SALIDAS_BIT,FECHA_BIT,"&gt;="&amp;CX$2,FECHA_BIT,"&lt;="&amp;CX$3,CLAVE_BIT,$A142)+SUMIFS(SALIDAS_BOV1,FECHA_BOV1,"&gt;="&amp;CX$2,FECHA_BOV1,"&lt;="&amp;CX$3,CLAVE_BOV1,$A142)+SUMIFS(SALIDAS_BOV2,FECHA_BOV2,"&gt;="&amp;CX$2,FECHA_BOV2,"&lt;="&amp;CX$3,CLAVE_BOV2,$A142)+SUMIFS(SALIDAS_BOV3,FECHA_BOV3,"&gt;="&amp;CX$2,FECHA_BOV3,"&lt;="&amp;CX$3,CLAVE_BOV3,$A142)+SUMIFS(SALIDAS_TC,FECHA_TC,"&gt;="&amp;CX$2,FECHA_TC,"&lt;="&amp;CX$3,CLAVE_TC,$A142)+SUMIFS(SALIDAS_COMB,FECHA_COMB,"&gt;="&amp;CX$2,FECHA_COMB,"&lt;="&amp;CX$3,CLAVE_COMB,$A142)+SUMIFS(SALIDAS_DES,FECHA_DESGLOSEN,"&gt;="&amp;CX$2,FECHA_DESGLOSEN,"&lt;="&amp;CX$3,CLAVE_DESGLOSE,$A142)</f>
        <v>0</v>
      </c>
      <c r="CY142" s="13">
        <f>SUMIFS(SALIDAS_BIT,FECHA_BIT,"&gt;="&amp;CY$2,FECHA_BIT,"&lt;="&amp;CY$3,CLAVE_BIT,$A142)+SUMIFS(SALIDAS_BOV1,FECHA_BOV1,"&gt;="&amp;CY$2,FECHA_BOV1,"&lt;="&amp;CY$3,CLAVE_BOV1,$A142)+SUMIFS(SALIDAS_BOV2,FECHA_BOV2,"&gt;="&amp;CY$2,FECHA_BOV2,"&lt;="&amp;CY$3,CLAVE_BOV2,$A142)+SUMIFS(SALIDAS_BOV3,FECHA_BOV3,"&gt;="&amp;CY$2,FECHA_BOV3,"&lt;="&amp;CY$3,CLAVE_BOV3,$A142)+SUMIFS(SALIDAS_TC,FECHA_TC,"&gt;="&amp;CY$2,FECHA_TC,"&lt;="&amp;CY$3,CLAVE_TC,$A142)+SUMIFS(SALIDAS_COMB,FECHA_COMB,"&gt;="&amp;CY$2,FECHA_COMB,"&lt;="&amp;CY$3,CLAVE_COMB,$A142)+SUMIFS(SALIDAS_DES,FECHA_DESGLOSEN,"&gt;="&amp;CY$2,FECHA_DESGLOSEN,"&lt;="&amp;CY$3,CLAVE_DESGLOSE,$A142)</f>
        <v>0</v>
      </c>
      <c r="CZ142" s="68">
        <f t="shared" si="272"/>
        <v>600</v>
      </c>
      <c r="DB142" s="17">
        <f>F142+N142+W142+AE142+AM142+AV142+BD142+BL142+BU142+CC142+CK142</f>
        <v>6544</v>
      </c>
      <c r="DC142" s="17">
        <f>K142+T142+AB142+AJ142+AS142+BA142+BI142+BR142+BZ142+CH142+CQ142</f>
        <v>5613</v>
      </c>
    </row>
    <row r="143" spans="1:107" hidden="1">
      <c r="A143" s="12" t="str">
        <f t="shared" si="245"/>
        <v>HRJMASA6</v>
      </c>
      <c r="B143" s="12">
        <v>145</v>
      </c>
      <c r="C143" t="s">
        <v>29</v>
      </c>
      <c r="D143" s="12" t="s">
        <v>137</v>
      </c>
      <c r="E143" s="12" t="s">
        <v>93</v>
      </c>
      <c r="F143" s="259">
        <f t="shared" si="238"/>
        <v>421</v>
      </c>
      <c r="G143" s="13">
        <f t="shared" si="273"/>
        <v>0</v>
      </c>
      <c r="H143" s="13">
        <f t="shared" si="273"/>
        <v>0</v>
      </c>
      <c r="I143" s="13">
        <f t="shared" si="273"/>
        <v>467</v>
      </c>
      <c r="J143" s="13">
        <f t="shared" si="273"/>
        <v>0</v>
      </c>
      <c r="K143" s="13">
        <f t="shared" si="273"/>
        <v>467</v>
      </c>
      <c r="L143" s="68">
        <f t="shared" si="246"/>
        <v>-46</v>
      </c>
      <c r="M143" s="268">
        <f t="shared" si="247"/>
        <v>1.1092636579572446</v>
      </c>
      <c r="N143" s="13">
        <f t="shared" si="239"/>
        <v>420</v>
      </c>
      <c r="O143" s="13">
        <f t="shared" si="274"/>
        <v>0</v>
      </c>
      <c r="P143" s="13">
        <f t="shared" si="274"/>
        <v>0</v>
      </c>
      <c r="Q143" s="13">
        <f t="shared" si="274"/>
        <v>0</v>
      </c>
      <c r="R143" s="13">
        <f t="shared" si="274"/>
        <v>0</v>
      </c>
      <c r="S143" s="13">
        <f t="shared" si="274"/>
        <v>963</v>
      </c>
      <c r="T143" s="13">
        <f t="shared" si="274"/>
        <v>963</v>
      </c>
      <c r="U143" s="68">
        <f t="shared" si="248"/>
        <v>-543</v>
      </c>
      <c r="V143" s="268">
        <f t="shared" si="249"/>
        <v>2.2928571428571427</v>
      </c>
      <c r="W143" s="13">
        <f t="shared" si="240"/>
        <v>841</v>
      </c>
      <c r="X143" s="13">
        <f t="shared" si="275"/>
        <v>0</v>
      </c>
      <c r="Y143" s="13">
        <f t="shared" si="275"/>
        <v>0</v>
      </c>
      <c r="Z143" s="13">
        <f t="shared" si="275"/>
        <v>0</v>
      </c>
      <c r="AA143" s="13">
        <f t="shared" si="275"/>
        <v>0</v>
      </c>
      <c r="AB143" s="13">
        <f t="shared" si="275"/>
        <v>0</v>
      </c>
      <c r="AC143" s="68">
        <f t="shared" si="250"/>
        <v>841</v>
      </c>
      <c r="AD143" s="268">
        <f t="shared" si="251"/>
        <v>0</v>
      </c>
      <c r="AE143" s="13">
        <f t="shared" si="241"/>
        <v>0</v>
      </c>
      <c r="AF143" s="13">
        <f t="shared" si="276"/>
        <v>0</v>
      </c>
      <c r="AG143" s="13">
        <f t="shared" si="276"/>
        <v>493</v>
      </c>
      <c r="AH143" s="13">
        <f t="shared" si="276"/>
        <v>0</v>
      </c>
      <c r="AI143" s="13">
        <f t="shared" si="276"/>
        <v>0</v>
      </c>
      <c r="AJ143" s="13">
        <f t="shared" si="276"/>
        <v>493</v>
      </c>
      <c r="AK143" s="68">
        <f t="shared" si="252"/>
        <v>-493</v>
      </c>
      <c r="AL143" s="268">
        <f t="shared" si="253"/>
        <v>0</v>
      </c>
      <c r="AM143" s="13">
        <f t="shared" si="242"/>
        <v>428</v>
      </c>
      <c r="AN143" s="13">
        <f t="shared" si="277"/>
        <v>0</v>
      </c>
      <c r="AO143" s="13">
        <f t="shared" si="277"/>
        <v>502</v>
      </c>
      <c r="AP143" s="13">
        <f t="shared" si="277"/>
        <v>0</v>
      </c>
      <c r="AQ143" s="13">
        <f t="shared" si="277"/>
        <v>0</v>
      </c>
      <c r="AR143" s="13">
        <f t="shared" si="277"/>
        <v>0</v>
      </c>
      <c r="AS143" s="13">
        <f t="shared" si="277"/>
        <v>502</v>
      </c>
      <c r="AT143" s="68">
        <f>AM143-AS143</f>
        <v>-74</v>
      </c>
      <c r="AU143" s="268">
        <f t="shared" si="254"/>
        <v>1.1728971962616823</v>
      </c>
      <c r="AV143" s="13">
        <f t="shared" si="243"/>
        <v>425</v>
      </c>
      <c r="AW143" s="13">
        <f t="shared" si="222"/>
        <v>0</v>
      </c>
      <c r="AX143" s="13">
        <f t="shared" si="222"/>
        <v>511</v>
      </c>
      <c r="AY143" s="13">
        <f t="shared" si="222"/>
        <v>0</v>
      </c>
      <c r="AZ143" s="13">
        <f t="shared" si="222"/>
        <v>0</v>
      </c>
      <c r="BA143" s="13">
        <f t="shared" si="223"/>
        <v>511</v>
      </c>
      <c r="BB143" s="68">
        <f t="shared" si="255"/>
        <v>-86</v>
      </c>
      <c r="BC143" s="268">
        <f t="shared" si="256"/>
        <v>1.2023529411764706</v>
      </c>
      <c r="BD143" s="13">
        <f t="shared" si="257"/>
        <v>433</v>
      </c>
      <c r="BE143" s="13">
        <f>SUMIFS(SALIDAS_BIT,FECHA_BIT,"&gt;="&amp;BE$2,FECHA_BIT,"&lt;="&amp;BE$3,CLAVE_BIT,$A143)+SUMIFS(SALIDAS_BOV1,FECHA_BOV1,"&gt;="&amp;BE$2,FECHA_BOV1,"&lt;="&amp;BE$3,CLAVE_BOV1,$A143)+SUMIFS(SALIDAS_BOV2,FECHA_BOV2,"&gt;="&amp;BE$2,FECHA_BOV2,"&lt;="&amp;BE$3,CLAVE_BOV2,$A143)+SUMIFS(SALIDAS_BOV3,FECHA_BOV3,"&gt;="&amp;BE$2,FECHA_BOV3,"&lt;="&amp;BE$3,CLAVE_BOV3,$A143)+SUMIFS(SALIDAS_TC,FECHA_TC,"&gt;="&amp;BE$2,FECHA_TC,"&lt;="&amp;BE$3,CLAVE_TC,$A143)+SUMIFS(SALIDAS_COMB,FECHA_COMB,"&gt;="&amp;BE$2,FECHA_COMB,"&lt;="&amp;BE$3,CLAVE_COMB,$A143)+SUMIFS(SALIDAS_DES,FECHA_DESGLOSEN,"&gt;="&amp;BE$2,FECHA_DESGLOSEN,"&lt;="&amp;BE$3,CLAVE_DESGLOSE,$A143)</f>
        <v>0</v>
      </c>
      <c r="BF143" s="13">
        <f>SUMIFS(SALIDAS_BIT,FECHA_BIT,"&gt;="&amp;BF$2,FECHA_BIT,"&lt;="&amp;BF$3,CLAVE_BIT,$A143)+SUMIFS(SALIDAS_BOV1,FECHA_BOV1,"&gt;="&amp;BF$2,FECHA_BOV1,"&lt;="&amp;BF$3,CLAVE_BOV1,$A143)+SUMIFS(SALIDAS_BOV2,FECHA_BOV2,"&gt;="&amp;BF$2,FECHA_BOV2,"&lt;="&amp;BF$3,CLAVE_BOV2,$A143)+SUMIFS(SALIDAS_BOV3,FECHA_BOV3,"&gt;="&amp;BF$2,FECHA_BOV3,"&lt;="&amp;BF$3,CLAVE_BOV3,$A143)+SUMIFS(SALIDAS_TC,FECHA_TC,"&gt;="&amp;BF$2,FECHA_TC,"&lt;="&amp;BF$3,CLAVE_TC,$A143)+SUMIFS(SALIDAS_COMB,FECHA_COMB,"&gt;="&amp;BF$2,FECHA_COMB,"&lt;="&amp;BF$3,CLAVE_COMB,$A143)+SUMIFS(SALIDAS_DES,FECHA_DESGLOSEN,"&gt;="&amp;BF$2,FECHA_DESGLOSEN,"&lt;="&amp;BF$3,CLAVE_DESGLOSE,$A143)</f>
        <v>781</v>
      </c>
      <c r="BG143" s="13">
        <f>SUMIFS(SALIDAS_BIT,FECHA_BIT,"&gt;="&amp;BG$2,FECHA_BIT,"&lt;="&amp;BG$3,CLAVE_BIT,$A143)+SUMIFS(SALIDAS_BOV1,FECHA_BOV1,"&gt;="&amp;BG$2,FECHA_BOV1,"&lt;="&amp;BG$3,CLAVE_BOV1,$A143)+SUMIFS(SALIDAS_BOV2,FECHA_BOV2,"&gt;="&amp;BG$2,FECHA_BOV2,"&lt;="&amp;BG$3,CLAVE_BOV2,$A143)+SUMIFS(SALIDAS_BOV3,FECHA_BOV3,"&gt;="&amp;BG$2,FECHA_BOV3,"&lt;="&amp;BG$3,CLAVE_BOV3,$A143)+SUMIFS(SALIDAS_TC,FECHA_TC,"&gt;="&amp;BG$2,FECHA_TC,"&lt;="&amp;BG$3,CLAVE_TC,$A143)+SUMIFS(SALIDAS_COMB,FECHA_COMB,"&gt;="&amp;BG$2,FECHA_COMB,"&lt;="&amp;BG$3,CLAVE_COMB,$A143)+SUMIFS(SALIDAS_DES,FECHA_DESGLOSEN,"&gt;="&amp;BG$2,FECHA_DESGLOSEN,"&lt;="&amp;BG$3,CLAVE_DESGLOSE,$A143)</f>
        <v>0</v>
      </c>
      <c r="BH143" s="13">
        <f>SUMIFS(SALIDAS_BIT,FECHA_BIT,"&gt;="&amp;BH$2,FECHA_BIT,"&lt;="&amp;BH$3,CLAVE_BIT,$A143)+SUMIFS(SALIDAS_BOV1,FECHA_BOV1,"&gt;="&amp;BH$2,FECHA_BOV1,"&lt;="&amp;BH$3,CLAVE_BOV1,$A143)+SUMIFS(SALIDAS_BOV2,FECHA_BOV2,"&gt;="&amp;BH$2,FECHA_BOV2,"&lt;="&amp;BH$3,CLAVE_BOV2,$A143)+SUMIFS(SALIDAS_BOV3,FECHA_BOV3,"&gt;="&amp;BH$2,FECHA_BOV3,"&lt;="&amp;BH$3,CLAVE_BOV3,$A143)+SUMIFS(SALIDAS_TC,FECHA_TC,"&gt;="&amp;BH$2,FECHA_TC,"&lt;="&amp;BH$3,CLAVE_TC,$A143)+SUMIFS(SALIDAS_COMB,FECHA_COMB,"&gt;="&amp;BH$2,FECHA_COMB,"&lt;="&amp;BH$3,CLAVE_COMB,$A143)+SUMIFS(SALIDAS_DES,FECHA_DESGLOSEN,"&gt;="&amp;BH$2,FECHA_DESGLOSEN,"&lt;="&amp;BH$3,CLAVE_DESGLOSE,$A143)</f>
        <v>0</v>
      </c>
      <c r="BI143" s="13">
        <f t="shared" si="215"/>
        <v>781</v>
      </c>
      <c r="BJ143" s="68">
        <f t="shared" si="258"/>
        <v>-348</v>
      </c>
      <c r="BK143" s="268">
        <f t="shared" si="259"/>
        <v>1.8036951501154734</v>
      </c>
      <c r="BL143" s="13">
        <f t="shared" si="260"/>
        <v>439</v>
      </c>
      <c r="BM143" s="13">
        <f>SUMIFS(SALIDAS_BIT,FECHA_BIT,"&gt;="&amp;BM$2,FECHA_BIT,"&lt;="&amp;BM$3,CLAVE_BIT,$A143)+SUMIFS(SALIDAS_BOV1,FECHA_BOV1,"&gt;="&amp;BM$2,FECHA_BOV1,"&lt;="&amp;BM$3,CLAVE_BOV1,$A143)+SUMIFS(SALIDAS_BOV2,FECHA_BOV2,"&gt;="&amp;BM$2,FECHA_BOV2,"&lt;="&amp;BM$3,CLAVE_BOV2,$A143)+SUMIFS(SALIDAS_BOV3,FECHA_BOV3,"&gt;="&amp;BM$2,FECHA_BOV3,"&lt;="&amp;BM$3,CLAVE_BOV3,$A143)+SUMIFS(SALIDAS_TC,FECHA_TC,"&gt;="&amp;BM$2,FECHA_TC,"&lt;="&amp;BM$3,CLAVE_TC,$A143)+SUMIFS(SALIDAS_COMB,FECHA_COMB,"&gt;="&amp;BM$2,FECHA_COMB,"&lt;="&amp;BM$3,CLAVE_COMB,$A143)+SUMIFS(SALIDAS_DES,FECHA_DESGLOSEN,"&gt;="&amp;BM$2,FECHA_DESGLOSEN,"&lt;="&amp;BM$3,CLAVE_DESGLOSE,$A143)</f>
        <v>0</v>
      </c>
      <c r="BN143" s="13">
        <f>SUMIFS(SALIDAS_BIT,FECHA_BIT,"&gt;="&amp;BN$2,FECHA_BIT,"&lt;="&amp;BN$3,CLAVE_BIT,$A143)+SUMIFS(SALIDAS_BOV1,FECHA_BOV1,"&gt;="&amp;BN$2,FECHA_BOV1,"&lt;="&amp;BN$3,CLAVE_BOV1,$A143)+SUMIFS(SALIDAS_BOV2,FECHA_BOV2,"&gt;="&amp;BN$2,FECHA_BOV2,"&lt;="&amp;BN$3,CLAVE_BOV2,$A143)+SUMIFS(SALIDAS_BOV3,FECHA_BOV3,"&gt;="&amp;BN$2,FECHA_BOV3,"&lt;="&amp;BN$3,CLAVE_BOV3,$A143)+SUMIFS(SALIDAS_TC,FECHA_TC,"&gt;="&amp;BN$2,FECHA_TC,"&lt;="&amp;BN$3,CLAVE_TC,$A143)+SUMIFS(SALIDAS_COMB,FECHA_COMB,"&gt;="&amp;BN$2,FECHA_COMB,"&lt;="&amp;BN$3,CLAVE_COMB,$A143)+SUMIFS(SALIDAS_DES,FECHA_DESGLOSEN,"&gt;="&amp;BN$2,FECHA_DESGLOSEN,"&lt;="&amp;BN$3,CLAVE_DESGLOSE,$A143)</f>
        <v>0</v>
      </c>
      <c r="BO143" s="13">
        <f>SUMIFS(SALIDAS_BIT,FECHA_BIT,"&gt;="&amp;BO$2,FECHA_BIT,"&lt;="&amp;BO$3,CLAVE_BIT,$A143)+SUMIFS(SALIDAS_BOV1,FECHA_BOV1,"&gt;="&amp;BO$2,FECHA_BOV1,"&lt;="&amp;BO$3,CLAVE_BOV1,$A143)+SUMIFS(SALIDAS_BOV2,FECHA_BOV2,"&gt;="&amp;BO$2,FECHA_BOV2,"&lt;="&amp;BO$3,CLAVE_BOV2,$A143)+SUMIFS(SALIDAS_BOV3,FECHA_BOV3,"&gt;="&amp;BO$2,FECHA_BOV3,"&lt;="&amp;BO$3,CLAVE_BOV3,$A143)+SUMIFS(SALIDAS_TC,FECHA_TC,"&gt;="&amp;BO$2,FECHA_TC,"&lt;="&amp;BO$3,CLAVE_TC,$A143)+SUMIFS(SALIDAS_COMB,FECHA_COMB,"&gt;="&amp;BO$2,FECHA_COMB,"&lt;="&amp;BO$3,CLAVE_COMB,$A143)+SUMIFS(SALIDAS_DES,FECHA_DESGLOSEN,"&gt;="&amp;BO$2,FECHA_DESGLOSEN,"&lt;="&amp;BO$3,CLAVE_DESGLOSE,$A143)</f>
        <v>0</v>
      </c>
      <c r="BP143" s="13">
        <f>SUMIFS(SALIDAS_BIT,FECHA_BIT,"&gt;="&amp;BP$2,FECHA_BIT,"&lt;="&amp;BP$3,CLAVE_BIT,$A143)+SUMIFS(SALIDAS_BOV1,FECHA_BOV1,"&gt;="&amp;BP$2,FECHA_BOV1,"&lt;="&amp;BP$3,CLAVE_BOV1,$A143)+SUMIFS(SALIDAS_BOV2,FECHA_BOV2,"&gt;="&amp;BP$2,FECHA_BOV2,"&lt;="&amp;BP$3,CLAVE_BOV2,$A143)+SUMIFS(SALIDAS_BOV3,FECHA_BOV3,"&gt;="&amp;BP$2,FECHA_BOV3,"&lt;="&amp;BP$3,CLAVE_BOV3,$A143)+SUMIFS(SALIDAS_TC,FECHA_TC,"&gt;="&amp;BP$2,FECHA_TC,"&lt;="&amp;BP$3,CLAVE_TC,$A143)+SUMIFS(SALIDAS_COMB,FECHA_COMB,"&gt;="&amp;BP$2,FECHA_COMB,"&lt;="&amp;BP$3,CLAVE_COMB,$A143)+SUMIFS(SALIDAS_DES,FECHA_DESGLOSEN,"&gt;="&amp;BP$2,FECHA_DESGLOSEN,"&lt;="&amp;BP$3,CLAVE_DESGLOSE,$A143)</f>
        <v>792</v>
      </c>
      <c r="BQ143" s="13">
        <f>SUMIFS(SALIDAS_BIT,FECHA_BIT,"&gt;="&amp;BQ$2,FECHA_BIT,"&lt;="&amp;BQ$3,CLAVE_BIT,$A143)+SUMIFS(SALIDAS_BOV1,FECHA_BOV1,"&gt;="&amp;BQ$2,FECHA_BOV1,"&lt;="&amp;BQ$3,CLAVE_BOV1,$A143)+SUMIFS(SALIDAS_BOV2,FECHA_BOV2,"&gt;="&amp;BQ$2,FECHA_BOV2,"&lt;="&amp;BQ$3,CLAVE_BOV2,$A143)+SUMIFS(SALIDAS_BOV3,FECHA_BOV3,"&gt;="&amp;BQ$2,FECHA_BOV3,"&lt;="&amp;BQ$3,CLAVE_BOV3,$A143)+SUMIFS(SALIDAS_TC,FECHA_TC,"&gt;="&amp;BQ$2,FECHA_TC,"&lt;="&amp;BQ$3,CLAVE_TC,$A143)+SUMIFS(SALIDAS_COMB,FECHA_COMB,"&gt;="&amp;BQ$2,FECHA_COMB,"&lt;="&amp;BQ$3,CLAVE_COMB,$A143)+SUMIFS(SALIDAS_DES,FECHA_DESGLOSEN,"&gt;="&amp;BQ$2,FECHA_DESGLOSEN,"&lt;="&amp;BQ$3,CLAVE_DESGLOSE,$A143)</f>
        <v>0</v>
      </c>
      <c r="BR143" s="13">
        <f t="shared" si="278"/>
        <v>792</v>
      </c>
      <c r="BS143" s="68">
        <f t="shared" si="261"/>
        <v>-353</v>
      </c>
      <c r="BT143" s="268">
        <f t="shared" si="262"/>
        <v>1.8041002277904328</v>
      </c>
      <c r="BU143" s="13">
        <f t="shared" si="263"/>
        <v>400</v>
      </c>
      <c r="BV143" s="13">
        <f t="shared" si="186"/>
        <v>0</v>
      </c>
      <c r="BW143" s="13">
        <f t="shared" si="186"/>
        <v>0</v>
      </c>
      <c r="BX143" s="13">
        <f t="shared" si="186"/>
        <v>532</v>
      </c>
      <c r="BY143" s="13">
        <f t="shared" si="186"/>
        <v>0</v>
      </c>
      <c r="BZ143" s="13">
        <f t="shared" si="279"/>
        <v>532</v>
      </c>
      <c r="CA143" s="68">
        <f t="shared" si="264"/>
        <v>-132</v>
      </c>
      <c r="CB143" s="268">
        <f t="shared" si="265"/>
        <v>1.33</v>
      </c>
      <c r="CC143" s="13">
        <f t="shared" si="266"/>
        <v>400</v>
      </c>
      <c r="CD143" s="13">
        <f t="shared" si="187"/>
        <v>0</v>
      </c>
      <c r="CE143" s="13">
        <f t="shared" si="187"/>
        <v>0</v>
      </c>
      <c r="CF143" s="13">
        <f t="shared" si="187"/>
        <v>0</v>
      </c>
      <c r="CG143" s="13">
        <f t="shared" si="187"/>
        <v>542</v>
      </c>
      <c r="CH143" s="13">
        <f t="shared" si="280"/>
        <v>542</v>
      </c>
      <c r="CI143" s="68">
        <f t="shared" si="267"/>
        <v>-142</v>
      </c>
      <c r="CJ143" s="268">
        <f t="shared" si="268"/>
        <v>1.355</v>
      </c>
      <c r="CK143" s="13">
        <f t="shared" si="269"/>
        <v>400</v>
      </c>
      <c r="CL143" s="13">
        <f t="shared" si="228"/>
        <v>0</v>
      </c>
      <c r="CM143" s="13">
        <f t="shared" si="228"/>
        <v>0</v>
      </c>
      <c r="CN143" s="13">
        <f t="shared" si="228"/>
        <v>0</v>
      </c>
      <c r="CO143" s="13">
        <f t="shared" si="228"/>
        <v>544</v>
      </c>
      <c r="CP143" s="13">
        <f t="shared" si="228"/>
        <v>0</v>
      </c>
      <c r="CQ143" s="13">
        <f t="shared" si="281"/>
        <v>544</v>
      </c>
      <c r="CR143" s="68">
        <f t="shared" si="270"/>
        <v>-144</v>
      </c>
      <c r="CS143" s="268">
        <f t="shared" si="271"/>
        <v>1.36</v>
      </c>
      <c r="CT143" s="68">
        <f t="shared" si="244"/>
        <v>700</v>
      </c>
      <c r="CU143" s="13">
        <f>SUMIFS(SALIDAS_BIT,FECHA_BIT,"&gt;="&amp;CU$2,FECHA_BIT,"&lt;="&amp;CU$3,CLAVE_BIT,$A143)+SUMIFS(SALIDAS_BOV1,FECHA_BOV1,"&gt;="&amp;CU$2,FECHA_BOV1,"&lt;="&amp;CU$3,CLAVE_BOV1,$A143)+SUMIFS(SALIDAS_BOV2,FECHA_BOV2,"&gt;="&amp;CU$2,FECHA_BOV2,"&lt;="&amp;CU$3,CLAVE_BOV2,$A143)+SUMIFS(SALIDAS_BOV3,FECHA_BOV3,"&gt;="&amp;CU$2,FECHA_BOV3,"&lt;="&amp;CU$3,CLAVE_BOV3,$A143)+SUMIFS(SALIDAS_TC,FECHA_TC,"&gt;="&amp;CU$2,FECHA_TC,"&lt;="&amp;CU$3,CLAVE_TC,$A143)+SUMIFS(SALIDAS_COMB,FECHA_COMB,"&gt;="&amp;CU$2,FECHA_COMB,"&lt;="&amp;CU$3,CLAVE_COMB,$A143)+SUMIFS(SALIDAS_DES,FECHA_DESGLOSEN,"&gt;="&amp;CU$2,FECHA_DESGLOSEN,"&lt;="&amp;CU$3,CLAVE_DESGLOSE,$A143)</f>
        <v>0</v>
      </c>
      <c r="CV143" s="13">
        <f>SUMIFS(SALIDAS_BIT,FECHA_BIT,"&gt;="&amp;CV$2,FECHA_BIT,"&lt;="&amp;CV$3,CLAVE_BIT,$A143)+SUMIFS(SALIDAS_BOV1,FECHA_BOV1,"&gt;="&amp;CV$2,FECHA_BOV1,"&lt;="&amp;CV$3,CLAVE_BOV1,$A143)+SUMIFS(SALIDAS_BOV2,FECHA_BOV2,"&gt;="&amp;CV$2,FECHA_BOV2,"&lt;="&amp;CV$3,CLAVE_BOV2,$A143)+SUMIFS(SALIDAS_BOV3,FECHA_BOV3,"&gt;="&amp;CV$2,FECHA_BOV3,"&lt;="&amp;CV$3,CLAVE_BOV3,$A143)+SUMIFS(SALIDAS_TC,FECHA_TC,"&gt;="&amp;CV$2,FECHA_TC,"&lt;="&amp;CV$3,CLAVE_TC,$A143)+SUMIFS(SALIDAS_COMB,FECHA_COMB,"&gt;="&amp;CV$2,FECHA_COMB,"&lt;="&amp;CV$3,CLAVE_COMB,$A143)+SUMIFS(SALIDAS_DES,FECHA_DESGLOSEN,"&gt;="&amp;CV$2,FECHA_DESGLOSEN,"&lt;="&amp;CV$3,CLAVE_DESGLOSE,$A143)</f>
        <v>0</v>
      </c>
      <c r="CW143" s="13">
        <f>SUMIFS(SALIDAS_BIT,FECHA_BIT,"&gt;="&amp;CW$2,FECHA_BIT,"&lt;="&amp;CW$3,CLAVE_BIT,$A143)+SUMIFS(SALIDAS_BOV1,FECHA_BOV1,"&gt;="&amp;CW$2,FECHA_BOV1,"&lt;="&amp;CW$3,CLAVE_BOV1,$A143)+SUMIFS(SALIDAS_BOV2,FECHA_BOV2,"&gt;="&amp;CW$2,FECHA_BOV2,"&lt;="&amp;CW$3,CLAVE_BOV2,$A143)+SUMIFS(SALIDAS_BOV3,FECHA_BOV3,"&gt;="&amp;CW$2,FECHA_BOV3,"&lt;="&amp;CW$3,CLAVE_BOV3,$A143)+SUMIFS(SALIDAS_TC,FECHA_TC,"&gt;="&amp;CW$2,FECHA_TC,"&lt;="&amp;CW$3,CLAVE_TC,$A143)+SUMIFS(SALIDAS_COMB,FECHA_COMB,"&gt;="&amp;CW$2,FECHA_COMB,"&lt;="&amp;CW$3,CLAVE_COMB,$A143)+SUMIFS(SALIDAS_DES,FECHA_DESGLOSEN,"&gt;="&amp;CW$2,FECHA_DESGLOSEN,"&lt;="&amp;CW$3,CLAVE_DESGLOSE,$A143)</f>
        <v>0</v>
      </c>
      <c r="CX143" s="13">
        <f>SUMIFS(SALIDAS_BIT,FECHA_BIT,"&gt;="&amp;CX$2,FECHA_BIT,"&lt;="&amp;CX$3,CLAVE_BIT,$A143)+SUMIFS(SALIDAS_BOV1,FECHA_BOV1,"&gt;="&amp;CX$2,FECHA_BOV1,"&lt;="&amp;CX$3,CLAVE_BOV1,$A143)+SUMIFS(SALIDAS_BOV2,FECHA_BOV2,"&gt;="&amp;CX$2,FECHA_BOV2,"&lt;="&amp;CX$3,CLAVE_BOV2,$A143)+SUMIFS(SALIDAS_BOV3,FECHA_BOV3,"&gt;="&amp;CX$2,FECHA_BOV3,"&lt;="&amp;CX$3,CLAVE_BOV3,$A143)+SUMIFS(SALIDAS_TC,FECHA_TC,"&gt;="&amp;CX$2,FECHA_TC,"&lt;="&amp;CX$3,CLAVE_TC,$A143)+SUMIFS(SALIDAS_COMB,FECHA_COMB,"&gt;="&amp;CX$2,FECHA_COMB,"&lt;="&amp;CX$3,CLAVE_COMB,$A143)+SUMIFS(SALIDAS_DES,FECHA_DESGLOSEN,"&gt;="&amp;CX$2,FECHA_DESGLOSEN,"&lt;="&amp;CX$3,CLAVE_DESGLOSE,$A143)</f>
        <v>0</v>
      </c>
      <c r="CY143" s="13">
        <f>SUMIFS(SALIDAS_BIT,FECHA_BIT,"&gt;="&amp;CY$2,FECHA_BIT,"&lt;="&amp;CY$3,CLAVE_BIT,$A143)+SUMIFS(SALIDAS_BOV1,FECHA_BOV1,"&gt;="&amp;CY$2,FECHA_BOV1,"&lt;="&amp;CY$3,CLAVE_BOV1,$A143)+SUMIFS(SALIDAS_BOV2,FECHA_BOV2,"&gt;="&amp;CY$2,FECHA_BOV2,"&lt;="&amp;CY$3,CLAVE_BOV2,$A143)+SUMIFS(SALIDAS_BOV3,FECHA_BOV3,"&gt;="&amp;CY$2,FECHA_BOV3,"&lt;="&amp;CY$3,CLAVE_BOV3,$A143)+SUMIFS(SALIDAS_TC,FECHA_TC,"&gt;="&amp;CY$2,FECHA_TC,"&lt;="&amp;CY$3,CLAVE_TC,$A143)+SUMIFS(SALIDAS_COMB,FECHA_COMB,"&gt;="&amp;CY$2,FECHA_COMB,"&lt;="&amp;CY$3,CLAVE_COMB,$A143)+SUMIFS(SALIDAS_DES,FECHA_DESGLOSEN,"&gt;="&amp;CY$2,FECHA_DESGLOSEN,"&lt;="&amp;CY$3,CLAVE_DESGLOSE,$A143)</f>
        <v>0</v>
      </c>
      <c r="CZ143" s="68">
        <f t="shared" si="272"/>
        <v>700</v>
      </c>
      <c r="DB143" s="17">
        <f>F143+N143+W143+AE143+AM143+AV143+BD143+BL143+BU143+CC143+CK143</f>
        <v>4607</v>
      </c>
      <c r="DC143" s="17">
        <f>K143+T143+AB143+AJ143+AS143+BA143+BI143+BR143+BZ143+CH143+CQ143</f>
        <v>6127</v>
      </c>
    </row>
    <row r="144" spans="1:107" hidden="1">
      <c r="A144" s="12" t="str">
        <f t="shared" si="245"/>
        <v>HRJMASA8</v>
      </c>
      <c r="B144" s="12">
        <v>146</v>
      </c>
      <c r="C144" t="s">
        <v>29</v>
      </c>
      <c r="D144" s="12" t="s">
        <v>137</v>
      </c>
      <c r="E144" s="12" t="s">
        <v>94</v>
      </c>
      <c r="F144" s="259">
        <f t="shared" si="238"/>
        <v>0</v>
      </c>
      <c r="G144" s="13">
        <f t="shared" si="273"/>
        <v>0</v>
      </c>
      <c r="H144" s="13">
        <f t="shared" si="273"/>
        <v>0</v>
      </c>
      <c r="I144" s="13">
        <f t="shared" si="273"/>
        <v>0</v>
      </c>
      <c r="J144" s="13">
        <f t="shared" si="273"/>
        <v>0</v>
      </c>
      <c r="K144" s="13">
        <f t="shared" si="273"/>
        <v>0</v>
      </c>
      <c r="L144" s="68">
        <f t="shared" si="246"/>
        <v>0</v>
      </c>
      <c r="M144" s="268">
        <f t="shared" si="247"/>
        <v>0</v>
      </c>
      <c r="N144" s="13">
        <f t="shared" si="239"/>
        <v>1144</v>
      </c>
      <c r="O144" s="13">
        <f t="shared" si="274"/>
        <v>0</v>
      </c>
      <c r="P144" s="13">
        <f t="shared" si="274"/>
        <v>0</v>
      </c>
      <c r="Q144" s="13">
        <f t="shared" si="274"/>
        <v>0</v>
      </c>
      <c r="R144" s="13">
        <f t="shared" si="274"/>
        <v>0</v>
      </c>
      <c r="S144" s="13">
        <f t="shared" si="274"/>
        <v>0</v>
      </c>
      <c r="T144" s="13">
        <f t="shared" si="274"/>
        <v>0</v>
      </c>
      <c r="U144" s="68">
        <f t="shared" si="248"/>
        <v>1144</v>
      </c>
      <c r="V144" s="268">
        <f t="shared" si="249"/>
        <v>0</v>
      </c>
      <c r="W144" s="13">
        <f t="shared" si="240"/>
        <v>150</v>
      </c>
      <c r="X144" s="13">
        <f t="shared" si="275"/>
        <v>0</v>
      </c>
      <c r="Y144" s="13">
        <f t="shared" si="275"/>
        <v>0</v>
      </c>
      <c r="Z144" s="13">
        <f t="shared" si="275"/>
        <v>0</v>
      </c>
      <c r="AA144" s="13">
        <f t="shared" si="275"/>
        <v>0</v>
      </c>
      <c r="AB144" s="13">
        <f t="shared" si="275"/>
        <v>0</v>
      </c>
      <c r="AC144" s="68">
        <f t="shared" si="250"/>
        <v>150</v>
      </c>
      <c r="AD144" s="268">
        <f t="shared" si="251"/>
        <v>0</v>
      </c>
      <c r="AE144" s="13">
        <f t="shared" si="241"/>
        <v>212</v>
      </c>
      <c r="AF144" s="13">
        <f t="shared" si="276"/>
        <v>0</v>
      </c>
      <c r="AG144" s="13">
        <f t="shared" si="276"/>
        <v>0</v>
      </c>
      <c r="AH144" s="13">
        <f t="shared" si="276"/>
        <v>0</v>
      </c>
      <c r="AI144" s="13">
        <f t="shared" si="276"/>
        <v>277.63</v>
      </c>
      <c r="AJ144" s="13">
        <f t="shared" si="276"/>
        <v>277.63</v>
      </c>
      <c r="AK144" s="68">
        <f t="shared" si="252"/>
        <v>-65.63</v>
      </c>
      <c r="AL144" s="268">
        <f t="shared" si="253"/>
        <v>1.3095754716981132</v>
      </c>
      <c r="AM144" s="13">
        <f t="shared" si="242"/>
        <v>0</v>
      </c>
      <c r="AN144" s="13">
        <f t="shared" si="277"/>
        <v>0</v>
      </c>
      <c r="AO144" s="13">
        <f t="shared" si="277"/>
        <v>0</v>
      </c>
      <c r="AP144" s="13">
        <f t="shared" si="277"/>
        <v>356.07</v>
      </c>
      <c r="AQ144" s="13">
        <f t="shared" si="277"/>
        <v>0</v>
      </c>
      <c r="AR144" s="13">
        <f t="shared" si="277"/>
        <v>0</v>
      </c>
      <c r="AS144" s="13">
        <f t="shared" si="277"/>
        <v>356.07</v>
      </c>
      <c r="AT144" s="68">
        <f>AM144-AS144</f>
        <v>-356.07</v>
      </c>
      <c r="AU144" s="268">
        <f t="shared" si="254"/>
        <v>0</v>
      </c>
      <c r="AV144" s="13">
        <f t="shared" si="243"/>
        <v>206</v>
      </c>
      <c r="AW144" s="13">
        <f t="shared" si="222"/>
        <v>0</v>
      </c>
      <c r="AX144" s="13">
        <f t="shared" si="222"/>
        <v>0</v>
      </c>
      <c r="AY144" s="13">
        <f t="shared" si="222"/>
        <v>0</v>
      </c>
      <c r="AZ144" s="13">
        <f t="shared" si="222"/>
        <v>369.2</v>
      </c>
      <c r="BA144" s="13">
        <f t="shared" si="223"/>
        <v>369.2</v>
      </c>
      <c r="BB144" s="68">
        <f t="shared" si="255"/>
        <v>-163.19999999999999</v>
      </c>
      <c r="BC144" s="268">
        <f t="shared" si="256"/>
        <v>1.7922330097087378</v>
      </c>
      <c r="BD144" s="13">
        <f t="shared" si="257"/>
        <v>0</v>
      </c>
      <c r="BE144" s="13">
        <f>SUMIFS(SALIDAS_BIT,FECHA_BIT,"&gt;="&amp;BE$2,FECHA_BIT,"&lt;="&amp;BE$3,CLAVE_BIT,$A144)+SUMIFS(SALIDAS_BOV1,FECHA_BOV1,"&gt;="&amp;BE$2,FECHA_BOV1,"&lt;="&amp;BE$3,CLAVE_BOV1,$A144)+SUMIFS(SALIDAS_BOV2,FECHA_BOV2,"&gt;="&amp;BE$2,FECHA_BOV2,"&lt;="&amp;BE$3,CLAVE_BOV2,$A144)+SUMIFS(SALIDAS_BOV3,FECHA_BOV3,"&gt;="&amp;BE$2,FECHA_BOV3,"&lt;="&amp;BE$3,CLAVE_BOV3,$A144)+SUMIFS(SALIDAS_TC,FECHA_TC,"&gt;="&amp;BE$2,FECHA_TC,"&lt;="&amp;BE$3,CLAVE_TC,$A144)+SUMIFS(SALIDAS_COMB,FECHA_COMB,"&gt;="&amp;BE$2,FECHA_COMB,"&lt;="&amp;BE$3,CLAVE_COMB,$A144)+SUMIFS(SALIDAS_DES,FECHA_DESGLOSEN,"&gt;="&amp;BE$2,FECHA_DESGLOSEN,"&lt;="&amp;BE$3,CLAVE_DESGLOSE,$A144)</f>
        <v>0</v>
      </c>
      <c r="BF144" s="13">
        <f>SUMIFS(SALIDAS_BIT,FECHA_BIT,"&gt;="&amp;BF$2,FECHA_BIT,"&lt;="&amp;BF$3,CLAVE_BIT,$A144)+SUMIFS(SALIDAS_BOV1,FECHA_BOV1,"&gt;="&amp;BF$2,FECHA_BOV1,"&lt;="&amp;BF$3,CLAVE_BOV1,$A144)+SUMIFS(SALIDAS_BOV2,FECHA_BOV2,"&gt;="&amp;BF$2,FECHA_BOV2,"&lt;="&amp;BF$3,CLAVE_BOV2,$A144)+SUMIFS(SALIDAS_BOV3,FECHA_BOV3,"&gt;="&amp;BF$2,FECHA_BOV3,"&lt;="&amp;BF$3,CLAVE_BOV3,$A144)+SUMIFS(SALIDAS_TC,FECHA_TC,"&gt;="&amp;BF$2,FECHA_TC,"&lt;="&amp;BF$3,CLAVE_TC,$A144)+SUMIFS(SALIDAS_COMB,FECHA_COMB,"&gt;="&amp;BF$2,FECHA_COMB,"&lt;="&amp;BF$3,CLAVE_COMB,$A144)+SUMIFS(SALIDAS_DES,FECHA_DESGLOSEN,"&gt;="&amp;BF$2,FECHA_DESGLOSEN,"&lt;="&amp;BF$3,CLAVE_DESGLOSE,$A144)</f>
        <v>0</v>
      </c>
      <c r="BG144" s="13">
        <f>SUMIFS(SALIDAS_BIT,FECHA_BIT,"&gt;="&amp;BG$2,FECHA_BIT,"&lt;="&amp;BG$3,CLAVE_BIT,$A144)+SUMIFS(SALIDAS_BOV1,FECHA_BOV1,"&gt;="&amp;BG$2,FECHA_BOV1,"&lt;="&amp;BG$3,CLAVE_BOV1,$A144)+SUMIFS(SALIDAS_BOV2,FECHA_BOV2,"&gt;="&amp;BG$2,FECHA_BOV2,"&lt;="&amp;BG$3,CLAVE_BOV2,$A144)+SUMIFS(SALIDAS_BOV3,FECHA_BOV3,"&gt;="&amp;BG$2,FECHA_BOV3,"&lt;="&amp;BG$3,CLAVE_BOV3,$A144)+SUMIFS(SALIDAS_TC,FECHA_TC,"&gt;="&amp;BG$2,FECHA_TC,"&lt;="&amp;BG$3,CLAVE_TC,$A144)+SUMIFS(SALIDAS_COMB,FECHA_COMB,"&gt;="&amp;BG$2,FECHA_COMB,"&lt;="&amp;BG$3,CLAVE_COMB,$A144)+SUMIFS(SALIDAS_DES,FECHA_DESGLOSEN,"&gt;="&amp;BG$2,FECHA_DESGLOSEN,"&lt;="&amp;BG$3,CLAVE_DESGLOSE,$A144)</f>
        <v>0</v>
      </c>
      <c r="BH144" s="13">
        <f>SUMIFS(SALIDAS_BIT,FECHA_BIT,"&gt;="&amp;BH$2,FECHA_BIT,"&lt;="&amp;BH$3,CLAVE_BIT,$A144)+SUMIFS(SALIDAS_BOV1,FECHA_BOV1,"&gt;="&amp;BH$2,FECHA_BOV1,"&lt;="&amp;BH$3,CLAVE_BOV1,$A144)+SUMIFS(SALIDAS_BOV2,FECHA_BOV2,"&gt;="&amp;BH$2,FECHA_BOV2,"&lt;="&amp;BH$3,CLAVE_BOV2,$A144)+SUMIFS(SALIDAS_BOV3,FECHA_BOV3,"&gt;="&amp;BH$2,FECHA_BOV3,"&lt;="&amp;BH$3,CLAVE_BOV3,$A144)+SUMIFS(SALIDAS_TC,FECHA_TC,"&gt;="&amp;BH$2,FECHA_TC,"&lt;="&amp;BH$3,CLAVE_TC,$A144)+SUMIFS(SALIDAS_COMB,FECHA_COMB,"&gt;="&amp;BH$2,FECHA_COMB,"&lt;="&amp;BH$3,CLAVE_COMB,$A144)+SUMIFS(SALIDAS_DES,FECHA_DESGLOSEN,"&gt;="&amp;BH$2,FECHA_DESGLOSEN,"&lt;="&amp;BH$3,CLAVE_DESGLOSE,$A144)</f>
        <v>185.58</v>
      </c>
      <c r="BI144" s="13">
        <f t="shared" si="215"/>
        <v>185.58</v>
      </c>
      <c r="BJ144" s="68">
        <f t="shared" si="258"/>
        <v>-185.58</v>
      </c>
      <c r="BK144" s="268">
        <f t="shared" si="259"/>
        <v>0</v>
      </c>
      <c r="BL144" s="13">
        <f t="shared" si="260"/>
        <v>0</v>
      </c>
      <c r="BM144" s="13">
        <f>SUMIFS(SALIDAS_BIT,FECHA_BIT,"&gt;="&amp;BM$2,FECHA_BIT,"&lt;="&amp;BM$3,CLAVE_BIT,$A144)+SUMIFS(SALIDAS_BOV1,FECHA_BOV1,"&gt;="&amp;BM$2,FECHA_BOV1,"&lt;="&amp;BM$3,CLAVE_BOV1,$A144)+SUMIFS(SALIDAS_BOV2,FECHA_BOV2,"&gt;="&amp;BM$2,FECHA_BOV2,"&lt;="&amp;BM$3,CLAVE_BOV2,$A144)+SUMIFS(SALIDAS_BOV3,FECHA_BOV3,"&gt;="&amp;BM$2,FECHA_BOV3,"&lt;="&amp;BM$3,CLAVE_BOV3,$A144)+SUMIFS(SALIDAS_TC,FECHA_TC,"&gt;="&amp;BM$2,FECHA_TC,"&lt;="&amp;BM$3,CLAVE_TC,$A144)+SUMIFS(SALIDAS_COMB,FECHA_COMB,"&gt;="&amp;BM$2,FECHA_COMB,"&lt;="&amp;BM$3,CLAVE_COMB,$A144)+SUMIFS(SALIDAS_DES,FECHA_DESGLOSEN,"&gt;="&amp;BM$2,FECHA_DESGLOSEN,"&lt;="&amp;BM$3,CLAVE_DESGLOSE,$A144)</f>
        <v>0</v>
      </c>
      <c r="BN144" s="13">
        <f>SUMIFS(SALIDAS_BIT,FECHA_BIT,"&gt;="&amp;BN$2,FECHA_BIT,"&lt;="&amp;BN$3,CLAVE_BIT,$A144)+SUMIFS(SALIDAS_BOV1,FECHA_BOV1,"&gt;="&amp;BN$2,FECHA_BOV1,"&lt;="&amp;BN$3,CLAVE_BOV1,$A144)+SUMIFS(SALIDAS_BOV2,FECHA_BOV2,"&gt;="&amp;BN$2,FECHA_BOV2,"&lt;="&amp;BN$3,CLAVE_BOV2,$A144)+SUMIFS(SALIDAS_BOV3,FECHA_BOV3,"&gt;="&amp;BN$2,FECHA_BOV3,"&lt;="&amp;BN$3,CLAVE_BOV3,$A144)+SUMIFS(SALIDAS_TC,FECHA_TC,"&gt;="&amp;BN$2,FECHA_TC,"&lt;="&amp;BN$3,CLAVE_TC,$A144)+SUMIFS(SALIDAS_COMB,FECHA_COMB,"&gt;="&amp;BN$2,FECHA_COMB,"&lt;="&amp;BN$3,CLAVE_COMB,$A144)+SUMIFS(SALIDAS_DES,FECHA_DESGLOSEN,"&gt;="&amp;BN$2,FECHA_DESGLOSEN,"&lt;="&amp;BN$3,CLAVE_DESGLOSE,$A144)</f>
        <v>0</v>
      </c>
      <c r="BO144" s="13">
        <f>SUMIFS(SALIDAS_BIT,FECHA_BIT,"&gt;="&amp;BO$2,FECHA_BIT,"&lt;="&amp;BO$3,CLAVE_BIT,$A144)+SUMIFS(SALIDAS_BOV1,FECHA_BOV1,"&gt;="&amp;BO$2,FECHA_BOV1,"&lt;="&amp;BO$3,CLAVE_BOV1,$A144)+SUMIFS(SALIDAS_BOV2,FECHA_BOV2,"&gt;="&amp;BO$2,FECHA_BOV2,"&lt;="&amp;BO$3,CLAVE_BOV2,$A144)+SUMIFS(SALIDAS_BOV3,FECHA_BOV3,"&gt;="&amp;BO$2,FECHA_BOV3,"&lt;="&amp;BO$3,CLAVE_BOV3,$A144)+SUMIFS(SALIDAS_TC,FECHA_TC,"&gt;="&amp;BO$2,FECHA_TC,"&lt;="&amp;BO$3,CLAVE_TC,$A144)+SUMIFS(SALIDAS_COMB,FECHA_COMB,"&gt;="&amp;BO$2,FECHA_COMB,"&lt;="&amp;BO$3,CLAVE_COMB,$A144)+SUMIFS(SALIDAS_DES,FECHA_DESGLOSEN,"&gt;="&amp;BO$2,FECHA_DESGLOSEN,"&lt;="&amp;BO$3,CLAVE_DESGLOSE,$A144)</f>
        <v>0</v>
      </c>
      <c r="BP144" s="13">
        <f>SUMIFS(SALIDAS_BIT,FECHA_BIT,"&gt;="&amp;BP$2,FECHA_BIT,"&lt;="&amp;BP$3,CLAVE_BIT,$A144)+SUMIFS(SALIDAS_BOV1,FECHA_BOV1,"&gt;="&amp;BP$2,FECHA_BOV1,"&lt;="&amp;BP$3,CLAVE_BOV1,$A144)+SUMIFS(SALIDAS_BOV2,FECHA_BOV2,"&gt;="&amp;BP$2,FECHA_BOV2,"&lt;="&amp;BP$3,CLAVE_BOV2,$A144)+SUMIFS(SALIDAS_BOV3,FECHA_BOV3,"&gt;="&amp;BP$2,FECHA_BOV3,"&lt;="&amp;BP$3,CLAVE_BOV3,$A144)+SUMIFS(SALIDAS_TC,FECHA_TC,"&gt;="&amp;BP$2,FECHA_TC,"&lt;="&amp;BP$3,CLAVE_TC,$A144)+SUMIFS(SALIDAS_COMB,FECHA_COMB,"&gt;="&amp;BP$2,FECHA_COMB,"&lt;="&amp;BP$3,CLAVE_COMB,$A144)+SUMIFS(SALIDAS_DES,FECHA_DESGLOSEN,"&gt;="&amp;BP$2,FECHA_DESGLOSEN,"&lt;="&amp;BP$3,CLAVE_DESGLOSE,$A144)</f>
        <v>0</v>
      </c>
      <c r="BQ144" s="13">
        <f>SUMIFS(SALIDAS_BIT,FECHA_BIT,"&gt;="&amp;BQ$2,FECHA_BIT,"&lt;="&amp;BQ$3,CLAVE_BIT,$A144)+SUMIFS(SALIDAS_BOV1,FECHA_BOV1,"&gt;="&amp;BQ$2,FECHA_BOV1,"&lt;="&amp;BQ$3,CLAVE_BOV1,$A144)+SUMIFS(SALIDAS_BOV2,FECHA_BOV2,"&gt;="&amp;BQ$2,FECHA_BOV2,"&lt;="&amp;BQ$3,CLAVE_BOV2,$A144)+SUMIFS(SALIDAS_BOV3,FECHA_BOV3,"&gt;="&amp;BQ$2,FECHA_BOV3,"&lt;="&amp;BQ$3,CLAVE_BOV3,$A144)+SUMIFS(SALIDAS_TC,FECHA_TC,"&gt;="&amp;BQ$2,FECHA_TC,"&lt;="&amp;BQ$3,CLAVE_TC,$A144)+SUMIFS(SALIDAS_COMB,FECHA_COMB,"&gt;="&amp;BQ$2,FECHA_COMB,"&lt;="&amp;BQ$3,CLAVE_COMB,$A144)+SUMIFS(SALIDAS_DES,FECHA_DESGLOSEN,"&gt;="&amp;BQ$2,FECHA_DESGLOSEN,"&lt;="&amp;BQ$3,CLAVE_DESGLOSE,$A144)</f>
        <v>182.56</v>
      </c>
      <c r="BR144" s="13">
        <f t="shared" si="278"/>
        <v>182.56</v>
      </c>
      <c r="BS144" s="68">
        <f t="shared" si="261"/>
        <v>-182.56</v>
      </c>
      <c r="BT144" s="268">
        <f t="shared" si="262"/>
        <v>0</v>
      </c>
      <c r="BU144" s="13">
        <f t="shared" si="263"/>
        <v>0</v>
      </c>
      <c r="BV144" s="13">
        <f t="shared" si="186"/>
        <v>0</v>
      </c>
      <c r="BW144" s="13">
        <f t="shared" si="186"/>
        <v>0</v>
      </c>
      <c r="BX144" s="13">
        <f t="shared" si="186"/>
        <v>0</v>
      </c>
      <c r="BY144" s="13">
        <f t="shared" si="186"/>
        <v>0</v>
      </c>
      <c r="BZ144" s="13">
        <f t="shared" si="279"/>
        <v>0</v>
      </c>
      <c r="CA144" s="68">
        <f t="shared" si="264"/>
        <v>0</v>
      </c>
      <c r="CB144" s="268">
        <f t="shared" si="265"/>
        <v>0</v>
      </c>
      <c r="CC144" s="13">
        <f t="shared" si="266"/>
        <v>0</v>
      </c>
      <c r="CD144" s="13">
        <f t="shared" si="187"/>
        <v>0</v>
      </c>
      <c r="CE144" s="13">
        <f t="shared" si="187"/>
        <v>0</v>
      </c>
      <c r="CF144" s="13">
        <f t="shared" si="187"/>
        <v>0</v>
      </c>
      <c r="CG144" s="13">
        <f t="shared" si="187"/>
        <v>0</v>
      </c>
      <c r="CH144" s="13">
        <f t="shared" si="280"/>
        <v>0</v>
      </c>
      <c r="CI144" s="68">
        <f t="shared" si="267"/>
        <v>0</v>
      </c>
      <c r="CJ144" s="268">
        <f t="shared" si="268"/>
        <v>0</v>
      </c>
      <c r="CK144" s="13">
        <f t="shared" si="269"/>
        <v>0</v>
      </c>
      <c r="CL144" s="13">
        <f t="shared" si="228"/>
        <v>0</v>
      </c>
      <c r="CM144" s="13">
        <f t="shared" si="228"/>
        <v>0</v>
      </c>
      <c r="CN144" s="13">
        <f t="shared" si="228"/>
        <v>0</v>
      </c>
      <c r="CO144" s="13">
        <f t="shared" si="228"/>
        <v>0</v>
      </c>
      <c r="CP144" s="13">
        <f t="shared" si="228"/>
        <v>0</v>
      </c>
      <c r="CQ144" s="13">
        <f t="shared" si="281"/>
        <v>0</v>
      </c>
      <c r="CR144" s="68">
        <f t="shared" si="270"/>
        <v>0</v>
      </c>
      <c r="CS144" s="268">
        <f t="shared" si="271"/>
        <v>0</v>
      </c>
      <c r="CT144" s="68">
        <f t="shared" si="244"/>
        <v>350</v>
      </c>
      <c r="CU144" s="13">
        <f>SUMIFS(SALIDAS_BIT,FECHA_BIT,"&gt;="&amp;CU$2,FECHA_BIT,"&lt;="&amp;CU$3,CLAVE_BIT,$A144)+SUMIFS(SALIDAS_BOV1,FECHA_BOV1,"&gt;="&amp;CU$2,FECHA_BOV1,"&lt;="&amp;CU$3,CLAVE_BOV1,$A144)+SUMIFS(SALIDAS_BOV2,FECHA_BOV2,"&gt;="&amp;CU$2,FECHA_BOV2,"&lt;="&amp;CU$3,CLAVE_BOV2,$A144)+SUMIFS(SALIDAS_BOV3,FECHA_BOV3,"&gt;="&amp;CU$2,FECHA_BOV3,"&lt;="&amp;CU$3,CLAVE_BOV3,$A144)+SUMIFS(SALIDAS_TC,FECHA_TC,"&gt;="&amp;CU$2,FECHA_TC,"&lt;="&amp;CU$3,CLAVE_TC,$A144)+SUMIFS(SALIDAS_COMB,FECHA_COMB,"&gt;="&amp;CU$2,FECHA_COMB,"&lt;="&amp;CU$3,CLAVE_COMB,$A144)+SUMIFS(SALIDAS_DES,FECHA_DESGLOSEN,"&gt;="&amp;CU$2,FECHA_DESGLOSEN,"&lt;="&amp;CU$3,CLAVE_DESGLOSE,$A144)</f>
        <v>0</v>
      </c>
      <c r="CV144" s="13">
        <f>SUMIFS(SALIDAS_BIT,FECHA_BIT,"&gt;="&amp;CV$2,FECHA_BIT,"&lt;="&amp;CV$3,CLAVE_BIT,$A144)+SUMIFS(SALIDAS_BOV1,FECHA_BOV1,"&gt;="&amp;CV$2,FECHA_BOV1,"&lt;="&amp;CV$3,CLAVE_BOV1,$A144)+SUMIFS(SALIDAS_BOV2,FECHA_BOV2,"&gt;="&amp;CV$2,FECHA_BOV2,"&lt;="&amp;CV$3,CLAVE_BOV2,$A144)+SUMIFS(SALIDAS_BOV3,FECHA_BOV3,"&gt;="&amp;CV$2,FECHA_BOV3,"&lt;="&amp;CV$3,CLAVE_BOV3,$A144)+SUMIFS(SALIDAS_TC,FECHA_TC,"&gt;="&amp;CV$2,FECHA_TC,"&lt;="&amp;CV$3,CLAVE_TC,$A144)+SUMIFS(SALIDAS_COMB,FECHA_COMB,"&gt;="&amp;CV$2,FECHA_COMB,"&lt;="&amp;CV$3,CLAVE_COMB,$A144)+SUMIFS(SALIDAS_DES,FECHA_DESGLOSEN,"&gt;="&amp;CV$2,FECHA_DESGLOSEN,"&lt;="&amp;CV$3,CLAVE_DESGLOSE,$A144)</f>
        <v>0</v>
      </c>
      <c r="CW144" s="13">
        <f>SUMIFS(SALIDAS_BIT,FECHA_BIT,"&gt;="&amp;CW$2,FECHA_BIT,"&lt;="&amp;CW$3,CLAVE_BIT,$A144)+SUMIFS(SALIDAS_BOV1,FECHA_BOV1,"&gt;="&amp;CW$2,FECHA_BOV1,"&lt;="&amp;CW$3,CLAVE_BOV1,$A144)+SUMIFS(SALIDAS_BOV2,FECHA_BOV2,"&gt;="&amp;CW$2,FECHA_BOV2,"&lt;="&amp;CW$3,CLAVE_BOV2,$A144)+SUMIFS(SALIDAS_BOV3,FECHA_BOV3,"&gt;="&amp;CW$2,FECHA_BOV3,"&lt;="&amp;CW$3,CLAVE_BOV3,$A144)+SUMIFS(SALIDAS_TC,FECHA_TC,"&gt;="&amp;CW$2,FECHA_TC,"&lt;="&amp;CW$3,CLAVE_TC,$A144)+SUMIFS(SALIDAS_COMB,FECHA_COMB,"&gt;="&amp;CW$2,FECHA_COMB,"&lt;="&amp;CW$3,CLAVE_COMB,$A144)+SUMIFS(SALIDAS_DES,FECHA_DESGLOSEN,"&gt;="&amp;CW$2,FECHA_DESGLOSEN,"&lt;="&amp;CW$3,CLAVE_DESGLOSE,$A144)</f>
        <v>0</v>
      </c>
      <c r="CX144" s="13">
        <f>SUMIFS(SALIDAS_BIT,FECHA_BIT,"&gt;="&amp;CX$2,FECHA_BIT,"&lt;="&amp;CX$3,CLAVE_BIT,$A144)+SUMIFS(SALIDAS_BOV1,FECHA_BOV1,"&gt;="&amp;CX$2,FECHA_BOV1,"&lt;="&amp;CX$3,CLAVE_BOV1,$A144)+SUMIFS(SALIDAS_BOV2,FECHA_BOV2,"&gt;="&amp;CX$2,FECHA_BOV2,"&lt;="&amp;CX$3,CLAVE_BOV2,$A144)+SUMIFS(SALIDAS_BOV3,FECHA_BOV3,"&gt;="&amp;CX$2,FECHA_BOV3,"&lt;="&amp;CX$3,CLAVE_BOV3,$A144)+SUMIFS(SALIDAS_TC,FECHA_TC,"&gt;="&amp;CX$2,FECHA_TC,"&lt;="&amp;CX$3,CLAVE_TC,$A144)+SUMIFS(SALIDAS_COMB,FECHA_COMB,"&gt;="&amp;CX$2,FECHA_COMB,"&lt;="&amp;CX$3,CLAVE_COMB,$A144)+SUMIFS(SALIDAS_DES,FECHA_DESGLOSEN,"&gt;="&amp;CX$2,FECHA_DESGLOSEN,"&lt;="&amp;CX$3,CLAVE_DESGLOSE,$A144)</f>
        <v>375.61</v>
      </c>
      <c r="CY144" s="13">
        <f>SUMIFS(SALIDAS_BIT,FECHA_BIT,"&gt;="&amp;CY$2,FECHA_BIT,"&lt;="&amp;CY$3,CLAVE_BIT,$A144)+SUMIFS(SALIDAS_BOV1,FECHA_BOV1,"&gt;="&amp;CY$2,FECHA_BOV1,"&lt;="&amp;CY$3,CLAVE_BOV1,$A144)+SUMIFS(SALIDAS_BOV2,FECHA_BOV2,"&gt;="&amp;CY$2,FECHA_BOV2,"&lt;="&amp;CY$3,CLAVE_BOV2,$A144)+SUMIFS(SALIDAS_BOV3,FECHA_BOV3,"&gt;="&amp;CY$2,FECHA_BOV3,"&lt;="&amp;CY$3,CLAVE_BOV3,$A144)+SUMIFS(SALIDAS_TC,FECHA_TC,"&gt;="&amp;CY$2,FECHA_TC,"&lt;="&amp;CY$3,CLAVE_TC,$A144)+SUMIFS(SALIDAS_COMB,FECHA_COMB,"&gt;="&amp;CY$2,FECHA_COMB,"&lt;="&amp;CY$3,CLAVE_COMB,$A144)+SUMIFS(SALIDAS_DES,FECHA_DESGLOSEN,"&gt;="&amp;CY$2,FECHA_DESGLOSEN,"&lt;="&amp;CY$3,CLAVE_DESGLOSE,$A144)</f>
        <v>375.61</v>
      </c>
      <c r="CZ144" s="68">
        <f t="shared" si="272"/>
        <v>-25.610000000000014</v>
      </c>
      <c r="DB144" s="17">
        <f>F144+N144+W144+AE144+AM144+AV144+BD144+BL144+BU144+CC144+CK144</f>
        <v>1712</v>
      </c>
      <c r="DC144" s="17">
        <f>K144+T144+AB144+AJ144+AS144+BA144+BI144+BR144+BZ144+CH144+CQ144</f>
        <v>1371.04</v>
      </c>
    </row>
    <row r="145" spans="1:107" hidden="1">
      <c r="A145" s="12" t="str">
        <f t="shared" si="245"/>
        <v>HRJMASA9</v>
      </c>
      <c r="B145" s="12">
        <v>147</v>
      </c>
      <c r="C145" t="s">
        <v>29</v>
      </c>
      <c r="D145" s="12" t="s">
        <v>137</v>
      </c>
      <c r="E145" s="12" t="s">
        <v>95</v>
      </c>
      <c r="F145" s="259">
        <f t="shared" si="238"/>
        <v>339</v>
      </c>
      <c r="G145" s="13">
        <f t="shared" si="273"/>
        <v>377</v>
      </c>
      <c r="H145" s="13">
        <f t="shared" si="273"/>
        <v>0</v>
      </c>
      <c r="I145" s="13">
        <f t="shared" si="273"/>
        <v>0</v>
      </c>
      <c r="J145" s="13">
        <f t="shared" si="273"/>
        <v>0</v>
      </c>
      <c r="K145" s="13">
        <f t="shared" si="273"/>
        <v>377</v>
      </c>
      <c r="L145" s="68">
        <f t="shared" si="246"/>
        <v>-38</v>
      </c>
      <c r="M145" s="268">
        <f t="shared" si="247"/>
        <v>1.112094395280236</v>
      </c>
      <c r="N145" s="13">
        <f t="shared" si="239"/>
        <v>0</v>
      </c>
      <c r="O145" s="13">
        <f t="shared" si="274"/>
        <v>0</v>
      </c>
      <c r="P145" s="13">
        <f t="shared" si="274"/>
        <v>0</v>
      </c>
      <c r="Q145" s="13">
        <f t="shared" si="274"/>
        <v>0</v>
      </c>
      <c r="R145" s="13">
        <f t="shared" si="274"/>
        <v>0</v>
      </c>
      <c r="S145" s="13">
        <f t="shared" si="274"/>
        <v>0</v>
      </c>
      <c r="T145" s="13">
        <f t="shared" si="274"/>
        <v>0</v>
      </c>
      <c r="U145" s="68">
        <f t="shared" si="248"/>
        <v>0</v>
      </c>
      <c r="V145" s="268">
        <f t="shared" si="249"/>
        <v>0</v>
      </c>
      <c r="W145" s="13">
        <f t="shared" si="240"/>
        <v>0</v>
      </c>
      <c r="X145" s="13">
        <f t="shared" si="275"/>
        <v>774</v>
      </c>
      <c r="Y145" s="13">
        <f t="shared" si="275"/>
        <v>0</v>
      </c>
      <c r="Z145" s="13">
        <f t="shared" si="275"/>
        <v>0</v>
      </c>
      <c r="AA145" s="13">
        <f t="shared" si="275"/>
        <v>0</v>
      </c>
      <c r="AB145" s="13">
        <f t="shared" si="275"/>
        <v>774</v>
      </c>
      <c r="AC145" s="68">
        <f t="shared" si="250"/>
        <v>-774</v>
      </c>
      <c r="AD145" s="268">
        <f t="shared" si="251"/>
        <v>0</v>
      </c>
      <c r="AE145" s="13">
        <f t="shared" si="241"/>
        <v>338</v>
      </c>
      <c r="AF145" s="13">
        <f t="shared" si="276"/>
        <v>0</v>
      </c>
      <c r="AG145" s="13">
        <f t="shared" si="276"/>
        <v>392</v>
      </c>
      <c r="AH145" s="13">
        <f t="shared" si="276"/>
        <v>0</v>
      </c>
      <c r="AI145" s="13">
        <f t="shared" si="276"/>
        <v>0</v>
      </c>
      <c r="AJ145" s="13">
        <f t="shared" si="276"/>
        <v>392</v>
      </c>
      <c r="AK145" s="68">
        <f t="shared" si="252"/>
        <v>-54</v>
      </c>
      <c r="AL145" s="268">
        <f t="shared" si="253"/>
        <v>1.1597633136094674</v>
      </c>
      <c r="AM145" s="13">
        <f t="shared" si="242"/>
        <v>2095</v>
      </c>
      <c r="AN145" s="13">
        <f t="shared" si="277"/>
        <v>547</v>
      </c>
      <c r="AO145" s="13">
        <f t="shared" si="277"/>
        <v>0</v>
      </c>
      <c r="AP145" s="13">
        <f t="shared" si="277"/>
        <v>0</v>
      </c>
      <c r="AQ145" s="13">
        <f t="shared" si="277"/>
        <v>0</v>
      </c>
      <c r="AR145" s="13">
        <f t="shared" si="277"/>
        <v>1207</v>
      </c>
      <c r="AS145" s="13">
        <f t="shared" si="277"/>
        <v>1754</v>
      </c>
      <c r="AT145" s="68">
        <f>AM145-AS145</f>
        <v>341</v>
      </c>
      <c r="AU145" s="268">
        <f t="shared" si="254"/>
        <v>0.83723150357995224</v>
      </c>
      <c r="AV145" s="13">
        <f t="shared" si="243"/>
        <v>686</v>
      </c>
      <c r="AW145" s="13">
        <f t="shared" si="222"/>
        <v>0</v>
      </c>
      <c r="AX145" s="13">
        <f t="shared" si="222"/>
        <v>0</v>
      </c>
      <c r="AY145" s="13">
        <f t="shared" si="222"/>
        <v>2607</v>
      </c>
      <c r="AZ145" s="13">
        <f t="shared" si="222"/>
        <v>0</v>
      </c>
      <c r="BA145" s="13">
        <f t="shared" si="223"/>
        <v>2607</v>
      </c>
      <c r="BB145" s="68">
        <f t="shared" si="255"/>
        <v>-1921</v>
      </c>
      <c r="BC145" s="268">
        <f t="shared" si="256"/>
        <v>3.8002915451895043</v>
      </c>
      <c r="BD145" s="13">
        <f t="shared" si="257"/>
        <v>516</v>
      </c>
      <c r="BE145" s="13">
        <f>SUMIFS(SALIDAS_BIT,FECHA_BIT,"&gt;="&amp;BE$2,FECHA_BIT,"&lt;="&amp;BE$3,CLAVE_BIT,$A145)+SUMIFS(SALIDAS_BOV1,FECHA_BOV1,"&gt;="&amp;BE$2,FECHA_BOV1,"&lt;="&amp;BE$3,CLAVE_BOV1,$A145)+SUMIFS(SALIDAS_BOV2,FECHA_BOV2,"&gt;="&amp;BE$2,FECHA_BOV2,"&lt;="&amp;BE$3,CLAVE_BOV2,$A145)+SUMIFS(SALIDAS_BOV3,FECHA_BOV3,"&gt;="&amp;BE$2,FECHA_BOV3,"&lt;="&amp;BE$3,CLAVE_BOV3,$A145)+SUMIFS(SALIDAS_TC,FECHA_TC,"&gt;="&amp;BE$2,FECHA_TC,"&lt;="&amp;BE$3,CLAVE_TC,$A145)+SUMIFS(SALIDAS_COMB,FECHA_COMB,"&gt;="&amp;BE$2,FECHA_COMB,"&lt;="&amp;BE$3,CLAVE_COMB,$A145)+SUMIFS(SALIDAS_DES,FECHA_DESGLOSEN,"&gt;="&amp;BE$2,FECHA_DESGLOSEN,"&lt;="&amp;BE$3,CLAVE_DESGLOSE,$A145)</f>
        <v>0</v>
      </c>
      <c r="BF145" s="13">
        <f>SUMIFS(SALIDAS_BIT,FECHA_BIT,"&gt;="&amp;BF$2,FECHA_BIT,"&lt;="&amp;BF$3,CLAVE_BIT,$A145)+SUMIFS(SALIDAS_BOV1,FECHA_BOV1,"&gt;="&amp;BF$2,FECHA_BOV1,"&lt;="&amp;BF$3,CLAVE_BOV1,$A145)+SUMIFS(SALIDAS_BOV2,FECHA_BOV2,"&gt;="&amp;BF$2,FECHA_BOV2,"&lt;="&amp;BF$3,CLAVE_BOV2,$A145)+SUMIFS(SALIDAS_BOV3,FECHA_BOV3,"&gt;="&amp;BF$2,FECHA_BOV3,"&lt;="&amp;BF$3,CLAVE_BOV3,$A145)+SUMIFS(SALIDAS_TC,FECHA_TC,"&gt;="&amp;BF$2,FECHA_TC,"&lt;="&amp;BF$3,CLAVE_TC,$A145)+SUMIFS(SALIDAS_COMB,FECHA_COMB,"&gt;="&amp;BF$2,FECHA_COMB,"&lt;="&amp;BF$3,CLAVE_COMB,$A145)+SUMIFS(SALIDAS_DES,FECHA_DESGLOSEN,"&gt;="&amp;BF$2,FECHA_DESGLOSEN,"&lt;="&amp;BF$3,CLAVE_DESGLOSE,$A145)</f>
        <v>0</v>
      </c>
      <c r="BG145" s="13">
        <f>SUMIFS(SALIDAS_BIT,FECHA_BIT,"&gt;="&amp;BG$2,FECHA_BIT,"&lt;="&amp;BG$3,CLAVE_BIT,$A145)+SUMIFS(SALIDAS_BOV1,FECHA_BOV1,"&gt;="&amp;BG$2,FECHA_BOV1,"&lt;="&amp;BG$3,CLAVE_BOV1,$A145)+SUMIFS(SALIDAS_BOV2,FECHA_BOV2,"&gt;="&amp;BG$2,FECHA_BOV2,"&lt;="&amp;BG$3,CLAVE_BOV2,$A145)+SUMIFS(SALIDAS_BOV3,FECHA_BOV3,"&gt;="&amp;BG$2,FECHA_BOV3,"&lt;="&amp;BG$3,CLAVE_BOV3,$A145)+SUMIFS(SALIDAS_TC,FECHA_TC,"&gt;="&amp;BG$2,FECHA_TC,"&lt;="&amp;BG$3,CLAVE_TC,$A145)+SUMIFS(SALIDAS_COMB,FECHA_COMB,"&gt;="&amp;BG$2,FECHA_COMB,"&lt;="&amp;BG$3,CLAVE_COMB,$A145)+SUMIFS(SALIDAS_DES,FECHA_DESGLOSEN,"&gt;="&amp;BG$2,FECHA_DESGLOSEN,"&lt;="&amp;BG$3,CLAVE_DESGLOSE,$A145)</f>
        <v>0</v>
      </c>
      <c r="BH145" s="13">
        <f>SUMIFS(SALIDAS_BIT,FECHA_BIT,"&gt;="&amp;BH$2,FECHA_BIT,"&lt;="&amp;BH$3,CLAVE_BIT,$A145)+SUMIFS(SALIDAS_BOV1,FECHA_BOV1,"&gt;="&amp;BH$2,FECHA_BOV1,"&lt;="&amp;BH$3,CLAVE_BOV1,$A145)+SUMIFS(SALIDAS_BOV2,FECHA_BOV2,"&gt;="&amp;BH$2,FECHA_BOV2,"&lt;="&amp;BH$3,CLAVE_BOV2,$A145)+SUMIFS(SALIDAS_BOV3,FECHA_BOV3,"&gt;="&amp;BH$2,FECHA_BOV3,"&lt;="&amp;BH$3,CLAVE_BOV3,$A145)+SUMIFS(SALIDAS_TC,FECHA_TC,"&gt;="&amp;BH$2,FECHA_TC,"&lt;="&amp;BH$3,CLAVE_TC,$A145)+SUMIFS(SALIDAS_COMB,FECHA_COMB,"&gt;="&amp;BH$2,FECHA_COMB,"&lt;="&amp;BH$3,CLAVE_COMB,$A145)+SUMIFS(SALIDAS_DES,FECHA_DESGLOSEN,"&gt;="&amp;BH$2,FECHA_DESGLOSEN,"&lt;="&amp;BH$3,CLAVE_DESGLOSE,$A145)</f>
        <v>0</v>
      </c>
      <c r="BI145" s="13">
        <f t="shared" si="215"/>
        <v>0</v>
      </c>
      <c r="BJ145" s="68">
        <f t="shared" si="258"/>
        <v>516</v>
      </c>
      <c r="BK145" s="268">
        <f t="shared" si="259"/>
        <v>0</v>
      </c>
      <c r="BL145" s="13">
        <f t="shared" si="260"/>
        <v>0</v>
      </c>
      <c r="BM145" s="13">
        <f>SUMIFS(SALIDAS_BIT,FECHA_BIT,"&gt;="&amp;BM$2,FECHA_BIT,"&lt;="&amp;BM$3,CLAVE_BIT,$A145)+SUMIFS(SALIDAS_BOV1,FECHA_BOV1,"&gt;="&amp;BM$2,FECHA_BOV1,"&lt;="&amp;BM$3,CLAVE_BOV1,$A145)+SUMIFS(SALIDAS_BOV2,FECHA_BOV2,"&gt;="&amp;BM$2,FECHA_BOV2,"&lt;="&amp;BM$3,CLAVE_BOV2,$A145)+SUMIFS(SALIDAS_BOV3,FECHA_BOV3,"&gt;="&amp;BM$2,FECHA_BOV3,"&lt;="&amp;BM$3,CLAVE_BOV3,$A145)+SUMIFS(SALIDAS_TC,FECHA_TC,"&gt;="&amp;BM$2,FECHA_TC,"&lt;="&amp;BM$3,CLAVE_TC,$A145)+SUMIFS(SALIDAS_COMB,FECHA_COMB,"&gt;="&amp;BM$2,FECHA_COMB,"&lt;="&amp;BM$3,CLAVE_COMB,$A145)+SUMIFS(SALIDAS_DES,FECHA_DESGLOSEN,"&gt;="&amp;BM$2,FECHA_DESGLOSEN,"&lt;="&amp;BM$3,CLAVE_DESGLOSE,$A145)</f>
        <v>1772</v>
      </c>
      <c r="BN145" s="13">
        <f>SUMIFS(SALIDAS_BIT,FECHA_BIT,"&gt;="&amp;BN$2,FECHA_BIT,"&lt;="&amp;BN$3,CLAVE_BIT,$A145)+SUMIFS(SALIDAS_BOV1,FECHA_BOV1,"&gt;="&amp;BN$2,FECHA_BOV1,"&lt;="&amp;BN$3,CLAVE_BOV1,$A145)+SUMIFS(SALIDAS_BOV2,FECHA_BOV2,"&gt;="&amp;BN$2,FECHA_BOV2,"&lt;="&amp;BN$3,CLAVE_BOV2,$A145)+SUMIFS(SALIDAS_BOV3,FECHA_BOV3,"&gt;="&amp;BN$2,FECHA_BOV3,"&lt;="&amp;BN$3,CLAVE_BOV3,$A145)+SUMIFS(SALIDAS_TC,FECHA_TC,"&gt;="&amp;BN$2,FECHA_TC,"&lt;="&amp;BN$3,CLAVE_TC,$A145)+SUMIFS(SALIDAS_COMB,FECHA_COMB,"&gt;="&amp;BN$2,FECHA_COMB,"&lt;="&amp;BN$3,CLAVE_COMB,$A145)+SUMIFS(SALIDAS_DES,FECHA_DESGLOSEN,"&gt;="&amp;BN$2,FECHA_DESGLOSEN,"&lt;="&amp;BN$3,CLAVE_DESGLOSE,$A145)</f>
        <v>0</v>
      </c>
      <c r="BO145" s="13">
        <f>SUMIFS(SALIDAS_BIT,FECHA_BIT,"&gt;="&amp;BO$2,FECHA_BIT,"&lt;="&amp;BO$3,CLAVE_BIT,$A145)+SUMIFS(SALIDAS_BOV1,FECHA_BOV1,"&gt;="&amp;BO$2,FECHA_BOV1,"&lt;="&amp;BO$3,CLAVE_BOV1,$A145)+SUMIFS(SALIDAS_BOV2,FECHA_BOV2,"&gt;="&amp;BO$2,FECHA_BOV2,"&lt;="&amp;BO$3,CLAVE_BOV2,$A145)+SUMIFS(SALIDAS_BOV3,FECHA_BOV3,"&gt;="&amp;BO$2,FECHA_BOV3,"&lt;="&amp;BO$3,CLAVE_BOV3,$A145)+SUMIFS(SALIDAS_TC,FECHA_TC,"&gt;="&amp;BO$2,FECHA_TC,"&lt;="&amp;BO$3,CLAVE_TC,$A145)+SUMIFS(SALIDAS_COMB,FECHA_COMB,"&gt;="&amp;BO$2,FECHA_COMB,"&lt;="&amp;BO$3,CLAVE_COMB,$A145)+SUMIFS(SALIDAS_DES,FECHA_DESGLOSEN,"&gt;="&amp;BO$2,FECHA_DESGLOSEN,"&lt;="&amp;BO$3,CLAVE_DESGLOSE,$A145)</f>
        <v>0</v>
      </c>
      <c r="BP145" s="13">
        <f>SUMIFS(SALIDAS_BIT,FECHA_BIT,"&gt;="&amp;BP$2,FECHA_BIT,"&lt;="&amp;BP$3,CLAVE_BIT,$A145)+SUMIFS(SALIDAS_BOV1,FECHA_BOV1,"&gt;="&amp;BP$2,FECHA_BOV1,"&lt;="&amp;BP$3,CLAVE_BOV1,$A145)+SUMIFS(SALIDAS_BOV2,FECHA_BOV2,"&gt;="&amp;BP$2,FECHA_BOV2,"&lt;="&amp;BP$3,CLAVE_BOV2,$A145)+SUMIFS(SALIDAS_BOV3,FECHA_BOV3,"&gt;="&amp;BP$2,FECHA_BOV3,"&lt;="&amp;BP$3,CLAVE_BOV3,$A145)+SUMIFS(SALIDAS_TC,FECHA_TC,"&gt;="&amp;BP$2,FECHA_TC,"&lt;="&amp;BP$3,CLAVE_TC,$A145)+SUMIFS(SALIDAS_COMB,FECHA_COMB,"&gt;="&amp;BP$2,FECHA_COMB,"&lt;="&amp;BP$3,CLAVE_COMB,$A145)+SUMIFS(SALIDAS_DES,FECHA_DESGLOSEN,"&gt;="&amp;BP$2,FECHA_DESGLOSEN,"&lt;="&amp;BP$3,CLAVE_DESGLOSE,$A145)</f>
        <v>0</v>
      </c>
      <c r="BQ145" s="13">
        <f>SUMIFS(SALIDAS_BIT,FECHA_BIT,"&gt;="&amp;BQ$2,FECHA_BIT,"&lt;="&amp;BQ$3,CLAVE_BIT,$A145)+SUMIFS(SALIDAS_BOV1,FECHA_BOV1,"&gt;="&amp;BQ$2,FECHA_BOV1,"&lt;="&amp;BQ$3,CLAVE_BOV1,$A145)+SUMIFS(SALIDAS_BOV2,FECHA_BOV2,"&gt;="&amp;BQ$2,FECHA_BOV2,"&lt;="&amp;BQ$3,CLAVE_BOV2,$A145)+SUMIFS(SALIDAS_BOV3,FECHA_BOV3,"&gt;="&amp;BQ$2,FECHA_BOV3,"&lt;="&amp;BQ$3,CLAVE_BOV3,$A145)+SUMIFS(SALIDAS_TC,FECHA_TC,"&gt;="&amp;BQ$2,FECHA_TC,"&lt;="&amp;BQ$3,CLAVE_TC,$A145)+SUMIFS(SALIDAS_COMB,FECHA_COMB,"&gt;="&amp;BQ$2,FECHA_COMB,"&lt;="&amp;BQ$3,CLAVE_COMB,$A145)+SUMIFS(SALIDAS_DES,FECHA_DESGLOSEN,"&gt;="&amp;BQ$2,FECHA_DESGLOSEN,"&lt;="&amp;BQ$3,CLAVE_DESGLOSE,$A145)</f>
        <v>1455</v>
      </c>
      <c r="BR145" s="13">
        <f t="shared" si="278"/>
        <v>3227</v>
      </c>
      <c r="BS145" s="68">
        <f t="shared" si="261"/>
        <v>-3227</v>
      </c>
      <c r="BT145" s="268">
        <f t="shared" si="262"/>
        <v>0</v>
      </c>
      <c r="BU145" s="13">
        <f t="shared" si="263"/>
        <v>350</v>
      </c>
      <c r="BV145" s="13">
        <f t="shared" si="186"/>
        <v>0</v>
      </c>
      <c r="BW145" s="13">
        <f t="shared" si="186"/>
        <v>0</v>
      </c>
      <c r="BX145" s="13">
        <f t="shared" si="186"/>
        <v>0</v>
      </c>
      <c r="BY145" s="13">
        <f t="shared" si="186"/>
        <v>0</v>
      </c>
      <c r="BZ145" s="13">
        <f t="shared" si="279"/>
        <v>0</v>
      </c>
      <c r="CA145" s="68">
        <f t="shared" si="264"/>
        <v>350</v>
      </c>
      <c r="CB145" s="268">
        <f t="shared" si="265"/>
        <v>0</v>
      </c>
      <c r="CC145" s="13">
        <f t="shared" si="266"/>
        <v>350</v>
      </c>
      <c r="CD145" s="13">
        <f t="shared" si="187"/>
        <v>999</v>
      </c>
      <c r="CE145" s="13">
        <f t="shared" si="187"/>
        <v>0</v>
      </c>
      <c r="CF145" s="13">
        <f t="shared" si="187"/>
        <v>0</v>
      </c>
      <c r="CG145" s="13">
        <f t="shared" si="187"/>
        <v>0</v>
      </c>
      <c r="CH145" s="13">
        <f t="shared" si="280"/>
        <v>999</v>
      </c>
      <c r="CI145" s="68">
        <f t="shared" si="267"/>
        <v>-649</v>
      </c>
      <c r="CJ145" s="268">
        <f t="shared" si="268"/>
        <v>2.8542857142857141</v>
      </c>
      <c r="CK145" s="13">
        <f t="shared" si="269"/>
        <v>350</v>
      </c>
      <c r="CL145" s="13">
        <f t="shared" si="228"/>
        <v>689</v>
      </c>
      <c r="CM145" s="13">
        <f t="shared" si="228"/>
        <v>0</v>
      </c>
      <c r="CN145" s="13">
        <f t="shared" si="228"/>
        <v>0</v>
      </c>
      <c r="CO145" s="13">
        <f t="shared" si="228"/>
        <v>0</v>
      </c>
      <c r="CP145" s="13">
        <f t="shared" si="228"/>
        <v>0</v>
      </c>
      <c r="CQ145" s="13">
        <f t="shared" si="281"/>
        <v>689</v>
      </c>
      <c r="CR145" s="68">
        <f t="shared" si="270"/>
        <v>-339</v>
      </c>
      <c r="CS145" s="268">
        <f t="shared" si="271"/>
        <v>1.9685714285714286</v>
      </c>
      <c r="CT145" s="68">
        <f t="shared" si="244"/>
        <v>700</v>
      </c>
      <c r="CU145" s="13">
        <f>SUMIFS(SALIDAS_BIT,FECHA_BIT,"&gt;="&amp;CU$2,FECHA_BIT,"&lt;="&amp;CU$3,CLAVE_BIT,$A145)+SUMIFS(SALIDAS_BOV1,FECHA_BOV1,"&gt;="&amp;CU$2,FECHA_BOV1,"&lt;="&amp;CU$3,CLAVE_BOV1,$A145)+SUMIFS(SALIDAS_BOV2,FECHA_BOV2,"&gt;="&amp;CU$2,FECHA_BOV2,"&lt;="&amp;CU$3,CLAVE_BOV2,$A145)+SUMIFS(SALIDAS_BOV3,FECHA_BOV3,"&gt;="&amp;CU$2,FECHA_BOV3,"&lt;="&amp;CU$3,CLAVE_BOV3,$A145)+SUMIFS(SALIDAS_TC,FECHA_TC,"&gt;="&amp;CU$2,FECHA_TC,"&lt;="&amp;CU$3,CLAVE_TC,$A145)+SUMIFS(SALIDAS_COMB,FECHA_COMB,"&gt;="&amp;CU$2,FECHA_COMB,"&lt;="&amp;CU$3,CLAVE_COMB,$A145)+SUMIFS(SALIDAS_DES,FECHA_DESGLOSEN,"&gt;="&amp;CU$2,FECHA_DESGLOSEN,"&lt;="&amp;CU$3,CLAVE_DESGLOSE,$A145)</f>
        <v>445</v>
      </c>
      <c r="CV145" s="13">
        <f>SUMIFS(SALIDAS_BIT,FECHA_BIT,"&gt;="&amp;CV$2,FECHA_BIT,"&lt;="&amp;CV$3,CLAVE_BIT,$A145)+SUMIFS(SALIDAS_BOV1,FECHA_BOV1,"&gt;="&amp;CV$2,FECHA_BOV1,"&lt;="&amp;CV$3,CLAVE_BOV1,$A145)+SUMIFS(SALIDAS_BOV2,FECHA_BOV2,"&gt;="&amp;CV$2,FECHA_BOV2,"&lt;="&amp;CV$3,CLAVE_BOV2,$A145)+SUMIFS(SALIDAS_BOV3,FECHA_BOV3,"&gt;="&amp;CV$2,FECHA_BOV3,"&lt;="&amp;CV$3,CLAVE_BOV3,$A145)+SUMIFS(SALIDAS_TC,FECHA_TC,"&gt;="&amp;CV$2,FECHA_TC,"&lt;="&amp;CV$3,CLAVE_TC,$A145)+SUMIFS(SALIDAS_COMB,FECHA_COMB,"&gt;="&amp;CV$2,FECHA_COMB,"&lt;="&amp;CV$3,CLAVE_COMB,$A145)+SUMIFS(SALIDAS_DES,FECHA_DESGLOSEN,"&gt;="&amp;CV$2,FECHA_DESGLOSEN,"&lt;="&amp;CV$3,CLAVE_DESGLOSE,$A145)</f>
        <v>0</v>
      </c>
      <c r="CW145" s="13">
        <f>SUMIFS(SALIDAS_BIT,FECHA_BIT,"&gt;="&amp;CW$2,FECHA_BIT,"&lt;="&amp;CW$3,CLAVE_BIT,$A145)+SUMIFS(SALIDAS_BOV1,FECHA_BOV1,"&gt;="&amp;CW$2,FECHA_BOV1,"&lt;="&amp;CW$3,CLAVE_BOV1,$A145)+SUMIFS(SALIDAS_BOV2,FECHA_BOV2,"&gt;="&amp;CW$2,FECHA_BOV2,"&lt;="&amp;CW$3,CLAVE_BOV2,$A145)+SUMIFS(SALIDAS_BOV3,FECHA_BOV3,"&gt;="&amp;CW$2,FECHA_BOV3,"&lt;="&amp;CW$3,CLAVE_BOV3,$A145)+SUMIFS(SALIDAS_TC,FECHA_TC,"&gt;="&amp;CW$2,FECHA_TC,"&lt;="&amp;CW$3,CLAVE_TC,$A145)+SUMIFS(SALIDAS_COMB,FECHA_COMB,"&gt;="&amp;CW$2,FECHA_COMB,"&lt;="&amp;CW$3,CLAVE_COMB,$A145)+SUMIFS(SALIDAS_DES,FECHA_DESGLOSEN,"&gt;="&amp;CW$2,FECHA_DESGLOSEN,"&lt;="&amp;CW$3,CLAVE_DESGLOSE,$A145)</f>
        <v>0</v>
      </c>
      <c r="CX145" s="13">
        <f>SUMIFS(SALIDAS_BIT,FECHA_BIT,"&gt;="&amp;CX$2,FECHA_BIT,"&lt;="&amp;CX$3,CLAVE_BIT,$A145)+SUMIFS(SALIDAS_BOV1,FECHA_BOV1,"&gt;="&amp;CX$2,FECHA_BOV1,"&lt;="&amp;CX$3,CLAVE_BOV1,$A145)+SUMIFS(SALIDAS_BOV2,FECHA_BOV2,"&gt;="&amp;CX$2,FECHA_BOV2,"&lt;="&amp;CX$3,CLAVE_BOV2,$A145)+SUMIFS(SALIDAS_BOV3,FECHA_BOV3,"&gt;="&amp;CX$2,FECHA_BOV3,"&lt;="&amp;CX$3,CLAVE_BOV3,$A145)+SUMIFS(SALIDAS_TC,FECHA_TC,"&gt;="&amp;CX$2,FECHA_TC,"&lt;="&amp;CX$3,CLAVE_TC,$A145)+SUMIFS(SALIDAS_COMB,FECHA_COMB,"&gt;="&amp;CX$2,FECHA_COMB,"&lt;="&amp;CX$3,CLAVE_COMB,$A145)+SUMIFS(SALIDAS_DES,FECHA_DESGLOSEN,"&gt;="&amp;CX$2,FECHA_DESGLOSEN,"&lt;="&amp;CX$3,CLAVE_DESGLOSE,$A145)</f>
        <v>0</v>
      </c>
      <c r="CY145" s="13">
        <f>SUMIFS(SALIDAS_BIT,FECHA_BIT,"&gt;="&amp;CY$2,FECHA_BIT,"&lt;="&amp;CY$3,CLAVE_BIT,$A145)+SUMIFS(SALIDAS_BOV1,FECHA_BOV1,"&gt;="&amp;CY$2,FECHA_BOV1,"&lt;="&amp;CY$3,CLAVE_BOV1,$A145)+SUMIFS(SALIDAS_BOV2,FECHA_BOV2,"&gt;="&amp;CY$2,FECHA_BOV2,"&lt;="&amp;CY$3,CLAVE_BOV2,$A145)+SUMIFS(SALIDAS_BOV3,FECHA_BOV3,"&gt;="&amp;CY$2,FECHA_BOV3,"&lt;="&amp;CY$3,CLAVE_BOV3,$A145)+SUMIFS(SALIDAS_TC,FECHA_TC,"&gt;="&amp;CY$2,FECHA_TC,"&lt;="&amp;CY$3,CLAVE_TC,$A145)+SUMIFS(SALIDAS_COMB,FECHA_COMB,"&gt;="&amp;CY$2,FECHA_COMB,"&lt;="&amp;CY$3,CLAVE_COMB,$A145)+SUMIFS(SALIDAS_DES,FECHA_DESGLOSEN,"&gt;="&amp;CY$2,FECHA_DESGLOSEN,"&lt;="&amp;CY$3,CLAVE_DESGLOSE,$A145)</f>
        <v>445</v>
      </c>
      <c r="CZ145" s="68">
        <f t="shared" si="272"/>
        <v>255</v>
      </c>
      <c r="DB145" s="17">
        <f>F145+N145+W145+AE145+AM145+AV145+BD145+BL145+BU145+CC145+CK145</f>
        <v>5024</v>
      </c>
      <c r="DC145" s="17">
        <f>K145+T145+AB145+AJ145+AS145+BA145+BI145+BR145+BZ145+CH145+CQ145</f>
        <v>10819</v>
      </c>
    </row>
    <row r="146" spans="1:107" hidden="1">
      <c r="A146" s="12" t="str">
        <f t="shared" si="245"/>
        <v>HRJMASA10</v>
      </c>
      <c r="B146" s="12">
        <v>148</v>
      </c>
      <c r="C146" t="s">
        <v>29</v>
      </c>
      <c r="D146" s="12" t="s">
        <v>137</v>
      </c>
      <c r="E146" s="12" t="s">
        <v>96</v>
      </c>
      <c r="F146" s="259">
        <f t="shared" si="238"/>
        <v>1377</v>
      </c>
      <c r="G146" s="13">
        <f t="shared" si="273"/>
        <v>4959</v>
      </c>
      <c r="H146" s="13">
        <f t="shared" si="273"/>
        <v>0</v>
      </c>
      <c r="I146" s="13">
        <f t="shared" si="273"/>
        <v>0</v>
      </c>
      <c r="J146" s="13">
        <f t="shared" si="273"/>
        <v>0</v>
      </c>
      <c r="K146" s="13">
        <f t="shared" si="273"/>
        <v>4959</v>
      </c>
      <c r="L146" s="68">
        <f t="shared" si="246"/>
        <v>-3582</v>
      </c>
      <c r="M146" s="268">
        <f t="shared" si="247"/>
        <v>3.6013071895424837</v>
      </c>
      <c r="N146" s="13">
        <f t="shared" si="239"/>
        <v>0</v>
      </c>
      <c r="O146" s="13">
        <f t="shared" si="274"/>
        <v>0</v>
      </c>
      <c r="P146" s="13">
        <f t="shared" si="274"/>
        <v>0</v>
      </c>
      <c r="Q146" s="13">
        <f t="shared" si="274"/>
        <v>0</v>
      </c>
      <c r="R146" s="13">
        <f t="shared" si="274"/>
        <v>0</v>
      </c>
      <c r="S146" s="13">
        <f t="shared" si="274"/>
        <v>0</v>
      </c>
      <c r="T146" s="13">
        <f t="shared" si="274"/>
        <v>0</v>
      </c>
      <c r="U146" s="68">
        <f t="shared" si="248"/>
        <v>0</v>
      </c>
      <c r="V146" s="268">
        <f t="shared" si="249"/>
        <v>0</v>
      </c>
      <c r="W146" s="13">
        <f t="shared" si="240"/>
        <v>806</v>
      </c>
      <c r="X146" s="13">
        <f t="shared" si="275"/>
        <v>9420</v>
      </c>
      <c r="Y146" s="13">
        <f t="shared" si="275"/>
        <v>0</v>
      </c>
      <c r="Z146" s="13">
        <f t="shared" si="275"/>
        <v>0</v>
      </c>
      <c r="AA146" s="13">
        <f t="shared" si="275"/>
        <v>0</v>
      </c>
      <c r="AB146" s="13">
        <f t="shared" si="275"/>
        <v>9420</v>
      </c>
      <c r="AC146" s="68">
        <f t="shared" si="250"/>
        <v>-8614</v>
      </c>
      <c r="AD146" s="268">
        <f t="shared" si="251"/>
        <v>11.687344913151366</v>
      </c>
      <c r="AE146" s="13">
        <f t="shared" si="241"/>
        <v>823</v>
      </c>
      <c r="AF146" s="13">
        <f t="shared" si="276"/>
        <v>0</v>
      </c>
      <c r="AG146" s="13">
        <f t="shared" si="276"/>
        <v>5000</v>
      </c>
      <c r="AH146" s="13">
        <f t="shared" si="276"/>
        <v>0</v>
      </c>
      <c r="AI146" s="13">
        <f t="shared" si="276"/>
        <v>2000</v>
      </c>
      <c r="AJ146" s="13">
        <f t="shared" si="276"/>
        <v>7000</v>
      </c>
      <c r="AK146" s="68">
        <f t="shared" si="252"/>
        <v>-6177</v>
      </c>
      <c r="AL146" s="268">
        <f t="shared" si="253"/>
        <v>8.5054678007290399</v>
      </c>
      <c r="AM146" s="13">
        <f t="shared" si="242"/>
        <v>2194</v>
      </c>
      <c r="AN146" s="13">
        <f t="shared" si="277"/>
        <v>0</v>
      </c>
      <c r="AO146" s="13">
        <f t="shared" si="277"/>
        <v>0</v>
      </c>
      <c r="AP146" s="13">
        <f t="shared" si="277"/>
        <v>0</v>
      </c>
      <c r="AQ146" s="13">
        <f t="shared" si="277"/>
        <v>0</v>
      </c>
      <c r="AR146" s="13">
        <f t="shared" si="277"/>
        <v>7785</v>
      </c>
      <c r="AS146" s="13">
        <f t="shared" si="277"/>
        <v>7785</v>
      </c>
      <c r="AT146" s="68">
        <f>AM146-AS146</f>
        <v>-5591</v>
      </c>
      <c r="AU146" s="268">
        <f t="shared" si="254"/>
        <v>3.548313582497721</v>
      </c>
      <c r="AV146" s="13">
        <f t="shared" si="243"/>
        <v>1522</v>
      </c>
      <c r="AW146" s="13">
        <f t="shared" si="222"/>
        <v>0</v>
      </c>
      <c r="AX146" s="13">
        <f t="shared" si="222"/>
        <v>0</v>
      </c>
      <c r="AY146" s="13">
        <f t="shared" si="222"/>
        <v>0</v>
      </c>
      <c r="AZ146" s="13">
        <f t="shared" si="222"/>
        <v>5088</v>
      </c>
      <c r="BA146" s="13">
        <f t="shared" si="223"/>
        <v>5088</v>
      </c>
      <c r="BB146" s="68">
        <f t="shared" si="255"/>
        <v>-3566</v>
      </c>
      <c r="BC146" s="268">
        <f t="shared" si="256"/>
        <v>3.3429697766097242</v>
      </c>
      <c r="BD146" s="13">
        <f t="shared" si="257"/>
        <v>2596</v>
      </c>
      <c r="BE146" s="13">
        <f>SUMIFS(SALIDAS_BIT,FECHA_BIT,"&gt;="&amp;BE$2,FECHA_BIT,"&lt;="&amp;BE$3,CLAVE_BIT,$A146)+SUMIFS(SALIDAS_BOV1,FECHA_BOV1,"&gt;="&amp;BE$2,FECHA_BOV1,"&lt;="&amp;BE$3,CLAVE_BOV1,$A146)+SUMIFS(SALIDAS_BOV2,FECHA_BOV2,"&gt;="&amp;BE$2,FECHA_BOV2,"&lt;="&amp;BE$3,CLAVE_BOV2,$A146)+SUMIFS(SALIDAS_BOV3,FECHA_BOV3,"&gt;="&amp;BE$2,FECHA_BOV3,"&lt;="&amp;BE$3,CLAVE_BOV3,$A146)+SUMIFS(SALIDAS_TC,FECHA_TC,"&gt;="&amp;BE$2,FECHA_TC,"&lt;="&amp;BE$3,CLAVE_TC,$A146)+SUMIFS(SALIDAS_COMB,FECHA_COMB,"&gt;="&amp;BE$2,FECHA_COMB,"&lt;="&amp;BE$3,CLAVE_COMB,$A146)+SUMIFS(SALIDAS_DES,FECHA_DESGLOSEN,"&gt;="&amp;BE$2,FECHA_DESGLOSEN,"&lt;="&amp;BE$3,CLAVE_DESGLOSE,$A146)</f>
        <v>0</v>
      </c>
      <c r="BF146" s="13">
        <f>SUMIFS(SALIDAS_BIT,FECHA_BIT,"&gt;="&amp;BF$2,FECHA_BIT,"&lt;="&amp;BF$3,CLAVE_BIT,$A146)+SUMIFS(SALIDAS_BOV1,FECHA_BOV1,"&gt;="&amp;BF$2,FECHA_BOV1,"&lt;="&amp;BF$3,CLAVE_BOV1,$A146)+SUMIFS(SALIDAS_BOV2,FECHA_BOV2,"&gt;="&amp;BF$2,FECHA_BOV2,"&lt;="&amp;BF$3,CLAVE_BOV2,$A146)+SUMIFS(SALIDAS_BOV3,FECHA_BOV3,"&gt;="&amp;BF$2,FECHA_BOV3,"&lt;="&amp;BF$3,CLAVE_BOV3,$A146)+SUMIFS(SALIDAS_TC,FECHA_TC,"&gt;="&amp;BF$2,FECHA_TC,"&lt;="&amp;BF$3,CLAVE_TC,$A146)+SUMIFS(SALIDAS_COMB,FECHA_COMB,"&gt;="&amp;BF$2,FECHA_COMB,"&lt;="&amp;BF$3,CLAVE_COMB,$A146)+SUMIFS(SALIDAS_DES,FECHA_DESGLOSEN,"&gt;="&amp;BF$2,FECHA_DESGLOSEN,"&lt;="&amp;BF$3,CLAVE_DESGLOSE,$A146)</f>
        <v>0</v>
      </c>
      <c r="BG146" s="13">
        <f>SUMIFS(SALIDAS_BIT,FECHA_BIT,"&gt;="&amp;BG$2,FECHA_BIT,"&lt;="&amp;BG$3,CLAVE_BIT,$A146)+SUMIFS(SALIDAS_BOV1,FECHA_BOV1,"&gt;="&amp;BG$2,FECHA_BOV1,"&lt;="&amp;BG$3,CLAVE_BOV1,$A146)+SUMIFS(SALIDAS_BOV2,FECHA_BOV2,"&gt;="&amp;BG$2,FECHA_BOV2,"&lt;="&amp;BG$3,CLAVE_BOV2,$A146)+SUMIFS(SALIDAS_BOV3,FECHA_BOV3,"&gt;="&amp;BG$2,FECHA_BOV3,"&lt;="&amp;BG$3,CLAVE_BOV3,$A146)+SUMIFS(SALIDAS_TC,FECHA_TC,"&gt;="&amp;BG$2,FECHA_TC,"&lt;="&amp;BG$3,CLAVE_TC,$A146)+SUMIFS(SALIDAS_COMB,FECHA_COMB,"&gt;="&amp;BG$2,FECHA_COMB,"&lt;="&amp;BG$3,CLAVE_COMB,$A146)+SUMIFS(SALIDAS_DES,FECHA_DESGLOSEN,"&gt;="&amp;BG$2,FECHA_DESGLOSEN,"&lt;="&amp;BG$3,CLAVE_DESGLOSE,$A146)</f>
        <v>0</v>
      </c>
      <c r="BH146" s="13">
        <f>SUMIFS(SALIDAS_BIT,FECHA_BIT,"&gt;="&amp;BH$2,FECHA_BIT,"&lt;="&amp;BH$3,CLAVE_BIT,$A146)+SUMIFS(SALIDAS_BOV1,FECHA_BOV1,"&gt;="&amp;BH$2,FECHA_BOV1,"&lt;="&amp;BH$3,CLAVE_BOV1,$A146)+SUMIFS(SALIDAS_BOV2,FECHA_BOV2,"&gt;="&amp;BH$2,FECHA_BOV2,"&lt;="&amp;BH$3,CLAVE_BOV2,$A146)+SUMIFS(SALIDAS_BOV3,FECHA_BOV3,"&gt;="&amp;BH$2,FECHA_BOV3,"&lt;="&amp;BH$3,CLAVE_BOV3,$A146)+SUMIFS(SALIDAS_TC,FECHA_TC,"&gt;="&amp;BH$2,FECHA_TC,"&lt;="&amp;BH$3,CLAVE_TC,$A146)+SUMIFS(SALIDAS_COMB,FECHA_COMB,"&gt;="&amp;BH$2,FECHA_COMB,"&lt;="&amp;BH$3,CLAVE_COMB,$A146)+SUMIFS(SALIDAS_DES,FECHA_DESGLOSEN,"&gt;="&amp;BH$2,FECHA_DESGLOSEN,"&lt;="&amp;BH$3,CLAVE_DESGLOSE,$A146)</f>
        <v>0</v>
      </c>
      <c r="BI146" s="13">
        <f t="shared" si="215"/>
        <v>0</v>
      </c>
      <c r="BJ146" s="68">
        <f t="shared" si="258"/>
        <v>2596</v>
      </c>
      <c r="BK146" s="268">
        <f t="shared" si="259"/>
        <v>0</v>
      </c>
      <c r="BL146" s="13">
        <f t="shared" si="260"/>
        <v>0</v>
      </c>
      <c r="BM146" s="13">
        <f>SUMIFS(SALIDAS_BIT,FECHA_BIT,"&gt;="&amp;BM$2,FECHA_BIT,"&lt;="&amp;BM$3,CLAVE_BIT,$A146)+SUMIFS(SALIDAS_BOV1,FECHA_BOV1,"&gt;="&amp;BM$2,FECHA_BOV1,"&lt;="&amp;BM$3,CLAVE_BOV1,$A146)+SUMIFS(SALIDAS_BOV2,FECHA_BOV2,"&gt;="&amp;BM$2,FECHA_BOV2,"&lt;="&amp;BM$3,CLAVE_BOV2,$A146)+SUMIFS(SALIDAS_BOV3,FECHA_BOV3,"&gt;="&amp;BM$2,FECHA_BOV3,"&lt;="&amp;BM$3,CLAVE_BOV3,$A146)+SUMIFS(SALIDAS_TC,FECHA_TC,"&gt;="&amp;BM$2,FECHA_TC,"&lt;="&amp;BM$3,CLAVE_TC,$A146)+SUMIFS(SALIDAS_COMB,FECHA_COMB,"&gt;="&amp;BM$2,FECHA_COMB,"&lt;="&amp;BM$3,CLAVE_COMB,$A146)+SUMIFS(SALIDAS_DES,FECHA_DESGLOSEN,"&gt;="&amp;BM$2,FECHA_DESGLOSEN,"&lt;="&amp;BM$3,CLAVE_DESGLOSE,$A146)</f>
        <v>6110</v>
      </c>
      <c r="BN146" s="13">
        <f>SUMIFS(SALIDAS_BIT,FECHA_BIT,"&gt;="&amp;BN$2,FECHA_BIT,"&lt;="&amp;BN$3,CLAVE_BIT,$A146)+SUMIFS(SALIDAS_BOV1,FECHA_BOV1,"&gt;="&amp;BN$2,FECHA_BOV1,"&lt;="&amp;BN$3,CLAVE_BOV1,$A146)+SUMIFS(SALIDAS_BOV2,FECHA_BOV2,"&gt;="&amp;BN$2,FECHA_BOV2,"&lt;="&amp;BN$3,CLAVE_BOV2,$A146)+SUMIFS(SALIDAS_BOV3,FECHA_BOV3,"&gt;="&amp;BN$2,FECHA_BOV3,"&lt;="&amp;BN$3,CLAVE_BOV3,$A146)+SUMIFS(SALIDAS_TC,FECHA_TC,"&gt;="&amp;BN$2,FECHA_TC,"&lt;="&amp;BN$3,CLAVE_TC,$A146)+SUMIFS(SALIDAS_COMB,FECHA_COMB,"&gt;="&amp;BN$2,FECHA_COMB,"&lt;="&amp;BN$3,CLAVE_COMB,$A146)+SUMIFS(SALIDAS_DES,FECHA_DESGLOSEN,"&gt;="&amp;BN$2,FECHA_DESGLOSEN,"&lt;="&amp;BN$3,CLAVE_DESGLOSE,$A146)</f>
        <v>0</v>
      </c>
      <c r="BO146" s="13">
        <f>SUMIFS(SALIDAS_BIT,FECHA_BIT,"&gt;="&amp;BO$2,FECHA_BIT,"&lt;="&amp;BO$3,CLAVE_BIT,$A146)+SUMIFS(SALIDAS_BOV1,FECHA_BOV1,"&gt;="&amp;BO$2,FECHA_BOV1,"&lt;="&amp;BO$3,CLAVE_BOV1,$A146)+SUMIFS(SALIDAS_BOV2,FECHA_BOV2,"&gt;="&amp;BO$2,FECHA_BOV2,"&lt;="&amp;BO$3,CLAVE_BOV2,$A146)+SUMIFS(SALIDAS_BOV3,FECHA_BOV3,"&gt;="&amp;BO$2,FECHA_BOV3,"&lt;="&amp;BO$3,CLAVE_BOV3,$A146)+SUMIFS(SALIDAS_TC,FECHA_TC,"&gt;="&amp;BO$2,FECHA_TC,"&lt;="&amp;BO$3,CLAVE_TC,$A146)+SUMIFS(SALIDAS_COMB,FECHA_COMB,"&gt;="&amp;BO$2,FECHA_COMB,"&lt;="&amp;BO$3,CLAVE_COMB,$A146)+SUMIFS(SALIDAS_DES,FECHA_DESGLOSEN,"&gt;="&amp;BO$2,FECHA_DESGLOSEN,"&lt;="&amp;BO$3,CLAVE_DESGLOSE,$A146)</f>
        <v>0</v>
      </c>
      <c r="BP146" s="13">
        <f>SUMIFS(SALIDAS_BIT,FECHA_BIT,"&gt;="&amp;BP$2,FECHA_BIT,"&lt;="&amp;BP$3,CLAVE_BIT,$A146)+SUMIFS(SALIDAS_BOV1,FECHA_BOV1,"&gt;="&amp;BP$2,FECHA_BOV1,"&lt;="&amp;BP$3,CLAVE_BOV1,$A146)+SUMIFS(SALIDAS_BOV2,FECHA_BOV2,"&gt;="&amp;BP$2,FECHA_BOV2,"&lt;="&amp;BP$3,CLAVE_BOV2,$A146)+SUMIFS(SALIDAS_BOV3,FECHA_BOV3,"&gt;="&amp;BP$2,FECHA_BOV3,"&lt;="&amp;BP$3,CLAVE_BOV3,$A146)+SUMIFS(SALIDAS_TC,FECHA_TC,"&gt;="&amp;BP$2,FECHA_TC,"&lt;="&amp;BP$3,CLAVE_TC,$A146)+SUMIFS(SALIDAS_COMB,FECHA_COMB,"&gt;="&amp;BP$2,FECHA_COMB,"&lt;="&amp;BP$3,CLAVE_COMB,$A146)+SUMIFS(SALIDAS_DES,FECHA_DESGLOSEN,"&gt;="&amp;BP$2,FECHA_DESGLOSEN,"&lt;="&amp;BP$3,CLAVE_DESGLOSE,$A146)</f>
        <v>0</v>
      </c>
      <c r="BQ146" s="13">
        <f>SUMIFS(SALIDAS_BIT,FECHA_BIT,"&gt;="&amp;BQ$2,FECHA_BIT,"&lt;="&amp;BQ$3,CLAVE_BIT,$A146)+SUMIFS(SALIDAS_BOV1,FECHA_BOV1,"&gt;="&amp;BQ$2,FECHA_BOV1,"&lt;="&amp;BQ$3,CLAVE_BOV1,$A146)+SUMIFS(SALIDAS_BOV2,FECHA_BOV2,"&gt;="&amp;BQ$2,FECHA_BOV2,"&lt;="&amp;BQ$3,CLAVE_BOV2,$A146)+SUMIFS(SALIDAS_BOV3,FECHA_BOV3,"&gt;="&amp;BQ$2,FECHA_BOV3,"&lt;="&amp;BQ$3,CLAVE_BOV3,$A146)+SUMIFS(SALIDAS_TC,FECHA_TC,"&gt;="&amp;BQ$2,FECHA_TC,"&lt;="&amp;BQ$3,CLAVE_TC,$A146)+SUMIFS(SALIDAS_COMB,FECHA_COMB,"&gt;="&amp;BQ$2,FECHA_COMB,"&lt;="&amp;BQ$3,CLAVE_COMB,$A146)+SUMIFS(SALIDAS_DES,FECHA_DESGLOSEN,"&gt;="&amp;BQ$2,FECHA_DESGLOSEN,"&lt;="&amp;BQ$3,CLAVE_DESGLOSE,$A146)</f>
        <v>5580</v>
      </c>
      <c r="BR146" s="13">
        <f t="shared" si="278"/>
        <v>11690</v>
      </c>
      <c r="BS146" s="68">
        <f t="shared" si="261"/>
        <v>-11690</v>
      </c>
      <c r="BT146" s="268">
        <f t="shared" si="262"/>
        <v>0</v>
      </c>
      <c r="BU146" s="13">
        <f t="shared" si="263"/>
        <v>800</v>
      </c>
      <c r="BV146" s="13">
        <f t="shared" si="186"/>
        <v>0</v>
      </c>
      <c r="BW146" s="13">
        <f t="shared" si="186"/>
        <v>0</v>
      </c>
      <c r="BX146" s="13">
        <f t="shared" si="186"/>
        <v>0</v>
      </c>
      <c r="BY146" s="13">
        <f t="shared" si="186"/>
        <v>0</v>
      </c>
      <c r="BZ146" s="13">
        <f t="shared" si="279"/>
        <v>0</v>
      </c>
      <c r="CA146" s="68">
        <f t="shared" si="264"/>
        <v>800</v>
      </c>
      <c r="CB146" s="268">
        <f t="shared" si="265"/>
        <v>0</v>
      </c>
      <c r="CC146" s="13">
        <f t="shared" si="266"/>
        <v>800</v>
      </c>
      <c r="CD146" s="13">
        <f t="shared" si="187"/>
        <v>8351</v>
      </c>
      <c r="CE146" s="13">
        <f t="shared" si="187"/>
        <v>0</v>
      </c>
      <c r="CF146" s="13">
        <f t="shared" si="187"/>
        <v>0</v>
      </c>
      <c r="CG146" s="13">
        <f t="shared" si="187"/>
        <v>0</v>
      </c>
      <c r="CH146" s="13">
        <f t="shared" si="280"/>
        <v>8351</v>
      </c>
      <c r="CI146" s="68">
        <f t="shared" si="267"/>
        <v>-7551</v>
      </c>
      <c r="CJ146" s="268">
        <f t="shared" si="268"/>
        <v>10.438750000000001</v>
      </c>
      <c r="CK146" s="13">
        <f t="shared" si="269"/>
        <v>800</v>
      </c>
      <c r="CL146" s="13">
        <f t="shared" si="228"/>
        <v>15558</v>
      </c>
      <c r="CM146" s="13">
        <f t="shared" si="228"/>
        <v>0</v>
      </c>
      <c r="CN146" s="13">
        <f t="shared" si="228"/>
        <v>0</v>
      </c>
      <c r="CO146" s="13">
        <f t="shared" si="228"/>
        <v>0</v>
      </c>
      <c r="CP146" s="13">
        <f t="shared" si="228"/>
        <v>0</v>
      </c>
      <c r="CQ146" s="13">
        <f t="shared" si="281"/>
        <v>15558</v>
      </c>
      <c r="CR146" s="68">
        <f t="shared" si="270"/>
        <v>-14758</v>
      </c>
      <c r="CS146" s="268">
        <f t="shared" si="271"/>
        <v>19.447500000000002</v>
      </c>
      <c r="CT146" s="68">
        <f t="shared" si="244"/>
        <v>6000</v>
      </c>
      <c r="CU146" s="13">
        <f>SUMIFS(SALIDAS_BIT,FECHA_BIT,"&gt;="&amp;CU$2,FECHA_BIT,"&lt;="&amp;CU$3,CLAVE_BIT,$A146)+SUMIFS(SALIDAS_BOV1,FECHA_BOV1,"&gt;="&amp;CU$2,FECHA_BOV1,"&lt;="&amp;CU$3,CLAVE_BOV1,$A146)+SUMIFS(SALIDAS_BOV2,FECHA_BOV2,"&gt;="&amp;CU$2,FECHA_BOV2,"&lt;="&amp;CU$3,CLAVE_BOV2,$A146)+SUMIFS(SALIDAS_BOV3,FECHA_BOV3,"&gt;="&amp;CU$2,FECHA_BOV3,"&lt;="&amp;CU$3,CLAVE_BOV3,$A146)+SUMIFS(SALIDAS_TC,FECHA_TC,"&gt;="&amp;CU$2,FECHA_TC,"&lt;="&amp;CU$3,CLAVE_TC,$A146)+SUMIFS(SALIDAS_COMB,FECHA_COMB,"&gt;="&amp;CU$2,FECHA_COMB,"&lt;="&amp;CU$3,CLAVE_COMB,$A146)+SUMIFS(SALIDAS_DES,FECHA_DESGLOSEN,"&gt;="&amp;CU$2,FECHA_DESGLOSEN,"&lt;="&amp;CU$3,CLAVE_DESGLOSE,$A146)</f>
        <v>8513</v>
      </c>
      <c r="CV146" s="13">
        <f>SUMIFS(SALIDAS_BIT,FECHA_BIT,"&gt;="&amp;CV$2,FECHA_BIT,"&lt;="&amp;CV$3,CLAVE_BIT,$A146)+SUMIFS(SALIDAS_BOV1,FECHA_BOV1,"&gt;="&amp;CV$2,FECHA_BOV1,"&lt;="&amp;CV$3,CLAVE_BOV1,$A146)+SUMIFS(SALIDAS_BOV2,FECHA_BOV2,"&gt;="&amp;CV$2,FECHA_BOV2,"&lt;="&amp;CV$3,CLAVE_BOV2,$A146)+SUMIFS(SALIDAS_BOV3,FECHA_BOV3,"&gt;="&amp;CV$2,FECHA_BOV3,"&lt;="&amp;CV$3,CLAVE_BOV3,$A146)+SUMIFS(SALIDAS_TC,FECHA_TC,"&gt;="&amp;CV$2,FECHA_TC,"&lt;="&amp;CV$3,CLAVE_TC,$A146)+SUMIFS(SALIDAS_COMB,FECHA_COMB,"&gt;="&amp;CV$2,FECHA_COMB,"&lt;="&amp;CV$3,CLAVE_COMB,$A146)+SUMIFS(SALIDAS_DES,FECHA_DESGLOSEN,"&gt;="&amp;CV$2,FECHA_DESGLOSEN,"&lt;="&amp;CV$3,CLAVE_DESGLOSE,$A146)</f>
        <v>0</v>
      </c>
      <c r="CW146" s="13">
        <f>SUMIFS(SALIDAS_BIT,FECHA_BIT,"&gt;="&amp;CW$2,FECHA_BIT,"&lt;="&amp;CW$3,CLAVE_BIT,$A146)+SUMIFS(SALIDAS_BOV1,FECHA_BOV1,"&gt;="&amp;CW$2,FECHA_BOV1,"&lt;="&amp;CW$3,CLAVE_BOV1,$A146)+SUMIFS(SALIDAS_BOV2,FECHA_BOV2,"&gt;="&amp;CW$2,FECHA_BOV2,"&lt;="&amp;CW$3,CLAVE_BOV2,$A146)+SUMIFS(SALIDAS_BOV3,FECHA_BOV3,"&gt;="&amp;CW$2,FECHA_BOV3,"&lt;="&amp;CW$3,CLAVE_BOV3,$A146)+SUMIFS(SALIDAS_TC,FECHA_TC,"&gt;="&amp;CW$2,FECHA_TC,"&lt;="&amp;CW$3,CLAVE_TC,$A146)+SUMIFS(SALIDAS_COMB,FECHA_COMB,"&gt;="&amp;CW$2,FECHA_COMB,"&lt;="&amp;CW$3,CLAVE_COMB,$A146)+SUMIFS(SALIDAS_DES,FECHA_DESGLOSEN,"&gt;="&amp;CW$2,FECHA_DESGLOSEN,"&lt;="&amp;CW$3,CLAVE_DESGLOSE,$A146)</f>
        <v>0</v>
      </c>
      <c r="CX146" s="13">
        <f>SUMIFS(SALIDAS_BIT,FECHA_BIT,"&gt;="&amp;CX$2,FECHA_BIT,"&lt;="&amp;CX$3,CLAVE_BIT,$A146)+SUMIFS(SALIDAS_BOV1,FECHA_BOV1,"&gt;="&amp;CX$2,FECHA_BOV1,"&lt;="&amp;CX$3,CLAVE_BOV1,$A146)+SUMIFS(SALIDAS_BOV2,FECHA_BOV2,"&gt;="&amp;CX$2,FECHA_BOV2,"&lt;="&amp;CX$3,CLAVE_BOV2,$A146)+SUMIFS(SALIDAS_BOV3,FECHA_BOV3,"&gt;="&amp;CX$2,FECHA_BOV3,"&lt;="&amp;CX$3,CLAVE_BOV3,$A146)+SUMIFS(SALIDAS_TC,FECHA_TC,"&gt;="&amp;CX$2,FECHA_TC,"&lt;="&amp;CX$3,CLAVE_TC,$A146)+SUMIFS(SALIDAS_COMB,FECHA_COMB,"&gt;="&amp;CX$2,FECHA_COMB,"&lt;="&amp;CX$3,CLAVE_COMB,$A146)+SUMIFS(SALIDAS_DES,FECHA_DESGLOSEN,"&gt;="&amp;CX$2,FECHA_DESGLOSEN,"&lt;="&amp;CX$3,CLAVE_DESGLOSE,$A146)</f>
        <v>0</v>
      </c>
      <c r="CY146" s="13">
        <f>SUMIFS(SALIDAS_BIT,FECHA_BIT,"&gt;="&amp;CY$2,FECHA_BIT,"&lt;="&amp;CY$3,CLAVE_BIT,$A146)+SUMIFS(SALIDAS_BOV1,FECHA_BOV1,"&gt;="&amp;CY$2,FECHA_BOV1,"&lt;="&amp;CY$3,CLAVE_BOV1,$A146)+SUMIFS(SALIDAS_BOV2,FECHA_BOV2,"&gt;="&amp;CY$2,FECHA_BOV2,"&lt;="&amp;CY$3,CLAVE_BOV2,$A146)+SUMIFS(SALIDAS_BOV3,FECHA_BOV3,"&gt;="&amp;CY$2,FECHA_BOV3,"&lt;="&amp;CY$3,CLAVE_BOV3,$A146)+SUMIFS(SALIDAS_TC,FECHA_TC,"&gt;="&amp;CY$2,FECHA_TC,"&lt;="&amp;CY$3,CLAVE_TC,$A146)+SUMIFS(SALIDAS_COMB,FECHA_COMB,"&gt;="&amp;CY$2,FECHA_COMB,"&lt;="&amp;CY$3,CLAVE_COMB,$A146)+SUMIFS(SALIDAS_DES,FECHA_DESGLOSEN,"&gt;="&amp;CY$2,FECHA_DESGLOSEN,"&lt;="&amp;CY$3,CLAVE_DESGLOSE,$A146)</f>
        <v>8513</v>
      </c>
      <c r="CZ146" s="68">
        <f t="shared" si="272"/>
        <v>-2513</v>
      </c>
      <c r="DB146" s="17">
        <f>F146+N146+W146+AE146+AM146+AV146+BD146+BL146+BU146+CC146+CK146</f>
        <v>11718</v>
      </c>
      <c r="DC146" s="17">
        <f>K146+T146+AB146+AJ146+AS146+BA146+BI146+BR146+BZ146+CH146+CQ146</f>
        <v>69851</v>
      </c>
    </row>
    <row r="147" spans="1:107" hidden="1">
      <c r="A147" s="12" t="str">
        <f t="shared" si="245"/>
        <v>HRJMASA11</v>
      </c>
      <c r="B147" s="12">
        <v>149</v>
      </c>
      <c r="C147" t="s">
        <v>29</v>
      </c>
      <c r="D147" s="12" t="s">
        <v>137</v>
      </c>
      <c r="E147" s="12" t="s">
        <v>97</v>
      </c>
      <c r="F147" s="259">
        <f t="shared" si="238"/>
        <v>534</v>
      </c>
      <c r="G147" s="13">
        <f t="shared" ref="G147:K156" si="282">SUMIFS(SALIDAS_BIT,FECHA_BIT,"&gt;="&amp;G$2,FECHA_BIT,"&lt;="&amp;G$3,CLAVE_BIT,$A147)+SUMIFS(SALIDAS_BOV1,FECHA_BOV1,"&gt;="&amp;G$2,FECHA_BOV1,"&lt;="&amp;G$3,CLAVE_BOV1,$A147)+SUMIFS(SALIDAS_BOV2,FECHA_BOV2,"&gt;="&amp;G$2,FECHA_BOV2,"&lt;="&amp;G$3,CLAVE_BOV2,$A147)+SUMIFS(SALIDAS_BOV3,FECHA_BOV3,"&gt;="&amp;G$2,FECHA_BOV3,"&lt;="&amp;G$3,CLAVE_BOV3,$A147)+SUMIFS(SALIDAS_TC,FECHA_TC,"&gt;="&amp;G$2,FECHA_TC,"&lt;="&amp;G$3,CLAVE_TC,$A147)+SUMIFS(SALIDAS_COMB,FECHA_COMB,"&gt;="&amp;G$2,FECHA_COMB,"&lt;="&amp;G$3,CLAVE_COMB,$A147)+SUMIFS(SALIDAS_DES,FECHA_DESGLOSEN,"&gt;="&amp;G$2,FECHA_DESGLOSEN,"&lt;="&amp;G$3,CLAVE_DESGLOSE,$A147)</f>
        <v>0</v>
      </c>
      <c r="H147" s="13">
        <f t="shared" si="282"/>
        <v>0</v>
      </c>
      <c r="I147" s="13">
        <f t="shared" si="282"/>
        <v>531</v>
      </c>
      <c r="J147" s="13">
        <f t="shared" si="282"/>
        <v>0</v>
      </c>
      <c r="K147" s="13">
        <f t="shared" si="282"/>
        <v>531</v>
      </c>
      <c r="L147" s="68">
        <f t="shared" si="246"/>
        <v>3</v>
      </c>
      <c r="M147" s="268">
        <f t="shared" si="247"/>
        <v>0.9943820224719101</v>
      </c>
      <c r="N147" s="13">
        <f t="shared" si="239"/>
        <v>535</v>
      </c>
      <c r="O147" s="13">
        <f t="shared" ref="O147:T156" si="283">SUMIFS(SALIDAS_BIT,FECHA_BIT,"&gt;="&amp;O$2,FECHA_BIT,"&lt;="&amp;O$3,CLAVE_BIT,$A147)+SUMIFS(SALIDAS_BOV1,FECHA_BOV1,"&gt;="&amp;O$2,FECHA_BOV1,"&lt;="&amp;O$3,CLAVE_BOV1,$A147)+SUMIFS(SALIDAS_BOV2,FECHA_BOV2,"&gt;="&amp;O$2,FECHA_BOV2,"&lt;="&amp;O$3,CLAVE_BOV2,$A147)+SUMIFS(SALIDAS_BOV3,FECHA_BOV3,"&gt;="&amp;O$2,FECHA_BOV3,"&lt;="&amp;O$3,CLAVE_BOV3,$A147)+SUMIFS(SALIDAS_TC,FECHA_TC,"&gt;="&amp;O$2,FECHA_TC,"&lt;="&amp;O$3,CLAVE_TC,$A147)+SUMIFS(SALIDAS_COMB,FECHA_COMB,"&gt;="&amp;O$2,FECHA_COMB,"&lt;="&amp;O$3,CLAVE_COMB,$A147)+SUMIFS(SALIDAS_DES,FECHA_DESGLOSEN,"&gt;="&amp;O$2,FECHA_DESGLOSEN,"&lt;="&amp;O$3,CLAVE_DESGLOSE,$A147)</f>
        <v>0</v>
      </c>
      <c r="P147" s="13">
        <f t="shared" si="283"/>
        <v>0</v>
      </c>
      <c r="Q147" s="13">
        <f t="shared" si="283"/>
        <v>540</v>
      </c>
      <c r="R147" s="13">
        <f t="shared" si="283"/>
        <v>0</v>
      </c>
      <c r="S147" s="13">
        <f t="shared" si="283"/>
        <v>0</v>
      </c>
      <c r="T147" s="13">
        <f t="shared" si="283"/>
        <v>540</v>
      </c>
      <c r="U147" s="68">
        <f t="shared" si="248"/>
        <v>-5</v>
      </c>
      <c r="V147" s="268">
        <f t="shared" si="249"/>
        <v>1.0093457943925233</v>
      </c>
      <c r="W147" s="13">
        <f t="shared" si="240"/>
        <v>528</v>
      </c>
      <c r="X147" s="13">
        <f t="shared" ref="X147:AB156" si="284">SUMIFS(SALIDAS_BIT,FECHA_BIT,"&gt;="&amp;X$2,FECHA_BIT,"&lt;="&amp;X$3,CLAVE_BIT,$A147)+SUMIFS(SALIDAS_BOV1,FECHA_BOV1,"&gt;="&amp;X$2,FECHA_BOV1,"&lt;="&amp;X$3,CLAVE_BOV1,$A147)+SUMIFS(SALIDAS_BOV2,FECHA_BOV2,"&gt;="&amp;X$2,FECHA_BOV2,"&lt;="&amp;X$3,CLAVE_BOV2,$A147)+SUMIFS(SALIDAS_BOV3,FECHA_BOV3,"&gt;="&amp;X$2,FECHA_BOV3,"&lt;="&amp;X$3,CLAVE_BOV3,$A147)+SUMIFS(SALIDAS_TC,FECHA_TC,"&gt;="&amp;X$2,FECHA_TC,"&lt;="&amp;X$3,CLAVE_TC,$A147)+SUMIFS(SALIDAS_COMB,FECHA_COMB,"&gt;="&amp;X$2,FECHA_COMB,"&lt;="&amp;X$3,CLAVE_COMB,$A147)+SUMIFS(SALIDAS_DES,FECHA_DESGLOSEN,"&gt;="&amp;X$2,FECHA_DESGLOSEN,"&lt;="&amp;X$3,CLAVE_DESGLOSE,$A147)</f>
        <v>547</v>
      </c>
      <c r="Y147" s="13">
        <f t="shared" si="284"/>
        <v>0</v>
      </c>
      <c r="Z147" s="13">
        <f t="shared" si="284"/>
        <v>0</v>
      </c>
      <c r="AA147" s="13">
        <f t="shared" si="284"/>
        <v>555</v>
      </c>
      <c r="AB147" s="13">
        <f t="shared" si="284"/>
        <v>1102</v>
      </c>
      <c r="AC147" s="68">
        <f t="shared" si="250"/>
        <v>-574</v>
      </c>
      <c r="AD147" s="268">
        <f t="shared" si="251"/>
        <v>2.0871212121212119</v>
      </c>
      <c r="AE147" s="13">
        <f t="shared" si="241"/>
        <v>589</v>
      </c>
      <c r="AF147" s="13">
        <f t="shared" ref="AF147:AJ156" si="285">SUMIFS(SALIDAS_BIT,FECHA_BIT,"&gt;="&amp;AF$2,FECHA_BIT,"&lt;="&amp;AF$3,CLAVE_BIT,$A147)+SUMIFS(SALIDAS_BOV1,FECHA_BOV1,"&gt;="&amp;AF$2,FECHA_BOV1,"&lt;="&amp;AF$3,CLAVE_BOV1,$A147)+SUMIFS(SALIDAS_BOV2,FECHA_BOV2,"&gt;="&amp;AF$2,FECHA_BOV2,"&lt;="&amp;AF$3,CLAVE_BOV2,$A147)+SUMIFS(SALIDAS_BOV3,FECHA_BOV3,"&gt;="&amp;AF$2,FECHA_BOV3,"&lt;="&amp;AF$3,CLAVE_BOV3,$A147)+SUMIFS(SALIDAS_TC,FECHA_TC,"&gt;="&amp;AF$2,FECHA_TC,"&lt;="&amp;AF$3,CLAVE_TC,$A147)+SUMIFS(SALIDAS_COMB,FECHA_COMB,"&gt;="&amp;AF$2,FECHA_COMB,"&lt;="&amp;AF$3,CLAVE_COMB,$A147)+SUMIFS(SALIDAS_DES,FECHA_DESGLOSEN,"&gt;="&amp;AF$2,FECHA_DESGLOSEN,"&lt;="&amp;AF$3,CLAVE_DESGLOSE,$A147)</f>
        <v>0</v>
      </c>
      <c r="AG147" s="13">
        <f t="shared" si="285"/>
        <v>0</v>
      </c>
      <c r="AH147" s="13">
        <f t="shared" si="285"/>
        <v>0</v>
      </c>
      <c r="AI147" s="13">
        <f t="shared" si="285"/>
        <v>0</v>
      </c>
      <c r="AJ147" s="13">
        <f t="shared" si="285"/>
        <v>0</v>
      </c>
      <c r="AK147" s="68">
        <f t="shared" si="252"/>
        <v>589</v>
      </c>
      <c r="AL147" s="268">
        <f t="shared" si="253"/>
        <v>0</v>
      </c>
      <c r="AM147" s="13">
        <f t="shared" si="242"/>
        <v>588</v>
      </c>
      <c r="AN147" s="13">
        <f t="shared" ref="AN147:AS156" si="286">SUMIFS(SALIDAS_BIT,FECHA_BIT,"&gt;="&amp;AN$2,FECHA_BIT,"&lt;="&amp;AN$3,CLAVE_BIT,$A147)+SUMIFS(SALIDAS_BOV1,FECHA_BOV1,"&gt;="&amp;AN$2,FECHA_BOV1,"&lt;="&amp;AN$3,CLAVE_BOV1,$A147)+SUMIFS(SALIDAS_BOV2,FECHA_BOV2,"&gt;="&amp;AN$2,FECHA_BOV2,"&lt;="&amp;AN$3,CLAVE_BOV2,$A147)+SUMIFS(SALIDAS_BOV3,FECHA_BOV3,"&gt;="&amp;AN$2,FECHA_BOV3,"&lt;="&amp;AN$3,CLAVE_BOV3,$A147)+SUMIFS(SALIDAS_TC,FECHA_TC,"&gt;="&amp;AN$2,FECHA_TC,"&lt;="&amp;AN$3,CLAVE_TC,$A147)+SUMIFS(SALIDAS_COMB,FECHA_COMB,"&gt;="&amp;AN$2,FECHA_COMB,"&lt;="&amp;AN$3,CLAVE_COMB,$A147)+SUMIFS(SALIDAS_DES,FECHA_DESGLOSEN,"&gt;="&amp;AN$2,FECHA_DESGLOSEN,"&lt;="&amp;AN$3,CLAVE_DESGLOSE,$A147)</f>
        <v>563</v>
      </c>
      <c r="AO147" s="13">
        <f t="shared" si="286"/>
        <v>0</v>
      </c>
      <c r="AP147" s="13">
        <f t="shared" si="286"/>
        <v>0</v>
      </c>
      <c r="AQ147" s="13">
        <f t="shared" si="286"/>
        <v>0</v>
      </c>
      <c r="AR147" s="13">
        <f t="shared" si="286"/>
        <v>0</v>
      </c>
      <c r="AS147" s="13">
        <f t="shared" si="286"/>
        <v>563</v>
      </c>
      <c r="AT147" s="68">
        <f>AM147-AS147</f>
        <v>25</v>
      </c>
      <c r="AU147" s="268">
        <f t="shared" si="254"/>
        <v>0.95748299319727892</v>
      </c>
      <c r="AV147" s="13">
        <f t="shared" si="243"/>
        <v>1128</v>
      </c>
      <c r="AW147" s="13">
        <f t="shared" si="222"/>
        <v>0</v>
      </c>
      <c r="AX147" s="13">
        <f t="shared" si="222"/>
        <v>0</v>
      </c>
      <c r="AY147" s="13">
        <f t="shared" si="222"/>
        <v>0</v>
      </c>
      <c r="AZ147" s="13">
        <f t="shared" si="222"/>
        <v>0</v>
      </c>
      <c r="BA147" s="13">
        <f t="shared" si="223"/>
        <v>0</v>
      </c>
      <c r="BB147" s="68">
        <f t="shared" si="255"/>
        <v>1128</v>
      </c>
      <c r="BC147" s="268">
        <f t="shared" si="256"/>
        <v>0</v>
      </c>
      <c r="BD147" s="13">
        <f t="shared" si="257"/>
        <v>60</v>
      </c>
      <c r="BE147" s="13">
        <f>SUMIFS(SALIDAS_BIT,FECHA_BIT,"&gt;="&amp;BE$2,FECHA_BIT,"&lt;="&amp;BE$3,CLAVE_BIT,$A147)+SUMIFS(SALIDAS_BOV1,FECHA_BOV1,"&gt;="&amp;BE$2,FECHA_BOV1,"&lt;="&amp;BE$3,CLAVE_BOV1,$A147)+SUMIFS(SALIDAS_BOV2,FECHA_BOV2,"&gt;="&amp;BE$2,FECHA_BOV2,"&lt;="&amp;BE$3,CLAVE_BOV2,$A147)+SUMIFS(SALIDAS_BOV3,FECHA_BOV3,"&gt;="&amp;BE$2,FECHA_BOV3,"&lt;="&amp;BE$3,CLAVE_BOV3,$A147)+SUMIFS(SALIDAS_TC,FECHA_TC,"&gt;="&amp;BE$2,FECHA_TC,"&lt;="&amp;BE$3,CLAVE_TC,$A147)+SUMIFS(SALIDAS_COMB,FECHA_COMB,"&gt;="&amp;BE$2,FECHA_COMB,"&lt;="&amp;BE$3,CLAVE_COMB,$A147)+SUMIFS(SALIDAS_DES,FECHA_DESGLOSEN,"&gt;="&amp;BE$2,FECHA_DESGLOSEN,"&lt;="&amp;BE$3,CLAVE_DESGLOSE,$A147)</f>
        <v>0</v>
      </c>
      <c r="BF147" s="13">
        <f>SUMIFS(SALIDAS_BIT,FECHA_BIT,"&gt;="&amp;BF$2,FECHA_BIT,"&lt;="&amp;BF$3,CLAVE_BIT,$A147)+SUMIFS(SALIDAS_BOV1,FECHA_BOV1,"&gt;="&amp;BF$2,FECHA_BOV1,"&lt;="&amp;BF$3,CLAVE_BOV1,$A147)+SUMIFS(SALIDAS_BOV2,FECHA_BOV2,"&gt;="&amp;BF$2,FECHA_BOV2,"&lt;="&amp;BF$3,CLAVE_BOV2,$A147)+SUMIFS(SALIDAS_BOV3,FECHA_BOV3,"&gt;="&amp;BF$2,FECHA_BOV3,"&lt;="&amp;BF$3,CLAVE_BOV3,$A147)+SUMIFS(SALIDAS_TC,FECHA_TC,"&gt;="&amp;BF$2,FECHA_TC,"&lt;="&amp;BF$3,CLAVE_TC,$A147)+SUMIFS(SALIDAS_COMB,FECHA_COMB,"&gt;="&amp;BF$2,FECHA_COMB,"&lt;="&amp;BF$3,CLAVE_COMB,$A147)+SUMIFS(SALIDAS_DES,FECHA_DESGLOSEN,"&gt;="&amp;BF$2,FECHA_DESGLOSEN,"&lt;="&amp;BF$3,CLAVE_DESGLOSE,$A147)</f>
        <v>1222</v>
      </c>
      <c r="BG147" s="13">
        <f>SUMIFS(SALIDAS_BIT,FECHA_BIT,"&gt;="&amp;BG$2,FECHA_BIT,"&lt;="&amp;BG$3,CLAVE_BIT,$A147)+SUMIFS(SALIDAS_BOV1,FECHA_BOV1,"&gt;="&amp;BG$2,FECHA_BOV1,"&lt;="&amp;BG$3,CLAVE_BOV1,$A147)+SUMIFS(SALIDAS_BOV2,FECHA_BOV2,"&gt;="&amp;BG$2,FECHA_BOV2,"&lt;="&amp;BG$3,CLAVE_BOV2,$A147)+SUMIFS(SALIDAS_BOV3,FECHA_BOV3,"&gt;="&amp;BG$2,FECHA_BOV3,"&lt;="&amp;BG$3,CLAVE_BOV3,$A147)+SUMIFS(SALIDAS_TC,FECHA_TC,"&gt;="&amp;BG$2,FECHA_TC,"&lt;="&amp;BG$3,CLAVE_TC,$A147)+SUMIFS(SALIDAS_COMB,FECHA_COMB,"&gt;="&amp;BG$2,FECHA_COMB,"&lt;="&amp;BG$3,CLAVE_COMB,$A147)+SUMIFS(SALIDAS_DES,FECHA_DESGLOSEN,"&gt;="&amp;BG$2,FECHA_DESGLOSEN,"&lt;="&amp;BG$3,CLAVE_DESGLOSE,$A147)</f>
        <v>0</v>
      </c>
      <c r="BH147" s="13">
        <f>SUMIFS(SALIDAS_BIT,FECHA_BIT,"&gt;="&amp;BH$2,FECHA_BIT,"&lt;="&amp;BH$3,CLAVE_BIT,$A147)+SUMIFS(SALIDAS_BOV1,FECHA_BOV1,"&gt;="&amp;BH$2,FECHA_BOV1,"&lt;="&amp;BH$3,CLAVE_BOV1,$A147)+SUMIFS(SALIDAS_BOV2,FECHA_BOV2,"&gt;="&amp;BH$2,FECHA_BOV2,"&lt;="&amp;BH$3,CLAVE_BOV2,$A147)+SUMIFS(SALIDAS_BOV3,FECHA_BOV3,"&gt;="&amp;BH$2,FECHA_BOV3,"&lt;="&amp;BH$3,CLAVE_BOV3,$A147)+SUMIFS(SALIDAS_TC,FECHA_TC,"&gt;="&amp;BH$2,FECHA_TC,"&lt;="&amp;BH$3,CLAVE_TC,$A147)+SUMIFS(SALIDAS_COMB,FECHA_COMB,"&gt;="&amp;BH$2,FECHA_COMB,"&lt;="&amp;BH$3,CLAVE_COMB,$A147)+SUMIFS(SALIDAS_DES,FECHA_DESGLOSEN,"&gt;="&amp;BH$2,FECHA_DESGLOSEN,"&lt;="&amp;BH$3,CLAVE_DESGLOSE,$A147)</f>
        <v>0</v>
      </c>
      <c r="BI147" s="13">
        <f t="shared" si="215"/>
        <v>1222</v>
      </c>
      <c r="BJ147" s="68">
        <f t="shared" si="258"/>
        <v>-1162</v>
      </c>
      <c r="BK147" s="268">
        <f t="shared" si="259"/>
        <v>20.366666666666667</v>
      </c>
      <c r="BL147" s="13">
        <f t="shared" si="260"/>
        <v>1102</v>
      </c>
      <c r="BM147" s="13">
        <f>SUMIFS(SALIDAS_BIT,FECHA_BIT,"&gt;="&amp;BM$2,FECHA_BIT,"&lt;="&amp;BM$3,CLAVE_BIT,$A147)+SUMIFS(SALIDAS_BOV1,FECHA_BOV1,"&gt;="&amp;BM$2,FECHA_BOV1,"&lt;="&amp;BM$3,CLAVE_BOV1,$A147)+SUMIFS(SALIDAS_BOV2,FECHA_BOV2,"&gt;="&amp;BM$2,FECHA_BOV2,"&lt;="&amp;BM$3,CLAVE_BOV2,$A147)+SUMIFS(SALIDAS_BOV3,FECHA_BOV3,"&gt;="&amp;BM$2,FECHA_BOV3,"&lt;="&amp;BM$3,CLAVE_BOV3,$A147)+SUMIFS(SALIDAS_TC,FECHA_TC,"&gt;="&amp;BM$2,FECHA_TC,"&lt;="&amp;BM$3,CLAVE_TC,$A147)+SUMIFS(SALIDAS_COMB,FECHA_COMB,"&gt;="&amp;BM$2,FECHA_COMB,"&lt;="&amp;BM$3,CLAVE_COMB,$A147)+SUMIFS(SALIDAS_DES,FECHA_DESGLOSEN,"&gt;="&amp;BM$2,FECHA_DESGLOSEN,"&lt;="&amp;BM$3,CLAVE_DESGLOSE,$A147)</f>
        <v>588</v>
      </c>
      <c r="BN147" s="13">
        <f>SUMIFS(SALIDAS_BIT,FECHA_BIT,"&gt;="&amp;BN$2,FECHA_BIT,"&lt;="&amp;BN$3,CLAVE_BIT,$A147)+SUMIFS(SALIDAS_BOV1,FECHA_BOV1,"&gt;="&amp;BN$2,FECHA_BOV1,"&lt;="&amp;BN$3,CLAVE_BOV1,$A147)+SUMIFS(SALIDAS_BOV2,FECHA_BOV2,"&gt;="&amp;BN$2,FECHA_BOV2,"&lt;="&amp;BN$3,CLAVE_BOV2,$A147)+SUMIFS(SALIDAS_BOV3,FECHA_BOV3,"&gt;="&amp;BN$2,FECHA_BOV3,"&lt;="&amp;BN$3,CLAVE_BOV3,$A147)+SUMIFS(SALIDAS_TC,FECHA_TC,"&gt;="&amp;BN$2,FECHA_TC,"&lt;="&amp;BN$3,CLAVE_TC,$A147)+SUMIFS(SALIDAS_COMB,FECHA_COMB,"&gt;="&amp;BN$2,FECHA_COMB,"&lt;="&amp;BN$3,CLAVE_COMB,$A147)+SUMIFS(SALIDAS_DES,FECHA_DESGLOSEN,"&gt;="&amp;BN$2,FECHA_DESGLOSEN,"&lt;="&amp;BN$3,CLAVE_DESGLOSE,$A147)</f>
        <v>0</v>
      </c>
      <c r="BO147" s="13">
        <f>SUMIFS(SALIDAS_BIT,FECHA_BIT,"&gt;="&amp;BO$2,FECHA_BIT,"&lt;="&amp;BO$3,CLAVE_BIT,$A147)+SUMIFS(SALIDAS_BOV1,FECHA_BOV1,"&gt;="&amp;BO$2,FECHA_BOV1,"&lt;="&amp;BO$3,CLAVE_BOV1,$A147)+SUMIFS(SALIDAS_BOV2,FECHA_BOV2,"&gt;="&amp;BO$2,FECHA_BOV2,"&lt;="&amp;BO$3,CLAVE_BOV2,$A147)+SUMIFS(SALIDAS_BOV3,FECHA_BOV3,"&gt;="&amp;BO$2,FECHA_BOV3,"&lt;="&amp;BO$3,CLAVE_BOV3,$A147)+SUMIFS(SALIDAS_TC,FECHA_TC,"&gt;="&amp;BO$2,FECHA_TC,"&lt;="&amp;BO$3,CLAVE_TC,$A147)+SUMIFS(SALIDAS_COMB,FECHA_COMB,"&gt;="&amp;BO$2,FECHA_COMB,"&lt;="&amp;BO$3,CLAVE_COMB,$A147)+SUMIFS(SALIDAS_DES,FECHA_DESGLOSEN,"&gt;="&amp;BO$2,FECHA_DESGLOSEN,"&lt;="&amp;BO$3,CLAVE_DESGLOSE,$A147)</f>
        <v>0</v>
      </c>
      <c r="BP147" s="13">
        <f>SUMIFS(SALIDAS_BIT,FECHA_BIT,"&gt;="&amp;BP$2,FECHA_BIT,"&lt;="&amp;BP$3,CLAVE_BIT,$A147)+SUMIFS(SALIDAS_BOV1,FECHA_BOV1,"&gt;="&amp;BP$2,FECHA_BOV1,"&lt;="&amp;BP$3,CLAVE_BOV1,$A147)+SUMIFS(SALIDAS_BOV2,FECHA_BOV2,"&gt;="&amp;BP$2,FECHA_BOV2,"&lt;="&amp;BP$3,CLAVE_BOV2,$A147)+SUMIFS(SALIDAS_BOV3,FECHA_BOV3,"&gt;="&amp;BP$2,FECHA_BOV3,"&lt;="&amp;BP$3,CLAVE_BOV3,$A147)+SUMIFS(SALIDAS_TC,FECHA_TC,"&gt;="&amp;BP$2,FECHA_TC,"&lt;="&amp;BP$3,CLAVE_TC,$A147)+SUMIFS(SALIDAS_COMB,FECHA_COMB,"&gt;="&amp;BP$2,FECHA_COMB,"&lt;="&amp;BP$3,CLAVE_COMB,$A147)+SUMIFS(SALIDAS_DES,FECHA_DESGLOSEN,"&gt;="&amp;BP$2,FECHA_DESGLOSEN,"&lt;="&amp;BP$3,CLAVE_DESGLOSE,$A147)</f>
        <v>0</v>
      </c>
      <c r="BQ147" s="13">
        <f>SUMIFS(SALIDAS_BIT,FECHA_BIT,"&gt;="&amp;BQ$2,FECHA_BIT,"&lt;="&amp;BQ$3,CLAVE_BIT,$A147)+SUMIFS(SALIDAS_BOV1,FECHA_BOV1,"&gt;="&amp;BQ$2,FECHA_BOV1,"&lt;="&amp;BQ$3,CLAVE_BOV1,$A147)+SUMIFS(SALIDAS_BOV2,FECHA_BOV2,"&gt;="&amp;BQ$2,FECHA_BOV2,"&lt;="&amp;BQ$3,CLAVE_BOV2,$A147)+SUMIFS(SALIDAS_BOV3,FECHA_BOV3,"&gt;="&amp;BQ$2,FECHA_BOV3,"&lt;="&amp;BQ$3,CLAVE_BOV3,$A147)+SUMIFS(SALIDAS_TC,FECHA_TC,"&gt;="&amp;BQ$2,FECHA_TC,"&lt;="&amp;BQ$3,CLAVE_TC,$A147)+SUMIFS(SALIDAS_COMB,FECHA_COMB,"&gt;="&amp;BQ$2,FECHA_COMB,"&lt;="&amp;BQ$3,CLAVE_COMB,$A147)+SUMIFS(SALIDAS_DES,FECHA_DESGLOSEN,"&gt;="&amp;BQ$2,FECHA_DESGLOSEN,"&lt;="&amp;BQ$3,CLAVE_DESGLOSE,$A147)</f>
        <v>0</v>
      </c>
      <c r="BR147" s="13">
        <f t="shared" ref="BM147:BR156" si="287">SUMIFS(SALIDAS_BIT,FECHA_BIT,"&gt;="&amp;BR$2,FECHA_BIT,"&lt;="&amp;BR$3,CLAVE_BIT,$A147)+SUMIFS(SALIDAS_BOV1,FECHA_BOV1,"&gt;="&amp;BR$2,FECHA_BOV1,"&lt;="&amp;BR$3,CLAVE_BOV1,$A147)+SUMIFS(SALIDAS_BOV2,FECHA_BOV2,"&gt;="&amp;BR$2,FECHA_BOV2,"&lt;="&amp;BR$3,CLAVE_BOV2,$A147)+SUMIFS(SALIDAS_BOV3,FECHA_BOV3,"&gt;="&amp;BR$2,FECHA_BOV3,"&lt;="&amp;BR$3,CLAVE_BOV3,$A147)+SUMIFS(SALIDAS_TC,FECHA_TC,"&gt;="&amp;BR$2,FECHA_TC,"&lt;="&amp;BR$3,CLAVE_TC,$A147)+SUMIFS(SALIDAS_COMB,FECHA_COMB,"&gt;="&amp;BR$2,FECHA_COMB,"&lt;="&amp;BR$3,CLAVE_COMB,$A147)+SUMIFS(SALIDAS_DES,FECHA_DESGLOSEN,"&gt;="&amp;BR$2,FECHA_DESGLOSEN,"&lt;="&amp;BR$3,CLAVE_DESGLOSE,$A147)</f>
        <v>588</v>
      </c>
      <c r="BS147" s="68">
        <f t="shared" si="261"/>
        <v>514</v>
      </c>
      <c r="BT147" s="268">
        <f t="shared" si="262"/>
        <v>0.53357531760435573</v>
      </c>
      <c r="BU147" s="13">
        <f t="shared" si="263"/>
        <v>500</v>
      </c>
      <c r="BV147" s="13">
        <f t="shared" si="186"/>
        <v>0</v>
      </c>
      <c r="BW147" s="13">
        <f t="shared" si="186"/>
        <v>598</v>
      </c>
      <c r="BX147" s="13">
        <f t="shared" si="186"/>
        <v>0</v>
      </c>
      <c r="BY147" s="13">
        <f t="shared" si="186"/>
        <v>0</v>
      </c>
      <c r="BZ147" s="13">
        <f t="shared" ref="BV147:BZ156" si="288">SUMIFS(SALIDAS_BIT,FECHA_BIT,"&gt;="&amp;BZ$2,FECHA_BIT,"&lt;="&amp;BZ$3,CLAVE_BIT,$A147)+SUMIFS(SALIDAS_BOV1,FECHA_BOV1,"&gt;="&amp;BZ$2,FECHA_BOV1,"&lt;="&amp;BZ$3,CLAVE_BOV1,$A147)+SUMIFS(SALIDAS_BOV2,FECHA_BOV2,"&gt;="&amp;BZ$2,FECHA_BOV2,"&lt;="&amp;BZ$3,CLAVE_BOV2,$A147)+SUMIFS(SALIDAS_BOV3,FECHA_BOV3,"&gt;="&amp;BZ$2,FECHA_BOV3,"&lt;="&amp;BZ$3,CLAVE_BOV3,$A147)+SUMIFS(SALIDAS_TC,FECHA_TC,"&gt;="&amp;BZ$2,FECHA_TC,"&lt;="&amp;BZ$3,CLAVE_TC,$A147)+SUMIFS(SALIDAS_COMB,FECHA_COMB,"&gt;="&amp;BZ$2,FECHA_COMB,"&lt;="&amp;BZ$3,CLAVE_COMB,$A147)+SUMIFS(SALIDAS_DES,FECHA_DESGLOSEN,"&gt;="&amp;BZ$2,FECHA_DESGLOSEN,"&lt;="&amp;BZ$3,CLAVE_DESGLOSE,$A147)</f>
        <v>598</v>
      </c>
      <c r="CA147" s="68">
        <f t="shared" si="264"/>
        <v>-98</v>
      </c>
      <c r="CB147" s="268">
        <f t="shared" si="265"/>
        <v>1.196</v>
      </c>
      <c r="CC147" s="13">
        <f t="shared" si="266"/>
        <v>500</v>
      </c>
      <c r="CD147" s="13">
        <f t="shared" si="187"/>
        <v>0</v>
      </c>
      <c r="CE147" s="13">
        <f t="shared" si="187"/>
        <v>402</v>
      </c>
      <c r="CF147" s="13">
        <f t="shared" si="187"/>
        <v>0</v>
      </c>
      <c r="CG147" s="13">
        <f t="shared" si="187"/>
        <v>0</v>
      </c>
      <c r="CH147" s="13">
        <f t="shared" ref="CD147:CH156" si="289">SUMIFS(SALIDAS_BIT,FECHA_BIT,"&gt;="&amp;CH$2,FECHA_BIT,"&lt;="&amp;CH$3,CLAVE_BIT,$A147)+SUMIFS(SALIDAS_BOV1,FECHA_BOV1,"&gt;="&amp;CH$2,FECHA_BOV1,"&lt;="&amp;CH$3,CLAVE_BOV1,$A147)+SUMIFS(SALIDAS_BOV2,FECHA_BOV2,"&gt;="&amp;CH$2,FECHA_BOV2,"&lt;="&amp;CH$3,CLAVE_BOV2,$A147)+SUMIFS(SALIDAS_BOV3,FECHA_BOV3,"&gt;="&amp;CH$2,FECHA_BOV3,"&lt;="&amp;CH$3,CLAVE_BOV3,$A147)+SUMIFS(SALIDAS_TC,FECHA_TC,"&gt;="&amp;CH$2,FECHA_TC,"&lt;="&amp;CH$3,CLAVE_TC,$A147)+SUMIFS(SALIDAS_COMB,FECHA_COMB,"&gt;="&amp;CH$2,FECHA_COMB,"&lt;="&amp;CH$3,CLAVE_COMB,$A147)+SUMIFS(SALIDAS_DES,FECHA_DESGLOSEN,"&gt;="&amp;CH$2,FECHA_DESGLOSEN,"&lt;="&amp;CH$3,CLAVE_DESGLOSE,$A147)</f>
        <v>402</v>
      </c>
      <c r="CI147" s="68">
        <f t="shared" si="267"/>
        <v>98</v>
      </c>
      <c r="CJ147" s="268">
        <f t="shared" si="268"/>
        <v>0.80400000000000005</v>
      </c>
      <c r="CK147" s="13">
        <f t="shared" si="269"/>
        <v>500</v>
      </c>
      <c r="CL147" s="13">
        <f t="shared" si="228"/>
        <v>0</v>
      </c>
      <c r="CM147" s="13">
        <f t="shared" si="228"/>
        <v>615</v>
      </c>
      <c r="CN147" s="13">
        <f t="shared" si="228"/>
        <v>0</v>
      </c>
      <c r="CO147" s="13">
        <f t="shared" si="228"/>
        <v>0</v>
      </c>
      <c r="CP147" s="13">
        <f t="shared" si="228"/>
        <v>0</v>
      </c>
      <c r="CQ147" s="13">
        <f t="shared" ref="CL147:CQ156" si="290">SUMIFS(SALIDAS_BIT,FECHA_BIT,"&gt;="&amp;CQ$2,FECHA_BIT,"&lt;="&amp;CQ$3,CLAVE_BIT,$A147)+SUMIFS(SALIDAS_BOV1,FECHA_BOV1,"&gt;="&amp;CQ$2,FECHA_BOV1,"&lt;="&amp;CQ$3,CLAVE_BOV1,$A147)+SUMIFS(SALIDAS_BOV2,FECHA_BOV2,"&gt;="&amp;CQ$2,FECHA_BOV2,"&lt;="&amp;CQ$3,CLAVE_BOV2,$A147)+SUMIFS(SALIDAS_BOV3,FECHA_BOV3,"&gt;="&amp;CQ$2,FECHA_BOV3,"&lt;="&amp;CQ$3,CLAVE_BOV3,$A147)+SUMIFS(SALIDAS_TC,FECHA_TC,"&gt;="&amp;CQ$2,FECHA_TC,"&lt;="&amp;CQ$3,CLAVE_TC,$A147)+SUMIFS(SALIDAS_COMB,FECHA_COMB,"&gt;="&amp;CQ$2,FECHA_COMB,"&lt;="&amp;CQ$3,CLAVE_COMB,$A147)+SUMIFS(SALIDAS_DES,FECHA_DESGLOSEN,"&gt;="&amp;CQ$2,FECHA_DESGLOSEN,"&lt;="&amp;CQ$3,CLAVE_DESGLOSE,$A147)</f>
        <v>615</v>
      </c>
      <c r="CR147" s="68">
        <f t="shared" si="270"/>
        <v>-115</v>
      </c>
      <c r="CS147" s="268">
        <f t="shared" si="271"/>
        <v>1.23</v>
      </c>
      <c r="CT147" s="68">
        <f t="shared" si="244"/>
        <v>600</v>
      </c>
      <c r="CU147" s="13">
        <f>SUMIFS(SALIDAS_BIT,FECHA_BIT,"&gt;="&amp;CU$2,FECHA_BIT,"&lt;="&amp;CU$3,CLAVE_BIT,$A147)+SUMIFS(SALIDAS_BOV1,FECHA_BOV1,"&gt;="&amp;CU$2,FECHA_BOV1,"&lt;="&amp;CU$3,CLAVE_BOV1,$A147)+SUMIFS(SALIDAS_BOV2,FECHA_BOV2,"&gt;="&amp;CU$2,FECHA_BOV2,"&lt;="&amp;CU$3,CLAVE_BOV2,$A147)+SUMIFS(SALIDAS_BOV3,FECHA_BOV3,"&gt;="&amp;CU$2,FECHA_BOV3,"&lt;="&amp;CU$3,CLAVE_BOV3,$A147)+SUMIFS(SALIDAS_TC,FECHA_TC,"&gt;="&amp;CU$2,FECHA_TC,"&lt;="&amp;CU$3,CLAVE_TC,$A147)+SUMIFS(SALIDAS_COMB,FECHA_COMB,"&gt;="&amp;CU$2,FECHA_COMB,"&lt;="&amp;CU$3,CLAVE_COMB,$A147)+SUMIFS(SALIDAS_DES,FECHA_DESGLOSEN,"&gt;="&amp;CU$2,FECHA_DESGLOSEN,"&lt;="&amp;CU$3,CLAVE_DESGLOSE,$A147)</f>
        <v>413</v>
      </c>
      <c r="CV147" s="13">
        <f>SUMIFS(SALIDAS_BIT,FECHA_BIT,"&gt;="&amp;CV$2,FECHA_BIT,"&lt;="&amp;CV$3,CLAVE_BIT,$A147)+SUMIFS(SALIDAS_BOV1,FECHA_BOV1,"&gt;="&amp;CV$2,FECHA_BOV1,"&lt;="&amp;CV$3,CLAVE_BOV1,$A147)+SUMIFS(SALIDAS_BOV2,FECHA_BOV2,"&gt;="&amp;CV$2,FECHA_BOV2,"&lt;="&amp;CV$3,CLAVE_BOV2,$A147)+SUMIFS(SALIDAS_BOV3,FECHA_BOV3,"&gt;="&amp;CV$2,FECHA_BOV3,"&lt;="&amp;CV$3,CLAVE_BOV3,$A147)+SUMIFS(SALIDAS_TC,FECHA_TC,"&gt;="&amp;CV$2,FECHA_TC,"&lt;="&amp;CV$3,CLAVE_TC,$A147)+SUMIFS(SALIDAS_COMB,FECHA_COMB,"&gt;="&amp;CV$2,FECHA_COMB,"&lt;="&amp;CV$3,CLAVE_COMB,$A147)+SUMIFS(SALIDAS_DES,FECHA_DESGLOSEN,"&gt;="&amp;CV$2,FECHA_DESGLOSEN,"&lt;="&amp;CV$3,CLAVE_DESGLOSE,$A147)</f>
        <v>0</v>
      </c>
      <c r="CW147" s="13">
        <f>SUMIFS(SALIDAS_BIT,FECHA_BIT,"&gt;="&amp;CW$2,FECHA_BIT,"&lt;="&amp;CW$3,CLAVE_BIT,$A147)+SUMIFS(SALIDAS_BOV1,FECHA_BOV1,"&gt;="&amp;CW$2,FECHA_BOV1,"&lt;="&amp;CW$3,CLAVE_BOV1,$A147)+SUMIFS(SALIDAS_BOV2,FECHA_BOV2,"&gt;="&amp;CW$2,FECHA_BOV2,"&lt;="&amp;CW$3,CLAVE_BOV2,$A147)+SUMIFS(SALIDAS_BOV3,FECHA_BOV3,"&gt;="&amp;CW$2,FECHA_BOV3,"&lt;="&amp;CW$3,CLAVE_BOV3,$A147)+SUMIFS(SALIDAS_TC,FECHA_TC,"&gt;="&amp;CW$2,FECHA_TC,"&lt;="&amp;CW$3,CLAVE_TC,$A147)+SUMIFS(SALIDAS_COMB,FECHA_COMB,"&gt;="&amp;CW$2,FECHA_COMB,"&lt;="&amp;CW$3,CLAVE_COMB,$A147)+SUMIFS(SALIDAS_DES,FECHA_DESGLOSEN,"&gt;="&amp;CW$2,FECHA_DESGLOSEN,"&lt;="&amp;CW$3,CLAVE_DESGLOSE,$A147)</f>
        <v>0</v>
      </c>
      <c r="CX147" s="13">
        <f>SUMIFS(SALIDAS_BIT,FECHA_BIT,"&gt;="&amp;CX$2,FECHA_BIT,"&lt;="&amp;CX$3,CLAVE_BIT,$A147)+SUMIFS(SALIDAS_BOV1,FECHA_BOV1,"&gt;="&amp;CX$2,FECHA_BOV1,"&lt;="&amp;CX$3,CLAVE_BOV1,$A147)+SUMIFS(SALIDAS_BOV2,FECHA_BOV2,"&gt;="&amp;CX$2,FECHA_BOV2,"&lt;="&amp;CX$3,CLAVE_BOV2,$A147)+SUMIFS(SALIDAS_BOV3,FECHA_BOV3,"&gt;="&amp;CX$2,FECHA_BOV3,"&lt;="&amp;CX$3,CLAVE_BOV3,$A147)+SUMIFS(SALIDAS_TC,FECHA_TC,"&gt;="&amp;CX$2,FECHA_TC,"&lt;="&amp;CX$3,CLAVE_TC,$A147)+SUMIFS(SALIDAS_COMB,FECHA_COMB,"&gt;="&amp;CX$2,FECHA_COMB,"&lt;="&amp;CX$3,CLAVE_COMB,$A147)+SUMIFS(SALIDAS_DES,FECHA_DESGLOSEN,"&gt;="&amp;CX$2,FECHA_DESGLOSEN,"&lt;="&amp;CX$3,CLAVE_DESGLOSE,$A147)</f>
        <v>0</v>
      </c>
      <c r="CY147" s="13">
        <f>SUMIFS(SALIDAS_BIT,FECHA_BIT,"&gt;="&amp;CY$2,FECHA_BIT,"&lt;="&amp;CY$3,CLAVE_BIT,$A147)+SUMIFS(SALIDAS_BOV1,FECHA_BOV1,"&gt;="&amp;CY$2,FECHA_BOV1,"&lt;="&amp;CY$3,CLAVE_BOV1,$A147)+SUMIFS(SALIDAS_BOV2,FECHA_BOV2,"&gt;="&amp;CY$2,FECHA_BOV2,"&lt;="&amp;CY$3,CLAVE_BOV2,$A147)+SUMIFS(SALIDAS_BOV3,FECHA_BOV3,"&gt;="&amp;CY$2,FECHA_BOV3,"&lt;="&amp;CY$3,CLAVE_BOV3,$A147)+SUMIFS(SALIDAS_TC,FECHA_TC,"&gt;="&amp;CY$2,FECHA_TC,"&lt;="&amp;CY$3,CLAVE_TC,$A147)+SUMIFS(SALIDAS_COMB,FECHA_COMB,"&gt;="&amp;CY$2,FECHA_COMB,"&lt;="&amp;CY$3,CLAVE_COMB,$A147)+SUMIFS(SALIDAS_DES,FECHA_DESGLOSEN,"&gt;="&amp;CY$2,FECHA_DESGLOSEN,"&lt;="&amp;CY$3,CLAVE_DESGLOSE,$A147)</f>
        <v>413</v>
      </c>
      <c r="CZ147" s="68">
        <f t="shared" si="272"/>
        <v>187</v>
      </c>
      <c r="DB147" s="17">
        <f>F147+N147+W147+AE147+AM147+AV147+BD147+BL147+BU147+CC147+CK147</f>
        <v>6564</v>
      </c>
      <c r="DC147" s="17">
        <f>K147+T147+AB147+AJ147+AS147+BA147+BI147+BR147+BZ147+CH147+CQ147</f>
        <v>6161</v>
      </c>
    </row>
    <row r="148" spans="1:107" hidden="1">
      <c r="A148" s="12" t="str">
        <f t="shared" si="245"/>
        <v>HRJMASA12</v>
      </c>
      <c r="B148" s="12">
        <v>150</v>
      </c>
      <c r="C148" t="s">
        <v>29</v>
      </c>
      <c r="D148" s="12" t="s">
        <v>137</v>
      </c>
      <c r="E148" s="12" t="s">
        <v>98</v>
      </c>
      <c r="F148" s="259">
        <f t="shared" si="238"/>
        <v>0</v>
      </c>
      <c r="G148" s="13">
        <f t="shared" si="282"/>
        <v>0</v>
      </c>
      <c r="H148" s="13">
        <f t="shared" si="282"/>
        <v>0</v>
      </c>
      <c r="I148" s="13">
        <f t="shared" si="282"/>
        <v>0</v>
      </c>
      <c r="J148" s="13">
        <f t="shared" si="282"/>
        <v>0</v>
      </c>
      <c r="K148" s="13">
        <f t="shared" si="282"/>
        <v>0</v>
      </c>
      <c r="L148" s="68">
        <f t="shared" si="246"/>
        <v>0</v>
      </c>
      <c r="M148" s="268">
        <f t="shared" si="247"/>
        <v>0</v>
      </c>
      <c r="N148" s="13">
        <f t="shared" si="239"/>
        <v>0</v>
      </c>
      <c r="O148" s="13">
        <f t="shared" si="283"/>
        <v>0</v>
      </c>
      <c r="P148" s="13">
        <f t="shared" si="283"/>
        <v>0</v>
      </c>
      <c r="Q148" s="13">
        <f t="shared" si="283"/>
        <v>0</v>
      </c>
      <c r="R148" s="13">
        <f t="shared" si="283"/>
        <v>0</v>
      </c>
      <c r="S148" s="13">
        <f t="shared" si="283"/>
        <v>0</v>
      </c>
      <c r="T148" s="13">
        <f t="shared" si="283"/>
        <v>0</v>
      </c>
      <c r="U148" s="68">
        <f t="shared" si="248"/>
        <v>0</v>
      </c>
      <c r="V148" s="268">
        <f t="shared" si="249"/>
        <v>0</v>
      </c>
      <c r="W148" s="13">
        <f t="shared" si="240"/>
        <v>0</v>
      </c>
      <c r="X148" s="13">
        <f t="shared" si="284"/>
        <v>0</v>
      </c>
      <c r="Y148" s="13">
        <f t="shared" si="284"/>
        <v>0</v>
      </c>
      <c r="Z148" s="13">
        <f t="shared" si="284"/>
        <v>0</v>
      </c>
      <c r="AA148" s="13">
        <f t="shared" si="284"/>
        <v>0</v>
      </c>
      <c r="AB148" s="13">
        <f t="shared" si="284"/>
        <v>0</v>
      </c>
      <c r="AC148" s="68">
        <f t="shared" si="250"/>
        <v>0</v>
      </c>
      <c r="AD148" s="268">
        <f t="shared" si="251"/>
        <v>0</v>
      </c>
      <c r="AE148" s="13">
        <f t="shared" si="241"/>
        <v>0</v>
      </c>
      <c r="AF148" s="13">
        <f t="shared" si="285"/>
        <v>0</v>
      </c>
      <c r="AG148" s="13">
        <f t="shared" si="285"/>
        <v>0</v>
      </c>
      <c r="AH148" s="13">
        <f t="shared" si="285"/>
        <v>0</v>
      </c>
      <c r="AI148" s="13">
        <f t="shared" si="285"/>
        <v>0</v>
      </c>
      <c r="AJ148" s="13">
        <f t="shared" si="285"/>
        <v>0</v>
      </c>
      <c r="AK148" s="68">
        <f t="shared" si="252"/>
        <v>0</v>
      </c>
      <c r="AL148" s="268">
        <f t="shared" si="253"/>
        <v>0</v>
      </c>
      <c r="AM148" s="13">
        <f t="shared" si="242"/>
        <v>0</v>
      </c>
      <c r="AN148" s="13">
        <f t="shared" si="286"/>
        <v>0</v>
      </c>
      <c r="AO148" s="13">
        <f t="shared" si="286"/>
        <v>0</v>
      </c>
      <c r="AP148" s="13">
        <f t="shared" si="286"/>
        <v>0</v>
      </c>
      <c r="AQ148" s="13">
        <f t="shared" si="286"/>
        <v>0</v>
      </c>
      <c r="AR148" s="13">
        <f t="shared" si="286"/>
        <v>0</v>
      </c>
      <c r="AS148" s="13">
        <f t="shared" si="286"/>
        <v>0</v>
      </c>
      <c r="AT148" s="68">
        <f>AM148-AS148</f>
        <v>0</v>
      </c>
      <c r="AU148" s="268">
        <f t="shared" si="254"/>
        <v>0</v>
      </c>
      <c r="AV148" s="13">
        <f t="shared" si="243"/>
        <v>0</v>
      </c>
      <c r="AW148" s="13">
        <f t="shared" si="222"/>
        <v>0</v>
      </c>
      <c r="AX148" s="13">
        <f t="shared" si="222"/>
        <v>0</v>
      </c>
      <c r="AY148" s="13">
        <f t="shared" si="222"/>
        <v>0</v>
      </c>
      <c r="AZ148" s="13">
        <f t="shared" si="222"/>
        <v>0</v>
      </c>
      <c r="BA148" s="13">
        <f t="shared" si="223"/>
        <v>0</v>
      </c>
      <c r="BB148" s="68">
        <f t="shared" si="255"/>
        <v>0</v>
      </c>
      <c r="BC148" s="268">
        <f t="shared" si="256"/>
        <v>0</v>
      </c>
      <c r="BD148" s="13">
        <f t="shared" si="257"/>
        <v>0</v>
      </c>
      <c r="BE148" s="13">
        <f>SUMIFS(SALIDAS_BIT,FECHA_BIT,"&gt;="&amp;BE$2,FECHA_BIT,"&lt;="&amp;BE$3,CLAVE_BIT,$A148)+SUMIFS(SALIDAS_BOV1,FECHA_BOV1,"&gt;="&amp;BE$2,FECHA_BOV1,"&lt;="&amp;BE$3,CLAVE_BOV1,$A148)+SUMIFS(SALIDAS_BOV2,FECHA_BOV2,"&gt;="&amp;BE$2,FECHA_BOV2,"&lt;="&amp;BE$3,CLAVE_BOV2,$A148)+SUMIFS(SALIDAS_BOV3,FECHA_BOV3,"&gt;="&amp;BE$2,FECHA_BOV3,"&lt;="&amp;BE$3,CLAVE_BOV3,$A148)+SUMIFS(SALIDAS_TC,FECHA_TC,"&gt;="&amp;BE$2,FECHA_TC,"&lt;="&amp;BE$3,CLAVE_TC,$A148)+SUMIFS(SALIDAS_COMB,FECHA_COMB,"&gt;="&amp;BE$2,FECHA_COMB,"&lt;="&amp;BE$3,CLAVE_COMB,$A148)+SUMIFS(SALIDAS_DES,FECHA_DESGLOSEN,"&gt;="&amp;BE$2,FECHA_DESGLOSEN,"&lt;="&amp;BE$3,CLAVE_DESGLOSE,$A148)</f>
        <v>0</v>
      </c>
      <c r="BF148" s="13">
        <f>SUMIFS(SALIDAS_BIT,FECHA_BIT,"&gt;="&amp;BF$2,FECHA_BIT,"&lt;="&amp;BF$3,CLAVE_BIT,$A148)+SUMIFS(SALIDAS_BOV1,FECHA_BOV1,"&gt;="&amp;BF$2,FECHA_BOV1,"&lt;="&amp;BF$3,CLAVE_BOV1,$A148)+SUMIFS(SALIDAS_BOV2,FECHA_BOV2,"&gt;="&amp;BF$2,FECHA_BOV2,"&lt;="&amp;BF$3,CLAVE_BOV2,$A148)+SUMIFS(SALIDAS_BOV3,FECHA_BOV3,"&gt;="&amp;BF$2,FECHA_BOV3,"&lt;="&amp;BF$3,CLAVE_BOV3,$A148)+SUMIFS(SALIDAS_TC,FECHA_TC,"&gt;="&amp;BF$2,FECHA_TC,"&lt;="&amp;BF$3,CLAVE_TC,$A148)+SUMIFS(SALIDAS_COMB,FECHA_COMB,"&gt;="&amp;BF$2,FECHA_COMB,"&lt;="&amp;BF$3,CLAVE_COMB,$A148)+SUMIFS(SALIDAS_DES,FECHA_DESGLOSEN,"&gt;="&amp;BF$2,FECHA_DESGLOSEN,"&lt;="&amp;BF$3,CLAVE_DESGLOSE,$A148)</f>
        <v>0</v>
      </c>
      <c r="BG148" s="13">
        <f>SUMIFS(SALIDAS_BIT,FECHA_BIT,"&gt;="&amp;BG$2,FECHA_BIT,"&lt;="&amp;BG$3,CLAVE_BIT,$A148)+SUMIFS(SALIDAS_BOV1,FECHA_BOV1,"&gt;="&amp;BG$2,FECHA_BOV1,"&lt;="&amp;BG$3,CLAVE_BOV1,$A148)+SUMIFS(SALIDAS_BOV2,FECHA_BOV2,"&gt;="&amp;BG$2,FECHA_BOV2,"&lt;="&amp;BG$3,CLAVE_BOV2,$A148)+SUMIFS(SALIDAS_BOV3,FECHA_BOV3,"&gt;="&amp;BG$2,FECHA_BOV3,"&lt;="&amp;BG$3,CLAVE_BOV3,$A148)+SUMIFS(SALIDAS_TC,FECHA_TC,"&gt;="&amp;BG$2,FECHA_TC,"&lt;="&amp;BG$3,CLAVE_TC,$A148)+SUMIFS(SALIDAS_COMB,FECHA_COMB,"&gt;="&amp;BG$2,FECHA_COMB,"&lt;="&amp;BG$3,CLAVE_COMB,$A148)+SUMIFS(SALIDAS_DES,FECHA_DESGLOSEN,"&gt;="&amp;BG$2,FECHA_DESGLOSEN,"&lt;="&amp;BG$3,CLAVE_DESGLOSE,$A148)</f>
        <v>0</v>
      </c>
      <c r="BH148" s="13">
        <f>SUMIFS(SALIDAS_BIT,FECHA_BIT,"&gt;="&amp;BH$2,FECHA_BIT,"&lt;="&amp;BH$3,CLAVE_BIT,$A148)+SUMIFS(SALIDAS_BOV1,FECHA_BOV1,"&gt;="&amp;BH$2,FECHA_BOV1,"&lt;="&amp;BH$3,CLAVE_BOV1,$A148)+SUMIFS(SALIDAS_BOV2,FECHA_BOV2,"&gt;="&amp;BH$2,FECHA_BOV2,"&lt;="&amp;BH$3,CLAVE_BOV2,$A148)+SUMIFS(SALIDAS_BOV3,FECHA_BOV3,"&gt;="&amp;BH$2,FECHA_BOV3,"&lt;="&amp;BH$3,CLAVE_BOV3,$A148)+SUMIFS(SALIDAS_TC,FECHA_TC,"&gt;="&amp;BH$2,FECHA_TC,"&lt;="&amp;BH$3,CLAVE_TC,$A148)+SUMIFS(SALIDAS_COMB,FECHA_COMB,"&gt;="&amp;BH$2,FECHA_COMB,"&lt;="&amp;BH$3,CLAVE_COMB,$A148)+SUMIFS(SALIDAS_DES,FECHA_DESGLOSEN,"&gt;="&amp;BH$2,FECHA_DESGLOSEN,"&lt;="&amp;BH$3,CLAVE_DESGLOSE,$A148)</f>
        <v>0</v>
      </c>
      <c r="BI148" s="13">
        <f t="shared" si="215"/>
        <v>0</v>
      </c>
      <c r="BJ148" s="68">
        <f t="shared" si="258"/>
        <v>0</v>
      </c>
      <c r="BK148" s="268">
        <f t="shared" si="259"/>
        <v>0</v>
      </c>
      <c r="BL148" s="13">
        <f t="shared" si="260"/>
        <v>0</v>
      </c>
      <c r="BM148" s="13">
        <f>SUMIFS(SALIDAS_BIT,FECHA_BIT,"&gt;="&amp;BM$2,FECHA_BIT,"&lt;="&amp;BM$3,CLAVE_BIT,$A148)+SUMIFS(SALIDAS_BOV1,FECHA_BOV1,"&gt;="&amp;BM$2,FECHA_BOV1,"&lt;="&amp;BM$3,CLAVE_BOV1,$A148)+SUMIFS(SALIDAS_BOV2,FECHA_BOV2,"&gt;="&amp;BM$2,FECHA_BOV2,"&lt;="&amp;BM$3,CLAVE_BOV2,$A148)+SUMIFS(SALIDAS_BOV3,FECHA_BOV3,"&gt;="&amp;BM$2,FECHA_BOV3,"&lt;="&amp;BM$3,CLAVE_BOV3,$A148)+SUMIFS(SALIDAS_TC,FECHA_TC,"&gt;="&amp;BM$2,FECHA_TC,"&lt;="&amp;BM$3,CLAVE_TC,$A148)+SUMIFS(SALIDAS_COMB,FECHA_COMB,"&gt;="&amp;BM$2,FECHA_COMB,"&lt;="&amp;BM$3,CLAVE_COMB,$A148)+SUMIFS(SALIDAS_DES,FECHA_DESGLOSEN,"&gt;="&amp;BM$2,FECHA_DESGLOSEN,"&lt;="&amp;BM$3,CLAVE_DESGLOSE,$A148)</f>
        <v>0</v>
      </c>
      <c r="BN148" s="13">
        <f>SUMIFS(SALIDAS_BIT,FECHA_BIT,"&gt;="&amp;BN$2,FECHA_BIT,"&lt;="&amp;BN$3,CLAVE_BIT,$A148)+SUMIFS(SALIDAS_BOV1,FECHA_BOV1,"&gt;="&amp;BN$2,FECHA_BOV1,"&lt;="&amp;BN$3,CLAVE_BOV1,$A148)+SUMIFS(SALIDAS_BOV2,FECHA_BOV2,"&gt;="&amp;BN$2,FECHA_BOV2,"&lt;="&amp;BN$3,CLAVE_BOV2,$A148)+SUMIFS(SALIDAS_BOV3,FECHA_BOV3,"&gt;="&amp;BN$2,FECHA_BOV3,"&lt;="&amp;BN$3,CLAVE_BOV3,$A148)+SUMIFS(SALIDAS_TC,FECHA_TC,"&gt;="&amp;BN$2,FECHA_TC,"&lt;="&amp;BN$3,CLAVE_TC,$A148)+SUMIFS(SALIDAS_COMB,FECHA_COMB,"&gt;="&amp;BN$2,FECHA_COMB,"&lt;="&amp;BN$3,CLAVE_COMB,$A148)+SUMIFS(SALIDAS_DES,FECHA_DESGLOSEN,"&gt;="&amp;BN$2,FECHA_DESGLOSEN,"&lt;="&amp;BN$3,CLAVE_DESGLOSE,$A148)</f>
        <v>0</v>
      </c>
      <c r="BO148" s="13">
        <f>SUMIFS(SALIDAS_BIT,FECHA_BIT,"&gt;="&amp;BO$2,FECHA_BIT,"&lt;="&amp;BO$3,CLAVE_BIT,$A148)+SUMIFS(SALIDAS_BOV1,FECHA_BOV1,"&gt;="&amp;BO$2,FECHA_BOV1,"&lt;="&amp;BO$3,CLAVE_BOV1,$A148)+SUMIFS(SALIDAS_BOV2,FECHA_BOV2,"&gt;="&amp;BO$2,FECHA_BOV2,"&lt;="&amp;BO$3,CLAVE_BOV2,$A148)+SUMIFS(SALIDAS_BOV3,FECHA_BOV3,"&gt;="&amp;BO$2,FECHA_BOV3,"&lt;="&amp;BO$3,CLAVE_BOV3,$A148)+SUMIFS(SALIDAS_TC,FECHA_TC,"&gt;="&amp;BO$2,FECHA_TC,"&lt;="&amp;BO$3,CLAVE_TC,$A148)+SUMIFS(SALIDAS_COMB,FECHA_COMB,"&gt;="&amp;BO$2,FECHA_COMB,"&lt;="&amp;BO$3,CLAVE_COMB,$A148)+SUMIFS(SALIDAS_DES,FECHA_DESGLOSEN,"&gt;="&amp;BO$2,FECHA_DESGLOSEN,"&lt;="&amp;BO$3,CLAVE_DESGLOSE,$A148)</f>
        <v>0</v>
      </c>
      <c r="BP148" s="13">
        <f>SUMIFS(SALIDAS_BIT,FECHA_BIT,"&gt;="&amp;BP$2,FECHA_BIT,"&lt;="&amp;BP$3,CLAVE_BIT,$A148)+SUMIFS(SALIDAS_BOV1,FECHA_BOV1,"&gt;="&amp;BP$2,FECHA_BOV1,"&lt;="&amp;BP$3,CLAVE_BOV1,$A148)+SUMIFS(SALIDAS_BOV2,FECHA_BOV2,"&gt;="&amp;BP$2,FECHA_BOV2,"&lt;="&amp;BP$3,CLAVE_BOV2,$A148)+SUMIFS(SALIDAS_BOV3,FECHA_BOV3,"&gt;="&amp;BP$2,FECHA_BOV3,"&lt;="&amp;BP$3,CLAVE_BOV3,$A148)+SUMIFS(SALIDAS_TC,FECHA_TC,"&gt;="&amp;BP$2,FECHA_TC,"&lt;="&amp;BP$3,CLAVE_TC,$A148)+SUMIFS(SALIDAS_COMB,FECHA_COMB,"&gt;="&amp;BP$2,FECHA_COMB,"&lt;="&amp;BP$3,CLAVE_COMB,$A148)+SUMIFS(SALIDAS_DES,FECHA_DESGLOSEN,"&gt;="&amp;BP$2,FECHA_DESGLOSEN,"&lt;="&amp;BP$3,CLAVE_DESGLOSE,$A148)</f>
        <v>0</v>
      </c>
      <c r="BQ148" s="13">
        <f>SUMIFS(SALIDAS_BIT,FECHA_BIT,"&gt;="&amp;BQ$2,FECHA_BIT,"&lt;="&amp;BQ$3,CLAVE_BIT,$A148)+SUMIFS(SALIDAS_BOV1,FECHA_BOV1,"&gt;="&amp;BQ$2,FECHA_BOV1,"&lt;="&amp;BQ$3,CLAVE_BOV1,$A148)+SUMIFS(SALIDAS_BOV2,FECHA_BOV2,"&gt;="&amp;BQ$2,FECHA_BOV2,"&lt;="&amp;BQ$3,CLAVE_BOV2,$A148)+SUMIFS(SALIDAS_BOV3,FECHA_BOV3,"&gt;="&amp;BQ$2,FECHA_BOV3,"&lt;="&amp;BQ$3,CLAVE_BOV3,$A148)+SUMIFS(SALIDAS_TC,FECHA_TC,"&gt;="&amp;BQ$2,FECHA_TC,"&lt;="&amp;BQ$3,CLAVE_TC,$A148)+SUMIFS(SALIDAS_COMB,FECHA_COMB,"&gt;="&amp;BQ$2,FECHA_COMB,"&lt;="&amp;BQ$3,CLAVE_COMB,$A148)+SUMIFS(SALIDAS_DES,FECHA_DESGLOSEN,"&gt;="&amp;BQ$2,FECHA_DESGLOSEN,"&lt;="&amp;BQ$3,CLAVE_DESGLOSE,$A148)</f>
        <v>0</v>
      </c>
      <c r="BR148" s="13">
        <f t="shared" si="287"/>
        <v>0</v>
      </c>
      <c r="BS148" s="68">
        <f t="shared" si="261"/>
        <v>0</v>
      </c>
      <c r="BT148" s="268">
        <f t="shared" si="262"/>
        <v>0</v>
      </c>
      <c r="BU148" s="13">
        <f t="shared" si="263"/>
        <v>500</v>
      </c>
      <c r="BV148" s="13">
        <f t="shared" si="186"/>
        <v>0</v>
      </c>
      <c r="BW148" s="13">
        <f t="shared" si="186"/>
        <v>0</v>
      </c>
      <c r="BX148" s="13">
        <f t="shared" si="186"/>
        <v>0</v>
      </c>
      <c r="BY148" s="13">
        <f t="shared" si="186"/>
        <v>0</v>
      </c>
      <c r="BZ148" s="13">
        <f t="shared" si="288"/>
        <v>0</v>
      </c>
      <c r="CA148" s="68">
        <f t="shared" si="264"/>
        <v>500</v>
      </c>
      <c r="CB148" s="268">
        <f t="shared" si="265"/>
        <v>0</v>
      </c>
      <c r="CC148" s="13">
        <f t="shared" si="266"/>
        <v>500</v>
      </c>
      <c r="CD148" s="13">
        <f t="shared" si="187"/>
        <v>0</v>
      </c>
      <c r="CE148" s="13">
        <f t="shared" si="187"/>
        <v>0</v>
      </c>
      <c r="CF148" s="13">
        <f t="shared" si="187"/>
        <v>0</v>
      </c>
      <c r="CG148" s="13">
        <f t="shared" si="187"/>
        <v>0</v>
      </c>
      <c r="CH148" s="13">
        <f t="shared" si="289"/>
        <v>0</v>
      </c>
      <c r="CI148" s="68">
        <f t="shared" si="267"/>
        <v>500</v>
      </c>
      <c r="CJ148" s="268">
        <f t="shared" si="268"/>
        <v>0</v>
      </c>
      <c r="CK148" s="13">
        <f t="shared" si="269"/>
        <v>500</v>
      </c>
      <c r="CL148" s="13">
        <f t="shared" si="228"/>
        <v>0</v>
      </c>
      <c r="CM148" s="13">
        <f t="shared" si="228"/>
        <v>0</v>
      </c>
      <c r="CN148" s="13">
        <f t="shared" si="228"/>
        <v>0</v>
      </c>
      <c r="CO148" s="13">
        <f t="shared" si="228"/>
        <v>0</v>
      </c>
      <c r="CP148" s="13">
        <f t="shared" si="228"/>
        <v>0</v>
      </c>
      <c r="CQ148" s="13">
        <f t="shared" si="290"/>
        <v>0</v>
      </c>
      <c r="CR148" s="68">
        <f t="shared" si="270"/>
        <v>500</v>
      </c>
      <c r="CS148" s="268">
        <f t="shared" si="271"/>
        <v>0</v>
      </c>
      <c r="CT148" s="68">
        <f t="shared" si="244"/>
        <v>600</v>
      </c>
      <c r="CU148" s="13">
        <f>SUMIFS(SALIDAS_BIT,FECHA_BIT,"&gt;="&amp;CU$2,FECHA_BIT,"&lt;="&amp;CU$3,CLAVE_BIT,$A148)+SUMIFS(SALIDAS_BOV1,FECHA_BOV1,"&gt;="&amp;CU$2,FECHA_BOV1,"&lt;="&amp;CU$3,CLAVE_BOV1,$A148)+SUMIFS(SALIDAS_BOV2,FECHA_BOV2,"&gt;="&amp;CU$2,FECHA_BOV2,"&lt;="&amp;CU$3,CLAVE_BOV2,$A148)+SUMIFS(SALIDAS_BOV3,FECHA_BOV3,"&gt;="&amp;CU$2,FECHA_BOV3,"&lt;="&amp;CU$3,CLAVE_BOV3,$A148)+SUMIFS(SALIDAS_TC,FECHA_TC,"&gt;="&amp;CU$2,FECHA_TC,"&lt;="&amp;CU$3,CLAVE_TC,$A148)+SUMIFS(SALIDAS_COMB,FECHA_COMB,"&gt;="&amp;CU$2,FECHA_COMB,"&lt;="&amp;CU$3,CLAVE_COMB,$A148)+SUMIFS(SALIDAS_DES,FECHA_DESGLOSEN,"&gt;="&amp;CU$2,FECHA_DESGLOSEN,"&lt;="&amp;CU$3,CLAVE_DESGLOSE,$A148)</f>
        <v>0</v>
      </c>
      <c r="CV148" s="13">
        <f>SUMIFS(SALIDAS_BIT,FECHA_BIT,"&gt;="&amp;CV$2,FECHA_BIT,"&lt;="&amp;CV$3,CLAVE_BIT,$A148)+SUMIFS(SALIDAS_BOV1,FECHA_BOV1,"&gt;="&amp;CV$2,FECHA_BOV1,"&lt;="&amp;CV$3,CLAVE_BOV1,$A148)+SUMIFS(SALIDAS_BOV2,FECHA_BOV2,"&gt;="&amp;CV$2,FECHA_BOV2,"&lt;="&amp;CV$3,CLAVE_BOV2,$A148)+SUMIFS(SALIDAS_BOV3,FECHA_BOV3,"&gt;="&amp;CV$2,FECHA_BOV3,"&lt;="&amp;CV$3,CLAVE_BOV3,$A148)+SUMIFS(SALIDAS_TC,FECHA_TC,"&gt;="&amp;CV$2,FECHA_TC,"&lt;="&amp;CV$3,CLAVE_TC,$A148)+SUMIFS(SALIDAS_COMB,FECHA_COMB,"&gt;="&amp;CV$2,FECHA_COMB,"&lt;="&amp;CV$3,CLAVE_COMB,$A148)+SUMIFS(SALIDAS_DES,FECHA_DESGLOSEN,"&gt;="&amp;CV$2,FECHA_DESGLOSEN,"&lt;="&amp;CV$3,CLAVE_DESGLOSE,$A148)</f>
        <v>0</v>
      </c>
      <c r="CW148" s="13">
        <f>SUMIFS(SALIDAS_BIT,FECHA_BIT,"&gt;="&amp;CW$2,FECHA_BIT,"&lt;="&amp;CW$3,CLAVE_BIT,$A148)+SUMIFS(SALIDAS_BOV1,FECHA_BOV1,"&gt;="&amp;CW$2,FECHA_BOV1,"&lt;="&amp;CW$3,CLAVE_BOV1,$A148)+SUMIFS(SALIDAS_BOV2,FECHA_BOV2,"&gt;="&amp;CW$2,FECHA_BOV2,"&lt;="&amp;CW$3,CLAVE_BOV2,$A148)+SUMIFS(SALIDAS_BOV3,FECHA_BOV3,"&gt;="&amp;CW$2,FECHA_BOV3,"&lt;="&amp;CW$3,CLAVE_BOV3,$A148)+SUMIFS(SALIDAS_TC,FECHA_TC,"&gt;="&amp;CW$2,FECHA_TC,"&lt;="&amp;CW$3,CLAVE_TC,$A148)+SUMIFS(SALIDAS_COMB,FECHA_COMB,"&gt;="&amp;CW$2,FECHA_COMB,"&lt;="&amp;CW$3,CLAVE_COMB,$A148)+SUMIFS(SALIDAS_DES,FECHA_DESGLOSEN,"&gt;="&amp;CW$2,FECHA_DESGLOSEN,"&lt;="&amp;CW$3,CLAVE_DESGLOSE,$A148)</f>
        <v>0</v>
      </c>
      <c r="CX148" s="13">
        <f>SUMIFS(SALIDAS_BIT,FECHA_BIT,"&gt;="&amp;CX$2,FECHA_BIT,"&lt;="&amp;CX$3,CLAVE_BIT,$A148)+SUMIFS(SALIDAS_BOV1,FECHA_BOV1,"&gt;="&amp;CX$2,FECHA_BOV1,"&lt;="&amp;CX$3,CLAVE_BOV1,$A148)+SUMIFS(SALIDAS_BOV2,FECHA_BOV2,"&gt;="&amp;CX$2,FECHA_BOV2,"&lt;="&amp;CX$3,CLAVE_BOV2,$A148)+SUMIFS(SALIDAS_BOV3,FECHA_BOV3,"&gt;="&amp;CX$2,FECHA_BOV3,"&lt;="&amp;CX$3,CLAVE_BOV3,$A148)+SUMIFS(SALIDAS_TC,FECHA_TC,"&gt;="&amp;CX$2,FECHA_TC,"&lt;="&amp;CX$3,CLAVE_TC,$A148)+SUMIFS(SALIDAS_COMB,FECHA_COMB,"&gt;="&amp;CX$2,FECHA_COMB,"&lt;="&amp;CX$3,CLAVE_COMB,$A148)+SUMIFS(SALIDAS_DES,FECHA_DESGLOSEN,"&gt;="&amp;CX$2,FECHA_DESGLOSEN,"&lt;="&amp;CX$3,CLAVE_DESGLOSE,$A148)</f>
        <v>0</v>
      </c>
      <c r="CY148" s="13">
        <f>SUMIFS(SALIDAS_BIT,FECHA_BIT,"&gt;="&amp;CY$2,FECHA_BIT,"&lt;="&amp;CY$3,CLAVE_BIT,$A148)+SUMIFS(SALIDAS_BOV1,FECHA_BOV1,"&gt;="&amp;CY$2,FECHA_BOV1,"&lt;="&amp;CY$3,CLAVE_BOV1,$A148)+SUMIFS(SALIDAS_BOV2,FECHA_BOV2,"&gt;="&amp;CY$2,FECHA_BOV2,"&lt;="&amp;CY$3,CLAVE_BOV2,$A148)+SUMIFS(SALIDAS_BOV3,FECHA_BOV3,"&gt;="&amp;CY$2,FECHA_BOV3,"&lt;="&amp;CY$3,CLAVE_BOV3,$A148)+SUMIFS(SALIDAS_TC,FECHA_TC,"&gt;="&amp;CY$2,FECHA_TC,"&lt;="&amp;CY$3,CLAVE_TC,$A148)+SUMIFS(SALIDAS_COMB,FECHA_COMB,"&gt;="&amp;CY$2,FECHA_COMB,"&lt;="&amp;CY$3,CLAVE_COMB,$A148)+SUMIFS(SALIDAS_DES,FECHA_DESGLOSEN,"&gt;="&amp;CY$2,FECHA_DESGLOSEN,"&lt;="&amp;CY$3,CLAVE_DESGLOSE,$A148)</f>
        <v>0</v>
      </c>
      <c r="CZ148" s="68">
        <f t="shared" si="272"/>
        <v>600</v>
      </c>
      <c r="DB148" s="17">
        <f>F148+N148+W148+AE148+AM148+AV148+BD148+BL148+BU148+CC148+CK148</f>
        <v>1500</v>
      </c>
      <c r="DC148" s="17">
        <f>K148+T148+AB148+AJ148+AS148+BA148+BI148+BR148+BZ148+CH148+CQ148</f>
        <v>0</v>
      </c>
    </row>
    <row r="149" spans="1:107" hidden="1">
      <c r="A149" s="12" t="str">
        <f t="shared" si="245"/>
        <v>HRJMASA14</v>
      </c>
      <c r="B149" s="12">
        <v>151</v>
      </c>
      <c r="C149" t="s">
        <v>29</v>
      </c>
      <c r="D149" s="12" t="s">
        <v>137</v>
      </c>
      <c r="E149" s="12" t="s">
        <v>99</v>
      </c>
      <c r="F149" s="259">
        <f t="shared" si="238"/>
        <v>984</v>
      </c>
      <c r="G149" s="13">
        <f t="shared" si="282"/>
        <v>0</v>
      </c>
      <c r="H149" s="13">
        <f t="shared" si="282"/>
        <v>417</v>
      </c>
      <c r="I149" s="13">
        <f t="shared" si="282"/>
        <v>0</v>
      </c>
      <c r="J149" s="13">
        <f t="shared" si="282"/>
        <v>0</v>
      </c>
      <c r="K149" s="13">
        <f t="shared" si="282"/>
        <v>417</v>
      </c>
      <c r="L149" s="68">
        <f t="shared" si="246"/>
        <v>567</v>
      </c>
      <c r="M149" s="268">
        <f t="shared" si="247"/>
        <v>0.42378048780487804</v>
      </c>
      <c r="N149" s="13">
        <f t="shared" si="239"/>
        <v>751</v>
      </c>
      <c r="O149" s="13">
        <f t="shared" si="283"/>
        <v>0</v>
      </c>
      <c r="P149" s="13">
        <f t="shared" si="283"/>
        <v>0</v>
      </c>
      <c r="Q149" s="13">
        <f t="shared" si="283"/>
        <v>1251</v>
      </c>
      <c r="R149" s="13">
        <f t="shared" si="283"/>
        <v>0</v>
      </c>
      <c r="S149" s="13">
        <f t="shared" si="283"/>
        <v>370</v>
      </c>
      <c r="T149" s="13">
        <f t="shared" si="283"/>
        <v>1621</v>
      </c>
      <c r="U149" s="68">
        <f t="shared" si="248"/>
        <v>-870</v>
      </c>
      <c r="V149" s="268">
        <f t="shared" si="249"/>
        <v>2.1584553928095871</v>
      </c>
      <c r="W149" s="13">
        <f t="shared" si="240"/>
        <v>0</v>
      </c>
      <c r="X149" s="13">
        <f t="shared" si="284"/>
        <v>0</v>
      </c>
      <c r="Y149" s="13">
        <f t="shared" si="284"/>
        <v>0</v>
      </c>
      <c r="Z149" s="13">
        <f t="shared" si="284"/>
        <v>0</v>
      </c>
      <c r="AA149" s="13">
        <f t="shared" si="284"/>
        <v>0</v>
      </c>
      <c r="AB149" s="13">
        <f t="shared" si="284"/>
        <v>0</v>
      </c>
      <c r="AC149" s="68">
        <f t="shared" si="250"/>
        <v>0</v>
      </c>
      <c r="AD149" s="268">
        <f t="shared" si="251"/>
        <v>0</v>
      </c>
      <c r="AE149" s="13">
        <f t="shared" si="241"/>
        <v>854</v>
      </c>
      <c r="AF149" s="13">
        <f t="shared" si="285"/>
        <v>0</v>
      </c>
      <c r="AG149" s="13">
        <f t="shared" si="285"/>
        <v>399</v>
      </c>
      <c r="AH149" s="13">
        <f t="shared" si="285"/>
        <v>0</v>
      </c>
      <c r="AI149" s="13">
        <f t="shared" si="285"/>
        <v>0</v>
      </c>
      <c r="AJ149" s="13">
        <f t="shared" si="285"/>
        <v>399</v>
      </c>
      <c r="AK149" s="68">
        <f t="shared" si="252"/>
        <v>455</v>
      </c>
      <c r="AL149" s="268">
        <f t="shared" si="253"/>
        <v>0.46721311475409838</v>
      </c>
      <c r="AM149" s="13">
        <f t="shared" si="242"/>
        <v>0</v>
      </c>
      <c r="AN149" s="13">
        <f t="shared" si="286"/>
        <v>0</v>
      </c>
      <c r="AO149" s="13">
        <f t="shared" si="286"/>
        <v>0</v>
      </c>
      <c r="AP149" s="13">
        <f t="shared" si="286"/>
        <v>1376</v>
      </c>
      <c r="AQ149" s="13">
        <f t="shared" si="286"/>
        <v>0</v>
      </c>
      <c r="AR149" s="13">
        <f t="shared" si="286"/>
        <v>0</v>
      </c>
      <c r="AS149" s="13">
        <f t="shared" si="286"/>
        <v>1376</v>
      </c>
      <c r="AT149" s="68">
        <f>AM149-AS149</f>
        <v>-1376</v>
      </c>
      <c r="AU149" s="268">
        <f t="shared" si="254"/>
        <v>0</v>
      </c>
      <c r="AV149" s="13">
        <f t="shared" si="243"/>
        <v>0</v>
      </c>
      <c r="AW149" s="13">
        <f t="shared" si="222"/>
        <v>970</v>
      </c>
      <c r="AX149" s="13">
        <f t="shared" si="222"/>
        <v>0</v>
      </c>
      <c r="AY149" s="13">
        <f t="shared" si="222"/>
        <v>0</v>
      </c>
      <c r="AZ149" s="13">
        <f t="shared" si="222"/>
        <v>0</v>
      </c>
      <c r="BA149" s="13">
        <f t="shared" si="223"/>
        <v>970</v>
      </c>
      <c r="BB149" s="68">
        <f t="shared" si="255"/>
        <v>-970</v>
      </c>
      <c r="BC149" s="268">
        <f t="shared" si="256"/>
        <v>0</v>
      </c>
      <c r="BD149" s="13">
        <f t="shared" si="257"/>
        <v>341</v>
      </c>
      <c r="BE149" s="13">
        <f>SUMIFS(SALIDAS_BIT,FECHA_BIT,"&gt;="&amp;BE$2,FECHA_BIT,"&lt;="&amp;BE$3,CLAVE_BIT,$A149)+SUMIFS(SALIDAS_BOV1,FECHA_BOV1,"&gt;="&amp;BE$2,FECHA_BOV1,"&lt;="&amp;BE$3,CLAVE_BOV1,$A149)+SUMIFS(SALIDAS_BOV2,FECHA_BOV2,"&gt;="&amp;BE$2,FECHA_BOV2,"&lt;="&amp;BE$3,CLAVE_BOV2,$A149)+SUMIFS(SALIDAS_BOV3,FECHA_BOV3,"&gt;="&amp;BE$2,FECHA_BOV3,"&lt;="&amp;BE$3,CLAVE_BOV3,$A149)+SUMIFS(SALIDAS_TC,FECHA_TC,"&gt;="&amp;BE$2,FECHA_TC,"&lt;="&amp;BE$3,CLAVE_TC,$A149)+SUMIFS(SALIDAS_COMB,FECHA_COMB,"&gt;="&amp;BE$2,FECHA_COMB,"&lt;="&amp;BE$3,CLAVE_COMB,$A149)+SUMIFS(SALIDAS_DES,FECHA_DESGLOSEN,"&gt;="&amp;BE$2,FECHA_DESGLOSEN,"&lt;="&amp;BE$3,CLAVE_DESGLOSE,$A149)</f>
        <v>0</v>
      </c>
      <c r="BF149" s="13">
        <f>SUMIFS(SALIDAS_BIT,FECHA_BIT,"&gt;="&amp;BF$2,FECHA_BIT,"&lt;="&amp;BF$3,CLAVE_BIT,$A149)+SUMIFS(SALIDAS_BOV1,FECHA_BOV1,"&gt;="&amp;BF$2,FECHA_BOV1,"&lt;="&amp;BF$3,CLAVE_BOV1,$A149)+SUMIFS(SALIDAS_BOV2,FECHA_BOV2,"&gt;="&amp;BF$2,FECHA_BOV2,"&lt;="&amp;BF$3,CLAVE_BOV2,$A149)+SUMIFS(SALIDAS_BOV3,FECHA_BOV3,"&gt;="&amp;BF$2,FECHA_BOV3,"&lt;="&amp;BF$3,CLAVE_BOV3,$A149)+SUMIFS(SALIDAS_TC,FECHA_TC,"&gt;="&amp;BF$2,FECHA_TC,"&lt;="&amp;BF$3,CLAVE_TC,$A149)+SUMIFS(SALIDAS_COMB,FECHA_COMB,"&gt;="&amp;BF$2,FECHA_COMB,"&lt;="&amp;BF$3,CLAVE_COMB,$A149)+SUMIFS(SALIDAS_DES,FECHA_DESGLOSEN,"&gt;="&amp;BF$2,FECHA_DESGLOSEN,"&lt;="&amp;BF$3,CLAVE_DESGLOSE,$A149)</f>
        <v>455</v>
      </c>
      <c r="BG149" s="13">
        <f>SUMIFS(SALIDAS_BIT,FECHA_BIT,"&gt;="&amp;BG$2,FECHA_BIT,"&lt;="&amp;BG$3,CLAVE_BIT,$A149)+SUMIFS(SALIDAS_BOV1,FECHA_BOV1,"&gt;="&amp;BG$2,FECHA_BOV1,"&lt;="&amp;BG$3,CLAVE_BOV1,$A149)+SUMIFS(SALIDAS_BOV2,FECHA_BOV2,"&gt;="&amp;BG$2,FECHA_BOV2,"&lt;="&amp;BG$3,CLAVE_BOV2,$A149)+SUMIFS(SALIDAS_BOV3,FECHA_BOV3,"&gt;="&amp;BG$2,FECHA_BOV3,"&lt;="&amp;BG$3,CLAVE_BOV3,$A149)+SUMIFS(SALIDAS_TC,FECHA_TC,"&gt;="&amp;BG$2,FECHA_TC,"&lt;="&amp;BG$3,CLAVE_TC,$A149)+SUMIFS(SALIDAS_COMB,FECHA_COMB,"&gt;="&amp;BG$2,FECHA_COMB,"&lt;="&amp;BG$3,CLAVE_COMB,$A149)+SUMIFS(SALIDAS_DES,FECHA_DESGLOSEN,"&gt;="&amp;BG$2,FECHA_DESGLOSEN,"&lt;="&amp;BG$3,CLAVE_DESGLOSE,$A149)</f>
        <v>0</v>
      </c>
      <c r="BH149" s="13">
        <f>SUMIFS(SALIDAS_BIT,FECHA_BIT,"&gt;="&amp;BH$2,FECHA_BIT,"&lt;="&amp;BH$3,CLAVE_BIT,$A149)+SUMIFS(SALIDAS_BOV1,FECHA_BOV1,"&gt;="&amp;BH$2,FECHA_BOV1,"&lt;="&amp;BH$3,CLAVE_BOV1,$A149)+SUMIFS(SALIDAS_BOV2,FECHA_BOV2,"&gt;="&amp;BH$2,FECHA_BOV2,"&lt;="&amp;BH$3,CLAVE_BOV2,$A149)+SUMIFS(SALIDAS_BOV3,FECHA_BOV3,"&gt;="&amp;BH$2,FECHA_BOV3,"&lt;="&amp;BH$3,CLAVE_BOV3,$A149)+SUMIFS(SALIDAS_TC,FECHA_TC,"&gt;="&amp;BH$2,FECHA_TC,"&lt;="&amp;BH$3,CLAVE_TC,$A149)+SUMIFS(SALIDAS_COMB,FECHA_COMB,"&gt;="&amp;BH$2,FECHA_COMB,"&lt;="&amp;BH$3,CLAVE_COMB,$A149)+SUMIFS(SALIDAS_DES,FECHA_DESGLOSEN,"&gt;="&amp;BH$2,FECHA_DESGLOSEN,"&lt;="&amp;BH$3,CLAVE_DESGLOSE,$A149)</f>
        <v>0</v>
      </c>
      <c r="BI149" s="13">
        <f t="shared" si="215"/>
        <v>455</v>
      </c>
      <c r="BJ149" s="68">
        <f t="shared" si="258"/>
        <v>-114</v>
      </c>
      <c r="BK149" s="268">
        <f t="shared" si="259"/>
        <v>1.3343108504398826</v>
      </c>
      <c r="BL149" s="13">
        <f t="shared" si="260"/>
        <v>0</v>
      </c>
      <c r="BM149" s="13">
        <f>SUMIFS(SALIDAS_BIT,FECHA_BIT,"&gt;="&amp;BM$2,FECHA_BIT,"&lt;="&amp;BM$3,CLAVE_BIT,$A149)+SUMIFS(SALIDAS_BOV1,FECHA_BOV1,"&gt;="&amp;BM$2,FECHA_BOV1,"&lt;="&amp;BM$3,CLAVE_BOV1,$A149)+SUMIFS(SALIDAS_BOV2,FECHA_BOV2,"&gt;="&amp;BM$2,FECHA_BOV2,"&lt;="&amp;BM$3,CLAVE_BOV2,$A149)+SUMIFS(SALIDAS_BOV3,FECHA_BOV3,"&gt;="&amp;BM$2,FECHA_BOV3,"&lt;="&amp;BM$3,CLAVE_BOV3,$A149)+SUMIFS(SALIDAS_TC,FECHA_TC,"&gt;="&amp;BM$2,FECHA_TC,"&lt;="&amp;BM$3,CLAVE_TC,$A149)+SUMIFS(SALIDAS_COMB,FECHA_COMB,"&gt;="&amp;BM$2,FECHA_COMB,"&lt;="&amp;BM$3,CLAVE_COMB,$A149)+SUMIFS(SALIDAS_DES,FECHA_DESGLOSEN,"&gt;="&amp;BM$2,FECHA_DESGLOSEN,"&lt;="&amp;BM$3,CLAVE_DESGLOSE,$A149)</f>
        <v>0</v>
      </c>
      <c r="BN149" s="13">
        <f>SUMIFS(SALIDAS_BIT,FECHA_BIT,"&gt;="&amp;BN$2,FECHA_BIT,"&lt;="&amp;BN$3,CLAVE_BIT,$A149)+SUMIFS(SALIDAS_BOV1,FECHA_BOV1,"&gt;="&amp;BN$2,FECHA_BOV1,"&lt;="&amp;BN$3,CLAVE_BOV1,$A149)+SUMIFS(SALIDAS_BOV2,FECHA_BOV2,"&gt;="&amp;BN$2,FECHA_BOV2,"&lt;="&amp;BN$3,CLAVE_BOV2,$A149)+SUMIFS(SALIDAS_BOV3,FECHA_BOV3,"&gt;="&amp;BN$2,FECHA_BOV3,"&lt;="&amp;BN$3,CLAVE_BOV3,$A149)+SUMIFS(SALIDAS_TC,FECHA_TC,"&gt;="&amp;BN$2,FECHA_TC,"&lt;="&amp;BN$3,CLAVE_TC,$A149)+SUMIFS(SALIDAS_COMB,FECHA_COMB,"&gt;="&amp;BN$2,FECHA_COMB,"&lt;="&amp;BN$3,CLAVE_COMB,$A149)+SUMIFS(SALIDAS_DES,FECHA_DESGLOSEN,"&gt;="&amp;BN$2,FECHA_DESGLOSEN,"&lt;="&amp;BN$3,CLAVE_DESGLOSE,$A149)</f>
        <v>389</v>
      </c>
      <c r="BO149" s="13">
        <f>SUMIFS(SALIDAS_BIT,FECHA_BIT,"&gt;="&amp;BO$2,FECHA_BIT,"&lt;="&amp;BO$3,CLAVE_BIT,$A149)+SUMIFS(SALIDAS_BOV1,FECHA_BOV1,"&gt;="&amp;BO$2,FECHA_BOV1,"&lt;="&amp;BO$3,CLAVE_BOV1,$A149)+SUMIFS(SALIDAS_BOV2,FECHA_BOV2,"&gt;="&amp;BO$2,FECHA_BOV2,"&lt;="&amp;BO$3,CLAVE_BOV2,$A149)+SUMIFS(SALIDAS_BOV3,FECHA_BOV3,"&gt;="&amp;BO$2,FECHA_BOV3,"&lt;="&amp;BO$3,CLAVE_BOV3,$A149)+SUMIFS(SALIDAS_TC,FECHA_TC,"&gt;="&amp;BO$2,FECHA_TC,"&lt;="&amp;BO$3,CLAVE_TC,$A149)+SUMIFS(SALIDAS_COMB,FECHA_COMB,"&gt;="&amp;BO$2,FECHA_COMB,"&lt;="&amp;BO$3,CLAVE_COMB,$A149)+SUMIFS(SALIDAS_DES,FECHA_DESGLOSEN,"&gt;="&amp;BO$2,FECHA_DESGLOSEN,"&lt;="&amp;BO$3,CLAVE_DESGLOSE,$A149)</f>
        <v>0</v>
      </c>
      <c r="BP149" s="13">
        <f>SUMIFS(SALIDAS_BIT,FECHA_BIT,"&gt;="&amp;BP$2,FECHA_BIT,"&lt;="&amp;BP$3,CLAVE_BIT,$A149)+SUMIFS(SALIDAS_BOV1,FECHA_BOV1,"&gt;="&amp;BP$2,FECHA_BOV1,"&lt;="&amp;BP$3,CLAVE_BOV1,$A149)+SUMIFS(SALIDAS_BOV2,FECHA_BOV2,"&gt;="&amp;BP$2,FECHA_BOV2,"&lt;="&amp;BP$3,CLAVE_BOV2,$A149)+SUMIFS(SALIDAS_BOV3,FECHA_BOV3,"&gt;="&amp;BP$2,FECHA_BOV3,"&lt;="&amp;BP$3,CLAVE_BOV3,$A149)+SUMIFS(SALIDAS_TC,FECHA_TC,"&gt;="&amp;BP$2,FECHA_TC,"&lt;="&amp;BP$3,CLAVE_TC,$A149)+SUMIFS(SALIDAS_COMB,FECHA_COMB,"&gt;="&amp;BP$2,FECHA_COMB,"&lt;="&amp;BP$3,CLAVE_COMB,$A149)+SUMIFS(SALIDAS_DES,FECHA_DESGLOSEN,"&gt;="&amp;BP$2,FECHA_DESGLOSEN,"&lt;="&amp;BP$3,CLAVE_DESGLOSE,$A149)</f>
        <v>0</v>
      </c>
      <c r="BQ149" s="13">
        <f>SUMIFS(SALIDAS_BIT,FECHA_BIT,"&gt;="&amp;BQ$2,FECHA_BIT,"&lt;="&amp;BQ$3,CLAVE_BIT,$A149)+SUMIFS(SALIDAS_BOV1,FECHA_BOV1,"&gt;="&amp;BQ$2,FECHA_BOV1,"&lt;="&amp;BQ$3,CLAVE_BOV1,$A149)+SUMIFS(SALIDAS_BOV2,FECHA_BOV2,"&gt;="&amp;BQ$2,FECHA_BOV2,"&lt;="&amp;BQ$3,CLAVE_BOV2,$A149)+SUMIFS(SALIDAS_BOV3,FECHA_BOV3,"&gt;="&amp;BQ$2,FECHA_BOV3,"&lt;="&amp;BQ$3,CLAVE_BOV3,$A149)+SUMIFS(SALIDAS_TC,FECHA_TC,"&gt;="&amp;BQ$2,FECHA_TC,"&lt;="&amp;BQ$3,CLAVE_TC,$A149)+SUMIFS(SALIDAS_COMB,FECHA_COMB,"&gt;="&amp;BQ$2,FECHA_COMB,"&lt;="&amp;BQ$3,CLAVE_COMB,$A149)+SUMIFS(SALIDAS_DES,FECHA_DESGLOSEN,"&gt;="&amp;BQ$2,FECHA_DESGLOSEN,"&lt;="&amp;BQ$3,CLAVE_DESGLOSE,$A149)</f>
        <v>0</v>
      </c>
      <c r="BR149" s="13">
        <f t="shared" si="287"/>
        <v>389</v>
      </c>
      <c r="BS149" s="68">
        <f t="shared" si="261"/>
        <v>-389</v>
      </c>
      <c r="BT149" s="268">
        <f t="shared" si="262"/>
        <v>0</v>
      </c>
      <c r="BU149" s="13">
        <f t="shared" si="263"/>
        <v>500</v>
      </c>
      <c r="BV149" s="13">
        <f t="shared" si="186"/>
        <v>340</v>
      </c>
      <c r="BW149" s="13">
        <f t="shared" si="186"/>
        <v>0</v>
      </c>
      <c r="BX149" s="13">
        <f t="shared" si="186"/>
        <v>0</v>
      </c>
      <c r="BY149" s="13">
        <f t="shared" si="186"/>
        <v>0</v>
      </c>
      <c r="BZ149" s="13">
        <f t="shared" si="288"/>
        <v>340</v>
      </c>
      <c r="CA149" s="68">
        <f t="shared" si="264"/>
        <v>160</v>
      </c>
      <c r="CB149" s="268">
        <f t="shared" si="265"/>
        <v>0.68</v>
      </c>
      <c r="CC149" s="13">
        <f t="shared" si="266"/>
        <v>500</v>
      </c>
      <c r="CD149" s="13">
        <f t="shared" si="187"/>
        <v>0</v>
      </c>
      <c r="CE149" s="13">
        <f t="shared" si="187"/>
        <v>396</v>
      </c>
      <c r="CF149" s="13">
        <f t="shared" si="187"/>
        <v>0</v>
      </c>
      <c r="CG149" s="13">
        <f t="shared" si="187"/>
        <v>0</v>
      </c>
      <c r="CH149" s="13">
        <f t="shared" si="289"/>
        <v>396</v>
      </c>
      <c r="CI149" s="68">
        <f t="shared" si="267"/>
        <v>104</v>
      </c>
      <c r="CJ149" s="268">
        <f t="shared" si="268"/>
        <v>0.79200000000000004</v>
      </c>
      <c r="CK149" s="13">
        <f t="shared" si="269"/>
        <v>500</v>
      </c>
      <c r="CL149" s="13">
        <f t="shared" si="228"/>
        <v>0</v>
      </c>
      <c r="CM149" s="13">
        <f t="shared" si="228"/>
        <v>0</v>
      </c>
      <c r="CN149" s="13">
        <f t="shared" si="228"/>
        <v>535</v>
      </c>
      <c r="CO149" s="13">
        <f t="shared" si="228"/>
        <v>0</v>
      </c>
      <c r="CP149" s="13">
        <f t="shared" si="228"/>
        <v>0</v>
      </c>
      <c r="CQ149" s="13">
        <f t="shared" si="290"/>
        <v>535</v>
      </c>
      <c r="CR149" s="68">
        <f t="shared" si="270"/>
        <v>-35</v>
      </c>
      <c r="CS149" s="268">
        <f t="shared" si="271"/>
        <v>1.07</v>
      </c>
      <c r="CT149" s="68">
        <f t="shared" si="244"/>
        <v>600</v>
      </c>
      <c r="CU149" s="13">
        <f>SUMIFS(SALIDAS_BIT,FECHA_BIT,"&gt;="&amp;CU$2,FECHA_BIT,"&lt;="&amp;CU$3,CLAVE_BIT,$A149)+SUMIFS(SALIDAS_BOV1,FECHA_BOV1,"&gt;="&amp;CU$2,FECHA_BOV1,"&lt;="&amp;CU$3,CLAVE_BOV1,$A149)+SUMIFS(SALIDAS_BOV2,FECHA_BOV2,"&gt;="&amp;CU$2,FECHA_BOV2,"&lt;="&amp;CU$3,CLAVE_BOV2,$A149)+SUMIFS(SALIDAS_BOV3,FECHA_BOV3,"&gt;="&amp;CU$2,FECHA_BOV3,"&lt;="&amp;CU$3,CLAVE_BOV3,$A149)+SUMIFS(SALIDAS_TC,FECHA_TC,"&gt;="&amp;CU$2,FECHA_TC,"&lt;="&amp;CU$3,CLAVE_TC,$A149)+SUMIFS(SALIDAS_COMB,FECHA_COMB,"&gt;="&amp;CU$2,FECHA_COMB,"&lt;="&amp;CU$3,CLAVE_COMB,$A149)+SUMIFS(SALIDAS_DES,FECHA_DESGLOSEN,"&gt;="&amp;CU$2,FECHA_DESGLOSEN,"&lt;="&amp;CU$3,CLAVE_DESGLOSE,$A149)</f>
        <v>0</v>
      </c>
      <c r="CV149" s="13">
        <f>SUMIFS(SALIDAS_BIT,FECHA_BIT,"&gt;="&amp;CV$2,FECHA_BIT,"&lt;="&amp;CV$3,CLAVE_BIT,$A149)+SUMIFS(SALIDAS_BOV1,FECHA_BOV1,"&gt;="&amp;CV$2,FECHA_BOV1,"&lt;="&amp;CV$3,CLAVE_BOV1,$A149)+SUMIFS(SALIDAS_BOV2,FECHA_BOV2,"&gt;="&amp;CV$2,FECHA_BOV2,"&lt;="&amp;CV$3,CLAVE_BOV2,$A149)+SUMIFS(SALIDAS_BOV3,FECHA_BOV3,"&gt;="&amp;CV$2,FECHA_BOV3,"&lt;="&amp;CV$3,CLAVE_BOV3,$A149)+SUMIFS(SALIDAS_TC,FECHA_TC,"&gt;="&amp;CV$2,FECHA_TC,"&lt;="&amp;CV$3,CLAVE_TC,$A149)+SUMIFS(SALIDAS_COMB,FECHA_COMB,"&gt;="&amp;CV$2,FECHA_COMB,"&lt;="&amp;CV$3,CLAVE_COMB,$A149)+SUMIFS(SALIDAS_DES,FECHA_DESGLOSEN,"&gt;="&amp;CV$2,FECHA_DESGLOSEN,"&lt;="&amp;CV$3,CLAVE_DESGLOSE,$A149)</f>
        <v>0</v>
      </c>
      <c r="CW149" s="13">
        <f>SUMIFS(SALIDAS_BIT,FECHA_BIT,"&gt;="&amp;CW$2,FECHA_BIT,"&lt;="&amp;CW$3,CLAVE_BIT,$A149)+SUMIFS(SALIDAS_BOV1,FECHA_BOV1,"&gt;="&amp;CW$2,FECHA_BOV1,"&lt;="&amp;CW$3,CLAVE_BOV1,$A149)+SUMIFS(SALIDAS_BOV2,FECHA_BOV2,"&gt;="&amp;CW$2,FECHA_BOV2,"&lt;="&amp;CW$3,CLAVE_BOV2,$A149)+SUMIFS(SALIDAS_BOV3,FECHA_BOV3,"&gt;="&amp;CW$2,FECHA_BOV3,"&lt;="&amp;CW$3,CLAVE_BOV3,$A149)+SUMIFS(SALIDAS_TC,FECHA_TC,"&gt;="&amp;CW$2,FECHA_TC,"&lt;="&amp;CW$3,CLAVE_TC,$A149)+SUMIFS(SALIDAS_COMB,FECHA_COMB,"&gt;="&amp;CW$2,FECHA_COMB,"&lt;="&amp;CW$3,CLAVE_COMB,$A149)+SUMIFS(SALIDAS_DES,FECHA_DESGLOSEN,"&gt;="&amp;CW$2,FECHA_DESGLOSEN,"&lt;="&amp;CW$3,CLAVE_DESGLOSE,$A149)</f>
        <v>0</v>
      </c>
      <c r="CX149" s="13">
        <f>SUMIFS(SALIDAS_BIT,FECHA_BIT,"&gt;="&amp;CX$2,FECHA_BIT,"&lt;="&amp;CX$3,CLAVE_BIT,$A149)+SUMIFS(SALIDAS_BOV1,FECHA_BOV1,"&gt;="&amp;CX$2,FECHA_BOV1,"&lt;="&amp;CX$3,CLAVE_BOV1,$A149)+SUMIFS(SALIDAS_BOV2,FECHA_BOV2,"&gt;="&amp;CX$2,FECHA_BOV2,"&lt;="&amp;CX$3,CLAVE_BOV2,$A149)+SUMIFS(SALIDAS_BOV3,FECHA_BOV3,"&gt;="&amp;CX$2,FECHA_BOV3,"&lt;="&amp;CX$3,CLAVE_BOV3,$A149)+SUMIFS(SALIDAS_TC,FECHA_TC,"&gt;="&amp;CX$2,FECHA_TC,"&lt;="&amp;CX$3,CLAVE_TC,$A149)+SUMIFS(SALIDAS_COMB,FECHA_COMB,"&gt;="&amp;CX$2,FECHA_COMB,"&lt;="&amp;CX$3,CLAVE_COMB,$A149)+SUMIFS(SALIDAS_DES,FECHA_DESGLOSEN,"&gt;="&amp;CX$2,FECHA_DESGLOSEN,"&lt;="&amp;CX$3,CLAVE_DESGLOSE,$A149)</f>
        <v>1513</v>
      </c>
      <c r="CY149" s="13">
        <f>SUMIFS(SALIDAS_BIT,FECHA_BIT,"&gt;="&amp;CY$2,FECHA_BIT,"&lt;="&amp;CY$3,CLAVE_BIT,$A149)+SUMIFS(SALIDAS_BOV1,FECHA_BOV1,"&gt;="&amp;CY$2,FECHA_BOV1,"&lt;="&amp;CY$3,CLAVE_BOV1,$A149)+SUMIFS(SALIDAS_BOV2,FECHA_BOV2,"&gt;="&amp;CY$2,FECHA_BOV2,"&lt;="&amp;CY$3,CLAVE_BOV2,$A149)+SUMIFS(SALIDAS_BOV3,FECHA_BOV3,"&gt;="&amp;CY$2,FECHA_BOV3,"&lt;="&amp;CY$3,CLAVE_BOV3,$A149)+SUMIFS(SALIDAS_TC,FECHA_TC,"&gt;="&amp;CY$2,FECHA_TC,"&lt;="&amp;CY$3,CLAVE_TC,$A149)+SUMIFS(SALIDAS_COMB,FECHA_COMB,"&gt;="&amp;CY$2,FECHA_COMB,"&lt;="&amp;CY$3,CLAVE_COMB,$A149)+SUMIFS(SALIDAS_DES,FECHA_DESGLOSEN,"&gt;="&amp;CY$2,FECHA_DESGLOSEN,"&lt;="&amp;CY$3,CLAVE_DESGLOSE,$A149)</f>
        <v>1513</v>
      </c>
      <c r="CZ149" s="68">
        <f t="shared" si="272"/>
        <v>-913</v>
      </c>
      <c r="DB149" s="17">
        <f>F149+N149+W149+AE149+AM149+AV149+BD149+BL149+BU149+CC149+CK149</f>
        <v>4430</v>
      </c>
      <c r="DC149" s="17">
        <f>K149+T149+AB149+AJ149+AS149+BA149+BI149+BR149+BZ149+CH149+CQ149</f>
        <v>6898</v>
      </c>
    </row>
    <row r="150" spans="1:107" hidden="1">
      <c r="A150" s="12" t="str">
        <f t="shared" si="245"/>
        <v>HRJMASA15</v>
      </c>
      <c r="B150" s="12">
        <v>152</v>
      </c>
      <c r="C150" t="s">
        <v>29</v>
      </c>
      <c r="D150" s="12" t="s">
        <v>137</v>
      </c>
      <c r="E150" s="12" t="s">
        <v>100</v>
      </c>
      <c r="F150" s="259">
        <f t="shared" si="238"/>
        <v>370</v>
      </c>
      <c r="G150" s="13">
        <f t="shared" si="282"/>
        <v>0</v>
      </c>
      <c r="H150" s="13">
        <f t="shared" si="282"/>
        <v>0</v>
      </c>
      <c r="I150" s="13">
        <f t="shared" si="282"/>
        <v>0</v>
      </c>
      <c r="J150" s="13">
        <f t="shared" si="282"/>
        <v>0</v>
      </c>
      <c r="K150" s="13">
        <f t="shared" si="282"/>
        <v>0</v>
      </c>
      <c r="L150" s="68">
        <f t="shared" si="246"/>
        <v>370</v>
      </c>
      <c r="M150" s="268">
        <f t="shared" si="247"/>
        <v>0</v>
      </c>
      <c r="N150" s="13">
        <f t="shared" si="239"/>
        <v>375</v>
      </c>
      <c r="O150" s="13">
        <f t="shared" si="283"/>
        <v>0</v>
      </c>
      <c r="P150" s="13">
        <f t="shared" si="283"/>
        <v>0</v>
      </c>
      <c r="Q150" s="13">
        <f t="shared" si="283"/>
        <v>0</v>
      </c>
      <c r="R150" s="13">
        <f t="shared" si="283"/>
        <v>0</v>
      </c>
      <c r="S150" s="13">
        <f t="shared" si="283"/>
        <v>0</v>
      </c>
      <c r="T150" s="13">
        <f t="shared" si="283"/>
        <v>0</v>
      </c>
      <c r="U150" s="68">
        <f t="shared" si="248"/>
        <v>375</v>
      </c>
      <c r="V150" s="268">
        <f t="shared" si="249"/>
        <v>0</v>
      </c>
      <c r="W150" s="13">
        <f t="shared" si="240"/>
        <v>572</v>
      </c>
      <c r="X150" s="13">
        <f t="shared" si="284"/>
        <v>0</v>
      </c>
      <c r="Y150" s="13">
        <f t="shared" si="284"/>
        <v>0</v>
      </c>
      <c r="Z150" s="13">
        <f t="shared" si="284"/>
        <v>0</v>
      </c>
      <c r="AA150" s="13">
        <f t="shared" si="284"/>
        <v>2000</v>
      </c>
      <c r="AB150" s="13">
        <f t="shared" si="284"/>
        <v>2000</v>
      </c>
      <c r="AC150" s="68">
        <f t="shared" si="250"/>
        <v>-1428</v>
      </c>
      <c r="AD150" s="268">
        <f t="shared" si="251"/>
        <v>3.4965034965034967</v>
      </c>
      <c r="AE150" s="13">
        <f t="shared" si="241"/>
        <v>0</v>
      </c>
      <c r="AF150" s="13">
        <f t="shared" si="285"/>
        <v>0</v>
      </c>
      <c r="AG150" s="13">
        <f t="shared" si="285"/>
        <v>2000</v>
      </c>
      <c r="AH150" s="13">
        <f t="shared" si="285"/>
        <v>0</v>
      </c>
      <c r="AI150" s="13">
        <f t="shared" si="285"/>
        <v>0</v>
      </c>
      <c r="AJ150" s="13">
        <f t="shared" si="285"/>
        <v>2000</v>
      </c>
      <c r="AK150" s="68">
        <f t="shared" si="252"/>
        <v>-2000</v>
      </c>
      <c r="AL150" s="268">
        <f t="shared" si="253"/>
        <v>0</v>
      </c>
      <c r="AM150" s="13">
        <f t="shared" si="242"/>
        <v>0</v>
      </c>
      <c r="AN150" s="13">
        <f t="shared" si="286"/>
        <v>0</v>
      </c>
      <c r="AO150" s="13">
        <f t="shared" si="286"/>
        <v>0</v>
      </c>
      <c r="AP150" s="13">
        <f t="shared" si="286"/>
        <v>0</v>
      </c>
      <c r="AQ150" s="13">
        <f t="shared" si="286"/>
        <v>0</v>
      </c>
      <c r="AR150" s="13">
        <f t="shared" si="286"/>
        <v>0</v>
      </c>
      <c r="AS150" s="13">
        <f t="shared" si="286"/>
        <v>0</v>
      </c>
      <c r="AT150" s="68">
        <f>AM150-AS150</f>
        <v>0</v>
      </c>
      <c r="AU150" s="268">
        <f t="shared" si="254"/>
        <v>0</v>
      </c>
      <c r="AV150" s="13">
        <f t="shared" si="243"/>
        <v>5096</v>
      </c>
      <c r="AW150" s="13">
        <f t="shared" si="222"/>
        <v>0</v>
      </c>
      <c r="AX150" s="13">
        <f t="shared" si="222"/>
        <v>0</v>
      </c>
      <c r="AY150" s="13">
        <f t="shared" si="222"/>
        <v>0</v>
      </c>
      <c r="AZ150" s="13">
        <f t="shared" si="222"/>
        <v>0</v>
      </c>
      <c r="BA150" s="13">
        <f t="shared" si="223"/>
        <v>0</v>
      </c>
      <c r="BB150" s="68">
        <f t="shared" si="255"/>
        <v>5096</v>
      </c>
      <c r="BC150" s="268">
        <f t="shared" si="256"/>
        <v>0</v>
      </c>
      <c r="BD150" s="13">
        <f t="shared" si="257"/>
        <v>379</v>
      </c>
      <c r="BE150" s="13">
        <f>SUMIFS(SALIDAS_BIT,FECHA_BIT,"&gt;="&amp;BE$2,FECHA_BIT,"&lt;="&amp;BE$3,CLAVE_BIT,$A150)+SUMIFS(SALIDAS_BOV1,FECHA_BOV1,"&gt;="&amp;BE$2,FECHA_BOV1,"&lt;="&amp;BE$3,CLAVE_BOV1,$A150)+SUMIFS(SALIDAS_BOV2,FECHA_BOV2,"&gt;="&amp;BE$2,FECHA_BOV2,"&lt;="&amp;BE$3,CLAVE_BOV2,$A150)+SUMIFS(SALIDAS_BOV3,FECHA_BOV3,"&gt;="&amp;BE$2,FECHA_BOV3,"&lt;="&amp;BE$3,CLAVE_BOV3,$A150)+SUMIFS(SALIDAS_TC,FECHA_TC,"&gt;="&amp;BE$2,FECHA_TC,"&lt;="&amp;BE$3,CLAVE_TC,$A150)+SUMIFS(SALIDAS_COMB,FECHA_COMB,"&gt;="&amp;BE$2,FECHA_COMB,"&lt;="&amp;BE$3,CLAVE_COMB,$A150)+SUMIFS(SALIDAS_DES,FECHA_DESGLOSEN,"&gt;="&amp;BE$2,FECHA_DESGLOSEN,"&lt;="&amp;BE$3,CLAVE_DESGLOSE,$A150)</f>
        <v>0</v>
      </c>
      <c r="BF150" s="13">
        <f>SUMIFS(SALIDAS_BIT,FECHA_BIT,"&gt;="&amp;BF$2,FECHA_BIT,"&lt;="&amp;BF$3,CLAVE_BIT,$A150)+SUMIFS(SALIDAS_BOV1,FECHA_BOV1,"&gt;="&amp;BF$2,FECHA_BOV1,"&lt;="&amp;BF$3,CLAVE_BOV1,$A150)+SUMIFS(SALIDAS_BOV2,FECHA_BOV2,"&gt;="&amp;BF$2,FECHA_BOV2,"&lt;="&amp;BF$3,CLAVE_BOV2,$A150)+SUMIFS(SALIDAS_BOV3,FECHA_BOV3,"&gt;="&amp;BF$2,FECHA_BOV3,"&lt;="&amp;BF$3,CLAVE_BOV3,$A150)+SUMIFS(SALIDAS_TC,FECHA_TC,"&gt;="&amp;BF$2,FECHA_TC,"&lt;="&amp;BF$3,CLAVE_TC,$A150)+SUMIFS(SALIDAS_COMB,FECHA_COMB,"&gt;="&amp;BF$2,FECHA_COMB,"&lt;="&amp;BF$3,CLAVE_COMB,$A150)+SUMIFS(SALIDAS_DES,FECHA_DESGLOSEN,"&gt;="&amp;BF$2,FECHA_DESGLOSEN,"&lt;="&amp;BF$3,CLAVE_DESGLOSE,$A150)</f>
        <v>0</v>
      </c>
      <c r="BG150" s="13">
        <f>SUMIFS(SALIDAS_BIT,FECHA_BIT,"&gt;="&amp;BG$2,FECHA_BIT,"&lt;="&amp;BG$3,CLAVE_BIT,$A150)+SUMIFS(SALIDAS_BOV1,FECHA_BOV1,"&gt;="&amp;BG$2,FECHA_BOV1,"&lt;="&amp;BG$3,CLAVE_BOV1,$A150)+SUMIFS(SALIDAS_BOV2,FECHA_BOV2,"&gt;="&amp;BG$2,FECHA_BOV2,"&lt;="&amp;BG$3,CLAVE_BOV2,$A150)+SUMIFS(SALIDAS_BOV3,FECHA_BOV3,"&gt;="&amp;BG$2,FECHA_BOV3,"&lt;="&amp;BG$3,CLAVE_BOV3,$A150)+SUMIFS(SALIDAS_TC,FECHA_TC,"&gt;="&amp;BG$2,FECHA_TC,"&lt;="&amp;BG$3,CLAVE_TC,$A150)+SUMIFS(SALIDAS_COMB,FECHA_COMB,"&gt;="&amp;BG$2,FECHA_COMB,"&lt;="&amp;BG$3,CLAVE_COMB,$A150)+SUMIFS(SALIDAS_DES,FECHA_DESGLOSEN,"&gt;="&amp;BG$2,FECHA_DESGLOSEN,"&lt;="&amp;BG$3,CLAVE_DESGLOSE,$A150)</f>
        <v>0</v>
      </c>
      <c r="BH150" s="13">
        <f>SUMIFS(SALIDAS_BIT,FECHA_BIT,"&gt;="&amp;BH$2,FECHA_BIT,"&lt;="&amp;BH$3,CLAVE_BIT,$A150)+SUMIFS(SALIDAS_BOV1,FECHA_BOV1,"&gt;="&amp;BH$2,FECHA_BOV1,"&lt;="&amp;BH$3,CLAVE_BOV1,$A150)+SUMIFS(SALIDAS_BOV2,FECHA_BOV2,"&gt;="&amp;BH$2,FECHA_BOV2,"&lt;="&amp;BH$3,CLAVE_BOV2,$A150)+SUMIFS(SALIDAS_BOV3,FECHA_BOV3,"&gt;="&amp;BH$2,FECHA_BOV3,"&lt;="&amp;BH$3,CLAVE_BOV3,$A150)+SUMIFS(SALIDAS_TC,FECHA_TC,"&gt;="&amp;BH$2,FECHA_TC,"&lt;="&amp;BH$3,CLAVE_TC,$A150)+SUMIFS(SALIDAS_COMB,FECHA_COMB,"&gt;="&amp;BH$2,FECHA_COMB,"&lt;="&amp;BH$3,CLAVE_COMB,$A150)+SUMIFS(SALIDAS_DES,FECHA_DESGLOSEN,"&gt;="&amp;BH$2,FECHA_DESGLOSEN,"&lt;="&amp;BH$3,CLAVE_DESGLOSE,$A150)</f>
        <v>0</v>
      </c>
      <c r="BI150" s="13">
        <f t="shared" si="215"/>
        <v>0</v>
      </c>
      <c r="BJ150" s="68">
        <f t="shared" si="258"/>
        <v>379</v>
      </c>
      <c r="BK150" s="268">
        <f t="shared" si="259"/>
        <v>0</v>
      </c>
      <c r="BL150" s="13">
        <f t="shared" si="260"/>
        <v>0</v>
      </c>
      <c r="BM150" s="13">
        <f>SUMIFS(SALIDAS_BIT,FECHA_BIT,"&gt;="&amp;BM$2,FECHA_BIT,"&lt;="&amp;BM$3,CLAVE_BIT,$A150)+SUMIFS(SALIDAS_BOV1,FECHA_BOV1,"&gt;="&amp;BM$2,FECHA_BOV1,"&lt;="&amp;BM$3,CLAVE_BOV1,$A150)+SUMIFS(SALIDAS_BOV2,FECHA_BOV2,"&gt;="&amp;BM$2,FECHA_BOV2,"&lt;="&amp;BM$3,CLAVE_BOV2,$A150)+SUMIFS(SALIDAS_BOV3,FECHA_BOV3,"&gt;="&amp;BM$2,FECHA_BOV3,"&lt;="&amp;BM$3,CLAVE_BOV3,$A150)+SUMIFS(SALIDAS_TC,FECHA_TC,"&gt;="&amp;BM$2,FECHA_TC,"&lt;="&amp;BM$3,CLAVE_TC,$A150)+SUMIFS(SALIDAS_COMB,FECHA_COMB,"&gt;="&amp;BM$2,FECHA_COMB,"&lt;="&amp;BM$3,CLAVE_COMB,$A150)+SUMIFS(SALIDAS_DES,FECHA_DESGLOSEN,"&gt;="&amp;BM$2,FECHA_DESGLOSEN,"&lt;="&amp;BM$3,CLAVE_DESGLOSE,$A150)</f>
        <v>0</v>
      </c>
      <c r="BN150" s="13">
        <f>SUMIFS(SALIDAS_BIT,FECHA_BIT,"&gt;="&amp;BN$2,FECHA_BIT,"&lt;="&amp;BN$3,CLAVE_BIT,$A150)+SUMIFS(SALIDAS_BOV1,FECHA_BOV1,"&gt;="&amp;BN$2,FECHA_BOV1,"&lt;="&amp;BN$3,CLAVE_BOV1,$A150)+SUMIFS(SALIDAS_BOV2,FECHA_BOV2,"&gt;="&amp;BN$2,FECHA_BOV2,"&lt;="&amp;BN$3,CLAVE_BOV2,$A150)+SUMIFS(SALIDAS_BOV3,FECHA_BOV3,"&gt;="&amp;BN$2,FECHA_BOV3,"&lt;="&amp;BN$3,CLAVE_BOV3,$A150)+SUMIFS(SALIDAS_TC,FECHA_TC,"&gt;="&amp;BN$2,FECHA_TC,"&lt;="&amp;BN$3,CLAVE_TC,$A150)+SUMIFS(SALIDAS_COMB,FECHA_COMB,"&gt;="&amp;BN$2,FECHA_COMB,"&lt;="&amp;BN$3,CLAVE_COMB,$A150)+SUMIFS(SALIDAS_DES,FECHA_DESGLOSEN,"&gt;="&amp;BN$2,FECHA_DESGLOSEN,"&lt;="&amp;BN$3,CLAVE_DESGLOSE,$A150)</f>
        <v>8174</v>
      </c>
      <c r="BO150" s="13">
        <f>SUMIFS(SALIDAS_BIT,FECHA_BIT,"&gt;="&amp;BO$2,FECHA_BIT,"&lt;="&amp;BO$3,CLAVE_BIT,$A150)+SUMIFS(SALIDAS_BOV1,FECHA_BOV1,"&gt;="&amp;BO$2,FECHA_BOV1,"&lt;="&amp;BO$3,CLAVE_BOV1,$A150)+SUMIFS(SALIDAS_BOV2,FECHA_BOV2,"&gt;="&amp;BO$2,FECHA_BOV2,"&lt;="&amp;BO$3,CLAVE_BOV2,$A150)+SUMIFS(SALIDAS_BOV3,FECHA_BOV3,"&gt;="&amp;BO$2,FECHA_BOV3,"&lt;="&amp;BO$3,CLAVE_BOV3,$A150)+SUMIFS(SALIDAS_TC,FECHA_TC,"&gt;="&amp;BO$2,FECHA_TC,"&lt;="&amp;BO$3,CLAVE_TC,$A150)+SUMIFS(SALIDAS_COMB,FECHA_COMB,"&gt;="&amp;BO$2,FECHA_COMB,"&lt;="&amp;BO$3,CLAVE_COMB,$A150)+SUMIFS(SALIDAS_DES,FECHA_DESGLOSEN,"&gt;="&amp;BO$2,FECHA_DESGLOSEN,"&lt;="&amp;BO$3,CLAVE_DESGLOSE,$A150)</f>
        <v>0</v>
      </c>
      <c r="BP150" s="13">
        <f>SUMIFS(SALIDAS_BIT,FECHA_BIT,"&gt;="&amp;BP$2,FECHA_BIT,"&lt;="&amp;BP$3,CLAVE_BIT,$A150)+SUMIFS(SALIDAS_BOV1,FECHA_BOV1,"&gt;="&amp;BP$2,FECHA_BOV1,"&lt;="&amp;BP$3,CLAVE_BOV1,$A150)+SUMIFS(SALIDAS_BOV2,FECHA_BOV2,"&gt;="&amp;BP$2,FECHA_BOV2,"&lt;="&amp;BP$3,CLAVE_BOV2,$A150)+SUMIFS(SALIDAS_BOV3,FECHA_BOV3,"&gt;="&amp;BP$2,FECHA_BOV3,"&lt;="&amp;BP$3,CLAVE_BOV3,$A150)+SUMIFS(SALIDAS_TC,FECHA_TC,"&gt;="&amp;BP$2,FECHA_TC,"&lt;="&amp;BP$3,CLAVE_TC,$A150)+SUMIFS(SALIDAS_COMB,FECHA_COMB,"&gt;="&amp;BP$2,FECHA_COMB,"&lt;="&amp;BP$3,CLAVE_COMB,$A150)+SUMIFS(SALIDAS_DES,FECHA_DESGLOSEN,"&gt;="&amp;BP$2,FECHA_DESGLOSEN,"&lt;="&amp;BP$3,CLAVE_DESGLOSE,$A150)</f>
        <v>0</v>
      </c>
      <c r="BQ150" s="13">
        <f>SUMIFS(SALIDAS_BIT,FECHA_BIT,"&gt;="&amp;BQ$2,FECHA_BIT,"&lt;="&amp;BQ$3,CLAVE_BIT,$A150)+SUMIFS(SALIDAS_BOV1,FECHA_BOV1,"&gt;="&amp;BQ$2,FECHA_BOV1,"&lt;="&amp;BQ$3,CLAVE_BOV1,$A150)+SUMIFS(SALIDAS_BOV2,FECHA_BOV2,"&gt;="&amp;BQ$2,FECHA_BOV2,"&lt;="&amp;BQ$3,CLAVE_BOV2,$A150)+SUMIFS(SALIDAS_BOV3,FECHA_BOV3,"&gt;="&amp;BQ$2,FECHA_BOV3,"&lt;="&amp;BQ$3,CLAVE_BOV3,$A150)+SUMIFS(SALIDAS_TC,FECHA_TC,"&gt;="&amp;BQ$2,FECHA_TC,"&lt;="&amp;BQ$3,CLAVE_TC,$A150)+SUMIFS(SALIDAS_COMB,FECHA_COMB,"&gt;="&amp;BQ$2,FECHA_COMB,"&lt;="&amp;BQ$3,CLAVE_COMB,$A150)+SUMIFS(SALIDAS_DES,FECHA_DESGLOSEN,"&gt;="&amp;BQ$2,FECHA_DESGLOSEN,"&lt;="&amp;BQ$3,CLAVE_DESGLOSE,$A150)</f>
        <v>0</v>
      </c>
      <c r="BR150" s="13">
        <f t="shared" si="287"/>
        <v>8174</v>
      </c>
      <c r="BS150" s="68">
        <f t="shared" si="261"/>
        <v>-8174</v>
      </c>
      <c r="BT150" s="268">
        <f t="shared" si="262"/>
        <v>0</v>
      </c>
      <c r="BU150" s="13">
        <f t="shared" si="263"/>
        <v>350</v>
      </c>
      <c r="BV150" s="13">
        <f t="shared" ref="BV150:BY212" si="291">SUMIFS(SALIDAS_BIT,FECHA_BIT,"&gt;="&amp;BV$2,FECHA_BIT,"&lt;="&amp;BV$3,CLAVE_BIT,$A150)+SUMIFS(SALIDAS_BOV1,FECHA_BOV1,"&gt;="&amp;BV$2,FECHA_BOV1,"&lt;="&amp;BV$3,CLAVE_BOV1,$A150)+SUMIFS(SALIDAS_BOV2,FECHA_BOV2,"&gt;="&amp;BV$2,FECHA_BOV2,"&lt;="&amp;BV$3,CLAVE_BOV2,$A150)+SUMIFS(SALIDAS_BOV3,FECHA_BOV3,"&gt;="&amp;BV$2,FECHA_BOV3,"&lt;="&amp;BV$3,CLAVE_BOV3,$A150)+SUMIFS(SALIDAS_TC,FECHA_TC,"&gt;="&amp;BV$2,FECHA_TC,"&lt;="&amp;BV$3,CLAVE_TC,$A150)+SUMIFS(SALIDAS_COMB,FECHA_COMB,"&gt;="&amp;BV$2,FECHA_COMB,"&lt;="&amp;BV$3,CLAVE_COMB,$A150)+SUMIFS(SALIDAS_DES,FECHA_DESGLOSEN,"&gt;="&amp;BV$2,FECHA_DESGLOSEN,"&lt;="&amp;BV$3,CLAVE_DESGLOSE,$A150)</f>
        <v>0</v>
      </c>
      <c r="BW150" s="13">
        <f t="shared" si="291"/>
        <v>475</v>
      </c>
      <c r="BX150" s="13">
        <f t="shared" si="291"/>
        <v>0</v>
      </c>
      <c r="BY150" s="13">
        <f t="shared" si="291"/>
        <v>0</v>
      </c>
      <c r="BZ150" s="13">
        <f t="shared" si="288"/>
        <v>475</v>
      </c>
      <c r="CA150" s="68">
        <f t="shared" si="264"/>
        <v>-125</v>
      </c>
      <c r="CB150" s="268">
        <f t="shared" si="265"/>
        <v>1.3571428571428572</v>
      </c>
      <c r="CC150" s="13">
        <f t="shared" si="266"/>
        <v>350</v>
      </c>
      <c r="CD150" s="13">
        <f t="shared" ref="CD150:CG212" si="292">SUMIFS(SALIDAS_BIT,FECHA_BIT,"&gt;="&amp;CD$2,FECHA_BIT,"&lt;="&amp;CD$3,CLAVE_BIT,$A150)+SUMIFS(SALIDAS_BOV1,FECHA_BOV1,"&gt;="&amp;CD$2,FECHA_BOV1,"&lt;="&amp;CD$3,CLAVE_BOV1,$A150)+SUMIFS(SALIDAS_BOV2,FECHA_BOV2,"&gt;="&amp;CD$2,FECHA_BOV2,"&lt;="&amp;CD$3,CLAVE_BOV2,$A150)+SUMIFS(SALIDAS_BOV3,FECHA_BOV3,"&gt;="&amp;CD$2,FECHA_BOV3,"&lt;="&amp;CD$3,CLAVE_BOV3,$A150)+SUMIFS(SALIDAS_TC,FECHA_TC,"&gt;="&amp;CD$2,FECHA_TC,"&lt;="&amp;CD$3,CLAVE_TC,$A150)+SUMIFS(SALIDAS_COMB,FECHA_COMB,"&gt;="&amp;CD$2,FECHA_COMB,"&lt;="&amp;CD$3,CLAVE_COMB,$A150)+SUMIFS(SALIDAS_DES,FECHA_DESGLOSEN,"&gt;="&amp;CD$2,FECHA_DESGLOSEN,"&lt;="&amp;CD$3,CLAVE_DESGLOSE,$A150)</f>
        <v>0</v>
      </c>
      <c r="CE150" s="13">
        <f t="shared" si="292"/>
        <v>0</v>
      </c>
      <c r="CF150" s="13">
        <f t="shared" si="292"/>
        <v>0</v>
      </c>
      <c r="CG150" s="13">
        <f t="shared" si="292"/>
        <v>0</v>
      </c>
      <c r="CH150" s="13">
        <f t="shared" si="289"/>
        <v>0</v>
      </c>
      <c r="CI150" s="68">
        <f t="shared" si="267"/>
        <v>350</v>
      </c>
      <c r="CJ150" s="268">
        <f t="shared" si="268"/>
        <v>0</v>
      </c>
      <c r="CK150" s="13">
        <f t="shared" si="269"/>
        <v>350</v>
      </c>
      <c r="CL150" s="13">
        <f t="shared" si="228"/>
        <v>0</v>
      </c>
      <c r="CM150" s="13">
        <f t="shared" si="228"/>
        <v>957</v>
      </c>
      <c r="CN150" s="13">
        <f t="shared" si="228"/>
        <v>0</v>
      </c>
      <c r="CO150" s="13">
        <f t="shared" si="228"/>
        <v>0</v>
      </c>
      <c r="CP150" s="13">
        <f t="shared" si="228"/>
        <v>0</v>
      </c>
      <c r="CQ150" s="13">
        <f t="shared" si="290"/>
        <v>957</v>
      </c>
      <c r="CR150" s="68">
        <f t="shared" si="270"/>
        <v>-607</v>
      </c>
      <c r="CS150" s="268">
        <f t="shared" si="271"/>
        <v>2.7342857142857144</v>
      </c>
      <c r="CT150" s="68">
        <f t="shared" si="244"/>
        <v>1500</v>
      </c>
      <c r="CU150" s="13">
        <f>SUMIFS(SALIDAS_BIT,FECHA_BIT,"&gt;="&amp;CU$2,FECHA_BIT,"&lt;="&amp;CU$3,CLAVE_BIT,$A150)+SUMIFS(SALIDAS_BOV1,FECHA_BOV1,"&gt;="&amp;CU$2,FECHA_BOV1,"&lt;="&amp;CU$3,CLAVE_BOV1,$A150)+SUMIFS(SALIDAS_BOV2,FECHA_BOV2,"&gt;="&amp;CU$2,FECHA_BOV2,"&lt;="&amp;CU$3,CLAVE_BOV2,$A150)+SUMIFS(SALIDAS_BOV3,FECHA_BOV3,"&gt;="&amp;CU$2,FECHA_BOV3,"&lt;="&amp;CU$3,CLAVE_BOV3,$A150)+SUMIFS(SALIDAS_TC,FECHA_TC,"&gt;="&amp;CU$2,FECHA_TC,"&lt;="&amp;CU$3,CLAVE_TC,$A150)+SUMIFS(SALIDAS_COMB,FECHA_COMB,"&gt;="&amp;CU$2,FECHA_COMB,"&lt;="&amp;CU$3,CLAVE_COMB,$A150)+SUMIFS(SALIDAS_DES,FECHA_DESGLOSEN,"&gt;="&amp;CU$2,FECHA_DESGLOSEN,"&lt;="&amp;CU$3,CLAVE_DESGLOSE,$A150)</f>
        <v>0</v>
      </c>
      <c r="CV150" s="13">
        <f>SUMIFS(SALIDAS_BIT,FECHA_BIT,"&gt;="&amp;CV$2,FECHA_BIT,"&lt;="&amp;CV$3,CLAVE_BIT,$A150)+SUMIFS(SALIDAS_BOV1,FECHA_BOV1,"&gt;="&amp;CV$2,FECHA_BOV1,"&lt;="&amp;CV$3,CLAVE_BOV1,$A150)+SUMIFS(SALIDAS_BOV2,FECHA_BOV2,"&gt;="&amp;CV$2,FECHA_BOV2,"&lt;="&amp;CV$3,CLAVE_BOV2,$A150)+SUMIFS(SALIDAS_BOV3,FECHA_BOV3,"&gt;="&amp;CV$2,FECHA_BOV3,"&lt;="&amp;CV$3,CLAVE_BOV3,$A150)+SUMIFS(SALIDAS_TC,FECHA_TC,"&gt;="&amp;CV$2,FECHA_TC,"&lt;="&amp;CV$3,CLAVE_TC,$A150)+SUMIFS(SALIDAS_COMB,FECHA_COMB,"&gt;="&amp;CV$2,FECHA_COMB,"&lt;="&amp;CV$3,CLAVE_COMB,$A150)+SUMIFS(SALIDAS_DES,FECHA_DESGLOSEN,"&gt;="&amp;CV$2,FECHA_DESGLOSEN,"&lt;="&amp;CV$3,CLAVE_DESGLOSE,$A150)</f>
        <v>0</v>
      </c>
      <c r="CW150" s="13">
        <f>SUMIFS(SALIDAS_BIT,FECHA_BIT,"&gt;="&amp;CW$2,FECHA_BIT,"&lt;="&amp;CW$3,CLAVE_BIT,$A150)+SUMIFS(SALIDAS_BOV1,FECHA_BOV1,"&gt;="&amp;CW$2,FECHA_BOV1,"&lt;="&amp;CW$3,CLAVE_BOV1,$A150)+SUMIFS(SALIDAS_BOV2,FECHA_BOV2,"&gt;="&amp;CW$2,FECHA_BOV2,"&lt;="&amp;CW$3,CLAVE_BOV2,$A150)+SUMIFS(SALIDAS_BOV3,FECHA_BOV3,"&gt;="&amp;CW$2,FECHA_BOV3,"&lt;="&amp;CW$3,CLAVE_BOV3,$A150)+SUMIFS(SALIDAS_TC,FECHA_TC,"&gt;="&amp;CW$2,FECHA_TC,"&lt;="&amp;CW$3,CLAVE_TC,$A150)+SUMIFS(SALIDAS_COMB,FECHA_COMB,"&gt;="&amp;CW$2,FECHA_COMB,"&lt;="&amp;CW$3,CLAVE_COMB,$A150)+SUMIFS(SALIDAS_DES,FECHA_DESGLOSEN,"&gt;="&amp;CW$2,FECHA_DESGLOSEN,"&lt;="&amp;CW$3,CLAVE_DESGLOSE,$A150)</f>
        <v>0</v>
      </c>
      <c r="CX150" s="13">
        <f>SUMIFS(SALIDAS_BIT,FECHA_BIT,"&gt;="&amp;CX$2,FECHA_BIT,"&lt;="&amp;CX$3,CLAVE_BIT,$A150)+SUMIFS(SALIDAS_BOV1,FECHA_BOV1,"&gt;="&amp;CX$2,FECHA_BOV1,"&lt;="&amp;CX$3,CLAVE_BOV1,$A150)+SUMIFS(SALIDAS_BOV2,FECHA_BOV2,"&gt;="&amp;CX$2,FECHA_BOV2,"&lt;="&amp;CX$3,CLAVE_BOV2,$A150)+SUMIFS(SALIDAS_BOV3,FECHA_BOV3,"&gt;="&amp;CX$2,FECHA_BOV3,"&lt;="&amp;CX$3,CLAVE_BOV3,$A150)+SUMIFS(SALIDAS_TC,FECHA_TC,"&gt;="&amp;CX$2,FECHA_TC,"&lt;="&amp;CX$3,CLAVE_TC,$A150)+SUMIFS(SALIDAS_COMB,FECHA_COMB,"&gt;="&amp;CX$2,FECHA_COMB,"&lt;="&amp;CX$3,CLAVE_COMB,$A150)+SUMIFS(SALIDAS_DES,FECHA_DESGLOSEN,"&gt;="&amp;CX$2,FECHA_DESGLOSEN,"&lt;="&amp;CX$3,CLAVE_DESGLOSE,$A150)</f>
        <v>0</v>
      </c>
      <c r="CY150" s="13">
        <f>SUMIFS(SALIDAS_BIT,FECHA_BIT,"&gt;="&amp;CY$2,FECHA_BIT,"&lt;="&amp;CY$3,CLAVE_BIT,$A150)+SUMIFS(SALIDAS_BOV1,FECHA_BOV1,"&gt;="&amp;CY$2,FECHA_BOV1,"&lt;="&amp;CY$3,CLAVE_BOV1,$A150)+SUMIFS(SALIDAS_BOV2,FECHA_BOV2,"&gt;="&amp;CY$2,FECHA_BOV2,"&lt;="&amp;CY$3,CLAVE_BOV2,$A150)+SUMIFS(SALIDAS_BOV3,FECHA_BOV3,"&gt;="&amp;CY$2,FECHA_BOV3,"&lt;="&amp;CY$3,CLAVE_BOV3,$A150)+SUMIFS(SALIDAS_TC,FECHA_TC,"&gt;="&amp;CY$2,FECHA_TC,"&lt;="&amp;CY$3,CLAVE_TC,$A150)+SUMIFS(SALIDAS_COMB,FECHA_COMB,"&gt;="&amp;CY$2,FECHA_COMB,"&lt;="&amp;CY$3,CLAVE_COMB,$A150)+SUMIFS(SALIDAS_DES,FECHA_DESGLOSEN,"&gt;="&amp;CY$2,FECHA_DESGLOSEN,"&lt;="&amp;CY$3,CLAVE_DESGLOSE,$A150)</f>
        <v>0</v>
      </c>
      <c r="CZ150" s="68">
        <f t="shared" si="272"/>
        <v>1500</v>
      </c>
      <c r="DB150" s="17">
        <f>F150+N150+W150+AE150+AM150+AV150+BD150+BL150+BU150+CC150+CK150</f>
        <v>7842</v>
      </c>
      <c r="DC150" s="17">
        <f>K150+T150+AB150+AJ150+AS150+BA150+BI150+BR150+BZ150+CH150+CQ150</f>
        <v>13606</v>
      </c>
    </row>
    <row r="151" spans="1:107" hidden="1">
      <c r="A151" s="12" t="str">
        <f t="shared" si="245"/>
        <v>HRJMASA16</v>
      </c>
      <c r="B151" s="12">
        <v>153</v>
      </c>
      <c r="C151" t="s">
        <v>29</v>
      </c>
      <c r="D151" s="12" t="s">
        <v>137</v>
      </c>
      <c r="E151" s="12" t="s">
        <v>101</v>
      </c>
      <c r="F151" s="259">
        <f t="shared" si="238"/>
        <v>0</v>
      </c>
      <c r="G151" s="13">
        <f t="shared" si="282"/>
        <v>0</v>
      </c>
      <c r="H151" s="13">
        <f t="shared" si="282"/>
        <v>0</v>
      </c>
      <c r="I151" s="13">
        <f t="shared" si="282"/>
        <v>0</v>
      </c>
      <c r="J151" s="13">
        <f t="shared" si="282"/>
        <v>1336</v>
      </c>
      <c r="K151" s="13">
        <f t="shared" si="282"/>
        <v>1336</v>
      </c>
      <c r="L151" s="68">
        <f t="shared" si="246"/>
        <v>-1336</v>
      </c>
      <c r="M151" s="268">
        <f t="shared" si="247"/>
        <v>0</v>
      </c>
      <c r="N151" s="13">
        <f t="shared" si="239"/>
        <v>652</v>
      </c>
      <c r="O151" s="13">
        <f t="shared" si="283"/>
        <v>0</v>
      </c>
      <c r="P151" s="13">
        <f t="shared" si="283"/>
        <v>0</v>
      </c>
      <c r="Q151" s="13">
        <f t="shared" si="283"/>
        <v>0</v>
      </c>
      <c r="R151" s="13">
        <f t="shared" si="283"/>
        <v>373</v>
      </c>
      <c r="S151" s="13">
        <f t="shared" si="283"/>
        <v>0</v>
      </c>
      <c r="T151" s="13">
        <f t="shared" si="283"/>
        <v>373</v>
      </c>
      <c r="U151" s="68">
        <f t="shared" si="248"/>
        <v>279</v>
      </c>
      <c r="V151" s="268">
        <f t="shared" si="249"/>
        <v>0.57208588957055218</v>
      </c>
      <c r="W151" s="13">
        <f t="shared" si="240"/>
        <v>324</v>
      </c>
      <c r="X151" s="13">
        <f t="shared" si="284"/>
        <v>0</v>
      </c>
      <c r="Y151" s="13">
        <f t="shared" si="284"/>
        <v>0</v>
      </c>
      <c r="Z151" s="13">
        <f t="shared" si="284"/>
        <v>0</v>
      </c>
      <c r="AA151" s="13">
        <f t="shared" si="284"/>
        <v>379</v>
      </c>
      <c r="AB151" s="13">
        <f t="shared" si="284"/>
        <v>379</v>
      </c>
      <c r="AC151" s="68">
        <f t="shared" si="250"/>
        <v>-55</v>
      </c>
      <c r="AD151" s="268">
        <f t="shared" si="251"/>
        <v>1.1697530864197532</v>
      </c>
      <c r="AE151" s="13">
        <f t="shared" si="241"/>
        <v>0</v>
      </c>
      <c r="AF151" s="13">
        <f t="shared" si="285"/>
        <v>0</v>
      </c>
      <c r="AG151" s="13">
        <f t="shared" si="285"/>
        <v>0</v>
      </c>
      <c r="AH151" s="13">
        <f t="shared" si="285"/>
        <v>0</v>
      </c>
      <c r="AI151" s="13">
        <f t="shared" si="285"/>
        <v>0</v>
      </c>
      <c r="AJ151" s="13">
        <f t="shared" si="285"/>
        <v>0</v>
      </c>
      <c r="AK151" s="68">
        <f t="shared" si="252"/>
        <v>0</v>
      </c>
      <c r="AL151" s="268">
        <f t="shared" si="253"/>
        <v>0</v>
      </c>
      <c r="AM151" s="13">
        <f t="shared" si="242"/>
        <v>652</v>
      </c>
      <c r="AN151" s="13">
        <f t="shared" si="286"/>
        <v>1958</v>
      </c>
      <c r="AO151" s="13">
        <f t="shared" si="286"/>
        <v>0</v>
      </c>
      <c r="AP151" s="13">
        <f t="shared" si="286"/>
        <v>0</v>
      </c>
      <c r="AQ151" s="13">
        <f t="shared" si="286"/>
        <v>151</v>
      </c>
      <c r="AR151" s="13">
        <f t="shared" si="286"/>
        <v>0</v>
      </c>
      <c r="AS151" s="13">
        <f t="shared" si="286"/>
        <v>2109</v>
      </c>
      <c r="AT151" s="68">
        <f>AM151-AS151</f>
        <v>-1457</v>
      </c>
      <c r="AU151" s="268">
        <f t="shared" si="254"/>
        <v>3.2346625766871164</v>
      </c>
      <c r="AV151" s="13">
        <f t="shared" si="243"/>
        <v>324</v>
      </c>
      <c r="AW151" s="13">
        <f t="shared" si="222"/>
        <v>0</v>
      </c>
      <c r="AX151" s="13">
        <f t="shared" si="222"/>
        <v>0</v>
      </c>
      <c r="AY151" s="13">
        <f t="shared" si="222"/>
        <v>0</v>
      </c>
      <c r="AZ151" s="13">
        <f t="shared" si="222"/>
        <v>0</v>
      </c>
      <c r="BA151" s="13">
        <f t="shared" si="223"/>
        <v>0</v>
      </c>
      <c r="BB151" s="68">
        <f t="shared" si="255"/>
        <v>324</v>
      </c>
      <c r="BC151" s="268">
        <f t="shared" si="256"/>
        <v>0</v>
      </c>
      <c r="BD151" s="13">
        <f t="shared" si="257"/>
        <v>335</v>
      </c>
      <c r="BE151" s="13">
        <f>SUMIFS(SALIDAS_BIT,FECHA_BIT,"&gt;="&amp;BE$2,FECHA_BIT,"&lt;="&amp;BE$3,CLAVE_BIT,$A151)+SUMIFS(SALIDAS_BOV1,FECHA_BOV1,"&gt;="&amp;BE$2,FECHA_BOV1,"&lt;="&amp;BE$3,CLAVE_BOV1,$A151)+SUMIFS(SALIDAS_BOV2,FECHA_BOV2,"&gt;="&amp;BE$2,FECHA_BOV2,"&lt;="&amp;BE$3,CLAVE_BOV2,$A151)+SUMIFS(SALIDAS_BOV3,FECHA_BOV3,"&gt;="&amp;BE$2,FECHA_BOV3,"&lt;="&amp;BE$3,CLAVE_BOV3,$A151)+SUMIFS(SALIDAS_TC,FECHA_TC,"&gt;="&amp;BE$2,FECHA_TC,"&lt;="&amp;BE$3,CLAVE_TC,$A151)+SUMIFS(SALIDAS_COMB,FECHA_COMB,"&gt;="&amp;BE$2,FECHA_COMB,"&lt;="&amp;BE$3,CLAVE_COMB,$A151)+SUMIFS(SALIDAS_DES,FECHA_DESGLOSEN,"&gt;="&amp;BE$2,FECHA_DESGLOSEN,"&lt;="&amp;BE$3,CLAVE_DESGLOSE,$A151)</f>
        <v>0</v>
      </c>
      <c r="BF151" s="13">
        <f>SUMIFS(SALIDAS_BIT,FECHA_BIT,"&gt;="&amp;BF$2,FECHA_BIT,"&lt;="&amp;BF$3,CLAVE_BIT,$A151)+SUMIFS(SALIDAS_BOV1,FECHA_BOV1,"&gt;="&amp;BF$2,FECHA_BOV1,"&lt;="&amp;BF$3,CLAVE_BOV1,$A151)+SUMIFS(SALIDAS_BOV2,FECHA_BOV2,"&gt;="&amp;BF$2,FECHA_BOV2,"&lt;="&amp;BF$3,CLAVE_BOV2,$A151)+SUMIFS(SALIDAS_BOV3,FECHA_BOV3,"&gt;="&amp;BF$2,FECHA_BOV3,"&lt;="&amp;BF$3,CLAVE_BOV3,$A151)+SUMIFS(SALIDAS_TC,FECHA_TC,"&gt;="&amp;BF$2,FECHA_TC,"&lt;="&amp;BF$3,CLAVE_TC,$A151)+SUMIFS(SALIDAS_COMB,FECHA_COMB,"&gt;="&amp;BF$2,FECHA_COMB,"&lt;="&amp;BF$3,CLAVE_COMB,$A151)+SUMIFS(SALIDAS_DES,FECHA_DESGLOSEN,"&gt;="&amp;BF$2,FECHA_DESGLOSEN,"&lt;="&amp;BF$3,CLAVE_DESGLOSE,$A151)</f>
        <v>0</v>
      </c>
      <c r="BG151" s="13">
        <f>SUMIFS(SALIDAS_BIT,FECHA_BIT,"&gt;="&amp;BG$2,FECHA_BIT,"&lt;="&amp;BG$3,CLAVE_BIT,$A151)+SUMIFS(SALIDAS_BOV1,FECHA_BOV1,"&gt;="&amp;BG$2,FECHA_BOV1,"&lt;="&amp;BG$3,CLAVE_BOV1,$A151)+SUMIFS(SALIDAS_BOV2,FECHA_BOV2,"&gt;="&amp;BG$2,FECHA_BOV2,"&lt;="&amp;BG$3,CLAVE_BOV2,$A151)+SUMIFS(SALIDAS_BOV3,FECHA_BOV3,"&gt;="&amp;BG$2,FECHA_BOV3,"&lt;="&amp;BG$3,CLAVE_BOV3,$A151)+SUMIFS(SALIDAS_TC,FECHA_TC,"&gt;="&amp;BG$2,FECHA_TC,"&lt;="&amp;BG$3,CLAVE_TC,$A151)+SUMIFS(SALIDAS_COMB,FECHA_COMB,"&gt;="&amp;BG$2,FECHA_COMB,"&lt;="&amp;BG$3,CLAVE_COMB,$A151)+SUMIFS(SALIDAS_DES,FECHA_DESGLOSEN,"&gt;="&amp;BG$2,FECHA_DESGLOSEN,"&lt;="&amp;BG$3,CLAVE_DESGLOSE,$A151)</f>
        <v>0</v>
      </c>
      <c r="BH151" s="13">
        <f>SUMIFS(SALIDAS_BIT,FECHA_BIT,"&gt;="&amp;BH$2,FECHA_BIT,"&lt;="&amp;BH$3,CLAVE_BIT,$A151)+SUMIFS(SALIDAS_BOV1,FECHA_BOV1,"&gt;="&amp;BH$2,FECHA_BOV1,"&lt;="&amp;BH$3,CLAVE_BOV1,$A151)+SUMIFS(SALIDAS_BOV2,FECHA_BOV2,"&gt;="&amp;BH$2,FECHA_BOV2,"&lt;="&amp;BH$3,CLAVE_BOV2,$A151)+SUMIFS(SALIDAS_BOV3,FECHA_BOV3,"&gt;="&amp;BH$2,FECHA_BOV3,"&lt;="&amp;BH$3,CLAVE_BOV3,$A151)+SUMIFS(SALIDAS_TC,FECHA_TC,"&gt;="&amp;BH$2,FECHA_TC,"&lt;="&amp;BH$3,CLAVE_TC,$A151)+SUMIFS(SALIDAS_COMB,FECHA_COMB,"&gt;="&amp;BH$2,FECHA_COMB,"&lt;="&amp;BH$3,CLAVE_COMB,$A151)+SUMIFS(SALIDAS_DES,FECHA_DESGLOSEN,"&gt;="&amp;BH$2,FECHA_DESGLOSEN,"&lt;="&amp;BH$3,CLAVE_DESGLOSE,$A151)</f>
        <v>7072</v>
      </c>
      <c r="BI151" s="13">
        <f t="shared" si="215"/>
        <v>7072</v>
      </c>
      <c r="BJ151" s="68">
        <f t="shared" si="258"/>
        <v>-6737</v>
      </c>
      <c r="BK151" s="268">
        <f t="shared" si="259"/>
        <v>21.110447761194031</v>
      </c>
      <c r="BL151" s="13">
        <f t="shared" si="260"/>
        <v>0</v>
      </c>
      <c r="BM151" s="13">
        <f>SUMIFS(SALIDAS_BIT,FECHA_BIT,"&gt;="&amp;BM$2,FECHA_BIT,"&lt;="&amp;BM$3,CLAVE_BIT,$A151)+SUMIFS(SALIDAS_BOV1,FECHA_BOV1,"&gt;="&amp;BM$2,FECHA_BOV1,"&lt;="&amp;BM$3,CLAVE_BOV1,$A151)+SUMIFS(SALIDAS_BOV2,FECHA_BOV2,"&gt;="&amp;BM$2,FECHA_BOV2,"&lt;="&amp;BM$3,CLAVE_BOV2,$A151)+SUMIFS(SALIDAS_BOV3,FECHA_BOV3,"&gt;="&amp;BM$2,FECHA_BOV3,"&lt;="&amp;BM$3,CLAVE_BOV3,$A151)+SUMIFS(SALIDAS_TC,FECHA_TC,"&gt;="&amp;BM$2,FECHA_TC,"&lt;="&amp;BM$3,CLAVE_TC,$A151)+SUMIFS(SALIDAS_COMB,FECHA_COMB,"&gt;="&amp;BM$2,FECHA_COMB,"&lt;="&amp;BM$3,CLAVE_COMB,$A151)+SUMIFS(SALIDAS_DES,FECHA_DESGLOSEN,"&gt;="&amp;BM$2,FECHA_DESGLOSEN,"&lt;="&amp;BM$3,CLAVE_DESGLOSE,$A151)</f>
        <v>0</v>
      </c>
      <c r="BN151" s="13">
        <f>SUMIFS(SALIDAS_BIT,FECHA_BIT,"&gt;="&amp;BN$2,FECHA_BIT,"&lt;="&amp;BN$3,CLAVE_BIT,$A151)+SUMIFS(SALIDAS_BOV1,FECHA_BOV1,"&gt;="&amp;BN$2,FECHA_BOV1,"&lt;="&amp;BN$3,CLAVE_BOV1,$A151)+SUMIFS(SALIDAS_BOV2,FECHA_BOV2,"&gt;="&amp;BN$2,FECHA_BOV2,"&lt;="&amp;BN$3,CLAVE_BOV2,$A151)+SUMIFS(SALIDAS_BOV3,FECHA_BOV3,"&gt;="&amp;BN$2,FECHA_BOV3,"&lt;="&amp;BN$3,CLAVE_BOV3,$A151)+SUMIFS(SALIDAS_TC,FECHA_TC,"&gt;="&amp;BN$2,FECHA_TC,"&lt;="&amp;BN$3,CLAVE_TC,$A151)+SUMIFS(SALIDAS_COMB,FECHA_COMB,"&gt;="&amp;BN$2,FECHA_COMB,"&lt;="&amp;BN$3,CLAVE_COMB,$A151)+SUMIFS(SALIDAS_DES,FECHA_DESGLOSEN,"&gt;="&amp;BN$2,FECHA_DESGLOSEN,"&lt;="&amp;BN$3,CLAVE_DESGLOSE,$A151)</f>
        <v>0</v>
      </c>
      <c r="BO151" s="13">
        <f>SUMIFS(SALIDAS_BIT,FECHA_BIT,"&gt;="&amp;BO$2,FECHA_BIT,"&lt;="&amp;BO$3,CLAVE_BIT,$A151)+SUMIFS(SALIDAS_BOV1,FECHA_BOV1,"&gt;="&amp;BO$2,FECHA_BOV1,"&lt;="&amp;BO$3,CLAVE_BOV1,$A151)+SUMIFS(SALIDAS_BOV2,FECHA_BOV2,"&gt;="&amp;BO$2,FECHA_BOV2,"&lt;="&amp;BO$3,CLAVE_BOV2,$A151)+SUMIFS(SALIDAS_BOV3,FECHA_BOV3,"&gt;="&amp;BO$2,FECHA_BOV3,"&lt;="&amp;BO$3,CLAVE_BOV3,$A151)+SUMIFS(SALIDAS_TC,FECHA_TC,"&gt;="&amp;BO$2,FECHA_TC,"&lt;="&amp;BO$3,CLAVE_TC,$A151)+SUMIFS(SALIDAS_COMB,FECHA_COMB,"&gt;="&amp;BO$2,FECHA_COMB,"&lt;="&amp;BO$3,CLAVE_COMB,$A151)+SUMIFS(SALIDAS_DES,FECHA_DESGLOSEN,"&gt;="&amp;BO$2,FECHA_DESGLOSEN,"&lt;="&amp;BO$3,CLAVE_DESGLOSE,$A151)</f>
        <v>0</v>
      </c>
      <c r="BP151" s="13">
        <f>SUMIFS(SALIDAS_BIT,FECHA_BIT,"&gt;="&amp;BP$2,FECHA_BIT,"&lt;="&amp;BP$3,CLAVE_BIT,$A151)+SUMIFS(SALIDAS_BOV1,FECHA_BOV1,"&gt;="&amp;BP$2,FECHA_BOV1,"&lt;="&amp;BP$3,CLAVE_BOV1,$A151)+SUMIFS(SALIDAS_BOV2,FECHA_BOV2,"&gt;="&amp;BP$2,FECHA_BOV2,"&lt;="&amp;BP$3,CLAVE_BOV2,$A151)+SUMIFS(SALIDAS_BOV3,FECHA_BOV3,"&gt;="&amp;BP$2,FECHA_BOV3,"&lt;="&amp;BP$3,CLAVE_BOV3,$A151)+SUMIFS(SALIDAS_TC,FECHA_TC,"&gt;="&amp;BP$2,FECHA_TC,"&lt;="&amp;BP$3,CLAVE_TC,$A151)+SUMIFS(SALIDAS_COMB,FECHA_COMB,"&gt;="&amp;BP$2,FECHA_COMB,"&lt;="&amp;BP$3,CLAVE_COMB,$A151)+SUMIFS(SALIDAS_DES,FECHA_DESGLOSEN,"&gt;="&amp;BP$2,FECHA_DESGLOSEN,"&lt;="&amp;BP$3,CLAVE_DESGLOSE,$A151)</f>
        <v>903</v>
      </c>
      <c r="BQ151" s="13">
        <f>SUMIFS(SALIDAS_BIT,FECHA_BIT,"&gt;="&amp;BQ$2,FECHA_BIT,"&lt;="&amp;BQ$3,CLAVE_BIT,$A151)+SUMIFS(SALIDAS_BOV1,FECHA_BOV1,"&gt;="&amp;BQ$2,FECHA_BOV1,"&lt;="&amp;BQ$3,CLAVE_BOV1,$A151)+SUMIFS(SALIDAS_BOV2,FECHA_BOV2,"&gt;="&amp;BQ$2,FECHA_BOV2,"&lt;="&amp;BQ$3,CLAVE_BOV2,$A151)+SUMIFS(SALIDAS_BOV3,FECHA_BOV3,"&gt;="&amp;BQ$2,FECHA_BOV3,"&lt;="&amp;BQ$3,CLAVE_BOV3,$A151)+SUMIFS(SALIDAS_TC,FECHA_TC,"&gt;="&amp;BQ$2,FECHA_TC,"&lt;="&amp;BQ$3,CLAVE_TC,$A151)+SUMIFS(SALIDAS_COMB,FECHA_COMB,"&gt;="&amp;BQ$2,FECHA_COMB,"&lt;="&amp;BQ$3,CLAVE_COMB,$A151)+SUMIFS(SALIDAS_DES,FECHA_DESGLOSEN,"&gt;="&amp;BQ$2,FECHA_DESGLOSEN,"&lt;="&amp;BQ$3,CLAVE_DESGLOSE,$A151)</f>
        <v>0</v>
      </c>
      <c r="BR151" s="13">
        <f t="shared" si="287"/>
        <v>903</v>
      </c>
      <c r="BS151" s="68">
        <f t="shared" si="261"/>
        <v>-903</v>
      </c>
      <c r="BT151" s="268">
        <f t="shared" si="262"/>
        <v>0</v>
      </c>
      <c r="BU151" s="13">
        <f t="shared" si="263"/>
        <v>320</v>
      </c>
      <c r="BV151" s="13">
        <f t="shared" si="291"/>
        <v>0</v>
      </c>
      <c r="BW151" s="13">
        <f t="shared" si="291"/>
        <v>0</v>
      </c>
      <c r="BX151" s="13">
        <f t="shared" si="291"/>
        <v>0</v>
      </c>
      <c r="BY151" s="13">
        <f t="shared" si="291"/>
        <v>0</v>
      </c>
      <c r="BZ151" s="13">
        <f t="shared" si="288"/>
        <v>0</v>
      </c>
      <c r="CA151" s="68">
        <f t="shared" si="264"/>
        <v>320</v>
      </c>
      <c r="CB151" s="268">
        <f t="shared" si="265"/>
        <v>0</v>
      </c>
      <c r="CC151" s="13">
        <f t="shared" si="266"/>
        <v>320</v>
      </c>
      <c r="CD151" s="13">
        <f t="shared" si="292"/>
        <v>0</v>
      </c>
      <c r="CE151" s="13">
        <f t="shared" si="292"/>
        <v>0</v>
      </c>
      <c r="CF151" s="13">
        <f t="shared" si="292"/>
        <v>0</v>
      </c>
      <c r="CG151" s="13">
        <f t="shared" si="292"/>
        <v>0</v>
      </c>
      <c r="CH151" s="13">
        <f t="shared" si="289"/>
        <v>0</v>
      </c>
      <c r="CI151" s="68">
        <f t="shared" si="267"/>
        <v>320</v>
      </c>
      <c r="CJ151" s="268">
        <f t="shared" si="268"/>
        <v>0</v>
      </c>
      <c r="CK151" s="13">
        <f t="shared" si="269"/>
        <v>320</v>
      </c>
      <c r="CL151" s="13">
        <f t="shared" si="228"/>
        <v>0</v>
      </c>
      <c r="CM151" s="13">
        <f t="shared" si="228"/>
        <v>0</v>
      </c>
      <c r="CN151" s="13">
        <f t="shared" si="228"/>
        <v>0</v>
      </c>
      <c r="CO151" s="13">
        <f t="shared" si="228"/>
        <v>1601</v>
      </c>
      <c r="CP151" s="13">
        <f t="shared" si="228"/>
        <v>0</v>
      </c>
      <c r="CQ151" s="13">
        <f t="shared" si="290"/>
        <v>1601</v>
      </c>
      <c r="CR151" s="68">
        <f t="shared" si="270"/>
        <v>-1281</v>
      </c>
      <c r="CS151" s="268">
        <f t="shared" si="271"/>
        <v>5.0031249999999998</v>
      </c>
      <c r="CT151" s="68">
        <f t="shared" si="244"/>
        <v>1000</v>
      </c>
      <c r="CU151" s="13">
        <f>SUMIFS(SALIDAS_BIT,FECHA_BIT,"&gt;="&amp;CU$2,FECHA_BIT,"&lt;="&amp;CU$3,CLAVE_BIT,$A151)+SUMIFS(SALIDAS_BOV1,FECHA_BOV1,"&gt;="&amp;CU$2,FECHA_BOV1,"&lt;="&amp;CU$3,CLAVE_BOV1,$A151)+SUMIFS(SALIDAS_BOV2,FECHA_BOV2,"&gt;="&amp;CU$2,FECHA_BOV2,"&lt;="&amp;CU$3,CLAVE_BOV2,$A151)+SUMIFS(SALIDAS_BOV3,FECHA_BOV3,"&gt;="&amp;CU$2,FECHA_BOV3,"&lt;="&amp;CU$3,CLAVE_BOV3,$A151)+SUMIFS(SALIDAS_TC,FECHA_TC,"&gt;="&amp;CU$2,FECHA_TC,"&lt;="&amp;CU$3,CLAVE_TC,$A151)+SUMIFS(SALIDAS_COMB,FECHA_COMB,"&gt;="&amp;CU$2,FECHA_COMB,"&lt;="&amp;CU$3,CLAVE_COMB,$A151)+SUMIFS(SALIDAS_DES,FECHA_DESGLOSEN,"&gt;="&amp;CU$2,FECHA_DESGLOSEN,"&lt;="&amp;CU$3,CLAVE_DESGLOSE,$A151)</f>
        <v>0</v>
      </c>
      <c r="CV151" s="13">
        <f>SUMIFS(SALIDAS_BIT,FECHA_BIT,"&gt;="&amp;CV$2,FECHA_BIT,"&lt;="&amp;CV$3,CLAVE_BIT,$A151)+SUMIFS(SALIDAS_BOV1,FECHA_BOV1,"&gt;="&amp;CV$2,FECHA_BOV1,"&lt;="&amp;CV$3,CLAVE_BOV1,$A151)+SUMIFS(SALIDAS_BOV2,FECHA_BOV2,"&gt;="&amp;CV$2,FECHA_BOV2,"&lt;="&amp;CV$3,CLAVE_BOV2,$A151)+SUMIFS(SALIDAS_BOV3,FECHA_BOV3,"&gt;="&amp;CV$2,FECHA_BOV3,"&lt;="&amp;CV$3,CLAVE_BOV3,$A151)+SUMIFS(SALIDAS_TC,FECHA_TC,"&gt;="&amp;CV$2,FECHA_TC,"&lt;="&amp;CV$3,CLAVE_TC,$A151)+SUMIFS(SALIDAS_COMB,FECHA_COMB,"&gt;="&amp;CV$2,FECHA_COMB,"&lt;="&amp;CV$3,CLAVE_COMB,$A151)+SUMIFS(SALIDAS_DES,FECHA_DESGLOSEN,"&gt;="&amp;CV$2,FECHA_DESGLOSEN,"&lt;="&amp;CV$3,CLAVE_DESGLOSE,$A151)</f>
        <v>0</v>
      </c>
      <c r="CW151" s="13">
        <f>SUMIFS(SALIDAS_BIT,FECHA_BIT,"&gt;="&amp;CW$2,FECHA_BIT,"&lt;="&amp;CW$3,CLAVE_BIT,$A151)+SUMIFS(SALIDAS_BOV1,FECHA_BOV1,"&gt;="&amp;CW$2,FECHA_BOV1,"&lt;="&amp;CW$3,CLAVE_BOV1,$A151)+SUMIFS(SALIDAS_BOV2,FECHA_BOV2,"&gt;="&amp;CW$2,FECHA_BOV2,"&lt;="&amp;CW$3,CLAVE_BOV2,$A151)+SUMIFS(SALIDAS_BOV3,FECHA_BOV3,"&gt;="&amp;CW$2,FECHA_BOV3,"&lt;="&amp;CW$3,CLAVE_BOV3,$A151)+SUMIFS(SALIDAS_TC,FECHA_TC,"&gt;="&amp;CW$2,FECHA_TC,"&lt;="&amp;CW$3,CLAVE_TC,$A151)+SUMIFS(SALIDAS_COMB,FECHA_COMB,"&gt;="&amp;CW$2,FECHA_COMB,"&lt;="&amp;CW$3,CLAVE_COMB,$A151)+SUMIFS(SALIDAS_DES,FECHA_DESGLOSEN,"&gt;="&amp;CW$2,FECHA_DESGLOSEN,"&lt;="&amp;CW$3,CLAVE_DESGLOSE,$A151)</f>
        <v>0</v>
      </c>
      <c r="CX151" s="13">
        <f>SUMIFS(SALIDAS_BIT,FECHA_BIT,"&gt;="&amp;CX$2,FECHA_BIT,"&lt;="&amp;CX$3,CLAVE_BIT,$A151)+SUMIFS(SALIDAS_BOV1,FECHA_BOV1,"&gt;="&amp;CX$2,FECHA_BOV1,"&lt;="&amp;CX$3,CLAVE_BOV1,$A151)+SUMIFS(SALIDAS_BOV2,FECHA_BOV2,"&gt;="&amp;CX$2,FECHA_BOV2,"&lt;="&amp;CX$3,CLAVE_BOV2,$A151)+SUMIFS(SALIDAS_BOV3,FECHA_BOV3,"&gt;="&amp;CX$2,FECHA_BOV3,"&lt;="&amp;CX$3,CLAVE_BOV3,$A151)+SUMIFS(SALIDAS_TC,FECHA_TC,"&gt;="&amp;CX$2,FECHA_TC,"&lt;="&amp;CX$3,CLAVE_TC,$A151)+SUMIFS(SALIDAS_COMB,FECHA_COMB,"&gt;="&amp;CX$2,FECHA_COMB,"&lt;="&amp;CX$3,CLAVE_COMB,$A151)+SUMIFS(SALIDAS_DES,FECHA_DESGLOSEN,"&gt;="&amp;CX$2,FECHA_DESGLOSEN,"&lt;="&amp;CX$3,CLAVE_DESGLOSE,$A151)</f>
        <v>0</v>
      </c>
      <c r="CY151" s="13">
        <f>SUMIFS(SALIDAS_BIT,FECHA_BIT,"&gt;="&amp;CY$2,FECHA_BIT,"&lt;="&amp;CY$3,CLAVE_BIT,$A151)+SUMIFS(SALIDAS_BOV1,FECHA_BOV1,"&gt;="&amp;CY$2,FECHA_BOV1,"&lt;="&amp;CY$3,CLAVE_BOV1,$A151)+SUMIFS(SALIDAS_BOV2,FECHA_BOV2,"&gt;="&amp;CY$2,FECHA_BOV2,"&lt;="&amp;CY$3,CLAVE_BOV2,$A151)+SUMIFS(SALIDAS_BOV3,FECHA_BOV3,"&gt;="&amp;CY$2,FECHA_BOV3,"&lt;="&amp;CY$3,CLAVE_BOV3,$A151)+SUMIFS(SALIDAS_TC,FECHA_TC,"&gt;="&amp;CY$2,FECHA_TC,"&lt;="&amp;CY$3,CLAVE_TC,$A151)+SUMIFS(SALIDAS_COMB,FECHA_COMB,"&gt;="&amp;CY$2,FECHA_COMB,"&lt;="&amp;CY$3,CLAVE_COMB,$A151)+SUMIFS(SALIDAS_DES,FECHA_DESGLOSEN,"&gt;="&amp;CY$2,FECHA_DESGLOSEN,"&lt;="&amp;CY$3,CLAVE_DESGLOSE,$A151)</f>
        <v>0</v>
      </c>
      <c r="CZ151" s="68">
        <f t="shared" si="272"/>
        <v>1000</v>
      </c>
      <c r="DB151" s="17">
        <f>F151+N151+W151+AE151+AM151+AV151+BD151+BL151+BU151+CC151+CK151</f>
        <v>3247</v>
      </c>
      <c r="DC151" s="17">
        <f>K151+T151+AB151+AJ151+AS151+BA151+BI151+BR151+BZ151+CH151+CQ151</f>
        <v>13773</v>
      </c>
    </row>
    <row r="152" spans="1:107" hidden="1">
      <c r="A152" s="12" t="str">
        <f t="shared" si="245"/>
        <v>HRJMASA17</v>
      </c>
      <c r="B152" s="12">
        <v>154</v>
      </c>
      <c r="C152" t="s">
        <v>29</v>
      </c>
      <c r="D152" s="12" t="s">
        <v>137</v>
      </c>
      <c r="E152" s="12" t="s">
        <v>102</v>
      </c>
      <c r="F152" s="259">
        <f t="shared" si="238"/>
        <v>531</v>
      </c>
      <c r="G152" s="13">
        <f t="shared" si="282"/>
        <v>0</v>
      </c>
      <c r="H152" s="13">
        <f t="shared" si="282"/>
        <v>0</v>
      </c>
      <c r="I152" s="13">
        <f t="shared" si="282"/>
        <v>0</v>
      </c>
      <c r="J152" s="13">
        <f t="shared" si="282"/>
        <v>0</v>
      </c>
      <c r="K152" s="13">
        <f t="shared" si="282"/>
        <v>0</v>
      </c>
      <c r="L152" s="68">
        <f t="shared" si="246"/>
        <v>531</v>
      </c>
      <c r="M152" s="268">
        <f t="shared" si="247"/>
        <v>0</v>
      </c>
      <c r="N152" s="13">
        <f t="shared" si="239"/>
        <v>625</v>
      </c>
      <c r="O152" s="13">
        <f t="shared" si="283"/>
        <v>0</v>
      </c>
      <c r="P152" s="13">
        <f t="shared" si="283"/>
        <v>0</v>
      </c>
      <c r="Q152" s="13">
        <f t="shared" si="283"/>
        <v>1705</v>
      </c>
      <c r="R152" s="13">
        <f t="shared" si="283"/>
        <v>0</v>
      </c>
      <c r="S152" s="13">
        <f t="shared" si="283"/>
        <v>0</v>
      </c>
      <c r="T152" s="13">
        <f t="shared" si="283"/>
        <v>1705</v>
      </c>
      <c r="U152" s="68">
        <f t="shared" si="248"/>
        <v>-1080</v>
      </c>
      <c r="V152" s="268">
        <f t="shared" si="249"/>
        <v>2.7280000000000002</v>
      </c>
      <c r="W152" s="13">
        <f t="shared" si="240"/>
        <v>0</v>
      </c>
      <c r="X152" s="13">
        <f t="shared" si="284"/>
        <v>0</v>
      </c>
      <c r="Y152" s="13">
        <f t="shared" si="284"/>
        <v>0</v>
      </c>
      <c r="Z152" s="13">
        <f t="shared" si="284"/>
        <v>0</v>
      </c>
      <c r="AA152" s="13">
        <f t="shared" si="284"/>
        <v>0</v>
      </c>
      <c r="AB152" s="13">
        <f t="shared" si="284"/>
        <v>0</v>
      </c>
      <c r="AC152" s="68">
        <f t="shared" si="250"/>
        <v>0</v>
      </c>
      <c r="AD152" s="268">
        <f t="shared" si="251"/>
        <v>0</v>
      </c>
      <c r="AE152" s="13">
        <f t="shared" si="241"/>
        <v>0</v>
      </c>
      <c r="AF152" s="13">
        <f t="shared" si="285"/>
        <v>0</v>
      </c>
      <c r="AG152" s="13">
        <f t="shared" si="285"/>
        <v>0</v>
      </c>
      <c r="AH152" s="13">
        <f t="shared" si="285"/>
        <v>0</v>
      </c>
      <c r="AI152" s="13">
        <f t="shared" si="285"/>
        <v>0</v>
      </c>
      <c r="AJ152" s="13">
        <f t="shared" si="285"/>
        <v>0</v>
      </c>
      <c r="AK152" s="68">
        <f t="shared" si="252"/>
        <v>0</v>
      </c>
      <c r="AL152" s="268">
        <f t="shared" si="253"/>
        <v>0</v>
      </c>
      <c r="AM152" s="13">
        <f t="shared" si="242"/>
        <v>50</v>
      </c>
      <c r="AN152" s="13">
        <f t="shared" si="286"/>
        <v>0</v>
      </c>
      <c r="AO152" s="13">
        <f t="shared" si="286"/>
        <v>0</v>
      </c>
      <c r="AP152" s="13">
        <f t="shared" si="286"/>
        <v>3433</v>
      </c>
      <c r="AQ152" s="13">
        <f t="shared" si="286"/>
        <v>0</v>
      </c>
      <c r="AR152" s="13">
        <f t="shared" si="286"/>
        <v>0</v>
      </c>
      <c r="AS152" s="13">
        <f t="shared" si="286"/>
        <v>3433</v>
      </c>
      <c r="AT152" s="68">
        <f>AM152-AS152</f>
        <v>-3383</v>
      </c>
      <c r="AU152" s="268">
        <f t="shared" si="254"/>
        <v>68.66</v>
      </c>
      <c r="AV152" s="13">
        <f t="shared" si="243"/>
        <v>0</v>
      </c>
      <c r="AW152" s="13">
        <f t="shared" si="222"/>
        <v>0</v>
      </c>
      <c r="AX152" s="13">
        <f t="shared" si="222"/>
        <v>0</v>
      </c>
      <c r="AY152" s="13">
        <f t="shared" si="222"/>
        <v>0</v>
      </c>
      <c r="AZ152" s="13">
        <f t="shared" si="222"/>
        <v>0</v>
      </c>
      <c r="BA152" s="13">
        <f t="shared" si="223"/>
        <v>0</v>
      </c>
      <c r="BB152" s="68">
        <f t="shared" si="255"/>
        <v>0</v>
      </c>
      <c r="BC152" s="268">
        <f t="shared" si="256"/>
        <v>0</v>
      </c>
      <c r="BD152" s="13">
        <f t="shared" si="257"/>
        <v>40</v>
      </c>
      <c r="BE152" s="13">
        <f>SUMIFS(SALIDAS_BIT,FECHA_BIT,"&gt;="&amp;BE$2,FECHA_BIT,"&lt;="&amp;BE$3,CLAVE_BIT,$A152)+SUMIFS(SALIDAS_BOV1,FECHA_BOV1,"&gt;="&amp;BE$2,FECHA_BOV1,"&lt;="&amp;BE$3,CLAVE_BOV1,$A152)+SUMIFS(SALIDAS_BOV2,FECHA_BOV2,"&gt;="&amp;BE$2,FECHA_BOV2,"&lt;="&amp;BE$3,CLAVE_BOV2,$A152)+SUMIFS(SALIDAS_BOV3,FECHA_BOV3,"&gt;="&amp;BE$2,FECHA_BOV3,"&lt;="&amp;BE$3,CLAVE_BOV3,$A152)+SUMIFS(SALIDAS_TC,FECHA_TC,"&gt;="&amp;BE$2,FECHA_TC,"&lt;="&amp;BE$3,CLAVE_TC,$A152)+SUMIFS(SALIDAS_COMB,FECHA_COMB,"&gt;="&amp;BE$2,FECHA_COMB,"&lt;="&amp;BE$3,CLAVE_COMB,$A152)+SUMIFS(SALIDAS_DES,FECHA_DESGLOSEN,"&gt;="&amp;BE$2,FECHA_DESGLOSEN,"&lt;="&amp;BE$3,CLAVE_DESGLOSE,$A152)</f>
        <v>0</v>
      </c>
      <c r="BF152" s="13">
        <f>SUMIFS(SALIDAS_BIT,FECHA_BIT,"&gt;="&amp;BF$2,FECHA_BIT,"&lt;="&amp;BF$3,CLAVE_BIT,$A152)+SUMIFS(SALIDAS_BOV1,FECHA_BOV1,"&gt;="&amp;BF$2,FECHA_BOV1,"&lt;="&amp;BF$3,CLAVE_BOV1,$A152)+SUMIFS(SALIDAS_BOV2,FECHA_BOV2,"&gt;="&amp;BF$2,FECHA_BOV2,"&lt;="&amp;BF$3,CLAVE_BOV2,$A152)+SUMIFS(SALIDAS_BOV3,FECHA_BOV3,"&gt;="&amp;BF$2,FECHA_BOV3,"&lt;="&amp;BF$3,CLAVE_BOV3,$A152)+SUMIFS(SALIDAS_TC,FECHA_TC,"&gt;="&amp;BF$2,FECHA_TC,"&lt;="&amp;BF$3,CLAVE_TC,$A152)+SUMIFS(SALIDAS_COMB,FECHA_COMB,"&gt;="&amp;BF$2,FECHA_COMB,"&lt;="&amp;BF$3,CLAVE_COMB,$A152)+SUMIFS(SALIDAS_DES,FECHA_DESGLOSEN,"&gt;="&amp;BF$2,FECHA_DESGLOSEN,"&lt;="&amp;BF$3,CLAVE_DESGLOSE,$A152)</f>
        <v>1157</v>
      </c>
      <c r="BG152" s="13">
        <f>SUMIFS(SALIDAS_BIT,FECHA_BIT,"&gt;="&amp;BG$2,FECHA_BIT,"&lt;="&amp;BG$3,CLAVE_BIT,$A152)+SUMIFS(SALIDAS_BOV1,FECHA_BOV1,"&gt;="&amp;BG$2,FECHA_BOV1,"&lt;="&amp;BG$3,CLAVE_BOV1,$A152)+SUMIFS(SALIDAS_BOV2,FECHA_BOV2,"&gt;="&amp;BG$2,FECHA_BOV2,"&lt;="&amp;BG$3,CLAVE_BOV2,$A152)+SUMIFS(SALIDAS_BOV3,FECHA_BOV3,"&gt;="&amp;BG$2,FECHA_BOV3,"&lt;="&amp;BG$3,CLAVE_BOV3,$A152)+SUMIFS(SALIDAS_TC,FECHA_TC,"&gt;="&amp;BG$2,FECHA_TC,"&lt;="&amp;BG$3,CLAVE_TC,$A152)+SUMIFS(SALIDAS_COMB,FECHA_COMB,"&gt;="&amp;BG$2,FECHA_COMB,"&lt;="&amp;BG$3,CLAVE_COMB,$A152)+SUMIFS(SALIDAS_DES,FECHA_DESGLOSEN,"&gt;="&amp;BG$2,FECHA_DESGLOSEN,"&lt;="&amp;BG$3,CLAVE_DESGLOSE,$A152)</f>
        <v>55</v>
      </c>
      <c r="BH152" s="13">
        <f>SUMIFS(SALIDAS_BIT,FECHA_BIT,"&gt;="&amp;BH$2,FECHA_BIT,"&lt;="&amp;BH$3,CLAVE_BIT,$A152)+SUMIFS(SALIDAS_BOV1,FECHA_BOV1,"&gt;="&amp;BH$2,FECHA_BOV1,"&lt;="&amp;BH$3,CLAVE_BOV1,$A152)+SUMIFS(SALIDAS_BOV2,FECHA_BOV2,"&gt;="&amp;BH$2,FECHA_BOV2,"&lt;="&amp;BH$3,CLAVE_BOV2,$A152)+SUMIFS(SALIDAS_BOV3,FECHA_BOV3,"&gt;="&amp;BH$2,FECHA_BOV3,"&lt;="&amp;BH$3,CLAVE_BOV3,$A152)+SUMIFS(SALIDAS_TC,FECHA_TC,"&gt;="&amp;BH$2,FECHA_TC,"&lt;="&amp;BH$3,CLAVE_TC,$A152)+SUMIFS(SALIDAS_COMB,FECHA_COMB,"&gt;="&amp;BH$2,FECHA_COMB,"&lt;="&amp;BH$3,CLAVE_COMB,$A152)+SUMIFS(SALIDAS_DES,FECHA_DESGLOSEN,"&gt;="&amp;BH$2,FECHA_DESGLOSEN,"&lt;="&amp;BH$3,CLAVE_DESGLOSE,$A152)</f>
        <v>0</v>
      </c>
      <c r="BI152" s="13">
        <f t="shared" si="215"/>
        <v>1212</v>
      </c>
      <c r="BJ152" s="68">
        <f t="shared" si="258"/>
        <v>-1172</v>
      </c>
      <c r="BK152" s="268">
        <f t="shared" si="259"/>
        <v>30.3</v>
      </c>
      <c r="BL152" s="13">
        <f t="shared" si="260"/>
        <v>1250</v>
      </c>
      <c r="BM152" s="13">
        <f>SUMIFS(SALIDAS_BIT,FECHA_BIT,"&gt;="&amp;BM$2,FECHA_BIT,"&lt;="&amp;BM$3,CLAVE_BIT,$A152)+SUMIFS(SALIDAS_BOV1,FECHA_BOV1,"&gt;="&amp;BM$2,FECHA_BOV1,"&lt;="&amp;BM$3,CLAVE_BOV1,$A152)+SUMIFS(SALIDAS_BOV2,FECHA_BOV2,"&gt;="&amp;BM$2,FECHA_BOV2,"&lt;="&amp;BM$3,CLAVE_BOV2,$A152)+SUMIFS(SALIDAS_BOV3,FECHA_BOV3,"&gt;="&amp;BM$2,FECHA_BOV3,"&lt;="&amp;BM$3,CLAVE_BOV3,$A152)+SUMIFS(SALIDAS_TC,FECHA_TC,"&gt;="&amp;BM$2,FECHA_TC,"&lt;="&amp;BM$3,CLAVE_TC,$A152)+SUMIFS(SALIDAS_COMB,FECHA_COMB,"&gt;="&amp;BM$2,FECHA_COMB,"&lt;="&amp;BM$3,CLAVE_COMB,$A152)+SUMIFS(SALIDAS_DES,FECHA_DESGLOSEN,"&gt;="&amp;BM$2,FECHA_DESGLOSEN,"&lt;="&amp;BM$3,CLAVE_DESGLOSE,$A152)</f>
        <v>562</v>
      </c>
      <c r="BN152" s="13">
        <f>SUMIFS(SALIDAS_BIT,FECHA_BIT,"&gt;="&amp;BN$2,FECHA_BIT,"&lt;="&amp;BN$3,CLAVE_BIT,$A152)+SUMIFS(SALIDAS_BOV1,FECHA_BOV1,"&gt;="&amp;BN$2,FECHA_BOV1,"&lt;="&amp;BN$3,CLAVE_BOV1,$A152)+SUMIFS(SALIDAS_BOV2,FECHA_BOV2,"&gt;="&amp;BN$2,FECHA_BOV2,"&lt;="&amp;BN$3,CLAVE_BOV2,$A152)+SUMIFS(SALIDAS_BOV3,FECHA_BOV3,"&gt;="&amp;BN$2,FECHA_BOV3,"&lt;="&amp;BN$3,CLAVE_BOV3,$A152)+SUMIFS(SALIDAS_TC,FECHA_TC,"&gt;="&amp;BN$2,FECHA_TC,"&lt;="&amp;BN$3,CLAVE_TC,$A152)+SUMIFS(SALIDAS_COMB,FECHA_COMB,"&gt;="&amp;BN$2,FECHA_COMB,"&lt;="&amp;BN$3,CLAVE_COMB,$A152)+SUMIFS(SALIDAS_DES,FECHA_DESGLOSEN,"&gt;="&amp;BN$2,FECHA_DESGLOSEN,"&lt;="&amp;BN$3,CLAVE_DESGLOSE,$A152)</f>
        <v>0</v>
      </c>
      <c r="BO152" s="13">
        <f>SUMIFS(SALIDAS_BIT,FECHA_BIT,"&gt;="&amp;BO$2,FECHA_BIT,"&lt;="&amp;BO$3,CLAVE_BIT,$A152)+SUMIFS(SALIDAS_BOV1,FECHA_BOV1,"&gt;="&amp;BO$2,FECHA_BOV1,"&lt;="&amp;BO$3,CLAVE_BOV1,$A152)+SUMIFS(SALIDAS_BOV2,FECHA_BOV2,"&gt;="&amp;BO$2,FECHA_BOV2,"&lt;="&amp;BO$3,CLAVE_BOV2,$A152)+SUMIFS(SALIDAS_BOV3,FECHA_BOV3,"&gt;="&amp;BO$2,FECHA_BOV3,"&lt;="&amp;BO$3,CLAVE_BOV3,$A152)+SUMIFS(SALIDAS_TC,FECHA_TC,"&gt;="&amp;BO$2,FECHA_TC,"&lt;="&amp;BO$3,CLAVE_TC,$A152)+SUMIFS(SALIDAS_COMB,FECHA_COMB,"&gt;="&amp;BO$2,FECHA_COMB,"&lt;="&amp;BO$3,CLAVE_COMB,$A152)+SUMIFS(SALIDAS_DES,FECHA_DESGLOSEN,"&gt;="&amp;BO$2,FECHA_DESGLOSEN,"&lt;="&amp;BO$3,CLAVE_DESGLOSE,$A152)</f>
        <v>0</v>
      </c>
      <c r="BP152" s="13">
        <f>SUMIFS(SALIDAS_BIT,FECHA_BIT,"&gt;="&amp;BP$2,FECHA_BIT,"&lt;="&amp;BP$3,CLAVE_BIT,$A152)+SUMIFS(SALIDAS_BOV1,FECHA_BOV1,"&gt;="&amp;BP$2,FECHA_BOV1,"&lt;="&amp;BP$3,CLAVE_BOV1,$A152)+SUMIFS(SALIDAS_BOV2,FECHA_BOV2,"&gt;="&amp;BP$2,FECHA_BOV2,"&lt;="&amp;BP$3,CLAVE_BOV2,$A152)+SUMIFS(SALIDAS_BOV3,FECHA_BOV3,"&gt;="&amp;BP$2,FECHA_BOV3,"&lt;="&amp;BP$3,CLAVE_BOV3,$A152)+SUMIFS(SALIDAS_TC,FECHA_TC,"&gt;="&amp;BP$2,FECHA_TC,"&lt;="&amp;BP$3,CLAVE_TC,$A152)+SUMIFS(SALIDAS_COMB,FECHA_COMB,"&gt;="&amp;BP$2,FECHA_COMB,"&lt;="&amp;BP$3,CLAVE_COMB,$A152)+SUMIFS(SALIDAS_DES,FECHA_DESGLOSEN,"&gt;="&amp;BP$2,FECHA_DESGLOSEN,"&lt;="&amp;BP$3,CLAVE_DESGLOSE,$A152)</f>
        <v>0</v>
      </c>
      <c r="BQ152" s="13">
        <f>SUMIFS(SALIDAS_BIT,FECHA_BIT,"&gt;="&amp;BQ$2,FECHA_BIT,"&lt;="&amp;BQ$3,CLAVE_BIT,$A152)+SUMIFS(SALIDAS_BOV1,FECHA_BOV1,"&gt;="&amp;BQ$2,FECHA_BOV1,"&lt;="&amp;BQ$3,CLAVE_BOV1,$A152)+SUMIFS(SALIDAS_BOV2,FECHA_BOV2,"&gt;="&amp;BQ$2,FECHA_BOV2,"&lt;="&amp;BQ$3,CLAVE_BOV2,$A152)+SUMIFS(SALIDAS_BOV3,FECHA_BOV3,"&gt;="&amp;BQ$2,FECHA_BOV3,"&lt;="&amp;BQ$3,CLAVE_BOV3,$A152)+SUMIFS(SALIDAS_TC,FECHA_TC,"&gt;="&amp;BQ$2,FECHA_TC,"&lt;="&amp;BQ$3,CLAVE_TC,$A152)+SUMIFS(SALIDAS_COMB,FECHA_COMB,"&gt;="&amp;BQ$2,FECHA_COMB,"&lt;="&amp;BQ$3,CLAVE_COMB,$A152)+SUMIFS(SALIDAS_DES,FECHA_DESGLOSEN,"&gt;="&amp;BQ$2,FECHA_DESGLOSEN,"&lt;="&amp;BQ$3,CLAVE_DESGLOSE,$A152)</f>
        <v>0</v>
      </c>
      <c r="BR152" s="13">
        <f t="shared" si="287"/>
        <v>562</v>
      </c>
      <c r="BS152" s="68">
        <f t="shared" si="261"/>
        <v>688</v>
      </c>
      <c r="BT152" s="268">
        <f t="shared" si="262"/>
        <v>0.4496</v>
      </c>
      <c r="BU152" s="13">
        <f t="shared" si="263"/>
        <v>500</v>
      </c>
      <c r="BV152" s="13">
        <f t="shared" si="291"/>
        <v>0</v>
      </c>
      <c r="BW152" s="13">
        <f t="shared" si="291"/>
        <v>0</v>
      </c>
      <c r="BX152" s="13">
        <f t="shared" si="291"/>
        <v>0</v>
      </c>
      <c r="BY152" s="13">
        <f t="shared" si="291"/>
        <v>0</v>
      </c>
      <c r="BZ152" s="13">
        <f t="shared" si="288"/>
        <v>0</v>
      </c>
      <c r="CA152" s="68">
        <f t="shared" si="264"/>
        <v>500</v>
      </c>
      <c r="CB152" s="268">
        <f t="shared" si="265"/>
        <v>0</v>
      </c>
      <c r="CC152" s="13">
        <f t="shared" si="266"/>
        <v>500</v>
      </c>
      <c r="CD152" s="13">
        <f t="shared" si="292"/>
        <v>0</v>
      </c>
      <c r="CE152" s="13">
        <f t="shared" si="292"/>
        <v>0</v>
      </c>
      <c r="CF152" s="13">
        <f t="shared" si="292"/>
        <v>1150</v>
      </c>
      <c r="CG152" s="13">
        <f t="shared" si="292"/>
        <v>0</v>
      </c>
      <c r="CH152" s="13">
        <f t="shared" si="289"/>
        <v>1150</v>
      </c>
      <c r="CI152" s="68">
        <f t="shared" si="267"/>
        <v>-650</v>
      </c>
      <c r="CJ152" s="268">
        <f t="shared" si="268"/>
        <v>2.2999999999999998</v>
      </c>
      <c r="CK152" s="13">
        <f t="shared" si="269"/>
        <v>500</v>
      </c>
      <c r="CL152" s="13">
        <f t="shared" si="228"/>
        <v>0</v>
      </c>
      <c r="CM152" s="13">
        <f t="shared" si="228"/>
        <v>0</v>
      </c>
      <c r="CN152" s="13">
        <f t="shared" si="228"/>
        <v>0</v>
      </c>
      <c r="CO152" s="13">
        <f t="shared" si="228"/>
        <v>0</v>
      </c>
      <c r="CP152" s="13">
        <f t="shared" si="228"/>
        <v>0</v>
      </c>
      <c r="CQ152" s="13">
        <f t="shared" si="290"/>
        <v>0</v>
      </c>
      <c r="CR152" s="68">
        <f t="shared" si="270"/>
        <v>500</v>
      </c>
      <c r="CS152" s="268">
        <f t="shared" si="271"/>
        <v>0</v>
      </c>
      <c r="CT152" s="68">
        <f t="shared" si="244"/>
        <v>1000</v>
      </c>
      <c r="CU152" s="13">
        <f>SUMIFS(SALIDAS_BIT,FECHA_BIT,"&gt;="&amp;CU$2,FECHA_BIT,"&lt;="&amp;CU$3,CLAVE_BIT,$A152)+SUMIFS(SALIDAS_BOV1,FECHA_BOV1,"&gt;="&amp;CU$2,FECHA_BOV1,"&lt;="&amp;CU$3,CLAVE_BOV1,$A152)+SUMIFS(SALIDAS_BOV2,FECHA_BOV2,"&gt;="&amp;CU$2,FECHA_BOV2,"&lt;="&amp;CU$3,CLAVE_BOV2,$A152)+SUMIFS(SALIDAS_BOV3,FECHA_BOV3,"&gt;="&amp;CU$2,FECHA_BOV3,"&lt;="&amp;CU$3,CLAVE_BOV3,$A152)+SUMIFS(SALIDAS_TC,FECHA_TC,"&gt;="&amp;CU$2,FECHA_TC,"&lt;="&amp;CU$3,CLAVE_TC,$A152)+SUMIFS(SALIDAS_COMB,FECHA_COMB,"&gt;="&amp;CU$2,FECHA_COMB,"&lt;="&amp;CU$3,CLAVE_COMB,$A152)+SUMIFS(SALIDAS_DES,FECHA_DESGLOSEN,"&gt;="&amp;CU$2,FECHA_DESGLOSEN,"&lt;="&amp;CU$3,CLAVE_DESGLOSE,$A152)</f>
        <v>0</v>
      </c>
      <c r="CV152" s="13">
        <f>SUMIFS(SALIDAS_BIT,FECHA_BIT,"&gt;="&amp;CV$2,FECHA_BIT,"&lt;="&amp;CV$3,CLAVE_BIT,$A152)+SUMIFS(SALIDAS_BOV1,FECHA_BOV1,"&gt;="&amp;CV$2,FECHA_BOV1,"&lt;="&amp;CV$3,CLAVE_BOV1,$A152)+SUMIFS(SALIDAS_BOV2,FECHA_BOV2,"&gt;="&amp;CV$2,FECHA_BOV2,"&lt;="&amp;CV$3,CLAVE_BOV2,$A152)+SUMIFS(SALIDAS_BOV3,FECHA_BOV3,"&gt;="&amp;CV$2,FECHA_BOV3,"&lt;="&amp;CV$3,CLAVE_BOV3,$A152)+SUMIFS(SALIDAS_TC,FECHA_TC,"&gt;="&amp;CV$2,FECHA_TC,"&lt;="&amp;CV$3,CLAVE_TC,$A152)+SUMIFS(SALIDAS_COMB,FECHA_COMB,"&gt;="&amp;CV$2,FECHA_COMB,"&lt;="&amp;CV$3,CLAVE_COMB,$A152)+SUMIFS(SALIDAS_DES,FECHA_DESGLOSEN,"&gt;="&amp;CV$2,FECHA_DESGLOSEN,"&lt;="&amp;CV$3,CLAVE_DESGLOSE,$A152)</f>
        <v>0</v>
      </c>
      <c r="CW152" s="13">
        <f>SUMIFS(SALIDAS_BIT,FECHA_BIT,"&gt;="&amp;CW$2,FECHA_BIT,"&lt;="&amp;CW$3,CLAVE_BIT,$A152)+SUMIFS(SALIDAS_BOV1,FECHA_BOV1,"&gt;="&amp;CW$2,FECHA_BOV1,"&lt;="&amp;CW$3,CLAVE_BOV1,$A152)+SUMIFS(SALIDAS_BOV2,FECHA_BOV2,"&gt;="&amp;CW$2,FECHA_BOV2,"&lt;="&amp;CW$3,CLAVE_BOV2,$A152)+SUMIFS(SALIDAS_BOV3,FECHA_BOV3,"&gt;="&amp;CW$2,FECHA_BOV3,"&lt;="&amp;CW$3,CLAVE_BOV3,$A152)+SUMIFS(SALIDAS_TC,FECHA_TC,"&gt;="&amp;CW$2,FECHA_TC,"&lt;="&amp;CW$3,CLAVE_TC,$A152)+SUMIFS(SALIDAS_COMB,FECHA_COMB,"&gt;="&amp;CW$2,FECHA_COMB,"&lt;="&amp;CW$3,CLAVE_COMB,$A152)+SUMIFS(SALIDAS_DES,FECHA_DESGLOSEN,"&gt;="&amp;CW$2,FECHA_DESGLOSEN,"&lt;="&amp;CW$3,CLAVE_DESGLOSE,$A152)</f>
        <v>1752</v>
      </c>
      <c r="CX152" s="13">
        <f>SUMIFS(SALIDAS_BIT,FECHA_BIT,"&gt;="&amp;CX$2,FECHA_BIT,"&lt;="&amp;CX$3,CLAVE_BIT,$A152)+SUMIFS(SALIDAS_BOV1,FECHA_BOV1,"&gt;="&amp;CX$2,FECHA_BOV1,"&lt;="&amp;CX$3,CLAVE_BOV1,$A152)+SUMIFS(SALIDAS_BOV2,FECHA_BOV2,"&gt;="&amp;CX$2,FECHA_BOV2,"&lt;="&amp;CX$3,CLAVE_BOV2,$A152)+SUMIFS(SALIDAS_BOV3,FECHA_BOV3,"&gt;="&amp;CX$2,FECHA_BOV3,"&lt;="&amp;CX$3,CLAVE_BOV3,$A152)+SUMIFS(SALIDAS_TC,FECHA_TC,"&gt;="&amp;CX$2,FECHA_TC,"&lt;="&amp;CX$3,CLAVE_TC,$A152)+SUMIFS(SALIDAS_COMB,FECHA_COMB,"&gt;="&amp;CX$2,FECHA_COMB,"&lt;="&amp;CX$3,CLAVE_COMB,$A152)+SUMIFS(SALIDAS_DES,FECHA_DESGLOSEN,"&gt;="&amp;CX$2,FECHA_DESGLOSEN,"&lt;="&amp;CX$3,CLAVE_DESGLOSE,$A152)</f>
        <v>0</v>
      </c>
      <c r="CY152" s="13">
        <f>SUMIFS(SALIDAS_BIT,FECHA_BIT,"&gt;="&amp;CY$2,FECHA_BIT,"&lt;="&amp;CY$3,CLAVE_BIT,$A152)+SUMIFS(SALIDAS_BOV1,FECHA_BOV1,"&gt;="&amp;CY$2,FECHA_BOV1,"&lt;="&amp;CY$3,CLAVE_BOV1,$A152)+SUMIFS(SALIDAS_BOV2,FECHA_BOV2,"&gt;="&amp;CY$2,FECHA_BOV2,"&lt;="&amp;CY$3,CLAVE_BOV2,$A152)+SUMIFS(SALIDAS_BOV3,FECHA_BOV3,"&gt;="&amp;CY$2,FECHA_BOV3,"&lt;="&amp;CY$3,CLAVE_BOV3,$A152)+SUMIFS(SALIDAS_TC,FECHA_TC,"&gt;="&amp;CY$2,FECHA_TC,"&lt;="&amp;CY$3,CLAVE_TC,$A152)+SUMIFS(SALIDAS_COMB,FECHA_COMB,"&gt;="&amp;CY$2,FECHA_COMB,"&lt;="&amp;CY$3,CLAVE_COMB,$A152)+SUMIFS(SALIDAS_DES,FECHA_DESGLOSEN,"&gt;="&amp;CY$2,FECHA_DESGLOSEN,"&lt;="&amp;CY$3,CLAVE_DESGLOSE,$A152)</f>
        <v>1752</v>
      </c>
      <c r="CZ152" s="68">
        <f t="shared" si="272"/>
        <v>-752</v>
      </c>
      <c r="DB152" s="17">
        <f>F152+N152+W152+AE152+AM152+AV152+BD152+BL152+BU152+CC152+CK152</f>
        <v>3996</v>
      </c>
      <c r="DC152" s="17">
        <f>K152+T152+AB152+AJ152+AS152+BA152+BI152+BR152+BZ152+CH152+CQ152</f>
        <v>8062</v>
      </c>
    </row>
    <row r="153" spans="1:107" hidden="1">
      <c r="A153" s="12" t="str">
        <f t="shared" si="245"/>
        <v>HRJMASA18</v>
      </c>
      <c r="B153" s="12">
        <v>155</v>
      </c>
      <c r="C153" t="s">
        <v>29</v>
      </c>
      <c r="D153" s="12" t="s">
        <v>137</v>
      </c>
      <c r="E153" s="12" t="s">
        <v>103</v>
      </c>
      <c r="F153" s="259">
        <f t="shared" si="238"/>
        <v>1258</v>
      </c>
      <c r="G153" s="13">
        <f t="shared" si="282"/>
        <v>0</v>
      </c>
      <c r="H153" s="13">
        <f t="shared" si="282"/>
        <v>0</v>
      </c>
      <c r="I153" s="13">
        <f t="shared" si="282"/>
        <v>0</v>
      </c>
      <c r="J153" s="13">
        <f t="shared" si="282"/>
        <v>1293</v>
      </c>
      <c r="K153" s="13">
        <f t="shared" si="282"/>
        <v>1293</v>
      </c>
      <c r="L153" s="68">
        <f t="shared" si="246"/>
        <v>-35</v>
      </c>
      <c r="M153" s="268">
        <f t="shared" si="247"/>
        <v>1.0278219395866455</v>
      </c>
      <c r="N153" s="13">
        <f t="shared" si="239"/>
        <v>2515</v>
      </c>
      <c r="O153" s="13">
        <f t="shared" si="283"/>
        <v>0</v>
      </c>
      <c r="P153" s="13">
        <f t="shared" si="283"/>
        <v>0</v>
      </c>
      <c r="Q153" s="13">
        <f t="shared" si="283"/>
        <v>412</v>
      </c>
      <c r="R153" s="13">
        <f t="shared" si="283"/>
        <v>0</v>
      </c>
      <c r="S153" s="13">
        <f t="shared" si="283"/>
        <v>0</v>
      </c>
      <c r="T153" s="13">
        <f t="shared" si="283"/>
        <v>412</v>
      </c>
      <c r="U153" s="68">
        <f t="shared" si="248"/>
        <v>2103</v>
      </c>
      <c r="V153" s="268">
        <f t="shared" si="249"/>
        <v>0.16381709741550696</v>
      </c>
      <c r="W153" s="13">
        <f t="shared" si="240"/>
        <v>1258</v>
      </c>
      <c r="X153" s="13">
        <f t="shared" si="284"/>
        <v>0</v>
      </c>
      <c r="Y153" s="13">
        <f t="shared" si="284"/>
        <v>1319</v>
      </c>
      <c r="Z153" s="13">
        <f t="shared" si="284"/>
        <v>0</v>
      </c>
      <c r="AA153" s="13">
        <f t="shared" si="284"/>
        <v>0</v>
      </c>
      <c r="AB153" s="13">
        <f t="shared" si="284"/>
        <v>1319</v>
      </c>
      <c r="AC153" s="68">
        <f t="shared" si="250"/>
        <v>-61</v>
      </c>
      <c r="AD153" s="268">
        <f t="shared" si="251"/>
        <v>1.0484896661367249</v>
      </c>
      <c r="AE153" s="13">
        <f t="shared" si="241"/>
        <v>0</v>
      </c>
      <c r="AF153" s="13">
        <f t="shared" si="285"/>
        <v>0</v>
      </c>
      <c r="AG153" s="13">
        <f t="shared" si="285"/>
        <v>1294</v>
      </c>
      <c r="AH153" s="13">
        <f t="shared" si="285"/>
        <v>0</v>
      </c>
      <c r="AI153" s="13">
        <f t="shared" si="285"/>
        <v>0</v>
      </c>
      <c r="AJ153" s="13">
        <f t="shared" si="285"/>
        <v>1294</v>
      </c>
      <c r="AK153" s="68">
        <f t="shared" si="252"/>
        <v>-1294</v>
      </c>
      <c r="AL153" s="268">
        <f t="shared" si="253"/>
        <v>0</v>
      </c>
      <c r="AM153" s="13">
        <f t="shared" si="242"/>
        <v>0</v>
      </c>
      <c r="AN153" s="13">
        <f t="shared" si="286"/>
        <v>0</v>
      </c>
      <c r="AO153" s="13">
        <f t="shared" si="286"/>
        <v>0</v>
      </c>
      <c r="AP153" s="13">
        <f t="shared" si="286"/>
        <v>0</v>
      </c>
      <c r="AQ153" s="13">
        <f t="shared" si="286"/>
        <v>0</v>
      </c>
      <c r="AR153" s="13">
        <f t="shared" si="286"/>
        <v>0</v>
      </c>
      <c r="AS153" s="13">
        <f t="shared" si="286"/>
        <v>0</v>
      </c>
      <c r="AT153" s="68">
        <f>AM153-AS153</f>
        <v>0</v>
      </c>
      <c r="AU153" s="268">
        <f t="shared" si="254"/>
        <v>0</v>
      </c>
      <c r="AV153" s="13">
        <f t="shared" si="243"/>
        <v>0</v>
      </c>
      <c r="AW153" s="13">
        <f t="shared" si="222"/>
        <v>0</v>
      </c>
      <c r="AX153" s="13">
        <f t="shared" si="222"/>
        <v>0</v>
      </c>
      <c r="AY153" s="13">
        <f t="shared" si="222"/>
        <v>0</v>
      </c>
      <c r="AZ153" s="13">
        <f t="shared" si="222"/>
        <v>2651</v>
      </c>
      <c r="BA153" s="13">
        <f t="shared" si="223"/>
        <v>2651</v>
      </c>
      <c r="BB153" s="68">
        <f t="shared" si="255"/>
        <v>-2651</v>
      </c>
      <c r="BC153" s="268">
        <f t="shared" si="256"/>
        <v>0</v>
      </c>
      <c r="BD153" s="13">
        <f t="shared" si="257"/>
        <v>1258</v>
      </c>
      <c r="BE153" s="13">
        <f>SUMIFS(SALIDAS_BIT,FECHA_BIT,"&gt;="&amp;BE$2,FECHA_BIT,"&lt;="&amp;BE$3,CLAVE_BIT,$A153)+SUMIFS(SALIDAS_BOV1,FECHA_BOV1,"&gt;="&amp;BE$2,FECHA_BOV1,"&lt;="&amp;BE$3,CLAVE_BOV1,$A153)+SUMIFS(SALIDAS_BOV2,FECHA_BOV2,"&gt;="&amp;BE$2,FECHA_BOV2,"&lt;="&amp;BE$3,CLAVE_BOV2,$A153)+SUMIFS(SALIDAS_BOV3,FECHA_BOV3,"&gt;="&amp;BE$2,FECHA_BOV3,"&lt;="&amp;BE$3,CLAVE_BOV3,$A153)+SUMIFS(SALIDAS_TC,FECHA_TC,"&gt;="&amp;BE$2,FECHA_TC,"&lt;="&amp;BE$3,CLAVE_TC,$A153)+SUMIFS(SALIDAS_COMB,FECHA_COMB,"&gt;="&amp;BE$2,FECHA_COMB,"&lt;="&amp;BE$3,CLAVE_COMB,$A153)+SUMIFS(SALIDAS_DES,FECHA_DESGLOSEN,"&gt;="&amp;BE$2,FECHA_DESGLOSEN,"&lt;="&amp;BE$3,CLAVE_DESGLOSE,$A153)</f>
        <v>0</v>
      </c>
      <c r="BF153" s="13">
        <f>SUMIFS(SALIDAS_BIT,FECHA_BIT,"&gt;="&amp;BF$2,FECHA_BIT,"&lt;="&amp;BF$3,CLAVE_BIT,$A153)+SUMIFS(SALIDAS_BOV1,FECHA_BOV1,"&gt;="&amp;BF$2,FECHA_BOV1,"&lt;="&amp;BF$3,CLAVE_BOV1,$A153)+SUMIFS(SALIDAS_BOV2,FECHA_BOV2,"&gt;="&amp;BF$2,FECHA_BOV2,"&lt;="&amp;BF$3,CLAVE_BOV2,$A153)+SUMIFS(SALIDAS_BOV3,FECHA_BOV3,"&gt;="&amp;BF$2,FECHA_BOV3,"&lt;="&amp;BF$3,CLAVE_BOV3,$A153)+SUMIFS(SALIDAS_TC,FECHA_TC,"&gt;="&amp;BF$2,FECHA_TC,"&lt;="&amp;BF$3,CLAVE_TC,$A153)+SUMIFS(SALIDAS_COMB,FECHA_COMB,"&gt;="&amp;BF$2,FECHA_COMB,"&lt;="&amp;BF$3,CLAVE_COMB,$A153)+SUMIFS(SALIDAS_DES,FECHA_DESGLOSEN,"&gt;="&amp;BF$2,FECHA_DESGLOSEN,"&lt;="&amp;BF$3,CLAVE_DESGLOSE,$A153)</f>
        <v>0</v>
      </c>
      <c r="BG153" s="13">
        <f>SUMIFS(SALIDAS_BIT,FECHA_BIT,"&gt;="&amp;BG$2,FECHA_BIT,"&lt;="&amp;BG$3,CLAVE_BIT,$A153)+SUMIFS(SALIDAS_BOV1,FECHA_BOV1,"&gt;="&amp;BG$2,FECHA_BOV1,"&lt;="&amp;BG$3,CLAVE_BOV1,$A153)+SUMIFS(SALIDAS_BOV2,FECHA_BOV2,"&gt;="&amp;BG$2,FECHA_BOV2,"&lt;="&amp;BG$3,CLAVE_BOV2,$A153)+SUMIFS(SALIDAS_BOV3,FECHA_BOV3,"&gt;="&amp;BG$2,FECHA_BOV3,"&lt;="&amp;BG$3,CLAVE_BOV3,$A153)+SUMIFS(SALIDAS_TC,FECHA_TC,"&gt;="&amp;BG$2,FECHA_TC,"&lt;="&amp;BG$3,CLAVE_TC,$A153)+SUMIFS(SALIDAS_COMB,FECHA_COMB,"&gt;="&amp;BG$2,FECHA_COMB,"&lt;="&amp;BG$3,CLAVE_COMB,$A153)+SUMIFS(SALIDAS_DES,FECHA_DESGLOSEN,"&gt;="&amp;BG$2,FECHA_DESGLOSEN,"&lt;="&amp;BG$3,CLAVE_DESGLOSE,$A153)</f>
        <v>0</v>
      </c>
      <c r="BH153" s="13">
        <f>SUMIFS(SALIDAS_BIT,FECHA_BIT,"&gt;="&amp;BH$2,FECHA_BIT,"&lt;="&amp;BH$3,CLAVE_BIT,$A153)+SUMIFS(SALIDAS_BOV1,FECHA_BOV1,"&gt;="&amp;BH$2,FECHA_BOV1,"&lt;="&amp;BH$3,CLAVE_BOV1,$A153)+SUMIFS(SALIDAS_BOV2,FECHA_BOV2,"&gt;="&amp;BH$2,FECHA_BOV2,"&lt;="&amp;BH$3,CLAVE_BOV2,$A153)+SUMIFS(SALIDAS_BOV3,FECHA_BOV3,"&gt;="&amp;BH$2,FECHA_BOV3,"&lt;="&amp;BH$3,CLAVE_BOV3,$A153)+SUMIFS(SALIDAS_TC,FECHA_TC,"&gt;="&amp;BH$2,FECHA_TC,"&lt;="&amp;BH$3,CLAVE_TC,$A153)+SUMIFS(SALIDAS_COMB,FECHA_COMB,"&gt;="&amp;BH$2,FECHA_COMB,"&lt;="&amp;BH$3,CLAVE_COMB,$A153)+SUMIFS(SALIDAS_DES,FECHA_DESGLOSEN,"&gt;="&amp;BH$2,FECHA_DESGLOSEN,"&lt;="&amp;BH$3,CLAVE_DESGLOSE,$A153)</f>
        <v>0</v>
      </c>
      <c r="BI153" s="13">
        <f t="shared" si="215"/>
        <v>0</v>
      </c>
      <c r="BJ153" s="68">
        <f t="shared" si="258"/>
        <v>1258</v>
      </c>
      <c r="BK153" s="268">
        <f t="shared" si="259"/>
        <v>0</v>
      </c>
      <c r="BL153" s="13">
        <f t="shared" si="260"/>
        <v>1258</v>
      </c>
      <c r="BM153" s="13">
        <f>SUMIFS(SALIDAS_BIT,FECHA_BIT,"&gt;="&amp;BM$2,FECHA_BIT,"&lt;="&amp;BM$3,CLAVE_BIT,$A153)+SUMIFS(SALIDAS_BOV1,FECHA_BOV1,"&gt;="&amp;BM$2,FECHA_BOV1,"&lt;="&amp;BM$3,CLAVE_BOV1,$A153)+SUMIFS(SALIDAS_BOV2,FECHA_BOV2,"&gt;="&amp;BM$2,FECHA_BOV2,"&lt;="&amp;BM$3,CLAVE_BOV2,$A153)+SUMIFS(SALIDAS_BOV3,FECHA_BOV3,"&gt;="&amp;BM$2,FECHA_BOV3,"&lt;="&amp;BM$3,CLAVE_BOV3,$A153)+SUMIFS(SALIDAS_TC,FECHA_TC,"&gt;="&amp;BM$2,FECHA_TC,"&lt;="&amp;BM$3,CLAVE_TC,$A153)+SUMIFS(SALIDAS_COMB,FECHA_COMB,"&gt;="&amp;BM$2,FECHA_COMB,"&lt;="&amp;BM$3,CLAVE_COMB,$A153)+SUMIFS(SALIDAS_DES,FECHA_DESGLOSEN,"&gt;="&amp;BM$2,FECHA_DESGLOSEN,"&lt;="&amp;BM$3,CLAVE_DESGLOSE,$A153)</f>
        <v>1331</v>
      </c>
      <c r="BN153" s="13">
        <f>SUMIFS(SALIDAS_BIT,FECHA_BIT,"&gt;="&amp;BN$2,FECHA_BIT,"&lt;="&amp;BN$3,CLAVE_BIT,$A153)+SUMIFS(SALIDAS_BOV1,FECHA_BOV1,"&gt;="&amp;BN$2,FECHA_BOV1,"&lt;="&amp;BN$3,CLAVE_BOV1,$A153)+SUMIFS(SALIDAS_BOV2,FECHA_BOV2,"&gt;="&amp;BN$2,FECHA_BOV2,"&lt;="&amp;BN$3,CLAVE_BOV2,$A153)+SUMIFS(SALIDAS_BOV3,FECHA_BOV3,"&gt;="&amp;BN$2,FECHA_BOV3,"&lt;="&amp;BN$3,CLAVE_BOV3,$A153)+SUMIFS(SALIDAS_TC,FECHA_TC,"&gt;="&amp;BN$2,FECHA_TC,"&lt;="&amp;BN$3,CLAVE_TC,$A153)+SUMIFS(SALIDAS_COMB,FECHA_COMB,"&gt;="&amp;BN$2,FECHA_COMB,"&lt;="&amp;BN$3,CLAVE_COMB,$A153)+SUMIFS(SALIDAS_DES,FECHA_DESGLOSEN,"&gt;="&amp;BN$2,FECHA_DESGLOSEN,"&lt;="&amp;BN$3,CLAVE_DESGLOSE,$A153)</f>
        <v>0</v>
      </c>
      <c r="BO153" s="13">
        <f>SUMIFS(SALIDAS_BIT,FECHA_BIT,"&gt;="&amp;BO$2,FECHA_BIT,"&lt;="&amp;BO$3,CLAVE_BIT,$A153)+SUMIFS(SALIDAS_BOV1,FECHA_BOV1,"&gt;="&amp;BO$2,FECHA_BOV1,"&lt;="&amp;BO$3,CLAVE_BOV1,$A153)+SUMIFS(SALIDAS_BOV2,FECHA_BOV2,"&gt;="&amp;BO$2,FECHA_BOV2,"&lt;="&amp;BO$3,CLAVE_BOV2,$A153)+SUMIFS(SALIDAS_BOV3,FECHA_BOV3,"&gt;="&amp;BO$2,FECHA_BOV3,"&lt;="&amp;BO$3,CLAVE_BOV3,$A153)+SUMIFS(SALIDAS_TC,FECHA_TC,"&gt;="&amp;BO$2,FECHA_TC,"&lt;="&amp;BO$3,CLAVE_TC,$A153)+SUMIFS(SALIDAS_COMB,FECHA_COMB,"&gt;="&amp;BO$2,FECHA_COMB,"&lt;="&amp;BO$3,CLAVE_COMB,$A153)+SUMIFS(SALIDAS_DES,FECHA_DESGLOSEN,"&gt;="&amp;BO$2,FECHA_DESGLOSEN,"&lt;="&amp;BO$3,CLAVE_DESGLOSE,$A153)</f>
        <v>0</v>
      </c>
      <c r="BP153" s="13">
        <f>SUMIFS(SALIDAS_BIT,FECHA_BIT,"&gt;="&amp;BP$2,FECHA_BIT,"&lt;="&amp;BP$3,CLAVE_BIT,$A153)+SUMIFS(SALIDAS_BOV1,FECHA_BOV1,"&gt;="&amp;BP$2,FECHA_BOV1,"&lt;="&amp;BP$3,CLAVE_BOV1,$A153)+SUMIFS(SALIDAS_BOV2,FECHA_BOV2,"&gt;="&amp;BP$2,FECHA_BOV2,"&lt;="&amp;BP$3,CLAVE_BOV2,$A153)+SUMIFS(SALIDAS_BOV3,FECHA_BOV3,"&gt;="&amp;BP$2,FECHA_BOV3,"&lt;="&amp;BP$3,CLAVE_BOV3,$A153)+SUMIFS(SALIDAS_TC,FECHA_TC,"&gt;="&amp;BP$2,FECHA_TC,"&lt;="&amp;BP$3,CLAVE_TC,$A153)+SUMIFS(SALIDAS_COMB,FECHA_COMB,"&gt;="&amp;BP$2,FECHA_COMB,"&lt;="&amp;BP$3,CLAVE_COMB,$A153)+SUMIFS(SALIDAS_DES,FECHA_DESGLOSEN,"&gt;="&amp;BP$2,FECHA_DESGLOSEN,"&lt;="&amp;BP$3,CLAVE_DESGLOSE,$A153)</f>
        <v>1341</v>
      </c>
      <c r="BQ153" s="13">
        <f>SUMIFS(SALIDAS_BIT,FECHA_BIT,"&gt;="&amp;BQ$2,FECHA_BIT,"&lt;="&amp;BQ$3,CLAVE_BIT,$A153)+SUMIFS(SALIDAS_BOV1,FECHA_BOV1,"&gt;="&amp;BQ$2,FECHA_BOV1,"&lt;="&amp;BQ$3,CLAVE_BOV1,$A153)+SUMIFS(SALIDAS_BOV2,FECHA_BOV2,"&gt;="&amp;BQ$2,FECHA_BOV2,"&lt;="&amp;BQ$3,CLAVE_BOV2,$A153)+SUMIFS(SALIDAS_BOV3,FECHA_BOV3,"&gt;="&amp;BQ$2,FECHA_BOV3,"&lt;="&amp;BQ$3,CLAVE_BOV3,$A153)+SUMIFS(SALIDAS_TC,FECHA_TC,"&gt;="&amp;BQ$2,FECHA_TC,"&lt;="&amp;BQ$3,CLAVE_TC,$A153)+SUMIFS(SALIDAS_COMB,FECHA_COMB,"&gt;="&amp;BQ$2,FECHA_COMB,"&lt;="&amp;BQ$3,CLAVE_COMB,$A153)+SUMIFS(SALIDAS_DES,FECHA_DESGLOSEN,"&gt;="&amp;BQ$2,FECHA_DESGLOSEN,"&lt;="&amp;BQ$3,CLAVE_DESGLOSE,$A153)</f>
        <v>0</v>
      </c>
      <c r="BR153" s="13">
        <f t="shared" si="287"/>
        <v>2672</v>
      </c>
      <c r="BS153" s="68">
        <f t="shared" si="261"/>
        <v>-1414</v>
      </c>
      <c r="BT153" s="268">
        <f t="shared" si="262"/>
        <v>2.124006359300477</v>
      </c>
      <c r="BU153" s="13">
        <f t="shared" si="263"/>
        <v>500</v>
      </c>
      <c r="BV153" s="13">
        <f t="shared" si="291"/>
        <v>0</v>
      </c>
      <c r="BW153" s="13">
        <f t="shared" si="291"/>
        <v>0</v>
      </c>
      <c r="BX153" s="13">
        <f t="shared" si="291"/>
        <v>0</v>
      </c>
      <c r="BY153" s="13">
        <f t="shared" si="291"/>
        <v>0</v>
      </c>
      <c r="BZ153" s="13">
        <f t="shared" si="288"/>
        <v>0</v>
      </c>
      <c r="CA153" s="68">
        <f t="shared" si="264"/>
        <v>500</v>
      </c>
      <c r="CB153" s="268">
        <f t="shared" si="265"/>
        <v>0</v>
      </c>
      <c r="CC153" s="13">
        <f t="shared" si="266"/>
        <v>500</v>
      </c>
      <c r="CD153" s="13">
        <f t="shared" si="292"/>
        <v>0</v>
      </c>
      <c r="CE153" s="13">
        <f t="shared" si="292"/>
        <v>0</v>
      </c>
      <c r="CF153" s="13">
        <f t="shared" si="292"/>
        <v>0</v>
      </c>
      <c r="CG153" s="13">
        <f t="shared" si="292"/>
        <v>0</v>
      </c>
      <c r="CH153" s="13">
        <f t="shared" si="289"/>
        <v>0</v>
      </c>
      <c r="CI153" s="68">
        <f t="shared" si="267"/>
        <v>500</v>
      </c>
      <c r="CJ153" s="268">
        <f t="shared" si="268"/>
        <v>0</v>
      </c>
      <c r="CK153" s="13">
        <f t="shared" si="269"/>
        <v>500</v>
      </c>
      <c r="CL153" s="13">
        <f t="shared" si="228"/>
        <v>0</v>
      </c>
      <c r="CM153" s="13">
        <f t="shared" si="228"/>
        <v>0</v>
      </c>
      <c r="CN153" s="13">
        <f t="shared" si="228"/>
        <v>0</v>
      </c>
      <c r="CO153" s="13">
        <f t="shared" si="228"/>
        <v>0</v>
      </c>
      <c r="CP153" s="13">
        <f t="shared" si="228"/>
        <v>0</v>
      </c>
      <c r="CQ153" s="13">
        <f t="shared" si="290"/>
        <v>0</v>
      </c>
      <c r="CR153" s="68">
        <f t="shared" si="270"/>
        <v>500</v>
      </c>
      <c r="CS153" s="268">
        <f t="shared" si="271"/>
        <v>0</v>
      </c>
      <c r="CT153" s="68">
        <f t="shared" si="244"/>
        <v>1100</v>
      </c>
      <c r="CU153" s="13">
        <f>SUMIFS(SALIDAS_BIT,FECHA_BIT,"&gt;="&amp;CU$2,FECHA_BIT,"&lt;="&amp;CU$3,CLAVE_BIT,$A153)+SUMIFS(SALIDAS_BOV1,FECHA_BOV1,"&gt;="&amp;CU$2,FECHA_BOV1,"&lt;="&amp;CU$3,CLAVE_BOV1,$A153)+SUMIFS(SALIDAS_BOV2,FECHA_BOV2,"&gt;="&amp;CU$2,FECHA_BOV2,"&lt;="&amp;CU$3,CLAVE_BOV2,$A153)+SUMIFS(SALIDAS_BOV3,FECHA_BOV3,"&gt;="&amp;CU$2,FECHA_BOV3,"&lt;="&amp;CU$3,CLAVE_BOV3,$A153)+SUMIFS(SALIDAS_TC,FECHA_TC,"&gt;="&amp;CU$2,FECHA_TC,"&lt;="&amp;CU$3,CLAVE_TC,$A153)+SUMIFS(SALIDAS_COMB,FECHA_COMB,"&gt;="&amp;CU$2,FECHA_COMB,"&lt;="&amp;CU$3,CLAVE_COMB,$A153)+SUMIFS(SALIDAS_DES,FECHA_DESGLOSEN,"&gt;="&amp;CU$2,FECHA_DESGLOSEN,"&lt;="&amp;CU$3,CLAVE_DESGLOSE,$A153)</f>
        <v>0</v>
      </c>
      <c r="CV153" s="13">
        <f>SUMIFS(SALIDAS_BIT,FECHA_BIT,"&gt;="&amp;CV$2,FECHA_BIT,"&lt;="&amp;CV$3,CLAVE_BIT,$A153)+SUMIFS(SALIDAS_BOV1,FECHA_BOV1,"&gt;="&amp;CV$2,FECHA_BOV1,"&lt;="&amp;CV$3,CLAVE_BOV1,$A153)+SUMIFS(SALIDAS_BOV2,FECHA_BOV2,"&gt;="&amp;CV$2,FECHA_BOV2,"&lt;="&amp;CV$3,CLAVE_BOV2,$A153)+SUMIFS(SALIDAS_BOV3,FECHA_BOV3,"&gt;="&amp;CV$2,FECHA_BOV3,"&lt;="&amp;CV$3,CLAVE_BOV3,$A153)+SUMIFS(SALIDAS_TC,FECHA_TC,"&gt;="&amp;CV$2,FECHA_TC,"&lt;="&amp;CV$3,CLAVE_TC,$A153)+SUMIFS(SALIDAS_COMB,FECHA_COMB,"&gt;="&amp;CV$2,FECHA_COMB,"&lt;="&amp;CV$3,CLAVE_COMB,$A153)+SUMIFS(SALIDAS_DES,FECHA_DESGLOSEN,"&gt;="&amp;CV$2,FECHA_DESGLOSEN,"&lt;="&amp;CV$3,CLAVE_DESGLOSE,$A153)</f>
        <v>0</v>
      </c>
      <c r="CW153" s="13">
        <f>SUMIFS(SALIDAS_BIT,FECHA_BIT,"&gt;="&amp;CW$2,FECHA_BIT,"&lt;="&amp;CW$3,CLAVE_BIT,$A153)+SUMIFS(SALIDAS_BOV1,FECHA_BOV1,"&gt;="&amp;CW$2,FECHA_BOV1,"&lt;="&amp;CW$3,CLAVE_BOV1,$A153)+SUMIFS(SALIDAS_BOV2,FECHA_BOV2,"&gt;="&amp;CW$2,FECHA_BOV2,"&lt;="&amp;CW$3,CLAVE_BOV2,$A153)+SUMIFS(SALIDAS_BOV3,FECHA_BOV3,"&gt;="&amp;CW$2,FECHA_BOV3,"&lt;="&amp;CW$3,CLAVE_BOV3,$A153)+SUMIFS(SALIDAS_TC,FECHA_TC,"&gt;="&amp;CW$2,FECHA_TC,"&lt;="&amp;CW$3,CLAVE_TC,$A153)+SUMIFS(SALIDAS_COMB,FECHA_COMB,"&gt;="&amp;CW$2,FECHA_COMB,"&lt;="&amp;CW$3,CLAVE_COMB,$A153)+SUMIFS(SALIDAS_DES,FECHA_DESGLOSEN,"&gt;="&amp;CW$2,FECHA_DESGLOSEN,"&lt;="&amp;CW$3,CLAVE_DESGLOSE,$A153)</f>
        <v>0</v>
      </c>
      <c r="CX153" s="13">
        <f>SUMIFS(SALIDAS_BIT,FECHA_BIT,"&gt;="&amp;CX$2,FECHA_BIT,"&lt;="&amp;CX$3,CLAVE_BIT,$A153)+SUMIFS(SALIDAS_BOV1,FECHA_BOV1,"&gt;="&amp;CX$2,FECHA_BOV1,"&lt;="&amp;CX$3,CLAVE_BOV1,$A153)+SUMIFS(SALIDAS_BOV2,FECHA_BOV2,"&gt;="&amp;CX$2,FECHA_BOV2,"&lt;="&amp;CX$3,CLAVE_BOV2,$A153)+SUMIFS(SALIDAS_BOV3,FECHA_BOV3,"&gt;="&amp;CX$2,FECHA_BOV3,"&lt;="&amp;CX$3,CLAVE_BOV3,$A153)+SUMIFS(SALIDAS_TC,FECHA_TC,"&gt;="&amp;CX$2,FECHA_TC,"&lt;="&amp;CX$3,CLAVE_TC,$A153)+SUMIFS(SALIDAS_COMB,FECHA_COMB,"&gt;="&amp;CX$2,FECHA_COMB,"&lt;="&amp;CX$3,CLAVE_COMB,$A153)+SUMIFS(SALIDAS_DES,FECHA_DESGLOSEN,"&gt;="&amp;CX$2,FECHA_DESGLOSEN,"&lt;="&amp;CX$3,CLAVE_DESGLOSE,$A153)</f>
        <v>0</v>
      </c>
      <c r="CY153" s="13">
        <f>SUMIFS(SALIDAS_BIT,FECHA_BIT,"&gt;="&amp;CY$2,FECHA_BIT,"&lt;="&amp;CY$3,CLAVE_BIT,$A153)+SUMIFS(SALIDAS_BOV1,FECHA_BOV1,"&gt;="&amp;CY$2,FECHA_BOV1,"&lt;="&amp;CY$3,CLAVE_BOV1,$A153)+SUMIFS(SALIDAS_BOV2,FECHA_BOV2,"&gt;="&amp;CY$2,FECHA_BOV2,"&lt;="&amp;CY$3,CLAVE_BOV2,$A153)+SUMIFS(SALIDAS_BOV3,FECHA_BOV3,"&gt;="&amp;CY$2,FECHA_BOV3,"&lt;="&amp;CY$3,CLAVE_BOV3,$A153)+SUMIFS(SALIDAS_TC,FECHA_TC,"&gt;="&amp;CY$2,FECHA_TC,"&lt;="&amp;CY$3,CLAVE_TC,$A153)+SUMIFS(SALIDAS_COMB,FECHA_COMB,"&gt;="&amp;CY$2,FECHA_COMB,"&lt;="&amp;CY$3,CLAVE_COMB,$A153)+SUMIFS(SALIDAS_DES,FECHA_DESGLOSEN,"&gt;="&amp;CY$2,FECHA_DESGLOSEN,"&lt;="&amp;CY$3,CLAVE_DESGLOSE,$A153)</f>
        <v>0</v>
      </c>
      <c r="CZ153" s="68">
        <f t="shared" si="272"/>
        <v>1100</v>
      </c>
      <c r="DB153" s="17">
        <f>F153+N153+W153+AE153+AM153+AV153+BD153+BL153+BU153+CC153+CK153</f>
        <v>9047</v>
      </c>
      <c r="DC153" s="17">
        <f>K153+T153+AB153+AJ153+AS153+BA153+BI153+BR153+BZ153+CH153+CQ153</f>
        <v>9641</v>
      </c>
    </row>
    <row r="154" spans="1:107" hidden="1">
      <c r="A154" s="12" t="str">
        <f t="shared" si="245"/>
        <v>HRJMASA22</v>
      </c>
      <c r="B154" s="12">
        <v>156</v>
      </c>
      <c r="C154" t="s">
        <v>29</v>
      </c>
      <c r="D154" s="12" t="s">
        <v>137</v>
      </c>
      <c r="E154" s="12" t="s">
        <v>104</v>
      </c>
      <c r="F154" s="259">
        <f t="shared" si="238"/>
        <v>343</v>
      </c>
      <c r="G154" s="13">
        <f t="shared" si="282"/>
        <v>0</v>
      </c>
      <c r="H154" s="13">
        <f t="shared" si="282"/>
        <v>0</v>
      </c>
      <c r="I154" s="13">
        <f t="shared" si="282"/>
        <v>0</v>
      </c>
      <c r="J154" s="13">
        <f t="shared" si="282"/>
        <v>0</v>
      </c>
      <c r="K154" s="13">
        <f t="shared" si="282"/>
        <v>0</v>
      </c>
      <c r="L154" s="68">
        <f t="shared" si="246"/>
        <v>343</v>
      </c>
      <c r="M154" s="268">
        <f t="shared" si="247"/>
        <v>0</v>
      </c>
      <c r="N154" s="13">
        <f t="shared" si="239"/>
        <v>343</v>
      </c>
      <c r="O154" s="13">
        <f t="shared" si="283"/>
        <v>0</v>
      </c>
      <c r="P154" s="13">
        <f t="shared" si="283"/>
        <v>897</v>
      </c>
      <c r="Q154" s="13">
        <f t="shared" si="283"/>
        <v>0</v>
      </c>
      <c r="R154" s="13">
        <f t="shared" si="283"/>
        <v>0</v>
      </c>
      <c r="S154" s="13">
        <f t="shared" si="283"/>
        <v>0</v>
      </c>
      <c r="T154" s="13">
        <f t="shared" si="283"/>
        <v>897</v>
      </c>
      <c r="U154" s="68">
        <f t="shared" si="248"/>
        <v>-554</v>
      </c>
      <c r="V154" s="268">
        <f t="shared" si="249"/>
        <v>2.6151603498542273</v>
      </c>
      <c r="W154" s="13">
        <f t="shared" si="240"/>
        <v>343</v>
      </c>
      <c r="X154" s="13">
        <f t="shared" si="284"/>
        <v>0</v>
      </c>
      <c r="Y154" s="13">
        <f t="shared" si="284"/>
        <v>0</v>
      </c>
      <c r="Z154" s="13">
        <f t="shared" si="284"/>
        <v>0</v>
      </c>
      <c r="AA154" s="13">
        <f t="shared" si="284"/>
        <v>0</v>
      </c>
      <c r="AB154" s="13">
        <f t="shared" si="284"/>
        <v>0</v>
      </c>
      <c r="AC154" s="68">
        <f t="shared" si="250"/>
        <v>343</v>
      </c>
      <c r="AD154" s="268">
        <f t="shared" si="251"/>
        <v>0</v>
      </c>
      <c r="AE154" s="13">
        <f t="shared" si="241"/>
        <v>343</v>
      </c>
      <c r="AF154" s="13">
        <f t="shared" si="285"/>
        <v>0</v>
      </c>
      <c r="AG154" s="13">
        <f t="shared" si="285"/>
        <v>1475</v>
      </c>
      <c r="AH154" s="13">
        <f t="shared" si="285"/>
        <v>0</v>
      </c>
      <c r="AI154" s="13">
        <f t="shared" si="285"/>
        <v>0</v>
      </c>
      <c r="AJ154" s="13">
        <f t="shared" si="285"/>
        <v>1475</v>
      </c>
      <c r="AK154" s="68">
        <f t="shared" si="252"/>
        <v>-1132</v>
      </c>
      <c r="AL154" s="268">
        <f t="shared" si="253"/>
        <v>4.3002915451895047</v>
      </c>
      <c r="AM154" s="13">
        <f t="shared" si="242"/>
        <v>0</v>
      </c>
      <c r="AN154" s="13">
        <f t="shared" si="286"/>
        <v>0</v>
      </c>
      <c r="AO154" s="13">
        <f t="shared" si="286"/>
        <v>667</v>
      </c>
      <c r="AP154" s="13">
        <f t="shared" si="286"/>
        <v>0</v>
      </c>
      <c r="AQ154" s="13">
        <f t="shared" si="286"/>
        <v>0</v>
      </c>
      <c r="AR154" s="13">
        <f t="shared" si="286"/>
        <v>0</v>
      </c>
      <c r="AS154" s="13">
        <f t="shared" si="286"/>
        <v>667</v>
      </c>
      <c r="AT154" s="68">
        <f>AM154-AS154</f>
        <v>-667</v>
      </c>
      <c r="AU154" s="268">
        <f t="shared" si="254"/>
        <v>0</v>
      </c>
      <c r="AV154" s="13">
        <f t="shared" si="243"/>
        <v>125</v>
      </c>
      <c r="AW154" s="13">
        <f t="shared" si="222"/>
        <v>0</v>
      </c>
      <c r="AX154" s="13">
        <f t="shared" si="222"/>
        <v>0</v>
      </c>
      <c r="AY154" s="13">
        <f t="shared" si="222"/>
        <v>0</v>
      </c>
      <c r="AZ154" s="13">
        <f t="shared" si="222"/>
        <v>0</v>
      </c>
      <c r="BA154" s="13">
        <f t="shared" si="223"/>
        <v>0</v>
      </c>
      <c r="BB154" s="68">
        <f t="shared" si="255"/>
        <v>125</v>
      </c>
      <c r="BC154" s="268">
        <f t="shared" si="256"/>
        <v>0</v>
      </c>
      <c r="BD154" s="13">
        <f t="shared" si="257"/>
        <v>19690</v>
      </c>
      <c r="BE154" s="13">
        <f>SUMIFS(SALIDAS_BIT,FECHA_BIT,"&gt;="&amp;BE$2,FECHA_BIT,"&lt;="&amp;BE$3,CLAVE_BIT,$A154)+SUMIFS(SALIDAS_BOV1,FECHA_BOV1,"&gt;="&amp;BE$2,FECHA_BOV1,"&lt;="&amp;BE$3,CLAVE_BOV1,$A154)+SUMIFS(SALIDAS_BOV2,FECHA_BOV2,"&gt;="&amp;BE$2,FECHA_BOV2,"&lt;="&amp;BE$3,CLAVE_BOV2,$A154)+SUMIFS(SALIDAS_BOV3,FECHA_BOV3,"&gt;="&amp;BE$2,FECHA_BOV3,"&lt;="&amp;BE$3,CLAVE_BOV3,$A154)+SUMIFS(SALIDAS_TC,FECHA_TC,"&gt;="&amp;BE$2,FECHA_TC,"&lt;="&amp;BE$3,CLAVE_TC,$A154)+SUMIFS(SALIDAS_COMB,FECHA_COMB,"&gt;="&amp;BE$2,FECHA_COMB,"&lt;="&amp;BE$3,CLAVE_COMB,$A154)+SUMIFS(SALIDAS_DES,FECHA_DESGLOSEN,"&gt;="&amp;BE$2,FECHA_DESGLOSEN,"&lt;="&amp;BE$3,CLAVE_DESGLOSE,$A154)</f>
        <v>0</v>
      </c>
      <c r="BF154" s="13">
        <f>SUMIFS(SALIDAS_BIT,FECHA_BIT,"&gt;="&amp;BF$2,FECHA_BIT,"&lt;="&amp;BF$3,CLAVE_BIT,$A154)+SUMIFS(SALIDAS_BOV1,FECHA_BOV1,"&gt;="&amp;BF$2,FECHA_BOV1,"&lt;="&amp;BF$3,CLAVE_BOV1,$A154)+SUMIFS(SALIDAS_BOV2,FECHA_BOV2,"&gt;="&amp;BF$2,FECHA_BOV2,"&lt;="&amp;BF$3,CLAVE_BOV2,$A154)+SUMIFS(SALIDAS_BOV3,FECHA_BOV3,"&gt;="&amp;BF$2,FECHA_BOV3,"&lt;="&amp;BF$3,CLAVE_BOV3,$A154)+SUMIFS(SALIDAS_TC,FECHA_TC,"&gt;="&amp;BF$2,FECHA_TC,"&lt;="&amp;BF$3,CLAVE_TC,$A154)+SUMIFS(SALIDAS_COMB,FECHA_COMB,"&gt;="&amp;BF$2,FECHA_COMB,"&lt;="&amp;BF$3,CLAVE_COMB,$A154)+SUMIFS(SALIDAS_DES,FECHA_DESGLOSEN,"&gt;="&amp;BF$2,FECHA_DESGLOSEN,"&lt;="&amp;BF$3,CLAVE_DESGLOSE,$A154)</f>
        <v>0</v>
      </c>
      <c r="BG154" s="13">
        <f>SUMIFS(SALIDAS_BIT,FECHA_BIT,"&gt;="&amp;BG$2,FECHA_BIT,"&lt;="&amp;BG$3,CLAVE_BIT,$A154)+SUMIFS(SALIDAS_BOV1,FECHA_BOV1,"&gt;="&amp;BG$2,FECHA_BOV1,"&lt;="&amp;BG$3,CLAVE_BOV1,$A154)+SUMIFS(SALIDAS_BOV2,FECHA_BOV2,"&gt;="&amp;BG$2,FECHA_BOV2,"&lt;="&amp;BG$3,CLAVE_BOV2,$A154)+SUMIFS(SALIDAS_BOV3,FECHA_BOV3,"&gt;="&amp;BG$2,FECHA_BOV3,"&lt;="&amp;BG$3,CLAVE_BOV3,$A154)+SUMIFS(SALIDAS_TC,FECHA_TC,"&gt;="&amp;BG$2,FECHA_TC,"&lt;="&amp;BG$3,CLAVE_TC,$A154)+SUMIFS(SALIDAS_COMB,FECHA_COMB,"&gt;="&amp;BG$2,FECHA_COMB,"&lt;="&amp;BG$3,CLAVE_COMB,$A154)+SUMIFS(SALIDAS_DES,FECHA_DESGLOSEN,"&gt;="&amp;BG$2,FECHA_DESGLOSEN,"&lt;="&amp;BG$3,CLAVE_DESGLOSE,$A154)</f>
        <v>0</v>
      </c>
      <c r="BH154" s="13">
        <f>SUMIFS(SALIDAS_BIT,FECHA_BIT,"&gt;="&amp;BH$2,FECHA_BIT,"&lt;="&amp;BH$3,CLAVE_BIT,$A154)+SUMIFS(SALIDAS_BOV1,FECHA_BOV1,"&gt;="&amp;BH$2,FECHA_BOV1,"&lt;="&amp;BH$3,CLAVE_BOV1,$A154)+SUMIFS(SALIDAS_BOV2,FECHA_BOV2,"&gt;="&amp;BH$2,FECHA_BOV2,"&lt;="&amp;BH$3,CLAVE_BOV2,$A154)+SUMIFS(SALIDAS_BOV3,FECHA_BOV3,"&gt;="&amp;BH$2,FECHA_BOV3,"&lt;="&amp;BH$3,CLAVE_BOV3,$A154)+SUMIFS(SALIDAS_TC,FECHA_TC,"&gt;="&amp;BH$2,FECHA_TC,"&lt;="&amp;BH$3,CLAVE_TC,$A154)+SUMIFS(SALIDAS_COMB,FECHA_COMB,"&gt;="&amp;BH$2,FECHA_COMB,"&lt;="&amp;BH$3,CLAVE_COMB,$A154)+SUMIFS(SALIDAS_DES,FECHA_DESGLOSEN,"&gt;="&amp;BH$2,FECHA_DESGLOSEN,"&lt;="&amp;BH$3,CLAVE_DESGLOSE,$A154)</f>
        <v>2604</v>
      </c>
      <c r="BI154" s="13">
        <f t="shared" si="215"/>
        <v>2604</v>
      </c>
      <c r="BJ154" s="68">
        <f t="shared" si="258"/>
        <v>17086</v>
      </c>
      <c r="BK154" s="268">
        <f t="shared" si="259"/>
        <v>0.13224987303199592</v>
      </c>
      <c r="BL154" s="13">
        <f t="shared" si="260"/>
        <v>0</v>
      </c>
      <c r="BM154" s="13">
        <f>SUMIFS(SALIDAS_BIT,FECHA_BIT,"&gt;="&amp;BM$2,FECHA_BIT,"&lt;="&amp;BM$3,CLAVE_BIT,$A154)+SUMIFS(SALIDAS_BOV1,FECHA_BOV1,"&gt;="&amp;BM$2,FECHA_BOV1,"&lt;="&amp;BM$3,CLAVE_BOV1,$A154)+SUMIFS(SALIDAS_BOV2,FECHA_BOV2,"&gt;="&amp;BM$2,FECHA_BOV2,"&lt;="&amp;BM$3,CLAVE_BOV2,$A154)+SUMIFS(SALIDAS_BOV3,FECHA_BOV3,"&gt;="&amp;BM$2,FECHA_BOV3,"&lt;="&amp;BM$3,CLAVE_BOV3,$A154)+SUMIFS(SALIDAS_TC,FECHA_TC,"&gt;="&amp;BM$2,FECHA_TC,"&lt;="&amp;BM$3,CLAVE_TC,$A154)+SUMIFS(SALIDAS_COMB,FECHA_COMB,"&gt;="&amp;BM$2,FECHA_COMB,"&lt;="&amp;BM$3,CLAVE_COMB,$A154)+SUMIFS(SALIDAS_DES,FECHA_DESGLOSEN,"&gt;="&amp;BM$2,FECHA_DESGLOSEN,"&lt;="&amp;BM$3,CLAVE_DESGLOSE,$A154)</f>
        <v>0</v>
      </c>
      <c r="BN154" s="13">
        <f>SUMIFS(SALIDAS_BIT,FECHA_BIT,"&gt;="&amp;BN$2,FECHA_BIT,"&lt;="&amp;BN$3,CLAVE_BIT,$A154)+SUMIFS(SALIDAS_BOV1,FECHA_BOV1,"&gt;="&amp;BN$2,FECHA_BOV1,"&lt;="&amp;BN$3,CLAVE_BOV1,$A154)+SUMIFS(SALIDAS_BOV2,FECHA_BOV2,"&gt;="&amp;BN$2,FECHA_BOV2,"&lt;="&amp;BN$3,CLAVE_BOV2,$A154)+SUMIFS(SALIDAS_BOV3,FECHA_BOV3,"&gt;="&amp;BN$2,FECHA_BOV3,"&lt;="&amp;BN$3,CLAVE_BOV3,$A154)+SUMIFS(SALIDAS_TC,FECHA_TC,"&gt;="&amp;BN$2,FECHA_TC,"&lt;="&amp;BN$3,CLAVE_TC,$A154)+SUMIFS(SALIDAS_COMB,FECHA_COMB,"&gt;="&amp;BN$2,FECHA_COMB,"&lt;="&amp;BN$3,CLAVE_COMB,$A154)+SUMIFS(SALIDAS_DES,FECHA_DESGLOSEN,"&gt;="&amp;BN$2,FECHA_DESGLOSEN,"&lt;="&amp;BN$3,CLAVE_DESGLOSE,$A154)</f>
        <v>0</v>
      </c>
      <c r="BO154" s="13">
        <f>SUMIFS(SALIDAS_BIT,FECHA_BIT,"&gt;="&amp;BO$2,FECHA_BIT,"&lt;="&amp;BO$3,CLAVE_BIT,$A154)+SUMIFS(SALIDAS_BOV1,FECHA_BOV1,"&gt;="&amp;BO$2,FECHA_BOV1,"&lt;="&amp;BO$3,CLAVE_BOV1,$A154)+SUMIFS(SALIDAS_BOV2,FECHA_BOV2,"&gt;="&amp;BO$2,FECHA_BOV2,"&lt;="&amp;BO$3,CLAVE_BOV2,$A154)+SUMIFS(SALIDAS_BOV3,FECHA_BOV3,"&gt;="&amp;BO$2,FECHA_BOV3,"&lt;="&amp;BO$3,CLAVE_BOV3,$A154)+SUMIFS(SALIDAS_TC,FECHA_TC,"&gt;="&amp;BO$2,FECHA_TC,"&lt;="&amp;BO$3,CLAVE_TC,$A154)+SUMIFS(SALIDAS_COMB,FECHA_COMB,"&gt;="&amp;BO$2,FECHA_COMB,"&lt;="&amp;BO$3,CLAVE_COMB,$A154)+SUMIFS(SALIDAS_DES,FECHA_DESGLOSEN,"&gt;="&amp;BO$2,FECHA_DESGLOSEN,"&lt;="&amp;BO$3,CLAVE_DESGLOSE,$A154)</f>
        <v>0</v>
      </c>
      <c r="BP154" s="13">
        <f>SUMIFS(SALIDAS_BIT,FECHA_BIT,"&gt;="&amp;BP$2,FECHA_BIT,"&lt;="&amp;BP$3,CLAVE_BIT,$A154)+SUMIFS(SALIDAS_BOV1,FECHA_BOV1,"&gt;="&amp;BP$2,FECHA_BOV1,"&lt;="&amp;BP$3,CLAVE_BOV1,$A154)+SUMIFS(SALIDAS_BOV2,FECHA_BOV2,"&gt;="&amp;BP$2,FECHA_BOV2,"&lt;="&amp;BP$3,CLAVE_BOV2,$A154)+SUMIFS(SALIDAS_BOV3,FECHA_BOV3,"&gt;="&amp;BP$2,FECHA_BOV3,"&lt;="&amp;BP$3,CLAVE_BOV3,$A154)+SUMIFS(SALIDAS_TC,FECHA_TC,"&gt;="&amp;BP$2,FECHA_TC,"&lt;="&amp;BP$3,CLAVE_TC,$A154)+SUMIFS(SALIDAS_COMB,FECHA_COMB,"&gt;="&amp;BP$2,FECHA_COMB,"&lt;="&amp;BP$3,CLAVE_COMB,$A154)+SUMIFS(SALIDAS_DES,FECHA_DESGLOSEN,"&gt;="&amp;BP$2,FECHA_DESGLOSEN,"&lt;="&amp;BP$3,CLAVE_DESGLOSE,$A154)</f>
        <v>0</v>
      </c>
      <c r="BQ154" s="13">
        <f>SUMIFS(SALIDAS_BIT,FECHA_BIT,"&gt;="&amp;BQ$2,FECHA_BIT,"&lt;="&amp;BQ$3,CLAVE_BIT,$A154)+SUMIFS(SALIDAS_BOV1,FECHA_BOV1,"&gt;="&amp;BQ$2,FECHA_BOV1,"&lt;="&amp;BQ$3,CLAVE_BOV1,$A154)+SUMIFS(SALIDAS_BOV2,FECHA_BOV2,"&gt;="&amp;BQ$2,FECHA_BOV2,"&lt;="&amp;BQ$3,CLAVE_BOV2,$A154)+SUMIFS(SALIDAS_BOV3,FECHA_BOV3,"&gt;="&amp;BQ$2,FECHA_BOV3,"&lt;="&amp;BQ$3,CLAVE_BOV3,$A154)+SUMIFS(SALIDAS_TC,FECHA_TC,"&gt;="&amp;BQ$2,FECHA_TC,"&lt;="&amp;BQ$3,CLAVE_TC,$A154)+SUMIFS(SALIDAS_COMB,FECHA_COMB,"&gt;="&amp;BQ$2,FECHA_COMB,"&lt;="&amp;BQ$3,CLAVE_COMB,$A154)+SUMIFS(SALIDAS_DES,FECHA_DESGLOSEN,"&gt;="&amp;BQ$2,FECHA_DESGLOSEN,"&lt;="&amp;BQ$3,CLAVE_DESGLOSE,$A154)</f>
        <v>0</v>
      </c>
      <c r="BR154" s="13">
        <f t="shared" si="287"/>
        <v>0</v>
      </c>
      <c r="BS154" s="68">
        <f t="shared" si="261"/>
        <v>0</v>
      </c>
      <c r="BT154" s="268">
        <f t="shared" si="262"/>
        <v>0</v>
      </c>
      <c r="BU154" s="13">
        <f t="shared" si="263"/>
        <v>450</v>
      </c>
      <c r="BV154" s="13">
        <f t="shared" si="291"/>
        <v>0</v>
      </c>
      <c r="BW154" s="13">
        <f t="shared" si="291"/>
        <v>825</v>
      </c>
      <c r="BX154" s="13">
        <f t="shared" si="291"/>
        <v>0</v>
      </c>
      <c r="BY154" s="13">
        <f t="shared" si="291"/>
        <v>0</v>
      </c>
      <c r="BZ154" s="13">
        <f t="shared" si="288"/>
        <v>825</v>
      </c>
      <c r="CA154" s="68">
        <f t="shared" si="264"/>
        <v>-375</v>
      </c>
      <c r="CB154" s="268">
        <f t="shared" si="265"/>
        <v>1.8333333333333333</v>
      </c>
      <c r="CC154" s="13">
        <f t="shared" si="266"/>
        <v>450</v>
      </c>
      <c r="CD154" s="13">
        <f t="shared" si="292"/>
        <v>0</v>
      </c>
      <c r="CE154" s="13">
        <f t="shared" si="292"/>
        <v>0</v>
      </c>
      <c r="CF154" s="13">
        <f t="shared" si="292"/>
        <v>766</v>
      </c>
      <c r="CG154" s="13">
        <f t="shared" si="292"/>
        <v>1972</v>
      </c>
      <c r="CH154" s="13">
        <f t="shared" si="289"/>
        <v>2738</v>
      </c>
      <c r="CI154" s="68">
        <f t="shared" si="267"/>
        <v>-2288</v>
      </c>
      <c r="CJ154" s="268">
        <f t="shared" si="268"/>
        <v>6.0844444444444443</v>
      </c>
      <c r="CK154" s="13">
        <f t="shared" si="269"/>
        <v>450</v>
      </c>
      <c r="CL154" s="13">
        <f t="shared" si="228"/>
        <v>0</v>
      </c>
      <c r="CM154" s="13">
        <f t="shared" si="228"/>
        <v>0</v>
      </c>
      <c r="CN154" s="13">
        <f t="shared" si="228"/>
        <v>0</v>
      </c>
      <c r="CO154" s="13">
        <f t="shared" si="228"/>
        <v>0</v>
      </c>
      <c r="CP154" s="13">
        <f t="shared" si="228"/>
        <v>0</v>
      </c>
      <c r="CQ154" s="13">
        <f t="shared" si="290"/>
        <v>0</v>
      </c>
      <c r="CR154" s="68">
        <f t="shared" si="270"/>
        <v>450</v>
      </c>
      <c r="CS154" s="268">
        <f t="shared" si="271"/>
        <v>0</v>
      </c>
      <c r="CT154" s="68">
        <f t="shared" si="244"/>
        <v>900</v>
      </c>
      <c r="CU154" s="13">
        <f>SUMIFS(SALIDAS_BIT,FECHA_BIT,"&gt;="&amp;CU$2,FECHA_BIT,"&lt;="&amp;CU$3,CLAVE_BIT,$A154)+SUMIFS(SALIDAS_BOV1,FECHA_BOV1,"&gt;="&amp;CU$2,FECHA_BOV1,"&lt;="&amp;CU$3,CLAVE_BOV1,$A154)+SUMIFS(SALIDAS_BOV2,FECHA_BOV2,"&gt;="&amp;CU$2,FECHA_BOV2,"&lt;="&amp;CU$3,CLAVE_BOV2,$A154)+SUMIFS(SALIDAS_BOV3,FECHA_BOV3,"&gt;="&amp;CU$2,FECHA_BOV3,"&lt;="&amp;CU$3,CLAVE_BOV3,$A154)+SUMIFS(SALIDAS_TC,FECHA_TC,"&gt;="&amp;CU$2,FECHA_TC,"&lt;="&amp;CU$3,CLAVE_TC,$A154)+SUMIFS(SALIDAS_COMB,FECHA_COMB,"&gt;="&amp;CU$2,FECHA_COMB,"&lt;="&amp;CU$3,CLAVE_COMB,$A154)+SUMIFS(SALIDAS_DES,FECHA_DESGLOSEN,"&gt;="&amp;CU$2,FECHA_DESGLOSEN,"&lt;="&amp;CU$3,CLAVE_DESGLOSE,$A154)</f>
        <v>790</v>
      </c>
      <c r="CV154" s="13">
        <f>SUMIFS(SALIDAS_BIT,FECHA_BIT,"&gt;="&amp;CV$2,FECHA_BIT,"&lt;="&amp;CV$3,CLAVE_BIT,$A154)+SUMIFS(SALIDAS_BOV1,FECHA_BOV1,"&gt;="&amp;CV$2,FECHA_BOV1,"&lt;="&amp;CV$3,CLAVE_BOV1,$A154)+SUMIFS(SALIDAS_BOV2,FECHA_BOV2,"&gt;="&amp;CV$2,FECHA_BOV2,"&lt;="&amp;CV$3,CLAVE_BOV2,$A154)+SUMIFS(SALIDAS_BOV3,FECHA_BOV3,"&gt;="&amp;CV$2,FECHA_BOV3,"&lt;="&amp;CV$3,CLAVE_BOV3,$A154)+SUMIFS(SALIDAS_TC,FECHA_TC,"&gt;="&amp;CV$2,FECHA_TC,"&lt;="&amp;CV$3,CLAVE_TC,$A154)+SUMIFS(SALIDAS_COMB,FECHA_COMB,"&gt;="&amp;CV$2,FECHA_COMB,"&lt;="&amp;CV$3,CLAVE_COMB,$A154)+SUMIFS(SALIDAS_DES,FECHA_DESGLOSEN,"&gt;="&amp;CV$2,FECHA_DESGLOSEN,"&lt;="&amp;CV$3,CLAVE_DESGLOSE,$A154)</f>
        <v>0</v>
      </c>
      <c r="CW154" s="13">
        <f>SUMIFS(SALIDAS_BIT,FECHA_BIT,"&gt;="&amp;CW$2,FECHA_BIT,"&lt;="&amp;CW$3,CLAVE_BIT,$A154)+SUMIFS(SALIDAS_BOV1,FECHA_BOV1,"&gt;="&amp;CW$2,FECHA_BOV1,"&lt;="&amp;CW$3,CLAVE_BOV1,$A154)+SUMIFS(SALIDAS_BOV2,FECHA_BOV2,"&gt;="&amp;CW$2,FECHA_BOV2,"&lt;="&amp;CW$3,CLAVE_BOV2,$A154)+SUMIFS(SALIDAS_BOV3,FECHA_BOV3,"&gt;="&amp;CW$2,FECHA_BOV3,"&lt;="&amp;CW$3,CLAVE_BOV3,$A154)+SUMIFS(SALIDAS_TC,FECHA_TC,"&gt;="&amp;CW$2,FECHA_TC,"&lt;="&amp;CW$3,CLAVE_TC,$A154)+SUMIFS(SALIDAS_COMB,FECHA_COMB,"&gt;="&amp;CW$2,FECHA_COMB,"&lt;="&amp;CW$3,CLAVE_COMB,$A154)+SUMIFS(SALIDAS_DES,FECHA_DESGLOSEN,"&gt;="&amp;CW$2,FECHA_DESGLOSEN,"&lt;="&amp;CW$3,CLAVE_DESGLOSE,$A154)</f>
        <v>0</v>
      </c>
      <c r="CX154" s="13">
        <f>SUMIFS(SALIDAS_BIT,FECHA_BIT,"&gt;="&amp;CX$2,FECHA_BIT,"&lt;="&amp;CX$3,CLAVE_BIT,$A154)+SUMIFS(SALIDAS_BOV1,FECHA_BOV1,"&gt;="&amp;CX$2,FECHA_BOV1,"&lt;="&amp;CX$3,CLAVE_BOV1,$A154)+SUMIFS(SALIDAS_BOV2,FECHA_BOV2,"&gt;="&amp;CX$2,FECHA_BOV2,"&lt;="&amp;CX$3,CLAVE_BOV2,$A154)+SUMIFS(SALIDAS_BOV3,FECHA_BOV3,"&gt;="&amp;CX$2,FECHA_BOV3,"&lt;="&amp;CX$3,CLAVE_BOV3,$A154)+SUMIFS(SALIDAS_TC,FECHA_TC,"&gt;="&amp;CX$2,FECHA_TC,"&lt;="&amp;CX$3,CLAVE_TC,$A154)+SUMIFS(SALIDAS_COMB,FECHA_COMB,"&gt;="&amp;CX$2,FECHA_COMB,"&lt;="&amp;CX$3,CLAVE_COMB,$A154)+SUMIFS(SALIDAS_DES,FECHA_DESGLOSEN,"&gt;="&amp;CX$2,FECHA_DESGLOSEN,"&lt;="&amp;CX$3,CLAVE_DESGLOSE,$A154)</f>
        <v>0</v>
      </c>
      <c r="CY154" s="13">
        <f>SUMIFS(SALIDAS_BIT,FECHA_BIT,"&gt;="&amp;CY$2,FECHA_BIT,"&lt;="&amp;CY$3,CLAVE_BIT,$A154)+SUMIFS(SALIDAS_BOV1,FECHA_BOV1,"&gt;="&amp;CY$2,FECHA_BOV1,"&lt;="&amp;CY$3,CLAVE_BOV1,$A154)+SUMIFS(SALIDAS_BOV2,FECHA_BOV2,"&gt;="&amp;CY$2,FECHA_BOV2,"&lt;="&amp;CY$3,CLAVE_BOV2,$A154)+SUMIFS(SALIDAS_BOV3,FECHA_BOV3,"&gt;="&amp;CY$2,FECHA_BOV3,"&lt;="&amp;CY$3,CLAVE_BOV3,$A154)+SUMIFS(SALIDAS_TC,FECHA_TC,"&gt;="&amp;CY$2,FECHA_TC,"&lt;="&amp;CY$3,CLAVE_TC,$A154)+SUMIFS(SALIDAS_COMB,FECHA_COMB,"&gt;="&amp;CY$2,FECHA_COMB,"&lt;="&amp;CY$3,CLAVE_COMB,$A154)+SUMIFS(SALIDAS_DES,FECHA_DESGLOSEN,"&gt;="&amp;CY$2,FECHA_DESGLOSEN,"&lt;="&amp;CY$3,CLAVE_DESGLOSE,$A154)</f>
        <v>790</v>
      </c>
      <c r="CZ154" s="68">
        <f t="shared" si="272"/>
        <v>110</v>
      </c>
      <c r="DB154" s="17">
        <f>F154+N154+W154+AE154+AM154+AV154+BD154+BL154+BU154+CC154+CK154</f>
        <v>22537</v>
      </c>
      <c r="DC154" s="17">
        <f>K154+T154+AB154+AJ154+AS154+BA154+BI154+BR154+BZ154+CH154+CQ154</f>
        <v>9206</v>
      </c>
    </row>
    <row r="155" spans="1:107" hidden="1">
      <c r="A155" s="12" t="str">
        <f t="shared" si="245"/>
        <v>HRJMASA23</v>
      </c>
      <c r="B155" s="12">
        <v>157</v>
      </c>
      <c r="C155" t="s">
        <v>29</v>
      </c>
      <c r="D155" s="12" t="s">
        <v>137</v>
      </c>
      <c r="E155" s="12" t="s">
        <v>105</v>
      </c>
      <c r="F155" s="259">
        <f t="shared" si="238"/>
        <v>0</v>
      </c>
      <c r="G155" s="13">
        <f t="shared" si="282"/>
        <v>0</v>
      </c>
      <c r="H155" s="13">
        <f t="shared" si="282"/>
        <v>1954</v>
      </c>
      <c r="I155" s="13">
        <f t="shared" si="282"/>
        <v>0</v>
      </c>
      <c r="J155" s="13">
        <f t="shared" si="282"/>
        <v>0</v>
      </c>
      <c r="K155" s="13">
        <f t="shared" si="282"/>
        <v>1954</v>
      </c>
      <c r="L155" s="68">
        <f t="shared" si="246"/>
        <v>-1954</v>
      </c>
      <c r="M155" s="268">
        <f t="shared" si="247"/>
        <v>0</v>
      </c>
      <c r="N155" s="13">
        <f t="shared" si="239"/>
        <v>1946</v>
      </c>
      <c r="O155" s="13">
        <f t="shared" si="283"/>
        <v>0</v>
      </c>
      <c r="P155" s="13">
        <f t="shared" si="283"/>
        <v>0</v>
      </c>
      <c r="Q155" s="13">
        <f t="shared" si="283"/>
        <v>974</v>
      </c>
      <c r="R155" s="13">
        <f t="shared" si="283"/>
        <v>0</v>
      </c>
      <c r="S155" s="13">
        <f t="shared" si="283"/>
        <v>100</v>
      </c>
      <c r="T155" s="13">
        <f t="shared" si="283"/>
        <v>1074</v>
      </c>
      <c r="U155" s="68">
        <f t="shared" si="248"/>
        <v>872</v>
      </c>
      <c r="V155" s="268">
        <f t="shared" si="249"/>
        <v>0.55190133607399794</v>
      </c>
      <c r="W155" s="13">
        <f t="shared" si="240"/>
        <v>961</v>
      </c>
      <c r="X155" s="13">
        <f t="shared" si="284"/>
        <v>0</v>
      </c>
      <c r="Y155" s="13">
        <f t="shared" si="284"/>
        <v>0</v>
      </c>
      <c r="Z155" s="13">
        <f t="shared" si="284"/>
        <v>0</v>
      </c>
      <c r="AA155" s="13">
        <f t="shared" si="284"/>
        <v>982</v>
      </c>
      <c r="AB155" s="13">
        <f t="shared" si="284"/>
        <v>982</v>
      </c>
      <c r="AC155" s="68">
        <f t="shared" si="250"/>
        <v>-21</v>
      </c>
      <c r="AD155" s="268">
        <f t="shared" si="251"/>
        <v>1.0218522372528616</v>
      </c>
      <c r="AE155" s="13">
        <f t="shared" si="241"/>
        <v>0</v>
      </c>
      <c r="AF155" s="13">
        <f t="shared" si="285"/>
        <v>0</v>
      </c>
      <c r="AG155" s="13">
        <f t="shared" si="285"/>
        <v>0</v>
      </c>
      <c r="AH155" s="13">
        <f t="shared" si="285"/>
        <v>0</v>
      </c>
      <c r="AI155" s="13">
        <f t="shared" si="285"/>
        <v>0</v>
      </c>
      <c r="AJ155" s="13">
        <f t="shared" si="285"/>
        <v>0</v>
      </c>
      <c r="AK155" s="68">
        <f t="shared" si="252"/>
        <v>0</v>
      </c>
      <c r="AL155" s="268">
        <f t="shared" si="253"/>
        <v>0</v>
      </c>
      <c r="AM155" s="13">
        <f t="shared" si="242"/>
        <v>0</v>
      </c>
      <c r="AN155" s="13">
        <f t="shared" si="286"/>
        <v>0</v>
      </c>
      <c r="AO155" s="13">
        <f t="shared" si="286"/>
        <v>0</v>
      </c>
      <c r="AP155" s="13">
        <f t="shared" si="286"/>
        <v>1001</v>
      </c>
      <c r="AQ155" s="13">
        <f t="shared" si="286"/>
        <v>0</v>
      </c>
      <c r="AR155" s="13">
        <f t="shared" si="286"/>
        <v>2018</v>
      </c>
      <c r="AS155" s="13">
        <f t="shared" si="286"/>
        <v>3019</v>
      </c>
      <c r="AT155" s="68">
        <f>AM155-AS155</f>
        <v>-3019</v>
      </c>
      <c r="AU155" s="268">
        <f t="shared" si="254"/>
        <v>0</v>
      </c>
      <c r="AV155" s="13">
        <f t="shared" si="243"/>
        <v>350</v>
      </c>
      <c r="AW155" s="13">
        <f t="shared" si="222"/>
        <v>0</v>
      </c>
      <c r="AX155" s="13">
        <f t="shared" si="222"/>
        <v>0</v>
      </c>
      <c r="AY155" s="13">
        <f t="shared" si="222"/>
        <v>1015</v>
      </c>
      <c r="AZ155" s="13">
        <f t="shared" si="222"/>
        <v>0</v>
      </c>
      <c r="BA155" s="13">
        <f t="shared" si="223"/>
        <v>1015</v>
      </c>
      <c r="BB155" s="68">
        <f t="shared" si="255"/>
        <v>-665</v>
      </c>
      <c r="BC155" s="268">
        <f t="shared" si="256"/>
        <v>2.9</v>
      </c>
      <c r="BD155" s="13">
        <f t="shared" si="257"/>
        <v>963</v>
      </c>
      <c r="BE155" s="13">
        <f>SUMIFS(SALIDAS_BIT,FECHA_BIT,"&gt;="&amp;BE$2,FECHA_BIT,"&lt;="&amp;BE$3,CLAVE_BIT,$A155)+SUMIFS(SALIDAS_BOV1,FECHA_BOV1,"&gt;="&amp;BE$2,FECHA_BOV1,"&lt;="&amp;BE$3,CLAVE_BOV1,$A155)+SUMIFS(SALIDAS_BOV2,FECHA_BOV2,"&gt;="&amp;BE$2,FECHA_BOV2,"&lt;="&amp;BE$3,CLAVE_BOV2,$A155)+SUMIFS(SALIDAS_BOV3,FECHA_BOV3,"&gt;="&amp;BE$2,FECHA_BOV3,"&lt;="&amp;BE$3,CLAVE_BOV3,$A155)+SUMIFS(SALIDAS_TC,FECHA_TC,"&gt;="&amp;BE$2,FECHA_TC,"&lt;="&amp;BE$3,CLAVE_TC,$A155)+SUMIFS(SALIDAS_COMB,FECHA_COMB,"&gt;="&amp;BE$2,FECHA_COMB,"&lt;="&amp;BE$3,CLAVE_COMB,$A155)+SUMIFS(SALIDAS_DES,FECHA_DESGLOSEN,"&gt;="&amp;BE$2,FECHA_DESGLOSEN,"&lt;="&amp;BE$3,CLAVE_DESGLOSE,$A155)</f>
        <v>0</v>
      </c>
      <c r="BF155" s="13">
        <f>SUMIFS(SALIDAS_BIT,FECHA_BIT,"&gt;="&amp;BF$2,FECHA_BIT,"&lt;="&amp;BF$3,CLAVE_BIT,$A155)+SUMIFS(SALIDAS_BOV1,FECHA_BOV1,"&gt;="&amp;BF$2,FECHA_BOV1,"&lt;="&amp;BF$3,CLAVE_BOV1,$A155)+SUMIFS(SALIDAS_BOV2,FECHA_BOV2,"&gt;="&amp;BF$2,FECHA_BOV2,"&lt;="&amp;BF$3,CLAVE_BOV2,$A155)+SUMIFS(SALIDAS_BOV3,FECHA_BOV3,"&gt;="&amp;BF$2,FECHA_BOV3,"&lt;="&amp;BF$3,CLAVE_BOV3,$A155)+SUMIFS(SALIDAS_TC,FECHA_TC,"&gt;="&amp;BF$2,FECHA_TC,"&lt;="&amp;BF$3,CLAVE_TC,$A155)+SUMIFS(SALIDAS_COMB,FECHA_COMB,"&gt;="&amp;BF$2,FECHA_COMB,"&lt;="&amp;BF$3,CLAVE_COMB,$A155)+SUMIFS(SALIDAS_DES,FECHA_DESGLOSEN,"&gt;="&amp;BF$2,FECHA_DESGLOSEN,"&lt;="&amp;BF$3,CLAVE_DESGLOSE,$A155)</f>
        <v>0</v>
      </c>
      <c r="BG155" s="13">
        <f>SUMIFS(SALIDAS_BIT,FECHA_BIT,"&gt;="&amp;BG$2,FECHA_BIT,"&lt;="&amp;BG$3,CLAVE_BIT,$A155)+SUMIFS(SALIDAS_BOV1,FECHA_BOV1,"&gt;="&amp;BG$2,FECHA_BOV1,"&lt;="&amp;BG$3,CLAVE_BOV1,$A155)+SUMIFS(SALIDAS_BOV2,FECHA_BOV2,"&gt;="&amp;BG$2,FECHA_BOV2,"&lt;="&amp;BG$3,CLAVE_BOV2,$A155)+SUMIFS(SALIDAS_BOV3,FECHA_BOV3,"&gt;="&amp;BG$2,FECHA_BOV3,"&lt;="&amp;BG$3,CLAVE_BOV3,$A155)+SUMIFS(SALIDAS_TC,FECHA_TC,"&gt;="&amp;BG$2,FECHA_TC,"&lt;="&amp;BG$3,CLAVE_TC,$A155)+SUMIFS(SALIDAS_COMB,FECHA_COMB,"&gt;="&amp;BG$2,FECHA_COMB,"&lt;="&amp;BG$3,CLAVE_COMB,$A155)+SUMIFS(SALIDAS_DES,FECHA_DESGLOSEN,"&gt;="&amp;BG$2,FECHA_DESGLOSEN,"&lt;="&amp;BG$3,CLAVE_DESGLOSE,$A155)</f>
        <v>0</v>
      </c>
      <c r="BH155" s="13">
        <f>SUMIFS(SALIDAS_BIT,FECHA_BIT,"&gt;="&amp;BH$2,FECHA_BIT,"&lt;="&amp;BH$3,CLAVE_BIT,$A155)+SUMIFS(SALIDAS_BOV1,FECHA_BOV1,"&gt;="&amp;BH$2,FECHA_BOV1,"&lt;="&amp;BH$3,CLAVE_BOV1,$A155)+SUMIFS(SALIDAS_BOV2,FECHA_BOV2,"&gt;="&amp;BH$2,FECHA_BOV2,"&lt;="&amp;BH$3,CLAVE_BOV2,$A155)+SUMIFS(SALIDAS_BOV3,FECHA_BOV3,"&gt;="&amp;BH$2,FECHA_BOV3,"&lt;="&amp;BH$3,CLAVE_BOV3,$A155)+SUMIFS(SALIDAS_TC,FECHA_TC,"&gt;="&amp;BH$2,FECHA_TC,"&lt;="&amp;BH$3,CLAVE_TC,$A155)+SUMIFS(SALIDAS_COMB,FECHA_COMB,"&gt;="&amp;BH$2,FECHA_COMB,"&lt;="&amp;BH$3,CLAVE_COMB,$A155)+SUMIFS(SALIDAS_DES,FECHA_DESGLOSEN,"&gt;="&amp;BH$2,FECHA_DESGLOSEN,"&lt;="&amp;BH$3,CLAVE_DESGLOSE,$A155)</f>
        <v>0</v>
      </c>
      <c r="BI155" s="13">
        <f t="shared" si="215"/>
        <v>0</v>
      </c>
      <c r="BJ155" s="68">
        <f t="shared" si="258"/>
        <v>963</v>
      </c>
      <c r="BK155" s="268">
        <f t="shared" si="259"/>
        <v>0</v>
      </c>
      <c r="BL155" s="13">
        <f t="shared" si="260"/>
        <v>1934</v>
      </c>
      <c r="BM155" s="13">
        <f>SUMIFS(SALIDAS_BIT,FECHA_BIT,"&gt;="&amp;BM$2,FECHA_BIT,"&lt;="&amp;BM$3,CLAVE_BIT,$A155)+SUMIFS(SALIDAS_BOV1,FECHA_BOV1,"&gt;="&amp;BM$2,FECHA_BOV1,"&lt;="&amp;BM$3,CLAVE_BOV1,$A155)+SUMIFS(SALIDAS_BOV2,FECHA_BOV2,"&gt;="&amp;BM$2,FECHA_BOV2,"&lt;="&amp;BM$3,CLAVE_BOV2,$A155)+SUMIFS(SALIDAS_BOV3,FECHA_BOV3,"&gt;="&amp;BM$2,FECHA_BOV3,"&lt;="&amp;BM$3,CLAVE_BOV3,$A155)+SUMIFS(SALIDAS_TC,FECHA_TC,"&gt;="&amp;BM$2,FECHA_TC,"&lt;="&amp;BM$3,CLAVE_TC,$A155)+SUMIFS(SALIDAS_COMB,FECHA_COMB,"&gt;="&amp;BM$2,FECHA_COMB,"&lt;="&amp;BM$3,CLAVE_COMB,$A155)+SUMIFS(SALIDAS_DES,FECHA_DESGLOSEN,"&gt;="&amp;BM$2,FECHA_DESGLOSEN,"&lt;="&amp;BM$3,CLAVE_DESGLOSE,$A155)</f>
        <v>101</v>
      </c>
      <c r="BN155" s="13">
        <f>SUMIFS(SALIDAS_BIT,FECHA_BIT,"&gt;="&amp;BN$2,FECHA_BIT,"&lt;="&amp;BN$3,CLAVE_BIT,$A155)+SUMIFS(SALIDAS_BOV1,FECHA_BOV1,"&gt;="&amp;BN$2,FECHA_BOV1,"&lt;="&amp;BN$3,CLAVE_BOV1,$A155)+SUMIFS(SALIDAS_BOV2,FECHA_BOV2,"&gt;="&amp;BN$2,FECHA_BOV2,"&lt;="&amp;BN$3,CLAVE_BOV2,$A155)+SUMIFS(SALIDAS_BOV3,FECHA_BOV3,"&gt;="&amp;BN$2,FECHA_BOV3,"&lt;="&amp;BN$3,CLAVE_BOV3,$A155)+SUMIFS(SALIDAS_TC,FECHA_TC,"&gt;="&amp;BN$2,FECHA_TC,"&lt;="&amp;BN$3,CLAVE_TC,$A155)+SUMIFS(SALIDAS_COMB,FECHA_COMB,"&gt;="&amp;BN$2,FECHA_COMB,"&lt;="&amp;BN$3,CLAVE_COMB,$A155)+SUMIFS(SALIDAS_DES,FECHA_DESGLOSEN,"&gt;="&amp;BN$2,FECHA_DESGLOSEN,"&lt;="&amp;BN$3,CLAVE_DESGLOSE,$A155)</f>
        <v>0</v>
      </c>
      <c r="BO155" s="13">
        <f>SUMIFS(SALIDAS_BIT,FECHA_BIT,"&gt;="&amp;BO$2,FECHA_BIT,"&lt;="&amp;BO$3,CLAVE_BIT,$A155)+SUMIFS(SALIDAS_BOV1,FECHA_BOV1,"&gt;="&amp;BO$2,FECHA_BOV1,"&lt;="&amp;BO$3,CLAVE_BOV1,$A155)+SUMIFS(SALIDAS_BOV2,FECHA_BOV2,"&gt;="&amp;BO$2,FECHA_BOV2,"&lt;="&amp;BO$3,CLAVE_BOV2,$A155)+SUMIFS(SALIDAS_BOV3,FECHA_BOV3,"&gt;="&amp;BO$2,FECHA_BOV3,"&lt;="&amp;BO$3,CLAVE_BOV3,$A155)+SUMIFS(SALIDAS_TC,FECHA_TC,"&gt;="&amp;BO$2,FECHA_TC,"&lt;="&amp;BO$3,CLAVE_TC,$A155)+SUMIFS(SALIDAS_COMB,FECHA_COMB,"&gt;="&amp;BO$2,FECHA_COMB,"&lt;="&amp;BO$3,CLAVE_COMB,$A155)+SUMIFS(SALIDAS_DES,FECHA_DESGLOSEN,"&gt;="&amp;BO$2,FECHA_DESGLOSEN,"&lt;="&amp;BO$3,CLAVE_DESGLOSE,$A155)</f>
        <v>0</v>
      </c>
      <c r="BP155" s="13">
        <f>SUMIFS(SALIDAS_BIT,FECHA_BIT,"&gt;="&amp;BP$2,FECHA_BIT,"&lt;="&amp;BP$3,CLAVE_BIT,$A155)+SUMIFS(SALIDAS_BOV1,FECHA_BOV1,"&gt;="&amp;BP$2,FECHA_BOV1,"&lt;="&amp;BP$3,CLAVE_BOV1,$A155)+SUMIFS(SALIDAS_BOV2,FECHA_BOV2,"&gt;="&amp;BP$2,FECHA_BOV2,"&lt;="&amp;BP$3,CLAVE_BOV2,$A155)+SUMIFS(SALIDAS_BOV3,FECHA_BOV3,"&gt;="&amp;BP$2,FECHA_BOV3,"&lt;="&amp;BP$3,CLAVE_BOV3,$A155)+SUMIFS(SALIDAS_TC,FECHA_TC,"&gt;="&amp;BP$2,FECHA_TC,"&lt;="&amp;BP$3,CLAVE_TC,$A155)+SUMIFS(SALIDAS_COMB,FECHA_COMB,"&gt;="&amp;BP$2,FECHA_COMB,"&lt;="&amp;BP$3,CLAVE_COMB,$A155)+SUMIFS(SALIDAS_DES,FECHA_DESGLOSEN,"&gt;="&amp;BP$2,FECHA_DESGLOSEN,"&lt;="&amp;BP$3,CLAVE_DESGLOSE,$A155)</f>
        <v>1017</v>
      </c>
      <c r="BQ155" s="13">
        <f>SUMIFS(SALIDAS_BIT,FECHA_BIT,"&gt;="&amp;BQ$2,FECHA_BIT,"&lt;="&amp;BQ$3,CLAVE_BIT,$A155)+SUMIFS(SALIDAS_BOV1,FECHA_BOV1,"&gt;="&amp;BQ$2,FECHA_BOV1,"&lt;="&amp;BQ$3,CLAVE_BOV1,$A155)+SUMIFS(SALIDAS_BOV2,FECHA_BOV2,"&gt;="&amp;BQ$2,FECHA_BOV2,"&lt;="&amp;BQ$3,CLAVE_BOV2,$A155)+SUMIFS(SALIDAS_BOV3,FECHA_BOV3,"&gt;="&amp;BQ$2,FECHA_BOV3,"&lt;="&amp;BQ$3,CLAVE_BOV3,$A155)+SUMIFS(SALIDAS_TC,FECHA_TC,"&gt;="&amp;BQ$2,FECHA_TC,"&lt;="&amp;BQ$3,CLAVE_TC,$A155)+SUMIFS(SALIDAS_COMB,FECHA_COMB,"&gt;="&amp;BQ$2,FECHA_COMB,"&lt;="&amp;BQ$3,CLAVE_COMB,$A155)+SUMIFS(SALIDAS_DES,FECHA_DESGLOSEN,"&gt;="&amp;BQ$2,FECHA_DESGLOSEN,"&lt;="&amp;BQ$3,CLAVE_DESGLOSE,$A155)</f>
        <v>0</v>
      </c>
      <c r="BR155" s="13">
        <f t="shared" si="287"/>
        <v>1118</v>
      </c>
      <c r="BS155" s="68">
        <f t="shared" si="261"/>
        <v>816</v>
      </c>
      <c r="BT155" s="268">
        <f t="shared" si="262"/>
        <v>0.578076525336091</v>
      </c>
      <c r="BU155" s="13">
        <f t="shared" si="263"/>
        <v>400</v>
      </c>
      <c r="BV155" s="13">
        <f t="shared" si="291"/>
        <v>0</v>
      </c>
      <c r="BW155" s="13">
        <f t="shared" si="291"/>
        <v>0</v>
      </c>
      <c r="BX155" s="13">
        <f t="shared" si="291"/>
        <v>0</v>
      </c>
      <c r="BY155" s="13">
        <f t="shared" si="291"/>
        <v>0</v>
      </c>
      <c r="BZ155" s="13">
        <f t="shared" si="288"/>
        <v>0</v>
      </c>
      <c r="CA155" s="68">
        <f t="shared" si="264"/>
        <v>400</v>
      </c>
      <c r="CB155" s="268">
        <f t="shared" si="265"/>
        <v>0</v>
      </c>
      <c r="CC155" s="13">
        <f t="shared" si="266"/>
        <v>400</v>
      </c>
      <c r="CD155" s="13">
        <f t="shared" si="292"/>
        <v>0</v>
      </c>
      <c r="CE155" s="13">
        <f t="shared" si="292"/>
        <v>1017</v>
      </c>
      <c r="CF155" s="13">
        <f t="shared" si="292"/>
        <v>0</v>
      </c>
      <c r="CG155" s="13">
        <f t="shared" si="292"/>
        <v>0</v>
      </c>
      <c r="CH155" s="13">
        <f t="shared" si="289"/>
        <v>1017</v>
      </c>
      <c r="CI155" s="68">
        <f t="shared" si="267"/>
        <v>-617</v>
      </c>
      <c r="CJ155" s="268">
        <f t="shared" si="268"/>
        <v>2.5425</v>
      </c>
      <c r="CK155" s="13">
        <f t="shared" si="269"/>
        <v>400</v>
      </c>
      <c r="CL155" s="13">
        <f t="shared" si="228"/>
        <v>0</v>
      </c>
      <c r="CM155" s="13">
        <f t="shared" si="228"/>
        <v>0</v>
      </c>
      <c r="CN155" s="13">
        <f t="shared" si="228"/>
        <v>0</v>
      </c>
      <c r="CO155" s="13">
        <f t="shared" si="228"/>
        <v>0</v>
      </c>
      <c r="CP155" s="13">
        <f t="shared" si="228"/>
        <v>0</v>
      </c>
      <c r="CQ155" s="13">
        <f t="shared" si="290"/>
        <v>0</v>
      </c>
      <c r="CR155" s="68">
        <f t="shared" si="270"/>
        <v>400</v>
      </c>
      <c r="CS155" s="268">
        <f t="shared" si="271"/>
        <v>0</v>
      </c>
      <c r="CT155" s="68">
        <f t="shared" si="244"/>
        <v>1100</v>
      </c>
      <c r="CU155" s="13">
        <f>SUMIFS(SALIDAS_BIT,FECHA_BIT,"&gt;="&amp;CU$2,FECHA_BIT,"&lt;="&amp;CU$3,CLAVE_BIT,$A155)+SUMIFS(SALIDAS_BOV1,FECHA_BOV1,"&gt;="&amp;CU$2,FECHA_BOV1,"&lt;="&amp;CU$3,CLAVE_BOV1,$A155)+SUMIFS(SALIDAS_BOV2,FECHA_BOV2,"&gt;="&amp;CU$2,FECHA_BOV2,"&lt;="&amp;CU$3,CLAVE_BOV2,$A155)+SUMIFS(SALIDAS_BOV3,FECHA_BOV3,"&gt;="&amp;CU$2,FECHA_BOV3,"&lt;="&amp;CU$3,CLAVE_BOV3,$A155)+SUMIFS(SALIDAS_TC,FECHA_TC,"&gt;="&amp;CU$2,FECHA_TC,"&lt;="&amp;CU$3,CLAVE_TC,$A155)+SUMIFS(SALIDAS_COMB,FECHA_COMB,"&gt;="&amp;CU$2,FECHA_COMB,"&lt;="&amp;CU$3,CLAVE_COMB,$A155)+SUMIFS(SALIDAS_DES,FECHA_DESGLOSEN,"&gt;="&amp;CU$2,FECHA_DESGLOSEN,"&lt;="&amp;CU$3,CLAVE_DESGLOSE,$A155)</f>
        <v>0</v>
      </c>
      <c r="CV155" s="13">
        <f>SUMIFS(SALIDAS_BIT,FECHA_BIT,"&gt;="&amp;CV$2,FECHA_BIT,"&lt;="&amp;CV$3,CLAVE_BIT,$A155)+SUMIFS(SALIDAS_BOV1,FECHA_BOV1,"&gt;="&amp;CV$2,FECHA_BOV1,"&lt;="&amp;CV$3,CLAVE_BOV1,$A155)+SUMIFS(SALIDAS_BOV2,FECHA_BOV2,"&gt;="&amp;CV$2,FECHA_BOV2,"&lt;="&amp;CV$3,CLAVE_BOV2,$A155)+SUMIFS(SALIDAS_BOV3,FECHA_BOV3,"&gt;="&amp;CV$2,FECHA_BOV3,"&lt;="&amp;CV$3,CLAVE_BOV3,$A155)+SUMIFS(SALIDAS_TC,FECHA_TC,"&gt;="&amp;CV$2,FECHA_TC,"&lt;="&amp;CV$3,CLAVE_TC,$A155)+SUMIFS(SALIDAS_COMB,FECHA_COMB,"&gt;="&amp;CV$2,FECHA_COMB,"&lt;="&amp;CV$3,CLAVE_COMB,$A155)+SUMIFS(SALIDAS_DES,FECHA_DESGLOSEN,"&gt;="&amp;CV$2,FECHA_DESGLOSEN,"&lt;="&amp;CV$3,CLAVE_DESGLOSE,$A155)</f>
        <v>0</v>
      </c>
      <c r="CW155" s="13">
        <f>SUMIFS(SALIDAS_BIT,FECHA_BIT,"&gt;="&amp;CW$2,FECHA_BIT,"&lt;="&amp;CW$3,CLAVE_BIT,$A155)+SUMIFS(SALIDAS_BOV1,FECHA_BOV1,"&gt;="&amp;CW$2,FECHA_BOV1,"&lt;="&amp;CW$3,CLAVE_BOV1,$A155)+SUMIFS(SALIDAS_BOV2,FECHA_BOV2,"&gt;="&amp;CW$2,FECHA_BOV2,"&lt;="&amp;CW$3,CLAVE_BOV2,$A155)+SUMIFS(SALIDAS_BOV3,FECHA_BOV3,"&gt;="&amp;CW$2,FECHA_BOV3,"&lt;="&amp;CW$3,CLAVE_BOV3,$A155)+SUMIFS(SALIDAS_TC,FECHA_TC,"&gt;="&amp;CW$2,FECHA_TC,"&lt;="&amp;CW$3,CLAVE_TC,$A155)+SUMIFS(SALIDAS_COMB,FECHA_COMB,"&gt;="&amp;CW$2,FECHA_COMB,"&lt;="&amp;CW$3,CLAVE_COMB,$A155)+SUMIFS(SALIDAS_DES,FECHA_DESGLOSEN,"&gt;="&amp;CW$2,FECHA_DESGLOSEN,"&lt;="&amp;CW$3,CLAVE_DESGLOSE,$A155)</f>
        <v>0</v>
      </c>
      <c r="CX155" s="13">
        <f>SUMIFS(SALIDAS_BIT,FECHA_BIT,"&gt;="&amp;CX$2,FECHA_BIT,"&lt;="&amp;CX$3,CLAVE_BIT,$A155)+SUMIFS(SALIDAS_BOV1,FECHA_BOV1,"&gt;="&amp;CX$2,FECHA_BOV1,"&lt;="&amp;CX$3,CLAVE_BOV1,$A155)+SUMIFS(SALIDAS_BOV2,FECHA_BOV2,"&gt;="&amp;CX$2,FECHA_BOV2,"&lt;="&amp;CX$3,CLAVE_BOV2,$A155)+SUMIFS(SALIDAS_BOV3,FECHA_BOV3,"&gt;="&amp;CX$2,FECHA_BOV3,"&lt;="&amp;CX$3,CLAVE_BOV3,$A155)+SUMIFS(SALIDAS_TC,FECHA_TC,"&gt;="&amp;CX$2,FECHA_TC,"&lt;="&amp;CX$3,CLAVE_TC,$A155)+SUMIFS(SALIDAS_COMB,FECHA_COMB,"&gt;="&amp;CX$2,FECHA_COMB,"&lt;="&amp;CX$3,CLAVE_COMB,$A155)+SUMIFS(SALIDAS_DES,FECHA_DESGLOSEN,"&gt;="&amp;CX$2,FECHA_DESGLOSEN,"&lt;="&amp;CX$3,CLAVE_DESGLOSE,$A155)</f>
        <v>1046</v>
      </c>
      <c r="CY155" s="13">
        <f>SUMIFS(SALIDAS_BIT,FECHA_BIT,"&gt;="&amp;CY$2,FECHA_BIT,"&lt;="&amp;CY$3,CLAVE_BIT,$A155)+SUMIFS(SALIDAS_BOV1,FECHA_BOV1,"&gt;="&amp;CY$2,FECHA_BOV1,"&lt;="&amp;CY$3,CLAVE_BOV1,$A155)+SUMIFS(SALIDAS_BOV2,FECHA_BOV2,"&gt;="&amp;CY$2,FECHA_BOV2,"&lt;="&amp;CY$3,CLAVE_BOV2,$A155)+SUMIFS(SALIDAS_BOV3,FECHA_BOV3,"&gt;="&amp;CY$2,FECHA_BOV3,"&lt;="&amp;CY$3,CLAVE_BOV3,$A155)+SUMIFS(SALIDAS_TC,FECHA_TC,"&gt;="&amp;CY$2,FECHA_TC,"&lt;="&amp;CY$3,CLAVE_TC,$A155)+SUMIFS(SALIDAS_COMB,FECHA_COMB,"&gt;="&amp;CY$2,FECHA_COMB,"&lt;="&amp;CY$3,CLAVE_COMB,$A155)+SUMIFS(SALIDAS_DES,FECHA_DESGLOSEN,"&gt;="&amp;CY$2,FECHA_DESGLOSEN,"&lt;="&amp;CY$3,CLAVE_DESGLOSE,$A155)</f>
        <v>1046</v>
      </c>
      <c r="CZ155" s="68">
        <f t="shared" si="272"/>
        <v>54</v>
      </c>
      <c r="DB155" s="17">
        <f>F155+N155+W155+AE155+AM155+AV155+BD155+BL155+BU155+CC155+CK155</f>
        <v>7354</v>
      </c>
      <c r="DC155" s="17">
        <f>K155+T155+AB155+AJ155+AS155+BA155+BI155+BR155+BZ155+CH155+CQ155</f>
        <v>10179</v>
      </c>
    </row>
    <row r="156" spans="1:107" hidden="1">
      <c r="A156" s="12" t="str">
        <f t="shared" si="245"/>
        <v>HRJMASA24</v>
      </c>
      <c r="B156" s="12">
        <v>158</v>
      </c>
      <c r="C156" t="s">
        <v>29</v>
      </c>
      <c r="D156" s="12" t="s">
        <v>137</v>
      </c>
      <c r="E156" s="12" t="s">
        <v>106</v>
      </c>
      <c r="F156" s="259">
        <f t="shared" si="238"/>
        <v>0</v>
      </c>
      <c r="G156" s="13">
        <f t="shared" si="282"/>
        <v>0</v>
      </c>
      <c r="H156" s="13">
        <f t="shared" si="282"/>
        <v>0</v>
      </c>
      <c r="I156" s="13">
        <f t="shared" si="282"/>
        <v>0</v>
      </c>
      <c r="J156" s="13">
        <f t="shared" si="282"/>
        <v>0</v>
      </c>
      <c r="K156" s="13">
        <f t="shared" si="282"/>
        <v>0</v>
      </c>
      <c r="L156" s="68">
        <f t="shared" si="246"/>
        <v>0</v>
      </c>
      <c r="M156" s="268">
        <f t="shared" si="247"/>
        <v>0</v>
      </c>
      <c r="N156" s="13">
        <f t="shared" si="239"/>
        <v>0</v>
      </c>
      <c r="O156" s="13">
        <f t="shared" si="283"/>
        <v>0</v>
      </c>
      <c r="P156" s="13">
        <f t="shared" si="283"/>
        <v>0</v>
      </c>
      <c r="Q156" s="13">
        <f t="shared" si="283"/>
        <v>1088</v>
      </c>
      <c r="R156" s="13">
        <f t="shared" si="283"/>
        <v>0</v>
      </c>
      <c r="S156" s="13">
        <f t="shared" si="283"/>
        <v>0</v>
      </c>
      <c r="T156" s="13">
        <f t="shared" si="283"/>
        <v>1088</v>
      </c>
      <c r="U156" s="68">
        <f t="shared" si="248"/>
        <v>-1088</v>
      </c>
      <c r="V156" s="268">
        <f t="shared" si="249"/>
        <v>0</v>
      </c>
      <c r="W156" s="13">
        <f t="shared" si="240"/>
        <v>532</v>
      </c>
      <c r="X156" s="13">
        <f t="shared" si="284"/>
        <v>0</v>
      </c>
      <c r="Y156" s="13">
        <f t="shared" si="284"/>
        <v>0</v>
      </c>
      <c r="Z156" s="13">
        <f t="shared" si="284"/>
        <v>0</v>
      </c>
      <c r="AA156" s="13">
        <f t="shared" si="284"/>
        <v>0</v>
      </c>
      <c r="AB156" s="13">
        <f t="shared" si="284"/>
        <v>0</v>
      </c>
      <c r="AC156" s="68">
        <f t="shared" si="250"/>
        <v>532</v>
      </c>
      <c r="AD156" s="268">
        <f t="shared" si="251"/>
        <v>0</v>
      </c>
      <c r="AE156" s="13">
        <f t="shared" si="241"/>
        <v>0</v>
      </c>
      <c r="AF156" s="13">
        <f t="shared" si="285"/>
        <v>547</v>
      </c>
      <c r="AG156" s="13">
        <f t="shared" si="285"/>
        <v>0</v>
      </c>
      <c r="AH156" s="13">
        <f t="shared" si="285"/>
        <v>0</v>
      </c>
      <c r="AI156" s="13">
        <f t="shared" si="285"/>
        <v>0</v>
      </c>
      <c r="AJ156" s="13">
        <f t="shared" si="285"/>
        <v>547</v>
      </c>
      <c r="AK156" s="68">
        <f t="shared" si="252"/>
        <v>-547</v>
      </c>
      <c r="AL156" s="268">
        <f t="shared" si="253"/>
        <v>0</v>
      </c>
      <c r="AM156" s="13">
        <f t="shared" si="242"/>
        <v>228</v>
      </c>
      <c r="AN156" s="13">
        <f t="shared" si="286"/>
        <v>550</v>
      </c>
      <c r="AO156" s="13">
        <f t="shared" si="286"/>
        <v>0</v>
      </c>
      <c r="AP156" s="13">
        <f t="shared" si="286"/>
        <v>0</v>
      </c>
      <c r="AQ156" s="13">
        <f t="shared" si="286"/>
        <v>0</v>
      </c>
      <c r="AR156" s="13">
        <f t="shared" si="286"/>
        <v>0</v>
      </c>
      <c r="AS156" s="13">
        <f t="shared" si="286"/>
        <v>550</v>
      </c>
      <c r="AT156" s="68">
        <f>AM156-AS156</f>
        <v>-322</v>
      </c>
      <c r="AU156" s="268">
        <f t="shared" si="254"/>
        <v>2.4122807017543861</v>
      </c>
      <c r="AV156" s="13">
        <f t="shared" si="243"/>
        <v>0</v>
      </c>
      <c r="AW156" s="13">
        <f t="shared" si="222"/>
        <v>0</v>
      </c>
      <c r="AX156" s="13">
        <f t="shared" si="222"/>
        <v>0</v>
      </c>
      <c r="AY156" s="13">
        <f t="shared" si="222"/>
        <v>1119</v>
      </c>
      <c r="AZ156" s="13">
        <f t="shared" si="222"/>
        <v>0</v>
      </c>
      <c r="BA156" s="13">
        <f t="shared" si="223"/>
        <v>1119</v>
      </c>
      <c r="BB156" s="68">
        <f t="shared" si="255"/>
        <v>-1119</v>
      </c>
      <c r="BC156" s="268">
        <f t="shared" si="256"/>
        <v>0</v>
      </c>
      <c r="BD156" s="13">
        <f t="shared" si="257"/>
        <v>531</v>
      </c>
      <c r="BE156" s="13">
        <f>SUMIFS(SALIDAS_BIT,FECHA_BIT,"&gt;="&amp;BE$2,FECHA_BIT,"&lt;="&amp;BE$3,CLAVE_BIT,$A156)+SUMIFS(SALIDAS_BOV1,FECHA_BOV1,"&gt;="&amp;BE$2,FECHA_BOV1,"&lt;="&amp;BE$3,CLAVE_BOV1,$A156)+SUMIFS(SALIDAS_BOV2,FECHA_BOV2,"&gt;="&amp;BE$2,FECHA_BOV2,"&lt;="&amp;BE$3,CLAVE_BOV2,$A156)+SUMIFS(SALIDAS_BOV3,FECHA_BOV3,"&gt;="&amp;BE$2,FECHA_BOV3,"&lt;="&amp;BE$3,CLAVE_BOV3,$A156)+SUMIFS(SALIDAS_TC,FECHA_TC,"&gt;="&amp;BE$2,FECHA_TC,"&lt;="&amp;BE$3,CLAVE_TC,$A156)+SUMIFS(SALIDAS_COMB,FECHA_COMB,"&gt;="&amp;BE$2,FECHA_COMB,"&lt;="&amp;BE$3,CLAVE_COMB,$A156)+SUMIFS(SALIDAS_DES,FECHA_DESGLOSEN,"&gt;="&amp;BE$2,FECHA_DESGLOSEN,"&lt;="&amp;BE$3,CLAVE_DESGLOSE,$A156)</f>
        <v>0</v>
      </c>
      <c r="BF156" s="13">
        <f>SUMIFS(SALIDAS_BIT,FECHA_BIT,"&gt;="&amp;BF$2,FECHA_BIT,"&lt;="&amp;BF$3,CLAVE_BIT,$A156)+SUMIFS(SALIDAS_BOV1,FECHA_BOV1,"&gt;="&amp;BF$2,FECHA_BOV1,"&lt;="&amp;BF$3,CLAVE_BOV1,$A156)+SUMIFS(SALIDAS_BOV2,FECHA_BOV2,"&gt;="&amp;BF$2,FECHA_BOV2,"&lt;="&amp;BF$3,CLAVE_BOV2,$A156)+SUMIFS(SALIDAS_BOV3,FECHA_BOV3,"&gt;="&amp;BF$2,FECHA_BOV3,"&lt;="&amp;BF$3,CLAVE_BOV3,$A156)+SUMIFS(SALIDAS_TC,FECHA_TC,"&gt;="&amp;BF$2,FECHA_TC,"&lt;="&amp;BF$3,CLAVE_TC,$A156)+SUMIFS(SALIDAS_COMB,FECHA_COMB,"&gt;="&amp;BF$2,FECHA_COMB,"&lt;="&amp;BF$3,CLAVE_COMB,$A156)+SUMIFS(SALIDAS_DES,FECHA_DESGLOSEN,"&gt;="&amp;BF$2,FECHA_DESGLOSEN,"&lt;="&amp;BF$3,CLAVE_DESGLOSE,$A156)</f>
        <v>0</v>
      </c>
      <c r="BG156" s="13">
        <f>SUMIFS(SALIDAS_BIT,FECHA_BIT,"&gt;="&amp;BG$2,FECHA_BIT,"&lt;="&amp;BG$3,CLAVE_BIT,$A156)+SUMIFS(SALIDAS_BOV1,FECHA_BOV1,"&gt;="&amp;BG$2,FECHA_BOV1,"&lt;="&amp;BG$3,CLAVE_BOV1,$A156)+SUMIFS(SALIDAS_BOV2,FECHA_BOV2,"&gt;="&amp;BG$2,FECHA_BOV2,"&lt;="&amp;BG$3,CLAVE_BOV2,$A156)+SUMIFS(SALIDAS_BOV3,FECHA_BOV3,"&gt;="&amp;BG$2,FECHA_BOV3,"&lt;="&amp;BG$3,CLAVE_BOV3,$A156)+SUMIFS(SALIDAS_TC,FECHA_TC,"&gt;="&amp;BG$2,FECHA_TC,"&lt;="&amp;BG$3,CLAVE_TC,$A156)+SUMIFS(SALIDAS_COMB,FECHA_COMB,"&gt;="&amp;BG$2,FECHA_COMB,"&lt;="&amp;BG$3,CLAVE_COMB,$A156)+SUMIFS(SALIDAS_DES,FECHA_DESGLOSEN,"&gt;="&amp;BG$2,FECHA_DESGLOSEN,"&lt;="&amp;BG$3,CLAVE_DESGLOSE,$A156)</f>
        <v>0</v>
      </c>
      <c r="BH156" s="13">
        <f>SUMIFS(SALIDAS_BIT,FECHA_BIT,"&gt;="&amp;BH$2,FECHA_BIT,"&lt;="&amp;BH$3,CLAVE_BIT,$A156)+SUMIFS(SALIDAS_BOV1,FECHA_BOV1,"&gt;="&amp;BH$2,FECHA_BOV1,"&lt;="&amp;BH$3,CLAVE_BOV1,$A156)+SUMIFS(SALIDAS_BOV2,FECHA_BOV2,"&gt;="&amp;BH$2,FECHA_BOV2,"&lt;="&amp;BH$3,CLAVE_BOV2,$A156)+SUMIFS(SALIDAS_BOV3,FECHA_BOV3,"&gt;="&amp;BH$2,FECHA_BOV3,"&lt;="&amp;BH$3,CLAVE_BOV3,$A156)+SUMIFS(SALIDAS_TC,FECHA_TC,"&gt;="&amp;BH$2,FECHA_TC,"&lt;="&amp;BH$3,CLAVE_TC,$A156)+SUMIFS(SALIDAS_COMB,FECHA_COMB,"&gt;="&amp;BH$2,FECHA_COMB,"&lt;="&amp;BH$3,CLAVE_COMB,$A156)+SUMIFS(SALIDAS_DES,FECHA_DESGLOSEN,"&gt;="&amp;BH$2,FECHA_DESGLOSEN,"&lt;="&amp;BH$3,CLAVE_DESGLOSE,$A156)</f>
        <v>0</v>
      </c>
      <c r="BI156" s="13">
        <f t="shared" si="215"/>
        <v>0</v>
      </c>
      <c r="BJ156" s="68">
        <f t="shared" si="258"/>
        <v>531</v>
      </c>
      <c r="BK156" s="268">
        <f t="shared" si="259"/>
        <v>0</v>
      </c>
      <c r="BL156" s="13">
        <f t="shared" si="260"/>
        <v>813</v>
      </c>
      <c r="BM156" s="13">
        <f>SUMIFS(SALIDAS_BIT,FECHA_BIT,"&gt;="&amp;BM$2,FECHA_BIT,"&lt;="&amp;BM$3,CLAVE_BIT,$A156)+SUMIFS(SALIDAS_BOV1,FECHA_BOV1,"&gt;="&amp;BM$2,FECHA_BOV1,"&lt;="&amp;BM$3,CLAVE_BOV1,$A156)+SUMIFS(SALIDAS_BOV2,FECHA_BOV2,"&gt;="&amp;BM$2,FECHA_BOV2,"&lt;="&amp;BM$3,CLAVE_BOV2,$A156)+SUMIFS(SALIDAS_BOV3,FECHA_BOV3,"&gt;="&amp;BM$2,FECHA_BOV3,"&lt;="&amp;BM$3,CLAVE_BOV3,$A156)+SUMIFS(SALIDAS_TC,FECHA_TC,"&gt;="&amp;BM$2,FECHA_TC,"&lt;="&amp;BM$3,CLAVE_TC,$A156)+SUMIFS(SALIDAS_COMB,FECHA_COMB,"&gt;="&amp;BM$2,FECHA_COMB,"&lt;="&amp;BM$3,CLAVE_COMB,$A156)+SUMIFS(SALIDAS_DES,FECHA_DESGLOSEN,"&gt;="&amp;BM$2,FECHA_DESGLOSEN,"&lt;="&amp;BM$3,CLAVE_DESGLOSE,$A156)</f>
        <v>562</v>
      </c>
      <c r="BN156" s="13">
        <f>SUMIFS(SALIDAS_BIT,FECHA_BIT,"&gt;="&amp;BN$2,FECHA_BIT,"&lt;="&amp;BN$3,CLAVE_BIT,$A156)+SUMIFS(SALIDAS_BOV1,FECHA_BOV1,"&gt;="&amp;BN$2,FECHA_BOV1,"&lt;="&amp;BN$3,CLAVE_BOV1,$A156)+SUMIFS(SALIDAS_BOV2,FECHA_BOV2,"&gt;="&amp;BN$2,FECHA_BOV2,"&lt;="&amp;BN$3,CLAVE_BOV2,$A156)+SUMIFS(SALIDAS_BOV3,FECHA_BOV3,"&gt;="&amp;BN$2,FECHA_BOV3,"&lt;="&amp;BN$3,CLAVE_BOV3,$A156)+SUMIFS(SALIDAS_TC,FECHA_TC,"&gt;="&amp;BN$2,FECHA_TC,"&lt;="&amp;BN$3,CLAVE_TC,$A156)+SUMIFS(SALIDAS_COMB,FECHA_COMB,"&gt;="&amp;BN$2,FECHA_COMB,"&lt;="&amp;BN$3,CLAVE_COMB,$A156)+SUMIFS(SALIDAS_DES,FECHA_DESGLOSEN,"&gt;="&amp;BN$2,FECHA_DESGLOSEN,"&lt;="&amp;BN$3,CLAVE_DESGLOSE,$A156)</f>
        <v>0</v>
      </c>
      <c r="BO156" s="13">
        <f>SUMIFS(SALIDAS_BIT,FECHA_BIT,"&gt;="&amp;BO$2,FECHA_BIT,"&lt;="&amp;BO$3,CLAVE_BIT,$A156)+SUMIFS(SALIDAS_BOV1,FECHA_BOV1,"&gt;="&amp;BO$2,FECHA_BOV1,"&lt;="&amp;BO$3,CLAVE_BOV1,$A156)+SUMIFS(SALIDAS_BOV2,FECHA_BOV2,"&gt;="&amp;BO$2,FECHA_BOV2,"&lt;="&amp;BO$3,CLAVE_BOV2,$A156)+SUMIFS(SALIDAS_BOV3,FECHA_BOV3,"&gt;="&amp;BO$2,FECHA_BOV3,"&lt;="&amp;BO$3,CLAVE_BOV3,$A156)+SUMIFS(SALIDAS_TC,FECHA_TC,"&gt;="&amp;BO$2,FECHA_TC,"&lt;="&amp;BO$3,CLAVE_TC,$A156)+SUMIFS(SALIDAS_COMB,FECHA_COMB,"&gt;="&amp;BO$2,FECHA_COMB,"&lt;="&amp;BO$3,CLAVE_COMB,$A156)+SUMIFS(SALIDAS_DES,FECHA_DESGLOSEN,"&gt;="&amp;BO$2,FECHA_DESGLOSEN,"&lt;="&amp;BO$3,CLAVE_DESGLOSE,$A156)</f>
        <v>0</v>
      </c>
      <c r="BP156" s="13">
        <f>SUMIFS(SALIDAS_BIT,FECHA_BIT,"&gt;="&amp;BP$2,FECHA_BIT,"&lt;="&amp;BP$3,CLAVE_BIT,$A156)+SUMIFS(SALIDAS_BOV1,FECHA_BOV1,"&gt;="&amp;BP$2,FECHA_BOV1,"&lt;="&amp;BP$3,CLAVE_BOV1,$A156)+SUMIFS(SALIDAS_BOV2,FECHA_BOV2,"&gt;="&amp;BP$2,FECHA_BOV2,"&lt;="&amp;BP$3,CLAVE_BOV2,$A156)+SUMIFS(SALIDAS_BOV3,FECHA_BOV3,"&gt;="&amp;BP$2,FECHA_BOV3,"&lt;="&amp;BP$3,CLAVE_BOV3,$A156)+SUMIFS(SALIDAS_TC,FECHA_TC,"&gt;="&amp;BP$2,FECHA_TC,"&lt;="&amp;BP$3,CLAVE_TC,$A156)+SUMIFS(SALIDAS_COMB,FECHA_COMB,"&gt;="&amp;BP$2,FECHA_COMB,"&lt;="&amp;BP$3,CLAVE_COMB,$A156)+SUMIFS(SALIDAS_DES,FECHA_DESGLOSEN,"&gt;="&amp;BP$2,FECHA_DESGLOSEN,"&lt;="&amp;BP$3,CLAVE_DESGLOSE,$A156)</f>
        <v>0</v>
      </c>
      <c r="BQ156" s="13">
        <f>SUMIFS(SALIDAS_BIT,FECHA_BIT,"&gt;="&amp;BQ$2,FECHA_BIT,"&lt;="&amp;BQ$3,CLAVE_BIT,$A156)+SUMIFS(SALIDAS_BOV1,FECHA_BOV1,"&gt;="&amp;BQ$2,FECHA_BOV1,"&lt;="&amp;BQ$3,CLAVE_BOV1,$A156)+SUMIFS(SALIDAS_BOV2,FECHA_BOV2,"&gt;="&amp;BQ$2,FECHA_BOV2,"&lt;="&amp;BQ$3,CLAVE_BOV2,$A156)+SUMIFS(SALIDAS_BOV3,FECHA_BOV3,"&gt;="&amp;BQ$2,FECHA_BOV3,"&lt;="&amp;BQ$3,CLAVE_BOV3,$A156)+SUMIFS(SALIDAS_TC,FECHA_TC,"&gt;="&amp;BQ$2,FECHA_TC,"&lt;="&amp;BQ$3,CLAVE_TC,$A156)+SUMIFS(SALIDAS_COMB,FECHA_COMB,"&gt;="&amp;BQ$2,FECHA_COMB,"&lt;="&amp;BQ$3,CLAVE_COMB,$A156)+SUMIFS(SALIDAS_DES,FECHA_DESGLOSEN,"&gt;="&amp;BQ$2,FECHA_DESGLOSEN,"&lt;="&amp;BQ$3,CLAVE_DESGLOSE,$A156)</f>
        <v>0</v>
      </c>
      <c r="BR156" s="13">
        <f t="shared" si="287"/>
        <v>562</v>
      </c>
      <c r="BS156" s="68">
        <f t="shared" si="261"/>
        <v>251</v>
      </c>
      <c r="BT156" s="268">
        <f t="shared" si="262"/>
        <v>0.69126691266912665</v>
      </c>
      <c r="BU156" s="13">
        <f t="shared" si="263"/>
        <v>500</v>
      </c>
      <c r="BV156" s="13">
        <f t="shared" si="291"/>
        <v>600</v>
      </c>
      <c r="BW156" s="13">
        <f t="shared" si="291"/>
        <v>0</v>
      </c>
      <c r="BX156" s="13">
        <f t="shared" si="291"/>
        <v>0</v>
      </c>
      <c r="BY156" s="13">
        <f t="shared" si="291"/>
        <v>0</v>
      </c>
      <c r="BZ156" s="13">
        <f t="shared" si="288"/>
        <v>600</v>
      </c>
      <c r="CA156" s="68">
        <f t="shared" si="264"/>
        <v>-100</v>
      </c>
      <c r="CB156" s="268">
        <f t="shared" si="265"/>
        <v>1.2</v>
      </c>
      <c r="CC156" s="13">
        <f t="shared" si="266"/>
        <v>500</v>
      </c>
      <c r="CD156" s="13">
        <f t="shared" si="292"/>
        <v>0</v>
      </c>
      <c r="CE156" s="13">
        <f t="shared" si="292"/>
        <v>0</v>
      </c>
      <c r="CF156" s="13">
        <f t="shared" si="292"/>
        <v>570</v>
      </c>
      <c r="CG156" s="13">
        <f t="shared" si="292"/>
        <v>0</v>
      </c>
      <c r="CH156" s="13">
        <f t="shared" si="289"/>
        <v>570</v>
      </c>
      <c r="CI156" s="68">
        <f t="shared" si="267"/>
        <v>-70</v>
      </c>
      <c r="CJ156" s="268">
        <f t="shared" si="268"/>
        <v>1.1399999999999999</v>
      </c>
      <c r="CK156" s="13">
        <f t="shared" si="269"/>
        <v>500</v>
      </c>
      <c r="CL156" s="13">
        <f t="shared" si="228"/>
        <v>0</v>
      </c>
      <c r="CM156" s="13">
        <f t="shared" si="228"/>
        <v>1167</v>
      </c>
      <c r="CN156" s="13">
        <f t="shared" si="228"/>
        <v>0</v>
      </c>
      <c r="CO156" s="13">
        <f t="shared" si="228"/>
        <v>0</v>
      </c>
      <c r="CP156" s="13">
        <f t="shared" si="228"/>
        <v>0</v>
      </c>
      <c r="CQ156" s="13">
        <f t="shared" si="290"/>
        <v>1167</v>
      </c>
      <c r="CR156" s="68">
        <f t="shared" si="270"/>
        <v>-667</v>
      </c>
      <c r="CS156" s="268">
        <f t="shared" si="271"/>
        <v>2.3340000000000001</v>
      </c>
      <c r="CT156" s="68">
        <f t="shared" si="244"/>
        <v>600</v>
      </c>
      <c r="CU156" s="13">
        <f>SUMIFS(SALIDAS_BIT,FECHA_BIT,"&gt;="&amp;CU$2,FECHA_BIT,"&lt;="&amp;CU$3,CLAVE_BIT,$A156)+SUMIFS(SALIDAS_BOV1,FECHA_BOV1,"&gt;="&amp;CU$2,FECHA_BOV1,"&lt;="&amp;CU$3,CLAVE_BOV1,$A156)+SUMIFS(SALIDAS_BOV2,FECHA_BOV2,"&gt;="&amp;CU$2,FECHA_BOV2,"&lt;="&amp;CU$3,CLAVE_BOV2,$A156)+SUMIFS(SALIDAS_BOV3,FECHA_BOV3,"&gt;="&amp;CU$2,FECHA_BOV3,"&lt;="&amp;CU$3,CLAVE_BOV3,$A156)+SUMIFS(SALIDAS_TC,FECHA_TC,"&gt;="&amp;CU$2,FECHA_TC,"&lt;="&amp;CU$3,CLAVE_TC,$A156)+SUMIFS(SALIDAS_COMB,FECHA_COMB,"&gt;="&amp;CU$2,FECHA_COMB,"&lt;="&amp;CU$3,CLAVE_COMB,$A156)+SUMIFS(SALIDAS_DES,FECHA_DESGLOSEN,"&gt;="&amp;CU$2,FECHA_DESGLOSEN,"&lt;="&amp;CU$3,CLAVE_DESGLOSE,$A156)</f>
        <v>0</v>
      </c>
      <c r="CV156" s="13">
        <f>SUMIFS(SALIDAS_BIT,FECHA_BIT,"&gt;="&amp;CV$2,FECHA_BIT,"&lt;="&amp;CV$3,CLAVE_BIT,$A156)+SUMIFS(SALIDAS_BOV1,FECHA_BOV1,"&gt;="&amp;CV$2,FECHA_BOV1,"&lt;="&amp;CV$3,CLAVE_BOV1,$A156)+SUMIFS(SALIDAS_BOV2,FECHA_BOV2,"&gt;="&amp;CV$2,FECHA_BOV2,"&lt;="&amp;CV$3,CLAVE_BOV2,$A156)+SUMIFS(SALIDAS_BOV3,FECHA_BOV3,"&gt;="&amp;CV$2,FECHA_BOV3,"&lt;="&amp;CV$3,CLAVE_BOV3,$A156)+SUMIFS(SALIDAS_TC,FECHA_TC,"&gt;="&amp;CV$2,FECHA_TC,"&lt;="&amp;CV$3,CLAVE_TC,$A156)+SUMIFS(SALIDAS_COMB,FECHA_COMB,"&gt;="&amp;CV$2,FECHA_COMB,"&lt;="&amp;CV$3,CLAVE_COMB,$A156)+SUMIFS(SALIDAS_DES,FECHA_DESGLOSEN,"&gt;="&amp;CV$2,FECHA_DESGLOSEN,"&lt;="&amp;CV$3,CLAVE_DESGLOSE,$A156)</f>
        <v>0</v>
      </c>
      <c r="CW156" s="13">
        <f>SUMIFS(SALIDAS_BIT,FECHA_BIT,"&gt;="&amp;CW$2,FECHA_BIT,"&lt;="&amp;CW$3,CLAVE_BIT,$A156)+SUMIFS(SALIDAS_BOV1,FECHA_BOV1,"&gt;="&amp;CW$2,FECHA_BOV1,"&lt;="&amp;CW$3,CLAVE_BOV1,$A156)+SUMIFS(SALIDAS_BOV2,FECHA_BOV2,"&gt;="&amp;CW$2,FECHA_BOV2,"&lt;="&amp;CW$3,CLAVE_BOV2,$A156)+SUMIFS(SALIDAS_BOV3,FECHA_BOV3,"&gt;="&amp;CW$2,FECHA_BOV3,"&lt;="&amp;CW$3,CLAVE_BOV3,$A156)+SUMIFS(SALIDAS_TC,FECHA_TC,"&gt;="&amp;CW$2,FECHA_TC,"&lt;="&amp;CW$3,CLAVE_TC,$A156)+SUMIFS(SALIDAS_COMB,FECHA_COMB,"&gt;="&amp;CW$2,FECHA_COMB,"&lt;="&amp;CW$3,CLAVE_COMB,$A156)+SUMIFS(SALIDAS_DES,FECHA_DESGLOSEN,"&gt;="&amp;CW$2,FECHA_DESGLOSEN,"&lt;="&amp;CW$3,CLAVE_DESGLOSE,$A156)</f>
        <v>0</v>
      </c>
      <c r="CX156" s="13">
        <f>SUMIFS(SALIDAS_BIT,FECHA_BIT,"&gt;="&amp;CX$2,FECHA_BIT,"&lt;="&amp;CX$3,CLAVE_BIT,$A156)+SUMIFS(SALIDAS_BOV1,FECHA_BOV1,"&gt;="&amp;CX$2,FECHA_BOV1,"&lt;="&amp;CX$3,CLAVE_BOV1,$A156)+SUMIFS(SALIDAS_BOV2,FECHA_BOV2,"&gt;="&amp;CX$2,FECHA_BOV2,"&lt;="&amp;CX$3,CLAVE_BOV2,$A156)+SUMIFS(SALIDAS_BOV3,FECHA_BOV3,"&gt;="&amp;CX$2,FECHA_BOV3,"&lt;="&amp;CX$3,CLAVE_BOV3,$A156)+SUMIFS(SALIDAS_TC,FECHA_TC,"&gt;="&amp;CX$2,FECHA_TC,"&lt;="&amp;CX$3,CLAVE_TC,$A156)+SUMIFS(SALIDAS_COMB,FECHA_COMB,"&gt;="&amp;CX$2,FECHA_COMB,"&lt;="&amp;CX$3,CLAVE_COMB,$A156)+SUMIFS(SALIDAS_DES,FECHA_DESGLOSEN,"&gt;="&amp;CX$2,FECHA_DESGLOSEN,"&lt;="&amp;CX$3,CLAVE_DESGLOSE,$A156)</f>
        <v>578</v>
      </c>
      <c r="CY156" s="13">
        <f>SUMIFS(SALIDAS_BIT,FECHA_BIT,"&gt;="&amp;CY$2,FECHA_BIT,"&lt;="&amp;CY$3,CLAVE_BIT,$A156)+SUMIFS(SALIDAS_BOV1,FECHA_BOV1,"&gt;="&amp;CY$2,FECHA_BOV1,"&lt;="&amp;CY$3,CLAVE_BOV1,$A156)+SUMIFS(SALIDAS_BOV2,FECHA_BOV2,"&gt;="&amp;CY$2,FECHA_BOV2,"&lt;="&amp;CY$3,CLAVE_BOV2,$A156)+SUMIFS(SALIDAS_BOV3,FECHA_BOV3,"&gt;="&amp;CY$2,FECHA_BOV3,"&lt;="&amp;CY$3,CLAVE_BOV3,$A156)+SUMIFS(SALIDAS_TC,FECHA_TC,"&gt;="&amp;CY$2,FECHA_TC,"&lt;="&amp;CY$3,CLAVE_TC,$A156)+SUMIFS(SALIDAS_COMB,FECHA_COMB,"&gt;="&amp;CY$2,FECHA_COMB,"&lt;="&amp;CY$3,CLAVE_COMB,$A156)+SUMIFS(SALIDAS_DES,FECHA_DESGLOSEN,"&gt;="&amp;CY$2,FECHA_DESGLOSEN,"&lt;="&amp;CY$3,CLAVE_DESGLOSE,$A156)</f>
        <v>578</v>
      </c>
      <c r="CZ156" s="68">
        <f t="shared" si="272"/>
        <v>22</v>
      </c>
      <c r="DB156" s="17">
        <f>F156+N156+W156+AE156+AM156+AV156+BD156+BL156+BU156+CC156+CK156</f>
        <v>3604</v>
      </c>
      <c r="DC156" s="17">
        <f>K156+T156+AB156+AJ156+AS156+BA156+BI156+BR156+BZ156+CH156+CQ156</f>
        <v>6203</v>
      </c>
    </row>
    <row r="157" spans="1:107" hidden="1">
      <c r="A157" s="12" t="str">
        <f t="shared" si="245"/>
        <v>CAPJMASE1</v>
      </c>
      <c r="B157" s="12">
        <v>159</v>
      </c>
      <c r="C157" t="s">
        <v>31</v>
      </c>
      <c r="D157" s="12" t="s">
        <v>137</v>
      </c>
      <c r="E157" s="12" t="s">
        <v>107</v>
      </c>
      <c r="F157" s="259">
        <f t="shared" si="238"/>
        <v>342</v>
      </c>
      <c r="G157" s="13">
        <f t="shared" ref="G157:K166" si="293">SUMIFS(SALIDAS_BIT,FECHA_BIT,"&gt;="&amp;G$2,FECHA_BIT,"&lt;="&amp;G$3,CLAVE_BIT,$A157)+SUMIFS(SALIDAS_BOV1,FECHA_BOV1,"&gt;="&amp;G$2,FECHA_BOV1,"&lt;="&amp;G$3,CLAVE_BOV1,$A157)+SUMIFS(SALIDAS_BOV2,FECHA_BOV2,"&gt;="&amp;G$2,FECHA_BOV2,"&lt;="&amp;G$3,CLAVE_BOV2,$A157)+SUMIFS(SALIDAS_BOV3,FECHA_BOV3,"&gt;="&amp;G$2,FECHA_BOV3,"&lt;="&amp;G$3,CLAVE_BOV3,$A157)+SUMIFS(SALIDAS_TC,FECHA_TC,"&gt;="&amp;G$2,FECHA_TC,"&lt;="&amp;G$3,CLAVE_TC,$A157)+SUMIFS(SALIDAS_COMB,FECHA_COMB,"&gt;="&amp;G$2,FECHA_COMB,"&lt;="&amp;G$3,CLAVE_COMB,$A157)+SUMIFS(SALIDAS_DES,FECHA_DESGLOSEN,"&gt;="&amp;G$2,FECHA_DESGLOSEN,"&lt;="&amp;G$3,CLAVE_DESGLOSE,$A157)</f>
        <v>917</v>
      </c>
      <c r="H157" s="13">
        <f t="shared" si="293"/>
        <v>0</v>
      </c>
      <c r="I157" s="13">
        <f t="shared" si="293"/>
        <v>0</v>
      </c>
      <c r="J157" s="13">
        <f t="shared" si="293"/>
        <v>0</v>
      </c>
      <c r="K157" s="13">
        <f t="shared" si="293"/>
        <v>917</v>
      </c>
      <c r="L157" s="68">
        <f t="shared" si="246"/>
        <v>-575</v>
      </c>
      <c r="M157" s="268">
        <f t="shared" si="247"/>
        <v>2.6812865497076022</v>
      </c>
      <c r="N157" s="13">
        <f t="shared" si="239"/>
        <v>0</v>
      </c>
      <c r="O157" s="13">
        <f t="shared" ref="O157:T166" si="294">SUMIFS(SALIDAS_BIT,FECHA_BIT,"&gt;="&amp;O$2,FECHA_BIT,"&lt;="&amp;O$3,CLAVE_BIT,$A157)+SUMIFS(SALIDAS_BOV1,FECHA_BOV1,"&gt;="&amp;O$2,FECHA_BOV1,"&lt;="&amp;O$3,CLAVE_BOV1,$A157)+SUMIFS(SALIDAS_BOV2,FECHA_BOV2,"&gt;="&amp;O$2,FECHA_BOV2,"&lt;="&amp;O$3,CLAVE_BOV2,$A157)+SUMIFS(SALIDAS_BOV3,FECHA_BOV3,"&gt;="&amp;O$2,FECHA_BOV3,"&lt;="&amp;O$3,CLAVE_BOV3,$A157)+SUMIFS(SALIDAS_TC,FECHA_TC,"&gt;="&amp;O$2,FECHA_TC,"&lt;="&amp;O$3,CLAVE_TC,$A157)+SUMIFS(SALIDAS_COMB,FECHA_COMB,"&gt;="&amp;O$2,FECHA_COMB,"&lt;="&amp;O$3,CLAVE_COMB,$A157)+SUMIFS(SALIDAS_DES,FECHA_DESGLOSEN,"&gt;="&amp;O$2,FECHA_DESGLOSEN,"&lt;="&amp;O$3,CLAVE_DESGLOSE,$A157)</f>
        <v>0</v>
      </c>
      <c r="P157" s="13">
        <f t="shared" si="294"/>
        <v>0</v>
      </c>
      <c r="Q157" s="13">
        <f t="shared" si="294"/>
        <v>0</v>
      </c>
      <c r="R157" s="13">
        <f t="shared" si="294"/>
        <v>0</v>
      </c>
      <c r="S157" s="13">
        <f t="shared" si="294"/>
        <v>0</v>
      </c>
      <c r="T157" s="13">
        <f t="shared" si="294"/>
        <v>0</v>
      </c>
      <c r="U157" s="68">
        <f t="shared" si="248"/>
        <v>0</v>
      </c>
      <c r="V157" s="268">
        <f t="shared" si="249"/>
        <v>0</v>
      </c>
      <c r="W157" s="13">
        <f t="shared" si="240"/>
        <v>0</v>
      </c>
      <c r="X157" s="13">
        <f t="shared" ref="X157:AB166" si="295">SUMIFS(SALIDAS_BIT,FECHA_BIT,"&gt;="&amp;X$2,FECHA_BIT,"&lt;="&amp;X$3,CLAVE_BIT,$A157)+SUMIFS(SALIDAS_BOV1,FECHA_BOV1,"&gt;="&amp;X$2,FECHA_BOV1,"&lt;="&amp;X$3,CLAVE_BOV1,$A157)+SUMIFS(SALIDAS_BOV2,FECHA_BOV2,"&gt;="&amp;X$2,FECHA_BOV2,"&lt;="&amp;X$3,CLAVE_BOV2,$A157)+SUMIFS(SALIDAS_BOV3,FECHA_BOV3,"&gt;="&amp;X$2,FECHA_BOV3,"&lt;="&amp;X$3,CLAVE_BOV3,$A157)+SUMIFS(SALIDAS_TC,FECHA_TC,"&gt;="&amp;X$2,FECHA_TC,"&lt;="&amp;X$3,CLAVE_TC,$A157)+SUMIFS(SALIDAS_COMB,FECHA_COMB,"&gt;="&amp;X$2,FECHA_COMB,"&lt;="&amp;X$3,CLAVE_COMB,$A157)+SUMIFS(SALIDAS_DES,FECHA_DESGLOSEN,"&gt;="&amp;X$2,FECHA_DESGLOSEN,"&lt;="&amp;X$3,CLAVE_DESGLOSE,$A157)</f>
        <v>2310</v>
      </c>
      <c r="Y157" s="13">
        <f t="shared" si="295"/>
        <v>0</v>
      </c>
      <c r="Z157" s="13">
        <f t="shared" si="295"/>
        <v>0</v>
      </c>
      <c r="AA157" s="13">
        <f t="shared" si="295"/>
        <v>0</v>
      </c>
      <c r="AB157" s="13">
        <f t="shared" si="295"/>
        <v>2310</v>
      </c>
      <c r="AC157" s="68">
        <f t="shared" si="250"/>
        <v>-2310</v>
      </c>
      <c r="AD157" s="268">
        <f t="shared" si="251"/>
        <v>0</v>
      </c>
      <c r="AE157" s="13">
        <f t="shared" si="241"/>
        <v>681</v>
      </c>
      <c r="AF157" s="13">
        <f t="shared" ref="AF157:AJ166" si="296">SUMIFS(SALIDAS_BIT,FECHA_BIT,"&gt;="&amp;AF$2,FECHA_BIT,"&lt;="&amp;AF$3,CLAVE_BIT,$A157)+SUMIFS(SALIDAS_BOV1,FECHA_BOV1,"&gt;="&amp;AF$2,FECHA_BOV1,"&lt;="&amp;AF$3,CLAVE_BOV1,$A157)+SUMIFS(SALIDAS_BOV2,FECHA_BOV2,"&gt;="&amp;AF$2,FECHA_BOV2,"&lt;="&amp;AF$3,CLAVE_BOV2,$A157)+SUMIFS(SALIDAS_BOV3,FECHA_BOV3,"&gt;="&amp;AF$2,FECHA_BOV3,"&lt;="&amp;AF$3,CLAVE_BOV3,$A157)+SUMIFS(SALIDAS_TC,FECHA_TC,"&gt;="&amp;AF$2,FECHA_TC,"&lt;="&amp;AF$3,CLAVE_TC,$A157)+SUMIFS(SALIDAS_COMB,FECHA_COMB,"&gt;="&amp;AF$2,FECHA_COMB,"&lt;="&amp;AF$3,CLAVE_COMB,$A157)+SUMIFS(SALIDAS_DES,FECHA_DESGLOSEN,"&gt;="&amp;AF$2,FECHA_DESGLOSEN,"&lt;="&amp;AF$3,CLAVE_DESGLOSE,$A157)</f>
        <v>0</v>
      </c>
      <c r="AG157" s="13">
        <f t="shared" si="296"/>
        <v>4640</v>
      </c>
      <c r="AH157" s="13">
        <f t="shared" si="296"/>
        <v>0</v>
      </c>
      <c r="AI157" s="13">
        <f t="shared" si="296"/>
        <v>0</v>
      </c>
      <c r="AJ157" s="13">
        <f t="shared" si="296"/>
        <v>4640</v>
      </c>
      <c r="AK157" s="68">
        <f t="shared" si="252"/>
        <v>-3959</v>
      </c>
      <c r="AL157" s="268">
        <f t="shared" si="253"/>
        <v>6.8135095447870775</v>
      </c>
      <c r="AM157" s="13">
        <f t="shared" si="242"/>
        <v>339</v>
      </c>
      <c r="AN157" s="13">
        <f t="shared" ref="AN157:AS166" si="297">SUMIFS(SALIDAS_BIT,FECHA_BIT,"&gt;="&amp;AN$2,FECHA_BIT,"&lt;="&amp;AN$3,CLAVE_BIT,$A157)+SUMIFS(SALIDAS_BOV1,FECHA_BOV1,"&gt;="&amp;AN$2,FECHA_BOV1,"&lt;="&amp;AN$3,CLAVE_BOV1,$A157)+SUMIFS(SALIDAS_BOV2,FECHA_BOV2,"&gt;="&amp;AN$2,FECHA_BOV2,"&lt;="&amp;AN$3,CLAVE_BOV2,$A157)+SUMIFS(SALIDAS_BOV3,FECHA_BOV3,"&gt;="&amp;AN$2,FECHA_BOV3,"&lt;="&amp;AN$3,CLAVE_BOV3,$A157)+SUMIFS(SALIDAS_TC,FECHA_TC,"&gt;="&amp;AN$2,FECHA_TC,"&lt;="&amp;AN$3,CLAVE_TC,$A157)+SUMIFS(SALIDAS_COMB,FECHA_COMB,"&gt;="&amp;AN$2,FECHA_COMB,"&lt;="&amp;AN$3,CLAVE_COMB,$A157)+SUMIFS(SALIDAS_DES,FECHA_DESGLOSEN,"&gt;="&amp;AN$2,FECHA_DESGLOSEN,"&lt;="&amp;AN$3,CLAVE_DESGLOSE,$A157)</f>
        <v>0</v>
      </c>
      <c r="AO157" s="13">
        <f t="shared" si="297"/>
        <v>0</v>
      </c>
      <c r="AP157" s="13">
        <f t="shared" si="297"/>
        <v>0</v>
      </c>
      <c r="AQ157" s="13">
        <f t="shared" si="297"/>
        <v>0</v>
      </c>
      <c r="AR157" s="13">
        <f t="shared" si="297"/>
        <v>406</v>
      </c>
      <c r="AS157" s="13">
        <f t="shared" si="297"/>
        <v>406</v>
      </c>
      <c r="AT157" s="68">
        <f>AM157-AS157</f>
        <v>-67</v>
      </c>
      <c r="AU157" s="268">
        <f t="shared" si="254"/>
        <v>1.1976401179941003</v>
      </c>
      <c r="AV157" s="13">
        <f t="shared" si="243"/>
        <v>0</v>
      </c>
      <c r="AW157" s="13">
        <f t="shared" si="222"/>
        <v>0</v>
      </c>
      <c r="AX157" s="13">
        <f t="shared" si="222"/>
        <v>0</v>
      </c>
      <c r="AY157" s="13">
        <f t="shared" si="222"/>
        <v>412</v>
      </c>
      <c r="AZ157" s="13">
        <f t="shared" si="222"/>
        <v>0</v>
      </c>
      <c r="BA157" s="13">
        <f t="shared" si="223"/>
        <v>412</v>
      </c>
      <c r="BB157" s="68">
        <f t="shared" si="255"/>
        <v>-412</v>
      </c>
      <c r="BC157" s="268">
        <f t="shared" si="256"/>
        <v>0</v>
      </c>
      <c r="BD157" s="13">
        <f t="shared" si="257"/>
        <v>350</v>
      </c>
      <c r="BE157" s="13">
        <f>SUMIFS(SALIDAS_BIT,FECHA_BIT,"&gt;="&amp;BE$2,FECHA_BIT,"&lt;="&amp;BE$3,CLAVE_BIT,$A157)+SUMIFS(SALIDAS_BOV1,FECHA_BOV1,"&gt;="&amp;BE$2,FECHA_BOV1,"&lt;="&amp;BE$3,CLAVE_BOV1,$A157)+SUMIFS(SALIDAS_BOV2,FECHA_BOV2,"&gt;="&amp;BE$2,FECHA_BOV2,"&lt;="&amp;BE$3,CLAVE_BOV2,$A157)+SUMIFS(SALIDAS_BOV3,FECHA_BOV3,"&gt;="&amp;BE$2,FECHA_BOV3,"&lt;="&amp;BE$3,CLAVE_BOV3,$A157)+SUMIFS(SALIDAS_TC,FECHA_TC,"&gt;="&amp;BE$2,FECHA_TC,"&lt;="&amp;BE$3,CLAVE_TC,$A157)+SUMIFS(SALIDAS_COMB,FECHA_COMB,"&gt;="&amp;BE$2,FECHA_COMB,"&lt;="&amp;BE$3,CLAVE_COMB,$A157)+SUMIFS(SALIDAS_DES,FECHA_DESGLOSEN,"&gt;="&amp;BE$2,FECHA_DESGLOSEN,"&lt;="&amp;BE$3,CLAVE_DESGLOSE,$A157)</f>
        <v>0</v>
      </c>
      <c r="BF157" s="13">
        <f>SUMIFS(SALIDAS_BIT,FECHA_BIT,"&gt;="&amp;BF$2,FECHA_BIT,"&lt;="&amp;BF$3,CLAVE_BIT,$A157)+SUMIFS(SALIDAS_BOV1,FECHA_BOV1,"&gt;="&amp;BF$2,FECHA_BOV1,"&lt;="&amp;BF$3,CLAVE_BOV1,$A157)+SUMIFS(SALIDAS_BOV2,FECHA_BOV2,"&gt;="&amp;BF$2,FECHA_BOV2,"&lt;="&amp;BF$3,CLAVE_BOV2,$A157)+SUMIFS(SALIDAS_BOV3,FECHA_BOV3,"&gt;="&amp;BF$2,FECHA_BOV3,"&lt;="&amp;BF$3,CLAVE_BOV3,$A157)+SUMIFS(SALIDAS_TC,FECHA_TC,"&gt;="&amp;BF$2,FECHA_TC,"&lt;="&amp;BF$3,CLAVE_TC,$A157)+SUMIFS(SALIDAS_COMB,FECHA_COMB,"&gt;="&amp;BF$2,FECHA_COMB,"&lt;="&amp;BF$3,CLAVE_COMB,$A157)+SUMIFS(SALIDAS_DES,FECHA_DESGLOSEN,"&gt;="&amp;BF$2,FECHA_DESGLOSEN,"&lt;="&amp;BF$3,CLAVE_DESGLOSE,$A157)</f>
        <v>0</v>
      </c>
      <c r="BG157" s="13">
        <f>SUMIFS(SALIDAS_BIT,FECHA_BIT,"&gt;="&amp;BG$2,FECHA_BIT,"&lt;="&amp;BG$3,CLAVE_BIT,$A157)+SUMIFS(SALIDAS_BOV1,FECHA_BOV1,"&gt;="&amp;BG$2,FECHA_BOV1,"&lt;="&amp;BG$3,CLAVE_BOV1,$A157)+SUMIFS(SALIDAS_BOV2,FECHA_BOV2,"&gt;="&amp;BG$2,FECHA_BOV2,"&lt;="&amp;BG$3,CLAVE_BOV2,$A157)+SUMIFS(SALIDAS_BOV3,FECHA_BOV3,"&gt;="&amp;BG$2,FECHA_BOV3,"&lt;="&amp;BG$3,CLAVE_BOV3,$A157)+SUMIFS(SALIDAS_TC,FECHA_TC,"&gt;="&amp;BG$2,FECHA_TC,"&lt;="&amp;BG$3,CLAVE_TC,$A157)+SUMIFS(SALIDAS_COMB,FECHA_COMB,"&gt;="&amp;BG$2,FECHA_COMB,"&lt;="&amp;BG$3,CLAVE_COMB,$A157)+SUMIFS(SALIDAS_DES,FECHA_DESGLOSEN,"&gt;="&amp;BG$2,FECHA_DESGLOSEN,"&lt;="&amp;BG$3,CLAVE_DESGLOSE,$A157)</f>
        <v>0</v>
      </c>
      <c r="BH157" s="13">
        <f>SUMIFS(SALIDAS_BIT,FECHA_BIT,"&gt;="&amp;BH$2,FECHA_BIT,"&lt;="&amp;BH$3,CLAVE_BIT,$A157)+SUMIFS(SALIDAS_BOV1,FECHA_BOV1,"&gt;="&amp;BH$2,FECHA_BOV1,"&lt;="&amp;BH$3,CLAVE_BOV1,$A157)+SUMIFS(SALIDAS_BOV2,FECHA_BOV2,"&gt;="&amp;BH$2,FECHA_BOV2,"&lt;="&amp;BH$3,CLAVE_BOV2,$A157)+SUMIFS(SALIDAS_BOV3,FECHA_BOV3,"&gt;="&amp;BH$2,FECHA_BOV3,"&lt;="&amp;BH$3,CLAVE_BOV3,$A157)+SUMIFS(SALIDAS_TC,FECHA_TC,"&gt;="&amp;BH$2,FECHA_TC,"&lt;="&amp;BH$3,CLAVE_TC,$A157)+SUMIFS(SALIDAS_COMB,FECHA_COMB,"&gt;="&amp;BH$2,FECHA_COMB,"&lt;="&amp;BH$3,CLAVE_COMB,$A157)+SUMIFS(SALIDAS_DES,FECHA_DESGLOSEN,"&gt;="&amp;BH$2,FECHA_DESGLOSEN,"&lt;="&amp;BH$3,CLAVE_DESGLOSE,$A157)</f>
        <v>0</v>
      </c>
      <c r="BI157" s="13">
        <f t="shared" si="215"/>
        <v>0</v>
      </c>
      <c r="BJ157" s="68">
        <f t="shared" si="258"/>
        <v>350</v>
      </c>
      <c r="BK157" s="268">
        <f t="shared" si="259"/>
        <v>0</v>
      </c>
      <c r="BL157" s="13">
        <f t="shared" si="260"/>
        <v>0</v>
      </c>
      <c r="BM157" s="13">
        <f>SUMIFS(SALIDAS_BIT,FECHA_BIT,"&gt;="&amp;BM$2,FECHA_BIT,"&lt;="&amp;BM$3,CLAVE_BIT,$A157)+SUMIFS(SALIDAS_BOV1,FECHA_BOV1,"&gt;="&amp;BM$2,FECHA_BOV1,"&lt;="&amp;BM$3,CLAVE_BOV1,$A157)+SUMIFS(SALIDAS_BOV2,FECHA_BOV2,"&gt;="&amp;BM$2,FECHA_BOV2,"&lt;="&amp;BM$3,CLAVE_BOV2,$A157)+SUMIFS(SALIDAS_BOV3,FECHA_BOV3,"&gt;="&amp;BM$2,FECHA_BOV3,"&lt;="&amp;BM$3,CLAVE_BOV3,$A157)+SUMIFS(SALIDAS_TC,FECHA_TC,"&gt;="&amp;BM$2,FECHA_TC,"&lt;="&amp;BM$3,CLAVE_TC,$A157)+SUMIFS(SALIDAS_COMB,FECHA_COMB,"&gt;="&amp;BM$2,FECHA_COMB,"&lt;="&amp;BM$3,CLAVE_COMB,$A157)+SUMIFS(SALIDAS_DES,FECHA_DESGLOSEN,"&gt;="&amp;BM$2,FECHA_DESGLOSEN,"&lt;="&amp;BM$3,CLAVE_DESGLOSE,$A157)</f>
        <v>0</v>
      </c>
      <c r="BN157" s="13">
        <f>SUMIFS(SALIDAS_BIT,FECHA_BIT,"&gt;="&amp;BN$2,FECHA_BIT,"&lt;="&amp;BN$3,CLAVE_BIT,$A157)+SUMIFS(SALIDAS_BOV1,FECHA_BOV1,"&gt;="&amp;BN$2,FECHA_BOV1,"&lt;="&amp;BN$3,CLAVE_BOV1,$A157)+SUMIFS(SALIDAS_BOV2,FECHA_BOV2,"&gt;="&amp;BN$2,FECHA_BOV2,"&lt;="&amp;BN$3,CLAVE_BOV2,$A157)+SUMIFS(SALIDAS_BOV3,FECHA_BOV3,"&gt;="&amp;BN$2,FECHA_BOV3,"&lt;="&amp;BN$3,CLAVE_BOV3,$A157)+SUMIFS(SALIDAS_TC,FECHA_TC,"&gt;="&amp;BN$2,FECHA_TC,"&lt;="&amp;BN$3,CLAVE_TC,$A157)+SUMIFS(SALIDAS_COMB,FECHA_COMB,"&gt;="&amp;BN$2,FECHA_COMB,"&lt;="&amp;BN$3,CLAVE_COMB,$A157)+SUMIFS(SALIDAS_DES,FECHA_DESGLOSEN,"&gt;="&amp;BN$2,FECHA_DESGLOSEN,"&lt;="&amp;BN$3,CLAVE_DESGLOSE,$A157)</f>
        <v>0</v>
      </c>
      <c r="BO157" s="13">
        <f>SUMIFS(SALIDAS_BIT,FECHA_BIT,"&gt;="&amp;BO$2,FECHA_BIT,"&lt;="&amp;BO$3,CLAVE_BIT,$A157)+SUMIFS(SALIDAS_BOV1,FECHA_BOV1,"&gt;="&amp;BO$2,FECHA_BOV1,"&lt;="&amp;BO$3,CLAVE_BOV1,$A157)+SUMIFS(SALIDAS_BOV2,FECHA_BOV2,"&gt;="&amp;BO$2,FECHA_BOV2,"&lt;="&amp;BO$3,CLAVE_BOV2,$A157)+SUMIFS(SALIDAS_BOV3,FECHA_BOV3,"&gt;="&amp;BO$2,FECHA_BOV3,"&lt;="&amp;BO$3,CLAVE_BOV3,$A157)+SUMIFS(SALIDAS_TC,FECHA_TC,"&gt;="&amp;BO$2,FECHA_TC,"&lt;="&amp;BO$3,CLAVE_TC,$A157)+SUMIFS(SALIDAS_COMB,FECHA_COMB,"&gt;="&amp;BO$2,FECHA_COMB,"&lt;="&amp;BO$3,CLAVE_COMB,$A157)+SUMIFS(SALIDAS_DES,FECHA_DESGLOSEN,"&gt;="&amp;BO$2,FECHA_DESGLOSEN,"&lt;="&amp;BO$3,CLAVE_DESGLOSE,$A157)</f>
        <v>0</v>
      </c>
      <c r="BP157" s="13">
        <f>SUMIFS(SALIDAS_BIT,FECHA_BIT,"&gt;="&amp;BP$2,FECHA_BIT,"&lt;="&amp;BP$3,CLAVE_BIT,$A157)+SUMIFS(SALIDAS_BOV1,FECHA_BOV1,"&gt;="&amp;BP$2,FECHA_BOV1,"&lt;="&amp;BP$3,CLAVE_BOV1,$A157)+SUMIFS(SALIDAS_BOV2,FECHA_BOV2,"&gt;="&amp;BP$2,FECHA_BOV2,"&lt;="&amp;BP$3,CLAVE_BOV2,$A157)+SUMIFS(SALIDAS_BOV3,FECHA_BOV3,"&gt;="&amp;BP$2,FECHA_BOV3,"&lt;="&amp;BP$3,CLAVE_BOV3,$A157)+SUMIFS(SALIDAS_TC,FECHA_TC,"&gt;="&amp;BP$2,FECHA_TC,"&lt;="&amp;BP$3,CLAVE_TC,$A157)+SUMIFS(SALIDAS_COMB,FECHA_COMB,"&gt;="&amp;BP$2,FECHA_COMB,"&lt;="&amp;BP$3,CLAVE_COMB,$A157)+SUMIFS(SALIDAS_DES,FECHA_DESGLOSEN,"&gt;="&amp;BP$2,FECHA_DESGLOSEN,"&lt;="&amp;BP$3,CLAVE_DESGLOSE,$A157)</f>
        <v>0</v>
      </c>
      <c r="BQ157" s="13">
        <f>SUMIFS(SALIDAS_BIT,FECHA_BIT,"&gt;="&amp;BQ$2,FECHA_BIT,"&lt;="&amp;BQ$3,CLAVE_BIT,$A157)+SUMIFS(SALIDAS_BOV1,FECHA_BOV1,"&gt;="&amp;BQ$2,FECHA_BOV1,"&lt;="&amp;BQ$3,CLAVE_BOV1,$A157)+SUMIFS(SALIDAS_BOV2,FECHA_BOV2,"&gt;="&amp;BQ$2,FECHA_BOV2,"&lt;="&amp;BQ$3,CLAVE_BOV2,$A157)+SUMIFS(SALIDAS_BOV3,FECHA_BOV3,"&gt;="&amp;BQ$2,FECHA_BOV3,"&lt;="&amp;BQ$3,CLAVE_BOV3,$A157)+SUMIFS(SALIDAS_TC,FECHA_TC,"&gt;="&amp;BQ$2,FECHA_TC,"&lt;="&amp;BQ$3,CLAVE_TC,$A157)+SUMIFS(SALIDAS_COMB,FECHA_COMB,"&gt;="&amp;BQ$2,FECHA_COMB,"&lt;="&amp;BQ$3,CLAVE_COMB,$A157)+SUMIFS(SALIDAS_DES,FECHA_DESGLOSEN,"&gt;="&amp;BQ$2,FECHA_DESGLOSEN,"&lt;="&amp;BQ$3,CLAVE_DESGLOSE,$A157)</f>
        <v>849</v>
      </c>
      <c r="BR157" s="13">
        <f t="shared" ref="BM157:BR166" si="298">SUMIFS(SALIDAS_BIT,FECHA_BIT,"&gt;="&amp;BR$2,FECHA_BIT,"&lt;="&amp;BR$3,CLAVE_BIT,$A157)+SUMIFS(SALIDAS_BOV1,FECHA_BOV1,"&gt;="&amp;BR$2,FECHA_BOV1,"&lt;="&amp;BR$3,CLAVE_BOV1,$A157)+SUMIFS(SALIDAS_BOV2,FECHA_BOV2,"&gt;="&amp;BR$2,FECHA_BOV2,"&lt;="&amp;BR$3,CLAVE_BOV2,$A157)+SUMIFS(SALIDAS_BOV3,FECHA_BOV3,"&gt;="&amp;BR$2,FECHA_BOV3,"&lt;="&amp;BR$3,CLAVE_BOV3,$A157)+SUMIFS(SALIDAS_TC,FECHA_TC,"&gt;="&amp;BR$2,FECHA_TC,"&lt;="&amp;BR$3,CLAVE_TC,$A157)+SUMIFS(SALIDAS_COMB,FECHA_COMB,"&gt;="&amp;BR$2,FECHA_COMB,"&lt;="&amp;BR$3,CLAVE_COMB,$A157)+SUMIFS(SALIDAS_DES,FECHA_DESGLOSEN,"&gt;="&amp;BR$2,FECHA_DESGLOSEN,"&lt;="&amp;BR$3,CLAVE_DESGLOSE,$A157)</f>
        <v>849</v>
      </c>
      <c r="BS157" s="68">
        <f t="shared" si="261"/>
        <v>-849</v>
      </c>
      <c r="BT157" s="268">
        <f t="shared" si="262"/>
        <v>0</v>
      </c>
      <c r="BU157" s="13">
        <f t="shared" si="263"/>
        <v>329</v>
      </c>
      <c r="BV157" s="13">
        <f t="shared" si="291"/>
        <v>0</v>
      </c>
      <c r="BW157" s="13">
        <f t="shared" si="291"/>
        <v>0</v>
      </c>
      <c r="BX157" s="13">
        <f t="shared" si="291"/>
        <v>0</v>
      </c>
      <c r="BY157" s="13">
        <f t="shared" si="291"/>
        <v>0</v>
      </c>
      <c r="BZ157" s="13">
        <f t="shared" ref="BV157:BZ166" si="299">SUMIFS(SALIDAS_BIT,FECHA_BIT,"&gt;="&amp;BZ$2,FECHA_BIT,"&lt;="&amp;BZ$3,CLAVE_BIT,$A157)+SUMIFS(SALIDAS_BOV1,FECHA_BOV1,"&gt;="&amp;BZ$2,FECHA_BOV1,"&lt;="&amp;BZ$3,CLAVE_BOV1,$A157)+SUMIFS(SALIDAS_BOV2,FECHA_BOV2,"&gt;="&amp;BZ$2,FECHA_BOV2,"&lt;="&amp;BZ$3,CLAVE_BOV2,$A157)+SUMIFS(SALIDAS_BOV3,FECHA_BOV3,"&gt;="&amp;BZ$2,FECHA_BOV3,"&lt;="&amp;BZ$3,CLAVE_BOV3,$A157)+SUMIFS(SALIDAS_TC,FECHA_TC,"&gt;="&amp;BZ$2,FECHA_TC,"&lt;="&amp;BZ$3,CLAVE_TC,$A157)+SUMIFS(SALIDAS_COMB,FECHA_COMB,"&gt;="&amp;BZ$2,FECHA_COMB,"&lt;="&amp;BZ$3,CLAVE_COMB,$A157)+SUMIFS(SALIDAS_DES,FECHA_DESGLOSEN,"&gt;="&amp;BZ$2,FECHA_DESGLOSEN,"&lt;="&amp;BZ$3,CLAVE_DESGLOSE,$A157)</f>
        <v>0</v>
      </c>
      <c r="CA157" s="68">
        <f t="shared" si="264"/>
        <v>329</v>
      </c>
      <c r="CB157" s="268">
        <f t="shared" si="265"/>
        <v>0</v>
      </c>
      <c r="CC157" s="13">
        <f t="shared" si="266"/>
        <v>329</v>
      </c>
      <c r="CD157" s="13">
        <f t="shared" si="292"/>
        <v>430</v>
      </c>
      <c r="CE157" s="13">
        <f t="shared" si="292"/>
        <v>0</v>
      </c>
      <c r="CF157" s="13">
        <f t="shared" si="292"/>
        <v>0</v>
      </c>
      <c r="CG157" s="13">
        <f t="shared" si="292"/>
        <v>0</v>
      </c>
      <c r="CH157" s="13">
        <f t="shared" ref="CD157:CH166" si="300">SUMIFS(SALIDAS_BIT,FECHA_BIT,"&gt;="&amp;CH$2,FECHA_BIT,"&lt;="&amp;CH$3,CLAVE_BIT,$A157)+SUMIFS(SALIDAS_BOV1,FECHA_BOV1,"&gt;="&amp;CH$2,FECHA_BOV1,"&lt;="&amp;CH$3,CLAVE_BOV1,$A157)+SUMIFS(SALIDAS_BOV2,FECHA_BOV2,"&gt;="&amp;CH$2,FECHA_BOV2,"&lt;="&amp;CH$3,CLAVE_BOV2,$A157)+SUMIFS(SALIDAS_BOV3,FECHA_BOV3,"&gt;="&amp;CH$2,FECHA_BOV3,"&lt;="&amp;CH$3,CLAVE_BOV3,$A157)+SUMIFS(SALIDAS_TC,FECHA_TC,"&gt;="&amp;CH$2,FECHA_TC,"&lt;="&amp;CH$3,CLAVE_TC,$A157)+SUMIFS(SALIDAS_COMB,FECHA_COMB,"&gt;="&amp;CH$2,FECHA_COMB,"&lt;="&amp;CH$3,CLAVE_COMB,$A157)+SUMIFS(SALIDAS_DES,FECHA_DESGLOSEN,"&gt;="&amp;CH$2,FECHA_DESGLOSEN,"&lt;="&amp;CH$3,CLAVE_DESGLOSE,$A157)</f>
        <v>430</v>
      </c>
      <c r="CI157" s="68">
        <f t="shared" si="267"/>
        <v>-101</v>
      </c>
      <c r="CJ157" s="268">
        <f t="shared" si="268"/>
        <v>1.3069908814589666</v>
      </c>
      <c r="CK157" s="13">
        <f t="shared" si="269"/>
        <v>329</v>
      </c>
      <c r="CL157" s="13">
        <f t="shared" si="228"/>
        <v>439</v>
      </c>
      <c r="CM157" s="13">
        <f t="shared" si="228"/>
        <v>0</v>
      </c>
      <c r="CN157" s="13">
        <f t="shared" si="228"/>
        <v>0</v>
      </c>
      <c r="CO157" s="13">
        <f t="shared" si="228"/>
        <v>0</v>
      </c>
      <c r="CP157" s="13">
        <f t="shared" si="228"/>
        <v>0</v>
      </c>
      <c r="CQ157" s="13">
        <f t="shared" ref="CL157:CQ166" si="301">SUMIFS(SALIDAS_BIT,FECHA_BIT,"&gt;="&amp;CQ$2,FECHA_BIT,"&lt;="&amp;CQ$3,CLAVE_BIT,$A157)+SUMIFS(SALIDAS_BOV1,FECHA_BOV1,"&gt;="&amp;CQ$2,FECHA_BOV1,"&lt;="&amp;CQ$3,CLAVE_BOV1,$A157)+SUMIFS(SALIDAS_BOV2,FECHA_BOV2,"&gt;="&amp;CQ$2,FECHA_BOV2,"&lt;="&amp;CQ$3,CLAVE_BOV2,$A157)+SUMIFS(SALIDAS_BOV3,FECHA_BOV3,"&gt;="&amp;CQ$2,FECHA_BOV3,"&lt;="&amp;CQ$3,CLAVE_BOV3,$A157)+SUMIFS(SALIDAS_TC,FECHA_TC,"&gt;="&amp;CQ$2,FECHA_TC,"&lt;="&amp;CQ$3,CLAVE_TC,$A157)+SUMIFS(SALIDAS_COMB,FECHA_COMB,"&gt;="&amp;CQ$2,FECHA_COMB,"&lt;="&amp;CQ$3,CLAVE_COMB,$A157)+SUMIFS(SALIDAS_DES,FECHA_DESGLOSEN,"&gt;="&amp;CQ$2,FECHA_DESGLOSEN,"&lt;="&amp;CQ$3,CLAVE_DESGLOSE,$A157)</f>
        <v>439</v>
      </c>
      <c r="CR157" s="68">
        <f t="shared" si="270"/>
        <v>-110</v>
      </c>
      <c r="CS157" s="268">
        <f t="shared" si="271"/>
        <v>1.3343465045592706</v>
      </c>
      <c r="CT157" s="68">
        <f t="shared" si="244"/>
        <v>600</v>
      </c>
      <c r="CU157" s="13">
        <f>SUMIFS(SALIDAS_BIT,FECHA_BIT,"&gt;="&amp;CU$2,FECHA_BIT,"&lt;="&amp;CU$3,CLAVE_BIT,$A157)+SUMIFS(SALIDAS_BOV1,FECHA_BOV1,"&gt;="&amp;CU$2,FECHA_BOV1,"&lt;="&amp;CU$3,CLAVE_BOV1,$A157)+SUMIFS(SALIDAS_BOV2,FECHA_BOV2,"&gt;="&amp;CU$2,FECHA_BOV2,"&lt;="&amp;CU$3,CLAVE_BOV2,$A157)+SUMIFS(SALIDAS_BOV3,FECHA_BOV3,"&gt;="&amp;CU$2,FECHA_BOV3,"&lt;="&amp;CU$3,CLAVE_BOV3,$A157)+SUMIFS(SALIDAS_TC,FECHA_TC,"&gt;="&amp;CU$2,FECHA_TC,"&lt;="&amp;CU$3,CLAVE_TC,$A157)+SUMIFS(SALIDAS_COMB,FECHA_COMB,"&gt;="&amp;CU$2,FECHA_COMB,"&lt;="&amp;CU$3,CLAVE_COMB,$A157)+SUMIFS(SALIDAS_DES,FECHA_DESGLOSEN,"&gt;="&amp;CU$2,FECHA_DESGLOSEN,"&lt;="&amp;CU$3,CLAVE_DESGLOSE,$A157)</f>
        <v>443</v>
      </c>
      <c r="CV157" s="13">
        <f>SUMIFS(SALIDAS_BIT,FECHA_BIT,"&gt;="&amp;CV$2,FECHA_BIT,"&lt;="&amp;CV$3,CLAVE_BIT,$A157)+SUMIFS(SALIDAS_BOV1,FECHA_BOV1,"&gt;="&amp;CV$2,FECHA_BOV1,"&lt;="&amp;CV$3,CLAVE_BOV1,$A157)+SUMIFS(SALIDAS_BOV2,FECHA_BOV2,"&gt;="&amp;CV$2,FECHA_BOV2,"&lt;="&amp;CV$3,CLAVE_BOV2,$A157)+SUMIFS(SALIDAS_BOV3,FECHA_BOV3,"&gt;="&amp;CV$2,FECHA_BOV3,"&lt;="&amp;CV$3,CLAVE_BOV3,$A157)+SUMIFS(SALIDAS_TC,FECHA_TC,"&gt;="&amp;CV$2,FECHA_TC,"&lt;="&amp;CV$3,CLAVE_TC,$A157)+SUMIFS(SALIDAS_COMB,FECHA_COMB,"&gt;="&amp;CV$2,FECHA_COMB,"&lt;="&amp;CV$3,CLAVE_COMB,$A157)+SUMIFS(SALIDAS_DES,FECHA_DESGLOSEN,"&gt;="&amp;CV$2,FECHA_DESGLOSEN,"&lt;="&amp;CV$3,CLAVE_DESGLOSE,$A157)</f>
        <v>0</v>
      </c>
      <c r="CW157" s="13">
        <f>SUMIFS(SALIDAS_BIT,FECHA_BIT,"&gt;="&amp;CW$2,FECHA_BIT,"&lt;="&amp;CW$3,CLAVE_BIT,$A157)+SUMIFS(SALIDAS_BOV1,FECHA_BOV1,"&gt;="&amp;CW$2,FECHA_BOV1,"&lt;="&amp;CW$3,CLAVE_BOV1,$A157)+SUMIFS(SALIDAS_BOV2,FECHA_BOV2,"&gt;="&amp;CW$2,FECHA_BOV2,"&lt;="&amp;CW$3,CLAVE_BOV2,$A157)+SUMIFS(SALIDAS_BOV3,FECHA_BOV3,"&gt;="&amp;CW$2,FECHA_BOV3,"&lt;="&amp;CW$3,CLAVE_BOV3,$A157)+SUMIFS(SALIDAS_TC,FECHA_TC,"&gt;="&amp;CW$2,FECHA_TC,"&lt;="&amp;CW$3,CLAVE_TC,$A157)+SUMIFS(SALIDAS_COMB,FECHA_COMB,"&gt;="&amp;CW$2,FECHA_COMB,"&lt;="&amp;CW$3,CLAVE_COMB,$A157)+SUMIFS(SALIDAS_DES,FECHA_DESGLOSEN,"&gt;="&amp;CW$2,FECHA_DESGLOSEN,"&lt;="&amp;CW$3,CLAVE_DESGLOSE,$A157)</f>
        <v>0</v>
      </c>
      <c r="CX157" s="13">
        <f>SUMIFS(SALIDAS_BIT,FECHA_BIT,"&gt;="&amp;CX$2,FECHA_BIT,"&lt;="&amp;CX$3,CLAVE_BIT,$A157)+SUMIFS(SALIDAS_BOV1,FECHA_BOV1,"&gt;="&amp;CX$2,FECHA_BOV1,"&lt;="&amp;CX$3,CLAVE_BOV1,$A157)+SUMIFS(SALIDAS_BOV2,FECHA_BOV2,"&gt;="&amp;CX$2,FECHA_BOV2,"&lt;="&amp;CX$3,CLAVE_BOV2,$A157)+SUMIFS(SALIDAS_BOV3,FECHA_BOV3,"&gt;="&amp;CX$2,FECHA_BOV3,"&lt;="&amp;CX$3,CLAVE_BOV3,$A157)+SUMIFS(SALIDAS_TC,FECHA_TC,"&gt;="&amp;CX$2,FECHA_TC,"&lt;="&amp;CX$3,CLAVE_TC,$A157)+SUMIFS(SALIDAS_COMB,FECHA_COMB,"&gt;="&amp;CX$2,FECHA_COMB,"&lt;="&amp;CX$3,CLAVE_COMB,$A157)+SUMIFS(SALIDAS_DES,FECHA_DESGLOSEN,"&gt;="&amp;CX$2,FECHA_DESGLOSEN,"&lt;="&amp;CX$3,CLAVE_DESGLOSE,$A157)</f>
        <v>0</v>
      </c>
      <c r="CY157" s="13">
        <f>SUMIFS(SALIDAS_BIT,FECHA_BIT,"&gt;="&amp;CY$2,FECHA_BIT,"&lt;="&amp;CY$3,CLAVE_BIT,$A157)+SUMIFS(SALIDAS_BOV1,FECHA_BOV1,"&gt;="&amp;CY$2,FECHA_BOV1,"&lt;="&amp;CY$3,CLAVE_BOV1,$A157)+SUMIFS(SALIDAS_BOV2,FECHA_BOV2,"&gt;="&amp;CY$2,FECHA_BOV2,"&lt;="&amp;CY$3,CLAVE_BOV2,$A157)+SUMIFS(SALIDAS_BOV3,FECHA_BOV3,"&gt;="&amp;CY$2,FECHA_BOV3,"&lt;="&amp;CY$3,CLAVE_BOV3,$A157)+SUMIFS(SALIDAS_TC,FECHA_TC,"&gt;="&amp;CY$2,FECHA_TC,"&lt;="&amp;CY$3,CLAVE_TC,$A157)+SUMIFS(SALIDAS_COMB,FECHA_COMB,"&gt;="&amp;CY$2,FECHA_COMB,"&lt;="&amp;CY$3,CLAVE_COMB,$A157)+SUMIFS(SALIDAS_DES,FECHA_DESGLOSEN,"&gt;="&amp;CY$2,FECHA_DESGLOSEN,"&lt;="&amp;CY$3,CLAVE_DESGLOSE,$A157)</f>
        <v>443</v>
      </c>
      <c r="CZ157" s="68">
        <f t="shared" si="272"/>
        <v>157</v>
      </c>
      <c r="DB157" s="17">
        <f>F157+N157+W157+AE157+AM157+AV157+BD157+BL157+BU157+CC157+CK157</f>
        <v>2699</v>
      </c>
      <c r="DC157" s="17">
        <f>K157+T157+AB157+AJ157+AS157+BA157+BI157+BR157+BZ157+CH157+CQ157</f>
        <v>10403</v>
      </c>
    </row>
    <row r="158" spans="1:107" hidden="1">
      <c r="A158" s="12" t="str">
        <f t="shared" si="245"/>
        <v>CAPJMASE2</v>
      </c>
      <c r="B158" s="12">
        <v>160</v>
      </c>
      <c r="C158" t="s">
        <v>31</v>
      </c>
      <c r="D158" s="12" t="s">
        <v>137</v>
      </c>
      <c r="E158" s="12" t="s">
        <v>108</v>
      </c>
      <c r="F158" s="259">
        <f t="shared" si="238"/>
        <v>0</v>
      </c>
      <c r="G158" s="13">
        <f t="shared" si="293"/>
        <v>0</v>
      </c>
      <c r="H158" s="13">
        <f t="shared" si="293"/>
        <v>0</v>
      </c>
      <c r="I158" s="13">
        <f t="shared" si="293"/>
        <v>0</v>
      </c>
      <c r="J158" s="13">
        <f t="shared" si="293"/>
        <v>0</v>
      </c>
      <c r="K158" s="13">
        <f t="shared" si="293"/>
        <v>0</v>
      </c>
      <c r="L158" s="68">
        <f t="shared" si="246"/>
        <v>0</v>
      </c>
      <c r="M158" s="268">
        <f t="shared" si="247"/>
        <v>0</v>
      </c>
      <c r="N158" s="13">
        <f t="shared" si="239"/>
        <v>0</v>
      </c>
      <c r="O158" s="13">
        <f t="shared" si="294"/>
        <v>0</v>
      </c>
      <c r="P158" s="13">
        <f t="shared" si="294"/>
        <v>0</v>
      </c>
      <c r="Q158" s="13">
        <f t="shared" si="294"/>
        <v>0</v>
      </c>
      <c r="R158" s="13">
        <f t="shared" si="294"/>
        <v>0</v>
      </c>
      <c r="S158" s="13">
        <f t="shared" si="294"/>
        <v>0</v>
      </c>
      <c r="T158" s="13">
        <f t="shared" si="294"/>
        <v>0</v>
      </c>
      <c r="U158" s="68">
        <f t="shared" si="248"/>
        <v>0</v>
      </c>
      <c r="V158" s="268">
        <f t="shared" si="249"/>
        <v>0</v>
      </c>
      <c r="W158" s="13">
        <f t="shared" si="240"/>
        <v>0</v>
      </c>
      <c r="X158" s="13">
        <f t="shared" si="295"/>
        <v>0</v>
      </c>
      <c r="Y158" s="13">
        <f t="shared" si="295"/>
        <v>0</v>
      </c>
      <c r="Z158" s="13">
        <f t="shared" si="295"/>
        <v>0</v>
      </c>
      <c r="AA158" s="13">
        <f t="shared" si="295"/>
        <v>0</v>
      </c>
      <c r="AB158" s="13">
        <f t="shared" si="295"/>
        <v>0</v>
      </c>
      <c r="AC158" s="68">
        <f t="shared" si="250"/>
        <v>0</v>
      </c>
      <c r="AD158" s="268">
        <f t="shared" si="251"/>
        <v>0</v>
      </c>
      <c r="AE158" s="13">
        <f t="shared" si="241"/>
        <v>0</v>
      </c>
      <c r="AF158" s="13">
        <f t="shared" si="296"/>
        <v>0</v>
      </c>
      <c r="AG158" s="13">
        <f t="shared" si="296"/>
        <v>0</v>
      </c>
      <c r="AH158" s="13">
        <f t="shared" si="296"/>
        <v>0</v>
      </c>
      <c r="AI158" s="13">
        <f t="shared" si="296"/>
        <v>0</v>
      </c>
      <c r="AJ158" s="13">
        <f t="shared" si="296"/>
        <v>0</v>
      </c>
      <c r="AK158" s="68">
        <f t="shared" si="252"/>
        <v>0</v>
      </c>
      <c r="AL158" s="268">
        <f t="shared" si="253"/>
        <v>0</v>
      </c>
      <c r="AM158" s="13">
        <f t="shared" si="242"/>
        <v>0</v>
      </c>
      <c r="AN158" s="13">
        <f t="shared" si="297"/>
        <v>0</v>
      </c>
      <c r="AO158" s="13">
        <f t="shared" si="297"/>
        <v>0</v>
      </c>
      <c r="AP158" s="13">
        <f t="shared" si="297"/>
        <v>0</v>
      </c>
      <c r="AQ158" s="13">
        <f t="shared" si="297"/>
        <v>0</v>
      </c>
      <c r="AR158" s="13">
        <f t="shared" si="297"/>
        <v>0</v>
      </c>
      <c r="AS158" s="13">
        <f t="shared" si="297"/>
        <v>0</v>
      </c>
      <c r="AT158" s="68">
        <f>AM158-AS158</f>
        <v>0</v>
      </c>
      <c r="AU158" s="268">
        <f t="shared" si="254"/>
        <v>0</v>
      </c>
      <c r="AV158" s="13">
        <f t="shared" si="243"/>
        <v>0</v>
      </c>
      <c r="AW158" s="13">
        <f t="shared" si="222"/>
        <v>0</v>
      </c>
      <c r="AX158" s="13">
        <f t="shared" si="222"/>
        <v>0</v>
      </c>
      <c r="AY158" s="13">
        <f t="shared" si="222"/>
        <v>0</v>
      </c>
      <c r="AZ158" s="13">
        <f t="shared" si="222"/>
        <v>0</v>
      </c>
      <c r="BA158" s="13">
        <f t="shared" si="223"/>
        <v>0</v>
      </c>
      <c r="BB158" s="68">
        <f t="shared" si="255"/>
        <v>0</v>
      </c>
      <c r="BC158" s="268">
        <f t="shared" si="256"/>
        <v>0</v>
      </c>
      <c r="BD158" s="13">
        <f t="shared" si="257"/>
        <v>0</v>
      </c>
      <c r="BE158" s="13">
        <f>SUMIFS(SALIDAS_BIT,FECHA_BIT,"&gt;="&amp;BE$2,FECHA_BIT,"&lt;="&amp;BE$3,CLAVE_BIT,$A158)+SUMIFS(SALIDAS_BOV1,FECHA_BOV1,"&gt;="&amp;BE$2,FECHA_BOV1,"&lt;="&amp;BE$3,CLAVE_BOV1,$A158)+SUMIFS(SALIDAS_BOV2,FECHA_BOV2,"&gt;="&amp;BE$2,FECHA_BOV2,"&lt;="&amp;BE$3,CLAVE_BOV2,$A158)+SUMIFS(SALIDAS_BOV3,FECHA_BOV3,"&gt;="&amp;BE$2,FECHA_BOV3,"&lt;="&amp;BE$3,CLAVE_BOV3,$A158)+SUMIFS(SALIDAS_TC,FECHA_TC,"&gt;="&amp;BE$2,FECHA_TC,"&lt;="&amp;BE$3,CLAVE_TC,$A158)+SUMIFS(SALIDAS_COMB,FECHA_COMB,"&gt;="&amp;BE$2,FECHA_COMB,"&lt;="&amp;BE$3,CLAVE_COMB,$A158)+SUMIFS(SALIDAS_DES,FECHA_DESGLOSEN,"&gt;="&amp;BE$2,FECHA_DESGLOSEN,"&lt;="&amp;BE$3,CLAVE_DESGLOSE,$A158)</f>
        <v>0</v>
      </c>
      <c r="BF158" s="13">
        <f>SUMIFS(SALIDAS_BIT,FECHA_BIT,"&gt;="&amp;BF$2,FECHA_BIT,"&lt;="&amp;BF$3,CLAVE_BIT,$A158)+SUMIFS(SALIDAS_BOV1,FECHA_BOV1,"&gt;="&amp;BF$2,FECHA_BOV1,"&lt;="&amp;BF$3,CLAVE_BOV1,$A158)+SUMIFS(SALIDAS_BOV2,FECHA_BOV2,"&gt;="&amp;BF$2,FECHA_BOV2,"&lt;="&amp;BF$3,CLAVE_BOV2,$A158)+SUMIFS(SALIDAS_BOV3,FECHA_BOV3,"&gt;="&amp;BF$2,FECHA_BOV3,"&lt;="&amp;BF$3,CLAVE_BOV3,$A158)+SUMIFS(SALIDAS_TC,FECHA_TC,"&gt;="&amp;BF$2,FECHA_TC,"&lt;="&amp;BF$3,CLAVE_TC,$A158)+SUMIFS(SALIDAS_COMB,FECHA_COMB,"&gt;="&amp;BF$2,FECHA_COMB,"&lt;="&amp;BF$3,CLAVE_COMB,$A158)+SUMIFS(SALIDAS_DES,FECHA_DESGLOSEN,"&gt;="&amp;BF$2,FECHA_DESGLOSEN,"&lt;="&amp;BF$3,CLAVE_DESGLOSE,$A158)</f>
        <v>0</v>
      </c>
      <c r="BG158" s="13">
        <f>SUMIFS(SALIDAS_BIT,FECHA_BIT,"&gt;="&amp;BG$2,FECHA_BIT,"&lt;="&amp;BG$3,CLAVE_BIT,$A158)+SUMIFS(SALIDAS_BOV1,FECHA_BOV1,"&gt;="&amp;BG$2,FECHA_BOV1,"&lt;="&amp;BG$3,CLAVE_BOV1,$A158)+SUMIFS(SALIDAS_BOV2,FECHA_BOV2,"&gt;="&amp;BG$2,FECHA_BOV2,"&lt;="&amp;BG$3,CLAVE_BOV2,$A158)+SUMIFS(SALIDAS_BOV3,FECHA_BOV3,"&gt;="&amp;BG$2,FECHA_BOV3,"&lt;="&amp;BG$3,CLAVE_BOV3,$A158)+SUMIFS(SALIDAS_TC,FECHA_TC,"&gt;="&amp;BG$2,FECHA_TC,"&lt;="&amp;BG$3,CLAVE_TC,$A158)+SUMIFS(SALIDAS_COMB,FECHA_COMB,"&gt;="&amp;BG$2,FECHA_COMB,"&lt;="&amp;BG$3,CLAVE_COMB,$A158)+SUMIFS(SALIDAS_DES,FECHA_DESGLOSEN,"&gt;="&amp;BG$2,FECHA_DESGLOSEN,"&lt;="&amp;BG$3,CLAVE_DESGLOSE,$A158)</f>
        <v>0</v>
      </c>
      <c r="BH158" s="13">
        <f>SUMIFS(SALIDAS_BIT,FECHA_BIT,"&gt;="&amp;BH$2,FECHA_BIT,"&lt;="&amp;BH$3,CLAVE_BIT,$A158)+SUMIFS(SALIDAS_BOV1,FECHA_BOV1,"&gt;="&amp;BH$2,FECHA_BOV1,"&lt;="&amp;BH$3,CLAVE_BOV1,$A158)+SUMIFS(SALIDAS_BOV2,FECHA_BOV2,"&gt;="&amp;BH$2,FECHA_BOV2,"&lt;="&amp;BH$3,CLAVE_BOV2,$A158)+SUMIFS(SALIDAS_BOV3,FECHA_BOV3,"&gt;="&amp;BH$2,FECHA_BOV3,"&lt;="&amp;BH$3,CLAVE_BOV3,$A158)+SUMIFS(SALIDAS_TC,FECHA_TC,"&gt;="&amp;BH$2,FECHA_TC,"&lt;="&amp;BH$3,CLAVE_TC,$A158)+SUMIFS(SALIDAS_COMB,FECHA_COMB,"&gt;="&amp;BH$2,FECHA_COMB,"&lt;="&amp;BH$3,CLAVE_COMB,$A158)+SUMIFS(SALIDAS_DES,FECHA_DESGLOSEN,"&gt;="&amp;BH$2,FECHA_DESGLOSEN,"&lt;="&amp;BH$3,CLAVE_DESGLOSE,$A158)</f>
        <v>0</v>
      </c>
      <c r="BI158" s="13">
        <f t="shared" si="215"/>
        <v>0</v>
      </c>
      <c r="BJ158" s="68">
        <f t="shared" si="258"/>
        <v>0</v>
      </c>
      <c r="BK158" s="268">
        <f t="shared" si="259"/>
        <v>0</v>
      </c>
      <c r="BL158" s="13">
        <f t="shared" si="260"/>
        <v>0</v>
      </c>
      <c r="BM158" s="13">
        <f>SUMIFS(SALIDAS_BIT,FECHA_BIT,"&gt;="&amp;BM$2,FECHA_BIT,"&lt;="&amp;BM$3,CLAVE_BIT,$A158)+SUMIFS(SALIDAS_BOV1,FECHA_BOV1,"&gt;="&amp;BM$2,FECHA_BOV1,"&lt;="&amp;BM$3,CLAVE_BOV1,$A158)+SUMIFS(SALIDAS_BOV2,FECHA_BOV2,"&gt;="&amp;BM$2,FECHA_BOV2,"&lt;="&amp;BM$3,CLAVE_BOV2,$A158)+SUMIFS(SALIDAS_BOV3,FECHA_BOV3,"&gt;="&amp;BM$2,FECHA_BOV3,"&lt;="&amp;BM$3,CLAVE_BOV3,$A158)+SUMIFS(SALIDAS_TC,FECHA_TC,"&gt;="&amp;BM$2,FECHA_TC,"&lt;="&amp;BM$3,CLAVE_TC,$A158)+SUMIFS(SALIDAS_COMB,FECHA_COMB,"&gt;="&amp;BM$2,FECHA_COMB,"&lt;="&amp;BM$3,CLAVE_COMB,$A158)+SUMIFS(SALIDAS_DES,FECHA_DESGLOSEN,"&gt;="&amp;BM$2,FECHA_DESGLOSEN,"&lt;="&amp;BM$3,CLAVE_DESGLOSE,$A158)</f>
        <v>0</v>
      </c>
      <c r="BN158" s="13">
        <f>SUMIFS(SALIDAS_BIT,FECHA_BIT,"&gt;="&amp;BN$2,FECHA_BIT,"&lt;="&amp;BN$3,CLAVE_BIT,$A158)+SUMIFS(SALIDAS_BOV1,FECHA_BOV1,"&gt;="&amp;BN$2,FECHA_BOV1,"&lt;="&amp;BN$3,CLAVE_BOV1,$A158)+SUMIFS(SALIDAS_BOV2,FECHA_BOV2,"&gt;="&amp;BN$2,FECHA_BOV2,"&lt;="&amp;BN$3,CLAVE_BOV2,$A158)+SUMIFS(SALIDAS_BOV3,FECHA_BOV3,"&gt;="&amp;BN$2,FECHA_BOV3,"&lt;="&amp;BN$3,CLAVE_BOV3,$A158)+SUMIFS(SALIDAS_TC,FECHA_TC,"&gt;="&amp;BN$2,FECHA_TC,"&lt;="&amp;BN$3,CLAVE_TC,$A158)+SUMIFS(SALIDAS_COMB,FECHA_COMB,"&gt;="&amp;BN$2,FECHA_COMB,"&lt;="&amp;BN$3,CLAVE_COMB,$A158)+SUMIFS(SALIDAS_DES,FECHA_DESGLOSEN,"&gt;="&amp;BN$2,FECHA_DESGLOSEN,"&lt;="&amp;BN$3,CLAVE_DESGLOSE,$A158)</f>
        <v>0</v>
      </c>
      <c r="BO158" s="13">
        <f>SUMIFS(SALIDAS_BIT,FECHA_BIT,"&gt;="&amp;BO$2,FECHA_BIT,"&lt;="&amp;BO$3,CLAVE_BIT,$A158)+SUMIFS(SALIDAS_BOV1,FECHA_BOV1,"&gt;="&amp;BO$2,FECHA_BOV1,"&lt;="&amp;BO$3,CLAVE_BOV1,$A158)+SUMIFS(SALIDAS_BOV2,FECHA_BOV2,"&gt;="&amp;BO$2,FECHA_BOV2,"&lt;="&amp;BO$3,CLAVE_BOV2,$A158)+SUMIFS(SALIDAS_BOV3,FECHA_BOV3,"&gt;="&amp;BO$2,FECHA_BOV3,"&lt;="&amp;BO$3,CLAVE_BOV3,$A158)+SUMIFS(SALIDAS_TC,FECHA_TC,"&gt;="&amp;BO$2,FECHA_TC,"&lt;="&amp;BO$3,CLAVE_TC,$A158)+SUMIFS(SALIDAS_COMB,FECHA_COMB,"&gt;="&amp;BO$2,FECHA_COMB,"&lt;="&amp;BO$3,CLAVE_COMB,$A158)+SUMIFS(SALIDAS_DES,FECHA_DESGLOSEN,"&gt;="&amp;BO$2,FECHA_DESGLOSEN,"&lt;="&amp;BO$3,CLAVE_DESGLOSE,$A158)</f>
        <v>0</v>
      </c>
      <c r="BP158" s="13">
        <f>SUMIFS(SALIDAS_BIT,FECHA_BIT,"&gt;="&amp;BP$2,FECHA_BIT,"&lt;="&amp;BP$3,CLAVE_BIT,$A158)+SUMIFS(SALIDAS_BOV1,FECHA_BOV1,"&gt;="&amp;BP$2,FECHA_BOV1,"&lt;="&amp;BP$3,CLAVE_BOV1,$A158)+SUMIFS(SALIDAS_BOV2,FECHA_BOV2,"&gt;="&amp;BP$2,FECHA_BOV2,"&lt;="&amp;BP$3,CLAVE_BOV2,$A158)+SUMIFS(SALIDAS_BOV3,FECHA_BOV3,"&gt;="&amp;BP$2,FECHA_BOV3,"&lt;="&amp;BP$3,CLAVE_BOV3,$A158)+SUMIFS(SALIDAS_TC,FECHA_TC,"&gt;="&amp;BP$2,FECHA_TC,"&lt;="&amp;BP$3,CLAVE_TC,$A158)+SUMIFS(SALIDAS_COMB,FECHA_COMB,"&gt;="&amp;BP$2,FECHA_COMB,"&lt;="&amp;BP$3,CLAVE_COMB,$A158)+SUMIFS(SALIDAS_DES,FECHA_DESGLOSEN,"&gt;="&amp;BP$2,FECHA_DESGLOSEN,"&lt;="&amp;BP$3,CLAVE_DESGLOSE,$A158)</f>
        <v>0</v>
      </c>
      <c r="BQ158" s="13">
        <f>SUMIFS(SALIDAS_BIT,FECHA_BIT,"&gt;="&amp;BQ$2,FECHA_BIT,"&lt;="&amp;BQ$3,CLAVE_BIT,$A158)+SUMIFS(SALIDAS_BOV1,FECHA_BOV1,"&gt;="&amp;BQ$2,FECHA_BOV1,"&lt;="&amp;BQ$3,CLAVE_BOV1,$A158)+SUMIFS(SALIDAS_BOV2,FECHA_BOV2,"&gt;="&amp;BQ$2,FECHA_BOV2,"&lt;="&amp;BQ$3,CLAVE_BOV2,$A158)+SUMIFS(SALIDAS_BOV3,FECHA_BOV3,"&gt;="&amp;BQ$2,FECHA_BOV3,"&lt;="&amp;BQ$3,CLAVE_BOV3,$A158)+SUMIFS(SALIDAS_TC,FECHA_TC,"&gt;="&amp;BQ$2,FECHA_TC,"&lt;="&amp;BQ$3,CLAVE_TC,$A158)+SUMIFS(SALIDAS_COMB,FECHA_COMB,"&gt;="&amp;BQ$2,FECHA_COMB,"&lt;="&amp;BQ$3,CLAVE_COMB,$A158)+SUMIFS(SALIDAS_DES,FECHA_DESGLOSEN,"&gt;="&amp;BQ$2,FECHA_DESGLOSEN,"&lt;="&amp;BQ$3,CLAVE_DESGLOSE,$A158)</f>
        <v>0</v>
      </c>
      <c r="BR158" s="13">
        <f t="shared" si="298"/>
        <v>0</v>
      </c>
      <c r="BS158" s="68">
        <f t="shared" si="261"/>
        <v>0</v>
      </c>
      <c r="BT158" s="268">
        <f t="shared" si="262"/>
        <v>0</v>
      </c>
      <c r="BU158" s="13">
        <f t="shared" si="263"/>
        <v>0</v>
      </c>
      <c r="BV158" s="13">
        <f t="shared" si="291"/>
        <v>0</v>
      </c>
      <c r="BW158" s="13">
        <f t="shared" si="291"/>
        <v>0</v>
      </c>
      <c r="BX158" s="13">
        <f t="shared" si="291"/>
        <v>0</v>
      </c>
      <c r="BY158" s="13">
        <f t="shared" si="291"/>
        <v>0</v>
      </c>
      <c r="BZ158" s="13">
        <f t="shared" si="299"/>
        <v>0</v>
      </c>
      <c r="CA158" s="68">
        <f t="shared" si="264"/>
        <v>0</v>
      </c>
      <c r="CB158" s="268">
        <f t="shared" si="265"/>
        <v>0</v>
      </c>
      <c r="CC158" s="13">
        <f t="shared" si="266"/>
        <v>0</v>
      </c>
      <c r="CD158" s="13">
        <f t="shared" si="292"/>
        <v>0</v>
      </c>
      <c r="CE158" s="13">
        <f t="shared" si="292"/>
        <v>0</v>
      </c>
      <c r="CF158" s="13">
        <f t="shared" si="292"/>
        <v>0</v>
      </c>
      <c r="CG158" s="13">
        <f t="shared" si="292"/>
        <v>0</v>
      </c>
      <c r="CH158" s="13">
        <f t="shared" si="300"/>
        <v>0</v>
      </c>
      <c r="CI158" s="68">
        <f t="shared" si="267"/>
        <v>0</v>
      </c>
      <c r="CJ158" s="268">
        <f t="shared" si="268"/>
        <v>0</v>
      </c>
      <c r="CK158" s="13">
        <f t="shared" si="269"/>
        <v>0</v>
      </c>
      <c r="CL158" s="13">
        <f t="shared" si="228"/>
        <v>0</v>
      </c>
      <c r="CM158" s="13">
        <f t="shared" si="228"/>
        <v>0</v>
      </c>
      <c r="CN158" s="13">
        <f t="shared" si="228"/>
        <v>0</v>
      </c>
      <c r="CO158" s="13">
        <f t="shared" si="228"/>
        <v>0</v>
      </c>
      <c r="CP158" s="13">
        <f t="shared" si="228"/>
        <v>0</v>
      </c>
      <c r="CQ158" s="13">
        <f t="shared" si="301"/>
        <v>0</v>
      </c>
      <c r="CR158" s="68">
        <f t="shared" si="270"/>
        <v>0</v>
      </c>
      <c r="CS158" s="268">
        <f t="shared" si="271"/>
        <v>0</v>
      </c>
      <c r="CT158" s="68">
        <f t="shared" si="244"/>
        <v>0</v>
      </c>
      <c r="CU158" s="13">
        <f>SUMIFS(SALIDAS_BIT,FECHA_BIT,"&gt;="&amp;CU$2,FECHA_BIT,"&lt;="&amp;CU$3,CLAVE_BIT,$A158)+SUMIFS(SALIDAS_BOV1,FECHA_BOV1,"&gt;="&amp;CU$2,FECHA_BOV1,"&lt;="&amp;CU$3,CLAVE_BOV1,$A158)+SUMIFS(SALIDAS_BOV2,FECHA_BOV2,"&gt;="&amp;CU$2,FECHA_BOV2,"&lt;="&amp;CU$3,CLAVE_BOV2,$A158)+SUMIFS(SALIDAS_BOV3,FECHA_BOV3,"&gt;="&amp;CU$2,FECHA_BOV3,"&lt;="&amp;CU$3,CLAVE_BOV3,$A158)+SUMIFS(SALIDAS_TC,FECHA_TC,"&gt;="&amp;CU$2,FECHA_TC,"&lt;="&amp;CU$3,CLAVE_TC,$A158)+SUMIFS(SALIDAS_COMB,FECHA_COMB,"&gt;="&amp;CU$2,FECHA_COMB,"&lt;="&amp;CU$3,CLAVE_COMB,$A158)+SUMIFS(SALIDAS_DES,FECHA_DESGLOSEN,"&gt;="&amp;CU$2,FECHA_DESGLOSEN,"&lt;="&amp;CU$3,CLAVE_DESGLOSE,$A158)</f>
        <v>0</v>
      </c>
      <c r="CV158" s="13">
        <f>SUMIFS(SALIDAS_BIT,FECHA_BIT,"&gt;="&amp;CV$2,FECHA_BIT,"&lt;="&amp;CV$3,CLAVE_BIT,$A158)+SUMIFS(SALIDAS_BOV1,FECHA_BOV1,"&gt;="&amp;CV$2,FECHA_BOV1,"&lt;="&amp;CV$3,CLAVE_BOV1,$A158)+SUMIFS(SALIDAS_BOV2,FECHA_BOV2,"&gt;="&amp;CV$2,FECHA_BOV2,"&lt;="&amp;CV$3,CLAVE_BOV2,$A158)+SUMIFS(SALIDAS_BOV3,FECHA_BOV3,"&gt;="&amp;CV$2,FECHA_BOV3,"&lt;="&amp;CV$3,CLAVE_BOV3,$A158)+SUMIFS(SALIDAS_TC,FECHA_TC,"&gt;="&amp;CV$2,FECHA_TC,"&lt;="&amp;CV$3,CLAVE_TC,$A158)+SUMIFS(SALIDAS_COMB,FECHA_COMB,"&gt;="&amp;CV$2,FECHA_COMB,"&lt;="&amp;CV$3,CLAVE_COMB,$A158)+SUMIFS(SALIDAS_DES,FECHA_DESGLOSEN,"&gt;="&amp;CV$2,FECHA_DESGLOSEN,"&lt;="&amp;CV$3,CLAVE_DESGLOSE,$A158)</f>
        <v>0</v>
      </c>
      <c r="CW158" s="13">
        <f>SUMIFS(SALIDAS_BIT,FECHA_BIT,"&gt;="&amp;CW$2,FECHA_BIT,"&lt;="&amp;CW$3,CLAVE_BIT,$A158)+SUMIFS(SALIDAS_BOV1,FECHA_BOV1,"&gt;="&amp;CW$2,FECHA_BOV1,"&lt;="&amp;CW$3,CLAVE_BOV1,$A158)+SUMIFS(SALIDAS_BOV2,FECHA_BOV2,"&gt;="&amp;CW$2,FECHA_BOV2,"&lt;="&amp;CW$3,CLAVE_BOV2,$A158)+SUMIFS(SALIDAS_BOV3,FECHA_BOV3,"&gt;="&amp;CW$2,FECHA_BOV3,"&lt;="&amp;CW$3,CLAVE_BOV3,$A158)+SUMIFS(SALIDAS_TC,FECHA_TC,"&gt;="&amp;CW$2,FECHA_TC,"&lt;="&amp;CW$3,CLAVE_TC,$A158)+SUMIFS(SALIDAS_COMB,FECHA_COMB,"&gt;="&amp;CW$2,FECHA_COMB,"&lt;="&amp;CW$3,CLAVE_COMB,$A158)+SUMIFS(SALIDAS_DES,FECHA_DESGLOSEN,"&gt;="&amp;CW$2,FECHA_DESGLOSEN,"&lt;="&amp;CW$3,CLAVE_DESGLOSE,$A158)</f>
        <v>0</v>
      </c>
      <c r="CX158" s="13">
        <f>SUMIFS(SALIDAS_BIT,FECHA_BIT,"&gt;="&amp;CX$2,FECHA_BIT,"&lt;="&amp;CX$3,CLAVE_BIT,$A158)+SUMIFS(SALIDAS_BOV1,FECHA_BOV1,"&gt;="&amp;CX$2,FECHA_BOV1,"&lt;="&amp;CX$3,CLAVE_BOV1,$A158)+SUMIFS(SALIDAS_BOV2,FECHA_BOV2,"&gt;="&amp;CX$2,FECHA_BOV2,"&lt;="&amp;CX$3,CLAVE_BOV2,$A158)+SUMIFS(SALIDAS_BOV3,FECHA_BOV3,"&gt;="&amp;CX$2,FECHA_BOV3,"&lt;="&amp;CX$3,CLAVE_BOV3,$A158)+SUMIFS(SALIDAS_TC,FECHA_TC,"&gt;="&amp;CX$2,FECHA_TC,"&lt;="&amp;CX$3,CLAVE_TC,$A158)+SUMIFS(SALIDAS_COMB,FECHA_COMB,"&gt;="&amp;CX$2,FECHA_COMB,"&lt;="&amp;CX$3,CLAVE_COMB,$A158)+SUMIFS(SALIDAS_DES,FECHA_DESGLOSEN,"&gt;="&amp;CX$2,FECHA_DESGLOSEN,"&lt;="&amp;CX$3,CLAVE_DESGLOSE,$A158)</f>
        <v>0</v>
      </c>
      <c r="CY158" s="13">
        <f>SUMIFS(SALIDAS_BIT,FECHA_BIT,"&gt;="&amp;CY$2,FECHA_BIT,"&lt;="&amp;CY$3,CLAVE_BIT,$A158)+SUMIFS(SALIDAS_BOV1,FECHA_BOV1,"&gt;="&amp;CY$2,FECHA_BOV1,"&lt;="&amp;CY$3,CLAVE_BOV1,$A158)+SUMIFS(SALIDAS_BOV2,FECHA_BOV2,"&gt;="&amp;CY$2,FECHA_BOV2,"&lt;="&amp;CY$3,CLAVE_BOV2,$A158)+SUMIFS(SALIDAS_BOV3,FECHA_BOV3,"&gt;="&amp;CY$2,FECHA_BOV3,"&lt;="&amp;CY$3,CLAVE_BOV3,$A158)+SUMIFS(SALIDAS_TC,FECHA_TC,"&gt;="&amp;CY$2,FECHA_TC,"&lt;="&amp;CY$3,CLAVE_TC,$A158)+SUMIFS(SALIDAS_COMB,FECHA_COMB,"&gt;="&amp;CY$2,FECHA_COMB,"&lt;="&amp;CY$3,CLAVE_COMB,$A158)+SUMIFS(SALIDAS_DES,FECHA_DESGLOSEN,"&gt;="&amp;CY$2,FECHA_DESGLOSEN,"&lt;="&amp;CY$3,CLAVE_DESGLOSE,$A158)</f>
        <v>0</v>
      </c>
      <c r="CZ158" s="68">
        <f t="shared" si="272"/>
        <v>0</v>
      </c>
      <c r="DB158" s="17">
        <f>F158+N158+W158+AE158+AM158+AV158+BD158+BL158+BU158+CC158+CK158</f>
        <v>0</v>
      </c>
      <c r="DC158" s="17">
        <f>K158+T158+AB158+AJ158+AS158+BA158+BI158+BR158+BZ158+CH158+CQ158</f>
        <v>0</v>
      </c>
    </row>
    <row r="159" spans="1:107" hidden="1">
      <c r="A159" s="12" t="str">
        <f t="shared" si="245"/>
        <v>CAPJMASE3</v>
      </c>
      <c r="B159" s="12">
        <v>161</v>
      </c>
      <c r="C159" t="s">
        <v>31</v>
      </c>
      <c r="D159" s="12" t="s">
        <v>137</v>
      </c>
      <c r="E159" s="12" t="s">
        <v>109</v>
      </c>
      <c r="F159" s="259">
        <f t="shared" si="238"/>
        <v>0</v>
      </c>
      <c r="G159" s="13">
        <f t="shared" si="293"/>
        <v>2091</v>
      </c>
      <c r="H159" s="13">
        <f t="shared" si="293"/>
        <v>0</v>
      </c>
      <c r="I159" s="13">
        <f t="shared" si="293"/>
        <v>0</v>
      </c>
      <c r="J159" s="13">
        <f t="shared" si="293"/>
        <v>0</v>
      </c>
      <c r="K159" s="13">
        <f t="shared" si="293"/>
        <v>2091</v>
      </c>
      <c r="L159" s="68">
        <f t="shared" si="246"/>
        <v>-2091</v>
      </c>
      <c r="M159" s="268">
        <f t="shared" si="247"/>
        <v>0</v>
      </c>
      <c r="N159" s="13">
        <f t="shared" si="239"/>
        <v>509</v>
      </c>
      <c r="O159" s="13">
        <f t="shared" si="294"/>
        <v>0</v>
      </c>
      <c r="P159" s="13">
        <f t="shared" si="294"/>
        <v>360</v>
      </c>
      <c r="Q159" s="13">
        <f t="shared" si="294"/>
        <v>0</v>
      </c>
      <c r="R159" s="13">
        <f t="shared" si="294"/>
        <v>0</v>
      </c>
      <c r="S159" s="13">
        <f t="shared" si="294"/>
        <v>0</v>
      </c>
      <c r="T159" s="13">
        <f t="shared" si="294"/>
        <v>360</v>
      </c>
      <c r="U159" s="68">
        <f t="shared" si="248"/>
        <v>149</v>
      </c>
      <c r="V159" s="268">
        <f t="shared" si="249"/>
        <v>0.70726915520628686</v>
      </c>
      <c r="W159" s="13">
        <f t="shared" si="240"/>
        <v>340</v>
      </c>
      <c r="X159" s="13">
        <f t="shared" si="295"/>
        <v>355</v>
      </c>
      <c r="Y159" s="13">
        <f t="shared" si="295"/>
        <v>0</v>
      </c>
      <c r="Z159" s="13">
        <f t="shared" si="295"/>
        <v>0</v>
      </c>
      <c r="AA159" s="13">
        <f t="shared" si="295"/>
        <v>0</v>
      </c>
      <c r="AB159" s="13">
        <f t="shared" si="295"/>
        <v>355</v>
      </c>
      <c r="AC159" s="68">
        <f t="shared" si="250"/>
        <v>-15</v>
      </c>
      <c r="AD159" s="268">
        <f t="shared" si="251"/>
        <v>1.0441176470588236</v>
      </c>
      <c r="AE159" s="13">
        <f t="shared" si="241"/>
        <v>340</v>
      </c>
      <c r="AF159" s="13">
        <f t="shared" si="296"/>
        <v>361</v>
      </c>
      <c r="AG159" s="13">
        <f t="shared" si="296"/>
        <v>0</v>
      </c>
      <c r="AH159" s="13">
        <f t="shared" si="296"/>
        <v>0</v>
      </c>
      <c r="AI159" s="13">
        <f t="shared" si="296"/>
        <v>0</v>
      </c>
      <c r="AJ159" s="13">
        <f t="shared" si="296"/>
        <v>361</v>
      </c>
      <c r="AK159" s="68">
        <f t="shared" si="252"/>
        <v>-21</v>
      </c>
      <c r="AL159" s="268">
        <f t="shared" si="253"/>
        <v>1.0617647058823529</v>
      </c>
      <c r="AM159" s="13">
        <f t="shared" si="242"/>
        <v>341</v>
      </c>
      <c r="AN159" s="13">
        <f t="shared" si="297"/>
        <v>367</v>
      </c>
      <c r="AO159" s="13">
        <f t="shared" si="297"/>
        <v>0</v>
      </c>
      <c r="AP159" s="13">
        <f t="shared" si="297"/>
        <v>0</v>
      </c>
      <c r="AQ159" s="13">
        <f t="shared" si="297"/>
        <v>0</v>
      </c>
      <c r="AR159" s="13">
        <f t="shared" si="297"/>
        <v>0</v>
      </c>
      <c r="AS159" s="13">
        <f t="shared" si="297"/>
        <v>367</v>
      </c>
      <c r="AT159" s="68">
        <f>AM159-AS159</f>
        <v>-26</v>
      </c>
      <c r="AU159" s="268">
        <f t="shared" si="254"/>
        <v>1.0762463343108504</v>
      </c>
      <c r="AV159" s="13">
        <f t="shared" si="243"/>
        <v>341</v>
      </c>
      <c r="AW159" s="13">
        <f t="shared" si="222"/>
        <v>0</v>
      </c>
      <c r="AX159" s="13">
        <f t="shared" si="222"/>
        <v>0</v>
      </c>
      <c r="AY159" s="13">
        <f t="shared" si="222"/>
        <v>0</v>
      </c>
      <c r="AZ159" s="13">
        <f t="shared" si="222"/>
        <v>0</v>
      </c>
      <c r="BA159" s="13">
        <f t="shared" si="223"/>
        <v>0</v>
      </c>
      <c r="BB159" s="68">
        <f t="shared" si="255"/>
        <v>341</v>
      </c>
      <c r="BC159" s="268">
        <f t="shared" si="256"/>
        <v>0</v>
      </c>
      <c r="BD159" s="13">
        <f t="shared" si="257"/>
        <v>0</v>
      </c>
      <c r="BE159" s="13">
        <f>SUMIFS(SALIDAS_BIT,FECHA_BIT,"&gt;="&amp;BE$2,FECHA_BIT,"&lt;="&amp;BE$3,CLAVE_BIT,$A159)+SUMIFS(SALIDAS_BOV1,FECHA_BOV1,"&gt;="&amp;BE$2,FECHA_BOV1,"&lt;="&amp;BE$3,CLAVE_BOV1,$A159)+SUMIFS(SALIDAS_BOV2,FECHA_BOV2,"&gt;="&amp;BE$2,FECHA_BOV2,"&lt;="&amp;BE$3,CLAVE_BOV2,$A159)+SUMIFS(SALIDAS_BOV3,FECHA_BOV3,"&gt;="&amp;BE$2,FECHA_BOV3,"&lt;="&amp;BE$3,CLAVE_BOV3,$A159)+SUMIFS(SALIDAS_TC,FECHA_TC,"&gt;="&amp;BE$2,FECHA_TC,"&lt;="&amp;BE$3,CLAVE_TC,$A159)+SUMIFS(SALIDAS_COMB,FECHA_COMB,"&gt;="&amp;BE$2,FECHA_COMB,"&lt;="&amp;BE$3,CLAVE_COMB,$A159)+SUMIFS(SALIDAS_DES,FECHA_DESGLOSEN,"&gt;="&amp;BE$2,FECHA_DESGLOSEN,"&lt;="&amp;BE$3,CLAVE_DESGLOSE,$A159)</f>
        <v>378</v>
      </c>
      <c r="BF159" s="13">
        <f>SUMIFS(SALIDAS_BIT,FECHA_BIT,"&gt;="&amp;BF$2,FECHA_BIT,"&lt;="&amp;BF$3,CLAVE_BIT,$A159)+SUMIFS(SALIDAS_BOV1,FECHA_BOV1,"&gt;="&amp;BF$2,FECHA_BOV1,"&lt;="&amp;BF$3,CLAVE_BOV1,$A159)+SUMIFS(SALIDAS_BOV2,FECHA_BOV2,"&gt;="&amp;BF$2,FECHA_BOV2,"&lt;="&amp;BF$3,CLAVE_BOV2,$A159)+SUMIFS(SALIDAS_BOV3,FECHA_BOV3,"&gt;="&amp;BF$2,FECHA_BOV3,"&lt;="&amp;BF$3,CLAVE_BOV3,$A159)+SUMIFS(SALIDAS_TC,FECHA_TC,"&gt;="&amp;BF$2,FECHA_TC,"&lt;="&amp;BF$3,CLAVE_TC,$A159)+SUMIFS(SALIDAS_COMB,FECHA_COMB,"&gt;="&amp;BF$2,FECHA_COMB,"&lt;="&amp;BF$3,CLAVE_COMB,$A159)+SUMIFS(SALIDAS_DES,FECHA_DESGLOSEN,"&gt;="&amp;BF$2,FECHA_DESGLOSEN,"&lt;="&amp;BF$3,CLAVE_DESGLOSE,$A159)</f>
        <v>0</v>
      </c>
      <c r="BG159" s="13">
        <f>SUMIFS(SALIDAS_BIT,FECHA_BIT,"&gt;="&amp;BG$2,FECHA_BIT,"&lt;="&amp;BG$3,CLAVE_BIT,$A159)+SUMIFS(SALIDAS_BOV1,FECHA_BOV1,"&gt;="&amp;BG$2,FECHA_BOV1,"&lt;="&amp;BG$3,CLAVE_BOV1,$A159)+SUMIFS(SALIDAS_BOV2,FECHA_BOV2,"&gt;="&amp;BG$2,FECHA_BOV2,"&lt;="&amp;BG$3,CLAVE_BOV2,$A159)+SUMIFS(SALIDAS_BOV3,FECHA_BOV3,"&gt;="&amp;BG$2,FECHA_BOV3,"&lt;="&amp;BG$3,CLAVE_BOV3,$A159)+SUMIFS(SALIDAS_TC,FECHA_TC,"&gt;="&amp;BG$2,FECHA_TC,"&lt;="&amp;BG$3,CLAVE_TC,$A159)+SUMIFS(SALIDAS_COMB,FECHA_COMB,"&gt;="&amp;BG$2,FECHA_COMB,"&lt;="&amp;BG$3,CLAVE_COMB,$A159)+SUMIFS(SALIDAS_DES,FECHA_DESGLOSEN,"&gt;="&amp;BG$2,FECHA_DESGLOSEN,"&lt;="&amp;BG$3,CLAVE_DESGLOSE,$A159)</f>
        <v>0</v>
      </c>
      <c r="BH159" s="13">
        <f>SUMIFS(SALIDAS_BIT,FECHA_BIT,"&gt;="&amp;BH$2,FECHA_BIT,"&lt;="&amp;BH$3,CLAVE_BIT,$A159)+SUMIFS(SALIDAS_BOV1,FECHA_BOV1,"&gt;="&amp;BH$2,FECHA_BOV1,"&lt;="&amp;BH$3,CLAVE_BOV1,$A159)+SUMIFS(SALIDAS_BOV2,FECHA_BOV2,"&gt;="&amp;BH$2,FECHA_BOV2,"&lt;="&amp;BH$3,CLAVE_BOV2,$A159)+SUMIFS(SALIDAS_BOV3,FECHA_BOV3,"&gt;="&amp;BH$2,FECHA_BOV3,"&lt;="&amp;BH$3,CLAVE_BOV3,$A159)+SUMIFS(SALIDAS_TC,FECHA_TC,"&gt;="&amp;BH$2,FECHA_TC,"&lt;="&amp;BH$3,CLAVE_TC,$A159)+SUMIFS(SALIDAS_COMB,FECHA_COMB,"&gt;="&amp;BH$2,FECHA_COMB,"&lt;="&amp;BH$3,CLAVE_COMB,$A159)+SUMIFS(SALIDAS_DES,FECHA_DESGLOSEN,"&gt;="&amp;BH$2,FECHA_DESGLOSEN,"&lt;="&amp;BH$3,CLAVE_DESGLOSE,$A159)</f>
        <v>0</v>
      </c>
      <c r="BI159" s="13">
        <f t="shared" si="215"/>
        <v>378</v>
      </c>
      <c r="BJ159" s="68">
        <f t="shared" si="258"/>
        <v>-378</v>
      </c>
      <c r="BK159" s="268">
        <f t="shared" si="259"/>
        <v>0</v>
      </c>
      <c r="BL159" s="13">
        <f t="shared" si="260"/>
        <v>340</v>
      </c>
      <c r="BM159" s="13">
        <f>SUMIFS(SALIDAS_BIT,FECHA_BIT,"&gt;="&amp;BM$2,FECHA_BIT,"&lt;="&amp;BM$3,CLAVE_BIT,$A159)+SUMIFS(SALIDAS_BOV1,FECHA_BOV1,"&gt;="&amp;BM$2,FECHA_BOV1,"&lt;="&amp;BM$3,CLAVE_BOV1,$A159)+SUMIFS(SALIDAS_BOV2,FECHA_BOV2,"&gt;="&amp;BM$2,FECHA_BOV2,"&lt;="&amp;BM$3,CLAVE_BOV2,$A159)+SUMIFS(SALIDAS_BOV3,FECHA_BOV3,"&gt;="&amp;BM$2,FECHA_BOV3,"&lt;="&amp;BM$3,CLAVE_BOV3,$A159)+SUMIFS(SALIDAS_TC,FECHA_TC,"&gt;="&amp;BM$2,FECHA_TC,"&lt;="&amp;BM$3,CLAVE_TC,$A159)+SUMIFS(SALIDAS_COMB,FECHA_COMB,"&gt;="&amp;BM$2,FECHA_COMB,"&lt;="&amp;BM$3,CLAVE_COMB,$A159)+SUMIFS(SALIDAS_DES,FECHA_DESGLOSEN,"&gt;="&amp;BM$2,FECHA_DESGLOSEN,"&lt;="&amp;BM$3,CLAVE_DESGLOSE,$A159)</f>
        <v>0</v>
      </c>
      <c r="BN159" s="13">
        <f>SUMIFS(SALIDAS_BIT,FECHA_BIT,"&gt;="&amp;BN$2,FECHA_BIT,"&lt;="&amp;BN$3,CLAVE_BIT,$A159)+SUMIFS(SALIDAS_BOV1,FECHA_BOV1,"&gt;="&amp;BN$2,FECHA_BOV1,"&lt;="&amp;BN$3,CLAVE_BOV1,$A159)+SUMIFS(SALIDAS_BOV2,FECHA_BOV2,"&gt;="&amp;BN$2,FECHA_BOV2,"&lt;="&amp;BN$3,CLAVE_BOV2,$A159)+SUMIFS(SALIDAS_BOV3,FECHA_BOV3,"&gt;="&amp;BN$2,FECHA_BOV3,"&lt;="&amp;BN$3,CLAVE_BOV3,$A159)+SUMIFS(SALIDAS_TC,FECHA_TC,"&gt;="&amp;BN$2,FECHA_TC,"&lt;="&amp;BN$3,CLAVE_TC,$A159)+SUMIFS(SALIDAS_COMB,FECHA_COMB,"&gt;="&amp;BN$2,FECHA_COMB,"&lt;="&amp;BN$3,CLAVE_COMB,$A159)+SUMIFS(SALIDAS_DES,FECHA_DESGLOSEN,"&gt;="&amp;BN$2,FECHA_DESGLOSEN,"&lt;="&amp;BN$3,CLAVE_DESGLOSE,$A159)</f>
        <v>384</v>
      </c>
      <c r="BO159" s="13">
        <f>SUMIFS(SALIDAS_BIT,FECHA_BIT,"&gt;="&amp;BO$2,FECHA_BIT,"&lt;="&amp;BO$3,CLAVE_BIT,$A159)+SUMIFS(SALIDAS_BOV1,FECHA_BOV1,"&gt;="&amp;BO$2,FECHA_BOV1,"&lt;="&amp;BO$3,CLAVE_BOV1,$A159)+SUMIFS(SALIDAS_BOV2,FECHA_BOV2,"&gt;="&amp;BO$2,FECHA_BOV2,"&lt;="&amp;BO$3,CLAVE_BOV2,$A159)+SUMIFS(SALIDAS_BOV3,FECHA_BOV3,"&gt;="&amp;BO$2,FECHA_BOV3,"&lt;="&amp;BO$3,CLAVE_BOV3,$A159)+SUMIFS(SALIDAS_TC,FECHA_TC,"&gt;="&amp;BO$2,FECHA_TC,"&lt;="&amp;BO$3,CLAVE_TC,$A159)+SUMIFS(SALIDAS_COMB,FECHA_COMB,"&gt;="&amp;BO$2,FECHA_COMB,"&lt;="&amp;BO$3,CLAVE_COMB,$A159)+SUMIFS(SALIDAS_DES,FECHA_DESGLOSEN,"&gt;="&amp;BO$2,FECHA_DESGLOSEN,"&lt;="&amp;BO$3,CLAVE_DESGLOSE,$A159)</f>
        <v>0</v>
      </c>
      <c r="BP159" s="13">
        <f>SUMIFS(SALIDAS_BIT,FECHA_BIT,"&gt;="&amp;BP$2,FECHA_BIT,"&lt;="&amp;BP$3,CLAVE_BIT,$A159)+SUMIFS(SALIDAS_BOV1,FECHA_BOV1,"&gt;="&amp;BP$2,FECHA_BOV1,"&lt;="&amp;BP$3,CLAVE_BOV1,$A159)+SUMIFS(SALIDAS_BOV2,FECHA_BOV2,"&gt;="&amp;BP$2,FECHA_BOV2,"&lt;="&amp;BP$3,CLAVE_BOV2,$A159)+SUMIFS(SALIDAS_BOV3,FECHA_BOV3,"&gt;="&amp;BP$2,FECHA_BOV3,"&lt;="&amp;BP$3,CLAVE_BOV3,$A159)+SUMIFS(SALIDAS_TC,FECHA_TC,"&gt;="&amp;BP$2,FECHA_TC,"&lt;="&amp;BP$3,CLAVE_TC,$A159)+SUMIFS(SALIDAS_COMB,FECHA_COMB,"&gt;="&amp;BP$2,FECHA_COMB,"&lt;="&amp;BP$3,CLAVE_COMB,$A159)+SUMIFS(SALIDAS_DES,FECHA_DESGLOSEN,"&gt;="&amp;BP$2,FECHA_DESGLOSEN,"&lt;="&amp;BP$3,CLAVE_DESGLOSE,$A159)</f>
        <v>0</v>
      </c>
      <c r="BQ159" s="13">
        <f>SUMIFS(SALIDAS_BIT,FECHA_BIT,"&gt;="&amp;BQ$2,FECHA_BIT,"&lt;="&amp;BQ$3,CLAVE_BIT,$A159)+SUMIFS(SALIDAS_BOV1,FECHA_BOV1,"&gt;="&amp;BQ$2,FECHA_BOV1,"&lt;="&amp;BQ$3,CLAVE_BOV1,$A159)+SUMIFS(SALIDAS_BOV2,FECHA_BOV2,"&gt;="&amp;BQ$2,FECHA_BOV2,"&lt;="&amp;BQ$3,CLAVE_BOV2,$A159)+SUMIFS(SALIDAS_BOV3,FECHA_BOV3,"&gt;="&amp;BQ$2,FECHA_BOV3,"&lt;="&amp;BQ$3,CLAVE_BOV3,$A159)+SUMIFS(SALIDAS_TC,FECHA_TC,"&gt;="&amp;BQ$2,FECHA_TC,"&lt;="&amp;BQ$3,CLAVE_TC,$A159)+SUMIFS(SALIDAS_COMB,FECHA_COMB,"&gt;="&amp;BQ$2,FECHA_COMB,"&lt;="&amp;BQ$3,CLAVE_COMB,$A159)+SUMIFS(SALIDAS_DES,FECHA_DESGLOSEN,"&gt;="&amp;BQ$2,FECHA_DESGLOSEN,"&lt;="&amp;BQ$3,CLAVE_DESGLOSE,$A159)</f>
        <v>0</v>
      </c>
      <c r="BR159" s="13">
        <f t="shared" si="298"/>
        <v>384</v>
      </c>
      <c r="BS159" s="68">
        <f t="shared" si="261"/>
        <v>-44</v>
      </c>
      <c r="BT159" s="268">
        <f t="shared" si="262"/>
        <v>1.1294117647058823</v>
      </c>
      <c r="BU159" s="13">
        <f t="shared" si="263"/>
        <v>321</v>
      </c>
      <c r="BV159" s="13">
        <f t="shared" si="291"/>
        <v>389</v>
      </c>
      <c r="BW159" s="13">
        <f t="shared" si="291"/>
        <v>0</v>
      </c>
      <c r="BX159" s="13">
        <f t="shared" si="291"/>
        <v>0</v>
      </c>
      <c r="BY159" s="13">
        <f t="shared" si="291"/>
        <v>0</v>
      </c>
      <c r="BZ159" s="13">
        <f t="shared" si="299"/>
        <v>389</v>
      </c>
      <c r="CA159" s="68">
        <f t="shared" si="264"/>
        <v>-68</v>
      </c>
      <c r="CB159" s="268">
        <f t="shared" si="265"/>
        <v>1.2118380062305296</v>
      </c>
      <c r="CC159" s="13">
        <f t="shared" si="266"/>
        <v>321</v>
      </c>
      <c r="CD159" s="13">
        <f t="shared" si="292"/>
        <v>0</v>
      </c>
      <c r="CE159" s="13">
        <f t="shared" si="292"/>
        <v>385</v>
      </c>
      <c r="CF159" s="13">
        <f t="shared" si="292"/>
        <v>0</v>
      </c>
      <c r="CG159" s="13">
        <f t="shared" si="292"/>
        <v>0</v>
      </c>
      <c r="CH159" s="13">
        <f t="shared" si="300"/>
        <v>385</v>
      </c>
      <c r="CI159" s="68">
        <f t="shared" si="267"/>
        <v>-64</v>
      </c>
      <c r="CJ159" s="268">
        <f t="shared" si="268"/>
        <v>1.1993769470404985</v>
      </c>
      <c r="CK159" s="13">
        <f t="shared" si="269"/>
        <v>321</v>
      </c>
      <c r="CL159" s="13">
        <f t="shared" si="228"/>
        <v>401</v>
      </c>
      <c r="CM159" s="13">
        <f t="shared" si="228"/>
        <v>0</v>
      </c>
      <c r="CN159" s="13">
        <f t="shared" si="228"/>
        <v>0</v>
      </c>
      <c r="CO159" s="13">
        <f t="shared" si="228"/>
        <v>0</v>
      </c>
      <c r="CP159" s="13">
        <f t="shared" si="228"/>
        <v>0</v>
      </c>
      <c r="CQ159" s="13">
        <f t="shared" si="301"/>
        <v>401</v>
      </c>
      <c r="CR159" s="68">
        <f t="shared" si="270"/>
        <v>-80</v>
      </c>
      <c r="CS159" s="268">
        <f t="shared" si="271"/>
        <v>1.2492211838006231</v>
      </c>
      <c r="CT159" s="68">
        <f t="shared" si="244"/>
        <v>400</v>
      </c>
      <c r="CU159" s="13">
        <f>SUMIFS(SALIDAS_BIT,FECHA_BIT,"&gt;="&amp;CU$2,FECHA_BIT,"&lt;="&amp;CU$3,CLAVE_BIT,$A159)+SUMIFS(SALIDAS_BOV1,FECHA_BOV1,"&gt;="&amp;CU$2,FECHA_BOV1,"&lt;="&amp;CU$3,CLAVE_BOV1,$A159)+SUMIFS(SALIDAS_BOV2,FECHA_BOV2,"&gt;="&amp;CU$2,FECHA_BOV2,"&lt;="&amp;CU$3,CLAVE_BOV2,$A159)+SUMIFS(SALIDAS_BOV3,FECHA_BOV3,"&gt;="&amp;CU$2,FECHA_BOV3,"&lt;="&amp;CU$3,CLAVE_BOV3,$A159)+SUMIFS(SALIDAS_TC,FECHA_TC,"&gt;="&amp;CU$2,FECHA_TC,"&lt;="&amp;CU$3,CLAVE_TC,$A159)+SUMIFS(SALIDAS_COMB,FECHA_COMB,"&gt;="&amp;CU$2,FECHA_COMB,"&lt;="&amp;CU$3,CLAVE_COMB,$A159)+SUMIFS(SALIDAS_DES,FECHA_DESGLOSEN,"&gt;="&amp;CU$2,FECHA_DESGLOSEN,"&lt;="&amp;CU$3,CLAVE_DESGLOSE,$A159)</f>
        <v>0</v>
      </c>
      <c r="CV159" s="13">
        <f>SUMIFS(SALIDAS_BIT,FECHA_BIT,"&gt;="&amp;CV$2,FECHA_BIT,"&lt;="&amp;CV$3,CLAVE_BIT,$A159)+SUMIFS(SALIDAS_BOV1,FECHA_BOV1,"&gt;="&amp;CV$2,FECHA_BOV1,"&lt;="&amp;CV$3,CLAVE_BOV1,$A159)+SUMIFS(SALIDAS_BOV2,FECHA_BOV2,"&gt;="&amp;CV$2,FECHA_BOV2,"&lt;="&amp;CV$3,CLAVE_BOV2,$A159)+SUMIFS(SALIDAS_BOV3,FECHA_BOV3,"&gt;="&amp;CV$2,FECHA_BOV3,"&lt;="&amp;CV$3,CLAVE_BOV3,$A159)+SUMIFS(SALIDAS_TC,FECHA_TC,"&gt;="&amp;CV$2,FECHA_TC,"&lt;="&amp;CV$3,CLAVE_TC,$A159)+SUMIFS(SALIDAS_COMB,FECHA_COMB,"&gt;="&amp;CV$2,FECHA_COMB,"&lt;="&amp;CV$3,CLAVE_COMB,$A159)+SUMIFS(SALIDAS_DES,FECHA_DESGLOSEN,"&gt;="&amp;CV$2,FECHA_DESGLOSEN,"&lt;="&amp;CV$3,CLAVE_DESGLOSE,$A159)</f>
        <v>0</v>
      </c>
      <c r="CW159" s="13">
        <f>SUMIFS(SALIDAS_BIT,FECHA_BIT,"&gt;="&amp;CW$2,FECHA_BIT,"&lt;="&amp;CW$3,CLAVE_BIT,$A159)+SUMIFS(SALIDAS_BOV1,FECHA_BOV1,"&gt;="&amp;CW$2,FECHA_BOV1,"&lt;="&amp;CW$3,CLAVE_BOV1,$A159)+SUMIFS(SALIDAS_BOV2,FECHA_BOV2,"&gt;="&amp;CW$2,FECHA_BOV2,"&lt;="&amp;CW$3,CLAVE_BOV2,$A159)+SUMIFS(SALIDAS_BOV3,FECHA_BOV3,"&gt;="&amp;CW$2,FECHA_BOV3,"&lt;="&amp;CW$3,CLAVE_BOV3,$A159)+SUMIFS(SALIDAS_TC,FECHA_TC,"&gt;="&amp;CW$2,FECHA_TC,"&lt;="&amp;CW$3,CLAVE_TC,$A159)+SUMIFS(SALIDAS_COMB,FECHA_COMB,"&gt;="&amp;CW$2,FECHA_COMB,"&lt;="&amp;CW$3,CLAVE_COMB,$A159)+SUMIFS(SALIDAS_DES,FECHA_DESGLOSEN,"&gt;="&amp;CW$2,FECHA_DESGLOSEN,"&lt;="&amp;CW$3,CLAVE_DESGLOSE,$A159)</f>
        <v>0</v>
      </c>
      <c r="CX159" s="13">
        <f>SUMIFS(SALIDAS_BIT,FECHA_BIT,"&gt;="&amp;CX$2,FECHA_BIT,"&lt;="&amp;CX$3,CLAVE_BIT,$A159)+SUMIFS(SALIDAS_BOV1,FECHA_BOV1,"&gt;="&amp;CX$2,FECHA_BOV1,"&lt;="&amp;CX$3,CLAVE_BOV1,$A159)+SUMIFS(SALIDAS_BOV2,FECHA_BOV2,"&gt;="&amp;CX$2,FECHA_BOV2,"&lt;="&amp;CX$3,CLAVE_BOV2,$A159)+SUMIFS(SALIDAS_BOV3,FECHA_BOV3,"&gt;="&amp;CX$2,FECHA_BOV3,"&lt;="&amp;CX$3,CLAVE_BOV3,$A159)+SUMIFS(SALIDAS_TC,FECHA_TC,"&gt;="&amp;CX$2,FECHA_TC,"&lt;="&amp;CX$3,CLAVE_TC,$A159)+SUMIFS(SALIDAS_COMB,FECHA_COMB,"&gt;="&amp;CX$2,FECHA_COMB,"&lt;="&amp;CX$3,CLAVE_COMB,$A159)+SUMIFS(SALIDAS_DES,FECHA_DESGLOSEN,"&gt;="&amp;CX$2,FECHA_DESGLOSEN,"&lt;="&amp;CX$3,CLAVE_DESGLOSE,$A159)</f>
        <v>0</v>
      </c>
      <c r="CY159" s="13">
        <f>SUMIFS(SALIDAS_BIT,FECHA_BIT,"&gt;="&amp;CY$2,FECHA_BIT,"&lt;="&amp;CY$3,CLAVE_BIT,$A159)+SUMIFS(SALIDAS_BOV1,FECHA_BOV1,"&gt;="&amp;CY$2,FECHA_BOV1,"&lt;="&amp;CY$3,CLAVE_BOV1,$A159)+SUMIFS(SALIDAS_BOV2,FECHA_BOV2,"&gt;="&amp;CY$2,FECHA_BOV2,"&lt;="&amp;CY$3,CLAVE_BOV2,$A159)+SUMIFS(SALIDAS_BOV3,FECHA_BOV3,"&gt;="&amp;CY$2,FECHA_BOV3,"&lt;="&amp;CY$3,CLAVE_BOV3,$A159)+SUMIFS(SALIDAS_TC,FECHA_TC,"&gt;="&amp;CY$2,FECHA_TC,"&lt;="&amp;CY$3,CLAVE_TC,$A159)+SUMIFS(SALIDAS_COMB,FECHA_COMB,"&gt;="&amp;CY$2,FECHA_COMB,"&lt;="&amp;CY$3,CLAVE_COMB,$A159)+SUMIFS(SALIDAS_DES,FECHA_DESGLOSEN,"&gt;="&amp;CY$2,FECHA_DESGLOSEN,"&lt;="&amp;CY$3,CLAVE_DESGLOSE,$A159)</f>
        <v>0</v>
      </c>
      <c r="CZ159" s="68">
        <f t="shared" si="272"/>
        <v>400</v>
      </c>
      <c r="DB159" s="17">
        <f>F159+N159+W159+AE159+AM159+AV159+BD159+BL159+BU159+CC159+CK159</f>
        <v>3174</v>
      </c>
      <c r="DC159" s="17">
        <f>K159+T159+AB159+AJ159+AS159+BA159+BI159+BR159+BZ159+CH159+CQ159</f>
        <v>5471</v>
      </c>
    </row>
    <row r="160" spans="1:107" hidden="1">
      <c r="A160" s="12" t="str">
        <f t="shared" si="245"/>
        <v>CAPJMASE4</v>
      </c>
      <c r="B160" s="12">
        <v>162</v>
      </c>
      <c r="C160" t="s">
        <v>31</v>
      </c>
      <c r="D160" s="12" t="s">
        <v>137</v>
      </c>
      <c r="E160" s="12" t="s">
        <v>110</v>
      </c>
      <c r="F160" s="259">
        <f t="shared" si="238"/>
        <v>0</v>
      </c>
      <c r="G160" s="13">
        <f t="shared" si="293"/>
        <v>0</v>
      </c>
      <c r="H160" s="13">
        <f t="shared" si="293"/>
        <v>0</v>
      </c>
      <c r="I160" s="13">
        <f t="shared" si="293"/>
        <v>0</v>
      </c>
      <c r="J160" s="13">
        <f t="shared" si="293"/>
        <v>176.53</v>
      </c>
      <c r="K160" s="13">
        <f t="shared" si="293"/>
        <v>176.53</v>
      </c>
      <c r="L160" s="68">
        <f t="shared" si="246"/>
        <v>-176.53</v>
      </c>
      <c r="M160" s="268">
        <f t="shared" si="247"/>
        <v>0</v>
      </c>
      <c r="N160" s="13">
        <f t="shared" si="239"/>
        <v>0</v>
      </c>
      <c r="O160" s="13">
        <f t="shared" si="294"/>
        <v>0</v>
      </c>
      <c r="P160" s="13">
        <f t="shared" si="294"/>
        <v>0</v>
      </c>
      <c r="Q160" s="13">
        <f t="shared" si="294"/>
        <v>0</v>
      </c>
      <c r="R160" s="13">
        <f t="shared" si="294"/>
        <v>0</v>
      </c>
      <c r="S160" s="13">
        <f t="shared" si="294"/>
        <v>0</v>
      </c>
      <c r="T160" s="13">
        <f t="shared" si="294"/>
        <v>0</v>
      </c>
      <c r="U160" s="68">
        <f t="shared" si="248"/>
        <v>0</v>
      </c>
      <c r="V160" s="268">
        <f t="shared" si="249"/>
        <v>0</v>
      </c>
      <c r="W160" s="13">
        <f t="shared" si="240"/>
        <v>0</v>
      </c>
      <c r="X160" s="13">
        <f t="shared" si="295"/>
        <v>0</v>
      </c>
      <c r="Y160" s="13">
        <f t="shared" si="295"/>
        <v>0</v>
      </c>
      <c r="Z160" s="13">
        <f t="shared" si="295"/>
        <v>0</v>
      </c>
      <c r="AA160" s="13">
        <f t="shared" si="295"/>
        <v>0</v>
      </c>
      <c r="AB160" s="13">
        <f t="shared" si="295"/>
        <v>0</v>
      </c>
      <c r="AC160" s="68">
        <f t="shared" si="250"/>
        <v>0</v>
      </c>
      <c r="AD160" s="268">
        <f t="shared" si="251"/>
        <v>0</v>
      </c>
      <c r="AE160" s="13">
        <f t="shared" si="241"/>
        <v>629</v>
      </c>
      <c r="AF160" s="13">
        <f t="shared" si="296"/>
        <v>0</v>
      </c>
      <c r="AG160" s="13">
        <f t="shared" si="296"/>
        <v>0</v>
      </c>
      <c r="AH160" s="13">
        <f t="shared" si="296"/>
        <v>0</v>
      </c>
      <c r="AI160" s="13">
        <f t="shared" si="296"/>
        <v>54</v>
      </c>
      <c r="AJ160" s="13">
        <f t="shared" si="296"/>
        <v>54</v>
      </c>
      <c r="AK160" s="68">
        <f t="shared" si="252"/>
        <v>575</v>
      </c>
      <c r="AL160" s="268">
        <f t="shared" si="253"/>
        <v>8.5850556438791734E-2</v>
      </c>
      <c r="AM160" s="13">
        <f t="shared" si="242"/>
        <v>194</v>
      </c>
      <c r="AN160" s="13">
        <f t="shared" si="297"/>
        <v>0</v>
      </c>
      <c r="AO160" s="13">
        <f t="shared" si="297"/>
        <v>0</v>
      </c>
      <c r="AP160" s="13">
        <f t="shared" si="297"/>
        <v>0</v>
      </c>
      <c r="AQ160" s="13">
        <f t="shared" si="297"/>
        <v>0</v>
      </c>
      <c r="AR160" s="13">
        <f t="shared" si="297"/>
        <v>0</v>
      </c>
      <c r="AS160" s="13">
        <f t="shared" si="297"/>
        <v>0</v>
      </c>
      <c r="AT160" s="68">
        <f>AM160-AS160</f>
        <v>194</v>
      </c>
      <c r="AU160" s="268">
        <f t="shared" si="254"/>
        <v>0</v>
      </c>
      <c r="AV160" s="13">
        <f t="shared" si="243"/>
        <v>0</v>
      </c>
      <c r="AW160" s="13">
        <f t="shared" si="222"/>
        <v>0</v>
      </c>
      <c r="AX160" s="13">
        <f t="shared" si="222"/>
        <v>0</v>
      </c>
      <c r="AY160" s="13">
        <f t="shared" si="222"/>
        <v>0</v>
      </c>
      <c r="AZ160" s="13">
        <f t="shared" si="222"/>
        <v>0</v>
      </c>
      <c r="BA160" s="13">
        <f t="shared" si="223"/>
        <v>0</v>
      </c>
      <c r="BB160" s="68">
        <f t="shared" si="255"/>
        <v>0</v>
      </c>
      <c r="BC160" s="268">
        <f t="shared" si="256"/>
        <v>0</v>
      </c>
      <c r="BD160" s="13">
        <f t="shared" si="257"/>
        <v>0</v>
      </c>
      <c r="BE160" s="13">
        <f>SUMIFS(SALIDAS_BIT,FECHA_BIT,"&gt;="&amp;BE$2,FECHA_BIT,"&lt;="&amp;BE$3,CLAVE_BIT,$A160)+SUMIFS(SALIDAS_BOV1,FECHA_BOV1,"&gt;="&amp;BE$2,FECHA_BOV1,"&lt;="&amp;BE$3,CLAVE_BOV1,$A160)+SUMIFS(SALIDAS_BOV2,FECHA_BOV2,"&gt;="&amp;BE$2,FECHA_BOV2,"&lt;="&amp;BE$3,CLAVE_BOV2,$A160)+SUMIFS(SALIDAS_BOV3,FECHA_BOV3,"&gt;="&amp;BE$2,FECHA_BOV3,"&lt;="&amp;BE$3,CLAVE_BOV3,$A160)+SUMIFS(SALIDAS_TC,FECHA_TC,"&gt;="&amp;BE$2,FECHA_TC,"&lt;="&amp;BE$3,CLAVE_TC,$A160)+SUMIFS(SALIDAS_COMB,FECHA_COMB,"&gt;="&amp;BE$2,FECHA_COMB,"&lt;="&amp;BE$3,CLAVE_COMB,$A160)+SUMIFS(SALIDAS_DES,FECHA_DESGLOSEN,"&gt;="&amp;BE$2,FECHA_DESGLOSEN,"&lt;="&amp;BE$3,CLAVE_DESGLOSE,$A160)</f>
        <v>0</v>
      </c>
      <c r="BF160" s="13">
        <f>SUMIFS(SALIDAS_BIT,FECHA_BIT,"&gt;="&amp;BF$2,FECHA_BIT,"&lt;="&amp;BF$3,CLAVE_BIT,$A160)+SUMIFS(SALIDAS_BOV1,FECHA_BOV1,"&gt;="&amp;BF$2,FECHA_BOV1,"&lt;="&amp;BF$3,CLAVE_BOV1,$A160)+SUMIFS(SALIDAS_BOV2,FECHA_BOV2,"&gt;="&amp;BF$2,FECHA_BOV2,"&lt;="&amp;BF$3,CLAVE_BOV2,$A160)+SUMIFS(SALIDAS_BOV3,FECHA_BOV3,"&gt;="&amp;BF$2,FECHA_BOV3,"&lt;="&amp;BF$3,CLAVE_BOV3,$A160)+SUMIFS(SALIDAS_TC,FECHA_TC,"&gt;="&amp;BF$2,FECHA_TC,"&lt;="&amp;BF$3,CLAVE_TC,$A160)+SUMIFS(SALIDAS_COMB,FECHA_COMB,"&gt;="&amp;BF$2,FECHA_COMB,"&lt;="&amp;BF$3,CLAVE_COMB,$A160)+SUMIFS(SALIDAS_DES,FECHA_DESGLOSEN,"&gt;="&amp;BF$2,FECHA_DESGLOSEN,"&lt;="&amp;BF$3,CLAVE_DESGLOSE,$A160)</f>
        <v>0</v>
      </c>
      <c r="BG160" s="13">
        <f>SUMIFS(SALIDAS_BIT,FECHA_BIT,"&gt;="&amp;BG$2,FECHA_BIT,"&lt;="&amp;BG$3,CLAVE_BIT,$A160)+SUMIFS(SALIDAS_BOV1,FECHA_BOV1,"&gt;="&amp;BG$2,FECHA_BOV1,"&lt;="&amp;BG$3,CLAVE_BOV1,$A160)+SUMIFS(SALIDAS_BOV2,FECHA_BOV2,"&gt;="&amp;BG$2,FECHA_BOV2,"&lt;="&amp;BG$3,CLAVE_BOV2,$A160)+SUMIFS(SALIDAS_BOV3,FECHA_BOV3,"&gt;="&amp;BG$2,FECHA_BOV3,"&lt;="&amp;BG$3,CLAVE_BOV3,$A160)+SUMIFS(SALIDAS_TC,FECHA_TC,"&gt;="&amp;BG$2,FECHA_TC,"&lt;="&amp;BG$3,CLAVE_TC,$A160)+SUMIFS(SALIDAS_COMB,FECHA_COMB,"&gt;="&amp;BG$2,FECHA_COMB,"&lt;="&amp;BG$3,CLAVE_COMB,$A160)+SUMIFS(SALIDAS_DES,FECHA_DESGLOSEN,"&gt;="&amp;BG$2,FECHA_DESGLOSEN,"&lt;="&amp;BG$3,CLAVE_DESGLOSE,$A160)</f>
        <v>0</v>
      </c>
      <c r="BH160" s="13">
        <f>SUMIFS(SALIDAS_BIT,FECHA_BIT,"&gt;="&amp;BH$2,FECHA_BIT,"&lt;="&amp;BH$3,CLAVE_BIT,$A160)+SUMIFS(SALIDAS_BOV1,FECHA_BOV1,"&gt;="&amp;BH$2,FECHA_BOV1,"&lt;="&amp;BH$3,CLAVE_BOV1,$A160)+SUMIFS(SALIDAS_BOV2,FECHA_BOV2,"&gt;="&amp;BH$2,FECHA_BOV2,"&lt;="&amp;BH$3,CLAVE_BOV2,$A160)+SUMIFS(SALIDAS_BOV3,FECHA_BOV3,"&gt;="&amp;BH$2,FECHA_BOV3,"&lt;="&amp;BH$3,CLAVE_BOV3,$A160)+SUMIFS(SALIDAS_TC,FECHA_TC,"&gt;="&amp;BH$2,FECHA_TC,"&lt;="&amp;BH$3,CLAVE_TC,$A160)+SUMIFS(SALIDAS_COMB,FECHA_COMB,"&gt;="&amp;BH$2,FECHA_COMB,"&lt;="&amp;BH$3,CLAVE_COMB,$A160)+SUMIFS(SALIDAS_DES,FECHA_DESGLOSEN,"&gt;="&amp;BH$2,FECHA_DESGLOSEN,"&lt;="&amp;BH$3,CLAVE_DESGLOSE,$A160)</f>
        <v>0</v>
      </c>
      <c r="BI160" s="13">
        <f t="shared" si="215"/>
        <v>0</v>
      </c>
      <c r="BJ160" s="68">
        <f t="shared" si="258"/>
        <v>0</v>
      </c>
      <c r="BK160" s="268">
        <f t="shared" si="259"/>
        <v>0</v>
      </c>
      <c r="BL160" s="13">
        <f t="shared" si="260"/>
        <v>0</v>
      </c>
      <c r="BM160" s="13">
        <f>SUMIFS(SALIDAS_BIT,FECHA_BIT,"&gt;="&amp;BM$2,FECHA_BIT,"&lt;="&amp;BM$3,CLAVE_BIT,$A160)+SUMIFS(SALIDAS_BOV1,FECHA_BOV1,"&gt;="&amp;BM$2,FECHA_BOV1,"&lt;="&amp;BM$3,CLAVE_BOV1,$A160)+SUMIFS(SALIDAS_BOV2,FECHA_BOV2,"&gt;="&amp;BM$2,FECHA_BOV2,"&lt;="&amp;BM$3,CLAVE_BOV2,$A160)+SUMIFS(SALIDAS_BOV3,FECHA_BOV3,"&gt;="&amp;BM$2,FECHA_BOV3,"&lt;="&amp;BM$3,CLAVE_BOV3,$A160)+SUMIFS(SALIDAS_TC,FECHA_TC,"&gt;="&amp;BM$2,FECHA_TC,"&lt;="&amp;BM$3,CLAVE_TC,$A160)+SUMIFS(SALIDAS_COMB,FECHA_COMB,"&gt;="&amp;BM$2,FECHA_COMB,"&lt;="&amp;BM$3,CLAVE_COMB,$A160)+SUMIFS(SALIDAS_DES,FECHA_DESGLOSEN,"&gt;="&amp;BM$2,FECHA_DESGLOSEN,"&lt;="&amp;BM$3,CLAVE_DESGLOSE,$A160)</f>
        <v>0</v>
      </c>
      <c r="BN160" s="13">
        <f>SUMIFS(SALIDAS_BIT,FECHA_BIT,"&gt;="&amp;BN$2,FECHA_BIT,"&lt;="&amp;BN$3,CLAVE_BIT,$A160)+SUMIFS(SALIDAS_BOV1,FECHA_BOV1,"&gt;="&amp;BN$2,FECHA_BOV1,"&lt;="&amp;BN$3,CLAVE_BOV1,$A160)+SUMIFS(SALIDAS_BOV2,FECHA_BOV2,"&gt;="&amp;BN$2,FECHA_BOV2,"&lt;="&amp;BN$3,CLAVE_BOV2,$A160)+SUMIFS(SALIDAS_BOV3,FECHA_BOV3,"&gt;="&amp;BN$2,FECHA_BOV3,"&lt;="&amp;BN$3,CLAVE_BOV3,$A160)+SUMIFS(SALIDAS_TC,FECHA_TC,"&gt;="&amp;BN$2,FECHA_TC,"&lt;="&amp;BN$3,CLAVE_TC,$A160)+SUMIFS(SALIDAS_COMB,FECHA_COMB,"&gt;="&amp;BN$2,FECHA_COMB,"&lt;="&amp;BN$3,CLAVE_COMB,$A160)+SUMIFS(SALIDAS_DES,FECHA_DESGLOSEN,"&gt;="&amp;BN$2,FECHA_DESGLOSEN,"&lt;="&amp;BN$3,CLAVE_DESGLOSE,$A160)</f>
        <v>0</v>
      </c>
      <c r="BO160" s="13">
        <f>SUMIFS(SALIDAS_BIT,FECHA_BIT,"&gt;="&amp;BO$2,FECHA_BIT,"&lt;="&amp;BO$3,CLAVE_BIT,$A160)+SUMIFS(SALIDAS_BOV1,FECHA_BOV1,"&gt;="&amp;BO$2,FECHA_BOV1,"&lt;="&amp;BO$3,CLAVE_BOV1,$A160)+SUMIFS(SALIDAS_BOV2,FECHA_BOV2,"&gt;="&amp;BO$2,FECHA_BOV2,"&lt;="&amp;BO$3,CLAVE_BOV2,$A160)+SUMIFS(SALIDAS_BOV3,FECHA_BOV3,"&gt;="&amp;BO$2,FECHA_BOV3,"&lt;="&amp;BO$3,CLAVE_BOV3,$A160)+SUMIFS(SALIDAS_TC,FECHA_TC,"&gt;="&amp;BO$2,FECHA_TC,"&lt;="&amp;BO$3,CLAVE_TC,$A160)+SUMIFS(SALIDAS_COMB,FECHA_COMB,"&gt;="&amp;BO$2,FECHA_COMB,"&lt;="&amp;BO$3,CLAVE_COMB,$A160)+SUMIFS(SALIDAS_DES,FECHA_DESGLOSEN,"&gt;="&amp;BO$2,FECHA_DESGLOSEN,"&lt;="&amp;BO$3,CLAVE_DESGLOSE,$A160)</f>
        <v>0</v>
      </c>
      <c r="BP160" s="13">
        <f>SUMIFS(SALIDAS_BIT,FECHA_BIT,"&gt;="&amp;BP$2,FECHA_BIT,"&lt;="&amp;BP$3,CLAVE_BIT,$A160)+SUMIFS(SALIDAS_BOV1,FECHA_BOV1,"&gt;="&amp;BP$2,FECHA_BOV1,"&lt;="&amp;BP$3,CLAVE_BOV1,$A160)+SUMIFS(SALIDAS_BOV2,FECHA_BOV2,"&gt;="&amp;BP$2,FECHA_BOV2,"&lt;="&amp;BP$3,CLAVE_BOV2,$A160)+SUMIFS(SALIDAS_BOV3,FECHA_BOV3,"&gt;="&amp;BP$2,FECHA_BOV3,"&lt;="&amp;BP$3,CLAVE_BOV3,$A160)+SUMIFS(SALIDAS_TC,FECHA_TC,"&gt;="&amp;BP$2,FECHA_TC,"&lt;="&amp;BP$3,CLAVE_TC,$A160)+SUMIFS(SALIDAS_COMB,FECHA_COMB,"&gt;="&amp;BP$2,FECHA_COMB,"&lt;="&amp;BP$3,CLAVE_COMB,$A160)+SUMIFS(SALIDAS_DES,FECHA_DESGLOSEN,"&gt;="&amp;BP$2,FECHA_DESGLOSEN,"&lt;="&amp;BP$3,CLAVE_DESGLOSE,$A160)</f>
        <v>0</v>
      </c>
      <c r="BQ160" s="13">
        <f>SUMIFS(SALIDAS_BIT,FECHA_BIT,"&gt;="&amp;BQ$2,FECHA_BIT,"&lt;="&amp;BQ$3,CLAVE_BIT,$A160)+SUMIFS(SALIDAS_BOV1,FECHA_BOV1,"&gt;="&amp;BQ$2,FECHA_BOV1,"&lt;="&amp;BQ$3,CLAVE_BOV1,$A160)+SUMIFS(SALIDAS_BOV2,FECHA_BOV2,"&gt;="&amp;BQ$2,FECHA_BOV2,"&lt;="&amp;BQ$3,CLAVE_BOV2,$A160)+SUMIFS(SALIDAS_BOV3,FECHA_BOV3,"&gt;="&amp;BQ$2,FECHA_BOV3,"&lt;="&amp;BQ$3,CLAVE_BOV3,$A160)+SUMIFS(SALIDAS_TC,FECHA_TC,"&gt;="&amp;BQ$2,FECHA_TC,"&lt;="&amp;BQ$3,CLAVE_TC,$A160)+SUMIFS(SALIDAS_COMB,FECHA_COMB,"&gt;="&amp;BQ$2,FECHA_COMB,"&lt;="&amp;BQ$3,CLAVE_COMB,$A160)+SUMIFS(SALIDAS_DES,FECHA_DESGLOSEN,"&gt;="&amp;BQ$2,FECHA_DESGLOSEN,"&lt;="&amp;BQ$3,CLAVE_DESGLOSE,$A160)</f>
        <v>0</v>
      </c>
      <c r="BR160" s="13">
        <f t="shared" si="298"/>
        <v>0</v>
      </c>
      <c r="BS160" s="68">
        <f t="shared" si="261"/>
        <v>0</v>
      </c>
      <c r="BT160" s="268">
        <f t="shared" si="262"/>
        <v>0</v>
      </c>
      <c r="BU160" s="13">
        <f t="shared" si="263"/>
        <v>0</v>
      </c>
      <c r="BV160" s="13">
        <f t="shared" si="291"/>
        <v>0</v>
      </c>
      <c r="BW160" s="13">
        <f t="shared" si="291"/>
        <v>0</v>
      </c>
      <c r="BX160" s="13">
        <f t="shared" si="291"/>
        <v>0</v>
      </c>
      <c r="BY160" s="13">
        <f t="shared" si="291"/>
        <v>0</v>
      </c>
      <c r="BZ160" s="13">
        <f t="shared" si="299"/>
        <v>0</v>
      </c>
      <c r="CA160" s="68">
        <f t="shared" si="264"/>
        <v>0</v>
      </c>
      <c r="CB160" s="268">
        <f t="shared" si="265"/>
        <v>0</v>
      </c>
      <c r="CC160" s="13">
        <f t="shared" si="266"/>
        <v>0</v>
      </c>
      <c r="CD160" s="13">
        <f t="shared" si="292"/>
        <v>0</v>
      </c>
      <c r="CE160" s="13">
        <f t="shared" si="292"/>
        <v>0</v>
      </c>
      <c r="CF160" s="13">
        <f t="shared" si="292"/>
        <v>0</v>
      </c>
      <c r="CG160" s="13">
        <f t="shared" si="292"/>
        <v>0</v>
      </c>
      <c r="CH160" s="13">
        <f t="shared" si="300"/>
        <v>0</v>
      </c>
      <c r="CI160" s="68">
        <f t="shared" si="267"/>
        <v>0</v>
      </c>
      <c r="CJ160" s="268">
        <f t="shared" si="268"/>
        <v>0</v>
      </c>
      <c r="CK160" s="13">
        <f t="shared" si="269"/>
        <v>0</v>
      </c>
      <c r="CL160" s="13">
        <f t="shared" si="228"/>
        <v>0</v>
      </c>
      <c r="CM160" s="13">
        <f t="shared" si="228"/>
        <v>0</v>
      </c>
      <c r="CN160" s="13">
        <f t="shared" si="228"/>
        <v>0</v>
      </c>
      <c r="CO160" s="13">
        <f t="shared" si="228"/>
        <v>0</v>
      </c>
      <c r="CP160" s="13">
        <f t="shared" si="228"/>
        <v>0</v>
      </c>
      <c r="CQ160" s="13">
        <f t="shared" si="301"/>
        <v>0</v>
      </c>
      <c r="CR160" s="68">
        <f t="shared" si="270"/>
        <v>0</v>
      </c>
      <c r="CS160" s="268">
        <f t="shared" si="271"/>
        <v>0</v>
      </c>
      <c r="CT160" s="68">
        <f t="shared" si="244"/>
        <v>300</v>
      </c>
      <c r="CU160" s="13">
        <f>SUMIFS(SALIDAS_BIT,FECHA_BIT,"&gt;="&amp;CU$2,FECHA_BIT,"&lt;="&amp;CU$3,CLAVE_BIT,$A160)+SUMIFS(SALIDAS_BOV1,FECHA_BOV1,"&gt;="&amp;CU$2,FECHA_BOV1,"&lt;="&amp;CU$3,CLAVE_BOV1,$A160)+SUMIFS(SALIDAS_BOV2,FECHA_BOV2,"&gt;="&amp;CU$2,FECHA_BOV2,"&lt;="&amp;CU$3,CLAVE_BOV2,$A160)+SUMIFS(SALIDAS_BOV3,FECHA_BOV3,"&gt;="&amp;CU$2,FECHA_BOV3,"&lt;="&amp;CU$3,CLAVE_BOV3,$A160)+SUMIFS(SALIDAS_TC,FECHA_TC,"&gt;="&amp;CU$2,FECHA_TC,"&lt;="&amp;CU$3,CLAVE_TC,$A160)+SUMIFS(SALIDAS_COMB,FECHA_COMB,"&gt;="&amp;CU$2,FECHA_COMB,"&lt;="&amp;CU$3,CLAVE_COMB,$A160)+SUMIFS(SALIDAS_DES,FECHA_DESGLOSEN,"&gt;="&amp;CU$2,FECHA_DESGLOSEN,"&lt;="&amp;CU$3,CLAVE_DESGLOSE,$A160)</f>
        <v>0</v>
      </c>
      <c r="CV160" s="13">
        <f>SUMIFS(SALIDAS_BIT,FECHA_BIT,"&gt;="&amp;CV$2,FECHA_BIT,"&lt;="&amp;CV$3,CLAVE_BIT,$A160)+SUMIFS(SALIDAS_BOV1,FECHA_BOV1,"&gt;="&amp;CV$2,FECHA_BOV1,"&lt;="&amp;CV$3,CLAVE_BOV1,$A160)+SUMIFS(SALIDAS_BOV2,FECHA_BOV2,"&gt;="&amp;CV$2,FECHA_BOV2,"&lt;="&amp;CV$3,CLAVE_BOV2,$A160)+SUMIFS(SALIDAS_BOV3,FECHA_BOV3,"&gt;="&amp;CV$2,FECHA_BOV3,"&lt;="&amp;CV$3,CLAVE_BOV3,$A160)+SUMIFS(SALIDAS_TC,FECHA_TC,"&gt;="&amp;CV$2,FECHA_TC,"&lt;="&amp;CV$3,CLAVE_TC,$A160)+SUMIFS(SALIDAS_COMB,FECHA_COMB,"&gt;="&amp;CV$2,FECHA_COMB,"&lt;="&amp;CV$3,CLAVE_COMB,$A160)+SUMIFS(SALIDAS_DES,FECHA_DESGLOSEN,"&gt;="&amp;CV$2,FECHA_DESGLOSEN,"&lt;="&amp;CV$3,CLAVE_DESGLOSE,$A160)</f>
        <v>0</v>
      </c>
      <c r="CW160" s="13">
        <f>SUMIFS(SALIDAS_BIT,FECHA_BIT,"&gt;="&amp;CW$2,FECHA_BIT,"&lt;="&amp;CW$3,CLAVE_BIT,$A160)+SUMIFS(SALIDAS_BOV1,FECHA_BOV1,"&gt;="&amp;CW$2,FECHA_BOV1,"&lt;="&amp;CW$3,CLAVE_BOV1,$A160)+SUMIFS(SALIDAS_BOV2,FECHA_BOV2,"&gt;="&amp;CW$2,FECHA_BOV2,"&lt;="&amp;CW$3,CLAVE_BOV2,$A160)+SUMIFS(SALIDAS_BOV3,FECHA_BOV3,"&gt;="&amp;CW$2,FECHA_BOV3,"&lt;="&amp;CW$3,CLAVE_BOV3,$A160)+SUMIFS(SALIDAS_TC,FECHA_TC,"&gt;="&amp;CW$2,FECHA_TC,"&lt;="&amp;CW$3,CLAVE_TC,$A160)+SUMIFS(SALIDAS_COMB,FECHA_COMB,"&gt;="&amp;CW$2,FECHA_COMB,"&lt;="&amp;CW$3,CLAVE_COMB,$A160)+SUMIFS(SALIDAS_DES,FECHA_DESGLOSEN,"&gt;="&amp;CW$2,FECHA_DESGLOSEN,"&lt;="&amp;CW$3,CLAVE_DESGLOSE,$A160)</f>
        <v>0</v>
      </c>
      <c r="CX160" s="13">
        <f>SUMIFS(SALIDAS_BIT,FECHA_BIT,"&gt;="&amp;CX$2,FECHA_BIT,"&lt;="&amp;CX$3,CLAVE_BIT,$A160)+SUMIFS(SALIDAS_BOV1,FECHA_BOV1,"&gt;="&amp;CX$2,FECHA_BOV1,"&lt;="&amp;CX$3,CLAVE_BOV1,$A160)+SUMIFS(SALIDAS_BOV2,FECHA_BOV2,"&gt;="&amp;CX$2,FECHA_BOV2,"&lt;="&amp;CX$3,CLAVE_BOV2,$A160)+SUMIFS(SALIDAS_BOV3,FECHA_BOV3,"&gt;="&amp;CX$2,FECHA_BOV3,"&lt;="&amp;CX$3,CLAVE_BOV3,$A160)+SUMIFS(SALIDAS_TC,FECHA_TC,"&gt;="&amp;CX$2,FECHA_TC,"&lt;="&amp;CX$3,CLAVE_TC,$A160)+SUMIFS(SALIDAS_COMB,FECHA_COMB,"&gt;="&amp;CX$2,FECHA_COMB,"&lt;="&amp;CX$3,CLAVE_COMB,$A160)+SUMIFS(SALIDAS_DES,FECHA_DESGLOSEN,"&gt;="&amp;CX$2,FECHA_DESGLOSEN,"&lt;="&amp;CX$3,CLAVE_DESGLOSE,$A160)</f>
        <v>0</v>
      </c>
      <c r="CY160" s="13">
        <f>SUMIFS(SALIDAS_BIT,FECHA_BIT,"&gt;="&amp;CY$2,FECHA_BIT,"&lt;="&amp;CY$3,CLAVE_BIT,$A160)+SUMIFS(SALIDAS_BOV1,FECHA_BOV1,"&gt;="&amp;CY$2,FECHA_BOV1,"&lt;="&amp;CY$3,CLAVE_BOV1,$A160)+SUMIFS(SALIDAS_BOV2,FECHA_BOV2,"&gt;="&amp;CY$2,FECHA_BOV2,"&lt;="&amp;CY$3,CLAVE_BOV2,$A160)+SUMIFS(SALIDAS_BOV3,FECHA_BOV3,"&gt;="&amp;CY$2,FECHA_BOV3,"&lt;="&amp;CY$3,CLAVE_BOV3,$A160)+SUMIFS(SALIDAS_TC,FECHA_TC,"&gt;="&amp;CY$2,FECHA_TC,"&lt;="&amp;CY$3,CLAVE_TC,$A160)+SUMIFS(SALIDAS_COMB,FECHA_COMB,"&gt;="&amp;CY$2,FECHA_COMB,"&lt;="&amp;CY$3,CLAVE_COMB,$A160)+SUMIFS(SALIDAS_DES,FECHA_DESGLOSEN,"&gt;="&amp;CY$2,FECHA_DESGLOSEN,"&lt;="&amp;CY$3,CLAVE_DESGLOSE,$A160)</f>
        <v>0</v>
      </c>
      <c r="CZ160" s="68">
        <f t="shared" si="272"/>
        <v>300</v>
      </c>
      <c r="DB160" s="17">
        <f>F160+N160+W160+AE160+AM160+AV160+BD160+BL160+BU160+CC160+CK160</f>
        <v>823</v>
      </c>
      <c r="DC160" s="17">
        <f>K160+T160+AB160+AJ160+AS160+BA160+BI160+BR160+BZ160+CH160+CQ160</f>
        <v>230.53</v>
      </c>
    </row>
    <row r="161" spans="1:107" hidden="1">
      <c r="A161" s="12" t="str">
        <f t="shared" si="245"/>
        <v>CAPJMASE5</v>
      </c>
      <c r="B161" s="12">
        <v>163</v>
      </c>
      <c r="C161" t="s">
        <v>31</v>
      </c>
      <c r="D161" s="12" t="s">
        <v>137</v>
      </c>
      <c r="E161" s="12" t="s">
        <v>111</v>
      </c>
      <c r="F161" s="259">
        <f t="shared" si="238"/>
        <v>0</v>
      </c>
      <c r="G161" s="13">
        <f t="shared" si="293"/>
        <v>0</v>
      </c>
      <c r="H161" s="13">
        <f t="shared" si="293"/>
        <v>0</v>
      </c>
      <c r="I161" s="13">
        <f t="shared" si="293"/>
        <v>0</v>
      </c>
      <c r="J161" s="13">
        <f t="shared" si="293"/>
        <v>0</v>
      </c>
      <c r="K161" s="13">
        <f t="shared" si="293"/>
        <v>0</v>
      </c>
      <c r="L161" s="68">
        <f t="shared" si="246"/>
        <v>0</v>
      </c>
      <c r="M161" s="268">
        <f t="shared" si="247"/>
        <v>0</v>
      </c>
      <c r="N161" s="13">
        <f t="shared" si="239"/>
        <v>0</v>
      </c>
      <c r="O161" s="13">
        <f t="shared" si="294"/>
        <v>0</v>
      </c>
      <c r="P161" s="13">
        <f t="shared" si="294"/>
        <v>0</v>
      </c>
      <c r="Q161" s="13">
        <f t="shared" si="294"/>
        <v>0</v>
      </c>
      <c r="R161" s="13">
        <f t="shared" si="294"/>
        <v>0</v>
      </c>
      <c r="S161" s="13">
        <f t="shared" si="294"/>
        <v>0</v>
      </c>
      <c r="T161" s="13">
        <f t="shared" si="294"/>
        <v>0</v>
      </c>
      <c r="U161" s="68">
        <f t="shared" si="248"/>
        <v>0</v>
      </c>
      <c r="V161" s="268">
        <f t="shared" si="249"/>
        <v>0</v>
      </c>
      <c r="W161" s="13">
        <f t="shared" si="240"/>
        <v>0</v>
      </c>
      <c r="X161" s="13">
        <f t="shared" si="295"/>
        <v>0</v>
      </c>
      <c r="Y161" s="13">
        <f t="shared" si="295"/>
        <v>0</v>
      </c>
      <c r="Z161" s="13">
        <f t="shared" si="295"/>
        <v>0</v>
      </c>
      <c r="AA161" s="13">
        <f t="shared" si="295"/>
        <v>0</v>
      </c>
      <c r="AB161" s="13">
        <f t="shared" si="295"/>
        <v>0</v>
      </c>
      <c r="AC161" s="68">
        <f t="shared" si="250"/>
        <v>0</v>
      </c>
      <c r="AD161" s="268">
        <f t="shared" si="251"/>
        <v>0</v>
      </c>
      <c r="AE161" s="13">
        <f t="shared" si="241"/>
        <v>0</v>
      </c>
      <c r="AF161" s="13">
        <f t="shared" si="296"/>
        <v>0</v>
      </c>
      <c r="AG161" s="13">
        <f t="shared" si="296"/>
        <v>0</v>
      </c>
      <c r="AH161" s="13">
        <f t="shared" si="296"/>
        <v>0</v>
      </c>
      <c r="AI161" s="13">
        <f t="shared" si="296"/>
        <v>5903</v>
      </c>
      <c r="AJ161" s="13">
        <f t="shared" si="296"/>
        <v>5903</v>
      </c>
      <c r="AK161" s="68">
        <f t="shared" si="252"/>
        <v>-5903</v>
      </c>
      <c r="AL161" s="268">
        <f t="shared" si="253"/>
        <v>0</v>
      </c>
      <c r="AM161" s="13">
        <f t="shared" si="242"/>
        <v>0</v>
      </c>
      <c r="AN161" s="13">
        <f t="shared" si="297"/>
        <v>0</v>
      </c>
      <c r="AO161" s="13">
        <f t="shared" si="297"/>
        <v>0</v>
      </c>
      <c r="AP161" s="13">
        <f t="shared" si="297"/>
        <v>566</v>
      </c>
      <c r="AQ161" s="13">
        <f t="shared" si="297"/>
        <v>0</v>
      </c>
      <c r="AR161" s="13">
        <f t="shared" si="297"/>
        <v>0</v>
      </c>
      <c r="AS161" s="13">
        <f t="shared" si="297"/>
        <v>566</v>
      </c>
      <c r="AT161" s="68">
        <f>AM161-AS161</f>
        <v>-566</v>
      </c>
      <c r="AU161" s="268">
        <f t="shared" si="254"/>
        <v>0</v>
      </c>
      <c r="AV161" s="13">
        <f t="shared" si="243"/>
        <v>0</v>
      </c>
      <c r="AW161" s="13">
        <f t="shared" si="222"/>
        <v>0</v>
      </c>
      <c r="AX161" s="13">
        <f t="shared" si="222"/>
        <v>0</v>
      </c>
      <c r="AY161" s="13">
        <f t="shared" si="222"/>
        <v>0</v>
      </c>
      <c r="AZ161" s="13">
        <f t="shared" si="222"/>
        <v>0</v>
      </c>
      <c r="BA161" s="13">
        <f t="shared" si="223"/>
        <v>0</v>
      </c>
      <c r="BB161" s="68">
        <f t="shared" si="255"/>
        <v>0</v>
      </c>
      <c r="BC161" s="268">
        <f t="shared" si="256"/>
        <v>0</v>
      </c>
      <c r="BD161" s="13">
        <f t="shared" si="257"/>
        <v>0</v>
      </c>
      <c r="BE161" s="13">
        <f>SUMIFS(SALIDAS_BIT,FECHA_BIT,"&gt;="&amp;BE$2,FECHA_BIT,"&lt;="&amp;BE$3,CLAVE_BIT,$A161)+SUMIFS(SALIDAS_BOV1,FECHA_BOV1,"&gt;="&amp;BE$2,FECHA_BOV1,"&lt;="&amp;BE$3,CLAVE_BOV1,$A161)+SUMIFS(SALIDAS_BOV2,FECHA_BOV2,"&gt;="&amp;BE$2,FECHA_BOV2,"&lt;="&amp;BE$3,CLAVE_BOV2,$A161)+SUMIFS(SALIDAS_BOV3,FECHA_BOV3,"&gt;="&amp;BE$2,FECHA_BOV3,"&lt;="&amp;BE$3,CLAVE_BOV3,$A161)+SUMIFS(SALIDAS_TC,FECHA_TC,"&gt;="&amp;BE$2,FECHA_TC,"&lt;="&amp;BE$3,CLAVE_TC,$A161)+SUMIFS(SALIDAS_COMB,FECHA_COMB,"&gt;="&amp;BE$2,FECHA_COMB,"&lt;="&amp;BE$3,CLAVE_COMB,$A161)+SUMIFS(SALIDAS_DES,FECHA_DESGLOSEN,"&gt;="&amp;BE$2,FECHA_DESGLOSEN,"&lt;="&amp;BE$3,CLAVE_DESGLOSE,$A161)</f>
        <v>0</v>
      </c>
      <c r="BF161" s="13">
        <f>SUMIFS(SALIDAS_BIT,FECHA_BIT,"&gt;="&amp;BF$2,FECHA_BIT,"&lt;="&amp;BF$3,CLAVE_BIT,$A161)+SUMIFS(SALIDAS_BOV1,FECHA_BOV1,"&gt;="&amp;BF$2,FECHA_BOV1,"&lt;="&amp;BF$3,CLAVE_BOV1,$A161)+SUMIFS(SALIDAS_BOV2,FECHA_BOV2,"&gt;="&amp;BF$2,FECHA_BOV2,"&lt;="&amp;BF$3,CLAVE_BOV2,$A161)+SUMIFS(SALIDAS_BOV3,FECHA_BOV3,"&gt;="&amp;BF$2,FECHA_BOV3,"&lt;="&amp;BF$3,CLAVE_BOV3,$A161)+SUMIFS(SALIDAS_TC,FECHA_TC,"&gt;="&amp;BF$2,FECHA_TC,"&lt;="&amp;BF$3,CLAVE_TC,$A161)+SUMIFS(SALIDAS_COMB,FECHA_COMB,"&gt;="&amp;BF$2,FECHA_COMB,"&lt;="&amp;BF$3,CLAVE_COMB,$A161)+SUMIFS(SALIDAS_DES,FECHA_DESGLOSEN,"&gt;="&amp;BF$2,FECHA_DESGLOSEN,"&lt;="&amp;BF$3,CLAVE_DESGLOSE,$A161)</f>
        <v>0</v>
      </c>
      <c r="BG161" s="13">
        <f>SUMIFS(SALIDAS_BIT,FECHA_BIT,"&gt;="&amp;BG$2,FECHA_BIT,"&lt;="&amp;BG$3,CLAVE_BIT,$A161)+SUMIFS(SALIDAS_BOV1,FECHA_BOV1,"&gt;="&amp;BG$2,FECHA_BOV1,"&lt;="&amp;BG$3,CLAVE_BOV1,$A161)+SUMIFS(SALIDAS_BOV2,FECHA_BOV2,"&gt;="&amp;BG$2,FECHA_BOV2,"&lt;="&amp;BG$3,CLAVE_BOV2,$A161)+SUMIFS(SALIDAS_BOV3,FECHA_BOV3,"&gt;="&amp;BG$2,FECHA_BOV3,"&lt;="&amp;BG$3,CLAVE_BOV3,$A161)+SUMIFS(SALIDAS_TC,FECHA_TC,"&gt;="&amp;BG$2,FECHA_TC,"&lt;="&amp;BG$3,CLAVE_TC,$A161)+SUMIFS(SALIDAS_COMB,FECHA_COMB,"&gt;="&amp;BG$2,FECHA_COMB,"&lt;="&amp;BG$3,CLAVE_COMB,$A161)+SUMIFS(SALIDAS_DES,FECHA_DESGLOSEN,"&gt;="&amp;BG$2,FECHA_DESGLOSEN,"&lt;="&amp;BG$3,CLAVE_DESGLOSE,$A161)</f>
        <v>0</v>
      </c>
      <c r="BH161" s="13">
        <f>SUMIFS(SALIDAS_BIT,FECHA_BIT,"&gt;="&amp;BH$2,FECHA_BIT,"&lt;="&amp;BH$3,CLAVE_BIT,$A161)+SUMIFS(SALIDAS_BOV1,FECHA_BOV1,"&gt;="&amp;BH$2,FECHA_BOV1,"&lt;="&amp;BH$3,CLAVE_BOV1,$A161)+SUMIFS(SALIDAS_BOV2,FECHA_BOV2,"&gt;="&amp;BH$2,FECHA_BOV2,"&lt;="&amp;BH$3,CLAVE_BOV2,$A161)+SUMIFS(SALIDAS_BOV3,FECHA_BOV3,"&gt;="&amp;BH$2,FECHA_BOV3,"&lt;="&amp;BH$3,CLAVE_BOV3,$A161)+SUMIFS(SALIDAS_TC,FECHA_TC,"&gt;="&amp;BH$2,FECHA_TC,"&lt;="&amp;BH$3,CLAVE_TC,$A161)+SUMIFS(SALIDAS_COMB,FECHA_COMB,"&gt;="&amp;BH$2,FECHA_COMB,"&lt;="&amp;BH$3,CLAVE_COMB,$A161)+SUMIFS(SALIDAS_DES,FECHA_DESGLOSEN,"&gt;="&amp;BH$2,FECHA_DESGLOSEN,"&lt;="&amp;BH$3,CLAVE_DESGLOSE,$A161)</f>
        <v>0</v>
      </c>
      <c r="BI161" s="13">
        <f t="shared" si="215"/>
        <v>0</v>
      </c>
      <c r="BJ161" s="68">
        <f t="shared" si="258"/>
        <v>0</v>
      </c>
      <c r="BK161" s="268">
        <f t="shared" si="259"/>
        <v>0</v>
      </c>
      <c r="BL161" s="13">
        <f t="shared" si="260"/>
        <v>0</v>
      </c>
      <c r="BM161" s="13">
        <f>SUMIFS(SALIDAS_BIT,FECHA_BIT,"&gt;="&amp;BM$2,FECHA_BIT,"&lt;="&amp;BM$3,CLAVE_BIT,$A161)+SUMIFS(SALIDAS_BOV1,FECHA_BOV1,"&gt;="&amp;BM$2,FECHA_BOV1,"&lt;="&amp;BM$3,CLAVE_BOV1,$A161)+SUMIFS(SALIDAS_BOV2,FECHA_BOV2,"&gt;="&amp;BM$2,FECHA_BOV2,"&lt;="&amp;BM$3,CLAVE_BOV2,$A161)+SUMIFS(SALIDAS_BOV3,FECHA_BOV3,"&gt;="&amp;BM$2,FECHA_BOV3,"&lt;="&amp;BM$3,CLAVE_BOV3,$A161)+SUMIFS(SALIDAS_TC,FECHA_TC,"&gt;="&amp;BM$2,FECHA_TC,"&lt;="&amp;BM$3,CLAVE_TC,$A161)+SUMIFS(SALIDAS_COMB,FECHA_COMB,"&gt;="&amp;BM$2,FECHA_COMB,"&lt;="&amp;BM$3,CLAVE_COMB,$A161)+SUMIFS(SALIDAS_DES,FECHA_DESGLOSEN,"&gt;="&amp;BM$2,FECHA_DESGLOSEN,"&lt;="&amp;BM$3,CLAVE_DESGLOSE,$A161)</f>
        <v>0</v>
      </c>
      <c r="BN161" s="13">
        <f>SUMIFS(SALIDAS_BIT,FECHA_BIT,"&gt;="&amp;BN$2,FECHA_BIT,"&lt;="&amp;BN$3,CLAVE_BIT,$A161)+SUMIFS(SALIDAS_BOV1,FECHA_BOV1,"&gt;="&amp;BN$2,FECHA_BOV1,"&lt;="&amp;BN$3,CLAVE_BOV1,$A161)+SUMIFS(SALIDAS_BOV2,FECHA_BOV2,"&gt;="&amp;BN$2,FECHA_BOV2,"&lt;="&amp;BN$3,CLAVE_BOV2,$A161)+SUMIFS(SALIDAS_BOV3,FECHA_BOV3,"&gt;="&amp;BN$2,FECHA_BOV3,"&lt;="&amp;BN$3,CLAVE_BOV3,$A161)+SUMIFS(SALIDAS_TC,FECHA_TC,"&gt;="&amp;BN$2,FECHA_TC,"&lt;="&amp;BN$3,CLAVE_TC,$A161)+SUMIFS(SALIDAS_COMB,FECHA_COMB,"&gt;="&amp;BN$2,FECHA_COMB,"&lt;="&amp;BN$3,CLAVE_COMB,$A161)+SUMIFS(SALIDAS_DES,FECHA_DESGLOSEN,"&gt;="&amp;BN$2,FECHA_DESGLOSEN,"&lt;="&amp;BN$3,CLAVE_DESGLOSE,$A161)</f>
        <v>0</v>
      </c>
      <c r="BO161" s="13">
        <f>SUMIFS(SALIDAS_BIT,FECHA_BIT,"&gt;="&amp;BO$2,FECHA_BIT,"&lt;="&amp;BO$3,CLAVE_BIT,$A161)+SUMIFS(SALIDAS_BOV1,FECHA_BOV1,"&gt;="&amp;BO$2,FECHA_BOV1,"&lt;="&amp;BO$3,CLAVE_BOV1,$A161)+SUMIFS(SALIDAS_BOV2,FECHA_BOV2,"&gt;="&amp;BO$2,FECHA_BOV2,"&lt;="&amp;BO$3,CLAVE_BOV2,$A161)+SUMIFS(SALIDAS_BOV3,FECHA_BOV3,"&gt;="&amp;BO$2,FECHA_BOV3,"&lt;="&amp;BO$3,CLAVE_BOV3,$A161)+SUMIFS(SALIDAS_TC,FECHA_TC,"&gt;="&amp;BO$2,FECHA_TC,"&lt;="&amp;BO$3,CLAVE_TC,$A161)+SUMIFS(SALIDAS_COMB,FECHA_COMB,"&gt;="&amp;BO$2,FECHA_COMB,"&lt;="&amp;BO$3,CLAVE_COMB,$A161)+SUMIFS(SALIDAS_DES,FECHA_DESGLOSEN,"&gt;="&amp;BO$2,FECHA_DESGLOSEN,"&lt;="&amp;BO$3,CLAVE_DESGLOSE,$A161)</f>
        <v>0</v>
      </c>
      <c r="BP161" s="13">
        <f>SUMIFS(SALIDAS_BIT,FECHA_BIT,"&gt;="&amp;BP$2,FECHA_BIT,"&lt;="&amp;BP$3,CLAVE_BIT,$A161)+SUMIFS(SALIDAS_BOV1,FECHA_BOV1,"&gt;="&amp;BP$2,FECHA_BOV1,"&lt;="&amp;BP$3,CLAVE_BOV1,$A161)+SUMIFS(SALIDAS_BOV2,FECHA_BOV2,"&gt;="&amp;BP$2,FECHA_BOV2,"&lt;="&amp;BP$3,CLAVE_BOV2,$A161)+SUMIFS(SALIDAS_BOV3,FECHA_BOV3,"&gt;="&amp;BP$2,FECHA_BOV3,"&lt;="&amp;BP$3,CLAVE_BOV3,$A161)+SUMIFS(SALIDAS_TC,FECHA_TC,"&gt;="&amp;BP$2,FECHA_TC,"&lt;="&amp;BP$3,CLAVE_TC,$A161)+SUMIFS(SALIDAS_COMB,FECHA_COMB,"&gt;="&amp;BP$2,FECHA_COMB,"&lt;="&amp;BP$3,CLAVE_COMB,$A161)+SUMIFS(SALIDAS_DES,FECHA_DESGLOSEN,"&gt;="&amp;BP$2,FECHA_DESGLOSEN,"&lt;="&amp;BP$3,CLAVE_DESGLOSE,$A161)</f>
        <v>0</v>
      </c>
      <c r="BQ161" s="13">
        <f>SUMIFS(SALIDAS_BIT,FECHA_BIT,"&gt;="&amp;BQ$2,FECHA_BIT,"&lt;="&amp;BQ$3,CLAVE_BIT,$A161)+SUMIFS(SALIDAS_BOV1,FECHA_BOV1,"&gt;="&amp;BQ$2,FECHA_BOV1,"&lt;="&amp;BQ$3,CLAVE_BOV1,$A161)+SUMIFS(SALIDAS_BOV2,FECHA_BOV2,"&gt;="&amp;BQ$2,FECHA_BOV2,"&lt;="&amp;BQ$3,CLAVE_BOV2,$A161)+SUMIFS(SALIDAS_BOV3,FECHA_BOV3,"&gt;="&amp;BQ$2,FECHA_BOV3,"&lt;="&amp;BQ$3,CLAVE_BOV3,$A161)+SUMIFS(SALIDAS_TC,FECHA_TC,"&gt;="&amp;BQ$2,FECHA_TC,"&lt;="&amp;BQ$3,CLAVE_TC,$A161)+SUMIFS(SALIDAS_COMB,FECHA_COMB,"&gt;="&amp;BQ$2,FECHA_COMB,"&lt;="&amp;BQ$3,CLAVE_COMB,$A161)+SUMIFS(SALIDAS_DES,FECHA_DESGLOSEN,"&gt;="&amp;BQ$2,FECHA_DESGLOSEN,"&lt;="&amp;BQ$3,CLAVE_DESGLOSE,$A161)</f>
        <v>0</v>
      </c>
      <c r="BR161" s="13">
        <f t="shared" si="298"/>
        <v>0</v>
      </c>
      <c r="BS161" s="68">
        <f t="shared" si="261"/>
        <v>0</v>
      </c>
      <c r="BT161" s="268">
        <f t="shared" si="262"/>
        <v>0</v>
      </c>
      <c r="BU161" s="13">
        <f t="shared" si="263"/>
        <v>0</v>
      </c>
      <c r="BV161" s="13">
        <f t="shared" si="291"/>
        <v>0</v>
      </c>
      <c r="BW161" s="13">
        <f t="shared" si="291"/>
        <v>0</v>
      </c>
      <c r="BX161" s="13">
        <f t="shared" si="291"/>
        <v>0</v>
      </c>
      <c r="BY161" s="13">
        <f t="shared" si="291"/>
        <v>0</v>
      </c>
      <c r="BZ161" s="13">
        <f t="shared" si="299"/>
        <v>0</v>
      </c>
      <c r="CA161" s="68">
        <f t="shared" si="264"/>
        <v>0</v>
      </c>
      <c r="CB161" s="268">
        <f t="shared" si="265"/>
        <v>0</v>
      </c>
      <c r="CC161" s="13">
        <f t="shared" si="266"/>
        <v>0</v>
      </c>
      <c r="CD161" s="13">
        <f t="shared" si="292"/>
        <v>0</v>
      </c>
      <c r="CE161" s="13">
        <f t="shared" si="292"/>
        <v>0</v>
      </c>
      <c r="CF161" s="13">
        <f t="shared" si="292"/>
        <v>1732</v>
      </c>
      <c r="CG161" s="13">
        <f t="shared" si="292"/>
        <v>0</v>
      </c>
      <c r="CH161" s="13">
        <f t="shared" si="300"/>
        <v>1732</v>
      </c>
      <c r="CI161" s="68">
        <f t="shared" si="267"/>
        <v>-1732</v>
      </c>
      <c r="CJ161" s="268">
        <f t="shared" si="268"/>
        <v>0</v>
      </c>
      <c r="CK161" s="13">
        <f t="shared" si="269"/>
        <v>0</v>
      </c>
      <c r="CL161" s="13">
        <f t="shared" si="228"/>
        <v>0</v>
      </c>
      <c r="CM161" s="13">
        <f t="shared" si="228"/>
        <v>0</v>
      </c>
      <c r="CN161" s="13">
        <f t="shared" si="228"/>
        <v>0</v>
      </c>
      <c r="CO161" s="13">
        <f t="shared" si="228"/>
        <v>0</v>
      </c>
      <c r="CP161" s="13">
        <f t="shared" si="228"/>
        <v>0</v>
      </c>
      <c r="CQ161" s="13">
        <f t="shared" si="301"/>
        <v>0</v>
      </c>
      <c r="CR161" s="68">
        <f t="shared" si="270"/>
        <v>0</v>
      </c>
      <c r="CS161" s="268">
        <f t="shared" si="271"/>
        <v>0</v>
      </c>
      <c r="CT161" s="68">
        <f t="shared" si="244"/>
        <v>600</v>
      </c>
      <c r="CU161" s="13">
        <f>SUMIFS(SALIDAS_BIT,FECHA_BIT,"&gt;="&amp;CU$2,FECHA_BIT,"&lt;="&amp;CU$3,CLAVE_BIT,$A161)+SUMIFS(SALIDAS_BOV1,FECHA_BOV1,"&gt;="&amp;CU$2,FECHA_BOV1,"&lt;="&amp;CU$3,CLAVE_BOV1,$A161)+SUMIFS(SALIDAS_BOV2,FECHA_BOV2,"&gt;="&amp;CU$2,FECHA_BOV2,"&lt;="&amp;CU$3,CLAVE_BOV2,$A161)+SUMIFS(SALIDAS_BOV3,FECHA_BOV3,"&gt;="&amp;CU$2,FECHA_BOV3,"&lt;="&amp;CU$3,CLAVE_BOV3,$A161)+SUMIFS(SALIDAS_TC,FECHA_TC,"&gt;="&amp;CU$2,FECHA_TC,"&lt;="&amp;CU$3,CLAVE_TC,$A161)+SUMIFS(SALIDAS_COMB,FECHA_COMB,"&gt;="&amp;CU$2,FECHA_COMB,"&lt;="&amp;CU$3,CLAVE_COMB,$A161)+SUMIFS(SALIDAS_DES,FECHA_DESGLOSEN,"&gt;="&amp;CU$2,FECHA_DESGLOSEN,"&lt;="&amp;CU$3,CLAVE_DESGLOSE,$A161)</f>
        <v>0</v>
      </c>
      <c r="CV161" s="13">
        <f>SUMIFS(SALIDAS_BIT,FECHA_BIT,"&gt;="&amp;CV$2,FECHA_BIT,"&lt;="&amp;CV$3,CLAVE_BIT,$A161)+SUMIFS(SALIDAS_BOV1,FECHA_BOV1,"&gt;="&amp;CV$2,FECHA_BOV1,"&lt;="&amp;CV$3,CLAVE_BOV1,$A161)+SUMIFS(SALIDAS_BOV2,FECHA_BOV2,"&gt;="&amp;CV$2,FECHA_BOV2,"&lt;="&amp;CV$3,CLAVE_BOV2,$A161)+SUMIFS(SALIDAS_BOV3,FECHA_BOV3,"&gt;="&amp;CV$2,FECHA_BOV3,"&lt;="&amp;CV$3,CLAVE_BOV3,$A161)+SUMIFS(SALIDAS_TC,FECHA_TC,"&gt;="&amp;CV$2,FECHA_TC,"&lt;="&amp;CV$3,CLAVE_TC,$A161)+SUMIFS(SALIDAS_COMB,FECHA_COMB,"&gt;="&amp;CV$2,FECHA_COMB,"&lt;="&amp;CV$3,CLAVE_COMB,$A161)+SUMIFS(SALIDAS_DES,FECHA_DESGLOSEN,"&gt;="&amp;CV$2,FECHA_DESGLOSEN,"&lt;="&amp;CV$3,CLAVE_DESGLOSE,$A161)</f>
        <v>1178</v>
      </c>
      <c r="CW161" s="13">
        <f>SUMIFS(SALIDAS_BIT,FECHA_BIT,"&gt;="&amp;CW$2,FECHA_BIT,"&lt;="&amp;CW$3,CLAVE_BIT,$A161)+SUMIFS(SALIDAS_BOV1,FECHA_BOV1,"&gt;="&amp;CW$2,FECHA_BOV1,"&lt;="&amp;CW$3,CLAVE_BOV1,$A161)+SUMIFS(SALIDAS_BOV2,FECHA_BOV2,"&gt;="&amp;CW$2,FECHA_BOV2,"&lt;="&amp;CW$3,CLAVE_BOV2,$A161)+SUMIFS(SALIDAS_BOV3,FECHA_BOV3,"&gt;="&amp;CW$2,FECHA_BOV3,"&lt;="&amp;CW$3,CLAVE_BOV3,$A161)+SUMIFS(SALIDAS_TC,FECHA_TC,"&gt;="&amp;CW$2,FECHA_TC,"&lt;="&amp;CW$3,CLAVE_TC,$A161)+SUMIFS(SALIDAS_COMB,FECHA_COMB,"&gt;="&amp;CW$2,FECHA_COMB,"&lt;="&amp;CW$3,CLAVE_COMB,$A161)+SUMIFS(SALIDAS_DES,FECHA_DESGLOSEN,"&gt;="&amp;CW$2,FECHA_DESGLOSEN,"&lt;="&amp;CW$3,CLAVE_DESGLOSE,$A161)</f>
        <v>0</v>
      </c>
      <c r="CX161" s="13">
        <f>SUMIFS(SALIDAS_BIT,FECHA_BIT,"&gt;="&amp;CX$2,FECHA_BIT,"&lt;="&amp;CX$3,CLAVE_BIT,$A161)+SUMIFS(SALIDAS_BOV1,FECHA_BOV1,"&gt;="&amp;CX$2,FECHA_BOV1,"&lt;="&amp;CX$3,CLAVE_BOV1,$A161)+SUMIFS(SALIDAS_BOV2,FECHA_BOV2,"&gt;="&amp;CX$2,FECHA_BOV2,"&lt;="&amp;CX$3,CLAVE_BOV2,$A161)+SUMIFS(SALIDAS_BOV3,FECHA_BOV3,"&gt;="&amp;CX$2,FECHA_BOV3,"&lt;="&amp;CX$3,CLAVE_BOV3,$A161)+SUMIFS(SALIDAS_TC,FECHA_TC,"&gt;="&amp;CX$2,FECHA_TC,"&lt;="&amp;CX$3,CLAVE_TC,$A161)+SUMIFS(SALIDAS_COMB,FECHA_COMB,"&gt;="&amp;CX$2,FECHA_COMB,"&lt;="&amp;CX$3,CLAVE_COMB,$A161)+SUMIFS(SALIDAS_DES,FECHA_DESGLOSEN,"&gt;="&amp;CX$2,FECHA_DESGLOSEN,"&lt;="&amp;CX$3,CLAVE_DESGLOSE,$A161)</f>
        <v>0</v>
      </c>
      <c r="CY161" s="13">
        <f>SUMIFS(SALIDAS_BIT,FECHA_BIT,"&gt;="&amp;CY$2,FECHA_BIT,"&lt;="&amp;CY$3,CLAVE_BIT,$A161)+SUMIFS(SALIDAS_BOV1,FECHA_BOV1,"&gt;="&amp;CY$2,FECHA_BOV1,"&lt;="&amp;CY$3,CLAVE_BOV1,$A161)+SUMIFS(SALIDAS_BOV2,FECHA_BOV2,"&gt;="&amp;CY$2,FECHA_BOV2,"&lt;="&amp;CY$3,CLAVE_BOV2,$A161)+SUMIFS(SALIDAS_BOV3,FECHA_BOV3,"&gt;="&amp;CY$2,FECHA_BOV3,"&lt;="&amp;CY$3,CLAVE_BOV3,$A161)+SUMIFS(SALIDAS_TC,FECHA_TC,"&gt;="&amp;CY$2,FECHA_TC,"&lt;="&amp;CY$3,CLAVE_TC,$A161)+SUMIFS(SALIDAS_COMB,FECHA_COMB,"&gt;="&amp;CY$2,FECHA_COMB,"&lt;="&amp;CY$3,CLAVE_COMB,$A161)+SUMIFS(SALIDAS_DES,FECHA_DESGLOSEN,"&gt;="&amp;CY$2,FECHA_DESGLOSEN,"&lt;="&amp;CY$3,CLAVE_DESGLOSE,$A161)</f>
        <v>1178</v>
      </c>
      <c r="CZ161" s="68">
        <f t="shared" si="272"/>
        <v>-578</v>
      </c>
      <c r="DB161" s="17">
        <f>F161+N161+W161+AE161+AM161+AV161+BD161+BL161+BU161+CC161+CK161</f>
        <v>0</v>
      </c>
      <c r="DC161" s="17">
        <f>K161+T161+AB161+AJ161+AS161+BA161+BI161+BR161+BZ161+CH161+CQ161</f>
        <v>8201</v>
      </c>
    </row>
    <row r="162" spans="1:107" hidden="1">
      <c r="A162" s="12" t="str">
        <f t="shared" si="245"/>
        <v>CAPJMASE6</v>
      </c>
      <c r="B162" s="12">
        <v>164</v>
      </c>
      <c r="C162" t="s">
        <v>31</v>
      </c>
      <c r="D162" s="12" t="s">
        <v>137</v>
      </c>
      <c r="E162" s="12" t="s">
        <v>112</v>
      </c>
      <c r="F162" s="259">
        <f t="shared" si="238"/>
        <v>0</v>
      </c>
      <c r="G162" s="13">
        <f t="shared" si="293"/>
        <v>0</v>
      </c>
      <c r="H162" s="13">
        <f t="shared" si="293"/>
        <v>732</v>
      </c>
      <c r="I162" s="13">
        <f t="shared" si="293"/>
        <v>0</v>
      </c>
      <c r="J162" s="13">
        <f t="shared" si="293"/>
        <v>0</v>
      </c>
      <c r="K162" s="13">
        <f t="shared" si="293"/>
        <v>732</v>
      </c>
      <c r="L162" s="68">
        <f t="shared" si="246"/>
        <v>-732</v>
      </c>
      <c r="M162" s="268">
        <f t="shared" si="247"/>
        <v>0</v>
      </c>
      <c r="N162" s="13">
        <f t="shared" si="239"/>
        <v>0</v>
      </c>
      <c r="O162" s="13">
        <f t="shared" si="294"/>
        <v>0</v>
      </c>
      <c r="P162" s="13">
        <f t="shared" si="294"/>
        <v>770</v>
      </c>
      <c r="Q162" s="13">
        <f t="shared" si="294"/>
        <v>0</v>
      </c>
      <c r="R162" s="13">
        <f t="shared" si="294"/>
        <v>0</v>
      </c>
      <c r="S162" s="13">
        <f t="shared" si="294"/>
        <v>0</v>
      </c>
      <c r="T162" s="13">
        <f t="shared" si="294"/>
        <v>770</v>
      </c>
      <c r="U162" s="68">
        <f t="shared" si="248"/>
        <v>-770</v>
      </c>
      <c r="V162" s="268">
        <f t="shared" si="249"/>
        <v>0</v>
      </c>
      <c r="W162" s="13">
        <f t="shared" si="240"/>
        <v>1785</v>
      </c>
      <c r="X162" s="13">
        <f t="shared" si="295"/>
        <v>0</v>
      </c>
      <c r="Y162" s="13">
        <f t="shared" si="295"/>
        <v>0</v>
      </c>
      <c r="Z162" s="13">
        <f t="shared" si="295"/>
        <v>0</v>
      </c>
      <c r="AA162" s="13">
        <f t="shared" si="295"/>
        <v>0</v>
      </c>
      <c r="AB162" s="13">
        <f t="shared" si="295"/>
        <v>0</v>
      </c>
      <c r="AC162" s="68">
        <f t="shared" si="250"/>
        <v>1785</v>
      </c>
      <c r="AD162" s="268">
        <f t="shared" si="251"/>
        <v>0</v>
      </c>
      <c r="AE162" s="13">
        <f t="shared" si="241"/>
        <v>186</v>
      </c>
      <c r="AF162" s="13">
        <f t="shared" si="296"/>
        <v>0</v>
      </c>
      <c r="AG162" s="13">
        <f t="shared" si="296"/>
        <v>0</v>
      </c>
      <c r="AH162" s="13">
        <f t="shared" si="296"/>
        <v>88</v>
      </c>
      <c r="AI162" s="13">
        <f t="shared" si="296"/>
        <v>0</v>
      </c>
      <c r="AJ162" s="13">
        <f t="shared" si="296"/>
        <v>88</v>
      </c>
      <c r="AK162" s="68">
        <f t="shared" si="252"/>
        <v>98</v>
      </c>
      <c r="AL162" s="268">
        <f t="shared" si="253"/>
        <v>0.4731182795698925</v>
      </c>
      <c r="AM162" s="13">
        <f t="shared" si="242"/>
        <v>0</v>
      </c>
      <c r="AN162" s="13">
        <f t="shared" si="297"/>
        <v>0</v>
      </c>
      <c r="AO162" s="13">
        <f t="shared" si="297"/>
        <v>0</v>
      </c>
      <c r="AP162" s="13">
        <f t="shared" si="297"/>
        <v>0</v>
      </c>
      <c r="AQ162" s="13">
        <f t="shared" si="297"/>
        <v>87.5</v>
      </c>
      <c r="AR162" s="13">
        <f t="shared" si="297"/>
        <v>0</v>
      </c>
      <c r="AS162" s="13">
        <f t="shared" si="297"/>
        <v>87.5</v>
      </c>
      <c r="AT162" s="68">
        <f>AM162-AS162</f>
        <v>-87.5</v>
      </c>
      <c r="AU162" s="268">
        <f t="shared" si="254"/>
        <v>0</v>
      </c>
      <c r="AV162" s="13">
        <f t="shared" si="243"/>
        <v>0</v>
      </c>
      <c r="AW162" s="13">
        <f t="shared" si="222"/>
        <v>0</v>
      </c>
      <c r="AX162" s="13">
        <f t="shared" si="222"/>
        <v>0</v>
      </c>
      <c r="AY162" s="13">
        <f t="shared" si="222"/>
        <v>0</v>
      </c>
      <c r="AZ162" s="13">
        <f t="shared" si="222"/>
        <v>0</v>
      </c>
      <c r="BA162" s="13">
        <f t="shared" si="223"/>
        <v>0</v>
      </c>
      <c r="BB162" s="68">
        <f t="shared" si="255"/>
        <v>0</v>
      </c>
      <c r="BC162" s="268">
        <f t="shared" si="256"/>
        <v>0</v>
      </c>
      <c r="BD162" s="13">
        <f t="shared" si="257"/>
        <v>5136</v>
      </c>
      <c r="BE162" s="13">
        <f>SUMIFS(SALIDAS_BIT,FECHA_BIT,"&gt;="&amp;BE$2,FECHA_BIT,"&lt;="&amp;BE$3,CLAVE_BIT,$A162)+SUMIFS(SALIDAS_BOV1,FECHA_BOV1,"&gt;="&amp;BE$2,FECHA_BOV1,"&lt;="&amp;BE$3,CLAVE_BOV1,$A162)+SUMIFS(SALIDAS_BOV2,FECHA_BOV2,"&gt;="&amp;BE$2,FECHA_BOV2,"&lt;="&amp;BE$3,CLAVE_BOV2,$A162)+SUMIFS(SALIDAS_BOV3,FECHA_BOV3,"&gt;="&amp;BE$2,FECHA_BOV3,"&lt;="&amp;BE$3,CLAVE_BOV3,$A162)+SUMIFS(SALIDAS_TC,FECHA_TC,"&gt;="&amp;BE$2,FECHA_TC,"&lt;="&amp;BE$3,CLAVE_TC,$A162)+SUMIFS(SALIDAS_COMB,FECHA_COMB,"&gt;="&amp;BE$2,FECHA_COMB,"&lt;="&amp;BE$3,CLAVE_COMB,$A162)+SUMIFS(SALIDAS_DES,FECHA_DESGLOSEN,"&gt;="&amp;BE$2,FECHA_DESGLOSEN,"&lt;="&amp;BE$3,CLAVE_DESGLOSE,$A162)</f>
        <v>0</v>
      </c>
      <c r="BF162" s="13">
        <f>SUMIFS(SALIDAS_BIT,FECHA_BIT,"&gt;="&amp;BF$2,FECHA_BIT,"&lt;="&amp;BF$3,CLAVE_BIT,$A162)+SUMIFS(SALIDAS_BOV1,FECHA_BOV1,"&gt;="&amp;BF$2,FECHA_BOV1,"&lt;="&amp;BF$3,CLAVE_BOV1,$A162)+SUMIFS(SALIDAS_BOV2,FECHA_BOV2,"&gt;="&amp;BF$2,FECHA_BOV2,"&lt;="&amp;BF$3,CLAVE_BOV2,$A162)+SUMIFS(SALIDAS_BOV3,FECHA_BOV3,"&gt;="&amp;BF$2,FECHA_BOV3,"&lt;="&amp;BF$3,CLAVE_BOV3,$A162)+SUMIFS(SALIDAS_TC,FECHA_TC,"&gt;="&amp;BF$2,FECHA_TC,"&lt;="&amp;BF$3,CLAVE_TC,$A162)+SUMIFS(SALIDAS_COMB,FECHA_COMB,"&gt;="&amp;BF$2,FECHA_COMB,"&lt;="&amp;BF$3,CLAVE_COMB,$A162)+SUMIFS(SALIDAS_DES,FECHA_DESGLOSEN,"&gt;="&amp;BF$2,FECHA_DESGLOSEN,"&lt;="&amp;BF$3,CLAVE_DESGLOSE,$A162)</f>
        <v>0</v>
      </c>
      <c r="BG162" s="13">
        <f>SUMIFS(SALIDAS_BIT,FECHA_BIT,"&gt;="&amp;BG$2,FECHA_BIT,"&lt;="&amp;BG$3,CLAVE_BIT,$A162)+SUMIFS(SALIDAS_BOV1,FECHA_BOV1,"&gt;="&amp;BG$2,FECHA_BOV1,"&lt;="&amp;BG$3,CLAVE_BOV1,$A162)+SUMIFS(SALIDAS_BOV2,FECHA_BOV2,"&gt;="&amp;BG$2,FECHA_BOV2,"&lt;="&amp;BG$3,CLAVE_BOV2,$A162)+SUMIFS(SALIDAS_BOV3,FECHA_BOV3,"&gt;="&amp;BG$2,FECHA_BOV3,"&lt;="&amp;BG$3,CLAVE_BOV3,$A162)+SUMIFS(SALIDAS_TC,FECHA_TC,"&gt;="&amp;BG$2,FECHA_TC,"&lt;="&amp;BG$3,CLAVE_TC,$A162)+SUMIFS(SALIDAS_COMB,FECHA_COMB,"&gt;="&amp;BG$2,FECHA_COMB,"&lt;="&amp;BG$3,CLAVE_COMB,$A162)+SUMIFS(SALIDAS_DES,FECHA_DESGLOSEN,"&gt;="&amp;BG$2,FECHA_DESGLOSEN,"&lt;="&amp;BG$3,CLAVE_DESGLOSE,$A162)</f>
        <v>257</v>
      </c>
      <c r="BH162" s="13">
        <f>SUMIFS(SALIDAS_BIT,FECHA_BIT,"&gt;="&amp;BH$2,FECHA_BIT,"&lt;="&amp;BH$3,CLAVE_BIT,$A162)+SUMIFS(SALIDAS_BOV1,FECHA_BOV1,"&gt;="&amp;BH$2,FECHA_BOV1,"&lt;="&amp;BH$3,CLAVE_BOV1,$A162)+SUMIFS(SALIDAS_BOV2,FECHA_BOV2,"&gt;="&amp;BH$2,FECHA_BOV2,"&lt;="&amp;BH$3,CLAVE_BOV2,$A162)+SUMIFS(SALIDAS_BOV3,FECHA_BOV3,"&gt;="&amp;BH$2,FECHA_BOV3,"&lt;="&amp;BH$3,CLAVE_BOV3,$A162)+SUMIFS(SALIDAS_TC,FECHA_TC,"&gt;="&amp;BH$2,FECHA_TC,"&lt;="&amp;BH$3,CLAVE_TC,$A162)+SUMIFS(SALIDAS_COMB,FECHA_COMB,"&gt;="&amp;BH$2,FECHA_COMB,"&lt;="&amp;BH$3,CLAVE_COMB,$A162)+SUMIFS(SALIDAS_DES,FECHA_DESGLOSEN,"&gt;="&amp;BH$2,FECHA_DESGLOSEN,"&lt;="&amp;BH$3,CLAVE_DESGLOSE,$A162)</f>
        <v>0</v>
      </c>
      <c r="BI162" s="13">
        <f t="shared" si="215"/>
        <v>257</v>
      </c>
      <c r="BJ162" s="68">
        <f t="shared" si="258"/>
        <v>4879</v>
      </c>
      <c r="BK162" s="268">
        <f t="shared" si="259"/>
        <v>5.0038940809968846E-2</v>
      </c>
      <c r="BL162" s="13">
        <f t="shared" si="260"/>
        <v>0</v>
      </c>
      <c r="BM162" s="13">
        <f>SUMIFS(SALIDAS_BIT,FECHA_BIT,"&gt;="&amp;BM$2,FECHA_BIT,"&lt;="&amp;BM$3,CLAVE_BIT,$A162)+SUMIFS(SALIDAS_BOV1,FECHA_BOV1,"&gt;="&amp;BM$2,FECHA_BOV1,"&lt;="&amp;BM$3,CLAVE_BOV1,$A162)+SUMIFS(SALIDAS_BOV2,FECHA_BOV2,"&gt;="&amp;BM$2,FECHA_BOV2,"&lt;="&amp;BM$3,CLAVE_BOV2,$A162)+SUMIFS(SALIDAS_BOV3,FECHA_BOV3,"&gt;="&amp;BM$2,FECHA_BOV3,"&lt;="&amp;BM$3,CLAVE_BOV3,$A162)+SUMIFS(SALIDAS_TC,FECHA_TC,"&gt;="&amp;BM$2,FECHA_TC,"&lt;="&amp;BM$3,CLAVE_TC,$A162)+SUMIFS(SALIDAS_COMB,FECHA_COMB,"&gt;="&amp;BM$2,FECHA_COMB,"&lt;="&amp;BM$3,CLAVE_COMB,$A162)+SUMIFS(SALIDAS_DES,FECHA_DESGLOSEN,"&gt;="&amp;BM$2,FECHA_DESGLOSEN,"&lt;="&amp;BM$3,CLAVE_DESGLOSE,$A162)</f>
        <v>0</v>
      </c>
      <c r="BN162" s="13">
        <f>SUMIFS(SALIDAS_BIT,FECHA_BIT,"&gt;="&amp;BN$2,FECHA_BIT,"&lt;="&amp;BN$3,CLAVE_BIT,$A162)+SUMIFS(SALIDAS_BOV1,FECHA_BOV1,"&gt;="&amp;BN$2,FECHA_BOV1,"&lt;="&amp;BN$3,CLAVE_BOV1,$A162)+SUMIFS(SALIDAS_BOV2,FECHA_BOV2,"&gt;="&amp;BN$2,FECHA_BOV2,"&lt;="&amp;BN$3,CLAVE_BOV2,$A162)+SUMIFS(SALIDAS_BOV3,FECHA_BOV3,"&gt;="&amp;BN$2,FECHA_BOV3,"&lt;="&amp;BN$3,CLAVE_BOV3,$A162)+SUMIFS(SALIDAS_TC,FECHA_TC,"&gt;="&amp;BN$2,FECHA_TC,"&lt;="&amp;BN$3,CLAVE_TC,$A162)+SUMIFS(SALIDAS_COMB,FECHA_COMB,"&gt;="&amp;BN$2,FECHA_COMB,"&lt;="&amp;BN$3,CLAVE_COMB,$A162)+SUMIFS(SALIDAS_DES,FECHA_DESGLOSEN,"&gt;="&amp;BN$2,FECHA_DESGLOSEN,"&lt;="&amp;BN$3,CLAVE_DESGLOSE,$A162)</f>
        <v>0</v>
      </c>
      <c r="BO162" s="13">
        <f>SUMIFS(SALIDAS_BIT,FECHA_BIT,"&gt;="&amp;BO$2,FECHA_BIT,"&lt;="&amp;BO$3,CLAVE_BIT,$A162)+SUMIFS(SALIDAS_BOV1,FECHA_BOV1,"&gt;="&amp;BO$2,FECHA_BOV1,"&lt;="&amp;BO$3,CLAVE_BOV1,$A162)+SUMIFS(SALIDAS_BOV2,FECHA_BOV2,"&gt;="&amp;BO$2,FECHA_BOV2,"&lt;="&amp;BO$3,CLAVE_BOV2,$A162)+SUMIFS(SALIDAS_BOV3,FECHA_BOV3,"&gt;="&amp;BO$2,FECHA_BOV3,"&lt;="&amp;BO$3,CLAVE_BOV3,$A162)+SUMIFS(SALIDAS_TC,FECHA_TC,"&gt;="&amp;BO$2,FECHA_TC,"&lt;="&amp;BO$3,CLAVE_TC,$A162)+SUMIFS(SALIDAS_COMB,FECHA_COMB,"&gt;="&amp;BO$2,FECHA_COMB,"&lt;="&amp;BO$3,CLAVE_COMB,$A162)+SUMIFS(SALIDAS_DES,FECHA_DESGLOSEN,"&gt;="&amp;BO$2,FECHA_DESGLOSEN,"&lt;="&amp;BO$3,CLAVE_DESGLOSE,$A162)</f>
        <v>0</v>
      </c>
      <c r="BP162" s="13">
        <f>SUMIFS(SALIDAS_BIT,FECHA_BIT,"&gt;="&amp;BP$2,FECHA_BIT,"&lt;="&amp;BP$3,CLAVE_BIT,$A162)+SUMIFS(SALIDAS_BOV1,FECHA_BOV1,"&gt;="&amp;BP$2,FECHA_BOV1,"&lt;="&amp;BP$3,CLAVE_BOV1,$A162)+SUMIFS(SALIDAS_BOV2,FECHA_BOV2,"&gt;="&amp;BP$2,FECHA_BOV2,"&lt;="&amp;BP$3,CLAVE_BOV2,$A162)+SUMIFS(SALIDAS_BOV3,FECHA_BOV3,"&gt;="&amp;BP$2,FECHA_BOV3,"&lt;="&amp;BP$3,CLAVE_BOV3,$A162)+SUMIFS(SALIDAS_TC,FECHA_TC,"&gt;="&amp;BP$2,FECHA_TC,"&lt;="&amp;BP$3,CLAVE_TC,$A162)+SUMIFS(SALIDAS_COMB,FECHA_COMB,"&gt;="&amp;BP$2,FECHA_COMB,"&lt;="&amp;BP$3,CLAVE_COMB,$A162)+SUMIFS(SALIDAS_DES,FECHA_DESGLOSEN,"&gt;="&amp;BP$2,FECHA_DESGLOSEN,"&lt;="&amp;BP$3,CLAVE_DESGLOSE,$A162)</f>
        <v>257</v>
      </c>
      <c r="BQ162" s="13">
        <f>SUMIFS(SALIDAS_BIT,FECHA_BIT,"&gt;="&amp;BQ$2,FECHA_BIT,"&lt;="&amp;BQ$3,CLAVE_BIT,$A162)+SUMIFS(SALIDAS_BOV1,FECHA_BOV1,"&gt;="&amp;BQ$2,FECHA_BOV1,"&lt;="&amp;BQ$3,CLAVE_BOV1,$A162)+SUMIFS(SALIDAS_BOV2,FECHA_BOV2,"&gt;="&amp;BQ$2,FECHA_BOV2,"&lt;="&amp;BQ$3,CLAVE_BOV2,$A162)+SUMIFS(SALIDAS_BOV3,FECHA_BOV3,"&gt;="&amp;BQ$2,FECHA_BOV3,"&lt;="&amp;BQ$3,CLAVE_BOV3,$A162)+SUMIFS(SALIDAS_TC,FECHA_TC,"&gt;="&amp;BQ$2,FECHA_TC,"&lt;="&amp;BQ$3,CLAVE_TC,$A162)+SUMIFS(SALIDAS_COMB,FECHA_COMB,"&gt;="&amp;BQ$2,FECHA_COMB,"&lt;="&amp;BQ$3,CLAVE_COMB,$A162)+SUMIFS(SALIDAS_DES,FECHA_DESGLOSEN,"&gt;="&amp;BQ$2,FECHA_DESGLOSEN,"&lt;="&amp;BQ$3,CLAVE_DESGLOSE,$A162)</f>
        <v>0</v>
      </c>
      <c r="BR162" s="13">
        <f t="shared" si="298"/>
        <v>257</v>
      </c>
      <c r="BS162" s="68">
        <f t="shared" si="261"/>
        <v>-257</v>
      </c>
      <c r="BT162" s="268">
        <f t="shared" si="262"/>
        <v>0</v>
      </c>
      <c r="BU162" s="13">
        <f t="shared" si="263"/>
        <v>348</v>
      </c>
      <c r="BV162" s="13">
        <f t="shared" si="291"/>
        <v>2305</v>
      </c>
      <c r="BW162" s="13">
        <f t="shared" si="291"/>
        <v>0</v>
      </c>
      <c r="BX162" s="13">
        <f t="shared" si="291"/>
        <v>257</v>
      </c>
      <c r="BY162" s="13">
        <f t="shared" si="291"/>
        <v>0</v>
      </c>
      <c r="BZ162" s="13">
        <f t="shared" si="299"/>
        <v>2562</v>
      </c>
      <c r="CA162" s="68">
        <f t="shared" si="264"/>
        <v>-2214</v>
      </c>
      <c r="CB162" s="268">
        <f t="shared" si="265"/>
        <v>7.3620689655172411</v>
      </c>
      <c r="CC162" s="13">
        <f t="shared" si="266"/>
        <v>348</v>
      </c>
      <c r="CD162" s="13">
        <f t="shared" si="292"/>
        <v>0</v>
      </c>
      <c r="CE162" s="13">
        <f t="shared" si="292"/>
        <v>0</v>
      </c>
      <c r="CF162" s="13">
        <f t="shared" si="292"/>
        <v>257</v>
      </c>
      <c r="CG162" s="13">
        <f t="shared" si="292"/>
        <v>0</v>
      </c>
      <c r="CH162" s="13">
        <f t="shared" si="300"/>
        <v>257</v>
      </c>
      <c r="CI162" s="68">
        <f t="shared" si="267"/>
        <v>91</v>
      </c>
      <c r="CJ162" s="268">
        <f t="shared" si="268"/>
        <v>0.7385057471264368</v>
      </c>
      <c r="CK162" s="13">
        <f t="shared" si="269"/>
        <v>348</v>
      </c>
      <c r="CL162" s="13">
        <f t="shared" si="228"/>
        <v>0</v>
      </c>
      <c r="CM162" s="13">
        <f t="shared" si="228"/>
        <v>0</v>
      </c>
      <c r="CN162" s="13">
        <f t="shared" si="228"/>
        <v>277</v>
      </c>
      <c r="CO162" s="13">
        <f t="shared" si="228"/>
        <v>387</v>
      </c>
      <c r="CP162" s="13">
        <f t="shared" si="228"/>
        <v>0</v>
      </c>
      <c r="CQ162" s="13">
        <f t="shared" si="301"/>
        <v>664</v>
      </c>
      <c r="CR162" s="68">
        <f t="shared" si="270"/>
        <v>-316</v>
      </c>
      <c r="CS162" s="268">
        <f t="shared" si="271"/>
        <v>1.9080459770114941</v>
      </c>
      <c r="CT162" s="68">
        <f t="shared" si="244"/>
        <v>400</v>
      </c>
      <c r="CU162" s="13">
        <f>SUMIFS(SALIDAS_BIT,FECHA_BIT,"&gt;="&amp;CU$2,FECHA_BIT,"&lt;="&amp;CU$3,CLAVE_BIT,$A162)+SUMIFS(SALIDAS_BOV1,FECHA_BOV1,"&gt;="&amp;CU$2,FECHA_BOV1,"&lt;="&amp;CU$3,CLAVE_BOV1,$A162)+SUMIFS(SALIDAS_BOV2,FECHA_BOV2,"&gt;="&amp;CU$2,FECHA_BOV2,"&lt;="&amp;CU$3,CLAVE_BOV2,$A162)+SUMIFS(SALIDAS_BOV3,FECHA_BOV3,"&gt;="&amp;CU$2,FECHA_BOV3,"&lt;="&amp;CU$3,CLAVE_BOV3,$A162)+SUMIFS(SALIDAS_TC,FECHA_TC,"&gt;="&amp;CU$2,FECHA_TC,"&lt;="&amp;CU$3,CLAVE_TC,$A162)+SUMIFS(SALIDAS_COMB,FECHA_COMB,"&gt;="&amp;CU$2,FECHA_COMB,"&lt;="&amp;CU$3,CLAVE_COMB,$A162)+SUMIFS(SALIDAS_DES,FECHA_DESGLOSEN,"&gt;="&amp;CU$2,FECHA_DESGLOSEN,"&lt;="&amp;CU$3,CLAVE_DESGLOSE,$A162)</f>
        <v>0</v>
      </c>
      <c r="CV162" s="13">
        <f>SUMIFS(SALIDAS_BIT,FECHA_BIT,"&gt;="&amp;CV$2,FECHA_BIT,"&lt;="&amp;CV$3,CLAVE_BIT,$A162)+SUMIFS(SALIDAS_BOV1,FECHA_BOV1,"&gt;="&amp;CV$2,FECHA_BOV1,"&lt;="&amp;CV$3,CLAVE_BOV1,$A162)+SUMIFS(SALIDAS_BOV2,FECHA_BOV2,"&gt;="&amp;CV$2,FECHA_BOV2,"&lt;="&amp;CV$3,CLAVE_BOV2,$A162)+SUMIFS(SALIDAS_BOV3,FECHA_BOV3,"&gt;="&amp;CV$2,FECHA_BOV3,"&lt;="&amp;CV$3,CLAVE_BOV3,$A162)+SUMIFS(SALIDAS_TC,FECHA_TC,"&gt;="&amp;CV$2,FECHA_TC,"&lt;="&amp;CV$3,CLAVE_TC,$A162)+SUMIFS(SALIDAS_COMB,FECHA_COMB,"&gt;="&amp;CV$2,FECHA_COMB,"&lt;="&amp;CV$3,CLAVE_COMB,$A162)+SUMIFS(SALIDAS_DES,FECHA_DESGLOSEN,"&gt;="&amp;CV$2,FECHA_DESGLOSEN,"&lt;="&amp;CV$3,CLAVE_DESGLOSE,$A162)</f>
        <v>0</v>
      </c>
      <c r="CW162" s="13">
        <f>SUMIFS(SALIDAS_BIT,FECHA_BIT,"&gt;="&amp;CW$2,FECHA_BIT,"&lt;="&amp;CW$3,CLAVE_BIT,$A162)+SUMIFS(SALIDAS_BOV1,FECHA_BOV1,"&gt;="&amp;CW$2,FECHA_BOV1,"&lt;="&amp;CW$3,CLAVE_BOV1,$A162)+SUMIFS(SALIDAS_BOV2,FECHA_BOV2,"&gt;="&amp;CW$2,FECHA_BOV2,"&lt;="&amp;CW$3,CLAVE_BOV2,$A162)+SUMIFS(SALIDAS_BOV3,FECHA_BOV3,"&gt;="&amp;CW$2,FECHA_BOV3,"&lt;="&amp;CW$3,CLAVE_BOV3,$A162)+SUMIFS(SALIDAS_TC,FECHA_TC,"&gt;="&amp;CW$2,FECHA_TC,"&lt;="&amp;CW$3,CLAVE_TC,$A162)+SUMIFS(SALIDAS_COMB,FECHA_COMB,"&gt;="&amp;CW$2,FECHA_COMB,"&lt;="&amp;CW$3,CLAVE_COMB,$A162)+SUMIFS(SALIDAS_DES,FECHA_DESGLOSEN,"&gt;="&amp;CW$2,FECHA_DESGLOSEN,"&lt;="&amp;CW$3,CLAVE_DESGLOSE,$A162)</f>
        <v>100</v>
      </c>
      <c r="CX162" s="13">
        <f>SUMIFS(SALIDAS_BIT,FECHA_BIT,"&gt;="&amp;CX$2,FECHA_BIT,"&lt;="&amp;CX$3,CLAVE_BIT,$A162)+SUMIFS(SALIDAS_BOV1,FECHA_BOV1,"&gt;="&amp;CX$2,FECHA_BOV1,"&lt;="&amp;CX$3,CLAVE_BOV1,$A162)+SUMIFS(SALIDAS_BOV2,FECHA_BOV2,"&gt;="&amp;CX$2,FECHA_BOV2,"&lt;="&amp;CX$3,CLAVE_BOV2,$A162)+SUMIFS(SALIDAS_BOV3,FECHA_BOV3,"&gt;="&amp;CX$2,FECHA_BOV3,"&lt;="&amp;CX$3,CLAVE_BOV3,$A162)+SUMIFS(SALIDAS_TC,FECHA_TC,"&gt;="&amp;CX$2,FECHA_TC,"&lt;="&amp;CX$3,CLAVE_TC,$A162)+SUMIFS(SALIDAS_COMB,FECHA_COMB,"&gt;="&amp;CX$2,FECHA_COMB,"&lt;="&amp;CX$3,CLAVE_COMB,$A162)+SUMIFS(SALIDAS_DES,FECHA_DESGLOSEN,"&gt;="&amp;CX$2,FECHA_DESGLOSEN,"&lt;="&amp;CX$3,CLAVE_DESGLOSE,$A162)</f>
        <v>0</v>
      </c>
      <c r="CY162" s="13">
        <f>SUMIFS(SALIDAS_BIT,FECHA_BIT,"&gt;="&amp;CY$2,FECHA_BIT,"&lt;="&amp;CY$3,CLAVE_BIT,$A162)+SUMIFS(SALIDAS_BOV1,FECHA_BOV1,"&gt;="&amp;CY$2,FECHA_BOV1,"&lt;="&amp;CY$3,CLAVE_BOV1,$A162)+SUMIFS(SALIDAS_BOV2,FECHA_BOV2,"&gt;="&amp;CY$2,FECHA_BOV2,"&lt;="&amp;CY$3,CLAVE_BOV2,$A162)+SUMIFS(SALIDAS_BOV3,FECHA_BOV3,"&gt;="&amp;CY$2,FECHA_BOV3,"&lt;="&amp;CY$3,CLAVE_BOV3,$A162)+SUMIFS(SALIDAS_TC,FECHA_TC,"&gt;="&amp;CY$2,FECHA_TC,"&lt;="&amp;CY$3,CLAVE_TC,$A162)+SUMIFS(SALIDAS_COMB,FECHA_COMB,"&gt;="&amp;CY$2,FECHA_COMB,"&lt;="&amp;CY$3,CLAVE_COMB,$A162)+SUMIFS(SALIDAS_DES,FECHA_DESGLOSEN,"&gt;="&amp;CY$2,FECHA_DESGLOSEN,"&lt;="&amp;CY$3,CLAVE_DESGLOSE,$A162)</f>
        <v>100</v>
      </c>
      <c r="CZ162" s="68">
        <f t="shared" si="272"/>
        <v>300</v>
      </c>
      <c r="DB162" s="17">
        <f>F162+N162+W162+AE162+AM162+AV162+BD162+BL162+BU162+CC162+CK162</f>
        <v>8151</v>
      </c>
      <c r="DC162" s="17">
        <f>K162+T162+AB162+AJ162+AS162+BA162+BI162+BR162+BZ162+CH162+CQ162</f>
        <v>5674.5</v>
      </c>
    </row>
    <row r="163" spans="1:107" hidden="1">
      <c r="A163" s="12" t="str">
        <f t="shared" si="245"/>
        <v>CAPJMASE7</v>
      </c>
      <c r="B163" s="12">
        <v>165</v>
      </c>
      <c r="C163" t="s">
        <v>31</v>
      </c>
      <c r="D163" s="12" t="s">
        <v>137</v>
      </c>
      <c r="E163" s="12" t="s">
        <v>113</v>
      </c>
      <c r="F163" s="259">
        <f t="shared" si="238"/>
        <v>0</v>
      </c>
      <c r="G163" s="13">
        <f t="shared" si="293"/>
        <v>0</v>
      </c>
      <c r="H163" s="13">
        <f t="shared" si="293"/>
        <v>0</v>
      </c>
      <c r="I163" s="13">
        <f t="shared" si="293"/>
        <v>0</v>
      </c>
      <c r="J163" s="13">
        <f t="shared" si="293"/>
        <v>0</v>
      </c>
      <c r="K163" s="13">
        <f t="shared" si="293"/>
        <v>0</v>
      </c>
      <c r="L163" s="68">
        <f t="shared" si="246"/>
        <v>0</v>
      </c>
      <c r="M163" s="268">
        <f t="shared" si="247"/>
        <v>0</v>
      </c>
      <c r="N163" s="13">
        <f t="shared" si="239"/>
        <v>0</v>
      </c>
      <c r="O163" s="13">
        <f t="shared" si="294"/>
        <v>0</v>
      </c>
      <c r="P163" s="13">
        <f t="shared" si="294"/>
        <v>0</v>
      </c>
      <c r="Q163" s="13">
        <f t="shared" si="294"/>
        <v>0</v>
      </c>
      <c r="R163" s="13">
        <f t="shared" si="294"/>
        <v>0</v>
      </c>
      <c r="S163" s="13">
        <f t="shared" si="294"/>
        <v>0</v>
      </c>
      <c r="T163" s="13">
        <f t="shared" si="294"/>
        <v>0</v>
      </c>
      <c r="U163" s="68">
        <f t="shared" si="248"/>
        <v>0</v>
      </c>
      <c r="V163" s="268">
        <f t="shared" si="249"/>
        <v>0</v>
      </c>
      <c r="W163" s="13">
        <f t="shared" si="240"/>
        <v>0</v>
      </c>
      <c r="X163" s="13">
        <f t="shared" si="295"/>
        <v>0</v>
      </c>
      <c r="Y163" s="13">
        <f t="shared" si="295"/>
        <v>0</v>
      </c>
      <c r="Z163" s="13">
        <f t="shared" si="295"/>
        <v>0</v>
      </c>
      <c r="AA163" s="13">
        <f t="shared" si="295"/>
        <v>0</v>
      </c>
      <c r="AB163" s="13">
        <f t="shared" si="295"/>
        <v>0</v>
      </c>
      <c r="AC163" s="68">
        <f t="shared" si="250"/>
        <v>0</v>
      </c>
      <c r="AD163" s="268">
        <f t="shared" si="251"/>
        <v>0</v>
      </c>
      <c r="AE163" s="13">
        <f t="shared" si="241"/>
        <v>0</v>
      </c>
      <c r="AF163" s="13">
        <f t="shared" si="296"/>
        <v>0</v>
      </c>
      <c r="AG163" s="13">
        <f t="shared" si="296"/>
        <v>0</v>
      </c>
      <c r="AH163" s="13">
        <f t="shared" si="296"/>
        <v>0</v>
      </c>
      <c r="AI163" s="13">
        <f t="shared" si="296"/>
        <v>0</v>
      </c>
      <c r="AJ163" s="13">
        <f t="shared" si="296"/>
        <v>0</v>
      </c>
      <c r="AK163" s="68">
        <f t="shared" si="252"/>
        <v>0</v>
      </c>
      <c r="AL163" s="268">
        <f t="shared" si="253"/>
        <v>0</v>
      </c>
      <c r="AM163" s="13">
        <f t="shared" si="242"/>
        <v>0</v>
      </c>
      <c r="AN163" s="13">
        <f t="shared" si="297"/>
        <v>0</v>
      </c>
      <c r="AO163" s="13">
        <f t="shared" si="297"/>
        <v>0</v>
      </c>
      <c r="AP163" s="13">
        <f t="shared" si="297"/>
        <v>0</v>
      </c>
      <c r="AQ163" s="13">
        <f t="shared" si="297"/>
        <v>0</v>
      </c>
      <c r="AR163" s="13">
        <f t="shared" si="297"/>
        <v>0</v>
      </c>
      <c r="AS163" s="13">
        <f t="shared" si="297"/>
        <v>0</v>
      </c>
      <c r="AT163" s="68">
        <f>AM163-AS163</f>
        <v>0</v>
      </c>
      <c r="AU163" s="268">
        <f t="shared" si="254"/>
        <v>0</v>
      </c>
      <c r="AV163" s="13">
        <f t="shared" si="243"/>
        <v>0</v>
      </c>
      <c r="AW163" s="13">
        <f t="shared" si="222"/>
        <v>0</v>
      </c>
      <c r="AX163" s="13">
        <f t="shared" si="222"/>
        <v>0</v>
      </c>
      <c r="AY163" s="13">
        <f t="shared" si="222"/>
        <v>0</v>
      </c>
      <c r="AZ163" s="13">
        <f t="shared" si="222"/>
        <v>0</v>
      </c>
      <c r="BA163" s="13">
        <f t="shared" si="223"/>
        <v>0</v>
      </c>
      <c r="BB163" s="68">
        <f t="shared" si="255"/>
        <v>0</v>
      </c>
      <c r="BC163" s="268">
        <f t="shared" si="256"/>
        <v>0</v>
      </c>
      <c r="BD163" s="13">
        <f t="shared" si="257"/>
        <v>0</v>
      </c>
      <c r="BE163" s="13">
        <f>SUMIFS(SALIDAS_BIT,FECHA_BIT,"&gt;="&amp;BE$2,FECHA_BIT,"&lt;="&amp;BE$3,CLAVE_BIT,$A163)+SUMIFS(SALIDAS_BOV1,FECHA_BOV1,"&gt;="&amp;BE$2,FECHA_BOV1,"&lt;="&amp;BE$3,CLAVE_BOV1,$A163)+SUMIFS(SALIDAS_BOV2,FECHA_BOV2,"&gt;="&amp;BE$2,FECHA_BOV2,"&lt;="&amp;BE$3,CLAVE_BOV2,$A163)+SUMIFS(SALIDAS_BOV3,FECHA_BOV3,"&gt;="&amp;BE$2,FECHA_BOV3,"&lt;="&amp;BE$3,CLAVE_BOV3,$A163)+SUMIFS(SALIDAS_TC,FECHA_TC,"&gt;="&amp;BE$2,FECHA_TC,"&lt;="&amp;BE$3,CLAVE_TC,$A163)+SUMIFS(SALIDAS_COMB,FECHA_COMB,"&gt;="&amp;BE$2,FECHA_COMB,"&lt;="&amp;BE$3,CLAVE_COMB,$A163)+SUMIFS(SALIDAS_DES,FECHA_DESGLOSEN,"&gt;="&amp;BE$2,FECHA_DESGLOSEN,"&lt;="&amp;BE$3,CLAVE_DESGLOSE,$A163)</f>
        <v>0</v>
      </c>
      <c r="BF163" s="13">
        <f>SUMIFS(SALIDAS_BIT,FECHA_BIT,"&gt;="&amp;BF$2,FECHA_BIT,"&lt;="&amp;BF$3,CLAVE_BIT,$A163)+SUMIFS(SALIDAS_BOV1,FECHA_BOV1,"&gt;="&amp;BF$2,FECHA_BOV1,"&lt;="&amp;BF$3,CLAVE_BOV1,$A163)+SUMIFS(SALIDAS_BOV2,FECHA_BOV2,"&gt;="&amp;BF$2,FECHA_BOV2,"&lt;="&amp;BF$3,CLAVE_BOV2,$A163)+SUMIFS(SALIDAS_BOV3,FECHA_BOV3,"&gt;="&amp;BF$2,FECHA_BOV3,"&lt;="&amp;BF$3,CLAVE_BOV3,$A163)+SUMIFS(SALIDAS_TC,FECHA_TC,"&gt;="&amp;BF$2,FECHA_TC,"&lt;="&amp;BF$3,CLAVE_TC,$A163)+SUMIFS(SALIDAS_COMB,FECHA_COMB,"&gt;="&amp;BF$2,FECHA_COMB,"&lt;="&amp;BF$3,CLAVE_COMB,$A163)+SUMIFS(SALIDAS_DES,FECHA_DESGLOSEN,"&gt;="&amp;BF$2,FECHA_DESGLOSEN,"&lt;="&amp;BF$3,CLAVE_DESGLOSE,$A163)</f>
        <v>0</v>
      </c>
      <c r="BG163" s="13">
        <f>SUMIFS(SALIDAS_BIT,FECHA_BIT,"&gt;="&amp;BG$2,FECHA_BIT,"&lt;="&amp;BG$3,CLAVE_BIT,$A163)+SUMIFS(SALIDAS_BOV1,FECHA_BOV1,"&gt;="&amp;BG$2,FECHA_BOV1,"&lt;="&amp;BG$3,CLAVE_BOV1,$A163)+SUMIFS(SALIDAS_BOV2,FECHA_BOV2,"&gt;="&amp;BG$2,FECHA_BOV2,"&lt;="&amp;BG$3,CLAVE_BOV2,$A163)+SUMIFS(SALIDAS_BOV3,FECHA_BOV3,"&gt;="&amp;BG$2,FECHA_BOV3,"&lt;="&amp;BG$3,CLAVE_BOV3,$A163)+SUMIFS(SALIDAS_TC,FECHA_TC,"&gt;="&amp;BG$2,FECHA_TC,"&lt;="&amp;BG$3,CLAVE_TC,$A163)+SUMIFS(SALIDAS_COMB,FECHA_COMB,"&gt;="&amp;BG$2,FECHA_COMB,"&lt;="&amp;BG$3,CLAVE_COMB,$A163)+SUMIFS(SALIDAS_DES,FECHA_DESGLOSEN,"&gt;="&amp;BG$2,FECHA_DESGLOSEN,"&lt;="&amp;BG$3,CLAVE_DESGLOSE,$A163)</f>
        <v>0</v>
      </c>
      <c r="BH163" s="13">
        <f>SUMIFS(SALIDAS_BIT,FECHA_BIT,"&gt;="&amp;BH$2,FECHA_BIT,"&lt;="&amp;BH$3,CLAVE_BIT,$A163)+SUMIFS(SALIDAS_BOV1,FECHA_BOV1,"&gt;="&amp;BH$2,FECHA_BOV1,"&lt;="&amp;BH$3,CLAVE_BOV1,$A163)+SUMIFS(SALIDAS_BOV2,FECHA_BOV2,"&gt;="&amp;BH$2,FECHA_BOV2,"&lt;="&amp;BH$3,CLAVE_BOV2,$A163)+SUMIFS(SALIDAS_BOV3,FECHA_BOV3,"&gt;="&amp;BH$2,FECHA_BOV3,"&lt;="&amp;BH$3,CLAVE_BOV3,$A163)+SUMIFS(SALIDAS_TC,FECHA_TC,"&gt;="&amp;BH$2,FECHA_TC,"&lt;="&amp;BH$3,CLAVE_TC,$A163)+SUMIFS(SALIDAS_COMB,FECHA_COMB,"&gt;="&amp;BH$2,FECHA_COMB,"&lt;="&amp;BH$3,CLAVE_COMB,$A163)+SUMIFS(SALIDAS_DES,FECHA_DESGLOSEN,"&gt;="&amp;BH$2,FECHA_DESGLOSEN,"&lt;="&amp;BH$3,CLAVE_DESGLOSE,$A163)</f>
        <v>0</v>
      </c>
      <c r="BI163" s="13">
        <f t="shared" si="215"/>
        <v>0</v>
      </c>
      <c r="BJ163" s="68">
        <f t="shared" si="258"/>
        <v>0</v>
      </c>
      <c r="BK163" s="268">
        <f t="shared" si="259"/>
        <v>0</v>
      </c>
      <c r="BL163" s="13">
        <f t="shared" si="260"/>
        <v>0</v>
      </c>
      <c r="BM163" s="13">
        <f>SUMIFS(SALIDAS_BIT,FECHA_BIT,"&gt;="&amp;BM$2,FECHA_BIT,"&lt;="&amp;BM$3,CLAVE_BIT,$A163)+SUMIFS(SALIDAS_BOV1,FECHA_BOV1,"&gt;="&amp;BM$2,FECHA_BOV1,"&lt;="&amp;BM$3,CLAVE_BOV1,$A163)+SUMIFS(SALIDAS_BOV2,FECHA_BOV2,"&gt;="&amp;BM$2,FECHA_BOV2,"&lt;="&amp;BM$3,CLAVE_BOV2,$A163)+SUMIFS(SALIDAS_BOV3,FECHA_BOV3,"&gt;="&amp;BM$2,FECHA_BOV3,"&lt;="&amp;BM$3,CLAVE_BOV3,$A163)+SUMIFS(SALIDAS_TC,FECHA_TC,"&gt;="&amp;BM$2,FECHA_TC,"&lt;="&amp;BM$3,CLAVE_TC,$A163)+SUMIFS(SALIDAS_COMB,FECHA_COMB,"&gt;="&amp;BM$2,FECHA_COMB,"&lt;="&amp;BM$3,CLAVE_COMB,$A163)+SUMIFS(SALIDAS_DES,FECHA_DESGLOSEN,"&gt;="&amp;BM$2,FECHA_DESGLOSEN,"&lt;="&amp;BM$3,CLAVE_DESGLOSE,$A163)</f>
        <v>0</v>
      </c>
      <c r="BN163" s="13">
        <f>SUMIFS(SALIDAS_BIT,FECHA_BIT,"&gt;="&amp;BN$2,FECHA_BIT,"&lt;="&amp;BN$3,CLAVE_BIT,$A163)+SUMIFS(SALIDAS_BOV1,FECHA_BOV1,"&gt;="&amp;BN$2,FECHA_BOV1,"&lt;="&amp;BN$3,CLAVE_BOV1,$A163)+SUMIFS(SALIDAS_BOV2,FECHA_BOV2,"&gt;="&amp;BN$2,FECHA_BOV2,"&lt;="&amp;BN$3,CLAVE_BOV2,$A163)+SUMIFS(SALIDAS_BOV3,FECHA_BOV3,"&gt;="&amp;BN$2,FECHA_BOV3,"&lt;="&amp;BN$3,CLAVE_BOV3,$A163)+SUMIFS(SALIDAS_TC,FECHA_TC,"&gt;="&amp;BN$2,FECHA_TC,"&lt;="&amp;BN$3,CLAVE_TC,$A163)+SUMIFS(SALIDAS_COMB,FECHA_COMB,"&gt;="&amp;BN$2,FECHA_COMB,"&lt;="&amp;BN$3,CLAVE_COMB,$A163)+SUMIFS(SALIDAS_DES,FECHA_DESGLOSEN,"&gt;="&amp;BN$2,FECHA_DESGLOSEN,"&lt;="&amp;BN$3,CLAVE_DESGLOSE,$A163)</f>
        <v>0</v>
      </c>
      <c r="BO163" s="13">
        <f>SUMIFS(SALIDAS_BIT,FECHA_BIT,"&gt;="&amp;BO$2,FECHA_BIT,"&lt;="&amp;BO$3,CLAVE_BIT,$A163)+SUMIFS(SALIDAS_BOV1,FECHA_BOV1,"&gt;="&amp;BO$2,FECHA_BOV1,"&lt;="&amp;BO$3,CLAVE_BOV1,$A163)+SUMIFS(SALIDAS_BOV2,FECHA_BOV2,"&gt;="&amp;BO$2,FECHA_BOV2,"&lt;="&amp;BO$3,CLAVE_BOV2,$A163)+SUMIFS(SALIDAS_BOV3,FECHA_BOV3,"&gt;="&amp;BO$2,FECHA_BOV3,"&lt;="&amp;BO$3,CLAVE_BOV3,$A163)+SUMIFS(SALIDAS_TC,FECHA_TC,"&gt;="&amp;BO$2,FECHA_TC,"&lt;="&amp;BO$3,CLAVE_TC,$A163)+SUMIFS(SALIDAS_COMB,FECHA_COMB,"&gt;="&amp;BO$2,FECHA_COMB,"&lt;="&amp;BO$3,CLAVE_COMB,$A163)+SUMIFS(SALIDAS_DES,FECHA_DESGLOSEN,"&gt;="&amp;BO$2,FECHA_DESGLOSEN,"&lt;="&amp;BO$3,CLAVE_DESGLOSE,$A163)</f>
        <v>0</v>
      </c>
      <c r="BP163" s="13">
        <f>SUMIFS(SALIDAS_BIT,FECHA_BIT,"&gt;="&amp;BP$2,FECHA_BIT,"&lt;="&amp;BP$3,CLAVE_BIT,$A163)+SUMIFS(SALIDAS_BOV1,FECHA_BOV1,"&gt;="&amp;BP$2,FECHA_BOV1,"&lt;="&amp;BP$3,CLAVE_BOV1,$A163)+SUMIFS(SALIDAS_BOV2,FECHA_BOV2,"&gt;="&amp;BP$2,FECHA_BOV2,"&lt;="&amp;BP$3,CLAVE_BOV2,$A163)+SUMIFS(SALIDAS_BOV3,FECHA_BOV3,"&gt;="&amp;BP$2,FECHA_BOV3,"&lt;="&amp;BP$3,CLAVE_BOV3,$A163)+SUMIFS(SALIDAS_TC,FECHA_TC,"&gt;="&amp;BP$2,FECHA_TC,"&lt;="&amp;BP$3,CLAVE_TC,$A163)+SUMIFS(SALIDAS_COMB,FECHA_COMB,"&gt;="&amp;BP$2,FECHA_COMB,"&lt;="&amp;BP$3,CLAVE_COMB,$A163)+SUMIFS(SALIDAS_DES,FECHA_DESGLOSEN,"&gt;="&amp;BP$2,FECHA_DESGLOSEN,"&lt;="&amp;BP$3,CLAVE_DESGLOSE,$A163)</f>
        <v>0</v>
      </c>
      <c r="BQ163" s="13">
        <f>SUMIFS(SALIDAS_BIT,FECHA_BIT,"&gt;="&amp;BQ$2,FECHA_BIT,"&lt;="&amp;BQ$3,CLAVE_BIT,$A163)+SUMIFS(SALIDAS_BOV1,FECHA_BOV1,"&gt;="&amp;BQ$2,FECHA_BOV1,"&lt;="&amp;BQ$3,CLAVE_BOV1,$A163)+SUMIFS(SALIDAS_BOV2,FECHA_BOV2,"&gt;="&amp;BQ$2,FECHA_BOV2,"&lt;="&amp;BQ$3,CLAVE_BOV2,$A163)+SUMIFS(SALIDAS_BOV3,FECHA_BOV3,"&gt;="&amp;BQ$2,FECHA_BOV3,"&lt;="&amp;BQ$3,CLAVE_BOV3,$A163)+SUMIFS(SALIDAS_TC,FECHA_TC,"&gt;="&amp;BQ$2,FECHA_TC,"&lt;="&amp;BQ$3,CLAVE_TC,$A163)+SUMIFS(SALIDAS_COMB,FECHA_COMB,"&gt;="&amp;BQ$2,FECHA_COMB,"&lt;="&amp;BQ$3,CLAVE_COMB,$A163)+SUMIFS(SALIDAS_DES,FECHA_DESGLOSEN,"&gt;="&amp;BQ$2,FECHA_DESGLOSEN,"&lt;="&amp;BQ$3,CLAVE_DESGLOSE,$A163)</f>
        <v>0</v>
      </c>
      <c r="BR163" s="13">
        <f t="shared" si="298"/>
        <v>0</v>
      </c>
      <c r="BS163" s="68">
        <f t="shared" si="261"/>
        <v>0</v>
      </c>
      <c r="BT163" s="268">
        <f t="shared" si="262"/>
        <v>0</v>
      </c>
      <c r="BU163" s="13">
        <f t="shared" si="263"/>
        <v>0</v>
      </c>
      <c r="BV163" s="13">
        <f t="shared" si="291"/>
        <v>0</v>
      </c>
      <c r="BW163" s="13">
        <f t="shared" si="291"/>
        <v>0</v>
      </c>
      <c r="BX163" s="13">
        <f t="shared" si="291"/>
        <v>0</v>
      </c>
      <c r="BY163" s="13">
        <f t="shared" si="291"/>
        <v>0</v>
      </c>
      <c r="BZ163" s="13">
        <f t="shared" si="299"/>
        <v>0</v>
      </c>
      <c r="CA163" s="68">
        <f t="shared" si="264"/>
        <v>0</v>
      </c>
      <c r="CB163" s="268">
        <f t="shared" si="265"/>
        <v>0</v>
      </c>
      <c r="CC163" s="13">
        <f t="shared" si="266"/>
        <v>0</v>
      </c>
      <c r="CD163" s="13">
        <f t="shared" si="292"/>
        <v>0</v>
      </c>
      <c r="CE163" s="13">
        <f t="shared" si="292"/>
        <v>0</v>
      </c>
      <c r="CF163" s="13">
        <f t="shared" si="292"/>
        <v>0</v>
      </c>
      <c r="CG163" s="13">
        <f t="shared" si="292"/>
        <v>0</v>
      </c>
      <c r="CH163" s="13">
        <f t="shared" si="300"/>
        <v>0</v>
      </c>
      <c r="CI163" s="68">
        <f t="shared" si="267"/>
        <v>0</v>
      </c>
      <c r="CJ163" s="268">
        <f t="shared" si="268"/>
        <v>0</v>
      </c>
      <c r="CK163" s="13">
        <f t="shared" si="269"/>
        <v>0</v>
      </c>
      <c r="CL163" s="13">
        <f t="shared" si="228"/>
        <v>0</v>
      </c>
      <c r="CM163" s="13">
        <f t="shared" si="228"/>
        <v>0</v>
      </c>
      <c r="CN163" s="13">
        <f t="shared" si="228"/>
        <v>0</v>
      </c>
      <c r="CO163" s="13">
        <f t="shared" si="228"/>
        <v>0</v>
      </c>
      <c r="CP163" s="13">
        <f t="shared" si="228"/>
        <v>0</v>
      </c>
      <c r="CQ163" s="13">
        <f t="shared" si="301"/>
        <v>0</v>
      </c>
      <c r="CR163" s="68">
        <f t="shared" si="270"/>
        <v>0</v>
      </c>
      <c r="CS163" s="268">
        <f t="shared" si="271"/>
        <v>0</v>
      </c>
      <c r="CT163" s="68">
        <f t="shared" si="244"/>
        <v>0</v>
      </c>
      <c r="CU163" s="13">
        <f>SUMIFS(SALIDAS_BIT,FECHA_BIT,"&gt;="&amp;CU$2,FECHA_BIT,"&lt;="&amp;CU$3,CLAVE_BIT,$A163)+SUMIFS(SALIDAS_BOV1,FECHA_BOV1,"&gt;="&amp;CU$2,FECHA_BOV1,"&lt;="&amp;CU$3,CLAVE_BOV1,$A163)+SUMIFS(SALIDAS_BOV2,FECHA_BOV2,"&gt;="&amp;CU$2,FECHA_BOV2,"&lt;="&amp;CU$3,CLAVE_BOV2,$A163)+SUMIFS(SALIDAS_BOV3,FECHA_BOV3,"&gt;="&amp;CU$2,FECHA_BOV3,"&lt;="&amp;CU$3,CLAVE_BOV3,$A163)+SUMIFS(SALIDAS_TC,FECHA_TC,"&gt;="&amp;CU$2,FECHA_TC,"&lt;="&amp;CU$3,CLAVE_TC,$A163)+SUMIFS(SALIDAS_COMB,FECHA_COMB,"&gt;="&amp;CU$2,FECHA_COMB,"&lt;="&amp;CU$3,CLAVE_COMB,$A163)+SUMIFS(SALIDAS_DES,FECHA_DESGLOSEN,"&gt;="&amp;CU$2,FECHA_DESGLOSEN,"&lt;="&amp;CU$3,CLAVE_DESGLOSE,$A163)</f>
        <v>0</v>
      </c>
      <c r="CV163" s="13">
        <f>SUMIFS(SALIDAS_BIT,FECHA_BIT,"&gt;="&amp;CV$2,FECHA_BIT,"&lt;="&amp;CV$3,CLAVE_BIT,$A163)+SUMIFS(SALIDAS_BOV1,FECHA_BOV1,"&gt;="&amp;CV$2,FECHA_BOV1,"&lt;="&amp;CV$3,CLAVE_BOV1,$A163)+SUMIFS(SALIDAS_BOV2,FECHA_BOV2,"&gt;="&amp;CV$2,FECHA_BOV2,"&lt;="&amp;CV$3,CLAVE_BOV2,$A163)+SUMIFS(SALIDAS_BOV3,FECHA_BOV3,"&gt;="&amp;CV$2,FECHA_BOV3,"&lt;="&amp;CV$3,CLAVE_BOV3,$A163)+SUMIFS(SALIDAS_TC,FECHA_TC,"&gt;="&amp;CV$2,FECHA_TC,"&lt;="&amp;CV$3,CLAVE_TC,$A163)+SUMIFS(SALIDAS_COMB,FECHA_COMB,"&gt;="&amp;CV$2,FECHA_COMB,"&lt;="&amp;CV$3,CLAVE_COMB,$A163)+SUMIFS(SALIDAS_DES,FECHA_DESGLOSEN,"&gt;="&amp;CV$2,FECHA_DESGLOSEN,"&lt;="&amp;CV$3,CLAVE_DESGLOSE,$A163)</f>
        <v>0</v>
      </c>
      <c r="CW163" s="13">
        <f>SUMIFS(SALIDAS_BIT,FECHA_BIT,"&gt;="&amp;CW$2,FECHA_BIT,"&lt;="&amp;CW$3,CLAVE_BIT,$A163)+SUMIFS(SALIDAS_BOV1,FECHA_BOV1,"&gt;="&amp;CW$2,FECHA_BOV1,"&lt;="&amp;CW$3,CLAVE_BOV1,$A163)+SUMIFS(SALIDAS_BOV2,FECHA_BOV2,"&gt;="&amp;CW$2,FECHA_BOV2,"&lt;="&amp;CW$3,CLAVE_BOV2,$A163)+SUMIFS(SALIDAS_BOV3,FECHA_BOV3,"&gt;="&amp;CW$2,FECHA_BOV3,"&lt;="&amp;CW$3,CLAVE_BOV3,$A163)+SUMIFS(SALIDAS_TC,FECHA_TC,"&gt;="&amp;CW$2,FECHA_TC,"&lt;="&amp;CW$3,CLAVE_TC,$A163)+SUMIFS(SALIDAS_COMB,FECHA_COMB,"&gt;="&amp;CW$2,FECHA_COMB,"&lt;="&amp;CW$3,CLAVE_COMB,$A163)+SUMIFS(SALIDAS_DES,FECHA_DESGLOSEN,"&gt;="&amp;CW$2,FECHA_DESGLOSEN,"&lt;="&amp;CW$3,CLAVE_DESGLOSE,$A163)</f>
        <v>0</v>
      </c>
      <c r="CX163" s="13">
        <f>SUMIFS(SALIDAS_BIT,FECHA_BIT,"&gt;="&amp;CX$2,FECHA_BIT,"&lt;="&amp;CX$3,CLAVE_BIT,$A163)+SUMIFS(SALIDAS_BOV1,FECHA_BOV1,"&gt;="&amp;CX$2,FECHA_BOV1,"&lt;="&amp;CX$3,CLAVE_BOV1,$A163)+SUMIFS(SALIDAS_BOV2,FECHA_BOV2,"&gt;="&amp;CX$2,FECHA_BOV2,"&lt;="&amp;CX$3,CLAVE_BOV2,$A163)+SUMIFS(SALIDAS_BOV3,FECHA_BOV3,"&gt;="&amp;CX$2,FECHA_BOV3,"&lt;="&amp;CX$3,CLAVE_BOV3,$A163)+SUMIFS(SALIDAS_TC,FECHA_TC,"&gt;="&amp;CX$2,FECHA_TC,"&lt;="&amp;CX$3,CLAVE_TC,$A163)+SUMIFS(SALIDAS_COMB,FECHA_COMB,"&gt;="&amp;CX$2,FECHA_COMB,"&lt;="&amp;CX$3,CLAVE_COMB,$A163)+SUMIFS(SALIDAS_DES,FECHA_DESGLOSEN,"&gt;="&amp;CX$2,FECHA_DESGLOSEN,"&lt;="&amp;CX$3,CLAVE_DESGLOSE,$A163)</f>
        <v>0</v>
      </c>
      <c r="CY163" s="13">
        <f>SUMIFS(SALIDAS_BIT,FECHA_BIT,"&gt;="&amp;CY$2,FECHA_BIT,"&lt;="&amp;CY$3,CLAVE_BIT,$A163)+SUMIFS(SALIDAS_BOV1,FECHA_BOV1,"&gt;="&amp;CY$2,FECHA_BOV1,"&lt;="&amp;CY$3,CLAVE_BOV1,$A163)+SUMIFS(SALIDAS_BOV2,FECHA_BOV2,"&gt;="&amp;CY$2,FECHA_BOV2,"&lt;="&amp;CY$3,CLAVE_BOV2,$A163)+SUMIFS(SALIDAS_BOV3,FECHA_BOV3,"&gt;="&amp;CY$2,FECHA_BOV3,"&lt;="&amp;CY$3,CLAVE_BOV3,$A163)+SUMIFS(SALIDAS_TC,FECHA_TC,"&gt;="&amp;CY$2,FECHA_TC,"&lt;="&amp;CY$3,CLAVE_TC,$A163)+SUMIFS(SALIDAS_COMB,FECHA_COMB,"&gt;="&amp;CY$2,FECHA_COMB,"&lt;="&amp;CY$3,CLAVE_COMB,$A163)+SUMIFS(SALIDAS_DES,FECHA_DESGLOSEN,"&gt;="&amp;CY$2,FECHA_DESGLOSEN,"&lt;="&amp;CY$3,CLAVE_DESGLOSE,$A163)</f>
        <v>0</v>
      </c>
      <c r="CZ163" s="68">
        <f t="shared" si="272"/>
        <v>0</v>
      </c>
      <c r="DB163" s="17">
        <f>F163+N163+W163+AE163+AM163+AV163+BD163+BL163+BU163+CC163+CK163</f>
        <v>0</v>
      </c>
      <c r="DC163" s="17">
        <f>K163+T163+AB163+AJ163+AS163+BA163+BI163+BR163+BZ163+CH163+CQ163</f>
        <v>0</v>
      </c>
    </row>
    <row r="164" spans="1:107" hidden="1">
      <c r="A164" s="12" t="str">
        <f t="shared" si="245"/>
        <v>CAPJMASE8</v>
      </c>
      <c r="B164" s="12">
        <v>166</v>
      </c>
      <c r="C164" t="s">
        <v>31</v>
      </c>
      <c r="D164" s="12" t="s">
        <v>137</v>
      </c>
      <c r="E164" s="12" t="s">
        <v>114</v>
      </c>
      <c r="F164" s="259">
        <f t="shared" si="238"/>
        <v>695</v>
      </c>
      <c r="G164" s="13">
        <f t="shared" si="293"/>
        <v>0</v>
      </c>
      <c r="H164" s="13">
        <f t="shared" si="293"/>
        <v>1390.58</v>
      </c>
      <c r="I164" s="13">
        <f t="shared" si="293"/>
        <v>0</v>
      </c>
      <c r="J164" s="13">
        <f t="shared" si="293"/>
        <v>176.53</v>
      </c>
      <c r="K164" s="13">
        <f t="shared" si="293"/>
        <v>1567.11</v>
      </c>
      <c r="L164" s="68">
        <f t="shared" si="246"/>
        <v>-872.1099999999999</v>
      </c>
      <c r="M164" s="268">
        <f t="shared" si="247"/>
        <v>2.2548345323741006</v>
      </c>
      <c r="N164" s="13">
        <f t="shared" si="239"/>
        <v>0</v>
      </c>
      <c r="O164" s="13">
        <f t="shared" si="294"/>
        <v>0</v>
      </c>
      <c r="P164" s="13">
        <f t="shared" si="294"/>
        <v>0</v>
      </c>
      <c r="Q164" s="13">
        <f t="shared" si="294"/>
        <v>0</v>
      </c>
      <c r="R164" s="13">
        <f t="shared" si="294"/>
        <v>0</v>
      </c>
      <c r="S164" s="13">
        <f t="shared" si="294"/>
        <v>0</v>
      </c>
      <c r="T164" s="13">
        <f t="shared" si="294"/>
        <v>0</v>
      </c>
      <c r="U164" s="68">
        <f t="shared" si="248"/>
        <v>0</v>
      </c>
      <c r="V164" s="268">
        <f t="shared" si="249"/>
        <v>0</v>
      </c>
      <c r="W164" s="13">
        <f t="shared" si="240"/>
        <v>0</v>
      </c>
      <c r="X164" s="13">
        <f t="shared" si="295"/>
        <v>0</v>
      </c>
      <c r="Y164" s="13">
        <f t="shared" si="295"/>
        <v>0</v>
      </c>
      <c r="Z164" s="13">
        <f t="shared" si="295"/>
        <v>0</v>
      </c>
      <c r="AA164" s="13">
        <f t="shared" si="295"/>
        <v>0</v>
      </c>
      <c r="AB164" s="13">
        <f t="shared" si="295"/>
        <v>0</v>
      </c>
      <c r="AC164" s="68">
        <f t="shared" si="250"/>
        <v>0</v>
      </c>
      <c r="AD164" s="268">
        <f t="shared" si="251"/>
        <v>0</v>
      </c>
      <c r="AE164" s="13">
        <f t="shared" si="241"/>
        <v>0</v>
      </c>
      <c r="AF164" s="13">
        <f t="shared" si="296"/>
        <v>1509.07</v>
      </c>
      <c r="AG164" s="13">
        <f t="shared" si="296"/>
        <v>0</v>
      </c>
      <c r="AH164" s="13">
        <f t="shared" si="296"/>
        <v>0</v>
      </c>
      <c r="AI164" s="13">
        <f t="shared" si="296"/>
        <v>290.83999999999997</v>
      </c>
      <c r="AJ164" s="13">
        <f t="shared" si="296"/>
        <v>1799.9099999999999</v>
      </c>
      <c r="AK164" s="68">
        <f t="shared" si="252"/>
        <v>-1799.9099999999999</v>
      </c>
      <c r="AL164" s="268">
        <f t="shared" si="253"/>
        <v>0</v>
      </c>
      <c r="AM164" s="13">
        <f t="shared" si="242"/>
        <v>695</v>
      </c>
      <c r="AN164" s="13">
        <f t="shared" si="297"/>
        <v>0</v>
      </c>
      <c r="AO164" s="13">
        <f t="shared" si="297"/>
        <v>0</v>
      </c>
      <c r="AP164" s="13">
        <f t="shared" si="297"/>
        <v>1397.29</v>
      </c>
      <c r="AQ164" s="13">
        <f t="shared" si="297"/>
        <v>0</v>
      </c>
      <c r="AR164" s="13">
        <f t="shared" si="297"/>
        <v>0</v>
      </c>
      <c r="AS164" s="13">
        <f t="shared" si="297"/>
        <v>1397.29</v>
      </c>
      <c r="AT164" s="68">
        <f>AM164-AS164</f>
        <v>-702.29</v>
      </c>
      <c r="AU164" s="268">
        <f t="shared" si="254"/>
        <v>2.0104892086330937</v>
      </c>
      <c r="AV164" s="13">
        <f t="shared" si="243"/>
        <v>695</v>
      </c>
      <c r="AW164" s="13">
        <f t="shared" si="222"/>
        <v>0</v>
      </c>
      <c r="AX164" s="13">
        <f t="shared" si="222"/>
        <v>0</v>
      </c>
      <c r="AY164" s="13">
        <f t="shared" si="222"/>
        <v>0</v>
      </c>
      <c r="AZ164" s="13">
        <f t="shared" si="222"/>
        <v>1509.07</v>
      </c>
      <c r="BA164" s="13">
        <f t="shared" si="223"/>
        <v>1509.07</v>
      </c>
      <c r="BB164" s="68">
        <f t="shared" si="255"/>
        <v>-814.06999999999994</v>
      </c>
      <c r="BC164" s="268">
        <f t="shared" si="256"/>
        <v>2.1713237410071939</v>
      </c>
      <c r="BD164" s="13">
        <f t="shared" si="257"/>
        <v>0</v>
      </c>
      <c r="BE164" s="13">
        <f>SUMIFS(SALIDAS_BIT,FECHA_BIT,"&gt;="&amp;BE$2,FECHA_BIT,"&lt;="&amp;BE$3,CLAVE_BIT,$A164)+SUMIFS(SALIDAS_BOV1,FECHA_BOV1,"&gt;="&amp;BE$2,FECHA_BOV1,"&lt;="&amp;BE$3,CLAVE_BOV1,$A164)+SUMIFS(SALIDAS_BOV2,FECHA_BOV2,"&gt;="&amp;BE$2,FECHA_BOV2,"&lt;="&amp;BE$3,CLAVE_BOV2,$A164)+SUMIFS(SALIDAS_BOV3,FECHA_BOV3,"&gt;="&amp;BE$2,FECHA_BOV3,"&lt;="&amp;BE$3,CLAVE_BOV3,$A164)+SUMIFS(SALIDAS_TC,FECHA_TC,"&gt;="&amp;BE$2,FECHA_TC,"&lt;="&amp;BE$3,CLAVE_TC,$A164)+SUMIFS(SALIDAS_COMB,FECHA_COMB,"&gt;="&amp;BE$2,FECHA_COMB,"&lt;="&amp;BE$3,CLAVE_COMB,$A164)+SUMIFS(SALIDAS_DES,FECHA_DESGLOSEN,"&gt;="&amp;BE$2,FECHA_DESGLOSEN,"&lt;="&amp;BE$3,CLAVE_DESGLOSE,$A164)</f>
        <v>0</v>
      </c>
      <c r="BF164" s="13">
        <f>SUMIFS(SALIDAS_BIT,FECHA_BIT,"&gt;="&amp;BF$2,FECHA_BIT,"&lt;="&amp;BF$3,CLAVE_BIT,$A164)+SUMIFS(SALIDAS_BOV1,FECHA_BOV1,"&gt;="&amp;BF$2,FECHA_BOV1,"&lt;="&amp;BF$3,CLAVE_BOV1,$A164)+SUMIFS(SALIDAS_BOV2,FECHA_BOV2,"&gt;="&amp;BF$2,FECHA_BOV2,"&lt;="&amp;BF$3,CLAVE_BOV2,$A164)+SUMIFS(SALIDAS_BOV3,FECHA_BOV3,"&gt;="&amp;BF$2,FECHA_BOV3,"&lt;="&amp;BF$3,CLAVE_BOV3,$A164)+SUMIFS(SALIDAS_TC,FECHA_TC,"&gt;="&amp;BF$2,FECHA_TC,"&lt;="&amp;BF$3,CLAVE_TC,$A164)+SUMIFS(SALIDAS_COMB,FECHA_COMB,"&gt;="&amp;BF$2,FECHA_COMB,"&lt;="&amp;BF$3,CLAVE_COMB,$A164)+SUMIFS(SALIDAS_DES,FECHA_DESGLOSEN,"&gt;="&amp;BF$2,FECHA_DESGLOSEN,"&lt;="&amp;BF$3,CLAVE_DESGLOSE,$A164)</f>
        <v>0</v>
      </c>
      <c r="BG164" s="13">
        <f>SUMIFS(SALIDAS_BIT,FECHA_BIT,"&gt;="&amp;BG$2,FECHA_BIT,"&lt;="&amp;BG$3,CLAVE_BIT,$A164)+SUMIFS(SALIDAS_BOV1,FECHA_BOV1,"&gt;="&amp;BG$2,FECHA_BOV1,"&lt;="&amp;BG$3,CLAVE_BOV1,$A164)+SUMIFS(SALIDAS_BOV2,FECHA_BOV2,"&gt;="&amp;BG$2,FECHA_BOV2,"&lt;="&amp;BG$3,CLAVE_BOV2,$A164)+SUMIFS(SALIDAS_BOV3,FECHA_BOV3,"&gt;="&amp;BG$2,FECHA_BOV3,"&lt;="&amp;BG$3,CLAVE_BOV3,$A164)+SUMIFS(SALIDAS_TC,FECHA_TC,"&gt;="&amp;BG$2,FECHA_TC,"&lt;="&amp;BG$3,CLAVE_TC,$A164)+SUMIFS(SALIDAS_COMB,FECHA_COMB,"&gt;="&amp;BG$2,FECHA_COMB,"&lt;="&amp;BG$3,CLAVE_COMB,$A164)+SUMIFS(SALIDAS_DES,FECHA_DESGLOSEN,"&gt;="&amp;BG$2,FECHA_DESGLOSEN,"&lt;="&amp;BG$3,CLAVE_DESGLOSE,$A164)</f>
        <v>0</v>
      </c>
      <c r="BH164" s="13">
        <f>SUMIFS(SALIDAS_BIT,FECHA_BIT,"&gt;="&amp;BH$2,FECHA_BIT,"&lt;="&amp;BH$3,CLAVE_BIT,$A164)+SUMIFS(SALIDAS_BOV1,FECHA_BOV1,"&gt;="&amp;BH$2,FECHA_BOV1,"&lt;="&amp;BH$3,CLAVE_BOV1,$A164)+SUMIFS(SALIDAS_BOV2,FECHA_BOV2,"&gt;="&amp;BH$2,FECHA_BOV2,"&lt;="&amp;BH$3,CLAVE_BOV2,$A164)+SUMIFS(SALIDAS_BOV3,FECHA_BOV3,"&gt;="&amp;BH$2,FECHA_BOV3,"&lt;="&amp;BH$3,CLAVE_BOV3,$A164)+SUMIFS(SALIDAS_TC,FECHA_TC,"&gt;="&amp;BH$2,FECHA_TC,"&lt;="&amp;BH$3,CLAVE_TC,$A164)+SUMIFS(SALIDAS_COMB,FECHA_COMB,"&gt;="&amp;BH$2,FECHA_COMB,"&lt;="&amp;BH$3,CLAVE_COMB,$A164)+SUMIFS(SALIDAS_DES,FECHA_DESGLOSEN,"&gt;="&amp;BH$2,FECHA_DESGLOSEN,"&lt;="&amp;BH$3,CLAVE_DESGLOSE,$A164)</f>
        <v>1509.07</v>
      </c>
      <c r="BI164" s="13">
        <f t="shared" si="215"/>
        <v>1509.07</v>
      </c>
      <c r="BJ164" s="68">
        <f t="shared" si="258"/>
        <v>-1509.07</v>
      </c>
      <c r="BK164" s="268">
        <f t="shared" si="259"/>
        <v>0</v>
      </c>
      <c r="BL164" s="13">
        <f t="shared" si="260"/>
        <v>0</v>
      </c>
      <c r="BM164" s="13">
        <f>SUMIFS(SALIDAS_BIT,FECHA_BIT,"&gt;="&amp;BM$2,FECHA_BIT,"&lt;="&amp;BM$3,CLAVE_BIT,$A164)+SUMIFS(SALIDAS_BOV1,FECHA_BOV1,"&gt;="&amp;BM$2,FECHA_BOV1,"&lt;="&amp;BM$3,CLAVE_BOV1,$A164)+SUMIFS(SALIDAS_BOV2,FECHA_BOV2,"&gt;="&amp;BM$2,FECHA_BOV2,"&lt;="&amp;BM$3,CLAVE_BOV2,$A164)+SUMIFS(SALIDAS_BOV3,FECHA_BOV3,"&gt;="&amp;BM$2,FECHA_BOV3,"&lt;="&amp;BM$3,CLAVE_BOV3,$A164)+SUMIFS(SALIDAS_TC,FECHA_TC,"&gt;="&amp;BM$2,FECHA_TC,"&lt;="&amp;BM$3,CLAVE_TC,$A164)+SUMIFS(SALIDAS_COMB,FECHA_COMB,"&gt;="&amp;BM$2,FECHA_COMB,"&lt;="&amp;BM$3,CLAVE_COMB,$A164)+SUMIFS(SALIDAS_DES,FECHA_DESGLOSEN,"&gt;="&amp;BM$2,FECHA_DESGLOSEN,"&lt;="&amp;BM$3,CLAVE_DESGLOSE,$A164)</f>
        <v>0</v>
      </c>
      <c r="BN164" s="13">
        <f>SUMIFS(SALIDAS_BIT,FECHA_BIT,"&gt;="&amp;BN$2,FECHA_BIT,"&lt;="&amp;BN$3,CLAVE_BIT,$A164)+SUMIFS(SALIDAS_BOV1,FECHA_BOV1,"&gt;="&amp;BN$2,FECHA_BOV1,"&lt;="&amp;BN$3,CLAVE_BOV1,$A164)+SUMIFS(SALIDAS_BOV2,FECHA_BOV2,"&gt;="&amp;BN$2,FECHA_BOV2,"&lt;="&amp;BN$3,CLAVE_BOV2,$A164)+SUMIFS(SALIDAS_BOV3,FECHA_BOV3,"&gt;="&amp;BN$2,FECHA_BOV3,"&lt;="&amp;BN$3,CLAVE_BOV3,$A164)+SUMIFS(SALIDAS_TC,FECHA_TC,"&gt;="&amp;BN$2,FECHA_TC,"&lt;="&amp;BN$3,CLAVE_TC,$A164)+SUMIFS(SALIDAS_COMB,FECHA_COMB,"&gt;="&amp;BN$2,FECHA_COMB,"&lt;="&amp;BN$3,CLAVE_COMB,$A164)+SUMIFS(SALIDAS_DES,FECHA_DESGLOSEN,"&gt;="&amp;BN$2,FECHA_DESGLOSEN,"&lt;="&amp;BN$3,CLAVE_DESGLOSE,$A164)</f>
        <v>0</v>
      </c>
      <c r="BO164" s="13">
        <f>SUMIFS(SALIDAS_BIT,FECHA_BIT,"&gt;="&amp;BO$2,FECHA_BIT,"&lt;="&amp;BO$3,CLAVE_BIT,$A164)+SUMIFS(SALIDAS_BOV1,FECHA_BOV1,"&gt;="&amp;BO$2,FECHA_BOV1,"&lt;="&amp;BO$3,CLAVE_BOV1,$A164)+SUMIFS(SALIDAS_BOV2,FECHA_BOV2,"&gt;="&amp;BO$2,FECHA_BOV2,"&lt;="&amp;BO$3,CLAVE_BOV2,$A164)+SUMIFS(SALIDAS_BOV3,FECHA_BOV3,"&gt;="&amp;BO$2,FECHA_BOV3,"&lt;="&amp;BO$3,CLAVE_BOV3,$A164)+SUMIFS(SALIDAS_TC,FECHA_TC,"&gt;="&amp;BO$2,FECHA_TC,"&lt;="&amp;BO$3,CLAVE_TC,$A164)+SUMIFS(SALIDAS_COMB,FECHA_COMB,"&gt;="&amp;BO$2,FECHA_COMB,"&lt;="&amp;BO$3,CLAVE_COMB,$A164)+SUMIFS(SALIDAS_DES,FECHA_DESGLOSEN,"&gt;="&amp;BO$2,FECHA_DESGLOSEN,"&lt;="&amp;BO$3,CLAVE_DESGLOSE,$A164)</f>
        <v>0</v>
      </c>
      <c r="BP164" s="13">
        <f>SUMIFS(SALIDAS_BIT,FECHA_BIT,"&gt;="&amp;BP$2,FECHA_BIT,"&lt;="&amp;BP$3,CLAVE_BIT,$A164)+SUMIFS(SALIDAS_BOV1,FECHA_BOV1,"&gt;="&amp;BP$2,FECHA_BOV1,"&lt;="&amp;BP$3,CLAVE_BOV1,$A164)+SUMIFS(SALIDAS_BOV2,FECHA_BOV2,"&gt;="&amp;BP$2,FECHA_BOV2,"&lt;="&amp;BP$3,CLAVE_BOV2,$A164)+SUMIFS(SALIDAS_BOV3,FECHA_BOV3,"&gt;="&amp;BP$2,FECHA_BOV3,"&lt;="&amp;BP$3,CLAVE_BOV3,$A164)+SUMIFS(SALIDAS_TC,FECHA_TC,"&gt;="&amp;BP$2,FECHA_TC,"&lt;="&amp;BP$3,CLAVE_TC,$A164)+SUMIFS(SALIDAS_COMB,FECHA_COMB,"&gt;="&amp;BP$2,FECHA_COMB,"&lt;="&amp;BP$3,CLAVE_COMB,$A164)+SUMIFS(SALIDAS_DES,FECHA_DESGLOSEN,"&gt;="&amp;BP$2,FECHA_DESGLOSEN,"&lt;="&amp;BP$3,CLAVE_DESGLOSE,$A164)</f>
        <v>0</v>
      </c>
      <c r="BQ164" s="13">
        <f>SUMIFS(SALIDAS_BIT,FECHA_BIT,"&gt;="&amp;BQ$2,FECHA_BIT,"&lt;="&amp;BQ$3,CLAVE_BIT,$A164)+SUMIFS(SALIDAS_BOV1,FECHA_BOV1,"&gt;="&amp;BQ$2,FECHA_BOV1,"&lt;="&amp;BQ$3,CLAVE_BOV1,$A164)+SUMIFS(SALIDAS_BOV2,FECHA_BOV2,"&gt;="&amp;BQ$2,FECHA_BOV2,"&lt;="&amp;BQ$3,CLAVE_BOV2,$A164)+SUMIFS(SALIDAS_BOV3,FECHA_BOV3,"&gt;="&amp;BQ$2,FECHA_BOV3,"&lt;="&amp;BQ$3,CLAVE_BOV3,$A164)+SUMIFS(SALIDAS_TC,FECHA_TC,"&gt;="&amp;BQ$2,FECHA_TC,"&lt;="&amp;BQ$3,CLAVE_TC,$A164)+SUMIFS(SALIDAS_COMB,FECHA_COMB,"&gt;="&amp;BQ$2,FECHA_COMB,"&lt;="&amp;BQ$3,CLAVE_COMB,$A164)+SUMIFS(SALIDAS_DES,FECHA_DESGLOSEN,"&gt;="&amp;BQ$2,FECHA_DESGLOSEN,"&lt;="&amp;BQ$3,CLAVE_DESGLOSE,$A164)</f>
        <v>0</v>
      </c>
      <c r="BR164" s="13">
        <f t="shared" si="298"/>
        <v>0</v>
      </c>
      <c r="BS164" s="68">
        <f t="shared" si="261"/>
        <v>0</v>
      </c>
      <c r="BT164" s="268">
        <f t="shared" si="262"/>
        <v>0</v>
      </c>
      <c r="BU164" s="13">
        <f t="shared" si="263"/>
        <v>0</v>
      </c>
      <c r="BV164" s="13">
        <f t="shared" si="291"/>
        <v>0</v>
      </c>
      <c r="BW164" s="13">
        <f t="shared" si="291"/>
        <v>0</v>
      </c>
      <c r="BX164" s="13">
        <f t="shared" si="291"/>
        <v>0</v>
      </c>
      <c r="BY164" s="13">
        <f t="shared" si="291"/>
        <v>0</v>
      </c>
      <c r="BZ164" s="13">
        <f t="shared" si="299"/>
        <v>0</v>
      </c>
      <c r="CA164" s="68">
        <f t="shared" si="264"/>
        <v>0</v>
      </c>
      <c r="CB164" s="268">
        <f t="shared" si="265"/>
        <v>0</v>
      </c>
      <c r="CC164" s="13">
        <f t="shared" si="266"/>
        <v>0</v>
      </c>
      <c r="CD164" s="13">
        <f t="shared" si="292"/>
        <v>0</v>
      </c>
      <c r="CE164" s="13">
        <f t="shared" si="292"/>
        <v>1509.07</v>
      </c>
      <c r="CF164" s="13">
        <f t="shared" si="292"/>
        <v>1509.64</v>
      </c>
      <c r="CG164" s="13">
        <f t="shared" si="292"/>
        <v>0</v>
      </c>
      <c r="CH164" s="13">
        <f t="shared" si="300"/>
        <v>3018.71</v>
      </c>
      <c r="CI164" s="68">
        <f t="shared" si="267"/>
        <v>-3018.71</v>
      </c>
      <c r="CJ164" s="268">
        <f t="shared" si="268"/>
        <v>0</v>
      </c>
      <c r="CK164" s="13">
        <f t="shared" si="269"/>
        <v>0</v>
      </c>
      <c r="CL164" s="13">
        <f t="shared" si="228"/>
        <v>0</v>
      </c>
      <c r="CM164" s="13">
        <f t="shared" si="228"/>
        <v>1509.7</v>
      </c>
      <c r="CN164" s="13">
        <f t="shared" si="228"/>
        <v>0</v>
      </c>
      <c r="CO164" s="13">
        <f t="shared" si="228"/>
        <v>0</v>
      </c>
      <c r="CP164" s="13">
        <f t="shared" si="228"/>
        <v>157</v>
      </c>
      <c r="CQ164" s="13">
        <f t="shared" si="301"/>
        <v>1666.7</v>
      </c>
      <c r="CR164" s="68">
        <f t="shared" si="270"/>
        <v>-1666.7</v>
      </c>
      <c r="CS164" s="268">
        <f t="shared" si="271"/>
        <v>0</v>
      </c>
      <c r="CT164" s="68">
        <f t="shared" si="244"/>
        <v>1500</v>
      </c>
      <c r="CU164" s="13">
        <f>SUMIFS(SALIDAS_BIT,FECHA_BIT,"&gt;="&amp;CU$2,FECHA_BIT,"&lt;="&amp;CU$3,CLAVE_BIT,$A164)+SUMIFS(SALIDAS_BOV1,FECHA_BOV1,"&gt;="&amp;CU$2,FECHA_BOV1,"&lt;="&amp;CU$3,CLAVE_BOV1,$A164)+SUMIFS(SALIDAS_BOV2,FECHA_BOV2,"&gt;="&amp;CU$2,FECHA_BOV2,"&lt;="&amp;CU$3,CLAVE_BOV2,$A164)+SUMIFS(SALIDAS_BOV3,FECHA_BOV3,"&gt;="&amp;CU$2,FECHA_BOV3,"&lt;="&amp;CU$3,CLAVE_BOV3,$A164)+SUMIFS(SALIDAS_TC,FECHA_TC,"&gt;="&amp;CU$2,FECHA_TC,"&lt;="&amp;CU$3,CLAVE_TC,$A164)+SUMIFS(SALIDAS_COMB,FECHA_COMB,"&gt;="&amp;CU$2,FECHA_COMB,"&lt;="&amp;CU$3,CLAVE_COMB,$A164)+SUMIFS(SALIDAS_DES,FECHA_DESGLOSEN,"&gt;="&amp;CU$2,FECHA_DESGLOSEN,"&lt;="&amp;CU$3,CLAVE_DESGLOSE,$A164)</f>
        <v>0</v>
      </c>
      <c r="CV164" s="13">
        <f>SUMIFS(SALIDAS_BIT,FECHA_BIT,"&gt;="&amp;CV$2,FECHA_BIT,"&lt;="&amp;CV$3,CLAVE_BIT,$A164)+SUMIFS(SALIDAS_BOV1,FECHA_BOV1,"&gt;="&amp;CV$2,FECHA_BOV1,"&lt;="&amp;CV$3,CLAVE_BOV1,$A164)+SUMIFS(SALIDAS_BOV2,FECHA_BOV2,"&gt;="&amp;CV$2,FECHA_BOV2,"&lt;="&amp;CV$3,CLAVE_BOV2,$A164)+SUMIFS(SALIDAS_BOV3,FECHA_BOV3,"&gt;="&amp;CV$2,FECHA_BOV3,"&lt;="&amp;CV$3,CLAVE_BOV3,$A164)+SUMIFS(SALIDAS_TC,FECHA_TC,"&gt;="&amp;CV$2,FECHA_TC,"&lt;="&amp;CV$3,CLAVE_TC,$A164)+SUMIFS(SALIDAS_COMB,FECHA_COMB,"&gt;="&amp;CV$2,FECHA_COMB,"&lt;="&amp;CV$3,CLAVE_COMB,$A164)+SUMIFS(SALIDAS_DES,FECHA_DESGLOSEN,"&gt;="&amp;CV$2,FECHA_DESGLOSEN,"&lt;="&amp;CV$3,CLAVE_DESGLOSE,$A164)</f>
        <v>0</v>
      </c>
      <c r="CW164" s="13">
        <f>SUMIFS(SALIDAS_BIT,FECHA_BIT,"&gt;="&amp;CW$2,FECHA_BIT,"&lt;="&amp;CW$3,CLAVE_BIT,$A164)+SUMIFS(SALIDAS_BOV1,FECHA_BOV1,"&gt;="&amp;CW$2,FECHA_BOV1,"&lt;="&amp;CW$3,CLAVE_BOV1,$A164)+SUMIFS(SALIDAS_BOV2,FECHA_BOV2,"&gt;="&amp;CW$2,FECHA_BOV2,"&lt;="&amp;CW$3,CLAVE_BOV2,$A164)+SUMIFS(SALIDAS_BOV3,FECHA_BOV3,"&gt;="&amp;CW$2,FECHA_BOV3,"&lt;="&amp;CW$3,CLAVE_BOV3,$A164)+SUMIFS(SALIDAS_TC,FECHA_TC,"&gt;="&amp;CW$2,FECHA_TC,"&lt;="&amp;CW$3,CLAVE_TC,$A164)+SUMIFS(SALIDAS_COMB,FECHA_COMB,"&gt;="&amp;CW$2,FECHA_COMB,"&lt;="&amp;CW$3,CLAVE_COMB,$A164)+SUMIFS(SALIDAS_DES,FECHA_DESGLOSEN,"&gt;="&amp;CW$2,FECHA_DESGLOSEN,"&lt;="&amp;CW$3,CLAVE_DESGLOSE,$A164)</f>
        <v>0</v>
      </c>
      <c r="CX164" s="13">
        <f>SUMIFS(SALIDAS_BIT,FECHA_BIT,"&gt;="&amp;CX$2,FECHA_BIT,"&lt;="&amp;CX$3,CLAVE_BIT,$A164)+SUMIFS(SALIDAS_BOV1,FECHA_BOV1,"&gt;="&amp;CX$2,FECHA_BOV1,"&lt;="&amp;CX$3,CLAVE_BOV1,$A164)+SUMIFS(SALIDAS_BOV2,FECHA_BOV2,"&gt;="&amp;CX$2,FECHA_BOV2,"&lt;="&amp;CX$3,CLAVE_BOV2,$A164)+SUMIFS(SALIDAS_BOV3,FECHA_BOV3,"&gt;="&amp;CX$2,FECHA_BOV3,"&lt;="&amp;CX$3,CLAVE_BOV3,$A164)+SUMIFS(SALIDAS_TC,FECHA_TC,"&gt;="&amp;CX$2,FECHA_TC,"&lt;="&amp;CX$3,CLAVE_TC,$A164)+SUMIFS(SALIDAS_COMB,FECHA_COMB,"&gt;="&amp;CX$2,FECHA_COMB,"&lt;="&amp;CX$3,CLAVE_COMB,$A164)+SUMIFS(SALIDAS_DES,FECHA_DESGLOSEN,"&gt;="&amp;CX$2,FECHA_DESGLOSEN,"&lt;="&amp;CX$3,CLAVE_DESGLOSE,$A164)</f>
        <v>0</v>
      </c>
      <c r="CY164" s="13">
        <f>SUMIFS(SALIDAS_BIT,FECHA_BIT,"&gt;="&amp;CY$2,FECHA_BIT,"&lt;="&amp;CY$3,CLAVE_BIT,$A164)+SUMIFS(SALIDAS_BOV1,FECHA_BOV1,"&gt;="&amp;CY$2,FECHA_BOV1,"&lt;="&amp;CY$3,CLAVE_BOV1,$A164)+SUMIFS(SALIDAS_BOV2,FECHA_BOV2,"&gt;="&amp;CY$2,FECHA_BOV2,"&lt;="&amp;CY$3,CLAVE_BOV2,$A164)+SUMIFS(SALIDAS_BOV3,FECHA_BOV3,"&gt;="&amp;CY$2,FECHA_BOV3,"&lt;="&amp;CY$3,CLAVE_BOV3,$A164)+SUMIFS(SALIDAS_TC,FECHA_TC,"&gt;="&amp;CY$2,FECHA_TC,"&lt;="&amp;CY$3,CLAVE_TC,$A164)+SUMIFS(SALIDAS_COMB,FECHA_COMB,"&gt;="&amp;CY$2,FECHA_COMB,"&lt;="&amp;CY$3,CLAVE_COMB,$A164)+SUMIFS(SALIDAS_DES,FECHA_DESGLOSEN,"&gt;="&amp;CY$2,FECHA_DESGLOSEN,"&lt;="&amp;CY$3,CLAVE_DESGLOSE,$A164)</f>
        <v>0</v>
      </c>
      <c r="CZ164" s="68">
        <f t="shared" si="272"/>
        <v>1500</v>
      </c>
      <c r="DB164" s="17">
        <f>F164+N164+W164+AE164+AM164+AV164+BD164+BL164+BU164+CC164+CK164</f>
        <v>2085</v>
      </c>
      <c r="DC164" s="17">
        <f>K164+T164+AB164+AJ164+AS164+BA164+BI164+BR164+BZ164+CH164+CQ164</f>
        <v>12467.86</v>
      </c>
    </row>
    <row r="165" spans="1:107" hidden="1">
      <c r="A165" s="12" t="str">
        <f t="shared" si="245"/>
        <v>SERVICIOSJMASCEDIS</v>
      </c>
      <c r="B165" s="12">
        <v>167</v>
      </c>
      <c r="C165" t="s">
        <v>21</v>
      </c>
      <c r="D165" s="12" t="s">
        <v>137</v>
      </c>
      <c r="E165" s="12" t="s">
        <v>28</v>
      </c>
      <c r="F165" s="259">
        <f t="shared" si="238"/>
        <v>2326</v>
      </c>
      <c r="G165" s="13">
        <f t="shared" si="293"/>
        <v>5952</v>
      </c>
      <c r="H165" s="13">
        <f t="shared" si="293"/>
        <v>0</v>
      </c>
      <c r="I165" s="13">
        <f t="shared" si="293"/>
        <v>0</v>
      </c>
      <c r="J165" s="13">
        <f t="shared" si="293"/>
        <v>0</v>
      </c>
      <c r="K165" s="13">
        <f t="shared" si="293"/>
        <v>5952</v>
      </c>
      <c r="L165" s="68">
        <f t="shared" si="246"/>
        <v>-3626</v>
      </c>
      <c r="M165" s="268">
        <f t="shared" si="247"/>
        <v>2.5588993981083403</v>
      </c>
      <c r="N165" s="13">
        <f t="shared" si="239"/>
        <v>0</v>
      </c>
      <c r="O165" s="13">
        <f t="shared" si="294"/>
        <v>0</v>
      </c>
      <c r="P165" s="13">
        <f t="shared" si="294"/>
        <v>0</v>
      </c>
      <c r="Q165" s="13">
        <f t="shared" si="294"/>
        <v>0</v>
      </c>
      <c r="R165" s="13">
        <f t="shared" si="294"/>
        <v>0</v>
      </c>
      <c r="S165" s="13">
        <f t="shared" si="294"/>
        <v>0</v>
      </c>
      <c r="T165" s="13">
        <f t="shared" si="294"/>
        <v>0</v>
      </c>
      <c r="U165" s="68">
        <f t="shared" si="248"/>
        <v>0</v>
      </c>
      <c r="V165" s="268">
        <f t="shared" si="249"/>
        <v>0</v>
      </c>
      <c r="W165" s="13">
        <f t="shared" si="240"/>
        <v>687</v>
      </c>
      <c r="X165" s="13">
        <f t="shared" si="295"/>
        <v>4461</v>
      </c>
      <c r="Y165" s="13">
        <f t="shared" si="295"/>
        <v>0</v>
      </c>
      <c r="Z165" s="13">
        <f t="shared" si="295"/>
        <v>0</v>
      </c>
      <c r="AA165" s="13">
        <f t="shared" si="295"/>
        <v>0</v>
      </c>
      <c r="AB165" s="13">
        <f t="shared" si="295"/>
        <v>4461</v>
      </c>
      <c r="AC165" s="68">
        <f t="shared" si="250"/>
        <v>-3774</v>
      </c>
      <c r="AD165" s="268">
        <f t="shared" si="251"/>
        <v>6.4934497816593888</v>
      </c>
      <c r="AE165" s="13">
        <f t="shared" si="241"/>
        <v>2376</v>
      </c>
      <c r="AF165" s="13">
        <f t="shared" si="296"/>
        <v>0</v>
      </c>
      <c r="AG165" s="13">
        <f t="shared" si="296"/>
        <v>3586</v>
      </c>
      <c r="AH165" s="13">
        <f t="shared" si="296"/>
        <v>0</v>
      </c>
      <c r="AI165" s="13">
        <f t="shared" si="296"/>
        <v>0</v>
      </c>
      <c r="AJ165" s="13">
        <f t="shared" si="296"/>
        <v>3586</v>
      </c>
      <c r="AK165" s="68">
        <f t="shared" si="252"/>
        <v>-1210</v>
      </c>
      <c r="AL165" s="268">
        <f t="shared" si="253"/>
        <v>1.5092592592592593</v>
      </c>
      <c r="AM165" s="13">
        <f t="shared" si="242"/>
        <v>2805</v>
      </c>
      <c r="AN165" s="13">
        <f t="shared" si="297"/>
        <v>0</v>
      </c>
      <c r="AO165" s="13">
        <f t="shared" si="297"/>
        <v>0</v>
      </c>
      <c r="AP165" s="13">
        <f t="shared" si="297"/>
        <v>0</v>
      </c>
      <c r="AQ165" s="13">
        <f t="shared" si="297"/>
        <v>0</v>
      </c>
      <c r="AR165" s="13">
        <f t="shared" si="297"/>
        <v>6559</v>
      </c>
      <c r="AS165" s="13">
        <f t="shared" si="297"/>
        <v>6559</v>
      </c>
      <c r="AT165" s="68">
        <f>AM165-AS165</f>
        <v>-3754</v>
      </c>
      <c r="AU165" s="268">
        <f t="shared" si="254"/>
        <v>2.3383244206773619</v>
      </c>
      <c r="AV165" s="13">
        <f t="shared" si="243"/>
        <v>1184</v>
      </c>
      <c r="AW165" s="13">
        <f t="shared" si="222"/>
        <v>0</v>
      </c>
      <c r="AX165" s="13">
        <f t="shared" si="222"/>
        <v>0</v>
      </c>
      <c r="AY165" s="13">
        <f t="shared" si="222"/>
        <v>5942</v>
      </c>
      <c r="AZ165" s="13">
        <f t="shared" si="222"/>
        <v>0</v>
      </c>
      <c r="BA165" s="13">
        <f t="shared" si="223"/>
        <v>5942</v>
      </c>
      <c r="BB165" s="68">
        <f t="shared" si="255"/>
        <v>-4758</v>
      </c>
      <c r="BC165" s="268">
        <f t="shared" si="256"/>
        <v>5.0185810810810807</v>
      </c>
      <c r="BD165" s="13">
        <f t="shared" si="257"/>
        <v>6533</v>
      </c>
      <c r="BE165" s="13">
        <f>SUMIFS(SALIDAS_BIT,FECHA_BIT,"&gt;="&amp;BE$2,FECHA_BIT,"&lt;="&amp;BE$3,CLAVE_BIT,$A165)+SUMIFS(SALIDAS_BOV1,FECHA_BOV1,"&gt;="&amp;BE$2,FECHA_BOV1,"&lt;="&amp;BE$3,CLAVE_BOV1,$A165)+SUMIFS(SALIDAS_BOV2,FECHA_BOV2,"&gt;="&amp;BE$2,FECHA_BOV2,"&lt;="&amp;BE$3,CLAVE_BOV2,$A165)+SUMIFS(SALIDAS_BOV3,FECHA_BOV3,"&gt;="&amp;BE$2,FECHA_BOV3,"&lt;="&amp;BE$3,CLAVE_BOV3,$A165)+SUMIFS(SALIDAS_TC,FECHA_TC,"&gt;="&amp;BE$2,FECHA_TC,"&lt;="&amp;BE$3,CLAVE_TC,$A165)+SUMIFS(SALIDAS_COMB,FECHA_COMB,"&gt;="&amp;BE$2,FECHA_COMB,"&lt;="&amp;BE$3,CLAVE_COMB,$A165)+SUMIFS(SALIDAS_DES,FECHA_DESGLOSEN,"&gt;="&amp;BE$2,FECHA_DESGLOSEN,"&lt;="&amp;BE$3,CLAVE_DESGLOSE,$A165)</f>
        <v>0</v>
      </c>
      <c r="BF165" s="13">
        <f>SUMIFS(SALIDAS_BIT,FECHA_BIT,"&gt;="&amp;BF$2,FECHA_BIT,"&lt;="&amp;BF$3,CLAVE_BIT,$A165)+SUMIFS(SALIDAS_BOV1,FECHA_BOV1,"&gt;="&amp;BF$2,FECHA_BOV1,"&lt;="&amp;BF$3,CLAVE_BOV1,$A165)+SUMIFS(SALIDAS_BOV2,FECHA_BOV2,"&gt;="&amp;BF$2,FECHA_BOV2,"&lt;="&amp;BF$3,CLAVE_BOV2,$A165)+SUMIFS(SALIDAS_BOV3,FECHA_BOV3,"&gt;="&amp;BF$2,FECHA_BOV3,"&lt;="&amp;BF$3,CLAVE_BOV3,$A165)+SUMIFS(SALIDAS_TC,FECHA_TC,"&gt;="&amp;BF$2,FECHA_TC,"&lt;="&amp;BF$3,CLAVE_TC,$A165)+SUMIFS(SALIDAS_COMB,FECHA_COMB,"&gt;="&amp;BF$2,FECHA_COMB,"&lt;="&amp;BF$3,CLAVE_COMB,$A165)+SUMIFS(SALIDAS_DES,FECHA_DESGLOSEN,"&gt;="&amp;BF$2,FECHA_DESGLOSEN,"&lt;="&amp;BF$3,CLAVE_DESGLOSE,$A165)</f>
        <v>0</v>
      </c>
      <c r="BG165" s="13">
        <f>SUMIFS(SALIDAS_BIT,FECHA_BIT,"&gt;="&amp;BG$2,FECHA_BIT,"&lt;="&amp;BG$3,CLAVE_BIT,$A165)+SUMIFS(SALIDAS_BOV1,FECHA_BOV1,"&gt;="&amp;BG$2,FECHA_BOV1,"&lt;="&amp;BG$3,CLAVE_BOV1,$A165)+SUMIFS(SALIDAS_BOV2,FECHA_BOV2,"&gt;="&amp;BG$2,FECHA_BOV2,"&lt;="&amp;BG$3,CLAVE_BOV2,$A165)+SUMIFS(SALIDAS_BOV3,FECHA_BOV3,"&gt;="&amp;BG$2,FECHA_BOV3,"&lt;="&amp;BG$3,CLAVE_BOV3,$A165)+SUMIFS(SALIDAS_TC,FECHA_TC,"&gt;="&amp;BG$2,FECHA_TC,"&lt;="&amp;BG$3,CLAVE_TC,$A165)+SUMIFS(SALIDAS_COMB,FECHA_COMB,"&gt;="&amp;BG$2,FECHA_COMB,"&lt;="&amp;BG$3,CLAVE_COMB,$A165)+SUMIFS(SALIDAS_DES,FECHA_DESGLOSEN,"&gt;="&amp;BG$2,FECHA_DESGLOSEN,"&lt;="&amp;BG$3,CLAVE_DESGLOSE,$A165)</f>
        <v>1892</v>
      </c>
      <c r="BH165" s="13">
        <f>SUMIFS(SALIDAS_BIT,FECHA_BIT,"&gt;="&amp;BH$2,FECHA_BIT,"&lt;="&amp;BH$3,CLAVE_BIT,$A165)+SUMIFS(SALIDAS_BOV1,FECHA_BOV1,"&gt;="&amp;BH$2,FECHA_BOV1,"&lt;="&amp;BH$3,CLAVE_BOV1,$A165)+SUMIFS(SALIDAS_BOV2,FECHA_BOV2,"&gt;="&amp;BH$2,FECHA_BOV2,"&lt;="&amp;BH$3,CLAVE_BOV2,$A165)+SUMIFS(SALIDAS_BOV3,FECHA_BOV3,"&gt;="&amp;BH$2,FECHA_BOV3,"&lt;="&amp;BH$3,CLAVE_BOV3,$A165)+SUMIFS(SALIDAS_TC,FECHA_TC,"&gt;="&amp;BH$2,FECHA_TC,"&lt;="&amp;BH$3,CLAVE_TC,$A165)+SUMIFS(SALIDAS_COMB,FECHA_COMB,"&gt;="&amp;BH$2,FECHA_COMB,"&lt;="&amp;BH$3,CLAVE_COMB,$A165)+SUMIFS(SALIDAS_DES,FECHA_DESGLOSEN,"&gt;="&amp;BH$2,FECHA_DESGLOSEN,"&lt;="&amp;BH$3,CLAVE_DESGLOSE,$A165)</f>
        <v>0</v>
      </c>
      <c r="BI165" s="13">
        <f t="shared" si="215"/>
        <v>1892</v>
      </c>
      <c r="BJ165" s="68">
        <f t="shared" si="258"/>
        <v>4641</v>
      </c>
      <c r="BK165" s="268">
        <f t="shared" si="259"/>
        <v>0.2896066125822746</v>
      </c>
      <c r="BL165" s="13">
        <f t="shared" si="260"/>
        <v>0</v>
      </c>
      <c r="BM165" s="13">
        <f>SUMIFS(SALIDAS_BIT,FECHA_BIT,"&gt;="&amp;BM$2,FECHA_BIT,"&lt;="&amp;BM$3,CLAVE_BIT,$A165)+SUMIFS(SALIDAS_BOV1,FECHA_BOV1,"&gt;="&amp;BM$2,FECHA_BOV1,"&lt;="&amp;BM$3,CLAVE_BOV1,$A165)+SUMIFS(SALIDAS_BOV2,FECHA_BOV2,"&gt;="&amp;BM$2,FECHA_BOV2,"&lt;="&amp;BM$3,CLAVE_BOV2,$A165)+SUMIFS(SALIDAS_BOV3,FECHA_BOV3,"&gt;="&amp;BM$2,FECHA_BOV3,"&lt;="&amp;BM$3,CLAVE_BOV3,$A165)+SUMIFS(SALIDAS_TC,FECHA_TC,"&gt;="&amp;BM$2,FECHA_TC,"&lt;="&amp;BM$3,CLAVE_TC,$A165)+SUMIFS(SALIDAS_COMB,FECHA_COMB,"&gt;="&amp;BM$2,FECHA_COMB,"&lt;="&amp;BM$3,CLAVE_COMB,$A165)+SUMIFS(SALIDAS_DES,FECHA_DESGLOSEN,"&gt;="&amp;BM$2,FECHA_DESGLOSEN,"&lt;="&amp;BM$3,CLAVE_DESGLOSE,$A165)</f>
        <v>0</v>
      </c>
      <c r="BN165" s="13">
        <f>SUMIFS(SALIDAS_BIT,FECHA_BIT,"&gt;="&amp;BN$2,FECHA_BIT,"&lt;="&amp;BN$3,CLAVE_BIT,$A165)+SUMIFS(SALIDAS_BOV1,FECHA_BOV1,"&gt;="&amp;BN$2,FECHA_BOV1,"&lt;="&amp;BN$3,CLAVE_BOV1,$A165)+SUMIFS(SALIDAS_BOV2,FECHA_BOV2,"&gt;="&amp;BN$2,FECHA_BOV2,"&lt;="&amp;BN$3,CLAVE_BOV2,$A165)+SUMIFS(SALIDAS_BOV3,FECHA_BOV3,"&gt;="&amp;BN$2,FECHA_BOV3,"&lt;="&amp;BN$3,CLAVE_BOV3,$A165)+SUMIFS(SALIDAS_TC,FECHA_TC,"&gt;="&amp;BN$2,FECHA_TC,"&lt;="&amp;BN$3,CLAVE_TC,$A165)+SUMIFS(SALIDAS_COMB,FECHA_COMB,"&gt;="&amp;BN$2,FECHA_COMB,"&lt;="&amp;BN$3,CLAVE_COMB,$A165)+SUMIFS(SALIDAS_DES,FECHA_DESGLOSEN,"&gt;="&amp;BN$2,FECHA_DESGLOSEN,"&lt;="&amp;BN$3,CLAVE_DESGLOSE,$A165)</f>
        <v>0</v>
      </c>
      <c r="BO165" s="13">
        <f>SUMIFS(SALIDAS_BIT,FECHA_BIT,"&gt;="&amp;BO$2,FECHA_BIT,"&lt;="&amp;BO$3,CLAVE_BIT,$A165)+SUMIFS(SALIDAS_BOV1,FECHA_BOV1,"&gt;="&amp;BO$2,FECHA_BOV1,"&lt;="&amp;BO$3,CLAVE_BOV1,$A165)+SUMIFS(SALIDAS_BOV2,FECHA_BOV2,"&gt;="&amp;BO$2,FECHA_BOV2,"&lt;="&amp;BO$3,CLAVE_BOV2,$A165)+SUMIFS(SALIDAS_BOV3,FECHA_BOV3,"&gt;="&amp;BO$2,FECHA_BOV3,"&lt;="&amp;BO$3,CLAVE_BOV3,$A165)+SUMIFS(SALIDAS_TC,FECHA_TC,"&gt;="&amp;BO$2,FECHA_TC,"&lt;="&amp;BO$3,CLAVE_TC,$A165)+SUMIFS(SALIDAS_COMB,FECHA_COMB,"&gt;="&amp;BO$2,FECHA_COMB,"&lt;="&amp;BO$3,CLAVE_COMB,$A165)+SUMIFS(SALIDAS_DES,FECHA_DESGLOSEN,"&gt;="&amp;BO$2,FECHA_DESGLOSEN,"&lt;="&amp;BO$3,CLAVE_DESGLOSE,$A165)</f>
        <v>0</v>
      </c>
      <c r="BP165" s="13">
        <f>SUMIFS(SALIDAS_BIT,FECHA_BIT,"&gt;="&amp;BP$2,FECHA_BIT,"&lt;="&amp;BP$3,CLAVE_BIT,$A165)+SUMIFS(SALIDAS_BOV1,FECHA_BOV1,"&gt;="&amp;BP$2,FECHA_BOV1,"&lt;="&amp;BP$3,CLAVE_BOV1,$A165)+SUMIFS(SALIDAS_BOV2,FECHA_BOV2,"&gt;="&amp;BP$2,FECHA_BOV2,"&lt;="&amp;BP$3,CLAVE_BOV2,$A165)+SUMIFS(SALIDAS_BOV3,FECHA_BOV3,"&gt;="&amp;BP$2,FECHA_BOV3,"&lt;="&amp;BP$3,CLAVE_BOV3,$A165)+SUMIFS(SALIDAS_TC,FECHA_TC,"&gt;="&amp;BP$2,FECHA_TC,"&lt;="&amp;BP$3,CLAVE_TC,$A165)+SUMIFS(SALIDAS_COMB,FECHA_COMB,"&gt;="&amp;BP$2,FECHA_COMB,"&lt;="&amp;BP$3,CLAVE_COMB,$A165)+SUMIFS(SALIDAS_DES,FECHA_DESGLOSEN,"&gt;="&amp;BP$2,FECHA_DESGLOSEN,"&lt;="&amp;BP$3,CLAVE_DESGLOSE,$A165)</f>
        <v>0</v>
      </c>
      <c r="BQ165" s="13">
        <f>SUMIFS(SALIDAS_BIT,FECHA_BIT,"&gt;="&amp;BQ$2,FECHA_BIT,"&lt;="&amp;BQ$3,CLAVE_BIT,$A165)+SUMIFS(SALIDAS_BOV1,FECHA_BOV1,"&gt;="&amp;BQ$2,FECHA_BOV1,"&lt;="&amp;BQ$3,CLAVE_BOV1,$A165)+SUMIFS(SALIDAS_BOV2,FECHA_BOV2,"&gt;="&amp;BQ$2,FECHA_BOV2,"&lt;="&amp;BQ$3,CLAVE_BOV2,$A165)+SUMIFS(SALIDAS_BOV3,FECHA_BOV3,"&gt;="&amp;BQ$2,FECHA_BOV3,"&lt;="&amp;BQ$3,CLAVE_BOV3,$A165)+SUMIFS(SALIDAS_TC,FECHA_TC,"&gt;="&amp;BQ$2,FECHA_TC,"&lt;="&amp;BQ$3,CLAVE_TC,$A165)+SUMIFS(SALIDAS_COMB,FECHA_COMB,"&gt;="&amp;BQ$2,FECHA_COMB,"&lt;="&amp;BQ$3,CLAVE_COMB,$A165)+SUMIFS(SALIDAS_DES,FECHA_DESGLOSEN,"&gt;="&amp;BQ$2,FECHA_DESGLOSEN,"&lt;="&amp;BQ$3,CLAVE_DESGLOSE,$A165)</f>
        <v>0</v>
      </c>
      <c r="BR165" s="13">
        <f t="shared" si="298"/>
        <v>0</v>
      </c>
      <c r="BS165" s="68">
        <f t="shared" si="261"/>
        <v>0</v>
      </c>
      <c r="BT165" s="268">
        <f t="shared" si="262"/>
        <v>0</v>
      </c>
      <c r="BU165" s="13">
        <f t="shared" si="263"/>
        <v>2000</v>
      </c>
      <c r="BV165" s="13">
        <f t="shared" si="291"/>
        <v>0</v>
      </c>
      <c r="BW165" s="13">
        <f t="shared" si="291"/>
        <v>0</v>
      </c>
      <c r="BX165" s="13">
        <f t="shared" si="291"/>
        <v>0</v>
      </c>
      <c r="BY165" s="13">
        <f t="shared" si="291"/>
        <v>0</v>
      </c>
      <c r="BZ165" s="13">
        <f t="shared" si="299"/>
        <v>0</v>
      </c>
      <c r="CA165" s="68">
        <f t="shared" si="264"/>
        <v>2000</v>
      </c>
      <c r="CB165" s="268">
        <f t="shared" si="265"/>
        <v>0</v>
      </c>
      <c r="CC165" s="13">
        <f t="shared" si="266"/>
        <v>2000</v>
      </c>
      <c r="CD165" s="13">
        <f t="shared" si="292"/>
        <v>3265</v>
      </c>
      <c r="CE165" s="13">
        <f t="shared" si="292"/>
        <v>0</v>
      </c>
      <c r="CF165" s="13">
        <f t="shared" si="292"/>
        <v>0</v>
      </c>
      <c r="CG165" s="13">
        <f t="shared" si="292"/>
        <v>0</v>
      </c>
      <c r="CH165" s="13">
        <f t="shared" si="300"/>
        <v>3265</v>
      </c>
      <c r="CI165" s="68">
        <f t="shared" si="267"/>
        <v>-1265</v>
      </c>
      <c r="CJ165" s="268">
        <f t="shared" si="268"/>
        <v>1.6325000000000001</v>
      </c>
      <c r="CK165" s="13">
        <f t="shared" si="269"/>
        <v>2000</v>
      </c>
      <c r="CL165" s="13">
        <f t="shared" si="228"/>
        <v>3343</v>
      </c>
      <c r="CM165" s="13">
        <f t="shared" si="228"/>
        <v>0</v>
      </c>
      <c r="CN165" s="13">
        <f t="shared" si="228"/>
        <v>0</v>
      </c>
      <c r="CO165" s="13">
        <f t="shared" si="228"/>
        <v>0</v>
      </c>
      <c r="CP165" s="13">
        <f t="shared" si="228"/>
        <v>0</v>
      </c>
      <c r="CQ165" s="13">
        <f t="shared" si="301"/>
        <v>3343</v>
      </c>
      <c r="CR165" s="68">
        <f t="shared" si="270"/>
        <v>-1343</v>
      </c>
      <c r="CS165" s="268">
        <f t="shared" si="271"/>
        <v>1.6715</v>
      </c>
      <c r="CT165" s="68">
        <f t="shared" si="244"/>
        <v>0</v>
      </c>
      <c r="CU165" s="13">
        <f>SUMIFS(SALIDAS_BIT,FECHA_BIT,"&gt;="&amp;CU$2,FECHA_BIT,"&lt;="&amp;CU$3,CLAVE_BIT,$A165)+SUMIFS(SALIDAS_BOV1,FECHA_BOV1,"&gt;="&amp;CU$2,FECHA_BOV1,"&lt;="&amp;CU$3,CLAVE_BOV1,$A165)+SUMIFS(SALIDAS_BOV2,FECHA_BOV2,"&gt;="&amp;CU$2,FECHA_BOV2,"&lt;="&amp;CU$3,CLAVE_BOV2,$A165)+SUMIFS(SALIDAS_BOV3,FECHA_BOV3,"&gt;="&amp;CU$2,FECHA_BOV3,"&lt;="&amp;CU$3,CLAVE_BOV3,$A165)+SUMIFS(SALIDAS_TC,FECHA_TC,"&gt;="&amp;CU$2,FECHA_TC,"&lt;="&amp;CU$3,CLAVE_TC,$A165)+SUMIFS(SALIDAS_COMB,FECHA_COMB,"&gt;="&amp;CU$2,FECHA_COMB,"&lt;="&amp;CU$3,CLAVE_COMB,$A165)+SUMIFS(SALIDAS_DES,FECHA_DESGLOSEN,"&gt;="&amp;CU$2,FECHA_DESGLOSEN,"&lt;="&amp;CU$3,CLAVE_DESGLOSE,$A165)</f>
        <v>2066</v>
      </c>
      <c r="CV165" s="13">
        <f>SUMIFS(SALIDAS_BIT,FECHA_BIT,"&gt;="&amp;CV$2,FECHA_BIT,"&lt;="&amp;CV$3,CLAVE_BIT,$A165)+SUMIFS(SALIDAS_BOV1,FECHA_BOV1,"&gt;="&amp;CV$2,FECHA_BOV1,"&lt;="&amp;CV$3,CLAVE_BOV1,$A165)+SUMIFS(SALIDAS_BOV2,FECHA_BOV2,"&gt;="&amp;CV$2,FECHA_BOV2,"&lt;="&amp;CV$3,CLAVE_BOV2,$A165)+SUMIFS(SALIDAS_BOV3,FECHA_BOV3,"&gt;="&amp;CV$2,FECHA_BOV3,"&lt;="&amp;CV$3,CLAVE_BOV3,$A165)+SUMIFS(SALIDAS_TC,FECHA_TC,"&gt;="&amp;CV$2,FECHA_TC,"&lt;="&amp;CV$3,CLAVE_TC,$A165)+SUMIFS(SALIDAS_COMB,FECHA_COMB,"&gt;="&amp;CV$2,FECHA_COMB,"&lt;="&amp;CV$3,CLAVE_COMB,$A165)+SUMIFS(SALIDAS_DES,FECHA_DESGLOSEN,"&gt;="&amp;CV$2,FECHA_DESGLOSEN,"&lt;="&amp;CV$3,CLAVE_DESGLOSE,$A165)</f>
        <v>0</v>
      </c>
      <c r="CW165" s="13">
        <f>SUMIFS(SALIDAS_BIT,FECHA_BIT,"&gt;="&amp;CW$2,FECHA_BIT,"&lt;="&amp;CW$3,CLAVE_BIT,$A165)+SUMIFS(SALIDAS_BOV1,FECHA_BOV1,"&gt;="&amp;CW$2,FECHA_BOV1,"&lt;="&amp;CW$3,CLAVE_BOV1,$A165)+SUMIFS(SALIDAS_BOV2,FECHA_BOV2,"&gt;="&amp;CW$2,FECHA_BOV2,"&lt;="&amp;CW$3,CLAVE_BOV2,$A165)+SUMIFS(SALIDAS_BOV3,FECHA_BOV3,"&gt;="&amp;CW$2,FECHA_BOV3,"&lt;="&amp;CW$3,CLAVE_BOV3,$A165)+SUMIFS(SALIDAS_TC,FECHA_TC,"&gt;="&amp;CW$2,FECHA_TC,"&lt;="&amp;CW$3,CLAVE_TC,$A165)+SUMIFS(SALIDAS_COMB,FECHA_COMB,"&gt;="&amp;CW$2,FECHA_COMB,"&lt;="&amp;CW$3,CLAVE_COMB,$A165)+SUMIFS(SALIDAS_DES,FECHA_DESGLOSEN,"&gt;="&amp;CW$2,FECHA_DESGLOSEN,"&lt;="&amp;CW$3,CLAVE_DESGLOSE,$A165)</f>
        <v>0</v>
      </c>
      <c r="CX165" s="13">
        <f>SUMIFS(SALIDAS_BIT,FECHA_BIT,"&gt;="&amp;CX$2,FECHA_BIT,"&lt;="&amp;CX$3,CLAVE_BIT,$A165)+SUMIFS(SALIDAS_BOV1,FECHA_BOV1,"&gt;="&amp;CX$2,FECHA_BOV1,"&lt;="&amp;CX$3,CLAVE_BOV1,$A165)+SUMIFS(SALIDAS_BOV2,FECHA_BOV2,"&gt;="&amp;CX$2,FECHA_BOV2,"&lt;="&amp;CX$3,CLAVE_BOV2,$A165)+SUMIFS(SALIDAS_BOV3,FECHA_BOV3,"&gt;="&amp;CX$2,FECHA_BOV3,"&lt;="&amp;CX$3,CLAVE_BOV3,$A165)+SUMIFS(SALIDAS_TC,FECHA_TC,"&gt;="&amp;CX$2,FECHA_TC,"&lt;="&amp;CX$3,CLAVE_TC,$A165)+SUMIFS(SALIDAS_COMB,FECHA_COMB,"&gt;="&amp;CX$2,FECHA_COMB,"&lt;="&amp;CX$3,CLAVE_COMB,$A165)+SUMIFS(SALIDAS_DES,FECHA_DESGLOSEN,"&gt;="&amp;CX$2,FECHA_DESGLOSEN,"&lt;="&amp;CX$3,CLAVE_DESGLOSE,$A165)</f>
        <v>0</v>
      </c>
      <c r="CY165" s="13">
        <f>SUMIFS(SALIDAS_BIT,FECHA_BIT,"&gt;="&amp;CY$2,FECHA_BIT,"&lt;="&amp;CY$3,CLAVE_BIT,$A165)+SUMIFS(SALIDAS_BOV1,FECHA_BOV1,"&gt;="&amp;CY$2,FECHA_BOV1,"&lt;="&amp;CY$3,CLAVE_BOV1,$A165)+SUMIFS(SALIDAS_BOV2,FECHA_BOV2,"&gt;="&amp;CY$2,FECHA_BOV2,"&lt;="&amp;CY$3,CLAVE_BOV2,$A165)+SUMIFS(SALIDAS_BOV3,FECHA_BOV3,"&gt;="&amp;CY$2,FECHA_BOV3,"&lt;="&amp;CY$3,CLAVE_BOV3,$A165)+SUMIFS(SALIDAS_TC,FECHA_TC,"&gt;="&amp;CY$2,FECHA_TC,"&lt;="&amp;CY$3,CLAVE_TC,$A165)+SUMIFS(SALIDAS_COMB,FECHA_COMB,"&gt;="&amp;CY$2,FECHA_COMB,"&lt;="&amp;CY$3,CLAVE_COMB,$A165)+SUMIFS(SALIDAS_DES,FECHA_DESGLOSEN,"&gt;="&amp;CY$2,FECHA_DESGLOSEN,"&lt;="&amp;CY$3,CLAVE_DESGLOSE,$A165)</f>
        <v>2066</v>
      </c>
      <c r="CZ165" s="68">
        <f t="shared" si="272"/>
        <v>-2066</v>
      </c>
      <c r="DB165" s="17">
        <f>F165+N165+W165+AE165+AM165+AV165+BD165+BL165+BU165+CC165+CK165</f>
        <v>21911</v>
      </c>
      <c r="DC165" s="17">
        <f>K165+T165+AB165+AJ165+AS165+BA165+BI165+BR165+BZ165+CH165+CQ165</f>
        <v>35000</v>
      </c>
    </row>
    <row r="166" spans="1:107" hidden="1">
      <c r="A166" s="12" t="str">
        <f t="shared" si="245"/>
        <v>FINANZASJMASCONTABILIDAD</v>
      </c>
      <c r="B166" s="12">
        <v>168</v>
      </c>
      <c r="C166" t="s">
        <v>23</v>
      </c>
      <c r="D166" s="12" t="s">
        <v>137</v>
      </c>
      <c r="E166" s="12" t="s">
        <v>37</v>
      </c>
      <c r="F166" s="259">
        <f t="shared" si="238"/>
        <v>0</v>
      </c>
      <c r="G166" s="13">
        <f t="shared" si="293"/>
        <v>0</v>
      </c>
      <c r="H166" s="13">
        <f t="shared" si="293"/>
        <v>0</v>
      </c>
      <c r="I166" s="13">
        <f t="shared" si="293"/>
        <v>0</v>
      </c>
      <c r="J166" s="13">
        <f t="shared" si="293"/>
        <v>0</v>
      </c>
      <c r="K166" s="13">
        <f t="shared" si="293"/>
        <v>0</v>
      </c>
      <c r="L166" s="68">
        <f t="shared" si="246"/>
        <v>0</v>
      </c>
      <c r="M166" s="268">
        <f t="shared" si="247"/>
        <v>0</v>
      </c>
      <c r="N166" s="13">
        <f t="shared" si="239"/>
        <v>0</v>
      </c>
      <c r="O166" s="13">
        <f t="shared" si="294"/>
        <v>0</v>
      </c>
      <c r="P166" s="13">
        <f t="shared" si="294"/>
        <v>0</v>
      </c>
      <c r="Q166" s="13">
        <f t="shared" si="294"/>
        <v>0</v>
      </c>
      <c r="R166" s="13">
        <f t="shared" si="294"/>
        <v>0</v>
      </c>
      <c r="S166" s="13">
        <f t="shared" si="294"/>
        <v>0</v>
      </c>
      <c r="T166" s="13">
        <f t="shared" si="294"/>
        <v>0</v>
      </c>
      <c r="U166" s="68">
        <f t="shared" si="248"/>
        <v>0</v>
      </c>
      <c r="V166" s="268">
        <f t="shared" si="249"/>
        <v>0</v>
      </c>
      <c r="W166" s="13">
        <f t="shared" si="240"/>
        <v>0</v>
      </c>
      <c r="X166" s="13">
        <f t="shared" si="295"/>
        <v>0</v>
      </c>
      <c r="Y166" s="13">
        <f t="shared" si="295"/>
        <v>0</v>
      </c>
      <c r="Z166" s="13">
        <f t="shared" si="295"/>
        <v>0</v>
      </c>
      <c r="AA166" s="13">
        <f t="shared" si="295"/>
        <v>0</v>
      </c>
      <c r="AB166" s="13">
        <f t="shared" si="295"/>
        <v>0</v>
      </c>
      <c r="AC166" s="68">
        <f t="shared" si="250"/>
        <v>0</v>
      </c>
      <c r="AD166" s="268">
        <f t="shared" si="251"/>
        <v>0</v>
      </c>
      <c r="AE166" s="13">
        <f t="shared" si="241"/>
        <v>0</v>
      </c>
      <c r="AF166" s="13">
        <f t="shared" si="296"/>
        <v>0</v>
      </c>
      <c r="AG166" s="13">
        <f t="shared" si="296"/>
        <v>0</v>
      </c>
      <c r="AH166" s="13">
        <f t="shared" si="296"/>
        <v>0</v>
      </c>
      <c r="AI166" s="13">
        <f t="shared" si="296"/>
        <v>0</v>
      </c>
      <c r="AJ166" s="13">
        <f t="shared" si="296"/>
        <v>0</v>
      </c>
      <c r="AK166" s="68">
        <f t="shared" si="252"/>
        <v>0</v>
      </c>
      <c r="AL166" s="268">
        <f t="shared" si="253"/>
        <v>0</v>
      </c>
      <c r="AM166" s="13">
        <f t="shared" si="242"/>
        <v>0</v>
      </c>
      <c r="AN166" s="13">
        <f t="shared" si="297"/>
        <v>0</v>
      </c>
      <c r="AO166" s="13">
        <f t="shared" si="297"/>
        <v>0</v>
      </c>
      <c r="AP166" s="13">
        <f t="shared" si="297"/>
        <v>0</v>
      </c>
      <c r="AQ166" s="13">
        <f t="shared" si="297"/>
        <v>0</v>
      </c>
      <c r="AR166" s="13">
        <f t="shared" si="297"/>
        <v>0</v>
      </c>
      <c r="AS166" s="13">
        <f t="shared" si="297"/>
        <v>0</v>
      </c>
      <c r="AT166" s="68">
        <f>AM166-AS166</f>
        <v>0</v>
      </c>
      <c r="AU166" s="268">
        <f t="shared" si="254"/>
        <v>0</v>
      </c>
      <c r="AV166" s="13">
        <f t="shared" si="243"/>
        <v>0</v>
      </c>
      <c r="AW166" s="13">
        <f t="shared" si="222"/>
        <v>0</v>
      </c>
      <c r="AX166" s="13">
        <f t="shared" si="222"/>
        <v>0</v>
      </c>
      <c r="AY166" s="13">
        <f t="shared" si="222"/>
        <v>0</v>
      </c>
      <c r="AZ166" s="13">
        <f t="shared" si="222"/>
        <v>0</v>
      </c>
      <c r="BA166" s="13">
        <f t="shared" si="223"/>
        <v>0</v>
      </c>
      <c r="BB166" s="68">
        <f t="shared" si="255"/>
        <v>0</v>
      </c>
      <c r="BC166" s="268">
        <f t="shared" si="256"/>
        <v>0</v>
      </c>
      <c r="BD166" s="13">
        <f t="shared" si="257"/>
        <v>0</v>
      </c>
      <c r="BE166" s="13">
        <f>SUMIFS(SALIDAS_BIT,FECHA_BIT,"&gt;="&amp;BE$2,FECHA_BIT,"&lt;="&amp;BE$3,CLAVE_BIT,$A166)+SUMIFS(SALIDAS_BOV1,FECHA_BOV1,"&gt;="&amp;BE$2,FECHA_BOV1,"&lt;="&amp;BE$3,CLAVE_BOV1,$A166)+SUMIFS(SALIDAS_BOV2,FECHA_BOV2,"&gt;="&amp;BE$2,FECHA_BOV2,"&lt;="&amp;BE$3,CLAVE_BOV2,$A166)+SUMIFS(SALIDAS_BOV3,FECHA_BOV3,"&gt;="&amp;BE$2,FECHA_BOV3,"&lt;="&amp;BE$3,CLAVE_BOV3,$A166)+SUMIFS(SALIDAS_TC,FECHA_TC,"&gt;="&amp;BE$2,FECHA_TC,"&lt;="&amp;BE$3,CLAVE_TC,$A166)+SUMIFS(SALIDAS_COMB,FECHA_COMB,"&gt;="&amp;BE$2,FECHA_COMB,"&lt;="&amp;BE$3,CLAVE_COMB,$A166)+SUMIFS(SALIDAS_DES,FECHA_DESGLOSEN,"&gt;="&amp;BE$2,FECHA_DESGLOSEN,"&lt;="&amp;BE$3,CLAVE_DESGLOSE,$A166)</f>
        <v>0</v>
      </c>
      <c r="BF166" s="13">
        <f>SUMIFS(SALIDAS_BIT,FECHA_BIT,"&gt;="&amp;BF$2,FECHA_BIT,"&lt;="&amp;BF$3,CLAVE_BIT,$A166)+SUMIFS(SALIDAS_BOV1,FECHA_BOV1,"&gt;="&amp;BF$2,FECHA_BOV1,"&lt;="&amp;BF$3,CLAVE_BOV1,$A166)+SUMIFS(SALIDAS_BOV2,FECHA_BOV2,"&gt;="&amp;BF$2,FECHA_BOV2,"&lt;="&amp;BF$3,CLAVE_BOV2,$A166)+SUMIFS(SALIDAS_BOV3,FECHA_BOV3,"&gt;="&amp;BF$2,FECHA_BOV3,"&lt;="&amp;BF$3,CLAVE_BOV3,$A166)+SUMIFS(SALIDAS_TC,FECHA_TC,"&gt;="&amp;BF$2,FECHA_TC,"&lt;="&amp;BF$3,CLAVE_TC,$A166)+SUMIFS(SALIDAS_COMB,FECHA_COMB,"&gt;="&amp;BF$2,FECHA_COMB,"&lt;="&amp;BF$3,CLAVE_COMB,$A166)+SUMIFS(SALIDAS_DES,FECHA_DESGLOSEN,"&gt;="&amp;BF$2,FECHA_DESGLOSEN,"&lt;="&amp;BF$3,CLAVE_DESGLOSE,$A166)</f>
        <v>0</v>
      </c>
      <c r="BG166" s="13">
        <f>SUMIFS(SALIDAS_BIT,FECHA_BIT,"&gt;="&amp;BG$2,FECHA_BIT,"&lt;="&amp;BG$3,CLAVE_BIT,$A166)+SUMIFS(SALIDAS_BOV1,FECHA_BOV1,"&gt;="&amp;BG$2,FECHA_BOV1,"&lt;="&amp;BG$3,CLAVE_BOV1,$A166)+SUMIFS(SALIDAS_BOV2,FECHA_BOV2,"&gt;="&amp;BG$2,FECHA_BOV2,"&lt;="&amp;BG$3,CLAVE_BOV2,$A166)+SUMIFS(SALIDAS_BOV3,FECHA_BOV3,"&gt;="&amp;BG$2,FECHA_BOV3,"&lt;="&amp;BG$3,CLAVE_BOV3,$A166)+SUMIFS(SALIDAS_TC,FECHA_TC,"&gt;="&amp;BG$2,FECHA_TC,"&lt;="&amp;BG$3,CLAVE_TC,$A166)+SUMIFS(SALIDAS_COMB,FECHA_COMB,"&gt;="&amp;BG$2,FECHA_COMB,"&lt;="&amp;BG$3,CLAVE_COMB,$A166)+SUMIFS(SALIDAS_DES,FECHA_DESGLOSEN,"&gt;="&amp;BG$2,FECHA_DESGLOSEN,"&lt;="&amp;BG$3,CLAVE_DESGLOSE,$A166)</f>
        <v>0</v>
      </c>
      <c r="BH166" s="13">
        <f>SUMIFS(SALIDAS_BIT,FECHA_BIT,"&gt;="&amp;BH$2,FECHA_BIT,"&lt;="&amp;BH$3,CLAVE_BIT,$A166)+SUMIFS(SALIDAS_BOV1,FECHA_BOV1,"&gt;="&amp;BH$2,FECHA_BOV1,"&lt;="&amp;BH$3,CLAVE_BOV1,$A166)+SUMIFS(SALIDAS_BOV2,FECHA_BOV2,"&gt;="&amp;BH$2,FECHA_BOV2,"&lt;="&amp;BH$3,CLAVE_BOV2,$A166)+SUMIFS(SALIDAS_BOV3,FECHA_BOV3,"&gt;="&amp;BH$2,FECHA_BOV3,"&lt;="&amp;BH$3,CLAVE_BOV3,$A166)+SUMIFS(SALIDAS_TC,FECHA_TC,"&gt;="&amp;BH$2,FECHA_TC,"&lt;="&amp;BH$3,CLAVE_TC,$A166)+SUMIFS(SALIDAS_COMB,FECHA_COMB,"&gt;="&amp;BH$2,FECHA_COMB,"&lt;="&amp;BH$3,CLAVE_COMB,$A166)+SUMIFS(SALIDAS_DES,FECHA_DESGLOSEN,"&gt;="&amp;BH$2,FECHA_DESGLOSEN,"&lt;="&amp;BH$3,CLAVE_DESGLOSE,$A166)</f>
        <v>0</v>
      </c>
      <c r="BI166" s="13">
        <f t="shared" si="215"/>
        <v>0</v>
      </c>
      <c r="BJ166" s="68">
        <f t="shared" si="258"/>
        <v>0</v>
      </c>
      <c r="BK166" s="268">
        <f t="shared" si="259"/>
        <v>0</v>
      </c>
      <c r="BL166" s="13">
        <f t="shared" si="260"/>
        <v>0</v>
      </c>
      <c r="BM166" s="13">
        <f>SUMIFS(SALIDAS_BIT,FECHA_BIT,"&gt;="&amp;BM$2,FECHA_BIT,"&lt;="&amp;BM$3,CLAVE_BIT,$A166)+SUMIFS(SALIDAS_BOV1,FECHA_BOV1,"&gt;="&amp;BM$2,FECHA_BOV1,"&lt;="&amp;BM$3,CLAVE_BOV1,$A166)+SUMIFS(SALIDAS_BOV2,FECHA_BOV2,"&gt;="&amp;BM$2,FECHA_BOV2,"&lt;="&amp;BM$3,CLAVE_BOV2,$A166)+SUMIFS(SALIDAS_BOV3,FECHA_BOV3,"&gt;="&amp;BM$2,FECHA_BOV3,"&lt;="&amp;BM$3,CLAVE_BOV3,$A166)+SUMIFS(SALIDAS_TC,FECHA_TC,"&gt;="&amp;BM$2,FECHA_TC,"&lt;="&amp;BM$3,CLAVE_TC,$A166)+SUMIFS(SALIDAS_COMB,FECHA_COMB,"&gt;="&amp;BM$2,FECHA_COMB,"&lt;="&amp;BM$3,CLAVE_COMB,$A166)+SUMIFS(SALIDAS_DES,FECHA_DESGLOSEN,"&gt;="&amp;BM$2,FECHA_DESGLOSEN,"&lt;="&amp;BM$3,CLAVE_DESGLOSE,$A166)</f>
        <v>0</v>
      </c>
      <c r="BN166" s="13">
        <f>SUMIFS(SALIDAS_BIT,FECHA_BIT,"&gt;="&amp;BN$2,FECHA_BIT,"&lt;="&amp;BN$3,CLAVE_BIT,$A166)+SUMIFS(SALIDAS_BOV1,FECHA_BOV1,"&gt;="&amp;BN$2,FECHA_BOV1,"&lt;="&amp;BN$3,CLAVE_BOV1,$A166)+SUMIFS(SALIDAS_BOV2,FECHA_BOV2,"&gt;="&amp;BN$2,FECHA_BOV2,"&lt;="&amp;BN$3,CLAVE_BOV2,$A166)+SUMIFS(SALIDAS_BOV3,FECHA_BOV3,"&gt;="&amp;BN$2,FECHA_BOV3,"&lt;="&amp;BN$3,CLAVE_BOV3,$A166)+SUMIFS(SALIDAS_TC,FECHA_TC,"&gt;="&amp;BN$2,FECHA_TC,"&lt;="&amp;BN$3,CLAVE_TC,$A166)+SUMIFS(SALIDAS_COMB,FECHA_COMB,"&gt;="&amp;BN$2,FECHA_COMB,"&lt;="&amp;BN$3,CLAVE_COMB,$A166)+SUMIFS(SALIDAS_DES,FECHA_DESGLOSEN,"&gt;="&amp;BN$2,FECHA_DESGLOSEN,"&lt;="&amp;BN$3,CLAVE_DESGLOSE,$A166)</f>
        <v>0</v>
      </c>
      <c r="BO166" s="13">
        <f>SUMIFS(SALIDAS_BIT,FECHA_BIT,"&gt;="&amp;BO$2,FECHA_BIT,"&lt;="&amp;BO$3,CLAVE_BIT,$A166)+SUMIFS(SALIDAS_BOV1,FECHA_BOV1,"&gt;="&amp;BO$2,FECHA_BOV1,"&lt;="&amp;BO$3,CLAVE_BOV1,$A166)+SUMIFS(SALIDAS_BOV2,FECHA_BOV2,"&gt;="&amp;BO$2,FECHA_BOV2,"&lt;="&amp;BO$3,CLAVE_BOV2,$A166)+SUMIFS(SALIDAS_BOV3,FECHA_BOV3,"&gt;="&amp;BO$2,FECHA_BOV3,"&lt;="&amp;BO$3,CLAVE_BOV3,$A166)+SUMIFS(SALIDAS_TC,FECHA_TC,"&gt;="&amp;BO$2,FECHA_TC,"&lt;="&amp;BO$3,CLAVE_TC,$A166)+SUMIFS(SALIDAS_COMB,FECHA_COMB,"&gt;="&amp;BO$2,FECHA_COMB,"&lt;="&amp;BO$3,CLAVE_COMB,$A166)+SUMIFS(SALIDAS_DES,FECHA_DESGLOSEN,"&gt;="&amp;BO$2,FECHA_DESGLOSEN,"&lt;="&amp;BO$3,CLAVE_DESGLOSE,$A166)</f>
        <v>0</v>
      </c>
      <c r="BP166" s="13">
        <f>SUMIFS(SALIDAS_BIT,FECHA_BIT,"&gt;="&amp;BP$2,FECHA_BIT,"&lt;="&amp;BP$3,CLAVE_BIT,$A166)+SUMIFS(SALIDAS_BOV1,FECHA_BOV1,"&gt;="&amp;BP$2,FECHA_BOV1,"&lt;="&amp;BP$3,CLAVE_BOV1,$A166)+SUMIFS(SALIDAS_BOV2,FECHA_BOV2,"&gt;="&amp;BP$2,FECHA_BOV2,"&lt;="&amp;BP$3,CLAVE_BOV2,$A166)+SUMIFS(SALIDAS_BOV3,FECHA_BOV3,"&gt;="&amp;BP$2,FECHA_BOV3,"&lt;="&amp;BP$3,CLAVE_BOV3,$A166)+SUMIFS(SALIDAS_TC,FECHA_TC,"&gt;="&amp;BP$2,FECHA_TC,"&lt;="&amp;BP$3,CLAVE_TC,$A166)+SUMIFS(SALIDAS_COMB,FECHA_COMB,"&gt;="&amp;BP$2,FECHA_COMB,"&lt;="&amp;BP$3,CLAVE_COMB,$A166)+SUMIFS(SALIDAS_DES,FECHA_DESGLOSEN,"&gt;="&amp;BP$2,FECHA_DESGLOSEN,"&lt;="&amp;BP$3,CLAVE_DESGLOSE,$A166)</f>
        <v>0</v>
      </c>
      <c r="BQ166" s="13">
        <f>SUMIFS(SALIDAS_BIT,FECHA_BIT,"&gt;="&amp;BQ$2,FECHA_BIT,"&lt;="&amp;BQ$3,CLAVE_BIT,$A166)+SUMIFS(SALIDAS_BOV1,FECHA_BOV1,"&gt;="&amp;BQ$2,FECHA_BOV1,"&lt;="&amp;BQ$3,CLAVE_BOV1,$A166)+SUMIFS(SALIDAS_BOV2,FECHA_BOV2,"&gt;="&amp;BQ$2,FECHA_BOV2,"&lt;="&amp;BQ$3,CLAVE_BOV2,$A166)+SUMIFS(SALIDAS_BOV3,FECHA_BOV3,"&gt;="&amp;BQ$2,FECHA_BOV3,"&lt;="&amp;BQ$3,CLAVE_BOV3,$A166)+SUMIFS(SALIDAS_TC,FECHA_TC,"&gt;="&amp;BQ$2,FECHA_TC,"&lt;="&amp;BQ$3,CLAVE_TC,$A166)+SUMIFS(SALIDAS_COMB,FECHA_COMB,"&gt;="&amp;BQ$2,FECHA_COMB,"&lt;="&amp;BQ$3,CLAVE_COMB,$A166)+SUMIFS(SALIDAS_DES,FECHA_DESGLOSEN,"&gt;="&amp;BQ$2,FECHA_DESGLOSEN,"&lt;="&amp;BQ$3,CLAVE_DESGLOSE,$A166)</f>
        <v>0</v>
      </c>
      <c r="BR166" s="13">
        <f t="shared" si="298"/>
        <v>0</v>
      </c>
      <c r="BS166" s="68">
        <f t="shared" si="261"/>
        <v>0</v>
      </c>
      <c r="BT166" s="268">
        <f t="shared" si="262"/>
        <v>0</v>
      </c>
      <c r="BU166" s="13">
        <f t="shared" si="263"/>
        <v>0</v>
      </c>
      <c r="BV166" s="13">
        <f t="shared" si="291"/>
        <v>0</v>
      </c>
      <c r="BW166" s="13">
        <f t="shared" si="291"/>
        <v>0</v>
      </c>
      <c r="BX166" s="13">
        <f t="shared" si="291"/>
        <v>0</v>
      </c>
      <c r="BY166" s="13">
        <f t="shared" si="291"/>
        <v>0</v>
      </c>
      <c r="BZ166" s="13">
        <f t="shared" si="299"/>
        <v>0</v>
      </c>
      <c r="CA166" s="68">
        <f t="shared" si="264"/>
        <v>0</v>
      </c>
      <c r="CB166" s="268">
        <f t="shared" si="265"/>
        <v>0</v>
      </c>
      <c r="CC166" s="13">
        <f t="shared" si="266"/>
        <v>0</v>
      </c>
      <c r="CD166" s="13">
        <f t="shared" si="292"/>
        <v>0</v>
      </c>
      <c r="CE166" s="13">
        <f t="shared" si="292"/>
        <v>0</v>
      </c>
      <c r="CF166" s="13">
        <f t="shared" si="292"/>
        <v>0</v>
      </c>
      <c r="CG166" s="13">
        <f t="shared" si="292"/>
        <v>0</v>
      </c>
      <c r="CH166" s="13">
        <f t="shared" si="300"/>
        <v>0</v>
      </c>
      <c r="CI166" s="68">
        <f t="shared" si="267"/>
        <v>0</v>
      </c>
      <c r="CJ166" s="268">
        <f t="shared" si="268"/>
        <v>0</v>
      </c>
      <c r="CK166" s="13">
        <f t="shared" si="269"/>
        <v>0</v>
      </c>
      <c r="CL166" s="13">
        <f t="shared" si="228"/>
        <v>0</v>
      </c>
      <c r="CM166" s="13">
        <f t="shared" si="228"/>
        <v>0</v>
      </c>
      <c r="CN166" s="13">
        <f t="shared" si="228"/>
        <v>0</v>
      </c>
      <c r="CO166" s="13">
        <f t="shared" si="228"/>
        <v>0</v>
      </c>
      <c r="CP166" s="13">
        <f t="shared" si="228"/>
        <v>0</v>
      </c>
      <c r="CQ166" s="13">
        <f t="shared" si="301"/>
        <v>0</v>
      </c>
      <c r="CR166" s="68">
        <f t="shared" si="270"/>
        <v>0</v>
      </c>
      <c r="CS166" s="268">
        <f t="shared" si="271"/>
        <v>0</v>
      </c>
      <c r="CT166" s="68">
        <f t="shared" si="244"/>
        <v>0</v>
      </c>
      <c r="CU166" s="13">
        <f>SUMIFS(SALIDAS_BIT,FECHA_BIT,"&gt;="&amp;CU$2,FECHA_BIT,"&lt;="&amp;CU$3,CLAVE_BIT,$A166)+SUMIFS(SALIDAS_BOV1,FECHA_BOV1,"&gt;="&amp;CU$2,FECHA_BOV1,"&lt;="&amp;CU$3,CLAVE_BOV1,$A166)+SUMIFS(SALIDAS_BOV2,FECHA_BOV2,"&gt;="&amp;CU$2,FECHA_BOV2,"&lt;="&amp;CU$3,CLAVE_BOV2,$A166)+SUMIFS(SALIDAS_BOV3,FECHA_BOV3,"&gt;="&amp;CU$2,FECHA_BOV3,"&lt;="&amp;CU$3,CLAVE_BOV3,$A166)+SUMIFS(SALIDAS_TC,FECHA_TC,"&gt;="&amp;CU$2,FECHA_TC,"&lt;="&amp;CU$3,CLAVE_TC,$A166)+SUMIFS(SALIDAS_COMB,FECHA_COMB,"&gt;="&amp;CU$2,FECHA_COMB,"&lt;="&amp;CU$3,CLAVE_COMB,$A166)+SUMIFS(SALIDAS_DES,FECHA_DESGLOSEN,"&gt;="&amp;CU$2,FECHA_DESGLOSEN,"&lt;="&amp;CU$3,CLAVE_DESGLOSE,$A166)</f>
        <v>0</v>
      </c>
      <c r="CV166" s="13">
        <f>SUMIFS(SALIDAS_BIT,FECHA_BIT,"&gt;="&amp;CV$2,FECHA_BIT,"&lt;="&amp;CV$3,CLAVE_BIT,$A166)+SUMIFS(SALIDAS_BOV1,FECHA_BOV1,"&gt;="&amp;CV$2,FECHA_BOV1,"&lt;="&amp;CV$3,CLAVE_BOV1,$A166)+SUMIFS(SALIDAS_BOV2,FECHA_BOV2,"&gt;="&amp;CV$2,FECHA_BOV2,"&lt;="&amp;CV$3,CLAVE_BOV2,$A166)+SUMIFS(SALIDAS_BOV3,FECHA_BOV3,"&gt;="&amp;CV$2,FECHA_BOV3,"&lt;="&amp;CV$3,CLAVE_BOV3,$A166)+SUMIFS(SALIDAS_TC,FECHA_TC,"&gt;="&amp;CV$2,FECHA_TC,"&lt;="&amp;CV$3,CLAVE_TC,$A166)+SUMIFS(SALIDAS_COMB,FECHA_COMB,"&gt;="&amp;CV$2,FECHA_COMB,"&lt;="&amp;CV$3,CLAVE_COMB,$A166)+SUMIFS(SALIDAS_DES,FECHA_DESGLOSEN,"&gt;="&amp;CV$2,FECHA_DESGLOSEN,"&lt;="&amp;CV$3,CLAVE_DESGLOSE,$A166)</f>
        <v>0</v>
      </c>
      <c r="CW166" s="13">
        <f>SUMIFS(SALIDAS_BIT,FECHA_BIT,"&gt;="&amp;CW$2,FECHA_BIT,"&lt;="&amp;CW$3,CLAVE_BIT,$A166)+SUMIFS(SALIDAS_BOV1,FECHA_BOV1,"&gt;="&amp;CW$2,FECHA_BOV1,"&lt;="&amp;CW$3,CLAVE_BOV1,$A166)+SUMIFS(SALIDAS_BOV2,FECHA_BOV2,"&gt;="&amp;CW$2,FECHA_BOV2,"&lt;="&amp;CW$3,CLAVE_BOV2,$A166)+SUMIFS(SALIDAS_BOV3,FECHA_BOV3,"&gt;="&amp;CW$2,FECHA_BOV3,"&lt;="&amp;CW$3,CLAVE_BOV3,$A166)+SUMIFS(SALIDAS_TC,FECHA_TC,"&gt;="&amp;CW$2,FECHA_TC,"&lt;="&amp;CW$3,CLAVE_TC,$A166)+SUMIFS(SALIDAS_COMB,FECHA_COMB,"&gt;="&amp;CW$2,FECHA_COMB,"&lt;="&amp;CW$3,CLAVE_COMB,$A166)+SUMIFS(SALIDAS_DES,FECHA_DESGLOSEN,"&gt;="&amp;CW$2,FECHA_DESGLOSEN,"&lt;="&amp;CW$3,CLAVE_DESGLOSE,$A166)</f>
        <v>0</v>
      </c>
      <c r="CX166" s="13">
        <f>SUMIFS(SALIDAS_BIT,FECHA_BIT,"&gt;="&amp;CX$2,FECHA_BIT,"&lt;="&amp;CX$3,CLAVE_BIT,$A166)+SUMIFS(SALIDAS_BOV1,FECHA_BOV1,"&gt;="&amp;CX$2,FECHA_BOV1,"&lt;="&amp;CX$3,CLAVE_BOV1,$A166)+SUMIFS(SALIDAS_BOV2,FECHA_BOV2,"&gt;="&amp;CX$2,FECHA_BOV2,"&lt;="&amp;CX$3,CLAVE_BOV2,$A166)+SUMIFS(SALIDAS_BOV3,FECHA_BOV3,"&gt;="&amp;CX$2,FECHA_BOV3,"&lt;="&amp;CX$3,CLAVE_BOV3,$A166)+SUMIFS(SALIDAS_TC,FECHA_TC,"&gt;="&amp;CX$2,FECHA_TC,"&lt;="&amp;CX$3,CLAVE_TC,$A166)+SUMIFS(SALIDAS_COMB,FECHA_COMB,"&gt;="&amp;CX$2,FECHA_COMB,"&lt;="&amp;CX$3,CLAVE_COMB,$A166)+SUMIFS(SALIDAS_DES,FECHA_DESGLOSEN,"&gt;="&amp;CX$2,FECHA_DESGLOSEN,"&lt;="&amp;CX$3,CLAVE_DESGLOSE,$A166)</f>
        <v>0</v>
      </c>
      <c r="CY166" s="13">
        <f>SUMIFS(SALIDAS_BIT,FECHA_BIT,"&gt;="&amp;CY$2,FECHA_BIT,"&lt;="&amp;CY$3,CLAVE_BIT,$A166)+SUMIFS(SALIDAS_BOV1,FECHA_BOV1,"&gt;="&amp;CY$2,FECHA_BOV1,"&lt;="&amp;CY$3,CLAVE_BOV1,$A166)+SUMIFS(SALIDAS_BOV2,FECHA_BOV2,"&gt;="&amp;CY$2,FECHA_BOV2,"&lt;="&amp;CY$3,CLAVE_BOV2,$A166)+SUMIFS(SALIDAS_BOV3,FECHA_BOV3,"&gt;="&amp;CY$2,FECHA_BOV3,"&lt;="&amp;CY$3,CLAVE_BOV3,$A166)+SUMIFS(SALIDAS_TC,FECHA_TC,"&gt;="&amp;CY$2,FECHA_TC,"&lt;="&amp;CY$3,CLAVE_TC,$A166)+SUMIFS(SALIDAS_COMB,FECHA_COMB,"&gt;="&amp;CY$2,FECHA_COMB,"&lt;="&amp;CY$3,CLAVE_COMB,$A166)+SUMIFS(SALIDAS_DES,FECHA_DESGLOSEN,"&gt;="&amp;CY$2,FECHA_DESGLOSEN,"&lt;="&amp;CY$3,CLAVE_DESGLOSE,$A166)</f>
        <v>0</v>
      </c>
      <c r="CZ166" s="68">
        <f t="shared" si="272"/>
        <v>0</v>
      </c>
      <c r="DB166" s="17">
        <f>F166+N166+W166+AE166+AM166+AV166+BD166+BL166+BU166+CC166+CK166</f>
        <v>0</v>
      </c>
      <c r="DC166" s="17">
        <f>K166+T166+AB166+AJ166+AS166+BA166+BI166+BR166+BZ166+CH166+CQ166</f>
        <v>0</v>
      </c>
    </row>
    <row r="167" spans="1:107" hidden="1">
      <c r="A167" s="12" t="str">
        <f t="shared" si="245"/>
        <v>FINANZASRECOLECCION DE BASURAHR</v>
      </c>
      <c r="B167" s="12">
        <v>169</v>
      </c>
      <c r="C167" t="s">
        <v>23</v>
      </c>
      <c r="D167" s="12" t="s">
        <v>166</v>
      </c>
      <c r="E167" s="12" t="s">
        <v>29</v>
      </c>
      <c r="F167" s="259">
        <f t="shared" si="238"/>
        <v>0</v>
      </c>
      <c r="G167" s="13">
        <f t="shared" ref="G167:K176" si="302">SUMIFS(SALIDAS_BIT,FECHA_BIT,"&gt;="&amp;G$2,FECHA_BIT,"&lt;="&amp;G$3,CLAVE_BIT,$A167)+SUMIFS(SALIDAS_BOV1,FECHA_BOV1,"&gt;="&amp;G$2,FECHA_BOV1,"&lt;="&amp;G$3,CLAVE_BOV1,$A167)+SUMIFS(SALIDAS_BOV2,FECHA_BOV2,"&gt;="&amp;G$2,FECHA_BOV2,"&lt;="&amp;G$3,CLAVE_BOV2,$A167)+SUMIFS(SALIDAS_BOV3,FECHA_BOV3,"&gt;="&amp;G$2,FECHA_BOV3,"&lt;="&amp;G$3,CLAVE_BOV3,$A167)+SUMIFS(SALIDAS_TC,FECHA_TC,"&gt;="&amp;G$2,FECHA_TC,"&lt;="&amp;G$3,CLAVE_TC,$A167)+SUMIFS(SALIDAS_COMB,FECHA_COMB,"&gt;="&amp;G$2,FECHA_COMB,"&lt;="&amp;G$3,CLAVE_COMB,$A167)+SUMIFS(SALIDAS_DES,FECHA_DESGLOSEN,"&gt;="&amp;G$2,FECHA_DESGLOSEN,"&lt;="&amp;G$3,CLAVE_DESGLOSE,$A167)</f>
        <v>0</v>
      </c>
      <c r="H167" s="13">
        <f t="shared" si="302"/>
        <v>3000</v>
      </c>
      <c r="I167" s="13">
        <f t="shared" si="302"/>
        <v>0</v>
      </c>
      <c r="J167" s="13">
        <f t="shared" si="302"/>
        <v>0</v>
      </c>
      <c r="K167" s="13">
        <f t="shared" si="302"/>
        <v>3000</v>
      </c>
      <c r="L167" s="68">
        <f t="shared" si="246"/>
        <v>-3000</v>
      </c>
      <c r="M167" s="268">
        <f t="shared" si="247"/>
        <v>0</v>
      </c>
      <c r="N167" s="13">
        <f t="shared" si="239"/>
        <v>0</v>
      </c>
      <c r="O167" s="13">
        <f t="shared" ref="O167:T176" si="303">SUMIFS(SALIDAS_BIT,FECHA_BIT,"&gt;="&amp;O$2,FECHA_BIT,"&lt;="&amp;O$3,CLAVE_BIT,$A167)+SUMIFS(SALIDAS_BOV1,FECHA_BOV1,"&gt;="&amp;O$2,FECHA_BOV1,"&lt;="&amp;O$3,CLAVE_BOV1,$A167)+SUMIFS(SALIDAS_BOV2,FECHA_BOV2,"&gt;="&amp;O$2,FECHA_BOV2,"&lt;="&amp;O$3,CLAVE_BOV2,$A167)+SUMIFS(SALIDAS_BOV3,FECHA_BOV3,"&gt;="&amp;O$2,FECHA_BOV3,"&lt;="&amp;O$3,CLAVE_BOV3,$A167)+SUMIFS(SALIDAS_TC,FECHA_TC,"&gt;="&amp;O$2,FECHA_TC,"&lt;="&amp;O$3,CLAVE_TC,$A167)+SUMIFS(SALIDAS_COMB,FECHA_COMB,"&gt;="&amp;O$2,FECHA_COMB,"&lt;="&amp;O$3,CLAVE_COMB,$A167)+SUMIFS(SALIDAS_DES,FECHA_DESGLOSEN,"&gt;="&amp;O$2,FECHA_DESGLOSEN,"&lt;="&amp;O$3,CLAVE_DESGLOSE,$A167)</f>
        <v>0</v>
      </c>
      <c r="P167" s="13">
        <f t="shared" si="303"/>
        <v>0</v>
      </c>
      <c r="Q167" s="13">
        <f t="shared" si="303"/>
        <v>0</v>
      </c>
      <c r="R167" s="13">
        <f t="shared" si="303"/>
        <v>3299.76</v>
      </c>
      <c r="S167" s="13">
        <f t="shared" si="303"/>
        <v>0</v>
      </c>
      <c r="T167" s="13">
        <f t="shared" si="303"/>
        <v>3299.76</v>
      </c>
      <c r="U167" s="68">
        <f t="shared" si="248"/>
        <v>-3299.76</v>
      </c>
      <c r="V167" s="268">
        <f t="shared" si="249"/>
        <v>0</v>
      </c>
      <c r="W167" s="13">
        <f t="shared" si="240"/>
        <v>3055</v>
      </c>
      <c r="X167" s="13">
        <f t="shared" ref="X167:AB176" si="304">SUMIFS(SALIDAS_BIT,FECHA_BIT,"&gt;="&amp;X$2,FECHA_BIT,"&lt;="&amp;X$3,CLAVE_BIT,$A167)+SUMIFS(SALIDAS_BOV1,FECHA_BOV1,"&gt;="&amp;X$2,FECHA_BOV1,"&lt;="&amp;X$3,CLAVE_BOV1,$A167)+SUMIFS(SALIDAS_BOV2,FECHA_BOV2,"&gt;="&amp;X$2,FECHA_BOV2,"&lt;="&amp;X$3,CLAVE_BOV2,$A167)+SUMIFS(SALIDAS_BOV3,FECHA_BOV3,"&gt;="&amp;X$2,FECHA_BOV3,"&lt;="&amp;X$3,CLAVE_BOV3,$A167)+SUMIFS(SALIDAS_TC,FECHA_TC,"&gt;="&amp;X$2,FECHA_TC,"&lt;="&amp;X$3,CLAVE_TC,$A167)+SUMIFS(SALIDAS_COMB,FECHA_COMB,"&gt;="&amp;X$2,FECHA_COMB,"&lt;="&amp;X$3,CLAVE_COMB,$A167)+SUMIFS(SALIDAS_DES,FECHA_DESGLOSEN,"&gt;="&amp;X$2,FECHA_DESGLOSEN,"&lt;="&amp;X$3,CLAVE_DESGLOSE,$A167)</f>
        <v>0</v>
      </c>
      <c r="Y167" s="13">
        <f t="shared" si="304"/>
        <v>0</v>
      </c>
      <c r="Z167" s="13">
        <f t="shared" si="304"/>
        <v>3299.76</v>
      </c>
      <c r="AA167" s="13">
        <f t="shared" si="304"/>
        <v>0</v>
      </c>
      <c r="AB167" s="13">
        <f t="shared" si="304"/>
        <v>3299.76</v>
      </c>
      <c r="AC167" s="68">
        <f t="shared" si="250"/>
        <v>-244.76000000000022</v>
      </c>
      <c r="AD167" s="268">
        <f t="shared" si="251"/>
        <v>1.0801178396072013</v>
      </c>
      <c r="AE167" s="13">
        <f t="shared" si="241"/>
        <v>3055</v>
      </c>
      <c r="AF167" s="13">
        <f t="shared" ref="AF167:AJ176" si="305">SUMIFS(SALIDAS_BIT,FECHA_BIT,"&gt;="&amp;AF$2,FECHA_BIT,"&lt;="&amp;AF$3,CLAVE_BIT,$A167)+SUMIFS(SALIDAS_BOV1,FECHA_BOV1,"&gt;="&amp;AF$2,FECHA_BOV1,"&lt;="&amp;AF$3,CLAVE_BOV1,$A167)+SUMIFS(SALIDAS_BOV2,FECHA_BOV2,"&gt;="&amp;AF$2,FECHA_BOV2,"&lt;="&amp;AF$3,CLAVE_BOV2,$A167)+SUMIFS(SALIDAS_BOV3,FECHA_BOV3,"&gt;="&amp;AF$2,FECHA_BOV3,"&lt;="&amp;AF$3,CLAVE_BOV3,$A167)+SUMIFS(SALIDAS_TC,FECHA_TC,"&gt;="&amp;AF$2,FECHA_TC,"&lt;="&amp;AF$3,CLAVE_TC,$A167)+SUMIFS(SALIDAS_COMB,FECHA_COMB,"&gt;="&amp;AF$2,FECHA_COMB,"&lt;="&amp;AF$3,CLAVE_COMB,$A167)+SUMIFS(SALIDAS_DES,FECHA_DESGLOSEN,"&gt;="&amp;AF$2,FECHA_DESGLOSEN,"&lt;="&amp;AF$3,CLAVE_DESGLOSE,$A167)</f>
        <v>0</v>
      </c>
      <c r="AG167" s="13">
        <f t="shared" si="305"/>
        <v>0</v>
      </c>
      <c r="AH167" s="13">
        <f t="shared" si="305"/>
        <v>0</v>
      </c>
      <c r="AI167" s="13">
        <f t="shared" si="305"/>
        <v>3299.76</v>
      </c>
      <c r="AJ167" s="13">
        <f t="shared" si="305"/>
        <v>3299.76</v>
      </c>
      <c r="AK167" s="68">
        <f t="shared" si="252"/>
        <v>-244.76000000000022</v>
      </c>
      <c r="AL167" s="268">
        <f t="shared" si="253"/>
        <v>1.0801178396072013</v>
      </c>
      <c r="AM167" s="13">
        <f t="shared" si="242"/>
        <v>3055</v>
      </c>
      <c r="AN167" s="13">
        <f t="shared" ref="AN167:AS176" si="306">SUMIFS(SALIDAS_BIT,FECHA_BIT,"&gt;="&amp;AN$2,FECHA_BIT,"&lt;="&amp;AN$3,CLAVE_BIT,$A167)+SUMIFS(SALIDAS_BOV1,FECHA_BOV1,"&gt;="&amp;AN$2,FECHA_BOV1,"&lt;="&amp;AN$3,CLAVE_BOV1,$A167)+SUMIFS(SALIDAS_BOV2,FECHA_BOV2,"&gt;="&amp;AN$2,FECHA_BOV2,"&lt;="&amp;AN$3,CLAVE_BOV2,$A167)+SUMIFS(SALIDAS_BOV3,FECHA_BOV3,"&gt;="&amp;AN$2,FECHA_BOV3,"&lt;="&amp;AN$3,CLAVE_BOV3,$A167)+SUMIFS(SALIDAS_TC,FECHA_TC,"&gt;="&amp;AN$2,FECHA_TC,"&lt;="&amp;AN$3,CLAVE_TC,$A167)+SUMIFS(SALIDAS_COMB,FECHA_COMB,"&gt;="&amp;AN$2,FECHA_COMB,"&lt;="&amp;AN$3,CLAVE_COMB,$A167)+SUMIFS(SALIDAS_DES,FECHA_DESGLOSEN,"&gt;="&amp;AN$2,FECHA_DESGLOSEN,"&lt;="&amp;AN$3,CLAVE_DESGLOSE,$A167)</f>
        <v>0</v>
      </c>
      <c r="AO167" s="13">
        <f t="shared" si="306"/>
        <v>0</v>
      </c>
      <c r="AP167" s="13">
        <f t="shared" si="306"/>
        <v>0</v>
      </c>
      <c r="AQ167" s="13">
        <f t="shared" si="306"/>
        <v>3299</v>
      </c>
      <c r="AR167" s="13">
        <f t="shared" si="306"/>
        <v>0</v>
      </c>
      <c r="AS167" s="13">
        <f t="shared" si="306"/>
        <v>3299</v>
      </c>
      <c r="AT167" s="68">
        <f>AM167-AS167</f>
        <v>-244</v>
      </c>
      <c r="AU167" s="268">
        <f t="shared" si="254"/>
        <v>1.0798690671031097</v>
      </c>
      <c r="AV167" s="13">
        <f t="shared" si="243"/>
        <v>3055</v>
      </c>
      <c r="AW167" s="13">
        <f t="shared" si="222"/>
        <v>0</v>
      </c>
      <c r="AX167" s="13">
        <f t="shared" si="222"/>
        <v>459</v>
      </c>
      <c r="AY167" s="13">
        <f t="shared" si="222"/>
        <v>3299.76</v>
      </c>
      <c r="AZ167" s="13">
        <f t="shared" si="222"/>
        <v>0</v>
      </c>
      <c r="BA167" s="13">
        <f t="shared" si="223"/>
        <v>3758.76</v>
      </c>
      <c r="BB167" s="68">
        <f t="shared" si="255"/>
        <v>-703.76000000000022</v>
      </c>
      <c r="BC167" s="268">
        <f t="shared" si="256"/>
        <v>1.2303633387888708</v>
      </c>
      <c r="BD167" s="13">
        <f t="shared" si="257"/>
        <v>3055</v>
      </c>
      <c r="BE167" s="13">
        <f>SUMIFS(SALIDAS_BIT,FECHA_BIT,"&gt;="&amp;BE$2,FECHA_BIT,"&lt;="&amp;BE$3,CLAVE_BIT,$A167)+SUMIFS(SALIDAS_BOV1,FECHA_BOV1,"&gt;="&amp;BE$2,FECHA_BOV1,"&lt;="&amp;BE$3,CLAVE_BOV1,$A167)+SUMIFS(SALIDAS_BOV2,FECHA_BOV2,"&gt;="&amp;BE$2,FECHA_BOV2,"&lt;="&amp;BE$3,CLAVE_BOV2,$A167)+SUMIFS(SALIDAS_BOV3,FECHA_BOV3,"&gt;="&amp;BE$2,FECHA_BOV3,"&lt;="&amp;BE$3,CLAVE_BOV3,$A167)+SUMIFS(SALIDAS_TC,FECHA_TC,"&gt;="&amp;BE$2,FECHA_TC,"&lt;="&amp;BE$3,CLAVE_TC,$A167)+SUMIFS(SALIDAS_COMB,FECHA_COMB,"&gt;="&amp;BE$2,FECHA_COMB,"&lt;="&amp;BE$3,CLAVE_COMB,$A167)+SUMIFS(SALIDAS_DES,FECHA_DESGLOSEN,"&gt;="&amp;BE$2,FECHA_DESGLOSEN,"&lt;="&amp;BE$3,CLAVE_DESGLOSE,$A167)</f>
        <v>0</v>
      </c>
      <c r="BF167" s="13">
        <f>SUMIFS(SALIDAS_BIT,FECHA_BIT,"&gt;="&amp;BF$2,FECHA_BIT,"&lt;="&amp;BF$3,CLAVE_BIT,$A167)+SUMIFS(SALIDAS_BOV1,FECHA_BOV1,"&gt;="&amp;BF$2,FECHA_BOV1,"&lt;="&amp;BF$3,CLAVE_BOV1,$A167)+SUMIFS(SALIDAS_BOV2,FECHA_BOV2,"&gt;="&amp;BF$2,FECHA_BOV2,"&lt;="&amp;BF$3,CLAVE_BOV2,$A167)+SUMIFS(SALIDAS_BOV3,FECHA_BOV3,"&gt;="&amp;BF$2,FECHA_BOV3,"&lt;="&amp;BF$3,CLAVE_BOV3,$A167)+SUMIFS(SALIDAS_TC,FECHA_TC,"&gt;="&amp;BF$2,FECHA_TC,"&lt;="&amp;BF$3,CLAVE_TC,$A167)+SUMIFS(SALIDAS_COMB,FECHA_COMB,"&gt;="&amp;BF$2,FECHA_COMB,"&lt;="&amp;BF$3,CLAVE_COMB,$A167)+SUMIFS(SALIDAS_DES,FECHA_DESGLOSEN,"&gt;="&amp;BF$2,FECHA_DESGLOSEN,"&lt;="&amp;BF$3,CLAVE_DESGLOSE,$A167)</f>
        <v>0</v>
      </c>
      <c r="BG167" s="13">
        <f>SUMIFS(SALIDAS_BIT,FECHA_BIT,"&gt;="&amp;BG$2,FECHA_BIT,"&lt;="&amp;BG$3,CLAVE_BIT,$A167)+SUMIFS(SALIDAS_BOV1,FECHA_BOV1,"&gt;="&amp;BG$2,FECHA_BOV1,"&lt;="&amp;BG$3,CLAVE_BOV1,$A167)+SUMIFS(SALIDAS_BOV2,FECHA_BOV2,"&gt;="&amp;BG$2,FECHA_BOV2,"&lt;="&amp;BG$3,CLAVE_BOV2,$A167)+SUMIFS(SALIDAS_BOV3,FECHA_BOV3,"&gt;="&amp;BG$2,FECHA_BOV3,"&lt;="&amp;BG$3,CLAVE_BOV3,$A167)+SUMIFS(SALIDAS_TC,FECHA_TC,"&gt;="&amp;BG$2,FECHA_TC,"&lt;="&amp;BG$3,CLAVE_TC,$A167)+SUMIFS(SALIDAS_COMB,FECHA_COMB,"&gt;="&amp;BG$2,FECHA_COMB,"&lt;="&amp;BG$3,CLAVE_COMB,$A167)+SUMIFS(SALIDAS_DES,FECHA_DESGLOSEN,"&gt;="&amp;BG$2,FECHA_DESGLOSEN,"&lt;="&amp;BG$3,CLAVE_DESGLOSE,$A167)</f>
        <v>0</v>
      </c>
      <c r="BH167" s="13">
        <f>SUMIFS(SALIDAS_BIT,FECHA_BIT,"&gt;="&amp;BH$2,FECHA_BIT,"&lt;="&amp;BH$3,CLAVE_BIT,$A167)+SUMIFS(SALIDAS_BOV1,FECHA_BOV1,"&gt;="&amp;BH$2,FECHA_BOV1,"&lt;="&amp;BH$3,CLAVE_BOV1,$A167)+SUMIFS(SALIDAS_BOV2,FECHA_BOV2,"&gt;="&amp;BH$2,FECHA_BOV2,"&lt;="&amp;BH$3,CLAVE_BOV2,$A167)+SUMIFS(SALIDAS_BOV3,FECHA_BOV3,"&gt;="&amp;BH$2,FECHA_BOV3,"&lt;="&amp;BH$3,CLAVE_BOV3,$A167)+SUMIFS(SALIDAS_TC,FECHA_TC,"&gt;="&amp;BH$2,FECHA_TC,"&lt;="&amp;BH$3,CLAVE_TC,$A167)+SUMIFS(SALIDAS_COMB,FECHA_COMB,"&gt;="&amp;BH$2,FECHA_COMB,"&lt;="&amp;BH$3,CLAVE_COMB,$A167)+SUMIFS(SALIDAS_DES,FECHA_DESGLOSEN,"&gt;="&amp;BH$2,FECHA_DESGLOSEN,"&lt;="&amp;BH$3,CLAVE_DESGLOSE,$A167)</f>
        <v>3299.76</v>
      </c>
      <c r="BI167" s="13">
        <f t="shared" si="215"/>
        <v>3299.76</v>
      </c>
      <c r="BJ167" s="68">
        <f t="shared" si="258"/>
        <v>-244.76000000000022</v>
      </c>
      <c r="BK167" s="268">
        <f t="shared" si="259"/>
        <v>1.0801178396072013</v>
      </c>
      <c r="BL167" s="13">
        <f t="shared" si="260"/>
        <v>3055</v>
      </c>
      <c r="BM167" s="13">
        <f>SUMIFS(SALIDAS_BIT,FECHA_BIT,"&gt;="&amp;BM$2,FECHA_BIT,"&lt;="&amp;BM$3,CLAVE_BIT,$A167)+SUMIFS(SALIDAS_BOV1,FECHA_BOV1,"&gt;="&amp;BM$2,FECHA_BOV1,"&lt;="&amp;BM$3,CLAVE_BOV1,$A167)+SUMIFS(SALIDAS_BOV2,FECHA_BOV2,"&gt;="&amp;BM$2,FECHA_BOV2,"&lt;="&amp;BM$3,CLAVE_BOV2,$A167)+SUMIFS(SALIDAS_BOV3,FECHA_BOV3,"&gt;="&amp;BM$2,FECHA_BOV3,"&lt;="&amp;BM$3,CLAVE_BOV3,$A167)+SUMIFS(SALIDAS_TC,FECHA_TC,"&gt;="&amp;BM$2,FECHA_TC,"&lt;="&amp;BM$3,CLAVE_TC,$A167)+SUMIFS(SALIDAS_COMB,FECHA_COMB,"&gt;="&amp;BM$2,FECHA_COMB,"&lt;="&amp;BM$3,CLAVE_COMB,$A167)+SUMIFS(SALIDAS_DES,FECHA_DESGLOSEN,"&gt;="&amp;BM$2,FECHA_DESGLOSEN,"&lt;="&amp;BM$3,CLAVE_DESGLOSE,$A167)</f>
        <v>0</v>
      </c>
      <c r="BN167" s="13">
        <f>SUMIFS(SALIDAS_BIT,FECHA_BIT,"&gt;="&amp;BN$2,FECHA_BIT,"&lt;="&amp;BN$3,CLAVE_BIT,$A167)+SUMIFS(SALIDAS_BOV1,FECHA_BOV1,"&gt;="&amp;BN$2,FECHA_BOV1,"&lt;="&amp;BN$3,CLAVE_BOV1,$A167)+SUMIFS(SALIDAS_BOV2,FECHA_BOV2,"&gt;="&amp;BN$2,FECHA_BOV2,"&lt;="&amp;BN$3,CLAVE_BOV2,$A167)+SUMIFS(SALIDAS_BOV3,FECHA_BOV3,"&gt;="&amp;BN$2,FECHA_BOV3,"&lt;="&amp;BN$3,CLAVE_BOV3,$A167)+SUMIFS(SALIDAS_TC,FECHA_TC,"&gt;="&amp;BN$2,FECHA_TC,"&lt;="&amp;BN$3,CLAVE_TC,$A167)+SUMIFS(SALIDAS_COMB,FECHA_COMB,"&gt;="&amp;BN$2,FECHA_COMB,"&lt;="&amp;BN$3,CLAVE_COMB,$A167)+SUMIFS(SALIDAS_DES,FECHA_DESGLOSEN,"&gt;="&amp;BN$2,FECHA_DESGLOSEN,"&lt;="&amp;BN$3,CLAVE_DESGLOSE,$A167)</f>
        <v>0</v>
      </c>
      <c r="BO167" s="13">
        <f>SUMIFS(SALIDAS_BIT,FECHA_BIT,"&gt;="&amp;BO$2,FECHA_BIT,"&lt;="&amp;BO$3,CLAVE_BIT,$A167)+SUMIFS(SALIDAS_BOV1,FECHA_BOV1,"&gt;="&amp;BO$2,FECHA_BOV1,"&lt;="&amp;BO$3,CLAVE_BOV1,$A167)+SUMIFS(SALIDAS_BOV2,FECHA_BOV2,"&gt;="&amp;BO$2,FECHA_BOV2,"&lt;="&amp;BO$3,CLAVE_BOV2,$A167)+SUMIFS(SALIDAS_BOV3,FECHA_BOV3,"&gt;="&amp;BO$2,FECHA_BOV3,"&lt;="&amp;BO$3,CLAVE_BOV3,$A167)+SUMIFS(SALIDAS_TC,FECHA_TC,"&gt;="&amp;BO$2,FECHA_TC,"&lt;="&amp;BO$3,CLAVE_TC,$A167)+SUMIFS(SALIDAS_COMB,FECHA_COMB,"&gt;="&amp;BO$2,FECHA_COMB,"&lt;="&amp;BO$3,CLAVE_COMB,$A167)+SUMIFS(SALIDAS_DES,FECHA_DESGLOSEN,"&gt;="&amp;BO$2,FECHA_DESGLOSEN,"&lt;="&amp;BO$3,CLAVE_DESGLOSE,$A167)</f>
        <v>0</v>
      </c>
      <c r="BP167" s="13">
        <f>SUMIFS(SALIDAS_BIT,FECHA_BIT,"&gt;="&amp;BP$2,FECHA_BIT,"&lt;="&amp;BP$3,CLAVE_BIT,$A167)+SUMIFS(SALIDAS_BOV1,FECHA_BOV1,"&gt;="&amp;BP$2,FECHA_BOV1,"&lt;="&amp;BP$3,CLAVE_BOV1,$A167)+SUMIFS(SALIDAS_BOV2,FECHA_BOV2,"&gt;="&amp;BP$2,FECHA_BOV2,"&lt;="&amp;BP$3,CLAVE_BOV2,$A167)+SUMIFS(SALIDAS_BOV3,FECHA_BOV3,"&gt;="&amp;BP$2,FECHA_BOV3,"&lt;="&amp;BP$3,CLAVE_BOV3,$A167)+SUMIFS(SALIDAS_TC,FECHA_TC,"&gt;="&amp;BP$2,FECHA_TC,"&lt;="&amp;BP$3,CLAVE_TC,$A167)+SUMIFS(SALIDAS_COMB,FECHA_COMB,"&gt;="&amp;BP$2,FECHA_COMB,"&lt;="&amp;BP$3,CLAVE_COMB,$A167)+SUMIFS(SALIDAS_DES,FECHA_DESGLOSEN,"&gt;="&amp;BP$2,FECHA_DESGLOSEN,"&lt;="&amp;BP$3,CLAVE_DESGLOSE,$A167)</f>
        <v>3299.76</v>
      </c>
      <c r="BQ167" s="13">
        <f>SUMIFS(SALIDAS_BIT,FECHA_BIT,"&gt;="&amp;BQ$2,FECHA_BIT,"&lt;="&amp;BQ$3,CLAVE_BIT,$A167)+SUMIFS(SALIDAS_BOV1,FECHA_BOV1,"&gt;="&amp;BQ$2,FECHA_BOV1,"&lt;="&amp;BQ$3,CLAVE_BOV1,$A167)+SUMIFS(SALIDAS_BOV2,FECHA_BOV2,"&gt;="&amp;BQ$2,FECHA_BOV2,"&lt;="&amp;BQ$3,CLAVE_BOV2,$A167)+SUMIFS(SALIDAS_BOV3,FECHA_BOV3,"&gt;="&amp;BQ$2,FECHA_BOV3,"&lt;="&amp;BQ$3,CLAVE_BOV3,$A167)+SUMIFS(SALIDAS_TC,FECHA_TC,"&gt;="&amp;BQ$2,FECHA_TC,"&lt;="&amp;BQ$3,CLAVE_TC,$A167)+SUMIFS(SALIDAS_COMB,FECHA_COMB,"&gt;="&amp;BQ$2,FECHA_COMB,"&lt;="&amp;BQ$3,CLAVE_COMB,$A167)+SUMIFS(SALIDAS_DES,FECHA_DESGLOSEN,"&gt;="&amp;BQ$2,FECHA_DESGLOSEN,"&lt;="&amp;BQ$3,CLAVE_DESGLOSE,$A167)</f>
        <v>0</v>
      </c>
      <c r="BR167" s="13">
        <f t="shared" ref="BM167:BR176" si="307">SUMIFS(SALIDAS_BIT,FECHA_BIT,"&gt;="&amp;BR$2,FECHA_BIT,"&lt;="&amp;BR$3,CLAVE_BIT,$A167)+SUMIFS(SALIDAS_BOV1,FECHA_BOV1,"&gt;="&amp;BR$2,FECHA_BOV1,"&lt;="&amp;BR$3,CLAVE_BOV1,$A167)+SUMIFS(SALIDAS_BOV2,FECHA_BOV2,"&gt;="&amp;BR$2,FECHA_BOV2,"&lt;="&amp;BR$3,CLAVE_BOV2,$A167)+SUMIFS(SALIDAS_BOV3,FECHA_BOV3,"&gt;="&amp;BR$2,FECHA_BOV3,"&lt;="&amp;BR$3,CLAVE_BOV3,$A167)+SUMIFS(SALIDAS_TC,FECHA_TC,"&gt;="&amp;BR$2,FECHA_TC,"&lt;="&amp;BR$3,CLAVE_TC,$A167)+SUMIFS(SALIDAS_COMB,FECHA_COMB,"&gt;="&amp;BR$2,FECHA_COMB,"&lt;="&amp;BR$3,CLAVE_COMB,$A167)+SUMIFS(SALIDAS_DES,FECHA_DESGLOSEN,"&gt;="&amp;BR$2,FECHA_DESGLOSEN,"&lt;="&amp;BR$3,CLAVE_DESGLOSE,$A167)</f>
        <v>3299.76</v>
      </c>
      <c r="BS167" s="68">
        <f t="shared" si="261"/>
        <v>-244.76000000000022</v>
      </c>
      <c r="BT167" s="268">
        <f t="shared" si="262"/>
        <v>1.0801178396072013</v>
      </c>
      <c r="BU167" s="13">
        <f t="shared" si="263"/>
        <v>3055</v>
      </c>
      <c r="BV167" s="13">
        <f t="shared" si="291"/>
        <v>0</v>
      </c>
      <c r="BW167" s="13">
        <f t="shared" si="291"/>
        <v>0</v>
      </c>
      <c r="BX167" s="13">
        <f t="shared" si="291"/>
        <v>3299.76</v>
      </c>
      <c r="BY167" s="13">
        <f t="shared" si="291"/>
        <v>0</v>
      </c>
      <c r="BZ167" s="13">
        <f t="shared" ref="BV167:BZ176" si="308">SUMIFS(SALIDAS_BIT,FECHA_BIT,"&gt;="&amp;BZ$2,FECHA_BIT,"&lt;="&amp;BZ$3,CLAVE_BIT,$A167)+SUMIFS(SALIDAS_BOV1,FECHA_BOV1,"&gt;="&amp;BZ$2,FECHA_BOV1,"&lt;="&amp;BZ$3,CLAVE_BOV1,$A167)+SUMIFS(SALIDAS_BOV2,FECHA_BOV2,"&gt;="&amp;BZ$2,FECHA_BOV2,"&lt;="&amp;BZ$3,CLAVE_BOV2,$A167)+SUMIFS(SALIDAS_BOV3,FECHA_BOV3,"&gt;="&amp;BZ$2,FECHA_BOV3,"&lt;="&amp;BZ$3,CLAVE_BOV3,$A167)+SUMIFS(SALIDAS_TC,FECHA_TC,"&gt;="&amp;BZ$2,FECHA_TC,"&lt;="&amp;BZ$3,CLAVE_TC,$A167)+SUMIFS(SALIDAS_COMB,FECHA_COMB,"&gt;="&amp;BZ$2,FECHA_COMB,"&lt;="&amp;BZ$3,CLAVE_COMB,$A167)+SUMIFS(SALIDAS_DES,FECHA_DESGLOSEN,"&gt;="&amp;BZ$2,FECHA_DESGLOSEN,"&lt;="&amp;BZ$3,CLAVE_DESGLOSE,$A167)</f>
        <v>3299.76</v>
      </c>
      <c r="CA167" s="68">
        <f t="shared" si="264"/>
        <v>-244.76000000000022</v>
      </c>
      <c r="CB167" s="268">
        <f t="shared" si="265"/>
        <v>1.0801178396072013</v>
      </c>
      <c r="CC167" s="13">
        <f t="shared" si="266"/>
        <v>3055</v>
      </c>
      <c r="CD167" s="13">
        <f t="shared" si="292"/>
        <v>0</v>
      </c>
      <c r="CE167" s="13">
        <f t="shared" si="292"/>
        <v>0</v>
      </c>
      <c r="CF167" s="13">
        <f t="shared" si="292"/>
        <v>600</v>
      </c>
      <c r="CG167" s="13">
        <f t="shared" si="292"/>
        <v>3999.76</v>
      </c>
      <c r="CH167" s="13">
        <f t="shared" ref="CD167:CH176" si="309">SUMIFS(SALIDAS_BIT,FECHA_BIT,"&gt;="&amp;CH$2,FECHA_BIT,"&lt;="&amp;CH$3,CLAVE_BIT,$A167)+SUMIFS(SALIDAS_BOV1,FECHA_BOV1,"&gt;="&amp;CH$2,FECHA_BOV1,"&lt;="&amp;CH$3,CLAVE_BOV1,$A167)+SUMIFS(SALIDAS_BOV2,FECHA_BOV2,"&gt;="&amp;CH$2,FECHA_BOV2,"&lt;="&amp;CH$3,CLAVE_BOV2,$A167)+SUMIFS(SALIDAS_BOV3,FECHA_BOV3,"&gt;="&amp;CH$2,FECHA_BOV3,"&lt;="&amp;CH$3,CLAVE_BOV3,$A167)+SUMIFS(SALIDAS_TC,FECHA_TC,"&gt;="&amp;CH$2,FECHA_TC,"&lt;="&amp;CH$3,CLAVE_TC,$A167)+SUMIFS(SALIDAS_COMB,FECHA_COMB,"&gt;="&amp;CH$2,FECHA_COMB,"&lt;="&amp;CH$3,CLAVE_COMB,$A167)+SUMIFS(SALIDAS_DES,FECHA_DESGLOSEN,"&gt;="&amp;CH$2,FECHA_DESGLOSEN,"&lt;="&amp;CH$3,CLAVE_DESGLOSE,$A167)</f>
        <v>4599.76</v>
      </c>
      <c r="CI167" s="68">
        <f t="shared" si="267"/>
        <v>-1544.7600000000002</v>
      </c>
      <c r="CJ167" s="268">
        <f t="shared" si="268"/>
        <v>1.5056497545008185</v>
      </c>
      <c r="CK167" s="13">
        <f t="shared" si="269"/>
        <v>3055</v>
      </c>
      <c r="CL167" s="13">
        <f t="shared" si="228"/>
        <v>600</v>
      </c>
      <c r="CM167" s="13">
        <f t="shared" si="228"/>
        <v>0</v>
      </c>
      <c r="CN167" s="13">
        <f t="shared" si="228"/>
        <v>1300</v>
      </c>
      <c r="CO167" s="13">
        <f t="shared" si="228"/>
        <v>3299.76</v>
      </c>
      <c r="CP167" s="13">
        <f t="shared" si="228"/>
        <v>600</v>
      </c>
      <c r="CQ167" s="13">
        <f t="shared" ref="CL167:CQ176" si="310">SUMIFS(SALIDAS_BIT,FECHA_BIT,"&gt;="&amp;CQ$2,FECHA_BIT,"&lt;="&amp;CQ$3,CLAVE_BIT,$A167)+SUMIFS(SALIDAS_BOV1,FECHA_BOV1,"&gt;="&amp;CQ$2,FECHA_BOV1,"&lt;="&amp;CQ$3,CLAVE_BOV1,$A167)+SUMIFS(SALIDAS_BOV2,FECHA_BOV2,"&gt;="&amp;CQ$2,FECHA_BOV2,"&lt;="&amp;CQ$3,CLAVE_BOV2,$A167)+SUMIFS(SALIDAS_BOV3,FECHA_BOV3,"&gt;="&amp;CQ$2,FECHA_BOV3,"&lt;="&amp;CQ$3,CLAVE_BOV3,$A167)+SUMIFS(SALIDAS_TC,FECHA_TC,"&gt;="&amp;CQ$2,FECHA_TC,"&lt;="&amp;CQ$3,CLAVE_TC,$A167)+SUMIFS(SALIDAS_COMB,FECHA_COMB,"&gt;="&amp;CQ$2,FECHA_COMB,"&lt;="&amp;CQ$3,CLAVE_COMB,$A167)+SUMIFS(SALIDAS_DES,FECHA_DESGLOSEN,"&gt;="&amp;CQ$2,FECHA_DESGLOSEN,"&lt;="&amp;CQ$3,CLAVE_DESGLOSE,$A167)</f>
        <v>5799.76</v>
      </c>
      <c r="CR167" s="68">
        <f t="shared" si="270"/>
        <v>-2744.76</v>
      </c>
      <c r="CS167" s="268">
        <f t="shared" si="271"/>
        <v>1.8984484451718495</v>
      </c>
      <c r="CT167" s="68">
        <f t="shared" si="244"/>
        <v>3500</v>
      </c>
      <c r="CU167" s="13">
        <f>SUMIFS(SALIDAS_BIT,FECHA_BIT,"&gt;="&amp;CU$2,FECHA_BIT,"&lt;="&amp;CU$3,CLAVE_BIT,$A167)+SUMIFS(SALIDAS_BOV1,FECHA_BOV1,"&gt;="&amp;CU$2,FECHA_BOV1,"&lt;="&amp;CU$3,CLAVE_BOV1,$A167)+SUMIFS(SALIDAS_BOV2,FECHA_BOV2,"&gt;="&amp;CU$2,FECHA_BOV2,"&lt;="&amp;CU$3,CLAVE_BOV2,$A167)+SUMIFS(SALIDAS_BOV3,FECHA_BOV3,"&gt;="&amp;CU$2,FECHA_BOV3,"&lt;="&amp;CU$3,CLAVE_BOV3,$A167)+SUMIFS(SALIDAS_TC,FECHA_TC,"&gt;="&amp;CU$2,FECHA_TC,"&lt;="&amp;CU$3,CLAVE_TC,$A167)+SUMIFS(SALIDAS_COMB,FECHA_COMB,"&gt;="&amp;CU$2,FECHA_COMB,"&lt;="&amp;CU$3,CLAVE_COMB,$A167)+SUMIFS(SALIDAS_DES,FECHA_DESGLOSEN,"&gt;="&amp;CU$2,FECHA_DESGLOSEN,"&lt;="&amp;CU$3,CLAVE_DESGLOSE,$A167)</f>
        <v>0</v>
      </c>
      <c r="CV167" s="13">
        <f>SUMIFS(SALIDAS_BIT,FECHA_BIT,"&gt;="&amp;CV$2,FECHA_BIT,"&lt;="&amp;CV$3,CLAVE_BIT,$A167)+SUMIFS(SALIDAS_BOV1,FECHA_BOV1,"&gt;="&amp;CV$2,FECHA_BOV1,"&lt;="&amp;CV$3,CLAVE_BOV1,$A167)+SUMIFS(SALIDAS_BOV2,FECHA_BOV2,"&gt;="&amp;CV$2,FECHA_BOV2,"&lt;="&amp;CV$3,CLAVE_BOV2,$A167)+SUMIFS(SALIDAS_BOV3,FECHA_BOV3,"&gt;="&amp;CV$2,FECHA_BOV3,"&lt;="&amp;CV$3,CLAVE_BOV3,$A167)+SUMIFS(SALIDAS_TC,FECHA_TC,"&gt;="&amp;CV$2,FECHA_TC,"&lt;="&amp;CV$3,CLAVE_TC,$A167)+SUMIFS(SALIDAS_COMB,FECHA_COMB,"&gt;="&amp;CV$2,FECHA_COMB,"&lt;="&amp;CV$3,CLAVE_COMB,$A167)+SUMIFS(SALIDAS_DES,FECHA_DESGLOSEN,"&gt;="&amp;CV$2,FECHA_DESGLOSEN,"&lt;="&amp;CV$3,CLAVE_DESGLOSE,$A167)</f>
        <v>0</v>
      </c>
      <c r="CW167" s="13">
        <f>SUMIFS(SALIDAS_BIT,FECHA_BIT,"&gt;="&amp;CW$2,FECHA_BIT,"&lt;="&amp;CW$3,CLAVE_BIT,$A167)+SUMIFS(SALIDAS_BOV1,FECHA_BOV1,"&gt;="&amp;CW$2,FECHA_BOV1,"&lt;="&amp;CW$3,CLAVE_BOV1,$A167)+SUMIFS(SALIDAS_BOV2,FECHA_BOV2,"&gt;="&amp;CW$2,FECHA_BOV2,"&lt;="&amp;CW$3,CLAVE_BOV2,$A167)+SUMIFS(SALIDAS_BOV3,FECHA_BOV3,"&gt;="&amp;CW$2,FECHA_BOV3,"&lt;="&amp;CW$3,CLAVE_BOV3,$A167)+SUMIFS(SALIDAS_TC,FECHA_TC,"&gt;="&amp;CW$2,FECHA_TC,"&lt;="&amp;CW$3,CLAVE_TC,$A167)+SUMIFS(SALIDAS_COMB,FECHA_COMB,"&gt;="&amp;CW$2,FECHA_COMB,"&lt;="&amp;CW$3,CLAVE_COMB,$A167)+SUMIFS(SALIDAS_DES,FECHA_DESGLOSEN,"&gt;="&amp;CW$2,FECHA_DESGLOSEN,"&lt;="&amp;CW$3,CLAVE_DESGLOSE,$A167)</f>
        <v>510</v>
      </c>
      <c r="CX167" s="13">
        <f>SUMIFS(SALIDAS_BIT,FECHA_BIT,"&gt;="&amp;CX$2,FECHA_BIT,"&lt;="&amp;CX$3,CLAVE_BIT,$A167)+SUMIFS(SALIDAS_BOV1,FECHA_BOV1,"&gt;="&amp;CX$2,FECHA_BOV1,"&lt;="&amp;CX$3,CLAVE_BOV1,$A167)+SUMIFS(SALIDAS_BOV2,FECHA_BOV2,"&gt;="&amp;CX$2,FECHA_BOV2,"&lt;="&amp;CX$3,CLAVE_BOV2,$A167)+SUMIFS(SALIDAS_BOV3,FECHA_BOV3,"&gt;="&amp;CX$2,FECHA_BOV3,"&lt;="&amp;CX$3,CLAVE_BOV3,$A167)+SUMIFS(SALIDAS_TC,FECHA_TC,"&gt;="&amp;CX$2,FECHA_TC,"&lt;="&amp;CX$3,CLAVE_TC,$A167)+SUMIFS(SALIDAS_COMB,FECHA_COMB,"&gt;="&amp;CX$2,FECHA_COMB,"&lt;="&amp;CX$3,CLAVE_COMB,$A167)+SUMIFS(SALIDAS_DES,FECHA_DESGLOSEN,"&gt;="&amp;CX$2,FECHA_DESGLOSEN,"&lt;="&amp;CX$3,CLAVE_DESGLOSE,$A167)</f>
        <v>5261.67</v>
      </c>
      <c r="CY167" s="13">
        <f>SUMIFS(SALIDAS_BIT,FECHA_BIT,"&gt;="&amp;CY$2,FECHA_BIT,"&lt;="&amp;CY$3,CLAVE_BIT,$A167)+SUMIFS(SALIDAS_BOV1,FECHA_BOV1,"&gt;="&amp;CY$2,FECHA_BOV1,"&lt;="&amp;CY$3,CLAVE_BOV1,$A167)+SUMIFS(SALIDAS_BOV2,FECHA_BOV2,"&gt;="&amp;CY$2,FECHA_BOV2,"&lt;="&amp;CY$3,CLAVE_BOV2,$A167)+SUMIFS(SALIDAS_BOV3,FECHA_BOV3,"&gt;="&amp;CY$2,FECHA_BOV3,"&lt;="&amp;CY$3,CLAVE_BOV3,$A167)+SUMIFS(SALIDAS_TC,FECHA_TC,"&gt;="&amp;CY$2,FECHA_TC,"&lt;="&amp;CY$3,CLAVE_TC,$A167)+SUMIFS(SALIDAS_COMB,FECHA_COMB,"&gt;="&amp;CY$2,FECHA_COMB,"&lt;="&amp;CY$3,CLAVE_COMB,$A167)+SUMIFS(SALIDAS_DES,FECHA_DESGLOSEN,"&gt;="&amp;CY$2,FECHA_DESGLOSEN,"&lt;="&amp;CY$3,CLAVE_DESGLOSE,$A167)</f>
        <v>5771.67</v>
      </c>
      <c r="CZ167" s="68">
        <f t="shared" si="272"/>
        <v>-2271.67</v>
      </c>
      <c r="DB167" s="17">
        <f>F167+N167+W167+AE167+AM167+AV167+BD167+BL167+BU167+CC167+CK167</f>
        <v>27495</v>
      </c>
      <c r="DC167" s="17">
        <f>K167+T167+AB167+AJ167+AS167+BA167+BI167+BR167+BZ167+CH167+CQ167</f>
        <v>40255.840000000011</v>
      </c>
    </row>
    <row r="168" spans="1:107" hidden="1">
      <c r="A168" s="12" t="str">
        <f t="shared" si="245"/>
        <v>FINANZASRECOLECCION DE BASURACAPRICHOS</v>
      </c>
      <c r="B168" s="12">
        <v>170</v>
      </c>
      <c r="C168" t="s">
        <v>23</v>
      </c>
      <c r="D168" s="12" t="s">
        <v>166</v>
      </c>
      <c r="E168" s="12" t="s">
        <v>33</v>
      </c>
      <c r="F168" s="259">
        <f t="shared" si="238"/>
        <v>0</v>
      </c>
      <c r="G168" s="13">
        <f t="shared" si="302"/>
        <v>0</v>
      </c>
      <c r="H168" s="13">
        <f t="shared" si="302"/>
        <v>306</v>
      </c>
      <c r="I168" s="13">
        <f t="shared" si="302"/>
        <v>0</v>
      </c>
      <c r="J168" s="13">
        <f t="shared" si="302"/>
        <v>0</v>
      </c>
      <c r="K168" s="13">
        <f t="shared" si="302"/>
        <v>306</v>
      </c>
      <c r="L168" s="68">
        <f t="shared" si="246"/>
        <v>-306</v>
      </c>
      <c r="M168" s="268">
        <f t="shared" si="247"/>
        <v>0</v>
      </c>
      <c r="N168" s="13">
        <f t="shared" si="239"/>
        <v>283</v>
      </c>
      <c r="O168" s="13">
        <f t="shared" si="303"/>
        <v>0</v>
      </c>
      <c r="P168" s="13">
        <f t="shared" si="303"/>
        <v>0</v>
      </c>
      <c r="Q168" s="13">
        <f t="shared" si="303"/>
        <v>0</v>
      </c>
      <c r="R168" s="13">
        <f t="shared" si="303"/>
        <v>306</v>
      </c>
      <c r="S168" s="13">
        <f t="shared" si="303"/>
        <v>0</v>
      </c>
      <c r="T168" s="13">
        <f t="shared" si="303"/>
        <v>306</v>
      </c>
      <c r="U168" s="68">
        <f t="shared" si="248"/>
        <v>-23</v>
      </c>
      <c r="V168" s="268">
        <f t="shared" si="249"/>
        <v>1.0812720848056536</v>
      </c>
      <c r="W168" s="13">
        <f t="shared" si="240"/>
        <v>285</v>
      </c>
      <c r="X168" s="13">
        <f t="shared" si="304"/>
        <v>0</v>
      </c>
      <c r="Y168" s="13">
        <f t="shared" si="304"/>
        <v>0</v>
      </c>
      <c r="Z168" s="13">
        <f t="shared" si="304"/>
        <v>306</v>
      </c>
      <c r="AA168" s="13">
        <f t="shared" si="304"/>
        <v>0</v>
      </c>
      <c r="AB168" s="13">
        <f t="shared" si="304"/>
        <v>306</v>
      </c>
      <c r="AC168" s="68">
        <f t="shared" si="250"/>
        <v>-21</v>
      </c>
      <c r="AD168" s="268">
        <f t="shared" si="251"/>
        <v>1.0736842105263158</v>
      </c>
      <c r="AE168" s="13">
        <f t="shared" si="241"/>
        <v>0</v>
      </c>
      <c r="AF168" s="13">
        <f t="shared" si="305"/>
        <v>0</v>
      </c>
      <c r="AG168" s="13">
        <f t="shared" si="305"/>
        <v>0</v>
      </c>
      <c r="AH168" s="13">
        <f t="shared" si="305"/>
        <v>305</v>
      </c>
      <c r="AI168" s="13">
        <f t="shared" si="305"/>
        <v>0</v>
      </c>
      <c r="AJ168" s="13">
        <f t="shared" si="305"/>
        <v>305</v>
      </c>
      <c r="AK168" s="68">
        <f t="shared" si="252"/>
        <v>-305</v>
      </c>
      <c r="AL168" s="268">
        <f t="shared" si="253"/>
        <v>0</v>
      </c>
      <c r="AM168" s="13">
        <f t="shared" si="242"/>
        <v>0</v>
      </c>
      <c r="AN168" s="13">
        <f t="shared" si="306"/>
        <v>0</v>
      </c>
      <c r="AO168" s="13">
        <f t="shared" si="306"/>
        <v>0</v>
      </c>
      <c r="AP168" s="13">
        <f t="shared" si="306"/>
        <v>0</v>
      </c>
      <c r="AQ168" s="13">
        <f t="shared" si="306"/>
        <v>305</v>
      </c>
      <c r="AR168" s="13">
        <f t="shared" si="306"/>
        <v>0</v>
      </c>
      <c r="AS168" s="13">
        <f t="shared" si="306"/>
        <v>305</v>
      </c>
      <c r="AT168" s="68">
        <f>AM168-AS168</f>
        <v>-305</v>
      </c>
      <c r="AU168" s="268">
        <f t="shared" si="254"/>
        <v>0</v>
      </c>
      <c r="AV168" s="13">
        <f t="shared" si="243"/>
        <v>0</v>
      </c>
      <c r="AW168" s="13">
        <f t="shared" si="222"/>
        <v>0</v>
      </c>
      <c r="AX168" s="13">
        <f t="shared" si="222"/>
        <v>0</v>
      </c>
      <c r="AY168" s="13">
        <f t="shared" si="222"/>
        <v>356</v>
      </c>
      <c r="AZ168" s="13">
        <f t="shared" si="222"/>
        <v>0</v>
      </c>
      <c r="BA168" s="13">
        <f t="shared" si="223"/>
        <v>356</v>
      </c>
      <c r="BB168" s="68">
        <f t="shared" si="255"/>
        <v>-356</v>
      </c>
      <c r="BC168" s="268">
        <f t="shared" si="256"/>
        <v>0</v>
      </c>
      <c r="BD168" s="13">
        <f t="shared" si="257"/>
        <v>285</v>
      </c>
      <c r="BE168" s="13">
        <f>SUMIFS(SALIDAS_BIT,FECHA_BIT,"&gt;="&amp;BE$2,FECHA_BIT,"&lt;="&amp;BE$3,CLAVE_BIT,$A168)+SUMIFS(SALIDAS_BOV1,FECHA_BOV1,"&gt;="&amp;BE$2,FECHA_BOV1,"&lt;="&amp;BE$3,CLAVE_BOV1,$A168)+SUMIFS(SALIDAS_BOV2,FECHA_BOV2,"&gt;="&amp;BE$2,FECHA_BOV2,"&lt;="&amp;BE$3,CLAVE_BOV2,$A168)+SUMIFS(SALIDAS_BOV3,FECHA_BOV3,"&gt;="&amp;BE$2,FECHA_BOV3,"&lt;="&amp;BE$3,CLAVE_BOV3,$A168)+SUMIFS(SALIDAS_TC,FECHA_TC,"&gt;="&amp;BE$2,FECHA_TC,"&lt;="&amp;BE$3,CLAVE_TC,$A168)+SUMIFS(SALIDAS_COMB,FECHA_COMB,"&gt;="&amp;BE$2,FECHA_COMB,"&lt;="&amp;BE$3,CLAVE_COMB,$A168)+SUMIFS(SALIDAS_DES,FECHA_DESGLOSEN,"&gt;="&amp;BE$2,FECHA_DESGLOSEN,"&lt;="&amp;BE$3,CLAVE_DESGLOSE,$A168)</f>
        <v>0</v>
      </c>
      <c r="BF168" s="13">
        <f>SUMIFS(SALIDAS_BIT,FECHA_BIT,"&gt;="&amp;BF$2,FECHA_BIT,"&lt;="&amp;BF$3,CLAVE_BIT,$A168)+SUMIFS(SALIDAS_BOV1,FECHA_BOV1,"&gt;="&amp;BF$2,FECHA_BOV1,"&lt;="&amp;BF$3,CLAVE_BOV1,$A168)+SUMIFS(SALIDAS_BOV2,FECHA_BOV2,"&gt;="&amp;BF$2,FECHA_BOV2,"&lt;="&amp;BF$3,CLAVE_BOV2,$A168)+SUMIFS(SALIDAS_BOV3,FECHA_BOV3,"&gt;="&amp;BF$2,FECHA_BOV3,"&lt;="&amp;BF$3,CLAVE_BOV3,$A168)+SUMIFS(SALIDAS_TC,FECHA_TC,"&gt;="&amp;BF$2,FECHA_TC,"&lt;="&amp;BF$3,CLAVE_TC,$A168)+SUMIFS(SALIDAS_COMB,FECHA_COMB,"&gt;="&amp;BF$2,FECHA_COMB,"&lt;="&amp;BF$3,CLAVE_COMB,$A168)+SUMIFS(SALIDAS_DES,FECHA_DESGLOSEN,"&gt;="&amp;BF$2,FECHA_DESGLOSEN,"&lt;="&amp;BF$3,CLAVE_DESGLOSE,$A168)</f>
        <v>306</v>
      </c>
      <c r="BG168" s="13">
        <f>SUMIFS(SALIDAS_BIT,FECHA_BIT,"&gt;="&amp;BG$2,FECHA_BIT,"&lt;="&amp;BG$3,CLAVE_BIT,$A168)+SUMIFS(SALIDAS_BOV1,FECHA_BOV1,"&gt;="&amp;BG$2,FECHA_BOV1,"&lt;="&amp;BG$3,CLAVE_BOV1,$A168)+SUMIFS(SALIDAS_BOV2,FECHA_BOV2,"&gt;="&amp;BG$2,FECHA_BOV2,"&lt;="&amp;BG$3,CLAVE_BOV2,$A168)+SUMIFS(SALIDAS_BOV3,FECHA_BOV3,"&gt;="&amp;BG$2,FECHA_BOV3,"&lt;="&amp;BG$3,CLAVE_BOV3,$A168)+SUMIFS(SALIDAS_TC,FECHA_TC,"&gt;="&amp;BG$2,FECHA_TC,"&lt;="&amp;BG$3,CLAVE_TC,$A168)+SUMIFS(SALIDAS_COMB,FECHA_COMB,"&gt;="&amp;BG$2,FECHA_COMB,"&lt;="&amp;BG$3,CLAVE_COMB,$A168)+SUMIFS(SALIDAS_DES,FECHA_DESGLOSEN,"&gt;="&amp;BG$2,FECHA_DESGLOSEN,"&lt;="&amp;BG$3,CLAVE_DESGLOSE,$A168)</f>
        <v>0</v>
      </c>
      <c r="BH168" s="13">
        <f>SUMIFS(SALIDAS_BIT,FECHA_BIT,"&gt;="&amp;BH$2,FECHA_BIT,"&lt;="&amp;BH$3,CLAVE_BIT,$A168)+SUMIFS(SALIDAS_BOV1,FECHA_BOV1,"&gt;="&amp;BH$2,FECHA_BOV1,"&lt;="&amp;BH$3,CLAVE_BOV1,$A168)+SUMIFS(SALIDAS_BOV2,FECHA_BOV2,"&gt;="&amp;BH$2,FECHA_BOV2,"&lt;="&amp;BH$3,CLAVE_BOV2,$A168)+SUMIFS(SALIDAS_BOV3,FECHA_BOV3,"&gt;="&amp;BH$2,FECHA_BOV3,"&lt;="&amp;BH$3,CLAVE_BOV3,$A168)+SUMIFS(SALIDAS_TC,FECHA_TC,"&gt;="&amp;BH$2,FECHA_TC,"&lt;="&amp;BH$3,CLAVE_TC,$A168)+SUMIFS(SALIDAS_COMB,FECHA_COMB,"&gt;="&amp;BH$2,FECHA_COMB,"&lt;="&amp;BH$3,CLAVE_COMB,$A168)+SUMIFS(SALIDAS_DES,FECHA_DESGLOSEN,"&gt;="&amp;BH$2,FECHA_DESGLOSEN,"&lt;="&amp;BH$3,CLAVE_DESGLOSE,$A168)</f>
        <v>0</v>
      </c>
      <c r="BI168" s="13">
        <f t="shared" si="215"/>
        <v>306</v>
      </c>
      <c r="BJ168" s="68">
        <f t="shared" si="258"/>
        <v>-21</v>
      </c>
      <c r="BK168" s="268">
        <f t="shared" si="259"/>
        <v>1.0736842105263158</v>
      </c>
      <c r="BL168" s="13">
        <f t="shared" si="260"/>
        <v>285</v>
      </c>
      <c r="BM168" s="13">
        <f>SUMIFS(SALIDAS_BIT,FECHA_BIT,"&gt;="&amp;BM$2,FECHA_BIT,"&lt;="&amp;BM$3,CLAVE_BIT,$A168)+SUMIFS(SALIDAS_BOV1,FECHA_BOV1,"&gt;="&amp;BM$2,FECHA_BOV1,"&lt;="&amp;BM$3,CLAVE_BOV1,$A168)+SUMIFS(SALIDAS_BOV2,FECHA_BOV2,"&gt;="&amp;BM$2,FECHA_BOV2,"&lt;="&amp;BM$3,CLAVE_BOV2,$A168)+SUMIFS(SALIDAS_BOV3,FECHA_BOV3,"&gt;="&amp;BM$2,FECHA_BOV3,"&lt;="&amp;BM$3,CLAVE_BOV3,$A168)+SUMIFS(SALIDAS_TC,FECHA_TC,"&gt;="&amp;BM$2,FECHA_TC,"&lt;="&amp;BM$3,CLAVE_TC,$A168)+SUMIFS(SALIDAS_COMB,FECHA_COMB,"&gt;="&amp;BM$2,FECHA_COMB,"&lt;="&amp;BM$3,CLAVE_COMB,$A168)+SUMIFS(SALIDAS_DES,FECHA_DESGLOSEN,"&gt;="&amp;BM$2,FECHA_DESGLOSEN,"&lt;="&amp;BM$3,CLAVE_DESGLOSE,$A168)</f>
        <v>0</v>
      </c>
      <c r="BN168" s="13">
        <f>SUMIFS(SALIDAS_BIT,FECHA_BIT,"&gt;="&amp;BN$2,FECHA_BIT,"&lt;="&amp;BN$3,CLAVE_BIT,$A168)+SUMIFS(SALIDAS_BOV1,FECHA_BOV1,"&gt;="&amp;BN$2,FECHA_BOV1,"&lt;="&amp;BN$3,CLAVE_BOV1,$A168)+SUMIFS(SALIDAS_BOV2,FECHA_BOV2,"&gt;="&amp;BN$2,FECHA_BOV2,"&lt;="&amp;BN$3,CLAVE_BOV2,$A168)+SUMIFS(SALIDAS_BOV3,FECHA_BOV3,"&gt;="&amp;BN$2,FECHA_BOV3,"&lt;="&amp;BN$3,CLAVE_BOV3,$A168)+SUMIFS(SALIDAS_TC,FECHA_TC,"&gt;="&amp;BN$2,FECHA_TC,"&lt;="&amp;BN$3,CLAVE_TC,$A168)+SUMIFS(SALIDAS_COMB,FECHA_COMB,"&gt;="&amp;BN$2,FECHA_COMB,"&lt;="&amp;BN$3,CLAVE_COMB,$A168)+SUMIFS(SALIDAS_DES,FECHA_DESGLOSEN,"&gt;="&amp;BN$2,FECHA_DESGLOSEN,"&lt;="&amp;BN$3,CLAVE_DESGLOSE,$A168)</f>
        <v>0</v>
      </c>
      <c r="BO168" s="13">
        <f>SUMIFS(SALIDAS_BIT,FECHA_BIT,"&gt;="&amp;BO$2,FECHA_BIT,"&lt;="&amp;BO$3,CLAVE_BIT,$A168)+SUMIFS(SALIDAS_BOV1,FECHA_BOV1,"&gt;="&amp;BO$2,FECHA_BOV1,"&lt;="&amp;BO$3,CLAVE_BOV1,$A168)+SUMIFS(SALIDAS_BOV2,FECHA_BOV2,"&gt;="&amp;BO$2,FECHA_BOV2,"&lt;="&amp;BO$3,CLAVE_BOV2,$A168)+SUMIFS(SALIDAS_BOV3,FECHA_BOV3,"&gt;="&amp;BO$2,FECHA_BOV3,"&lt;="&amp;BO$3,CLAVE_BOV3,$A168)+SUMIFS(SALIDAS_TC,FECHA_TC,"&gt;="&amp;BO$2,FECHA_TC,"&lt;="&amp;BO$3,CLAVE_TC,$A168)+SUMIFS(SALIDAS_COMB,FECHA_COMB,"&gt;="&amp;BO$2,FECHA_COMB,"&lt;="&amp;BO$3,CLAVE_COMB,$A168)+SUMIFS(SALIDAS_DES,FECHA_DESGLOSEN,"&gt;="&amp;BO$2,FECHA_DESGLOSEN,"&lt;="&amp;BO$3,CLAVE_DESGLOSE,$A168)</f>
        <v>0</v>
      </c>
      <c r="BP168" s="13">
        <f>SUMIFS(SALIDAS_BIT,FECHA_BIT,"&gt;="&amp;BP$2,FECHA_BIT,"&lt;="&amp;BP$3,CLAVE_BIT,$A168)+SUMIFS(SALIDAS_BOV1,FECHA_BOV1,"&gt;="&amp;BP$2,FECHA_BOV1,"&lt;="&amp;BP$3,CLAVE_BOV1,$A168)+SUMIFS(SALIDAS_BOV2,FECHA_BOV2,"&gt;="&amp;BP$2,FECHA_BOV2,"&lt;="&amp;BP$3,CLAVE_BOV2,$A168)+SUMIFS(SALIDAS_BOV3,FECHA_BOV3,"&gt;="&amp;BP$2,FECHA_BOV3,"&lt;="&amp;BP$3,CLAVE_BOV3,$A168)+SUMIFS(SALIDAS_TC,FECHA_TC,"&gt;="&amp;BP$2,FECHA_TC,"&lt;="&amp;BP$3,CLAVE_TC,$A168)+SUMIFS(SALIDAS_COMB,FECHA_COMB,"&gt;="&amp;BP$2,FECHA_COMB,"&lt;="&amp;BP$3,CLAVE_COMB,$A168)+SUMIFS(SALIDAS_DES,FECHA_DESGLOSEN,"&gt;="&amp;BP$2,FECHA_DESGLOSEN,"&lt;="&amp;BP$3,CLAVE_DESGLOSE,$A168)</f>
        <v>306</v>
      </c>
      <c r="BQ168" s="13">
        <f>SUMIFS(SALIDAS_BIT,FECHA_BIT,"&gt;="&amp;BQ$2,FECHA_BIT,"&lt;="&amp;BQ$3,CLAVE_BIT,$A168)+SUMIFS(SALIDAS_BOV1,FECHA_BOV1,"&gt;="&amp;BQ$2,FECHA_BOV1,"&lt;="&amp;BQ$3,CLAVE_BOV1,$A168)+SUMIFS(SALIDAS_BOV2,FECHA_BOV2,"&gt;="&amp;BQ$2,FECHA_BOV2,"&lt;="&amp;BQ$3,CLAVE_BOV2,$A168)+SUMIFS(SALIDAS_BOV3,FECHA_BOV3,"&gt;="&amp;BQ$2,FECHA_BOV3,"&lt;="&amp;BQ$3,CLAVE_BOV3,$A168)+SUMIFS(SALIDAS_TC,FECHA_TC,"&gt;="&amp;BQ$2,FECHA_TC,"&lt;="&amp;BQ$3,CLAVE_TC,$A168)+SUMIFS(SALIDAS_COMB,FECHA_COMB,"&gt;="&amp;BQ$2,FECHA_COMB,"&lt;="&amp;BQ$3,CLAVE_COMB,$A168)+SUMIFS(SALIDAS_DES,FECHA_DESGLOSEN,"&gt;="&amp;BQ$2,FECHA_DESGLOSEN,"&lt;="&amp;BQ$3,CLAVE_DESGLOSE,$A168)</f>
        <v>0</v>
      </c>
      <c r="BR168" s="13">
        <f t="shared" si="307"/>
        <v>306</v>
      </c>
      <c r="BS168" s="68">
        <f t="shared" si="261"/>
        <v>-21</v>
      </c>
      <c r="BT168" s="268">
        <f t="shared" si="262"/>
        <v>1.0736842105263158</v>
      </c>
      <c r="BU168" s="13">
        <f t="shared" si="263"/>
        <v>285</v>
      </c>
      <c r="BV168" s="13">
        <f t="shared" si="291"/>
        <v>0</v>
      </c>
      <c r="BW168" s="13">
        <f t="shared" si="291"/>
        <v>0</v>
      </c>
      <c r="BX168" s="13">
        <f t="shared" si="291"/>
        <v>0</v>
      </c>
      <c r="BY168" s="13">
        <f t="shared" si="291"/>
        <v>0</v>
      </c>
      <c r="BZ168" s="13">
        <f t="shared" si="308"/>
        <v>0</v>
      </c>
      <c r="CA168" s="68">
        <f t="shared" si="264"/>
        <v>285</v>
      </c>
      <c r="CB168" s="268">
        <f t="shared" si="265"/>
        <v>0</v>
      </c>
      <c r="CC168" s="13">
        <f t="shared" si="266"/>
        <v>285</v>
      </c>
      <c r="CD168" s="13">
        <f t="shared" si="292"/>
        <v>0</v>
      </c>
      <c r="CE168" s="13">
        <f t="shared" si="292"/>
        <v>306</v>
      </c>
      <c r="CF168" s="13">
        <f t="shared" si="292"/>
        <v>0</v>
      </c>
      <c r="CG168" s="13">
        <f t="shared" si="292"/>
        <v>0</v>
      </c>
      <c r="CH168" s="13">
        <f t="shared" si="309"/>
        <v>306</v>
      </c>
      <c r="CI168" s="68">
        <f t="shared" si="267"/>
        <v>-21</v>
      </c>
      <c r="CJ168" s="268">
        <f t="shared" si="268"/>
        <v>1.0736842105263158</v>
      </c>
      <c r="CK168" s="13">
        <f t="shared" si="269"/>
        <v>285</v>
      </c>
      <c r="CL168" s="13">
        <f t="shared" si="228"/>
        <v>0</v>
      </c>
      <c r="CM168" s="13">
        <f t="shared" si="228"/>
        <v>800</v>
      </c>
      <c r="CN168" s="13">
        <f t="shared" si="228"/>
        <v>400</v>
      </c>
      <c r="CO168" s="13">
        <f t="shared" si="228"/>
        <v>0</v>
      </c>
      <c r="CP168" s="13">
        <f t="shared" si="228"/>
        <v>0</v>
      </c>
      <c r="CQ168" s="13">
        <f t="shared" si="310"/>
        <v>1200</v>
      </c>
      <c r="CR168" s="68">
        <f t="shared" si="270"/>
        <v>-915</v>
      </c>
      <c r="CS168" s="268">
        <f t="shared" si="271"/>
        <v>4.2105263157894735</v>
      </c>
      <c r="CT168" s="68">
        <f t="shared" si="244"/>
        <v>500</v>
      </c>
      <c r="CU168" s="13">
        <f>SUMIFS(SALIDAS_BIT,FECHA_BIT,"&gt;="&amp;CU$2,FECHA_BIT,"&lt;="&amp;CU$3,CLAVE_BIT,$A168)+SUMIFS(SALIDAS_BOV1,FECHA_BOV1,"&gt;="&amp;CU$2,FECHA_BOV1,"&lt;="&amp;CU$3,CLAVE_BOV1,$A168)+SUMIFS(SALIDAS_BOV2,FECHA_BOV2,"&gt;="&amp;CU$2,FECHA_BOV2,"&lt;="&amp;CU$3,CLAVE_BOV2,$A168)+SUMIFS(SALIDAS_BOV3,FECHA_BOV3,"&gt;="&amp;CU$2,FECHA_BOV3,"&lt;="&amp;CU$3,CLAVE_BOV3,$A168)+SUMIFS(SALIDAS_TC,FECHA_TC,"&gt;="&amp;CU$2,FECHA_TC,"&lt;="&amp;CU$3,CLAVE_TC,$A168)+SUMIFS(SALIDAS_COMB,FECHA_COMB,"&gt;="&amp;CU$2,FECHA_COMB,"&lt;="&amp;CU$3,CLAVE_COMB,$A168)+SUMIFS(SALIDAS_DES,FECHA_DESGLOSEN,"&gt;="&amp;CU$2,FECHA_DESGLOSEN,"&lt;="&amp;CU$3,CLAVE_DESGLOSE,$A168)</f>
        <v>0</v>
      </c>
      <c r="CV168" s="13">
        <f>SUMIFS(SALIDAS_BIT,FECHA_BIT,"&gt;="&amp;CV$2,FECHA_BIT,"&lt;="&amp;CV$3,CLAVE_BIT,$A168)+SUMIFS(SALIDAS_BOV1,FECHA_BOV1,"&gt;="&amp;CV$2,FECHA_BOV1,"&lt;="&amp;CV$3,CLAVE_BOV1,$A168)+SUMIFS(SALIDAS_BOV2,FECHA_BOV2,"&gt;="&amp;CV$2,FECHA_BOV2,"&lt;="&amp;CV$3,CLAVE_BOV2,$A168)+SUMIFS(SALIDAS_BOV3,FECHA_BOV3,"&gt;="&amp;CV$2,FECHA_BOV3,"&lt;="&amp;CV$3,CLAVE_BOV3,$A168)+SUMIFS(SALIDAS_TC,FECHA_TC,"&gt;="&amp;CV$2,FECHA_TC,"&lt;="&amp;CV$3,CLAVE_TC,$A168)+SUMIFS(SALIDAS_COMB,FECHA_COMB,"&gt;="&amp;CV$2,FECHA_COMB,"&lt;="&amp;CV$3,CLAVE_COMB,$A168)+SUMIFS(SALIDAS_DES,FECHA_DESGLOSEN,"&gt;="&amp;CV$2,FECHA_DESGLOSEN,"&lt;="&amp;CV$3,CLAVE_DESGLOSE,$A168)</f>
        <v>943</v>
      </c>
      <c r="CW168" s="13">
        <f>SUMIFS(SALIDAS_BIT,FECHA_BIT,"&gt;="&amp;CW$2,FECHA_BIT,"&lt;="&amp;CW$3,CLAVE_BIT,$A168)+SUMIFS(SALIDAS_BOV1,FECHA_BOV1,"&gt;="&amp;CW$2,FECHA_BOV1,"&lt;="&amp;CW$3,CLAVE_BOV1,$A168)+SUMIFS(SALIDAS_BOV2,FECHA_BOV2,"&gt;="&amp;CW$2,FECHA_BOV2,"&lt;="&amp;CW$3,CLAVE_BOV2,$A168)+SUMIFS(SALIDAS_BOV3,FECHA_BOV3,"&gt;="&amp;CW$2,FECHA_BOV3,"&lt;="&amp;CW$3,CLAVE_BOV3,$A168)+SUMIFS(SALIDAS_TC,FECHA_TC,"&gt;="&amp;CW$2,FECHA_TC,"&lt;="&amp;CW$3,CLAVE_TC,$A168)+SUMIFS(SALIDAS_COMB,FECHA_COMB,"&gt;="&amp;CW$2,FECHA_COMB,"&lt;="&amp;CW$3,CLAVE_COMB,$A168)+SUMIFS(SALIDAS_DES,FECHA_DESGLOSEN,"&gt;="&amp;CW$2,FECHA_DESGLOSEN,"&lt;="&amp;CW$3,CLAVE_DESGLOSE,$A168)</f>
        <v>0</v>
      </c>
      <c r="CX168" s="13">
        <f>SUMIFS(SALIDAS_BIT,FECHA_BIT,"&gt;="&amp;CX$2,FECHA_BIT,"&lt;="&amp;CX$3,CLAVE_BIT,$A168)+SUMIFS(SALIDAS_BOV1,FECHA_BOV1,"&gt;="&amp;CX$2,FECHA_BOV1,"&lt;="&amp;CX$3,CLAVE_BOV1,$A168)+SUMIFS(SALIDAS_BOV2,FECHA_BOV2,"&gt;="&amp;CX$2,FECHA_BOV2,"&lt;="&amp;CX$3,CLAVE_BOV2,$A168)+SUMIFS(SALIDAS_BOV3,FECHA_BOV3,"&gt;="&amp;CX$2,FECHA_BOV3,"&lt;="&amp;CX$3,CLAVE_BOV3,$A168)+SUMIFS(SALIDAS_TC,FECHA_TC,"&gt;="&amp;CX$2,FECHA_TC,"&lt;="&amp;CX$3,CLAVE_TC,$A168)+SUMIFS(SALIDAS_COMB,FECHA_COMB,"&gt;="&amp;CX$2,FECHA_COMB,"&lt;="&amp;CX$3,CLAVE_COMB,$A168)+SUMIFS(SALIDAS_DES,FECHA_DESGLOSEN,"&gt;="&amp;CX$2,FECHA_DESGLOSEN,"&lt;="&amp;CX$3,CLAVE_DESGLOSE,$A168)</f>
        <v>0</v>
      </c>
      <c r="CY168" s="13">
        <f>SUMIFS(SALIDAS_BIT,FECHA_BIT,"&gt;="&amp;CY$2,FECHA_BIT,"&lt;="&amp;CY$3,CLAVE_BIT,$A168)+SUMIFS(SALIDAS_BOV1,FECHA_BOV1,"&gt;="&amp;CY$2,FECHA_BOV1,"&lt;="&amp;CY$3,CLAVE_BOV1,$A168)+SUMIFS(SALIDAS_BOV2,FECHA_BOV2,"&gt;="&amp;CY$2,FECHA_BOV2,"&lt;="&amp;CY$3,CLAVE_BOV2,$A168)+SUMIFS(SALIDAS_BOV3,FECHA_BOV3,"&gt;="&amp;CY$2,FECHA_BOV3,"&lt;="&amp;CY$3,CLAVE_BOV3,$A168)+SUMIFS(SALIDAS_TC,FECHA_TC,"&gt;="&amp;CY$2,FECHA_TC,"&lt;="&amp;CY$3,CLAVE_TC,$A168)+SUMIFS(SALIDAS_COMB,FECHA_COMB,"&gt;="&amp;CY$2,FECHA_COMB,"&lt;="&amp;CY$3,CLAVE_COMB,$A168)+SUMIFS(SALIDAS_DES,FECHA_DESGLOSEN,"&gt;="&amp;CY$2,FECHA_DESGLOSEN,"&lt;="&amp;CY$3,CLAVE_DESGLOSE,$A168)</f>
        <v>943</v>
      </c>
      <c r="CZ168" s="68">
        <f t="shared" si="272"/>
        <v>-443</v>
      </c>
      <c r="DB168" s="17">
        <f>F168+N168+W168+AE168+AM168+AV168+BD168+BL168+BU168+CC168+CK168</f>
        <v>1993</v>
      </c>
      <c r="DC168" s="17">
        <f>K168+T168+AB168+AJ168+AS168+BA168+BI168+BR168+BZ168+CH168+CQ168</f>
        <v>4002</v>
      </c>
    </row>
    <row r="169" spans="1:107" hidden="1">
      <c r="A169" s="12" t="str">
        <f t="shared" si="245"/>
        <v>FINANZASRECOLECCION DE BASURACEDIS</v>
      </c>
      <c r="B169" s="12">
        <v>171</v>
      </c>
      <c r="C169" t="s">
        <v>23</v>
      </c>
      <c r="D169" s="12" t="s">
        <v>166</v>
      </c>
      <c r="E169" s="12" t="s">
        <v>28</v>
      </c>
      <c r="F169" s="259">
        <f t="shared" si="238"/>
        <v>0</v>
      </c>
      <c r="G169" s="13">
        <f t="shared" si="302"/>
        <v>0</v>
      </c>
      <c r="H169" s="13">
        <f t="shared" si="302"/>
        <v>0</v>
      </c>
      <c r="I169" s="13">
        <f t="shared" si="302"/>
        <v>0</v>
      </c>
      <c r="J169" s="13">
        <f t="shared" si="302"/>
        <v>0</v>
      </c>
      <c r="K169" s="13">
        <f t="shared" si="302"/>
        <v>0</v>
      </c>
      <c r="L169" s="68">
        <f t="shared" si="246"/>
        <v>0</v>
      </c>
      <c r="M169" s="268">
        <f t="shared" si="247"/>
        <v>0</v>
      </c>
      <c r="N169" s="13">
        <f t="shared" si="239"/>
        <v>0</v>
      </c>
      <c r="O169" s="13">
        <f t="shared" si="303"/>
        <v>0</v>
      </c>
      <c r="P169" s="13">
        <f t="shared" si="303"/>
        <v>2607.75</v>
      </c>
      <c r="Q169" s="13">
        <f t="shared" si="303"/>
        <v>0</v>
      </c>
      <c r="R169" s="13">
        <f t="shared" si="303"/>
        <v>0</v>
      </c>
      <c r="S169" s="13">
        <f t="shared" si="303"/>
        <v>120</v>
      </c>
      <c r="T169" s="13">
        <f t="shared" si="303"/>
        <v>2727.75</v>
      </c>
      <c r="U169" s="68">
        <f t="shared" si="248"/>
        <v>-2727.75</v>
      </c>
      <c r="V169" s="268">
        <f t="shared" si="249"/>
        <v>0</v>
      </c>
      <c r="W169" s="13">
        <f t="shared" si="240"/>
        <v>0</v>
      </c>
      <c r="X169" s="13">
        <f t="shared" si="304"/>
        <v>0</v>
      </c>
      <c r="Y169" s="13">
        <f t="shared" si="304"/>
        <v>0</v>
      </c>
      <c r="Z169" s="13">
        <f t="shared" si="304"/>
        <v>0</v>
      </c>
      <c r="AA169" s="13">
        <f t="shared" si="304"/>
        <v>5190.6499999999996</v>
      </c>
      <c r="AB169" s="13">
        <f t="shared" si="304"/>
        <v>5190.6499999999996</v>
      </c>
      <c r="AC169" s="68">
        <f t="shared" si="250"/>
        <v>-5190.6499999999996</v>
      </c>
      <c r="AD169" s="268">
        <f t="shared" si="251"/>
        <v>0</v>
      </c>
      <c r="AE169" s="13">
        <f t="shared" si="241"/>
        <v>0</v>
      </c>
      <c r="AF169" s="13">
        <f t="shared" si="305"/>
        <v>0</v>
      </c>
      <c r="AG169" s="13">
        <f t="shared" si="305"/>
        <v>0</v>
      </c>
      <c r="AH169" s="13">
        <f t="shared" si="305"/>
        <v>0</v>
      </c>
      <c r="AI169" s="13">
        <f t="shared" si="305"/>
        <v>0</v>
      </c>
      <c r="AJ169" s="13">
        <f t="shared" si="305"/>
        <v>0</v>
      </c>
      <c r="AK169" s="68">
        <f t="shared" si="252"/>
        <v>0</v>
      </c>
      <c r="AL169" s="268">
        <f t="shared" si="253"/>
        <v>0</v>
      </c>
      <c r="AM169" s="13">
        <f t="shared" si="242"/>
        <v>0</v>
      </c>
      <c r="AN169" s="13">
        <f t="shared" si="306"/>
        <v>0</v>
      </c>
      <c r="AO169" s="13">
        <f t="shared" si="306"/>
        <v>4953.22</v>
      </c>
      <c r="AP169" s="13">
        <f t="shared" si="306"/>
        <v>8759.16</v>
      </c>
      <c r="AQ169" s="13">
        <f t="shared" si="306"/>
        <v>0</v>
      </c>
      <c r="AR169" s="13">
        <f t="shared" si="306"/>
        <v>5839.44</v>
      </c>
      <c r="AS169" s="13">
        <f t="shared" si="306"/>
        <v>19551.82</v>
      </c>
      <c r="AT169" s="68">
        <f>AM169-AS169</f>
        <v>-19551.82</v>
      </c>
      <c r="AU169" s="268">
        <f t="shared" si="254"/>
        <v>0</v>
      </c>
      <c r="AV169" s="13">
        <f t="shared" si="243"/>
        <v>0</v>
      </c>
      <c r="AW169" s="13">
        <f t="shared" si="222"/>
        <v>0</v>
      </c>
      <c r="AX169" s="13">
        <f t="shared" si="222"/>
        <v>2919.72</v>
      </c>
      <c r="AY169" s="13">
        <f t="shared" si="222"/>
        <v>0</v>
      </c>
      <c r="AZ169" s="13">
        <f t="shared" si="222"/>
        <v>0</v>
      </c>
      <c r="BA169" s="13">
        <f t="shared" si="223"/>
        <v>2919.72</v>
      </c>
      <c r="BB169" s="68">
        <f t="shared" si="255"/>
        <v>-2919.72</v>
      </c>
      <c r="BC169" s="268">
        <f t="shared" si="256"/>
        <v>0</v>
      </c>
      <c r="BD169" s="13">
        <f t="shared" si="257"/>
        <v>0</v>
      </c>
      <c r="BE169" s="13">
        <f>SUMIFS(SALIDAS_BIT,FECHA_BIT,"&gt;="&amp;BE$2,FECHA_BIT,"&lt;="&amp;BE$3,CLAVE_BIT,$A169)+SUMIFS(SALIDAS_BOV1,FECHA_BOV1,"&gt;="&amp;BE$2,FECHA_BOV1,"&lt;="&amp;BE$3,CLAVE_BOV1,$A169)+SUMIFS(SALIDAS_BOV2,FECHA_BOV2,"&gt;="&amp;BE$2,FECHA_BOV2,"&lt;="&amp;BE$3,CLAVE_BOV2,$A169)+SUMIFS(SALIDAS_BOV3,FECHA_BOV3,"&gt;="&amp;BE$2,FECHA_BOV3,"&lt;="&amp;BE$3,CLAVE_BOV3,$A169)+SUMIFS(SALIDAS_TC,FECHA_TC,"&gt;="&amp;BE$2,FECHA_TC,"&lt;="&amp;BE$3,CLAVE_TC,$A169)+SUMIFS(SALIDAS_COMB,FECHA_COMB,"&gt;="&amp;BE$2,FECHA_COMB,"&lt;="&amp;BE$3,CLAVE_COMB,$A169)+SUMIFS(SALIDAS_DES,FECHA_DESGLOSEN,"&gt;="&amp;BE$2,FECHA_DESGLOSEN,"&lt;="&amp;BE$3,CLAVE_DESGLOSE,$A169)</f>
        <v>0</v>
      </c>
      <c r="BF169" s="13">
        <f>SUMIFS(SALIDAS_BIT,FECHA_BIT,"&gt;="&amp;BF$2,FECHA_BIT,"&lt;="&amp;BF$3,CLAVE_BIT,$A169)+SUMIFS(SALIDAS_BOV1,FECHA_BOV1,"&gt;="&amp;BF$2,FECHA_BOV1,"&lt;="&amp;BF$3,CLAVE_BOV1,$A169)+SUMIFS(SALIDAS_BOV2,FECHA_BOV2,"&gt;="&amp;BF$2,FECHA_BOV2,"&lt;="&amp;BF$3,CLAVE_BOV2,$A169)+SUMIFS(SALIDAS_BOV3,FECHA_BOV3,"&gt;="&amp;BF$2,FECHA_BOV3,"&lt;="&amp;BF$3,CLAVE_BOV3,$A169)+SUMIFS(SALIDAS_TC,FECHA_TC,"&gt;="&amp;BF$2,FECHA_TC,"&lt;="&amp;BF$3,CLAVE_TC,$A169)+SUMIFS(SALIDAS_COMB,FECHA_COMB,"&gt;="&amp;BF$2,FECHA_COMB,"&lt;="&amp;BF$3,CLAVE_COMB,$A169)+SUMIFS(SALIDAS_DES,FECHA_DESGLOSEN,"&gt;="&amp;BF$2,FECHA_DESGLOSEN,"&lt;="&amp;BF$3,CLAVE_DESGLOSE,$A169)</f>
        <v>5839.44</v>
      </c>
      <c r="BG169" s="13">
        <f>SUMIFS(SALIDAS_BIT,FECHA_BIT,"&gt;="&amp;BG$2,FECHA_BIT,"&lt;="&amp;BG$3,CLAVE_BIT,$A169)+SUMIFS(SALIDAS_BOV1,FECHA_BOV1,"&gt;="&amp;BG$2,FECHA_BOV1,"&lt;="&amp;BG$3,CLAVE_BOV1,$A169)+SUMIFS(SALIDAS_BOV2,FECHA_BOV2,"&gt;="&amp;BG$2,FECHA_BOV2,"&lt;="&amp;BG$3,CLAVE_BOV2,$A169)+SUMIFS(SALIDAS_BOV3,FECHA_BOV3,"&gt;="&amp;BG$2,FECHA_BOV3,"&lt;="&amp;BG$3,CLAVE_BOV3,$A169)+SUMIFS(SALIDAS_TC,FECHA_TC,"&gt;="&amp;BG$2,FECHA_TC,"&lt;="&amp;BG$3,CLAVE_TC,$A169)+SUMIFS(SALIDAS_COMB,FECHA_COMB,"&gt;="&amp;BG$2,FECHA_COMB,"&lt;="&amp;BG$3,CLAVE_COMB,$A169)+SUMIFS(SALIDAS_DES,FECHA_DESGLOSEN,"&gt;="&amp;BG$2,FECHA_DESGLOSEN,"&lt;="&amp;BG$3,CLAVE_DESGLOSE,$A169)</f>
        <v>0</v>
      </c>
      <c r="BH169" s="13">
        <f>SUMIFS(SALIDAS_BIT,FECHA_BIT,"&gt;="&amp;BH$2,FECHA_BIT,"&lt;="&amp;BH$3,CLAVE_BIT,$A169)+SUMIFS(SALIDAS_BOV1,FECHA_BOV1,"&gt;="&amp;BH$2,FECHA_BOV1,"&lt;="&amp;BH$3,CLAVE_BOV1,$A169)+SUMIFS(SALIDAS_BOV2,FECHA_BOV2,"&gt;="&amp;BH$2,FECHA_BOV2,"&lt;="&amp;BH$3,CLAVE_BOV2,$A169)+SUMIFS(SALIDAS_BOV3,FECHA_BOV3,"&gt;="&amp;BH$2,FECHA_BOV3,"&lt;="&amp;BH$3,CLAVE_BOV3,$A169)+SUMIFS(SALIDAS_TC,FECHA_TC,"&gt;="&amp;BH$2,FECHA_TC,"&lt;="&amp;BH$3,CLAVE_TC,$A169)+SUMIFS(SALIDAS_COMB,FECHA_COMB,"&gt;="&amp;BH$2,FECHA_COMB,"&lt;="&amp;BH$3,CLAVE_COMB,$A169)+SUMIFS(SALIDAS_DES,FECHA_DESGLOSEN,"&gt;="&amp;BH$2,FECHA_DESGLOSEN,"&lt;="&amp;BH$3,CLAVE_DESGLOSE,$A169)</f>
        <v>0</v>
      </c>
      <c r="BI169" s="13">
        <f t="shared" si="215"/>
        <v>5839.44</v>
      </c>
      <c r="BJ169" s="68">
        <f t="shared" si="258"/>
        <v>-5839.44</v>
      </c>
      <c r="BK169" s="268">
        <f t="shared" si="259"/>
        <v>0</v>
      </c>
      <c r="BL169" s="13">
        <f t="shared" si="260"/>
        <v>0</v>
      </c>
      <c r="BM169" s="13">
        <f>SUMIFS(SALIDAS_BIT,FECHA_BIT,"&gt;="&amp;BM$2,FECHA_BIT,"&lt;="&amp;BM$3,CLAVE_BIT,$A169)+SUMIFS(SALIDAS_BOV1,FECHA_BOV1,"&gt;="&amp;BM$2,FECHA_BOV1,"&lt;="&amp;BM$3,CLAVE_BOV1,$A169)+SUMIFS(SALIDAS_BOV2,FECHA_BOV2,"&gt;="&amp;BM$2,FECHA_BOV2,"&lt;="&amp;BM$3,CLAVE_BOV2,$A169)+SUMIFS(SALIDAS_BOV3,FECHA_BOV3,"&gt;="&amp;BM$2,FECHA_BOV3,"&lt;="&amp;BM$3,CLAVE_BOV3,$A169)+SUMIFS(SALIDAS_TC,FECHA_TC,"&gt;="&amp;BM$2,FECHA_TC,"&lt;="&amp;BM$3,CLAVE_TC,$A169)+SUMIFS(SALIDAS_COMB,FECHA_COMB,"&gt;="&amp;BM$2,FECHA_COMB,"&lt;="&amp;BM$3,CLAVE_COMB,$A169)+SUMIFS(SALIDAS_DES,FECHA_DESGLOSEN,"&gt;="&amp;BM$2,FECHA_DESGLOSEN,"&lt;="&amp;BM$3,CLAVE_DESGLOSE,$A169)</f>
        <v>0</v>
      </c>
      <c r="BN169" s="13">
        <f>SUMIFS(SALIDAS_BIT,FECHA_BIT,"&gt;="&amp;BN$2,FECHA_BIT,"&lt;="&amp;BN$3,CLAVE_BIT,$A169)+SUMIFS(SALIDAS_BOV1,FECHA_BOV1,"&gt;="&amp;BN$2,FECHA_BOV1,"&lt;="&amp;BN$3,CLAVE_BOV1,$A169)+SUMIFS(SALIDAS_BOV2,FECHA_BOV2,"&gt;="&amp;BN$2,FECHA_BOV2,"&lt;="&amp;BN$3,CLAVE_BOV2,$A169)+SUMIFS(SALIDAS_BOV3,FECHA_BOV3,"&gt;="&amp;BN$2,FECHA_BOV3,"&lt;="&amp;BN$3,CLAVE_BOV3,$A169)+SUMIFS(SALIDAS_TC,FECHA_TC,"&gt;="&amp;BN$2,FECHA_TC,"&lt;="&amp;BN$3,CLAVE_TC,$A169)+SUMIFS(SALIDAS_COMB,FECHA_COMB,"&gt;="&amp;BN$2,FECHA_COMB,"&lt;="&amp;BN$3,CLAVE_COMB,$A169)+SUMIFS(SALIDAS_DES,FECHA_DESGLOSEN,"&gt;="&amp;BN$2,FECHA_DESGLOSEN,"&lt;="&amp;BN$3,CLAVE_DESGLOSE,$A169)</f>
        <v>2919.72</v>
      </c>
      <c r="BO169" s="13">
        <f>SUMIFS(SALIDAS_BIT,FECHA_BIT,"&gt;="&amp;BO$2,FECHA_BIT,"&lt;="&amp;BO$3,CLAVE_BIT,$A169)+SUMIFS(SALIDAS_BOV1,FECHA_BOV1,"&gt;="&amp;BO$2,FECHA_BOV1,"&lt;="&amp;BO$3,CLAVE_BOV1,$A169)+SUMIFS(SALIDAS_BOV2,FECHA_BOV2,"&gt;="&amp;BO$2,FECHA_BOV2,"&lt;="&amp;BO$3,CLAVE_BOV2,$A169)+SUMIFS(SALIDAS_BOV3,FECHA_BOV3,"&gt;="&amp;BO$2,FECHA_BOV3,"&lt;="&amp;BO$3,CLAVE_BOV3,$A169)+SUMIFS(SALIDAS_TC,FECHA_TC,"&gt;="&amp;BO$2,FECHA_TC,"&lt;="&amp;BO$3,CLAVE_TC,$A169)+SUMIFS(SALIDAS_COMB,FECHA_COMB,"&gt;="&amp;BO$2,FECHA_COMB,"&lt;="&amp;BO$3,CLAVE_COMB,$A169)+SUMIFS(SALIDAS_DES,FECHA_DESGLOSEN,"&gt;="&amp;BO$2,FECHA_DESGLOSEN,"&lt;="&amp;BO$3,CLAVE_DESGLOSE,$A169)</f>
        <v>0</v>
      </c>
      <c r="BP169" s="13">
        <f>SUMIFS(SALIDAS_BIT,FECHA_BIT,"&gt;="&amp;BP$2,FECHA_BIT,"&lt;="&amp;BP$3,CLAVE_BIT,$A169)+SUMIFS(SALIDAS_BOV1,FECHA_BOV1,"&gt;="&amp;BP$2,FECHA_BOV1,"&lt;="&amp;BP$3,CLAVE_BOV1,$A169)+SUMIFS(SALIDAS_BOV2,FECHA_BOV2,"&gt;="&amp;BP$2,FECHA_BOV2,"&lt;="&amp;BP$3,CLAVE_BOV2,$A169)+SUMIFS(SALIDAS_BOV3,FECHA_BOV3,"&gt;="&amp;BP$2,FECHA_BOV3,"&lt;="&amp;BP$3,CLAVE_BOV3,$A169)+SUMIFS(SALIDAS_TC,FECHA_TC,"&gt;="&amp;BP$2,FECHA_TC,"&lt;="&amp;BP$3,CLAVE_TC,$A169)+SUMIFS(SALIDAS_COMB,FECHA_COMB,"&gt;="&amp;BP$2,FECHA_COMB,"&lt;="&amp;BP$3,CLAVE_COMB,$A169)+SUMIFS(SALIDAS_DES,FECHA_DESGLOSEN,"&gt;="&amp;BP$2,FECHA_DESGLOSEN,"&lt;="&amp;BP$3,CLAVE_DESGLOSE,$A169)</f>
        <v>2919.72</v>
      </c>
      <c r="BQ169" s="13">
        <f>SUMIFS(SALIDAS_BIT,FECHA_BIT,"&gt;="&amp;BQ$2,FECHA_BIT,"&lt;="&amp;BQ$3,CLAVE_BIT,$A169)+SUMIFS(SALIDAS_BOV1,FECHA_BOV1,"&gt;="&amp;BQ$2,FECHA_BOV1,"&lt;="&amp;BQ$3,CLAVE_BOV1,$A169)+SUMIFS(SALIDAS_BOV2,FECHA_BOV2,"&gt;="&amp;BQ$2,FECHA_BOV2,"&lt;="&amp;BQ$3,CLAVE_BOV2,$A169)+SUMIFS(SALIDAS_BOV3,FECHA_BOV3,"&gt;="&amp;BQ$2,FECHA_BOV3,"&lt;="&amp;BQ$3,CLAVE_BOV3,$A169)+SUMIFS(SALIDAS_TC,FECHA_TC,"&gt;="&amp;BQ$2,FECHA_TC,"&lt;="&amp;BQ$3,CLAVE_TC,$A169)+SUMIFS(SALIDAS_COMB,FECHA_COMB,"&gt;="&amp;BQ$2,FECHA_COMB,"&lt;="&amp;BQ$3,CLAVE_COMB,$A169)+SUMIFS(SALIDAS_DES,FECHA_DESGLOSEN,"&gt;="&amp;BQ$2,FECHA_DESGLOSEN,"&lt;="&amp;BQ$3,CLAVE_DESGLOSE,$A169)</f>
        <v>0</v>
      </c>
      <c r="BR169" s="13">
        <f t="shared" si="307"/>
        <v>5839.44</v>
      </c>
      <c r="BS169" s="68">
        <f t="shared" si="261"/>
        <v>-5839.44</v>
      </c>
      <c r="BT169" s="268">
        <f t="shared" si="262"/>
        <v>0</v>
      </c>
      <c r="BU169" s="13">
        <f t="shared" si="263"/>
        <v>1392</v>
      </c>
      <c r="BV169" s="13">
        <f t="shared" si="291"/>
        <v>0</v>
      </c>
      <c r="BW169" s="13">
        <f t="shared" si="291"/>
        <v>0</v>
      </c>
      <c r="BX169" s="13">
        <f t="shared" si="291"/>
        <v>0</v>
      </c>
      <c r="BY169" s="13">
        <f t="shared" si="291"/>
        <v>0</v>
      </c>
      <c r="BZ169" s="13">
        <f t="shared" si="308"/>
        <v>0</v>
      </c>
      <c r="CA169" s="68">
        <f t="shared" si="264"/>
        <v>1392</v>
      </c>
      <c r="CB169" s="268">
        <f t="shared" si="265"/>
        <v>0</v>
      </c>
      <c r="CC169" s="13">
        <f t="shared" si="266"/>
        <v>1392</v>
      </c>
      <c r="CD169" s="13">
        <f t="shared" si="292"/>
        <v>2919.72</v>
      </c>
      <c r="CE169" s="13">
        <f t="shared" si="292"/>
        <v>0</v>
      </c>
      <c r="CF169" s="13">
        <f t="shared" si="292"/>
        <v>0</v>
      </c>
      <c r="CG169" s="13">
        <f t="shared" si="292"/>
        <v>0</v>
      </c>
      <c r="CH169" s="13">
        <f t="shared" si="309"/>
        <v>2919.72</v>
      </c>
      <c r="CI169" s="68">
        <f t="shared" si="267"/>
        <v>-1527.7199999999998</v>
      </c>
      <c r="CJ169" s="268">
        <f t="shared" si="268"/>
        <v>2.0974999999999997</v>
      </c>
      <c r="CK169" s="13">
        <f t="shared" si="269"/>
        <v>1392</v>
      </c>
      <c r="CL169" s="13">
        <f t="shared" si="228"/>
        <v>2922.72</v>
      </c>
      <c r="CM169" s="13">
        <f t="shared" si="228"/>
        <v>2408.16</v>
      </c>
      <c r="CN169" s="13">
        <f t="shared" si="228"/>
        <v>0</v>
      </c>
      <c r="CO169" s="13">
        <f t="shared" si="228"/>
        <v>0</v>
      </c>
      <c r="CP169" s="13">
        <f t="shared" si="228"/>
        <v>2408.16</v>
      </c>
      <c r="CQ169" s="13">
        <f t="shared" si="310"/>
        <v>7739.0399999999991</v>
      </c>
      <c r="CR169" s="68">
        <f t="shared" si="270"/>
        <v>-6347.0399999999991</v>
      </c>
      <c r="CS169" s="268">
        <f t="shared" si="271"/>
        <v>5.5596551724137928</v>
      </c>
      <c r="CT169" s="68">
        <f t="shared" si="244"/>
        <v>3000</v>
      </c>
      <c r="CU169" s="13">
        <f>SUMIFS(SALIDAS_BIT,FECHA_BIT,"&gt;="&amp;CU$2,FECHA_BIT,"&lt;="&amp;CU$3,CLAVE_BIT,$A169)+SUMIFS(SALIDAS_BOV1,FECHA_BOV1,"&gt;="&amp;CU$2,FECHA_BOV1,"&lt;="&amp;CU$3,CLAVE_BOV1,$A169)+SUMIFS(SALIDAS_BOV2,FECHA_BOV2,"&gt;="&amp;CU$2,FECHA_BOV2,"&lt;="&amp;CU$3,CLAVE_BOV2,$A169)+SUMIFS(SALIDAS_BOV3,FECHA_BOV3,"&gt;="&amp;CU$2,FECHA_BOV3,"&lt;="&amp;CU$3,CLAVE_BOV3,$A169)+SUMIFS(SALIDAS_TC,FECHA_TC,"&gt;="&amp;CU$2,FECHA_TC,"&lt;="&amp;CU$3,CLAVE_TC,$A169)+SUMIFS(SALIDAS_COMB,FECHA_COMB,"&gt;="&amp;CU$2,FECHA_COMB,"&lt;="&amp;CU$3,CLAVE_COMB,$A169)+SUMIFS(SALIDAS_DES,FECHA_DESGLOSEN,"&gt;="&amp;CU$2,FECHA_DESGLOSEN,"&lt;="&amp;CU$3,CLAVE_DESGLOSE,$A169)</f>
        <v>0</v>
      </c>
      <c r="CV169" s="13">
        <f>SUMIFS(SALIDAS_BIT,FECHA_BIT,"&gt;="&amp;CV$2,FECHA_BIT,"&lt;="&amp;CV$3,CLAVE_BIT,$A169)+SUMIFS(SALIDAS_BOV1,FECHA_BOV1,"&gt;="&amp;CV$2,FECHA_BOV1,"&lt;="&amp;CV$3,CLAVE_BOV1,$A169)+SUMIFS(SALIDAS_BOV2,FECHA_BOV2,"&gt;="&amp;CV$2,FECHA_BOV2,"&lt;="&amp;CV$3,CLAVE_BOV2,$A169)+SUMIFS(SALIDAS_BOV3,FECHA_BOV3,"&gt;="&amp;CV$2,FECHA_BOV3,"&lt;="&amp;CV$3,CLAVE_BOV3,$A169)+SUMIFS(SALIDAS_TC,FECHA_TC,"&gt;="&amp;CV$2,FECHA_TC,"&lt;="&amp;CV$3,CLAVE_TC,$A169)+SUMIFS(SALIDAS_COMB,FECHA_COMB,"&gt;="&amp;CV$2,FECHA_COMB,"&lt;="&amp;CV$3,CLAVE_COMB,$A169)+SUMIFS(SALIDAS_DES,FECHA_DESGLOSEN,"&gt;="&amp;CV$2,FECHA_DESGLOSEN,"&lt;="&amp;CV$3,CLAVE_DESGLOSE,$A169)</f>
        <v>0</v>
      </c>
      <c r="CW169" s="13">
        <f>SUMIFS(SALIDAS_BIT,FECHA_BIT,"&gt;="&amp;CW$2,FECHA_BIT,"&lt;="&amp;CW$3,CLAVE_BIT,$A169)+SUMIFS(SALIDAS_BOV1,FECHA_BOV1,"&gt;="&amp;CW$2,FECHA_BOV1,"&lt;="&amp;CW$3,CLAVE_BOV1,$A169)+SUMIFS(SALIDAS_BOV2,FECHA_BOV2,"&gt;="&amp;CW$2,FECHA_BOV2,"&lt;="&amp;CW$3,CLAVE_BOV2,$A169)+SUMIFS(SALIDAS_BOV3,FECHA_BOV3,"&gt;="&amp;CW$2,FECHA_BOV3,"&lt;="&amp;CW$3,CLAVE_BOV3,$A169)+SUMIFS(SALIDAS_TC,FECHA_TC,"&gt;="&amp;CW$2,FECHA_TC,"&lt;="&amp;CW$3,CLAVE_TC,$A169)+SUMIFS(SALIDAS_COMB,FECHA_COMB,"&gt;="&amp;CW$2,FECHA_COMB,"&lt;="&amp;CW$3,CLAVE_COMB,$A169)+SUMIFS(SALIDAS_DES,FECHA_DESGLOSEN,"&gt;="&amp;CW$2,FECHA_DESGLOSEN,"&lt;="&amp;CW$3,CLAVE_DESGLOSE,$A169)</f>
        <v>0</v>
      </c>
      <c r="CX169" s="13">
        <f>SUMIFS(SALIDAS_BIT,FECHA_BIT,"&gt;="&amp;CX$2,FECHA_BIT,"&lt;="&amp;CX$3,CLAVE_BIT,$A169)+SUMIFS(SALIDAS_BOV1,FECHA_BOV1,"&gt;="&amp;CX$2,FECHA_BOV1,"&lt;="&amp;CX$3,CLAVE_BOV1,$A169)+SUMIFS(SALIDAS_BOV2,FECHA_BOV2,"&gt;="&amp;CX$2,FECHA_BOV2,"&lt;="&amp;CX$3,CLAVE_BOV2,$A169)+SUMIFS(SALIDAS_BOV3,FECHA_BOV3,"&gt;="&amp;CX$2,FECHA_BOV3,"&lt;="&amp;CX$3,CLAVE_BOV3,$A169)+SUMIFS(SALIDAS_TC,FECHA_TC,"&gt;="&amp;CX$2,FECHA_TC,"&lt;="&amp;CX$3,CLAVE_TC,$A169)+SUMIFS(SALIDAS_COMB,FECHA_COMB,"&gt;="&amp;CX$2,FECHA_COMB,"&lt;="&amp;CX$3,CLAVE_COMB,$A169)+SUMIFS(SALIDAS_DES,FECHA_DESGLOSEN,"&gt;="&amp;CX$2,FECHA_DESGLOSEN,"&lt;="&amp;CX$3,CLAVE_DESGLOSE,$A169)</f>
        <v>0</v>
      </c>
      <c r="CY169" s="13">
        <f>SUMIFS(SALIDAS_BIT,FECHA_BIT,"&gt;="&amp;CY$2,FECHA_BIT,"&lt;="&amp;CY$3,CLAVE_BIT,$A169)+SUMIFS(SALIDAS_BOV1,FECHA_BOV1,"&gt;="&amp;CY$2,FECHA_BOV1,"&lt;="&amp;CY$3,CLAVE_BOV1,$A169)+SUMIFS(SALIDAS_BOV2,FECHA_BOV2,"&gt;="&amp;CY$2,FECHA_BOV2,"&lt;="&amp;CY$3,CLAVE_BOV2,$A169)+SUMIFS(SALIDAS_BOV3,FECHA_BOV3,"&gt;="&amp;CY$2,FECHA_BOV3,"&lt;="&amp;CY$3,CLAVE_BOV3,$A169)+SUMIFS(SALIDAS_TC,FECHA_TC,"&gt;="&amp;CY$2,FECHA_TC,"&lt;="&amp;CY$3,CLAVE_TC,$A169)+SUMIFS(SALIDAS_COMB,FECHA_COMB,"&gt;="&amp;CY$2,FECHA_COMB,"&lt;="&amp;CY$3,CLAVE_COMB,$A169)+SUMIFS(SALIDAS_DES,FECHA_DESGLOSEN,"&gt;="&amp;CY$2,FECHA_DESGLOSEN,"&lt;="&amp;CY$3,CLAVE_DESGLOSE,$A169)</f>
        <v>0</v>
      </c>
      <c r="CZ169" s="68">
        <f t="shared" si="272"/>
        <v>3000</v>
      </c>
      <c r="DB169" s="17">
        <f>F169+N169+W169+AE169+AM169+AV169+BD169+BL169+BU169+CC169+CK169</f>
        <v>4176</v>
      </c>
      <c r="DC169" s="17">
        <f>K169+T169+AB169+AJ169+AS169+BA169+BI169+BR169+BZ169+CH169+CQ169</f>
        <v>52727.580000000009</v>
      </c>
    </row>
    <row r="170" spans="1:107" hidden="1">
      <c r="A170" s="12" t="str">
        <f t="shared" si="245"/>
        <v>SERVICIOSFUMIGACIONCEDIS</v>
      </c>
      <c r="B170" s="12">
        <v>172</v>
      </c>
      <c r="C170" t="s">
        <v>21</v>
      </c>
      <c r="D170" s="12" t="s">
        <v>121</v>
      </c>
      <c r="E170" s="12" t="s">
        <v>28</v>
      </c>
      <c r="F170" s="259">
        <f t="shared" si="238"/>
        <v>0</v>
      </c>
      <c r="G170" s="13">
        <f t="shared" si="302"/>
        <v>0</v>
      </c>
      <c r="H170" s="13">
        <f t="shared" si="302"/>
        <v>0</v>
      </c>
      <c r="I170" s="13">
        <f t="shared" si="302"/>
        <v>0</v>
      </c>
      <c r="J170" s="13">
        <f t="shared" si="302"/>
        <v>0</v>
      </c>
      <c r="K170" s="13">
        <f t="shared" si="302"/>
        <v>0</v>
      </c>
      <c r="L170" s="68">
        <f t="shared" si="246"/>
        <v>0</v>
      </c>
      <c r="M170" s="268">
        <f t="shared" si="247"/>
        <v>0</v>
      </c>
      <c r="N170" s="13">
        <f t="shared" si="239"/>
        <v>0</v>
      </c>
      <c r="O170" s="13">
        <f t="shared" si="303"/>
        <v>0</v>
      </c>
      <c r="P170" s="13">
        <f t="shared" si="303"/>
        <v>0</v>
      </c>
      <c r="Q170" s="13">
        <f t="shared" si="303"/>
        <v>0</v>
      </c>
      <c r="R170" s="13">
        <f t="shared" si="303"/>
        <v>0</v>
      </c>
      <c r="S170" s="13">
        <f t="shared" si="303"/>
        <v>0</v>
      </c>
      <c r="T170" s="13">
        <f t="shared" si="303"/>
        <v>0</v>
      </c>
      <c r="U170" s="68">
        <f t="shared" si="248"/>
        <v>0</v>
      </c>
      <c r="V170" s="268">
        <f t="shared" si="249"/>
        <v>0</v>
      </c>
      <c r="W170" s="13">
        <f t="shared" si="240"/>
        <v>8500</v>
      </c>
      <c r="X170" s="13">
        <f t="shared" si="304"/>
        <v>0</v>
      </c>
      <c r="Y170" s="13">
        <f t="shared" si="304"/>
        <v>0</v>
      </c>
      <c r="Z170" s="13">
        <f t="shared" si="304"/>
        <v>0</v>
      </c>
      <c r="AA170" s="13">
        <f t="shared" si="304"/>
        <v>0</v>
      </c>
      <c r="AB170" s="13">
        <f t="shared" si="304"/>
        <v>0</v>
      </c>
      <c r="AC170" s="68">
        <f t="shared" si="250"/>
        <v>8500</v>
      </c>
      <c r="AD170" s="268">
        <f t="shared" si="251"/>
        <v>0</v>
      </c>
      <c r="AE170" s="13">
        <f t="shared" si="241"/>
        <v>0</v>
      </c>
      <c r="AF170" s="13">
        <f t="shared" si="305"/>
        <v>0</v>
      </c>
      <c r="AG170" s="13">
        <f t="shared" si="305"/>
        <v>0</v>
      </c>
      <c r="AH170" s="13">
        <f t="shared" si="305"/>
        <v>0</v>
      </c>
      <c r="AI170" s="13">
        <f t="shared" si="305"/>
        <v>0</v>
      </c>
      <c r="AJ170" s="13">
        <f t="shared" si="305"/>
        <v>0</v>
      </c>
      <c r="AK170" s="68">
        <f t="shared" si="252"/>
        <v>0</v>
      </c>
      <c r="AL170" s="268">
        <f t="shared" si="253"/>
        <v>0</v>
      </c>
      <c r="AM170" s="13">
        <f t="shared" si="242"/>
        <v>0</v>
      </c>
      <c r="AN170" s="13">
        <f t="shared" si="306"/>
        <v>0</v>
      </c>
      <c r="AO170" s="13">
        <f t="shared" si="306"/>
        <v>0</v>
      </c>
      <c r="AP170" s="13">
        <f t="shared" si="306"/>
        <v>0</v>
      </c>
      <c r="AQ170" s="13">
        <f t="shared" si="306"/>
        <v>0</v>
      </c>
      <c r="AR170" s="13">
        <f t="shared" si="306"/>
        <v>0</v>
      </c>
      <c r="AS170" s="13">
        <f t="shared" si="306"/>
        <v>0</v>
      </c>
      <c r="AT170" s="68">
        <f>AM170-AS170</f>
        <v>0</v>
      </c>
      <c r="AU170" s="268">
        <f t="shared" si="254"/>
        <v>0</v>
      </c>
      <c r="AV170" s="13">
        <f t="shared" si="243"/>
        <v>8500</v>
      </c>
      <c r="AW170" s="13">
        <f t="shared" si="222"/>
        <v>0</v>
      </c>
      <c r="AX170" s="13">
        <f t="shared" si="222"/>
        <v>0</v>
      </c>
      <c r="AY170" s="13">
        <f t="shared" si="222"/>
        <v>0</v>
      </c>
      <c r="AZ170" s="13">
        <f t="shared" si="222"/>
        <v>0</v>
      </c>
      <c r="BA170" s="13">
        <f t="shared" si="223"/>
        <v>0</v>
      </c>
      <c r="BB170" s="68">
        <f t="shared" si="255"/>
        <v>8500</v>
      </c>
      <c r="BC170" s="268">
        <f t="shared" si="256"/>
        <v>0</v>
      </c>
      <c r="BD170" s="13">
        <f t="shared" si="257"/>
        <v>0</v>
      </c>
      <c r="BE170" s="13">
        <f>SUMIFS(SALIDAS_BIT,FECHA_BIT,"&gt;="&amp;BE$2,FECHA_BIT,"&lt;="&amp;BE$3,CLAVE_BIT,$A170)+SUMIFS(SALIDAS_BOV1,FECHA_BOV1,"&gt;="&amp;BE$2,FECHA_BOV1,"&lt;="&amp;BE$3,CLAVE_BOV1,$A170)+SUMIFS(SALIDAS_BOV2,FECHA_BOV2,"&gt;="&amp;BE$2,FECHA_BOV2,"&lt;="&amp;BE$3,CLAVE_BOV2,$A170)+SUMIFS(SALIDAS_BOV3,FECHA_BOV3,"&gt;="&amp;BE$2,FECHA_BOV3,"&lt;="&amp;BE$3,CLAVE_BOV3,$A170)+SUMIFS(SALIDAS_TC,FECHA_TC,"&gt;="&amp;BE$2,FECHA_TC,"&lt;="&amp;BE$3,CLAVE_TC,$A170)+SUMIFS(SALIDAS_COMB,FECHA_COMB,"&gt;="&amp;BE$2,FECHA_COMB,"&lt;="&amp;BE$3,CLAVE_COMB,$A170)+SUMIFS(SALIDAS_DES,FECHA_DESGLOSEN,"&gt;="&amp;BE$2,FECHA_DESGLOSEN,"&lt;="&amp;BE$3,CLAVE_DESGLOSE,$A170)</f>
        <v>0</v>
      </c>
      <c r="BF170" s="13">
        <f>SUMIFS(SALIDAS_BIT,FECHA_BIT,"&gt;="&amp;BF$2,FECHA_BIT,"&lt;="&amp;BF$3,CLAVE_BIT,$A170)+SUMIFS(SALIDAS_BOV1,FECHA_BOV1,"&gt;="&amp;BF$2,FECHA_BOV1,"&lt;="&amp;BF$3,CLAVE_BOV1,$A170)+SUMIFS(SALIDAS_BOV2,FECHA_BOV2,"&gt;="&amp;BF$2,FECHA_BOV2,"&lt;="&amp;BF$3,CLAVE_BOV2,$A170)+SUMIFS(SALIDAS_BOV3,FECHA_BOV3,"&gt;="&amp;BF$2,FECHA_BOV3,"&lt;="&amp;BF$3,CLAVE_BOV3,$A170)+SUMIFS(SALIDAS_TC,FECHA_TC,"&gt;="&amp;BF$2,FECHA_TC,"&lt;="&amp;BF$3,CLAVE_TC,$A170)+SUMIFS(SALIDAS_COMB,FECHA_COMB,"&gt;="&amp;BF$2,FECHA_COMB,"&lt;="&amp;BF$3,CLAVE_COMB,$A170)+SUMIFS(SALIDAS_DES,FECHA_DESGLOSEN,"&gt;="&amp;BF$2,FECHA_DESGLOSEN,"&lt;="&amp;BF$3,CLAVE_DESGLOSE,$A170)</f>
        <v>0</v>
      </c>
      <c r="BG170" s="13">
        <f>SUMIFS(SALIDAS_BIT,FECHA_BIT,"&gt;="&amp;BG$2,FECHA_BIT,"&lt;="&amp;BG$3,CLAVE_BIT,$A170)+SUMIFS(SALIDAS_BOV1,FECHA_BOV1,"&gt;="&amp;BG$2,FECHA_BOV1,"&lt;="&amp;BG$3,CLAVE_BOV1,$A170)+SUMIFS(SALIDAS_BOV2,FECHA_BOV2,"&gt;="&amp;BG$2,FECHA_BOV2,"&lt;="&amp;BG$3,CLAVE_BOV2,$A170)+SUMIFS(SALIDAS_BOV3,FECHA_BOV3,"&gt;="&amp;BG$2,FECHA_BOV3,"&lt;="&amp;BG$3,CLAVE_BOV3,$A170)+SUMIFS(SALIDAS_TC,FECHA_TC,"&gt;="&amp;BG$2,FECHA_TC,"&lt;="&amp;BG$3,CLAVE_TC,$A170)+SUMIFS(SALIDAS_COMB,FECHA_COMB,"&gt;="&amp;BG$2,FECHA_COMB,"&lt;="&amp;BG$3,CLAVE_COMB,$A170)+SUMIFS(SALIDAS_DES,FECHA_DESGLOSEN,"&gt;="&amp;BG$2,FECHA_DESGLOSEN,"&lt;="&amp;BG$3,CLAVE_DESGLOSE,$A170)</f>
        <v>0</v>
      </c>
      <c r="BH170" s="13">
        <f>SUMIFS(SALIDAS_BIT,FECHA_BIT,"&gt;="&amp;BH$2,FECHA_BIT,"&lt;="&amp;BH$3,CLAVE_BIT,$A170)+SUMIFS(SALIDAS_BOV1,FECHA_BOV1,"&gt;="&amp;BH$2,FECHA_BOV1,"&lt;="&amp;BH$3,CLAVE_BOV1,$A170)+SUMIFS(SALIDAS_BOV2,FECHA_BOV2,"&gt;="&amp;BH$2,FECHA_BOV2,"&lt;="&amp;BH$3,CLAVE_BOV2,$A170)+SUMIFS(SALIDAS_BOV3,FECHA_BOV3,"&gt;="&amp;BH$2,FECHA_BOV3,"&lt;="&amp;BH$3,CLAVE_BOV3,$A170)+SUMIFS(SALIDAS_TC,FECHA_TC,"&gt;="&amp;BH$2,FECHA_TC,"&lt;="&amp;BH$3,CLAVE_TC,$A170)+SUMIFS(SALIDAS_COMB,FECHA_COMB,"&gt;="&amp;BH$2,FECHA_COMB,"&lt;="&amp;BH$3,CLAVE_COMB,$A170)+SUMIFS(SALIDAS_DES,FECHA_DESGLOSEN,"&gt;="&amp;BH$2,FECHA_DESGLOSEN,"&lt;="&amp;BH$3,CLAVE_DESGLOSE,$A170)</f>
        <v>0</v>
      </c>
      <c r="BI170" s="13">
        <f t="shared" si="215"/>
        <v>0</v>
      </c>
      <c r="BJ170" s="68">
        <f t="shared" si="258"/>
        <v>0</v>
      </c>
      <c r="BK170" s="268">
        <f t="shared" si="259"/>
        <v>0</v>
      </c>
      <c r="BL170" s="13">
        <f t="shared" si="260"/>
        <v>0</v>
      </c>
      <c r="BM170" s="13">
        <f>SUMIFS(SALIDAS_BIT,FECHA_BIT,"&gt;="&amp;BM$2,FECHA_BIT,"&lt;="&amp;BM$3,CLAVE_BIT,$A170)+SUMIFS(SALIDAS_BOV1,FECHA_BOV1,"&gt;="&amp;BM$2,FECHA_BOV1,"&lt;="&amp;BM$3,CLAVE_BOV1,$A170)+SUMIFS(SALIDAS_BOV2,FECHA_BOV2,"&gt;="&amp;BM$2,FECHA_BOV2,"&lt;="&amp;BM$3,CLAVE_BOV2,$A170)+SUMIFS(SALIDAS_BOV3,FECHA_BOV3,"&gt;="&amp;BM$2,FECHA_BOV3,"&lt;="&amp;BM$3,CLAVE_BOV3,$A170)+SUMIFS(SALIDAS_TC,FECHA_TC,"&gt;="&amp;BM$2,FECHA_TC,"&lt;="&amp;BM$3,CLAVE_TC,$A170)+SUMIFS(SALIDAS_COMB,FECHA_COMB,"&gt;="&amp;BM$2,FECHA_COMB,"&lt;="&amp;BM$3,CLAVE_COMB,$A170)+SUMIFS(SALIDAS_DES,FECHA_DESGLOSEN,"&gt;="&amp;BM$2,FECHA_DESGLOSEN,"&lt;="&amp;BM$3,CLAVE_DESGLOSE,$A170)</f>
        <v>0</v>
      </c>
      <c r="BN170" s="13">
        <f>SUMIFS(SALIDAS_BIT,FECHA_BIT,"&gt;="&amp;BN$2,FECHA_BIT,"&lt;="&amp;BN$3,CLAVE_BIT,$A170)+SUMIFS(SALIDAS_BOV1,FECHA_BOV1,"&gt;="&amp;BN$2,FECHA_BOV1,"&lt;="&amp;BN$3,CLAVE_BOV1,$A170)+SUMIFS(SALIDAS_BOV2,FECHA_BOV2,"&gt;="&amp;BN$2,FECHA_BOV2,"&lt;="&amp;BN$3,CLAVE_BOV2,$A170)+SUMIFS(SALIDAS_BOV3,FECHA_BOV3,"&gt;="&amp;BN$2,FECHA_BOV3,"&lt;="&amp;BN$3,CLAVE_BOV3,$A170)+SUMIFS(SALIDAS_TC,FECHA_TC,"&gt;="&amp;BN$2,FECHA_TC,"&lt;="&amp;BN$3,CLAVE_TC,$A170)+SUMIFS(SALIDAS_COMB,FECHA_COMB,"&gt;="&amp;BN$2,FECHA_COMB,"&lt;="&amp;BN$3,CLAVE_COMB,$A170)+SUMIFS(SALIDAS_DES,FECHA_DESGLOSEN,"&gt;="&amp;BN$2,FECHA_DESGLOSEN,"&lt;="&amp;BN$3,CLAVE_DESGLOSE,$A170)</f>
        <v>0</v>
      </c>
      <c r="BO170" s="13">
        <f>SUMIFS(SALIDAS_BIT,FECHA_BIT,"&gt;="&amp;BO$2,FECHA_BIT,"&lt;="&amp;BO$3,CLAVE_BIT,$A170)+SUMIFS(SALIDAS_BOV1,FECHA_BOV1,"&gt;="&amp;BO$2,FECHA_BOV1,"&lt;="&amp;BO$3,CLAVE_BOV1,$A170)+SUMIFS(SALIDAS_BOV2,FECHA_BOV2,"&gt;="&amp;BO$2,FECHA_BOV2,"&lt;="&amp;BO$3,CLAVE_BOV2,$A170)+SUMIFS(SALIDAS_BOV3,FECHA_BOV3,"&gt;="&amp;BO$2,FECHA_BOV3,"&lt;="&amp;BO$3,CLAVE_BOV3,$A170)+SUMIFS(SALIDAS_TC,FECHA_TC,"&gt;="&amp;BO$2,FECHA_TC,"&lt;="&amp;BO$3,CLAVE_TC,$A170)+SUMIFS(SALIDAS_COMB,FECHA_COMB,"&gt;="&amp;BO$2,FECHA_COMB,"&lt;="&amp;BO$3,CLAVE_COMB,$A170)+SUMIFS(SALIDAS_DES,FECHA_DESGLOSEN,"&gt;="&amp;BO$2,FECHA_DESGLOSEN,"&lt;="&amp;BO$3,CLAVE_DESGLOSE,$A170)</f>
        <v>0</v>
      </c>
      <c r="BP170" s="13">
        <f>SUMIFS(SALIDAS_BIT,FECHA_BIT,"&gt;="&amp;BP$2,FECHA_BIT,"&lt;="&amp;BP$3,CLAVE_BIT,$A170)+SUMIFS(SALIDAS_BOV1,FECHA_BOV1,"&gt;="&amp;BP$2,FECHA_BOV1,"&lt;="&amp;BP$3,CLAVE_BOV1,$A170)+SUMIFS(SALIDAS_BOV2,FECHA_BOV2,"&gt;="&amp;BP$2,FECHA_BOV2,"&lt;="&amp;BP$3,CLAVE_BOV2,$A170)+SUMIFS(SALIDAS_BOV3,FECHA_BOV3,"&gt;="&amp;BP$2,FECHA_BOV3,"&lt;="&amp;BP$3,CLAVE_BOV3,$A170)+SUMIFS(SALIDAS_TC,FECHA_TC,"&gt;="&amp;BP$2,FECHA_TC,"&lt;="&amp;BP$3,CLAVE_TC,$A170)+SUMIFS(SALIDAS_COMB,FECHA_COMB,"&gt;="&amp;BP$2,FECHA_COMB,"&lt;="&amp;BP$3,CLAVE_COMB,$A170)+SUMIFS(SALIDAS_DES,FECHA_DESGLOSEN,"&gt;="&amp;BP$2,FECHA_DESGLOSEN,"&lt;="&amp;BP$3,CLAVE_DESGLOSE,$A170)</f>
        <v>0</v>
      </c>
      <c r="BQ170" s="13">
        <f>SUMIFS(SALIDAS_BIT,FECHA_BIT,"&gt;="&amp;BQ$2,FECHA_BIT,"&lt;="&amp;BQ$3,CLAVE_BIT,$A170)+SUMIFS(SALIDAS_BOV1,FECHA_BOV1,"&gt;="&amp;BQ$2,FECHA_BOV1,"&lt;="&amp;BQ$3,CLAVE_BOV1,$A170)+SUMIFS(SALIDAS_BOV2,FECHA_BOV2,"&gt;="&amp;BQ$2,FECHA_BOV2,"&lt;="&amp;BQ$3,CLAVE_BOV2,$A170)+SUMIFS(SALIDAS_BOV3,FECHA_BOV3,"&gt;="&amp;BQ$2,FECHA_BOV3,"&lt;="&amp;BQ$3,CLAVE_BOV3,$A170)+SUMIFS(SALIDAS_TC,FECHA_TC,"&gt;="&amp;BQ$2,FECHA_TC,"&lt;="&amp;BQ$3,CLAVE_TC,$A170)+SUMIFS(SALIDAS_COMB,FECHA_COMB,"&gt;="&amp;BQ$2,FECHA_COMB,"&lt;="&amp;BQ$3,CLAVE_COMB,$A170)+SUMIFS(SALIDAS_DES,FECHA_DESGLOSEN,"&gt;="&amp;BQ$2,FECHA_DESGLOSEN,"&lt;="&amp;BQ$3,CLAVE_DESGLOSE,$A170)</f>
        <v>0</v>
      </c>
      <c r="BR170" s="13">
        <f t="shared" si="307"/>
        <v>0</v>
      </c>
      <c r="BS170" s="68">
        <f t="shared" si="261"/>
        <v>0</v>
      </c>
      <c r="BT170" s="268">
        <f t="shared" si="262"/>
        <v>0</v>
      </c>
      <c r="BU170" s="13">
        <f t="shared" si="263"/>
        <v>0</v>
      </c>
      <c r="BV170" s="13">
        <f t="shared" si="291"/>
        <v>0</v>
      </c>
      <c r="BW170" s="13">
        <f t="shared" si="291"/>
        <v>0</v>
      </c>
      <c r="BX170" s="13">
        <f t="shared" si="291"/>
        <v>0</v>
      </c>
      <c r="BY170" s="13">
        <f t="shared" si="291"/>
        <v>0</v>
      </c>
      <c r="BZ170" s="13">
        <f t="shared" si="308"/>
        <v>0</v>
      </c>
      <c r="CA170" s="68">
        <f t="shared" si="264"/>
        <v>0</v>
      </c>
      <c r="CB170" s="268">
        <f t="shared" si="265"/>
        <v>0</v>
      </c>
      <c r="CC170" s="13">
        <f t="shared" si="266"/>
        <v>0</v>
      </c>
      <c r="CD170" s="13">
        <f t="shared" si="292"/>
        <v>0</v>
      </c>
      <c r="CE170" s="13">
        <f t="shared" si="292"/>
        <v>0</v>
      </c>
      <c r="CF170" s="13">
        <f t="shared" si="292"/>
        <v>0</v>
      </c>
      <c r="CG170" s="13">
        <f t="shared" si="292"/>
        <v>0</v>
      </c>
      <c r="CH170" s="13">
        <f t="shared" si="309"/>
        <v>0</v>
      </c>
      <c r="CI170" s="68">
        <f t="shared" si="267"/>
        <v>0</v>
      </c>
      <c r="CJ170" s="268">
        <f t="shared" si="268"/>
        <v>0</v>
      </c>
      <c r="CK170" s="13">
        <f t="shared" si="269"/>
        <v>0</v>
      </c>
      <c r="CL170" s="13">
        <f t="shared" si="228"/>
        <v>0</v>
      </c>
      <c r="CM170" s="13">
        <f t="shared" si="228"/>
        <v>0</v>
      </c>
      <c r="CN170" s="13">
        <f t="shared" si="228"/>
        <v>0</v>
      </c>
      <c r="CO170" s="13">
        <f t="shared" si="228"/>
        <v>0</v>
      </c>
      <c r="CP170" s="13">
        <f t="shared" si="228"/>
        <v>0</v>
      </c>
      <c r="CQ170" s="13">
        <f t="shared" si="310"/>
        <v>0</v>
      </c>
      <c r="CR170" s="68">
        <f t="shared" si="270"/>
        <v>0</v>
      </c>
      <c r="CS170" s="268">
        <f t="shared" si="271"/>
        <v>0</v>
      </c>
      <c r="CT170" s="68">
        <f t="shared" si="244"/>
        <v>0</v>
      </c>
      <c r="CU170" s="13">
        <f>SUMIFS(SALIDAS_BIT,FECHA_BIT,"&gt;="&amp;CU$2,FECHA_BIT,"&lt;="&amp;CU$3,CLAVE_BIT,$A170)+SUMIFS(SALIDAS_BOV1,FECHA_BOV1,"&gt;="&amp;CU$2,FECHA_BOV1,"&lt;="&amp;CU$3,CLAVE_BOV1,$A170)+SUMIFS(SALIDAS_BOV2,FECHA_BOV2,"&gt;="&amp;CU$2,FECHA_BOV2,"&lt;="&amp;CU$3,CLAVE_BOV2,$A170)+SUMIFS(SALIDAS_BOV3,FECHA_BOV3,"&gt;="&amp;CU$2,FECHA_BOV3,"&lt;="&amp;CU$3,CLAVE_BOV3,$A170)+SUMIFS(SALIDAS_TC,FECHA_TC,"&gt;="&amp;CU$2,FECHA_TC,"&lt;="&amp;CU$3,CLAVE_TC,$A170)+SUMIFS(SALIDAS_COMB,FECHA_COMB,"&gt;="&amp;CU$2,FECHA_COMB,"&lt;="&amp;CU$3,CLAVE_COMB,$A170)+SUMIFS(SALIDAS_DES,FECHA_DESGLOSEN,"&gt;="&amp;CU$2,FECHA_DESGLOSEN,"&lt;="&amp;CU$3,CLAVE_DESGLOSE,$A170)</f>
        <v>0</v>
      </c>
      <c r="CV170" s="13">
        <f>SUMIFS(SALIDAS_BIT,FECHA_BIT,"&gt;="&amp;CV$2,FECHA_BIT,"&lt;="&amp;CV$3,CLAVE_BIT,$A170)+SUMIFS(SALIDAS_BOV1,FECHA_BOV1,"&gt;="&amp;CV$2,FECHA_BOV1,"&lt;="&amp;CV$3,CLAVE_BOV1,$A170)+SUMIFS(SALIDAS_BOV2,FECHA_BOV2,"&gt;="&amp;CV$2,FECHA_BOV2,"&lt;="&amp;CV$3,CLAVE_BOV2,$A170)+SUMIFS(SALIDAS_BOV3,FECHA_BOV3,"&gt;="&amp;CV$2,FECHA_BOV3,"&lt;="&amp;CV$3,CLAVE_BOV3,$A170)+SUMIFS(SALIDAS_TC,FECHA_TC,"&gt;="&amp;CV$2,FECHA_TC,"&lt;="&amp;CV$3,CLAVE_TC,$A170)+SUMIFS(SALIDAS_COMB,FECHA_COMB,"&gt;="&amp;CV$2,FECHA_COMB,"&lt;="&amp;CV$3,CLAVE_COMB,$A170)+SUMIFS(SALIDAS_DES,FECHA_DESGLOSEN,"&gt;="&amp;CV$2,FECHA_DESGLOSEN,"&lt;="&amp;CV$3,CLAVE_DESGLOSE,$A170)</f>
        <v>0</v>
      </c>
      <c r="CW170" s="13">
        <f>SUMIFS(SALIDAS_BIT,FECHA_BIT,"&gt;="&amp;CW$2,FECHA_BIT,"&lt;="&amp;CW$3,CLAVE_BIT,$A170)+SUMIFS(SALIDAS_BOV1,FECHA_BOV1,"&gt;="&amp;CW$2,FECHA_BOV1,"&lt;="&amp;CW$3,CLAVE_BOV1,$A170)+SUMIFS(SALIDAS_BOV2,FECHA_BOV2,"&gt;="&amp;CW$2,FECHA_BOV2,"&lt;="&amp;CW$3,CLAVE_BOV2,$A170)+SUMIFS(SALIDAS_BOV3,FECHA_BOV3,"&gt;="&amp;CW$2,FECHA_BOV3,"&lt;="&amp;CW$3,CLAVE_BOV3,$A170)+SUMIFS(SALIDAS_TC,FECHA_TC,"&gt;="&amp;CW$2,FECHA_TC,"&lt;="&amp;CW$3,CLAVE_TC,$A170)+SUMIFS(SALIDAS_COMB,FECHA_COMB,"&gt;="&amp;CW$2,FECHA_COMB,"&lt;="&amp;CW$3,CLAVE_COMB,$A170)+SUMIFS(SALIDAS_DES,FECHA_DESGLOSEN,"&gt;="&amp;CW$2,FECHA_DESGLOSEN,"&lt;="&amp;CW$3,CLAVE_DESGLOSE,$A170)</f>
        <v>0</v>
      </c>
      <c r="CX170" s="13">
        <f>SUMIFS(SALIDAS_BIT,FECHA_BIT,"&gt;="&amp;CX$2,FECHA_BIT,"&lt;="&amp;CX$3,CLAVE_BIT,$A170)+SUMIFS(SALIDAS_BOV1,FECHA_BOV1,"&gt;="&amp;CX$2,FECHA_BOV1,"&lt;="&amp;CX$3,CLAVE_BOV1,$A170)+SUMIFS(SALIDAS_BOV2,FECHA_BOV2,"&gt;="&amp;CX$2,FECHA_BOV2,"&lt;="&amp;CX$3,CLAVE_BOV2,$A170)+SUMIFS(SALIDAS_BOV3,FECHA_BOV3,"&gt;="&amp;CX$2,FECHA_BOV3,"&lt;="&amp;CX$3,CLAVE_BOV3,$A170)+SUMIFS(SALIDAS_TC,FECHA_TC,"&gt;="&amp;CX$2,FECHA_TC,"&lt;="&amp;CX$3,CLAVE_TC,$A170)+SUMIFS(SALIDAS_COMB,FECHA_COMB,"&gt;="&amp;CX$2,FECHA_COMB,"&lt;="&amp;CX$3,CLAVE_COMB,$A170)+SUMIFS(SALIDAS_DES,FECHA_DESGLOSEN,"&gt;="&amp;CX$2,FECHA_DESGLOSEN,"&lt;="&amp;CX$3,CLAVE_DESGLOSE,$A170)</f>
        <v>0</v>
      </c>
      <c r="CY170" s="13">
        <f>SUMIFS(SALIDAS_BIT,FECHA_BIT,"&gt;="&amp;CY$2,FECHA_BIT,"&lt;="&amp;CY$3,CLAVE_BIT,$A170)+SUMIFS(SALIDAS_BOV1,FECHA_BOV1,"&gt;="&amp;CY$2,FECHA_BOV1,"&lt;="&amp;CY$3,CLAVE_BOV1,$A170)+SUMIFS(SALIDAS_BOV2,FECHA_BOV2,"&gt;="&amp;CY$2,FECHA_BOV2,"&lt;="&amp;CY$3,CLAVE_BOV2,$A170)+SUMIFS(SALIDAS_BOV3,FECHA_BOV3,"&gt;="&amp;CY$2,FECHA_BOV3,"&lt;="&amp;CY$3,CLAVE_BOV3,$A170)+SUMIFS(SALIDAS_TC,FECHA_TC,"&gt;="&amp;CY$2,FECHA_TC,"&lt;="&amp;CY$3,CLAVE_TC,$A170)+SUMIFS(SALIDAS_COMB,FECHA_COMB,"&gt;="&amp;CY$2,FECHA_COMB,"&lt;="&amp;CY$3,CLAVE_COMB,$A170)+SUMIFS(SALIDAS_DES,FECHA_DESGLOSEN,"&gt;="&amp;CY$2,FECHA_DESGLOSEN,"&lt;="&amp;CY$3,CLAVE_DESGLOSE,$A170)</f>
        <v>0</v>
      </c>
      <c r="CZ170" s="68">
        <f t="shared" si="272"/>
        <v>0</v>
      </c>
      <c r="DB170" s="17">
        <f>F170+N170+W170+AE170+AM170+AV170+BD170+BL170+BU170+CC170+CK170</f>
        <v>17000</v>
      </c>
      <c r="DC170" s="17">
        <f>K170+T170+AB170+AJ170+AS170+BA170+BI170+BR170+BZ170+CH170+CQ170</f>
        <v>0</v>
      </c>
    </row>
    <row r="171" spans="1:107" hidden="1">
      <c r="A171" s="12" t="str">
        <f t="shared" si="245"/>
        <v>HRIMAGEN VISUALIMAGEN VISUAL HR</v>
      </c>
      <c r="B171" s="12">
        <v>173</v>
      </c>
      <c r="C171" t="s">
        <v>29</v>
      </c>
      <c r="D171" s="12" t="s">
        <v>127</v>
      </c>
      <c r="E171" s="12" t="s">
        <v>128</v>
      </c>
      <c r="F171" s="259">
        <f t="shared" si="238"/>
        <v>17000</v>
      </c>
      <c r="G171" s="13">
        <f t="shared" si="302"/>
        <v>0</v>
      </c>
      <c r="H171" s="13">
        <f t="shared" si="302"/>
        <v>0</v>
      </c>
      <c r="I171" s="13">
        <f t="shared" si="302"/>
        <v>0</v>
      </c>
      <c r="J171" s="13">
        <f t="shared" si="302"/>
        <v>3703.88</v>
      </c>
      <c r="K171" s="13">
        <f t="shared" si="302"/>
        <v>3703.88</v>
      </c>
      <c r="L171" s="68">
        <f t="shared" si="246"/>
        <v>13296.119999999999</v>
      </c>
      <c r="M171" s="268">
        <f t="shared" si="247"/>
        <v>0.21787529411764706</v>
      </c>
      <c r="N171" s="13">
        <f t="shared" si="239"/>
        <v>48000</v>
      </c>
      <c r="O171" s="13">
        <f t="shared" si="303"/>
        <v>10618.24</v>
      </c>
      <c r="P171" s="13">
        <f t="shared" si="303"/>
        <v>0</v>
      </c>
      <c r="Q171" s="13">
        <f t="shared" si="303"/>
        <v>28137.87</v>
      </c>
      <c r="R171" s="13">
        <f t="shared" si="303"/>
        <v>9604.2800000000007</v>
      </c>
      <c r="S171" s="13">
        <f t="shared" si="303"/>
        <v>6045.2</v>
      </c>
      <c r="T171" s="13">
        <f t="shared" si="303"/>
        <v>54405.59</v>
      </c>
      <c r="U171" s="68">
        <f t="shared" si="248"/>
        <v>-6405.5899999999965</v>
      </c>
      <c r="V171" s="268">
        <f t="shared" si="249"/>
        <v>1.1334497916666666</v>
      </c>
      <c r="W171" s="13">
        <f t="shared" si="240"/>
        <v>48000</v>
      </c>
      <c r="X171" s="13">
        <f t="shared" si="304"/>
        <v>16765.849999999999</v>
      </c>
      <c r="Y171" s="13">
        <f t="shared" si="304"/>
        <v>0</v>
      </c>
      <c r="Z171" s="13">
        <f t="shared" si="304"/>
        <v>0</v>
      </c>
      <c r="AA171" s="13">
        <f t="shared" si="304"/>
        <v>0</v>
      </c>
      <c r="AB171" s="13">
        <f t="shared" si="304"/>
        <v>16765.849999999999</v>
      </c>
      <c r="AC171" s="68">
        <f t="shared" si="250"/>
        <v>31234.15</v>
      </c>
      <c r="AD171" s="268">
        <f t="shared" si="251"/>
        <v>0.34928854166666662</v>
      </c>
      <c r="AE171" s="13">
        <f t="shared" si="241"/>
        <v>36000</v>
      </c>
      <c r="AF171" s="13">
        <f t="shared" si="305"/>
        <v>13399.62</v>
      </c>
      <c r="AG171" s="13">
        <f t="shared" si="305"/>
        <v>0</v>
      </c>
      <c r="AH171" s="13">
        <f t="shared" si="305"/>
        <v>0</v>
      </c>
      <c r="AI171" s="13">
        <f t="shared" si="305"/>
        <v>6689.49</v>
      </c>
      <c r="AJ171" s="13">
        <f t="shared" si="305"/>
        <v>20089.11</v>
      </c>
      <c r="AK171" s="68">
        <f t="shared" si="252"/>
        <v>15910.89</v>
      </c>
      <c r="AL171" s="268">
        <f t="shared" si="253"/>
        <v>0.55803083333333336</v>
      </c>
      <c r="AM171" s="13">
        <f t="shared" si="242"/>
        <v>48000</v>
      </c>
      <c r="AN171" s="13">
        <f t="shared" si="306"/>
        <v>13152.25</v>
      </c>
      <c r="AO171" s="13">
        <f t="shared" si="306"/>
        <v>0</v>
      </c>
      <c r="AP171" s="13">
        <f t="shared" si="306"/>
        <v>0</v>
      </c>
      <c r="AQ171" s="13">
        <f t="shared" si="306"/>
        <v>17762.18</v>
      </c>
      <c r="AR171" s="13">
        <f t="shared" si="306"/>
        <v>6403.2</v>
      </c>
      <c r="AS171" s="13">
        <f t="shared" si="306"/>
        <v>37317.629999999997</v>
      </c>
      <c r="AT171" s="68">
        <f>AM171-AS171</f>
        <v>10682.370000000003</v>
      </c>
      <c r="AU171" s="268">
        <f t="shared" si="254"/>
        <v>0.77745062499999995</v>
      </c>
      <c r="AV171" s="13">
        <f t="shared" si="243"/>
        <v>46000</v>
      </c>
      <c r="AW171" s="13">
        <f t="shared" si="222"/>
        <v>0</v>
      </c>
      <c r="AX171" s="13">
        <f t="shared" si="222"/>
        <v>0</v>
      </c>
      <c r="AY171" s="13">
        <f t="shared" si="222"/>
        <v>3000</v>
      </c>
      <c r="AZ171" s="13">
        <f t="shared" si="222"/>
        <v>0</v>
      </c>
      <c r="BA171" s="13">
        <f t="shared" si="223"/>
        <v>3000</v>
      </c>
      <c r="BB171" s="68">
        <f t="shared" si="255"/>
        <v>43000</v>
      </c>
      <c r="BC171" s="268">
        <f t="shared" si="256"/>
        <v>6.5217391304347824E-2</v>
      </c>
      <c r="BD171" s="13">
        <f t="shared" si="257"/>
        <v>46000</v>
      </c>
      <c r="BE171" s="13">
        <f>SUMIFS(SALIDAS_BIT,FECHA_BIT,"&gt;="&amp;BE$2,FECHA_BIT,"&lt;="&amp;BE$3,CLAVE_BIT,$A171)+SUMIFS(SALIDAS_BOV1,FECHA_BOV1,"&gt;="&amp;BE$2,FECHA_BOV1,"&lt;="&amp;BE$3,CLAVE_BOV1,$A171)+SUMIFS(SALIDAS_BOV2,FECHA_BOV2,"&gt;="&amp;BE$2,FECHA_BOV2,"&lt;="&amp;BE$3,CLAVE_BOV2,$A171)+SUMIFS(SALIDAS_BOV3,FECHA_BOV3,"&gt;="&amp;BE$2,FECHA_BOV3,"&lt;="&amp;BE$3,CLAVE_BOV3,$A171)+SUMIFS(SALIDAS_TC,FECHA_TC,"&gt;="&amp;BE$2,FECHA_TC,"&lt;="&amp;BE$3,CLAVE_TC,$A171)+SUMIFS(SALIDAS_COMB,FECHA_COMB,"&gt;="&amp;BE$2,FECHA_COMB,"&lt;="&amp;BE$3,CLAVE_COMB,$A171)+SUMIFS(SALIDAS_DES,FECHA_DESGLOSEN,"&gt;="&amp;BE$2,FECHA_DESGLOSEN,"&lt;="&amp;BE$3,CLAVE_DESGLOSE,$A171)</f>
        <v>20400.22</v>
      </c>
      <c r="BF171" s="13">
        <f>SUMIFS(SALIDAS_BIT,FECHA_BIT,"&gt;="&amp;BF$2,FECHA_BIT,"&lt;="&amp;BF$3,CLAVE_BIT,$A171)+SUMIFS(SALIDAS_BOV1,FECHA_BOV1,"&gt;="&amp;BF$2,FECHA_BOV1,"&lt;="&amp;BF$3,CLAVE_BOV1,$A171)+SUMIFS(SALIDAS_BOV2,FECHA_BOV2,"&gt;="&amp;BF$2,FECHA_BOV2,"&lt;="&amp;BF$3,CLAVE_BOV2,$A171)+SUMIFS(SALIDAS_BOV3,FECHA_BOV3,"&gt;="&amp;BF$2,FECHA_BOV3,"&lt;="&amp;BF$3,CLAVE_BOV3,$A171)+SUMIFS(SALIDAS_TC,FECHA_TC,"&gt;="&amp;BF$2,FECHA_TC,"&lt;="&amp;BF$3,CLAVE_TC,$A171)+SUMIFS(SALIDAS_COMB,FECHA_COMB,"&gt;="&amp;BF$2,FECHA_COMB,"&lt;="&amp;BF$3,CLAVE_COMB,$A171)+SUMIFS(SALIDAS_DES,FECHA_DESGLOSEN,"&gt;="&amp;BF$2,FECHA_DESGLOSEN,"&lt;="&amp;BF$3,CLAVE_DESGLOSE,$A171)</f>
        <v>0</v>
      </c>
      <c r="BG171" s="13">
        <f>SUMIFS(SALIDAS_BIT,FECHA_BIT,"&gt;="&amp;BG$2,FECHA_BIT,"&lt;="&amp;BG$3,CLAVE_BIT,$A171)+SUMIFS(SALIDAS_BOV1,FECHA_BOV1,"&gt;="&amp;BG$2,FECHA_BOV1,"&lt;="&amp;BG$3,CLAVE_BOV1,$A171)+SUMIFS(SALIDAS_BOV2,FECHA_BOV2,"&gt;="&amp;BG$2,FECHA_BOV2,"&lt;="&amp;BG$3,CLAVE_BOV2,$A171)+SUMIFS(SALIDAS_BOV3,FECHA_BOV3,"&gt;="&amp;BG$2,FECHA_BOV3,"&lt;="&amp;BG$3,CLAVE_BOV3,$A171)+SUMIFS(SALIDAS_TC,FECHA_TC,"&gt;="&amp;BG$2,FECHA_TC,"&lt;="&amp;BG$3,CLAVE_TC,$A171)+SUMIFS(SALIDAS_COMB,FECHA_COMB,"&gt;="&amp;BG$2,FECHA_COMB,"&lt;="&amp;BG$3,CLAVE_COMB,$A171)+SUMIFS(SALIDAS_DES,FECHA_DESGLOSEN,"&gt;="&amp;BG$2,FECHA_DESGLOSEN,"&lt;="&amp;BG$3,CLAVE_DESGLOSE,$A171)</f>
        <v>10564.119999999999</v>
      </c>
      <c r="BH171" s="13">
        <f>SUMIFS(SALIDAS_BIT,FECHA_BIT,"&gt;="&amp;BH$2,FECHA_BIT,"&lt;="&amp;BH$3,CLAVE_BIT,$A171)+SUMIFS(SALIDAS_BOV1,FECHA_BOV1,"&gt;="&amp;BH$2,FECHA_BOV1,"&lt;="&amp;BH$3,CLAVE_BOV1,$A171)+SUMIFS(SALIDAS_BOV2,FECHA_BOV2,"&gt;="&amp;BH$2,FECHA_BOV2,"&lt;="&amp;BH$3,CLAVE_BOV2,$A171)+SUMIFS(SALIDAS_BOV3,FECHA_BOV3,"&gt;="&amp;BH$2,FECHA_BOV3,"&lt;="&amp;BH$3,CLAVE_BOV3,$A171)+SUMIFS(SALIDAS_TC,FECHA_TC,"&gt;="&amp;BH$2,FECHA_TC,"&lt;="&amp;BH$3,CLAVE_TC,$A171)+SUMIFS(SALIDAS_COMB,FECHA_COMB,"&gt;="&amp;BH$2,FECHA_COMB,"&lt;="&amp;BH$3,CLAVE_COMB,$A171)+SUMIFS(SALIDAS_DES,FECHA_DESGLOSEN,"&gt;="&amp;BH$2,FECHA_DESGLOSEN,"&lt;="&amp;BH$3,CLAVE_DESGLOSE,$A171)</f>
        <v>0</v>
      </c>
      <c r="BI171" s="13">
        <f t="shared" si="215"/>
        <v>30964.340000000004</v>
      </c>
      <c r="BJ171" s="68">
        <f t="shared" si="258"/>
        <v>15035.659999999996</v>
      </c>
      <c r="BK171" s="268">
        <f t="shared" si="259"/>
        <v>0.6731378260869566</v>
      </c>
      <c r="BL171" s="13">
        <f t="shared" si="260"/>
        <v>58000</v>
      </c>
      <c r="BM171" s="13">
        <f>SUMIFS(SALIDAS_BIT,FECHA_BIT,"&gt;="&amp;BM$2,FECHA_BIT,"&lt;="&amp;BM$3,CLAVE_BIT,$A171)+SUMIFS(SALIDAS_BOV1,FECHA_BOV1,"&gt;="&amp;BM$2,FECHA_BOV1,"&lt;="&amp;BM$3,CLAVE_BOV1,$A171)+SUMIFS(SALIDAS_BOV2,FECHA_BOV2,"&gt;="&amp;BM$2,FECHA_BOV2,"&lt;="&amp;BM$3,CLAVE_BOV2,$A171)+SUMIFS(SALIDAS_BOV3,FECHA_BOV3,"&gt;="&amp;BM$2,FECHA_BOV3,"&lt;="&amp;BM$3,CLAVE_BOV3,$A171)+SUMIFS(SALIDAS_TC,FECHA_TC,"&gt;="&amp;BM$2,FECHA_TC,"&lt;="&amp;BM$3,CLAVE_TC,$A171)+SUMIFS(SALIDAS_COMB,FECHA_COMB,"&gt;="&amp;BM$2,FECHA_COMB,"&lt;="&amp;BM$3,CLAVE_COMB,$A171)+SUMIFS(SALIDAS_DES,FECHA_DESGLOSEN,"&gt;="&amp;BM$2,FECHA_DESGLOSEN,"&lt;="&amp;BM$3,CLAVE_DESGLOSE,$A171)</f>
        <v>9284.64</v>
      </c>
      <c r="BN171" s="13">
        <f>SUMIFS(SALIDAS_BIT,FECHA_BIT,"&gt;="&amp;BN$2,FECHA_BIT,"&lt;="&amp;BN$3,CLAVE_BIT,$A171)+SUMIFS(SALIDAS_BOV1,FECHA_BOV1,"&gt;="&amp;BN$2,FECHA_BOV1,"&lt;="&amp;BN$3,CLAVE_BOV1,$A171)+SUMIFS(SALIDAS_BOV2,FECHA_BOV2,"&gt;="&amp;BN$2,FECHA_BOV2,"&lt;="&amp;BN$3,CLAVE_BOV2,$A171)+SUMIFS(SALIDAS_BOV3,FECHA_BOV3,"&gt;="&amp;BN$2,FECHA_BOV3,"&lt;="&amp;BN$3,CLAVE_BOV3,$A171)+SUMIFS(SALIDAS_TC,FECHA_TC,"&gt;="&amp;BN$2,FECHA_TC,"&lt;="&amp;BN$3,CLAVE_TC,$A171)+SUMIFS(SALIDAS_COMB,FECHA_COMB,"&gt;="&amp;BN$2,FECHA_COMB,"&lt;="&amp;BN$3,CLAVE_COMB,$A171)+SUMIFS(SALIDAS_DES,FECHA_DESGLOSEN,"&gt;="&amp;BN$2,FECHA_DESGLOSEN,"&lt;="&amp;BN$3,CLAVE_DESGLOSE,$A171)</f>
        <v>0</v>
      </c>
      <c r="BO171" s="13">
        <f>SUMIFS(SALIDAS_BIT,FECHA_BIT,"&gt;="&amp;BO$2,FECHA_BIT,"&lt;="&amp;BO$3,CLAVE_BIT,$A171)+SUMIFS(SALIDAS_BOV1,FECHA_BOV1,"&gt;="&amp;BO$2,FECHA_BOV1,"&lt;="&amp;BO$3,CLAVE_BOV1,$A171)+SUMIFS(SALIDAS_BOV2,FECHA_BOV2,"&gt;="&amp;BO$2,FECHA_BOV2,"&lt;="&amp;BO$3,CLAVE_BOV2,$A171)+SUMIFS(SALIDAS_BOV3,FECHA_BOV3,"&gt;="&amp;BO$2,FECHA_BOV3,"&lt;="&amp;BO$3,CLAVE_BOV3,$A171)+SUMIFS(SALIDAS_TC,FECHA_TC,"&gt;="&amp;BO$2,FECHA_TC,"&lt;="&amp;BO$3,CLAVE_TC,$A171)+SUMIFS(SALIDAS_COMB,FECHA_COMB,"&gt;="&amp;BO$2,FECHA_COMB,"&lt;="&amp;BO$3,CLAVE_COMB,$A171)+SUMIFS(SALIDAS_DES,FECHA_DESGLOSEN,"&gt;="&amp;BO$2,FECHA_DESGLOSEN,"&lt;="&amp;BO$3,CLAVE_DESGLOSE,$A171)</f>
        <v>0</v>
      </c>
      <c r="BP171" s="13">
        <f>SUMIFS(SALIDAS_BIT,FECHA_BIT,"&gt;="&amp;BP$2,FECHA_BIT,"&lt;="&amp;BP$3,CLAVE_BIT,$A171)+SUMIFS(SALIDAS_BOV1,FECHA_BOV1,"&gt;="&amp;BP$2,FECHA_BOV1,"&lt;="&amp;BP$3,CLAVE_BOV1,$A171)+SUMIFS(SALIDAS_BOV2,FECHA_BOV2,"&gt;="&amp;BP$2,FECHA_BOV2,"&lt;="&amp;BP$3,CLAVE_BOV2,$A171)+SUMIFS(SALIDAS_BOV3,FECHA_BOV3,"&gt;="&amp;BP$2,FECHA_BOV3,"&lt;="&amp;BP$3,CLAVE_BOV3,$A171)+SUMIFS(SALIDAS_TC,FECHA_TC,"&gt;="&amp;BP$2,FECHA_TC,"&lt;="&amp;BP$3,CLAVE_TC,$A171)+SUMIFS(SALIDAS_COMB,FECHA_COMB,"&gt;="&amp;BP$2,FECHA_COMB,"&lt;="&amp;BP$3,CLAVE_COMB,$A171)+SUMIFS(SALIDAS_DES,FECHA_DESGLOSEN,"&gt;="&amp;BP$2,FECHA_DESGLOSEN,"&lt;="&amp;BP$3,CLAVE_DESGLOSE,$A171)</f>
        <v>14248.28</v>
      </c>
      <c r="BQ171" s="13">
        <f>SUMIFS(SALIDAS_BIT,FECHA_BIT,"&gt;="&amp;BQ$2,FECHA_BIT,"&lt;="&amp;BQ$3,CLAVE_BIT,$A171)+SUMIFS(SALIDAS_BOV1,FECHA_BOV1,"&gt;="&amp;BQ$2,FECHA_BOV1,"&lt;="&amp;BQ$3,CLAVE_BOV1,$A171)+SUMIFS(SALIDAS_BOV2,FECHA_BOV2,"&gt;="&amp;BQ$2,FECHA_BOV2,"&lt;="&amp;BQ$3,CLAVE_BOV2,$A171)+SUMIFS(SALIDAS_BOV3,FECHA_BOV3,"&gt;="&amp;BQ$2,FECHA_BOV3,"&lt;="&amp;BQ$3,CLAVE_BOV3,$A171)+SUMIFS(SALIDAS_TC,FECHA_TC,"&gt;="&amp;BQ$2,FECHA_TC,"&lt;="&amp;BQ$3,CLAVE_TC,$A171)+SUMIFS(SALIDAS_COMB,FECHA_COMB,"&gt;="&amp;BQ$2,FECHA_COMB,"&lt;="&amp;BQ$3,CLAVE_COMB,$A171)+SUMIFS(SALIDAS_DES,FECHA_DESGLOSEN,"&gt;="&amp;BQ$2,FECHA_DESGLOSEN,"&lt;="&amp;BQ$3,CLAVE_DESGLOSE,$A171)</f>
        <v>0</v>
      </c>
      <c r="BR171" s="13">
        <f t="shared" si="307"/>
        <v>23532.92</v>
      </c>
      <c r="BS171" s="68">
        <f t="shared" si="261"/>
        <v>34467.08</v>
      </c>
      <c r="BT171" s="268">
        <f t="shared" si="262"/>
        <v>0.40573999999999999</v>
      </c>
      <c r="BU171" s="13">
        <f t="shared" si="263"/>
        <v>46000</v>
      </c>
      <c r="BV171" s="13">
        <f t="shared" si="291"/>
        <v>0</v>
      </c>
      <c r="BW171" s="13">
        <f t="shared" si="291"/>
        <v>0</v>
      </c>
      <c r="BX171" s="13">
        <f t="shared" si="291"/>
        <v>16999.8</v>
      </c>
      <c r="BY171" s="13">
        <f t="shared" si="291"/>
        <v>7891</v>
      </c>
      <c r="BZ171" s="13">
        <f t="shared" si="308"/>
        <v>24890.799999999999</v>
      </c>
      <c r="CA171" s="68">
        <f t="shared" si="264"/>
        <v>21109.200000000001</v>
      </c>
      <c r="CB171" s="268">
        <f t="shared" si="265"/>
        <v>0.54110434782608696</v>
      </c>
      <c r="CC171" s="13">
        <f t="shared" si="266"/>
        <v>58000</v>
      </c>
      <c r="CD171" s="13">
        <f t="shared" si="292"/>
        <v>21284.000000000004</v>
      </c>
      <c r="CE171" s="13">
        <f t="shared" si="292"/>
        <v>54005.86</v>
      </c>
      <c r="CF171" s="13">
        <f t="shared" si="292"/>
        <v>34467</v>
      </c>
      <c r="CG171" s="13">
        <f t="shared" si="292"/>
        <v>0</v>
      </c>
      <c r="CH171" s="13">
        <f t="shared" si="309"/>
        <v>109756.86</v>
      </c>
      <c r="CI171" s="68">
        <f t="shared" si="267"/>
        <v>-51756.86</v>
      </c>
      <c r="CJ171" s="268">
        <f t="shared" si="268"/>
        <v>1.8923596551724138</v>
      </c>
      <c r="CK171" s="13">
        <f t="shared" si="269"/>
        <v>56000</v>
      </c>
      <c r="CL171" s="13">
        <f t="shared" si="228"/>
        <v>35996.480000000003</v>
      </c>
      <c r="CM171" s="13">
        <f t="shared" si="228"/>
        <v>0</v>
      </c>
      <c r="CN171" s="13">
        <f t="shared" si="228"/>
        <v>2700</v>
      </c>
      <c r="CO171" s="13">
        <f t="shared" si="228"/>
        <v>15000</v>
      </c>
      <c r="CP171" s="13">
        <f t="shared" si="228"/>
        <v>4804.92</v>
      </c>
      <c r="CQ171" s="13">
        <f t="shared" si="310"/>
        <v>58501.4</v>
      </c>
      <c r="CR171" s="68">
        <f t="shared" si="270"/>
        <v>-2501.4000000000015</v>
      </c>
      <c r="CS171" s="268">
        <f t="shared" si="271"/>
        <v>1.0446678571428571</v>
      </c>
      <c r="CT171" s="68">
        <f t="shared" si="244"/>
        <v>18000</v>
      </c>
      <c r="CU171" s="13">
        <f>SUMIFS(SALIDAS_BIT,FECHA_BIT,"&gt;="&amp;CU$2,FECHA_BIT,"&lt;="&amp;CU$3,CLAVE_BIT,$A171)+SUMIFS(SALIDAS_BOV1,FECHA_BOV1,"&gt;="&amp;CU$2,FECHA_BOV1,"&lt;="&amp;CU$3,CLAVE_BOV1,$A171)+SUMIFS(SALIDAS_BOV2,FECHA_BOV2,"&gt;="&amp;CU$2,FECHA_BOV2,"&lt;="&amp;CU$3,CLAVE_BOV2,$A171)+SUMIFS(SALIDAS_BOV3,FECHA_BOV3,"&gt;="&amp;CU$2,FECHA_BOV3,"&lt;="&amp;CU$3,CLAVE_BOV3,$A171)+SUMIFS(SALIDAS_TC,FECHA_TC,"&gt;="&amp;CU$2,FECHA_TC,"&lt;="&amp;CU$3,CLAVE_TC,$A171)+SUMIFS(SALIDAS_COMB,FECHA_COMB,"&gt;="&amp;CU$2,FECHA_COMB,"&lt;="&amp;CU$3,CLAVE_COMB,$A171)+SUMIFS(SALIDAS_DES,FECHA_DESGLOSEN,"&gt;="&amp;CU$2,FECHA_DESGLOSEN,"&lt;="&amp;CU$3,CLAVE_DESGLOSE,$A171)</f>
        <v>3248</v>
      </c>
      <c r="CV171" s="13">
        <f>SUMIFS(SALIDAS_BIT,FECHA_BIT,"&gt;="&amp;CV$2,FECHA_BIT,"&lt;="&amp;CV$3,CLAVE_BIT,$A171)+SUMIFS(SALIDAS_BOV1,FECHA_BOV1,"&gt;="&amp;CV$2,FECHA_BOV1,"&lt;="&amp;CV$3,CLAVE_BOV1,$A171)+SUMIFS(SALIDAS_BOV2,FECHA_BOV2,"&gt;="&amp;CV$2,FECHA_BOV2,"&lt;="&amp;CV$3,CLAVE_BOV2,$A171)+SUMIFS(SALIDAS_BOV3,FECHA_BOV3,"&gt;="&amp;CV$2,FECHA_BOV3,"&lt;="&amp;CV$3,CLAVE_BOV3,$A171)+SUMIFS(SALIDAS_TC,FECHA_TC,"&gt;="&amp;CV$2,FECHA_TC,"&lt;="&amp;CV$3,CLAVE_TC,$A171)+SUMIFS(SALIDAS_COMB,FECHA_COMB,"&gt;="&amp;CV$2,FECHA_COMB,"&lt;="&amp;CV$3,CLAVE_COMB,$A171)+SUMIFS(SALIDAS_DES,FECHA_DESGLOSEN,"&gt;="&amp;CV$2,FECHA_DESGLOSEN,"&lt;="&amp;CV$3,CLAVE_DESGLOSE,$A171)</f>
        <v>27567.71</v>
      </c>
      <c r="CW171" s="13">
        <f>SUMIFS(SALIDAS_BIT,FECHA_BIT,"&gt;="&amp;CW$2,FECHA_BIT,"&lt;="&amp;CW$3,CLAVE_BIT,$A171)+SUMIFS(SALIDAS_BOV1,FECHA_BOV1,"&gt;="&amp;CW$2,FECHA_BOV1,"&lt;="&amp;CW$3,CLAVE_BOV1,$A171)+SUMIFS(SALIDAS_BOV2,FECHA_BOV2,"&gt;="&amp;CW$2,FECHA_BOV2,"&lt;="&amp;CW$3,CLAVE_BOV2,$A171)+SUMIFS(SALIDAS_BOV3,FECHA_BOV3,"&gt;="&amp;CW$2,FECHA_BOV3,"&lt;="&amp;CW$3,CLAVE_BOV3,$A171)+SUMIFS(SALIDAS_TC,FECHA_TC,"&gt;="&amp;CW$2,FECHA_TC,"&lt;="&amp;CW$3,CLAVE_TC,$A171)+SUMIFS(SALIDAS_COMB,FECHA_COMB,"&gt;="&amp;CW$2,FECHA_COMB,"&lt;="&amp;CW$3,CLAVE_COMB,$A171)+SUMIFS(SALIDAS_DES,FECHA_DESGLOSEN,"&gt;="&amp;CW$2,FECHA_DESGLOSEN,"&lt;="&amp;CW$3,CLAVE_DESGLOSE,$A171)</f>
        <v>2828</v>
      </c>
      <c r="CX171" s="13">
        <f>SUMIFS(SALIDAS_BIT,FECHA_BIT,"&gt;="&amp;CX$2,FECHA_BIT,"&lt;="&amp;CX$3,CLAVE_BIT,$A171)+SUMIFS(SALIDAS_BOV1,FECHA_BOV1,"&gt;="&amp;CX$2,FECHA_BOV1,"&lt;="&amp;CX$3,CLAVE_BOV1,$A171)+SUMIFS(SALIDAS_BOV2,FECHA_BOV2,"&gt;="&amp;CX$2,FECHA_BOV2,"&lt;="&amp;CX$3,CLAVE_BOV2,$A171)+SUMIFS(SALIDAS_BOV3,FECHA_BOV3,"&gt;="&amp;CX$2,FECHA_BOV3,"&lt;="&amp;CX$3,CLAVE_BOV3,$A171)+SUMIFS(SALIDAS_TC,FECHA_TC,"&gt;="&amp;CX$2,FECHA_TC,"&lt;="&amp;CX$3,CLAVE_TC,$A171)+SUMIFS(SALIDAS_COMB,FECHA_COMB,"&gt;="&amp;CX$2,FECHA_COMB,"&lt;="&amp;CX$3,CLAVE_COMB,$A171)+SUMIFS(SALIDAS_DES,FECHA_DESGLOSEN,"&gt;="&amp;CX$2,FECHA_DESGLOSEN,"&lt;="&amp;CX$3,CLAVE_DESGLOSE,$A171)</f>
        <v>0</v>
      </c>
      <c r="CY171" s="13">
        <f>SUMIFS(SALIDAS_BIT,FECHA_BIT,"&gt;="&amp;CY$2,FECHA_BIT,"&lt;="&amp;CY$3,CLAVE_BIT,$A171)+SUMIFS(SALIDAS_BOV1,FECHA_BOV1,"&gt;="&amp;CY$2,FECHA_BOV1,"&lt;="&amp;CY$3,CLAVE_BOV1,$A171)+SUMIFS(SALIDAS_BOV2,FECHA_BOV2,"&gt;="&amp;CY$2,FECHA_BOV2,"&lt;="&amp;CY$3,CLAVE_BOV2,$A171)+SUMIFS(SALIDAS_BOV3,FECHA_BOV3,"&gt;="&amp;CY$2,FECHA_BOV3,"&lt;="&amp;CY$3,CLAVE_BOV3,$A171)+SUMIFS(SALIDAS_TC,FECHA_TC,"&gt;="&amp;CY$2,FECHA_TC,"&lt;="&amp;CY$3,CLAVE_TC,$A171)+SUMIFS(SALIDAS_COMB,FECHA_COMB,"&gt;="&amp;CY$2,FECHA_COMB,"&lt;="&amp;CY$3,CLAVE_COMB,$A171)+SUMIFS(SALIDAS_DES,FECHA_DESGLOSEN,"&gt;="&amp;CY$2,FECHA_DESGLOSEN,"&lt;="&amp;CY$3,CLAVE_DESGLOSE,$A171)</f>
        <v>33643.71</v>
      </c>
      <c r="CZ171" s="68">
        <f t="shared" si="272"/>
        <v>-15643.71</v>
      </c>
      <c r="DB171" s="17">
        <f>F171+N171+W171+AE171+AM171+AV171+BD171+BL171+BU171+CC171+CK171</f>
        <v>507000</v>
      </c>
      <c r="DC171" s="17">
        <f>K171+T171+AB171+AJ171+AS171+BA171+BI171+BR171+BZ171+CH171+CQ171</f>
        <v>382928.38</v>
      </c>
    </row>
    <row r="172" spans="1:107" hidden="1">
      <c r="A172" s="12" t="str">
        <f t="shared" si="245"/>
        <v>HRPUBLICIDADBASEBALL</v>
      </c>
      <c r="B172" s="12">
        <v>174</v>
      </c>
      <c r="C172" t="s">
        <v>29</v>
      </c>
      <c r="D172" s="12" t="s">
        <v>164</v>
      </c>
      <c r="E172" s="12" t="s">
        <v>165</v>
      </c>
      <c r="F172" s="259">
        <f t="shared" si="238"/>
        <v>0</v>
      </c>
      <c r="G172" s="13">
        <f t="shared" si="302"/>
        <v>0</v>
      </c>
      <c r="H172" s="13">
        <f t="shared" si="302"/>
        <v>0</v>
      </c>
      <c r="I172" s="13">
        <f t="shared" si="302"/>
        <v>0</v>
      </c>
      <c r="J172" s="13">
        <f t="shared" si="302"/>
        <v>0</v>
      </c>
      <c r="K172" s="13">
        <f t="shared" si="302"/>
        <v>0</v>
      </c>
      <c r="L172" s="68">
        <f t="shared" si="246"/>
        <v>0</v>
      </c>
      <c r="M172" s="268">
        <f t="shared" si="247"/>
        <v>0</v>
      </c>
      <c r="N172" s="13">
        <f t="shared" si="239"/>
        <v>0</v>
      </c>
      <c r="O172" s="13">
        <f t="shared" si="303"/>
        <v>0</v>
      </c>
      <c r="P172" s="13">
        <f t="shared" si="303"/>
        <v>0</v>
      </c>
      <c r="Q172" s="13">
        <f t="shared" si="303"/>
        <v>0</v>
      </c>
      <c r="R172" s="13">
        <f t="shared" si="303"/>
        <v>0</v>
      </c>
      <c r="S172" s="13">
        <f t="shared" si="303"/>
        <v>0</v>
      </c>
      <c r="T172" s="13">
        <f t="shared" si="303"/>
        <v>0</v>
      </c>
      <c r="U172" s="68">
        <f t="shared" si="248"/>
        <v>0</v>
      </c>
      <c r="V172" s="268">
        <f t="shared" si="249"/>
        <v>0</v>
      </c>
      <c r="W172" s="13">
        <f t="shared" si="240"/>
        <v>0</v>
      </c>
      <c r="X172" s="13">
        <f t="shared" si="304"/>
        <v>0</v>
      </c>
      <c r="Y172" s="13">
        <f t="shared" si="304"/>
        <v>0</v>
      </c>
      <c r="Z172" s="13">
        <f t="shared" si="304"/>
        <v>9569.2999999999993</v>
      </c>
      <c r="AA172" s="13">
        <f t="shared" si="304"/>
        <v>0</v>
      </c>
      <c r="AB172" s="13">
        <f t="shared" si="304"/>
        <v>9569.2999999999993</v>
      </c>
      <c r="AC172" s="68">
        <f t="shared" si="250"/>
        <v>-9569.2999999999993</v>
      </c>
      <c r="AD172" s="268">
        <f t="shared" si="251"/>
        <v>0</v>
      </c>
      <c r="AE172" s="13">
        <f t="shared" si="241"/>
        <v>0</v>
      </c>
      <c r="AF172" s="13">
        <f t="shared" si="305"/>
        <v>0</v>
      </c>
      <c r="AG172" s="13">
        <f t="shared" si="305"/>
        <v>0</v>
      </c>
      <c r="AH172" s="13">
        <f t="shared" si="305"/>
        <v>0</v>
      </c>
      <c r="AI172" s="13">
        <f t="shared" si="305"/>
        <v>0</v>
      </c>
      <c r="AJ172" s="13">
        <f t="shared" si="305"/>
        <v>0</v>
      </c>
      <c r="AK172" s="68">
        <f t="shared" si="252"/>
        <v>0</v>
      </c>
      <c r="AL172" s="268">
        <f t="shared" si="253"/>
        <v>0</v>
      </c>
      <c r="AM172" s="13">
        <f t="shared" si="242"/>
        <v>50000</v>
      </c>
      <c r="AN172" s="13">
        <f t="shared" si="306"/>
        <v>0</v>
      </c>
      <c r="AO172" s="13">
        <f t="shared" si="306"/>
        <v>25000</v>
      </c>
      <c r="AP172" s="13">
        <f t="shared" si="306"/>
        <v>25000</v>
      </c>
      <c r="AQ172" s="13">
        <f t="shared" si="306"/>
        <v>0</v>
      </c>
      <c r="AR172" s="13">
        <f t="shared" si="306"/>
        <v>0</v>
      </c>
      <c r="AS172" s="13">
        <f t="shared" si="306"/>
        <v>50000</v>
      </c>
      <c r="AT172" s="68">
        <f>AM172-AS172</f>
        <v>0</v>
      </c>
      <c r="AU172" s="268">
        <f t="shared" si="254"/>
        <v>1</v>
      </c>
      <c r="AV172" s="13">
        <f t="shared" si="243"/>
        <v>0</v>
      </c>
      <c r="AW172" s="13">
        <f t="shared" si="222"/>
        <v>0</v>
      </c>
      <c r="AX172" s="13">
        <f t="shared" si="222"/>
        <v>1000</v>
      </c>
      <c r="AY172" s="13">
        <f t="shared" si="222"/>
        <v>0</v>
      </c>
      <c r="AZ172" s="13">
        <f t="shared" si="222"/>
        <v>0</v>
      </c>
      <c r="BA172" s="13">
        <f t="shared" si="223"/>
        <v>1000</v>
      </c>
      <c r="BB172" s="68">
        <f t="shared" si="255"/>
        <v>-1000</v>
      </c>
      <c r="BC172" s="268">
        <f t="shared" si="256"/>
        <v>0</v>
      </c>
      <c r="BD172" s="13">
        <f t="shared" si="257"/>
        <v>144500</v>
      </c>
      <c r="BE172" s="13">
        <f>SUMIFS(SALIDAS_BIT,FECHA_BIT,"&gt;="&amp;BE$2,FECHA_BIT,"&lt;="&amp;BE$3,CLAVE_BIT,$A172)+SUMIFS(SALIDAS_BOV1,FECHA_BOV1,"&gt;="&amp;BE$2,FECHA_BOV1,"&lt;="&amp;BE$3,CLAVE_BOV1,$A172)+SUMIFS(SALIDAS_BOV2,FECHA_BOV2,"&gt;="&amp;BE$2,FECHA_BOV2,"&lt;="&amp;BE$3,CLAVE_BOV2,$A172)+SUMIFS(SALIDAS_BOV3,FECHA_BOV3,"&gt;="&amp;BE$2,FECHA_BOV3,"&lt;="&amp;BE$3,CLAVE_BOV3,$A172)+SUMIFS(SALIDAS_TC,FECHA_TC,"&gt;="&amp;BE$2,FECHA_TC,"&lt;="&amp;BE$3,CLAVE_TC,$A172)+SUMIFS(SALIDAS_COMB,FECHA_COMB,"&gt;="&amp;BE$2,FECHA_COMB,"&lt;="&amp;BE$3,CLAVE_COMB,$A172)+SUMIFS(SALIDAS_DES,FECHA_DESGLOSEN,"&gt;="&amp;BE$2,FECHA_DESGLOSEN,"&lt;="&amp;BE$3,CLAVE_DESGLOSE,$A172)</f>
        <v>94500</v>
      </c>
      <c r="BF172" s="13">
        <f>SUMIFS(SALIDAS_BIT,FECHA_BIT,"&gt;="&amp;BF$2,FECHA_BIT,"&lt;="&amp;BF$3,CLAVE_BIT,$A172)+SUMIFS(SALIDAS_BOV1,FECHA_BOV1,"&gt;="&amp;BF$2,FECHA_BOV1,"&lt;="&amp;BF$3,CLAVE_BOV1,$A172)+SUMIFS(SALIDAS_BOV2,FECHA_BOV2,"&gt;="&amp;BF$2,FECHA_BOV2,"&lt;="&amp;BF$3,CLAVE_BOV2,$A172)+SUMIFS(SALIDAS_BOV3,FECHA_BOV3,"&gt;="&amp;BF$2,FECHA_BOV3,"&lt;="&amp;BF$3,CLAVE_BOV3,$A172)+SUMIFS(SALIDAS_TC,FECHA_TC,"&gt;="&amp;BF$2,FECHA_TC,"&lt;="&amp;BF$3,CLAVE_TC,$A172)+SUMIFS(SALIDAS_COMB,FECHA_COMB,"&gt;="&amp;BF$2,FECHA_COMB,"&lt;="&amp;BF$3,CLAVE_COMB,$A172)+SUMIFS(SALIDAS_DES,FECHA_DESGLOSEN,"&gt;="&amp;BF$2,FECHA_DESGLOSEN,"&lt;="&amp;BF$3,CLAVE_DESGLOSE,$A172)</f>
        <v>0</v>
      </c>
      <c r="BG172" s="13">
        <f>SUMIFS(SALIDAS_BIT,FECHA_BIT,"&gt;="&amp;BG$2,FECHA_BIT,"&lt;="&amp;BG$3,CLAVE_BIT,$A172)+SUMIFS(SALIDAS_BOV1,FECHA_BOV1,"&gt;="&amp;BG$2,FECHA_BOV1,"&lt;="&amp;BG$3,CLAVE_BOV1,$A172)+SUMIFS(SALIDAS_BOV2,FECHA_BOV2,"&gt;="&amp;BG$2,FECHA_BOV2,"&lt;="&amp;BG$3,CLAVE_BOV2,$A172)+SUMIFS(SALIDAS_BOV3,FECHA_BOV3,"&gt;="&amp;BG$2,FECHA_BOV3,"&lt;="&amp;BG$3,CLAVE_BOV3,$A172)+SUMIFS(SALIDAS_TC,FECHA_TC,"&gt;="&amp;BG$2,FECHA_TC,"&lt;="&amp;BG$3,CLAVE_TC,$A172)+SUMIFS(SALIDAS_COMB,FECHA_COMB,"&gt;="&amp;BG$2,FECHA_COMB,"&lt;="&amp;BG$3,CLAVE_COMB,$A172)+SUMIFS(SALIDAS_DES,FECHA_DESGLOSEN,"&gt;="&amp;BG$2,FECHA_DESGLOSEN,"&lt;="&amp;BG$3,CLAVE_DESGLOSE,$A172)</f>
        <v>50000</v>
      </c>
      <c r="BH172" s="13">
        <f>SUMIFS(SALIDAS_BIT,FECHA_BIT,"&gt;="&amp;BH$2,FECHA_BIT,"&lt;="&amp;BH$3,CLAVE_BIT,$A172)+SUMIFS(SALIDAS_BOV1,FECHA_BOV1,"&gt;="&amp;BH$2,FECHA_BOV1,"&lt;="&amp;BH$3,CLAVE_BOV1,$A172)+SUMIFS(SALIDAS_BOV2,FECHA_BOV2,"&gt;="&amp;BH$2,FECHA_BOV2,"&lt;="&amp;BH$3,CLAVE_BOV2,$A172)+SUMIFS(SALIDAS_BOV3,FECHA_BOV3,"&gt;="&amp;BH$2,FECHA_BOV3,"&lt;="&amp;BH$3,CLAVE_BOV3,$A172)+SUMIFS(SALIDAS_TC,FECHA_TC,"&gt;="&amp;BH$2,FECHA_TC,"&lt;="&amp;BH$3,CLAVE_TC,$A172)+SUMIFS(SALIDAS_COMB,FECHA_COMB,"&gt;="&amp;BH$2,FECHA_COMB,"&lt;="&amp;BH$3,CLAVE_COMB,$A172)+SUMIFS(SALIDAS_DES,FECHA_DESGLOSEN,"&gt;="&amp;BH$2,FECHA_DESGLOSEN,"&lt;="&amp;BH$3,CLAVE_DESGLOSE,$A172)</f>
        <v>0</v>
      </c>
      <c r="BI172" s="13">
        <f t="shared" si="215"/>
        <v>144500</v>
      </c>
      <c r="BJ172" s="68">
        <f t="shared" si="258"/>
        <v>0</v>
      </c>
      <c r="BK172" s="268">
        <f t="shared" si="259"/>
        <v>1</v>
      </c>
      <c r="BL172" s="13">
        <f t="shared" si="260"/>
        <v>0</v>
      </c>
      <c r="BM172" s="13">
        <f>SUMIFS(SALIDAS_BIT,FECHA_BIT,"&gt;="&amp;BM$2,FECHA_BIT,"&lt;="&amp;BM$3,CLAVE_BIT,$A172)+SUMIFS(SALIDAS_BOV1,FECHA_BOV1,"&gt;="&amp;BM$2,FECHA_BOV1,"&lt;="&amp;BM$3,CLAVE_BOV1,$A172)+SUMIFS(SALIDAS_BOV2,FECHA_BOV2,"&gt;="&amp;BM$2,FECHA_BOV2,"&lt;="&amp;BM$3,CLAVE_BOV2,$A172)+SUMIFS(SALIDAS_BOV3,FECHA_BOV3,"&gt;="&amp;BM$2,FECHA_BOV3,"&lt;="&amp;BM$3,CLAVE_BOV3,$A172)+SUMIFS(SALIDAS_TC,FECHA_TC,"&gt;="&amp;BM$2,FECHA_TC,"&lt;="&amp;BM$3,CLAVE_TC,$A172)+SUMIFS(SALIDAS_COMB,FECHA_COMB,"&gt;="&amp;BM$2,FECHA_COMB,"&lt;="&amp;BM$3,CLAVE_COMB,$A172)+SUMIFS(SALIDAS_DES,FECHA_DESGLOSEN,"&gt;="&amp;BM$2,FECHA_DESGLOSEN,"&lt;="&amp;BM$3,CLAVE_DESGLOSE,$A172)</f>
        <v>0</v>
      </c>
      <c r="BN172" s="13">
        <f>SUMIFS(SALIDAS_BIT,FECHA_BIT,"&gt;="&amp;BN$2,FECHA_BIT,"&lt;="&amp;BN$3,CLAVE_BIT,$A172)+SUMIFS(SALIDAS_BOV1,FECHA_BOV1,"&gt;="&amp;BN$2,FECHA_BOV1,"&lt;="&amp;BN$3,CLAVE_BOV1,$A172)+SUMIFS(SALIDAS_BOV2,FECHA_BOV2,"&gt;="&amp;BN$2,FECHA_BOV2,"&lt;="&amp;BN$3,CLAVE_BOV2,$A172)+SUMIFS(SALIDAS_BOV3,FECHA_BOV3,"&gt;="&amp;BN$2,FECHA_BOV3,"&lt;="&amp;BN$3,CLAVE_BOV3,$A172)+SUMIFS(SALIDAS_TC,FECHA_TC,"&gt;="&amp;BN$2,FECHA_TC,"&lt;="&amp;BN$3,CLAVE_TC,$A172)+SUMIFS(SALIDAS_COMB,FECHA_COMB,"&gt;="&amp;BN$2,FECHA_COMB,"&lt;="&amp;BN$3,CLAVE_COMB,$A172)+SUMIFS(SALIDAS_DES,FECHA_DESGLOSEN,"&gt;="&amp;BN$2,FECHA_DESGLOSEN,"&lt;="&amp;BN$3,CLAVE_DESGLOSE,$A172)</f>
        <v>0</v>
      </c>
      <c r="BO172" s="13">
        <f>SUMIFS(SALIDAS_BIT,FECHA_BIT,"&gt;="&amp;BO$2,FECHA_BIT,"&lt;="&amp;BO$3,CLAVE_BIT,$A172)+SUMIFS(SALIDAS_BOV1,FECHA_BOV1,"&gt;="&amp;BO$2,FECHA_BOV1,"&lt;="&amp;BO$3,CLAVE_BOV1,$A172)+SUMIFS(SALIDAS_BOV2,FECHA_BOV2,"&gt;="&amp;BO$2,FECHA_BOV2,"&lt;="&amp;BO$3,CLAVE_BOV2,$A172)+SUMIFS(SALIDAS_BOV3,FECHA_BOV3,"&gt;="&amp;BO$2,FECHA_BOV3,"&lt;="&amp;BO$3,CLAVE_BOV3,$A172)+SUMIFS(SALIDAS_TC,FECHA_TC,"&gt;="&amp;BO$2,FECHA_TC,"&lt;="&amp;BO$3,CLAVE_TC,$A172)+SUMIFS(SALIDAS_COMB,FECHA_COMB,"&gt;="&amp;BO$2,FECHA_COMB,"&lt;="&amp;BO$3,CLAVE_COMB,$A172)+SUMIFS(SALIDAS_DES,FECHA_DESGLOSEN,"&gt;="&amp;BO$2,FECHA_DESGLOSEN,"&lt;="&amp;BO$3,CLAVE_DESGLOSE,$A172)</f>
        <v>0</v>
      </c>
      <c r="BP172" s="13">
        <f>SUMIFS(SALIDAS_BIT,FECHA_BIT,"&gt;="&amp;BP$2,FECHA_BIT,"&lt;="&amp;BP$3,CLAVE_BIT,$A172)+SUMIFS(SALIDAS_BOV1,FECHA_BOV1,"&gt;="&amp;BP$2,FECHA_BOV1,"&lt;="&amp;BP$3,CLAVE_BOV1,$A172)+SUMIFS(SALIDAS_BOV2,FECHA_BOV2,"&gt;="&amp;BP$2,FECHA_BOV2,"&lt;="&amp;BP$3,CLAVE_BOV2,$A172)+SUMIFS(SALIDAS_BOV3,FECHA_BOV3,"&gt;="&amp;BP$2,FECHA_BOV3,"&lt;="&amp;BP$3,CLAVE_BOV3,$A172)+SUMIFS(SALIDAS_TC,FECHA_TC,"&gt;="&amp;BP$2,FECHA_TC,"&lt;="&amp;BP$3,CLAVE_TC,$A172)+SUMIFS(SALIDAS_COMB,FECHA_COMB,"&gt;="&amp;BP$2,FECHA_COMB,"&lt;="&amp;BP$3,CLAVE_COMB,$A172)+SUMIFS(SALIDAS_DES,FECHA_DESGLOSEN,"&gt;="&amp;BP$2,FECHA_DESGLOSEN,"&lt;="&amp;BP$3,CLAVE_DESGLOSE,$A172)</f>
        <v>0</v>
      </c>
      <c r="BQ172" s="13">
        <f>SUMIFS(SALIDAS_BIT,FECHA_BIT,"&gt;="&amp;BQ$2,FECHA_BIT,"&lt;="&amp;BQ$3,CLAVE_BIT,$A172)+SUMIFS(SALIDAS_BOV1,FECHA_BOV1,"&gt;="&amp;BQ$2,FECHA_BOV1,"&lt;="&amp;BQ$3,CLAVE_BOV1,$A172)+SUMIFS(SALIDAS_BOV2,FECHA_BOV2,"&gt;="&amp;BQ$2,FECHA_BOV2,"&lt;="&amp;BQ$3,CLAVE_BOV2,$A172)+SUMIFS(SALIDAS_BOV3,FECHA_BOV3,"&gt;="&amp;BQ$2,FECHA_BOV3,"&lt;="&amp;BQ$3,CLAVE_BOV3,$A172)+SUMIFS(SALIDAS_TC,FECHA_TC,"&gt;="&amp;BQ$2,FECHA_TC,"&lt;="&amp;BQ$3,CLAVE_TC,$A172)+SUMIFS(SALIDAS_COMB,FECHA_COMB,"&gt;="&amp;BQ$2,FECHA_COMB,"&lt;="&amp;BQ$3,CLAVE_COMB,$A172)+SUMIFS(SALIDAS_DES,FECHA_DESGLOSEN,"&gt;="&amp;BQ$2,FECHA_DESGLOSEN,"&lt;="&amp;BQ$3,CLAVE_DESGLOSE,$A172)</f>
        <v>0</v>
      </c>
      <c r="BR172" s="13">
        <f t="shared" si="307"/>
        <v>0</v>
      </c>
      <c r="BS172" s="68">
        <f t="shared" si="261"/>
        <v>0</v>
      </c>
      <c r="BT172" s="268">
        <f t="shared" si="262"/>
        <v>0</v>
      </c>
      <c r="BU172" s="13">
        <f t="shared" si="263"/>
        <v>0</v>
      </c>
      <c r="BV172" s="13">
        <f t="shared" si="291"/>
        <v>0</v>
      </c>
      <c r="BW172" s="13">
        <f t="shared" si="291"/>
        <v>0</v>
      </c>
      <c r="BX172" s="13">
        <f t="shared" si="291"/>
        <v>0</v>
      </c>
      <c r="BY172" s="13">
        <f t="shared" si="291"/>
        <v>0</v>
      </c>
      <c r="BZ172" s="13">
        <f t="shared" si="308"/>
        <v>0</v>
      </c>
      <c r="CA172" s="68">
        <f t="shared" si="264"/>
        <v>0</v>
      </c>
      <c r="CB172" s="268">
        <f t="shared" si="265"/>
        <v>0</v>
      </c>
      <c r="CC172" s="13">
        <f t="shared" si="266"/>
        <v>0</v>
      </c>
      <c r="CD172" s="13">
        <f t="shared" si="292"/>
        <v>0</v>
      </c>
      <c r="CE172" s="13">
        <f t="shared" si="292"/>
        <v>0</v>
      </c>
      <c r="CF172" s="13">
        <f t="shared" si="292"/>
        <v>0</v>
      </c>
      <c r="CG172" s="13">
        <f t="shared" si="292"/>
        <v>0</v>
      </c>
      <c r="CH172" s="13">
        <f t="shared" si="309"/>
        <v>0</v>
      </c>
      <c r="CI172" s="68">
        <f t="shared" si="267"/>
        <v>0</v>
      </c>
      <c r="CJ172" s="268">
        <f t="shared" si="268"/>
        <v>0</v>
      </c>
      <c r="CK172" s="13">
        <f t="shared" si="269"/>
        <v>0</v>
      </c>
      <c r="CL172" s="13">
        <f t="shared" si="228"/>
        <v>0</v>
      </c>
      <c r="CM172" s="13">
        <f t="shared" si="228"/>
        <v>0</v>
      </c>
      <c r="CN172" s="13">
        <f t="shared" si="228"/>
        <v>0</v>
      </c>
      <c r="CO172" s="13">
        <f t="shared" si="228"/>
        <v>0</v>
      </c>
      <c r="CP172" s="13">
        <f t="shared" si="228"/>
        <v>0</v>
      </c>
      <c r="CQ172" s="13">
        <f t="shared" si="310"/>
        <v>0</v>
      </c>
      <c r="CR172" s="68">
        <f t="shared" si="270"/>
        <v>0</v>
      </c>
      <c r="CS172" s="268">
        <f t="shared" si="271"/>
        <v>0</v>
      </c>
      <c r="CT172" s="68">
        <f t="shared" si="244"/>
        <v>0</v>
      </c>
      <c r="CU172" s="13">
        <f>SUMIFS(SALIDAS_BIT,FECHA_BIT,"&gt;="&amp;CU$2,FECHA_BIT,"&lt;="&amp;CU$3,CLAVE_BIT,$A172)+SUMIFS(SALIDAS_BOV1,FECHA_BOV1,"&gt;="&amp;CU$2,FECHA_BOV1,"&lt;="&amp;CU$3,CLAVE_BOV1,$A172)+SUMIFS(SALIDAS_BOV2,FECHA_BOV2,"&gt;="&amp;CU$2,FECHA_BOV2,"&lt;="&amp;CU$3,CLAVE_BOV2,$A172)+SUMIFS(SALIDAS_BOV3,FECHA_BOV3,"&gt;="&amp;CU$2,FECHA_BOV3,"&lt;="&amp;CU$3,CLAVE_BOV3,$A172)+SUMIFS(SALIDAS_TC,FECHA_TC,"&gt;="&amp;CU$2,FECHA_TC,"&lt;="&amp;CU$3,CLAVE_TC,$A172)+SUMIFS(SALIDAS_COMB,FECHA_COMB,"&gt;="&amp;CU$2,FECHA_COMB,"&lt;="&amp;CU$3,CLAVE_COMB,$A172)+SUMIFS(SALIDAS_DES,FECHA_DESGLOSEN,"&gt;="&amp;CU$2,FECHA_DESGLOSEN,"&lt;="&amp;CU$3,CLAVE_DESGLOSE,$A172)</f>
        <v>0</v>
      </c>
      <c r="CV172" s="13">
        <f>SUMIFS(SALIDAS_BIT,FECHA_BIT,"&gt;="&amp;CV$2,FECHA_BIT,"&lt;="&amp;CV$3,CLAVE_BIT,$A172)+SUMIFS(SALIDAS_BOV1,FECHA_BOV1,"&gt;="&amp;CV$2,FECHA_BOV1,"&lt;="&amp;CV$3,CLAVE_BOV1,$A172)+SUMIFS(SALIDAS_BOV2,FECHA_BOV2,"&gt;="&amp;CV$2,FECHA_BOV2,"&lt;="&amp;CV$3,CLAVE_BOV2,$A172)+SUMIFS(SALIDAS_BOV3,FECHA_BOV3,"&gt;="&amp;CV$2,FECHA_BOV3,"&lt;="&amp;CV$3,CLAVE_BOV3,$A172)+SUMIFS(SALIDAS_TC,FECHA_TC,"&gt;="&amp;CV$2,FECHA_TC,"&lt;="&amp;CV$3,CLAVE_TC,$A172)+SUMIFS(SALIDAS_COMB,FECHA_COMB,"&gt;="&amp;CV$2,FECHA_COMB,"&lt;="&amp;CV$3,CLAVE_COMB,$A172)+SUMIFS(SALIDAS_DES,FECHA_DESGLOSEN,"&gt;="&amp;CV$2,FECHA_DESGLOSEN,"&lt;="&amp;CV$3,CLAVE_DESGLOSE,$A172)</f>
        <v>0</v>
      </c>
      <c r="CW172" s="13">
        <f>SUMIFS(SALIDAS_BIT,FECHA_BIT,"&gt;="&amp;CW$2,FECHA_BIT,"&lt;="&amp;CW$3,CLAVE_BIT,$A172)+SUMIFS(SALIDAS_BOV1,FECHA_BOV1,"&gt;="&amp;CW$2,FECHA_BOV1,"&lt;="&amp;CW$3,CLAVE_BOV1,$A172)+SUMIFS(SALIDAS_BOV2,FECHA_BOV2,"&gt;="&amp;CW$2,FECHA_BOV2,"&lt;="&amp;CW$3,CLAVE_BOV2,$A172)+SUMIFS(SALIDAS_BOV3,FECHA_BOV3,"&gt;="&amp;CW$2,FECHA_BOV3,"&lt;="&amp;CW$3,CLAVE_BOV3,$A172)+SUMIFS(SALIDAS_TC,FECHA_TC,"&gt;="&amp;CW$2,FECHA_TC,"&lt;="&amp;CW$3,CLAVE_TC,$A172)+SUMIFS(SALIDAS_COMB,FECHA_COMB,"&gt;="&amp;CW$2,FECHA_COMB,"&lt;="&amp;CW$3,CLAVE_COMB,$A172)+SUMIFS(SALIDAS_DES,FECHA_DESGLOSEN,"&gt;="&amp;CW$2,FECHA_DESGLOSEN,"&lt;="&amp;CW$3,CLAVE_DESGLOSE,$A172)</f>
        <v>0</v>
      </c>
      <c r="CX172" s="13">
        <f>SUMIFS(SALIDAS_BIT,FECHA_BIT,"&gt;="&amp;CX$2,FECHA_BIT,"&lt;="&amp;CX$3,CLAVE_BIT,$A172)+SUMIFS(SALIDAS_BOV1,FECHA_BOV1,"&gt;="&amp;CX$2,FECHA_BOV1,"&lt;="&amp;CX$3,CLAVE_BOV1,$A172)+SUMIFS(SALIDAS_BOV2,FECHA_BOV2,"&gt;="&amp;CX$2,FECHA_BOV2,"&lt;="&amp;CX$3,CLAVE_BOV2,$A172)+SUMIFS(SALIDAS_BOV3,FECHA_BOV3,"&gt;="&amp;CX$2,FECHA_BOV3,"&lt;="&amp;CX$3,CLAVE_BOV3,$A172)+SUMIFS(SALIDAS_TC,FECHA_TC,"&gt;="&amp;CX$2,FECHA_TC,"&lt;="&amp;CX$3,CLAVE_TC,$A172)+SUMIFS(SALIDAS_COMB,FECHA_COMB,"&gt;="&amp;CX$2,FECHA_COMB,"&lt;="&amp;CX$3,CLAVE_COMB,$A172)+SUMIFS(SALIDAS_DES,FECHA_DESGLOSEN,"&gt;="&amp;CX$2,FECHA_DESGLOSEN,"&lt;="&amp;CX$3,CLAVE_DESGLOSE,$A172)</f>
        <v>0</v>
      </c>
      <c r="CY172" s="13">
        <f>SUMIFS(SALIDAS_BIT,FECHA_BIT,"&gt;="&amp;CY$2,FECHA_BIT,"&lt;="&amp;CY$3,CLAVE_BIT,$A172)+SUMIFS(SALIDAS_BOV1,FECHA_BOV1,"&gt;="&amp;CY$2,FECHA_BOV1,"&lt;="&amp;CY$3,CLAVE_BOV1,$A172)+SUMIFS(SALIDAS_BOV2,FECHA_BOV2,"&gt;="&amp;CY$2,FECHA_BOV2,"&lt;="&amp;CY$3,CLAVE_BOV2,$A172)+SUMIFS(SALIDAS_BOV3,FECHA_BOV3,"&gt;="&amp;CY$2,FECHA_BOV3,"&lt;="&amp;CY$3,CLAVE_BOV3,$A172)+SUMIFS(SALIDAS_TC,FECHA_TC,"&gt;="&amp;CY$2,FECHA_TC,"&lt;="&amp;CY$3,CLAVE_TC,$A172)+SUMIFS(SALIDAS_COMB,FECHA_COMB,"&gt;="&amp;CY$2,FECHA_COMB,"&lt;="&amp;CY$3,CLAVE_COMB,$A172)+SUMIFS(SALIDAS_DES,FECHA_DESGLOSEN,"&gt;="&amp;CY$2,FECHA_DESGLOSEN,"&lt;="&amp;CY$3,CLAVE_DESGLOSE,$A172)</f>
        <v>0</v>
      </c>
      <c r="CZ172" s="68">
        <f t="shared" si="272"/>
        <v>0</v>
      </c>
      <c r="DB172" s="17">
        <f>F172+N172+W172+AE172+AM172+AV172+BD172+BL172+BU172+CC172+CK172</f>
        <v>194500</v>
      </c>
      <c r="DC172" s="17">
        <f>K172+T172+AB172+AJ172+AS172+BA172+BI172+BR172+BZ172+CH172+CQ172</f>
        <v>205069.3</v>
      </c>
    </row>
    <row r="173" spans="1:107" hidden="1">
      <c r="A173" s="12" t="str">
        <f t="shared" si="245"/>
        <v>HRMKTMKT HR</v>
      </c>
      <c r="B173" s="12">
        <v>175</v>
      </c>
      <c r="C173" t="s">
        <v>29</v>
      </c>
      <c r="D173" s="12" t="s">
        <v>19</v>
      </c>
      <c r="E173" s="12" t="s">
        <v>138</v>
      </c>
      <c r="F173" s="259">
        <f t="shared" si="238"/>
        <v>20000</v>
      </c>
      <c r="G173" s="13">
        <f t="shared" si="302"/>
        <v>1600</v>
      </c>
      <c r="H173" s="13">
        <f t="shared" si="302"/>
        <v>6450</v>
      </c>
      <c r="I173" s="13">
        <f t="shared" si="302"/>
        <v>2300</v>
      </c>
      <c r="J173" s="13">
        <f t="shared" si="302"/>
        <v>3400</v>
      </c>
      <c r="K173" s="13">
        <f t="shared" si="302"/>
        <v>13750</v>
      </c>
      <c r="L173" s="68">
        <f t="shared" si="246"/>
        <v>6250</v>
      </c>
      <c r="M173" s="268">
        <f t="shared" si="247"/>
        <v>0.6875</v>
      </c>
      <c r="N173" s="13">
        <f t="shared" si="239"/>
        <v>40000</v>
      </c>
      <c r="O173" s="13">
        <f t="shared" si="303"/>
        <v>2400</v>
      </c>
      <c r="P173" s="13">
        <f t="shared" si="303"/>
        <v>5650</v>
      </c>
      <c r="Q173" s="13">
        <f t="shared" si="303"/>
        <v>5200</v>
      </c>
      <c r="R173" s="13">
        <f t="shared" si="303"/>
        <v>0</v>
      </c>
      <c r="S173" s="13">
        <f t="shared" si="303"/>
        <v>5936</v>
      </c>
      <c r="T173" s="13">
        <f t="shared" si="303"/>
        <v>19186</v>
      </c>
      <c r="U173" s="68">
        <f t="shared" si="248"/>
        <v>20814</v>
      </c>
      <c r="V173" s="268">
        <f t="shared" si="249"/>
        <v>0.47965000000000002</v>
      </c>
      <c r="W173" s="13">
        <f t="shared" si="240"/>
        <v>18000</v>
      </c>
      <c r="X173" s="13">
        <f t="shared" si="304"/>
        <v>3832</v>
      </c>
      <c r="Y173" s="13">
        <f t="shared" si="304"/>
        <v>2200</v>
      </c>
      <c r="Z173" s="13">
        <f t="shared" si="304"/>
        <v>1300</v>
      </c>
      <c r="AA173" s="13">
        <f t="shared" si="304"/>
        <v>1550</v>
      </c>
      <c r="AB173" s="13">
        <f t="shared" si="304"/>
        <v>8882</v>
      </c>
      <c r="AC173" s="68">
        <f t="shared" si="250"/>
        <v>9118</v>
      </c>
      <c r="AD173" s="268">
        <f t="shared" si="251"/>
        <v>0.49344444444444446</v>
      </c>
      <c r="AE173" s="13">
        <f t="shared" si="241"/>
        <v>50000</v>
      </c>
      <c r="AF173" s="13">
        <f t="shared" si="305"/>
        <v>2200</v>
      </c>
      <c r="AG173" s="13">
        <f t="shared" si="305"/>
        <v>1600</v>
      </c>
      <c r="AH173" s="13">
        <f t="shared" si="305"/>
        <v>2358</v>
      </c>
      <c r="AI173" s="13">
        <f t="shared" si="305"/>
        <v>3800</v>
      </c>
      <c r="AJ173" s="13">
        <f t="shared" si="305"/>
        <v>9958</v>
      </c>
      <c r="AK173" s="68">
        <f t="shared" si="252"/>
        <v>40042</v>
      </c>
      <c r="AL173" s="268">
        <f t="shared" si="253"/>
        <v>0.19916</v>
      </c>
      <c r="AM173" s="13">
        <f t="shared" si="242"/>
        <v>26000</v>
      </c>
      <c r="AN173" s="13">
        <f t="shared" si="306"/>
        <v>800</v>
      </c>
      <c r="AO173" s="13">
        <f t="shared" si="306"/>
        <v>3200</v>
      </c>
      <c r="AP173" s="13">
        <f t="shared" si="306"/>
        <v>4800</v>
      </c>
      <c r="AQ173" s="13">
        <f t="shared" si="306"/>
        <v>5000</v>
      </c>
      <c r="AR173" s="13">
        <f t="shared" si="306"/>
        <v>10420</v>
      </c>
      <c r="AS173" s="13">
        <f t="shared" si="306"/>
        <v>24220</v>
      </c>
      <c r="AT173" s="68">
        <f>AM173-AS173</f>
        <v>1780</v>
      </c>
      <c r="AU173" s="268">
        <f t="shared" si="254"/>
        <v>0.93153846153846154</v>
      </c>
      <c r="AV173" s="13">
        <f t="shared" si="243"/>
        <v>30000</v>
      </c>
      <c r="AW173" s="13">
        <f t="shared" si="222"/>
        <v>800</v>
      </c>
      <c r="AX173" s="13">
        <f t="shared" si="222"/>
        <v>3180.72</v>
      </c>
      <c r="AY173" s="13">
        <f t="shared" si="222"/>
        <v>3000</v>
      </c>
      <c r="AZ173" s="13">
        <f t="shared" si="222"/>
        <v>0</v>
      </c>
      <c r="BA173" s="13">
        <f t="shared" si="223"/>
        <v>6980.7199999999993</v>
      </c>
      <c r="BB173" s="68">
        <f t="shared" si="255"/>
        <v>23019.279999999999</v>
      </c>
      <c r="BC173" s="268">
        <f t="shared" si="256"/>
        <v>0.23269066666666666</v>
      </c>
      <c r="BD173" s="13">
        <f t="shared" si="257"/>
        <v>44000</v>
      </c>
      <c r="BE173" s="13">
        <f>SUMIFS(SALIDAS_BIT,FECHA_BIT,"&gt;="&amp;BE$2,FECHA_BIT,"&lt;="&amp;BE$3,CLAVE_BIT,$A173)+SUMIFS(SALIDAS_BOV1,FECHA_BOV1,"&gt;="&amp;BE$2,FECHA_BOV1,"&lt;="&amp;BE$3,CLAVE_BOV1,$A173)+SUMIFS(SALIDAS_BOV2,FECHA_BOV2,"&gt;="&amp;BE$2,FECHA_BOV2,"&lt;="&amp;BE$3,CLAVE_BOV2,$A173)+SUMIFS(SALIDAS_BOV3,FECHA_BOV3,"&gt;="&amp;BE$2,FECHA_BOV3,"&lt;="&amp;BE$3,CLAVE_BOV3,$A173)+SUMIFS(SALIDAS_TC,FECHA_TC,"&gt;="&amp;BE$2,FECHA_TC,"&lt;="&amp;BE$3,CLAVE_TC,$A173)+SUMIFS(SALIDAS_COMB,FECHA_COMB,"&gt;="&amp;BE$2,FECHA_COMB,"&lt;="&amp;BE$3,CLAVE_COMB,$A173)+SUMIFS(SALIDAS_DES,FECHA_DESGLOSEN,"&gt;="&amp;BE$2,FECHA_DESGLOSEN,"&lt;="&amp;BE$3,CLAVE_DESGLOSE,$A173)</f>
        <v>20490.16</v>
      </c>
      <c r="BF173" s="13">
        <f>SUMIFS(SALIDAS_BIT,FECHA_BIT,"&gt;="&amp;BF$2,FECHA_BIT,"&lt;="&amp;BF$3,CLAVE_BIT,$A173)+SUMIFS(SALIDAS_BOV1,FECHA_BOV1,"&gt;="&amp;BF$2,FECHA_BOV1,"&lt;="&amp;BF$3,CLAVE_BOV1,$A173)+SUMIFS(SALIDAS_BOV2,FECHA_BOV2,"&gt;="&amp;BF$2,FECHA_BOV2,"&lt;="&amp;BF$3,CLAVE_BOV2,$A173)+SUMIFS(SALIDAS_BOV3,FECHA_BOV3,"&gt;="&amp;BF$2,FECHA_BOV3,"&lt;="&amp;BF$3,CLAVE_BOV3,$A173)+SUMIFS(SALIDAS_TC,FECHA_TC,"&gt;="&amp;BF$2,FECHA_TC,"&lt;="&amp;BF$3,CLAVE_TC,$A173)+SUMIFS(SALIDAS_COMB,FECHA_COMB,"&gt;="&amp;BF$2,FECHA_COMB,"&lt;="&amp;BF$3,CLAVE_COMB,$A173)+SUMIFS(SALIDAS_DES,FECHA_DESGLOSEN,"&gt;="&amp;BF$2,FECHA_DESGLOSEN,"&lt;="&amp;BF$3,CLAVE_DESGLOSE,$A173)</f>
        <v>4650</v>
      </c>
      <c r="BG173" s="13">
        <f>SUMIFS(SALIDAS_BIT,FECHA_BIT,"&gt;="&amp;BG$2,FECHA_BIT,"&lt;="&amp;BG$3,CLAVE_BIT,$A173)+SUMIFS(SALIDAS_BOV1,FECHA_BOV1,"&gt;="&amp;BG$2,FECHA_BOV1,"&lt;="&amp;BG$3,CLAVE_BOV1,$A173)+SUMIFS(SALIDAS_BOV2,FECHA_BOV2,"&gt;="&amp;BG$2,FECHA_BOV2,"&lt;="&amp;BG$3,CLAVE_BOV2,$A173)+SUMIFS(SALIDAS_BOV3,FECHA_BOV3,"&gt;="&amp;BG$2,FECHA_BOV3,"&lt;="&amp;BG$3,CLAVE_BOV3,$A173)+SUMIFS(SALIDAS_TC,FECHA_TC,"&gt;="&amp;BG$2,FECHA_TC,"&lt;="&amp;BG$3,CLAVE_TC,$A173)+SUMIFS(SALIDAS_COMB,FECHA_COMB,"&gt;="&amp;BG$2,FECHA_COMB,"&lt;="&amp;BG$3,CLAVE_COMB,$A173)+SUMIFS(SALIDAS_DES,FECHA_DESGLOSEN,"&gt;="&amp;BG$2,FECHA_DESGLOSEN,"&lt;="&amp;BG$3,CLAVE_DESGLOSE,$A173)</f>
        <v>0</v>
      </c>
      <c r="BH173" s="13">
        <f>SUMIFS(SALIDAS_BIT,FECHA_BIT,"&gt;="&amp;BH$2,FECHA_BIT,"&lt;="&amp;BH$3,CLAVE_BIT,$A173)+SUMIFS(SALIDAS_BOV1,FECHA_BOV1,"&gt;="&amp;BH$2,FECHA_BOV1,"&lt;="&amp;BH$3,CLAVE_BOV1,$A173)+SUMIFS(SALIDAS_BOV2,FECHA_BOV2,"&gt;="&amp;BH$2,FECHA_BOV2,"&lt;="&amp;BH$3,CLAVE_BOV2,$A173)+SUMIFS(SALIDAS_BOV3,FECHA_BOV3,"&gt;="&amp;BH$2,FECHA_BOV3,"&lt;="&amp;BH$3,CLAVE_BOV3,$A173)+SUMIFS(SALIDAS_TC,FECHA_TC,"&gt;="&amp;BH$2,FECHA_TC,"&lt;="&amp;BH$3,CLAVE_TC,$A173)+SUMIFS(SALIDAS_COMB,FECHA_COMB,"&gt;="&amp;BH$2,FECHA_COMB,"&lt;="&amp;BH$3,CLAVE_COMB,$A173)+SUMIFS(SALIDAS_DES,FECHA_DESGLOSEN,"&gt;="&amp;BH$2,FECHA_DESGLOSEN,"&lt;="&amp;BH$3,CLAVE_DESGLOSE,$A173)</f>
        <v>0</v>
      </c>
      <c r="BI173" s="13">
        <f t="shared" si="215"/>
        <v>25140.16</v>
      </c>
      <c r="BJ173" s="68">
        <f t="shared" si="258"/>
        <v>18859.84</v>
      </c>
      <c r="BK173" s="268">
        <f t="shared" si="259"/>
        <v>0.57136727272727272</v>
      </c>
      <c r="BL173" s="13">
        <f t="shared" si="260"/>
        <v>36000</v>
      </c>
      <c r="BM173" s="13">
        <f>SUMIFS(SALIDAS_BIT,FECHA_BIT,"&gt;="&amp;BM$2,FECHA_BIT,"&lt;="&amp;BM$3,CLAVE_BIT,$A173)+SUMIFS(SALIDAS_BOV1,FECHA_BOV1,"&gt;="&amp;BM$2,FECHA_BOV1,"&lt;="&amp;BM$3,CLAVE_BOV1,$A173)+SUMIFS(SALIDAS_BOV2,FECHA_BOV2,"&gt;="&amp;BM$2,FECHA_BOV2,"&lt;="&amp;BM$3,CLAVE_BOV2,$A173)+SUMIFS(SALIDAS_BOV3,FECHA_BOV3,"&gt;="&amp;BM$2,FECHA_BOV3,"&lt;="&amp;BM$3,CLAVE_BOV3,$A173)+SUMIFS(SALIDAS_TC,FECHA_TC,"&gt;="&amp;BM$2,FECHA_TC,"&lt;="&amp;BM$3,CLAVE_TC,$A173)+SUMIFS(SALIDAS_COMB,FECHA_COMB,"&gt;="&amp;BM$2,FECHA_COMB,"&lt;="&amp;BM$3,CLAVE_COMB,$A173)+SUMIFS(SALIDAS_DES,FECHA_DESGLOSEN,"&gt;="&amp;BM$2,FECHA_DESGLOSEN,"&lt;="&amp;BM$3,CLAVE_DESGLOSE,$A173)</f>
        <v>1700</v>
      </c>
      <c r="BN173" s="13">
        <f>SUMIFS(SALIDAS_BIT,FECHA_BIT,"&gt;="&amp;BN$2,FECHA_BIT,"&lt;="&amp;BN$3,CLAVE_BIT,$A173)+SUMIFS(SALIDAS_BOV1,FECHA_BOV1,"&gt;="&amp;BN$2,FECHA_BOV1,"&lt;="&amp;BN$3,CLAVE_BOV1,$A173)+SUMIFS(SALIDAS_BOV2,FECHA_BOV2,"&gt;="&amp;BN$2,FECHA_BOV2,"&lt;="&amp;BN$3,CLAVE_BOV2,$A173)+SUMIFS(SALIDAS_BOV3,FECHA_BOV3,"&gt;="&amp;BN$2,FECHA_BOV3,"&lt;="&amp;BN$3,CLAVE_BOV3,$A173)+SUMIFS(SALIDAS_TC,FECHA_TC,"&gt;="&amp;BN$2,FECHA_TC,"&lt;="&amp;BN$3,CLAVE_TC,$A173)+SUMIFS(SALIDAS_COMB,FECHA_COMB,"&gt;="&amp;BN$2,FECHA_COMB,"&lt;="&amp;BN$3,CLAVE_COMB,$A173)+SUMIFS(SALIDAS_DES,FECHA_DESGLOSEN,"&gt;="&amp;BN$2,FECHA_DESGLOSEN,"&lt;="&amp;BN$3,CLAVE_DESGLOSE,$A173)</f>
        <v>800</v>
      </c>
      <c r="BO173" s="13">
        <f>SUMIFS(SALIDAS_BIT,FECHA_BIT,"&gt;="&amp;BO$2,FECHA_BIT,"&lt;="&amp;BO$3,CLAVE_BIT,$A173)+SUMIFS(SALIDAS_BOV1,FECHA_BOV1,"&gt;="&amp;BO$2,FECHA_BOV1,"&lt;="&amp;BO$3,CLAVE_BOV1,$A173)+SUMIFS(SALIDAS_BOV2,FECHA_BOV2,"&gt;="&amp;BO$2,FECHA_BOV2,"&lt;="&amp;BO$3,CLAVE_BOV2,$A173)+SUMIFS(SALIDAS_BOV3,FECHA_BOV3,"&gt;="&amp;BO$2,FECHA_BOV3,"&lt;="&amp;BO$3,CLAVE_BOV3,$A173)+SUMIFS(SALIDAS_TC,FECHA_TC,"&gt;="&amp;BO$2,FECHA_TC,"&lt;="&amp;BO$3,CLAVE_TC,$A173)+SUMIFS(SALIDAS_COMB,FECHA_COMB,"&gt;="&amp;BO$2,FECHA_COMB,"&lt;="&amp;BO$3,CLAVE_COMB,$A173)+SUMIFS(SALIDAS_DES,FECHA_DESGLOSEN,"&gt;="&amp;BO$2,FECHA_DESGLOSEN,"&lt;="&amp;BO$3,CLAVE_DESGLOSE,$A173)</f>
        <v>0</v>
      </c>
      <c r="BP173" s="13">
        <f>SUMIFS(SALIDAS_BIT,FECHA_BIT,"&gt;="&amp;BP$2,FECHA_BIT,"&lt;="&amp;BP$3,CLAVE_BIT,$A173)+SUMIFS(SALIDAS_BOV1,FECHA_BOV1,"&gt;="&amp;BP$2,FECHA_BOV1,"&lt;="&amp;BP$3,CLAVE_BOV1,$A173)+SUMIFS(SALIDAS_BOV2,FECHA_BOV2,"&gt;="&amp;BP$2,FECHA_BOV2,"&lt;="&amp;BP$3,CLAVE_BOV2,$A173)+SUMIFS(SALIDAS_BOV3,FECHA_BOV3,"&gt;="&amp;BP$2,FECHA_BOV3,"&lt;="&amp;BP$3,CLAVE_BOV3,$A173)+SUMIFS(SALIDAS_TC,FECHA_TC,"&gt;="&amp;BP$2,FECHA_TC,"&lt;="&amp;BP$3,CLAVE_TC,$A173)+SUMIFS(SALIDAS_COMB,FECHA_COMB,"&gt;="&amp;BP$2,FECHA_COMB,"&lt;="&amp;BP$3,CLAVE_COMB,$A173)+SUMIFS(SALIDAS_DES,FECHA_DESGLOSEN,"&gt;="&amp;BP$2,FECHA_DESGLOSEN,"&lt;="&amp;BP$3,CLAVE_DESGLOSE,$A173)</f>
        <v>0</v>
      </c>
      <c r="BQ173" s="13">
        <f>SUMIFS(SALIDAS_BIT,FECHA_BIT,"&gt;="&amp;BQ$2,FECHA_BIT,"&lt;="&amp;BQ$3,CLAVE_BIT,$A173)+SUMIFS(SALIDAS_BOV1,FECHA_BOV1,"&gt;="&amp;BQ$2,FECHA_BOV1,"&lt;="&amp;BQ$3,CLAVE_BOV1,$A173)+SUMIFS(SALIDAS_BOV2,FECHA_BOV2,"&gt;="&amp;BQ$2,FECHA_BOV2,"&lt;="&amp;BQ$3,CLAVE_BOV2,$A173)+SUMIFS(SALIDAS_BOV3,FECHA_BOV3,"&gt;="&amp;BQ$2,FECHA_BOV3,"&lt;="&amp;BQ$3,CLAVE_BOV3,$A173)+SUMIFS(SALIDAS_TC,FECHA_TC,"&gt;="&amp;BQ$2,FECHA_TC,"&lt;="&amp;BQ$3,CLAVE_TC,$A173)+SUMIFS(SALIDAS_COMB,FECHA_COMB,"&gt;="&amp;BQ$2,FECHA_COMB,"&lt;="&amp;BQ$3,CLAVE_COMB,$A173)+SUMIFS(SALIDAS_DES,FECHA_DESGLOSEN,"&gt;="&amp;BQ$2,FECHA_DESGLOSEN,"&lt;="&amp;BQ$3,CLAVE_DESGLOSE,$A173)</f>
        <v>0</v>
      </c>
      <c r="BR173" s="13">
        <f t="shared" si="307"/>
        <v>2500</v>
      </c>
      <c r="BS173" s="68">
        <f t="shared" si="261"/>
        <v>33500</v>
      </c>
      <c r="BT173" s="268">
        <f t="shared" si="262"/>
        <v>6.9444444444444448E-2</v>
      </c>
      <c r="BU173" s="13">
        <f t="shared" si="263"/>
        <v>26000</v>
      </c>
      <c r="BV173" s="13">
        <f t="shared" si="291"/>
        <v>0</v>
      </c>
      <c r="BW173" s="13">
        <f t="shared" si="291"/>
        <v>0</v>
      </c>
      <c r="BX173" s="13">
        <f t="shared" si="291"/>
        <v>0</v>
      </c>
      <c r="BY173" s="13">
        <f t="shared" si="291"/>
        <v>6000</v>
      </c>
      <c r="BZ173" s="13">
        <f t="shared" si="308"/>
        <v>6000</v>
      </c>
      <c r="CA173" s="68">
        <f t="shared" si="264"/>
        <v>20000</v>
      </c>
      <c r="CB173" s="268">
        <f t="shared" si="265"/>
        <v>0.23076923076923078</v>
      </c>
      <c r="CC173" s="13">
        <f t="shared" si="266"/>
        <v>56000</v>
      </c>
      <c r="CD173" s="13">
        <f t="shared" si="292"/>
        <v>0</v>
      </c>
      <c r="CE173" s="13">
        <f t="shared" si="292"/>
        <v>0</v>
      </c>
      <c r="CF173" s="13">
        <f t="shared" si="292"/>
        <v>0</v>
      </c>
      <c r="CG173" s="13">
        <f t="shared" si="292"/>
        <v>13200</v>
      </c>
      <c r="CH173" s="13">
        <f t="shared" si="309"/>
        <v>13200</v>
      </c>
      <c r="CI173" s="68">
        <f t="shared" si="267"/>
        <v>42800</v>
      </c>
      <c r="CJ173" s="268">
        <f t="shared" si="268"/>
        <v>0.23571428571428571</v>
      </c>
      <c r="CK173" s="13">
        <f t="shared" si="269"/>
        <v>26000</v>
      </c>
      <c r="CL173" s="13">
        <f t="shared" si="228"/>
        <v>9800</v>
      </c>
      <c r="CM173" s="13">
        <f t="shared" si="228"/>
        <v>0</v>
      </c>
      <c r="CN173" s="13">
        <f t="shared" si="228"/>
        <v>0</v>
      </c>
      <c r="CO173" s="13">
        <f t="shared" si="228"/>
        <v>0</v>
      </c>
      <c r="CP173" s="13">
        <f t="shared" si="228"/>
        <v>0</v>
      </c>
      <c r="CQ173" s="13">
        <f t="shared" si="310"/>
        <v>9800</v>
      </c>
      <c r="CR173" s="68">
        <f t="shared" si="270"/>
        <v>16200</v>
      </c>
      <c r="CS173" s="268">
        <f t="shared" si="271"/>
        <v>0.37692307692307692</v>
      </c>
      <c r="CT173" s="68">
        <f t="shared" si="244"/>
        <v>0</v>
      </c>
      <c r="CU173" s="13">
        <f>SUMIFS(SALIDAS_BIT,FECHA_BIT,"&gt;="&amp;CU$2,FECHA_BIT,"&lt;="&amp;CU$3,CLAVE_BIT,$A173)+SUMIFS(SALIDAS_BOV1,FECHA_BOV1,"&gt;="&amp;CU$2,FECHA_BOV1,"&lt;="&amp;CU$3,CLAVE_BOV1,$A173)+SUMIFS(SALIDAS_BOV2,FECHA_BOV2,"&gt;="&amp;CU$2,FECHA_BOV2,"&lt;="&amp;CU$3,CLAVE_BOV2,$A173)+SUMIFS(SALIDAS_BOV3,FECHA_BOV3,"&gt;="&amp;CU$2,FECHA_BOV3,"&lt;="&amp;CU$3,CLAVE_BOV3,$A173)+SUMIFS(SALIDAS_TC,FECHA_TC,"&gt;="&amp;CU$2,FECHA_TC,"&lt;="&amp;CU$3,CLAVE_TC,$A173)+SUMIFS(SALIDAS_COMB,FECHA_COMB,"&gt;="&amp;CU$2,FECHA_COMB,"&lt;="&amp;CU$3,CLAVE_COMB,$A173)+SUMIFS(SALIDAS_DES,FECHA_DESGLOSEN,"&gt;="&amp;CU$2,FECHA_DESGLOSEN,"&lt;="&amp;CU$3,CLAVE_DESGLOSE,$A173)</f>
        <v>0</v>
      </c>
      <c r="CV173" s="13">
        <f>SUMIFS(SALIDAS_BIT,FECHA_BIT,"&gt;="&amp;CV$2,FECHA_BIT,"&lt;="&amp;CV$3,CLAVE_BIT,$A173)+SUMIFS(SALIDAS_BOV1,FECHA_BOV1,"&gt;="&amp;CV$2,FECHA_BOV1,"&lt;="&amp;CV$3,CLAVE_BOV1,$A173)+SUMIFS(SALIDAS_BOV2,FECHA_BOV2,"&gt;="&amp;CV$2,FECHA_BOV2,"&lt;="&amp;CV$3,CLAVE_BOV2,$A173)+SUMIFS(SALIDAS_BOV3,FECHA_BOV3,"&gt;="&amp;CV$2,FECHA_BOV3,"&lt;="&amp;CV$3,CLAVE_BOV3,$A173)+SUMIFS(SALIDAS_TC,FECHA_TC,"&gt;="&amp;CV$2,FECHA_TC,"&lt;="&amp;CV$3,CLAVE_TC,$A173)+SUMIFS(SALIDAS_COMB,FECHA_COMB,"&gt;="&amp;CV$2,FECHA_COMB,"&lt;="&amp;CV$3,CLAVE_COMB,$A173)+SUMIFS(SALIDAS_DES,FECHA_DESGLOSEN,"&gt;="&amp;CV$2,FECHA_DESGLOSEN,"&lt;="&amp;CV$3,CLAVE_DESGLOSE,$A173)</f>
        <v>0</v>
      </c>
      <c r="CW173" s="13">
        <f>SUMIFS(SALIDAS_BIT,FECHA_BIT,"&gt;="&amp;CW$2,FECHA_BIT,"&lt;="&amp;CW$3,CLAVE_BIT,$A173)+SUMIFS(SALIDAS_BOV1,FECHA_BOV1,"&gt;="&amp;CW$2,FECHA_BOV1,"&lt;="&amp;CW$3,CLAVE_BOV1,$A173)+SUMIFS(SALIDAS_BOV2,FECHA_BOV2,"&gt;="&amp;CW$2,FECHA_BOV2,"&lt;="&amp;CW$3,CLAVE_BOV2,$A173)+SUMIFS(SALIDAS_BOV3,FECHA_BOV3,"&gt;="&amp;CW$2,FECHA_BOV3,"&lt;="&amp;CW$3,CLAVE_BOV3,$A173)+SUMIFS(SALIDAS_TC,FECHA_TC,"&gt;="&amp;CW$2,FECHA_TC,"&lt;="&amp;CW$3,CLAVE_TC,$A173)+SUMIFS(SALIDAS_COMB,FECHA_COMB,"&gt;="&amp;CW$2,FECHA_COMB,"&lt;="&amp;CW$3,CLAVE_COMB,$A173)+SUMIFS(SALIDAS_DES,FECHA_DESGLOSEN,"&gt;="&amp;CW$2,FECHA_DESGLOSEN,"&lt;="&amp;CW$3,CLAVE_DESGLOSE,$A173)</f>
        <v>0</v>
      </c>
      <c r="CX173" s="13">
        <f>SUMIFS(SALIDAS_BIT,FECHA_BIT,"&gt;="&amp;CX$2,FECHA_BIT,"&lt;="&amp;CX$3,CLAVE_BIT,$A173)+SUMIFS(SALIDAS_BOV1,FECHA_BOV1,"&gt;="&amp;CX$2,FECHA_BOV1,"&lt;="&amp;CX$3,CLAVE_BOV1,$A173)+SUMIFS(SALIDAS_BOV2,FECHA_BOV2,"&gt;="&amp;CX$2,FECHA_BOV2,"&lt;="&amp;CX$3,CLAVE_BOV2,$A173)+SUMIFS(SALIDAS_BOV3,FECHA_BOV3,"&gt;="&amp;CX$2,FECHA_BOV3,"&lt;="&amp;CX$3,CLAVE_BOV3,$A173)+SUMIFS(SALIDAS_TC,FECHA_TC,"&gt;="&amp;CX$2,FECHA_TC,"&lt;="&amp;CX$3,CLAVE_TC,$A173)+SUMIFS(SALIDAS_COMB,FECHA_COMB,"&gt;="&amp;CX$2,FECHA_COMB,"&lt;="&amp;CX$3,CLAVE_COMB,$A173)+SUMIFS(SALIDAS_DES,FECHA_DESGLOSEN,"&gt;="&amp;CX$2,FECHA_DESGLOSEN,"&lt;="&amp;CX$3,CLAVE_DESGLOSE,$A173)</f>
        <v>0</v>
      </c>
      <c r="CY173" s="13">
        <f>SUMIFS(SALIDAS_BIT,FECHA_BIT,"&gt;="&amp;CY$2,FECHA_BIT,"&lt;="&amp;CY$3,CLAVE_BIT,$A173)+SUMIFS(SALIDAS_BOV1,FECHA_BOV1,"&gt;="&amp;CY$2,FECHA_BOV1,"&lt;="&amp;CY$3,CLAVE_BOV1,$A173)+SUMIFS(SALIDAS_BOV2,FECHA_BOV2,"&gt;="&amp;CY$2,FECHA_BOV2,"&lt;="&amp;CY$3,CLAVE_BOV2,$A173)+SUMIFS(SALIDAS_BOV3,FECHA_BOV3,"&gt;="&amp;CY$2,FECHA_BOV3,"&lt;="&amp;CY$3,CLAVE_BOV3,$A173)+SUMIFS(SALIDAS_TC,FECHA_TC,"&gt;="&amp;CY$2,FECHA_TC,"&lt;="&amp;CY$3,CLAVE_TC,$A173)+SUMIFS(SALIDAS_COMB,FECHA_COMB,"&gt;="&amp;CY$2,FECHA_COMB,"&lt;="&amp;CY$3,CLAVE_COMB,$A173)+SUMIFS(SALIDAS_DES,FECHA_DESGLOSEN,"&gt;="&amp;CY$2,FECHA_DESGLOSEN,"&lt;="&amp;CY$3,CLAVE_DESGLOSE,$A173)</f>
        <v>0</v>
      </c>
      <c r="CZ173" s="68">
        <f t="shared" si="272"/>
        <v>0</v>
      </c>
      <c r="DB173" s="17">
        <f>F173+N173+W173+AE173+AM173+AV173+BD173+BL173+BU173+CC173+CK173</f>
        <v>372000</v>
      </c>
      <c r="DC173" s="17">
        <f>K173+T173+AB173+AJ173+AS173+BA173+BI173+BR173+BZ173+CH173+CQ173</f>
        <v>139616.88</v>
      </c>
    </row>
    <row r="174" spans="1:107" hidden="1">
      <c r="A174" s="12" t="str">
        <f t="shared" si="245"/>
        <v>HRCAPACITACIONCAPACITACION</v>
      </c>
      <c r="B174" s="12">
        <v>176</v>
      </c>
      <c r="C174" t="s">
        <v>29</v>
      </c>
      <c r="D174" s="12" t="s">
        <v>30</v>
      </c>
      <c r="E174" s="12" t="s">
        <v>30</v>
      </c>
      <c r="F174" s="259">
        <f t="shared" si="238"/>
        <v>0</v>
      </c>
      <c r="G174" s="13">
        <f t="shared" si="302"/>
        <v>0</v>
      </c>
      <c r="H174" s="13">
        <f t="shared" si="302"/>
        <v>0</v>
      </c>
      <c r="I174" s="13">
        <f t="shared" si="302"/>
        <v>626</v>
      </c>
      <c r="J174" s="13">
        <f t="shared" si="302"/>
        <v>0</v>
      </c>
      <c r="K174" s="13">
        <f t="shared" si="302"/>
        <v>626</v>
      </c>
      <c r="L174" s="68">
        <f t="shared" si="246"/>
        <v>-626</v>
      </c>
      <c r="M174" s="268">
        <f t="shared" si="247"/>
        <v>0</v>
      </c>
      <c r="N174" s="13">
        <f t="shared" si="239"/>
        <v>28000</v>
      </c>
      <c r="O174" s="13">
        <f t="shared" si="303"/>
        <v>0</v>
      </c>
      <c r="P174" s="13">
        <f t="shared" si="303"/>
        <v>0</v>
      </c>
      <c r="Q174" s="13">
        <f t="shared" si="303"/>
        <v>0</v>
      </c>
      <c r="R174" s="13">
        <f t="shared" si="303"/>
        <v>0</v>
      </c>
      <c r="S174" s="13">
        <f t="shared" si="303"/>
        <v>0</v>
      </c>
      <c r="T174" s="13">
        <f t="shared" si="303"/>
        <v>0</v>
      </c>
      <c r="U174" s="68">
        <f t="shared" si="248"/>
        <v>28000</v>
      </c>
      <c r="V174" s="268">
        <f t="shared" si="249"/>
        <v>0</v>
      </c>
      <c r="W174" s="13">
        <f t="shared" si="240"/>
        <v>12000</v>
      </c>
      <c r="X174" s="13">
        <f t="shared" si="304"/>
        <v>0</v>
      </c>
      <c r="Y174" s="13">
        <f t="shared" si="304"/>
        <v>0</v>
      </c>
      <c r="Z174" s="13">
        <f t="shared" si="304"/>
        <v>0</v>
      </c>
      <c r="AA174" s="13">
        <f t="shared" si="304"/>
        <v>0</v>
      </c>
      <c r="AB174" s="13">
        <f t="shared" si="304"/>
        <v>0</v>
      </c>
      <c r="AC174" s="68">
        <f t="shared" si="250"/>
        <v>12000</v>
      </c>
      <c r="AD174" s="268">
        <f t="shared" si="251"/>
        <v>0</v>
      </c>
      <c r="AE174" s="13">
        <f t="shared" si="241"/>
        <v>0</v>
      </c>
      <c r="AF174" s="13">
        <f t="shared" si="305"/>
        <v>0</v>
      </c>
      <c r="AG174" s="13">
        <f t="shared" si="305"/>
        <v>0</v>
      </c>
      <c r="AH174" s="13">
        <f t="shared" si="305"/>
        <v>0</v>
      </c>
      <c r="AI174" s="13">
        <f t="shared" si="305"/>
        <v>0</v>
      </c>
      <c r="AJ174" s="13">
        <f t="shared" si="305"/>
        <v>0</v>
      </c>
      <c r="AK174" s="68">
        <f t="shared" si="252"/>
        <v>0</v>
      </c>
      <c r="AL174" s="268">
        <f t="shared" si="253"/>
        <v>0</v>
      </c>
      <c r="AM174" s="13">
        <f t="shared" si="242"/>
        <v>0</v>
      </c>
      <c r="AN174" s="13">
        <f t="shared" si="306"/>
        <v>0</v>
      </c>
      <c r="AO174" s="13">
        <f t="shared" si="306"/>
        <v>0</v>
      </c>
      <c r="AP174" s="13">
        <f t="shared" si="306"/>
        <v>0</v>
      </c>
      <c r="AQ174" s="13">
        <f t="shared" si="306"/>
        <v>0</v>
      </c>
      <c r="AR174" s="13">
        <f t="shared" si="306"/>
        <v>0</v>
      </c>
      <c r="AS174" s="13">
        <f t="shared" si="306"/>
        <v>0</v>
      </c>
      <c r="AT174" s="68">
        <f>AM174-AS174</f>
        <v>0</v>
      </c>
      <c r="AU174" s="268">
        <f t="shared" si="254"/>
        <v>0</v>
      </c>
      <c r="AV174" s="13">
        <f t="shared" si="243"/>
        <v>12000</v>
      </c>
      <c r="AW174" s="13">
        <f t="shared" si="222"/>
        <v>0</v>
      </c>
      <c r="AX174" s="13">
        <f t="shared" si="222"/>
        <v>0</v>
      </c>
      <c r="AY174" s="13">
        <f t="shared" si="222"/>
        <v>6612</v>
      </c>
      <c r="AZ174" s="13">
        <f t="shared" si="222"/>
        <v>0</v>
      </c>
      <c r="BA174" s="13">
        <f t="shared" si="223"/>
        <v>6612</v>
      </c>
      <c r="BB174" s="68">
        <f t="shared" si="255"/>
        <v>5388</v>
      </c>
      <c r="BC174" s="268">
        <f t="shared" si="256"/>
        <v>0.55100000000000005</v>
      </c>
      <c r="BD174" s="13">
        <f t="shared" si="257"/>
        <v>0</v>
      </c>
      <c r="BE174" s="13">
        <f>SUMIFS(SALIDAS_BIT,FECHA_BIT,"&gt;="&amp;BE$2,FECHA_BIT,"&lt;="&amp;BE$3,CLAVE_BIT,$A174)+SUMIFS(SALIDAS_BOV1,FECHA_BOV1,"&gt;="&amp;BE$2,FECHA_BOV1,"&lt;="&amp;BE$3,CLAVE_BOV1,$A174)+SUMIFS(SALIDAS_BOV2,FECHA_BOV2,"&gt;="&amp;BE$2,FECHA_BOV2,"&lt;="&amp;BE$3,CLAVE_BOV2,$A174)+SUMIFS(SALIDAS_BOV3,FECHA_BOV3,"&gt;="&amp;BE$2,FECHA_BOV3,"&lt;="&amp;BE$3,CLAVE_BOV3,$A174)+SUMIFS(SALIDAS_TC,FECHA_TC,"&gt;="&amp;BE$2,FECHA_TC,"&lt;="&amp;BE$3,CLAVE_TC,$A174)+SUMIFS(SALIDAS_COMB,FECHA_COMB,"&gt;="&amp;BE$2,FECHA_COMB,"&lt;="&amp;BE$3,CLAVE_COMB,$A174)+SUMIFS(SALIDAS_DES,FECHA_DESGLOSEN,"&gt;="&amp;BE$2,FECHA_DESGLOSEN,"&lt;="&amp;BE$3,CLAVE_DESGLOSE,$A174)</f>
        <v>0</v>
      </c>
      <c r="BF174" s="13">
        <f>SUMIFS(SALIDAS_BIT,FECHA_BIT,"&gt;="&amp;BF$2,FECHA_BIT,"&lt;="&amp;BF$3,CLAVE_BIT,$A174)+SUMIFS(SALIDAS_BOV1,FECHA_BOV1,"&gt;="&amp;BF$2,FECHA_BOV1,"&lt;="&amp;BF$3,CLAVE_BOV1,$A174)+SUMIFS(SALIDAS_BOV2,FECHA_BOV2,"&gt;="&amp;BF$2,FECHA_BOV2,"&lt;="&amp;BF$3,CLAVE_BOV2,$A174)+SUMIFS(SALIDAS_BOV3,FECHA_BOV3,"&gt;="&amp;BF$2,FECHA_BOV3,"&lt;="&amp;BF$3,CLAVE_BOV3,$A174)+SUMIFS(SALIDAS_TC,FECHA_TC,"&gt;="&amp;BF$2,FECHA_TC,"&lt;="&amp;BF$3,CLAVE_TC,$A174)+SUMIFS(SALIDAS_COMB,FECHA_COMB,"&gt;="&amp;BF$2,FECHA_COMB,"&lt;="&amp;BF$3,CLAVE_COMB,$A174)+SUMIFS(SALIDAS_DES,FECHA_DESGLOSEN,"&gt;="&amp;BF$2,FECHA_DESGLOSEN,"&lt;="&amp;BF$3,CLAVE_DESGLOSE,$A174)</f>
        <v>1071.8399999999999</v>
      </c>
      <c r="BG174" s="13">
        <f>SUMIFS(SALIDAS_BIT,FECHA_BIT,"&gt;="&amp;BG$2,FECHA_BIT,"&lt;="&amp;BG$3,CLAVE_BIT,$A174)+SUMIFS(SALIDAS_BOV1,FECHA_BOV1,"&gt;="&amp;BG$2,FECHA_BOV1,"&lt;="&amp;BG$3,CLAVE_BOV1,$A174)+SUMIFS(SALIDAS_BOV2,FECHA_BOV2,"&gt;="&amp;BG$2,FECHA_BOV2,"&lt;="&amp;BG$3,CLAVE_BOV2,$A174)+SUMIFS(SALIDAS_BOV3,FECHA_BOV3,"&gt;="&amp;BG$2,FECHA_BOV3,"&lt;="&amp;BG$3,CLAVE_BOV3,$A174)+SUMIFS(SALIDAS_TC,FECHA_TC,"&gt;="&amp;BG$2,FECHA_TC,"&lt;="&amp;BG$3,CLAVE_TC,$A174)+SUMIFS(SALIDAS_COMB,FECHA_COMB,"&gt;="&amp;BG$2,FECHA_COMB,"&lt;="&amp;BG$3,CLAVE_COMB,$A174)+SUMIFS(SALIDAS_DES,FECHA_DESGLOSEN,"&gt;="&amp;BG$2,FECHA_DESGLOSEN,"&lt;="&amp;BG$3,CLAVE_DESGLOSE,$A174)</f>
        <v>0</v>
      </c>
      <c r="BH174" s="13">
        <f>SUMIFS(SALIDAS_BIT,FECHA_BIT,"&gt;="&amp;BH$2,FECHA_BIT,"&lt;="&amp;BH$3,CLAVE_BIT,$A174)+SUMIFS(SALIDAS_BOV1,FECHA_BOV1,"&gt;="&amp;BH$2,FECHA_BOV1,"&lt;="&amp;BH$3,CLAVE_BOV1,$A174)+SUMIFS(SALIDAS_BOV2,FECHA_BOV2,"&gt;="&amp;BH$2,FECHA_BOV2,"&lt;="&amp;BH$3,CLAVE_BOV2,$A174)+SUMIFS(SALIDAS_BOV3,FECHA_BOV3,"&gt;="&amp;BH$2,FECHA_BOV3,"&lt;="&amp;BH$3,CLAVE_BOV3,$A174)+SUMIFS(SALIDAS_TC,FECHA_TC,"&gt;="&amp;BH$2,FECHA_TC,"&lt;="&amp;BH$3,CLAVE_TC,$A174)+SUMIFS(SALIDAS_COMB,FECHA_COMB,"&gt;="&amp;BH$2,FECHA_COMB,"&lt;="&amp;BH$3,CLAVE_COMB,$A174)+SUMIFS(SALIDAS_DES,FECHA_DESGLOSEN,"&gt;="&amp;BH$2,FECHA_DESGLOSEN,"&lt;="&amp;BH$3,CLAVE_DESGLOSE,$A174)</f>
        <v>0</v>
      </c>
      <c r="BI174" s="13">
        <f t="shared" ref="BI174:BI237" si="311">SUMIFS(SALIDAS_BIT,FECHA_BIT,"&gt;="&amp;BI$2,FECHA_BIT,"&lt;="&amp;BI$3,CLAVE_BIT,$A174)+SUMIFS(SALIDAS_BOV1,FECHA_BOV1,"&gt;="&amp;BI$2,FECHA_BOV1,"&lt;="&amp;BI$3,CLAVE_BOV1,$A174)+SUMIFS(SALIDAS_BOV2,FECHA_BOV2,"&gt;="&amp;BI$2,FECHA_BOV2,"&lt;="&amp;BI$3,CLAVE_BOV2,$A174)+SUMIFS(SALIDAS_BOV3,FECHA_BOV3,"&gt;="&amp;BI$2,FECHA_BOV3,"&lt;="&amp;BI$3,CLAVE_BOV3,$A174)+SUMIFS(SALIDAS_TC,FECHA_TC,"&gt;="&amp;BI$2,FECHA_TC,"&lt;="&amp;BI$3,CLAVE_TC,$A174)+SUMIFS(SALIDAS_COMB,FECHA_COMB,"&gt;="&amp;BI$2,FECHA_COMB,"&lt;="&amp;BI$3,CLAVE_COMB,$A174)+SUMIFS(SALIDAS_DES,FECHA_DESGLOSEN,"&gt;="&amp;BI$2,FECHA_DESGLOSEN,"&lt;="&amp;BI$3,CLAVE_DESGLOSE,$A174)</f>
        <v>1071.8399999999999</v>
      </c>
      <c r="BJ174" s="68">
        <f t="shared" si="258"/>
        <v>-1071.8399999999999</v>
      </c>
      <c r="BK174" s="268">
        <f t="shared" si="259"/>
        <v>0</v>
      </c>
      <c r="BL174" s="13">
        <f t="shared" si="260"/>
        <v>0</v>
      </c>
      <c r="BM174" s="13">
        <f>SUMIFS(SALIDAS_BIT,FECHA_BIT,"&gt;="&amp;BM$2,FECHA_BIT,"&lt;="&amp;BM$3,CLAVE_BIT,$A174)+SUMIFS(SALIDAS_BOV1,FECHA_BOV1,"&gt;="&amp;BM$2,FECHA_BOV1,"&lt;="&amp;BM$3,CLAVE_BOV1,$A174)+SUMIFS(SALIDAS_BOV2,FECHA_BOV2,"&gt;="&amp;BM$2,FECHA_BOV2,"&lt;="&amp;BM$3,CLAVE_BOV2,$A174)+SUMIFS(SALIDAS_BOV3,FECHA_BOV3,"&gt;="&amp;BM$2,FECHA_BOV3,"&lt;="&amp;BM$3,CLAVE_BOV3,$A174)+SUMIFS(SALIDAS_TC,FECHA_TC,"&gt;="&amp;BM$2,FECHA_TC,"&lt;="&amp;BM$3,CLAVE_TC,$A174)+SUMIFS(SALIDAS_COMB,FECHA_COMB,"&gt;="&amp;BM$2,FECHA_COMB,"&lt;="&amp;BM$3,CLAVE_COMB,$A174)+SUMIFS(SALIDAS_DES,FECHA_DESGLOSEN,"&gt;="&amp;BM$2,FECHA_DESGLOSEN,"&lt;="&amp;BM$3,CLAVE_DESGLOSE,$A174)</f>
        <v>0</v>
      </c>
      <c r="BN174" s="13">
        <f>SUMIFS(SALIDAS_BIT,FECHA_BIT,"&gt;="&amp;BN$2,FECHA_BIT,"&lt;="&amp;BN$3,CLAVE_BIT,$A174)+SUMIFS(SALIDAS_BOV1,FECHA_BOV1,"&gt;="&amp;BN$2,FECHA_BOV1,"&lt;="&amp;BN$3,CLAVE_BOV1,$A174)+SUMIFS(SALIDAS_BOV2,FECHA_BOV2,"&gt;="&amp;BN$2,FECHA_BOV2,"&lt;="&amp;BN$3,CLAVE_BOV2,$A174)+SUMIFS(SALIDAS_BOV3,FECHA_BOV3,"&gt;="&amp;BN$2,FECHA_BOV3,"&lt;="&amp;BN$3,CLAVE_BOV3,$A174)+SUMIFS(SALIDAS_TC,FECHA_TC,"&gt;="&amp;BN$2,FECHA_TC,"&lt;="&amp;BN$3,CLAVE_TC,$A174)+SUMIFS(SALIDAS_COMB,FECHA_COMB,"&gt;="&amp;BN$2,FECHA_COMB,"&lt;="&amp;BN$3,CLAVE_COMB,$A174)+SUMIFS(SALIDAS_DES,FECHA_DESGLOSEN,"&gt;="&amp;BN$2,FECHA_DESGLOSEN,"&lt;="&amp;BN$3,CLAVE_DESGLOSE,$A174)</f>
        <v>0</v>
      </c>
      <c r="BO174" s="13">
        <f>SUMIFS(SALIDAS_BIT,FECHA_BIT,"&gt;="&amp;BO$2,FECHA_BIT,"&lt;="&amp;BO$3,CLAVE_BIT,$A174)+SUMIFS(SALIDAS_BOV1,FECHA_BOV1,"&gt;="&amp;BO$2,FECHA_BOV1,"&lt;="&amp;BO$3,CLAVE_BOV1,$A174)+SUMIFS(SALIDAS_BOV2,FECHA_BOV2,"&gt;="&amp;BO$2,FECHA_BOV2,"&lt;="&amp;BO$3,CLAVE_BOV2,$A174)+SUMIFS(SALIDAS_BOV3,FECHA_BOV3,"&gt;="&amp;BO$2,FECHA_BOV3,"&lt;="&amp;BO$3,CLAVE_BOV3,$A174)+SUMIFS(SALIDAS_TC,FECHA_TC,"&gt;="&amp;BO$2,FECHA_TC,"&lt;="&amp;BO$3,CLAVE_TC,$A174)+SUMIFS(SALIDAS_COMB,FECHA_COMB,"&gt;="&amp;BO$2,FECHA_COMB,"&lt;="&amp;BO$3,CLAVE_COMB,$A174)+SUMIFS(SALIDAS_DES,FECHA_DESGLOSEN,"&gt;="&amp;BO$2,FECHA_DESGLOSEN,"&lt;="&amp;BO$3,CLAVE_DESGLOSE,$A174)</f>
        <v>0</v>
      </c>
      <c r="BP174" s="13">
        <f>SUMIFS(SALIDAS_BIT,FECHA_BIT,"&gt;="&amp;BP$2,FECHA_BIT,"&lt;="&amp;BP$3,CLAVE_BIT,$A174)+SUMIFS(SALIDAS_BOV1,FECHA_BOV1,"&gt;="&amp;BP$2,FECHA_BOV1,"&lt;="&amp;BP$3,CLAVE_BOV1,$A174)+SUMIFS(SALIDAS_BOV2,FECHA_BOV2,"&gt;="&amp;BP$2,FECHA_BOV2,"&lt;="&amp;BP$3,CLAVE_BOV2,$A174)+SUMIFS(SALIDAS_BOV3,FECHA_BOV3,"&gt;="&amp;BP$2,FECHA_BOV3,"&lt;="&amp;BP$3,CLAVE_BOV3,$A174)+SUMIFS(SALIDAS_TC,FECHA_TC,"&gt;="&amp;BP$2,FECHA_TC,"&lt;="&amp;BP$3,CLAVE_TC,$A174)+SUMIFS(SALIDAS_COMB,FECHA_COMB,"&gt;="&amp;BP$2,FECHA_COMB,"&lt;="&amp;BP$3,CLAVE_COMB,$A174)+SUMIFS(SALIDAS_DES,FECHA_DESGLOSEN,"&gt;="&amp;BP$2,FECHA_DESGLOSEN,"&lt;="&amp;BP$3,CLAVE_DESGLOSE,$A174)</f>
        <v>0</v>
      </c>
      <c r="BQ174" s="13">
        <f>SUMIFS(SALIDAS_BIT,FECHA_BIT,"&gt;="&amp;BQ$2,FECHA_BIT,"&lt;="&amp;BQ$3,CLAVE_BIT,$A174)+SUMIFS(SALIDAS_BOV1,FECHA_BOV1,"&gt;="&amp;BQ$2,FECHA_BOV1,"&lt;="&amp;BQ$3,CLAVE_BOV1,$A174)+SUMIFS(SALIDAS_BOV2,FECHA_BOV2,"&gt;="&amp;BQ$2,FECHA_BOV2,"&lt;="&amp;BQ$3,CLAVE_BOV2,$A174)+SUMIFS(SALIDAS_BOV3,FECHA_BOV3,"&gt;="&amp;BQ$2,FECHA_BOV3,"&lt;="&amp;BQ$3,CLAVE_BOV3,$A174)+SUMIFS(SALIDAS_TC,FECHA_TC,"&gt;="&amp;BQ$2,FECHA_TC,"&lt;="&amp;BQ$3,CLAVE_TC,$A174)+SUMIFS(SALIDAS_COMB,FECHA_COMB,"&gt;="&amp;BQ$2,FECHA_COMB,"&lt;="&amp;BQ$3,CLAVE_COMB,$A174)+SUMIFS(SALIDAS_DES,FECHA_DESGLOSEN,"&gt;="&amp;BQ$2,FECHA_DESGLOSEN,"&lt;="&amp;BQ$3,CLAVE_DESGLOSE,$A174)</f>
        <v>0</v>
      </c>
      <c r="BR174" s="13">
        <f t="shared" si="307"/>
        <v>0</v>
      </c>
      <c r="BS174" s="68">
        <f t="shared" si="261"/>
        <v>0</v>
      </c>
      <c r="BT174" s="268">
        <f t="shared" si="262"/>
        <v>0</v>
      </c>
      <c r="BU174" s="13">
        <f t="shared" si="263"/>
        <v>40000</v>
      </c>
      <c r="BV174" s="13">
        <f t="shared" si="291"/>
        <v>13920</v>
      </c>
      <c r="BW174" s="13">
        <f t="shared" si="291"/>
        <v>0</v>
      </c>
      <c r="BX174" s="13">
        <f t="shared" si="291"/>
        <v>13920</v>
      </c>
      <c r="BY174" s="13">
        <f t="shared" si="291"/>
        <v>1600</v>
      </c>
      <c r="BZ174" s="13">
        <f t="shared" si="308"/>
        <v>29440</v>
      </c>
      <c r="CA174" s="68">
        <f t="shared" si="264"/>
        <v>10560</v>
      </c>
      <c r="CB174" s="268">
        <f t="shared" si="265"/>
        <v>0.73599999999999999</v>
      </c>
      <c r="CC174" s="13">
        <f t="shared" si="266"/>
        <v>0</v>
      </c>
      <c r="CD174" s="13">
        <f t="shared" si="292"/>
        <v>2500</v>
      </c>
      <c r="CE174" s="13">
        <f t="shared" si="292"/>
        <v>0</v>
      </c>
      <c r="CF174" s="13">
        <f t="shared" si="292"/>
        <v>0</v>
      </c>
      <c r="CG174" s="13">
        <f t="shared" si="292"/>
        <v>0</v>
      </c>
      <c r="CH174" s="13">
        <f t="shared" si="309"/>
        <v>2500</v>
      </c>
      <c r="CI174" s="68">
        <f t="shared" si="267"/>
        <v>-2500</v>
      </c>
      <c r="CJ174" s="268">
        <f t="shared" si="268"/>
        <v>0</v>
      </c>
      <c r="CK174" s="13">
        <f t="shared" si="269"/>
        <v>0</v>
      </c>
      <c r="CL174" s="13">
        <f t="shared" si="228"/>
        <v>0</v>
      </c>
      <c r="CM174" s="13">
        <f t="shared" si="228"/>
        <v>0</v>
      </c>
      <c r="CN174" s="13">
        <f t="shared" si="228"/>
        <v>0</v>
      </c>
      <c r="CO174" s="13">
        <f t="shared" si="228"/>
        <v>0</v>
      </c>
      <c r="CP174" s="13">
        <f t="shared" si="228"/>
        <v>0</v>
      </c>
      <c r="CQ174" s="13">
        <f t="shared" si="310"/>
        <v>0</v>
      </c>
      <c r="CR174" s="68">
        <f t="shared" si="270"/>
        <v>0</v>
      </c>
      <c r="CS174" s="268">
        <f t="shared" si="271"/>
        <v>0</v>
      </c>
      <c r="CT174" s="68">
        <f t="shared" si="244"/>
        <v>4600</v>
      </c>
      <c r="CU174" s="13">
        <f>SUMIFS(SALIDAS_BIT,FECHA_BIT,"&gt;="&amp;CU$2,FECHA_BIT,"&lt;="&amp;CU$3,CLAVE_BIT,$A174)+SUMIFS(SALIDAS_BOV1,FECHA_BOV1,"&gt;="&amp;CU$2,FECHA_BOV1,"&lt;="&amp;CU$3,CLAVE_BOV1,$A174)+SUMIFS(SALIDAS_BOV2,FECHA_BOV2,"&gt;="&amp;CU$2,FECHA_BOV2,"&lt;="&amp;CU$3,CLAVE_BOV2,$A174)+SUMIFS(SALIDAS_BOV3,FECHA_BOV3,"&gt;="&amp;CU$2,FECHA_BOV3,"&lt;="&amp;CU$3,CLAVE_BOV3,$A174)+SUMIFS(SALIDAS_TC,FECHA_TC,"&gt;="&amp;CU$2,FECHA_TC,"&lt;="&amp;CU$3,CLAVE_TC,$A174)+SUMIFS(SALIDAS_COMB,FECHA_COMB,"&gt;="&amp;CU$2,FECHA_COMB,"&lt;="&amp;CU$3,CLAVE_COMB,$A174)+SUMIFS(SALIDAS_DES,FECHA_DESGLOSEN,"&gt;="&amp;CU$2,FECHA_DESGLOSEN,"&lt;="&amp;CU$3,CLAVE_DESGLOSE,$A174)</f>
        <v>0</v>
      </c>
      <c r="CV174" s="13">
        <f>SUMIFS(SALIDAS_BIT,FECHA_BIT,"&gt;="&amp;CV$2,FECHA_BIT,"&lt;="&amp;CV$3,CLAVE_BIT,$A174)+SUMIFS(SALIDAS_BOV1,FECHA_BOV1,"&gt;="&amp;CV$2,FECHA_BOV1,"&lt;="&amp;CV$3,CLAVE_BOV1,$A174)+SUMIFS(SALIDAS_BOV2,FECHA_BOV2,"&gt;="&amp;CV$2,FECHA_BOV2,"&lt;="&amp;CV$3,CLAVE_BOV2,$A174)+SUMIFS(SALIDAS_BOV3,FECHA_BOV3,"&gt;="&amp;CV$2,FECHA_BOV3,"&lt;="&amp;CV$3,CLAVE_BOV3,$A174)+SUMIFS(SALIDAS_TC,FECHA_TC,"&gt;="&amp;CV$2,FECHA_TC,"&lt;="&amp;CV$3,CLAVE_TC,$A174)+SUMIFS(SALIDAS_COMB,FECHA_COMB,"&gt;="&amp;CV$2,FECHA_COMB,"&lt;="&amp;CV$3,CLAVE_COMB,$A174)+SUMIFS(SALIDAS_DES,FECHA_DESGLOSEN,"&gt;="&amp;CV$2,FECHA_DESGLOSEN,"&lt;="&amp;CV$3,CLAVE_DESGLOSE,$A174)</f>
        <v>0</v>
      </c>
      <c r="CW174" s="13">
        <f>SUMIFS(SALIDAS_BIT,FECHA_BIT,"&gt;="&amp;CW$2,FECHA_BIT,"&lt;="&amp;CW$3,CLAVE_BIT,$A174)+SUMIFS(SALIDAS_BOV1,FECHA_BOV1,"&gt;="&amp;CW$2,FECHA_BOV1,"&lt;="&amp;CW$3,CLAVE_BOV1,$A174)+SUMIFS(SALIDAS_BOV2,FECHA_BOV2,"&gt;="&amp;CW$2,FECHA_BOV2,"&lt;="&amp;CW$3,CLAVE_BOV2,$A174)+SUMIFS(SALIDAS_BOV3,FECHA_BOV3,"&gt;="&amp;CW$2,FECHA_BOV3,"&lt;="&amp;CW$3,CLAVE_BOV3,$A174)+SUMIFS(SALIDAS_TC,FECHA_TC,"&gt;="&amp;CW$2,FECHA_TC,"&lt;="&amp;CW$3,CLAVE_TC,$A174)+SUMIFS(SALIDAS_COMB,FECHA_COMB,"&gt;="&amp;CW$2,FECHA_COMB,"&lt;="&amp;CW$3,CLAVE_COMB,$A174)+SUMIFS(SALIDAS_DES,FECHA_DESGLOSEN,"&gt;="&amp;CW$2,FECHA_DESGLOSEN,"&lt;="&amp;CW$3,CLAVE_DESGLOSE,$A174)</f>
        <v>0</v>
      </c>
      <c r="CX174" s="13">
        <f>SUMIFS(SALIDAS_BIT,FECHA_BIT,"&gt;="&amp;CX$2,FECHA_BIT,"&lt;="&amp;CX$3,CLAVE_BIT,$A174)+SUMIFS(SALIDAS_BOV1,FECHA_BOV1,"&gt;="&amp;CX$2,FECHA_BOV1,"&lt;="&amp;CX$3,CLAVE_BOV1,$A174)+SUMIFS(SALIDAS_BOV2,FECHA_BOV2,"&gt;="&amp;CX$2,FECHA_BOV2,"&lt;="&amp;CX$3,CLAVE_BOV2,$A174)+SUMIFS(SALIDAS_BOV3,FECHA_BOV3,"&gt;="&amp;CX$2,FECHA_BOV3,"&lt;="&amp;CX$3,CLAVE_BOV3,$A174)+SUMIFS(SALIDAS_TC,FECHA_TC,"&gt;="&amp;CX$2,FECHA_TC,"&lt;="&amp;CX$3,CLAVE_TC,$A174)+SUMIFS(SALIDAS_COMB,FECHA_COMB,"&gt;="&amp;CX$2,FECHA_COMB,"&lt;="&amp;CX$3,CLAVE_COMB,$A174)+SUMIFS(SALIDAS_DES,FECHA_DESGLOSEN,"&gt;="&amp;CX$2,FECHA_DESGLOSEN,"&lt;="&amp;CX$3,CLAVE_DESGLOSE,$A174)</f>
        <v>0</v>
      </c>
      <c r="CY174" s="13">
        <f>SUMIFS(SALIDAS_BIT,FECHA_BIT,"&gt;="&amp;CY$2,FECHA_BIT,"&lt;="&amp;CY$3,CLAVE_BIT,$A174)+SUMIFS(SALIDAS_BOV1,FECHA_BOV1,"&gt;="&amp;CY$2,FECHA_BOV1,"&lt;="&amp;CY$3,CLAVE_BOV1,$A174)+SUMIFS(SALIDAS_BOV2,FECHA_BOV2,"&gt;="&amp;CY$2,FECHA_BOV2,"&lt;="&amp;CY$3,CLAVE_BOV2,$A174)+SUMIFS(SALIDAS_BOV3,FECHA_BOV3,"&gt;="&amp;CY$2,FECHA_BOV3,"&lt;="&amp;CY$3,CLAVE_BOV3,$A174)+SUMIFS(SALIDAS_TC,FECHA_TC,"&gt;="&amp;CY$2,FECHA_TC,"&lt;="&amp;CY$3,CLAVE_TC,$A174)+SUMIFS(SALIDAS_COMB,FECHA_COMB,"&gt;="&amp;CY$2,FECHA_COMB,"&lt;="&amp;CY$3,CLAVE_COMB,$A174)+SUMIFS(SALIDAS_DES,FECHA_DESGLOSEN,"&gt;="&amp;CY$2,FECHA_DESGLOSEN,"&lt;="&amp;CY$3,CLAVE_DESGLOSE,$A174)</f>
        <v>0</v>
      </c>
      <c r="CZ174" s="68">
        <f t="shared" si="272"/>
        <v>4600</v>
      </c>
      <c r="DB174" s="17">
        <f>F174+N174+W174+AE174+AM174+AV174+BD174+BL174+BU174+CC174+CK174</f>
        <v>92000</v>
      </c>
      <c r="DC174" s="17">
        <f>K174+T174+AB174+AJ174+AS174+BA174+BI174+BR174+BZ174+CH174+CQ174</f>
        <v>40249.839999999997</v>
      </c>
    </row>
    <row r="175" spans="1:107" hidden="1">
      <c r="A175" s="12" t="str">
        <f t="shared" si="245"/>
        <v>CAPIMAGEN VISUALIMAGEN VISUAL CAP</v>
      </c>
      <c r="B175" s="12">
        <v>177</v>
      </c>
      <c r="C175" t="s">
        <v>31</v>
      </c>
      <c r="D175" s="12" t="s">
        <v>127</v>
      </c>
      <c r="E175" s="12" t="s">
        <v>129</v>
      </c>
      <c r="F175" s="259">
        <f t="shared" si="238"/>
        <v>9044</v>
      </c>
      <c r="G175" s="13">
        <f t="shared" si="302"/>
        <v>0</v>
      </c>
      <c r="H175" s="13">
        <f t="shared" si="302"/>
        <v>1014.42</v>
      </c>
      <c r="I175" s="13">
        <f t="shared" si="302"/>
        <v>0</v>
      </c>
      <c r="J175" s="13">
        <f t="shared" si="302"/>
        <v>0</v>
      </c>
      <c r="K175" s="13">
        <f t="shared" si="302"/>
        <v>1014.42</v>
      </c>
      <c r="L175" s="68">
        <f t="shared" si="246"/>
        <v>8029.58</v>
      </c>
      <c r="M175" s="268">
        <f t="shared" si="247"/>
        <v>0.11216497125165856</v>
      </c>
      <c r="N175" s="13">
        <f t="shared" si="239"/>
        <v>36776</v>
      </c>
      <c r="O175" s="13">
        <f t="shared" si="303"/>
        <v>8520.2000000000007</v>
      </c>
      <c r="P175" s="13">
        <f t="shared" si="303"/>
        <v>0</v>
      </c>
      <c r="Q175" s="13">
        <f t="shared" si="303"/>
        <v>0</v>
      </c>
      <c r="R175" s="13">
        <f t="shared" si="303"/>
        <v>0</v>
      </c>
      <c r="S175" s="13">
        <f t="shared" si="303"/>
        <v>0</v>
      </c>
      <c r="T175" s="13">
        <f t="shared" si="303"/>
        <v>8520.2000000000007</v>
      </c>
      <c r="U175" s="68">
        <f t="shared" si="248"/>
        <v>28255.8</v>
      </c>
      <c r="V175" s="268">
        <f t="shared" si="249"/>
        <v>0.2316782684359365</v>
      </c>
      <c r="W175" s="13">
        <f t="shared" si="240"/>
        <v>14327</v>
      </c>
      <c r="X175" s="13">
        <f t="shared" si="304"/>
        <v>0</v>
      </c>
      <c r="Y175" s="13">
        <f t="shared" si="304"/>
        <v>0</v>
      </c>
      <c r="Z175" s="13">
        <f t="shared" si="304"/>
        <v>0</v>
      </c>
      <c r="AA175" s="13">
        <f t="shared" si="304"/>
        <v>3509</v>
      </c>
      <c r="AB175" s="13">
        <f t="shared" si="304"/>
        <v>3509</v>
      </c>
      <c r="AC175" s="68">
        <f t="shared" si="250"/>
        <v>10818</v>
      </c>
      <c r="AD175" s="268">
        <f t="shared" si="251"/>
        <v>0.24492217491449711</v>
      </c>
      <c r="AE175" s="13">
        <f t="shared" si="241"/>
        <v>9030</v>
      </c>
      <c r="AF175" s="13">
        <f t="shared" si="305"/>
        <v>0</v>
      </c>
      <c r="AG175" s="13">
        <f t="shared" si="305"/>
        <v>0</v>
      </c>
      <c r="AH175" s="13">
        <f t="shared" si="305"/>
        <v>0</v>
      </c>
      <c r="AI175" s="13">
        <f t="shared" si="305"/>
        <v>1740</v>
      </c>
      <c r="AJ175" s="13">
        <f t="shared" si="305"/>
        <v>1740</v>
      </c>
      <c r="AK175" s="68">
        <f t="shared" si="252"/>
        <v>7290</v>
      </c>
      <c r="AL175" s="268">
        <f t="shared" si="253"/>
        <v>0.19269102990033224</v>
      </c>
      <c r="AM175" s="13">
        <f t="shared" si="242"/>
        <v>26807</v>
      </c>
      <c r="AN175" s="13">
        <f t="shared" si="306"/>
        <v>0</v>
      </c>
      <c r="AO175" s="13">
        <f t="shared" si="306"/>
        <v>0</v>
      </c>
      <c r="AP175" s="13">
        <f t="shared" si="306"/>
        <v>3967.2</v>
      </c>
      <c r="AQ175" s="13">
        <f t="shared" si="306"/>
        <v>11306.86</v>
      </c>
      <c r="AR175" s="13">
        <f t="shared" si="306"/>
        <v>0</v>
      </c>
      <c r="AS175" s="13">
        <f t="shared" si="306"/>
        <v>15274.060000000001</v>
      </c>
      <c r="AT175" s="68">
        <f>AM175-AS175</f>
        <v>11532.939999999999</v>
      </c>
      <c r="AU175" s="268">
        <f t="shared" si="254"/>
        <v>0.56977878912224422</v>
      </c>
      <c r="AV175" s="13">
        <f t="shared" si="243"/>
        <v>762</v>
      </c>
      <c r="AW175" s="13">
        <f t="shared" si="222"/>
        <v>0</v>
      </c>
      <c r="AX175" s="13">
        <f t="shared" si="222"/>
        <v>0</v>
      </c>
      <c r="AY175" s="13">
        <f t="shared" si="222"/>
        <v>0</v>
      </c>
      <c r="AZ175" s="13">
        <f t="shared" si="222"/>
        <v>7440</v>
      </c>
      <c r="BA175" s="13">
        <f t="shared" si="223"/>
        <v>7440</v>
      </c>
      <c r="BB175" s="68">
        <f t="shared" si="255"/>
        <v>-6678</v>
      </c>
      <c r="BC175" s="268">
        <f t="shared" si="256"/>
        <v>9.7637795275590555</v>
      </c>
      <c r="BD175" s="13">
        <f t="shared" si="257"/>
        <v>538</v>
      </c>
      <c r="BE175" s="13">
        <f>SUMIFS(SALIDAS_BIT,FECHA_BIT,"&gt;="&amp;BE$2,FECHA_BIT,"&lt;="&amp;BE$3,CLAVE_BIT,$A175)+SUMIFS(SALIDAS_BOV1,FECHA_BOV1,"&gt;="&amp;BE$2,FECHA_BOV1,"&lt;="&amp;BE$3,CLAVE_BOV1,$A175)+SUMIFS(SALIDAS_BOV2,FECHA_BOV2,"&gt;="&amp;BE$2,FECHA_BOV2,"&lt;="&amp;BE$3,CLAVE_BOV2,$A175)+SUMIFS(SALIDAS_BOV3,FECHA_BOV3,"&gt;="&amp;BE$2,FECHA_BOV3,"&lt;="&amp;BE$3,CLAVE_BOV3,$A175)+SUMIFS(SALIDAS_TC,FECHA_TC,"&gt;="&amp;BE$2,FECHA_TC,"&lt;="&amp;BE$3,CLAVE_TC,$A175)+SUMIFS(SALIDAS_COMB,FECHA_COMB,"&gt;="&amp;BE$2,FECHA_COMB,"&lt;="&amp;BE$3,CLAVE_COMB,$A175)+SUMIFS(SALIDAS_DES,FECHA_DESGLOSEN,"&gt;="&amp;BE$2,FECHA_DESGLOSEN,"&lt;="&amp;BE$3,CLAVE_DESGLOSE,$A175)</f>
        <v>0</v>
      </c>
      <c r="BF175" s="13">
        <f>SUMIFS(SALIDAS_BIT,FECHA_BIT,"&gt;="&amp;BF$2,FECHA_BIT,"&lt;="&amp;BF$3,CLAVE_BIT,$A175)+SUMIFS(SALIDAS_BOV1,FECHA_BOV1,"&gt;="&amp;BF$2,FECHA_BOV1,"&lt;="&amp;BF$3,CLAVE_BOV1,$A175)+SUMIFS(SALIDAS_BOV2,FECHA_BOV2,"&gt;="&amp;BF$2,FECHA_BOV2,"&lt;="&amp;BF$3,CLAVE_BOV2,$A175)+SUMIFS(SALIDAS_BOV3,FECHA_BOV3,"&gt;="&amp;BF$2,FECHA_BOV3,"&lt;="&amp;BF$3,CLAVE_BOV3,$A175)+SUMIFS(SALIDAS_TC,FECHA_TC,"&gt;="&amp;BF$2,FECHA_TC,"&lt;="&amp;BF$3,CLAVE_TC,$A175)+SUMIFS(SALIDAS_COMB,FECHA_COMB,"&gt;="&amp;BF$2,FECHA_COMB,"&lt;="&amp;BF$3,CLAVE_COMB,$A175)+SUMIFS(SALIDAS_DES,FECHA_DESGLOSEN,"&gt;="&amp;BF$2,FECHA_DESGLOSEN,"&lt;="&amp;BF$3,CLAVE_DESGLOSE,$A175)</f>
        <v>0</v>
      </c>
      <c r="BG175" s="13">
        <f>SUMIFS(SALIDAS_BIT,FECHA_BIT,"&gt;="&amp;BG$2,FECHA_BIT,"&lt;="&amp;BG$3,CLAVE_BIT,$A175)+SUMIFS(SALIDAS_BOV1,FECHA_BOV1,"&gt;="&amp;BG$2,FECHA_BOV1,"&lt;="&amp;BG$3,CLAVE_BOV1,$A175)+SUMIFS(SALIDAS_BOV2,FECHA_BOV2,"&gt;="&amp;BG$2,FECHA_BOV2,"&lt;="&amp;BG$3,CLAVE_BOV2,$A175)+SUMIFS(SALIDAS_BOV3,FECHA_BOV3,"&gt;="&amp;BG$2,FECHA_BOV3,"&lt;="&amp;BG$3,CLAVE_BOV3,$A175)+SUMIFS(SALIDAS_TC,FECHA_TC,"&gt;="&amp;BG$2,FECHA_TC,"&lt;="&amp;BG$3,CLAVE_TC,$A175)+SUMIFS(SALIDAS_COMB,FECHA_COMB,"&gt;="&amp;BG$2,FECHA_COMB,"&lt;="&amp;BG$3,CLAVE_COMB,$A175)+SUMIFS(SALIDAS_DES,FECHA_DESGLOSEN,"&gt;="&amp;BG$2,FECHA_DESGLOSEN,"&lt;="&amp;BG$3,CLAVE_DESGLOSE,$A175)</f>
        <v>0</v>
      </c>
      <c r="BH175" s="13">
        <f>SUMIFS(SALIDAS_BIT,FECHA_BIT,"&gt;="&amp;BH$2,FECHA_BIT,"&lt;="&amp;BH$3,CLAVE_BIT,$A175)+SUMIFS(SALIDAS_BOV1,FECHA_BOV1,"&gt;="&amp;BH$2,FECHA_BOV1,"&lt;="&amp;BH$3,CLAVE_BOV1,$A175)+SUMIFS(SALIDAS_BOV2,FECHA_BOV2,"&gt;="&amp;BH$2,FECHA_BOV2,"&lt;="&amp;BH$3,CLAVE_BOV2,$A175)+SUMIFS(SALIDAS_BOV3,FECHA_BOV3,"&gt;="&amp;BH$2,FECHA_BOV3,"&lt;="&amp;BH$3,CLAVE_BOV3,$A175)+SUMIFS(SALIDAS_TC,FECHA_TC,"&gt;="&amp;BH$2,FECHA_TC,"&lt;="&amp;BH$3,CLAVE_TC,$A175)+SUMIFS(SALIDAS_COMB,FECHA_COMB,"&gt;="&amp;BH$2,FECHA_COMB,"&lt;="&amp;BH$3,CLAVE_COMB,$A175)+SUMIFS(SALIDAS_DES,FECHA_DESGLOSEN,"&gt;="&amp;BH$2,FECHA_DESGLOSEN,"&lt;="&amp;BH$3,CLAVE_DESGLOSE,$A175)</f>
        <v>0</v>
      </c>
      <c r="BI175" s="13">
        <f t="shared" si="311"/>
        <v>0</v>
      </c>
      <c r="BJ175" s="68">
        <f t="shared" si="258"/>
        <v>538</v>
      </c>
      <c r="BK175" s="268">
        <f t="shared" si="259"/>
        <v>0</v>
      </c>
      <c r="BL175" s="13">
        <f t="shared" si="260"/>
        <v>3763</v>
      </c>
      <c r="BM175" s="13">
        <f>SUMIFS(SALIDAS_BIT,FECHA_BIT,"&gt;="&amp;BM$2,FECHA_BIT,"&lt;="&amp;BM$3,CLAVE_BIT,$A175)+SUMIFS(SALIDAS_BOV1,FECHA_BOV1,"&gt;="&amp;BM$2,FECHA_BOV1,"&lt;="&amp;BM$3,CLAVE_BOV1,$A175)+SUMIFS(SALIDAS_BOV2,FECHA_BOV2,"&gt;="&amp;BM$2,FECHA_BOV2,"&lt;="&amp;BM$3,CLAVE_BOV2,$A175)+SUMIFS(SALIDAS_BOV3,FECHA_BOV3,"&gt;="&amp;BM$2,FECHA_BOV3,"&lt;="&amp;BM$3,CLAVE_BOV3,$A175)+SUMIFS(SALIDAS_TC,FECHA_TC,"&gt;="&amp;BM$2,FECHA_TC,"&lt;="&amp;BM$3,CLAVE_TC,$A175)+SUMIFS(SALIDAS_COMB,FECHA_COMB,"&gt;="&amp;BM$2,FECHA_COMB,"&lt;="&amp;BM$3,CLAVE_COMB,$A175)+SUMIFS(SALIDAS_DES,FECHA_DESGLOSEN,"&gt;="&amp;BM$2,FECHA_DESGLOSEN,"&lt;="&amp;BM$3,CLAVE_DESGLOSE,$A175)</f>
        <v>0</v>
      </c>
      <c r="BN175" s="13">
        <f>SUMIFS(SALIDAS_BIT,FECHA_BIT,"&gt;="&amp;BN$2,FECHA_BIT,"&lt;="&amp;BN$3,CLAVE_BIT,$A175)+SUMIFS(SALIDAS_BOV1,FECHA_BOV1,"&gt;="&amp;BN$2,FECHA_BOV1,"&lt;="&amp;BN$3,CLAVE_BOV1,$A175)+SUMIFS(SALIDAS_BOV2,FECHA_BOV2,"&gt;="&amp;BN$2,FECHA_BOV2,"&lt;="&amp;BN$3,CLAVE_BOV2,$A175)+SUMIFS(SALIDAS_BOV3,FECHA_BOV3,"&gt;="&amp;BN$2,FECHA_BOV3,"&lt;="&amp;BN$3,CLAVE_BOV3,$A175)+SUMIFS(SALIDAS_TC,FECHA_TC,"&gt;="&amp;BN$2,FECHA_TC,"&lt;="&amp;BN$3,CLAVE_TC,$A175)+SUMIFS(SALIDAS_COMB,FECHA_COMB,"&gt;="&amp;BN$2,FECHA_COMB,"&lt;="&amp;BN$3,CLAVE_COMB,$A175)+SUMIFS(SALIDAS_DES,FECHA_DESGLOSEN,"&gt;="&amp;BN$2,FECHA_DESGLOSEN,"&lt;="&amp;BN$3,CLAVE_DESGLOSE,$A175)</f>
        <v>0</v>
      </c>
      <c r="BO175" s="13">
        <f>SUMIFS(SALIDAS_BIT,FECHA_BIT,"&gt;="&amp;BO$2,FECHA_BIT,"&lt;="&amp;BO$3,CLAVE_BIT,$A175)+SUMIFS(SALIDAS_BOV1,FECHA_BOV1,"&gt;="&amp;BO$2,FECHA_BOV1,"&lt;="&amp;BO$3,CLAVE_BOV1,$A175)+SUMIFS(SALIDAS_BOV2,FECHA_BOV2,"&gt;="&amp;BO$2,FECHA_BOV2,"&lt;="&amp;BO$3,CLAVE_BOV2,$A175)+SUMIFS(SALIDAS_BOV3,FECHA_BOV3,"&gt;="&amp;BO$2,FECHA_BOV3,"&lt;="&amp;BO$3,CLAVE_BOV3,$A175)+SUMIFS(SALIDAS_TC,FECHA_TC,"&gt;="&amp;BO$2,FECHA_TC,"&lt;="&amp;BO$3,CLAVE_TC,$A175)+SUMIFS(SALIDAS_COMB,FECHA_COMB,"&gt;="&amp;BO$2,FECHA_COMB,"&lt;="&amp;BO$3,CLAVE_COMB,$A175)+SUMIFS(SALIDAS_DES,FECHA_DESGLOSEN,"&gt;="&amp;BO$2,FECHA_DESGLOSEN,"&lt;="&amp;BO$3,CLAVE_DESGLOSE,$A175)</f>
        <v>0</v>
      </c>
      <c r="BP175" s="13">
        <f>SUMIFS(SALIDAS_BIT,FECHA_BIT,"&gt;="&amp;BP$2,FECHA_BIT,"&lt;="&amp;BP$3,CLAVE_BIT,$A175)+SUMIFS(SALIDAS_BOV1,FECHA_BOV1,"&gt;="&amp;BP$2,FECHA_BOV1,"&lt;="&amp;BP$3,CLAVE_BOV1,$A175)+SUMIFS(SALIDAS_BOV2,FECHA_BOV2,"&gt;="&amp;BP$2,FECHA_BOV2,"&lt;="&amp;BP$3,CLAVE_BOV2,$A175)+SUMIFS(SALIDAS_BOV3,FECHA_BOV3,"&gt;="&amp;BP$2,FECHA_BOV3,"&lt;="&amp;BP$3,CLAVE_BOV3,$A175)+SUMIFS(SALIDAS_TC,FECHA_TC,"&gt;="&amp;BP$2,FECHA_TC,"&lt;="&amp;BP$3,CLAVE_TC,$A175)+SUMIFS(SALIDAS_COMB,FECHA_COMB,"&gt;="&amp;BP$2,FECHA_COMB,"&lt;="&amp;BP$3,CLAVE_COMB,$A175)+SUMIFS(SALIDAS_DES,FECHA_DESGLOSEN,"&gt;="&amp;BP$2,FECHA_DESGLOSEN,"&lt;="&amp;BP$3,CLAVE_DESGLOSE,$A175)</f>
        <v>0</v>
      </c>
      <c r="BQ175" s="13">
        <f>SUMIFS(SALIDAS_BIT,FECHA_BIT,"&gt;="&amp;BQ$2,FECHA_BIT,"&lt;="&amp;BQ$3,CLAVE_BIT,$A175)+SUMIFS(SALIDAS_BOV1,FECHA_BOV1,"&gt;="&amp;BQ$2,FECHA_BOV1,"&lt;="&amp;BQ$3,CLAVE_BOV1,$A175)+SUMIFS(SALIDAS_BOV2,FECHA_BOV2,"&gt;="&amp;BQ$2,FECHA_BOV2,"&lt;="&amp;BQ$3,CLAVE_BOV2,$A175)+SUMIFS(SALIDAS_BOV3,FECHA_BOV3,"&gt;="&amp;BQ$2,FECHA_BOV3,"&lt;="&amp;BQ$3,CLAVE_BOV3,$A175)+SUMIFS(SALIDAS_TC,FECHA_TC,"&gt;="&amp;BQ$2,FECHA_TC,"&lt;="&amp;BQ$3,CLAVE_TC,$A175)+SUMIFS(SALIDAS_COMB,FECHA_COMB,"&gt;="&amp;BQ$2,FECHA_COMB,"&lt;="&amp;BQ$3,CLAVE_COMB,$A175)+SUMIFS(SALIDAS_DES,FECHA_DESGLOSEN,"&gt;="&amp;BQ$2,FECHA_DESGLOSEN,"&lt;="&amp;BQ$3,CLAVE_DESGLOSE,$A175)</f>
        <v>0</v>
      </c>
      <c r="BR175" s="13">
        <f t="shared" si="307"/>
        <v>0</v>
      </c>
      <c r="BS175" s="68">
        <f t="shared" si="261"/>
        <v>3763</v>
      </c>
      <c r="BT175" s="268">
        <f t="shared" si="262"/>
        <v>0</v>
      </c>
      <c r="BU175" s="13">
        <f t="shared" si="263"/>
        <v>14700</v>
      </c>
      <c r="BV175" s="13">
        <f t="shared" si="291"/>
        <v>10440</v>
      </c>
      <c r="BW175" s="13">
        <f t="shared" si="291"/>
        <v>0</v>
      </c>
      <c r="BX175" s="13">
        <f t="shared" si="291"/>
        <v>0</v>
      </c>
      <c r="BY175" s="13">
        <f t="shared" si="291"/>
        <v>0</v>
      </c>
      <c r="BZ175" s="13">
        <f t="shared" si="308"/>
        <v>10440</v>
      </c>
      <c r="CA175" s="68">
        <f t="shared" si="264"/>
        <v>4260</v>
      </c>
      <c r="CB175" s="268">
        <f t="shared" si="265"/>
        <v>0.71020408163265303</v>
      </c>
      <c r="CC175" s="13">
        <f t="shared" si="266"/>
        <v>46200</v>
      </c>
      <c r="CD175" s="13">
        <f t="shared" si="292"/>
        <v>0</v>
      </c>
      <c r="CE175" s="13">
        <f t="shared" si="292"/>
        <v>0</v>
      </c>
      <c r="CF175" s="13">
        <f t="shared" si="292"/>
        <v>0</v>
      </c>
      <c r="CG175" s="13">
        <f t="shared" si="292"/>
        <v>0</v>
      </c>
      <c r="CH175" s="13">
        <f t="shared" si="309"/>
        <v>0</v>
      </c>
      <c r="CI175" s="68">
        <f t="shared" si="267"/>
        <v>46200</v>
      </c>
      <c r="CJ175" s="268">
        <f t="shared" si="268"/>
        <v>0</v>
      </c>
      <c r="CK175" s="13">
        <f t="shared" si="269"/>
        <v>18900</v>
      </c>
      <c r="CL175" s="13">
        <f t="shared" si="228"/>
        <v>0</v>
      </c>
      <c r="CM175" s="13">
        <f t="shared" si="228"/>
        <v>0</v>
      </c>
      <c r="CN175" s="13">
        <f t="shared" si="228"/>
        <v>0</v>
      </c>
      <c r="CO175" s="13">
        <f t="shared" si="228"/>
        <v>0</v>
      </c>
      <c r="CP175" s="13">
        <f t="shared" si="228"/>
        <v>4640</v>
      </c>
      <c r="CQ175" s="13">
        <f t="shared" si="310"/>
        <v>4640</v>
      </c>
      <c r="CR175" s="68">
        <f t="shared" si="270"/>
        <v>14260</v>
      </c>
      <c r="CS175" s="268">
        <f t="shared" si="271"/>
        <v>0.2455026455026455</v>
      </c>
      <c r="CT175" s="68">
        <f t="shared" si="244"/>
        <v>9000</v>
      </c>
      <c r="CU175" s="13">
        <f>SUMIFS(SALIDAS_BIT,FECHA_BIT,"&gt;="&amp;CU$2,FECHA_BIT,"&lt;="&amp;CU$3,CLAVE_BIT,$A175)+SUMIFS(SALIDAS_BOV1,FECHA_BOV1,"&gt;="&amp;CU$2,FECHA_BOV1,"&lt;="&amp;CU$3,CLAVE_BOV1,$A175)+SUMIFS(SALIDAS_BOV2,FECHA_BOV2,"&gt;="&amp;CU$2,FECHA_BOV2,"&lt;="&amp;CU$3,CLAVE_BOV2,$A175)+SUMIFS(SALIDAS_BOV3,FECHA_BOV3,"&gt;="&amp;CU$2,FECHA_BOV3,"&lt;="&amp;CU$3,CLAVE_BOV3,$A175)+SUMIFS(SALIDAS_TC,FECHA_TC,"&gt;="&amp;CU$2,FECHA_TC,"&lt;="&amp;CU$3,CLAVE_TC,$A175)+SUMIFS(SALIDAS_COMB,FECHA_COMB,"&gt;="&amp;CU$2,FECHA_COMB,"&lt;="&amp;CU$3,CLAVE_COMB,$A175)+SUMIFS(SALIDAS_DES,FECHA_DESGLOSEN,"&gt;="&amp;CU$2,FECHA_DESGLOSEN,"&lt;="&amp;CU$3,CLAVE_DESGLOSE,$A175)</f>
        <v>16042.8</v>
      </c>
      <c r="CV175" s="13">
        <f>SUMIFS(SALIDAS_BIT,FECHA_BIT,"&gt;="&amp;CV$2,FECHA_BIT,"&lt;="&amp;CV$3,CLAVE_BIT,$A175)+SUMIFS(SALIDAS_BOV1,FECHA_BOV1,"&gt;="&amp;CV$2,FECHA_BOV1,"&lt;="&amp;CV$3,CLAVE_BOV1,$A175)+SUMIFS(SALIDAS_BOV2,FECHA_BOV2,"&gt;="&amp;CV$2,FECHA_BOV2,"&lt;="&amp;CV$3,CLAVE_BOV2,$A175)+SUMIFS(SALIDAS_BOV3,FECHA_BOV3,"&gt;="&amp;CV$2,FECHA_BOV3,"&lt;="&amp;CV$3,CLAVE_BOV3,$A175)+SUMIFS(SALIDAS_TC,FECHA_TC,"&gt;="&amp;CV$2,FECHA_TC,"&lt;="&amp;CV$3,CLAVE_TC,$A175)+SUMIFS(SALIDAS_COMB,FECHA_COMB,"&gt;="&amp;CV$2,FECHA_COMB,"&lt;="&amp;CV$3,CLAVE_COMB,$A175)+SUMIFS(SALIDAS_DES,FECHA_DESGLOSEN,"&gt;="&amp;CV$2,FECHA_DESGLOSEN,"&lt;="&amp;CV$3,CLAVE_DESGLOSE,$A175)</f>
        <v>0</v>
      </c>
      <c r="CW175" s="13">
        <f>SUMIFS(SALIDAS_BIT,FECHA_BIT,"&gt;="&amp;CW$2,FECHA_BIT,"&lt;="&amp;CW$3,CLAVE_BIT,$A175)+SUMIFS(SALIDAS_BOV1,FECHA_BOV1,"&gt;="&amp;CW$2,FECHA_BOV1,"&lt;="&amp;CW$3,CLAVE_BOV1,$A175)+SUMIFS(SALIDAS_BOV2,FECHA_BOV2,"&gt;="&amp;CW$2,FECHA_BOV2,"&lt;="&amp;CW$3,CLAVE_BOV2,$A175)+SUMIFS(SALIDAS_BOV3,FECHA_BOV3,"&gt;="&amp;CW$2,FECHA_BOV3,"&lt;="&amp;CW$3,CLAVE_BOV3,$A175)+SUMIFS(SALIDAS_TC,FECHA_TC,"&gt;="&amp;CW$2,FECHA_TC,"&lt;="&amp;CW$3,CLAVE_TC,$A175)+SUMIFS(SALIDAS_COMB,FECHA_COMB,"&gt;="&amp;CW$2,FECHA_COMB,"&lt;="&amp;CW$3,CLAVE_COMB,$A175)+SUMIFS(SALIDAS_DES,FECHA_DESGLOSEN,"&gt;="&amp;CW$2,FECHA_DESGLOSEN,"&lt;="&amp;CW$3,CLAVE_DESGLOSE,$A175)</f>
        <v>0</v>
      </c>
      <c r="CX175" s="13">
        <f>SUMIFS(SALIDAS_BIT,FECHA_BIT,"&gt;="&amp;CX$2,FECHA_BIT,"&lt;="&amp;CX$3,CLAVE_BIT,$A175)+SUMIFS(SALIDAS_BOV1,FECHA_BOV1,"&gt;="&amp;CX$2,FECHA_BOV1,"&lt;="&amp;CX$3,CLAVE_BOV1,$A175)+SUMIFS(SALIDAS_BOV2,FECHA_BOV2,"&gt;="&amp;CX$2,FECHA_BOV2,"&lt;="&amp;CX$3,CLAVE_BOV2,$A175)+SUMIFS(SALIDAS_BOV3,FECHA_BOV3,"&gt;="&amp;CX$2,FECHA_BOV3,"&lt;="&amp;CX$3,CLAVE_BOV3,$A175)+SUMIFS(SALIDAS_TC,FECHA_TC,"&gt;="&amp;CX$2,FECHA_TC,"&lt;="&amp;CX$3,CLAVE_TC,$A175)+SUMIFS(SALIDAS_COMB,FECHA_COMB,"&gt;="&amp;CX$2,FECHA_COMB,"&lt;="&amp;CX$3,CLAVE_COMB,$A175)+SUMIFS(SALIDAS_DES,FECHA_DESGLOSEN,"&gt;="&amp;CX$2,FECHA_DESGLOSEN,"&lt;="&amp;CX$3,CLAVE_DESGLOSE,$A175)</f>
        <v>0</v>
      </c>
      <c r="CY175" s="13">
        <f>SUMIFS(SALIDAS_BIT,FECHA_BIT,"&gt;="&amp;CY$2,FECHA_BIT,"&lt;="&amp;CY$3,CLAVE_BIT,$A175)+SUMIFS(SALIDAS_BOV1,FECHA_BOV1,"&gt;="&amp;CY$2,FECHA_BOV1,"&lt;="&amp;CY$3,CLAVE_BOV1,$A175)+SUMIFS(SALIDAS_BOV2,FECHA_BOV2,"&gt;="&amp;CY$2,FECHA_BOV2,"&lt;="&amp;CY$3,CLAVE_BOV2,$A175)+SUMIFS(SALIDAS_BOV3,FECHA_BOV3,"&gt;="&amp;CY$2,FECHA_BOV3,"&lt;="&amp;CY$3,CLAVE_BOV3,$A175)+SUMIFS(SALIDAS_TC,FECHA_TC,"&gt;="&amp;CY$2,FECHA_TC,"&lt;="&amp;CY$3,CLAVE_TC,$A175)+SUMIFS(SALIDAS_COMB,FECHA_COMB,"&gt;="&amp;CY$2,FECHA_COMB,"&lt;="&amp;CY$3,CLAVE_COMB,$A175)+SUMIFS(SALIDAS_DES,FECHA_DESGLOSEN,"&gt;="&amp;CY$2,FECHA_DESGLOSEN,"&lt;="&amp;CY$3,CLAVE_DESGLOSE,$A175)</f>
        <v>16042.8</v>
      </c>
      <c r="CZ175" s="68">
        <f t="shared" si="272"/>
        <v>-7042.7999999999993</v>
      </c>
      <c r="DB175" s="17">
        <f>F175+N175+W175+AE175+AM175+AV175+BD175+BL175+BU175+CC175+CK175</f>
        <v>180847</v>
      </c>
      <c r="DC175" s="17">
        <f>K175+T175+AB175+AJ175+AS175+BA175+BI175+BR175+BZ175+CH175+CQ175</f>
        <v>52577.68</v>
      </c>
    </row>
    <row r="176" spans="1:107" hidden="1">
      <c r="A176" s="12" t="str">
        <f t="shared" si="245"/>
        <v>CAPMKTMKT CAP</v>
      </c>
      <c r="B176" s="12">
        <v>178</v>
      </c>
      <c r="C176" t="s">
        <v>31</v>
      </c>
      <c r="D176" s="12" t="s">
        <v>19</v>
      </c>
      <c r="E176" s="12" t="s">
        <v>139</v>
      </c>
      <c r="F176" s="259">
        <f t="shared" si="238"/>
        <v>9594</v>
      </c>
      <c r="G176" s="13">
        <f t="shared" si="302"/>
        <v>12409</v>
      </c>
      <c r="H176" s="13">
        <f t="shared" si="302"/>
        <v>0</v>
      </c>
      <c r="I176" s="13">
        <f t="shared" si="302"/>
        <v>0</v>
      </c>
      <c r="J176" s="13">
        <f t="shared" si="302"/>
        <v>0</v>
      </c>
      <c r="K176" s="13">
        <f t="shared" si="302"/>
        <v>12409</v>
      </c>
      <c r="L176" s="68">
        <f t="shared" si="246"/>
        <v>-2815</v>
      </c>
      <c r="M176" s="268">
        <f t="shared" si="247"/>
        <v>1.2934125495101105</v>
      </c>
      <c r="N176" s="13">
        <f t="shared" si="239"/>
        <v>0</v>
      </c>
      <c r="O176" s="13">
        <f t="shared" si="303"/>
        <v>0</v>
      </c>
      <c r="P176" s="13">
        <f t="shared" si="303"/>
        <v>504</v>
      </c>
      <c r="Q176" s="13">
        <f t="shared" si="303"/>
        <v>0</v>
      </c>
      <c r="R176" s="13">
        <f t="shared" si="303"/>
        <v>0</v>
      </c>
      <c r="S176" s="13">
        <f t="shared" si="303"/>
        <v>0</v>
      </c>
      <c r="T176" s="13">
        <f t="shared" si="303"/>
        <v>504</v>
      </c>
      <c r="U176" s="68">
        <f t="shared" si="248"/>
        <v>-504</v>
      </c>
      <c r="V176" s="268">
        <f t="shared" si="249"/>
        <v>0</v>
      </c>
      <c r="W176" s="13">
        <f t="shared" si="240"/>
        <v>11879</v>
      </c>
      <c r="X176" s="13">
        <f t="shared" si="304"/>
        <v>0</v>
      </c>
      <c r="Y176" s="13">
        <f t="shared" si="304"/>
        <v>0</v>
      </c>
      <c r="Z176" s="13">
        <f t="shared" si="304"/>
        <v>3541</v>
      </c>
      <c r="AA176" s="13">
        <f t="shared" si="304"/>
        <v>0</v>
      </c>
      <c r="AB176" s="13">
        <f t="shared" si="304"/>
        <v>3541</v>
      </c>
      <c r="AC176" s="68">
        <f t="shared" si="250"/>
        <v>8338</v>
      </c>
      <c r="AD176" s="268">
        <f t="shared" si="251"/>
        <v>0.29808906473608887</v>
      </c>
      <c r="AE176" s="13">
        <f t="shared" si="241"/>
        <v>0</v>
      </c>
      <c r="AF176" s="13">
        <f t="shared" si="305"/>
        <v>0</v>
      </c>
      <c r="AG176" s="13">
        <f t="shared" si="305"/>
        <v>13750</v>
      </c>
      <c r="AH176" s="13">
        <f t="shared" si="305"/>
        <v>350</v>
      </c>
      <c r="AI176" s="13">
        <f t="shared" si="305"/>
        <v>500</v>
      </c>
      <c r="AJ176" s="13">
        <f t="shared" si="305"/>
        <v>14600</v>
      </c>
      <c r="AK176" s="68">
        <f t="shared" si="252"/>
        <v>-14600</v>
      </c>
      <c r="AL176" s="268">
        <f t="shared" si="253"/>
        <v>0</v>
      </c>
      <c r="AM176" s="13">
        <f t="shared" si="242"/>
        <v>31469</v>
      </c>
      <c r="AN176" s="13">
        <f t="shared" si="306"/>
        <v>0</v>
      </c>
      <c r="AO176" s="13">
        <f t="shared" si="306"/>
        <v>0</v>
      </c>
      <c r="AP176" s="13">
        <f t="shared" si="306"/>
        <v>3566.42</v>
      </c>
      <c r="AQ176" s="13">
        <f t="shared" si="306"/>
        <v>3000</v>
      </c>
      <c r="AR176" s="13">
        <f t="shared" si="306"/>
        <v>21800</v>
      </c>
      <c r="AS176" s="13">
        <f t="shared" si="306"/>
        <v>28366.42</v>
      </c>
      <c r="AT176" s="68">
        <f>AM176-AS176</f>
        <v>3102.5800000000017</v>
      </c>
      <c r="AU176" s="268">
        <f t="shared" si="254"/>
        <v>0.90140837014204445</v>
      </c>
      <c r="AV176" s="13">
        <f t="shared" si="243"/>
        <v>0</v>
      </c>
      <c r="AW176" s="13">
        <f t="shared" si="222"/>
        <v>0</v>
      </c>
      <c r="AX176" s="13">
        <f t="shared" si="222"/>
        <v>0</v>
      </c>
      <c r="AY176" s="13">
        <f t="shared" si="222"/>
        <v>4000</v>
      </c>
      <c r="AZ176" s="13">
        <f t="shared" si="222"/>
        <v>3318.08</v>
      </c>
      <c r="BA176" s="13">
        <f t="shared" si="223"/>
        <v>7318.08</v>
      </c>
      <c r="BB176" s="68">
        <f t="shared" si="255"/>
        <v>-7318.08</v>
      </c>
      <c r="BC176" s="268">
        <f t="shared" si="256"/>
        <v>0</v>
      </c>
      <c r="BD176" s="13">
        <f t="shared" si="257"/>
        <v>2000</v>
      </c>
      <c r="BE176" s="13">
        <f>SUMIFS(SALIDAS_BIT,FECHA_BIT,"&gt;="&amp;BE$2,FECHA_BIT,"&lt;="&amp;BE$3,CLAVE_BIT,$A176)+SUMIFS(SALIDAS_BOV1,FECHA_BOV1,"&gt;="&amp;BE$2,FECHA_BOV1,"&lt;="&amp;BE$3,CLAVE_BOV1,$A176)+SUMIFS(SALIDAS_BOV2,FECHA_BOV2,"&gt;="&amp;BE$2,FECHA_BOV2,"&lt;="&amp;BE$3,CLAVE_BOV2,$A176)+SUMIFS(SALIDAS_BOV3,FECHA_BOV3,"&gt;="&amp;BE$2,FECHA_BOV3,"&lt;="&amp;BE$3,CLAVE_BOV3,$A176)+SUMIFS(SALIDAS_TC,FECHA_TC,"&gt;="&amp;BE$2,FECHA_TC,"&lt;="&amp;BE$3,CLAVE_TC,$A176)+SUMIFS(SALIDAS_COMB,FECHA_COMB,"&gt;="&amp;BE$2,FECHA_COMB,"&lt;="&amp;BE$3,CLAVE_COMB,$A176)+SUMIFS(SALIDAS_DES,FECHA_DESGLOSEN,"&gt;="&amp;BE$2,FECHA_DESGLOSEN,"&lt;="&amp;BE$3,CLAVE_DESGLOSE,$A176)</f>
        <v>0</v>
      </c>
      <c r="BF176" s="13">
        <f>SUMIFS(SALIDAS_BIT,FECHA_BIT,"&gt;="&amp;BF$2,FECHA_BIT,"&lt;="&amp;BF$3,CLAVE_BIT,$A176)+SUMIFS(SALIDAS_BOV1,FECHA_BOV1,"&gt;="&amp;BF$2,FECHA_BOV1,"&lt;="&amp;BF$3,CLAVE_BOV1,$A176)+SUMIFS(SALIDAS_BOV2,FECHA_BOV2,"&gt;="&amp;BF$2,FECHA_BOV2,"&lt;="&amp;BF$3,CLAVE_BOV2,$A176)+SUMIFS(SALIDAS_BOV3,FECHA_BOV3,"&gt;="&amp;BF$2,FECHA_BOV3,"&lt;="&amp;BF$3,CLAVE_BOV3,$A176)+SUMIFS(SALIDAS_TC,FECHA_TC,"&gt;="&amp;BF$2,FECHA_TC,"&lt;="&amp;BF$3,CLAVE_TC,$A176)+SUMIFS(SALIDAS_COMB,FECHA_COMB,"&gt;="&amp;BF$2,FECHA_COMB,"&lt;="&amp;BF$3,CLAVE_COMB,$A176)+SUMIFS(SALIDAS_DES,FECHA_DESGLOSEN,"&gt;="&amp;BF$2,FECHA_DESGLOSEN,"&lt;="&amp;BF$3,CLAVE_DESGLOSE,$A176)</f>
        <v>2500</v>
      </c>
      <c r="BG176" s="13">
        <f>SUMIFS(SALIDAS_BIT,FECHA_BIT,"&gt;="&amp;BG$2,FECHA_BIT,"&lt;="&amp;BG$3,CLAVE_BIT,$A176)+SUMIFS(SALIDAS_BOV1,FECHA_BOV1,"&gt;="&amp;BG$2,FECHA_BOV1,"&lt;="&amp;BG$3,CLAVE_BOV1,$A176)+SUMIFS(SALIDAS_BOV2,FECHA_BOV2,"&gt;="&amp;BG$2,FECHA_BOV2,"&lt;="&amp;BG$3,CLAVE_BOV2,$A176)+SUMIFS(SALIDAS_BOV3,FECHA_BOV3,"&gt;="&amp;BG$2,FECHA_BOV3,"&lt;="&amp;BG$3,CLAVE_BOV3,$A176)+SUMIFS(SALIDAS_TC,FECHA_TC,"&gt;="&amp;BG$2,FECHA_TC,"&lt;="&amp;BG$3,CLAVE_TC,$A176)+SUMIFS(SALIDAS_COMB,FECHA_COMB,"&gt;="&amp;BG$2,FECHA_COMB,"&lt;="&amp;BG$3,CLAVE_COMB,$A176)+SUMIFS(SALIDAS_DES,FECHA_DESGLOSEN,"&gt;="&amp;BG$2,FECHA_DESGLOSEN,"&lt;="&amp;BG$3,CLAVE_DESGLOSE,$A176)</f>
        <v>0</v>
      </c>
      <c r="BH176" s="13">
        <f>SUMIFS(SALIDAS_BIT,FECHA_BIT,"&gt;="&amp;BH$2,FECHA_BIT,"&lt;="&amp;BH$3,CLAVE_BIT,$A176)+SUMIFS(SALIDAS_BOV1,FECHA_BOV1,"&gt;="&amp;BH$2,FECHA_BOV1,"&lt;="&amp;BH$3,CLAVE_BOV1,$A176)+SUMIFS(SALIDAS_BOV2,FECHA_BOV2,"&gt;="&amp;BH$2,FECHA_BOV2,"&lt;="&amp;BH$3,CLAVE_BOV2,$A176)+SUMIFS(SALIDAS_BOV3,FECHA_BOV3,"&gt;="&amp;BH$2,FECHA_BOV3,"&lt;="&amp;BH$3,CLAVE_BOV3,$A176)+SUMIFS(SALIDAS_TC,FECHA_TC,"&gt;="&amp;BH$2,FECHA_TC,"&lt;="&amp;BH$3,CLAVE_TC,$A176)+SUMIFS(SALIDAS_COMB,FECHA_COMB,"&gt;="&amp;BH$2,FECHA_COMB,"&lt;="&amp;BH$3,CLAVE_COMB,$A176)+SUMIFS(SALIDAS_DES,FECHA_DESGLOSEN,"&gt;="&amp;BH$2,FECHA_DESGLOSEN,"&lt;="&amp;BH$3,CLAVE_DESGLOSE,$A176)</f>
        <v>0</v>
      </c>
      <c r="BI176" s="13">
        <f t="shared" si="311"/>
        <v>2500</v>
      </c>
      <c r="BJ176" s="68">
        <f t="shared" si="258"/>
        <v>-500</v>
      </c>
      <c r="BK176" s="268">
        <f t="shared" si="259"/>
        <v>1.25</v>
      </c>
      <c r="BL176" s="13">
        <f t="shared" si="260"/>
        <v>4538</v>
      </c>
      <c r="BM176" s="13">
        <f>SUMIFS(SALIDAS_BIT,FECHA_BIT,"&gt;="&amp;BM$2,FECHA_BIT,"&lt;="&amp;BM$3,CLAVE_BIT,$A176)+SUMIFS(SALIDAS_BOV1,FECHA_BOV1,"&gt;="&amp;BM$2,FECHA_BOV1,"&lt;="&amp;BM$3,CLAVE_BOV1,$A176)+SUMIFS(SALIDAS_BOV2,FECHA_BOV2,"&gt;="&amp;BM$2,FECHA_BOV2,"&lt;="&amp;BM$3,CLAVE_BOV2,$A176)+SUMIFS(SALIDAS_BOV3,FECHA_BOV3,"&gt;="&amp;BM$2,FECHA_BOV3,"&lt;="&amp;BM$3,CLAVE_BOV3,$A176)+SUMIFS(SALIDAS_TC,FECHA_TC,"&gt;="&amp;BM$2,FECHA_TC,"&lt;="&amp;BM$3,CLAVE_TC,$A176)+SUMIFS(SALIDAS_COMB,FECHA_COMB,"&gt;="&amp;BM$2,FECHA_COMB,"&lt;="&amp;BM$3,CLAVE_COMB,$A176)+SUMIFS(SALIDAS_DES,FECHA_DESGLOSEN,"&gt;="&amp;BM$2,FECHA_DESGLOSEN,"&lt;="&amp;BM$3,CLAVE_DESGLOSE,$A176)</f>
        <v>5400</v>
      </c>
      <c r="BN176" s="13">
        <f>SUMIFS(SALIDAS_BIT,FECHA_BIT,"&gt;="&amp;BN$2,FECHA_BIT,"&lt;="&amp;BN$3,CLAVE_BIT,$A176)+SUMIFS(SALIDAS_BOV1,FECHA_BOV1,"&gt;="&amp;BN$2,FECHA_BOV1,"&lt;="&amp;BN$3,CLAVE_BOV1,$A176)+SUMIFS(SALIDAS_BOV2,FECHA_BOV2,"&gt;="&amp;BN$2,FECHA_BOV2,"&lt;="&amp;BN$3,CLAVE_BOV2,$A176)+SUMIFS(SALIDAS_BOV3,FECHA_BOV3,"&gt;="&amp;BN$2,FECHA_BOV3,"&lt;="&amp;BN$3,CLAVE_BOV3,$A176)+SUMIFS(SALIDAS_TC,FECHA_TC,"&gt;="&amp;BN$2,FECHA_TC,"&lt;="&amp;BN$3,CLAVE_TC,$A176)+SUMIFS(SALIDAS_COMB,FECHA_COMB,"&gt;="&amp;BN$2,FECHA_COMB,"&lt;="&amp;BN$3,CLAVE_COMB,$A176)+SUMIFS(SALIDAS_DES,FECHA_DESGLOSEN,"&gt;="&amp;BN$2,FECHA_DESGLOSEN,"&lt;="&amp;BN$3,CLAVE_DESGLOSE,$A176)</f>
        <v>0</v>
      </c>
      <c r="BO176" s="13">
        <f>SUMIFS(SALIDAS_BIT,FECHA_BIT,"&gt;="&amp;BO$2,FECHA_BIT,"&lt;="&amp;BO$3,CLAVE_BIT,$A176)+SUMIFS(SALIDAS_BOV1,FECHA_BOV1,"&gt;="&amp;BO$2,FECHA_BOV1,"&lt;="&amp;BO$3,CLAVE_BOV1,$A176)+SUMIFS(SALIDAS_BOV2,FECHA_BOV2,"&gt;="&amp;BO$2,FECHA_BOV2,"&lt;="&amp;BO$3,CLAVE_BOV2,$A176)+SUMIFS(SALIDAS_BOV3,FECHA_BOV3,"&gt;="&amp;BO$2,FECHA_BOV3,"&lt;="&amp;BO$3,CLAVE_BOV3,$A176)+SUMIFS(SALIDAS_TC,FECHA_TC,"&gt;="&amp;BO$2,FECHA_TC,"&lt;="&amp;BO$3,CLAVE_TC,$A176)+SUMIFS(SALIDAS_COMB,FECHA_COMB,"&gt;="&amp;BO$2,FECHA_COMB,"&lt;="&amp;BO$3,CLAVE_COMB,$A176)+SUMIFS(SALIDAS_DES,FECHA_DESGLOSEN,"&gt;="&amp;BO$2,FECHA_DESGLOSEN,"&lt;="&amp;BO$3,CLAVE_DESGLOSE,$A176)</f>
        <v>1800</v>
      </c>
      <c r="BP176" s="13">
        <f>SUMIFS(SALIDAS_BIT,FECHA_BIT,"&gt;="&amp;BP$2,FECHA_BIT,"&lt;="&amp;BP$3,CLAVE_BIT,$A176)+SUMIFS(SALIDAS_BOV1,FECHA_BOV1,"&gt;="&amp;BP$2,FECHA_BOV1,"&lt;="&amp;BP$3,CLAVE_BOV1,$A176)+SUMIFS(SALIDAS_BOV2,FECHA_BOV2,"&gt;="&amp;BP$2,FECHA_BOV2,"&lt;="&amp;BP$3,CLAVE_BOV2,$A176)+SUMIFS(SALIDAS_BOV3,FECHA_BOV3,"&gt;="&amp;BP$2,FECHA_BOV3,"&lt;="&amp;BP$3,CLAVE_BOV3,$A176)+SUMIFS(SALIDAS_TC,FECHA_TC,"&gt;="&amp;BP$2,FECHA_TC,"&lt;="&amp;BP$3,CLAVE_TC,$A176)+SUMIFS(SALIDAS_COMB,FECHA_COMB,"&gt;="&amp;BP$2,FECHA_COMB,"&lt;="&amp;BP$3,CLAVE_COMB,$A176)+SUMIFS(SALIDAS_DES,FECHA_DESGLOSEN,"&gt;="&amp;BP$2,FECHA_DESGLOSEN,"&lt;="&amp;BP$3,CLAVE_DESGLOSE,$A176)</f>
        <v>0</v>
      </c>
      <c r="BQ176" s="13">
        <f>SUMIFS(SALIDAS_BIT,FECHA_BIT,"&gt;="&amp;BQ$2,FECHA_BIT,"&lt;="&amp;BQ$3,CLAVE_BIT,$A176)+SUMIFS(SALIDAS_BOV1,FECHA_BOV1,"&gt;="&amp;BQ$2,FECHA_BOV1,"&lt;="&amp;BQ$3,CLAVE_BOV1,$A176)+SUMIFS(SALIDAS_BOV2,FECHA_BOV2,"&gt;="&amp;BQ$2,FECHA_BOV2,"&lt;="&amp;BQ$3,CLAVE_BOV2,$A176)+SUMIFS(SALIDAS_BOV3,FECHA_BOV3,"&gt;="&amp;BQ$2,FECHA_BOV3,"&lt;="&amp;BQ$3,CLAVE_BOV3,$A176)+SUMIFS(SALIDAS_TC,FECHA_TC,"&gt;="&amp;BQ$2,FECHA_TC,"&lt;="&amp;BQ$3,CLAVE_TC,$A176)+SUMIFS(SALIDAS_COMB,FECHA_COMB,"&gt;="&amp;BQ$2,FECHA_COMB,"&lt;="&amp;BQ$3,CLAVE_COMB,$A176)+SUMIFS(SALIDAS_DES,FECHA_DESGLOSEN,"&gt;="&amp;BQ$2,FECHA_DESGLOSEN,"&lt;="&amp;BQ$3,CLAVE_DESGLOSE,$A176)</f>
        <v>0</v>
      </c>
      <c r="BR176" s="13">
        <f t="shared" si="307"/>
        <v>7200</v>
      </c>
      <c r="BS176" s="68">
        <f t="shared" si="261"/>
        <v>-2662</v>
      </c>
      <c r="BT176" s="268">
        <f t="shared" si="262"/>
        <v>1.5866020273248127</v>
      </c>
      <c r="BU176" s="13">
        <f t="shared" si="263"/>
        <v>4000</v>
      </c>
      <c r="BV176" s="13">
        <f t="shared" si="291"/>
        <v>0</v>
      </c>
      <c r="BW176" s="13">
        <f t="shared" si="291"/>
        <v>0</v>
      </c>
      <c r="BX176" s="13">
        <f t="shared" si="291"/>
        <v>1000</v>
      </c>
      <c r="BY176" s="13">
        <f t="shared" si="291"/>
        <v>0</v>
      </c>
      <c r="BZ176" s="13">
        <f t="shared" si="308"/>
        <v>1000</v>
      </c>
      <c r="CA176" s="68">
        <f t="shared" si="264"/>
        <v>3000</v>
      </c>
      <c r="CB176" s="268">
        <f t="shared" si="265"/>
        <v>0.25</v>
      </c>
      <c r="CC176" s="13">
        <f t="shared" si="266"/>
        <v>4000</v>
      </c>
      <c r="CD176" s="13">
        <f t="shared" si="292"/>
        <v>0</v>
      </c>
      <c r="CE176" s="13">
        <f t="shared" si="292"/>
        <v>0</v>
      </c>
      <c r="CF176" s="13">
        <f t="shared" si="292"/>
        <v>0</v>
      </c>
      <c r="CG176" s="13">
        <f t="shared" si="292"/>
        <v>1200</v>
      </c>
      <c r="CH176" s="13">
        <f t="shared" si="309"/>
        <v>1200</v>
      </c>
      <c r="CI176" s="68">
        <f t="shared" si="267"/>
        <v>2800</v>
      </c>
      <c r="CJ176" s="268">
        <f t="shared" si="268"/>
        <v>0.3</v>
      </c>
      <c r="CK176" s="13">
        <f t="shared" si="269"/>
        <v>4000</v>
      </c>
      <c r="CL176" s="13">
        <f t="shared" ref="CL176:CP225" si="312">SUMIFS(SALIDAS_BIT,FECHA_BIT,"&gt;="&amp;CL$2,FECHA_BIT,"&lt;="&amp;CL$3,CLAVE_BIT,$A176)+SUMIFS(SALIDAS_BOV1,FECHA_BOV1,"&gt;="&amp;CL$2,FECHA_BOV1,"&lt;="&amp;CL$3,CLAVE_BOV1,$A176)+SUMIFS(SALIDAS_BOV2,FECHA_BOV2,"&gt;="&amp;CL$2,FECHA_BOV2,"&lt;="&amp;CL$3,CLAVE_BOV2,$A176)+SUMIFS(SALIDAS_BOV3,FECHA_BOV3,"&gt;="&amp;CL$2,FECHA_BOV3,"&lt;="&amp;CL$3,CLAVE_BOV3,$A176)+SUMIFS(SALIDAS_TC,FECHA_TC,"&gt;="&amp;CL$2,FECHA_TC,"&lt;="&amp;CL$3,CLAVE_TC,$A176)+SUMIFS(SALIDAS_COMB,FECHA_COMB,"&gt;="&amp;CL$2,FECHA_COMB,"&lt;="&amp;CL$3,CLAVE_COMB,$A176)+SUMIFS(SALIDAS_DES,FECHA_DESGLOSEN,"&gt;="&amp;CL$2,FECHA_DESGLOSEN,"&lt;="&amp;CL$3,CLAVE_DESGLOSE,$A176)</f>
        <v>10525.43</v>
      </c>
      <c r="CM176" s="13">
        <f t="shared" si="312"/>
        <v>0</v>
      </c>
      <c r="CN176" s="13">
        <f t="shared" si="312"/>
        <v>0</v>
      </c>
      <c r="CO176" s="13">
        <f t="shared" si="312"/>
        <v>0</v>
      </c>
      <c r="CP176" s="13">
        <f t="shared" si="312"/>
        <v>0</v>
      </c>
      <c r="CQ176" s="13">
        <f t="shared" si="310"/>
        <v>10525.43</v>
      </c>
      <c r="CR176" s="68">
        <f t="shared" si="270"/>
        <v>-6525.43</v>
      </c>
      <c r="CS176" s="268">
        <f t="shared" si="271"/>
        <v>2.6313575</v>
      </c>
      <c r="CT176" s="68">
        <f t="shared" si="244"/>
        <v>0</v>
      </c>
      <c r="CU176" s="13">
        <f>SUMIFS(SALIDAS_BIT,FECHA_BIT,"&gt;="&amp;CU$2,FECHA_BIT,"&lt;="&amp;CU$3,CLAVE_BIT,$A176)+SUMIFS(SALIDAS_BOV1,FECHA_BOV1,"&gt;="&amp;CU$2,FECHA_BOV1,"&lt;="&amp;CU$3,CLAVE_BOV1,$A176)+SUMIFS(SALIDAS_BOV2,FECHA_BOV2,"&gt;="&amp;CU$2,FECHA_BOV2,"&lt;="&amp;CU$3,CLAVE_BOV2,$A176)+SUMIFS(SALIDAS_BOV3,FECHA_BOV3,"&gt;="&amp;CU$2,FECHA_BOV3,"&lt;="&amp;CU$3,CLAVE_BOV3,$A176)+SUMIFS(SALIDAS_TC,FECHA_TC,"&gt;="&amp;CU$2,FECHA_TC,"&lt;="&amp;CU$3,CLAVE_TC,$A176)+SUMIFS(SALIDAS_COMB,FECHA_COMB,"&gt;="&amp;CU$2,FECHA_COMB,"&lt;="&amp;CU$3,CLAVE_COMB,$A176)+SUMIFS(SALIDAS_DES,FECHA_DESGLOSEN,"&gt;="&amp;CU$2,FECHA_DESGLOSEN,"&lt;="&amp;CU$3,CLAVE_DESGLOSE,$A176)</f>
        <v>0</v>
      </c>
      <c r="CV176" s="13">
        <f>SUMIFS(SALIDAS_BIT,FECHA_BIT,"&gt;="&amp;CV$2,FECHA_BIT,"&lt;="&amp;CV$3,CLAVE_BIT,$A176)+SUMIFS(SALIDAS_BOV1,FECHA_BOV1,"&gt;="&amp;CV$2,FECHA_BOV1,"&lt;="&amp;CV$3,CLAVE_BOV1,$A176)+SUMIFS(SALIDAS_BOV2,FECHA_BOV2,"&gt;="&amp;CV$2,FECHA_BOV2,"&lt;="&amp;CV$3,CLAVE_BOV2,$A176)+SUMIFS(SALIDAS_BOV3,FECHA_BOV3,"&gt;="&amp;CV$2,FECHA_BOV3,"&lt;="&amp;CV$3,CLAVE_BOV3,$A176)+SUMIFS(SALIDAS_TC,FECHA_TC,"&gt;="&amp;CV$2,FECHA_TC,"&lt;="&amp;CV$3,CLAVE_TC,$A176)+SUMIFS(SALIDAS_COMB,FECHA_COMB,"&gt;="&amp;CV$2,FECHA_COMB,"&lt;="&amp;CV$3,CLAVE_COMB,$A176)+SUMIFS(SALIDAS_DES,FECHA_DESGLOSEN,"&gt;="&amp;CV$2,FECHA_DESGLOSEN,"&lt;="&amp;CV$3,CLAVE_DESGLOSE,$A176)</f>
        <v>0</v>
      </c>
      <c r="CW176" s="13">
        <f>SUMIFS(SALIDAS_BIT,FECHA_BIT,"&gt;="&amp;CW$2,FECHA_BIT,"&lt;="&amp;CW$3,CLAVE_BIT,$A176)+SUMIFS(SALIDAS_BOV1,FECHA_BOV1,"&gt;="&amp;CW$2,FECHA_BOV1,"&lt;="&amp;CW$3,CLAVE_BOV1,$A176)+SUMIFS(SALIDAS_BOV2,FECHA_BOV2,"&gt;="&amp;CW$2,FECHA_BOV2,"&lt;="&amp;CW$3,CLAVE_BOV2,$A176)+SUMIFS(SALIDAS_BOV3,FECHA_BOV3,"&gt;="&amp;CW$2,FECHA_BOV3,"&lt;="&amp;CW$3,CLAVE_BOV3,$A176)+SUMIFS(SALIDAS_TC,FECHA_TC,"&gt;="&amp;CW$2,FECHA_TC,"&lt;="&amp;CW$3,CLAVE_TC,$A176)+SUMIFS(SALIDAS_COMB,FECHA_COMB,"&gt;="&amp;CW$2,FECHA_COMB,"&lt;="&amp;CW$3,CLAVE_COMB,$A176)+SUMIFS(SALIDAS_DES,FECHA_DESGLOSEN,"&gt;="&amp;CW$2,FECHA_DESGLOSEN,"&lt;="&amp;CW$3,CLAVE_DESGLOSE,$A176)</f>
        <v>0</v>
      </c>
      <c r="CX176" s="13">
        <f>SUMIFS(SALIDAS_BIT,FECHA_BIT,"&gt;="&amp;CX$2,FECHA_BIT,"&lt;="&amp;CX$3,CLAVE_BIT,$A176)+SUMIFS(SALIDAS_BOV1,FECHA_BOV1,"&gt;="&amp;CX$2,FECHA_BOV1,"&lt;="&amp;CX$3,CLAVE_BOV1,$A176)+SUMIFS(SALIDAS_BOV2,FECHA_BOV2,"&gt;="&amp;CX$2,FECHA_BOV2,"&lt;="&amp;CX$3,CLAVE_BOV2,$A176)+SUMIFS(SALIDAS_BOV3,FECHA_BOV3,"&gt;="&amp;CX$2,FECHA_BOV3,"&lt;="&amp;CX$3,CLAVE_BOV3,$A176)+SUMIFS(SALIDAS_TC,FECHA_TC,"&gt;="&amp;CX$2,FECHA_TC,"&lt;="&amp;CX$3,CLAVE_TC,$A176)+SUMIFS(SALIDAS_COMB,FECHA_COMB,"&gt;="&amp;CX$2,FECHA_COMB,"&lt;="&amp;CX$3,CLAVE_COMB,$A176)+SUMIFS(SALIDAS_DES,FECHA_DESGLOSEN,"&gt;="&amp;CX$2,FECHA_DESGLOSEN,"&lt;="&amp;CX$3,CLAVE_DESGLOSE,$A176)</f>
        <v>0</v>
      </c>
      <c r="CY176" s="13">
        <f>SUMIFS(SALIDAS_BIT,FECHA_BIT,"&gt;="&amp;CY$2,FECHA_BIT,"&lt;="&amp;CY$3,CLAVE_BIT,$A176)+SUMIFS(SALIDAS_BOV1,FECHA_BOV1,"&gt;="&amp;CY$2,FECHA_BOV1,"&lt;="&amp;CY$3,CLAVE_BOV1,$A176)+SUMIFS(SALIDAS_BOV2,FECHA_BOV2,"&gt;="&amp;CY$2,FECHA_BOV2,"&lt;="&amp;CY$3,CLAVE_BOV2,$A176)+SUMIFS(SALIDAS_BOV3,FECHA_BOV3,"&gt;="&amp;CY$2,FECHA_BOV3,"&lt;="&amp;CY$3,CLAVE_BOV3,$A176)+SUMIFS(SALIDAS_TC,FECHA_TC,"&gt;="&amp;CY$2,FECHA_TC,"&lt;="&amp;CY$3,CLAVE_TC,$A176)+SUMIFS(SALIDAS_COMB,FECHA_COMB,"&gt;="&amp;CY$2,FECHA_COMB,"&lt;="&amp;CY$3,CLAVE_COMB,$A176)+SUMIFS(SALIDAS_DES,FECHA_DESGLOSEN,"&gt;="&amp;CY$2,FECHA_DESGLOSEN,"&lt;="&amp;CY$3,CLAVE_DESGLOSE,$A176)</f>
        <v>0</v>
      </c>
      <c r="CZ176" s="68">
        <f t="shared" si="272"/>
        <v>0</v>
      </c>
      <c r="DB176" s="17">
        <f>F176+N176+W176+AE176+AM176+AV176+BD176+BL176+BU176+CC176+CK176</f>
        <v>71480</v>
      </c>
      <c r="DC176" s="17">
        <f>K176+T176+AB176+AJ176+AS176+BA176+BI176+BR176+BZ176+CH176+CQ176</f>
        <v>89163.93</v>
      </c>
    </row>
    <row r="177" spans="1:107" hidden="1">
      <c r="A177" s="12" t="str">
        <f t="shared" si="245"/>
        <v>CAPCAPACITACIONCAPACITACION</v>
      </c>
      <c r="B177" s="12">
        <v>179</v>
      </c>
      <c r="C177" t="s">
        <v>31</v>
      </c>
      <c r="D177" s="12" t="s">
        <v>30</v>
      </c>
      <c r="E177" s="12" t="s">
        <v>30</v>
      </c>
      <c r="F177" s="259">
        <f t="shared" si="238"/>
        <v>1650</v>
      </c>
      <c r="G177" s="13">
        <f t="shared" ref="G177:K186" si="313">SUMIFS(SALIDAS_BIT,FECHA_BIT,"&gt;="&amp;G$2,FECHA_BIT,"&lt;="&amp;G$3,CLAVE_BIT,$A177)+SUMIFS(SALIDAS_BOV1,FECHA_BOV1,"&gt;="&amp;G$2,FECHA_BOV1,"&lt;="&amp;G$3,CLAVE_BOV1,$A177)+SUMIFS(SALIDAS_BOV2,FECHA_BOV2,"&gt;="&amp;G$2,FECHA_BOV2,"&lt;="&amp;G$3,CLAVE_BOV2,$A177)+SUMIFS(SALIDAS_BOV3,FECHA_BOV3,"&gt;="&amp;G$2,FECHA_BOV3,"&lt;="&amp;G$3,CLAVE_BOV3,$A177)+SUMIFS(SALIDAS_TC,FECHA_TC,"&gt;="&amp;G$2,FECHA_TC,"&lt;="&amp;G$3,CLAVE_TC,$A177)+SUMIFS(SALIDAS_COMB,FECHA_COMB,"&gt;="&amp;G$2,FECHA_COMB,"&lt;="&amp;G$3,CLAVE_COMB,$A177)+SUMIFS(SALIDAS_DES,FECHA_DESGLOSEN,"&gt;="&amp;G$2,FECHA_DESGLOSEN,"&lt;="&amp;G$3,CLAVE_DESGLOSE,$A177)</f>
        <v>0</v>
      </c>
      <c r="H177" s="13">
        <f t="shared" si="313"/>
        <v>0</v>
      </c>
      <c r="I177" s="13">
        <f t="shared" si="313"/>
        <v>0</v>
      </c>
      <c r="J177" s="13">
        <f t="shared" si="313"/>
        <v>0</v>
      </c>
      <c r="K177" s="13">
        <f t="shared" si="313"/>
        <v>0</v>
      </c>
      <c r="L177" s="68">
        <f t="shared" si="246"/>
        <v>1650</v>
      </c>
      <c r="M177" s="268">
        <f t="shared" si="247"/>
        <v>0</v>
      </c>
      <c r="N177" s="13">
        <f t="shared" si="239"/>
        <v>1650</v>
      </c>
      <c r="O177" s="13">
        <f t="shared" ref="O177:T186" si="314">SUMIFS(SALIDAS_BIT,FECHA_BIT,"&gt;="&amp;O$2,FECHA_BIT,"&lt;="&amp;O$3,CLAVE_BIT,$A177)+SUMIFS(SALIDAS_BOV1,FECHA_BOV1,"&gt;="&amp;O$2,FECHA_BOV1,"&lt;="&amp;O$3,CLAVE_BOV1,$A177)+SUMIFS(SALIDAS_BOV2,FECHA_BOV2,"&gt;="&amp;O$2,FECHA_BOV2,"&lt;="&amp;O$3,CLAVE_BOV2,$A177)+SUMIFS(SALIDAS_BOV3,FECHA_BOV3,"&gt;="&amp;O$2,FECHA_BOV3,"&lt;="&amp;O$3,CLAVE_BOV3,$A177)+SUMIFS(SALIDAS_TC,FECHA_TC,"&gt;="&amp;O$2,FECHA_TC,"&lt;="&amp;O$3,CLAVE_TC,$A177)+SUMIFS(SALIDAS_COMB,FECHA_COMB,"&gt;="&amp;O$2,FECHA_COMB,"&lt;="&amp;O$3,CLAVE_COMB,$A177)+SUMIFS(SALIDAS_DES,FECHA_DESGLOSEN,"&gt;="&amp;O$2,FECHA_DESGLOSEN,"&lt;="&amp;O$3,CLAVE_DESGLOSE,$A177)</f>
        <v>0</v>
      </c>
      <c r="P177" s="13">
        <f t="shared" si="314"/>
        <v>0</v>
      </c>
      <c r="Q177" s="13">
        <f t="shared" si="314"/>
        <v>0</v>
      </c>
      <c r="R177" s="13">
        <f t="shared" si="314"/>
        <v>0</v>
      </c>
      <c r="S177" s="13">
        <f t="shared" si="314"/>
        <v>0</v>
      </c>
      <c r="T177" s="13">
        <f t="shared" si="314"/>
        <v>0</v>
      </c>
      <c r="U177" s="68">
        <f t="shared" si="248"/>
        <v>1650</v>
      </c>
      <c r="V177" s="268">
        <f t="shared" si="249"/>
        <v>0</v>
      </c>
      <c r="W177" s="13">
        <f t="shared" si="240"/>
        <v>1650</v>
      </c>
      <c r="X177" s="13">
        <f t="shared" ref="X177:AB186" si="315">SUMIFS(SALIDAS_BIT,FECHA_BIT,"&gt;="&amp;X$2,FECHA_BIT,"&lt;="&amp;X$3,CLAVE_BIT,$A177)+SUMIFS(SALIDAS_BOV1,FECHA_BOV1,"&gt;="&amp;X$2,FECHA_BOV1,"&lt;="&amp;X$3,CLAVE_BOV1,$A177)+SUMIFS(SALIDAS_BOV2,FECHA_BOV2,"&gt;="&amp;X$2,FECHA_BOV2,"&lt;="&amp;X$3,CLAVE_BOV2,$A177)+SUMIFS(SALIDAS_BOV3,FECHA_BOV3,"&gt;="&amp;X$2,FECHA_BOV3,"&lt;="&amp;X$3,CLAVE_BOV3,$A177)+SUMIFS(SALIDAS_TC,FECHA_TC,"&gt;="&amp;X$2,FECHA_TC,"&lt;="&amp;X$3,CLAVE_TC,$A177)+SUMIFS(SALIDAS_COMB,FECHA_COMB,"&gt;="&amp;X$2,FECHA_COMB,"&lt;="&amp;X$3,CLAVE_COMB,$A177)+SUMIFS(SALIDAS_DES,FECHA_DESGLOSEN,"&gt;="&amp;X$2,FECHA_DESGLOSEN,"&lt;="&amp;X$3,CLAVE_DESGLOSE,$A177)</f>
        <v>0</v>
      </c>
      <c r="Y177" s="13">
        <f t="shared" si="315"/>
        <v>0</v>
      </c>
      <c r="Z177" s="13">
        <f t="shared" si="315"/>
        <v>0</v>
      </c>
      <c r="AA177" s="13">
        <f t="shared" si="315"/>
        <v>0</v>
      </c>
      <c r="AB177" s="13">
        <f t="shared" si="315"/>
        <v>0</v>
      </c>
      <c r="AC177" s="68">
        <f t="shared" si="250"/>
        <v>1650</v>
      </c>
      <c r="AD177" s="268">
        <f t="shared" si="251"/>
        <v>0</v>
      </c>
      <c r="AE177" s="13">
        <f t="shared" si="241"/>
        <v>450</v>
      </c>
      <c r="AF177" s="13">
        <f t="shared" ref="AF177:AJ186" si="316">SUMIFS(SALIDAS_BIT,FECHA_BIT,"&gt;="&amp;AF$2,FECHA_BIT,"&lt;="&amp;AF$3,CLAVE_BIT,$A177)+SUMIFS(SALIDAS_BOV1,FECHA_BOV1,"&gt;="&amp;AF$2,FECHA_BOV1,"&lt;="&amp;AF$3,CLAVE_BOV1,$A177)+SUMIFS(SALIDAS_BOV2,FECHA_BOV2,"&gt;="&amp;AF$2,FECHA_BOV2,"&lt;="&amp;AF$3,CLAVE_BOV2,$A177)+SUMIFS(SALIDAS_BOV3,FECHA_BOV3,"&gt;="&amp;AF$2,FECHA_BOV3,"&lt;="&amp;AF$3,CLAVE_BOV3,$A177)+SUMIFS(SALIDAS_TC,FECHA_TC,"&gt;="&amp;AF$2,FECHA_TC,"&lt;="&amp;AF$3,CLAVE_TC,$A177)+SUMIFS(SALIDAS_COMB,FECHA_COMB,"&gt;="&amp;AF$2,FECHA_COMB,"&lt;="&amp;AF$3,CLAVE_COMB,$A177)+SUMIFS(SALIDAS_DES,FECHA_DESGLOSEN,"&gt;="&amp;AF$2,FECHA_DESGLOSEN,"&lt;="&amp;AF$3,CLAVE_DESGLOSE,$A177)</f>
        <v>0</v>
      </c>
      <c r="AG177" s="13">
        <f t="shared" si="316"/>
        <v>0</v>
      </c>
      <c r="AH177" s="13">
        <f t="shared" si="316"/>
        <v>0</v>
      </c>
      <c r="AI177" s="13">
        <f t="shared" si="316"/>
        <v>0</v>
      </c>
      <c r="AJ177" s="13">
        <f t="shared" si="316"/>
        <v>0</v>
      </c>
      <c r="AK177" s="68">
        <f t="shared" si="252"/>
        <v>450</v>
      </c>
      <c r="AL177" s="268">
        <f t="shared" si="253"/>
        <v>0</v>
      </c>
      <c r="AM177" s="13">
        <f t="shared" si="242"/>
        <v>450</v>
      </c>
      <c r="AN177" s="13">
        <f t="shared" ref="AN177:AS186" si="317">SUMIFS(SALIDAS_BIT,FECHA_BIT,"&gt;="&amp;AN$2,FECHA_BIT,"&lt;="&amp;AN$3,CLAVE_BIT,$A177)+SUMIFS(SALIDAS_BOV1,FECHA_BOV1,"&gt;="&amp;AN$2,FECHA_BOV1,"&lt;="&amp;AN$3,CLAVE_BOV1,$A177)+SUMIFS(SALIDAS_BOV2,FECHA_BOV2,"&gt;="&amp;AN$2,FECHA_BOV2,"&lt;="&amp;AN$3,CLAVE_BOV2,$A177)+SUMIFS(SALIDAS_BOV3,FECHA_BOV3,"&gt;="&amp;AN$2,FECHA_BOV3,"&lt;="&amp;AN$3,CLAVE_BOV3,$A177)+SUMIFS(SALIDAS_TC,FECHA_TC,"&gt;="&amp;AN$2,FECHA_TC,"&lt;="&amp;AN$3,CLAVE_TC,$A177)+SUMIFS(SALIDAS_COMB,FECHA_COMB,"&gt;="&amp;AN$2,FECHA_COMB,"&lt;="&amp;AN$3,CLAVE_COMB,$A177)+SUMIFS(SALIDAS_DES,FECHA_DESGLOSEN,"&gt;="&amp;AN$2,FECHA_DESGLOSEN,"&lt;="&amp;AN$3,CLAVE_DESGLOSE,$A177)</f>
        <v>0</v>
      </c>
      <c r="AO177" s="13">
        <f t="shared" si="317"/>
        <v>0</v>
      </c>
      <c r="AP177" s="13">
        <f t="shared" si="317"/>
        <v>0</v>
      </c>
      <c r="AQ177" s="13">
        <f t="shared" si="317"/>
        <v>0</v>
      </c>
      <c r="AR177" s="13">
        <f t="shared" si="317"/>
        <v>0</v>
      </c>
      <c r="AS177" s="13">
        <f t="shared" si="317"/>
        <v>0</v>
      </c>
      <c r="AT177" s="68">
        <f>AM177-AS177</f>
        <v>450</v>
      </c>
      <c r="AU177" s="268">
        <f t="shared" si="254"/>
        <v>0</v>
      </c>
      <c r="AV177" s="13">
        <f t="shared" si="243"/>
        <v>450</v>
      </c>
      <c r="AW177" s="13">
        <f t="shared" si="222"/>
        <v>0</v>
      </c>
      <c r="AX177" s="13">
        <f t="shared" si="222"/>
        <v>0</v>
      </c>
      <c r="AY177" s="13">
        <f t="shared" si="222"/>
        <v>0</v>
      </c>
      <c r="AZ177" s="13">
        <f t="shared" si="222"/>
        <v>0</v>
      </c>
      <c r="BA177" s="13">
        <f t="shared" si="223"/>
        <v>0</v>
      </c>
      <c r="BB177" s="68">
        <f t="shared" si="255"/>
        <v>450</v>
      </c>
      <c r="BC177" s="268">
        <f t="shared" si="256"/>
        <v>0</v>
      </c>
      <c r="BD177" s="13">
        <f t="shared" si="257"/>
        <v>2800</v>
      </c>
      <c r="BE177" s="13">
        <f>SUMIFS(SALIDAS_BIT,FECHA_BIT,"&gt;="&amp;BE$2,FECHA_BIT,"&lt;="&amp;BE$3,CLAVE_BIT,$A177)+SUMIFS(SALIDAS_BOV1,FECHA_BOV1,"&gt;="&amp;BE$2,FECHA_BOV1,"&lt;="&amp;BE$3,CLAVE_BOV1,$A177)+SUMIFS(SALIDAS_BOV2,FECHA_BOV2,"&gt;="&amp;BE$2,FECHA_BOV2,"&lt;="&amp;BE$3,CLAVE_BOV2,$A177)+SUMIFS(SALIDAS_BOV3,FECHA_BOV3,"&gt;="&amp;BE$2,FECHA_BOV3,"&lt;="&amp;BE$3,CLAVE_BOV3,$A177)+SUMIFS(SALIDAS_TC,FECHA_TC,"&gt;="&amp;BE$2,FECHA_TC,"&lt;="&amp;BE$3,CLAVE_TC,$A177)+SUMIFS(SALIDAS_COMB,FECHA_COMB,"&gt;="&amp;BE$2,FECHA_COMB,"&lt;="&amp;BE$3,CLAVE_COMB,$A177)+SUMIFS(SALIDAS_DES,FECHA_DESGLOSEN,"&gt;="&amp;BE$2,FECHA_DESGLOSEN,"&lt;="&amp;BE$3,CLAVE_DESGLOSE,$A177)</f>
        <v>0</v>
      </c>
      <c r="BF177" s="13">
        <f>SUMIFS(SALIDAS_BIT,FECHA_BIT,"&gt;="&amp;BF$2,FECHA_BIT,"&lt;="&amp;BF$3,CLAVE_BIT,$A177)+SUMIFS(SALIDAS_BOV1,FECHA_BOV1,"&gt;="&amp;BF$2,FECHA_BOV1,"&lt;="&amp;BF$3,CLAVE_BOV1,$A177)+SUMIFS(SALIDAS_BOV2,FECHA_BOV2,"&gt;="&amp;BF$2,FECHA_BOV2,"&lt;="&amp;BF$3,CLAVE_BOV2,$A177)+SUMIFS(SALIDAS_BOV3,FECHA_BOV3,"&gt;="&amp;BF$2,FECHA_BOV3,"&lt;="&amp;BF$3,CLAVE_BOV3,$A177)+SUMIFS(SALIDAS_TC,FECHA_TC,"&gt;="&amp;BF$2,FECHA_TC,"&lt;="&amp;BF$3,CLAVE_TC,$A177)+SUMIFS(SALIDAS_COMB,FECHA_COMB,"&gt;="&amp;BF$2,FECHA_COMB,"&lt;="&amp;BF$3,CLAVE_COMB,$A177)+SUMIFS(SALIDAS_DES,FECHA_DESGLOSEN,"&gt;="&amp;BF$2,FECHA_DESGLOSEN,"&lt;="&amp;BF$3,CLAVE_DESGLOSE,$A177)</f>
        <v>0</v>
      </c>
      <c r="BG177" s="13">
        <f>SUMIFS(SALIDAS_BIT,FECHA_BIT,"&gt;="&amp;BG$2,FECHA_BIT,"&lt;="&amp;BG$3,CLAVE_BIT,$A177)+SUMIFS(SALIDAS_BOV1,FECHA_BOV1,"&gt;="&amp;BG$2,FECHA_BOV1,"&lt;="&amp;BG$3,CLAVE_BOV1,$A177)+SUMIFS(SALIDAS_BOV2,FECHA_BOV2,"&gt;="&amp;BG$2,FECHA_BOV2,"&lt;="&amp;BG$3,CLAVE_BOV2,$A177)+SUMIFS(SALIDAS_BOV3,FECHA_BOV3,"&gt;="&amp;BG$2,FECHA_BOV3,"&lt;="&amp;BG$3,CLAVE_BOV3,$A177)+SUMIFS(SALIDAS_TC,FECHA_TC,"&gt;="&amp;BG$2,FECHA_TC,"&lt;="&amp;BG$3,CLAVE_TC,$A177)+SUMIFS(SALIDAS_COMB,FECHA_COMB,"&gt;="&amp;BG$2,FECHA_COMB,"&lt;="&amp;BG$3,CLAVE_COMB,$A177)+SUMIFS(SALIDAS_DES,FECHA_DESGLOSEN,"&gt;="&amp;BG$2,FECHA_DESGLOSEN,"&lt;="&amp;BG$3,CLAVE_DESGLOSE,$A177)</f>
        <v>0</v>
      </c>
      <c r="BH177" s="13">
        <f>SUMIFS(SALIDAS_BIT,FECHA_BIT,"&gt;="&amp;BH$2,FECHA_BIT,"&lt;="&amp;BH$3,CLAVE_BIT,$A177)+SUMIFS(SALIDAS_BOV1,FECHA_BOV1,"&gt;="&amp;BH$2,FECHA_BOV1,"&lt;="&amp;BH$3,CLAVE_BOV1,$A177)+SUMIFS(SALIDAS_BOV2,FECHA_BOV2,"&gt;="&amp;BH$2,FECHA_BOV2,"&lt;="&amp;BH$3,CLAVE_BOV2,$A177)+SUMIFS(SALIDAS_BOV3,FECHA_BOV3,"&gt;="&amp;BH$2,FECHA_BOV3,"&lt;="&amp;BH$3,CLAVE_BOV3,$A177)+SUMIFS(SALIDAS_TC,FECHA_TC,"&gt;="&amp;BH$2,FECHA_TC,"&lt;="&amp;BH$3,CLAVE_TC,$A177)+SUMIFS(SALIDAS_COMB,FECHA_COMB,"&gt;="&amp;BH$2,FECHA_COMB,"&lt;="&amp;BH$3,CLAVE_COMB,$A177)+SUMIFS(SALIDAS_DES,FECHA_DESGLOSEN,"&gt;="&amp;BH$2,FECHA_DESGLOSEN,"&lt;="&amp;BH$3,CLAVE_DESGLOSE,$A177)</f>
        <v>1063</v>
      </c>
      <c r="BI177" s="13">
        <f t="shared" si="311"/>
        <v>1063</v>
      </c>
      <c r="BJ177" s="68">
        <f t="shared" si="258"/>
        <v>1737</v>
      </c>
      <c r="BK177" s="268">
        <f t="shared" si="259"/>
        <v>0.37964285714285712</v>
      </c>
      <c r="BL177" s="13">
        <f t="shared" si="260"/>
        <v>2800</v>
      </c>
      <c r="BM177" s="13">
        <f>SUMIFS(SALIDAS_BIT,FECHA_BIT,"&gt;="&amp;BM$2,FECHA_BIT,"&lt;="&amp;BM$3,CLAVE_BIT,$A177)+SUMIFS(SALIDAS_BOV1,FECHA_BOV1,"&gt;="&amp;BM$2,FECHA_BOV1,"&lt;="&amp;BM$3,CLAVE_BOV1,$A177)+SUMIFS(SALIDAS_BOV2,FECHA_BOV2,"&gt;="&amp;BM$2,FECHA_BOV2,"&lt;="&amp;BM$3,CLAVE_BOV2,$A177)+SUMIFS(SALIDAS_BOV3,FECHA_BOV3,"&gt;="&amp;BM$2,FECHA_BOV3,"&lt;="&amp;BM$3,CLAVE_BOV3,$A177)+SUMIFS(SALIDAS_TC,FECHA_TC,"&gt;="&amp;BM$2,FECHA_TC,"&lt;="&amp;BM$3,CLAVE_TC,$A177)+SUMIFS(SALIDAS_COMB,FECHA_COMB,"&gt;="&amp;BM$2,FECHA_COMB,"&lt;="&amp;BM$3,CLAVE_COMB,$A177)+SUMIFS(SALIDAS_DES,FECHA_DESGLOSEN,"&gt;="&amp;BM$2,FECHA_DESGLOSEN,"&lt;="&amp;BM$3,CLAVE_DESGLOSE,$A177)</f>
        <v>0</v>
      </c>
      <c r="BN177" s="13">
        <f>SUMIFS(SALIDAS_BIT,FECHA_BIT,"&gt;="&amp;BN$2,FECHA_BIT,"&lt;="&amp;BN$3,CLAVE_BIT,$A177)+SUMIFS(SALIDAS_BOV1,FECHA_BOV1,"&gt;="&amp;BN$2,FECHA_BOV1,"&lt;="&amp;BN$3,CLAVE_BOV1,$A177)+SUMIFS(SALIDAS_BOV2,FECHA_BOV2,"&gt;="&amp;BN$2,FECHA_BOV2,"&lt;="&amp;BN$3,CLAVE_BOV2,$A177)+SUMIFS(SALIDAS_BOV3,FECHA_BOV3,"&gt;="&amp;BN$2,FECHA_BOV3,"&lt;="&amp;BN$3,CLAVE_BOV3,$A177)+SUMIFS(SALIDAS_TC,FECHA_TC,"&gt;="&amp;BN$2,FECHA_TC,"&lt;="&amp;BN$3,CLAVE_TC,$A177)+SUMIFS(SALIDAS_COMB,FECHA_COMB,"&gt;="&amp;BN$2,FECHA_COMB,"&lt;="&amp;BN$3,CLAVE_COMB,$A177)+SUMIFS(SALIDAS_DES,FECHA_DESGLOSEN,"&gt;="&amp;BN$2,FECHA_DESGLOSEN,"&lt;="&amp;BN$3,CLAVE_DESGLOSE,$A177)</f>
        <v>0</v>
      </c>
      <c r="BO177" s="13">
        <f>SUMIFS(SALIDAS_BIT,FECHA_BIT,"&gt;="&amp;BO$2,FECHA_BIT,"&lt;="&amp;BO$3,CLAVE_BIT,$A177)+SUMIFS(SALIDAS_BOV1,FECHA_BOV1,"&gt;="&amp;BO$2,FECHA_BOV1,"&lt;="&amp;BO$3,CLAVE_BOV1,$A177)+SUMIFS(SALIDAS_BOV2,FECHA_BOV2,"&gt;="&amp;BO$2,FECHA_BOV2,"&lt;="&amp;BO$3,CLAVE_BOV2,$A177)+SUMIFS(SALIDAS_BOV3,FECHA_BOV3,"&gt;="&amp;BO$2,FECHA_BOV3,"&lt;="&amp;BO$3,CLAVE_BOV3,$A177)+SUMIFS(SALIDAS_TC,FECHA_TC,"&gt;="&amp;BO$2,FECHA_TC,"&lt;="&amp;BO$3,CLAVE_TC,$A177)+SUMIFS(SALIDAS_COMB,FECHA_COMB,"&gt;="&amp;BO$2,FECHA_COMB,"&lt;="&amp;BO$3,CLAVE_COMB,$A177)+SUMIFS(SALIDAS_DES,FECHA_DESGLOSEN,"&gt;="&amp;BO$2,FECHA_DESGLOSEN,"&lt;="&amp;BO$3,CLAVE_DESGLOSE,$A177)</f>
        <v>0</v>
      </c>
      <c r="BP177" s="13">
        <f>SUMIFS(SALIDAS_BIT,FECHA_BIT,"&gt;="&amp;BP$2,FECHA_BIT,"&lt;="&amp;BP$3,CLAVE_BIT,$A177)+SUMIFS(SALIDAS_BOV1,FECHA_BOV1,"&gt;="&amp;BP$2,FECHA_BOV1,"&lt;="&amp;BP$3,CLAVE_BOV1,$A177)+SUMIFS(SALIDAS_BOV2,FECHA_BOV2,"&gt;="&amp;BP$2,FECHA_BOV2,"&lt;="&amp;BP$3,CLAVE_BOV2,$A177)+SUMIFS(SALIDAS_BOV3,FECHA_BOV3,"&gt;="&amp;BP$2,FECHA_BOV3,"&lt;="&amp;BP$3,CLAVE_BOV3,$A177)+SUMIFS(SALIDAS_TC,FECHA_TC,"&gt;="&amp;BP$2,FECHA_TC,"&lt;="&amp;BP$3,CLAVE_TC,$A177)+SUMIFS(SALIDAS_COMB,FECHA_COMB,"&gt;="&amp;BP$2,FECHA_COMB,"&lt;="&amp;BP$3,CLAVE_COMB,$A177)+SUMIFS(SALIDAS_DES,FECHA_DESGLOSEN,"&gt;="&amp;BP$2,FECHA_DESGLOSEN,"&lt;="&amp;BP$3,CLAVE_DESGLOSE,$A177)</f>
        <v>0</v>
      </c>
      <c r="BQ177" s="13">
        <f>SUMIFS(SALIDAS_BIT,FECHA_BIT,"&gt;="&amp;BQ$2,FECHA_BIT,"&lt;="&amp;BQ$3,CLAVE_BIT,$A177)+SUMIFS(SALIDAS_BOV1,FECHA_BOV1,"&gt;="&amp;BQ$2,FECHA_BOV1,"&lt;="&amp;BQ$3,CLAVE_BOV1,$A177)+SUMIFS(SALIDAS_BOV2,FECHA_BOV2,"&gt;="&amp;BQ$2,FECHA_BOV2,"&lt;="&amp;BQ$3,CLAVE_BOV2,$A177)+SUMIFS(SALIDAS_BOV3,FECHA_BOV3,"&gt;="&amp;BQ$2,FECHA_BOV3,"&lt;="&amp;BQ$3,CLAVE_BOV3,$A177)+SUMIFS(SALIDAS_TC,FECHA_TC,"&gt;="&amp;BQ$2,FECHA_TC,"&lt;="&amp;BQ$3,CLAVE_TC,$A177)+SUMIFS(SALIDAS_COMB,FECHA_COMB,"&gt;="&amp;BQ$2,FECHA_COMB,"&lt;="&amp;BQ$3,CLAVE_COMB,$A177)+SUMIFS(SALIDAS_DES,FECHA_DESGLOSEN,"&gt;="&amp;BQ$2,FECHA_DESGLOSEN,"&lt;="&amp;BQ$3,CLAVE_DESGLOSE,$A177)</f>
        <v>0</v>
      </c>
      <c r="BR177" s="13">
        <f t="shared" ref="BR177:BR186" si="318">SUMIFS(SALIDAS_BIT,FECHA_BIT,"&gt;="&amp;BR$2,FECHA_BIT,"&lt;="&amp;BR$3,CLAVE_BIT,$A177)+SUMIFS(SALIDAS_BOV1,FECHA_BOV1,"&gt;="&amp;BR$2,FECHA_BOV1,"&lt;="&amp;BR$3,CLAVE_BOV1,$A177)+SUMIFS(SALIDAS_BOV2,FECHA_BOV2,"&gt;="&amp;BR$2,FECHA_BOV2,"&lt;="&amp;BR$3,CLAVE_BOV2,$A177)+SUMIFS(SALIDAS_BOV3,FECHA_BOV3,"&gt;="&amp;BR$2,FECHA_BOV3,"&lt;="&amp;BR$3,CLAVE_BOV3,$A177)+SUMIFS(SALIDAS_TC,FECHA_TC,"&gt;="&amp;BR$2,FECHA_TC,"&lt;="&amp;BR$3,CLAVE_TC,$A177)+SUMIFS(SALIDAS_COMB,FECHA_COMB,"&gt;="&amp;BR$2,FECHA_COMB,"&lt;="&amp;BR$3,CLAVE_COMB,$A177)+SUMIFS(SALIDAS_DES,FECHA_DESGLOSEN,"&gt;="&amp;BR$2,FECHA_DESGLOSEN,"&lt;="&amp;BR$3,CLAVE_DESGLOSE,$A177)</f>
        <v>0</v>
      </c>
      <c r="BS177" s="68">
        <f t="shared" si="261"/>
        <v>2800</v>
      </c>
      <c r="BT177" s="268">
        <f t="shared" si="262"/>
        <v>0</v>
      </c>
      <c r="BU177" s="13">
        <f t="shared" si="263"/>
        <v>2800</v>
      </c>
      <c r="BV177" s="13">
        <f t="shared" si="291"/>
        <v>0</v>
      </c>
      <c r="BW177" s="13">
        <f t="shared" si="291"/>
        <v>0</v>
      </c>
      <c r="BX177" s="13">
        <f t="shared" si="291"/>
        <v>0</v>
      </c>
      <c r="BY177" s="13">
        <f t="shared" si="291"/>
        <v>0</v>
      </c>
      <c r="BZ177" s="13">
        <f t="shared" ref="BZ177:BZ186" si="319">SUMIFS(SALIDAS_BIT,FECHA_BIT,"&gt;="&amp;BZ$2,FECHA_BIT,"&lt;="&amp;BZ$3,CLAVE_BIT,$A177)+SUMIFS(SALIDAS_BOV1,FECHA_BOV1,"&gt;="&amp;BZ$2,FECHA_BOV1,"&lt;="&amp;BZ$3,CLAVE_BOV1,$A177)+SUMIFS(SALIDAS_BOV2,FECHA_BOV2,"&gt;="&amp;BZ$2,FECHA_BOV2,"&lt;="&amp;BZ$3,CLAVE_BOV2,$A177)+SUMIFS(SALIDAS_BOV3,FECHA_BOV3,"&gt;="&amp;BZ$2,FECHA_BOV3,"&lt;="&amp;BZ$3,CLAVE_BOV3,$A177)+SUMIFS(SALIDAS_TC,FECHA_TC,"&gt;="&amp;BZ$2,FECHA_TC,"&lt;="&amp;BZ$3,CLAVE_TC,$A177)+SUMIFS(SALIDAS_COMB,FECHA_COMB,"&gt;="&amp;BZ$2,FECHA_COMB,"&lt;="&amp;BZ$3,CLAVE_COMB,$A177)+SUMIFS(SALIDAS_DES,FECHA_DESGLOSEN,"&gt;="&amp;BZ$2,FECHA_DESGLOSEN,"&lt;="&amp;BZ$3,CLAVE_DESGLOSE,$A177)</f>
        <v>0</v>
      </c>
      <c r="CA177" s="68">
        <f t="shared" si="264"/>
        <v>2800</v>
      </c>
      <c r="CB177" s="268">
        <f t="shared" si="265"/>
        <v>0</v>
      </c>
      <c r="CC177" s="13">
        <f t="shared" si="266"/>
        <v>2800</v>
      </c>
      <c r="CD177" s="13">
        <f t="shared" si="292"/>
        <v>0</v>
      </c>
      <c r="CE177" s="13">
        <f t="shared" si="292"/>
        <v>3712</v>
      </c>
      <c r="CF177" s="13">
        <f t="shared" si="292"/>
        <v>0</v>
      </c>
      <c r="CG177" s="13">
        <f t="shared" si="292"/>
        <v>3335.58</v>
      </c>
      <c r="CH177" s="13">
        <f t="shared" ref="CH177:CH186" si="320">SUMIFS(SALIDAS_BIT,FECHA_BIT,"&gt;="&amp;CH$2,FECHA_BIT,"&lt;="&amp;CH$3,CLAVE_BIT,$A177)+SUMIFS(SALIDAS_BOV1,FECHA_BOV1,"&gt;="&amp;CH$2,FECHA_BOV1,"&lt;="&amp;CH$3,CLAVE_BOV1,$A177)+SUMIFS(SALIDAS_BOV2,FECHA_BOV2,"&gt;="&amp;CH$2,FECHA_BOV2,"&lt;="&amp;CH$3,CLAVE_BOV2,$A177)+SUMIFS(SALIDAS_BOV3,FECHA_BOV3,"&gt;="&amp;CH$2,FECHA_BOV3,"&lt;="&amp;CH$3,CLAVE_BOV3,$A177)+SUMIFS(SALIDAS_TC,FECHA_TC,"&gt;="&amp;CH$2,FECHA_TC,"&lt;="&amp;CH$3,CLAVE_TC,$A177)+SUMIFS(SALIDAS_COMB,FECHA_COMB,"&gt;="&amp;CH$2,FECHA_COMB,"&lt;="&amp;CH$3,CLAVE_COMB,$A177)+SUMIFS(SALIDAS_DES,FECHA_DESGLOSEN,"&gt;="&amp;CH$2,FECHA_DESGLOSEN,"&lt;="&amp;CH$3,CLAVE_DESGLOSE,$A177)</f>
        <v>7047.58</v>
      </c>
      <c r="CI177" s="68">
        <f t="shared" si="267"/>
        <v>-4247.58</v>
      </c>
      <c r="CJ177" s="268">
        <f t="shared" si="268"/>
        <v>2.5169928571428573</v>
      </c>
      <c r="CK177" s="13">
        <f t="shared" si="269"/>
        <v>2800</v>
      </c>
      <c r="CL177" s="13">
        <f t="shared" si="312"/>
        <v>0</v>
      </c>
      <c r="CM177" s="13">
        <f t="shared" si="312"/>
        <v>0</v>
      </c>
      <c r="CN177" s="13">
        <f t="shared" si="312"/>
        <v>0</v>
      </c>
      <c r="CO177" s="13">
        <f t="shared" si="312"/>
        <v>0</v>
      </c>
      <c r="CP177" s="13">
        <f t="shared" si="312"/>
        <v>0</v>
      </c>
      <c r="CQ177" s="13">
        <f t="shared" ref="CQ177:CQ186" si="321">SUMIFS(SALIDAS_BIT,FECHA_BIT,"&gt;="&amp;CQ$2,FECHA_BIT,"&lt;="&amp;CQ$3,CLAVE_BIT,$A177)+SUMIFS(SALIDAS_BOV1,FECHA_BOV1,"&gt;="&amp;CQ$2,FECHA_BOV1,"&lt;="&amp;CQ$3,CLAVE_BOV1,$A177)+SUMIFS(SALIDAS_BOV2,FECHA_BOV2,"&gt;="&amp;CQ$2,FECHA_BOV2,"&lt;="&amp;CQ$3,CLAVE_BOV2,$A177)+SUMIFS(SALIDAS_BOV3,FECHA_BOV3,"&gt;="&amp;CQ$2,FECHA_BOV3,"&lt;="&amp;CQ$3,CLAVE_BOV3,$A177)+SUMIFS(SALIDAS_TC,FECHA_TC,"&gt;="&amp;CQ$2,FECHA_TC,"&lt;="&amp;CQ$3,CLAVE_TC,$A177)+SUMIFS(SALIDAS_COMB,FECHA_COMB,"&gt;="&amp;CQ$2,FECHA_COMB,"&lt;="&amp;CQ$3,CLAVE_COMB,$A177)+SUMIFS(SALIDAS_DES,FECHA_DESGLOSEN,"&gt;="&amp;CQ$2,FECHA_DESGLOSEN,"&lt;="&amp;CQ$3,CLAVE_DESGLOSE,$A177)</f>
        <v>0</v>
      </c>
      <c r="CR177" s="68">
        <f t="shared" si="270"/>
        <v>2800</v>
      </c>
      <c r="CS177" s="268">
        <f t="shared" si="271"/>
        <v>0</v>
      </c>
      <c r="CT177" s="68">
        <f t="shared" si="244"/>
        <v>0</v>
      </c>
      <c r="CU177" s="13">
        <f>SUMIFS(SALIDAS_BIT,FECHA_BIT,"&gt;="&amp;CU$2,FECHA_BIT,"&lt;="&amp;CU$3,CLAVE_BIT,$A177)+SUMIFS(SALIDAS_BOV1,FECHA_BOV1,"&gt;="&amp;CU$2,FECHA_BOV1,"&lt;="&amp;CU$3,CLAVE_BOV1,$A177)+SUMIFS(SALIDAS_BOV2,FECHA_BOV2,"&gt;="&amp;CU$2,FECHA_BOV2,"&lt;="&amp;CU$3,CLAVE_BOV2,$A177)+SUMIFS(SALIDAS_BOV3,FECHA_BOV3,"&gt;="&amp;CU$2,FECHA_BOV3,"&lt;="&amp;CU$3,CLAVE_BOV3,$A177)+SUMIFS(SALIDAS_TC,FECHA_TC,"&gt;="&amp;CU$2,FECHA_TC,"&lt;="&amp;CU$3,CLAVE_TC,$A177)+SUMIFS(SALIDAS_COMB,FECHA_COMB,"&gt;="&amp;CU$2,FECHA_COMB,"&lt;="&amp;CU$3,CLAVE_COMB,$A177)+SUMIFS(SALIDAS_DES,FECHA_DESGLOSEN,"&gt;="&amp;CU$2,FECHA_DESGLOSEN,"&lt;="&amp;CU$3,CLAVE_DESGLOSE,$A177)</f>
        <v>0</v>
      </c>
      <c r="CV177" s="13">
        <f>SUMIFS(SALIDAS_BIT,FECHA_BIT,"&gt;="&amp;CV$2,FECHA_BIT,"&lt;="&amp;CV$3,CLAVE_BIT,$A177)+SUMIFS(SALIDAS_BOV1,FECHA_BOV1,"&gt;="&amp;CV$2,FECHA_BOV1,"&lt;="&amp;CV$3,CLAVE_BOV1,$A177)+SUMIFS(SALIDAS_BOV2,FECHA_BOV2,"&gt;="&amp;CV$2,FECHA_BOV2,"&lt;="&amp;CV$3,CLAVE_BOV2,$A177)+SUMIFS(SALIDAS_BOV3,FECHA_BOV3,"&gt;="&amp;CV$2,FECHA_BOV3,"&lt;="&amp;CV$3,CLAVE_BOV3,$A177)+SUMIFS(SALIDAS_TC,FECHA_TC,"&gt;="&amp;CV$2,FECHA_TC,"&lt;="&amp;CV$3,CLAVE_TC,$A177)+SUMIFS(SALIDAS_COMB,FECHA_COMB,"&gt;="&amp;CV$2,FECHA_COMB,"&lt;="&amp;CV$3,CLAVE_COMB,$A177)+SUMIFS(SALIDAS_DES,FECHA_DESGLOSEN,"&gt;="&amp;CV$2,FECHA_DESGLOSEN,"&lt;="&amp;CV$3,CLAVE_DESGLOSE,$A177)</f>
        <v>0</v>
      </c>
      <c r="CW177" s="13">
        <f>SUMIFS(SALIDAS_BIT,FECHA_BIT,"&gt;="&amp;CW$2,FECHA_BIT,"&lt;="&amp;CW$3,CLAVE_BIT,$A177)+SUMIFS(SALIDAS_BOV1,FECHA_BOV1,"&gt;="&amp;CW$2,FECHA_BOV1,"&lt;="&amp;CW$3,CLAVE_BOV1,$A177)+SUMIFS(SALIDAS_BOV2,FECHA_BOV2,"&gt;="&amp;CW$2,FECHA_BOV2,"&lt;="&amp;CW$3,CLAVE_BOV2,$A177)+SUMIFS(SALIDAS_BOV3,FECHA_BOV3,"&gt;="&amp;CW$2,FECHA_BOV3,"&lt;="&amp;CW$3,CLAVE_BOV3,$A177)+SUMIFS(SALIDAS_TC,FECHA_TC,"&gt;="&amp;CW$2,FECHA_TC,"&lt;="&amp;CW$3,CLAVE_TC,$A177)+SUMIFS(SALIDAS_COMB,FECHA_COMB,"&gt;="&amp;CW$2,FECHA_COMB,"&lt;="&amp;CW$3,CLAVE_COMB,$A177)+SUMIFS(SALIDAS_DES,FECHA_DESGLOSEN,"&gt;="&amp;CW$2,FECHA_DESGLOSEN,"&lt;="&amp;CW$3,CLAVE_DESGLOSE,$A177)</f>
        <v>0</v>
      </c>
      <c r="CX177" s="13">
        <f>SUMIFS(SALIDAS_BIT,FECHA_BIT,"&gt;="&amp;CX$2,FECHA_BIT,"&lt;="&amp;CX$3,CLAVE_BIT,$A177)+SUMIFS(SALIDAS_BOV1,FECHA_BOV1,"&gt;="&amp;CX$2,FECHA_BOV1,"&lt;="&amp;CX$3,CLAVE_BOV1,$A177)+SUMIFS(SALIDAS_BOV2,FECHA_BOV2,"&gt;="&amp;CX$2,FECHA_BOV2,"&lt;="&amp;CX$3,CLAVE_BOV2,$A177)+SUMIFS(SALIDAS_BOV3,FECHA_BOV3,"&gt;="&amp;CX$2,FECHA_BOV3,"&lt;="&amp;CX$3,CLAVE_BOV3,$A177)+SUMIFS(SALIDAS_TC,FECHA_TC,"&gt;="&amp;CX$2,FECHA_TC,"&lt;="&amp;CX$3,CLAVE_TC,$A177)+SUMIFS(SALIDAS_COMB,FECHA_COMB,"&gt;="&amp;CX$2,FECHA_COMB,"&lt;="&amp;CX$3,CLAVE_COMB,$A177)+SUMIFS(SALIDAS_DES,FECHA_DESGLOSEN,"&gt;="&amp;CX$2,FECHA_DESGLOSEN,"&lt;="&amp;CX$3,CLAVE_DESGLOSE,$A177)</f>
        <v>0</v>
      </c>
      <c r="CY177" s="13">
        <f>SUMIFS(SALIDAS_BIT,FECHA_BIT,"&gt;="&amp;CY$2,FECHA_BIT,"&lt;="&amp;CY$3,CLAVE_BIT,$A177)+SUMIFS(SALIDAS_BOV1,FECHA_BOV1,"&gt;="&amp;CY$2,FECHA_BOV1,"&lt;="&amp;CY$3,CLAVE_BOV1,$A177)+SUMIFS(SALIDAS_BOV2,FECHA_BOV2,"&gt;="&amp;CY$2,FECHA_BOV2,"&lt;="&amp;CY$3,CLAVE_BOV2,$A177)+SUMIFS(SALIDAS_BOV3,FECHA_BOV3,"&gt;="&amp;CY$2,FECHA_BOV3,"&lt;="&amp;CY$3,CLAVE_BOV3,$A177)+SUMIFS(SALIDAS_TC,FECHA_TC,"&gt;="&amp;CY$2,FECHA_TC,"&lt;="&amp;CY$3,CLAVE_TC,$A177)+SUMIFS(SALIDAS_COMB,FECHA_COMB,"&gt;="&amp;CY$2,FECHA_COMB,"&lt;="&amp;CY$3,CLAVE_COMB,$A177)+SUMIFS(SALIDAS_DES,FECHA_DESGLOSEN,"&gt;="&amp;CY$2,FECHA_DESGLOSEN,"&lt;="&amp;CY$3,CLAVE_DESGLOSE,$A177)</f>
        <v>0</v>
      </c>
      <c r="CZ177" s="68">
        <f t="shared" si="272"/>
        <v>0</v>
      </c>
      <c r="DB177" s="17">
        <f>F177+N177+W177+AE177+AM177+AV177+BD177+BL177+BU177+CC177+CK177</f>
        <v>20300</v>
      </c>
      <c r="DC177" s="17">
        <f>K177+T177+AB177+AJ177+AS177+BA177+BI177+BR177+BZ177+CH177+CQ177</f>
        <v>8110.58</v>
      </c>
    </row>
    <row r="178" spans="1:107" hidden="1">
      <c r="A178" s="12" t="str">
        <f t="shared" si="245"/>
        <v>MELIMAGEN VISUALMELISSA</v>
      </c>
      <c r="B178" s="12">
        <v>180</v>
      </c>
      <c r="C178" t="s">
        <v>43</v>
      </c>
      <c r="D178" s="12" t="s">
        <v>127</v>
      </c>
      <c r="E178" s="12" t="s">
        <v>44</v>
      </c>
      <c r="F178" s="259">
        <f t="shared" si="238"/>
        <v>0</v>
      </c>
      <c r="G178" s="13">
        <f t="shared" si="313"/>
        <v>0</v>
      </c>
      <c r="H178" s="13">
        <f t="shared" si="313"/>
        <v>0</v>
      </c>
      <c r="I178" s="13">
        <f t="shared" si="313"/>
        <v>0</v>
      </c>
      <c r="J178" s="13">
        <f t="shared" si="313"/>
        <v>0</v>
      </c>
      <c r="K178" s="13">
        <f t="shared" si="313"/>
        <v>0</v>
      </c>
      <c r="L178" s="68">
        <f t="shared" si="246"/>
        <v>0</v>
      </c>
      <c r="M178" s="268">
        <f t="shared" si="247"/>
        <v>0</v>
      </c>
      <c r="N178" s="13">
        <f t="shared" si="239"/>
        <v>0</v>
      </c>
      <c r="O178" s="13">
        <f t="shared" si="314"/>
        <v>0</v>
      </c>
      <c r="P178" s="13">
        <f t="shared" si="314"/>
        <v>0</v>
      </c>
      <c r="Q178" s="13">
        <f t="shared" si="314"/>
        <v>0</v>
      </c>
      <c r="R178" s="13">
        <f t="shared" si="314"/>
        <v>0</v>
      </c>
      <c r="S178" s="13">
        <f t="shared" si="314"/>
        <v>0</v>
      </c>
      <c r="T178" s="13">
        <f t="shared" si="314"/>
        <v>0</v>
      </c>
      <c r="U178" s="68">
        <f t="shared" si="248"/>
        <v>0</v>
      </c>
      <c r="V178" s="268">
        <f t="shared" si="249"/>
        <v>0</v>
      </c>
      <c r="W178" s="13">
        <f t="shared" si="240"/>
        <v>0</v>
      </c>
      <c r="X178" s="13">
        <f t="shared" si="315"/>
        <v>0</v>
      </c>
      <c r="Y178" s="13">
        <f t="shared" si="315"/>
        <v>0</v>
      </c>
      <c r="Z178" s="13">
        <f t="shared" si="315"/>
        <v>0</v>
      </c>
      <c r="AA178" s="13">
        <f t="shared" si="315"/>
        <v>0</v>
      </c>
      <c r="AB178" s="13">
        <f t="shared" si="315"/>
        <v>0</v>
      </c>
      <c r="AC178" s="68">
        <f t="shared" si="250"/>
        <v>0</v>
      </c>
      <c r="AD178" s="268">
        <f t="shared" si="251"/>
        <v>0</v>
      </c>
      <c r="AE178" s="13">
        <f t="shared" si="241"/>
        <v>0</v>
      </c>
      <c r="AF178" s="13">
        <f t="shared" si="316"/>
        <v>0</v>
      </c>
      <c r="AG178" s="13">
        <f t="shared" si="316"/>
        <v>0</v>
      </c>
      <c r="AH178" s="13">
        <f t="shared" si="316"/>
        <v>0</v>
      </c>
      <c r="AI178" s="13">
        <f t="shared" si="316"/>
        <v>0</v>
      </c>
      <c r="AJ178" s="13">
        <f t="shared" si="316"/>
        <v>0</v>
      </c>
      <c r="AK178" s="68">
        <f t="shared" si="252"/>
        <v>0</v>
      </c>
      <c r="AL178" s="268">
        <f t="shared" si="253"/>
        <v>0</v>
      </c>
      <c r="AM178" s="13">
        <f t="shared" si="242"/>
        <v>0</v>
      </c>
      <c r="AN178" s="13">
        <f t="shared" si="317"/>
        <v>0</v>
      </c>
      <c r="AO178" s="13">
        <f t="shared" si="317"/>
        <v>0</v>
      </c>
      <c r="AP178" s="13">
        <f t="shared" si="317"/>
        <v>0</v>
      </c>
      <c r="AQ178" s="13">
        <f t="shared" si="317"/>
        <v>0</v>
      </c>
      <c r="AR178" s="13">
        <f t="shared" si="317"/>
        <v>0</v>
      </c>
      <c r="AS178" s="13">
        <f t="shared" si="317"/>
        <v>0</v>
      </c>
      <c r="AT178" s="68">
        <f>AM178-AS178</f>
        <v>0</v>
      </c>
      <c r="AU178" s="268">
        <f t="shared" si="254"/>
        <v>0</v>
      </c>
      <c r="AV178" s="13">
        <f t="shared" si="243"/>
        <v>0</v>
      </c>
      <c r="AW178" s="13">
        <f t="shared" si="222"/>
        <v>0</v>
      </c>
      <c r="AX178" s="13">
        <f t="shared" si="222"/>
        <v>0</v>
      </c>
      <c r="AY178" s="13">
        <f t="shared" si="222"/>
        <v>0</v>
      </c>
      <c r="AZ178" s="13">
        <f t="shared" si="222"/>
        <v>0</v>
      </c>
      <c r="BA178" s="13">
        <f t="shared" si="223"/>
        <v>0</v>
      </c>
      <c r="BB178" s="68">
        <f t="shared" si="255"/>
        <v>0</v>
      </c>
      <c r="BC178" s="268">
        <f t="shared" si="256"/>
        <v>0</v>
      </c>
      <c r="BD178" s="13">
        <f t="shared" si="257"/>
        <v>0</v>
      </c>
      <c r="BE178" s="13">
        <f>SUMIFS(SALIDAS_BIT,FECHA_BIT,"&gt;="&amp;BE$2,FECHA_BIT,"&lt;="&amp;BE$3,CLAVE_BIT,$A178)+SUMIFS(SALIDAS_BOV1,FECHA_BOV1,"&gt;="&amp;BE$2,FECHA_BOV1,"&lt;="&amp;BE$3,CLAVE_BOV1,$A178)+SUMIFS(SALIDAS_BOV2,FECHA_BOV2,"&gt;="&amp;BE$2,FECHA_BOV2,"&lt;="&amp;BE$3,CLAVE_BOV2,$A178)+SUMIFS(SALIDAS_BOV3,FECHA_BOV3,"&gt;="&amp;BE$2,FECHA_BOV3,"&lt;="&amp;BE$3,CLAVE_BOV3,$A178)+SUMIFS(SALIDAS_TC,FECHA_TC,"&gt;="&amp;BE$2,FECHA_TC,"&lt;="&amp;BE$3,CLAVE_TC,$A178)+SUMIFS(SALIDAS_COMB,FECHA_COMB,"&gt;="&amp;BE$2,FECHA_COMB,"&lt;="&amp;BE$3,CLAVE_COMB,$A178)+SUMIFS(SALIDAS_DES,FECHA_DESGLOSEN,"&gt;="&amp;BE$2,FECHA_DESGLOSEN,"&lt;="&amp;BE$3,CLAVE_DESGLOSE,$A178)</f>
        <v>0</v>
      </c>
      <c r="BF178" s="13">
        <f>SUMIFS(SALIDAS_BIT,FECHA_BIT,"&gt;="&amp;BF$2,FECHA_BIT,"&lt;="&amp;BF$3,CLAVE_BIT,$A178)+SUMIFS(SALIDAS_BOV1,FECHA_BOV1,"&gt;="&amp;BF$2,FECHA_BOV1,"&lt;="&amp;BF$3,CLAVE_BOV1,$A178)+SUMIFS(SALIDAS_BOV2,FECHA_BOV2,"&gt;="&amp;BF$2,FECHA_BOV2,"&lt;="&amp;BF$3,CLAVE_BOV2,$A178)+SUMIFS(SALIDAS_BOV3,FECHA_BOV3,"&gt;="&amp;BF$2,FECHA_BOV3,"&lt;="&amp;BF$3,CLAVE_BOV3,$A178)+SUMIFS(SALIDAS_TC,FECHA_TC,"&gt;="&amp;BF$2,FECHA_TC,"&lt;="&amp;BF$3,CLAVE_TC,$A178)+SUMIFS(SALIDAS_COMB,FECHA_COMB,"&gt;="&amp;BF$2,FECHA_COMB,"&lt;="&amp;BF$3,CLAVE_COMB,$A178)+SUMIFS(SALIDAS_DES,FECHA_DESGLOSEN,"&gt;="&amp;BF$2,FECHA_DESGLOSEN,"&lt;="&amp;BF$3,CLAVE_DESGLOSE,$A178)</f>
        <v>0</v>
      </c>
      <c r="BG178" s="13">
        <f>SUMIFS(SALIDAS_BIT,FECHA_BIT,"&gt;="&amp;BG$2,FECHA_BIT,"&lt;="&amp;BG$3,CLAVE_BIT,$A178)+SUMIFS(SALIDAS_BOV1,FECHA_BOV1,"&gt;="&amp;BG$2,FECHA_BOV1,"&lt;="&amp;BG$3,CLAVE_BOV1,$A178)+SUMIFS(SALIDAS_BOV2,FECHA_BOV2,"&gt;="&amp;BG$2,FECHA_BOV2,"&lt;="&amp;BG$3,CLAVE_BOV2,$A178)+SUMIFS(SALIDAS_BOV3,FECHA_BOV3,"&gt;="&amp;BG$2,FECHA_BOV3,"&lt;="&amp;BG$3,CLAVE_BOV3,$A178)+SUMIFS(SALIDAS_TC,FECHA_TC,"&gt;="&amp;BG$2,FECHA_TC,"&lt;="&amp;BG$3,CLAVE_TC,$A178)+SUMIFS(SALIDAS_COMB,FECHA_COMB,"&gt;="&amp;BG$2,FECHA_COMB,"&lt;="&amp;BG$3,CLAVE_COMB,$A178)+SUMIFS(SALIDAS_DES,FECHA_DESGLOSEN,"&gt;="&amp;BG$2,FECHA_DESGLOSEN,"&lt;="&amp;BG$3,CLAVE_DESGLOSE,$A178)</f>
        <v>0</v>
      </c>
      <c r="BH178" s="13">
        <f>SUMIFS(SALIDAS_BIT,FECHA_BIT,"&gt;="&amp;BH$2,FECHA_BIT,"&lt;="&amp;BH$3,CLAVE_BIT,$A178)+SUMIFS(SALIDAS_BOV1,FECHA_BOV1,"&gt;="&amp;BH$2,FECHA_BOV1,"&lt;="&amp;BH$3,CLAVE_BOV1,$A178)+SUMIFS(SALIDAS_BOV2,FECHA_BOV2,"&gt;="&amp;BH$2,FECHA_BOV2,"&lt;="&amp;BH$3,CLAVE_BOV2,$A178)+SUMIFS(SALIDAS_BOV3,FECHA_BOV3,"&gt;="&amp;BH$2,FECHA_BOV3,"&lt;="&amp;BH$3,CLAVE_BOV3,$A178)+SUMIFS(SALIDAS_TC,FECHA_TC,"&gt;="&amp;BH$2,FECHA_TC,"&lt;="&amp;BH$3,CLAVE_TC,$A178)+SUMIFS(SALIDAS_COMB,FECHA_COMB,"&gt;="&amp;BH$2,FECHA_COMB,"&lt;="&amp;BH$3,CLAVE_COMB,$A178)+SUMIFS(SALIDAS_DES,FECHA_DESGLOSEN,"&gt;="&amp;BH$2,FECHA_DESGLOSEN,"&lt;="&amp;BH$3,CLAVE_DESGLOSE,$A178)</f>
        <v>0</v>
      </c>
      <c r="BI178" s="13">
        <f t="shared" si="311"/>
        <v>0</v>
      </c>
      <c r="BJ178" s="68">
        <f t="shared" si="258"/>
        <v>0</v>
      </c>
      <c r="BK178" s="268">
        <f t="shared" si="259"/>
        <v>0</v>
      </c>
      <c r="BL178" s="13">
        <f t="shared" si="260"/>
        <v>0</v>
      </c>
      <c r="BM178" s="13">
        <f>SUMIFS(SALIDAS_BIT,FECHA_BIT,"&gt;="&amp;BM$2,FECHA_BIT,"&lt;="&amp;BM$3,CLAVE_BIT,$A178)+SUMIFS(SALIDAS_BOV1,FECHA_BOV1,"&gt;="&amp;BM$2,FECHA_BOV1,"&lt;="&amp;BM$3,CLAVE_BOV1,$A178)+SUMIFS(SALIDAS_BOV2,FECHA_BOV2,"&gt;="&amp;BM$2,FECHA_BOV2,"&lt;="&amp;BM$3,CLAVE_BOV2,$A178)+SUMIFS(SALIDAS_BOV3,FECHA_BOV3,"&gt;="&amp;BM$2,FECHA_BOV3,"&lt;="&amp;BM$3,CLAVE_BOV3,$A178)+SUMIFS(SALIDAS_TC,FECHA_TC,"&gt;="&amp;BM$2,FECHA_TC,"&lt;="&amp;BM$3,CLAVE_TC,$A178)+SUMIFS(SALIDAS_COMB,FECHA_COMB,"&gt;="&amp;BM$2,FECHA_COMB,"&lt;="&amp;BM$3,CLAVE_COMB,$A178)+SUMIFS(SALIDAS_DES,FECHA_DESGLOSEN,"&gt;="&amp;BM$2,FECHA_DESGLOSEN,"&lt;="&amp;BM$3,CLAVE_DESGLOSE,$A178)</f>
        <v>0</v>
      </c>
      <c r="BN178" s="13">
        <f>SUMIFS(SALIDAS_BIT,FECHA_BIT,"&gt;="&amp;BN$2,FECHA_BIT,"&lt;="&amp;BN$3,CLAVE_BIT,$A178)+SUMIFS(SALIDAS_BOV1,FECHA_BOV1,"&gt;="&amp;BN$2,FECHA_BOV1,"&lt;="&amp;BN$3,CLAVE_BOV1,$A178)+SUMIFS(SALIDAS_BOV2,FECHA_BOV2,"&gt;="&amp;BN$2,FECHA_BOV2,"&lt;="&amp;BN$3,CLAVE_BOV2,$A178)+SUMIFS(SALIDAS_BOV3,FECHA_BOV3,"&gt;="&amp;BN$2,FECHA_BOV3,"&lt;="&amp;BN$3,CLAVE_BOV3,$A178)+SUMIFS(SALIDAS_TC,FECHA_TC,"&gt;="&amp;BN$2,FECHA_TC,"&lt;="&amp;BN$3,CLAVE_TC,$A178)+SUMIFS(SALIDAS_COMB,FECHA_COMB,"&gt;="&amp;BN$2,FECHA_COMB,"&lt;="&amp;BN$3,CLAVE_COMB,$A178)+SUMIFS(SALIDAS_DES,FECHA_DESGLOSEN,"&gt;="&amp;BN$2,FECHA_DESGLOSEN,"&lt;="&amp;BN$3,CLAVE_DESGLOSE,$A178)</f>
        <v>0</v>
      </c>
      <c r="BO178" s="13">
        <f>SUMIFS(SALIDAS_BIT,FECHA_BIT,"&gt;="&amp;BO$2,FECHA_BIT,"&lt;="&amp;BO$3,CLAVE_BIT,$A178)+SUMIFS(SALIDAS_BOV1,FECHA_BOV1,"&gt;="&amp;BO$2,FECHA_BOV1,"&lt;="&amp;BO$3,CLAVE_BOV1,$A178)+SUMIFS(SALIDAS_BOV2,FECHA_BOV2,"&gt;="&amp;BO$2,FECHA_BOV2,"&lt;="&amp;BO$3,CLAVE_BOV2,$A178)+SUMIFS(SALIDAS_BOV3,FECHA_BOV3,"&gt;="&amp;BO$2,FECHA_BOV3,"&lt;="&amp;BO$3,CLAVE_BOV3,$A178)+SUMIFS(SALIDAS_TC,FECHA_TC,"&gt;="&amp;BO$2,FECHA_TC,"&lt;="&amp;BO$3,CLAVE_TC,$A178)+SUMIFS(SALIDAS_COMB,FECHA_COMB,"&gt;="&amp;BO$2,FECHA_COMB,"&lt;="&amp;BO$3,CLAVE_COMB,$A178)+SUMIFS(SALIDAS_DES,FECHA_DESGLOSEN,"&gt;="&amp;BO$2,FECHA_DESGLOSEN,"&lt;="&amp;BO$3,CLAVE_DESGLOSE,$A178)</f>
        <v>0</v>
      </c>
      <c r="BP178" s="13">
        <f>SUMIFS(SALIDAS_BIT,FECHA_BIT,"&gt;="&amp;BP$2,FECHA_BIT,"&lt;="&amp;BP$3,CLAVE_BIT,$A178)+SUMIFS(SALIDAS_BOV1,FECHA_BOV1,"&gt;="&amp;BP$2,FECHA_BOV1,"&lt;="&amp;BP$3,CLAVE_BOV1,$A178)+SUMIFS(SALIDAS_BOV2,FECHA_BOV2,"&gt;="&amp;BP$2,FECHA_BOV2,"&lt;="&amp;BP$3,CLAVE_BOV2,$A178)+SUMIFS(SALIDAS_BOV3,FECHA_BOV3,"&gt;="&amp;BP$2,FECHA_BOV3,"&lt;="&amp;BP$3,CLAVE_BOV3,$A178)+SUMIFS(SALIDAS_TC,FECHA_TC,"&gt;="&amp;BP$2,FECHA_TC,"&lt;="&amp;BP$3,CLAVE_TC,$A178)+SUMIFS(SALIDAS_COMB,FECHA_COMB,"&gt;="&amp;BP$2,FECHA_COMB,"&lt;="&amp;BP$3,CLAVE_COMB,$A178)+SUMIFS(SALIDAS_DES,FECHA_DESGLOSEN,"&gt;="&amp;BP$2,FECHA_DESGLOSEN,"&lt;="&amp;BP$3,CLAVE_DESGLOSE,$A178)</f>
        <v>0</v>
      </c>
      <c r="BQ178" s="13">
        <f>SUMIFS(SALIDAS_BIT,FECHA_BIT,"&gt;="&amp;BQ$2,FECHA_BIT,"&lt;="&amp;BQ$3,CLAVE_BIT,$A178)+SUMIFS(SALIDAS_BOV1,FECHA_BOV1,"&gt;="&amp;BQ$2,FECHA_BOV1,"&lt;="&amp;BQ$3,CLAVE_BOV1,$A178)+SUMIFS(SALIDAS_BOV2,FECHA_BOV2,"&gt;="&amp;BQ$2,FECHA_BOV2,"&lt;="&amp;BQ$3,CLAVE_BOV2,$A178)+SUMIFS(SALIDAS_BOV3,FECHA_BOV3,"&gt;="&amp;BQ$2,FECHA_BOV3,"&lt;="&amp;BQ$3,CLAVE_BOV3,$A178)+SUMIFS(SALIDAS_TC,FECHA_TC,"&gt;="&amp;BQ$2,FECHA_TC,"&lt;="&amp;BQ$3,CLAVE_TC,$A178)+SUMIFS(SALIDAS_COMB,FECHA_COMB,"&gt;="&amp;BQ$2,FECHA_COMB,"&lt;="&amp;BQ$3,CLAVE_COMB,$A178)+SUMIFS(SALIDAS_DES,FECHA_DESGLOSEN,"&gt;="&amp;BQ$2,FECHA_DESGLOSEN,"&lt;="&amp;BQ$3,CLAVE_DESGLOSE,$A178)</f>
        <v>0</v>
      </c>
      <c r="BR178" s="13">
        <f t="shared" si="318"/>
        <v>0</v>
      </c>
      <c r="BS178" s="68">
        <f t="shared" si="261"/>
        <v>0</v>
      </c>
      <c r="BT178" s="268">
        <f t="shared" si="262"/>
        <v>0</v>
      </c>
      <c r="BU178" s="13">
        <f t="shared" si="263"/>
        <v>0</v>
      </c>
      <c r="BV178" s="13">
        <f t="shared" si="291"/>
        <v>0</v>
      </c>
      <c r="BW178" s="13">
        <f t="shared" si="291"/>
        <v>0</v>
      </c>
      <c r="BX178" s="13">
        <f t="shared" si="291"/>
        <v>0</v>
      </c>
      <c r="BY178" s="13">
        <f t="shared" si="291"/>
        <v>0</v>
      </c>
      <c r="BZ178" s="13">
        <f t="shared" si="319"/>
        <v>0</v>
      </c>
      <c r="CA178" s="68">
        <f t="shared" si="264"/>
        <v>0</v>
      </c>
      <c r="CB178" s="268">
        <f t="shared" si="265"/>
        <v>0</v>
      </c>
      <c r="CC178" s="13">
        <f t="shared" si="266"/>
        <v>0</v>
      </c>
      <c r="CD178" s="13">
        <f t="shared" si="292"/>
        <v>0</v>
      </c>
      <c r="CE178" s="13">
        <f t="shared" si="292"/>
        <v>0</v>
      </c>
      <c r="CF178" s="13">
        <f t="shared" si="292"/>
        <v>0</v>
      </c>
      <c r="CG178" s="13">
        <f t="shared" si="292"/>
        <v>0</v>
      </c>
      <c r="CH178" s="13">
        <f t="shared" si="320"/>
        <v>0</v>
      </c>
      <c r="CI178" s="68">
        <f t="shared" si="267"/>
        <v>0</v>
      </c>
      <c r="CJ178" s="268">
        <f t="shared" si="268"/>
        <v>0</v>
      </c>
      <c r="CK178" s="13">
        <f t="shared" si="269"/>
        <v>0</v>
      </c>
      <c r="CL178" s="13">
        <f t="shared" si="312"/>
        <v>0</v>
      </c>
      <c r="CM178" s="13">
        <f t="shared" si="312"/>
        <v>0</v>
      </c>
      <c r="CN178" s="13">
        <f t="shared" si="312"/>
        <v>0</v>
      </c>
      <c r="CO178" s="13">
        <f t="shared" si="312"/>
        <v>0</v>
      </c>
      <c r="CP178" s="13">
        <f t="shared" si="312"/>
        <v>450</v>
      </c>
      <c r="CQ178" s="13">
        <f t="shared" si="321"/>
        <v>450</v>
      </c>
      <c r="CR178" s="68">
        <f t="shared" si="270"/>
        <v>-450</v>
      </c>
      <c r="CS178" s="268">
        <f t="shared" si="271"/>
        <v>0</v>
      </c>
      <c r="CT178" s="68">
        <f t="shared" si="244"/>
        <v>0</v>
      </c>
      <c r="CU178" s="13">
        <f>SUMIFS(SALIDAS_BIT,FECHA_BIT,"&gt;="&amp;CU$2,FECHA_BIT,"&lt;="&amp;CU$3,CLAVE_BIT,$A178)+SUMIFS(SALIDAS_BOV1,FECHA_BOV1,"&gt;="&amp;CU$2,FECHA_BOV1,"&lt;="&amp;CU$3,CLAVE_BOV1,$A178)+SUMIFS(SALIDAS_BOV2,FECHA_BOV2,"&gt;="&amp;CU$2,FECHA_BOV2,"&lt;="&amp;CU$3,CLAVE_BOV2,$A178)+SUMIFS(SALIDAS_BOV3,FECHA_BOV3,"&gt;="&amp;CU$2,FECHA_BOV3,"&lt;="&amp;CU$3,CLAVE_BOV3,$A178)+SUMIFS(SALIDAS_TC,FECHA_TC,"&gt;="&amp;CU$2,FECHA_TC,"&lt;="&amp;CU$3,CLAVE_TC,$A178)+SUMIFS(SALIDAS_COMB,FECHA_COMB,"&gt;="&amp;CU$2,FECHA_COMB,"&lt;="&amp;CU$3,CLAVE_COMB,$A178)+SUMIFS(SALIDAS_DES,FECHA_DESGLOSEN,"&gt;="&amp;CU$2,FECHA_DESGLOSEN,"&lt;="&amp;CU$3,CLAVE_DESGLOSE,$A178)</f>
        <v>0</v>
      </c>
      <c r="CV178" s="13">
        <f>SUMIFS(SALIDAS_BIT,FECHA_BIT,"&gt;="&amp;CV$2,FECHA_BIT,"&lt;="&amp;CV$3,CLAVE_BIT,$A178)+SUMIFS(SALIDAS_BOV1,FECHA_BOV1,"&gt;="&amp;CV$2,FECHA_BOV1,"&lt;="&amp;CV$3,CLAVE_BOV1,$A178)+SUMIFS(SALIDAS_BOV2,FECHA_BOV2,"&gt;="&amp;CV$2,FECHA_BOV2,"&lt;="&amp;CV$3,CLAVE_BOV2,$A178)+SUMIFS(SALIDAS_BOV3,FECHA_BOV3,"&gt;="&amp;CV$2,FECHA_BOV3,"&lt;="&amp;CV$3,CLAVE_BOV3,$A178)+SUMIFS(SALIDAS_TC,FECHA_TC,"&gt;="&amp;CV$2,FECHA_TC,"&lt;="&amp;CV$3,CLAVE_TC,$A178)+SUMIFS(SALIDAS_COMB,FECHA_COMB,"&gt;="&amp;CV$2,FECHA_COMB,"&lt;="&amp;CV$3,CLAVE_COMB,$A178)+SUMIFS(SALIDAS_DES,FECHA_DESGLOSEN,"&gt;="&amp;CV$2,FECHA_DESGLOSEN,"&lt;="&amp;CV$3,CLAVE_DESGLOSE,$A178)</f>
        <v>0</v>
      </c>
      <c r="CW178" s="13">
        <f>SUMIFS(SALIDAS_BIT,FECHA_BIT,"&gt;="&amp;CW$2,FECHA_BIT,"&lt;="&amp;CW$3,CLAVE_BIT,$A178)+SUMIFS(SALIDAS_BOV1,FECHA_BOV1,"&gt;="&amp;CW$2,FECHA_BOV1,"&lt;="&amp;CW$3,CLAVE_BOV1,$A178)+SUMIFS(SALIDAS_BOV2,FECHA_BOV2,"&gt;="&amp;CW$2,FECHA_BOV2,"&lt;="&amp;CW$3,CLAVE_BOV2,$A178)+SUMIFS(SALIDAS_BOV3,FECHA_BOV3,"&gt;="&amp;CW$2,FECHA_BOV3,"&lt;="&amp;CW$3,CLAVE_BOV3,$A178)+SUMIFS(SALIDAS_TC,FECHA_TC,"&gt;="&amp;CW$2,FECHA_TC,"&lt;="&amp;CW$3,CLAVE_TC,$A178)+SUMIFS(SALIDAS_COMB,FECHA_COMB,"&gt;="&amp;CW$2,FECHA_COMB,"&lt;="&amp;CW$3,CLAVE_COMB,$A178)+SUMIFS(SALIDAS_DES,FECHA_DESGLOSEN,"&gt;="&amp;CW$2,FECHA_DESGLOSEN,"&lt;="&amp;CW$3,CLAVE_DESGLOSE,$A178)</f>
        <v>0</v>
      </c>
      <c r="CX178" s="13">
        <f>SUMIFS(SALIDAS_BIT,FECHA_BIT,"&gt;="&amp;CX$2,FECHA_BIT,"&lt;="&amp;CX$3,CLAVE_BIT,$A178)+SUMIFS(SALIDAS_BOV1,FECHA_BOV1,"&gt;="&amp;CX$2,FECHA_BOV1,"&lt;="&amp;CX$3,CLAVE_BOV1,$A178)+SUMIFS(SALIDAS_BOV2,FECHA_BOV2,"&gt;="&amp;CX$2,FECHA_BOV2,"&lt;="&amp;CX$3,CLAVE_BOV2,$A178)+SUMIFS(SALIDAS_BOV3,FECHA_BOV3,"&gt;="&amp;CX$2,FECHA_BOV3,"&lt;="&amp;CX$3,CLAVE_BOV3,$A178)+SUMIFS(SALIDAS_TC,FECHA_TC,"&gt;="&amp;CX$2,FECHA_TC,"&lt;="&amp;CX$3,CLAVE_TC,$A178)+SUMIFS(SALIDAS_COMB,FECHA_COMB,"&gt;="&amp;CX$2,FECHA_COMB,"&lt;="&amp;CX$3,CLAVE_COMB,$A178)+SUMIFS(SALIDAS_DES,FECHA_DESGLOSEN,"&gt;="&amp;CX$2,FECHA_DESGLOSEN,"&lt;="&amp;CX$3,CLAVE_DESGLOSE,$A178)</f>
        <v>0</v>
      </c>
      <c r="CY178" s="13">
        <f>SUMIFS(SALIDAS_BIT,FECHA_BIT,"&gt;="&amp;CY$2,FECHA_BIT,"&lt;="&amp;CY$3,CLAVE_BIT,$A178)+SUMIFS(SALIDAS_BOV1,FECHA_BOV1,"&gt;="&amp;CY$2,FECHA_BOV1,"&lt;="&amp;CY$3,CLAVE_BOV1,$A178)+SUMIFS(SALIDAS_BOV2,FECHA_BOV2,"&gt;="&amp;CY$2,FECHA_BOV2,"&lt;="&amp;CY$3,CLAVE_BOV2,$A178)+SUMIFS(SALIDAS_BOV3,FECHA_BOV3,"&gt;="&amp;CY$2,FECHA_BOV3,"&lt;="&amp;CY$3,CLAVE_BOV3,$A178)+SUMIFS(SALIDAS_TC,FECHA_TC,"&gt;="&amp;CY$2,FECHA_TC,"&lt;="&amp;CY$3,CLAVE_TC,$A178)+SUMIFS(SALIDAS_COMB,FECHA_COMB,"&gt;="&amp;CY$2,FECHA_COMB,"&lt;="&amp;CY$3,CLAVE_COMB,$A178)+SUMIFS(SALIDAS_DES,FECHA_DESGLOSEN,"&gt;="&amp;CY$2,FECHA_DESGLOSEN,"&lt;="&amp;CY$3,CLAVE_DESGLOSE,$A178)</f>
        <v>0</v>
      </c>
      <c r="CZ178" s="68">
        <f t="shared" si="272"/>
        <v>0</v>
      </c>
      <c r="DB178" s="17">
        <f>F178+N178+W178+AE178+AM178+AV178+BD178+BL178+BU178+CC178+CK178</f>
        <v>0</v>
      </c>
      <c r="DC178" s="17">
        <f>K178+T178+AB178+AJ178+AS178+BA178+BI178+BR178+BZ178+CH178+CQ178</f>
        <v>450</v>
      </c>
    </row>
    <row r="179" spans="1:107" hidden="1">
      <c r="A179" s="12" t="str">
        <f t="shared" si="245"/>
        <v>CAPREDESCAPRICHOS</v>
      </c>
      <c r="B179" s="12">
        <v>181</v>
      </c>
      <c r="C179" t="s">
        <v>31</v>
      </c>
      <c r="D179" s="12" t="s">
        <v>167</v>
      </c>
      <c r="E179" s="12" t="s">
        <v>33</v>
      </c>
      <c r="F179" s="259">
        <f t="shared" si="238"/>
        <v>6000</v>
      </c>
      <c r="G179" s="13">
        <f t="shared" si="313"/>
        <v>0</v>
      </c>
      <c r="H179" s="13">
        <f t="shared" si="313"/>
        <v>0</v>
      </c>
      <c r="I179" s="13">
        <f t="shared" si="313"/>
        <v>0</v>
      </c>
      <c r="J179" s="13">
        <f t="shared" si="313"/>
        <v>2756.87</v>
      </c>
      <c r="K179" s="13">
        <f t="shared" si="313"/>
        <v>2756.87</v>
      </c>
      <c r="L179" s="68">
        <f t="shared" si="246"/>
        <v>3243.13</v>
      </c>
      <c r="M179" s="268">
        <f t="shared" si="247"/>
        <v>0.45947833333333332</v>
      </c>
      <c r="N179" s="13">
        <f t="shared" si="239"/>
        <v>6000</v>
      </c>
      <c r="O179" s="13">
        <f t="shared" si="314"/>
        <v>0</v>
      </c>
      <c r="P179" s="13">
        <f t="shared" si="314"/>
        <v>0</v>
      </c>
      <c r="Q179" s="13">
        <f t="shared" si="314"/>
        <v>0</v>
      </c>
      <c r="R179" s="13">
        <f t="shared" si="314"/>
        <v>6897.4299999999994</v>
      </c>
      <c r="S179" s="13">
        <f t="shared" si="314"/>
        <v>0</v>
      </c>
      <c r="T179" s="13">
        <f t="shared" si="314"/>
        <v>6897.4299999999994</v>
      </c>
      <c r="U179" s="68">
        <f t="shared" si="248"/>
        <v>-897.42999999999938</v>
      </c>
      <c r="V179" s="268">
        <f t="shared" si="249"/>
        <v>1.1495716666666667</v>
      </c>
      <c r="W179" s="13">
        <f t="shared" si="240"/>
        <v>6000</v>
      </c>
      <c r="X179" s="13">
        <f t="shared" si="315"/>
        <v>0</v>
      </c>
      <c r="Y179" s="13">
        <f t="shared" si="315"/>
        <v>0</v>
      </c>
      <c r="Z179" s="13">
        <f t="shared" si="315"/>
        <v>0</v>
      </c>
      <c r="AA179" s="13">
        <f t="shared" si="315"/>
        <v>3765.3</v>
      </c>
      <c r="AB179" s="13">
        <f t="shared" si="315"/>
        <v>3765.3</v>
      </c>
      <c r="AC179" s="68">
        <f t="shared" si="250"/>
        <v>2234.6999999999998</v>
      </c>
      <c r="AD179" s="268">
        <f t="shared" si="251"/>
        <v>0.62755000000000005</v>
      </c>
      <c r="AE179" s="13">
        <f t="shared" si="241"/>
        <v>6000</v>
      </c>
      <c r="AF179" s="13">
        <f t="shared" si="316"/>
        <v>0</v>
      </c>
      <c r="AG179" s="13">
        <f t="shared" si="316"/>
        <v>0</v>
      </c>
      <c r="AH179" s="13">
        <f t="shared" si="316"/>
        <v>0</v>
      </c>
      <c r="AI179" s="13">
        <f t="shared" si="316"/>
        <v>6415.96</v>
      </c>
      <c r="AJ179" s="13">
        <f t="shared" si="316"/>
        <v>6415.96</v>
      </c>
      <c r="AK179" s="68">
        <f t="shared" si="252"/>
        <v>-415.96000000000004</v>
      </c>
      <c r="AL179" s="268">
        <f t="shared" si="253"/>
        <v>1.0693266666666668</v>
      </c>
      <c r="AM179" s="13">
        <f t="shared" si="242"/>
        <v>6000</v>
      </c>
      <c r="AN179" s="13">
        <f t="shared" si="317"/>
        <v>0</v>
      </c>
      <c r="AO179" s="13">
        <f t="shared" si="317"/>
        <v>0</v>
      </c>
      <c r="AP179" s="13">
        <f t="shared" si="317"/>
        <v>0</v>
      </c>
      <c r="AQ179" s="13">
        <f t="shared" si="317"/>
        <v>6648.0099999999993</v>
      </c>
      <c r="AR179" s="13">
        <f t="shared" si="317"/>
        <v>0</v>
      </c>
      <c r="AS179" s="13">
        <f t="shared" si="317"/>
        <v>6648.0099999999993</v>
      </c>
      <c r="AT179" s="68">
        <f>AM179-AS179</f>
        <v>-648.00999999999931</v>
      </c>
      <c r="AU179" s="268">
        <f t="shared" si="254"/>
        <v>1.1080016666666666</v>
      </c>
      <c r="AV179" s="13">
        <f t="shared" si="243"/>
        <v>6000</v>
      </c>
      <c r="AW179" s="13">
        <f t="shared" si="222"/>
        <v>0</v>
      </c>
      <c r="AX179" s="13">
        <f t="shared" si="222"/>
        <v>0</v>
      </c>
      <c r="AY179" s="13">
        <f t="shared" si="222"/>
        <v>0</v>
      </c>
      <c r="AZ179" s="13">
        <f t="shared" si="222"/>
        <v>2893.74</v>
      </c>
      <c r="BA179" s="13">
        <f t="shared" si="223"/>
        <v>2893.74</v>
      </c>
      <c r="BB179" s="68">
        <f t="shared" si="255"/>
        <v>3106.26</v>
      </c>
      <c r="BC179" s="268">
        <f t="shared" si="256"/>
        <v>0.48228999999999994</v>
      </c>
      <c r="BD179" s="13">
        <f t="shared" si="257"/>
        <v>6000</v>
      </c>
      <c r="BE179" s="13">
        <f>SUMIFS(SALIDAS_BIT,FECHA_BIT,"&gt;="&amp;BE$2,FECHA_BIT,"&lt;="&amp;BE$3,CLAVE_BIT,$A179)+SUMIFS(SALIDAS_BOV1,FECHA_BOV1,"&gt;="&amp;BE$2,FECHA_BOV1,"&lt;="&amp;BE$3,CLAVE_BOV1,$A179)+SUMIFS(SALIDAS_BOV2,FECHA_BOV2,"&gt;="&amp;BE$2,FECHA_BOV2,"&lt;="&amp;BE$3,CLAVE_BOV2,$A179)+SUMIFS(SALIDAS_BOV3,FECHA_BOV3,"&gt;="&amp;BE$2,FECHA_BOV3,"&lt;="&amp;BE$3,CLAVE_BOV3,$A179)+SUMIFS(SALIDAS_TC,FECHA_TC,"&gt;="&amp;BE$2,FECHA_TC,"&lt;="&amp;BE$3,CLAVE_TC,$A179)+SUMIFS(SALIDAS_COMB,FECHA_COMB,"&gt;="&amp;BE$2,FECHA_COMB,"&lt;="&amp;BE$3,CLAVE_COMB,$A179)+SUMIFS(SALIDAS_DES,FECHA_DESGLOSEN,"&gt;="&amp;BE$2,FECHA_DESGLOSEN,"&lt;="&amp;BE$3,CLAVE_DESGLOSE,$A179)</f>
        <v>0</v>
      </c>
      <c r="BF179" s="13">
        <f>SUMIFS(SALIDAS_BIT,FECHA_BIT,"&gt;="&amp;BF$2,FECHA_BIT,"&lt;="&amp;BF$3,CLAVE_BIT,$A179)+SUMIFS(SALIDAS_BOV1,FECHA_BOV1,"&gt;="&amp;BF$2,FECHA_BOV1,"&lt;="&amp;BF$3,CLAVE_BOV1,$A179)+SUMIFS(SALIDAS_BOV2,FECHA_BOV2,"&gt;="&amp;BF$2,FECHA_BOV2,"&lt;="&amp;BF$3,CLAVE_BOV2,$A179)+SUMIFS(SALIDAS_BOV3,FECHA_BOV3,"&gt;="&amp;BF$2,FECHA_BOV3,"&lt;="&amp;BF$3,CLAVE_BOV3,$A179)+SUMIFS(SALIDAS_TC,FECHA_TC,"&gt;="&amp;BF$2,FECHA_TC,"&lt;="&amp;BF$3,CLAVE_TC,$A179)+SUMIFS(SALIDAS_COMB,FECHA_COMB,"&gt;="&amp;BF$2,FECHA_COMB,"&lt;="&amp;BF$3,CLAVE_COMB,$A179)+SUMIFS(SALIDAS_DES,FECHA_DESGLOSEN,"&gt;="&amp;BF$2,FECHA_DESGLOSEN,"&lt;="&amp;BF$3,CLAVE_DESGLOSE,$A179)</f>
        <v>0</v>
      </c>
      <c r="BG179" s="13">
        <f>SUMIFS(SALIDAS_BIT,FECHA_BIT,"&gt;="&amp;BG$2,FECHA_BIT,"&lt;="&amp;BG$3,CLAVE_BIT,$A179)+SUMIFS(SALIDAS_BOV1,FECHA_BOV1,"&gt;="&amp;BG$2,FECHA_BOV1,"&lt;="&amp;BG$3,CLAVE_BOV1,$A179)+SUMIFS(SALIDAS_BOV2,FECHA_BOV2,"&gt;="&amp;BG$2,FECHA_BOV2,"&lt;="&amp;BG$3,CLAVE_BOV2,$A179)+SUMIFS(SALIDAS_BOV3,FECHA_BOV3,"&gt;="&amp;BG$2,FECHA_BOV3,"&lt;="&amp;BG$3,CLAVE_BOV3,$A179)+SUMIFS(SALIDAS_TC,FECHA_TC,"&gt;="&amp;BG$2,FECHA_TC,"&lt;="&amp;BG$3,CLAVE_TC,$A179)+SUMIFS(SALIDAS_COMB,FECHA_COMB,"&gt;="&amp;BG$2,FECHA_COMB,"&lt;="&amp;BG$3,CLAVE_COMB,$A179)+SUMIFS(SALIDAS_DES,FECHA_DESGLOSEN,"&gt;="&amp;BG$2,FECHA_DESGLOSEN,"&lt;="&amp;BG$3,CLAVE_DESGLOSE,$A179)</f>
        <v>0</v>
      </c>
      <c r="BH179" s="13">
        <f>SUMIFS(SALIDAS_BIT,FECHA_BIT,"&gt;="&amp;BH$2,FECHA_BIT,"&lt;="&amp;BH$3,CLAVE_BIT,$A179)+SUMIFS(SALIDAS_BOV1,FECHA_BOV1,"&gt;="&amp;BH$2,FECHA_BOV1,"&lt;="&amp;BH$3,CLAVE_BOV1,$A179)+SUMIFS(SALIDAS_BOV2,FECHA_BOV2,"&gt;="&amp;BH$2,FECHA_BOV2,"&lt;="&amp;BH$3,CLAVE_BOV2,$A179)+SUMIFS(SALIDAS_BOV3,FECHA_BOV3,"&gt;="&amp;BH$2,FECHA_BOV3,"&lt;="&amp;BH$3,CLAVE_BOV3,$A179)+SUMIFS(SALIDAS_TC,FECHA_TC,"&gt;="&amp;BH$2,FECHA_TC,"&lt;="&amp;BH$3,CLAVE_TC,$A179)+SUMIFS(SALIDAS_COMB,FECHA_COMB,"&gt;="&amp;BH$2,FECHA_COMB,"&lt;="&amp;BH$3,CLAVE_COMB,$A179)+SUMIFS(SALIDAS_DES,FECHA_DESGLOSEN,"&gt;="&amp;BH$2,FECHA_DESGLOSEN,"&lt;="&amp;BH$3,CLAVE_DESGLOSE,$A179)</f>
        <v>1643.29</v>
      </c>
      <c r="BI179" s="13">
        <f t="shared" si="311"/>
        <v>1643.29</v>
      </c>
      <c r="BJ179" s="68">
        <f t="shared" si="258"/>
        <v>4356.71</v>
      </c>
      <c r="BK179" s="268">
        <f t="shared" si="259"/>
        <v>0.27388166666666663</v>
      </c>
      <c r="BL179" s="13">
        <f t="shared" si="260"/>
        <v>6000</v>
      </c>
      <c r="BM179" s="13">
        <f>SUMIFS(SALIDAS_BIT,FECHA_BIT,"&gt;="&amp;BM$2,FECHA_BIT,"&lt;="&amp;BM$3,CLAVE_BIT,$A179)+SUMIFS(SALIDAS_BOV1,FECHA_BOV1,"&gt;="&amp;BM$2,FECHA_BOV1,"&lt;="&amp;BM$3,CLAVE_BOV1,$A179)+SUMIFS(SALIDAS_BOV2,FECHA_BOV2,"&gt;="&amp;BM$2,FECHA_BOV2,"&lt;="&amp;BM$3,CLAVE_BOV2,$A179)+SUMIFS(SALIDAS_BOV3,FECHA_BOV3,"&gt;="&amp;BM$2,FECHA_BOV3,"&lt;="&amp;BM$3,CLAVE_BOV3,$A179)+SUMIFS(SALIDAS_TC,FECHA_TC,"&gt;="&amp;BM$2,FECHA_TC,"&lt;="&amp;BM$3,CLAVE_TC,$A179)+SUMIFS(SALIDAS_COMB,FECHA_COMB,"&gt;="&amp;BM$2,FECHA_COMB,"&lt;="&amp;BM$3,CLAVE_COMB,$A179)+SUMIFS(SALIDAS_DES,FECHA_DESGLOSEN,"&gt;="&amp;BM$2,FECHA_DESGLOSEN,"&lt;="&amp;BM$3,CLAVE_DESGLOSE,$A179)</f>
        <v>0</v>
      </c>
      <c r="BN179" s="13">
        <f>SUMIFS(SALIDAS_BIT,FECHA_BIT,"&gt;="&amp;BN$2,FECHA_BIT,"&lt;="&amp;BN$3,CLAVE_BIT,$A179)+SUMIFS(SALIDAS_BOV1,FECHA_BOV1,"&gt;="&amp;BN$2,FECHA_BOV1,"&lt;="&amp;BN$3,CLAVE_BOV1,$A179)+SUMIFS(SALIDAS_BOV2,FECHA_BOV2,"&gt;="&amp;BN$2,FECHA_BOV2,"&lt;="&amp;BN$3,CLAVE_BOV2,$A179)+SUMIFS(SALIDAS_BOV3,FECHA_BOV3,"&gt;="&amp;BN$2,FECHA_BOV3,"&lt;="&amp;BN$3,CLAVE_BOV3,$A179)+SUMIFS(SALIDAS_TC,FECHA_TC,"&gt;="&amp;BN$2,FECHA_TC,"&lt;="&amp;BN$3,CLAVE_TC,$A179)+SUMIFS(SALIDAS_COMB,FECHA_COMB,"&gt;="&amp;BN$2,FECHA_COMB,"&lt;="&amp;BN$3,CLAVE_COMB,$A179)+SUMIFS(SALIDAS_DES,FECHA_DESGLOSEN,"&gt;="&amp;BN$2,FECHA_DESGLOSEN,"&lt;="&amp;BN$3,CLAVE_DESGLOSE,$A179)</f>
        <v>0</v>
      </c>
      <c r="BO179" s="13">
        <f>SUMIFS(SALIDAS_BIT,FECHA_BIT,"&gt;="&amp;BO$2,FECHA_BIT,"&lt;="&amp;BO$3,CLAVE_BIT,$A179)+SUMIFS(SALIDAS_BOV1,FECHA_BOV1,"&gt;="&amp;BO$2,FECHA_BOV1,"&lt;="&amp;BO$3,CLAVE_BOV1,$A179)+SUMIFS(SALIDAS_BOV2,FECHA_BOV2,"&gt;="&amp;BO$2,FECHA_BOV2,"&lt;="&amp;BO$3,CLAVE_BOV2,$A179)+SUMIFS(SALIDAS_BOV3,FECHA_BOV3,"&gt;="&amp;BO$2,FECHA_BOV3,"&lt;="&amp;BO$3,CLAVE_BOV3,$A179)+SUMIFS(SALIDAS_TC,FECHA_TC,"&gt;="&amp;BO$2,FECHA_TC,"&lt;="&amp;BO$3,CLAVE_TC,$A179)+SUMIFS(SALIDAS_COMB,FECHA_COMB,"&gt;="&amp;BO$2,FECHA_COMB,"&lt;="&amp;BO$3,CLAVE_COMB,$A179)+SUMIFS(SALIDAS_DES,FECHA_DESGLOSEN,"&gt;="&amp;BO$2,FECHA_DESGLOSEN,"&lt;="&amp;BO$3,CLAVE_DESGLOSE,$A179)</f>
        <v>0</v>
      </c>
      <c r="BP179" s="13">
        <f>SUMIFS(SALIDAS_BIT,FECHA_BIT,"&gt;="&amp;BP$2,FECHA_BIT,"&lt;="&amp;BP$3,CLAVE_BIT,$A179)+SUMIFS(SALIDAS_BOV1,FECHA_BOV1,"&gt;="&amp;BP$2,FECHA_BOV1,"&lt;="&amp;BP$3,CLAVE_BOV1,$A179)+SUMIFS(SALIDAS_BOV2,FECHA_BOV2,"&gt;="&amp;BP$2,FECHA_BOV2,"&lt;="&amp;BP$3,CLAVE_BOV2,$A179)+SUMIFS(SALIDAS_BOV3,FECHA_BOV3,"&gt;="&amp;BP$2,FECHA_BOV3,"&lt;="&amp;BP$3,CLAVE_BOV3,$A179)+SUMIFS(SALIDAS_TC,FECHA_TC,"&gt;="&amp;BP$2,FECHA_TC,"&lt;="&amp;BP$3,CLAVE_TC,$A179)+SUMIFS(SALIDAS_COMB,FECHA_COMB,"&gt;="&amp;BP$2,FECHA_COMB,"&lt;="&amp;BP$3,CLAVE_COMB,$A179)+SUMIFS(SALIDAS_DES,FECHA_DESGLOSEN,"&gt;="&amp;BP$2,FECHA_DESGLOSEN,"&lt;="&amp;BP$3,CLAVE_DESGLOSE,$A179)</f>
        <v>2292.39</v>
      </c>
      <c r="BQ179" s="13">
        <f>SUMIFS(SALIDAS_BIT,FECHA_BIT,"&gt;="&amp;BQ$2,FECHA_BIT,"&lt;="&amp;BQ$3,CLAVE_BIT,$A179)+SUMIFS(SALIDAS_BOV1,FECHA_BOV1,"&gt;="&amp;BQ$2,FECHA_BOV1,"&lt;="&amp;BQ$3,CLAVE_BOV1,$A179)+SUMIFS(SALIDAS_BOV2,FECHA_BOV2,"&gt;="&amp;BQ$2,FECHA_BOV2,"&lt;="&amp;BQ$3,CLAVE_BOV2,$A179)+SUMIFS(SALIDAS_BOV3,FECHA_BOV3,"&gt;="&amp;BQ$2,FECHA_BOV3,"&lt;="&amp;BQ$3,CLAVE_BOV3,$A179)+SUMIFS(SALIDAS_TC,FECHA_TC,"&gt;="&amp;BQ$2,FECHA_TC,"&lt;="&amp;BQ$3,CLAVE_TC,$A179)+SUMIFS(SALIDAS_COMB,FECHA_COMB,"&gt;="&amp;BQ$2,FECHA_COMB,"&lt;="&amp;BQ$3,CLAVE_COMB,$A179)+SUMIFS(SALIDAS_DES,FECHA_DESGLOSEN,"&gt;="&amp;BQ$2,FECHA_DESGLOSEN,"&lt;="&amp;BQ$3,CLAVE_DESGLOSE,$A179)</f>
        <v>0</v>
      </c>
      <c r="BR179" s="13">
        <f t="shared" si="318"/>
        <v>2292.39</v>
      </c>
      <c r="BS179" s="68">
        <f t="shared" si="261"/>
        <v>3707.61</v>
      </c>
      <c r="BT179" s="268">
        <f t="shared" si="262"/>
        <v>0.38206499999999999</v>
      </c>
      <c r="BU179" s="13">
        <f t="shared" si="263"/>
        <v>6000</v>
      </c>
      <c r="BV179" s="13">
        <f t="shared" si="291"/>
        <v>398</v>
      </c>
      <c r="BW179" s="13">
        <f t="shared" si="291"/>
        <v>0</v>
      </c>
      <c r="BX179" s="13">
        <f t="shared" si="291"/>
        <v>0</v>
      </c>
      <c r="BY179" s="13">
        <f t="shared" si="291"/>
        <v>2971.81</v>
      </c>
      <c r="BZ179" s="13">
        <f t="shared" si="319"/>
        <v>3369.81</v>
      </c>
      <c r="CA179" s="68">
        <f t="shared" si="264"/>
        <v>2630.19</v>
      </c>
      <c r="CB179" s="268">
        <f t="shared" si="265"/>
        <v>0.561635</v>
      </c>
      <c r="CC179" s="13">
        <f t="shared" si="266"/>
        <v>6000</v>
      </c>
      <c r="CD179" s="13">
        <f t="shared" si="292"/>
        <v>0</v>
      </c>
      <c r="CE179" s="13">
        <f t="shared" si="292"/>
        <v>0</v>
      </c>
      <c r="CF179" s="13">
        <f t="shared" si="292"/>
        <v>0</v>
      </c>
      <c r="CG179" s="13">
        <f t="shared" si="292"/>
        <v>3464.09</v>
      </c>
      <c r="CH179" s="13">
        <f t="shared" si="320"/>
        <v>3464.09</v>
      </c>
      <c r="CI179" s="68">
        <f t="shared" si="267"/>
        <v>2535.91</v>
      </c>
      <c r="CJ179" s="268">
        <f t="shared" si="268"/>
        <v>0.57734833333333335</v>
      </c>
      <c r="CK179" s="13">
        <f t="shared" si="269"/>
        <v>6000</v>
      </c>
      <c r="CL179" s="13">
        <f t="shared" si="312"/>
        <v>0</v>
      </c>
      <c r="CM179" s="13">
        <f t="shared" si="312"/>
        <v>0</v>
      </c>
      <c r="CN179" s="13">
        <f t="shared" si="312"/>
        <v>0</v>
      </c>
      <c r="CO179" s="13">
        <f t="shared" si="312"/>
        <v>7186.15</v>
      </c>
      <c r="CP179" s="13">
        <f t="shared" si="312"/>
        <v>0</v>
      </c>
      <c r="CQ179" s="13">
        <f t="shared" si="321"/>
        <v>7186.15</v>
      </c>
      <c r="CR179" s="68">
        <f t="shared" si="270"/>
        <v>-1186.1499999999996</v>
      </c>
      <c r="CS179" s="268">
        <f t="shared" si="271"/>
        <v>1.1976916666666666</v>
      </c>
      <c r="CT179" s="68">
        <f t="shared" si="244"/>
        <v>5500</v>
      </c>
      <c r="CU179" s="13">
        <f>SUMIFS(SALIDAS_BIT,FECHA_BIT,"&gt;="&amp;CU$2,FECHA_BIT,"&lt;="&amp;CU$3,CLAVE_BIT,$A179)+SUMIFS(SALIDAS_BOV1,FECHA_BOV1,"&gt;="&amp;CU$2,FECHA_BOV1,"&lt;="&amp;CU$3,CLAVE_BOV1,$A179)+SUMIFS(SALIDAS_BOV2,FECHA_BOV2,"&gt;="&amp;CU$2,FECHA_BOV2,"&lt;="&amp;CU$3,CLAVE_BOV2,$A179)+SUMIFS(SALIDAS_BOV3,FECHA_BOV3,"&gt;="&amp;CU$2,FECHA_BOV3,"&lt;="&amp;CU$3,CLAVE_BOV3,$A179)+SUMIFS(SALIDAS_TC,FECHA_TC,"&gt;="&amp;CU$2,FECHA_TC,"&lt;="&amp;CU$3,CLAVE_TC,$A179)+SUMIFS(SALIDAS_COMB,FECHA_COMB,"&gt;="&amp;CU$2,FECHA_COMB,"&lt;="&amp;CU$3,CLAVE_COMB,$A179)+SUMIFS(SALIDAS_DES,FECHA_DESGLOSEN,"&gt;="&amp;CU$2,FECHA_DESGLOSEN,"&lt;="&amp;CU$3,CLAVE_DESGLOSE,$A179)</f>
        <v>0</v>
      </c>
      <c r="CV179" s="13">
        <f>SUMIFS(SALIDAS_BIT,FECHA_BIT,"&gt;="&amp;CV$2,FECHA_BIT,"&lt;="&amp;CV$3,CLAVE_BIT,$A179)+SUMIFS(SALIDAS_BOV1,FECHA_BOV1,"&gt;="&amp;CV$2,FECHA_BOV1,"&lt;="&amp;CV$3,CLAVE_BOV1,$A179)+SUMIFS(SALIDAS_BOV2,FECHA_BOV2,"&gt;="&amp;CV$2,FECHA_BOV2,"&lt;="&amp;CV$3,CLAVE_BOV2,$A179)+SUMIFS(SALIDAS_BOV3,FECHA_BOV3,"&gt;="&amp;CV$2,FECHA_BOV3,"&lt;="&amp;CV$3,CLAVE_BOV3,$A179)+SUMIFS(SALIDAS_TC,FECHA_TC,"&gt;="&amp;CV$2,FECHA_TC,"&lt;="&amp;CV$3,CLAVE_TC,$A179)+SUMIFS(SALIDAS_COMB,FECHA_COMB,"&gt;="&amp;CV$2,FECHA_COMB,"&lt;="&amp;CV$3,CLAVE_COMB,$A179)+SUMIFS(SALIDAS_DES,FECHA_DESGLOSEN,"&gt;="&amp;CV$2,FECHA_DESGLOSEN,"&lt;="&amp;CV$3,CLAVE_DESGLOSE,$A179)</f>
        <v>0</v>
      </c>
      <c r="CW179" s="13">
        <f>SUMIFS(SALIDAS_BIT,FECHA_BIT,"&gt;="&amp;CW$2,FECHA_BIT,"&lt;="&amp;CW$3,CLAVE_BIT,$A179)+SUMIFS(SALIDAS_BOV1,FECHA_BOV1,"&gt;="&amp;CW$2,FECHA_BOV1,"&lt;="&amp;CW$3,CLAVE_BOV1,$A179)+SUMIFS(SALIDAS_BOV2,FECHA_BOV2,"&gt;="&amp;CW$2,FECHA_BOV2,"&lt;="&amp;CW$3,CLAVE_BOV2,$A179)+SUMIFS(SALIDAS_BOV3,FECHA_BOV3,"&gt;="&amp;CW$2,FECHA_BOV3,"&lt;="&amp;CW$3,CLAVE_BOV3,$A179)+SUMIFS(SALIDAS_TC,FECHA_TC,"&gt;="&amp;CW$2,FECHA_TC,"&lt;="&amp;CW$3,CLAVE_TC,$A179)+SUMIFS(SALIDAS_COMB,FECHA_COMB,"&gt;="&amp;CW$2,FECHA_COMB,"&lt;="&amp;CW$3,CLAVE_COMB,$A179)+SUMIFS(SALIDAS_DES,FECHA_DESGLOSEN,"&gt;="&amp;CW$2,FECHA_DESGLOSEN,"&lt;="&amp;CW$3,CLAVE_DESGLOSE,$A179)</f>
        <v>0</v>
      </c>
      <c r="CX179" s="13">
        <f>SUMIFS(SALIDAS_BIT,FECHA_BIT,"&gt;="&amp;CX$2,FECHA_BIT,"&lt;="&amp;CX$3,CLAVE_BIT,$A179)+SUMIFS(SALIDAS_BOV1,FECHA_BOV1,"&gt;="&amp;CX$2,FECHA_BOV1,"&lt;="&amp;CX$3,CLAVE_BOV1,$A179)+SUMIFS(SALIDAS_BOV2,FECHA_BOV2,"&gt;="&amp;CX$2,FECHA_BOV2,"&lt;="&amp;CX$3,CLAVE_BOV2,$A179)+SUMIFS(SALIDAS_BOV3,FECHA_BOV3,"&gt;="&amp;CX$2,FECHA_BOV3,"&lt;="&amp;CX$3,CLAVE_BOV3,$A179)+SUMIFS(SALIDAS_TC,FECHA_TC,"&gt;="&amp;CX$2,FECHA_TC,"&lt;="&amp;CX$3,CLAVE_TC,$A179)+SUMIFS(SALIDAS_COMB,FECHA_COMB,"&gt;="&amp;CX$2,FECHA_COMB,"&lt;="&amp;CX$3,CLAVE_COMB,$A179)+SUMIFS(SALIDAS_DES,FECHA_DESGLOSEN,"&gt;="&amp;CX$2,FECHA_DESGLOSEN,"&lt;="&amp;CX$3,CLAVE_DESGLOSE,$A179)</f>
        <v>6985.08</v>
      </c>
      <c r="CY179" s="13">
        <f>SUMIFS(SALIDAS_BIT,FECHA_BIT,"&gt;="&amp;CY$2,FECHA_BIT,"&lt;="&amp;CY$3,CLAVE_BIT,$A179)+SUMIFS(SALIDAS_BOV1,FECHA_BOV1,"&gt;="&amp;CY$2,FECHA_BOV1,"&lt;="&amp;CY$3,CLAVE_BOV1,$A179)+SUMIFS(SALIDAS_BOV2,FECHA_BOV2,"&gt;="&amp;CY$2,FECHA_BOV2,"&lt;="&amp;CY$3,CLAVE_BOV2,$A179)+SUMIFS(SALIDAS_BOV3,FECHA_BOV3,"&gt;="&amp;CY$2,FECHA_BOV3,"&lt;="&amp;CY$3,CLAVE_BOV3,$A179)+SUMIFS(SALIDAS_TC,FECHA_TC,"&gt;="&amp;CY$2,FECHA_TC,"&lt;="&amp;CY$3,CLAVE_TC,$A179)+SUMIFS(SALIDAS_COMB,FECHA_COMB,"&gt;="&amp;CY$2,FECHA_COMB,"&lt;="&amp;CY$3,CLAVE_COMB,$A179)+SUMIFS(SALIDAS_DES,FECHA_DESGLOSEN,"&gt;="&amp;CY$2,FECHA_DESGLOSEN,"&lt;="&amp;CY$3,CLAVE_DESGLOSE,$A179)</f>
        <v>6985.08</v>
      </c>
      <c r="CZ179" s="68">
        <f t="shared" si="272"/>
        <v>-1485.08</v>
      </c>
      <c r="DB179" s="17">
        <f>F179+N179+W179+AE179+AM179+AV179+BD179+BL179+BU179+CC179+CK179</f>
        <v>66000</v>
      </c>
      <c r="DC179" s="17">
        <f>K179+T179+AB179+AJ179+AS179+BA179+BI179+BR179+BZ179+CH179+CQ179</f>
        <v>47333.04</v>
      </c>
    </row>
    <row r="180" spans="1:107" hidden="1">
      <c r="A180" s="12" t="str">
        <f t="shared" si="245"/>
        <v>SERVICIOSREDESHONORARIOS</v>
      </c>
      <c r="B180" s="12">
        <v>182</v>
      </c>
      <c r="C180" t="s">
        <v>21</v>
      </c>
      <c r="D180" s="12" t="s">
        <v>167</v>
      </c>
      <c r="E180" s="12" t="s">
        <v>124</v>
      </c>
      <c r="F180" s="259">
        <f t="shared" si="238"/>
        <v>10000</v>
      </c>
      <c r="G180" s="13">
        <f t="shared" si="313"/>
        <v>0</v>
      </c>
      <c r="H180" s="13">
        <f t="shared" si="313"/>
        <v>0</v>
      </c>
      <c r="I180" s="13">
        <f t="shared" si="313"/>
        <v>0</v>
      </c>
      <c r="J180" s="13">
        <f t="shared" si="313"/>
        <v>0</v>
      </c>
      <c r="K180" s="13">
        <f t="shared" si="313"/>
        <v>0</v>
      </c>
      <c r="L180" s="68">
        <f t="shared" si="246"/>
        <v>10000</v>
      </c>
      <c r="M180" s="268">
        <f t="shared" si="247"/>
        <v>0</v>
      </c>
      <c r="N180" s="13">
        <f t="shared" si="239"/>
        <v>10000</v>
      </c>
      <c r="O180" s="13">
        <f t="shared" si="314"/>
        <v>0</v>
      </c>
      <c r="P180" s="13">
        <f t="shared" si="314"/>
        <v>0</v>
      </c>
      <c r="Q180" s="13">
        <f t="shared" si="314"/>
        <v>0</v>
      </c>
      <c r="R180" s="13">
        <f t="shared" si="314"/>
        <v>0</v>
      </c>
      <c r="S180" s="13">
        <f t="shared" si="314"/>
        <v>10000</v>
      </c>
      <c r="T180" s="13">
        <f t="shared" si="314"/>
        <v>10000</v>
      </c>
      <c r="U180" s="68">
        <f t="shared" si="248"/>
        <v>0</v>
      </c>
      <c r="V180" s="268">
        <f t="shared" si="249"/>
        <v>1</v>
      </c>
      <c r="W180" s="13">
        <f t="shared" si="240"/>
        <v>10000</v>
      </c>
      <c r="X180" s="13">
        <f t="shared" si="315"/>
        <v>0</v>
      </c>
      <c r="Y180" s="13">
        <f t="shared" si="315"/>
        <v>0</v>
      </c>
      <c r="Z180" s="13">
        <f t="shared" si="315"/>
        <v>0</v>
      </c>
      <c r="AA180" s="13">
        <f t="shared" si="315"/>
        <v>10000</v>
      </c>
      <c r="AB180" s="13">
        <f t="shared" si="315"/>
        <v>10000</v>
      </c>
      <c r="AC180" s="68">
        <f t="shared" si="250"/>
        <v>0</v>
      </c>
      <c r="AD180" s="268">
        <f t="shared" si="251"/>
        <v>1</v>
      </c>
      <c r="AE180" s="13">
        <f t="shared" si="241"/>
        <v>10000</v>
      </c>
      <c r="AF180" s="13">
        <f t="shared" si="316"/>
        <v>0</v>
      </c>
      <c r="AG180" s="13">
        <f t="shared" si="316"/>
        <v>0</v>
      </c>
      <c r="AH180" s="13">
        <f t="shared" si="316"/>
        <v>0</v>
      </c>
      <c r="AI180" s="13">
        <f t="shared" si="316"/>
        <v>0</v>
      </c>
      <c r="AJ180" s="13">
        <f t="shared" si="316"/>
        <v>0</v>
      </c>
      <c r="AK180" s="68">
        <f t="shared" si="252"/>
        <v>10000</v>
      </c>
      <c r="AL180" s="268">
        <f t="shared" si="253"/>
        <v>0</v>
      </c>
      <c r="AM180" s="13">
        <f t="shared" si="242"/>
        <v>10000</v>
      </c>
      <c r="AN180" s="13">
        <f t="shared" si="317"/>
        <v>0</v>
      </c>
      <c r="AO180" s="13">
        <f t="shared" si="317"/>
        <v>0</v>
      </c>
      <c r="AP180" s="13">
        <f t="shared" si="317"/>
        <v>0</v>
      </c>
      <c r="AQ180" s="13">
        <f t="shared" si="317"/>
        <v>0</v>
      </c>
      <c r="AR180" s="13">
        <f t="shared" si="317"/>
        <v>0</v>
      </c>
      <c r="AS180" s="13">
        <f t="shared" si="317"/>
        <v>0</v>
      </c>
      <c r="AT180" s="68">
        <f>AM180-AS180</f>
        <v>10000</v>
      </c>
      <c r="AU180" s="268">
        <f t="shared" si="254"/>
        <v>0</v>
      </c>
      <c r="AV180" s="13">
        <f t="shared" si="243"/>
        <v>0</v>
      </c>
      <c r="AW180" s="13">
        <f t="shared" si="222"/>
        <v>0</v>
      </c>
      <c r="AX180" s="13">
        <f t="shared" si="222"/>
        <v>0</v>
      </c>
      <c r="AY180" s="13">
        <f t="shared" si="222"/>
        <v>0</v>
      </c>
      <c r="AZ180" s="13">
        <f t="shared" ref="AZ180" si="322">SUMIFS(SALIDAS_BIT,FECHA_BIT,"&gt;="&amp;AZ$2,FECHA_BIT,"&lt;="&amp;AZ$3,CLAVE_BIT,$A180)+SUMIFS(SALIDAS_BOV1,FECHA_BOV1,"&gt;="&amp;AZ$2,FECHA_BOV1,"&lt;="&amp;AZ$3,CLAVE_BOV1,$A180)+SUMIFS(SALIDAS_BOV2,FECHA_BOV2,"&gt;="&amp;AZ$2,FECHA_BOV2,"&lt;="&amp;AZ$3,CLAVE_BOV2,$A180)+SUMIFS(SALIDAS_BOV3,FECHA_BOV3,"&gt;="&amp;AZ$2,FECHA_BOV3,"&lt;="&amp;AZ$3,CLAVE_BOV3,$A180)+SUMIFS(SALIDAS_TC,FECHA_TC,"&gt;="&amp;AZ$2,FECHA_TC,"&lt;="&amp;AZ$3,CLAVE_TC,$A180)+SUMIFS(SALIDAS_COMB,FECHA_COMB,"&gt;="&amp;AZ$2,FECHA_COMB,"&lt;="&amp;AZ$3,CLAVE_COMB,$A180)+SUMIFS(SALIDAS_DES,FECHA_DESGLOSEN,"&gt;="&amp;AZ$2,FECHA_DESGLOSEN,"&lt;="&amp;AZ$3,CLAVE_DESGLOSE,$A180)</f>
        <v>0</v>
      </c>
      <c r="BA180" s="13">
        <f t="shared" si="223"/>
        <v>0</v>
      </c>
      <c r="BB180" s="68">
        <f t="shared" si="255"/>
        <v>0</v>
      </c>
      <c r="BC180" s="268">
        <f t="shared" si="256"/>
        <v>0</v>
      </c>
      <c r="BD180" s="13">
        <f t="shared" si="257"/>
        <v>0</v>
      </c>
      <c r="BE180" s="13">
        <f>SUMIFS(SALIDAS_BIT,FECHA_BIT,"&gt;="&amp;BE$2,FECHA_BIT,"&lt;="&amp;BE$3,CLAVE_BIT,$A180)+SUMIFS(SALIDAS_BOV1,FECHA_BOV1,"&gt;="&amp;BE$2,FECHA_BOV1,"&lt;="&amp;BE$3,CLAVE_BOV1,$A180)+SUMIFS(SALIDAS_BOV2,FECHA_BOV2,"&gt;="&amp;BE$2,FECHA_BOV2,"&lt;="&amp;BE$3,CLAVE_BOV2,$A180)+SUMIFS(SALIDAS_BOV3,FECHA_BOV3,"&gt;="&amp;BE$2,FECHA_BOV3,"&lt;="&amp;BE$3,CLAVE_BOV3,$A180)+SUMIFS(SALIDAS_TC,FECHA_TC,"&gt;="&amp;BE$2,FECHA_TC,"&lt;="&amp;BE$3,CLAVE_TC,$A180)+SUMIFS(SALIDAS_COMB,FECHA_COMB,"&gt;="&amp;BE$2,FECHA_COMB,"&lt;="&amp;BE$3,CLAVE_COMB,$A180)+SUMIFS(SALIDAS_DES,FECHA_DESGLOSEN,"&gt;="&amp;BE$2,FECHA_DESGLOSEN,"&lt;="&amp;BE$3,CLAVE_DESGLOSE,$A180)</f>
        <v>0</v>
      </c>
      <c r="BF180" s="13">
        <f>SUMIFS(SALIDAS_BIT,FECHA_BIT,"&gt;="&amp;BF$2,FECHA_BIT,"&lt;="&amp;BF$3,CLAVE_BIT,$A180)+SUMIFS(SALIDAS_BOV1,FECHA_BOV1,"&gt;="&amp;BF$2,FECHA_BOV1,"&lt;="&amp;BF$3,CLAVE_BOV1,$A180)+SUMIFS(SALIDAS_BOV2,FECHA_BOV2,"&gt;="&amp;BF$2,FECHA_BOV2,"&lt;="&amp;BF$3,CLAVE_BOV2,$A180)+SUMIFS(SALIDAS_BOV3,FECHA_BOV3,"&gt;="&amp;BF$2,FECHA_BOV3,"&lt;="&amp;BF$3,CLAVE_BOV3,$A180)+SUMIFS(SALIDAS_TC,FECHA_TC,"&gt;="&amp;BF$2,FECHA_TC,"&lt;="&amp;BF$3,CLAVE_TC,$A180)+SUMIFS(SALIDAS_COMB,FECHA_COMB,"&gt;="&amp;BF$2,FECHA_COMB,"&lt;="&amp;BF$3,CLAVE_COMB,$A180)+SUMIFS(SALIDAS_DES,FECHA_DESGLOSEN,"&gt;="&amp;BF$2,FECHA_DESGLOSEN,"&lt;="&amp;BF$3,CLAVE_DESGLOSE,$A180)</f>
        <v>0</v>
      </c>
      <c r="BG180" s="13">
        <f>SUMIFS(SALIDAS_BIT,FECHA_BIT,"&gt;="&amp;BG$2,FECHA_BIT,"&lt;="&amp;BG$3,CLAVE_BIT,$A180)+SUMIFS(SALIDAS_BOV1,FECHA_BOV1,"&gt;="&amp;BG$2,FECHA_BOV1,"&lt;="&amp;BG$3,CLAVE_BOV1,$A180)+SUMIFS(SALIDAS_BOV2,FECHA_BOV2,"&gt;="&amp;BG$2,FECHA_BOV2,"&lt;="&amp;BG$3,CLAVE_BOV2,$A180)+SUMIFS(SALIDAS_BOV3,FECHA_BOV3,"&gt;="&amp;BG$2,FECHA_BOV3,"&lt;="&amp;BG$3,CLAVE_BOV3,$A180)+SUMIFS(SALIDAS_TC,FECHA_TC,"&gt;="&amp;BG$2,FECHA_TC,"&lt;="&amp;BG$3,CLAVE_TC,$A180)+SUMIFS(SALIDAS_COMB,FECHA_COMB,"&gt;="&amp;BG$2,FECHA_COMB,"&lt;="&amp;BG$3,CLAVE_COMB,$A180)+SUMIFS(SALIDAS_DES,FECHA_DESGLOSEN,"&gt;="&amp;BG$2,FECHA_DESGLOSEN,"&lt;="&amp;BG$3,CLAVE_DESGLOSE,$A180)</f>
        <v>0</v>
      </c>
      <c r="BH180" s="13">
        <f>SUMIFS(SALIDAS_BIT,FECHA_BIT,"&gt;="&amp;BH$2,FECHA_BIT,"&lt;="&amp;BH$3,CLAVE_BIT,$A180)+SUMIFS(SALIDAS_BOV1,FECHA_BOV1,"&gt;="&amp;BH$2,FECHA_BOV1,"&lt;="&amp;BH$3,CLAVE_BOV1,$A180)+SUMIFS(SALIDAS_BOV2,FECHA_BOV2,"&gt;="&amp;BH$2,FECHA_BOV2,"&lt;="&amp;BH$3,CLAVE_BOV2,$A180)+SUMIFS(SALIDAS_BOV3,FECHA_BOV3,"&gt;="&amp;BH$2,FECHA_BOV3,"&lt;="&amp;BH$3,CLAVE_BOV3,$A180)+SUMIFS(SALIDAS_TC,FECHA_TC,"&gt;="&amp;BH$2,FECHA_TC,"&lt;="&amp;BH$3,CLAVE_TC,$A180)+SUMIFS(SALIDAS_COMB,FECHA_COMB,"&gt;="&amp;BH$2,FECHA_COMB,"&lt;="&amp;BH$3,CLAVE_COMB,$A180)+SUMIFS(SALIDAS_DES,FECHA_DESGLOSEN,"&gt;="&amp;BH$2,FECHA_DESGLOSEN,"&lt;="&amp;BH$3,CLAVE_DESGLOSE,$A180)</f>
        <v>0</v>
      </c>
      <c r="BI180" s="13">
        <f t="shared" si="311"/>
        <v>0</v>
      </c>
      <c r="BJ180" s="68">
        <f t="shared" si="258"/>
        <v>0</v>
      </c>
      <c r="BK180" s="268">
        <f t="shared" si="259"/>
        <v>0</v>
      </c>
      <c r="BL180" s="13">
        <f t="shared" si="260"/>
        <v>0</v>
      </c>
      <c r="BM180" s="13">
        <f>SUMIFS(SALIDAS_BIT,FECHA_BIT,"&gt;="&amp;BM$2,FECHA_BIT,"&lt;="&amp;BM$3,CLAVE_BIT,$A180)+SUMIFS(SALIDAS_BOV1,FECHA_BOV1,"&gt;="&amp;BM$2,FECHA_BOV1,"&lt;="&amp;BM$3,CLAVE_BOV1,$A180)+SUMIFS(SALIDAS_BOV2,FECHA_BOV2,"&gt;="&amp;BM$2,FECHA_BOV2,"&lt;="&amp;BM$3,CLAVE_BOV2,$A180)+SUMIFS(SALIDAS_BOV3,FECHA_BOV3,"&gt;="&amp;BM$2,FECHA_BOV3,"&lt;="&amp;BM$3,CLAVE_BOV3,$A180)+SUMIFS(SALIDAS_TC,FECHA_TC,"&gt;="&amp;BM$2,FECHA_TC,"&lt;="&amp;BM$3,CLAVE_TC,$A180)+SUMIFS(SALIDAS_COMB,FECHA_COMB,"&gt;="&amp;BM$2,FECHA_COMB,"&lt;="&amp;BM$3,CLAVE_COMB,$A180)+SUMIFS(SALIDAS_DES,FECHA_DESGLOSEN,"&gt;="&amp;BM$2,FECHA_DESGLOSEN,"&lt;="&amp;BM$3,CLAVE_DESGLOSE,$A180)</f>
        <v>0</v>
      </c>
      <c r="BN180" s="13">
        <f>SUMIFS(SALIDAS_BIT,FECHA_BIT,"&gt;="&amp;BN$2,FECHA_BIT,"&lt;="&amp;BN$3,CLAVE_BIT,$A180)+SUMIFS(SALIDAS_BOV1,FECHA_BOV1,"&gt;="&amp;BN$2,FECHA_BOV1,"&lt;="&amp;BN$3,CLAVE_BOV1,$A180)+SUMIFS(SALIDAS_BOV2,FECHA_BOV2,"&gt;="&amp;BN$2,FECHA_BOV2,"&lt;="&amp;BN$3,CLAVE_BOV2,$A180)+SUMIFS(SALIDAS_BOV3,FECHA_BOV3,"&gt;="&amp;BN$2,FECHA_BOV3,"&lt;="&amp;BN$3,CLAVE_BOV3,$A180)+SUMIFS(SALIDAS_TC,FECHA_TC,"&gt;="&amp;BN$2,FECHA_TC,"&lt;="&amp;BN$3,CLAVE_TC,$A180)+SUMIFS(SALIDAS_COMB,FECHA_COMB,"&gt;="&amp;BN$2,FECHA_COMB,"&lt;="&amp;BN$3,CLAVE_COMB,$A180)+SUMIFS(SALIDAS_DES,FECHA_DESGLOSEN,"&gt;="&amp;BN$2,FECHA_DESGLOSEN,"&lt;="&amp;BN$3,CLAVE_DESGLOSE,$A180)</f>
        <v>0</v>
      </c>
      <c r="BO180" s="13">
        <f>SUMIFS(SALIDAS_BIT,FECHA_BIT,"&gt;="&amp;BO$2,FECHA_BIT,"&lt;="&amp;BO$3,CLAVE_BIT,$A180)+SUMIFS(SALIDAS_BOV1,FECHA_BOV1,"&gt;="&amp;BO$2,FECHA_BOV1,"&lt;="&amp;BO$3,CLAVE_BOV1,$A180)+SUMIFS(SALIDAS_BOV2,FECHA_BOV2,"&gt;="&amp;BO$2,FECHA_BOV2,"&lt;="&amp;BO$3,CLAVE_BOV2,$A180)+SUMIFS(SALIDAS_BOV3,FECHA_BOV3,"&gt;="&amp;BO$2,FECHA_BOV3,"&lt;="&amp;BO$3,CLAVE_BOV3,$A180)+SUMIFS(SALIDAS_TC,FECHA_TC,"&gt;="&amp;BO$2,FECHA_TC,"&lt;="&amp;BO$3,CLAVE_TC,$A180)+SUMIFS(SALIDAS_COMB,FECHA_COMB,"&gt;="&amp;BO$2,FECHA_COMB,"&lt;="&amp;BO$3,CLAVE_COMB,$A180)+SUMIFS(SALIDAS_DES,FECHA_DESGLOSEN,"&gt;="&amp;BO$2,FECHA_DESGLOSEN,"&lt;="&amp;BO$3,CLAVE_DESGLOSE,$A180)</f>
        <v>0</v>
      </c>
      <c r="BP180" s="13">
        <f>SUMIFS(SALIDAS_BIT,FECHA_BIT,"&gt;="&amp;BP$2,FECHA_BIT,"&lt;="&amp;BP$3,CLAVE_BIT,$A180)+SUMIFS(SALIDAS_BOV1,FECHA_BOV1,"&gt;="&amp;BP$2,FECHA_BOV1,"&lt;="&amp;BP$3,CLAVE_BOV1,$A180)+SUMIFS(SALIDAS_BOV2,FECHA_BOV2,"&gt;="&amp;BP$2,FECHA_BOV2,"&lt;="&amp;BP$3,CLAVE_BOV2,$A180)+SUMIFS(SALIDAS_BOV3,FECHA_BOV3,"&gt;="&amp;BP$2,FECHA_BOV3,"&lt;="&amp;BP$3,CLAVE_BOV3,$A180)+SUMIFS(SALIDAS_TC,FECHA_TC,"&gt;="&amp;BP$2,FECHA_TC,"&lt;="&amp;BP$3,CLAVE_TC,$A180)+SUMIFS(SALIDAS_COMB,FECHA_COMB,"&gt;="&amp;BP$2,FECHA_COMB,"&lt;="&amp;BP$3,CLAVE_COMB,$A180)+SUMIFS(SALIDAS_DES,FECHA_DESGLOSEN,"&gt;="&amp;BP$2,FECHA_DESGLOSEN,"&lt;="&amp;BP$3,CLAVE_DESGLOSE,$A180)</f>
        <v>0</v>
      </c>
      <c r="BQ180" s="13">
        <f>SUMIFS(SALIDAS_BIT,FECHA_BIT,"&gt;="&amp;BQ$2,FECHA_BIT,"&lt;="&amp;BQ$3,CLAVE_BIT,$A180)+SUMIFS(SALIDAS_BOV1,FECHA_BOV1,"&gt;="&amp;BQ$2,FECHA_BOV1,"&lt;="&amp;BQ$3,CLAVE_BOV1,$A180)+SUMIFS(SALIDAS_BOV2,FECHA_BOV2,"&gt;="&amp;BQ$2,FECHA_BOV2,"&lt;="&amp;BQ$3,CLAVE_BOV2,$A180)+SUMIFS(SALIDAS_BOV3,FECHA_BOV3,"&gt;="&amp;BQ$2,FECHA_BOV3,"&lt;="&amp;BQ$3,CLAVE_BOV3,$A180)+SUMIFS(SALIDAS_TC,FECHA_TC,"&gt;="&amp;BQ$2,FECHA_TC,"&lt;="&amp;BQ$3,CLAVE_TC,$A180)+SUMIFS(SALIDAS_COMB,FECHA_COMB,"&gt;="&amp;BQ$2,FECHA_COMB,"&lt;="&amp;BQ$3,CLAVE_COMB,$A180)+SUMIFS(SALIDAS_DES,FECHA_DESGLOSEN,"&gt;="&amp;BQ$2,FECHA_DESGLOSEN,"&lt;="&amp;BQ$3,CLAVE_DESGLOSE,$A180)</f>
        <v>0</v>
      </c>
      <c r="BR180" s="13">
        <f t="shared" si="318"/>
        <v>0</v>
      </c>
      <c r="BS180" s="68">
        <f t="shared" si="261"/>
        <v>0</v>
      </c>
      <c r="BT180" s="268">
        <f t="shared" si="262"/>
        <v>0</v>
      </c>
      <c r="BU180" s="13">
        <f t="shared" si="263"/>
        <v>0</v>
      </c>
      <c r="BV180" s="13">
        <f t="shared" si="291"/>
        <v>0</v>
      </c>
      <c r="BW180" s="13">
        <f t="shared" si="291"/>
        <v>0</v>
      </c>
      <c r="BX180" s="13">
        <f t="shared" si="291"/>
        <v>0</v>
      </c>
      <c r="BY180" s="13">
        <f t="shared" si="291"/>
        <v>0</v>
      </c>
      <c r="BZ180" s="13">
        <f t="shared" si="319"/>
        <v>0</v>
      </c>
      <c r="CA180" s="68">
        <f t="shared" si="264"/>
        <v>0</v>
      </c>
      <c r="CB180" s="268">
        <f t="shared" si="265"/>
        <v>0</v>
      </c>
      <c r="CC180" s="13">
        <f t="shared" si="266"/>
        <v>0</v>
      </c>
      <c r="CD180" s="13">
        <f t="shared" si="292"/>
        <v>0</v>
      </c>
      <c r="CE180" s="13">
        <f t="shared" si="292"/>
        <v>0</v>
      </c>
      <c r="CF180" s="13">
        <f t="shared" si="292"/>
        <v>0</v>
      </c>
      <c r="CG180" s="13">
        <f t="shared" si="292"/>
        <v>0</v>
      </c>
      <c r="CH180" s="13">
        <f t="shared" si="320"/>
        <v>0</v>
      </c>
      <c r="CI180" s="68">
        <f t="shared" si="267"/>
        <v>0</v>
      </c>
      <c r="CJ180" s="268">
        <f t="shared" si="268"/>
        <v>0</v>
      </c>
      <c r="CK180" s="13">
        <f t="shared" si="269"/>
        <v>0</v>
      </c>
      <c r="CL180" s="13">
        <f t="shared" si="312"/>
        <v>0</v>
      </c>
      <c r="CM180" s="13">
        <f t="shared" si="312"/>
        <v>0</v>
      </c>
      <c r="CN180" s="13">
        <f t="shared" si="312"/>
        <v>0</v>
      </c>
      <c r="CO180" s="13">
        <f t="shared" si="312"/>
        <v>0</v>
      </c>
      <c r="CP180" s="13">
        <f t="shared" si="312"/>
        <v>0</v>
      </c>
      <c r="CQ180" s="13">
        <f t="shared" si="321"/>
        <v>0</v>
      </c>
      <c r="CR180" s="68">
        <f t="shared" si="270"/>
        <v>0</v>
      </c>
      <c r="CS180" s="268">
        <f t="shared" si="271"/>
        <v>0</v>
      </c>
      <c r="CT180" s="68">
        <f t="shared" si="244"/>
        <v>0</v>
      </c>
      <c r="CU180" s="13">
        <f>SUMIFS(SALIDAS_BIT,FECHA_BIT,"&gt;="&amp;CU$2,FECHA_BIT,"&lt;="&amp;CU$3,CLAVE_BIT,$A180)+SUMIFS(SALIDAS_BOV1,FECHA_BOV1,"&gt;="&amp;CU$2,FECHA_BOV1,"&lt;="&amp;CU$3,CLAVE_BOV1,$A180)+SUMIFS(SALIDAS_BOV2,FECHA_BOV2,"&gt;="&amp;CU$2,FECHA_BOV2,"&lt;="&amp;CU$3,CLAVE_BOV2,$A180)+SUMIFS(SALIDAS_BOV3,FECHA_BOV3,"&gt;="&amp;CU$2,FECHA_BOV3,"&lt;="&amp;CU$3,CLAVE_BOV3,$A180)+SUMIFS(SALIDAS_TC,FECHA_TC,"&gt;="&amp;CU$2,FECHA_TC,"&lt;="&amp;CU$3,CLAVE_TC,$A180)+SUMIFS(SALIDAS_COMB,FECHA_COMB,"&gt;="&amp;CU$2,FECHA_COMB,"&lt;="&amp;CU$3,CLAVE_COMB,$A180)+SUMIFS(SALIDAS_DES,FECHA_DESGLOSEN,"&gt;="&amp;CU$2,FECHA_DESGLOSEN,"&lt;="&amp;CU$3,CLAVE_DESGLOSE,$A180)</f>
        <v>0</v>
      </c>
      <c r="CV180" s="13">
        <f>SUMIFS(SALIDAS_BIT,FECHA_BIT,"&gt;="&amp;CV$2,FECHA_BIT,"&lt;="&amp;CV$3,CLAVE_BIT,$A180)+SUMIFS(SALIDAS_BOV1,FECHA_BOV1,"&gt;="&amp;CV$2,FECHA_BOV1,"&lt;="&amp;CV$3,CLAVE_BOV1,$A180)+SUMIFS(SALIDAS_BOV2,FECHA_BOV2,"&gt;="&amp;CV$2,FECHA_BOV2,"&lt;="&amp;CV$3,CLAVE_BOV2,$A180)+SUMIFS(SALIDAS_BOV3,FECHA_BOV3,"&gt;="&amp;CV$2,FECHA_BOV3,"&lt;="&amp;CV$3,CLAVE_BOV3,$A180)+SUMIFS(SALIDAS_TC,FECHA_TC,"&gt;="&amp;CV$2,FECHA_TC,"&lt;="&amp;CV$3,CLAVE_TC,$A180)+SUMIFS(SALIDAS_COMB,FECHA_COMB,"&gt;="&amp;CV$2,FECHA_COMB,"&lt;="&amp;CV$3,CLAVE_COMB,$A180)+SUMIFS(SALIDAS_DES,FECHA_DESGLOSEN,"&gt;="&amp;CV$2,FECHA_DESGLOSEN,"&lt;="&amp;CV$3,CLAVE_DESGLOSE,$A180)</f>
        <v>0</v>
      </c>
      <c r="CW180" s="13">
        <f>SUMIFS(SALIDAS_BIT,FECHA_BIT,"&gt;="&amp;CW$2,FECHA_BIT,"&lt;="&amp;CW$3,CLAVE_BIT,$A180)+SUMIFS(SALIDAS_BOV1,FECHA_BOV1,"&gt;="&amp;CW$2,FECHA_BOV1,"&lt;="&amp;CW$3,CLAVE_BOV1,$A180)+SUMIFS(SALIDAS_BOV2,FECHA_BOV2,"&gt;="&amp;CW$2,FECHA_BOV2,"&lt;="&amp;CW$3,CLAVE_BOV2,$A180)+SUMIFS(SALIDAS_BOV3,FECHA_BOV3,"&gt;="&amp;CW$2,FECHA_BOV3,"&lt;="&amp;CW$3,CLAVE_BOV3,$A180)+SUMIFS(SALIDAS_TC,FECHA_TC,"&gt;="&amp;CW$2,FECHA_TC,"&lt;="&amp;CW$3,CLAVE_TC,$A180)+SUMIFS(SALIDAS_COMB,FECHA_COMB,"&gt;="&amp;CW$2,FECHA_COMB,"&lt;="&amp;CW$3,CLAVE_COMB,$A180)+SUMIFS(SALIDAS_DES,FECHA_DESGLOSEN,"&gt;="&amp;CW$2,FECHA_DESGLOSEN,"&lt;="&amp;CW$3,CLAVE_DESGLOSE,$A180)</f>
        <v>0</v>
      </c>
      <c r="CX180" s="13">
        <f>SUMIFS(SALIDAS_BIT,FECHA_BIT,"&gt;="&amp;CX$2,FECHA_BIT,"&lt;="&amp;CX$3,CLAVE_BIT,$A180)+SUMIFS(SALIDAS_BOV1,FECHA_BOV1,"&gt;="&amp;CX$2,FECHA_BOV1,"&lt;="&amp;CX$3,CLAVE_BOV1,$A180)+SUMIFS(SALIDAS_BOV2,FECHA_BOV2,"&gt;="&amp;CX$2,FECHA_BOV2,"&lt;="&amp;CX$3,CLAVE_BOV2,$A180)+SUMIFS(SALIDAS_BOV3,FECHA_BOV3,"&gt;="&amp;CX$2,FECHA_BOV3,"&lt;="&amp;CX$3,CLAVE_BOV3,$A180)+SUMIFS(SALIDAS_TC,FECHA_TC,"&gt;="&amp;CX$2,FECHA_TC,"&lt;="&amp;CX$3,CLAVE_TC,$A180)+SUMIFS(SALIDAS_COMB,FECHA_COMB,"&gt;="&amp;CX$2,FECHA_COMB,"&lt;="&amp;CX$3,CLAVE_COMB,$A180)+SUMIFS(SALIDAS_DES,FECHA_DESGLOSEN,"&gt;="&amp;CX$2,FECHA_DESGLOSEN,"&lt;="&amp;CX$3,CLAVE_DESGLOSE,$A180)</f>
        <v>0</v>
      </c>
      <c r="CY180" s="13">
        <f>SUMIFS(SALIDAS_BIT,FECHA_BIT,"&gt;="&amp;CY$2,FECHA_BIT,"&lt;="&amp;CY$3,CLAVE_BIT,$A180)+SUMIFS(SALIDAS_BOV1,FECHA_BOV1,"&gt;="&amp;CY$2,FECHA_BOV1,"&lt;="&amp;CY$3,CLAVE_BOV1,$A180)+SUMIFS(SALIDAS_BOV2,FECHA_BOV2,"&gt;="&amp;CY$2,FECHA_BOV2,"&lt;="&amp;CY$3,CLAVE_BOV2,$A180)+SUMIFS(SALIDAS_BOV3,FECHA_BOV3,"&gt;="&amp;CY$2,FECHA_BOV3,"&lt;="&amp;CY$3,CLAVE_BOV3,$A180)+SUMIFS(SALIDAS_TC,FECHA_TC,"&gt;="&amp;CY$2,FECHA_TC,"&lt;="&amp;CY$3,CLAVE_TC,$A180)+SUMIFS(SALIDAS_COMB,FECHA_COMB,"&gt;="&amp;CY$2,FECHA_COMB,"&lt;="&amp;CY$3,CLAVE_COMB,$A180)+SUMIFS(SALIDAS_DES,FECHA_DESGLOSEN,"&gt;="&amp;CY$2,FECHA_DESGLOSEN,"&lt;="&amp;CY$3,CLAVE_DESGLOSE,$A180)</f>
        <v>0</v>
      </c>
      <c r="CZ180" s="68">
        <f t="shared" si="272"/>
        <v>0</v>
      </c>
      <c r="DB180" s="17">
        <f>F180+N180+W180+AE180+AM180+AV180+BD180+BL180+BU180+CC180+CK180</f>
        <v>50000</v>
      </c>
      <c r="DC180" s="17">
        <f>K180+T180+AB180+AJ180+AS180+BA180+BI180+BR180+BZ180+CH180+CQ180</f>
        <v>20000</v>
      </c>
    </row>
    <row r="181" spans="1:107" hidden="1">
      <c r="A181" s="12" t="str">
        <f t="shared" si="245"/>
        <v>HRFONDO Y REPOSICIONHR</v>
      </c>
      <c r="B181" s="12">
        <v>183</v>
      </c>
      <c r="C181" t="s">
        <v>29</v>
      </c>
      <c r="D181" s="12" t="s">
        <v>120</v>
      </c>
      <c r="E181" s="12" t="s">
        <v>29</v>
      </c>
      <c r="F181" s="259">
        <f t="shared" si="238"/>
        <v>30000</v>
      </c>
      <c r="G181" s="13">
        <f>SUMIFS(SALIDAS_BIT,FECHA_BIT,"&gt;="&amp;G$2,FECHA_BIT,"&lt;="&amp;G$3,CLAVE_BIT,$A181)+SUMIFS(SALIDAS_BOV1,FECHA_BOV1,"&gt;="&amp;G$2,FECHA_BOV1,"&lt;="&amp;G$3,CLAVE_BOV1,$A181)+SUMIFS(SALIDAS_BOV2,FECHA_BOV2,"&gt;="&amp;G$2,FECHA_BOV2,"&lt;="&amp;G$3,CLAVE_BOV2,$A181)+SUMIFS(SALIDAS_BOV3,FECHA_BOV3,"&gt;="&amp;G$2,FECHA_BOV3,"&lt;="&amp;G$3,CLAVE_BOV3,$A181)+SUMIFS(SALIDAS_TC,FECHA_TC,"&gt;="&amp;G$2,FECHA_TC,"&lt;="&amp;G$3,CLAVE_TC,$A181)+SUMIFS(SALIDAS_COMB,FECHA_COMB,"&gt;="&amp;G$2,FECHA_COMB,"&lt;="&amp;G$3,CLAVE_COMB,$A181)+SUMIFS(SALIDAS_DES,FECHA_DESGLOSEN,"&gt;="&amp;G$2,FECHA_DESGLOSEN,"&lt;="&amp;G$3,CLAVE_DESGLOSE,$A181)</f>
        <v>8000</v>
      </c>
      <c r="H181" s="13">
        <f t="shared" si="313"/>
        <v>13376</v>
      </c>
      <c r="I181" s="13">
        <f t="shared" si="313"/>
        <v>5554</v>
      </c>
      <c r="J181" s="13">
        <f t="shared" si="313"/>
        <v>1355</v>
      </c>
      <c r="K181" s="13">
        <f t="shared" si="313"/>
        <v>28285</v>
      </c>
      <c r="L181" s="68">
        <f t="shared" si="246"/>
        <v>1715</v>
      </c>
      <c r="M181" s="268">
        <f t="shared" si="247"/>
        <v>0.9428333333333333</v>
      </c>
      <c r="N181" s="13">
        <f t="shared" si="239"/>
        <v>37500</v>
      </c>
      <c r="O181" s="13">
        <f t="shared" si="314"/>
        <v>7377</v>
      </c>
      <c r="P181" s="13">
        <f t="shared" si="314"/>
        <v>6799</v>
      </c>
      <c r="Q181" s="13">
        <f t="shared" si="314"/>
        <v>4248</v>
      </c>
      <c r="R181" s="13">
        <f t="shared" si="314"/>
        <v>2432</v>
      </c>
      <c r="S181" s="13">
        <f t="shared" si="314"/>
        <v>3560</v>
      </c>
      <c r="T181" s="13">
        <f t="shared" si="314"/>
        <v>24416</v>
      </c>
      <c r="U181" s="68">
        <f t="shared" si="248"/>
        <v>13084</v>
      </c>
      <c r="V181" s="268">
        <f t="shared" si="249"/>
        <v>0.6510933333333333</v>
      </c>
      <c r="W181" s="13">
        <f t="shared" si="240"/>
        <v>30000</v>
      </c>
      <c r="X181" s="13">
        <f t="shared" si="315"/>
        <v>8700</v>
      </c>
      <c r="Y181" s="13">
        <f t="shared" si="315"/>
        <v>8847</v>
      </c>
      <c r="Z181" s="13">
        <f t="shared" si="315"/>
        <v>8500</v>
      </c>
      <c r="AA181" s="13">
        <f t="shared" si="315"/>
        <v>3465</v>
      </c>
      <c r="AB181" s="13">
        <f t="shared" si="315"/>
        <v>29512</v>
      </c>
      <c r="AC181" s="68">
        <f t="shared" si="250"/>
        <v>488</v>
      </c>
      <c r="AD181" s="268">
        <f t="shared" si="251"/>
        <v>0.98373333333333335</v>
      </c>
      <c r="AE181" s="13">
        <f t="shared" si="241"/>
        <v>36000</v>
      </c>
      <c r="AF181" s="13">
        <f t="shared" si="316"/>
        <v>12145</v>
      </c>
      <c r="AG181" s="13">
        <f t="shared" si="316"/>
        <v>7703</v>
      </c>
      <c r="AH181" s="13">
        <f t="shared" si="316"/>
        <v>3720</v>
      </c>
      <c r="AI181" s="13">
        <f t="shared" si="316"/>
        <v>3457</v>
      </c>
      <c r="AJ181" s="13">
        <f t="shared" si="316"/>
        <v>27025</v>
      </c>
      <c r="AK181" s="68">
        <f t="shared" si="252"/>
        <v>8975</v>
      </c>
      <c r="AL181" s="268">
        <f t="shared" si="253"/>
        <v>0.75069444444444444</v>
      </c>
      <c r="AM181" s="13">
        <f t="shared" si="242"/>
        <v>37500</v>
      </c>
      <c r="AN181" s="13">
        <f t="shared" si="317"/>
        <v>20</v>
      </c>
      <c r="AO181" s="13">
        <f t="shared" si="317"/>
        <v>6500</v>
      </c>
      <c r="AP181" s="13">
        <f t="shared" si="317"/>
        <v>7867</v>
      </c>
      <c r="AQ181" s="13">
        <f t="shared" si="317"/>
        <v>9000</v>
      </c>
      <c r="AR181" s="13">
        <f t="shared" si="317"/>
        <v>9345</v>
      </c>
      <c r="AS181" s="13">
        <f t="shared" si="317"/>
        <v>32732</v>
      </c>
      <c r="AT181" s="68">
        <f>AM181-AS181</f>
        <v>4768</v>
      </c>
      <c r="AU181" s="268">
        <f t="shared" si="254"/>
        <v>0.87285333333333337</v>
      </c>
      <c r="AV181" s="13">
        <f t="shared" si="243"/>
        <v>30000</v>
      </c>
      <c r="AW181" s="13">
        <f t="shared" ref="AW181:AZ243" si="323">SUMIFS(SALIDAS_BIT,FECHA_BIT,"&gt;="&amp;AW$2,FECHA_BIT,"&lt;="&amp;AW$3,CLAVE_BIT,$A181)+SUMIFS(SALIDAS_BOV1,FECHA_BOV1,"&gt;="&amp;AW$2,FECHA_BOV1,"&lt;="&amp;AW$3,CLAVE_BOV1,$A181)+SUMIFS(SALIDAS_BOV2,FECHA_BOV2,"&gt;="&amp;AW$2,FECHA_BOV2,"&lt;="&amp;AW$3,CLAVE_BOV2,$A181)+SUMIFS(SALIDAS_BOV3,FECHA_BOV3,"&gt;="&amp;AW$2,FECHA_BOV3,"&lt;="&amp;AW$3,CLAVE_BOV3,$A181)+SUMIFS(SALIDAS_TC,FECHA_TC,"&gt;="&amp;AW$2,FECHA_TC,"&lt;="&amp;AW$3,CLAVE_TC,$A181)+SUMIFS(SALIDAS_COMB,FECHA_COMB,"&gt;="&amp;AW$2,FECHA_COMB,"&lt;="&amp;AW$3,CLAVE_COMB,$A181)+SUMIFS(SALIDAS_DES,FECHA_DESGLOSEN,"&gt;="&amp;AW$2,FECHA_DESGLOSEN,"&lt;="&amp;AW$3,CLAVE_DESGLOSE,$A181)</f>
        <v>9771</v>
      </c>
      <c r="AX181" s="13">
        <f t="shared" si="323"/>
        <v>9000</v>
      </c>
      <c r="AY181" s="13">
        <f t="shared" si="323"/>
        <v>7210</v>
      </c>
      <c r="AZ181" s="13">
        <f t="shared" si="323"/>
        <v>4584</v>
      </c>
      <c r="BA181" s="13">
        <f t="shared" ref="BA181:BA200" si="324">SUMIFS(SALIDAS_BIT,FECHA_BIT,"&gt;="&amp;BA$2,FECHA_BIT,"&lt;="&amp;BA$3,CLAVE_BIT,$A181)+SUMIFS(SALIDAS_BOV1,FECHA_BOV1,"&gt;="&amp;BA$2,FECHA_BOV1,"&lt;="&amp;BA$3,CLAVE_BOV1,$A181)+SUMIFS(SALIDAS_BOV2,FECHA_BOV2,"&gt;="&amp;BA$2,FECHA_BOV2,"&lt;="&amp;BA$3,CLAVE_BOV2,$A181)+SUMIFS(SALIDAS_BOV3,FECHA_BOV3,"&gt;="&amp;BA$2,FECHA_BOV3,"&lt;="&amp;BA$3,CLAVE_BOV3,$A181)+SUMIFS(SALIDAS_TC,FECHA_TC,"&gt;="&amp;BA$2,FECHA_TC,"&lt;="&amp;BA$3,CLAVE_TC,$A181)+SUMIFS(SALIDAS_COMB,FECHA_COMB,"&gt;="&amp;BA$2,FECHA_COMB,"&lt;="&amp;BA$3,CLAVE_COMB,$A181)+SUMIFS(SALIDAS_DES,FECHA_DESGLOSEN,"&gt;="&amp;BA$2,FECHA_DESGLOSEN,"&lt;="&amp;BA$3,CLAVE_DESGLOSE,$A181)</f>
        <v>30565</v>
      </c>
      <c r="BB181" s="68">
        <f t="shared" si="255"/>
        <v>-565</v>
      </c>
      <c r="BC181" s="268">
        <f t="shared" si="256"/>
        <v>1.0188333333333333</v>
      </c>
      <c r="BD181" s="13">
        <f t="shared" si="257"/>
        <v>36000</v>
      </c>
      <c r="BE181" s="13">
        <f>SUMIFS(SALIDAS_BIT,FECHA_BIT,"&gt;="&amp;BE$2,FECHA_BIT,"&lt;="&amp;BE$3,CLAVE_BIT,$A181)+SUMIFS(SALIDAS_BOV1,FECHA_BOV1,"&gt;="&amp;BE$2,FECHA_BOV1,"&lt;="&amp;BE$3,CLAVE_BOV1,$A181)+SUMIFS(SALIDAS_BOV2,FECHA_BOV2,"&gt;="&amp;BE$2,FECHA_BOV2,"&lt;="&amp;BE$3,CLAVE_BOV2,$A181)+SUMIFS(SALIDAS_BOV3,FECHA_BOV3,"&gt;="&amp;BE$2,FECHA_BOV3,"&lt;="&amp;BE$3,CLAVE_BOV3,$A181)+SUMIFS(SALIDAS_TC,FECHA_TC,"&gt;="&amp;BE$2,FECHA_TC,"&lt;="&amp;BE$3,CLAVE_TC,$A181)+SUMIFS(SALIDAS_COMB,FECHA_COMB,"&gt;="&amp;BE$2,FECHA_COMB,"&lt;="&amp;BE$3,CLAVE_COMB,$A181)+SUMIFS(SALIDAS_DES,FECHA_DESGLOSEN,"&gt;="&amp;BE$2,FECHA_DESGLOSEN,"&lt;="&amp;BE$3,CLAVE_DESGLOSE,$A181)</f>
        <v>9969</v>
      </c>
      <c r="BF181" s="13">
        <f>SUMIFS(SALIDAS_BIT,FECHA_BIT,"&gt;="&amp;BF$2,FECHA_BIT,"&lt;="&amp;BF$3,CLAVE_BIT,$A181)+SUMIFS(SALIDAS_BOV1,FECHA_BOV1,"&gt;="&amp;BF$2,FECHA_BOV1,"&lt;="&amp;BF$3,CLAVE_BOV1,$A181)+SUMIFS(SALIDAS_BOV2,FECHA_BOV2,"&gt;="&amp;BF$2,FECHA_BOV2,"&lt;="&amp;BF$3,CLAVE_BOV2,$A181)+SUMIFS(SALIDAS_BOV3,FECHA_BOV3,"&gt;="&amp;BF$2,FECHA_BOV3,"&lt;="&amp;BF$3,CLAVE_BOV3,$A181)+SUMIFS(SALIDAS_TC,FECHA_TC,"&gt;="&amp;BF$2,FECHA_TC,"&lt;="&amp;BF$3,CLAVE_TC,$A181)+SUMIFS(SALIDAS_COMB,FECHA_COMB,"&gt;="&amp;BF$2,FECHA_COMB,"&lt;="&amp;BF$3,CLAVE_COMB,$A181)+SUMIFS(SALIDAS_DES,FECHA_DESGLOSEN,"&gt;="&amp;BF$2,FECHA_DESGLOSEN,"&lt;="&amp;BF$3,CLAVE_DESGLOSE,$A181)</f>
        <v>8441</v>
      </c>
      <c r="BG181" s="13">
        <f>SUMIFS(SALIDAS_BIT,FECHA_BIT,"&gt;="&amp;BG$2,FECHA_BIT,"&lt;="&amp;BG$3,CLAVE_BIT,$A181)+SUMIFS(SALIDAS_BOV1,FECHA_BOV1,"&gt;="&amp;BG$2,FECHA_BOV1,"&lt;="&amp;BG$3,CLAVE_BOV1,$A181)+SUMIFS(SALIDAS_BOV2,FECHA_BOV2,"&gt;="&amp;BG$2,FECHA_BOV2,"&lt;="&amp;BG$3,CLAVE_BOV2,$A181)+SUMIFS(SALIDAS_BOV3,FECHA_BOV3,"&gt;="&amp;BG$2,FECHA_BOV3,"&lt;="&amp;BG$3,CLAVE_BOV3,$A181)+SUMIFS(SALIDAS_TC,FECHA_TC,"&gt;="&amp;BG$2,FECHA_TC,"&lt;="&amp;BG$3,CLAVE_TC,$A181)+SUMIFS(SALIDAS_COMB,FECHA_COMB,"&gt;="&amp;BG$2,FECHA_COMB,"&lt;="&amp;BG$3,CLAVE_COMB,$A181)+SUMIFS(SALIDAS_DES,FECHA_DESGLOSEN,"&gt;="&amp;BG$2,FECHA_DESGLOSEN,"&lt;="&amp;BG$3,CLAVE_DESGLOSE,$A181)</f>
        <v>9264</v>
      </c>
      <c r="BH181" s="13">
        <f>SUMIFS(SALIDAS_BIT,FECHA_BIT,"&gt;="&amp;BH$2,FECHA_BIT,"&lt;="&amp;BH$3,CLAVE_BIT,$A181)+SUMIFS(SALIDAS_BOV1,FECHA_BOV1,"&gt;="&amp;BH$2,FECHA_BOV1,"&lt;="&amp;BH$3,CLAVE_BOV1,$A181)+SUMIFS(SALIDAS_BOV2,FECHA_BOV2,"&gt;="&amp;BH$2,FECHA_BOV2,"&lt;="&amp;BH$3,CLAVE_BOV2,$A181)+SUMIFS(SALIDAS_BOV3,FECHA_BOV3,"&gt;="&amp;BH$2,FECHA_BOV3,"&lt;="&amp;BH$3,CLAVE_BOV3,$A181)+SUMIFS(SALIDAS_TC,FECHA_TC,"&gt;="&amp;BH$2,FECHA_TC,"&lt;="&amp;BH$3,CLAVE_TC,$A181)+SUMIFS(SALIDAS_COMB,FECHA_COMB,"&gt;="&amp;BH$2,FECHA_COMB,"&lt;="&amp;BH$3,CLAVE_COMB,$A181)+SUMIFS(SALIDAS_DES,FECHA_DESGLOSEN,"&gt;="&amp;BH$2,FECHA_DESGLOSEN,"&lt;="&amp;BH$3,CLAVE_DESGLOSE,$A181)</f>
        <v>6897</v>
      </c>
      <c r="BI181" s="13">
        <f t="shared" si="311"/>
        <v>34571</v>
      </c>
      <c r="BJ181" s="68">
        <f t="shared" si="258"/>
        <v>1429</v>
      </c>
      <c r="BK181" s="268">
        <f t="shared" si="259"/>
        <v>0.96030555555555552</v>
      </c>
      <c r="BL181" s="13">
        <f t="shared" si="260"/>
        <v>45000</v>
      </c>
      <c r="BM181" s="13">
        <f>SUMIFS(SALIDAS_BIT,FECHA_BIT,"&gt;="&amp;BM$2,FECHA_BIT,"&lt;="&amp;BM$3,CLAVE_BIT,$A181)+SUMIFS(SALIDAS_BOV1,FECHA_BOV1,"&gt;="&amp;BM$2,FECHA_BOV1,"&lt;="&amp;BM$3,CLAVE_BOV1,$A181)+SUMIFS(SALIDAS_BOV2,FECHA_BOV2,"&gt;="&amp;BM$2,FECHA_BOV2,"&lt;="&amp;BM$3,CLAVE_BOV2,$A181)+SUMIFS(SALIDAS_BOV3,FECHA_BOV3,"&gt;="&amp;BM$2,FECHA_BOV3,"&lt;="&amp;BM$3,CLAVE_BOV3,$A181)+SUMIFS(SALIDAS_TC,FECHA_TC,"&gt;="&amp;BM$2,FECHA_TC,"&lt;="&amp;BM$3,CLAVE_TC,$A181)+SUMIFS(SALIDAS_COMB,FECHA_COMB,"&gt;="&amp;BM$2,FECHA_COMB,"&lt;="&amp;BM$3,CLAVE_COMB,$A181)+SUMIFS(SALIDAS_DES,FECHA_DESGLOSEN,"&gt;="&amp;BM$2,FECHA_DESGLOSEN,"&lt;="&amp;BM$3,CLAVE_DESGLOSE,$A181)</f>
        <v>10448</v>
      </c>
      <c r="BN181" s="13">
        <f>SUMIFS(SALIDAS_BIT,FECHA_BIT,"&gt;="&amp;BN$2,FECHA_BIT,"&lt;="&amp;BN$3,CLAVE_BIT,$A181)+SUMIFS(SALIDAS_BOV1,FECHA_BOV1,"&gt;="&amp;BN$2,FECHA_BOV1,"&lt;="&amp;BN$3,CLAVE_BOV1,$A181)+SUMIFS(SALIDAS_BOV2,FECHA_BOV2,"&gt;="&amp;BN$2,FECHA_BOV2,"&lt;="&amp;BN$3,CLAVE_BOV2,$A181)+SUMIFS(SALIDAS_BOV3,FECHA_BOV3,"&gt;="&amp;BN$2,FECHA_BOV3,"&lt;="&amp;BN$3,CLAVE_BOV3,$A181)+SUMIFS(SALIDAS_TC,FECHA_TC,"&gt;="&amp;BN$2,FECHA_TC,"&lt;="&amp;BN$3,CLAVE_TC,$A181)+SUMIFS(SALIDAS_COMB,FECHA_COMB,"&gt;="&amp;BN$2,FECHA_COMB,"&lt;="&amp;BN$3,CLAVE_COMB,$A181)+SUMIFS(SALIDAS_DES,FECHA_DESGLOSEN,"&gt;="&amp;BN$2,FECHA_DESGLOSEN,"&lt;="&amp;BN$3,CLAVE_DESGLOSE,$A181)</f>
        <v>7675</v>
      </c>
      <c r="BO181" s="13">
        <f>SUMIFS(SALIDAS_BIT,FECHA_BIT,"&gt;="&amp;BO$2,FECHA_BIT,"&lt;="&amp;BO$3,CLAVE_BIT,$A181)+SUMIFS(SALIDAS_BOV1,FECHA_BOV1,"&gt;="&amp;BO$2,FECHA_BOV1,"&lt;="&amp;BO$3,CLAVE_BOV1,$A181)+SUMIFS(SALIDAS_BOV2,FECHA_BOV2,"&gt;="&amp;BO$2,FECHA_BOV2,"&lt;="&amp;BO$3,CLAVE_BOV2,$A181)+SUMIFS(SALIDAS_BOV3,FECHA_BOV3,"&gt;="&amp;BO$2,FECHA_BOV3,"&lt;="&amp;BO$3,CLAVE_BOV3,$A181)+SUMIFS(SALIDAS_TC,FECHA_TC,"&gt;="&amp;BO$2,FECHA_TC,"&lt;="&amp;BO$3,CLAVE_TC,$A181)+SUMIFS(SALIDAS_COMB,FECHA_COMB,"&gt;="&amp;BO$2,FECHA_COMB,"&lt;="&amp;BO$3,CLAVE_COMB,$A181)+SUMIFS(SALIDAS_DES,FECHA_DESGLOSEN,"&gt;="&amp;BO$2,FECHA_DESGLOSEN,"&lt;="&amp;BO$3,CLAVE_DESGLOSE,$A181)</f>
        <v>8294</v>
      </c>
      <c r="BP181" s="13">
        <f>SUMIFS(SALIDAS_BIT,FECHA_BIT,"&gt;="&amp;BP$2,FECHA_BIT,"&lt;="&amp;BP$3,CLAVE_BIT,$A181)+SUMIFS(SALIDAS_BOV1,FECHA_BOV1,"&gt;="&amp;BP$2,FECHA_BOV1,"&lt;="&amp;BP$3,CLAVE_BOV1,$A181)+SUMIFS(SALIDAS_BOV2,FECHA_BOV2,"&gt;="&amp;BP$2,FECHA_BOV2,"&lt;="&amp;BP$3,CLAVE_BOV2,$A181)+SUMIFS(SALIDAS_BOV3,FECHA_BOV3,"&gt;="&amp;BP$2,FECHA_BOV3,"&lt;="&amp;BP$3,CLAVE_BOV3,$A181)+SUMIFS(SALIDAS_TC,FECHA_TC,"&gt;="&amp;BP$2,FECHA_TC,"&lt;="&amp;BP$3,CLAVE_TC,$A181)+SUMIFS(SALIDAS_COMB,FECHA_COMB,"&gt;="&amp;BP$2,FECHA_COMB,"&lt;="&amp;BP$3,CLAVE_COMB,$A181)+SUMIFS(SALIDAS_DES,FECHA_DESGLOSEN,"&gt;="&amp;BP$2,FECHA_DESGLOSEN,"&lt;="&amp;BP$3,CLAVE_DESGLOSE,$A181)</f>
        <v>9927</v>
      </c>
      <c r="BQ181" s="13">
        <f>SUMIFS(SALIDAS_BIT,FECHA_BIT,"&gt;="&amp;BQ$2,FECHA_BIT,"&lt;="&amp;BQ$3,CLAVE_BIT,$A181)+SUMIFS(SALIDAS_BOV1,FECHA_BOV1,"&gt;="&amp;BQ$2,FECHA_BOV1,"&lt;="&amp;BQ$3,CLAVE_BOV1,$A181)+SUMIFS(SALIDAS_BOV2,FECHA_BOV2,"&gt;="&amp;BQ$2,FECHA_BOV2,"&lt;="&amp;BQ$3,CLAVE_BOV2,$A181)+SUMIFS(SALIDAS_BOV3,FECHA_BOV3,"&gt;="&amp;BQ$2,FECHA_BOV3,"&lt;="&amp;BQ$3,CLAVE_BOV3,$A181)+SUMIFS(SALIDAS_TC,FECHA_TC,"&gt;="&amp;BQ$2,FECHA_TC,"&lt;="&amp;BQ$3,CLAVE_TC,$A181)+SUMIFS(SALIDAS_COMB,FECHA_COMB,"&gt;="&amp;BQ$2,FECHA_COMB,"&lt;="&amp;BQ$3,CLAVE_COMB,$A181)+SUMIFS(SALIDAS_DES,FECHA_DESGLOSEN,"&gt;="&amp;BQ$2,FECHA_DESGLOSEN,"&lt;="&amp;BQ$3,CLAVE_DESGLOSE,$A181)</f>
        <v>8772</v>
      </c>
      <c r="BR181" s="13">
        <f t="shared" si="318"/>
        <v>45116</v>
      </c>
      <c r="BS181" s="68">
        <f t="shared" si="261"/>
        <v>-116</v>
      </c>
      <c r="BT181" s="268">
        <f t="shared" si="262"/>
        <v>1.0025777777777778</v>
      </c>
      <c r="BU181" s="13">
        <f t="shared" si="263"/>
        <v>48000</v>
      </c>
      <c r="BV181" s="13">
        <f t="shared" si="291"/>
        <v>6199</v>
      </c>
      <c r="BW181" s="13">
        <f t="shared" si="291"/>
        <v>5990</v>
      </c>
      <c r="BX181" s="13">
        <f t="shared" si="291"/>
        <v>5519</v>
      </c>
      <c r="BY181" s="13">
        <f t="shared" si="291"/>
        <v>7973</v>
      </c>
      <c r="BZ181" s="13">
        <f t="shared" si="319"/>
        <v>25681</v>
      </c>
      <c r="CA181" s="68">
        <f t="shared" si="264"/>
        <v>22319</v>
      </c>
      <c r="CB181" s="268">
        <f t="shared" si="265"/>
        <v>0.53502083333333328</v>
      </c>
      <c r="CC181" s="13">
        <f t="shared" si="266"/>
        <v>48000</v>
      </c>
      <c r="CD181" s="13">
        <f t="shared" si="292"/>
        <v>11195</v>
      </c>
      <c r="CE181" s="13">
        <f t="shared" si="292"/>
        <v>7761</v>
      </c>
      <c r="CF181" s="13">
        <f t="shared" si="292"/>
        <v>11162</v>
      </c>
      <c r="CG181" s="13">
        <f t="shared" si="292"/>
        <v>7621</v>
      </c>
      <c r="CH181" s="13">
        <f t="shared" si="320"/>
        <v>37739</v>
      </c>
      <c r="CI181" s="68">
        <f t="shared" si="267"/>
        <v>10261</v>
      </c>
      <c r="CJ181" s="268">
        <f t="shared" si="268"/>
        <v>0.78622916666666665</v>
      </c>
      <c r="CK181" s="13">
        <f t="shared" si="269"/>
        <v>60000</v>
      </c>
      <c r="CL181" s="13">
        <f t="shared" si="312"/>
        <v>6598</v>
      </c>
      <c r="CM181" s="13">
        <f t="shared" si="312"/>
        <v>10624</v>
      </c>
      <c r="CN181" s="13">
        <f t="shared" si="312"/>
        <v>20442</v>
      </c>
      <c r="CO181" s="13">
        <f t="shared" si="312"/>
        <v>15996</v>
      </c>
      <c r="CP181" s="13">
        <f t="shared" si="312"/>
        <v>11452</v>
      </c>
      <c r="CQ181" s="13">
        <f t="shared" si="321"/>
        <v>65112</v>
      </c>
      <c r="CR181" s="68">
        <f t="shared" si="270"/>
        <v>-5112</v>
      </c>
      <c r="CS181" s="268">
        <f t="shared" si="271"/>
        <v>1.0851999999999999</v>
      </c>
      <c r="CT181" s="68">
        <f t="shared" si="244"/>
        <v>32000</v>
      </c>
      <c r="CU181" s="13">
        <f>SUMIFS(SALIDAS_BIT,FECHA_BIT,"&gt;="&amp;CU$2,FECHA_BIT,"&lt;="&amp;CU$3,CLAVE_BIT,$A181)+SUMIFS(SALIDAS_BOV1,FECHA_BOV1,"&gt;="&amp;CU$2,FECHA_BOV1,"&lt;="&amp;CU$3,CLAVE_BOV1,$A181)+SUMIFS(SALIDAS_BOV2,FECHA_BOV2,"&gt;="&amp;CU$2,FECHA_BOV2,"&lt;="&amp;CU$3,CLAVE_BOV2,$A181)+SUMIFS(SALIDAS_BOV3,FECHA_BOV3,"&gt;="&amp;CU$2,FECHA_BOV3,"&lt;="&amp;CU$3,CLAVE_BOV3,$A181)+SUMIFS(SALIDAS_TC,FECHA_TC,"&gt;="&amp;CU$2,FECHA_TC,"&lt;="&amp;CU$3,CLAVE_TC,$A181)+SUMIFS(SALIDAS_COMB,FECHA_COMB,"&gt;="&amp;CU$2,FECHA_COMB,"&lt;="&amp;CU$3,CLAVE_COMB,$A181)+SUMIFS(SALIDAS_DES,FECHA_DESGLOSEN,"&gt;="&amp;CU$2,FECHA_DESGLOSEN,"&lt;="&amp;CU$3,CLAVE_DESGLOSE,$A181)</f>
        <v>9931</v>
      </c>
      <c r="CV181" s="13">
        <f>SUMIFS(SALIDAS_BIT,FECHA_BIT,"&gt;="&amp;CV$2,FECHA_BIT,"&lt;="&amp;CV$3,CLAVE_BIT,$A181)+SUMIFS(SALIDAS_BOV1,FECHA_BOV1,"&gt;="&amp;CV$2,FECHA_BOV1,"&lt;="&amp;CV$3,CLAVE_BOV1,$A181)+SUMIFS(SALIDAS_BOV2,FECHA_BOV2,"&gt;="&amp;CV$2,FECHA_BOV2,"&lt;="&amp;CV$3,CLAVE_BOV2,$A181)+SUMIFS(SALIDAS_BOV3,FECHA_BOV3,"&gt;="&amp;CV$2,FECHA_BOV3,"&lt;="&amp;CV$3,CLAVE_BOV3,$A181)+SUMIFS(SALIDAS_TC,FECHA_TC,"&gt;="&amp;CV$2,FECHA_TC,"&lt;="&amp;CV$3,CLAVE_TC,$A181)+SUMIFS(SALIDAS_COMB,FECHA_COMB,"&gt;="&amp;CV$2,FECHA_COMB,"&lt;="&amp;CV$3,CLAVE_COMB,$A181)+SUMIFS(SALIDAS_DES,FECHA_DESGLOSEN,"&gt;="&amp;CV$2,FECHA_DESGLOSEN,"&lt;="&amp;CV$3,CLAVE_DESGLOSE,$A181)</f>
        <v>9225</v>
      </c>
      <c r="CW181" s="13">
        <f>SUMIFS(SALIDAS_BIT,FECHA_BIT,"&gt;="&amp;CW$2,FECHA_BIT,"&lt;="&amp;CW$3,CLAVE_BIT,$A181)+SUMIFS(SALIDAS_BOV1,FECHA_BOV1,"&gt;="&amp;CW$2,FECHA_BOV1,"&lt;="&amp;CW$3,CLAVE_BOV1,$A181)+SUMIFS(SALIDAS_BOV2,FECHA_BOV2,"&gt;="&amp;CW$2,FECHA_BOV2,"&lt;="&amp;CW$3,CLAVE_BOV2,$A181)+SUMIFS(SALIDAS_BOV3,FECHA_BOV3,"&gt;="&amp;CW$2,FECHA_BOV3,"&lt;="&amp;CW$3,CLAVE_BOV3,$A181)+SUMIFS(SALIDAS_TC,FECHA_TC,"&gt;="&amp;CW$2,FECHA_TC,"&lt;="&amp;CW$3,CLAVE_TC,$A181)+SUMIFS(SALIDAS_COMB,FECHA_COMB,"&gt;="&amp;CW$2,FECHA_COMB,"&lt;="&amp;CW$3,CLAVE_COMB,$A181)+SUMIFS(SALIDAS_DES,FECHA_DESGLOSEN,"&gt;="&amp;CW$2,FECHA_DESGLOSEN,"&lt;="&amp;CW$3,CLAVE_DESGLOSE,$A181)</f>
        <v>7500</v>
      </c>
      <c r="CX181" s="13">
        <f>SUMIFS(SALIDAS_BIT,FECHA_BIT,"&gt;="&amp;CX$2,FECHA_BIT,"&lt;="&amp;CX$3,CLAVE_BIT,$A181)+SUMIFS(SALIDAS_BOV1,FECHA_BOV1,"&gt;="&amp;CX$2,FECHA_BOV1,"&lt;="&amp;CX$3,CLAVE_BOV1,$A181)+SUMIFS(SALIDAS_BOV2,FECHA_BOV2,"&gt;="&amp;CX$2,FECHA_BOV2,"&lt;="&amp;CX$3,CLAVE_BOV2,$A181)+SUMIFS(SALIDAS_BOV3,FECHA_BOV3,"&gt;="&amp;CX$2,FECHA_BOV3,"&lt;="&amp;CX$3,CLAVE_BOV3,$A181)+SUMIFS(SALIDAS_TC,FECHA_TC,"&gt;="&amp;CX$2,FECHA_TC,"&lt;="&amp;CX$3,CLAVE_TC,$A181)+SUMIFS(SALIDAS_COMB,FECHA_COMB,"&gt;="&amp;CX$2,FECHA_COMB,"&lt;="&amp;CX$3,CLAVE_COMB,$A181)+SUMIFS(SALIDAS_DES,FECHA_DESGLOSEN,"&gt;="&amp;CX$2,FECHA_DESGLOSEN,"&lt;="&amp;CX$3,CLAVE_DESGLOSE,$A181)</f>
        <v>7400</v>
      </c>
      <c r="CY181" s="13">
        <f>SUMIFS(SALIDAS_BIT,FECHA_BIT,"&gt;="&amp;CY$2,FECHA_BIT,"&lt;="&amp;CY$3,CLAVE_BIT,$A181)+SUMIFS(SALIDAS_BOV1,FECHA_BOV1,"&gt;="&amp;CY$2,FECHA_BOV1,"&lt;="&amp;CY$3,CLAVE_BOV1,$A181)+SUMIFS(SALIDAS_BOV2,FECHA_BOV2,"&gt;="&amp;CY$2,FECHA_BOV2,"&lt;="&amp;CY$3,CLAVE_BOV2,$A181)+SUMIFS(SALIDAS_BOV3,FECHA_BOV3,"&gt;="&amp;CY$2,FECHA_BOV3,"&lt;="&amp;CY$3,CLAVE_BOV3,$A181)+SUMIFS(SALIDAS_TC,FECHA_TC,"&gt;="&amp;CY$2,FECHA_TC,"&lt;="&amp;CY$3,CLAVE_TC,$A181)+SUMIFS(SALIDAS_COMB,FECHA_COMB,"&gt;="&amp;CY$2,FECHA_COMB,"&lt;="&amp;CY$3,CLAVE_COMB,$A181)+SUMIFS(SALIDAS_DES,FECHA_DESGLOSEN,"&gt;="&amp;CY$2,FECHA_DESGLOSEN,"&lt;="&amp;CY$3,CLAVE_DESGLOSE,$A181)</f>
        <v>34056</v>
      </c>
      <c r="CZ181" s="68">
        <f t="shared" si="272"/>
        <v>-2056</v>
      </c>
      <c r="DB181" s="17">
        <f>F181+N181+W181+AE181+AM181+AV181+BD181+BL181+BU181+CC181+CK181</f>
        <v>438000</v>
      </c>
      <c r="DC181" s="17">
        <f>K181+T181+AB181+AJ181+AS181+BA181+BI181+BR181+BZ181+CH181+CQ181</f>
        <v>380754</v>
      </c>
    </row>
    <row r="182" spans="1:107" hidden="1">
      <c r="A182" s="12" t="str">
        <f t="shared" si="245"/>
        <v>CAPFONDO Y REPOSICIONCAPRICHOS</v>
      </c>
      <c r="B182" s="12">
        <v>184</v>
      </c>
      <c r="C182" t="s">
        <v>31</v>
      </c>
      <c r="D182" s="12" t="s">
        <v>120</v>
      </c>
      <c r="E182" s="12" t="s">
        <v>33</v>
      </c>
      <c r="F182" s="259">
        <f t="shared" si="238"/>
        <v>12140</v>
      </c>
      <c r="G182" s="13">
        <f>SUMIFS(SALIDAS_BIT,FECHA_BIT,"&gt;="&amp;G$2,FECHA_BIT,"&lt;="&amp;G$3,CLAVE_BIT,$A182)+SUMIFS(SALIDAS_BOV1,FECHA_BOV1,"&gt;="&amp;G$2,FECHA_BOV1,"&lt;="&amp;G$3,CLAVE_BOV1,$A182)+SUMIFS(SALIDAS_BOV2,FECHA_BOV2,"&gt;="&amp;G$2,FECHA_BOV2,"&lt;="&amp;G$3,CLAVE_BOV2,$A182)+SUMIFS(SALIDAS_BOV3,FECHA_BOV3,"&gt;="&amp;G$2,FECHA_BOV3,"&lt;="&amp;G$3,CLAVE_BOV3,$A182)+SUMIFS(SALIDAS_TC,FECHA_TC,"&gt;="&amp;G$2,FECHA_TC,"&lt;="&amp;G$3,CLAVE_TC,$A182)+SUMIFS(SALIDAS_COMB,FECHA_COMB,"&gt;="&amp;G$2,FECHA_COMB,"&lt;="&amp;G$3,CLAVE_COMB,$A182)+SUMIFS(SALIDAS_DES,FECHA_DESGLOSEN,"&gt;="&amp;G$2,FECHA_DESGLOSEN,"&lt;="&amp;G$3,CLAVE_DESGLOSE,$A182)</f>
        <v>11649</v>
      </c>
      <c r="H182" s="13">
        <f t="shared" si="313"/>
        <v>2385</v>
      </c>
      <c r="I182" s="13">
        <f t="shared" si="313"/>
        <v>2799</v>
      </c>
      <c r="J182" s="13">
        <f t="shared" si="313"/>
        <v>0</v>
      </c>
      <c r="K182" s="13">
        <f>SUMIFS(SALIDAS_BIT,FECHA_BIT,"&gt;="&amp;K$2,FECHA_BIT,"&lt;="&amp;K$3,CLAVE_BIT,$A182)+SUMIFS(SALIDAS_BOV1,FECHA_BOV1,"&gt;="&amp;K$2,FECHA_BOV1,"&lt;="&amp;K$3,CLAVE_BOV1,$A182)+SUMIFS(SALIDAS_BOV2,FECHA_BOV2,"&gt;="&amp;K$2,FECHA_BOV2,"&lt;="&amp;K$3,CLAVE_BOV2,$A182)+SUMIFS(SALIDAS_BOV3,FECHA_BOV3,"&gt;="&amp;K$2,FECHA_BOV3,"&lt;="&amp;K$3,CLAVE_BOV3,$A182)+SUMIFS(SALIDAS_TC,FECHA_TC,"&gt;="&amp;K$2,FECHA_TC,"&lt;="&amp;K$3,CLAVE_TC,$A182)+SUMIFS(SALIDAS_COMB,FECHA_COMB,"&gt;="&amp;K$2,FECHA_COMB,"&lt;="&amp;K$3,CLAVE_COMB,$A182)+SUMIFS(SALIDAS_DES,FECHA_DESGLOSEN,"&gt;="&amp;K$2,FECHA_DESGLOSEN,"&lt;="&amp;K$3,CLAVE_DESGLOSE,$A182)</f>
        <v>16833</v>
      </c>
      <c r="L182" s="68">
        <f t="shared" ref="L182" si="325">F182-K182</f>
        <v>-4693</v>
      </c>
      <c r="M182" s="268">
        <f t="shared" si="247"/>
        <v>1.3865733113673806</v>
      </c>
      <c r="N182" s="13">
        <f t="shared" si="239"/>
        <v>9918</v>
      </c>
      <c r="O182" s="13">
        <f t="shared" si="314"/>
        <v>0</v>
      </c>
      <c r="P182" s="13">
        <f t="shared" si="314"/>
        <v>4930</v>
      </c>
      <c r="Q182" s="13">
        <f t="shared" si="314"/>
        <v>0</v>
      </c>
      <c r="R182" s="13">
        <f t="shared" si="314"/>
        <v>4087</v>
      </c>
      <c r="S182" s="13">
        <f t="shared" si="314"/>
        <v>9000</v>
      </c>
      <c r="T182" s="13">
        <f t="shared" si="314"/>
        <v>18017</v>
      </c>
      <c r="U182" s="68">
        <f t="shared" si="248"/>
        <v>-8099</v>
      </c>
      <c r="V182" s="268">
        <f t="shared" si="249"/>
        <v>1.8165960879209517</v>
      </c>
      <c r="W182" s="13">
        <f t="shared" si="240"/>
        <v>8650</v>
      </c>
      <c r="X182" s="13">
        <f t="shared" si="315"/>
        <v>6616</v>
      </c>
      <c r="Y182" s="13">
        <f t="shared" si="315"/>
        <v>0</v>
      </c>
      <c r="Z182" s="13">
        <f t="shared" si="315"/>
        <v>4827</v>
      </c>
      <c r="AA182" s="13">
        <f t="shared" si="315"/>
        <v>1952</v>
      </c>
      <c r="AB182" s="13">
        <f t="shared" si="315"/>
        <v>13395</v>
      </c>
      <c r="AC182" s="68">
        <f t="shared" si="250"/>
        <v>-4745</v>
      </c>
      <c r="AD182" s="268">
        <f t="shared" si="251"/>
        <v>1.5485549132947978</v>
      </c>
      <c r="AE182" s="13">
        <f t="shared" si="241"/>
        <v>7500</v>
      </c>
      <c r="AF182" s="13">
        <f t="shared" si="316"/>
        <v>1839</v>
      </c>
      <c r="AG182" s="13">
        <f t="shared" si="316"/>
        <v>2167</v>
      </c>
      <c r="AH182" s="13">
        <f t="shared" si="316"/>
        <v>1345</v>
      </c>
      <c r="AI182" s="13">
        <f t="shared" si="316"/>
        <v>4453</v>
      </c>
      <c r="AJ182" s="13">
        <f t="shared" si="316"/>
        <v>9804</v>
      </c>
      <c r="AK182" s="68">
        <f t="shared" si="252"/>
        <v>-2304</v>
      </c>
      <c r="AL182" s="268">
        <f t="shared" si="253"/>
        <v>1.3071999999999999</v>
      </c>
      <c r="AM182" s="13">
        <f t="shared" si="242"/>
        <v>9300</v>
      </c>
      <c r="AN182" s="13">
        <f t="shared" si="317"/>
        <v>0</v>
      </c>
      <c r="AO182" s="13">
        <f t="shared" si="317"/>
        <v>3113</v>
      </c>
      <c r="AP182" s="13">
        <f t="shared" si="317"/>
        <v>3857</v>
      </c>
      <c r="AQ182" s="13">
        <f t="shared" si="317"/>
        <v>0</v>
      </c>
      <c r="AR182" s="13">
        <f t="shared" si="317"/>
        <v>0</v>
      </c>
      <c r="AS182" s="13">
        <f t="shared" si="317"/>
        <v>6970</v>
      </c>
      <c r="AT182" s="68">
        <f>AM182-AS182</f>
        <v>2330</v>
      </c>
      <c r="AU182" s="268">
        <f t="shared" si="254"/>
        <v>0.74946236559139789</v>
      </c>
      <c r="AV182" s="13">
        <f t="shared" si="243"/>
        <v>11421</v>
      </c>
      <c r="AW182" s="13">
        <f t="shared" si="323"/>
        <v>4995</v>
      </c>
      <c r="AX182" s="13">
        <f t="shared" si="323"/>
        <v>3417</v>
      </c>
      <c r="AY182" s="13">
        <f t="shared" si="323"/>
        <v>4242</v>
      </c>
      <c r="AZ182" s="13">
        <f t="shared" si="323"/>
        <v>0</v>
      </c>
      <c r="BA182" s="13">
        <f t="shared" si="324"/>
        <v>12654</v>
      </c>
      <c r="BB182" s="68">
        <f t="shared" si="255"/>
        <v>-1233</v>
      </c>
      <c r="BC182" s="268">
        <f t="shared" si="256"/>
        <v>1.1079590228526399</v>
      </c>
      <c r="BD182" s="13">
        <f t="shared" si="257"/>
        <v>4282</v>
      </c>
      <c r="BE182" s="13">
        <f>SUMIFS(SALIDAS_BIT,FECHA_BIT,"&gt;="&amp;BE$2,FECHA_BIT,"&lt;="&amp;BE$3,CLAVE_BIT,$A182)+SUMIFS(SALIDAS_BOV1,FECHA_BOV1,"&gt;="&amp;BE$2,FECHA_BOV1,"&lt;="&amp;BE$3,CLAVE_BOV1,$A182)+SUMIFS(SALIDAS_BOV2,FECHA_BOV2,"&gt;="&amp;BE$2,FECHA_BOV2,"&lt;="&amp;BE$3,CLAVE_BOV2,$A182)+SUMIFS(SALIDAS_BOV3,FECHA_BOV3,"&gt;="&amp;BE$2,FECHA_BOV3,"&lt;="&amp;BE$3,CLAVE_BOV3,$A182)+SUMIFS(SALIDAS_TC,FECHA_TC,"&gt;="&amp;BE$2,FECHA_TC,"&lt;="&amp;BE$3,CLAVE_TC,$A182)+SUMIFS(SALIDAS_COMB,FECHA_COMB,"&gt;="&amp;BE$2,FECHA_COMB,"&lt;="&amp;BE$3,CLAVE_COMB,$A182)+SUMIFS(SALIDAS_DES,FECHA_DESGLOSEN,"&gt;="&amp;BE$2,FECHA_DESGLOSEN,"&lt;="&amp;BE$3,CLAVE_DESGLOSE,$A182)</f>
        <v>1920</v>
      </c>
      <c r="BF182" s="13">
        <f>SUMIFS(SALIDAS_BIT,FECHA_BIT,"&gt;="&amp;BF$2,FECHA_BIT,"&lt;="&amp;BF$3,CLAVE_BIT,$A182)+SUMIFS(SALIDAS_BOV1,FECHA_BOV1,"&gt;="&amp;BF$2,FECHA_BOV1,"&lt;="&amp;BF$3,CLAVE_BOV1,$A182)+SUMIFS(SALIDAS_BOV2,FECHA_BOV2,"&gt;="&amp;BF$2,FECHA_BOV2,"&lt;="&amp;BF$3,CLAVE_BOV2,$A182)+SUMIFS(SALIDAS_BOV3,FECHA_BOV3,"&gt;="&amp;BF$2,FECHA_BOV3,"&lt;="&amp;BF$3,CLAVE_BOV3,$A182)+SUMIFS(SALIDAS_TC,FECHA_TC,"&gt;="&amp;BF$2,FECHA_TC,"&lt;="&amp;BF$3,CLAVE_TC,$A182)+SUMIFS(SALIDAS_COMB,FECHA_COMB,"&gt;="&amp;BF$2,FECHA_COMB,"&lt;="&amp;BF$3,CLAVE_COMB,$A182)+SUMIFS(SALIDAS_DES,FECHA_DESGLOSEN,"&gt;="&amp;BF$2,FECHA_DESGLOSEN,"&lt;="&amp;BF$3,CLAVE_DESGLOSE,$A182)</f>
        <v>0</v>
      </c>
      <c r="BG182" s="13">
        <f>SUMIFS(SALIDAS_BIT,FECHA_BIT,"&gt;="&amp;BG$2,FECHA_BIT,"&lt;="&amp;BG$3,CLAVE_BIT,$A182)+SUMIFS(SALIDAS_BOV1,FECHA_BOV1,"&gt;="&amp;BG$2,FECHA_BOV1,"&lt;="&amp;BG$3,CLAVE_BOV1,$A182)+SUMIFS(SALIDAS_BOV2,FECHA_BOV2,"&gt;="&amp;BG$2,FECHA_BOV2,"&lt;="&amp;BG$3,CLAVE_BOV2,$A182)+SUMIFS(SALIDAS_BOV3,FECHA_BOV3,"&gt;="&amp;BG$2,FECHA_BOV3,"&lt;="&amp;BG$3,CLAVE_BOV3,$A182)+SUMIFS(SALIDAS_TC,FECHA_TC,"&gt;="&amp;BG$2,FECHA_TC,"&lt;="&amp;BG$3,CLAVE_TC,$A182)+SUMIFS(SALIDAS_COMB,FECHA_COMB,"&gt;="&amp;BG$2,FECHA_COMB,"&lt;="&amp;BG$3,CLAVE_COMB,$A182)+SUMIFS(SALIDAS_DES,FECHA_DESGLOSEN,"&gt;="&amp;BG$2,FECHA_DESGLOSEN,"&lt;="&amp;BG$3,CLAVE_DESGLOSE,$A182)</f>
        <v>2436</v>
      </c>
      <c r="BH182" s="13">
        <f>SUMIFS(SALIDAS_BIT,FECHA_BIT,"&gt;="&amp;BH$2,FECHA_BIT,"&lt;="&amp;BH$3,CLAVE_BIT,$A182)+SUMIFS(SALIDAS_BOV1,FECHA_BOV1,"&gt;="&amp;BH$2,FECHA_BOV1,"&lt;="&amp;BH$3,CLAVE_BOV1,$A182)+SUMIFS(SALIDAS_BOV2,FECHA_BOV2,"&gt;="&amp;BH$2,FECHA_BOV2,"&lt;="&amp;BH$3,CLAVE_BOV2,$A182)+SUMIFS(SALIDAS_BOV3,FECHA_BOV3,"&gt;="&amp;BH$2,FECHA_BOV3,"&lt;="&amp;BH$3,CLAVE_BOV3,$A182)+SUMIFS(SALIDAS_TC,FECHA_TC,"&gt;="&amp;BH$2,FECHA_TC,"&lt;="&amp;BH$3,CLAVE_TC,$A182)+SUMIFS(SALIDAS_COMB,FECHA_COMB,"&gt;="&amp;BH$2,FECHA_COMB,"&lt;="&amp;BH$3,CLAVE_COMB,$A182)+SUMIFS(SALIDAS_DES,FECHA_DESGLOSEN,"&gt;="&amp;BH$2,FECHA_DESGLOSEN,"&lt;="&amp;BH$3,CLAVE_DESGLOSE,$A182)</f>
        <v>700</v>
      </c>
      <c r="BI182" s="13">
        <f t="shared" si="311"/>
        <v>5056</v>
      </c>
      <c r="BJ182" s="68">
        <f t="shared" si="258"/>
        <v>-774</v>
      </c>
      <c r="BK182" s="268">
        <f t="shared" si="259"/>
        <v>1.1807566557683327</v>
      </c>
      <c r="BL182" s="13">
        <f t="shared" si="260"/>
        <v>0</v>
      </c>
      <c r="BM182" s="13">
        <f>SUMIFS(SALIDAS_BIT,FECHA_BIT,"&gt;="&amp;BM$2,FECHA_BIT,"&lt;="&amp;BM$3,CLAVE_BIT,$A182)+SUMIFS(SALIDAS_BOV1,FECHA_BOV1,"&gt;="&amp;BM$2,FECHA_BOV1,"&lt;="&amp;BM$3,CLAVE_BOV1,$A182)+SUMIFS(SALIDAS_BOV2,FECHA_BOV2,"&gt;="&amp;BM$2,FECHA_BOV2,"&lt;="&amp;BM$3,CLAVE_BOV2,$A182)+SUMIFS(SALIDAS_BOV3,FECHA_BOV3,"&gt;="&amp;BM$2,FECHA_BOV3,"&lt;="&amp;BM$3,CLAVE_BOV3,$A182)+SUMIFS(SALIDAS_TC,FECHA_TC,"&gt;="&amp;BM$2,FECHA_TC,"&lt;="&amp;BM$3,CLAVE_TC,$A182)+SUMIFS(SALIDAS_COMB,FECHA_COMB,"&gt;="&amp;BM$2,FECHA_COMB,"&lt;="&amp;BM$3,CLAVE_COMB,$A182)+SUMIFS(SALIDAS_DES,FECHA_DESGLOSEN,"&gt;="&amp;BM$2,FECHA_DESGLOSEN,"&lt;="&amp;BM$3,CLAVE_DESGLOSE,$A182)</f>
        <v>2175</v>
      </c>
      <c r="BN182" s="13">
        <f>SUMIFS(SALIDAS_BIT,FECHA_BIT,"&gt;="&amp;BN$2,FECHA_BIT,"&lt;="&amp;BN$3,CLAVE_BIT,$A182)+SUMIFS(SALIDAS_BOV1,FECHA_BOV1,"&gt;="&amp;BN$2,FECHA_BOV1,"&lt;="&amp;BN$3,CLAVE_BOV1,$A182)+SUMIFS(SALIDAS_BOV2,FECHA_BOV2,"&gt;="&amp;BN$2,FECHA_BOV2,"&lt;="&amp;BN$3,CLAVE_BOV2,$A182)+SUMIFS(SALIDAS_BOV3,FECHA_BOV3,"&gt;="&amp;BN$2,FECHA_BOV3,"&lt;="&amp;BN$3,CLAVE_BOV3,$A182)+SUMIFS(SALIDAS_TC,FECHA_TC,"&gt;="&amp;BN$2,FECHA_TC,"&lt;="&amp;BN$3,CLAVE_TC,$A182)+SUMIFS(SALIDAS_COMB,FECHA_COMB,"&gt;="&amp;BN$2,FECHA_COMB,"&lt;="&amp;BN$3,CLAVE_COMB,$A182)+SUMIFS(SALIDAS_DES,FECHA_DESGLOSEN,"&gt;="&amp;BN$2,FECHA_DESGLOSEN,"&lt;="&amp;BN$3,CLAVE_DESGLOSE,$A182)</f>
        <v>1300</v>
      </c>
      <c r="BO182" s="13">
        <f>SUMIFS(SALIDAS_BIT,FECHA_BIT,"&gt;="&amp;BO$2,FECHA_BIT,"&lt;="&amp;BO$3,CLAVE_BIT,$A182)+SUMIFS(SALIDAS_BOV1,FECHA_BOV1,"&gt;="&amp;BO$2,FECHA_BOV1,"&lt;="&amp;BO$3,CLAVE_BOV1,$A182)+SUMIFS(SALIDAS_BOV2,FECHA_BOV2,"&gt;="&amp;BO$2,FECHA_BOV2,"&lt;="&amp;BO$3,CLAVE_BOV2,$A182)+SUMIFS(SALIDAS_BOV3,FECHA_BOV3,"&gt;="&amp;BO$2,FECHA_BOV3,"&lt;="&amp;BO$3,CLAVE_BOV3,$A182)+SUMIFS(SALIDAS_TC,FECHA_TC,"&gt;="&amp;BO$2,FECHA_TC,"&lt;="&amp;BO$3,CLAVE_TC,$A182)+SUMIFS(SALIDAS_COMB,FECHA_COMB,"&gt;="&amp;BO$2,FECHA_COMB,"&lt;="&amp;BO$3,CLAVE_COMB,$A182)+SUMIFS(SALIDAS_DES,FECHA_DESGLOSEN,"&gt;="&amp;BO$2,FECHA_DESGLOSEN,"&lt;="&amp;BO$3,CLAVE_DESGLOSE,$A182)</f>
        <v>0</v>
      </c>
      <c r="BP182" s="13">
        <f>SUMIFS(SALIDAS_BIT,FECHA_BIT,"&gt;="&amp;BP$2,FECHA_BIT,"&lt;="&amp;BP$3,CLAVE_BIT,$A182)+SUMIFS(SALIDAS_BOV1,FECHA_BOV1,"&gt;="&amp;BP$2,FECHA_BOV1,"&lt;="&amp;BP$3,CLAVE_BOV1,$A182)+SUMIFS(SALIDAS_BOV2,FECHA_BOV2,"&gt;="&amp;BP$2,FECHA_BOV2,"&lt;="&amp;BP$3,CLAVE_BOV2,$A182)+SUMIFS(SALIDAS_BOV3,FECHA_BOV3,"&gt;="&amp;BP$2,FECHA_BOV3,"&lt;="&amp;BP$3,CLAVE_BOV3,$A182)+SUMIFS(SALIDAS_TC,FECHA_TC,"&gt;="&amp;BP$2,FECHA_TC,"&lt;="&amp;BP$3,CLAVE_TC,$A182)+SUMIFS(SALIDAS_COMB,FECHA_COMB,"&gt;="&amp;BP$2,FECHA_COMB,"&lt;="&amp;BP$3,CLAVE_COMB,$A182)+SUMIFS(SALIDAS_DES,FECHA_DESGLOSEN,"&gt;="&amp;BP$2,FECHA_DESGLOSEN,"&lt;="&amp;BP$3,CLAVE_DESGLOSE,$A182)</f>
        <v>0</v>
      </c>
      <c r="BQ182" s="13">
        <f>SUMIFS(SALIDAS_BIT,FECHA_BIT,"&gt;="&amp;BQ$2,FECHA_BIT,"&lt;="&amp;BQ$3,CLAVE_BIT,$A182)+SUMIFS(SALIDAS_BOV1,FECHA_BOV1,"&gt;="&amp;BQ$2,FECHA_BOV1,"&lt;="&amp;BQ$3,CLAVE_BOV1,$A182)+SUMIFS(SALIDAS_BOV2,FECHA_BOV2,"&gt;="&amp;BQ$2,FECHA_BOV2,"&lt;="&amp;BQ$3,CLAVE_BOV2,$A182)+SUMIFS(SALIDAS_BOV3,FECHA_BOV3,"&gt;="&amp;BQ$2,FECHA_BOV3,"&lt;="&amp;BQ$3,CLAVE_BOV3,$A182)+SUMIFS(SALIDAS_TC,FECHA_TC,"&gt;="&amp;BQ$2,FECHA_TC,"&lt;="&amp;BQ$3,CLAVE_TC,$A182)+SUMIFS(SALIDAS_COMB,FECHA_COMB,"&gt;="&amp;BQ$2,FECHA_COMB,"&lt;="&amp;BQ$3,CLAVE_COMB,$A182)+SUMIFS(SALIDAS_DES,FECHA_DESGLOSEN,"&gt;="&amp;BQ$2,FECHA_DESGLOSEN,"&lt;="&amp;BQ$3,CLAVE_DESGLOSE,$A182)</f>
        <v>3029</v>
      </c>
      <c r="BR182" s="13">
        <f t="shared" si="318"/>
        <v>6504</v>
      </c>
      <c r="BS182" s="68">
        <f t="shared" si="261"/>
        <v>-6504</v>
      </c>
      <c r="BT182" s="268">
        <f t="shared" si="262"/>
        <v>0</v>
      </c>
      <c r="BU182" s="13">
        <f t="shared" si="263"/>
        <v>12000</v>
      </c>
      <c r="BV182" s="13">
        <f t="shared" si="291"/>
        <v>5071</v>
      </c>
      <c r="BW182" s="13">
        <f t="shared" si="291"/>
        <v>1542</v>
      </c>
      <c r="BX182" s="13">
        <f t="shared" si="291"/>
        <v>2982</v>
      </c>
      <c r="BY182" s="13">
        <f t="shared" si="291"/>
        <v>4062</v>
      </c>
      <c r="BZ182" s="13">
        <f t="shared" si="319"/>
        <v>13657</v>
      </c>
      <c r="CA182" s="68">
        <f t="shared" si="264"/>
        <v>-1657</v>
      </c>
      <c r="CB182" s="268">
        <f t="shared" si="265"/>
        <v>1.1380833333333333</v>
      </c>
      <c r="CC182" s="13">
        <f t="shared" si="266"/>
        <v>12000</v>
      </c>
      <c r="CD182" s="13">
        <f t="shared" si="292"/>
        <v>6935</v>
      </c>
      <c r="CE182" s="13">
        <f t="shared" si="292"/>
        <v>2393</v>
      </c>
      <c r="CF182" s="13">
        <f t="shared" si="292"/>
        <v>6499.55</v>
      </c>
      <c r="CG182" s="13">
        <f t="shared" si="292"/>
        <v>2450</v>
      </c>
      <c r="CH182" s="13">
        <f t="shared" si="320"/>
        <v>18277.55</v>
      </c>
      <c r="CI182" s="68">
        <f t="shared" si="267"/>
        <v>-6277.5499999999993</v>
      </c>
      <c r="CJ182" s="268">
        <f t="shared" si="268"/>
        <v>1.5231291666666666</v>
      </c>
      <c r="CK182" s="13">
        <f t="shared" si="269"/>
        <v>15000</v>
      </c>
      <c r="CL182" s="13">
        <f t="shared" si="312"/>
        <v>800</v>
      </c>
      <c r="CM182" s="13">
        <f t="shared" si="312"/>
        <v>6848</v>
      </c>
      <c r="CN182" s="13">
        <f t="shared" si="312"/>
        <v>4043</v>
      </c>
      <c r="CO182" s="13">
        <f t="shared" si="312"/>
        <v>7090</v>
      </c>
      <c r="CP182" s="13">
        <f t="shared" si="312"/>
        <v>7154</v>
      </c>
      <c r="CQ182" s="13">
        <f t="shared" si="321"/>
        <v>25935</v>
      </c>
      <c r="CR182" s="68">
        <f t="shared" si="270"/>
        <v>-10935</v>
      </c>
      <c r="CS182" s="268">
        <f t="shared" si="271"/>
        <v>1.7290000000000001</v>
      </c>
      <c r="CT182" s="68">
        <f t="shared" si="244"/>
        <v>14000</v>
      </c>
      <c r="CU182" s="13">
        <f>SUMIFS(SALIDAS_BIT,FECHA_BIT,"&gt;="&amp;CU$2,FECHA_BIT,"&lt;="&amp;CU$3,CLAVE_BIT,$A182)+SUMIFS(SALIDAS_BOV1,FECHA_BOV1,"&gt;="&amp;CU$2,FECHA_BOV1,"&lt;="&amp;CU$3,CLAVE_BOV1,$A182)+SUMIFS(SALIDAS_BOV2,FECHA_BOV2,"&gt;="&amp;CU$2,FECHA_BOV2,"&lt;="&amp;CU$3,CLAVE_BOV2,$A182)+SUMIFS(SALIDAS_BOV3,FECHA_BOV3,"&gt;="&amp;CU$2,FECHA_BOV3,"&lt;="&amp;CU$3,CLAVE_BOV3,$A182)+SUMIFS(SALIDAS_TC,FECHA_TC,"&gt;="&amp;CU$2,FECHA_TC,"&lt;="&amp;CU$3,CLAVE_TC,$A182)+SUMIFS(SALIDAS_COMB,FECHA_COMB,"&gt;="&amp;CU$2,FECHA_COMB,"&lt;="&amp;CU$3,CLAVE_COMB,$A182)+SUMIFS(SALIDAS_DES,FECHA_DESGLOSEN,"&gt;="&amp;CU$2,FECHA_DESGLOSEN,"&lt;="&amp;CU$3,CLAVE_DESGLOSE,$A182)</f>
        <v>100</v>
      </c>
      <c r="CV182" s="13">
        <f>SUMIFS(SALIDAS_BIT,FECHA_BIT,"&gt;="&amp;CV$2,FECHA_BIT,"&lt;="&amp;CV$3,CLAVE_BIT,$A182)+SUMIFS(SALIDAS_BOV1,FECHA_BOV1,"&gt;="&amp;CV$2,FECHA_BOV1,"&lt;="&amp;CV$3,CLAVE_BOV1,$A182)+SUMIFS(SALIDAS_BOV2,FECHA_BOV2,"&gt;="&amp;CV$2,FECHA_BOV2,"&lt;="&amp;CV$3,CLAVE_BOV2,$A182)+SUMIFS(SALIDAS_BOV3,FECHA_BOV3,"&gt;="&amp;CV$2,FECHA_BOV3,"&lt;="&amp;CV$3,CLAVE_BOV3,$A182)+SUMIFS(SALIDAS_TC,FECHA_TC,"&gt;="&amp;CV$2,FECHA_TC,"&lt;="&amp;CV$3,CLAVE_TC,$A182)+SUMIFS(SALIDAS_COMB,FECHA_COMB,"&gt;="&amp;CV$2,FECHA_COMB,"&lt;="&amp;CV$3,CLAVE_COMB,$A182)+SUMIFS(SALIDAS_DES,FECHA_DESGLOSEN,"&gt;="&amp;CV$2,FECHA_DESGLOSEN,"&lt;="&amp;CV$3,CLAVE_DESGLOSE,$A182)</f>
        <v>6454</v>
      </c>
      <c r="CW182" s="13">
        <f>SUMIFS(SALIDAS_BIT,FECHA_BIT,"&gt;="&amp;CW$2,FECHA_BIT,"&lt;="&amp;CW$3,CLAVE_BIT,$A182)+SUMIFS(SALIDAS_BOV1,FECHA_BOV1,"&gt;="&amp;CW$2,FECHA_BOV1,"&lt;="&amp;CW$3,CLAVE_BOV1,$A182)+SUMIFS(SALIDAS_BOV2,FECHA_BOV2,"&gt;="&amp;CW$2,FECHA_BOV2,"&lt;="&amp;CW$3,CLAVE_BOV2,$A182)+SUMIFS(SALIDAS_BOV3,FECHA_BOV3,"&gt;="&amp;CW$2,FECHA_BOV3,"&lt;="&amp;CW$3,CLAVE_BOV3,$A182)+SUMIFS(SALIDAS_TC,FECHA_TC,"&gt;="&amp;CW$2,FECHA_TC,"&lt;="&amp;CW$3,CLAVE_TC,$A182)+SUMIFS(SALIDAS_COMB,FECHA_COMB,"&gt;="&amp;CW$2,FECHA_COMB,"&lt;="&amp;CW$3,CLAVE_COMB,$A182)+SUMIFS(SALIDAS_DES,FECHA_DESGLOSEN,"&gt;="&amp;CW$2,FECHA_DESGLOSEN,"&lt;="&amp;CW$3,CLAVE_DESGLOSE,$A182)</f>
        <v>680</v>
      </c>
      <c r="CX182" s="13">
        <f>SUMIFS(SALIDAS_BIT,FECHA_BIT,"&gt;="&amp;CX$2,FECHA_BIT,"&lt;="&amp;CX$3,CLAVE_BIT,$A182)+SUMIFS(SALIDAS_BOV1,FECHA_BOV1,"&gt;="&amp;CX$2,FECHA_BOV1,"&lt;="&amp;CX$3,CLAVE_BOV1,$A182)+SUMIFS(SALIDAS_BOV2,FECHA_BOV2,"&gt;="&amp;CX$2,FECHA_BOV2,"&lt;="&amp;CX$3,CLAVE_BOV2,$A182)+SUMIFS(SALIDAS_BOV3,FECHA_BOV3,"&gt;="&amp;CX$2,FECHA_BOV3,"&lt;="&amp;CX$3,CLAVE_BOV3,$A182)+SUMIFS(SALIDAS_TC,FECHA_TC,"&gt;="&amp;CX$2,FECHA_TC,"&lt;="&amp;CX$3,CLAVE_TC,$A182)+SUMIFS(SALIDAS_COMB,FECHA_COMB,"&gt;="&amp;CX$2,FECHA_COMB,"&lt;="&amp;CX$3,CLAVE_COMB,$A182)+SUMIFS(SALIDAS_DES,FECHA_DESGLOSEN,"&gt;="&amp;CX$2,FECHA_DESGLOSEN,"&lt;="&amp;CX$3,CLAVE_DESGLOSE,$A182)</f>
        <v>130</v>
      </c>
      <c r="CY182" s="13">
        <f>SUMIFS(SALIDAS_BIT,FECHA_BIT,"&gt;="&amp;CY$2,FECHA_BIT,"&lt;="&amp;CY$3,CLAVE_BIT,$A182)+SUMIFS(SALIDAS_BOV1,FECHA_BOV1,"&gt;="&amp;CY$2,FECHA_BOV1,"&lt;="&amp;CY$3,CLAVE_BOV1,$A182)+SUMIFS(SALIDAS_BOV2,FECHA_BOV2,"&gt;="&amp;CY$2,FECHA_BOV2,"&lt;="&amp;CY$3,CLAVE_BOV2,$A182)+SUMIFS(SALIDAS_BOV3,FECHA_BOV3,"&gt;="&amp;CY$2,FECHA_BOV3,"&lt;="&amp;CY$3,CLAVE_BOV3,$A182)+SUMIFS(SALIDAS_TC,FECHA_TC,"&gt;="&amp;CY$2,FECHA_TC,"&lt;="&amp;CY$3,CLAVE_TC,$A182)+SUMIFS(SALIDAS_COMB,FECHA_COMB,"&gt;="&amp;CY$2,FECHA_COMB,"&lt;="&amp;CY$3,CLAVE_COMB,$A182)+SUMIFS(SALIDAS_DES,FECHA_DESGLOSEN,"&gt;="&amp;CY$2,FECHA_DESGLOSEN,"&lt;="&amp;CY$3,CLAVE_DESGLOSE,$A182)</f>
        <v>7364</v>
      </c>
      <c r="CZ182" s="68">
        <f t="shared" si="272"/>
        <v>6636</v>
      </c>
      <c r="DB182" s="17">
        <f>F182+N182+W182+AE182+AM182+AV182+BD182+BL182+BU182+CC182+CK182</f>
        <v>102211</v>
      </c>
      <c r="DC182" s="17">
        <f>K182+T182+AB182+AJ182+AS182+BA182+BI182+BR182+BZ182+CH182+CQ182</f>
        <v>147102.54999999999</v>
      </c>
    </row>
    <row r="183" spans="1:107" hidden="1">
      <c r="A183" s="12" t="str">
        <f t="shared" si="245"/>
        <v>SERVICIOSFONDO Y REPOSICIONSERVICIOS</v>
      </c>
      <c r="B183" s="12">
        <v>185</v>
      </c>
      <c r="C183" t="s">
        <v>21</v>
      </c>
      <c r="D183" s="12" t="s">
        <v>120</v>
      </c>
      <c r="E183" s="12" t="s">
        <v>21</v>
      </c>
      <c r="F183" s="259">
        <f t="shared" si="238"/>
        <v>6000</v>
      </c>
      <c r="G183" s="13">
        <f t="shared" si="313"/>
        <v>4100</v>
      </c>
      <c r="H183" s="13">
        <f t="shared" si="313"/>
        <v>2000</v>
      </c>
      <c r="I183" s="13">
        <f t="shared" si="313"/>
        <v>3000</v>
      </c>
      <c r="J183" s="13">
        <f t="shared" si="313"/>
        <v>0</v>
      </c>
      <c r="K183" s="13">
        <f t="shared" si="313"/>
        <v>9100</v>
      </c>
      <c r="L183" s="68">
        <f t="shared" si="246"/>
        <v>-3100</v>
      </c>
      <c r="M183" s="268">
        <f t="shared" si="247"/>
        <v>1.5166666666666666</v>
      </c>
      <c r="N183" s="13">
        <f t="shared" si="239"/>
        <v>6000</v>
      </c>
      <c r="O183" s="13">
        <f t="shared" si="314"/>
        <v>2150</v>
      </c>
      <c r="P183" s="13">
        <f t="shared" si="314"/>
        <v>2000</v>
      </c>
      <c r="Q183" s="13">
        <f t="shared" si="314"/>
        <v>2000</v>
      </c>
      <c r="R183" s="13">
        <f t="shared" si="314"/>
        <v>2730</v>
      </c>
      <c r="S183" s="13">
        <f t="shared" si="314"/>
        <v>0</v>
      </c>
      <c r="T183" s="13">
        <f t="shared" si="314"/>
        <v>8880</v>
      </c>
      <c r="U183" s="68">
        <f t="shared" si="248"/>
        <v>-2880</v>
      </c>
      <c r="V183" s="268">
        <f t="shared" si="249"/>
        <v>1.48</v>
      </c>
      <c r="W183" s="13">
        <f t="shared" si="240"/>
        <v>6000</v>
      </c>
      <c r="X183" s="13">
        <f t="shared" si="315"/>
        <v>2000</v>
      </c>
      <c r="Y183" s="13">
        <f t="shared" si="315"/>
        <v>2000</v>
      </c>
      <c r="Z183" s="13">
        <f t="shared" si="315"/>
        <v>2000</v>
      </c>
      <c r="AA183" s="13">
        <f t="shared" si="315"/>
        <v>0</v>
      </c>
      <c r="AB183" s="13">
        <f t="shared" si="315"/>
        <v>6000</v>
      </c>
      <c r="AC183" s="68">
        <f t="shared" si="250"/>
        <v>0</v>
      </c>
      <c r="AD183" s="268">
        <f t="shared" si="251"/>
        <v>1</v>
      </c>
      <c r="AE183" s="13">
        <f t="shared" si="241"/>
        <v>6000</v>
      </c>
      <c r="AF183" s="13">
        <f t="shared" si="316"/>
        <v>5000</v>
      </c>
      <c r="AG183" s="13">
        <f t="shared" si="316"/>
        <v>0</v>
      </c>
      <c r="AH183" s="13">
        <f t="shared" si="316"/>
        <v>702</v>
      </c>
      <c r="AI183" s="13">
        <f t="shared" si="316"/>
        <v>4000</v>
      </c>
      <c r="AJ183" s="13">
        <f t="shared" si="316"/>
        <v>9702</v>
      </c>
      <c r="AK183" s="68">
        <f t="shared" si="252"/>
        <v>-3702</v>
      </c>
      <c r="AL183" s="268">
        <f t="shared" si="253"/>
        <v>1.617</v>
      </c>
      <c r="AM183" s="13">
        <f t="shared" si="242"/>
        <v>6000</v>
      </c>
      <c r="AN183" s="13">
        <f t="shared" si="317"/>
        <v>0</v>
      </c>
      <c r="AO183" s="13">
        <f t="shared" si="317"/>
        <v>2000</v>
      </c>
      <c r="AP183" s="13">
        <f t="shared" si="317"/>
        <v>0</v>
      </c>
      <c r="AQ183" s="13">
        <f t="shared" si="317"/>
        <v>2000</v>
      </c>
      <c r="AR183" s="13">
        <f t="shared" si="317"/>
        <v>416</v>
      </c>
      <c r="AS183" s="13">
        <f t="shared" si="317"/>
        <v>4416</v>
      </c>
      <c r="AT183" s="68">
        <f>AM183-AS183</f>
        <v>1584</v>
      </c>
      <c r="AU183" s="268">
        <f t="shared" si="254"/>
        <v>0.73599999999999999</v>
      </c>
      <c r="AV183" s="13">
        <f t="shared" si="243"/>
        <v>6000</v>
      </c>
      <c r="AW183" s="13">
        <f t="shared" si="323"/>
        <v>2000</v>
      </c>
      <c r="AX183" s="13">
        <f t="shared" si="323"/>
        <v>8062</v>
      </c>
      <c r="AY183" s="13">
        <f t="shared" si="323"/>
        <v>2875</v>
      </c>
      <c r="AZ183" s="13">
        <f t="shared" si="323"/>
        <v>0</v>
      </c>
      <c r="BA183" s="13">
        <f t="shared" si="324"/>
        <v>12937</v>
      </c>
      <c r="BB183" s="68">
        <f t="shared" si="255"/>
        <v>-6937</v>
      </c>
      <c r="BC183" s="268">
        <f t="shared" si="256"/>
        <v>2.1561666666666666</v>
      </c>
      <c r="BD183" s="13">
        <f t="shared" si="257"/>
        <v>6000</v>
      </c>
      <c r="BE183" s="13">
        <f>SUMIFS(SALIDAS_BIT,FECHA_BIT,"&gt;="&amp;BE$2,FECHA_BIT,"&lt;="&amp;BE$3,CLAVE_BIT,$A183)+SUMIFS(SALIDAS_BOV1,FECHA_BOV1,"&gt;="&amp;BE$2,FECHA_BOV1,"&lt;="&amp;BE$3,CLAVE_BOV1,$A183)+SUMIFS(SALIDAS_BOV2,FECHA_BOV2,"&gt;="&amp;BE$2,FECHA_BOV2,"&lt;="&amp;BE$3,CLAVE_BOV2,$A183)+SUMIFS(SALIDAS_BOV3,FECHA_BOV3,"&gt;="&amp;BE$2,FECHA_BOV3,"&lt;="&amp;BE$3,CLAVE_BOV3,$A183)+SUMIFS(SALIDAS_TC,FECHA_TC,"&gt;="&amp;BE$2,FECHA_TC,"&lt;="&amp;BE$3,CLAVE_TC,$A183)+SUMIFS(SALIDAS_COMB,FECHA_COMB,"&gt;="&amp;BE$2,FECHA_COMB,"&lt;="&amp;BE$3,CLAVE_COMB,$A183)+SUMIFS(SALIDAS_DES,FECHA_DESGLOSEN,"&gt;="&amp;BE$2,FECHA_DESGLOSEN,"&lt;="&amp;BE$3,CLAVE_DESGLOSE,$A183)</f>
        <v>5000</v>
      </c>
      <c r="BF183" s="13">
        <f>SUMIFS(SALIDAS_BIT,FECHA_BIT,"&gt;="&amp;BF$2,FECHA_BIT,"&lt;="&amp;BF$3,CLAVE_BIT,$A183)+SUMIFS(SALIDAS_BOV1,FECHA_BOV1,"&gt;="&amp;BF$2,FECHA_BOV1,"&lt;="&amp;BF$3,CLAVE_BOV1,$A183)+SUMIFS(SALIDAS_BOV2,FECHA_BOV2,"&gt;="&amp;BF$2,FECHA_BOV2,"&lt;="&amp;BF$3,CLAVE_BOV2,$A183)+SUMIFS(SALIDAS_BOV3,FECHA_BOV3,"&gt;="&amp;BF$2,FECHA_BOV3,"&lt;="&amp;BF$3,CLAVE_BOV3,$A183)+SUMIFS(SALIDAS_TC,FECHA_TC,"&gt;="&amp;BF$2,FECHA_TC,"&lt;="&amp;BF$3,CLAVE_TC,$A183)+SUMIFS(SALIDAS_COMB,FECHA_COMB,"&gt;="&amp;BF$2,FECHA_COMB,"&lt;="&amp;BF$3,CLAVE_COMB,$A183)+SUMIFS(SALIDAS_DES,FECHA_DESGLOSEN,"&gt;="&amp;BF$2,FECHA_DESGLOSEN,"&lt;="&amp;BF$3,CLAVE_DESGLOSE,$A183)</f>
        <v>2000</v>
      </c>
      <c r="BG183" s="13">
        <f>SUMIFS(SALIDAS_BIT,FECHA_BIT,"&gt;="&amp;BG$2,FECHA_BIT,"&lt;="&amp;BG$3,CLAVE_BIT,$A183)+SUMIFS(SALIDAS_BOV1,FECHA_BOV1,"&gt;="&amp;BG$2,FECHA_BOV1,"&lt;="&amp;BG$3,CLAVE_BOV1,$A183)+SUMIFS(SALIDAS_BOV2,FECHA_BOV2,"&gt;="&amp;BG$2,FECHA_BOV2,"&lt;="&amp;BG$3,CLAVE_BOV2,$A183)+SUMIFS(SALIDAS_BOV3,FECHA_BOV3,"&gt;="&amp;BG$2,FECHA_BOV3,"&lt;="&amp;BG$3,CLAVE_BOV3,$A183)+SUMIFS(SALIDAS_TC,FECHA_TC,"&gt;="&amp;BG$2,FECHA_TC,"&lt;="&amp;BG$3,CLAVE_TC,$A183)+SUMIFS(SALIDAS_COMB,FECHA_COMB,"&gt;="&amp;BG$2,FECHA_COMB,"&lt;="&amp;BG$3,CLAVE_COMB,$A183)+SUMIFS(SALIDAS_DES,FECHA_DESGLOSEN,"&gt;="&amp;BG$2,FECHA_DESGLOSEN,"&lt;="&amp;BG$3,CLAVE_DESGLOSE,$A183)</f>
        <v>2000</v>
      </c>
      <c r="BH183" s="13">
        <f>SUMIFS(SALIDAS_BIT,FECHA_BIT,"&gt;="&amp;BH$2,FECHA_BIT,"&lt;="&amp;BH$3,CLAVE_BIT,$A183)+SUMIFS(SALIDAS_BOV1,FECHA_BOV1,"&gt;="&amp;BH$2,FECHA_BOV1,"&lt;="&amp;BH$3,CLAVE_BOV1,$A183)+SUMIFS(SALIDAS_BOV2,FECHA_BOV2,"&gt;="&amp;BH$2,FECHA_BOV2,"&lt;="&amp;BH$3,CLAVE_BOV2,$A183)+SUMIFS(SALIDAS_BOV3,FECHA_BOV3,"&gt;="&amp;BH$2,FECHA_BOV3,"&lt;="&amp;BH$3,CLAVE_BOV3,$A183)+SUMIFS(SALIDAS_TC,FECHA_TC,"&gt;="&amp;BH$2,FECHA_TC,"&lt;="&amp;BH$3,CLAVE_TC,$A183)+SUMIFS(SALIDAS_COMB,FECHA_COMB,"&gt;="&amp;BH$2,FECHA_COMB,"&lt;="&amp;BH$3,CLAVE_COMB,$A183)+SUMIFS(SALIDAS_DES,FECHA_DESGLOSEN,"&gt;="&amp;BH$2,FECHA_DESGLOSEN,"&lt;="&amp;BH$3,CLAVE_DESGLOSE,$A183)</f>
        <v>500</v>
      </c>
      <c r="BI183" s="13">
        <f t="shared" si="311"/>
        <v>9500</v>
      </c>
      <c r="BJ183" s="68">
        <f t="shared" si="258"/>
        <v>-3500</v>
      </c>
      <c r="BK183" s="268">
        <f t="shared" si="259"/>
        <v>1.5833333333333333</v>
      </c>
      <c r="BL183" s="13">
        <f t="shared" si="260"/>
        <v>6000</v>
      </c>
      <c r="BM183" s="13">
        <f>SUMIFS(SALIDAS_BIT,FECHA_BIT,"&gt;="&amp;BM$2,FECHA_BIT,"&lt;="&amp;BM$3,CLAVE_BIT,$A183)+SUMIFS(SALIDAS_BOV1,FECHA_BOV1,"&gt;="&amp;BM$2,FECHA_BOV1,"&lt;="&amp;BM$3,CLAVE_BOV1,$A183)+SUMIFS(SALIDAS_BOV2,FECHA_BOV2,"&gt;="&amp;BM$2,FECHA_BOV2,"&lt;="&amp;BM$3,CLAVE_BOV2,$A183)+SUMIFS(SALIDAS_BOV3,FECHA_BOV3,"&gt;="&amp;BM$2,FECHA_BOV3,"&lt;="&amp;BM$3,CLAVE_BOV3,$A183)+SUMIFS(SALIDAS_TC,FECHA_TC,"&gt;="&amp;BM$2,FECHA_TC,"&lt;="&amp;BM$3,CLAVE_TC,$A183)+SUMIFS(SALIDAS_COMB,FECHA_COMB,"&gt;="&amp;BM$2,FECHA_COMB,"&lt;="&amp;BM$3,CLAVE_COMB,$A183)+SUMIFS(SALIDAS_DES,FECHA_DESGLOSEN,"&gt;="&amp;BM$2,FECHA_DESGLOSEN,"&lt;="&amp;BM$3,CLAVE_DESGLOSE,$A183)</f>
        <v>0</v>
      </c>
      <c r="BN183" s="13">
        <f>SUMIFS(SALIDAS_BIT,FECHA_BIT,"&gt;="&amp;BN$2,FECHA_BIT,"&lt;="&amp;BN$3,CLAVE_BIT,$A183)+SUMIFS(SALIDAS_BOV1,FECHA_BOV1,"&gt;="&amp;BN$2,FECHA_BOV1,"&lt;="&amp;BN$3,CLAVE_BOV1,$A183)+SUMIFS(SALIDAS_BOV2,FECHA_BOV2,"&gt;="&amp;BN$2,FECHA_BOV2,"&lt;="&amp;BN$3,CLAVE_BOV2,$A183)+SUMIFS(SALIDAS_BOV3,FECHA_BOV3,"&gt;="&amp;BN$2,FECHA_BOV3,"&lt;="&amp;BN$3,CLAVE_BOV3,$A183)+SUMIFS(SALIDAS_TC,FECHA_TC,"&gt;="&amp;BN$2,FECHA_TC,"&lt;="&amp;BN$3,CLAVE_TC,$A183)+SUMIFS(SALIDAS_COMB,FECHA_COMB,"&gt;="&amp;BN$2,FECHA_COMB,"&lt;="&amp;BN$3,CLAVE_COMB,$A183)+SUMIFS(SALIDAS_DES,FECHA_DESGLOSEN,"&gt;="&amp;BN$2,FECHA_DESGLOSEN,"&lt;="&amp;BN$3,CLAVE_DESGLOSE,$A183)</f>
        <v>2000</v>
      </c>
      <c r="BO183" s="13">
        <f>SUMIFS(SALIDAS_BIT,FECHA_BIT,"&gt;="&amp;BO$2,FECHA_BIT,"&lt;="&amp;BO$3,CLAVE_BIT,$A183)+SUMIFS(SALIDAS_BOV1,FECHA_BOV1,"&gt;="&amp;BO$2,FECHA_BOV1,"&lt;="&amp;BO$3,CLAVE_BOV1,$A183)+SUMIFS(SALIDAS_BOV2,FECHA_BOV2,"&gt;="&amp;BO$2,FECHA_BOV2,"&lt;="&amp;BO$3,CLAVE_BOV2,$A183)+SUMIFS(SALIDAS_BOV3,FECHA_BOV3,"&gt;="&amp;BO$2,FECHA_BOV3,"&lt;="&amp;BO$3,CLAVE_BOV3,$A183)+SUMIFS(SALIDAS_TC,FECHA_TC,"&gt;="&amp;BO$2,FECHA_TC,"&lt;="&amp;BO$3,CLAVE_TC,$A183)+SUMIFS(SALIDAS_COMB,FECHA_COMB,"&gt;="&amp;BO$2,FECHA_COMB,"&lt;="&amp;BO$3,CLAVE_COMB,$A183)+SUMIFS(SALIDAS_DES,FECHA_DESGLOSEN,"&gt;="&amp;BO$2,FECHA_DESGLOSEN,"&lt;="&amp;BO$3,CLAVE_DESGLOSE,$A183)</f>
        <v>120</v>
      </c>
      <c r="BP183" s="13">
        <f>SUMIFS(SALIDAS_BIT,FECHA_BIT,"&gt;="&amp;BP$2,FECHA_BIT,"&lt;="&amp;BP$3,CLAVE_BIT,$A183)+SUMIFS(SALIDAS_BOV1,FECHA_BOV1,"&gt;="&amp;BP$2,FECHA_BOV1,"&lt;="&amp;BP$3,CLAVE_BOV1,$A183)+SUMIFS(SALIDAS_BOV2,FECHA_BOV2,"&gt;="&amp;BP$2,FECHA_BOV2,"&lt;="&amp;BP$3,CLAVE_BOV2,$A183)+SUMIFS(SALIDAS_BOV3,FECHA_BOV3,"&gt;="&amp;BP$2,FECHA_BOV3,"&lt;="&amp;BP$3,CLAVE_BOV3,$A183)+SUMIFS(SALIDAS_TC,FECHA_TC,"&gt;="&amp;BP$2,FECHA_TC,"&lt;="&amp;BP$3,CLAVE_TC,$A183)+SUMIFS(SALIDAS_COMB,FECHA_COMB,"&gt;="&amp;BP$2,FECHA_COMB,"&lt;="&amp;BP$3,CLAVE_COMB,$A183)+SUMIFS(SALIDAS_DES,FECHA_DESGLOSEN,"&gt;="&amp;BP$2,FECHA_DESGLOSEN,"&lt;="&amp;BP$3,CLAVE_DESGLOSE,$A183)</f>
        <v>2000</v>
      </c>
      <c r="BQ183" s="13">
        <f>SUMIFS(SALIDAS_BIT,FECHA_BIT,"&gt;="&amp;BQ$2,FECHA_BIT,"&lt;="&amp;BQ$3,CLAVE_BIT,$A183)+SUMIFS(SALIDAS_BOV1,FECHA_BOV1,"&gt;="&amp;BQ$2,FECHA_BOV1,"&lt;="&amp;BQ$3,CLAVE_BOV1,$A183)+SUMIFS(SALIDAS_BOV2,FECHA_BOV2,"&gt;="&amp;BQ$2,FECHA_BOV2,"&lt;="&amp;BQ$3,CLAVE_BOV2,$A183)+SUMIFS(SALIDAS_BOV3,FECHA_BOV3,"&gt;="&amp;BQ$2,FECHA_BOV3,"&lt;="&amp;BQ$3,CLAVE_BOV3,$A183)+SUMIFS(SALIDAS_TC,FECHA_TC,"&gt;="&amp;BQ$2,FECHA_TC,"&lt;="&amp;BQ$3,CLAVE_TC,$A183)+SUMIFS(SALIDAS_COMB,FECHA_COMB,"&gt;="&amp;BQ$2,FECHA_COMB,"&lt;="&amp;BQ$3,CLAVE_COMB,$A183)+SUMIFS(SALIDAS_DES,FECHA_DESGLOSEN,"&gt;="&amp;BQ$2,FECHA_DESGLOSEN,"&lt;="&amp;BQ$3,CLAVE_DESGLOSE,$A183)</f>
        <v>0</v>
      </c>
      <c r="BR183" s="13">
        <f t="shared" si="318"/>
        <v>4120</v>
      </c>
      <c r="BS183" s="68">
        <f t="shared" si="261"/>
        <v>1880</v>
      </c>
      <c r="BT183" s="268">
        <f t="shared" si="262"/>
        <v>0.68666666666666665</v>
      </c>
      <c r="BU183" s="13">
        <f t="shared" si="263"/>
        <v>6000</v>
      </c>
      <c r="BV183" s="13">
        <f t="shared" si="291"/>
        <v>2000</v>
      </c>
      <c r="BW183" s="13">
        <f t="shared" si="291"/>
        <v>0</v>
      </c>
      <c r="BX183" s="13">
        <f t="shared" si="291"/>
        <v>2000</v>
      </c>
      <c r="BY183" s="13">
        <f t="shared" si="291"/>
        <v>1500</v>
      </c>
      <c r="BZ183" s="13">
        <f t="shared" si="319"/>
        <v>5500</v>
      </c>
      <c r="CA183" s="68">
        <f t="shared" si="264"/>
        <v>500</v>
      </c>
      <c r="CB183" s="268">
        <f t="shared" si="265"/>
        <v>0.91666666666666663</v>
      </c>
      <c r="CC183" s="13">
        <f t="shared" si="266"/>
        <v>9000</v>
      </c>
      <c r="CD183" s="13">
        <f t="shared" si="292"/>
        <v>2000</v>
      </c>
      <c r="CE183" s="13">
        <f t="shared" si="292"/>
        <v>0</v>
      </c>
      <c r="CF183" s="13">
        <f t="shared" si="292"/>
        <v>2000</v>
      </c>
      <c r="CG183" s="13">
        <f t="shared" si="292"/>
        <v>4043</v>
      </c>
      <c r="CH183" s="13">
        <f t="shared" si="320"/>
        <v>8043</v>
      </c>
      <c r="CI183" s="68">
        <f t="shared" si="267"/>
        <v>957</v>
      </c>
      <c r="CJ183" s="268">
        <f t="shared" si="268"/>
        <v>0.89366666666666672</v>
      </c>
      <c r="CK183" s="13">
        <f t="shared" si="269"/>
        <v>9000</v>
      </c>
      <c r="CL183" s="13">
        <f t="shared" si="312"/>
        <v>2000</v>
      </c>
      <c r="CM183" s="13">
        <f t="shared" si="312"/>
        <v>0</v>
      </c>
      <c r="CN183" s="13">
        <f t="shared" si="312"/>
        <v>0</v>
      </c>
      <c r="CO183" s="13">
        <f t="shared" si="312"/>
        <v>2000</v>
      </c>
      <c r="CP183" s="13">
        <f t="shared" si="312"/>
        <v>0</v>
      </c>
      <c r="CQ183" s="13">
        <f t="shared" si="321"/>
        <v>4000</v>
      </c>
      <c r="CR183" s="68">
        <f t="shared" si="270"/>
        <v>5000</v>
      </c>
      <c r="CS183" s="268">
        <f t="shared" si="271"/>
        <v>0.44444444444444442</v>
      </c>
      <c r="CT183" s="68">
        <f t="shared" si="244"/>
        <v>2000</v>
      </c>
      <c r="CU183" s="13">
        <f>SUMIFS(SALIDAS_BIT,FECHA_BIT,"&gt;="&amp;CU$2,FECHA_BIT,"&lt;="&amp;CU$3,CLAVE_BIT,$A183)+SUMIFS(SALIDAS_BOV1,FECHA_BOV1,"&gt;="&amp;CU$2,FECHA_BOV1,"&lt;="&amp;CU$3,CLAVE_BOV1,$A183)+SUMIFS(SALIDAS_BOV2,FECHA_BOV2,"&gt;="&amp;CU$2,FECHA_BOV2,"&lt;="&amp;CU$3,CLAVE_BOV2,$A183)+SUMIFS(SALIDAS_BOV3,FECHA_BOV3,"&gt;="&amp;CU$2,FECHA_BOV3,"&lt;="&amp;CU$3,CLAVE_BOV3,$A183)+SUMIFS(SALIDAS_TC,FECHA_TC,"&gt;="&amp;CU$2,FECHA_TC,"&lt;="&amp;CU$3,CLAVE_TC,$A183)+SUMIFS(SALIDAS_COMB,FECHA_COMB,"&gt;="&amp;CU$2,FECHA_COMB,"&lt;="&amp;CU$3,CLAVE_COMB,$A183)+SUMIFS(SALIDAS_DES,FECHA_DESGLOSEN,"&gt;="&amp;CU$2,FECHA_DESGLOSEN,"&lt;="&amp;CU$3,CLAVE_DESGLOSE,$A183)</f>
        <v>450</v>
      </c>
      <c r="CV183" s="13">
        <f>SUMIFS(SALIDAS_BIT,FECHA_BIT,"&gt;="&amp;CV$2,FECHA_BIT,"&lt;="&amp;CV$3,CLAVE_BIT,$A183)+SUMIFS(SALIDAS_BOV1,FECHA_BOV1,"&gt;="&amp;CV$2,FECHA_BOV1,"&lt;="&amp;CV$3,CLAVE_BOV1,$A183)+SUMIFS(SALIDAS_BOV2,FECHA_BOV2,"&gt;="&amp;CV$2,FECHA_BOV2,"&lt;="&amp;CV$3,CLAVE_BOV2,$A183)+SUMIFS(SALIDAS_BOV3,FECHA_BOV3,"&gt;="&amp;CV$2,FECHA_BOV3,"&lt;="&amp;CV$3,CLAVE_BOV3,$A183)+SUMIFS(SALIDAS_TC,FECHA_TC,"&gt;="&amp;CV$2,FECHA_TC,"&lt;="&amp;CV$3,CLAVE_TC,$A183)+SUMIFS(SALIDAS_COMB,FECHA_COMB,"&gt;="&amp;CV$2,FECHA_COMB,"&lt;="&amp;CV$3,CLAVE_COMB,$A183)+SUMIFS(SALIDAS_DES,FECHA_DESGLOSEN,"&gt;="&amp;CV$2,FECHA_DESGLOSEN,"&lt;="&amp;CV$3,CLAVE_DESGLOSE,$A183)</f>
        <v>0</v>
      </c>
      <c r="CW183" s="13">
        <f>SUMIFS(SALIDAS_BIT,FECHA_BIT,"&gt;="&amp;CW$2,FECHA_BIT,"&lt;="&amp;CW$3,CLAVE_BIT,$A183)+SUMIFS(SALIDAS_BOV1,FECHA_BOV1,"&gt;="&amp;CW$2,FECHA_BOV1,"&lt;="&amp;CW$3,CLAVE_BOV1,$A183)+SUMIFS(SALIDAS_BOV2,FECHA_BOV2,"&gt;="&amp;CW$2,FECHA_BOV2,"&lt;="&amp;CW$3,CLAVE_BOV2,$A183)+SUMIFS(SALIDAS_BOV3,FECHA_BOV3,"&gt;="&amp;CW$2,FECHA_BOV3,"&lt;="&amp;CW$3,CLAVE_BOV3,$A183)+SUMIFS(SALIDAS_TC,FECHA_TC,"&gt;="&amp;CW$2,FECHA_TC,"&lt;="&amp;CW$3,CLAVE_TC,$A183)+SUMIFS(SALIDAS_COMB,FECHA_COMB,"&gt;="&amp;CW$2,FECHA_COMB,"&lt;="&amp;CW$3,CLAVE_COMB,$A183)+SUMIFS(SALIDAS_DES,FECHA_DESGLOSEN,"&gt;="&amp;CW$2,FECHA_DESGLOSEN,"&lt;="&amp;CW$3,CLAVE_DESGLOSE,$A183)</f>
        <v>2000</v>
      </c>
      <c r="CX183" s="13">
        <f>SUMIFS(SALIDAS_BIT,FECHA_BIT,"&gt;="&amp;CX$2,FECHA_BIT,"&lt;="&amp;CX$3,CLAVE_BIT,$A183)+SUMIFS(SALIDAS_BOV1,FECHA_BOV1,"&gt;="&amp;CX$2,FECHA_BOV1,"&lt;="&amp;CX$3,CLAVE_BOV1,$A183)+SUMIFS(SALIDAS_BOV2,FECHA_BOV2,"&gt;="&amp;CX$2,FECHA_BOV2,"&lt;="&amp;CX$3,CLAVE_BOV2,$A183)+SUMIFS(SALIDAS_BOV3,FECHA_BOV3,"&gt;="&amp;CX$2,FECHA_BOV3,"&lt;="&amp;CX$3,CLAVE_BOV3,$A183)+SUMIFS(SALIDAS_TC,FECHA_TC,"&gt;="&amp;CX$2,FECHA_TC,"&lt;="&amp;CX$3,CLAVE_TC,$A183)+SUMIFS(SALIDAS_COMB,FECHA_COMB,"&gt;="&amp;CX$2,FECHA_COMB,"&lt;="&amp;CX$3,CLAVE_COMB,$A183)+SUMIFS(SALIDAS_DES,FECHA_DESGLOSEN,"&gt;="&amp;CX$2,FECHA_DESGLOSEN,"&lt;="&amp;CX$3,CLAVE_DESGLOSE,$A183)</f>
        <v>0</v>
      </c>
      <c r="CY183" s="13">
        <f>SUMIFS(SALIDAS_BIT,FECHA_BIT,"&gt;="&amp;CY$2,FECHA_BIT,"&lt;="&amp;CY$3,CLAVE_BIT,$A183)+SUMIFS(SALIDAS_BOV1,FECHA_BOV1,"&gt;="&amp;CY$2,FECHA_BOV1,"&lt;="&amp;CY$3,CLAVE_BOV1,$A183)+SUMIFS(SALIDAS_BOV2,FECHA_BOV2,"&gt;="&amp;CY$2,FECHA_BOV2,"&lt;="&amp;CY$3,CLAVE_BOV2,$A183)+SUMIFS(SALIDAS_BOV3,FECHA_BOV3,"&gt;="&amp;CY$2,FECHA_BOV3,"&lt;="&amp;CY$3,CLAVE_BOV3,$A183)+SUMIFS(SALIDAS_TC,FECHA_TC,"&gt;="&amp;CY$2,FECHA_TC,"&lt;="&amp;CY$3,CLAVE_TC,$A183)+SUMIFS(SALIDAS_COMB,FECHA_COMB,"&gt;="&amp;CY$2,FECHA_COMB,"&lt;="&amp;CY$3,CLAVE_COMB,$A183)+SUMIFS(SALIDAS_DES,FECHA_DESGLOSEN,"&gt;="&amp;CY$2,FECHA_DESGLOSEN,"&lt;="&amp;CY$3,CLAVE_DESGLOSE,$A183)</f>
        <v>2450</v>
      </c>
      <c r="CZ183" s="68">
        <f t="shared" si="272"/>
        <v>-450</v>
      </c>
      <c r="DB183" s="17">
        <f>F183+N183+W183+AE183+AM183+AV183+BD183+BL183+BU183+CC183+CK183</f>
        <v>72000</v>
      </c>
      <c r="DC183" s="17">
        <f>K183+T183+AB183+AJ183+AS183+BA183+BI183+BR183+BZ183+CH183+CQ183</f>
        <v>82198</v>
      </c>
    </row>
    <row r="184" spans="1:107" hidden="1">
      <c r="A184" s="12" t="str">
        <f t="shared" si="245"/>
        <v>FINANZASFONDO Y REPOSICIONFINANZAS</v>
      </c>
      <c r="B184" s="482">
        <v>186</v>
      </c>
      <c r="C184" t="s">
        <v>23</v>
      </c>
      <c r="D184" s="12" t="s">
        <v>120</v>
      </c>
      <c r="E184" s="12" t="s">
        <v>23</v>
      </c>
      <c r="F184" s="259">
        <f t="shared" si="238"/>
        <v>3887</v>
      </c>
      <c r="G184" s="13">
        <f t="shared" si="313"/>
        <v>678</v>
      </c>
      <c r="H184" s="13">
        <f t="shared" si="313"/>
        <v>2270</v>
      </c>
      <c r="I184" s="13">
        <f t="shared" si="313"/>
        <v>630</v>
      </c>
      <c r="J184" s="13">
        <f t="shared" si="313"/>
        <v>3674</v>
      </c>
      <c r="K184" s="13">
        <f t="shared" si="313"/>
        <v>7252</v>
      </c>
      <c r="L184" s="68">
        <f t="shared" si="246"/>
        <v>-3365</v>
      </c>
      <c r="M184" s="268">
        <f t="shared" si="247"/>
        <v>1.8657062001543607</v>
      </c>
      <c r="N184" s="13">
        <f t="shared" si="239"/>
        <v>250</v>
      </c>
      <c r="O184" s="13">
        <f t="shared" si="314"/>
        <v>350</v>
      </c>
      <c r="P184" s="13">
        <f t="shared" si="314"/>
        <v>1594</v>
      </c>
      <c r="Q184" s="13">
        <f t="shared" si="314"/>
        <v>300</v>
      </c>
      <c r="R184" s="13">
        <f t="shared" si="314"/>
        <v>2257</v>
      </c>
      <c r="S184" s="13">
        <f t="shared" si="314"/>
        <v>350</v>
      </c>
      <c r="T184" s="13">
        <f t="shared" si="314"/>
        <v>4851</v>
      </c>
      <c r="U184" s="68">
        <f t="shared" si="248"/>
        <v>-4601</v>
      </c>
      <c r="V184" s="268">
        <f t="shared" si="249"/>
        <v>19.404</v>
      </c>
      <c r="W184" s="13">
        <f t="shared" si="240"/>
        <v>1214</v>
      </c>
      <c r="X184" s="13">
        <f t="shared" si="315"/>
        <v>835</v>
      </c>
      <c r="Y184" s="13">
        <f t="shared" si="315"/>
        <v>350</v>
      </c>
      <c r="Z184" s="13">
        <f t="shared" si="315"/>
        <v>350</v>
      </c>
      <c r="AA184" s="13">
        <f t="shared" si="315"/>
        <v>1100</v>
      </c>
      <c r="AB184" s="13">
        <f t="shared" si="315"/>
        <v>2635</v>
      </c>
      <c r="AC184" s="68">
        <f t="shared" si="250"/>
        <v>-1421</v>
      </c>
      <c r="AD184" s="268">
        <f t="shared" si="251"/>
        <v>2.1705107084019768</v>
      </c>
      <c r="AE184" s="13">
        <f t="shared" si="241"/>
        <v>5538</v>
      </c>
      <c r="AF184" s="13">
        <f t="shared" si="316"/>
        <v>1050</v>
      </c>
      <c r="AG184" s="13">
        <f t="shared" si="316"/>
        <v>400</v>
      </c>
      <c r="AH184" s="13">
        <f t="shared" si="316"/>
        <v>835</v>
      </c>
      <c r="AI184" s="13">
        <f t="shared" si="316"/>
        <v>350</v>
      </c>
      <c r="AJ184" s="13">
        <f t="shared" si="316"/>
        <v>2635</v>
      </c>
      <c r="AK184" s="68">
        <f t="shared" si="252"/>
        <v>2903</v>
      </c>
      <c r="AL184" s="268">
        <f t="shared" si="253"/>
        <v>0.4758035391838209</v>
      </c>
      <c r="AM184" s="13">
        <f t="shared" si="242"/>
        <v>266</v>
      </c>
      <c r="AN184" s="13">
        <f t="shared" si="317"/>
        <v>350</v>
      </c>
      <c r="AO184" s="13">
        <f t="shared" si="317"/>
        <v>350</v>
      </c>
      <c r="AP184" s="13">
        <f t="shared" si="317"/>
        <v>50</v>
      </c>
      <c r="AQ184" s="13">
        <f t="shared" si="317"/>
        <v>300</v>
      </c>
      <c r="AR184" s="13">
        <f t="shared" si="317"/>
        <v>650</v>
      </c>
      <c r="AS184" s="13">
        <f t="shared" si="317"/>
        <v>1700</v>
      </c>
      <c r="AT184" s="68">
        <f>AM184-AS184</f>
        <v>-1434</v>
      </c>
      <c r="AU184" s="268">
        <f t="shared" si="254"/>
        <v>6.3909774436090228</v>
      </c>
      <c r="AV184" s="13">
        <f t="shared" si="243"/>
        <v>360</v>
      </c>
      <c r="AW184" s="13">
        <f t="shared" si="323"/>
        <v>50</v>
      </c>
      <c r="AX184" s="13">
        <f t="shared" si="323"/>
        <v>4250</v>
      </c>
      <c r="AY184" s="13">
        <f t="shared" si="323"/>
        <v>300</v>
      </c>
      <c r="AZ184" s="13">
        <f t="shared" si="323"/>
        <v>20486</v>
      </c>
      <c r="BA184" s="13">
        <f t="shared" si="324"/>
        <v>25086</v>
      </c>
      <c r="BB184" s="68">
        <f t="shared" si="255"/>
        <v>-24726</v>
      </c>
      <c r="BC184" s="268">
        <f t="shared" si="256"/>
        <v>69.683333333333337</v>
      </c>
      <c r="BD184" s="13">
        <f t="shared" si="257"/>
        <v>7934</v>
      </c>
      <c r="BE184" s="13">
        <f>SUMIFS(SALIDAS_BIT,FECHA_BIT,"&gt;="&amp;BE$2,FECHA_BIT,"&lt;="&amp;BE$3,CLAVE_BIT,$A184)+SUMIFS(SALIDAS_BOV1,FECHA_BOV1,"&gt;="&amp;BE$2,FECHA_BOV1,"&lt;="&amp;BE$3,CLAVE_BOV1,$A184)+SUMIFS(SALIDAS_BOV2,FECHA_BOV2,"&gt;="&amp;BE$2,FECHA_BOV2,"&lt;="&amp;BE$3,CLAVE_BOV2,$A184)+SUMIFS(SALIDAS_BOV3,FECHA_BOV3,"&gt;="&amp;BE$2,FECHA_BOV3,"&lt;="&amp;BE$3,CLAVE_BOV3,$A184)+SUMIFS(SALIDAS_TC,FECHA_TC,"&gt;="&amp;BE$2,FECHA_TC,"&lt;="&amp;BE$3,CLAVE_TC,$A184)+SUMIFS(SALIDAS_COMB,FECHA_COMB,"&gt;="&amp;BE$2,FECHA_COMB,"&lt;="&amp;BE$3,CLAVE_COMB,$A184)+SUMIFS(SALIDAS_DES,FECHA_DESGLOSEN,"&gt;="&amp;BE$2,FECHA_DESGLOSEN,"&lt;="&amp;BE$3,CLAVE_DESGLOSE,$A184)</f>
        <v>350</v>
      </c>
      <c r="BF184" s="13">
        <f>SUMIFS(SALIDAS_BIT,FECHA_BIT,"&gt;="&amp;BF$2,FECHA_BIT,"&lt;="&amp;BF$3,CLAVE_BIT,$A184)+SUMIFS(SALIDAS_BOV1,FECHA_BOV1,"&gt;="&amp;BF$2,FECHA_BOV1,"&lt;="&amp;BF$3,CLAVE_BOV1,$A184)+SUMIFS(SALIDAS_BOV2,FECHA_BOV2,"&gt;="&amp;BF$2,FECHA_BOV2,"&lt;="&amp;BF$3,CLAVE_BOV2,$A184)+SUMIFS(SALIDAS_BOV3,FECHA_BOV3,"&gt;="&amp;BF$2,FECHA_BOV3,"&lt;="&amp;BF$3,CLAVE_BOV3,$A184)+SUMIFS(SALIDAS_TC,FECHA_TC,"&gt;="&amp;BF$2,FECHA_TC,"&lt;="&amp;BF$3,CLAVE_TC,$A184)+SUMIFS(SALIDAS_COMB,FECHA_COMB,"&gt;="&amp;BF$2,FECHA_COMB,"&lt;="&amp;BF$3,CLAVE_COMB,$A184)+SUMIFS(SALIDAS_DES,FECHA_DESGLOSEN,"&gt;="&amp;BF$2,FECHA_DESGLOSEN,"&lt;="&amp;BF$3,CLAVE_DESGLOSE,$A184)</f>
        <v>0</v>
      </c>
      <c r="BG184" s="13">
        <f>SUMIFS(SALIDAS_BIT,FECHA_BIT,"&gt;="&amp;BG$2,FECHA_BIT,"&lt;="&amp;BG$3,CLAVE_BIT,$A184)+SUMIFS(SALIDAS_BOV1,FECHA_BOV1,"&gt;="&amp;BG$2,FECHA_BOV1,"&lt;="&amp;BG$3,CLAVE_BOV1,$A184)+SUMIFS(SALIDAS_BOV2,FECHA_BOV2,"&gt;="&amp;BG$2,FECHA_BOV2,"&lt;="&amp;BG$3,CLAVE_BOV2,$A184)+SUMIFS(SALIDAS_BOV3,FECHA_BOV3,"&gt;="&amp;BG$2,FECHA_BOV3,"&lt;="&amp;BG$3,CLAVE_BOV3,$A184)+SUMIFS(SALIDAS_TC,FECHA_TC,"&gt;="&amp;BG$2,FECHA_TC,"&lt;="&amp;BG$3,CLAVE_TC,$A184)+SUMIFS(SALIDAS_COMB,FECHA_COMB,"&gt;="&amp;BG$2,FECHA_COMB,"&lt;="&amp;BG$3,CLAVE_COMB,$A184)+SUMIFS(SALIDAS_DES,FECHA_DESGLOSEN,"&gt;="&amp;BG$2,FECHA_DESGLOSEN,"&lt;="&amp;BG$3,CLAVE_DESGLOSE,$A184)</f>
        <v>350</v>
      </c>
      <c r="BH184" s="13">
        <f>SUMIFS(SALIDAS_BIT,FECHA_BIT,"&gt;="&amp;BH$2,FECHA_BIT,"&lt;="&amp;BH$3,CLAVE_BIT,$A184)+SUMIFS(SALIDAS_BOV1,FECHA_BOV1,"&gt;="&amp;BH$2,FECHA_BOV1,"&lt;="&amp;BH$3,CLAVE_BOV1,$A184)+SUMIFS(SALIDAS_BOV2,FECHA_BOV2,"&gt;="&amp;BH$2,FECHA_BOV2,"&lt;="&amp;BH$3,CLAVE_BOV2,$A184)+SUMIFS(SALIDAS_BOV3,FECHA_BOV3,"&gt;="&amp;BH$2,FECHA_BOV3,"&lt;="&amp;BH$3,CLAVE_BOV3,$A184)+SUMIFS(SALIDAS_TC,FECHA_TC,"&gt;="&amp;BH$2,FECHA_TC,"&lt;="&amp;BH$3,CLAVE_TC,$A184)+SUMIFS(SALIDAS_COMB,FECHA_COMB,"&gt;="&amp;BH$2,FECHA_COMB,"&lt;="&amp;BH$3,CLAVE_COMB,$A184)+SUMIFS(SALIDAS_DES,FECHA_DESGLOSEN,"&gt;="&amp;BH$2,FECHA_DESGLOSEN,"&lt;="&amp;BH$3,CLAVE_DESGLOSE,$A184)</f>
        <v>7385</v>
      </c>
      <c r="BI184" s="13">
        <f t="shared" si="311"/>
        <v>8085</v>
      </c>
      <c r="BJ184" s="68">
        <f t="shared" si="258"/>
        <v>-151</v>
      </c>
      <c r="BK184" s="268">
        <f t="shared" si="259"/>
        <v>1.0190320141164608</v>
      </c>
      <c r="BL184" s="13">
        <f t="shared" si="260"/>
        <v>6920</v>
      </c>
      <c r="BM184" s="13">
        <f>SUMIFS(SALIDAS_BIT,FECHA_BIT,"&gt;="&amp;BM$2,FECHA_BIT,"&lt;="&amp;BM$3,CLAVE_BIT,$A184)+SUMIFS(SALIDAS_BOV1,FECHA_BOV1,"&gt;="&amp;BM$2,FECHA_BOV1,"&lt;="&amp;BM$3,CLAVE_BOV1,$A184)+SUMIFS(SALIDAS_BOV2,FECHA_BOV2,"&gt;="&amp;BM$2,FECHA_BOV2,"&lt;="&amp;BM$3,CLAVE_BOV2,$A184)+SUMIFS(SALIDAS_BOV3,FECHA_BOV3,"&gt;="&amp;BM$2,FECHA_BOV3,"&lt;="&amp;BM$3,CLAVE_BOV3,$A184)+SUMIFS(SALIDAS_TC,FECHA_TC,"&gt;="&amp;BM$2,FECHA_TC,"&lt;="&amp;BM$3,CLAVE_TC,$A184)+SUMIFS(SALIDAS_COMB,FECHA_COMB,"&gt;="&amp;BM$2,FECHA_COMB,"&lt;="&amp;BM$3,CLAVE_COMB,$A184)+SUMIFS(SALIDAS_DES,FECHA_DESGLOSEN,"&gt;="&amp;BM$2,FECHA_DESGLOSEN,"&lt;="&amp;BM$3,CLAVE_DESGLOSE,$A184)</f>
        <v>1478</v>
      </c>
      <c r="BN184" s="13">
        <f>SUMIFS(SALIDAS_BIT,FECHA_BIT,"&gt;="&amp;BN$2,FECHA_BIT,"&lt;="&amp;BN$3,CLAVE_BIT,$A184)+SUMIFS(SALIDAS_BOV1,FECHA_BOV1,"&gt;="&amp;BN$2,FECHA_BOV1,"&lt;="&amp;BN$3,CLAVE_BOV1,$A184)+SUMIFS(SALIDAS_BOV2,FECHA_BOV2,"&gt;="&amp;BN$2,FECHA_BOV2,"&lt;="&amp;BN$3,CLAVE_BOV2,$A184)+SUMIFS(SALIDAS_BOV3,FECHA_BOV3,"&gt;="&amp;BN$2,FECHA_BOV3,"&lt;="&amp;BN$3,CLAVE_BOV3,$A184)+SUMIFS(SALIDAS_TC,FECHA_TC,"&gt;="&amp;BN$2,FECHA_TC,"&lt;="&amp;BN$3,CLAVE_TC,$A184)+SUMIFS(SALIDAS_COMB,FECHA_COMB,"&gt;="&amp;BN$2,FECHA_COMB,"&lt;="&amp;BN$3,CLAVE_COMB,$A184)+SUMIFS(SALIDAS_DES,FECHA_DESGLOSEN,"&gt;="&amp;BN$2,FECHA_DESGLOSEN,"&lt;="&amp;BN$3,CLAVE_DESGLOSE,$A184)</f>
        <v>350</v>
      </c>
      <c r="BO184" s="13">
        <f>SUMIFS(SALIDAS_BIT,FECHA_BIT,"&gt;="&amp;BO$2,FECHA_BIT,"&lt;="&amp;BO$3,CLAVE_BIT,$A184)+SUMIFS(SALIDAS_BOV1,FECHA_BOV1,"&gt;="&amp;BO$2,FECHA_BOV1,"&lt;="&amp;BO$3,CLAVE_BOV1,$A184)+SUMIFS(SALIDAS_BOV2,FECHA_BOV2,"&gt;="&amp;BO$2,FECHA_BOV2,"&lt;="&amp;BO$3,CLAVE_BOV2,$A184)+SUMIFS(SALIDAS_BOV3,FECHA_BOV3,"&gt;="&amp;BO$2,FECHA_BOV3,"&lt;="&amp;BO$3,CLAVE_BOV3,$A184)+SUMIFS(SALIDAS_TC,FECHA_TC,"&gt;="&amp;BO$2,FECHA_TC,"&lt;="&amp;BO$3,CLAVE_TC,$A184)+SUMIFS(SALIDAS_COMB,FECHA_COMB,"&gt;="&amp;BO$2,FECHA_COMB,"&lt;="&amp;BO$3,CLAVE_COMB,$A184)+SUMIFS(SALIDAS_DES,FECHA_DESGLOSEN,"&gt;="&amp;BO$2,FECHA_DESGLOSEN,"&lt;="&amp;BO$3,CLAVE_DESGLOSE,$A184)</f>
        <v>5350</v>
      </c>
      <c r="BP184" s="13">
        <f>SUMIFS(SALIDAS_BIT,FECHA_BIT,"&gt;="&amp;BP$2,FECHA_BIT,"&lt;="&amp;BP$3,CLAVE_BIT,$A184)+SUMIFS(SALIDAS_BOV1,FECHA_BOV1,"&gt;="&amp;BP$2,FECHA_BOV1,"&lt;="&amp;BP$3,CLAVE_BOV1,$A184)+SUMIFS(SALIDAS_BOV2,FECHA_BOV2,"&gt;="&amp;BP$2,FECHA_BOV2,"&lt;="&amp;BP$3,CLAVE_BOV2,$A184)+SUMIFS(SALIDAS_BOV3,FECHA_BOV3,"&gt;="&amp;BP$2,FECHA_BOV3,"&lt;="&amp;BP$3,CLAVE_BOV3,$A184)+SUMIFS(SALIDAS_TC,FECHA_TC,"&gt;="&amp;BP$2,FECHA_TC,"&lt;="&amp;BP$3,CLAVE_TC,$A184)+SUMIFS(SALIDAS_COMB,FECHA_COMB,"&gt;="&amp;BP$2,FECHA_COMB,"&lt;="&amp;BP$3,CLAVE_COMB,$A184)+SUMIFS(SALIDAS_DES,FECHA_DESGLOSEN,"&gt;="&amp;BP$2,FECHA_DESGLOSEN,"&lt;="&amp;BP$3,CLAVE_DESGLOSE,$A184)</f>
        <v>650</v>
      </c>
      <c r="BQ184" s="13">
        <f>SUMIFS(SALIDAS_BIT,FECHA_BIT,"&gt;="&amp;BQ$2,FECHA_BIT,"&lt;="&amp;BQ$3,CLAVE_BIT,$A184)+SUMIFS(SALIDAS_BOV1,FECHA_BOV1,"&gt;="&amp;BQ$2,FECHA_BOV1,"&lt;="&amp;BQ$3,CLAVE_BOV1,$A184)+SUMIFS(SALIDAS_BOV2,FECHA_BOV2,"&gt;="&amp;BQ$2,FECHA_BOV2,"&lt;="&amp;BQ$3,CLAVE_BOV2,$A184)+SUMIFS(SALIDAS_BOV3,FECHA_BOV3,"&gt;="&amp;BQ$2,FECHA_BOV3,"&lt;="&amp;BQ$3,CLAVE_BOV3,$A184)+SUMIFS(SALIDAS_TC,FECHA_TC,"&gt;="&amp;BQ$2,FECHA_TC,"&lt;="&amp;BQ$3,CLAVE_TC,$A184)+SUMIFS(SALIDAS_COMB,FECHA_COMB,"&gt;="&amp;BQ$2,FECHA_COMB,"&lt;="&amp;BQ$3,CLAVE_COMB,$A184)+SUMIFS(SALIDAS_DES,FECHA_DESGLOSEN,"&gt;="&amp;BQ$2,FECHA_DESGLOSEN,"&lt;="&amp;BQ$3,CLAVE_DESGLOSE,$A184)</f>
        <v>4425</v>
      </c>
      <c r="BR184" s="13">
        <f t="shared" si="318"/>
        <v>12253</v>
      </c>
      <c r="BS184" s="68">
        <f t="shared" si="261"/>
        <v>-5333</v>
      </c>
      <c r="BT184" s="268">
        <f t="shared" si="262"/>
        <v>1.7706647398843931</v>
      </c>
      <c r="BU184" s="13">
        <f t="shared" si="263"/>
        <v>1300</v>
      </c>
      <c r="BV184" s="13">
        <f t="shared" si="291"/>
        <v>0</v>
      </c>
      <c r="BW184" s="13">
        <f t="shared" si="291"/>
        <v>2418</v>
      </c>
      <c r="BX184" s="13">
        <f t="shared" si="291"/>
        <v>300</v>
      </c>
      <c r="BY184" s="13">
        <f t="shared" si="291"/>
        <v>3100</v>
      </c>
      <c r="BZ184" s="13">
        <f t="shared" si="319"/>
        <v>5818</v>
      </c>
      <c r="CA184" s="68">
        <f t="shared" si="264"/>
        <v>-4518</v>
      </c>
      <c r="CB184" s="268">
        <f t="shared" si="265"/>
        <v>4.4753846153846153</v>
      </c>
      <c r="CC184" s="13">
        <f t="shared" si="266"/>
        <v>1300</v>
      </c>
      <c r="CD184" s="13">
        <f t="shared" si="292"/>
        <v>5907</v>
      </c>
      <c r="CE184" s="13">
        <f t="shared" si="292"/>
        <v>50</v>
      </c>
      <c r="CF184" s="13">
        <f t="shared" si="292"/>
        <v>300</v>
      </c>
      <c r="CG184" s="13">
        <f t="shared" si="292"/>
        <v>1590</v>
      </c>
      <c r="CH184" s="13">
        <f t="shared" si="320"/>
        <v>7847</v>
      </c>
      <c r="CI184" s="68">
        <f t="shared" si="267"/>
        <v>-6547</v>
      </c>
      <c r="CJ184" s="268">
        <f t="shared" si="268"/>
        <v>6.0361538461538462</v>
      </c>
      <c r="CK184" s="13">
        <f t="shared" si="269"/>
        <v>1300</v>
      </c>
      <c r="CL184" s="13">
        <f t="shared" si="312"/>
        <v>2090</v>
      </c>
      <c r="CM184" s="13">
        <f t="shared" si="312"/>
        <v>350</v>
      </c>
      <c r="CN184" s="13">
        <f t="shared" si="312"/>
        <v>6600</v>
      </c>
      <c r="CO184" s="13">
        <f t="shared" si="312"/>
        <v>5098</v>
      </c>
      <c r="CP184" s="13">
        <f t="shared" si="312"/>
        <v>2122</v>
      </c>
      <c r="CQ184" s="13">
        <f t="shared" si="321"/>
        <v>16260</v>
      </c>
      <c r="CR184" s="68">
        <f t="shared" si="270"/>
        <v>-14960</v>
      </c>
      <c r="CS184" s="268">
        <f t="shared" si="271"/>
        <v>12.507692307692308</v>
      </c>
      <c r="CT184" s="68">
        <f t="shared" si="244"/>
        <v>8000</v>
      </c>
      <c r="CU184" s="13">
        <f>SUMIFS(SALIDAS_BIT,FECHA_BIT,"&gt;="&amp;CU$2,FECHA_BIT,"&lt;="&amp;CU$3,CLAVE_BIT,$A184)+SUMIFS(SALIDAS_BOV1,FECHA_BOV1,"&gt;="&amp;CU$2,FECHA_BOV1,"&lt;="&amp;CU$3,CLAVE_BOV1,$A184)+SUMIFS(SALIDAS_BOV2,FECHA_BOV2,"&gt;="&amp;CU$2,FECHA_BOV2,"&lt;="&amp;CU$3,CLAVE_BOV2,$A184)+SUMIFS(SALIDAS_BOV3,FECHA_BOV3,"&gt;="&amp;CU$2,FECHA_BOV3,"&lt;="&amp;CU$3,CLAVE_BOV3,$A184)+SUMIFS(SALIDAS_TC,FECHA_TC,"&gt;="&amp;CU$2,FECHA_TC,"&lt;="&amp;CU$3,CLAVE_TC,$A184)+SUMIFS(SALIDAS_COMB,FECHA_COMB,"&gt;="&amp;CU$2,FECHA_COMB,"&lt;="&amp;CU$3,CLAVE_COMB,$A184)+SUMIFS(SALIDAS_DES,FECHA_DESGLOSEN,"&gt;="&amp;CU$2,FECHA_DESGLOSEN,"&lt;="&amp;CU$3,CLAVE_DESGLOSE,$A184)</f>
        <v>350</v>
      </c>
      <c r="CV184" s="13">
        <f>SUMIFS(SALIDAS_BIT,FECHA_BIT,"&gt;="&amp;CV$2,FECHA_BIT,"&lt;="&amp;CV$3,CLAVE_BIT,$A184)+SUMIFS(SALIDAS_BOV1,FECHA_BOV1,"&gt;="&amp;CV$2,FECHA_BOV1,"&lt;="&amp;CV$3,CLAVE_BOV1,$A184)+SUMIFS(SALIDAS_BOV2,FECHA_BOV2,"&gt;="&amp;CV$2,FECHA_BOV2,"&lt;="&amp;CV$3,CLAVE_BOV2,$A184)+SUMIFS(SALIDAS_BOV3,FECHA_BOV3,"&gt;="&amp;CV$2,FECHA_BOV3,"&lt;="&amp;CV$3,CLAVE_BOV3,$A184)+SUMIFS(SALIDAS_TC,FECHA_TC,"&gt;="&amp;CV$2,FECHA_TC,"&lt;="&amp;CV$3,CLAVE_TC,$A184)+SUMIFS(SALIDAS_COMB,FECHA_COMB,"&gt;="&amp;CV$2,FECHA_COMB,"&lt;="&amp;CV$3,CLAVE_COMB,$A184)+SUMIFS(SALIDAS_DES,FECHA_DESGLOSEN,"&gt;="&amp;CV$2,FECHA_DESGLOSEN,"&lt;="&amp;CV$3,CLAVE_DESGLOSE,$A184)</f>
        <v>650</v>
      </c>
      <c r="CW184" s="13">
        <f>SUMIFS(SALIDAS_BIT,FECHA_BIT,"&gt;="&amp;CW$2,FECHA_BIT,"&lt;="&amp;CW$3,CLAVE_BIT,$A184)+SUMIFS(SALIDAS_BOV1,FECHA_BOV1,"&gt;="&amp;CW$2,FECHA_BOV1,"&lt;="&amp;CW$3,CLAVE_BOV1,$A184)+SUMIFS(SALIDAS_BOV2,FECHA_BOV2,"&gt;="&amp;CW$2,FECHA_BOV2,"&lt;="&amp;CW$3,CLAVE_BOV2,$A184)+SUMIFS(SALIDAS_BOV3,FECHA_BOV3,"&gt;="&amp;CW$2,FECHA_BOV3,"&lt;="&amp;CW$3,CLAVE_BOV3,$A184)+SUMIFS(SALIDAS_TC,FECHA_TC,"&gt;="&amp;CW$2,FECHA_TC,"&lt;="&amp;CW$3,CLAVE_TC,$A184)+SUMIFS(SALIDAS_COMB,FECHA_COMB,"&gt;="&amp;CW$2,FECHA_COMB,"&lt;="&amp;CW$3,CLAVE_COMB,$A184)+SUMIFS(SALIDAS_DES,FECHA_DESGLOSEN,"&gt;="&amp;CW$2,FECHA_DESGLOSEN,"&lt;="&amp;CW$3,CLAVE_DESGLOSE,$A184)</f>
        <v>3055</v>
      </c>
      <c r="CX184" s="13">
        <f>SUMIFS(SALIDAS_BIT,FECHA_BIT,"&gt;="&amp;CX$2,FECHA_BIT,"&lt;="&amp;CX$3,CLAVE_BIT,$A184)+SUMIFS(SALIDAS_BOV1,FECHA_BOV1,"&gt;="&amp;CX$2,FECHA_BOV1,"&lt;="&amp;CX$3,CLAVE_BOV1,$A184)+SUMIFS(SALIDAS_BOV2,FECHA_BOV2,"&gt;="&amp;CX$2,FECHA_BOV2,"&lt;="&amp;CX$3,CLAVE_BOV2,$A184)+SUMIFS(SALIDAS_BOV3,FECHA_BOV3,"&gt;="&amp;CX$2,FECHA_BOV3,"&lt;="&amp;CX$3,CLAVE_BOV3,$A184)+SUMIFS(SALIDAS_TC,FECHA_TC,"&gt;="&amp;CX$2,FECHA_TC,"&lt;="&amp;CX$3,CLAVE_TC,$A184)+SUMIFS(SALIDAS_COMB,FECHA_COMB,"&gt;="&amp;CX$2,FECHA_COMB,"&lt;="&amp;CX$3,CLAVE_COMB,$A184)+SUMIFS(SALIDAS_DES,FECHA_DESGLOSEN,"&gt;="&amp;CX$2,FECHA_DESGLOSEN,"&lt;="&amp;CX$3,CLAVE_DESGLOSE,$A184)</f>
        <v>2760</v>
      </c>
      <c r="CY184" s="13">
        <f>SUMIFS(SALIDAS_BIT,FECHA_BIT,"&gt;="&amp;CY$2,FECHA_BIT,"&lt;="&amp;CY$3,CLAVE_BIT,$A184)+SUMIFS(SALIDAS_BOV1,FECHA_BOV1,"&gt;="&amp;CY$2,FECHA_BOV1,"&lt;="&amp;CY$3,CLAVE_BOV1,$A184)+SUMIFS(SALIDAS_BOV2,FECHA_BOV2,"&gt;="&amp;CY$2,FECHA_BOV2,"&lt;="&amp;CY$3,CLAVE_BOV2,$A184)+SUMIFS(SALIDAS_BOV3,FECHA_BOV3,"&gt;="&amp;CY$2,FECHA_BOV3,"&lt;="&amp;CY$3,CLAVE_BOV3,$A184)+SUMIFS(SALIDAS_TC,FECHA_TC,"&gt;="&amp;CY$2,FECHA_TC,"&lt;="&amp;CY$3,CLAVE_TC,$A184)+SUMIFS(SALIDAS_COMB,FECHA_COMB,"&gt;="&amp;CY$2,FECHA_COMB,"&lt;="&amp;CY$3,CLAVE_COMB,$A184)+SUMIFS(SALIDAS_DES,FECHA_DESGLOSEN,"&gt;="&amp;CY$2,FECHA_DESGLOSEN,"&lt;="&amp;CY$3,CLAVE_DESGLOSE,$A184)</f>
        <v>6815</v>
      </c>
      <c r="CZ184" s="68">
        <f t="shared" si="272"/>
        <v>1185</v>
      </c>
      <c r="DB184" s="17">
        <f>F184+N184+W184+AE184+AM184+AV184+BD184+BL184+BU184+CC184+CK184</f>
        <v>30269</v>
      </c>
      <c r="DC184" s="17">
        <f>K184+T184+AB184+AJ184+AS184+BA184+BI184+BR184+BZ184+CH184+CQ184</f>
        <v>94422</v>
      </c>
    </row>
    <row r="185" spans="1:107" hidden="1">
      <c r="A185" s="12" t="str">
        <f t="shared" si="245"/>
        <v>SGEFONDO Y REPOSICIONGESTION EMPRESARIAL</v>
      </c>
      <c r="B185" s="12">
        <v>187</v>
      </c>
      <c r="C185" t="s">
        <v>39</v>
      </c>
      <c r="D185" s="12" t="s">
        <v>120</v>
      </c>
      <c r="E185" s="12" t="s">
        <v>40</v>
      </c>
      <c r="F185" s="259">
        <f t="shared" si="238"/>
        <v>0</v>
      </c>
      <c r="G185" s="13">
        <f t="shared" si="313"/>
        <v>0</v>
      </c>
      <c r="H185" s="13">
        <f t="shared" si="313"/>
        <v>598</v>
      </c>
      <c r="I185" s="13">
        <f t="shared" si="313"/>
        <v>0</v>
      </c>
      <c r="J185" s="13">
        <f t="shared" si="313"/>
        <v>0</v>
      </c>
      <c r="K185" s="13">
        <f t="shared" si="313"/>
        <v>598</v>
      </c>
      <c r="L185" s="68">
        <f t="shared" si="246"/>
        <v>-598</v>
      </c>
      <c r="M185" s="268">
        <f t="shared" si="247"/>
        <v>0</v>
      </c>
      <c r="N185" s="13">
        <f t="shared" si="239"/>
        <v>0</v>
      </c>
      <c r="O185" s="13">
        <f t="shared" si="314"/>
        <v>0</v>
      </c>
      <c r="P185" s="13">
        <f t="shared" si="314"/>
        <v>0</v>
      </c>
      <c r="Q185" s="13">
        <f t="shared" si="314"/>
        <v>0</v>
      </c>
      <c r="R185" s="13">
        <f t="shared" si="314"/>
        <v>0</v>
      </c>
      <c r="S185" s="13">
        <f t="shared" si="314"/>
        <v>0</v>
      </c>
      <c r="T185" s="13">
        <f t="shared" si="314"/>
        <v>0</v>
      </c>
      <c r="U185" s="68">
        <f t="shared" si="248"/>
        <v>0</v>
      </c>
      <c r="V185" s="268">
        <f t="shared" si="249"/>
        <v>0</v>
      </c>
      <c r="W185" s="13">
        <f t="shared" si="240"/>
        <v>0</v>
      </c>
      <c r="X185" s="13">
        <f t="shared" si="315"/>
        <v>0</v>
      </c>
      <c r="Y185" s="13">
        <f t="shared" si="315"/>
        <v>0</v>
      </c>
      <c r="Z185" s="13">
        <f t="shared" si="315"/>
        <v>0</v>
      </c>
      <c r="AA185" s="13">
        <f t="shared" si="315"/>
        <v>3306</v>
      </c>
      <c r="AB185" s="13">
        <f t="shared" si="315"/>
        <v>3306</v>
      </c>
      <c r="AC185" s="68">
        <f t="shared" si="250"/>
        <v>-3306</v>
      </c>
      <c r="AD185" s="268">
        <f t="shared" si="251"/>
        <v>0</v>
      </c>
      <c r="AE185" s="13">
        <f t="shared" si="241"/>
        <v>0</v>
      </c>
      <c r="AF185" s="13">
        <f t="shared" si="316"/>
        <v>0</v>
      </c>
      <c r="AG185" s="13">
        <f t="shared" si="316"/>
        <v>0</v>
      </c>
      <c r="AH185" s="13">
        <f t="shared" si="316"/>
        <v>0</v>
      </c>
      <c r="AI185" s="13">
        <f t="shared" si="316"/>
        <v>0</v>
      </c>
      <c r="AJ185" s="13">
        <f t="shared" si="316"/>
        <v>0</v>
      </c>
      <c r="AK185" s="68">
        <f t="shared" si="252"/>
        <v>0</v>
      </c>
      <c r="AL185" s="268">
        <f t="shared" si="253"/>
        <v>0</v>
      </c>
      <c r="AM185" s="13">
        <f t="shared" si="242"/>
        <v>0</v>
      </c>
      <c r="AN185" s="13">
        <f t="shared" si="317"/>
        <v>0</v>
      </c>
      <c r="AO185" s="13">
        <f t="shared" si="317"/>
        <v>178</v>
      </c>
      <c r="AP185" s="13">
        <f t="shared" si="317"/>
        <v>0</v>
      </c>
      <c r="AQ185" s="13">
        <f t="shared" si="317"/>
        <v>0</v>
      </c>
      <c r="AR185" s="13">
        <f t="shared" si="317"/>
        <v>0</v>
      </c>
      <c r="AS185" s="13">
        <f t="shared" si="317"/>
        <v>178</v>
      </c>
      <c r="AT185" s="68">
        <f>AM185-AS185</f>
        <v>-178</v>
      </c>
      <c r="AU185" s="268">
        <f t="shared" si="254"/>
        <v>0</v>
      </c>
      <c r="AV185" s="13">
        <f t="shared" si="243"/>
        <v>0</v>
      </c>
      <c r="AW185" s="13">
        <f t="shared" si="323"/>
        <v>0</v>
      </c>
      <c r="AX185" s="13">
        <f t="shared" si="323"/>
        <v>0</v>
      </c>
      <c r="AY185" s="13">
        <f t="shared" si="323"/>
        <v>0</v>
      </c>
      <c r="AZ185" s="13">
        <f t="shared" si="323"/>
        <v>0</v>
      </c>
      <c r="BA185" s="13">
        <f t="shared" si="324"/>
        <v>0</v>
      </c>
      <c r="BB185" s="68">
        <f t="shared" si="255"/>
        <v>0</v>
      </c>
      <c r="BC185" s="268">
        <f t="shared" si="256"/>
        <v>0</v>
      </c>
      <c r="BD185" s="13">
        <f t="shared" si="257"/>
        <v>0</v>
      </c>
      <c r="BE185" s="13">
        <f>SUMIFS(SALIDAS_BIT,FECHA_BIT,"&gt;="&amp;BE$2,FECHA_BIT,"&lt;="&amp;BE$3,CLAVE_BIT,$A185)+SUMIFS(SALIDAS_BOV1,FECHA_BOV1,"&gt;="&amp;BE$2,FECHA_BOV1,"&lt;="&amp;BE$3,CLAVE_BOV1,$A185)+SUMIFS(SALIDAS_BOV2,FECHA_BOV2,"&gt;="&amp;BE$2,FECHA_BOV2,"&lt;="&amp;BE$3,CLAVE_BOV2,$A185)+SUMIFS(SALIDAS_BOV3,FECHA_BOV3,"&gt;="&amp;BE$2,FECHA_BOV3,"&lt;="&amp;BE$3,CLAVE_BOV3,$A185)+SUMIFS(SALIDAS_TC,FECHA_TC,"&gt;="&amp;BE$2,FECHA_TC,"&lt;="&amp;BE$3,CLAVE_TC,$A185)+SUMIFS(SALIDAS_COMB,FECHA_COMB,"&gt;="&amp;BE$2,FECHA_COMB,"&lt;="&amp;BE$3,CLAVE_COMB,$A185)+SUMIFS(SALIDAS_DES,FECHA_DESGLOSEN,"&gt;="&amp;BE$2,FECHA_DESGLOSEN,"&lt;="&amp;BE$3,CLAVE_DESGLOSE,$A185)</f>
        <v>0</v>
      </c>
      <c r="BF185" s="13">
        <f>SUMIFS(SALIDAS_BIT,FECHA_BIT,"&gt;="&amp;BF$2,FECHA_BIT,"&lt;="&amp;BF$3,CLAVE_BIT,$A185)+SUMIFS(SALIDAS_BOV1,FECHA_BOV1,"&gt;="&amp;BF$2,FECHA_BOV1,"&lt;="&amp;BF$3,CLAVE_BOV1,$A185)+SUMIFS(SALIDAS_BOV2,FECHA_BOV2,"&gt;="&amp;BF$2,FECHA_BOV2,"&lt;="&amp;BF$3,CLAVE_BOV2,$A185)+SUMIFS(SALIDAS_BOV3,FECHA_BOV3,"&gt;="&amp;BF$2,FECHA_BOV3,"&lt;="&amp;BF$3,CLAVE_BOV3,$A185)+SUMIFS(SALIDAS_TC,FECHA_TC,"&gt;="&amp;BF$2,FECHA_TC,"&lt;="&amp;BF$3,CLAVE_TC,$A185)+SUMIFS(SALIDAS_COMB,FECHA_COMB,"&gt;="&amp;BF$2,FECHA_COMB,"&lt;="&amp;BF$3,CLAVE_COMB,$A185)+SUMIFS(SALIDAS_DES,FECHA_DESGLOSEN,"&gt;="&amp;BF$2,FECHA_DESGLOSEN,"&lt;="&amp;BF$3,CLAVE_DESGLOSE,$A185)</f>
        <v>540</v>
      </c>
      <c r="BG185" s="13">
        <f>SUMIFS(SALIDAS_BIT,FECHA_BIT,"&gt;="&amp;BG$2,FECHA_BIT,"&lt;="&amp;BG$3,CLAVE_BIT,$A185)+SUMIFS(SALIDAS_BOV1,FECHA_BOV1,"&gt;="&amp;BG$2,FECHA_BOV1,"&lt;="&amp;BG$3,CLAVE_BOV1,$A185)+SUMIFS(SALIDAS_BOV2,FECHA_BOV2,"&gt;="&amp;BG$2,FECHA_BOV2,"&lt;="&amp;BG$3,CLAVE_BOV2,$A185)+SUMIFS(SALIDAS_BOV3,FECHA_BOV3,"&gt;="&amp;BG$2,FECHA_BOV3,"&lt;="&amp;BG$3,CLAVE_BOV3,$A185)+SUMIFS(SALIDAS_TC,FECHA_TC,"&gt;="&amp;BG$2,FECHA_TC,"&lt;="&amp;BG$3,CLAVE_TC,$A185)+SUMIFS(SALIDAS_COMB,FECHA_COMB,"&gt;="&amp;BG$2,FECHA_COMB,"&lt;="&amp;BG$3,CLAVE_COMB,$A185)+SUMIFS(SALIDAS_DES,FECHA_DESGLOSEN,"&gt;="&amp;BG$2,FECHA_DESGLOSEN,"&lt;="&amp;BG$3,CLAVE_DESGLOSE,$A185)</f>
        <v>0</v>
      </c>
      <c r="BH185" s="13">
        <f>SUMIFS(SALIDAS_BIT,FECHA_BIT,"&gt;="&amp;BH$2,FECHA_BIT,"&lt;="&amp;BH$3,CLAVE_BIT,$A185)+SUMIFS(SALIDAS_BOV1,FECHA_BOV1,"&gt;="&amp;BH$2,FECHA_BOV1,"&lt;="&amp;BH$3,CLAVE_BOV1,$A185)+SUMIFS(SALIDAS_BOV2,FECHA_BOV2,"&gt;="&amp;BH$2,FECHA_BOV2,"&lt;="&amp;BH$3,CLAVE_BOV2,$A185)+SUMIFS(SALIDAS_BOV3,FECHA_BOV3,"&gt;="&amp;BH$2,FECHA_BOV3,"&lt;="&amp;BH$3,CLAVE_BOV3,$A185)+SUMIFS(SALIDAS_TC,FECHA_TC,"&gt;="&amp;BH$2,FECHA_TC,"&lt;="&amp;BH$3,CLAVE_TC,$A185)+SUMIFS(SALIDAS_COMB,FECHA_COMB,"&gt;="&amp;BH$2,FECHA_COMB,"&lt;="&amp;BH$3,CLAVE_COMB,$A185)+SUMIFS(SALIDAS_DES,FECHA_DESGLOSEN,"&gt;="&amp;BH$2,FECHA_DESGLOSEN,"&lt;="&amp;BH$3,CLAVE_DESGLOSE,$A185)</f>
        <v>0</v>
      </c>
      <c r="BI185" s="13">
        <f t="shared" si="311"/>
        <v>540</v>
      </c>
      <c r="BJ185" s="68">
        <f t="shared" si="258"/>
        <v>-540</v>
      </c>
      <c r="BK185" s="268">
        <f t="shared" si="259"/>
        <v>0</v>
      </c>
      <c r="BL185" s="13">
        <f t="shared" si="260"/>
        <v>0</v>
      </c>
      <c r="BM185" s="13">
        <f>SUMIFS(SALIDAS_BIT,FECHA_BIT,"&gt;="&amp;BM$2,FECHA_BIT,"&lt;="&amp;BM$3,CLAVE_BIT,$A185)+SUMIFS(SALIDAS_BOV1,FECHA_BOV1,"&gt;="&amp;BM$2,FECHA_BOV1,"&lt;="&amp;BM$3,CLAVE_BOV1,$A185)+SUMIFS(SALIDAS_BOV2,FECHA_BOV2,"&gt;="&amp;BM$2,FECHA_BOV2,"&lt;="&amp;BM$3,CLAVE_BOV2,$A185)+SUMIFS(SALIDAS_BOV3,FECHA_BOV3,"&gt;="&amp;BM$2,FECHA_BOV3,"&lt;="&amp;BM$3,CLAVE_BOV3,$A185)+SUMIFS(SALIDAS_TC,FECHA_TC,"&gt;="&amp;BM$2,FECHA_TC,"&lt;="&amp;BM$3,CLAVE_TC,$A185)+SUMIFS(SALIDAS_COMB,FECHA_COMB,"&gt;="&amp;BM$2,FECHA_COMB,"&lt;="&amp;BM$3,CLAVE_COMB,$A185)+SUMIFS(SALIDAS_DES,FECHA_DESGLOSEN,"&gt;="&amp;BM$2,FECHA_DESGLOSEN,"&lt;="&amp;BM$3,CLAVE_DESGLOSE,$A185)</f>
        <v>0</v>
      </c>
      <c r="BN185" s="13">
        <f>SUMIFS(SALIDAS_BIT,FECHA_BIT,"&gt;="&amp;BN$2,FECHA_BIT,"&lt;="&amp;BN$3,CLAVE_BIT,$A185)+SUMIFS(SALIDAS_BOV1,FECHA_BOV1,"&gt;="&amp;BN$2,FECHA_BOV1,"&lt;="&amp;BN$3,CLAVE_BOV1,$A185)+SUMIFS(SALIDAS_BOV2,FECHA_BOV2,"&gt;="&amp;BN$2,FECHA_BOV2,"&lt;="&amp;BN$3,CLAVE_BOV2,$A185)+SUMIFS(SALIDAS_BOV3,FECHA_BOV3,"&gt;="&amp;BN$2,FECHA_BOV3,"&lt;="&amp;BN$3,CLAVE_BOV3,$A185)+SUMIFS(SALIDAS_TC,FECHA_TC,"&gt;="&amp;BN$2,FECHA_TC,"&lt;="&amp;BN$3,CLAVE_TC,$A185)+SUMIFS(SALIDAS_COMB,FECHA_COMB,"&gt;="&amp;BN$2,FECHA_COMB,"&lt;="&amp;BN$3,CLAVE_COMB,$A185)+SUMIFS(SALIDAS_DES,FECHA_DESGLOSEN,"&gt;="&amp;BN$2,FECHA_DESGLOSEN,"&lt;="&amp;BN$3,CLAVE_DESGLOSE,$A185)</f>
        <v>0</v>
      </c>
      <c r="BO185" s="13">
        <f>SUMIFS(SALIDAS_BIT,FECHA_BIT,"&gt;="&amp;BO$2,FECHA_BIT,"&lt;="&amp;BO$3,CLAVE_BIT,$A185)+SUMIFS(SALIDAS_BOV1,FECHA_BOV1,"&gt;="&amp;BO$2,FECHA_BOV1,"&lt;="&amp;BO$3,CLAVE_BOV1,$A185)+SUMIFS(SALIDAS_BOV2,FECHA_BOV2,"&gt;="&amp;BO$2,FECHA_BOV2,"&lt;="&amp;BO$3,CLAVE_BOV2,$A185)+SUMIFS(SALIDAS_BOV3,FECHA_BOV3,"&gt;="&amp;BO$2,FECHA_BOV3,"&lt;="&amp;BO$3,CLAVE_BOV3,$A185)+SUMIFS(SALIDAS_TC,FECHA_TC,"&gt;="&amp;BO$2,FECHA_TC,"&lt;="&amp;BO$3,CLAVE_TC,$A185)+SUMIFS(SALIDAS_COMB,FECHA_COMB,"&gt;="&amp;BO$2,FECHA_COMB,"&lt;="&amp;BO$3,CLAVE_COMB,$A185)+SUMIFS(SALIDAS_DES,FECHA_DESGLOSEN,"&gt;="&amp;BO$2,FECHA_DESGLOSEN,"&lt;="&amp;BO$3,CLAVE_DESGLOSE,$A185)</f>
        <v>0</v>
      </c>
      <c r="BP185" s="13">
        <f>SUMIFS(SALIDAS_BIT,FECHA_BIT,"&gt;="&amp;BP$2,FECHA_BIT,"&lt;="&amp;BP$3,CLAVE_BIT,$A185)+SUMIFS(SALIDAS_BOV1,FECHA_BOV1,"&gt;="&amp;BP$2,FECHA_BOV1,"&lt;="&amp;BP$3,CLAVE_BOV1,$A185)+SUMIFS(SALIDAS_BOV2,FECHA_BOV2,"&gt;="&amp;BP$2,FECHA_BOV2,"&lt;="&amp;BP$3,CLAVE_BOV2,$A185)+SUMIFS(SALIDAS_BOV3,FECHA_BOV3,"&gt;="&amp;BP$2,FECHA_BOV3,"&lt;="&amp;BP$3,CLAVE_BOV3,$A185)+SUMIFS(SALIDAS_TC,FECHA_TC,"&gt;="&amp;BP$2,FECHA_TC,"&lt;="&amp;BP$3,CLAVE_TC,$A185)+SUMIFS(SALIDAS_COMB,FECHA_COMB,"&gt;="&amp;BP$2,FECHA_COMB,"&lt;="&amp;BP$3,CLAVE_COMB,$A185)+SUMIFS(SALIDAS_DES,FECHA_DESGLOSEN,"&gt;="&amp;BP$2,FECHA_DESGLOSEN,"&lt;="&amp;BP$3,CLAVE_DESGLOSE,$A185)</f>
        <v>0</v>
      </c>
      <c r="BQ185" s="13">
        <f>SUMIFS(SALIDAS_BIT,FECHA_BIT,"&gt;="&amp;BQ$2,FECHA_BIT,"&lt;="&amp;BQ$3,CLAVE_BIT,$A185)+SUMIFS(SALIDAS_BOV1,FECHA_BOV1,"&gt;="&amp;BQ$2,FECHA_BOV1,"&lt;="&amp;BQ$3,CLAVE_BOV1,$A185)+SUMIFS(SALIDAS_BOV2,FECHA_BOV2,"&gt;="&amp;BQ$2,FECHA_BOV2,"&lt;="&amp;BQ$3,CLAVE_BOV2,$A185)+SUMIFS(SALIDAS_BOV3,FECHA_BOV3,"&gt;="&amp;BQ$2,FECHA_BOV3,"&lt;="&amp;BQ$3,CLAVE_BOV3,$A185)+SUMIFS(SALIDAS_TC,FECHA_TC,"&gt;="&amp;BQ$2,FECHA_TC,"&lt;="&amp;BQ$3,CLAVE_TC,$A185)+SUMIFS(SALIDAS_COMB,FECHA_COMB,"&gt;="&amp;BQ$2,FECHA_COMB,"&lt;="&amp;BQ$3,CLAVE_COMB,$A185)+SUMIFS(SALIDAS_DES,FECHA_DESGLOSEN,"&gt;="&amp;BQ$2,FECHA_DESGLOSEN,"&lt;="&amp;BQ$3,CLAVE_DESGLOSE,$A185)</f>
        <v>2795</v>
      </c>
      <c r="BR185" s="13">
        <f t="shared" si="318"/>
        <v>2795</v>
      </c>
      <c r="BS185" s="68">
        <f t="shared" si="261"/>
        <v>-2795</v>
      </c>
      <c r="BT185" s="268">
        <f t="shared" si="262"/>
        <v>0</v>
      </c>
      <c r="BU185" s="13">
        <f t="shared" si="263"/>
        <v>0</v>
      </c>
      <c r="BV185" s="13">
        <f t="shared" si="291"/>
        <v>0</v>
      </c>
      <c r="BW185" s="13">
        <f t="shared" si="291"/>
        <v>0</v>
      </c>
      <c r="BX185" s="13">
        <f t="shared" si="291"/>
        <v>0</v>
      </c>
      <c r="BY185" s="13">
        <f t="shared" si="291"/>
        <v>0</v>
      </c>
      <c r="BZ185" s="13">
        <f t="shared" si="319"/>
        <v>0</v>
      </c>
      <c r="CA185" s="68">
        <f t="shared" si="264"/>
        <v>0</v>
      </c>
      <c r="CB185" s="268">
        <f t="shared" si="265"/>
        <v>0</v>
      </c>
      <c r="CC185" s="13">
        <f t="shared" si="266"/>
        <v>0</v>
      </c>
      <c r="CD185" s="13">
        <f t="shared" si="292"/>
        <v>0</v>
      </c>
      <c r="CE185" s="13">
        <f t="shared" si="292"/>
        <v>0</v>
      </c>
      <c r="CF185" s="13">
        <f t="shared" si="292"/>
        <v>0</v>
      </c>
      <c r="CG185" s="13">
        <f t="shared" si="292"/>
        <v>1350</v>
      </c>
      <c r="CH185" s="13">
        <f t="shared" si="320"/>
        <v>1350</v>
      </c>
      <c r="CI185" s="68">
        <f t="shared" si="267"/>
        <v>-1350</v>
      </c>
      <c r="CJ185" s="268">
        <f t="shared" si="268"/>
        <v>0</v>
      </c>
      <c r="CK185" s="13">
        <f t="shared" si="269"/>
        <v>0</v>
      </c>
      <c r="CL185" s="13">
        <f t="shared" si="312"/>
        <v>0</v>
      </c>
      <c r="CM185" s="13">
        <f t="shared" si="312"/>
        <v>0</v>
      </c>
      <c r="CN185" s="13">
        <f t="shared" si="312"/>
        <v>0</v>
      </c>
      <c r="CO185" s="13">
        <f t="shared" si="312"/>
        <v>0</v>
      </c>
      <c r="CP185" s="13">
        <f t="shared" si="312"/>
        <v>0</v>
      </c>
      <c r="CQ185" s="13">
        <f t="shared" si="321"/>
        <v>0</v>
      </c>
      <c r="CR185" s="68">
        <f t="shared" si="270"/>
        <v>0</v>
      </c>
      <c r="CS185" s="268">
        <f t="shared" si="271"/>
        <v>0</v>
      </c>
      <c r="CT185" s="68">
        <f t="shared" si="244"/>
        <v>0</v>
      </c>
      <c r="CU185" s="13">
        <f>SUMIFS(SALIDAS_BIT,FECHA_BIT,"&gt;="&amp;CU$2,FECHA_BIT,"&lt;="&amp;CU$3,CLAVE_BIT,$A185)+SUMIFS(SALIDAS_BOV1,FECHA_BOV1,"&gt;="&amp;CU$2,FECHA_BOV1,"&lt;="&amp;CU$3,CLAVE_BOV1,$A185)+SUMIFS(SALIDAS_BOV2,FECHA_BOV2,"&gt;="&amp;CU$2,FECHA_BOV2,"&lt;="&amp;CU$3,CLAVE_BOV2,$A185)+SUMIFS(SALIDAS_BOV3,FECHA_BOV3,"&gt;="&amp;CU$2,FECHA_BOV3,"&lt;="&amp;CU$3,CLAVE_BOV3,$A185)+SUMIFS(SALIDAS_TC,FECHA_TC,"&gt;="&amp;CU$2,FECHA_TC,"&lt;="&amp;CU$3,CLAVE_TC,$A185)+SUMIFS(SALIDAS_COMB,FECHA_COMB,"&gt;="&amp;CU$2,FECHA_COMB,"&lt;="&amp;CU$3,CLAVE_COMB,$A185)+SUMIFS(SALIDAS_DES,FECHA_DESGLOSEN,"&gt;="&amp;CU$2,FECHA_DESGLOSEN,"&lt;="&amp;CU$3,CLAVE_DESGLOSE,$A185)</f>
        <v>299</v>
      </c>
      <c r="CV185" s="13">
        <f>SUMIFS(SALIDAS_BIT,FECHA_BIT,"&gt;="&amp;CV$2,FECHA_BIT,"&lt;="&amp;CV$3,CLAVE_BIT,$A185)+SUMIFS(SALIDAS_BOV1,FECHA_BOV1,"&gt;="&amp;CV$2,FECHA_BOV1,"&lt;="&amp;CV$3,CLAVE_BOV1,$A185)+SUMIFS(SALIDAS_BOV2,FECHA_BOV2,"&gt;="&amp;CV$2,FECHA_BOV2,"&lt;="&amp;CV$3,CLAVE_BOV2,$A185)+SUMIFS(SALIDAS_BOV3,FECHA_BOV3,"&gt;="&amp;CV$2,FECHA_BOV3,"&lt;="&amp;CV$3,CLAVE_BOV3,$A185)+SUMIFS(SALIDAS_TC,FECHA_TC,"&gt;="&amp;CV$2,FECHA_TC,"&lt;="&amp;CV$3,CLAVE_TC,$A185)+SUMIFS(SALIDAS_COMB,FECHA_COMB,"&gt;="&amp;CV$2,FECHA_COMB,"&lt;="&amp;CV$3,CLAVE_COMB,$A185)+SUMIFS(SALIDAS_DES,FECHA_DESGLOSEN,"&gt;="&amp;CV$2,FECHA_DESGLOSEN,"&lt;="&amp;CV$3,CLAVE_DESGLOSE,$A185)</f>
        <v>0</v>
      </c>
      <c r="CW185" s="13">
        <f>SUMIFS(SALIDAS_BIT,FECHA_BIT,"&gt;="&amp;CW$2,FECHA_BIT,"&lt;="&amp;CW$3,CLAVE_BIT,$A185)+SUMIFS(SALIDAS_BOV1,FECHA_BOV1,"&gt;="&amp;CW$2,FECHA_BOV1,"&lt;="&amp;CW$3,CLAVE_BOV1,$A185)+SUMIFS(SALIDAS_BOV2,FECHA_BOV2,"&gt;="&amp;CW$2,FECHA_BOV2,"&lt;="&amp;CW$3,CLAVE_BOV2,$A185)+SUMIFS(SALIDAS_BOV3,FECHA_BOV3,"&gt;="&amp;CW$2,FECHA_BOV3,"&lt;="&amp;CW$3,CLAVE_BOV3,$A185)+SUMIFS(SALIDAS_TC,FECHA_TC,"&gt;="&amp;CW$2,FECHA_TC,"&lt;="&amp;CW$3,CLAVE_TC,$A185)+SUMIFS(SALIDAS_COMB,FECHA_COMB,"&gt;="&amp;CW$2,FECHA_COMB,"&lt;="&amp;CW$3,CLAVE_COMB,$A185)+SUMIFS(SALIDAS_DES,FECHA_DESGLOSEN,"&gt;="&amp;CW$2,FECHA_DESGLOSEN,"&lt;="&amp;CW$3,CLAVE_DESGLOSE,$A185)</f>
        <v>0</v>
      </c>
      <c r="CX185" s="13">
        <f>SUMIFS(SALIDAS_BIT,FECHA_BIT,"&gt;="&amp;CX$2,FECHA_BIT,"&lt;="&amp;CX$3,CLAVE_BIT,$A185)+SUMIFS(SALIDAS_BOV1,FECHA_BOV1,"&gt;="&amp;CX$2,FECHA_BOV1,"&lt;="&amp;CX$3,CLAVE_BOV1,$A185)+SUMIFS(SALIDAS_BOV2,FECHA_BOV2,"&gt;="&amp;CX$2,FECHA_BOV2,"&lt;="&amp;CX$3,CLAVE_BOV2,$A185)+SUMIFS(SALIDAS_BOV3,FECHA_BOV3,"&gt;="&amp;CX$2,FECHA_BOV3,"&lt;="&amp;CX$3,CLAVE_BOV3,$A185)+SUMIFS(SALIDAS_TC,FECHA_TC,"&gt;="&amp;CX$2,FECHA_TC,"&lt;="&amp;CX$3,CLAVE_TC,$A185)+SUMIFS(SALIDAS_COMB,FECHA_COMB,"&gt;="&amp;CX$2,FECHA_COMB,"&lt;="&amp;CX$3,CLAVE_COMB,$A185)+SUMIFS(SALIDAS_DES,FECHA_DESGLOSEN,"&gt;="&amp;CX$2,FECHA_DESGLOSEN,"&lt;="&amp;CX$3,CLAVE_DESGLOSE,$A185)</f>
        <v>0</v>
      </c>
      <c r="CY185" s="13">
        <f>SUMIFS(SALIDAS_BIT,FECHA_BIT,"&gt;="&amp;CY$2,FECHA_BIT,"&lt;="&amp;CY$3,CLAVE_BIT,$A185)+SUMIFS(SALIDAS_BOV1,FECHA_BOV1,"&gt;="&amp;CY$2,FECHA_BOV1,"&lt;="&amp;CY$3,CLAVE_BOV1,$A185)+SUMIFS(SALIDAS_BOV2,FECHA_BOV2,"&gt;="&amp;CY$2,FECHA_BOV2,"&lt;="&amp;CY$3,CLAVE_BOV2,$A185)+SUMIFS(SALIDAS_BOV3,FECHA_BOV3,"&gt;="&amp;CY$2,FECHA_BOV3,"&lt;="&amp;CY$3,CLAVE_BOV3,$A185)+SUMIFS(SALIDAS_TC,FECHA_TC,"&gt;="&amp;CY$2,FECHA_TC,"&lt;="&amp;CY$3,CLAVE_TC,$A185)+SUMIFS(SALIDAS_COMB,FECHA_COMB,"&gt;="&amp;CY$2,FECHA_COMB,"&lt;="&amp;CY$3,CLAVE_COMB,$A185)+SUMIFS(SALIDAS_DES,FECHA_DESGLOSEN,"&gt;="&amp;CY$2,FECHA_DESGLOSEN,"&lt;="&amp;CY$3,CLAVE_DESGLOSE,$A185)</f>
        <v>299</v>
      </c>
      <c r="CZ185" s="68">
        <f t="shared" si="272"/>
        <v>-299</v>
      </c>
      <c r="DB185" s="17">
        <f>F185+N185+W185+AE185+AM185+AV185+BD185+BL185+BU185+CC185+CK185</f>
        <v>0</v>
      </c>
      <c r="DC185" s="17">
        <f>K185+T185+AB185+AJ185+AS185+BA185+BI185+BR185+BZ185+CH185+CQ185</f>
        <v>8767</v>
      </c>
    </row>
    <row r="186" spans="1:107" hidden="1">
      <c r="A186" s="12" t="str">
        <f t="shared" si="245"/>
        <v>DEFONDO Y REPOSICIONDIRECCION</v>
      </c>
      <c r="B186" s="12">
        <v>188</v>
      </c>
      <c r="C186" t="s">
        <v>41</v>
      </c>
      <c r="D186" s="12" t="s">
        <v>120</v>
      </c>
      <c r="E186" s="12" t="s">
        <v>42</v>
      </c>
      <c r="F186" s="259">
        <f t="shared" si="238"/>
        <v>0</v>
      </c>
      <c r="G186" s="13">
        <f t="shared" si="313"/>
        <v>0</v>
      </c>
      <c r="H186" s="13">
        <f t="shared" si="313"/>
        <v>500</v>
      </c>
      <c r="I186" s="13">
        <f t="shared" si="313"/>
        <v>0</v>
      </c>
      <c r="J186" s="13">
        <f t="shared" si="313"/>
        <v>0</v>
      </c>
      <c r="K186" s="13">
        <f t="shared" si="313"/>
        <v>500</v>
      </c>
      <c r="L186" s="68">
        <f t="shared" si="246"/>
        <v>-500</v>
      </c>
      <c r="M186" s="268">
        <f t="shared" si="247"/>
        <v>0</v>
      </c>
      <c r="N186" s="13">
        <f t="shared" si="239"/>
        <v>0</v>
      </c>
      <c r="O186" s="13">
        <f t="shared" si="314"/>
        <v>0</v>
      </c>
      <c r="P186" s="13">
        <f t="shared" si="314"/>
        <v>0</v>
      </c>
      <c r="Q186" s="13">
        <f t="shared" si="314"/>
        <v>0</v>
      </c>
      <c r="R186" s="13">
        <f t="shared" si="314"/>
        <v>0</v>
      </c>
      <c r="S186" s="13">
        <f t="shared" si="314"/>
        <v>0</v>
      </c>
      <c r="T186" s="13">
        <f t="shared" si="314"/>
        <v>0</v>
      </c>
      <c r="U186" s="68">
        <f t="shared" si="248"/>
        <v>0</v>
      </c>
      <c r="V186" s="268">
        <f t="shared" si="249"/>
        <v>0</v>
      </c>
      <c r="W186" s="13">
        <f t="shared" si="240"/>
        <v>0</v>
      </c>
      <c r="X186" s="13">
        <f t="shared" si="315"/>
        <v>0</v>
      </c>
      <c r="Y186" s="13">
        <f t="shared" si="315"/>
        <v>5607</v>
      </c>
      <c r="Z186" s="13">
        <f t="shared" si="315"/>
        <v>0</v>
      </c>
      <c r="AA186" s="13">
        <f t="shared" si="315"/>
        <v>0</v>
      </c>
      <c r="AB186" s="13">
        <f t="shared" si="315"/>
        <v>5607</v>
      </c>
      <c r="AC186" s="68">
        <f t="shared" si="250"/>
        <v>-5607</v>
      </c>
      <c r="AD186" s="268">
        <f t="shared" si="251"/>
        <v>0</v>
      </c>
      <c r="AE186" s="13">
        <f t="shared" si="241"/>
        <v>0</v>
      </c>
      <c r="AF186" s="13">
        <f t="shared" si="316"/>
        <v>0</v>
      </c>
      <c r="AG186" s="13">
        <f t="shared" si="316"/>
        <v>0</v>
      </c>
      <c r="AH186" s="13">
        <f t="shared" si="316"/>
        <v>0</v>
      </c>
      <c r="AI186" s="13">
        <f t="shared" si="316"/>
        <v>0</v>
      </c>
      <c r="AJ186" s="13">
        <f t="shared" si="316"/>
        <v>0</v>
      </c>
      <c r="AK186" s="68">
        <f t="shared" si="252"/>
        <v>0</v>
      </c>
      <c r="AL186" s="268">
        <f t="shared" si="253"/>
        <v>0</v>
      </c>
      <c r="AM186" s="13">
        <f t="shared" si="242"/>
        <v>4510</v>
      </c>
      <c r="AN186" s="13">
        <f t="shared" si="317"/>
        <v>0</v>
      </c>
      <c r="AO186" s="13">
        <f t="shared" si="317"/>
        <v>0</v>
      </c>
      <c r="AP186" s="13">
        <f t="shared" si="317"/>
        <v>0</v>
      </c>
      <c r="AQ186" s="13">
        <f t="shared" si="317"/>
        <v>0</v>
      </c>
      <c r="AR186" s="13">
        <f t="shared" si="317"/>
        <v>0</v>
      </c>
      <c r="AS186" s="13">
        <f t="shared" si="317"/>
        <v>0</v>
      </c>
      <c r="AT186" s="68">
        <f>AM186-AS186</f>
        <v>4510</v>
      </c>
      <c r="AU186" s="268">
        <f t="shared" si="254"/>
        <v>0</v>
      </c>
      <c r="AV186" s="13">
        <f t="shared" si="243"/>
        <v>0</v>
      </c>
      <c r="AW186" s="13">
        <f t="shared" si="323"/>
        <v>0</v>
      </c>
      <c r="AX186" s="13">
        <f t="shared" si="323"/>
        <v>0</v>
      </c>
      <c r="AY186" s="13">
        <f t="shared" si="323"/>
        <v>0</v>
      </c>
      <c r="AZ186" s="13">
        <f t="shared" si="323"/>
        <v>0</v>
      </c>
      <c r="BA186" s="13">
        <f t="shared" si="324"/>
        <v>0</v>
      </c>
      <c r="BB186" s="68">
        <f t="shared" si="255"/>
        <v>0</v>
      </c>
      <c r="BC186" s="268">
        <f t="shared" si="256"/>
        <v>0</v>
      </c>
      <c r="BD186" s="13">
        <f t="shared" si="257"/>
        <v>0</v>
      </c>
      <c r="BE186" s="13">
        <f>SUMIFS(SALIDAS_BIT,FECHA_BIT,"&gt;="&amp;BE$2,FECHA_BIT,"&lt;="&amp;BE$3,CLAVE_BIT,$A186)+SUMIFS(SALIDAS_BOV1,FECHA_BOV1,"&gt;="&amp;BE$2,FECHA_BOV1,"&lt;="&amp;BE$3,CLAVE_BOV1,$A186)+SUMIFS(SALIDAS_BOV2,FECHA_BOV2,"&gt;="&amp;BE$2,FECHA_BOV2,"&lt;="&amp;BE$3,CLAVE_BOV2,$A186)+SUMIFS(SALIDAS_BOV3,FECHA_BOV3,"&gt;="&amp;BE$2,FECHA_BOV3,"&lt;="&amp;BE$3,CLAVE_BOV3,$A186)+SUMIFS(SALIDAS_TC,FECHA_TC,"&gt;="&amp;BE$2,FECHA_TC,"&lt;="&amp;BE$3,CLAVE_TC,$A186)+SUMIFS(SALIDAS_COMB,FECHA_COMB,"&gt;="&amp;BE$2,FECHA_COMB,"&lt;="&amp;BE$3,CLAVE_COMB,$A186)+SUMIFS(SALIDAS_DES,FECHA_DESGLOSEN,"&gt;="&amp;BE$2,FECHA_DESGLOSEN,"&lt;="&amp;BE$3,CLAVE_DESGLOSE,$A186)</f>
        <v>0</v>
      </c>
      <c r="BF186" s="13">
        <f>SUMIFS(SALIDAS_BIT,FECHA_BIT,"&gt;="&amp;BF$2,FECHA_BIT,"&lt;="&amp;BF$3,CLAVE_BIT,$A186)+SUMIFS(SALIDAS_BOV1,FECHA_BOV1,"&gt;="&amp;BF$2,FECHA_BOV1,"&lt;="&amp;BF$3,CLAVE_BOV1,$A186)+SUMIFS(SALIDAS_BOV2,FECHA_BOV2,"&gt;="&amp;BF$2,FECHA_BOV2,"&lt;="&amp;BF$3,CLAVE_BOV2,$A186)+SUMIFS(SALIDAS_BOV3,FECHA_BOV3,"&gt;="&amp;BF$2,FECHA_BOV3,"&lt;="&amp;BF$3,CLAVE_BOV3,$A186)+SUMIFS(SALIDAS_TC,FECHA_TC,"&gt;="&amp;BF$2,FECHA_TC,"&lt;="&amp;BF$3,CLAVE_TC,$A186)+SUMIFS(SALIDAS_COMB,FECHA_COMB,"&gt;="&amp;BF$2,FECHA_COMB,"&lt;="&amp;BF$3,CLAVE_COMB,$A186)+SUMIFS(SALIDAS_DES,FECHA_DESGLOSEN,"&gt;="&amp;BF$2,FECHA_DESGLOSEN,"&lt;="&amp;BF$3,CLAVE_DESGLOSE,$A186)</f>
        <v>0</v>
      </c>
      <c r="BG186" s="13">
        <f>SUMIFS(SALIDAS_BIT,FECHA_BIT,"&gt;="&amp;BG$2,FECHA_BIT,"&lt;="&amp;BG$3,CLAVE_BIT,$A186)+SUMIFS(SALIDAS_BOV1,FECHA_BOV1,"&gt;="&amp;BG$2,FECHA_BOV1,"&lt;="&amp;BG$3,CLAVE_BOV1,$A186)+SUMIFS(SALIDAS_BOV2,FECHA_BOV2,"&gt;="&amp;BG$2,FECHA_BOV2,"&lt;="&amp;BG$3,CLAVE_BOV2,$A186)+SUMIFS(SALIDAS_BOV3,FECHA_BOV3,"&gt;="&amp;BG$2,FECHA_BOV3,"&lt;="&amp;BG$3,CLAVE_BOV3,$A186)+SUMIFS(SALIDAS_TC,FECHA_TC,"&gt;="&amp;BG$2,FECHA_TC,"&lt;="&amp;BG$3,CLAVE_TC,$A186)+SUMIFS(SALIDAS_COMB,FECHA_COMB,"&gt;="&amp;BG$2,FECHA_COMB,"&lt;="&amp;BG$3,CLAVE_COMB,$A186)+SUMIFS(SALIDAS_DES,FECHA_DESGLOSEN,"&gt;="&amp;BG$2,FECHA_DESGLOSEN,"&lt;="&amp;BG$3,CLAVE_DESGLOSE,$A186)</f>
        <v>0</v>
      </c>
      <c r="BH186" s="13">
        <f>SUMIFS(SALIDAS_BIT,FECHA_BIT,"&gt;="&amp;BH$2,FECHA_BIT,"&lt;="&amp;BH$3,CLAVE_BIT,$A186)+SUMIFS(SALIDAS_BOV1,FECHA_BOV1,"&gt;="&amp;BH$2,FECHA_BOV1,"&lt;="&amp;BH$3,CLAVE_BOV1,$A186)+SUMIFS(SALIDAS_BOV2,FECHA_BOV2,"&gt;="&amp;BH$2,FECHA_BOV2,"&lt;="&amp;BH$3,CLAVE_BOV2,$A186)+SUMIFS(SALIDAS_BOV3,FECHA_BOV3,"&gt;="&amp;BH$2,FECHA_BOV3,"&lt;="&amp;BH$3,CLAVE_BOV3,$A186)+SUMIFS(SALIDAS_TC,FECHA_TC,"&gt;="&amp;BH$2,FECHA_TC,"&lt;="&amp;BH$3,CLAVE_TC,$A186)+SUMIFS(SALIDAS_COMB,FECHA_COMB,"&gt;="&amp;BH$2,FECHA_COMB,"&lt;="&amp;BH$3,CLAVE_COMB,$A186)+SUMIFS(SALIDAS_DES,FECHA_DESGLOSEN,"&gt;="&amp;BH$2,FECHA_DESGLOSEN,"&lt;="&amp;BH$3,CLAVE_DESGLOSE,$A186)</f>
        <v>0</v>
      </c>
      <c r="BI186" s="13">
        <f t="shared" si="311"/>
        <v>0</v>
      </c>
      <c r="BJ186" s="68">
        <f t="shared" si="258"/>
        <v>0</v>
      </c>
      <c r="BK186" s="268">
        <f t="shared" si="259"/>
        <v>0</v>
      </c>
      <c r="BL186" s="13">
        <f t="shared" si="260"/>
        <v>0</v>
      </c>
      <c r="BM186" s="13">
        <f>SUMIFS(SALIDAS_BIT,FECHA_BIT,"&gt;="&amp;BM$2,FECHA_BIT,"&lt;="&amp;BM$3,CLAVE_BIT,$A186)+SUMIFS(SALIDAS_BOV1,FECHA_BOV1,"&gt;="&amp;BM$2,FECHA_BOV1,"&lt;="&amp;BM$3,CLAVE_BOV1,$A186)+SUMIFS(SALIDAS_BOV2,FECHA_BOV2,"&gt;="&amp;BM$2,FECHA_BOV2,"&lt;="&amp;BM$3,CLAVE_BOV2,$A186)+SUMIFS(SALIDAS_BOV3,FECHA_BOV3,"&gt;="&amp;BM$2,FECHA_BOV3,"&lt;="&amp;BM$3,CLAVE_BOV3,$A186)+SUMIFS(SALIDAS_TC,FECHA_TC,"&gt;="&amp;BM$2,FECHA_TC,"&lt;="&amp;BM$3,CLAVE_TC,$A186)+SUMIFS(SALIDAS_COMB,FECHA_COMB,"&gt;="&amp;BM$2,FECHA_COMB,"&lt;="&amp;BM$3,CLAVE_COMB,$A186)+SUMIFS(SALIDAS_DES,FECHA_DESGLOSEN,"&gt;="&amp;BM$2,FECHA_DESGLOSEN,"&lt;="&amp;BM$3,CLAVE_DESGLOSE,$A186)</f>
        <v>0</v>
      </c>
      <c r="BN186" s="13">
        <f>SUMIFS(SALIDAS_BIT,FECHA_BIT,"&gt;="&amp;BN$2,FECHA_BIT,"&lt;="&amp;BN$3,CLAVE_BIT,$A186)+SUMIFS(SALIDAS_BOV1,FECHA_BOV1,"&gt;="&amp;BN$2,FECHA_BOV1,"&lt;="&amp;BN$3,CLAVE_BOV1,$A186)+SUMIFS(SALIDAS_BOV2,FECHA_BOV2,"&gt;="&amp;BN$2,FECHA_BOV2,"&lt;="&amp;BN$3,CLAVE_BOV2,$A186)+SUMIFS(SALIDAS_BOV3,FECHA_BOV3,"&gt;="&amp;BN$2,FECHA_BOV3,"&lt;="&amp;BN$3,CLAVE_BOV3,$A186)+SUMIFS(SALIDAS_TC,FECHA_TC,"&gt;="&amp;BN$2,FECHA_TC,"&lt;="&amp;BN$3,CLAVE_TC,$A186)+SUMIFS(SALIDAS_COMB,FECHA_COMB,"&gt;="&amp;BN$2,FECHA_COMB,"&lt;="&amp;BN$3,CLAVE_COMB,$A186)+SUMIFS(SALIDAS_DES,FECHA_DESGLOSEN,"&gt;="&amp;BN$2,FECHA_DESGLOSEN,"&lt;="&amp;BN$3,CLAVE_DESGLOSE,$A186)</f>
        <v>0</v>
      </c>
      <c r="BO186" s="13">
        <f>SUMIFS(SALIDAS_BIT,FECHA_BIT,"&gt;="&amp;BO$2,FECHA_BIT,"&lt;="&amp;BO$3,CLAVE_BIT,$A186)+SUMIFS(SALIDAS_BOV1,FECHA_BOV1,"&gt;="&amp;BO$2,FECHA_BOV1,"&lt;="&amp;BO$3,CLAVE_BOV1,$A186)+SUMIFS(SALIDAS_BOV2,FECHA_BOV2,"&gt;="&amp;BO$2,FECHA_BOV2,"&lt;="&amp;BO$3,CLAVE_BOV2,$A186)+SUMIFS(SALIDAS_BOV3,FECHA_BOV3,"&gt;="&amp;BO$2,FECHA_BOV3,"&lt;="&amp;BO$3,CLAVE_BOV3,$A186)+SUMIFS(SALIDAS_TC,FECHA_TC,"&gt;="&amp;BO$2,FECHA_TC,"&lt;="&amp;BO$3,CLAVE_TC,$A186)+SUMIFS(SALIDAS_COMB,FECHA_COMB,"&gt;="&amp;BO$2,FECHA_COMB,"&lt;="&amp;BO$3,CLAVE_COMB,$A186)+SUMIFS(SALIDAS_DES,FECHA_DESGLOSEN,"&gt;="&amp;BO$2,FECHA_DESGLOSEN,"&lt;="&amp;BO$3,CLAVE_DESGLOSE,$A186)</f>
        <v>0</v>
      </c>
      <c r="BP186" s="13">
        <f>SUMIFS(SALIDAS_BIT,FECHA_BIT,"&gt;="&amp;BP$2,FECHA_BIT,"&lt;="&amp;BP$3,CLAVE_BIT,$A186)+SUMIFS(SALIDAS_BOV1,FECHA_BOV1,"&gt;="&amp;BP$2,FECHA_BOV1,"&lt;="&amp;BP$3,CLAVE_BOV1,$A186)+SUMIFS(SALIDAS_BOV2,FECHA_BOV2,"&gt;="&amp;BP$2,FECHA_BOV2,"&lt;="&amp;BP$3,CLAVE_BOV2,$A186)+SUMIFS(SALIDAS_BOV3,FECHA_BOV3,"&gt;="&amp;BP$2,FECHA_BOV3,"&lt;="&amp;BP$3,CLAVE_BOV3,$A186)+SUMIFS(SALIDAS_TC,FECHA_TC,"&gt;="&amp;BP$2,FECHA_TC,"&lt;="&amp;BP$3,CLAVE_TC,$A186)+SUMIFS(SALIDAS_COMB,FECHA_COMB,"&gt;="&amp;BP$2,FECHA_COMB,"&lt;="&amp;BP$3,CLAVE_COMB,$A186)+SUMIFS(SALIDAS_DES,FECHA_DESGLOSEN,"&gt;="&amp;BP$2,FECHA_DESGLOSEN,"&lt;="&amp;BP$3,CLAVE_DESGLOSE,$A186)</f>
        <v>479</v>
      </c>
      <c r="BQ186" s="13">
        <f>SUMIFS(SALIDAS_BIT,FECHA_BIT,"&gt;="&amp;BQ$2,FECHA_BIT,"&lt;="&amp;BQ$3,CLAVE_BIT,$A186)+SUMIFS(SALIDAS_BOV1,FECHA_BOV1,"&gt;="&amp;BQ$2,FECHA_BOV1,"&lt;="&amp;BQ$3,CLAVE_BOV1,$A186)+SUMIFS(SALIDAS_BOV2,FECHA_BOV2,"&gt;="&amp;BQ$2,FECHA_BOV2,"&lt;="&amp;BQ$3,CLAVE_BOV2,$A186)+SUMIFS(SALIDAS_BOV3,FECHA_BOV3,"&gt;="&amp;BQ$2,FECHA_BOV3,"&lt;="&amp;BQ$3,CLAVE_BOV3,$A186)+SUMIFS(SALIDAS_TC,FECHA_TC,"&gt;="&amp;BQ$2,FECHA_TC,"&lt;="&amp;BQ$3,CLAVE_TC,$A186)+SUMIFS(SALIDAS_COMB,FECHA_COMB,"&gt;="&amp;BQ$2,FECHA_COMB,"&lt;="&amp;BQ$3,CLAVE_COMB,$A186)+SUMIFS(SALIDAS_DES,FECHA_DESGLOSEN,"&gt;="&amp;BQ$2,FECHA_DESGLOSEN,"&lt;="&amp;BQ$3,CLAVE_DESGLOSE,$A186)</f>
        <v>0</v>
      </c>
      <c r="BR186" s="13">
        <f t="shared" si="318"/>
        <v>479</v>
      </c>
      <c r="BS186" s="68">
        <f t="shared" si="261"/>
        <v>-479</v>
      </c>
      <c r="BT186" s="268">
        <f t="shared" si="262"/>
        <v>0</v>
      </c>
      <c r="BU186" s="13">
        <f t="shared" si="263"/>
        <v>0</v>
      </c>
      <c r="BV186" s="13">
        <f t="shared" si="291"/>
        <v>700</v>
      </c>
      <c r="BW186" s="13">
        <f t="shared" si="291"/>
        <v>0</v>
      </c>
      <c r="BX186" s="13">
        <f t="shared" si="291"/>
        <v>0</v>
      </c>
      <c r="BY186" s="13">
        <f t="shared" si="291"/>
        <v>0</v>
      </c>
      <c r="BZ186" s="13">
        <f t="shared" si="319"/>
        <v>700</v>
      </c>
      <c r="CA186" s="68">
        <f t="shared" si="264"/>
        <v>-700</v>
      </c>
      <c r="CB186" s="268">
        <f t="shared" si="265"/>
        <v>0</v>
      </c>
      <c r="CC186" s="13">
        <f t="shared" si="266"/>
        <v>0</v>
      </c>
      <c r="CD186" s="13">
        <f t="shared" si="292"/>
        <v>0</v>
      </c>
      <c r="CE186" s="13">
        <f t="shared" si="292"/>
        <v>423</v>
      </c>
      <c r="CF186" s="13">
        <f t="shared" si="292"/>
        <v>0</v>
      </c>
      <c r="CG186" s="13">
        <f t="shared" si="292"/>
        <v>0</v>
      </c>
      <c r="CH186" s="13">
        <f t="shared" si="320"/>
        <v>423</v>
      </c>
      <c r="CI186" s="68">
        <f t="shared" si="267"/>
        <v>-423</v>
      </c>
      <c r="CJ186" s="268">
        <f t="shared" si="268"/>
        <v>0</v>
      </c>
      <c r="CK186" s="13">
        <f t="shared" si="269"/>
        <v>0</v>
      </c>
      <c r="CL186" s="13">
        <f t="shared" si="312"/>
        <v>0</v>
      </c>
      <c r="CM186" s="13">
        <f t="shared" si="312"/>
        <v>0</v>
      </c>
      <c r="CN186" s="13">
        <f t="shared" si="312"/>
        <v>0</v>
      </c>
      <c r="CO186" s="13">
        <f t="shared" si="312"/>
        <v>0</v>
      </c>
      <c r="CP186" s="13">
        <f t="shared" si="312"/>
        <v>0</v>
      </c>
      <c r="CQ186" s="13">
        <f t="shared" si="321"/>
        <v>0</v>
      </c>
      <c r="CR186" s="68">
        <f t="shared" si="270"/>
        <v>0</v>
      </c>
      <c r="CS186" s="268">
        <f t="shared" si="271"/>
        <v>0</v>
      </c>
      <c r="CT186" s="68">
        <f t="shared" si="244"/>
        <v>0</v>
      </c>
      <c r="CU186" s="13">
        <f>SUMIFS(SALIDAS_BIT,FECHA_BIT,"&gt;="&amp;CU$2,FECHA_BIT,"&lt;="&amp;CU$3,CLAVE_BIT,$A186)+SUMIFS(SALIDAS_BOV1,FECHA_BOV1,"&gt;="&amp;CU$2,FECHA_BOV1,"&lt;="&amp;CU$3,CLAVE_BOV1,$A186)+SUMIFS(SALIDAS_BOV2,FECHA_BOV2,"&gt;="&amp;CU$2,FECHA_BOV2,"&lt;="&amp;CU$3,CLAVE_BOV2,$A186)+SUMIFS(SALIDAS_BOV3,FECHA_BOV3,"&gt;="&amp;CU$2,FECHA_BOV3,"&lt;="&amp;CU$3,CLAVE_BOV3,$A186)+SUMIFS(SALIDAS_TC,FECHA_TC,"&gt;="&amp;CU$2,FECHA_TC,"&lt;="&amp;CU$3,CLAVE_TC,$A186)+SUMIFS(SALIDAS_COMB,FECHA_COMB,"&gt;="&amp;CU$2,FECHA_COMB,"&lt;="&amp;CU$3,CLAVE_COMB,$A186)+SUMIFS(SALIDAS_DES,FECHA_DESGLOSEN,"&gt;="&amp;CU$2,FECHA_DESGLOSEN,"&lt;="&amp;CU$3,CLAVE_DESGLOSE,$A186)</f>
        <v>1200</v>
      </c>
      <c r="CV186" s="13">
        <f>SUMIFS(SALIDAS_BIT,FECHA_BIT,"&gt;="&amp;CV$2,FECHA_BIT,"&lt;="&amp;CV$3,CLAVE_BIT,$A186)+SUMIFS(SALIDAS_BOV1,FECHA_BOV1,"&gt;="&amp;CV$2,FECHA_BOV1,"&lt;="&amp;CV$3,CLAVE_BOV1,$A186)+SUMIFS(SALIDAS_BOV2,FECHA_BOV2,"&gt;="&amp;CV$2,FECHA_BOV2,"&lt;="&amp;CV$3,CLAVE_BOV2,$A186)+SUMIFS(SALIDAS_BOV3,FECHA_BOV3,"&gt;="&amp;CV$2,FECHA_BOV3,"&lt;="&amp;CV$3,CLAVE_BOV3,$A186)+SUMIFS(SALIDAS_TC,FECHA_TC,"&gt;="&amp;CV$2,FECHA_TC,"&lt;="&amp;CV$3,CLAVE_TC,$A186)+SUMIFS(SALIDAS_COMB,FECHA_COMB,"&gt;="&amp;CV$2,FECHA_COMB,"&lt;="&amp;CV$3,CLAVE_COMB,$A186)+SUMIFS(SALIDAS_DES,FECHA_DESGLOSEN,"&gt;="&amp;CV$2,FECHA_DESGLOSEN,"&lt;="&amp;CV$3,CLAVE_DESGLOSE,$A186)</f>
        <v>0</v>
      </c>
      <c r="CW186" s="13">
        <f>SUMIFS(SALIDAS_BIT,FECHA_BIT,"&gt;="&amp;CW$2,FECHA_BIT,"&lt;="&amp;CW$3,CLAVE_BIT,$A186)+SUMIFS(SALIDAS_BOV1,FECHA_BOV1,"&gt;="&amp;CW$2,FECHA_BOV1,"&lt;="&amp;CW$3,CLAVE_BOV1,$A186)+SUMIFS(SALIDAS_BOV2,FECHA_BOV2,"&gt;="&amp;CW$2,FECHA_BOV2,"&lt;="&amp;CW$3,CLAVE_BOV2,$A186)+SUMIFS(SALIDAS_BOV3,FECHA_BOV3,"&gt;="&amp;CW$2,FECHA_BOV3,"&lt;="&amp;CW$3,CLAVE_BOV3,$A186)+SUMIFS(SALIDAS_TC,FECHA_TC,"&gt;="&amp;CW$2,FECHA_TC,"&lt;="&amp;CW$3,CLAVE_TC,$A186)+SUMIFS(SALIDAS_COMB,FECHA_COMB,"&gt;="&amp;CW$2,FECHA_COMB,"&lt;="&amp;CW$3,CLAVE_COMB,$A186)+SUMIFS(SALIDAS_DES,FECHA_DESGLOSEN,"&gt;="&amp;CW$2,FECHA_DESGLOSEN,"&lt;="&amp;CW$3,CLAVE_DESGLOSE,$A186)</f>
        <v>0</v>
      </c>
      <c r="CX186" s="13">
        <f>SUMIFS(SALIDAS_BIT,FECHA_BIT,"&gt;="&amp;CX$2,FECHA_BIT,"&lt;="&amp;CX$3,CLAVE_BIT,$A186)+SUMIFS(SALIDAS_BOV1,FECHA_BOV1,"&gt;="&amp;CX$2,FECHA_BOV1,"&lt;="&amp;CX$3,CLAVE_BOV1,$A186)+SUMIFS(SALIDAS_BOV2,FECHA_BOV2,"&gt;="&amp;CX$2,FECHA_BOV2,"&lt;="&amp;CX$3,CLAVE_BOV2,$A186)+SUMIFS(SALIDAS_BOV3,FECHA_BOV3,"&gt;="&amp;CX$2,FECHA_BOV3,"&lt;="&amp;CX$3,CLAVE_BOV3,$A186)+SUMIFS(SALIDAS_TC,FECHA_TC,"&gt;="&amp;CX$2,FECHA_TC,"&lt;="&amp;CX$3,CLAVE_TC,$A186)+SUMIFS(SALIDAS_COMB,FECHA_COMB,"&gt;="&amp;CX$2,FECHA_COMB,"&lt;="&amp;CX$3,CLAVE_COMB,$A186)+SUMIFS(SALIDAS_DES,FECHA_DESGLOSEN,"&gt;="&amp;CX$2,FECHA_DESGLOSEN,"&lt;="&amp;CX$3,CLAVE_DESGLOSE,$A186)</f>
        <v>0</v>
      </c>
      <c r="CY186" s="13">
        <f>SUMIFS(SALIDAS_BIT,FECHA_BIT,"&gt;="&amp;CY$2,FECHA_BIT,"&lt;="&amp;CY$3,CLAVE_BIT,$A186)+SUMIFS(SALIDAS_BOV1,FECHA_BOV1,"&gt;="&amp;CY$2,FECHA_BOV1,"&lt;="&amp;CY$3,CLAVE_BOV1,$A186)+SUMIFS(SALIDAS_BOV2,FECHA_BOV2,"&gt;="&amp;CY$2,FECHA_BOV2,"&lt;="&amp;CY$3,CLAVE_BOV2,$A186)+SUMIFS(SALIDAS_BOV3,FECHA_BOV3,"&gt;="&amp;CY$2,FECHA_BOV3,"&lt;="&amp;CY$3,CLAVE_BOV3,$A186)+SUMIFS(SALIDAS_TC,FECHA_TC,"&gt;="&amp;CY$2,FECHA_TC,"&lt;="&amp;CY$3,CLAVE_TC,$A186)+SUMIFS(SALIDAS_COMB,FECHA_COMB,"&gt;="&amp;CY$2,FECHA_COMB,"&lt;="&amp;CY$3,CLAVE_COMB,$A186)+SUMIFS(SALIDAS_DES,FECHA_DESGLOSEN,"&gt;="&amp;CY$2,FECHA_DESGLOSEN,"&lt;="&amp;CY$3,CLAVE_DESGLOSE,$A186)</f>
        <v>1200</v>
      </c>
      <c r="CZ186" s="68">
        <f t="shared" si="272"/>
        <v>-1200</v>
      </c>
      <c r="DB186" s="17">
        <f>F186+N186+W186+AE186+AM186+AV186+BD186+BL186+BU186+CC186+CK186</f>
        <v>4510</v>
      </c>
      <c r="DC186" s="17">
        <f>K186+T186+AB186+AJ186+AS186+BA186+BI186+BR186+BZ186+CH186+CQ186</f>
        <v>7709</v>
      </c>
    </row>
    <row r="187" spans="1:107" hidden="1">
      <c r="A187" s="12" t="str">
        <f t="shared" si="245"/>
        <v>MMFONDO Y REPOSICIONMARKET MAX</v>
      </c>
      <c r="B187" s="12">
        <v>189</v>
      </c>
      <c r="C187" t="s">
        <v>45</v>
      </c>
      <c r="D187" s="12" t="s">
        <v>120</v>
      </c>
      <c r="E187" s="12" t="s">
        <v>46</v>
      </c>
      <c r="F187" s="259">
        <f t="shared" si="238"/>
        <v>0</v>
      </c>
      <c r="G187" s="13">
        <f t="shared" ref="G187:K196" si="326">SUMIFS(SALIDAS_BIT,FECHA_BIT,"&gt;="&amp;G$2,FECHA_BIT,"&lt;="&amp;G$3,CLAVE_BIT,$A187)+SUMIFS(SALIDAS_BOV1,FECHA_BOV1,"&gt;="&amp;G$2,FECHA_BOV1,"&lt;="&amp;G$3,CLAVE_BOV1,$A187)+SUMIFS(SALIDAS_BOV2,FECHA_BOV2,"&gt;="&amp;G$2,FECHA_BOV2,"&lt;="&amp;G$3,CLAVE_BOV2,$A187)+SUMIFS(SALIDAS_BOV3,FECHA_BOV3,"&gt;="&amp;G$2,FECHA_BOV3,"&lt;="&amp;G$3,CLAVE_BOV3,$A187)+SUMIFS(SALIDAS_TC,FECHA_TC,"&gt;="&amp;G$2,FECHA_TC,"&lt;="&amp;G$3,CLAVE_TC,$A187)+SUMIFS(SALIDAS_COMB,FECHA_COMB,"&gt;="&amp;G$2,FECHA_COMB,"&lt;="&amp;G$3,CLAVE_COMB,$A187)+SUMIFS(SALIDAS_DES,FECHA_DESGLOSEN,"&gt;="&amp;G$2,FECHA_DESGLOSEN,"&lt;="&amp;G$3,CLAVE_DESGLOSE,$A187)</f>
        <v>0</v>
      </c>
      <c r="H187" s="13">
        <f t="shared" si="326"/>
        <v>0</v>
      </c>
      <c r="I187" s="13">
        <f t="shared" si="326"/>
        <v>0</v>
      </c>
      <c r="J187" s="13">
        <f t="shared" si="326"/>
        <v>0</v>
      </c>
      <c r="K187" s="13">
        <f t="shared" si="326"/>
        <v>0</v>
      </c>
      <c r="L187" s="68">
        <f t="shared" si="246"/>
        <v>0</v>
      </c>
      <c r="M187" s="268">
        <f t="shared" si="247"/>
        <v>0</v>
      </c>
      <c r="N187" s="13">
        <f t="shared" si="239"/>
        <v>0</v>
      </c>
      <c r="O187" s="13">
        <f t="shared" ref="O187:T196" si="327">SUMIFS(SALIDAS_BIT,FECHA_BIT,"&gt;="&amp;O$2,FECHA_BIT,"&lt;="&amp;O$3,CLAVE_BIT,$A187)+SUMIFS(SALIDAS_BOV1,FECHA_BOV1,"&gt;="&amp;O$2,FECHA_BOV1,"&lt;="&amp;O$3,CLAVE_BOV1,$A187)+SUMIFS(SALIDAS_BOV2,FECHA_BOV2,"&gt;="&amp;O$2,FECHA_BOV2,"&lt;="&amp;O$3,CLAVE_BOV2,$A187)+SUMIFS(SALIDAS_BOV3,FECHA_BOV3,"&gt;="&amp;O$2,FECHA_BOV3,"&lt;="&amp;O$3,CLAVE_BOV3,$A187)+SUMIFS(SALIDAS_TC,FECHA_TC,"&gt;="&amp;O$2,FECHA_TC,"&lt;="&amp;O$3,CLAVE_TC,$A187)+SUMIFS(SALIDAS_COMB,FECHA_COMB,"&gt;="&amp;O$2,FECHA_COMB,"&lt;="&amp;O$3,CLAVE_COMB,$A187)+SUMIFS(SALIDAS_DES,FECHA_DESGLOSEN,"&gt;="&amp;O$2,FECHA_DESGLOSEN,"&lt;="&amp;O$3,CLAVE_DESGLOSE,$A187)</f>
        <v>0</v>
      </c>
      <c r="P187" s="13">
        <f t="shared" si="327"/>
        <v>0</v>
      </c>
      <c r="Q187" s="13">
        <f t="shared" si="327"/>
        <v>0</v>
      </c>
      <c r="R187" s="13">
        <f t="shared" si="327"/>
        <v>0</v>
      </c>
      <c r="S187" s="13">
        <f t="shared" si="327"/>
        <v>0</v>
      </c>
      <c r="T187" s="13">
        <f t="shared" si="327"/>
        <v>0</v>
      </c>
      <c r="U187" s="68">
        <f t="shared" si="248"/>
        <v>0</v>
      </c>
      <c r="V187" s="268">
        <f t="shared" si="249"/>
        <v>0</v>
      </c>
      <c r="W187" s="13">
        <f t="shared" si="240"/>
        <v>0</v>
      </c>
      <c r="X187" s="13">
        <f t="shared" ref="X187:AB196" si="328">SUMIFS(SALIDAS_BIT,FECHA_BIT,"&gt;="&amp;X$2,FECHA_BIT,"&lt;="&amp;X$3,CLAVE_BIT,$A187)+SUMIFS(SALIDAS_BOV1,FECHA_BOV1,"&gt;="&amp;X$2,FECHA_BOV1,"&lt;="&amp;X$3,CLAVE_BOV1,$A187)+SUMIFS(SALIDAS_BOV2,FECHA_BOV2,"&gt;="&amp;X$2,FECHA_BOV2,"&lt;="&amp;X$3,CLAVE_BOV2,$A187)+SUMIFS(SALIDAS_BOV3,FECHA_BOV3,"&gt;="&amp;X$2,FECHA_BOV3,"&lt;="&amp;X$3,CLAVE_BOV3,$A187)+SUMIFS(SALIDAS_TC,FECHA_TC,"&gt;="&amp;X$2,FECHA_TC,"&lt;="&amp;X$3,CLAVE_TC,$A187)+SUMIFS(SALIDAS_COMB,FECHA_COMB,"&gt;="&amp;X$2,FECHA_COMB,"&lt;="&amp;X$3,CLAVE_COMB,$A187)+SUMIFS(SALIDAS_DES,FECHA_DESGLOSEN,"&gt;="&amp;X$2,FECHA_DESGLOSEN,"&lt;="&amp;X$3,CLAVE_DESGLOSE,$A187)</f>
        <v>0</v>
      </c>
      <c r="Y187" s="13">
        <f t="shared" si="328"/>
        <v>0</v>
      </c>
      <c r="Z187" s="13">
        <f t="shared" si="328"/>
        <v>0</v>
      </c>
      <c r="AA187" s="13">
        <f t="shared" si="328"/>
        <v>0</v>
      </c>
      <c r="AB187" s="13">
        <f t="shared" si="328"/>
        <v>0</v>
      </c>
      <c r="AC187" s="68">
        <f t="shared" si="250"/>
        <v>0</v>
      </c>
      <c r="AD187" s="268">
        <f t="shared" si="251"/>
        <v>0</v>
      </c>
      <c r="AE187" s="13">
        <f t="shared" si="241"/>
        <v>0</v>
      </c>
      <c r="AF187" s="13">
        <f t="shared" ref="AF187:AJ196" si="329">SUMIFS(SALIDAS_BIT,FECHA_BIT,"&gt;="&amp;AF$2,FECHA_BIT,"&lt;="&amp;AF$3,CLAVE_BIT,$A187)+SUMIFS(SALIDAS_BOV1,FECHA_BOV1,"&gt;="&amp;AF$2,FECHA_BOV1,"&lt;="&amp;AF$3,CLAVE_BOV1,$A187)+SUMIFS(SALIDAS_BOV2,FECHA_BOV2,"&gt;="&amp;AF$2,FECHA_BOV2,"&lt;="&amp;AF$3,CLAVE_BOV2,$A187)+SUMIFS(SALIDAS_BOV3,FECHA_BOV3,"&gt;="&amp;AF$2,FECHA_BOV3,"&lt;="&amp;AF$3,CLAVE_BOV3,$A187)+SUMIFS(SALIDAS_TC,FECHA_TC,"&gt;="&amp;AF$2,FECHA_TC,"&lt;="&amp;AF$3,CLAVE_TC,$A187)+SUMIFS(SALIDAS_COMB,FECHA_COMB,"&gt;="&amp;AF$2,FECHA_COMB,"&lt;="&amp;AF$3,CLAVE_COMB,$A187)+SUMIFS(SALIDAS_DES,FECHA_DESGLOSEN,"&gt;="&amp;AF$2,FECHA_DESGLOSEN,"&lt;="&amp;AF$3,CLAVE_DESGLOSE,$A187)</f>
        <v>0</v>
      </c>
      <c r="AG187" s="13">
        <f t="shared" si="329"/>
        <v>0</v>
      </c>
      <c r="AH187" s="13">
        <f t="shared" si="329"/>
        <v>0</v>
      </c>
      <c r="AI187" s="13">
        <f t="shared" si="329"/>
        <v>0</v>
      </c>
      <c r="AJ187" s="13">
        <f t="shared" si="329"/>
        <v>0</v>
      </c>
      <c r="AK187" s="68">
        <f t="shared" si="252"/>
        <v>0</v>
      </c>
      <c r="AL187" s="268">
        <f t="shared" si="253"/>
        <v>0</v>
      </c>
      <c r="AM187" s="13">
        <f t="shared" si="242"/>
        <v>0</v>
      </c>
      <c r="AN187" s="13">
        <f t="shared" ref="AN187:AS196" si="330">SUMIFS(SALIDAS_BIT,FECHA_BIT,"&gt;="&amp;AN$2,FECHA_BIT,"&lt;="&amp;AN$3,CLAVE_BIT,$A187)+SUMIFS(SALIDAS_BOV1,FECHA_BOV1,"&gt;="&amp;AN$2,FECHA_BOV1,"&lt;="&amp;AN$3,CLAVE_BOV1,$A187)+SUMIFS(SALIDAS_BOV2,FECHA_BOV2,"&gt;="&amp;AN$2,FECHA_BOV2,"&lt;="&amp;AN$3,CLAVE_BOV2,$A187)+SUMIFS(SALIDAS_BOV3,FECHA_BOV3,"&gt;="&amp;AN$2,FECHA_BOV3,"&lt;="&amp;AN$3,CLAVE_BOV3,$A187)+SUMIFS(SALIDAS_TC,FECHA_TC,"&gt;="&amp;AN$2,FECHA_TC,"&lt;="&amp;AN$3,CLAVE_TC,$A187)+SUMIFS(SALIDAS_COMB,FECHA_COMB,"&gt;="&amp;AN$2,FECHA_COMB,"&lt;="&amp;AN$3,CLAVE_COMB,$A187)+SUMIFS(SALIDAS_DES,FECHA_DESGLOSEN,"&gt;="&amp;AN$2,FECHA_DESGLOSEN,"&lt;="&amp;AN$3,CLAVE_DESGLOSE,$A187)</f>
        <v>0</v>
      </c>
      <c r="AO187" s="13">
        <f t="shared" si="330"/>
        <v>0</v>
      </c>
      <c r="AP187" s="13">
        <f t="shared" si="330"/>
        <v>0</v>
      </c>
      <c r="AQ187" s="13">
        <f t="shared" si="330"/>
        <v>0</v>
      </c>
      <c r="AR187" s="13">
        <f t="shared" si="330"/>
        <v>0</v>
      </c>
      <c r="AS187" s="13">
        <f t="shared" si="330"/>
        <v>0</v>
      </c>
      <c r="AT187" s="68">
        <f>AM187-AS187</f>
        <v>0</v>
      </c>
      <c r="AU187" s="268">
        <f t="shared" si="254"/>
        <v>0</v>
      </c>
      <c r="AV187" s="13">
        <f t="shared" si="243"/>
        <v>0</v>
      </c>
      <c r="AW187" s="13">
        <f t="shared" si="323"/>
        <v>0</v>
      </c>
      <c r="AX187" s="13">
        <f t="shared" si="323"/>
        <v>0</v>
      </c>
      <c r="AY187" s="13">
        <f t="shared" si="323"/>
        <v>0</v>
      </c>
      <c r="AZ187" s="13">
        <f t="shared" si="323"/>
        <v>0</v>
      </c>
      <c r="BA187" s="13">
        <f t="shared" si="324"/>
        <v>0</v>
      </c>
      <c r="BB187" s="68">
        <f t="shared" si="255"/>
        <v>0</v>
      </c>
      <c r="BC187" s="268">
        <f t="shared" si="256"/>
        <v>0</v>
      </c>
      <c r="BD187" s="13">
        <f t="shared" si="257"/>
        <v>0</v>
      </c>
      <c r="BE187" s="13">
        <f>SUMIFS(SALIDAS_BIT,FECHA_BIT,"&gt;="&amp;BE$2,FECHA_BIT,"&lt;="&amp;BE$3,CLAVE_BIT,$A187)+SUMIFS(SALIDAS_BOV1,FECHA_BOV1,"&gt;="&amp;BE$2,FECHA_BOV1,"&lt;="&amp;BE$3,CLAVE_BOV1,$A187)+SUMIFS(SALIDAS_BOV2,FECHA_BOV2,"&gt;="&amp;BE$2,FECHA_BOV2,"&lt;="&amp;BE$3,CLAVE_BOV2,$A187)+SUMIFS(SALIDAS_BOV3,FECHA_BOV3,"&gt;="&amp;BE$2,FECHA_BOV3,"&lt;="&amp;BE$3,CLAVE_BOV3,$A187)+SUMIFS(SALIDAS_TC,FECHA_TC,"&gt;="&amp;BE$2,FECHA_TC,"&lt;="&amp;BE$3,CLAVE_TC,$A187)+SUMIFS(SALIDAS_COMB,FECHA_COMB,"&gt;="&amp;BE$2,FECHA_COMB,"&lt;="&amp;BE$3,CLAVE_COMB,$A187)+SUMIFS(SALIDAS_DES,FECHA_DESGLOSEN,"&gt;="&amp;BE$2,FECHA_DESGLOSEN,"&lt;="&amp;BE$3,CLAVE_DESGLOSE,$A187)</f>
        <v>0</v>
      </c>
      <c r="BF187" s="13">
        <f>SUMIFS(SALIDAS_BIT,FECHA_BIT,"&gt;="&amp;BF$2,FECHA_BIT,"&lt;="&amp;BF$3,CLAVE_BIT,$A187)+SUMIFS(SALIDAS_BOV1,FECHA_BOV1,"&gt;="&amp;BF$2,FECHA_BOV1,"&lt;="&amp;BF$3,CLAVE_BOV1,$A187)+SUMIFS(SALIDAS_BOV2,FECHA_BOV2,"&gt;="&amp;BF$2,FECHA_BOV2,"&lt;="&amp;BF$3,CLAVE_BOV2,$A187)+SUMIFS(SALIDAS_BOV3,FECHA_BOV3,"&gt;="&amp;BF$2,FECHA_BOV3,"&lt;="&amp;BF$3,CLAVE_BOV3,$A187)+SUMIFS(SALIDAS_TC,FECHA_TC,"&gt;="&amp;BF$2,FECHA_TC,"&lt;="&amp;BF$3,CLAVE_TC,$A187)+SUMIFS(SALIDAS_COMB,FECHA_COMB,"&gt;="&amp;BF$2,FECHA_COMB,"&lt;="&amp;BF$3,CLAVE_COMB,$A187)+SUMIFS(SALIDAS_DES,FECHA_DESGLOSEN,"&gt;="&amp;BF$2,FECHA_DESGLOSEN,"&lt;="&amp;BF$3,CLAVE_DESGLOSE,$A187)</f>
        <v>0</v>
      </c>
      <c r="BG187" s="13">
        <f>SUMIFS(SALIDAS_BIT,FECHA_BIT,"&gt;="&amp;BG$2,FECHA_BIT,"&lt;="&amp;BG$3,CLAVE_BIT,$A187)+SUMIFS(SALIDAS_BOV1,FECHA_BOV1,"&gt;="&amp;BG$2,FECHA_BOV1,"&lt;="&amp;BG$3,CLAVE_BOV1,$A187)+SUMIFS(SALIDAS_BOV2,FECHA_BOV2,"&gt;="&amp;BG$2,FECHA_BOV2,"&lt;="&amp;BG$3,CLAVE_BOV2,$A187)+SUMIFS(SALIDAS_BOV3,FECHA_BOV3,"&gt;="&amp;BG$2,FECHA_BOV3,"&lt;="&amp;BG$3,CLAVE_BOV3,$A187)+SUMIFS(SALIDAS_TC,FECHA_TC,"&gt;="&amp;BG$2,FECHA_TC,"&lt;="&amp;BG$3,CLAVE_TC,$A187)+SUMIFS(SALIDAS_COMB,FECHA_COMB,"&gt;="&amp;BG$2,FECHA_COMB,"&lt;="&amp;BG$3,CLAVE_COMB,$A187)+SUMIFS(SALIDAS_DES,FECHA_DESGLOSEN,"&gt;="&amp;BG$2,FECHA_DESGLOSEN,"&lt;="&amp;BG$3,CLAVE_DESGLOSE,$A187)</f>
        <v>0</v>
      </c>
      <c r="BH187" s="13">
        <f>SUMIFS(SALIDAS_BIT,FECHA_BIT,"&gt;="&amp;BH$2,FECHA_BIT,"&lt;="&amp;BH$3,CLAVE_BIT,$A187)+SUMIFS(SALIDAS_BOV1,FECHA_BOV1,"&gt;="&amp;BH$2,FECHA_BOV1,"&lt;="&amp;BH$3,CLAVE_BOV1,$A187)+SUMIFS(SALIDAS_BOV2,FECHA_BOV2,"&gt;="&amp;BH$2,FECHA_BOV2,"&lt;="&amp;BH$3,CLAVE_BOV2,$A187)+SUMIFS(SALIDAS_BOV3,FECHA_BOV3,"&gt;="&amp;BH$2,FECHA_BOV3,"&lt;="&amp;BH$3,CLAVE_BOV3,$A187)+SUMIFS(SALIDAS_TC,FECHA_TC,"&gt;="&amp;BH$2,FECHA_TC,"&lt;="&amp;BH$3,CLAVE_TC,$A187)+SUMIFS(SALIDAS_COMB,FECHA_COMB,"&gt;="&amp;BH$2,FECHA_COMB,"&lt;="&amp;BH$3,CLAVE_COMB,$A187)+SUMIFS(SALIDAS_DES,FECHA_DESGLOSEN,"&gt;="&amp;BH$2,FECHA_DESGLOSEN,"&lt;="&amp;BH$3,CLAVE_DESGLOSE,$A187)</f>
        <v>0</v>
      </c>
      <c r="BI187" s="13">
        <f t="shared" si="311"/>
        <v>0</v>
      </c>
      <c r="BJ187" s="68">
        <f t="shared" si="258"/>
        <v>0</v>
      </c>
      <c r="BK187" s="268">
        <f t="shared" si="259"/>
        <v>0</v>
      </c>
      <c r="BL187" s="13">
        <f t="shared" si="260"/>
        <v>0</v>
      </c>
      <c r="BM187" s="13">
        <f>SUMIFS(SALIDAS_BIT,FECHA_BIT,"&gt;="&amp;BM$2,FECHA_BIT,"&lt;="&amp;BM$3,CLAVE_BIT,$A187)+SUMIFS(SALIDAS_BOV1,FECHA_BOV1,"&gt;="&amp;BM$2,FECHA_BOV1,"&lt;="&amp;BM$3,CLAVE_BOV1,$A187)+SUMIFS(SALIDAS_BOV2,FECHA_BOV2,"&gt;="&amp;BM$2,FECHA_BOV2,"&lt;="&amp;BM$3,CLAVE_BOV2,$A187)+SUMIFS(SALIDAS_BOV3,FECHA_BOV3,"&gt;="&amp;BM$2,FECHA_BOV3,"&lt;="&amp;BM$3,CLAVE_BOV3,$A187)+SUMIFS(SALIDAS_TC,FECHA_TC,"&gt;="&amp;BM$2,FECHA_TC,"&lt;="&amp;BM$3,CLAVE_TC,$A187)+SUMIFS(SALIDAS_COMB,FECHA_COMB,"&gt;="&amp;BM$2,FECHA_COMB,"&lt;="&amp;BM$3,CLAVE_COMB,$A187)+SUMIFS(SALIDAS_DES,FECHA_DESGLOSEN,"&gt;="&amp;BM$2,FECHA_DESGLOSEN,"&lt;="&amp;BM$3,CLAVE_DESGLOSE,$A187)</f>
        <v>0</v>
      </c>
      <c r="BN187" s="13">
        <f>SUMIFS(SALIDAS_BIT,FECHA_BIT,"&gt;="&amp;BN$2,FECHA_BIT,"&lt;="&amp;BN$3,CLAVE_BIT,$A187)+SUMIFS(SALIDAS_BOV1,FECHA_BOV1,"&gt;="&amp;BN$2,FECHA_BOV1,"&lt;="&amp;BN$3,CLAVE_BOV1,$A187)+SUMIFS(SALIDAS_BOV2,FECHA_BOV2,"&gt;="&amp;BN$2,FECHA_BOV2,"&lt;="&amp;BN$3,CLAVE_BOV2,$A187)+SUMIFS(SALIDAS_BOV3,FECHA_BOV3,"&gt;="&amp;BN$2,FECHA_BOV3,"&lt;="&amp;BN$3,CLAVE_BOV3,$A187)+SUMIFS(SALIDAS_TC,FECHA_TC,"&gt;="&amp;BN$2,FECHA_TC,"&lt;="&amp;BN$3,CLAVE_TC,$A187)+SUMIFS(SALIDAS_COMB,FECHA_COMB,"&gt;="&amp;BN$2,FECHA_COMB,"&lt;="&amp;BN$3,CLAVE_COMB,$A187)+SUMIFS(SALIDAS_DES,FECHA_DESGLOSEN,"&gt;="&amp;BN$2,FECHA_DESGLOSEN,"&lt;="&amp;BN$3,CLAVE_DESGLOSE,$A187)</f>
        <v>0</v>
      </c>
      <c r="BO187" s="13">
        <f>SUMIFS(SALIDAS_BIT,FECHA_BIT,"&gt;="&amp;BO$2,FECHA_BIT,"&lt;="&amp;BO$3,CLAVE_BIT,$A187)+SUMIFS(SALIDAS_BOV1,FECHA_BOV1,"&gt;="&amp;BO$2,FECHA_BOV1,"&lt;="&amp;BO$3,CLAVE_BOV1,$A187)+SUMIFS(SALIDAS_BOV2,FECHA_BOV2,"&gt;="&amp;BO$2,FECHA_BOV2,"&lt;="&amp;BO$3,CLAVE_BOV2,$A187)+SUMIFS(SALIDAS_BOV3,FECHA_BOV3,"&gt;="&amp;BO$2,FECHA_BOV3,"&lt;="&amp;BO$3,CLAVE_BOV3,$A187)+SUMIFS(SALIDAS_TC,FECHA_TC,"&gt;="&amp;BO$2,FECHA_TC,"&lt;="&amp;BO$3,CLAVE_TC,$A187)+SUMIFS(SALIDAS_COMB,FECHA_COMB,"&gt;="&amp;BO$2,FECHA_COMB,"&lt;="&amp;BO$3,CLAVE_COMB,$A187)+SUMIFS(SALIDAS_DES,FECHA_DESGLOSEN,"&gt;="&amp;BO$2,FECHA_DESGLOSEN,"&lt;="&amp;BO$3,CLAVE_DESGLOSE,$A187)</f>
        <v>0</v>
      </c>
      <c r="BP187" s="13">
        <f>SUMIFS(SALIDAS_BIT,FECHA_BIT,"&gt;="&amp;BP$2,FECHA_BIT,"&lt;="&amp;BP$3,CLAVE_BIT,$A187)+SUMIFS(SALIDAS_BOV1,FECHA_BOV1,"&gt;="&amp;BP$2,FECHA_BOV1,"&lt;="&amp;BP$3,CLAVE_BOV1,$A187)+SUMIFS(SALIDAS_BOV2,FECHA_BOV2,"&gt;="&amp;BP$2,FECHA_BOV2,"&lt;="&amp;BP$3,CLAVE_BOV2,$A187)+SUMIFS(SALIDAS_BOV3,FECHA_BOV3,"&gt;="&amp;BP$2,FECHA_BOV3,"&lt;="&amp;BP$3,CLAVE_BOV3,$A187)+SUMIFS(SALIDAS_TC,FECHA_TC,"&gt;="&amp;BP$2,FECHA_TC,"&lt;="&amp;BP$3,CLAVE_TC,$A187)+SUMIFS(SALIDAS_COMB,FECHA_COMB,"&gt;="&amp;BP$2,FECHA_COMB,"&lt;="&amp;BP$3,CLAVE_COMB,$A187)+SUMIFS(SALIDAS_DES,FECHA_DESGLOSEN,"&gt;="&amp;BP$2,FECHA_DESGLOSEN,"&lt;="&amp;BP$3,CLAVE_DESGLOSE,$A187)</f>
        <v>0</v>
      </c>
      <c r="BQ187" s="13">
        <f>SUMIFS(SALIDAS_BIT,FECHA_BIT,"&gt;="&amp;BQ$2,FECHA_BIT,"&lt;="&amp;BQ$3,CLAVE_BIT,$A187)+SUMIFS(SALIDAS_BOV1,FECHA_BOV1,"&gt;="&amp;BQ$2,FECHA_BOV1,"&lt;="&amp;BQ$3,CLAVE_BOV1,$A187)+SUMIFS(SALIDAS_BOV2,FECHA_BOV2,"&gt;="&amp;BQ$2,FECHA_BOV2,"&lt;="&amp;BQ$3,CLAVE_BOV2,$A187)+SUMIFS(SALIDAS_BOV3,FECHA_BOV3,"&gt;="&amp;BQ$2,FECHA_BOV3,"&lt;="&amp;BQ$3,CLAVE_BOV3,$A187)+SUMIFS(SALIDAS_TC,FECHA_TC,"&gt;="&amp;BQ$2,FECHA_TC,"&lt;="&amp;BQ$3,CLAVE_TC,$A187)+SUMIFS(SALIDAS_COMB,FECHA_COMB,"&gt;="&amp;BQ$2,FECHA_COMB,"&lt;="&amp;BQ$3,CLAVE_COMB,$A187)+SUMIFS(SALIDAS_DES,FECHA_DESGLOSEN,"&gt;="&amp;BQ$2,FECHA_DESGLOSEN,"&lt;="&amp;BQ$3,CLAVE_DESGLOSE,$A187)</f>
        <v>0</v>
      </c>
      <c r="BR187" s="13">
        <f t="shared" ref="BR187:BR196" si="331">SUMIFS(SALIDAS_BIT,FECHA_BIT,"&gt;="&amp;BR$2,FECHA_BIT,"&lt;="&amp;BR$3,CLAVE_BIT,$A187)+SUMIFS(SALIDAS_BOV1,FECHA_BOV1,"&gt;="&amp;BR$2,FECHA_BOV1,"&lt;="&amp;BR$3,CLAVE_BOV1,$A187)+SUMIFS(SALIDAS_BOV2,FECHA_BOV2,"&gt;="&amp;BR$2,FECHA_BOV2,"&lt;="&amp;BR$3,CLAVE_BOV2,$A187)+SUMIFS(SALIDAS_BOV3,FECHA_BOV3,"&gt;="&amp;BR$2,FECHA_BOV3,"&lt;="&amp;BR$3,CLAVE_BOV3,$A187)+SUMIFS(SALIDAS_TC,FECHA_TC,"&gt;="&amp;BR$2,FECHA_TC,"&lt;="&amp;BR$3,CLAVE_TC,$A187)+SUMIFS(SALIDAS_COMB,FECHA_COMB,"&gt;="&amp;BR$2,FECHA_COMB,"&lt;="&amp;BR$3,CLAVE_COMB,$A187)+SUMIFS(SALIDAS_DES,FECHA_DESGLOSEN,"&gt;="&amp;BR$2,FECHA_DESGLOSEN,"&lt;="&amp;BR$3,CLAVE_DESGLOSE,$A187)</f>
        <v>0</v>
      </c>
      <c r="BS187" s="68">
        <f t="shared" si="261"/>
        <v>0</v>
      </c>
      <c r="BT187" s="268">
        <f t="shared" si="262"/>
        <v>0</v>
      </c>
      <c r="BU187" s="13">
        <f t="shared" si="263"/>
        <v>0</v>
      </c>
      <c r="BV187" s="13">
        <f t="shared" si="291"/>
        <v>0</v>
      </c>
      <c r="BW187" s="13">
        <f t="shared" si="291"/>
        <v>0</v>
      </c>
      <c r="BX187" s="13">
        <f t="shared" si="291"/>
        <v>0</v>
      </c>
      <c r="BY187" s="13">
        <f t="shared" si="291"/>
        <v>395.25</v>
      </c>
      <c r="BZ187" s="13">
        <f t="shared" ref="BZ187:BZ196" si="332">SUMIFS(SALIDAS_BIT,FECHA_BIT,"&gt;="&amp;BZ$2,FECHA_BIT,"&lt;="&amp;BZ$3,CLAVE_BIT,$A187)+SUMIFS(SALIDAS_BOV1,FECHA_BOV1,"&gt;="&amp;BZ$2,FECHA_BOV1,"&lt;="&amp;BZ$3,CLAVE_BOV1,$A187)+SUMIFS(SALIDAS_BOV2,FECHA_BOV2,"&gt;="&amp;BZ$2,FECHA_BOV2,"&lt;="&amp;BZ$3,CLAVE_BOV2,$A187)+SUMIFS(SALIDAS_BOV3,FECHA_BOV3,"&gt;="&amp;BZ$2,FECHA_BOV3,"&lt;="&amp;BZ$3,CLAVE_BOV3,$A187)+SUMIFS(SALIDAS_TC,FECHA_TC,"&gt;="&amp;BZ$2,FECHA_TC,"&lt;="&amp;BZ$3,CLAVE_TC,$A187)+SUMIFS(SALIDAS_COMB,FECHA_COMB,"&gt;="&amp;BZ$2,FECHA_COMB,"&lt;="&amp;BZ$3,CLAVE_COMB,$A187)+SUMIFS(SALIDAS_DES,FECHA_DESGLOSEN,"&gt;="&amp;BZ$2,FECHA_DESGLOSEN,"&lt;="&amp;BZ$3,CLAVE_DESGLOSE,$A187)</f>
        <v>395.25</v>
      </c>
      <c r="CA187" s="68">
        <f t="shared" si="264"/>
        <v>-395.25</v>
      </c>
      <c r="CB187" s="268">
        <f t="shared" si="265"/>
        <v>0</v>
      </c>
      <c r="CC187" s="13">
        <f t="shared" si="266"/>
        <v>0</v>
      </c>
      <c r="CD187" s="13">
        <f t="shared" si="292"/>
        <v>0</v>
      </c>
      <c r="CE187" s="13">
        <f t="shared" si="292"/>
        <v>0</v>
      </c>
      <c r="CF187" s="13">
        <f t="shared" si="292"/>
        <v>0</v>
      </c>
      <c r="CG187" s="13">
        <f t="shared" si="292"/>
        <v>0</v>
      </c>
      <c r="CH187" s="13">
        <f t="shared" ref="CH187:CH196" si="333">SUMIFS(SALIDAS_BIT,FECHA_BIT,"&gt;="&amp;CH$2,FECHA_BIT,"&lt;="&amp;CH$3,CLAVE_BIT,$A187)+SUMIFS(SALIDAS_BOV1,FECHA_BOV1,"&gt;="&amp;CH$2,FECHA_BOV1,"&lt;="&amp;CH$3,CLAVE_BOV1,$A187)+SUMIFS(SALIDAS_BOV2,FECHA_BOV2,"&gt;="&amp;CH$2,FECHA_BOV2,"&lt;="&amp;CH$3,CLAVE_BOV2,$A187)+SUMIFS(SALIDAS_BOV3,FECHA_BOV3,"&gt;="&amp;CH$2,FECHA_BOV3,"&lt;="&amp;CH$3,CLAVE_BOV3,$A187)+SUMIFS(SALIDAS_TC,FECHA_TC,"&gt;="&amp;CH$2,FECHA_TC,"&lt;="&amp;CH$3,CLAVE_TC,$A187)+SUMIFS(SALIDAS_COMB,FECHA_COMB,"&gt;="&amp;CH$2,FECHA_COMB,"&lt;="&amp;CH$3,CLAVE_COMB,$A187)+SUMIFS(SALIDAS_DES,FECHA_DESGLOSEN,"&gt;="&amp;CH$2,FECHA_DESGLOSEN,"&lt;="&amp;CH$3,CLAVE_DESGLOSE,$A187)</f>
        <v>0</v>
      </c>
      <c r="CI187" s="68">
        <f t="shared" si="267"/>
        <v>0</v>
      </c>
      <c r="CJ187" s="268">
        <f t="shared" si="268"/>
        <v>0</v>
      </c>
      <c r="CK187" s="13">
        <f t="shared" si="269"/>
        <v>0</v>
      </c>
      <c r="CL187" s="13">
        <f t="shared" si="312"/>
        <v>0</v>
      </c>
      <c r="CM187" s="13">
        <f t="shared" si="312"/>
        <v>0</v>
      </c>
      <c r="CN187" s="13">
        <f t="shared" si="312"/>
        <v>0</v>
      </c>
      <c r="CO187" s="13">
        <f t="shared" si="312"/>
        <v>0</v>
      </c>
      <c r="CP187" s="13">
        <f t="shared" si="312"/>
        <v>0</v>
      </c>
      <c r="CQ187" s="13">
        <f t="shared" ref="CQ187:CQ196" si="334">SUMIFS(SALIDAS_BIT,FECHA_BIT,"&gt;="&amp;CQ$2,FECHA_BIT,"&lt;="&amp;CQ$3,CLAVE_BIT,$A187)+SUMIFS(SALIDAS_BOV1,FECHA_BOV1,"&gt;="&amp;CQ$2,FECHA_BOV1,"&lt;="&amp;CQ$3,CLAVE_BOV1,$A187)+SUMIFS(SALIDAS_BOV2,FECHA_BOV2,"&gt;="&amp;CQ$2,FECHA_BOV2,"&lt;="&amp;CQ$3,CLAVE_BOV2,$A187)+SUMIFS(SALIDAS_BOV3,FECHA_BOV3,"&gt;="&amp;CQ$2,FECHA_BOV3,"&lt;="&amp;CQ$3,CLAVE_BOV3,$A187)+SUMIFS(SALIDAS_TC,FECHA_TC,"&gt;="&amp;CQ$2,FECHA_TC,"&lt;="&amp;CQ$3,CLAVE_TC,$A187)+SUMIFS(SALIDAS_COMB,FECHA_COMB,"&gt;="&amp;CQ$2,FECHA_COMB,"&lt;="&amp;CQ$3,CLAVE_COMB,$A187)+SUMIFS(SALIDAS_DES,FECHA_DESGLOSEN,"&gt;="&amp;CQ$2,FECHA_DESGLOSEN,"&lt;="&amp;CQ$3,CLAVE_DESGLOSE,$A187)</f>
        <v>0</v>
      </c>
      <c r="CR187" s="68">
        <f t="shared" si="270"/>
        <v>0</v>
      </c>
      <c r="CS187" s="268">
        <f t="shared" si="271"/>
        <v>0</v>
      </c>
      <c r="CT187" s="68">
        <f t="shared" si="244"/>
        <v>0</v>
      </c>
      <c r="CU187" s="13">
        <f>SUMIFS(SALIDAS_BIT,FECHA_BIT,"&gt;="&amp;CU$2,FECHA_BIT,"&lt;="&amp;CU$3,CLAVE_BIT,$A187)+SUMIFS(SALIDAS_BOV1,FECHA_BOV1,"&gt;="&amp;CU$2,FECHA_BOV1,"&lt;="&amp;CU$3,CLAVE_BOV1,$A187)+SUMIFS(SALIDAS_BOV2,FECHA_BOV2,"&gt;="&amp;CU$2,FECHA_BOV2,"&lt;="&amp;CU$3,CLAVE_BOV2,$A187)+SUMIFS(SALIDAS_BOV3,FECHA_BOV3,"&gt;="&amp;CU$2,FECHA_BOV3,"&lt;="&amp;CU$3,CLAVE_BOV3,$A187)+SUMIFS(SALIDAS_TC,FECHA_TC,"&gt;="&amp;CU$2,FECHA_TC,"&lt;="&amp;CU$3,CLAVE_TC,$A187)+SUMIFS(SALIDAS_COMB,FECHA_COMB,"&gt;="&amp;CU$2,FECHA_COMB,"&lt;="&amp;CU$3,CLAVE_COMB,$A187)+SUMIFS(SALIDAS_DES,FECHA_DESGLOSEN,"&gt;="&amp;CU$2,FECHA_DESGLOSEN,"&lt;="&amp;CU$3,CLAVE_DESGLOSE,$A187)</f>
        <v>0</v>
      </c>
      <c r="CV187" s="13">
        <f>SUMIFS(SALIDAS_BIT,FECHA_BIT,"&gt;="&amp;CV$2,FECHA_BIT,"&lt;="&amp;CV$3,CLAVE_BIT,$A187)+SUMIFS(SALIDAS_BOV1,FECHA_BOV1,"&gt;="&amp;CV$2,FECHA_BOV1,"&lt;="&amp;CV$3,CLAVE_BOV1,$A187)+SUMIFS(SALIDAS_BOV2,FECHA_BOV2,"&gt;="&amp;CV$2,FECHA_BOV2,"&lt;="&amp;CV$3,CLAVE_BOV2,$A187)+SUMIFS(SALIDAS_BOV3,FECHA_BOV3,"&gt;="&amp;CV$2,FECHA_BOV3,"&lt;="&amp;CV$3,CLAVE_BOV3,$A187)+SUMIFS(SALIDAS_TC,FECHA_TC,"&gt;="&amp;CV$2,FECHA_TC,"&lt;="&amp;CV$3,CLAVE_TC,$A187)+SUMIFS(SALIDAS_COMB,FECHA_COMB,"&gt;="&amp;CV$2,FECHA_COMB,"&lt;="&amp;CV$3,CLAVE_COMB,$A187)+SUMIFS(SALIDAS_DES,FECHA_DESGLOSEN,"&gt;="&amp;CV$2,FECHA_DESGLOSEN,"&lt;="&amp;CV$3,CLAVE_DESGLOSE,$A187)</f>
        <v>0</v>
      </c>
      <c r="CW187" s="13">
        <f>SUMIFS(SALIDAS_BIT,FECHA_BIT,"&gt;="&amp;CW$2,FECHA_BIT,"&lt;="&amp;CW$3,CLAVE_BIT,$A187)+SUMIFS(SALIDAS_BOV1,FECHA_BOV1,"&gt;="&amp;CW$2,FECHA_BOV1,"&lt;="&amp;CW$3,CLAVE_BOV1,$A187)+SUMIFS(SALIDAS_BOV2,FECHA_BOV2,"&gt;="&amp;CW$2,FECHA_BOV2,"&lt;="&amp;CW$3,CLAVE_BOV2,$A187)+SUMIFS(SALIDAS_BOV3,FECHA_BOV3,"&gt;="&amp;CW$2,FECHA_BOV3,"&lt;="&amp;CW$3,CLAVE_BOV3,$A187)+SUMIFS(SALIDAS_TC,FECHA_TC,"&gt;="&amp;CW$2,FECHA_TC,"&lt;="&amp;CW$3,CLAVE_TC,$A187)+SUMIFS(SALIDAS_COMB,FECHA_COMB,"&gt;="&amp;CW$2,FECHA_COMB,"&lt;="&amp;CW$3,CLAVE_COMB,$A187)+SUMIFS(SALIDAS_DES,FECHA_DESGLOSEN,"&gt;="&amp;CW$2,FECHA_DESGLOSEN,"&lt;="&amp;CW$3,CLAVE_DESGLOSE,$A187)</f>
        <v>0</v>
      </c>
      <c r="CX187" s="13">
        <f>SUMIFS(SALIDAS_BIT,FECHA_BIT,"&gt;="&amp;CX$2,FECHA_BIT,"&lt;="&amp;CX$3,CLAVE_BIT,$A187)+SUMIFS(SALIDAS_BOV1,FECHA_BOV1,"&gt;="&amp;CX$2,FECHA_BOV1,"&lt;="&amp;CX$3,CLAVE_BOV1,$A187)+SUMIFS(SALIDAS_BOV2,FECHA_BOV2,"&gt;="&amp;CX$2,FECHA_BOV2,"&lt;="&amp;CX$3,CLAVE_BOV2,$A187)+SUMIFS(SALIDAS_BOV3,FECHA_BOV3,"&gt;="&amp;CX$2,FECHA_BOV3,"&lt;="&amp;CX$3,CLAVE_BOV3,$A187)+SUMIFS(SALIDAS_TC,FECHA_TC,"&gt;="&amp;CX$2,FECHA_TC,"&lt;="&amp;CX$3,CLAVE_TC,$A187)+SUMIFS(SALIDAS_COMB,FECHA_COMB,"&gt;="&amp;CX$2,FECHA_COMB,"&lt;="&amp;CX$3,CLAVE_COMB,$A187)+SUMIFS(SALIDAS_DES,FECHA_DESGLOSEN,"&gt;="&amp;CX$2,FECHA_DESGLOSEN,"&lt;="&amp;CX$3,CLAVE_DESGLOSE,$A187)</f>
        <v>0</v>
      </c>
      <c r="CY187" s="13">
        <f>SUMIFS(SALIDAS_BIT,FECHA_BIT,"&gt;="&amp;CY$2,FECHA_BIT,"&lt;="&amp;CY$3,CLAVE_BIT,$A187)+SUMIFS(SALIDAS_BOV1,FECHA_BOV1,"&gt;="&amp;CY$2,FECHA_BOV1,"&lt;="&amp;CY$3,CLAVE_BOV1,$A187)+SUMIFS(SALIDAS_BOV2,FECHA_BOV2,"&gt;="&amp;CY$2,FECHA_BOV2,"&lt;="&amp;CY$3,CLAVE_BOV2,$A187)+SUMIFS(SALIDAS_BOV3,FECHA_BOV3,"&gt;="&amp;CY$2,FECHA_BOV3,"&lt;="&amp;CY$3,CLAVE_BOV3,$A187)+SUMIFS(SALIDAS_TC,FECHA_TC,"&gt;="&amp;CY$2,FECHA_TC,"&lt;="&amp;CY$3,CLAVE_TC,$A187)+SUMIFS(SALIDAS_COMB,FECHA_COMB,"&gt;="&amp;CY$2,FECHA_COMB,"&lt;="&amp;CY$3,CLAVE_COMB,$A187)+SUMIFS(SALIDAS_DES,FECHA_DESGLOSEN,"&gt;="&amp;CY$2,FECHA_DESGLOSEN,"&lt;="&amp;CY$3,CLAVE_DESGLOSE,$A187)</f>
        <v>0</v>
      </c>
      <c r="CZ187" s="68">
        <f t="shared" si="272"/>
        <v>0</v>
      </c>
      <c r="DB187" s="17">
        <f>F187+N187+W187+AE187+AM187+AV187+BD187+BL187+BU187+CC187+CK187</f>
        <v>0</v>
      </c>
      <c r="DC187" s="17">
        <f>K187+T187+AB187+AJ187+AS187+BA187+BI187+BR187+BZ187+CH187+CQ187</f>
        <v>395.25</v>
      </c>
    </row>
    <row r="188" spans="1:107" hidden="1">
      <c r="A188" s="12" t="str">
        <f t="shared" si="245"/>
        <v>MELFONDO Y REPOSICIONMELISSA</v>
      </c>
      <c r="B188" s="12">
        <v>190</v>
      </c>
      <c r="C188" t="s">
        <v>43</v>
      </c>
      <c r="D188" s="12" t="s">
        <v>120</v>
      </c>
      <c r="E188" s="12" t="s">
        <v>44</v>
      </c>
      <c r="F188" s="259">
        <f t="shared" si="238"/>
        <v>0</v>
      </c>
      <c r="G188" s="13">
        <f t="shared" si="326"/>
        <v>0</v>
      </c>
      <c r="H188" s="13">
        <f t="shared" si="326"/>
        <v>0</v>
      </c>
      <c r="I188" s="13">
        <f t="shared" si="326"/>
        <v>0</v>
      </c>
      <c r="J188" s="13">
        <f t="shared" si="326"/>
        <v>0</v>
      </c>
      <c r="K188" s="13">
        <f t="shared" si="326"/>
        <v>0</v>
      </c>
      <c r="L188" s="68">
        <f t="shared" si="246"/>
        <v>0</v>
      </c>
      <c r="M188" s="268">
        <f t="shared" si="247"/>
        <v>0</v>
      </c>
      <c r="N188" s="13">
        <f t="shared" si="239"/>
        <v>0</v>
      </c>
      <c r="O188" s="13">
        <f t="shared" si="327"/>
        <v>0</v>
      </c>
      <c r="P188" s="13">
        <f t="shared" si="327"/>
        <v>0</v>
      </c>
      <c r="Q188" s="13">
        <f t="shared" si="327"/>
        <v>0</v>
      </c>
      <c r="R188" s="13">
        <f t="shared" si="327"/>
        <v>0</v>
      </c>
      <c r="S188" s="13">
        <f t="shared" si="327"/>
        <v>0</v>
      </c>
      <c r="T188" s="13">
        <f t="shared" si="327"/>
        <v>0</v>
      </c>
      <c r="U188" s="68">
        <f t="shared" si="248"/>
        <v>0</v>
      </c>
      <c r="V188" s="268">
        <f t="shared" si="249"/>
        <v>0</v>
      </c>
      <c r="W188" s="13">
        <f t="shared" si="240"/>
        <v>0</v>
      </c>
      <c r="X188" s="13">
        <f t="shared" si="328"/>
        <v>0</v>
      </c>
      <c r="Y188" s="13">
        <f t="shared" si="328"/>
        <v>0</v>
      </c>
      <c r="Z188" s="13">
        <f t="shared" si="328"/>
        <v>0</v>
      </c>
      <c r="AA188" s="13">
        <f t="shared" si="328"/>
        <v>0</v>
      </c>
      <c r="AB188" s="13">
        <f t="shared" si="328"/>
        <v>0</v>
      </c>
      <c r="AC188" s="68">
        <f t="shared" si="250"/>
        <v>0</v>
      </c>
      <c r="AD188" s="268">
        <f t="shared" si="251"/>
        <v>0</v>
      </c>
      <c r="AE188" s="13">
        <f t="shared" si="241"/>
        <v>0</v>
      </c>
      <c r="AF188" s="13">
        <f t="shared" si="329"/>
        <v>0</v>
      </c>
      <c r="AG188" s="13">
        <f t="shared" si="329"/>
        <v>0</v>
      </c>
      <c r="AH188" s="13">
        <f t="shared" si="329"/>
        <v>0</v>
      </c>
      <c r="AI188" s="13">
        <f t="shared" si="329"/>
        <v>0</v>
      </c>
      <c r="AJ188" s="13">
        <f t="shared" si="329"/>
        <v>0</v>
      </c>
      <c r="AK188" s="68">
        <f t="shared" si="252"/>
        <v>0</v>
      </c>
      <c r="AL188" s="268">
        <f t="shared" si="253"/>
        <v>0</v>
      </c>
      <c r="AM188" s="13">
        <f t="shared" si="242"/>
        <v>0</v>
      </c>
      <c r="AN188" s="13">
        <f t="shared" si="330"/>
        <v>0</v>
      </c>
      <c r="AO188" s="13">
        <f t="shared" si="330"/>
        <v>0</v>
      </c>
      <c r="AP188" s="13">
        <f t="shared" si="330"/>
        <v>0</v>
      </c>
      <c r="AQ188" s="13">
        <f t="shared" si="330"/>
        <v>0</v>
      </c>
      <c r="AR188" s="13">
        <f t="shared" si="330"/>
        <v>0</v>
      </c>
      <c r="AS188" s="13">
        <f t="shared" si="330"/>
        <v>0</v>
      </c>
      <c r="AT188" s="68">
        <f>AM188-AS188</f>
        <v>0</v>
      </c>
      <c r="AU188" s="268">
        <f t="shared" si="254"/>
        <v>0</v>
      </c>
      <c r="AV188" s="13">
        <f t="shared" si="243"/>
        <v>0</v>
      </c>
      <c r="AW188" s="13">
        <f t="shared" si="323"/>
        <v>0</v>
      </c>
      <c r="AX188" s="13">
        <f t="shared" si="323"/>
        <v>0</v>
      </c>
      <c r="AY188" s="13">
        <f t="shared" si="323"/>
        <v>0</v>
      </c>
      <c r="AZ188" s="13">
        <f t="shared" si="323"/>
        <v>0</v>
      </c>
      <c r="BA188" s="13">
        <f t="shared" si="324"/>
        <v>0</v>
      </c>
      <c r="BB188" s="68">
        <f t="shared" si="255"/>
        <v>0</v>
      </c>
      <c r="BC188" s="268">
        <f t="shared" si="256"/>
        <v>0</v>
      </c>
      <c r="BD188" s="13">
        <f t="shared" si="257"/>
        <v>0</v>
      </c>
      <c r="BE188" s="13">
        <f>SUMIFS(SALIDAS_BIT,FECHA_BIT,"&gt;="&amp;BE$2,FECHA_BIT,"&lt;="&amp;BE$3,CLAVE_BIT,$A188)+SUMIFS(SALIDAS_BOV1,FECHA_BOV1,"&gt;="&amp;BE$2,FECHA_BOV1,"&lt;="&amp;BE$3,CLAVE_BOV1,$A188)+SUMIFS(SALIDAS_BOV2,FECHA_BOV2,"&gt;="&amp;BE$2,FECHA_BOV2,"&lt;="&amp;BE$3,CLAVE_BOV2,$A188)+SUMIFS(SALIDAS_BOV3,FECHA_BOV3,"&gt;="&amp;BE$2,FECHA_BOV3,"&lt;="&amp;BE$3,CLAVE_BOV3,$A188)+SUMIFS(SALIDAS_TC,FECHA_TC,"&gt;="&amp;BE$2,FECHA_TC,"&lt;="&amp;BE$3,CLAVE_TC,$A188)+SUMIFS(SALIDAS_COMB,FECHA_COMB,"&gt;="&amp;BE$2,FECHA_COMB,"&lt;="&amp;BE$3,CLAVE_COMB,$A188)+SUMIFS(SALIDAS_DES,FECHA_DESGLOSEN,"&gt;="&amp;BE$2,FECHA_DESGLOSEN,"&lt;="&amp;BE$3,CLAVE_DESGLOSE,$A188)</f>
        <v>0</v>
      </c>
      <c r="BF188" s="13">
        <f>SUMIFS(SALIDAS_BIT,FECHA_BIT,"&gt;="&amp;BF$2,FECHA_BIT,"&lt;="&amp;BF$3,CLAVE_BIT,$A188)+SUMIFS(SALIDAS_BOV1,FECHA_BOV1,"&gt;="&amp;BF$2,FECHA_BOV1,"&lt;="&amp;BF$3,CLAVE_BOV1,$A188)+SUMIFS(SALIDAS_BOV2,FECHA_BOV2,"&gt;="&amp;BF$2,FECHA_BOV2,"&lt;="&amp;BF$3,CLAVE_BOV2,$A188)+SUMIFS(SALIDAS_BOV3,FECHA_BOV3,"&gt;="&amp;BF$2,FECHA_BOV3,"&lt;="&amp;BF$3,CLAVE_BOV3,$A188)+SUMIFS(SALIDAS_TC,FECHA_TC,"&gt;="&amp;BF$2,FECHA_TC,"&lt;="&amp;BF$3,CLAVE_TC,$A188)+SUMIFS(SALIDAS_COMB,FECHA_COMB,"&gt;="&amp;BF$2,FECHA_COMB,"&lt;="&amp;BF$3,CLAVE_COMB,$A188)+SUMIFS(SALIDAS_DES,FECHA_DESGLOSEN,"&gt;="&amp;BF$2,FECHA_DESGLOSEN,"&lt;="&amp;BF$3,CLAVE_DESGLOSE,$A188)</f>
        <v>0</v>
      </c>
      <c r="BG188" s="13">
        <f>SUMIFS(SALIDAS_BIT,FECHA_BIT,"&gt;="&amp;BG$2,FECHA_BIT,"&lt;="&amp;BG$3,CLAVE_BIT,$A188)+SUMIFS(SALIDAS_BOV1,FECHA_BOV1,"&gt;="&amp;BG$2,FECHA_BOV1,"&lt;="&amp;BG$3,CLAVE_BOV1,$A188)+SUMIFS(SALIDAS_BOV2,FECHA_BOV2,"&gt;="&amp;BG$2,FECHA_BOV2,"&lt;="&amp;BG$3,CLAVE_BOV2,$A188)+SUMIFS(SALIDAS_BOV3,FECHA_BOV3,"&gt;="&amp;BG$2,FECHA_BOV3,"&lt;="&amp;BG$3,CLAVE_BOV3,$A188)+SUMIFS(SALIDAS_TC,FECHA_TC,"&gt;="&amp;BG$2,FECHA_TC,"&lt;="&amp;BG$3,CLAVE_TC,$A188)+SUMIFS(SALIDAS_COMB,FECHA_COMB,"&gt;="&amp;BG$2,FECHA_COMB,"&lt;="&amp;BG$3,CLAVE_COMB,$A188)+SUMIFS(SALIDAS_DES,FECHA_DESGLOSEN,"&gt;="&amp;BG$2,FECHA_DESGLOSEN,"&lt;="&amp;BG$3,CLAVE_DESGLOSE,$A188)</f>
        <v>0</v>
      </c>
      <c r="BH188" s="13">
        <f>SUMIFS(SALIDAS_BIT,FECHA_BIT,"&gt;="&amp;BH$2,FECHA_BIT,"&lt;="&amp;BH$3,CLAVE_BIT,$A188)+SUMIFS(SALIDAS_BOV1,FECHA_BOV1,"&gt;="&amp;BH$2,FECHA_BOV1,"&lt;="&amp;BH$3,CLAVE_BOV1,$A188)+SUMIFS(SALIDAS_BOV2,FECHA_BOV2,"&gt;="&amp;BH$2,FECHA_BOV2,"&lt;="&amp;BH$3,CLAVE_BOV2,$A188)+SUMIFS(SALIDAS_BOV3,FECHA_BOV3,"&gt;="&amp;BH$2,FECHA_BOV3,"&lt;="&amp;BH$3,CLAVE_BOV3,$A188)+SUMIFS(SALIDAS_TC,FECHA_TC,"&gt;="&amp;BH$2,FECHA_TC,"&lt;="&amp;BH$3,CLAVE_TC,$A188)+SUMIFS(SALIDAS_COMB,FECHA_COMB,"&gt;="&amp;BH$2,FECHA_COMB,"&lt;="&amp;BH$3,CLAVE_COMB,$A188)+SUMIFS(SALIDAS_DES,FECHA_DESGLOSEN,"&gt;="&amp;BH$2,FECHA_DESGLOSEN,"&lt;="&amp;BH$3,CLAVE_DESGLOSE,$A188)</f>
        <v>0</v>
      </c>
      <c r="BI188" s="13">
        <f t="shared" si="311"/>
        <v>0</v>
      </c>
      <c r="BJ188" s="68">
        <f t="shared" si="258"/>
        <v>0</v>
      </c>
      <c r="BK188" s="268">
        <f t="shared" si="259"/>
        <v>0</v>
      </c>
      <c r="BL188" s="13">
        <f t="shared" si="260"/>
        <v>0</v>
      </c>
      <c r="BM188" s="13">
        <f>SUMIFS(SALIDAS_BIT,FECHA_BIT,"&gt;="&amp;BM$2,FECHA_BIT,"&lt;="&amp;BM$3,CLAVE_BIT,$A188)+SUMIFS(SALIDAS_BOV1,FECHA_BOV1,"&gt;="&amp;BM$2,FECHA_BOV1,"&lt;="&amp;BM$3,CLAVE_BOV1,$A188)+SUMIFS(SALIDAS_BOV2,FECHA_BOV2,"&gt;="&amp;BM$2,FECHA_BOV2,"&lt;="&amp;BM$3,CLAVE_BOV2,$A188)+SUMIFS(SALIDAS_BOV3,FECHA_BOV3,"&gt;="&amp;BM$2,FECHA_BOV3,"&lt;="&amp;BM$3,CLAVE_BOV3,$A188)+SUMIFS(SALIDAS_TC,FECHA_TC,"&gt;="&amp;BM$2,FECHA_TC,"&lt;="&amp;BM$3,CLAVE_TC,$A188)+SUMIFS(SALIDAS_COMB,FECHA_COMB,"&gt;="&amp;BM$2,FECHA_COMB,"&lt;="&amp;BM$3,CLAVE_COMB,$A188)+SUMIFS(SALIDAS_DES,FECHA_DESGLOSEN,"&gt;="&amp;BM$2,FECHA_DESGLOSEN,"&lt;="&amp;BM$3,CLAVE_DESGLOSE,$A188)</f>
        <v>0</v>
      </c>
      <c r="BN188" s="13">
        <f>SUMIFS(SALIDAS_BIT,FECHA_BIT,"&gt;="&amp;BN$2,FECHA_BIT,"&lt;="&amp;BN$3,CLAVE_BIT,$A188)+SUMIFS(SALIDAS_BOV1,FECHA_BOV1,"&gt;="&amp;BN$2,FECHA_BOV1,"&lt;="&amp;BN$3,CLAVE_BOV1,$A188)+SUMIFS(SALIDAS_BOV2,FECHA_BOV2,"&gt;="&amp;BN$2,FECHA_BOV2,"&lt;="&amp;BN$3,CLAVE_BOV2,$A188)+SUMIFS(SALIDAS_BOV3,FECHA_BOV3,"&gt;="&amp;BN$2,FECHA_BOV3,"&lt;="&amp;BN$3,CLAVE_BOV3,$A188)+SUMIFS(SALIDAS_TC,FECHA_TC,"&gt;="&amp;BN$2,FECHA_TC,"&lt;="&amp;BN$3,CLAVE_TC,$A188)+SUMIFS(SALIDAS_COMB,FECHA_COMB,"&gt;="&amp;BN$2,FECHA_COMB,"&lt;="&amp;BN$3,CLAVE_COMB,$A188)+SUMIFS(SALIDAS_DES,FECHA_DESGLOSEN,"&gt;="&amp;BN$2,FECHA_DESGLOSEN,"&lt;="&amp;BN$3,CLAVE_DESGLOSE,$A188)</f>
        <v>0</v>
      </c>
      <c r="BO188" s="13">
        <f>SUMIFS(SALIDAS_BIT,FECHA_BIT,"&gt;="&amp;BO$2,FECHA_BIT,"&lt;="&amp;BO$3,CLAVE_BIT,$A188)+SUMIFS(SALIDAS_BOV1,FECHA_BOV1,"&gt;="&amp;BO$2,FECHA_BOV1,"&lt;="&amp;BO$3,CLAVE_BOV1,$A188)+SUMIFS(SALIDAS_BOV2,FECHA_BOV2,"&gt;="&amp;BO$2,FECHA_BOV2,"&lt;="&amp;BO$3,CLAVE_BOV2,$A188)+SUMIFS(SALIDAS_BOV3,FECHA_BOV3,"&gt;="&amp;BO$2,FECHA_BOV3,"&lt;="&amp;BO$3,CLAVE_BOV3,$A188)+SUMIFS(SALIDAS_TC,FECHA_TC,"&gt;="&amp;BO$2,FECHA_TC,"&lt;="&amp;BO$3,CLAVE_TC,$A188)+SUMIFS(SALIDAS_COMB,FECHA_COMB,"&gt;="&amp;BO$2,FECHA_COMB,"&lt;="&amp;BO$3,CLAVE_COMB,$A188)+SUMIFS(SALIDAS_DES,FECHA_DESGLOSEN,"&gt;="&amp;BO$2,FECHA_DESGLOSEN,"&lt;="&amp;BO$3,CLAVE_DESGLOSE,$A188)</f>
        <v>0</v>
      </c>
      <c r="BP188" s="13">
        <f>SUMIFS(SALIDAS_BIT,FECHA_BIT,"&gt;="&amp;BP$2,FECHA_BIT,"&lt;="&amp;BP$3,CLAVE_BIT,$A188)+SUMIFS(SALIDAS_BOV1,FECHA_BOV1,"&gt;="&amp;BP$2,FECHA_BOV1,"&lt;="&amp;BP$3,CLAVE_BOV1,$A188)+SUMIFS(SALIDAS_BOV2,FECHA_BOV2,"&gt;="&amp;BP$2,FECHA_BOV2,"&lt;="&amp;BP$3,CLAVE_BOV2,$A188)+SUMIFS(SALIDAS_BOV3,FECHA_BOV3,"&gt;="&amp;BP$2,FECHA_BOV3,"&lt;="&amp;BP$3,CLAVE_BOV3,$A188)+SUMIFS(SALIDAS_TC,FECHA_TC,"&gt;="&amp;BP$2,FECHA_TC,"&lt;="&amp;BP$3,CLAVE_TC,$A188)+SUMIFS(SALIDAS_COMB,FECHA_COMB,"&gt;="&amp;BP$2,FECHA_COMB,"&lt;="&amp;BP$3,CLAVE_COMB,$A188)+SUMIFS(SALIDAS_DES,FECHA_DESGLOSEN,"&gt;="&amp;BP$2,FECHA_DESGLOSEN,"&lt;="&amp;BP$3,CLAVE_DESGLOSE,$A188)</f>
        <v>600</v>
      </c>
      <c r="BQ188" s="13">
        <f>SUMIFS(SALIDAS_BIT,FECHA_BIT,"&gt;="&amp;BQ$2,FECHA_BIT,"&lt;="&amp;BQ$3,CLAVE_BIT,$A188)+SUMIFS(SALIDAS_BOV1,FECHA_BOV1,"&gt;="&amp;BQ$2,FECHA_BOV1,"&lt;="&amp;BQ$3,CLAVE_BOV1,$A188)+SUMIFS(SALIDAS_BOV2,FECHA_BOV2,"&gt;="&amp;BQ$2,FECHA_BOV2,"&lt;="&amp;BQ$3,CLAVE_BOV2,$A188)+SUMIFS(SALIDAS_BOV3,FECHA_BOV3,"&gt;="&amp;BQ$2,FECHA_BOV3,"&lt;="&amp;BQ$3,CLAVE_BOV3,$A188)+SUMIFS(SALIDAS_TC,FECHA_TC,"&gt;="&amp;BQ$2,FECHA_TC,"&lt;="&amp;BQ$3,CLAVE_TC,$A188)+SUMIFS(SALIDAS_COMB,FECHA_COMB,"&gt;="&amp;BQ$2,FECHA_COMB,"&lt;="&amp;BQ$3,CLAVE_COMB,$A188)+SUMIFS(SALIDAS_DES,FECHA_DESGLOSEN,"&gt;="&amp;BQ$2,FECHA_DESGLOSEN,"&lt;="&amp;BQ$3,CLAVE_DESGLOSE,$A188)</f>
        <v>0</v>
      </c>
      <c r="BR188" s="13">
        <f t="shared" si="331"/>
        <v>600</v>
      </c>
      <c r="BS188" s="68">
        <f t="shared" si="261"/>
        <v>-600</v>
      </c>
      <c r="BT188" s="268">
        <f t="shared" si="262"/>
        <v>0</v>
      </c>
      <c r="BU188" s="13">
        <f t="shared" si="263"/>
        <v>0</v>
      </c>
      <c r="BV188" s="13">
        <f t="shared" si="291"/>
        <v>0</v>
      </c>
      <c r="BW188" s="13">
        <f t="shared" si="291"/>
        <v>0</v>
      </c>
      <c r="BX188" s="13">
        <f t="shared" si="291"/>
        <v>0</v>
      </c>
      <c r="BY188" s="13">
        <f t="shared" si="291"/>
        <v>0</v>
      </c>
      <c r="BZ188" s="13">
        <f t="shared" si="332"/>
        <v>0</v>
      </c>
      <c r="CA188" s="68">
        <f t="shared" si="264"/>
        <v>0</v>
      </c>
      <c r="CB188" s="268">
        <f t="shared" si="265"/>
        <v>0</v>
      </c>
      <c r="CC188" s="13">
        <f t="shared" si="266"/>
        <v>0</v>
      </c>
      <c r="CD188" s="13">
        <f t="shared" si="292"/>
        <v>0</v>
      </c>
      <c r="CE188" s="13">
        <f t="shared" si="292"/>
        <v>0</v>
      </c>
      <c r="CF188" s="13">
        <f t="shared" si="292"/>
        <v>0</v>
      </c>
      <c r="CG188" s="13">
        <f t="shared" si="292"/>
        <v>0</v>
      </c>
      <c r="CH188" s="13">
        <f t="shared" si="333"/>
        <v>0</v>
      </c>
      <c r="CI188" s="68">
        <f t="shared" si="267"/>
        <v>0</v>
      </c>
      <c r="CJ188" s="268">
        <f t="shared" si="268"/>
        <v>0</v>
      </c>
      <c r="CK188" s="13">
        <f t="shared" si="269"/>
        <v>0</v>
      </c>
      <c r="CL188" s="13">
        <f t="shared" si="312"/>
        <v>0</v>
      </c>
      <c r="CM188" s="13">
        <f t="shared" si="312"/>
        <v>0</v>
      </c>
      <c r="CN188" s="13">
        <f t="shared" si="312"/>
        <v>0</v>
      </c>
      <c r="CO188" s="13">
        <f t="shared" si="312"/>
        <v>0</v>
      </c>
      <c r="CP188" s="13">
        <f t="shared" si="312"/>
        <v>0</v>
      </c>
      <c r="CQ188" s="13">
        <f t="shared" si="334"/>
        <v>0</v>
      </c>
      <c r="CR188" s="68">
        <f t="shared" si="270"/>
        <v>0</v>
      </c>
      <c r="CS188" s="268">
        <f t="shared" si="271"/>
        <v>0</v>
      </c>
      <c r="CT188" s="68">
        <f t="shared" si="244"/>
        <v>0</v>
      </c>
      <c r="CU188" s="13">
        <f>SUMIFS(SALIDAS_BIT,FECHA_BIT,"&gt;="&amp;CU$2,FECHA_BIT,"&lt;="&amp;CU$3,CLAVE_BIT,$A188)+SUMIFS(SALIDAS_BOV1,FECHA_BOV1,"&gt;="&amp;CU$2,FECHA_BOV1,"&lt;="&amp;CU$3,CLAVE_BOV1,$A188)+SUMIFS(SALIDAS_BOV2,FECHA_BOV2,"&gt;="&amp;CU$2,FECHA_BOV2,"&lt;="&amp;CU$3,CLAVE_BOV2,$A188)+SUMIFS(SALIDAS_BOV3,FECHA_BOV3,"&gt;="&amp;CU$2,FECHA_BOV3,"&lt;="&amp;CU$3,CLAVE_BOV3,$A188)+SUMIFS(SALIDAS_TC,FECHA_TC,"&gt;="&amp;CU$2,FECHA_TC,"&lt;="&amp;CU$3,CLAVE_TC,$A188)+SUMIFS(SALIDAS_COMB,FECHA_COMB,"&gt;="&amp;CU$2,FECHA_COMB,"&lt;="&amp;CU$3,CLAVE_COMB,$A188)+SUMIFS(SALIDAS_DES,FECHA_DESGLOSEN,"&gt;="&amp;CU$2,FECHA_DESGLOSEN,"&lt;="&amp;CU$3,CLAVE_DESGLOSE,$A188)</f>
        <v>0</v>
      </c>
      <c r="CV188" s="13">
        <f>SUMIFS(SALIDAS_BIT,FECHA_BIT,"&gt;="&amp;CV$2,FECHA_BIT,"&lt;="&amp;CV$3,CLAVE_BIT,$A188)+SUMIFS(SALIDAS_BOV1,FECHA_BOV1,"&gt;="&amp;CV$2,FECHA_BOV1,"&lt;="&amp;CV$3,CLAVE_BOV1,$A188)+SUMIFS(SALIDAS_BOV2,FECHA_BOV2,"&gt;="&amp;CV$2,FECHA_BOV2,"&lt;="&amp;CV$3,CLAVE_BOV2,$A188)+SUMIFS(SALIDAS_BOV3,FECHA_BOV3,"&gt;="&amp;CV$2,FECHA_BOV3,"&lt;="&amp;CV$3,CLAVE_BOV3,$A188)+SUMIFS(SALIDAS_TC,FECHA_TC,"&gt;="&amp;CV$2,FECHA_TC,"&lt;="&amp;CV$3,CLAVE_TC,$A188)+SUMIFS(SALIDAS_COMB,FECHA_COMB,"&gt;="&amp;CV$2,FECHA_COMB,"&lt;="&amp;CV$3,CLAVE_COMB,$A188)+SUMIFS(SALIDAS_DES,FECHA_DESGLOSEN,"&gt;="&amp;CV$2,FECHA_DESGLOSEN,"&lt;="&amp;CV$3,CLAVE_DESGLOSE,$A188)</f>
        <v>0</v>
      </c>
      <c r="CW188" s="13">
        <f>SUMIFS(SALIDAS_BIT,FECHA_BIT,"&gt;="&amp;CW$2,FECHA_BIT,"&lt;="&amp;CW$3,CLAVE_BIT,$A188)+SUMIFS(SALIDAS_BOV1,FECHA_BOV1,"&gt;="&amp;CW$2,FECHA_BOV1,"&lt;="&amp;CW$3,CLAVE_BOV1,$A188)+SUMIFS(SALIDAS_BOV2,FECHA_BOV2,"&gt;="&amp;CW$2,FECHA_BOV2,"&lt;="&amp;CW$3,CLAVE_BOV2,$A188)+SUMIFS(SALIDAS_BOV3,FECHA_BOV3,"&gt;="&amp;CW$2,FECHA_BOV3,"&lt;="&amp;CW$3,CLAVE_BOV3,$A188)+SUMIFS(SALIDAS_TC,FECHA_TC,"&gt;="&amp;CW$2,FECHA_TC,"&lt;="&amp;CW$3,CLAVE_TC,$A188)+SUMIFS(SALIDAS_COMB,FECHA_COMB,"&gt;="&amp;CW$2,FECHA_COMB,"&lt;="&amp;CW$3,CLAVE_COMB,$A188)+SUMIFS(SALIDAS_DES,FECHA_DESGLOSEN,"&gt;="&amp;CW$2,FECHA_DESGLOSEN,"&lt;="&amp;CW$3,CLAVE_DESGLOSE,$A188)</f>
        <v>0</v>
      </c>
      <c r="CX188" s="13">
        <f>SUMIFS(SALIDAS_BIT,FECHA_BIT,"&gt;="&amp;CX$2,FECHA_BIT,"&lt;="&amp;CX$3,CLAVE_BIT,$A188)+SUMIFS(SALIDAS_BOV1,FECHA_BOV1,"&gt;="&amp;CX$2,FECHA_BOV1,"&lt;="&amp;CX$3,CLAVE_BOV1,$A188)+SUMIFS(SALIDAS_BOV2,FECHA_BOV2,"&gt;="&amp;CX$2,FECHA_BOV2,"&lt;="&amp;CX$3,CLAVE_BOV2,$A188)+SUMIFS(SALIDAS_BOV3,FECHA_BOV3,"&gt;="&amp;CX$2,FECHA_BOV3,"&lt;="&amp;CX$3,CLAVE_BOV3,$A188)+SUMIFS(SALIDAS_TC,FECHA_TC,"&gt;="&amp;CX$2,FECHA_TC,"&lt;="&amp;CX$3,CLAVE_TC,$A188)+SUMIFS(SALIDAS_COMB,FECHA_COMB,"&gt;="&amp;CX$2,FECHA_COMB,"&lt;="&amp;CX$3,CLAVE_COMB,$A188)+SUMIFS(SALIDAS_DES,FECHA_DESGLOSEN,"&gt;="&amp;CX$2,FECHA_DESGLOSEN,"&lt;="&amp;CX$3,CLAVE_DESGLOSE,$A188)</f>
        <v>0</v>
      </c>
      <c r="CY188" s="13">
        <f>SUMIFS(SALIDAS_BIT,FECHA_BIT,"&gt;="&amp;CY$2,FECHA_BIT,"&lt;="&amp;CY$3,CLAVE_BIT,$A188)+SUMIFS(SALIDAS_BOV1,FECHA_BOV1,"&gt;="&amp;CY$2,FECHA_BOV1,"&lt;="&amp;CY$3,CLAVE_BOV1,$A188)+SUMIFS(SALIDAS_BOV2,FECHA_BOV2,"&gt;="&amp;CY$2,FECHA_BOV2,"&lt;="&amp;CY$3,CLAVE_BOV2,$A188)+SUMIFS(SALIDAS_BOV3,FECHA_BOV3,"&gt;="&amp;CY$2,FECHA_BOV3,"&lt;="&amp;CY$3,CLAVE_BOV3,$A188)+SUMIFS(SALIDAS_TC,FECHA_TC,"&gt;="&amp;CY$2,FECHA_TC,"&lt;="&amp;CY$3,CLAVE_TC,$A188)+SUMIFS(SALIDAS_COMB,FECHA_COMB,"&gt;="&amp;CY$2,FECHA_COMB,"&lt;="&amp;CY$3,CLAVE_COMB,$A188)+SUMIFS(SALIDAS_DES,FECHA_DESGLOSEN,"&gt;="&amp;CY$2,FECHA_DESGLOSEN,"&lt;="&amp;CY$3,CLAVE_DESGLOSE,$A188)</f>
        <v>0</v>
      </c>
      <c r="CZ188" s="68">
        <f t="shared" si="272"/>
        <v>0</v>
      </c>
      <c r="DB188" s="17">
        <f>F188+N188+W188+AE188+AM188+AV188+BD188+BL188+BU188+CC188+CK188</f>
        <v>0</v>
      </c>
      <c r="DC188" s="17">
        <f>K188+T188+AB188+AJ188+AS188+BA188+BI188+BR188+BZ188+CH188+CQ188</f>
        <v>600</v>
      </c>
    </row>
    <row r="189" spans="1:107" hidden="1">
      <c r="A189" s="12" t="str">
        <f t="shared" si="245"/>
        <v>HRVIATICOSHR</v>
      </c>
      <c r="B189" s="12">
        <v>191</v>
      </c>
      <c r="C189" t="s">
        <v>29</v>
      </c>
      <c r="D189" s="12" t="s">
        <v>191</v>
      </c>
      <c r="E189" s="12" t="s">
        <v>29</v>
      </c>
      <c r="F189" s="259">
        <f t="shared" si="238"/>
        <v>24000</v>
      </c>
      <c r="G189" s="13">
        <f t="shared" si="326"/>
        <v>1800</v>
      </c>
      <c r="H189" s="13">
        <f t="shared" si="326"/>
        <v>2400</v>
      </c>
      <c r="I189" s="13">
        <f t="shared" si="326"/>
        <v>1800</v>
      </c>
      <c r="J189" s="13">
        <f t="shared" si="326"/>
        <v>4200</v>
      </c>
      <c r="K189" s="13">
        <f t="shared" si="326"/>
        <v>10200</v>
      </c>
      <c r="L189" s="68">
        <f t="shared" si="246"/>
        <v>13800</v>
      </c>
      <c r="M189" s="268">
        <f t="shared" si="247"/>
        <v>0.42499999999999999</v>
      </c>
      <c r="N189" s="13">
        <f t="shared" si="239"/>
        <v>30000</v>
      </c>
      <c r="O189" s="13">
        <f t="shared" si="327"/>
        <v>0</v>
      </c>
      <c r="P189" s="13">
        <f t="shared" si="327"/>
        <v>3405</v>
      </c>
      <c r="Q189" s="13">
        <f t="shared" si="327"/>
        <v>3600</v>
      </c>
      <c r="R189" s="13">
        <f t="shared" si="327"/>
        <v>2600</v>
      </c>
      <c r="S189" s="13">
        <f t="shared" si="327"/>
        <v>1620</v>
      </c>
      <c r="T189" s="13">
        <f t="shared" si="327"/>
        <v>11225</v>
      </c>
      <c r="U189" s="68">
        <f t="shared" si="248"/>
        <v>18775</v>
      </c>
      <c r="V189" s="268">
        <f t="shared" si="249"/>
        <v>0.37416666666666665</v>
      </c>
      <c r="W189" s="13">
        <f t="shared" si="240"/>
        <v>32000</v>
      </c>
      <c r="X189" s="13">
        <f t="shared" si="328"/>
        <v>1200</v>
      </c>
      <c r="Y189" s="13">
        <f t="shared" si="328"/>
        <v>0</v>
      </c>
      <c r="Z189" s="13">
        <f t="shared" si="328"/>
        <v>4850</v>
      </c>
      <c r="AA189" s="13">
        <f t="shared" si="328"/>
        <v>2800</v>
      </c>
      <c r="AB189" s="13">
        <f t="shared" si="328"/>
        <v>8850</v>
      </c>
      <c r="AC189" s="68">
        <f t="shared" si="250"/>
        <v>23150</v>
      </c>
      <c r="AD189" s="268">
        <f t="shared" si="251"/>
        <v>0.27656249999999999</v>
      </c>
      <c r="AE189" s="13">
        <f t="shared" si="241"/>
        <v>32000</v>
      </c>
      <c r="AF189" s="13">
        <f t="shared" si="329"/>
        <v>2800</v>
      </c>
      <c r="AG189" s="13">
        <f t="shared" si="329"/>
        <v>1200</v>
      </c>
      <c r="AH189" s="13">
        <f t="shared" si="329"/>
        <v>7727</v>
      </c>
      <c r="AI189" s="13">
        <f t="shared" si="329"/>
        <v>9200</v>
      </c>
      <c r="AJ189" s="13">
        <f t="shared" si="329"/>
        <v>20927</v>
      </c>
      <c r="AK189" s="68">
        <f t="shared" si="252"/>
        <v>11073</v>
      </c>
      <c r="AL189" s="268">
        <f t="shared" si="253"/>
        <v>0.65396874999999999</v>
      </c>
      <c r="AM189" s="13">
        <f t="shared" si="242"/>
        <v>30000</v>
      </c>
      <c r="AN189" s="13">
        <f t="shared" si="330"/>
        <v>1825</v>
      </c>
      <c r="AO189" s="13">
        <f t="shared" si="330"/>
        <v>4200</v>
      </c>
      <c r="AP189" s="13">
        <f t="shared" si="330"/>
        <v>11400</v>
      </c>
      <c r="AQ189" s="13">
        <f t="shared" si="330"/>
        <v>3000</v>
      </c>
      <c r="AR189" s="13">
        <f t="shared" si="330"/>
        <v>9265</v>
      </c>
      <c r="AS189" s="13">
        <f t="shared" si="330"/>
        <v>29690</v>
      </c>
      <c r="AT189" s="68">
        <f>AM189-AS189</f>
        <v>310</v>
      </c>
      <c r="AU189" s="268">
        <f t="shared" si="254"/>
        <v>0.98966666666666669</v>
      </c>
      <c r="AV189" s="13">
        <f t="shared" si="243"/>
        <v>24000</v>
      </c>
      <c r="AW189" s="13">
        <f t="shared" si="323"/>
        <v>10650</v>
      </c>
      <c r="AX189" s="13">
        <f t="shared" si="323"/>
        <v>5820</v>
      </c>
      <c r="AY189" s="13">
        <f t="shared" si="323"/>
        <v>2200</v>
      </c>
      <c r="AZ189" s="13">
        <f t="shared" si="323"/>
        <v>4200</v>
      </c>
      <c r="BA189" s="13">
        <f t="shared" si="324"/>
        <v>22870</v>
      </c>
      <c r="BB189" s="68">
        <f t="shared" si="255"/>
        <v>1130</v>
      </c>
      <c r="BC189" s="268">
        <f t="shared" si="256"/>
        <v>0.95291666666666663</v>
      </c>
      <c r="BD189" s="13">
        <f t="shared" si="257"/>
        <v>32000</v>
      </c>
      <c r="BE189" s="13">
        <f>SUMIFS(SALIDAS_BIT,FECHA_BIT,"&gt;="&amp;BE$2,FECHA_BIT,"&lt;="&amp;BE$3,CLAVE_BIT,$A189)+SUMIFS(SALIDAS_BOV1,FECHA_BOV1,"&gt;="&amp;BE$2,FECHA_BOV1,"&lt;="&amp;BE$3,CLAVE_BOV1,$A189)+SUMIFS(SALIDAS_BOV2,FECHA_BOV2,"&gt;="&amp;BE$2,FECHA_BOV2,"&lt;="&amp;BE$3,CLAVE_BOV2,$A189)+SUMIFS(SALIDAS_BOV3,FECHA_BOV3,"&gt;="&amp;BE$2,FECHA_BOV3,"&lt;="&amp;BE$3,CLAVE_BOV3,$A189)+SUMIFS(SALIDAS_TC,FECHA_TC,"&gt;="&amp;BE$2,FECHA_TC,"&lt;="&amp;BE$3,CLAVE_TC,$A189)+SUMIFS(SALIDAS_COMB,FECHA_COMB,"&gt;="&amp;BE$2,FECHA_COMB,"&lt;="&amp;BE$3,CLAVE_COMB,$A189)+SUMIFS(SALIDAS_DES,FECHA_DESGLOSEN,"&gt;="&amp;BE$2,FECHA_DESGLOSEN,"&lt;="&amp;BE$3,CLAVE_DESGLOSE,$A189)</f>
        <v>5500</v>
      </c>
      <c r="BF189" s="13">
        <f>SUMIFS(SALIDAS_BIT,FECHA_BIT,"&gt;="&amp;BF$2,FECHA_BIT,"&lt;="&amp;BF$3,CLAVE_BIT,$A189)+SUMIFS(SALIDAS_BOV1,FECHA_BOV1,"&gt;="&amp;BF$2,FECHA_BOV1,"&lt;="&amp;BF$3,CLAVE_BOV1,$A189)+SUMIFS(SALIDAS_BOV2,FECHA_BOV2,"&gt;="&amp;BF$2,FECHA_BOV2,"&lt;="&amp;BF$3,CLAVE_BOV2,$A189)+SUMIFS(SALIDAS_BOV3,FECHA_BOV3,"&gt;="&amp;BF$2,FECHA_BOV3,"&lt;="&amp;BF$3,CLAVE_BOV3,$A189)+SUMIFS(SALIDAS_TC,FECHA_TC,"&gt;="&amp;BF$2,FECHA_TC,"&lt;="&amp;BF$3,CLAVE_TC,$A189)+SUMIFS(SALIDAS_COMB,FECHA_COMB,"&gt;="&amp;BF$2,FECHA_COMB,"&lt;="&amp;BF$3,CLAVE_COMB,$A189)+SUMIFS(SALIDAS_DES,FECHA_DESGLOSEN,"&gt;="&amp;BF$2,FECHA_DESGLOSEN,"&lt;="&amp;BF$3,CLAVE_DESGLOSE,$A189)</f>
        <v>5215</v>
      </c>
      <c r="BG189" s="13">
        <f>SUMIFS(SALIDAS_BIT,FECHA_BIT,"&gt;="&amp;BG$2,FECHA_BIT,"&lt;="&amp;BG$3,CLAVE_BIT,$A189)+SUMIFS(SALIDAS_BOV1,FECHA_BOV1,"&gt;="&amp;BG$2,FECHA_BOV1,"&lt;="&amp;BG$3,CLAVE_BOV1,$A189)+SUMIFS(SALIDAS_BOV2,FECHA_BOV2,"&gt;="&amp;BG$2,FECHA_BOV2,"&lt;="&amp;BG$3,CLAVE_BOV2,$A189)+SUMIFS(SALIDAS_BOV3,FECHA_BOV3,"&gt;="&amp;BG$2,FECHA_BOV3,"&lt;="&amp;BG$3,CLAVE_BOV3,$A189)+SUMIFS(SALIDAS_TC,FECHA_TC,"&gt;="&amp;BG$2,FECHA_TC,"&lt;="&amp;BG$3,CLAVE_TC,$A189)+SUMIFS(SALIDAS_COMB,FECHA_COMB,"&gt;="&amp;BG$2,FECHA_COMB,"&lt;="&amp;BG$3,CLAVE_COMB,$A189)+SUMIFS(SALIDAS_DES,FECHA_DESGLOSEN,"&gt;="&amp;BG$2,FECHA_DESGLOSEN,"&lt;="&amp;BG$3,CLAVE_DESGLOSE,$A189)</f>
        <v>4800</v>
      </c>
      <c r="BH189" s="13">
        <f>SUMIFS(SALIDAS_BIT,FECHA_BIT,"&gt;="&amp;BH$2,FECHA_BIT,"&lt;="&amp;BH$3,CLAVE_BIT,$A189)+SUMIFS(SALIDAS_BOV1,FECHA_BOV1,"&gt;="&amp;BH$2,FECHA_BOV1,"&lt;="&amp;BH$3,CLAVE_BOV1,$A189)+SUMIFS(SALIDAS_BOV2,FECHA_BOV2,"&gt;="&amp;BH$2,FECHA_BOV2,"&lt;="&amp;BH$3,CLAVE_BOV2,$A189)+SUMIFS(SALIDAS_BOV3,FECHA_BOV3,"&gt;="&amp;BH$2,FECHA_BOV3,"&lt;="&amp;BH$3,CLAVE_BOV3,$A189)+SUMIFS(SALIDAS_TC,FECHA_TC,"&gt;="&amp;BH$2,FECHA_TC,"&lt;="&amp;BH$3,CLAVE_TC,$A189)+SUMIFS(SALIDAS_COMB,FECHA_COMB,"&gt;="&amp;BH$2,FECHA_COMB,"&lt;="&amp;BH$3,CLAVE_COMB,$A189)+SUMIFS(SALIDAS_DES,FECHA_DESGLOSEN,"&gt;="&amp;BH$2,FECHA_DESGLOSEN,"&lt;="&amp;BH$3,CLAVE_DESGLOSE,$A189)</f>
        <v>5200</v>
      </c>
      <c r="BI189" s="13">
        <f t="shared" si="311"/>
        <v>20715</v>
      </c>
      <c r="BJ189" s="68">
        <f t="shared" si="258"/>
        <v>11285</v>
      </c>
      <c r="BK189" s="268">
        <f t="shared" si="259"/>
        <v>0.64734375</v>
      </c>
      <c r="BL189" s="13">
        <f t="shared" si="260"/>
        <v>40000</v>
      </c>
      <c r="BM189" s="13">
        <f>SUMIFS(SALIDAS_BIT,FECHA_BIT,"&gt;="&amp;BM$2,FECHA_BIT,"&lt;="&amp;BM$3,CLAVE_BIT,$A189)+SUMIFS(SALIDAS_BOV1,FECHA_BOV1,"&gt;="&amp;BM$2,FECHA_BOV1,"&lt;="&amp;BM$3,CLAVE_BOV1,$A189)+SUMIFS(SALIDAS_BOV2,FECHA_BOV2,"&gt;="&amp;BM$2,FECHA_BOV2,"&lt;="&amp;BM$3,CLAVE_BOV2,$A189)+SUMIFS(SALIDAS_BOV3,FECHA_BOV3,"&gt;="&amp;BM$2,FECHA_BOV3,"&lt;="&amp;BM$3,CLAVE_BOV3,$A189)+SUMIFS(SALIDAS_TC,FECHA_TC,"&gt;="&amp;BM$2,FECHA_TC,"&lt;="&amp;BM$3,CLAVE_TC,$A189)+SUMIFS(SALIDAS_COMB,FECHA_COMB,"&gt;="&amp;BM$2,FECHA_COMB,"&lt;="&amp;BM$3,CLAVE_COMB,$A189)+SUMIFS(SALIDAS_DES,FECHA_DESGLOSEN,"&gt;="&amp;BM$2,FECHA_DESGLOSEN,"&lt;="&amp;BM$3,CLAVE_DESGLOSE,$A189)</f>
        <v>5600</v>
      </c>
      <c r="BN189" s="13">
        <f>SUMIFS(SALIDAS_BIT,FECHA_BIT,"&gt;="&amp;BN$2,FECHA_BIT,"&lt;="&amp;BN$3,CLAVE_BIT,$A189)+SUMIFS(SALIDAS_BOV1,FECHA_BOV1,"&gt;="&amp;BN$2,FECHA_BOV1,"&lt;="&amp;BN$3,CLAVE_BOV1,$A189)+SUMIFS(SALIDAS_BOV2,FECHA_BOV2,"&gt;="&amp;BN$2,FECHA_BOV2,"&lt;="&amp;BN$3,CLAVE_BOV2,$A189)+SUMIFS(SALIDAS_BOV3,FECHA_BOV3,"&gt;="&amp;BN$2,FECHA_BOV3,"&lt;="&amp;BN$3,CLAVE_BOV3,$A189)+SUMIFS(SALIDAS_TC,FECHA_TC,"&gt;="&amp;BN$2,FECHA_TC,"&lt;="&amp;BN$3,CLAVE_TC,$A189)+SUMIFS(SALIDAS_COMB,FECHA_COMB,"&gt;="&amp;BN$2,FECHA_COMB,"&lt;="&amp;BN$3,CLAVE_COMB,$A189)+SUMIFS(SALIDAS_DES,FECHA_DESGLOSEN,"&gt;="&amp;BN$2,FECHA_DESGLOSEN,"&lt;="&amp;BN$3,CLAVE_DESGLOSE,$A189)</f>
        <v>7400</v>
      </c>
      <c r="BO189" s="13">
        <f>SUMIFS(SALIDAS_BIT,FECHA_BIT,"&gt;="&amp;BO$2,FECHA_BIT,"&lt;="&amp;BO$3,CLAVE_BIT,$A189)+SUMIFS(SALIDAS_BOV1,FECHA_BOV1,"&gt;="&amp;BO$2,FECHA_BOV1,"&lt;="&amp;BO$3,CLAVE_BOV1,$A189)+SUMIFS(SALIDAS_BOV2,FECHA_BOV2,"&gt;="&amp;BO$2,FECHA_BOV2,"&lt;="&amp;BO$3,CLAVE_BOV2,$A189)+SUMIFS(SALIDAS_BOV3,FECHA_BOV3,"&gt;="&amp;BO$2,FECHA_BOV3,"&lt;="&amp;BO$3,CLAVE_BOV3,$A189)+SUMIFS(SALIDAS_TC,FECHA_TC,"&gt;="&amp;BO$2,FECHA_TC,"&lt;="&amp;BO$3,CLAVE_TC,$A189)+SUMIFS(SALIDAS_COMB,FECHA_COMB,"&gt;="&amp;BO$2,FECHA_COMB,"&lt;="&amp;BO$3,CLAVE_COMB,$A189)+SUMIFS(SALIDAS_DES,FECHA_DESGLOSEN,"&gt;="&amp;BO$2,FECHA_DESGLOSEN,"&lt;="&amp;BO$3,CLAVE_DESGLOSE,$A189)</f>
        <v>6800</v>
      </c>
      <c r="BP189" s="13">
        <f>SUMIFS(SALIDAS_BIT,FECHA_BIT,"&gt;="&amp;BP$2,FECHA_BIT,"&lt;="&amp;BP$3,CLAVE_BIT,$A189)+SUMIFS(SALIDAS_BOV1,FECHA_BOV1,"&gt;="&amp;BP$2,FECHA_BOV1,"&lt;="&amp;BP$3,CLAVE_BOV1,$A189)+SUMIFS(SALIDAS_BOV2,FECHA_BOV2,"&gt;="&amp;BP$2,FECHA_BOV2,"&lt;="&amp;BP$3,CLAVE_BOV2,$A189)+SUMIFS(SALIDAS_BOV3,FECHA_BOV3,"&gt;="&amp;BP$2,FECHA_BOV3,"&lt;="&amp;BP$3,CLAVE_BOV3,$A189)+SUMIFS(SALIDAS_TC,FECHA_TC,"&gt;="&amp;BP$2,FECHA_TC,"&lt;="&amp;BP$3,CLAVE_TC,$A189)+SUMIFS(SALIDAS_COMB,FECHA_COMB,"&gt;="&amp;BP$2,FECHA_COMB,"&lt;="&amp;BP$3,CLAVE_COMB,$A189)+SUMIFS(SALIDAS_DES,FECHA_DESGLOSEN,"&gt;="&amp;BP$2,FECHA_DESGLOSEN,"&lt;="&amp;BP$3,CLAVE_DESGLOSE,$A189)</f>
        <v>5800</v>
      </c>
      <c r="BQ189" s="13">
        <f>SUMIFS(SALIDAS_BIT,FECHA_BIT,"&gt;="&amp;BQ$2,FECHA_BIT,"&lt;="&amp;BQ$3,CLAVE_BIT,$A189)+SUMIFS(SALIDAS_BOV1,FECHA_BOV1,"&gt;="&amp;BQ$2,FECHA_BOV1,"&lt;="&amp;BQ$3,CLAVE_BOV1,$A189)+SUMIFS(SALIDAS_BOV2,FECHA_BOV2,"&gt;="&amp;BQ$2,FECHA_BOV2,"&lt;="&amp;BQ$3,CLAVE_BOV2,$A189)+SUMIFS(SALIDAS_BOV3,FECHA_BOV3,"&gt;="&amp;BQ$2,FECHA_BOV3,"&lt;="&amp;BQ$3,CLAVE_BOV3,$A189)+SUMIFS(SALIDAS_TC,FECHA_TC,"&gt;="&amp;BQ$2,FECHA_TC,"&lt;="&amp;BQ$3,CLAVE_TC,$A189)+SUMIFS(SALIDAS_COMB,FECHA_COMB,"&gt;="&amp;BQ$2,FECHA_COMB,"&lt;="&amp;BQ$3,CLAVE_COMB,$A189)+SUMIFS(SALIDAS_DES,FECHA_DESGLOSEN,"&gt;="&amp;BQ$2,FECHA_DESGLOSEN,"&lt;="&amp;BQ$3,CLAVE_DESGLOSE,$A189)</f>
        <v>5600</v>
      </c>
      <c r="BR189" s="13">
        <f t="shared" si="331"/>
        <v>31200</v>
      </c>
      <c r="BS189" s="68">
        <f t="shared" si="261"/>
        <v>8800</v>
      </c>
      <c r="BT189" s="268">
        <f t="shared" si="262"/>
        <v>0.78</v>
      </c>
      <c r="BU189" s="13">
        <f t="shared" si="263"/>
        <v>48000</v>
      </c>
      <c r="BV189" s="13">
        <f t="shared" si="291"/>
        <v>7400</v>
      </c>
      <c r="BW189" s="13">
        <f t="shared" si="291"/>
        <v>7400</v>
      </c>
      <c r="BX189" s="13">
        <f t="shared" si="291"/>
        <v>7400</v>
      </c>
      <c r="BY189" s="13">
        <f t="shared" si="291"/>
        <v>6800</v>
      </c>
      <c r="BZ189" s="13">
        <f t="shared" si="332"/>
        <v>29000</v>
      </c>
      <c r="CA189" s="68">
        <f t="shared" si="264"/>
        <v>19000</v>
      </c>
      <c r="CB189" s="268">
        <f t="shared" si="265"/>
        <v>0.60416666666666663</v>
      </c>
      <c r="CC189" s="13">
        <f t="shared" si="266"/>
        <v>48000</v>
      </c>
      <c r="CD189" s="13">
        <f t="shared" si="292"/>
        <v>7800</v>
      </c>
      <c r="CE189" s="13">
        <f t="shared" si="292"/>
        <v>7200</v>
      </c>
      <c r="CF189" s="13">
        <f t="shared" si="292"/>
        <v>13300</v>
      </c>
      <c r="CG189" s="13">
        <f t="shared" si="292"/>
        <v>5200</v>
      </c>
      <c r="CH189" s="13">
        <f t="shared" si="333"/>
        <v>33500</v>
      </c>
      <c r="CI189" s="68">
        <f t="shared" si="267"/>
        <v>14500</v>
      </c>
      <c r="CJ189" s="268">
        <f t="shared" si="268"/>
        <v>0.69791666666666663</v>
      </c>
      <c r="CK189" s="13">
        <f t="shared" si="269"/>
        <v>50000</v>
      </c>
      <c r="CL189" s="13">
        <f t="shared" si="312"/>
        <v>9300</v>
      </c>
      <c r="CM189" s="13">
        <f t="shared" si="312"/>
        <v>11000</v>
      </c>
      <c r="CN189" s="13">
        <f t="shared" si="312"/>
        <v>14600</v>
      </c>
      <c r="CO189" s="13">
        <f t="shared" si="312"/>
        <v>7770</v>
      </c>
      <c r="CP189" s="13">
        <f t="shared" si="312"/>
        <v>9800</v>
      </c>
      <c r="CQ189" s="13">
        <f t="shared" si="334"/>
        <v>52470</v>
      </c>
      <c r="CR189" s="68">
        <f t="shared" si="270"/>
        <v>-2470</v>
      </c>
      <c r="CS189" s="268">
        <f t="shared" si="271"/>
        <v>1.0494000000000001</v>
      </c>
      <c r="CT189" s="68">
        <f t="shared" si="244"/>
        <v>12000</v>
      </c>
      <c r="CU189" s="13">
        <f>SUMIFS(SALIDAS_BIT,FECHA_BIT,"&gt;="&amp;CU$2,FECHA_BIT,"&lt;="&amp;CU$3,CLAVE_BIT,$A189)+SUMIFS(SALIDAS_BOV1,FECHA_BOV1,"&gt;="&amp;CU$2,FECHA_BOV1,"&lt;="&amp;CU$3,CLAVE_BOV1,$A189)+SUMIFS(SALIDAS_BOV2,FECHA_BOV2,"&gt;="&amp;CU$2,FECHA_BOV2,"&lt;="&amp;CU$3,CLAVE_BOV2,$A189)+SUMIFS(SALIDAS_BOV3,FECHA_BOV3,"&gt;="&amp;CU$2,FECHA_BOV3,"&lt;="&amp;CU$3,CLAVE_BOV3,$A189)+SUMIFS(SALIDAS_TC,FECHA_TC,"&gt;="&amp;CU$2,FECHA_TC,"&lt;="&amp;CU$3,CLAVE_TC,$A189)+SUMIFS(SALIDAS_COMB,FECHA_COMB,"&gt;="&amp;CU$2,FECHA_COMB,"&lt;="&amp;CU$3,CLAVE_COMB,$A189)+SUMIFS(SALIDAS_DES,FECHA_DESGLOSEN,"&gt;="&amp;CU$2,FECHA_DESGLOSEN,"&lt;="&amp;CU$3,CLAVE_DESGLOSE,$A189)</f>
        <v>4200</v>
      </c>
      <c r="CV189" s="13">
        <f>SUMIFS(SALIDAS_BIT,FECHA_BIT,"&gt;="&amp;CV$2,FECHA_BIT,"&lt;="&amp;CV$3,CLAVE_BIT,$A189)+SUMIFS(SALIDAS_BOV1,FECHA_BOV1,"&gt;="&amp;CV$2,FECHA_BOV1,"&lt;="&amp;CV$3,CLAVE_BOV1,$A189)+SUMIFS(SALIDAS_BOV2,FECHA_BOV2,"&gt;="&amp;CV$2,FECHA_BOV2,"&lt;="&amp;CV$3,CLAVE_BOV2,$A189)+SUMIFS(SALIDAS_BOV3,FECHA_BOV3,"&gt;="&amp;CV$2,FECHA_BOV3,"&lt;="&amp;CV$3,CLAVE_BOV3,$A189)+SUMIFS(SALIDAS_TC,FECHA_TC,"&gt;="&amp;CV$2,FECHA_TC,"&lt;="&amp;CV$3,CLAVE_TC,$A189)+SUMIFS(SALIDAS_COMB,FECHA_COMB,"&gt;="&amp;CV$2,FECHA_COMB,"&lt;="&amp;CV$3,CLAVE_COMB,$A189)+SUMIFS(SALIDAS_DES,FECHA_DESGLOSEN,"&gt;="&amp;CV$2,FECHA_DESGLOSEN,"&lt;="&amp;CV$3,CLAVE_DESGLOSE,$A189)</f>
        <v>2600</v>
      </c>
      <c r="CW189" s="13">
        <f>SUMIFS(SALIDAS_BIT,FECHA_BIT,"&gt;="&amp;CW$2,FECHA_BIT,"&lt;="&amp;CW$3,CLAVE_BIT,$A189)+SUMIFS(SALIDAS_BOV1,FECHA_BOV1,"&gt;="&amp;CW$2,FECHA_BOV1,"&lt;="&amp;CW$3,CLAVE_BOV1,$A189)+SUMIFS(SALIDAS_BOV2,FECHA_BOV2,"&gt;="&amp;CW$2,FECHA_BOV2,"&lt;="&amp;CW$3,CLAVE_BOV2,$A189)+SUMIFS(SALIDAS_BOV3,FECHA_BOV3,"&gt;="&amp;CW$2,FECHA_BOV3,"&lt;="&amp;CW$3,CLAVE_BOV3,$A189)+SUMIFS(SALIDAS_TC,FECHA_TC,"&gt;="&amp;CW$2,FECHA_TC,"&lt;="&amp;CW$3,CLAVE_TC,$A189)+SUMIFS(SALIDAS_COMB,FECHA_COMB,"&gt;="&amp;CW$2,FECHA_COMB,"&lt;="&amp;CW$3,CLAVE_COMB,$A189)+SUMIFS(SALIDAS_DES,FECHA_DESGLOSEN,"&gt;="&amp;CW$2,FECHA_DESGLOSEN,"&lt;="&amp;CW$3,CLAVE_DESGLOSE,$A189)</f>
        <v>6800</v>
      </c>
      <c r="CX189" s="13">
        <f>SUMIFS(SALIDAS_BIT,FECHA_BIT,"&gt;="&amp;CX$2,FECHA_BIT,"&lt;="&amp;CX$3,CLAVE_BIT,$A189)+SUMIFS(SALIDAS_BOV1,FECHA_BOV1,"&gt;="&amp;CX$2,FECHA_BOV1,"&lt;="&amp;CX$3,CLAVE_BOV1,$A189)+SUMIFS(SALIDAS_BOV2,FECHA_BOV2,"&gt;="&amp;CX$2,FECHA_BOV2,"&lt;="&amp;CX$3,CLAVE_BOV2,$A189)+SUMIFS(SALIDAS_BOV3,FECHA_BOV3,"&gt;="&amp;CX$2,FECHA_BOV3,"&lt;="&amp;CX$3,CLAVE_BOV3,$A189)+SUMIFS(SALIDAS_TC,FECHA_TC,"&gt;="&amp;CX$2,FECHA_TC,"&lt;="&amp;CX$3,CLAVE_TC,$A189)+SUMIFS(SALIDAS_COMB,FECHA_COMB,"&gt;="&amp;CX$2,FECHA_COMB,"&lt;="&amp;CX$3,CLAVE_COMB,$A189)+SUMIFS(SALIDAS_DES,FECHA_DESGLOSEN,"&gt;="&amp;CX$2,FECHA_DESGLOSEN,"&lt;="&amp;CX$3,CLAVE_DESGLOSE,$A189)</f>
        <v>0</v>
      </c>
      <c r="CY189" s="13">
        <f>SUMIFS(SALIDAS_BIT,FECHA_BIT,"&gt;="&amp;CY$2,FECHA_BIT,"&lt;="&amp;CY$3,CLAVE_BIT,$A189)+SUMIFS(SALIDAS_BOV1,FECHA_BOV1,"&gt;="&amp;CY$2,FECHA_BOV1,"&lt;="&amp;CY$3,CLAVE_BOV1,$A189)+SUMIFS(SALIDAS_BOV2,FECHA_BOV2,"&gt;="&amp;CY$2,FECHA_BOV2,"&lt;="&amp;CY$3,CLAVE_BOV2,$A189)+SUMIFS(SALIDAS_BOV3,FECHA_BOV3,"&gt;="&amp;CY$2,FECHA_BOV3,"&lt;="&amp;CY$3,CLAVE_BOV3,$A189)+SUMIFS(SALIDAS_TC,FECHA_TC,"&gt;="&amp;CY$2,FECHA_TC,"&lt;="&amp;CY$3,CLAVE_TC,$A189)+SUMIFS(SALIDAS_COMB,FECHA_COMB,"&gt;="&amp;CY$2,FECHA_COMB,"&lt;="&amp;CY$3,CLAVE_COMB,$A189)+SUMIFS(SALIDAS_DES,FECHA_DESGLOSEN,"&gt;="&amp;CY$2,FECHA_DESGLOSEN,"&lt;="&amp;CY$3,CLAVE_DESGLOSE,$A189)</f>
        <v>13600</v>
      </c>
      <c r="CZ189" s="68">
        <f t="shared" si="272"/>
        <v>-1600</v>
      </c>
      <c r="DB189" s="17">
        <f>F189+N189+W189+AE189+AM189+AV189+BD189+BL189+BU189+CC189+CK189</f>
        <v>390000</v>
      </c>
      <c r="DC189" s="17">
        <f>K189+T189+AB189+AJ189+AS189+BA189+BI189+BR189+BZ189+CH189+CQ189</f>
        <v>270647</v>
      </c>
    </row>
    <row r="190" spans="1:107" hidden="1">
      <c r="A190" s="12" t="str">
        <f t="shared" si="245"/>
        <v>CAPVIATICOSCAPRICHOS</v>
      </c>
      <c r="B190" s="12">
        <v>192</v>
      </c>
      <c r="C190" t="s">
        <v>31</v>
      </c>
      <c r="D190" s="12" t="s">
        <v>191</v>
      </c>
      <c r="E190" s="12" t="s">
        <v>33</v>
      </c>
      <c r="F190" s="259">
        <f t="shared" si="238"/>
        <v>9350</v>
      </c>
      <c r="G190" s="13">
        <f t="shared" si="326"/>
        <v>1000</v>
      </c>
      <c r="H190" s="13">
        <f t="shared" si="326"/>
        <v>1000</v>
      </c>
      <c r="I190" s="13">
        <f t="shared" si="326"/>
        <v>1700</v>
      </c>
      <c r="J190" s="13">
        <f t="shared" si="326"/>
        <v>1000</v>
      </c>
      <c r="K190" s="13">
        <f t="shared" si="326"/>
        <v>4700</v>
      </c>
      <c r="L190" s="68">
        <f t="shared" si="246"/>
        <v>4650</v>
      </c>
      <c r="M190" s="268">
        <f t="shared" si="247"/>
        <v>0.50267379679144386</v>
      </c>
      <c r="N190" s="13">
        <f t="shared" si="239"/>
        <v>37126</v>
      </c>
      <c r="O190" s="13">
        <f t="shared" si="327"/>
        <v>700</v>
      </c>
      <c r="P190" s="13">
        <f t="shared" si="327"/>
        <v>0</v>
      </c>
      <c r="Q190" s="13">
        <f t="shared" si="327"/>
        <v>0</v>
      </c>
      <c r="R190" s="13">
        <f t="shared" si="327"/>
        <v>0</v>
      </c>
      <c r="S190" s="13">
        <f t="shared" si="327"/>
        <v>0</v>
      </c>
      <c r="T190" s="13">
        <f t="shared" si="327"/>
        <v>700</v>
      </c>
      <c r="U190" s="68">
        <f t="shared" si="248"/>
        <v>36426</v>
      </c>
      <c r="V190" s="268">
        <f t="shared" si="249"/>
        <v>1.8854710984215914E-2</v>
      </c>
      <c r="W190" s="13">
        <f t="shared" si="240"/>
        <v>8800</v>
      </c>
      <c r="X190" s="13">
        <f t="shared" si="328"/>
        <v>26200</v>
      </c>
      <c r="Y190" s="13">
        <f t="shared" si="328"/>
        <v>0</v>
      </c>
      <c r="Z190" s="13">
        <f t="shared" si="328"/>
        <v>2500</v>
      </c>
      <c r="AA190" s="13">
        <f t="shared" si="328"/>
        <v>0</v>
      </c>
      <c r="AB190" s="13">
        <f t="shared" si="328"/>
        <v>28700</v>
      </c>
      <c r="AC190" s="68">
        <f t="shared" si="250"/>
        <v>-19900</v>
      </c>
      <c r="AD190" s="268">
        <f t="shared" si="251"/>
        <v>3.2613636363636362</v>
      </c>
      <c r="AE190" s="13">
        <f t="shared" si="241"/>
        <v>4800</v>
      </c>
      <c r="AF190" s="13">
        <f t="shared" si="329"/>
        <v>1200</v>
      </c>
      <c r="AG190" s="13">
        <f t="shared" si="329"/>
        <v>800</v>
      </c>
      <c r="AH190" s="13">
        <f t="shared" si="329"/>
        <v>1300</v>
      </c>
      <c r="AI190" s="13">
        <f t="shared" si="329"/>
        <v>14100</v>
      </c>
      <c r="AJ190" s="13">
        <f t="shared" si="329"/>
        <v>17400</v>
      </c>
      <c r="AK190" s="68">
        <f t="shared" si="252"/>
        <v>-12600</v>
      </c>
      <c r="AL190" s="268">
        <f t="shared" si="253"/>
        <v>3.625</v>
      </c>
      <c r="AM190" s="13">
        <f t="shared" si="242"/>
        <v>5450</v>
      </c>
      <c r="AN190" s="13">
        <f t="shared" si="330"/>
        <v>1015</v>
      </c>
      <c r="AO190" s="13">
        <f t="shared" si="330"/>
        <v>23900</v>
      </c>
      <c r="AP190" s="13">
        <f t="shared" si="330"/>
        <v>1650</v>
      </c>
      <c r="AQ190" s="13">
        <f t="shared" si="330"/>
        <v>2860</v>
      </c>
      <c r="AR190" s="13">
        <f t="shared" si="330"/>
        <v>18100</v>
      </c>
      <c r="AS190" s="13">
        <f t="shared" si="330"/>
        <v>47525</v>
      </c>
      <c r="AT190" s="68">
        <f>AM190-AS190</f>
        <v>-42075</v>
      </c>
      <c r="AU190" s="268">
        <f t="shared" si="254"/>
        <v>8.7201834862385326</v>
      </c>
      <c r="AV190" s="13">
        <f t="shared" si="243"/>
        <v>17550</v>
      </c>
      <c r="AW190" s="13">
        <f t="shared" si="323"/>
        <v>3740</v>
      </c>
      <c r="AX190" s="13">
        <f t="shared" si="323"/>
        <v>12700</v>
      </c>
      <c r="AY190" s="13">
        <f t="shared" si="323"/>
        <v>1200</v>
      </c>
      <c r="AZ190" s="13">
        <f t="shared" si="323"/>
        <v>1200</v>
      </c>
      <c r="BA190" s="13">
        <f t="shared" si="324"/>
        <v>18840</v>
      </c>
      <c r="BB190" s="68">
        <f t="shared" si="255"/>
        <v>-1290</v>
      </c>
      <c r="BC190" s="268">
        <f t="shared" si="256"/>
        <v>1.0735042735042735</v>
      </c>
      <c r="BD190" s="13">
        <f t="shared" si="257"/>
        <v>26000</v>
      </c>
      <c r="BE190" s="13">
        <f>SUMIFS(SALIDAS_BIT,FECHA_BIT,"&gt;="&amp;BE$2,FECHA_BIT,"&lt;="&amp;BE$3,CLAVE_BIT,$A190)+SUMIFS(SALIDAS_BOV1,FECHA_BOV1,"&gt;="&amp;BE$2,FECHA_BOV1,"&lt;="&amp;BE$3,CLAVE_BOV1,$A190)+SUMIFS(SALIDAS_BOV2,FECHA_BOV2,"&gt;="&amp;BE$2,FECHA_BOV2,"&lt;="&amp;BE$3,CLAVE_BOV2,$A190)+SUMIFS(SALIDAS_BOV3,FECHA_BOV3,"&gt;="&amp;BE$2,FECHA_BOV3,"&lt;="&amp;BE$3,CLAVE_BOV3,$A190)+SUMIFS(SALIDAS_TC,FECHA_TC,"&gt;="&amp;BE$2,FECHA_TC,"&lt;="&amp;BE$3,CLAVE_TC,$A190)+SUMIFS(SALIDAS_COMB,FECHA_COMB,"&gt;="&amp;BE$2,FECHA_COMB,"&lt;="&amp;BE$3,CLAVE_COMB,$A190)+SUMIFS(SALIDAS_DES,FECHA_DESGLOSEN,"&gt;="&amp;BE$2,FECHA_DESGLOSEN,"&lt;="&amp;BE$3,CLAVE_DESGLOSE,$A190)</f>
        <v>1200</v>
      </c>
      <c r="BF190" s="13">
        <f>SUMIFS(SALIDAS_BIT,FECHA_BIT,"&gt;="&amp;BF$2,FECHA_BIT,"&lt;="&amp;BF$3,CLAVE_BIT,$A190)+SUMIFS(SALIDAS_BOV1,FECHA_BOV1,"&gt;="&amp;BF$2,FECHA_BOV1,"&lt;="&amp;BF$3,CLAVE_BOV1,$A190)+SUMIFS(SALIDAS_BOV2,FECHA_BOV2,"&gt;="&amp;BF$2,FECHA_BOV2,"&lt;="&amp;BF$3,CLAVE_BOV2,$A190)+SUMIFS(SALIDAS_BOV3,FECHA_BOV3,"&gt;="&amp;BF$2,FECHA_BOV3,"&lt;="&amp;BF$3,CLAVE_BOV3,$A190)+SUMIFS(SALIDAS_TC,FECHA_TC,"&gt;="&amp;BF$2,FECHA_TC,"&lt;="&amp;BF$3,CLAVE_TC,$A190)+SUMIFS(SALIDAS_COMB,FECHA_COMB,"&gt;="&amp;BF$2,FECHA_COMB,"&lt;="&amp;BF$3,CLAVE_COMB,$A190)+SUMIFS(SALIDAS_DES,FECHA_DESGLOSEN,"&gt;="&amp;BF$2,FECHA_DESGLOSEN,"&lt;="&amp;BF$3,CLAVE_DESGLOSE,$A190)</f>
        <v>0</v>
      </c>
      <c r="BG190" s="13">
        <f>SUMIFS(SALIDAS_BIT,FECHA_BIT,"&gt;="&amp;BG$2,FECHA_BIT,"&lt;="&amp;BG$3,CLAVE_BIT,$A190)+SUMIFS(SALIDAS_BOV1,FECHA_BOV1,"&gt;="&amp;BG$2,FECHA_BOV1,"&lt;="&amp;BG$3,CLAVE_BOV1,$A190)+SUMIFS(SALIDAS_BOV2,FECHA_BOV2,"&gt;="&amp;BG$2,FECHA_BOV2,"&lt;="&amp;BG$3,CLAVE_BOV2,$A190)+SUMIFS(SALIDAS_BOV3,FECHA_BOV3,"&gt;="&amp;BG$2,FECHA_BOV3,"&lt;="&amp;BG$3,CLAVE_BOV3,$A190)+SUMIFS(SALIDAS_TC,FECHA_TC,"&gt;="&amp;BG$2,FECHA_TC,"&lt;="&amp;BG$3,CLAVE_TC,$A190)+SUMIFS(SALIDAS_COMB,FECHA_COMB,"&gt;="&amp;BG$2,FECHA_COMB,"&lt;="&amp;BG$3,CLAVE_COMB,$A190)+SUMIFS(SALIDAS_DES,FECHA_DESGLOSEN,"&gt;="&amp;BG$2,FECHA_DESGLOSEN,"&lt;="&amp;BG$3,CLAVE_DESGLOSE,$A190)</f>
        <v>1200</v>
      </c>
      <c r="BH190" s="13">
        <f>SUMIFS(SALIDAS_BIT,FECHA_BIT,"&gt;="&amp;BH$2,FECHA_BIT,"&lt;="&amp;BH$3,CLAVE_BIT,$A190)+SUMIFS(SALIDAS_BOV1,FECHA_BOV1,"&gt;="&amp;BH$2,FECHA_BOV1,"&lt;="&amp;BH$3,CLAVE_BOV1,$A190)+SUMIFS(SALIDAS_BOV2,FECHA_BOV2,"&gt;="&amp;BH$2,FECHA_BOV2,"&lt;="&amp;BH$3,CLAVE_BOV2,$A190)+SUMIFS(SALIDAS_BOV3,FECHA_BOV3,"&gt;="&amp;BH$2,FECHA_BOV3,"&lt;="&amp;BH$3,CLAVE_BOV3,$A190)+SUMIFS(SALIDAS_TC,FECHA_TC,"&gt;="&amp;BH$2,FECHA_TC,"&lt;="&amp;BH$3,CLAVE_TC,$A190)+SUMIFS(SALIDAS_COMB,FECHA_COMB,"&gt;="&amp;BH$2,FECHA_COMB,"&lt;="&amp;BH$3,CLAVE_COMB,$A190)+SUMIFS(SALIDAS_DES,FECHA_DESGLOSEN,"&gt;="&amp;BH$2,FECHA_DESGLOSEN,"&lt;="&amp;BH$3,CLAVE_DESGLOSE,$A190)</f>
        <v>1400</v>
      </c>
      <c r="BI190" s="13">
        <f t="shared" si="311"/>
        <v>3800</v>
      </c>
      <c r="BJ190" s="68">
        <f t="shared" si="258"/>
        <v>22200</v>
      </c>
      <c r="BK190" s="268">
        <f t="shared" si="259"/>
        <v>0.14615384615384616</v>
      </c>
      <c r="BL190" s="13">
        <f t="shared" si="260"/>
        <v>27700</v>
      </c>
      <c r="BM190" s="13">
        <f>SUMIFS(SALIDAS_BIT,FECHA_BIT,"&gt;="&amp;BM$2,FECHA_BIT,"&lt;="&amp;BM$3,CLAVE_BIT,$A190)+SUMIFS(SALIDAS_BOV1,FECHA_BOV1,"&gt;="&amp;BM$2,FECHA_BOV1,"&lt;="&amp;BM$3,CLAVE_BOV1,$A190)+SUMIFS(SALIDAS_BOV2,FECHA_BOV2,"&gt;="&amp;BM$2,FECHA_BOV2,"&lt;="&amp;BM$3,CLAVE_BOV2,$A190)+SUMIFS(SALIDAS_BOV3,FECHA_BOV3,"&gt;="&amp;BM$2,FECHA_BOV3,"&lt;="&amp;BM$3,CLAVE_BOV3,$A190)+SUMIFS(SALIDAS_TC,FECHA_TC,"&gt;="&amp;BM$2,FECHA_TC,"&lt;="&amp;BM$3,CLAVE_TC,$A190)+SUMIFS(SALIDAS_COMB,FECHA_COMB,"&gt;="&amp;BM$2,FECHA_COMB,"&lt;="&amp;BM$3,CLAVE_COMB,$A190)+SUMIFS(SALIDAS_DES,FECHA_DESGLOSEN,"&gt;="&amp;BM$2,FECHA_DESGLOSEN,"&lt;="&amp;BM$3,CLAVE_DESGLOSE,$A190)</f>
        <v>4000</v>
      </c>
      <c r="BN190" s="13">
        <f>SUMIFS(SALIDAS_BIT,FECHA_BIT,"&gt;="&amp;BN$2,FECHA_BIT,"&lt;="&amp;BN$3,CLAVE_BIT,$A190)+SUMIFS(SALIDAS_BOV1,FECHA_BOV1,"&gt;="&amp;BN$2,FECHA_BOV1,"&lt;="&amp;BN$3,CLAVE_BOV1,$A190)+SUMIFS(SALIDAS_BOV2,FECHA_BOV2,"&gt;="&amp;BN$2,FECHA_BOV2,"&lt;="&amp;BN$3,CLAVE_BOV2,$A190)+SUMIFS(SALIDAS_BOV3,FECHA_BOV3,"&gt;="&amp;BN$2,FECHA_BOV3,"&lt;="&amp;BN$3,CLAVE_BOV3,$A190)+SUMIFS(SALIDAS_TC,FECHA_TC,"&gt;="&amp;BN$2,FECHA_TC,"&lt;="&amp;BN$3,CLAVE_TC,$A190)+SUMIFS(SALIDAS_COMB,FECHA_COMB,"&gt;="&amp;BN$2,FECHA_COMB,"&lt;="&amp;BN$3,CLAVE_COMB,$A190)+SUMIFS(SALIDAS_DES,FECHA_DESGLOSEN,"&gt;="&amp;BN$2,FECHA_DESGLOSEN,"&lt;="&amp;BN$3,CLAVE_DESGLOSE,$A190)</f>
        <v>2700</v>
      </c>
      <c r="BO190" s="13">
        <f>SUMIFS(SALIDAS_BIT,FECHA_BIT,"&gt;="&amp;BO$2,FECHA_BIT,"&lt;="&amp;BO$3,CLAVE_BIT,$A190)+SUMIFS(SALIDAS_BOV1,FECHA_BOV1,"&gt;="&amp;BO$2,FECHA_BOV1,"&lt;="&amp;BO$3,CLAVE_BOV1,$A190)+SUMIFS(SALIDAS_BOV2,FECHA_BOV2,"&gt;="&amp;BO$2,FECHA_BOV2,"&lt;="&amp;BO$3,CLAVE_BOV2,$A190)+SUMIFS(SALIDAS_BOV3,FECHA_BOV3,"&gt;="&amp;BO$2,FECHA_BOV3,"&lt;="&amp;BO$3,CLAVE_BOV3,$A190)+SUMIFS(SALIDAS_TC,FECHA_TC,"&gt;="&amp;BO$2,FECHA_TC,"&lt;="&amp;BO$3,CLAVE_TC,$A190)+SUMIFS(SALIDAS_COMB,FECHA_COMB,"&gt;="&amp;BO$2,FECHA_COMB,"&lt;="&amp;BO$3,CLAVE_COMB,$A190)+SUMIFS(SALIDAS_DES,FECHA_DESGLOSEN,"&gt;="&amp;BO$2,FECHA_DESGLOSEN,"&lt;="&amp;BO$3,CLAVE_DESGLOSE,$A190)</f>
        <v>2000</v>
      </c>
      <c r="BP190" s="13">
        <f>SUMIFS(SALIDAS_BIT,FECHA_BIT,"&gt;="&amp;BP$2,FECHA_BIT,"&lt;="&amp;BP$3,CLAVE_BIT,$A190)+SUMIFS(SALIDAS_BOV1,FECHA_BOV1,"&gt;="&amp;BP$2,FECHA_BOV1,"&lt;="&amp;BP$3,CLAVE_BOV1,$A190)+SUMIFS(SALIDAS_BOV2,FECHA_BOV2,"&gt;="&amp;BP$2,FECHA_BOV2,"&lt;="&amp;BP$3,CLAVE_BOV2,$A190)+SUMIFS(SALIDAS_BOV3,FECHA_BOV3,"&gt;="&amp;BP$2,FECHA_BOV3,"&lt;="&amp;BP$3,CLAVE_BOV3,$A190)+SUMIFS(SALIDAS_TC,FECHA_TC,"&gt;="&amp;BP$2,FECHA_TC,"&lt;="&amp;BP$3,CLAVE_TC,$A190)+SUMIFS(SALIDAS_COMB,FECHA_COMB,"&gt;="&amp;BP$2,FECHA_COMB,"&lt;="&amp;BP$3,CLAVE_COMB,$A190)+SUMIFS(SALIDAS_DES,FECHA_DESGLOSEN,"&gt;="&amp;BP$2,FECHA_DESGLOSEN,"&lt;="&amp;BP$3,CLAVE_DESGLOSE,$A190)</f>
        <v>13500</v>
      </c>
      <c r="BQ190" s="13">
        <f>SUMIFS(SALIDAS_BIT,FECHA_BIT,"&gt;="&amp;BQ$2,FECHA_BIT,"&lt;="&amp;BQ$3,CLAVE_BIT,$A190)+SUMIFS(SALIDAS_BOV1,FECHA_BOV1,"&gt;="&amp;BQ$2,FECHA_BOV1,"&lt;="&amp;BQ$3,CLAVE_BOV1,$A190)+SUMIFS(SALIDAS_BOV2,FECHA_BOV2,"&gt;="&amp;BQ$2,FECHA_BOV2,"&lt;="&amp;BQ$3,CLAVE_BOV2,$A190)+SUMIFS(SALIDAS_BOV3,FECHA_BOV3,"&gt;="&amp;BQ$2,FECHA_BOV3,"&lt;="&amp;BQ$3,CLAVE_BOV3,$A190)+SUMIFS(SALIDAS_TC,FECHA_TC,"&gt;="&amp;BQ$2,FECHA_TC,"&lt;="&amp;BQ$3,CLAVE_TC,$A190)+SUMIFS(SALIDAS_COMB,FECHA_COMB,"&gt;="&amp;BQ$2,FECHA_COMB,"&lt;="&amp;BQ$3,CLAVE_COMB,$A190)+SUMIFS(SALIDAS_DES,FECHA_DESGLOSEN,"&gt;="&amp;BQ$2,FECHA_DESGLOSEN,"&lt;="&amp;BQ$3,CLAVE_DESGLOSE,$A190)</f>
        <v>3500</v>
      </c>
      <c r="BR190" s="13">
        <f t="shared" si="331"/>
        <v>25700</v>
      </c>
      <c r="BS190" s="68">
        <f t="shared" si="261"/>
        <v>2000</v>
      </c>
      <c r="BT190" s="268">
        <f t="shared" si="262"/>
        <v>0.92779783393501802</v>
      </c>
      <c r="BU190" s="13">
        <f t="shared" si="263"/>
        <v>18000</v>
      </c>
      <c r="BV190" s="13">
        <f t="shared" si="291"/>
        <v>25</v>
      </c>
      <c r="BW190" s="13">
        <f t="shared" si="291"/>
        <v>2000</v>
      </c>
      <c r="BX190" s="13">
        <f t="shared" si="291"/>
        <v>5600</v>
      </c>
      <c r="BY190" s="13">
        <f t="shared" si="291"/>
        <v>2500</v>
      </c>
      <c r="BZ190" s="13">
        <f t="shared" si="332"/>
        <v>10125</v>
      </c>
      <c r="CA190" s="68">
        <f t="shared" si="264"/>
        <v>7875</v>
      </c>
      <c r="CB190" s="268">
        <f t="shared" si="265"/>
        <v>0.5625</v>
      </c>
      <c r="CC190" s="13">
        <f t="shared" si="266"/>
        <v>18000</v>
      </c>
      <c r="CD190" s="13">
        <f t="shared" si="292"/>
        <v>2600</v>
      </c>
      <c r="CE190" s="13">
        <f t="shared" si="292"/>
        <v>13500</v>
      </c>
      <c r="CF190" s="13">
        <f t="shared" si="292"/>
        <v>5700</v>
      </c>
      <c r="CG190" s="13">
        <f t="shared" si="292"/>
        <v>2500</v>
      </c>
      <c r="CH190" s="13">
        <f t="shared" si="333"/>
        <v>24300</v>
      </c>
      <c r="CI190" s="68">
        <f t="shared" si="267"/>
        <v>-6300</v>
      </c>
      <c r="CJ190" s="268">
        <f t="shared" si="268"/>
        <v>1.35</v>
      </c>
      <c r="CK190" s="13">
        <f t="shared" si="269"/>
        <v>18000</v>
      </c>
      <c r="CL190" s="13">
        <f t="shared" si="312"/>
        <v>3000</v>
      </c>
      <c r="CM190" s="13">
        <f t="shared" si="312"/>
        <v>9500</v>
      </c>
      <c r="CN190" s="13">
        <f t="shared" si="312"/>
        <v>4700</v>
      </c>
      <c r="CO190" s="13">
        <f t="shared" si="312"/>
        <v>3000</v>
      </c>
      <c r="CP190" s="13">
        <f t="shared" si="312"/>
        <v>2000</v>
      </c>
      <c r="CQ190" s="13">
        <f t="shared" si="334"/>
        <v>22200</v>
      </c>
      <c r="CR190" s="68">
        <f t="shared" si="270"/>
        <v>-4200</v>
      </c>
      <c r="CS190" s="268">
        <f t="shared" si="271"/>
        <v>1.2333333333333334</v>
      </c>
      <c r="CT190" s="68">
        <f t="shared" si="244"/>
        <v>10000</v>
      </c>
      <c r="CU190" s="13">
        <f>SUMIFS(SALIDAS_BIT,FECHA_BIT,"&gt;="&amp;CU$2,FECHA_BIT,"&lt;="&amp;CU$3,CLAVE_BIT,$A190)+SUMIFS(SALIDAS_BOV1,FECHA_BOV1,"&gt;="&amp;CU$2,FECHA_BOV1,"&lt;="&amp;CU$3,CLAVE_BOV1,$A190)+SUMIFS(SALIDAS_BOV2,FECHA_BOV2,"&gt;="&amp;CU$2,FECHA_BOV2,"&lt;="&amp;CU$3,CLAVE_BOV2,$A190)+SUMIFS(SALIDAS_BOV3,FECHA_BOV3,"&gt;="&amp;CU$2,FECHA_BOV3,"&lt;="&amp;CU$3,CLAVE_BOV3,$A190)+SUMIFS(SALIDAS_TC,FECHA_TC,"&gt;="&amp;CU$2,FECHA_TC,"&lt;="&amp;CU$3,CLAVE_TC,$A190)+SUMIFS(SALIDAS_COMB,FECHA_COMB,"&gt;="&amp;CU$2,FECHA_COMB,"&lt;="&amp;CU$3,CLAVE_COMB,$A190)+SUMIFS(SALIDAS_DES,FECHA_DESGLOSEN,"&gt;="&amp;CU$2,FECHA_DESGLOSEN,"&lt;="&amp;CU$3,CLAVE_DESGLOSE,$A190)</f>
        <v>0</v>
      </c>
      <c r="CV190" s="13">
        <f>SUMIFS(SALIDAS_BIT,FECHA_BIT,"&gt;="&amp;CV$2,FECHA_BIT,"&lt;="&amp;CV$3,CLAVE_BIT,$A190)+SUMIFS(SALIDAS_BOV1,FECHA_BOV1,"&gt;="&amp;CV$2,FECHA_BOV1,"&lt;="&amp;CV$3,CLAVE_BOV1,$A190)+SUMIFS(SALIDAS_BOV2,FECHA_BOV2,"&gt;="&amp;CV$2,FECHA_BOV2,"&lt;="&amp;CV$3,CLAVE_BOV2,$A190)+SUMIFS(SALIDAS_BOV3,FECHA_BOV3,"&gt;="&amp;CV$2,FECHA_BOV3,"&lt;="&amp;CV$3,CLAVE_BOV3,$A190)+SUMIFS(SALIDAS_TC,FECHA_TC,"&gt;="&amp;CV$2,FECHA_TC,"&lt;="&amp;CV$3,CLAVE_TC,$A190)+SUMIFS(SALIDAS_COMB,FECHA_COMB,"&gt;="&amp;CV$2,FECHA_COMB,"&lt;="&amp;CV$3,CLAVE_COMB,$A190)+SUMIFS(SALIDAS_DES,FECHA_DESGLOSEN,"&gt;="&amp;CV$2,FECHA_DESGLOSEN,"&lt;="&amp;CV$3,CLAVE_DESGLOSE,$A190)</f>
        <v>0</v>
      </c>
      <c r="CW190" s="13">
        <f>SUMIFS(SALIDAS_BIT,FECHA_BIT,"&gt;="&amp;CW$2,FECHA_BIT,"&lt;="&amp;CW$3,CLAVE_BIT,$A190)+SUMIFS(SALIDAS_BOV1,FECHA_BOV1,"&gt;="&amp;CW$2,FECHA_BOV1,"&lt;="&amp;CW$3,CLAVE_BOV1,$A190)+SUMIFS(SALIDAS_BOV2,FECHA_BOV2,"&gt;="&amp;CW$2,FECHA_BOV2,"&lt;="&amp;CW$3,CLAVE_BOV2,$A190)+SUMIFS(SALIDAS_BOV3,FECHA_BOV3,"&gt;="&amp;CW$2,FECHA_BOV3,"&lt;="&amp;CW$3,CLAVE_BOV3,$A190)+SUMIFS(SALIDAS_TC,FECHA_TC,"&gt;="&amp;CW$2,FECHA_TC,"&lt;="&amp;CW$3,CLAVE_TC,$A190)+SUMIFS(SALIDAS_COMB,FECHA_COMB,"&gt;="&amp;CW$2,FECHA_COMB,"&lt;="&amp;CW$3,CLAVE_COMB,$A190)+SUMIFS(SALIDAS_DES,FECHA_DESGLOSEN,"&gt;="&amp;CW$2,FECHA_DESGLOSEN,"&lt;="&amp;CW$3,CLAVE_DESGLOSE,$A190)</f>
        <v>1500</v>
      </c>
      <c r="CX190" s="13">
        <f>SUMIFS(SALIDAS_BIT,FECHA_BIT,"&gt;="&amp;CX$2,FECHA_BIT,"&lt;="&amp;CX$3,CLAVE_BIT,$A190)+SUMIFS(SALIDAS_BOV1,FECHA_BOV1,"&gt;="&amp;CX$2,FECHA_BOV1,"&lt;="&amp;CX$3,CLAVE_BOV1,$A190)+SUMIFS(SALIDAS_BOV2,FECHA_BOV2,"&gt;="&amp;CX$2,FECHA_BOV2,"&lt;="&amp;CX$3,CLAVE_BOV2,$A190)+SUMIFS(SALIDAS_BOV3,FECHA_BOV3,"&gt;="&amp;CX$2,FECHA_BOV3,"&lt;="&amp;CX$3,CLAVE_BOV3,$A190)+SUMIFS(SALIDAS_TC,FECHA_TC,"&gt;="&amp;CX$2,FECHA_TC,"&lt;="&amp;CX$3,CLAVE_TC,$A190)+SUMIFS(SALIDAS_COMB,FECHA_COMB,"&gt;="&amp;CX$2,FECHA_COMB,"&lt;="&amp;CX$3,CLAVE_COMB,$A190)+SUMIFS(SALIDAS_DES,FECHA_DESGLOSEN,"&gt;="&amp;CX$2,FECHA_DESGLOSEN,"&lt;="&amp;CX$3,CLAVE_DESGLOSE,$A190)</f>
        <v>0</v>
      </c>
      <c r="CY190" s="13">
        <f>SUMIFS(SALIDAS_BIT,FECHA_BIT,"&gt;="&amp;CY$2,FECHA_BIT,"&lt;="&amp;CY$3,CLAVE_BIT,$A190)+SUMIFS(SALIDAS_BOV1,FECHA_BOV1,"&gt;="&amp;CY$2,FECHA_BOV1,"&lt;="&amp;CY$3,CLAVE_BOV1,$A190)+SUMIFS(SALIDAS_BOV2,FECHA_BOV2,"&gt;="&amp;CY$2,FECHA_BOV2,"&lt;="&amp;CY$3,CLAVE_BOV2,$A190)+SUMIFS(SALIDAS_BOV3,FECHA_BOV3,"&gt;="&amp;CY$2,FECHA_BOV3,"&lt;="&amp;CY$3,CLAVE_BOV3,$A190)+SUMIFS(SALIDAS_TC,FECHA_TC,"&gt;="&amp;CY$2,FECHA_TC,"&lt;="&amp;CY$3,CLAVE_TC,$A190)+SUMIFS(SALIDAS_COMB,FECHA_COMB,"&gt;="&amp;CY$2,FECHA_COMB,"&lt;="&amp;CY$3,CLAVE_COMB,$A190)+SUMIFS(SALIDAS_DES,FECHA_DESGLOSEN,"&gt;="&amp;CY$2,FECHA_DESGLOSEN,"&lt;="&amp;CY$3,CLAVE_DESGLOSE,$A190)</f>
        <v>1500</v>
      </c>
      <c r="CZ190" s="68">
        <f t="shared" si="272"/>
        <v>8500</v>
      </c>
      <c r="DB190" s="17">
        <f>F190+N190+W190+AE190+AM190+AV190+BD190+BL190+BU190+CC190+CK190</f>
        <v>190776</v>
      </c>
      <c r="DC190" s="17">
        <f>K190+T190+AB190+AJ190+AS190+BA190+BI190+BR190+BZ190+CH190+CQ190</f>
        <v>203990</v>
      </c>
    </row>
    <row r="191" spans="1:107" hidden="1">
      <c r="A191" s="12" t="str">
        <f t="shared" si="245"/>
        <v>SERVICIOSVIATICOSCEDIS</v>
      </c>
      <c r="B191" s="12">
        <v>193</v>
      </c>
      <c r="C191" t="s">
        <v>21</v>
      </c>
      <c r="D191" s="12" t="s">
        <v>191</v>
      </c>
      <c r="E191" s="12" t="s">
        <v>28</v>
      </c>
      <c r="F191" s="259">
        <f t="shared" si="238"/>
        <v>10000</v>
      </c>
      <c r="G191" s="13">
        <f t="shared" si="326"/>
        <v>2650</v>
      </c>
      <c r="H191" s="13">
        <f t="shared" si="326"/>
        <v>3350</v>
      </c>
      <c r="I191" s="13">
        <f t="shared" si="326"/>
        <v>2050</v>
      </c>
      <c r="J191" s="13">
        <f t="shared" si="326"/>
        <v>3350</v>
      </c>
      <c r="K191" s="13">
        <f t="shared" si="326"/>
        <v>11400</v>
      </c>
      <c r="L191" s="68">
        <f t="shared" si="246"/>
        <v>-1400</v>
      </c>
      <c r="M191" s="268">
        <f t="shared" si="247"/>
        <v>1.1399999999999999</v>
      </c>
      <c r="N191" s="13">
        <f t="shared" si="239"/>
        <v>10000</v>
      </c>
      <c r="O191" s="13">
        <f t="shared" si="327"/>
        <v>2050</v>
      </c>
      <c r="P191" s="13">
        <f t="shared" si="327"/>
        <v>2050</v>
      </c>
      <c r="Q191" s="13">
        <f t="shared" si="327"/>
        <v>3550</v>
      </c>
      <c r="R191" s="13">
        <f t="shared" si="327"/>
        <v>2750</v>
      </c>
      <c r="S191" s="13">
        <f t="shared" si="327"/>
        <v>700</v>
      </c>
      <c r="T191" s="13">
        <f t="shared" si="327"/>
        <v>11100</v>
      </c>
      <c r="U191" s="68">
        <f t="shared" si="248"/>
        <v>-1100</v>
      </c>
      <c r="V191" s="268">
        <f t="shared" si="249"/>
        <v>1.1100000000000001</v>
      </c>
      <c r="W191" s="13">
        <f t="shared" si="240"/>
        <v>10000</v>
      </c>
      <c r="X191" s="13">
        <f t="shared" si="328"/>
        <v>2050</v>
      </c>
      <c r="Y191" s="13">
        <f t="shared" si="328"/>
        <v>2750</v>
      </c>
      <c r="Z191" s="13">
        <f t="shared" si="328"/>
        <v>2050</v>
      </c>
      <c r="AA191" s="13">
        <f t="shared" si="328"/>
        <v>4850</v>
      </c>
      <c r="AB191" s="13">
        <f t="shared" si="328"/>
        <v>11700</v>
      </c>
      <c r="AC191" s="68">
        <f t="shared" si="250"/>
        <v>-1700</v>
      </c>
      <c r="AD191" s="268">
        <f t="shared" si="251"/>
        <v>1.17</v>
      </c>
      <c r="AE191" s="13">
        <f t="shared" si="241"/>
        <v>13000</v>
      </c>
      <c r="AF191" s="13">
        <f t="shared" si="329"/>
        <v>2750</v>
      </c>
      <c r="AG191" s="13">
        <f t="shared" si="329"/>
        <v>1100</v>
      </c>
      <c r="AH191" s="13">
        <f t="shared" si="329"/>
        <v>2050</v>
      </c>
      <c r="AI191" s="13">
        <f t="shared" si="329"/>
        <v>5200</v>
      </c>
      <c r="AJ191" s="13">
        <f t="shared" si="329"/>
        <v>11100</v>
      </c>
      <c r="AK191" s="68">
        <f t="shared" si="252"/>
        <v>1900</v>
      </c>
      <c r="AL191" s="268">
        <f t="shared" si="253"/>
        <v>0.85384615384615381</v>
      </c>
      <c r="AM191" s="13">
        <f t="shared" si="242"/>
        <v>13000</v>
      </c>
      <c r="AN191" s="13">
        <f t="shared" si="330"/>
        <v>2050</v>
      </c>
      <c r="AO191" s="13">
        <f t="shared" si="330"/>
        <v>3150</v>
      </c>
      <c r="AP191" s="13">
        <f t="shared" si="330"/>
        <v>0</v>
      </c>
      <c r="AQ191" s="13">
        <f t="shared" si="330"/>
        <v>2050</v>
      </c>
      <c r="AR191" s="13">
        <f t="shared" si="330"/>
        <v>2050</v>
      </c>
      <c r="AS191" s="13">
        <f t="shared" si="330"/>
        <v>9300</v>
      </c>
      <c r="AT191" s="68">
        <f>AM191-AS191</f>
        <v>3700</v>
      </c>
      <c r="AU191" s="268">
        <f t="shared" si="254"/>
        <v>0.7153846153846154</v>
      </c>
      <c r="AV191" s="13">
        <f t="shared" si="243"/>
        <v>13000</v>
      </c>
      <c r="AW191" s="13">
        <f t="shared" si="323"/>
        <v>1000</v>
      </c>
      <c r="AX191" s="13">
        <f t="shared" si="323"/>
        <v>2050</v>
      </c>
      <c r="AY191" s="13">
        <f t="shared" si="323"/>
        <v>5200</v>
      </c>
      <c r="AZ191" s="13">
        <f t="shared" si="323"/>
        <v>0</v>
      </c>
      <c r="BA191" s="13">
        <f t="shared" si="324"/>
        <v>8250</v>
      </c>
      <c r="BB191" s="68">
        <f t="shared" si="255"/>
        <v>4750</v>
      </c>
      <c r="BC191" s="268">
        <f t="shared" si="256"/>
        <v>0.63461538461538458</v>
      </c>
      <c r="BD191" s="13">
        <f t="shared" si="257"/>
        <v>13000</v>
      </c>
      <c r="BE191" s="13">
        <f>SUMIFS(SALIDAS_BIT,FECHA_BIT,"&gt;="&amp;BE$2,FECHA_BIT,"&lt;="&amp;BE$3,CLAVE_BIT,$A191)+SUMIFS(SALIDAS_BOV1,FECHA_BOV1,"&gt;="&amp;BE$2,FECHA_BOV1,"&lt;="&amp;BE$3,CLAVE_BOV1,$A191)+SUMIFS(SALIDAS_BOV2,FECHA_BOV2,"&gt;="&amp;BE$2,FECHA_BOV2,"&lt;="&amp;BE$3,CLAVE_BOV2,$A191)+SUMIFS(SALIDAS_BOV3,FECHA_BOV3,"&gt;="&amp;BE$2,FECHA_BOV3,"&lt;="&amp;BE$3,CLAVE_BOV3,$A191)+SUMIFS(SALIDAS_TC,FECHA_TC,"&gt;="&amp;BE$2,FECHA_TC,"&lt;="&amp;BE$3,CLAVE_TC,$A191)+SUMIFS(SALIDAS_COMB,FECHA_COMB,"&gt;="&amp;BE$2,FECHA_COMB,"&lt;="&amp;BE$3,CLAVE_COMB,$A191)+SUMIFS(SALIDAS_DES,FECHA_DESGLOSEN,"&gt;="&amp;BE$2,FECHA_DESGLOSEN,"&lt;="&amp;BE$3,CLAVE_DESGLOSE,$A191)</f>
        <v>4150</v>
      </c>
      <c r="BF191" s="13">
        <f>SUMIFS(SALIDAS_BIT,FECHA_BIT,"&gt;="&amp;BF$2,FECHA_BIT,"&lt;="&amp;BF$3,CLAVE_BIT,$A191)+SUMIFS(SALIDAS_BOV1,FECHA_BOV1,"&gt;="&amp;BF$2,FECHA_BOV1,"&lt;="&amp;BF$3,CLAVE_BOV1,$A191)+SUMIFS(SALIDAS_BOV2,FECHA_BOV2,"&gt;="&amp;BF$2,FECHA_BOV2,"&lt;="&amp;BF$3,CLAVE_BOV2,$A191)+SUMIFS(SALIDAS_BOV3,FECHA_BOV3,"&gt;="&amp;BF$2,FECHA_BOV3,"&lt;="&amp;BF$3,CLAVE_BOV3,$A191)+SUMIFS(SALIDAS_TC,FECHA_TC,"&gt;="&amp;BF$2,FECHA_TC,"&lt;="&amp;BF$3,CLAVE_TC,$A191)+SUMIFS(SALIDAS_COMB,FECHA_COMB,"&gt;="&amp;BF$2,FECHA_COMB,"&lt;="&amp;BF$3,CLAVE_COMB,$A191)+SUMIFS(SALIDAS_DES,FECHA_DESGLOSEN,"&gt;="&amp;BF$2,FECHA_DESGLOSEN,"&lt;="&amp;BF$3,CLAVE_DESGLOSE,$A191)</f>
        <v>2050</v>
      </c>
      <c r="BG191" s="13">
        <f>SUMIFS(SALIDAS_BIT,FECHA_BIT,"&gt;="&amp;BG$2,FECHA_BIT,"&lt;="&amp;BG$3,CLAVE_BIT,$A191)+SUMIFS(SALIDAS_BOV1,FECHA_BOV1,"&gt;="&amp;BG$2,FECHA_BOV1,"&lt;="&amp;BG$3,CLAVE_BOV1,$A191)+SUMIFS(SALIDAS_BOV2,FECHA_BOV2,"&gt;="&amp;BG$2,FECHA_BOV2,"&lt;="&amp;BG$3,CLAVE_BOV2,$A191)+SUMIFS(SALIDAS_BOV3,FECHA_BOV3,"&gt;="&amp;BG$2,FECHA_BOV3,"&lt;="&amp;BG$3,CLAVE_BOV3,$A191)+SUMIFS(SALIDAS_TC,FECHA_TC,"&gt;="&amp;BG$2,FECHA_TC,"&lt;="&amp;BG$3,CLAVE_TC,$A191)+SUMIFS(SALIDAS_COMB,FECHA_COMB,"&gt;="&amp;BG$2,FECHA_COMB,"&lt;="&amp;BG$3,CLAVE_COMB,$A191)+SUMIFS(SALIDAS_DES,FECHA_DESGLOSEN,"&gt;="&amp;BG$2,FECHA_DESGLOSEN,"&lt;="&amp;BG$3,CLAVE_DESGLOSE,$A191)</f>
        <v>3550</v>
      </c>
      <c r="BH191" s="13">
        <f>SUMIFS(SALIDAS_BIT,FECHA_BIT,"&gt;="&amp;BH$2,FECHA_BIT,"&lt;="&amp;BH$3,CLAVE_BIT,$A191)+SUMIFS(SALIDAS_BOV1,FECHA_BOV1,"&gt;="&amp;BH$2,FECHA_BOV1,"&lt;="&amp;BH$3,CLAVE_BOV1,$A191)+SUMIFS(SALIDAS_BOV2,FECHA_BOV2,"&gt;="&amp;BH$2,FECHA_BOV2,"&lt;="&amp;BH$3,CLAVE_BOV2,$A191)+SUMIFS(SALIDAS_BOV3,FECHA_BOV3,"&gt;="&amp;BH$2,FECHA_BOV3,"&lt;="&amp;BH$3,CLAVE_BOV3,$A191)+SUMIFS(SALIDAS_TC,FECHA_TC,"&gt;="&amp;BH$2,FECHA_TC,"&lt;="&amp;BH$3,CLAVE_TC,$A191)+SUMIFS(SALIDAS_COMB,FECHA_COMB,"&gt;="&amp;BH$2,FECHA_COMB,"&lt;="&amp;BH$3,CLAVE_COMB,$A191)+SUMIFS(SALIDAS_DES,FECHA_DESGLOSEN,"&gt;="&amp;BH$2,FECHA_DESGLOSEN,"&lt;="&amp;BH$3,CLAVE_DESGLOSE,$A191)</f>
        <v>0</v>
      </c>
      <c r="BI191" s="13">
        <f t="shared" si="311"/>
        <v>9750</v>
      </c>
      <c r="BJ191" s="68">
        <f t="shared" si="258"/>
        <v>3250</v>
      </c>
      <c r="BK191" s="268">
        <f t="shared" si="259"/>
        <v>0.75</v>
      </c>
      <c r="BL191" s="13">
        <f t="shared" si="260"/>
        <v>13000</v>
      </c>
      <c r="BM191" s="13">
        <f>SUMIFS(SALIDAS_BIT,FECHA_BIT,"&gt;="&amp;BM$2,FECHA_BIT,"&lt;="&amp;BM$3,CLAVE_BIT,$A191)+SUMIFS(SALIDAS_BOV1,FECHA_BOV1,"&gt;="&amp;BM$2,FECHA_BOV1,"&lt;="&amp;BM$3,CLAVE_BOV1,$A191)+SUMIFS(SALIDAS_BOV2,FECHA_BOV2,"&gt;="&amp;BM$2,FECHA_BOV2,"&lt;="&amp;BM$3,CLAVE_BOV2,$A191)+SUMIFS(SALIDAS_BOV3,FECHA_BOV3,"&gt;="&amp;BM$2,FECHA_BOV3,"&lt;="&amp;BM$3,CLAVE_BOV3,$A191)+SUMIFS(SALIDAS_TC,FECHA_TC,"&gt;="&amp;BM$2,FECHA_TC,"&lt;="&amp;BM$3,CLAVE_TC,$A191)+SUMIFS(SALIDAS_COMB,FECHA_COMB,"&gt;="&amp;BM$2,FECHA_COMB,"&lt;="&amp;BM$3,CLAVE_COMB,$A191)+SUMIFS(SALIDAS_DES,FECHA_DESGLOSEN,"&gt;="&amp;BM$2,FECHA_DESGLOSEN,"&lt;="&amp;BM$3,CLAVE_DESGLOSE,$A191)</f>
        <v>5150</v>
      </c>
      <c r="BN191" s="13">
        <f>SUMIFS(SALIDAS_BIT,FECHA_BIT,"&gt;="&amp;BN$2,FECHA_BIT,"&lt;="&amp;BN$3,CLAVE_BIT,$A191)+SUMIFS(SALIDAS_BOV1,FECHA_BOV1,"&gt;="&amp;BN$2,FECHA_BOV1,"&lt;="&amp;BN$3,CLAVE_BOV1,$A191)+SUMIFS(SALIDAS_BOV2,FECHA_BOV2,"&gt;="&amp;BN$2,FECHA_BOV2,"&lt;="&amp;BN$3,CLAVE_BOV2,$A191)+SUMIFS(SALIDAS_BOV3,FECHA_BOV3,"&gt;="&amp;BN$2,FECHA_BOV3,"&lt;="&amp;BN$3,CLAVE_BOV3,$A191)+SUMIFS(SALIDAS_TC,FECHA_TC,"&gt;="&amp;BN$2,FECHA_TC,"&lt;="&amp;BN$3,CLAVE_TC,$A191)+SUMIFS(SALIDAS_COMB,FECHA_COMB,"&gt;="&amp;BN$2,FECHA_COMB,"&lt;="&amp;BN$3,CLAVE_COMB,$A191)+SUMIFS(SALIDAS_DES,FECHA_DESGLOSEN,"&gt;="&amp;BN$2,FECHA_DESGLOSEN,"&lt;="&amp;BN$3,CLAVE_DESGLOSE,$A191)</f>
        <v>2050</v>
      </c>
      <c r="BO191" s="13">
        <f>SUMIFS(SALIDAS_BIT,FECHA_BIT,"&gt;="&amp;BO$2,FECHA_BIT,"&lt;="&amp;BO$3,CLAVE_BIT,$A191)+SUMIFS(SALIDAS_BOV1,FECHA_BOV1,"&gt;="&amp;BO$2,FECHA_BOV1,"&lt;="&amp;BO$3,CLAVE_BOV1,$A191)+SUMIFS(SALIDAS_BOV2,FECHA_BOV2,"&gt;="&amp;BO$2,FECHA_BOV2,"&lt;="&amp;BO$3,CLAVE_BOV2,$A191)+SUMIFS(SALIDAS_BOV3,FECHA_BOV3,"&gt;="&amp;BO$2,FECHA_BOV3,"&lt;="&amp;BO$3,CLAVE_BOV3,$A191)+SUMIFS(SALIDAS_TC,FECHA_TC,"&gt;="&amp;BO$2,FECHA_TC,"&lt;="&amp;BO$3,CLAVE_TC,$A191)+SUMIFS(SALIDAS_COMB,FECHA_COMB,"&gt;="&amp;BO$2,FECHA_COMB,"&lt;="&amp;BO$3,CLAVE_COMB,$A191)+SUMIFS(SALIDAS_DES,FECHA_DESGLOSEN,"&gt;="&amp;BO$2,FECHA_DESGLOSEN,"&lt;="&amp;BO$3,CLAVE_DESGLOSE,$A191)</f>
        <v>3150</v>
      </c>
      <c r="BP191" s="13">
        <f>SUMIFS(SALIDAS_BIT,FECHA_BIT,"&gt;="&amp;BP$2,FECHA_BIT,"&lt;="&amp;BP$3,CLAVE_BIT,$A191)+SUMIFS(SALIDAS_BOV1,FECHA_BOV1,"&gt;="&amp;BP$2,FECHA_BOV1,"&lt;="&amp;BP$3,CLAVE_BOV1,$A191)+SUMIFS(SALIDAS_BOV2,FECHA_BOV2,"&gt;="&amp;BP$2,FECHA_BOV2,"&lt;="&amp;BP$3,CLAVE_BOV2,$A191)+SUMIFS(SALIDAS_BOV3,FECHA_BOV3,"&gt;="&amp;BP$2,FECHA_BOV3,"&lt;="&amp;BP$3,CLAVE_BOV3,$A191)+SUMIFS(SALIDAS_TC,FECHA_TC,"&gt;="&amp;BP$2,FECHA_TC,"&lt;="&amp;BP$3,CLAVE_TC,$A191)+SUMIFS(SALIDAS_COMB,FECHA_COMB,"&gt;="&amp;BP$2,FECHA_COMB,"&lt;="&amp;BP$3,CLAVE_COMB,$A191)+SUMIFS(SALIDAS_DES,FECHA_DESGLOSEN,"&gt;="&amp;BP$2,FECHA_DESGLOSEN,"&lt;="&amp;BP$3,CLAVE_DESGLOSE,$A191)</f>
        <v>4528</v>
      </c>
      <c r="BQ191" s="13">
        <f>SUMIFS(SALIDAS_BIT,FECHA_BIT,"&gt;="&amp;BQ$2,FECHA_BIT,"&lt;="&amp;BQ$3,CLAVE_BIT,$A191)+SUMIFS(SALIDAS_BOV1,FECHA_BOV1,"&gt;="&amp;BQ$2,FECHA_BOV1,"&lt;="&amp;BQ$3,CLAVE_BOV1,$A191)+SUMIFS(SALIDAS_BOV2,FECHA_BOV2,"&gt;="&amp;BQ$2,FECHA_BOV2,"&lt;="&amp;BQ$3,CLAVE_BOV2,$A191)+SUMIFS(SALIDAS_BOV3,FECHA_BOV3,"&gt;="&amp;BQ$2,FECHA_BOV3,"&lt;="&amp;BQ$3,CLAVE_BOV3,$A191)+SUMIFS(SALIDAS_TC,FECHA_TC,"&gt;="&amp;BQ$2,FECHA_TC,"&lt;="&amp;BQ$3,CLAVE_TC,$A191)+SUMIFS(SALIDAS_COMB,FECHA_COMB,"&gt;="&amp;BQ$2,FECHA_COMB,"&lt;="&amp;BQ$3,CLAVE_COMB,$A191)+SUMIFS(SALIDAS_DES,FECHA_DESGLOSEN,"&gt;="&amp;BQ$2,FECHA_DESGLOSEN,"&lt;="&amp;BQ$3,CLAVE_DESGLOSE,$A191)</f>
        <v>2050</v>
      </c>
      <c r="BR191" s="13">
        <f t="shared" si="331"/>
        <v>16928</v>
      </c>
      <c r="BS191" s="68">
        <f t="shared" si="261"/>
        <v>-3928</v>
      </c>
      <c r="BT191" s="268">
        <f t="shared" si="262"/>
        <v>1.3021538461538462</v>
      </c>
      <c r="BU191" s="13">
        <f t="shared" si="263"/>
        <v>15000</v>
      </c>
      <c r="BV191" s="13">
        <f t="shared" si="291"/>
        <v>5000</v>
      </c>
      <c r="BW191" s="13">
        <f t="shared" si="291"/>
        <v>5200</v>
      </c>
      <c r="BX191" s="13">
        <f t="shared" si="291"/>
        <v>4100</v>
      </c>
      <c r="BY191" s="13">
        <f t="shared" si="291"/>
        <v>1100</v>
      </c>
      <c r="BZ191" s="13">
        <f t="shared" si="332"/>
        <v>15400</v>
      </c>
      <c r="CA191" s="68">
        <f t="shared" si="264"/>
        <v>-400</v>
      </c>
      <c r="CB191" s="268">
        <f t="shared" si="265"/>
        <v>1.0266666666666666</v>
      </c>
      <c r="CC191" s="13">
        <f t="shared" si="266"/>
        <v>15000</v>
      </c>
      <c r="CD191" s="13">
        <f t="shared" si="292"/>
        <v>15500</v>
      </c>
      <c r="CE191" s="13">
        <f t="shared" si="292"/>
        <v>1100</v>
      </c>
      <c r="CF191" s="13">
        <f t="shared" si="292"/>
        <v>4690</v>
      </c>
      <c r="CG191" s="13">
        <f t="shared" si="292"/>
        <v>1100</v>
      </c>
      <c r="CH191" s="13">
        <f t="shared" si="333"/>
        <v>22390</v>
      </c>
      <c r="CI191" s="68">
        <f t="shared" si="267"/>
        <v>-7390</v>
      </c>
      <c r="CJ191" s="268">
        <f t="shared" si="268"/>
        <v>1.4926666666666666</v>
      </c>
      <c r="CK191" s="13">
        <f t="shared" si="269"/>
        <v>15000</v>
      </c>
      <c r="CL191" s="13">
        <f t="shared" si="312"/>
        <v>7550</v>
      </c>
      <c r="CM191" s="13">
        <f t="shared" si="312"/>
        <v>1100</v>
      </c>
      <c r="CN191" s="13">
        <f t="shared" si="312"/>
        <v>4450</v>
      </c>
      <c r="CO191" s="13">
        <f t="shared" si="312"/>
        <v>8750</v>
      </c>
      <c r="CP191" s="13">
        <f t="shared" si="312"/>
        <v>8450</v>
      </c>
      <c r="CQ191" s="13">
        <f t="shared" si="334"/>
        <v>30300</v>
      </c>
      <c r="CR191" s="68">
        <f t="shared" si="270"/>
        <v>-15300</v>
      </c>
      <c r="CS191" s="268">
        <f t="shared" si="271"/>
        <v>2.02</v>
      </c>
      <c r="CT191" s="68">
        <f t="shared" si="244"/>
        <v>12800</v>
      </c>
      <c r="CU191" s="13">
        <f>SUMIFS(SALIDAS_BIT,FECHA_BIT,"&gt;="&amp;CU$2,FECHA_BIT,"&lt;="&amp;CU$3,CLAVE_BIT,$A191)+SUMIFS(SALIDAS_BOV1,FECHA_BOV1,"&gt;="&amp;CU$2,FECHA_BOV1,"&lt;="&amp;CU$3,CLAVE_BOV1,$A191)+SUMIFS(SALIDAS_BOV2,FECHA_BOV2,"&gt;="&amp;CU$2,FECHA_BOV2,"&lt;="&amp;CU$3,CLAVE_BOV2,$A191)+SUMIFS(SALIDAS_BOV3,FECHA_BOV3,"&gt;="&amp;CU$2,FECHA_BOV3,"&lt;="&amp;CU$3,CLAVE_BOV3,$A191)+SUMIFS(SALIDAS_TC,FECHA_TC,"&gt;="&amp;CU$2,FECHA_TC,"&lt;="&amp;CU$3,CLAVE_TC,$A191)+SUMIFS(SALIDAS_COMB,FECHA_COMB,"&gt;="&amp;CU$2,FECHA_COMB,"&lt;="&amp;CU$3,CLAVE_COMB,$A191)+SUMIFS(SALIDAS_DES,FECHA_DESGLOSEN,"&gt;="&amp;CU$2,FECHA_DESGLOSEN,"&lt;="&amp;CU$3,CLAVE_DESGLOSE,$A191)</f>
        <v>1100</v>
      </c>
      <c r="CV191" s="13">
        <f>SUMIFS(SALIDAS_BIT,FECHA_BIT,"&gt;="&amp;CV$2,FECHA_BIT,"&lt;="&amp;CV$3,CLAVE_BIT,$A191)+SUMIFS(SALIDAS_BOV1,FECHA_BOV1,"&gt;="&amp;CV$2,FECHA_BOV1,"&lt;="&amp;CV$3,CLAVE_BOV1,$A191)+SUMIFS(SALIDAS_BOV2,FECHA_BOV2,"&gt;="&amp;CV$2,FECHA_BOV2,"&lt;="&amp;CV$3,CLAVE_BOV2,$A191)+SUMIFS(SALIDAS_BOV3,FECHA_BOV3,"&gt;="&amp;CV$2,FECHA_BOV3,"&lt;="&amp;CV$3,CLAVE_BOV3,$A191)+SUMIFS(SALIDAS_TC,FECHA_TC,"&gt;="&amp;CV$2,FECHA_TC,"&lt;="&amp;CV$3,CLAVE_TC,$A191)+SUMIFS(SALIDAS_COMB,FECHA_COMB,"&gt;="&amp;CV$2,FECHA_COMB,"&lt;="&amp;CV$3,CLAVE_COMB,$A191)+SUMIFS(SALIDAS_DES,FECHA_DESGLOSEN,"&gt;="&amp;CV$2,FECHA_DESGLOSEN,"&lt;="&amp;CV$3,CLAVE_DESGLOSE,$A191)</f>
        <v>2200</v>
      </c>
      <c r="CW191" s="13">
        <f>SUMIFS(SALIDAS_BIT,FECHA_BIT,"&gt;="&amp;CW$2,FECHA_BIT,"&lt;="&amp;CW$3,CLAVE_BIT,$A191)+SUMIFS(SALIDAS_BOV1,FECHA_BOV1,"&gt;="&amp;CW$2,FECHA_BOV1,"&lt;="&amp;CW$3,CLAVE_BOV1,$A191)+SUMIFS(SALIDAS_BOV2,FECHA_BOV2,"&gt;="&amp;CW$2,FECHA_BOV2,"&lt;="&amp;CW$3,CLAVE_BOV2,$A191)+SUMIFS(SALIDAS_BOV3,FECHA_BOV3,"&gt;="&amp;CW$2,FECHA_BOV3,"&lt;="&amp;CW$3,CLAVE_BOV3,$A191)+SUMIFS(SALIDAS_TC,FECHA_TC,"&gt;="&amp;CW$2,FECHA_TC,"&lt;="&amp;CW$3,CLAVE_TC,$A191)+SUMIFS(SALIDAS_COMB,FECHA_COMB,"&gt;="&amp;CW$2,FECHA_COMB,"&lt;="&amp;CW$3,CLAVE_COMB,$A191)+SUMIFS(SALIDAS_DES,FECHA_DESGLOSEN,"&gt;="&amp;CW$2,FECHA_DESGLOSEN,"&lt;="&amp;CW$3,CLAVE_DESGLOSE,$A191)</f>
        <v>6550</v>
      </c>
      <c r="CX191" s="13">
        <f>SUMIFS(SALIDAS_BIT,FECHA_BIT,"&gt;="&amp;CX$2,FECHA_BIT,"&lt;="&amp;CX$3,CLAVE_BIT,$A191)+SUMIFS(SALIDAS_BOV1,FECHA_BOV1,"&gt;="&amp;CX$2,FECHA_BOV1,"&lt;="&amp;CX$3,CLAVE_BOV1,$A191)+SUMIFS(SALIDAS_BOV2,FECHA_BOV2,"&gt;="&amp;CX$2,FECHA_BOV2,"&lt;="&amp;CX$3,CLAVE_BOV2,$A191)+SUMIFS(SALIDAS_BOV3,FECHA_BOV3,"&gt;="&amp;CX$2,FECHA_BOV3,"&lt;="&amp;CX$3,CLAVE_BOV3,$A191)+SUMIFS(SALIDAS_TC,FECHA_TC,"&gt;="&amp;CX$2,FECHA_TC,"&lt;="&amp;CX$3,CLAVE_TC,$A191)+SUMIFS(SALIDAS_COMB,FECHA_COMB,"&gt;="&amp;CX$2,FECHA_COMB,"&lt;="&amp;CX$3,CLAVE_COMB,$A191)+SUMIFS(SALIDAS_DES,FECHA_DESGLOSEN,"&gt;="&amp;CX$2,FECHA_DESGLOSEN,"&lt;="&amp;CX$3,CLAVE_DESGLOSE,$A191)</f>
        <v>5300</v>
      </c>
      <c r="CY191" s="13">
        <f>SUMIFS(SALIDAS_BIT,FECHA_BIT,"&gt;="&amp;CY$2,FECHA_BIT,"&lt;="&amp;CY$3,CLAVE_BIT,$A191)+SUMIFS(SALIDAS_BOV1,FECHA_BOV1,"&gt;="&amp;CY$2,FECHA_BOV1,"&lt;="&amp;CY$3,CLAVE_BOV1,$A191)+SUMIFS(SALIDAS_BOV2,FECHA_BOV2,"&gt;="&amp;CY$2,FECHA_BOV2,"&lt;="&amp;CY$3,CLAVE_BOV2,$A191)+SUMIFS(SALIDAS_BOV3,FECHA_BOV3,"&gt;="&amp;CY$2,FECHA_BOV3,"&lt;="&amp;CY$3,CLAVE_BOV3,$A191)+SUMIFS(SALIDAS_TC,FECHA_TC,"&gt;="&amp;CY$2,FECHA_TC,"&lt;="&amp;CY$3,CLAVE_TC,$A191)+SUMIFS(SALIDAS_COMB,FECHA_COMB,"&gt;="&amp;CY$2,FECHA_COMB,"&lt;="&amp;CY$3,CLAVE_COMB,$A191)+SUMIFS(SALIDAS_DES,FECHA_DESGLOSEN,"&gt;="&amp;CY$2,FECHA_DESGLOSEN,"&lt;="&amp;CY$3,CLAVE_DESGLOSE,$A191)</f>
        <v>15150</v>
      </c>
      <c r="CZ191" s="68">
        <f t="shared" si="272"/>
        <v>-2350</v>
      </c>
      <c r="DB191" s="17">
        <f>F191+N191+W191+AE191+AM191+AV191+BD191+BL191+BU191+CC191+CK191</f>
        <v>140000</v>
      </c>
      <c r="DC191" s="17">
        <f>K191+T191+AB191+AJ191+AS191+BA191+BI191+BR191+BZ191+CH191+CQ191</f>
        <v>157618</v>
      </c>
    </row>
    <row r="192" spans="1:107" hidden="1">
      <c r="A192" s="12" t="str">
        <f t="shared" si="245"/>
        <v>SERVICIOSVIATICOSINVENTARIOS</v>
      </c>
      <c r="B192" s="12">
        <v>194</v>
      </c>
      <c r="C192" t="s">
        <v>21</v>
      </c>
      <c r="D192" s="12" t="s">
        <v>191</v>
      </c>
      <c r="E192" s="12" t="s">
        <v>34</v>
      </c>
      <c r="F192" s="259">
        <f t="shared" si="238"/>
        <v>8000</v>
      </c>
      <c r="G192" s="13">
        <f t="shared" si="326"/>
        <v>600</v>
      </c>
      <c r="H192" s="13">
        <f t="shared" si="326"/>
        <v>0</v>
      </c>
      <c r="I192" s="13">
        <f t="shared" si="326"/>
        <v>900</v>
      </c>
      <c r="J192" s="13">
        <f t="shared" si="326"/>
        <v>900</v>
      </c>
      <c r="K192" s="13">
        <f t="shared" si="326"/>
        <v>2400</v>
      </c>
      <c r="L192" s="68">
        <f t="shared" si="246"/>
        <v>5600</v>
      </c>
      <c r="M192" s="268">
        <f t="shared" si="247"/>
        <v>0.3</v>
      </c>
      <c r="N192" s="13">
        <f t="shared" si="239"/>
        <v>5000</v>
      </c>
      <c r="O192" s="13">
        <f t="shared" si="327"/>
        <v>900</v>
      </c>
      <c r="P192" s="13">
        <f t="shared" si="327"/>
        <v>600</v>
      </c>
      <c r="Q192" s="13">
        <f t="shared" si="327"/>
        <v>400</v>
      </c>
      <c r="R192" s="13">
        <f t="shared" si="327"/>
        <v>600</v>
      </c>
      <c r="S192" s="13">
        <f t="shared" si="327"/>
        <v>600</v>
      </c>
      <c r="T192" s="13">
        <f t="shared" si="327"/>
        <v>3100</v>
      </c>
      <c r="U192" s="68">
        <f t="shared" si="248"/>
        <v>1900</v>
      </c>
      <c r="V192" s="268">
        <f t="shared" si="249"/>
        <v>0.62</v>
      </c>
      <c r="W192" s="13">
        <f t="shared" si="240"/>
        <v>2000</v>
      </c>
      <c r="X192" s="13">
        <f t="shared" si="328"/>
        <v>0</v>
      </c>
      <c r="Y192" s="13">
        <f t="shared" si="328"/>
        <v>0</v>
      </c>
      <c r="Z192" s="13">
        <f t="shared" si="328"/>
        <v>0</v>
      </c>
      <c r="AA192" s="13">
        <f t="shared" si="328"/>
        <v>600</v>
      </c>
      <c r="AB192" s="13">
        <f t="shared" si="328"/>
        <v>600</v>
      </c>
      <c r="AC192" s="68">
        <f t="shared" si="250"/>
        <v>1400</v>
      </c>
      <c r="AD192" s="268">
        <f t="shared" si="251"/>
        <v>0.3</v>
      </c>
      <c r="AE192" s="13">
        <f t="shared" si="241"/>
        <v>2000</v>
      </c>
      <c r="AF192" s="13">
        <f t="shared" si="329"/>
        <v>600</v>
      </c>
      <c r="AG192" s="13">
        <f t="shared" si="329"/>
        <v>0</v>
      </c>
      <c r="AH192" s="13">
        <f t="shared" si="329"/>
        <v>400</v>
      </c>
      <c r="AI192" s="13">
        <f t="shared" si="329"/>
        <v>0</v>
      </c>
      <c r="AJ192" s="13">
        <f t="shared" si="329"/>
        <v>1000</v>
      </c>
      <c r="AK192" s="68">
        <f t="shared" si="252"/>
        <v>1000</v>
      </c>
      <c r="AL192" s="268">
        <f t="shared" si="253"/>
        <v>0.5</v>
      </c>
      <c r="AM192" s="13">
        <f t="shared" si="242"/>
        <v>2000</v>
      </c>
      <c r="AN192" s="13">
        <f t="shared" si="330"/>
        <v>0</v>
      </c>
      <c r="AO192" s="13">
        <f t="shared" si="330"/>
        <v>400</v>
      </c>
      <c r="AP192" s="13">
        <f t="shared" si="330"/>
        <v>0</v>
      </c>
      <c r="AQ192" s="13">
        <f t="shared" si="330"/>
        <v>0</v>
      </c>
      <c r="AR192" s="13">
        <f t="shared" si="330"/>
        <v>0</v>
      </c>
      <c r="AS192" s="13">
        <f t="shared" si="330"/>
        <v>400</v>
      </c>
      <c r="AT192" s="68">
        <f>AM192-AS192</f>
        <v>1600</v>
      </c>
      <c r="AU192" s="268">
        <f t="shared" si="254"/>
        <v>0.2</v>
      </c>
      <c r="AV192" s="13">
        <f t="shared" si="243"/>
        <v>2000</v>
      </c>
      <c r="AW192" s="13">
        <f t="shared" si="323"/>
        <v>400</v>
      </c>
      <c r="AX192" s="13">
        <f t="shared" si="323"/>
        <v>0</v>
      </c>
      <c r="AY192" s="13">
        <f t="shared" si="323"/>
        <v>0</v>
      </c>
      <c r="AZ192" s="13">
        <f t="shared" si="323"/>
        <v>0</v>
      </c>
      <c r="BA192" s="13">
        <f t="shared" si="324"/>
        <v>400</v>
      </c>
      <c r="BB192" s="68">
        <f t="shared" si="255"/>
        <v>1600</v>
      </c>
      <c r="BC192" s="268">
        <f t="shared" si="256"/>
        <v>0.2</v>
      </c>
      <c r="BD192" s="13">
        <f t="shared" si="257"/>
        <v>2000</v>
      </c>
      <c r="BE192" s="13">
        <f>SUMIFS(SALIDAS_BIT,FECHA_BIT,"&gt;="&amp;BE$2,FECHA_BIT,"&lt;="&amp;BE$3,CLAVE_BIT,$A192)+SUMIFS(SALIDAS_BOV1,FECHA_BOV1,"&gt;="&amp;BE$2,FECHA_BOV1,"&lt;="&amp;BE$3,CLAVE_BOV1,$A192)+SUMIFS(SALIDAS_BOV2,FECHA_BOV2,"&gt;="&amp;BE$2,FECHA_BOV2,"&lt;="&amp;BE$3,CLAVE_BOV2,$A192)+SUMIFS(SALIDAS_BOV3,FECHA_BOV3,"&gt;="&amp;BE$2,FECHA_BOV3,"&lt;="&amp;BE$3,CLAVE_BOV3,$A192)+SUMIFS(SALIDAS_TC,FECHA_TC,"&gt;="&amp;BE$2,FECHA_TC,"&lt;="&amp;BE$3,CLAVE_TC,$A192)+SUMIFS(SALIDAS_COMB,FECHA_COMB,"&gt;="&amp;BE$2,FECHA_COMB,"&lt;="&amp;BE$3,CLAVE_COMB,$A192)+SUMIFS(SALIDAS_DES,FECHA_DESGLOSEN,"&gt;="&amp;BE$2,FECHA_DESGLOSEN,"&lt;="&amp;BE$3,CLAVE_DESGLOSE,$A192)</f>
        <v>0</v>
      </c>
      <c r="BF192" s="13">
        <f>SUMIFS(SALIDAS_BIT,FECHA_BIT,"&gt;="&amp;BF$2,FECHA_BIT,"&lt;="&amp;BF$3,CLAVE_BIT,$A192)+SUMIFS(SALIDAS_BOV1,FECHA_BOV1,"&gt;="&amp;BF$2,FECHA_BOV1,"&lt;="&amp;BF$3,CLAVE_BOV1,$A192)+SUMIFS(SALIDAS_BOV2,FECHA_BOV2,"&gt;="&amp;BF$2,FECHA_BOV2,"&lt;="&amp;BF$3,CLAVE_BOV2,$A192)+SUMIFS(SALIDAS_BOV3,FECHA_BOV3,"&gt;="&amp;BF$2,FECHA_BOV3,"&lt;="&amp;BF$3,CLAVE_BOV3,$A192)+SUMIFS(SALIDAS_TC,FECHA_TC,"&gt;="&amp;BF$2,FECHA_TC,"&lt;="&amp;BF$3,CLAVE_TC,$A192)+SUMIFS(SALIDAS_COMB,FECHA_COMB,"&gt;="&amp;BF$2,FECHA_COMB,"&lt;="&amp;BF$3,CLAVE_COMB,$A192)+SUMIFS(SALIDAS_DES,FECHA_DESGLOSEN,"&gt;="&amp;BF$2,FECHA_DESGLOSEN,"&lt;="&amp;BF$3,CLAVE_DESGLOSE,$A192)</f>
        <v>0</v>
      </c>
      <c r="BG192" s="13">
        <f>SUMIFS(SALIDAS_BIT,FECHA_BIT,"&gt;="&amp;BG$2,FECHA_BIT,"&lt;="&amp;BG$3,CLAVE_BIT,$A192)+SUMIFS(SALIDAS_BOV1,FECHA_BOV1,"&gt;="&amp;BG$2,FECHA_BOV1,"&lt;="&amp;BG$3,CLAVE_BOV1,$A192)+SUMIFS(SALIDAS_BOV2,FECHA_BOV2,"&gt;="&amp;BG$2,FECHA_BOV2,"&lt;="&amp;BG$3,CLAVE_BOV2,$A192)+SUMIFS(SALIDAS_BOV3,FECHA_BOV3,"&gt;="&amp;BG$2,FECHA_BOV3,"&lt;="&amp;BG$3,CLAVE_BOV3,$A192)+SUMIFS(SALIDAS_TC,FECHA_TC,"&gt;="&amp;BG$2,FECHA_TC,"&lt;="&amp;BG$3,CLAVE_TC,$A192)+SUMIFS(SALIDAS_COMB,FECHA_COMB,"&gt;="&amp;BG$2,FECHA_COMB,"&lt;="&amp;BG$3,CLAVE_COMB,$A192)+SUMIFS(SALIDAS_DES,FECHA_DESGLOSEN,"&gt;="&amp;BG$2,FECHA_DESGLOSEN,"&lt;="&amp;BG$3,CLAVE_DESGLOSE,$A192)</f>
        <v>0</v>
      </c>
      <c r="BH192" s="13">
        <f>SUMIFS(SALIDAS_BIT,FECHA_BIT,"&gt;="&amp;BH$2,FECHA_BIT,"&lt;="&amp;BH$3,CLAVE_BIT,$A192)+SUMIFS(SALIDAS_BOV1,FECHA_BOV1,"&gt;="&amp;BH$2,FECHA_BOV1,"&lt;="&amp;BH$3,CLAVE_BOV1,$A192)+SUMIFS(SALIDAS_BOV2,FECHA_BOV2,"&gt;="&amp;BH$2,FECHA_BOV2,"&lt;="&amp;BH$3,CLAVE_BOV2,$A192)+SUMIFS(SALIDAS_BOV3,FECHA_BOV3,"&gt;="&amp;BH$2,FECHA_BOV3,"&lt;="&amp;BH$3,CLAVE_BOV3,$A192)+SUMIFS(SALIDAS_TC,FECHA_TC,"&gt;="&amp;BH$2,FECHA_TC,"&lt;="&amp;BH$3,CLAVE_TC,$A192)+SUMIFS(SALIDAS_COMB,FECHA_COMB,"&gt;="&amp;BH$2,FECHA_COMB,"&lt;="&amp;BH$3,CLAVE_COMB,$A192)+SUMIFS(SALIDAS_DES,FECHA_DESGLOSEN,"&gt;="&amp;BH$2,FECHA_DESGLOSEN,"&lt;="&amp;BH$3,CLAVE_DESGLOSE,$A192)</f>
        <v>0</v>
      </c>
      <c r="BI192" s="13">
        <f t="shared" si="311"/>
        <v>0</v>
      </c>
      <c r="BJ192" s="68">
        <f t="shared" si="258"/>
        <v>2000</v>
      </c>
      <c r="BK192" s="268">
        <f t="shared" si="259"/>
        <v>0</v>
      </c>
      <c r="BL192" s="13">
        <f t="shared" si="260"/>
        <v>2000</v>
      </c>
      <c r="BM192" s="13">
        <f>SUMIFS(SALIDAS_BIT,FECHA_BIT,"&gt;="&amp;BM$2,FECHA_BIT,"&lt;="&amp;BM$3,CLAVE_BIT,$A192)+SUMIFS(SALIDAS_BOV1,FECHA_BOV1,"&gt;="&amp;BM$2,FECHA_BOV1,"&lt;="&amp;BM$3,CLAVE_BOV1,$A192)+SUMIFS(SALIDAS_BOV2,FECHA_BOV2,"&gt;="&amp;BM$2,FECHA_BOV2,"&lt;="&amp;BM$3,CLAVE_BOV2,$A192)+SUMIFS(SALIDAS_BOV3,FECHA_BOV3,"&gt;="&amp;BM$2,FECHA_BOV3,"&lt;="&amp;BM$3,CLAVE_BOV3,$A192)+SUMIFS(SALIDAS_TC,FECHA_TC,"&gt;="&amp;BM$2,FECHA_TC,"&lt;="&amp;BM$3,CLAVE_TC,$A192)+SUMIFS(SALIDAS_COMB,FECHA_COMB,"&gt;="&amp;BM$2,FECHA_COMB,"&lt;="&amp;BM$3,CLAVE_COMB,$A192)+SUMIFS(SALIDAS_DES,FECHA_DESGLOSEN,"&gt;="&amp;BM$2,FECHA_DESGLOSEN,"&lt;="&amp;BM$3,CLAVE_DESGLOSE,$A192)</f>
        <v>0</v>
      </c>
      <c r="BN192" s="13">
        <f>SUMIFS(SALIDAS_BIT,FECHA_BIT,"&gt;="&amp;BN$2,FECHA_BIT,"&lt;="&amp;BN$3,CLAVE_BIT,$A192)+SUMIFS(SALIDAS_BOV1,FECHA_BOV1,"&gt;="&amp;BN$2,FECHA_BOV1,"&lt;="&amp;BN$3,CLAVE_BOV1,$A192)+SUMIFS(SALIDAS_BOV2,FECHA_BOV2,"&gt;="&amp;BN$2,FECHA_BOV2,"&lt;="&amp;BN$3,CLAVE_BOV2,$A192)+SUMIFS(SALIDAS_BOV3,FECHA_BOV3,"&gt;="&amp;BN$2,FECHA_BOV3,"&lt;="&amp;BN$3,CLAVE_BOV3,$A192)+SUMIFS(SALIDAS_TC,FECHA_TC,"&gt;="&amp;BN$2,FECHA_TC,"&lt;="&amp;BN$3,CLAVE_TC,$A192)+SUMIFS(SALIDAS_COMB,FECHA_COMB,"&gt;="&amp;BN$2,FECHA_COMB,"&lt;="&amp;BN$3,CLAVE_COMB,$A192)+SUMIFS(SALIDAS_DES,FECHA_DESGLOSEN,"&gt;="&amp;BN$2,FECHA_DESGLOSEN,"&lt;="&amp;BN$3,CLAVE_DESGLOSE,$A192)</f>
        <v>0</v>
      </c>
      <c r="BO192" s="13">
        <f>SUMIFS(SALIDAS_BIT,FECHA_BIT,"&gt;="&amp;BO$2,FECHA_BIT,"&lt;="&amp;BO$3,CLAVE_BIT,$A192)+SUMIFS(SALIDAS_BOV1,FECHA_BOV1,"&gt;="&amp;BO$2,FECHA_BOV1,"&lt;="&amp;BO$3,CLAVE_BOV1,$A192)+SUMIFS(SALIDAS_BOV2,FECHA_BOV2,"&gt;="&amp;BO$2,FECHA_BOV2,"&lt;="&amp;BO$3,CLAVE_BOV2,$A192)+SUMIFS(SALIDAS_BOV3,FECHA_BOV3,"&gt;="&amp;BO$2,FECHA_BOV3,"&lt;="&amp;BO$3,CLAVE_BOV3,$A192)+SUMIFS(SALIDAS_TC,FECHA_TC,"&gt;="&amp;BO$2,FECHA_TC,"&lt;="&amp;BO$3,CLAVE_TC,$A192)+SUMIFS(SALIDAS_COMB,FECHA_COMB,"&gt;="&amp;BO$2,FECHA_COMB,"&lt;="&amp;BO$3,CLAVE_COMB,$A192)+SUMIFS(SALIDAS_DES,FECHA_DESGLOSEN,"&gt;="&amp;BO$2,FECHA_DESGLOSEN,"&lt;="&amp;BO$3,CLAVE_DESGLOSE,$A192)</f>
        <v>0</v>
      </c>
      <c r="BP192" s="13">
        <f>SUMIFS(SALIDAS_BIT,FECHA_BIT,"&gt;="&amp;BP$2,FECHA_BIT,"&lt;="&amp;BP$3,CLAVE_BIT,$A192)+SUMIFS(SALIDAS_BOV1,FECHA_BOV1,"&gt;="&amp;BP$2,FECHA_BOV1,"&lt;="&amp;BP$3,CLAVE_BOV1,$A192)+SUMIFS(SALIDAS_BOV2,FECHA_BOV2,"&gt;="&amp;BP$2,FECHA_BOV2,"&lt;="&amp;BP$3,CLAVE_BOV2,$A192)+SUMIFS(SALIDAS_BOV3,FECHA_BOV3,"&gt;="&amp;BP$2,FECHA_BOV3,"&lt;="&amp;BP$3,CLAVE_BOV3,$A192)+SUMIFS(SALIDAS_TC,FECHA_TC,"&gt;="&amp;BP$2,FECHA_TC,"&lt;="&amp;BP$3,CLAVE_TC,$A192)+SUMIFS(SALIDAS_COMB,FECHA_COMB,"&gt;="&amp;BP$2,FECHA_COMB,"&lt;="&amp;BP$3,CLAVE_COMB,$A192)+SUMIFS(SALIDAS_DES,FECHA_DESGLOSEN,"&gt;="&amp;BP$2,FECHA_DESGLOSEN,"&lt;="&amp;BP$3,CLAVE_DESGLOSE,$A192)</f>
        <v>0</v>
      </c>
      <c r="BQ192" s="13">
        <f>SUMIFS(SALIDAS_BIT,FECHA_BIT,"&gt;="&amp;BQ$2,FECHA_BIT,"&lt;="&amp;BQ$3,CLAVE_BIT,$A192)+SUMIFS(SALIDAS_BOV1,FECHA_BOV1,"&gt;="&amp;BQ$2,FECHA_BOV1,"&lt;="&amp;BQ$3,CLAVE_BOV1,$A192)+SUMIFS(SALIDAS_BOV2,FECHA_BOV2,"&gt;="&amp;BQ$2,FECHA_BOV2,"&lt;="&amp;BQ$3,CLAVE_BOV2,$A192)+SUMIFS(SALIDAS_BOV3,FECHA_BOV3,"&gt;="&amp;BQ$2,FECHA_BOV3,"&lt;="&amp;BQ$3,CLAVE_BOV3,$A192)+SUMIFS(SALIDAS_TC,FECHA_TC,"&gt;="&amp;BQ$2,FECHA_TC,"&lt;="&amp;BQ$3,CLAVE_TC,$A192)+SUMIFS(SALIDAS_COMB,FECHA_COMB,"&gt;="&amp;BQ$2,FECHA_COMB,"&lt;="&amp;BQ$3,CLAVE_COMB,$A192)+SUMIFS(SALIDAS_DES,FECHA_DESGLOSEN,"&gt;="&amp;BQ$2,FECHA_DESGLOSEN,"&lt;="&amp;BQ$3,CLAVE_DESGLOSE,$A192)</f>
        <v>0</v>
      </c>
      <c r="BR192" s="13">
        <f t="shared" si="331"/>
        <v>0</v>
      </c>
      <c r="BS192" s="68">
        <f t="shared" si="261"/>
        <v>2000</v>
      </c>
      <c r="BT192" s="268">
        <f t="shared" si="262"/>
        <v>0</v>
      </c>
      <c r="BU192" s="13">
        <f t="shared" si="263"/>
        <v>2000</v>
      </c>
      <c r="BV192" s="13">
        <f t="shared" si="291"/>
        <v>0</v>
      </c>
      <c r="BW192" s="13">
        <f t="shared" si="291"/>
        <v>0</v>
      </c>
      <c r="BX192" s="13">
        <f t="shared" si="291"/>
        <v>0</v>
      </c>
      <c r="BY192" s="13">
        <f t="shared" si="291"/>
        <v>0</v>
      </c>
      <c r="BZ192" s="13">
        <f t="shared" si="332"/>
        <v>0</v>
      </c>
      <c r="CA192" s="68">
        <f t="shared" si="264"/>
        <v>2000</v>
      </c>
      <c r="CB192" s="268">
        <f t="shared" si="265"/>
        <v>0</v>
      </c>
      <c r="CC192" s="13">
        <f t="shared" si="266"/>
        <v>2000</v>
      </c>
      <c r="CD192" s="13">
        <f t="shared" si="292"/>
        <v>0</v>
      </c>
      <c r="CE192" s="13">
        <f t="shared" si="292"/>
        <v>0</v>
      </c>
      <c r="CF192" s="13">
        <f t="shared" si="292"/>
        <v>300</v>
      </c>
      <c r="CG192" s="13">
        <f t="shared" si="292"/>
        <v>0</v>
      </c>
      <c r="CH192" s="13">
        <f t="shared" si="333"/>
        <v>300</v>
      </c>
      <c r="CI192" s="68">
        <f t="shared" si="267"/>
        <v>1700</v>
      </c>
      <c r="CJ192" s="268">
        <f t="shared" si="268"/>
        <v>0.15</v>
      </c>
      <c r="CK192" s="13">
        <f t="shared" si="269"/>
        <v>1000</v>
      </c>
      <c r="CL192" s="13">
        <f t="shared" si="312"/>
        <v>900</v>
      </c>
      <c r="CM192" s="13">
        <f t="shared" si="312"/>
        <v>300</v>
      </c>
      <c r="CN192" s="13">
        <f t="shared" si="312"/>
        <v>0</v>
      </c>
      <c r="CO192" s="13">
        <f t="shared" si="312"/>
        <v>0</v>
      </c>
      <c r="CP192" s="13">
        <f t="shared" si="312"/>
        <v>0</v>
      </c>
      <c r="CQ192" s="13">
        <f t="shared" si="334"/>
        <v>1200</v>
      </c>
      <c r="CR192" s="68">
        <f t="shared" si="270"/>
        <v>-200</v>
      </c>
      <c r="CS192" s="268">
        <f t="shared" si="271"/>
        <v>1.2</v>
      </c>
      <c r="CT192" s="68">
        <f t="shared" si="244"/>
        <v>3000</v>
      </c>
      <c r="CU192" s="13">
        <f>SUMIFS(SALIDAS_BIT,FECHA_BIT,"&gt;="&amp;CU$2,FECHA_BIT,"&lt;="&amp;CU$3,CLAVE_BIT,$A192)+SUMIFS(SALIDAS_BOV1,FECHA_BOV1,"&gt;="&amp;CU$2,FECHA_BOV1,"&lt;="&amp;CU$3,CLAVE_BOV1,$A192)+SUMIFS(SALIDAS_BOV2,FECHA_BOV2,"&gt;="&amp;CU$2,FECHA_BOV2,"&lt;="&amp;CU$3,CLAVE_BOV2,$A192)+SUMIFS(SALIDAS_BOV3,FECHA_BOV3,"&gt;="&amp;CU$2,FECHA_BOV3,"&lt;="&amp;CU$3,CLAVE_BOV3,$A192)+SUMIFS(SALIDAS_TC,FECHA_TC,"&gt;="&amp;CU$2,FECHA_TC,"&lt;="&amp;CU$3,CLAVE_TC,$A192)+SUMIFS(SALIDAS_COMB,FECHA_COMB,"&gt;="&amp;CU$2,FECHA_COMB,"&lt;="&amp;CU$3,CLAVE_COMB,$A192)+SUMIFS(SALIDAS_DES,FECHA_DESGLOSEN,"&gt;="&amp;CU$2,FECHA_DESGLOSEN,"&lt;="&amp;CU$3,CLAVE_DESGLOSE,$A192)</f>
        <v>0</v>
      </c>
      <c r="CV192" s="13">
        <f>SUMIFS(SALIDAS_BIT,FECHA_BIT,"&gt;="&amp;CV$2,FECHA_BIT,"&lt;="&amp;CV$3,CLAVE_BIT,$A192)+SUMIFS(SALIDAS_BOV1,FECHA_BOV1,"&gt;="&amp;CV$2,FECHA_BOV1,"&lt;="&amp;CV$3,CLAVE_BOV1,$A192)+SUMIFS(SALIDAS_BOV2,FECHA_BOV2,"&gt;="&amp;CV$2,FECHA_BOV2,"&lt;="&amp;CV$3,CLAVE_BOV2,$A192)+SUMIFS(SALIDAS_BOV3,FECHA_BOV3,"&gt;="&amp;CV$2,FECHA_BOV3,"&lt;="&amp;CV$3,CLAVE_BOV3,$A192)+SUMIFS(SALIDAS_TC,FECHA_TC,"&gt;="&amp;CV$2,FECHA_TC,"&lt;="&amp;CV$3,CLAVE_TC,$A192)+SUMIFS(SALIDAS_COMB,FECHA_COMB,"&gt;="&amp;CV$2,FECHA_COMB,"&lt;="&amp;CV$3,CLAVE_COMB,$A192)+SUMIFS(SALIDAS_DES,FECHA_DESGLOSEN,"&gt;="&amp;CV$2,FECHA_DESGLOSEN,"&lt;="&amp;CV$3,CLAVE_DESGLOSE,$A192)</f>
        <v>0</v>
      </c>
      <c r="CW192" s="13">
        <f>SUMIFS(SALIDAS_BIT,FECHA_BIT,"&gt;="&amp;CW$2,FECHA_BIT,"&lt;="&amp;CW$3,CLAVE_BIT,$A192)+SUMIFS(SALIDAS_BOV1,FECHA_BOV1,"&gt;="&amp;CW$2,FECHA_BOV1,"&lt;="&amp;CW$3,CLAVE_BOV1,$A192)+SUMIFS(SALIDAS_BOV2,FECHA_BOV2,"&gt;="&amp;CW$2,FECHA_BOV2,"&lt;="&amp;CW$3,CLAVE_BOV2,$A192)+SUMIFS(SALIDAS_BOV3,FECHA_BOV3,"&gt;="&amp;CW$2,FECHA_BOV3,"&lt;="&amp;CW$3,CLAVE_BOV3,$A192)+SUMIFS(SALIDAS_TC,FECHA_TC,"&gt;="&amp;CW$2,FECHA_TC,"&lt;="&amp;CW$3,CLAVE_TC,$A192)+SUMIFS(SALIDAS_COMB,FECHA_COMB,"&gt;="&amp;CW$2,FECHA_COMB,"&lt;="&amp;CW$3,CLAVE_COMB,$A192)+SUMIFS(SALIDAS_DES,FECHA_DESGLOSEN,"&gt;="&amp;CW$2,FECHA_DESGLOSEN,"&lt;="&amp;CW$3,CLAVE_DESGLOSE,$A192)</f>
        <v>700</v>
      </c>
      <c r="CX192" s="13">
        <f>SUMIFS(SALIDAS_BIT,FECHA_BIT,"&gt;="&amp;CX$2,FECHA_BIT,"&lt;="&amp;CX$3,CLAVE_BIT,$A192)+SUMIFS(SALIDAS_BOV1,FECHA_BOV1,"&gt;="&amp;CX$2,FECHA_BOV1,"&lt;="&amp;CX$3,CLAVE_BOV1,$A192)+SUMIFS(SALIDAS_BOV2,FECHA_BOV2,"&gt;="&amp;CX$2,FECHA_BOV2,"&lt;="&amp;CX$3,CLAVE_BOV2,$A192)+SUMIFS(SALIDAS_BOV3,FECHA_BOV3,"&gt;="&amp;CX$2,FECHA_BOV3,"&lt;="&amp;CX$3,CLAVE_BOV3,$A192)+SUMIFS(SALIDAS_TC,FECHA_TC,"&gt;="&amp;CX$2,FECHA_TC,"&lt;="&amp;CX$3,CLAVE_TC,$A192)+SUMIFS(SALIDAS_COMB,FECHA_COMB,"&gt;="&amp;CX$2,FECHA_COMB,"&lt;="&amp;CX$3,CLAVE_COMB,$A192)+SUMIFS(SALIDAS_DES,FECHA_DESGLOSEN,"&gt;="&amp;CX$2,FECHA_DESGLOSEN,"&lt;="&amp;CX$3,CLAVE_DESGLOSE,$A192)</f>
        <v>0</v>
      </c>
      <c r="CY192" s="13">
        <f>SUMIFS(SALIDAS_BIT,FECHA_BIT,"&gt;="&amp;CY$2,FECHA_BIT,"&lt;="&amp;CY$3,CLAVE_BIT,$A192)+SUMIFS(SALIDAS_BOV1,FECHA_BOV1,"&gt;="&amp;CY$2,FECHA_BOV1,"&lt;="&amp;CY$3,CLAVE_BOV1,$A192)+SUMIFS(SALIDAS_BOV2,FECHA_BOV2,"&gt;="&amp;CY$2,FECHA_BOV2,"&lt;="&amp;CY$3,CLAVE_BOV2,$A192)+SUMIFS(SALIDAS_BOV3,FECHA_BOV3,"&gt;="&amp;CY$2,FECHA_BOV3,"&lt;="&amp;CY$3,CLAVE_BOV3,$A192)+SUMIFS(SALIDAS_TC,FECHA_TC,"&gt;="&amp;CY$2,FECHA_TC,"&lt;="&amp;CY$3,CLAVE_TC,$A192)+SUMIFS(SALIDAS_COMB,FECHA_COMB,"&gt;="&amp;CY$2,FECHA_COMB,"&lt;="&amp;CY$3,CLAVE_COMB,$A192)+SUMIFS(SALIDAS_DES,FECHA_DESGLOSEN,"&gt;="&amp;CY$2,FECHA_DESGLOSEN,"&lt;="&amp;CY$3,CLAVE_DESGLOSE,$A192)</f>
        <v>700</v>
      </c>
      <c r="CZ192" s="68">
        <f t="shared" si="272"/>
        <v>2300</v>
      </c>
      <c r="DB192" s="17">
        <f>F192+N192+W192+AE192+AM192+AV192+BD192+BL192+BU192+CC192+CK192</f>
        <v>30000</v>
      </c>
      <c r="DC192" s="17">
        <f>K192+T192+AB192+AJ192+AS192+BA192+BI192+BR192+BZ192+CH192+CQ192</f>
        <v>9400</v>
      </c>
    </row>
    <row r="193" spans="1:107" hidden="1">
      <c r="A193" s="12" t="str">
        <f t="shared" si="245"/>
        <v>SERVICIOSVIATICOSMANTENIMIENTO</v>
      </c>
      <c r="B193" s="12">
        <v>195</v>
      </c>
      <c r="C193" t="s">
        <v>21</v>
      </c>
      <c r="D193" s="12" t="s">
        <v>191</v>
      </c>
      <c r="E193" s="12" t="s">
        <v>35</v>
      </c>
      <c r="F193" s="259">
        <f t="shared" si="238"/>
        <v>0</v>
      </c>
      <c r="G193" s="13">
        <f t="shared" si="326"/>
        <v>0</v>
      </c>
      <c r="H193" s="13">
        <f t="shared" si="326"/>
        <v>0</v>
      </c>
      <c r="I193" s="13">
        <f t="shared" si="326"/>
        <v>0</v>
      </c>
      <c r="J193" s="13">
        <f t="shared" si="326"/>
        <v>0</v>
      </c>
      <c r="K193" s="13">
        <f t="shared" si="326"/>
        <v>0</v>
      </c>
      <c r="L193" s="68">
        <f t="shared" si="246"/>
        <v>0</v>
      </c>
      <c r="M193" s="268">
        <f t="shared" si="247"/>
        <v>0</v>
      </c>
      <c r="N193" s="13">
        <f t="shared" si="239"/>
        <v>0</v>
      </c>
      <c r="O193" s="13">
        <f t="shared" si="327"/>
        <v>0</v>
      </c>
      <c r="P193" s="13">
        <f t="shared" si="327"/>
        <v>0</v>
      </c>
      <c r="Q193" s="13">
        <f t="shared" si="327"/>
        <v>0</v>
      </c>
      <c r="R193" s="13">
        <f t="shared" si="327"/>
        <v>0</v>
      </c>
      <c r="S193" s="13">
        <f t="shared" si="327"/>
        <v>0</v>
      </c>
      <c r="T193" s="13">
        <f t="shared" si="327"/>
        <v>0</v>
      </c>
      <c r="U193" s="68">
        <f t="shared" si="248"/>
        <v>0</v>
      </c>
      <c r="V193" s="268">
        <f t="shared" si="249"/>
        <v>0</v>
      </c>
      <c r="W193" s="13">
        <f t="shared" si="240"/>
        <v>0</v>
      </c>
      <c r="X193" s="13">
        <f t="shared" si="328"/>
        <v>0</v>
      </c>
      <c r="Y193" s="13">
        <f t="shared" si="328"/>
        <v>3100</v>
      </c>
      <c r="Z193" s="13">
        <f t="shared" si="328"/>
        <v>0</v>
      </c>
      <c r="AA193" s="13">
        <f t="shared" si="328"/>
        <v>1800</v>
      </c>
      <c r="AB193" s="13">
        <f t="shared" si="328"/>
        <v>4900</v>
      </c>
      <c r="AC193" s="68">
        <f t="shared" si="250"/>
        <v>-4900</v>
      </c>
      <c r="AD193" s="268">
        <f t="shared" si="251"/>
        <v>0</v>
      </c>
      <c r="AE193" s="13">
        <f t="shared" si="241"/>
        <v>0</v>
      </c>
      <c r="AF193" s="13">
        <f t="shared" si="329"/>
        <v>1100</v>
      </c>
      <c r="AG193" s="13">
        <f t="shared" si="329"/>
        <v>0</v>
      </c>
      <c r="AH193" s="13">
        <f t="shared" si="329"/>
        <v>0</v>
      </c>
      <c r="AI193" s="13">
        <f t="shared" si="329"/>
        <v>0</v>
      </c>
      <c r="AJ193" s="13">
        <f t="shared" si="329"/>
        <v>1100</v>
      </c>
      <c r="AK193" s="68">
        <f t="shared" si="252"/>
        <v>-1100</v>
      </c>
      <c r="AL193" s="268">
        <f t="shared" si="253"/>
        <v>0</v>
      </c>
      <c r="AM193" s="13">
        <f t="shared" si="242"/>
        <v>0</v>
      </c>
      <c r="AN193" s="13">
        <f t="shared" si="330"/>
        <v>500</v>
      </c>
      <c r="AO193" s="13">
        <f t="shared" si="330"/>
        <v>0</v>
      </c>
      <c r="AP193" s="13">
        <f t="shared" si="330"/>
        <v>0</v>
      </c>
      <c r="AQ193" s="13">
        <f t="shared" si="330"/>
        <v>0</v>
      </c>
      <c r="AR193" s="13">
        <f t="shared" si="330"/>
        <v>1100</v>
      </c>
      <c r="AS193" s="13">
        <f t="shared" si="330"/>
        <v>1600</v>
      </c>
      <c r="AT193" s="68">
        <f>AM193-AS193</f>
        <v>-1600</v>
      </c>
      <c r="AU193" s="268">
        <f t="shared" si="254"/>
        <v>0</v>
      </c>
      <c r="AV193" s="13">
        <f t="shared" si="243"/>
        <v>0</v>
      </c>
      <c r="AW193" s="13">
        <f t="shared" si="323"/>
        <v>800</v>
      </c>
      <c r="AX193" s="13">
        <f t="shared" si="323"/>
        <v>0</v>
      </c>
      <c r="AY193" s="13">
        <f t="shared" si="323"/>
        <v>0</v>
      </c>
      <c r="AZ193" s="13">
        <f t="shared" si="323"/>
        <v>0</v>
      </c>
      <c r="BA193" s="13">
        <f t="shared" si="324"/>
        <v>800</v>
      </c>
      <c r="BB193" s="68">
        <f t="shared" si="255"/>
        <v>-800</v>
      </c>
      <c r="BC193" s="268">
        <f t="shared" si="256"/>
        <v>0</v>
      </c>
      <c r="BD193" s="13">
        <f t="shared" si="257"/>
        <v>0</v>
      </c>
      <c r="BE193" s="13">
        <f>SUMIFS(SALIDAS_BIT,FECHA_BIT,"&gt;="&amp;BE$2,FECHA_BIT,"&lt;="&amp;BE$3,CLAVE_BIT,$A193)+SUMIFS(SALIDAS_BOV1,FECHA_BOV1,"&gt;="&amp;BE$2,FECHA_BOV1,"&lt;="&amp;BE$3,CLAVE_BOV1,$A193)+SUMIFS(SALIDAS_BOV2,FECHA_BOV2,"&gt;="&amp;BE$2,FECHA_BOV2,"&lt;="&amp;BE$3,CLAVE_BOV2,$A193)+SUMIFS(SALIDAS_BOV3,FECHA_BOV3,"&gt;="&amp;BE$2,FECHA_BOV3,"&lt;="&amp;BE$3,CLAVE_BOV3,$A193)+SUMIFS(SALIDAS_TC,FECHA_TC,"&gt;="&amp;BE$2,FECHA_TC,"&lt;="&amp;BE$3,CLAVE_TC,$A193)+SUMIFS(SALIDAS_COMB,FECHA_COMB,"&gt;="&amp;BE$2,FECHA_COMB,"&lt;="&amp;BE$3,CLAVE_COMB,$A193)+SUMIFS(SALIDAS_DES,FECHA_DESGLOSEN,"&gt;="&amp;BE$2,FECHA_DESGLOSEN,"&lt;="&amp;BE$3,CLAVE_DESGLOSE,$A193)</f>
        <v>0</v>
      </c>
      <c r="BF193" s="13">
        <f>SUMIFS(SALIDAS_BIT,FECHA_BIT,"&gt;="&amp;BF$2,FECHA_BIT,"&lt;="&amp;BF$3,CLAVE_BIT,$A193)+SUMIFS(SALIDAS_BOV1,FECHA_BOV1,"&gt;="&amp;BF$2,FECHA_BOV1,"&lt;="&amp;BF$3,CLAVE_BOV1,$A193)+SUMIFS(SALIDAS_BOV2,FECHA_BOV2,"&gt;="&amp;BF$2,FECHA_BOV2,"&lt;="&amp;BF$3,CLAVE_BOV2,$A193)+SUMIFS(SALIDAS_BOV3,FECHA_BOV3,"&gt;="&amp;BF$2,FECHA_BOV3,"&lt;="&amp;BF$3,CLAVE_BOV3,$A193)+SUMIFS(SALIDAS_TC,FECHA_TC,"&gt;="&amp;BF$2,FECHA_TC,"&lt;="&amp;BF$3,CLAVE_TC,$A193)+SUMIFS(SALIDAS_COMB,FECHA_COMB,"&gt;="&amp;BF$2,FECHA_COMB,"&lt;="&amp;BF$3,CLAVE_COMB,$A193)+SUMIFS(SALIDAS_DES,FECHA_DESGLOSEN,"&gt;="&amp;BF$2,FECHA_DESGLOSEN,"&lt;="&amp;BF$3,CLAVE_DESGLOSE,$A193)</f>
        <v>2600</v>
      </c>
      <c r="BG193" s="13">
        <f>SUMIFS(SALIDAS_BIT,FECHA_BIT,"&gt;="&amp;BG$2,FECHA_BIT,"&lt;="&amp;BG$3,CLAVE_BIT,$A193)+SUMIFS(SALIDAS_BOV1,FECHA_BOV1,"&gt;="&amp;BG$2,FECHA_BOV1,"&lt;="&amp;BG$3,CLAVE_BOV1,$A193)+SUMIFS(SALIDAS_BOV2,FECHA_BOV2,"&gt;="&amp;BG$2,FECHA_BOV2,"&lt;="&amp;BG$3,CLAVE_BOV2,$A193)+SUMIFS(SALIDAS_BOV3,FECHA_BOV3,"&gt;="&amp;BG$2,FECHA_BOV3,"&lt;="&amp;BG$3,CLAVE_BOV3,$A193)+SUMIFS(SALIDAS_TC,FECHA_TC,"&gt;="&amp;BG$2,FECHA_TC,"&lt;="&amp;BG$3,CLAVE_TC,$A193)+SUMIFS(SALIDAS_COMB,FECHA_COMB,"&gt;="&amp;BG$2,FECHA_COMB,"&lt;="&amp;BG$3,CLAVE_COMB,$A193)+SUMIFS(SALIDAS_DES,FECHA_DESGLOSEN,"&gt;="&amp;BG$2,FECHA_DESGLOSEN,"&lt;="&amp;BG$3,CLAVE_DESGLOSE,$A193)</f>
        <v>0</v>
      </c>
      <c r="BH193" s="13">
        <f>SUMIFS(SALIDAS_BIT,FECHA_BIT,"&gt;="&amp;BH$2,FECHA_BIT,"&lt;="&amp;BH$3,CLAVE_BIT,$A193)+SUMIFS(SALIDAS_BOV1,FECHA_BOV1,"&gt;="&amp;BH$2,FECHA_BOV1,"&lt;="&amp;BH$3,CLAVE_BOV1,$A193)+SUMIFS(SALIDAS_BOV2,FECHA_BOV2,"&gt;="&amp;BH$2,FECHA_BOV2,"&lt;="&amp;BH$3,CLAVE_BOV2,$A193)+SUMIFS(SALIDAS_BOV3,FECHA_BOV3,"&gt;="&amp;BH$2,FECHA_BOV3,"&lt;="&amp;BH$3,CLAVE_BOV3,$A193)+SUMIFS(SALIDAS_TC,FECHA_TC,"&gt;="&amp;BH$2,FECHA_TC,"&lt;="&amp;BH$3,CLAVE_TC,$A193)+SUMIFS(SALIDAS_COMB,FECHA_COMB,"&gt;="&amp;BH$2,FECHA_COMB,"&lt;="&amp;BH$3,CLAVE_COMB,$A193)+SUMIFS(SALIDAS_DES,FECHA_DESGLOSEN,"&gt;="&amp;BH$2,FECHA_DESGLOSEN,"&lt;="&amp;BH$3,CLAVE_DESGLOSE,$A193)</f>
        <v>1200</v>
      </c>
      <c r="BI193" s="13">
        <f t="shared" si="311"/>
        <v>3800</v>
      </c>
      <c r="BJ193" s="68">
        <f t="shared" si="258"/>
        <v>-3800</v>
      </c>
      <c r="BK193" s="268">
        <f t="shared" si="259"/>
        <v>0</v>
      </c>
      <c r="BL193" s="13">
        <f t="shared" si="260"/>
        <v>0</v>
      </c>
      <c r="BM193" s="13">
        <f>SUMIFS(SALIDAS_BIT,FECHA_BIT,"&gt;="&amp;BM$2,FECHA_BIT,"&lt;="&amp;BM$3,CLAVE_BIT,$A193)+SUMIFS(SALIDAS_BOV1,FECHA_BOV1,"&gt;="&amp;BM$2,FECHA_BOV1,"&lt;="&amp;BM$3,CLAVE_BOV1,$A193)+SUMIFS(SALIDAS_BOV2,FECHA_BOV2,"&gt;="&amp;BM$2,FECHA_BOV2,"&lt;="&amp;BM$3,CLAVE_BOV2,$A193)+SUMIFS(SALIDAS_BOV3,FECHA_BOV3,"&gt;="&amp;BM$2,FECHA_BOV3,"&lt;="&amp;BM$3,CLAVE_BOV3,$A193)+SUMIFS(SALIDAS_TC,FECHA_TC,"&gt;="&amp;BM$2,FECHA_TC,"&lt;="&amp;BM$3,CLAVE_TC,$A193)+SUMIFS(SALIDAS_COMB,FECHA_COMB,"&gt;="&amp;BM$2,FECHA_COMB,"&lt;="&amp;BM$3,CLAVE_COMB,$A193)+SUMIFS(SALIDAS_DES,FECHA_DESGLOSEN,"&gt;="&amp;BM$2,FECHA_DESGLOSEN,"&lt;="&amp;BM$3,CLAVE_DESGLOSE,$A193)</f>
        <v>2800</v>
      </c>
      <c r="BN193" s="13">
        <f>SUMIFS(SALIDAS_BIT,FECHA_BIT,"&gt;="&amp;BN$2,FECHA_BIT,"&lt;="&amp;BN$3,CLAVE_BIT,$A193)+SUMIFS(SALIDAS_BOV1,FECHA_BOV1,"&gt;="&amp;BN$2,FECHA_BOV1,"&lt;="&amp;BN$3,CLAVE_BOV1,$A193)+SUMIFS(SALIDAS_BOV2,FECHA_BOV2,"&gt;="&amp;BN$2,FECHA_BOV2,"&lt;="&amp;BN$3,CLAVE_BOV2,$A193)+SUMIFS(SALIDAS_BOV3,FECHA_BOV3,"&gt;="&amp;BN$2,FECHA_BOV3,"&lt;="&amp;BN$3,CLAVE_BOV3,$A193)+SUMIFS(SALIDAS_TC,FECHA_TC,"&gt;="&amp;BN$2,FECHA_TC,"&lt;="&amp;BN$3,CLAVE_TC,$A193)+SUMIFS(SALIDAS_COMB,FECHA_COMB,"&gt;="&amp;BN$2,FECHA_COMB,"&lt;="&amp;BN$3,CLAVE_COMB,$A193)+SUMIFS(SALIDAS_DES,FECHA_DESGLOSEN,"&gt;="&amp;BN$2,FECHA_DESGLOSEN,"&lt;="&amp;BN$3,CLAVE_DESGLOSE,$A193)</f>
        <v>0</v>
      </c>
      <c r="BO193" s="13">
        <f>SUMIFS(SALIDAS_BIT,FECHA_BIT,"&gt;="&amp;BO$2,FECHA_BIT,"&lt;="&amp;BO$3,CLAVE_BIT,$A193)+SUMIFS(SALIDAS_BOV1,FECHA_BOV1,"&gt;="&amp;BO$2,FECHA_BOV1,"&lt;="&amp;BO$3,CLAVE_BOV1,$A193)+SUMIFS(SALIDAS_BOV2,FECHA_BOV2,"&gt;="&amp;BO$2,FECHA_BOV2,"&lt;="&amp;BO$3,CLAVE_BOV2,$A193)+SUMIFS(SALIDAS_BOV3,FECHA_BOV3,"&gt;="&amp;BO$2,FECHA_BOV3,"&lt;="&amp;BO$3,CLAVE_BOV3,$A193)+SUMIFS(SALIDAS_TC,FECHA_TC,"&gt;="&amp;BO$2,FECHA_TC,"&lt;="&amp;BO$3,CLAVE_TC,$A193)+SUMIFS(SALIDAS_COMB,FECHA_COMB,"&gt;="&amp;BO$2,FECHA_COMB,"&lt;="&amp;BO$3,CLAVE_COMB,$A193)+SUMIFS(SALIDAS_DES,FECHA_DESGLOSEN,"&gt;="&amp;BO$2,FECHA_DESGLOSEN,"&lt;="&amp;BO$3,CLAVE_DESGLOSE,$A193)</f>
        <v>0</v>
      </c>
      <c r="BP193" s="13">
        <f>SUMIFS(SALIDAS_BIT,FECHA_BIT,"&gt;="&amp;BP$2,FECHA_BIT,"&lt;="&amp;BP$3,CLAVE_BIT,$A193)+SUMIFS(SALIDAS_BOV1,FECHA_BOV1,"&gt;="&amp;BP$2,FECHA_BOV1,"&lt;="&amp;BP$3,CLAVE_BOV1,$A193)+SUMIFS(SALIDAS_BOV2,FECHA_BOV2,"&gt;="&amp;BP$2,FECHA_BOV2,"&lt;="&amp;BP$3,CLAVE_BOV2,$A193)+SUMIFS(SALIDAS_BOV3,FECHA_BOV3,"&gt;="&amp;BP$2,FECHA_BOV3,"&lt;="&amp;BP$3,CLAVE_BOV3,$A193)+SUMIFS(SALIDAS_TC,FECHA_TC,"&gt;="&amp;BP$2,FECHA_TC,"&lt;="&amp;BP$3,CLAVE_TC,$A193)+SUMIFS(SALIDAS_COMB,FECHA_COMB,"&gt;="&amp;BP$2,FECHA_COMB,"&lt;="&amp;BP$3,CLAVE_COMB,$A193)+SUMIFS(SALIDAS_DES,FECHA_DESGLOSEN,"&gt;="&amp;BP$2,FECHA_DESGLOSEN,"&lt;="&amp;BP$3,CLAVE_DESGLOSE,$A193)</f>
        <v>0</v>
      </c>
      <c r="BQ193" s="13">
        <f>SUMIFS(SALIDAS_BIT,FECHA_BIT,"&gt;="&amp;BQ$2,FECHA_BIT,"&lt;="&amp;BQ$3,CLAVE_BIT,$A193)+SUMIFS(SALIDAS_BOV1,FECHA_BOV1,"&gt;="&amp;BQ$2,FECHA_BOV1,"&lt;="&amp;BQ$3,CLAVE_BOV1,$A193)+SUMIFS(SALIDAS_BOV2,FECHA_BOV2,"&gt;="&amp;BQ$2,FECHA_BOV2,"&lt;="&amp;BQ$3,CLAVE_BOV2,$A193)+SUMIFS(SALIDAS_BOV3,FECHA_BOV3,"&gt;="&amp;BQ$2,FECHA_BOV3,"&lt;="&amp;BQ$3,CLAVE_BOV3,$A193)+SUMIFS(SALIDAS_TC,FECHA_TC,"&gt;="&amp;BQ$2,FECHA_TC,"&lt;="&amp;BQ$3,CLAVE_TC,$A193)+SUMIFS(SALIDAS_COMB,FECHA_COMB,"&gt;="&amp;BQ$2,FECHA_COMB,"&lt;="&amp;BQ$3,CLAVE_COMB,$A193)+SUMIFS(SALIDAS_DES,FECHA_DESGLOSEN,"&gt;="&amp;BQ$2,FECHA_DESGLOSEN,"&lt;="&amp;BQ$3,CLAVE_DESGLOSE,$A193)</f>
        <v>0</v>
      </c>
      <c r="BR193" s="13">
        <f t="shared" si="331"/>
        <v>2800</v>
      </c>
      <c r="BS193" s="68">
        <f t="shared" si="261"/>
        <v>-2800</v>
      </c>
      <c r="BT193" s="268">
        <f t="shared" si="262"/>
        <v>0</v>
      </c>
      <c r="BU193" s="13">
        <f t="shared" si="263"/>
        <v>0</v>
      </c>
      <c r="BV193" s="13">
        <f t="shared" si="291"/>
        <v>0</v>
      </c>
      <c r="BW193" s="13">
        <f t="shared" si="291"/>
        <v>0</v>
      </c>
      <c r="BX193" s="13">
        <f t="shared" si="291"/>
        <v>0</v>
      </c>
      <c r="BY193" s="13">
        <f t="shared" si="291"/>
        <v>0</v>
      </c>
      <c r="BZ193" s="13">
        <f t="shared" si="332"/>
        <v>0</v>
      </c>
      <c r="CA193" s="68">
        <f t="shared" si="264"/>
        <v>0</v>
      </c>
      <c r="CB193" s="268">
        <f t="shared" si="265"/>
        <v>0</v>
      </c>
      <c r="CC193" s="13">
        <f t="shared" si="266"/>
        <v>0</v>
      </c>
      <c r="CD193" s="13">
        <f t="shared" si="292"/>
        <v>0</v>
      </c>
      <c r="CE193" s="13">
        <f t="shared" si="292"/>
        <v>0</v>
      </c>
      <c r="CF193" s="13">
        <f t="shared" si="292"/>
        <v>0</v>
      </c>
      <c r="CG193" s="13">
        <f t="shared" si="292"/>
        <v>0</v>
      </c>
      <c r="CH193" s="13">
        <f t="shared" si="333"/>
        <v>0</v>
      </c>
      <c r="CI193" s="68">
        <f t="shared" si="267"/>
        <v>0</v>
      </c>
      <c r="CJ193" s="268">
        <f t="shared" si="268"/>
        <v>0</v>
      </c>
      <c r="CK193" s="13">
        <f t="shared" si="269"/>
        <v>0</v>
      </c>
      <c r="CL193" s="13">
        <f t="shared" si="312"/>
        <v>0</v>
      </c>
      <c r="CM193" s="13">
        <f t="shared" si="312"/>
        <v>7800</v>
      </c>
      <c r="CN193" s="13">
        <f t="shared" si="312"/>
        <v>700</v>
      </c>
      <c r="CO193" s="13">
        <f t="shared" si="312"/>
        <v>0</v>
      </c>
      <c r="CP193" s="13">
        <f t="shared" si="312"/>
        <v>1400</v>
      </c>
      <c r="CQ193" s="13">
        <f t="shared" si="334"/>
        <v>9900</v>
      </c>
      <c r="CR193" s="68">
        <f t="shared" si="270"/>
        <v>-9900</v>
      </c>
      <c r="CS193" s="268">
        <f t="shared" si="271"/>
        <v>0</v>
      </c>
      <c r="CT193" s="68">
        <f t="shared" si="244"/>
        <v>3200</v>
      </c>
      <c r="CU193" s="13">
        <f>SUMIFS(SALIDAS_BIT,FECHA_BIT,"&gt;="&amp;CU$2,FECHA_BIT,"&lt;="&amp;CU$3,CLAVE_BIT,$A193)+SUMIFS(SALIDAS_BOV1,FECHA_BOV1,"&gt;="&amp;CU$2,FECHA_BOV1,"&lt;="&amp;CU$3,CLAVE_BOV1,$A193)+SUMIFS(SALIDAS_BOV2,FECHA_BOV2,"&gt;="&amp;CU$2,FECHA_BOV2,"&lt;="&amp;CU$3,CLAVE_BOV2,$A193)+SUMIFS(SALIDAS_BOV3,FECHA_BOV3,"&gt;="&amp;CU$2,FECHA_BOV3,"&lt;="&amp;CU$3,CLAVE_BOV3,$A193)+SUMIFS(SALIDAS_TC,FECHA_TC,"&gt;="&amp;CU$2,FECHA_TC,"&lt;="&amp;CU$3,CLAVE_TC,$A193)+SUMIFS(SALIDAS_COMB,FECHA_COMB,"&gt;="&amp;CU$2,FECHA_COMB,"&lt;="&amp;CU$3,CLAVE_COMB,$A193)+SUMIFS(SALIDAS_DES,FECHA_DESGLOSEN,"&gt;="&amp;CU$2,FECHA_DESGLOSEN,"&lt;="&amp;CU$3,CLAVE_DESGLOSE,$A193)</f>
        <v>900</v>
      </c>
      <c r="CV193" s="13">
        <f>SUMIFS(SALIDAS_BIT,FECHA_BIT,"&gt;="&amp;CV$2,FECHA_BIT,"&lt;="&amp;CV$3,CLAVE_BIT,$A193)+SUMIFS(SALIDAS_BOV1,FECHA_BOV1,"&gt;="&amp;CV$2,FECHA_BOV1,"&lt;="&amp;CV$3,CLAVE_BOV1,$A193)+SUMIFS(SALIDAS_BOV2,FECHA_BOV2,"&gt;="&amp;CV$2,FECHA_BOV2,"&lt;="&amp;CV$3,CLAVE_BOV2,$A193)+SUMIFS(SALIDAS_BOV3,FECHA_BOV3,"&gt;="&amp;CV$2,FECHA_BOV3,"&lt;="&amp;CV$3,CLAVE_BOV3,$A193)+SUMIFS(SALIDAS_TC,FECHA_TC,"&gt;="&amp;CV$2,FECHA_TC,"&lt;="&amp;CV$3,CLAVE_TC,$A193)+SUMIFS(SALIDAS_COMB,FECHA_COMB,"&gt;="&amp;CV$2,FECHA_COMB,"&lt;="&amp;CV$3,CLAVE_COMB,$A193)+SUMIFS(SALIDAS_DES,FECHA_DESGLOSEN,"&gt;="&amp;CV$2,FECHA_DESGLOSEN,"&lt;="&amp;CV$3,CLAVE_DESGLOSE,$A193)</f>
        <v>0</v>
      </c>
      <c r="CW193" s="13">
        <f>SUMIFS(SALIDAS_BIT,FECHA_BIT,"&gt;="&amp;CW$2,FECHA_BIT,"&lt;="&amp;CW$3,CLAVE_BIT,$A193)+SUMIFS(SALIDAS_BOV1,FECHA_BOV1,"&gt;="&amp;CW$2,FECHA_BOV1,"&lt;="&amp;CW$3,CLAVE_BOV1,$A193)+SUMIFS(SALIDAS_BOV2,FECHA_BOV2,"&gt;="&amp;CW$2,FECHA_BOV2,"&lt;="&amp;CW$3,CLAVE_BOV2,$A193)+SUMIFS(SALIDAS_BOV3,FECHA_BOV3,"&gt;="&amp;CW$2,FECHA_BOV3,"&lt;="&amp;CW$3,CLAVE_BOV3,$A193)+SUMIFS(SALIDAS_TC,FECHA_TC,"&gt;="&amp;CW$2,FECHA_TC,"&lt;="&amp;CW$3,CLAVE_TC,$A193)+SUMIFS(SALIDAS_COMB,FECHA_COMB,"&gt;="&amp;CW$2,FECHA_COMB,"&lt;="&amp;CW$3,CLAVE_COMB,$A193)+SUMIFS(SALIDAS_DES,FECHA_DESGLOSEN,"&gt;="&amp;CW$2,FECHA_DESGLOSEN,"&lt;="&amp;CW$3,CLAVE_DESGLOSE,$A193)</f>
        <v>300</v>
      </c>
      <c r="CX193" s="13">
        <f>SUMIFS(SALIDAS_BIT,FECHA_BIT,"&gt;="&amp;CX$2,FECHA_BIT,"&lt;="&amp;CX$3,CLAVE_BIT,$A193)+SUMIFS(SALIDAS_BOV1,FECHA_BOV1,"&gt;="&amp;CX$2,FECHA_BOV1,"&lt;="&amp;CX$3,CLAVE_BOV1,$A193)+SUMIFS(SALIDAS_BOV2,FECHA_BOV2,"&gt;="&amp;CX$2,FECHA_BOV2,"&lt;="&amp;CX$3,CLAVE_BOV2,$A193)+SUMIFS(SALIDAS_BOV3,FECHA_BOV3,"&gt;="&amp;CX$2,FECHA_BOV3,"&lt;="&amp;CX$3,CLAVE_BOV3,$A193)+SUMIFS(SALIDAS_TC,FECHA_TC,"&gt;="&amp;CX$2,FECHA_TC,"&lt;="&amp;CX$3,CLAVE_TC,$A193)+SUMIFS(SALIDAS_COMB,FECHA_COMB,"&gt;="&amp;CX$2,FECHA_COMB,"&lt;="&amp;CX$3,CLAVE_COMB,$A193)+SUMIFS(SALIDAS_DES,FECHA_DESGLOSEN,"&gt;="&amp;CX$2,FECHA_DESGLOSEN,"&lt;="&amp;CX$3,CLAVE_DESGLOSE,$A193)</f>
        <v>0</v>
      </c>
      <c r="CY193" s="13">
        <f>SUMIFS(SALIDAS_BIT,FECHA_BIT,"&gt;="&amp;CY$2,FECHA_BIT,"&lt;="&amp;CY$3,CLAVE_BIT,$A193)+SUMIFS(SALIDAS_BOV1,FECHA_BOV1,"&gt;="&amp;CY$2,FECHA_BOV1,"&lt;="&amp;CY$3,CLAVE_BOV1,$A193)+SUMIFS(SALIDAS_BOV2,FECHA_BOV2,"&gt;="&amp;CY$2,FECHA_BOV2,"&lt;="&amp;CY$3,CLAVE_BOV2,$A193)+SUMIFS(SALIDAS_BOV3,FECHA_BOV3,"&gt;="&amp;CY$2,FECHA_BOV3,"&lt;="&amp;CY$3,CLAVE_BOV3,$A193)+SUMIFS(SALIDAS_TC,FECHA_TC,"&gt;="&amp;CY$2,FECHA_TC,"&lt;="&amp;CY$3,CLAVE_TC,$A193)+SUMIFS(SALIDAS_COMB,FECHA_COMB,"&gt;="&amp;CY$2,FECHA_COMB,"&lt;="&amp;CY$3,CLAVE_COMB,$A193)+SUMIFS(SALIDAS_DES,FECHA_DESGLOSEN,"&gt;="&amp;CY$2,FECHA_DESGLOSEN,"&lt;="&amp;CY$3,CLAVE_DESGLOSE,$A193)</f>
        <v>1200</v>
      </c>
      <c r="CZ193" s="68">
        <f t="shared" si="272"/>
        <v>2000</v>
      </c>
      <c r="DB193" s="17">
        <f>F193+N193+W193+AE193+AM193+AV193+BD193+BL193+BU193+CC193+CK193</f>
        <v>0</v>
      </c>
      <c r="DC193" s="17">
        <f>K193+T193+AB193+AJ193+AS193+BA193+BI193+BR193+BZ193+CH193+CQ193</f>
        <v>24900</v>
      </c>
    </row>
    <row r="194" spans="1:107" hidden="1">
      <c r="A194" s="12" t="str">
        <f t="shared" si="245"/>
        <v>SERVICIOSVIATICOSCOMPRAS</v>
      </c>
      <c r="B194" s="12">
        <v>196</v>
      </c>
      <c r="C194" t="s">
        <v>21</v>
      </c>
      <c r="D194" s="12" t="s">
        <v>191</v>
      </c>
      <c r="E194" s="12" t="s">
        <v>148</v>
      </c>
      <c r="F194" s="259">
        <f t="shared" si="238"/>
        <v>5000</v>
      </c>
      <c r="G194" s="13">
        <f t="shared" si="326"/>
        <v>500</v>
      </c>
      <c r="H194" s="13">
        <f t="shared" si="326"/>
        <v>1800</v>
      </c>
      <c r="I194" s="13">
        <f t="shared" si="326"/>
        <v>0</v>
      </c>
      <c r="J194" s="13">
        <f t="shared" si="326"/>
        <v>0</v>
      </c>
      <c r="K194" s="13">
        <f t="shared" si="326"/>
        <v>2300</v>
      </c>
      <c r="L194" s="68">
        <f t="shared" si="246"/>
        <v>2700</v>
      </c>
      <c r="M194" s="268">
        <f t="shared" si="247"/>
        <v>0.46</v>
      </c>
      <c r="N194" s="13">
        <f t="shared" si="239"/>
        <v>5000</v>
      </c>
      <c r="O194" s="13">
        <f t="shared" si="327"/>
        <v>0</v>
      </c>
      <c r="P194" s="13">
        <f t="shared" si="327"/>
        <v>0</v>
      </c>
      <c r="Q194" s="13">
        <f t="shared" si="327"/>
        <v>0</v>
      </c>
      <c r="R194" s="13">
        <f t="shared" si="327"/>
        <v>0</v>
      </c>
      <c r="S194" s="13">
        <f t="shared" si="327"/>
        <v>0</v>
      </c>
      <c r="T194" s="13">
        <f t="shared" si="327"/>
        <v>0</v>
      </c>
      <c r="U194" s="68">
        <f t="shared" si="248"/>
        <v>5000</v>
      </c>
      <c r="V194" s="268">
        <f t="shared" si="249"/>
        <v>0</v>
      </c>
      <c r="W194" s="13">
        <f t="shared" si="240"/>
        <v>5000</v>
      </c>
      <c r="X194" s="13">
        <f t="shared" si="328"/>
        <v>0</v>
      </c>
      <c r="Y194" s="13">
        <f t="shared" si="328"/>
        <v>0</v>
      </c>
      <c r="Z194" s="13">
        <f t="shared" si="328"/>
        <v>0</v>
      </c>
      <c r="AA194" s="13">
        <f t="shared" si="328"/>
        <v>400</v>
      </c>
      <c r="AB194" s="13">
        <f t="shared" si="328"/>
        <v>400</v>
      </c>
      <c r="AC194" s="68">
        <f t="shared" si="250"/>
        <v>4600</v>
      </c>
      <c r="AD194" s="268">
        <f t="shared" si="251"/>
        <v>0.08</v>
      </c>
      <c r="AE194" s="13">
        <f t="shared" si="241"/>
        <v>5000</v>
      </c>
      <c r="AF194" s="13">
        <f t="shared" si="329"/>
        <v>600</v>
      </c>
      <c r="AG194" s="13">
        <f t="shared" si="329"/>
        <v>0</v>
      </c>
      <c r="AH194" s="13">
        <f t="shared" si="329"/>
        <v>0</v>
      </c>
      <c r="AI194" s="13">
        <f t="shared" si="329"/>
        <v>0</v>
      </c>
      <c r="AJ194" s="13">
        <f t="shared" si="329"/>
        <v>600</v>
      </c>
      <c r="AK194" s="68">
        <f t="shared" si="252"/>
        <v>4400</v>
      </c>
      <c r="AL194" s="268">
        <f t="shared" si="253"/>
        <v>0.12</v>
      </c>
      <c r="AM194" s="13">
        <f t="shared" si="242"/>
        <v>6000</v>
      </c>
      <c r="AN194" s="13">
        <f t="shared" si="330"/>
        <v>1200</v>
      </c>
      <c r="AO194" s="13">
        <f t="shared" si="330"/>
        <v>0</v>
      </c>
      <c r="AP194" s="13">
        <f t="shared" si="330"/>
        <v>0</v>
      </c>
      <c r="AQ194" s="13">
        <f t="shared" si="330"/>
        <v>0</v>
      </c>
      <c r="AR194" s="13">
        <f t="shared" si="330"/>
        <v>0</v>
      </c>
      <c r="AS194" s="13">
        <f t="shared" si="330"/>
        <v>1200</v>
      </c>
      <c r="AT194" s="68">
        <f>AM194-AS194</f>
        <v>4800</v>
      </c>
      <c r="AU194" s="268">
        <f t="shared" si="254"/>
        <v>0.2</v>
      </c>
      <c r="AV194" s="13">
        <f t="shared" si="243"/>
        <v>5000</v>
      </c>
      <c r="AW194" s="13">
        <f t="shared" si="323"/>
        <v>2450</v>
      </c>
      <c r="AX194" s="13">
        <f t="shared" si="323"/>
        <v>0</v>
      </c>
      <c r="AY194" s="13">
        <f t="shared" si="323"/>
        <v>500</v>
      </c>
      <c r="AZ194" s="13">
        <f t="shared" si="323"/>
        <v>0</v>
      </c>
      <c r="BA194" s="13">
        <f t="shared" si="324"/>
        <v>2950</v>
      </c>
      <c r="BB194" s="68">
        <f t="shared" si="255"/>
        <v>2050</v>
      </c>
      <c r="BC194" s="268">
        <f t="shared" si="256"/>
        <v>0.59</v>
      </c>
      <c r="BD194" s="13">
        <f t="shared" si="257"/>
        <v>5000</v>
      </c>
      <c r="BE194" s="13">
        <f>SUMIFS(SALIDAS_BIT,FECHA_BIT,"&gt;="&amp;BE$2,FECHA_BIT,"&lt;="&amp;BE$3,CLAVE_BIT,$A194)+SUMIFS(SALIDAS_BOV1,FECHA_BOV1,"&gt;="&amp;BE$2,FECHA_BOV1,"&lt;="&amp;BE$3,CLAVE_BOV1,$A194)+SUMIFS(SALIDAS_BOV2,FECHA_BOV2,"&gt;="&amp;BE$2,FECHA_BOV2,"&lt;="&amp;BE$3,CLAVE_BOV2,$A194)+SUMIFS(SALIDAS_BOV3,FECHA_BOV3,"&gt;="&amp;BE$2,FECHA_BOV3,"&lt;="&amp;BE$3,CLAVE_BOV3,$A194)+SUMIFS(SALIDAS_TC,FECHA_TC,"&gt;="&amp;BE$2,FECHA_TC,"&lt;="&amp;BE$3,CLAVE_TC,$A194)+SUMIFS(SALIDAS_COMB,FECHA_COMB,"&gt;="&amp;BE$2,FECHA_COMB,"&lt;="&amp;BE$3,CLAVE_COMB,$A194)+SUMIFS(SALIDAS_DES,FECHA_DESGLOSEN,"&gt;="&amp;BE$2,FECHA_DESGLOSEN,"&lt;="&amp;BE$3,CLAVE_DESGLOSE,$A194)</f>
        <v>0</v>
      </c>
      <c r="BF194" s="13">
        <f>SUMIFS(SALIDAS_BIT,FECHA_BIT,"&gt;="&amp;BF$2,FECHA_BIT,"&lt;="&amp;BF$3,CLAVE_BIT,$A194)+SUMIFS(SALIDAS_BOV1,FECHA_BOV1,"&gt;="&amp;BF$2,FECHA_BOV1,"&lt;="&amp;BF$3,CLAVE_BOV1,$A194)+SUMIFS(SALIDAS_BOV2,FECHA_BOV2,"&gt;="&amp;BF$2,FECHA_BOV2,"&lt;="&amp;BF$3,CLAVE_BOV2,$A194)+SUMIFS(SALIDAS_BOV3,FECHA_BOV3,"&gt;="&amp;BF$2,FECHA_BOV3,"&lt;="&amp;BF$3,CLAVE_BOV3,$A194)+SUMIFS(SALIDAS_TC,FECHA_TC,"&gt;="&amp;BF$2,FECHA_TC,"&lt;="&amp;BF$3,CLAVE_TC,$A194)+SUMIFS(SALIDAS_COMB,FECHA_COMB,"&gt;="&amp;BF$2,FECHA_COMB,"&lt;="&amp;BF$3,CLAVE_COMB,$A194)+SUMIFS(SALIDAS_DES,FECHA_DESGLOSEN,"&gt;="&amp;BF$2,FECHA_DESGLOSEN,"&lt;="&amp;BF$3,CLAVE_DESGLOSE,$A194)</f>
        <v>0</v>
      </c>
      <c r="BG194" s="13">
        <f>SUMIFS(SALIDAS_BIT,FECHA_BIT,"&gt;="&amp;BG$2,FECHA_BIT,"&lt;="&amp;BG$3,CLAVE_BIT,$A194)+SUMIFS(SALIDAS_BOV1,FECHA_BOV1,"&gt;="&amp;BG$2,FECHA_BOV1,"&lt;="&amp;BG$3,CLAVE_BOV1,$A194)+SUMIFS(SALIDAS_BOV2,FECHA_BOV2,"&gt;="&amp;BG$2,FECHA_BOV2,"&lt;="&amp;BG$3,CLAVE_BOV2,$A194)+SUMIFS(SALIDAS_BOV3,FECHA_BOV3,"&gt;="&amp;BG$2,FECHA_BOV3,"&lt;="&amp;BG$3,CLAVE_BOV3,$A194)+SUMIFS(SALIDAS_TC,FECHA_TC,"&gt;="&amp;BG$2,FECHA_TC,"&lt;="&amp;BG$3,CLAVE_TC,$A194)+SUMIFS(SALIDAS_COMB,FECHA_COMB,"&gt;="&amp;BG$2,FECHA_COMB,"&lt;="&amp;BG$3,CLAVE_COMB,$A194)+SUMIFS(SALIDAS_DES,FECHA_DESGLOSEN,"&gt;="&amp;BG$2,FECHA_DESGLOSEN,"&lt;="&amp;BG$3,CLAVE_DESGLOSE,$A194)</f>
        <v>0</v>
      </c>
      <c r="BH194" s="13">
        <f>SUMIFS(SALIDAS_BIT,FECHA_BIT,"&gt;="&amp;BH$2,FECHA_BIT,"&lt;="&amp;BH$3,CLAVE_BIT,$A194)+SUMIFS(SALIDAS_BOV1,FECHA_BOV1,"&gt;="&amp;BH$2,FECHA_BOV1,"&lt;="&amp;BH$3,CLAVE_BOV1,$A194)+SUMIFS(SALIDAS_BOV2,FECHA_BOV2,"&gt;="&amp;BH$2,FECHA_BOV2,"&lt;="&amp;BH$3,CLAVE_BOV2,$A194)+SUMIFS(SALIDAS_BOV3,FECHA_BOV3,"&gt;="&amp;BH$2,FECHA_BOV3,"&lt;="&amp;BH$3,CLAVE_BOV3,$A194)+SUMIFS(SALIDAS_TC,FECHA_TC,"&gt;="&amp;BH$2,FECHA_TC,"&lt;="&amp;BH$3,CLAVE_TC,$A194)+SUMIFS(SALIDAS_COMB,FECHA_COMB,"&gt;="&amp;BH$2,FECHA_COMB,"&lt;="&amp;BH$3,CLAVE_COMB,$A194)+SUMIFS(SALIDAS_DES,FECHA_DESGLOSEN,"&gt;="&amp;BH$2,FECHA_DESGLOSEN,"&lt;="&amp;BH$3,CLAVE_DESGLOSE,$A194)</f>
        <v>900</v>
      </c>
      <c r="BI194" s="13">
        <f t="shared" si="311"/>
        <v>900</v>
      </c>
      <c r="BJ194" s="68">
        <f t="shared" si="258"/>
        <v>4100</v>
      </c>
      <c r="BK194" s="268">
        <f t="shared" si="259"/>
        <v>0.18</v>
      </c>
      <c r="BL194" s="13">
        <f t="shared" si="260"/>
        <v>4000</v>
      </c>
      <c r="BM194" s="13">
        <f>SUMIFS(SALIDAS_BIT,FECHA_BIT,"&gt;="&amp;BM$2,FECHA_BIT,"&lt;="&amp;BM$3,CLAVE_BIT,$A194)+SUMIFS(SALIDAS_BOV1,FECHA_BOV1,"&gt;="&amp;BM$2,FECHA_BOV1,"&lt;="&amp;BM$3,CLAVE_BOV1,$A194)+SUMIFS(SALIDAS_BOV2,FECHA_BOV2,"&gt;="&amp;BM$2,FECHA_BOV2,"&lt;="&amp;BM$3,CLAVE_BOV2,$A194)+SUMIFS(SALIDAS_BOV3,FECHA_BOV3,"&gt;="&amp;BM$2,FECHA_BOV3,"&lt;="&amp;BM$3,CLAVE_BOV3,$A194)+SUMIFS(SALIDAS_TC,FECHA_TC,"&gt;="&amp;BM$2,FECHA_TC,"&lt;="&amp;BM$3,CLAVE_TC,$A194)+SUMIFS(SALIDAS_COMB,FECHA_COMB,"&gt;="&amp;BM$2,FECHA_COMB,"&lt;="&amp;BM$3,CLAVE_COMB,$A194)+SUMIFS(SALIDAS_DES,FECHA_DESGLOSEN,"&gt;="&amp;BM$2,FECHA_DESGLOSEN,"&lt;="&amp;BM$3,CLAVE_DESGLOSE,$A194)</f>
        <v>0</v>
      </c>
      <c r="BN194" s="13">
        <f>SUMIFS(SALIDAS_BIT,FECHA_BIT,"&gt;="&amp;BN$2,FECHA_BIT,"&lt;="&amp;BN$3,CLAVE_BIT,$A194)+SUMIFS(SALIDAS_BOV1,FECHA_BOV1,"&gt;="&amp;BN$2,FECHA_BOV1,"&lt;="&amp;BN$3,CLAVE_BOV1,$A194)+SUMIFS(SALIDAS_BOV2,FECHA_BOV2,"&gt;="&amp;BN$2,FECHA_BOV2,"&lt;="&amp;BN$3,CLAVE_BOV2,$A194)+SUMIFS(SALIDAS_BOV3,FECHA_BOV3,"&gt;="&amp;BN$2,FECHA_BOV3,"&lt;="&amp;BN$3,CLAVE_BOV3,$A194)+SUMIFS(SALIDAS_TC,FECHA_TC,"&gt;="&amp;BN$2,FECHA_TC,"&lt;="&amp;BN$3,CLAVE_TC,$A194)+SUMIFS(SALIDAS_COMB,FECHA_COMB,"&gt;="&amp;BN$2,FECHA_COMB,"&lt;="&amp;BN$3,CLAVE_COMB,$A194)+SUMIFS(SALIDAS_DES,FECHA_DESGLOSEN,"&gt;="&amp;BN$2,FECHA_DESGLOSEN,"&lt;="&amp;BN$3,CLAVE_DESGLOSE,$A194)</f>
        <v>0</v>
      </c>
      <c r="BO194" s="13">
        <f>SUMIFS(SALIDAS_BIT,FECHA_BIT,"&gt;="&amp;BO$2,FECHA_BIT,"&lt;="&amp;BO$3,CLAVE_BIT,$A194)+SUMIFS(SALIDAS_BOV1,FECHA_BOV1,"&gt;="&amp;BO$2,FECHA_BOV1,"&lt;="&amp;BO$3,CLAVE_BOV1,$A194)+SUMIFS(SALIDAS_BOV2,FECHA_BOV2,"&gt;="&amp;BO$2,FECHA_BOV2,"&lt;="&amp;BO$3,CLAVE_BOV2,$A194)+SUMIFS(SALIDAS_BOV3,FECHA_BOV3,"&gt;="&amp;BO$2,FECHA_BOV3,"&lt;="&amp;BO$3,CLAVE_BOV3,$A194)+SUMIFS(SALIDAS_TC,FECHA_TC,"&gt;="&amp;BO$2,FECHA_TC,"&lt;="&amp;BO$3,CLAVE_TC,$A194)+SUMIFS(SALIDAS_COMB,FECHA_COMB,"&gt;="&amp;BO$2,FECHA_COMB,"&lt;="&amp;BO$3,CLAVE_COMB,$A194)+SUMIFS(SALIDAS_DES,FECHA_DESGLOSEN,"&gt;="&amp;BO$2,FECHA_DESGLOSEN,"&lt;="&amp;BO$3,CLAVE_DESGLOSE,$A194)</f>
        <v>0</v>
      </c>
      <c r="BP194" s="13">
        <f>SUMIFS(SALIDAS_BIT,FECHA_BIT,"&gt;="&amp;BP$2,FECHA_BIT,"&lt;="&amp;BP$3,CLAVE_BIT,$A194)+SUMIFS(SALIDAS_BOV1,FECHA_BOV1,"&gt;="&amp;BP$2,FECHA_BOV1,"&lt;="&amp;BP$3,CLAVE_BOV1,$A194)+SUMIFS(SALIDAS_BOV2,FECHA_BOV2,"&gt;="&amp;BP$2,FECHA_BOV2,"&lt;="&amp;BP$3,CLAVE_BOV2,$A194)+SUMIFS(SALIDAS_BOV3,FECHA_BOV3,"&gt;="&amp;BP$2,FECHA_BOV3,"&lt;="&amp;BP$3,CLAVE_BOV3,$A194)+SUMIFS(SALIDAS_TC,FECHA_TC,"&gt;="&amp;BP$2,FECHA_TC,"&lt;="&amp;BP$3,CLAVE_TC,$A194)+SUMIFS(SALIDAS_COMB,FECHA_COMB,"&gt;="&amp;BP$2,FECHA_COMB,"&lt;="&amp;BP$3,CLAVE_COMB,$A194)+SUMIFS(SALIDAS_DES,FECHA_DESGLOSEN,"&gt;="&amp;BP$2,FECHA_DESGLOSEN,"&lt;="&amp;BP$3,CLAVE_DESGLOSE,$A194)</f>
        <v>0</v>
      </c>
      <c r="BQ194" s="13">
        <f>SUMIFS(SALIDAS_BIT,FECHA_BIT,"&gt;="&amp;BQ$2,FECHA_BIT,"&lt;="&amp;BQ$3,CLAVE_BIT,$A194)+SUMIFS(SALIDAS_BOV1,FECHA_BOV1,"&gt;="&amp;BQ$2,FECHA_BOV1,"&lt;="&amp;BQ$3,CLAVE_BOV1,$A194)+SUMIFS(SALIDAS_BOV2,FECHA_BOV2,"&gt;="&amp;BQ$2,FECHA_BOV2,"&lt;="&amp;BQ$3,CLAVE_BOV2,$A194)+SUMIFS(SALIDAS_BOV3,FECHA_BOV3,"&gt;="&amp;BQ$2,FECHA_BOV3,"&lt;="&amp;BQ$3,CLAVE_BOV3,$A194)+SUMIFS(SALIDAS_TC,FECHA_TC,"&gt;="&amp;BQ$2,FECHA_TC,"&lt;="&amp;BQ$3,CLAVE_TC,$A194)+SUMIFS(SALIDAS_COMB,FECHA_COMB,"&gt;="&amp;BQ$2,FECHA_COMB,"&lt;="&amp;BQ$3,CLAVE_COMB,$A194)+SUMIFS(SALIDAS_DES,FECHA_DESGLOSEN,"&gt;="&amp;BQ$2,FECHA_DESGLOSEN,"&lt;="&amp;BQ$3,CLAVE_DESGLOSE,$A194)</f>
        <v>0</v>
      </c>
      <c r="BR194" s="13">
        <f t="shared" si="331"/>
        <v>0</v>
      </c>
      <c r="BS194" s="68">
        <f t="shared" si="261"/>
        <v>4000</v>
      </c>
      <c r="BT194" s="268">
        <f t="shared" si="262"/>
        <v>0</v>
      </c>
      <c r="BU194" s="13">
        <f t="shared" si="263"/>
        <v>8000</v>
      </c>
      <c r="BV194" s="13">
        <f t="shared" si="291"/>
        <v>0</v>
      </c>
      <c r="BW194" s="13">
        <f t="shared" si="291"/>
        <v>0</v>
      </c>
      <c r="BX194" s="13">
        <f t="shared" si="291"/>
        <v>2000</v>
      </c>
      <c r="BY194" s="13">
        <f t="shared" si="291"/>
        <v>4000</v>
      </c>
      <c r="BZ194" s="13">
        <f t="shared" si="332"/>
        <v>6000</v>
      </c>
      <c r="CA194" s="68">
        <f t="shared" si="264"/>
        <v>2000</v>
      </c>
      <c r="CB194" s="268">
        <f t="shared" si="265"/>
        <v>0.75</v>
      </c>
      <c r="CC194" s="13">
        <f t="shared" si="266"/>
        <v>8000</v>
      </c>
      <c r="CD194" s="13">
        <f t="shared" si="292"/>
        <v>1150</v>
      </c>
      <c r="CE194" s="13">
        <f t="shared" si="292"/>
        <v>0</v>
      </c>
      <c r="CF194" s="13">
        <f t="shared" si="292"/>
        <v>0</v>
      </c>
      <c r="CG194" s="13">
        <f t="shared" si="292"/>
        <v>9673</v>
      </c>
      <c r="CH194" s="13">
        <f t="shared" si="333"/>
        <v>10823</v>
      </c>
      <c r="CI194" s="68">
        <f t="shared" si="267"/>
        <v>-2823</v>
      </c>
      <c r="CJ194" s="268">
        <f t="shared" si="268"/>
        <v>1.352875</v>
      </c>
      <c r="CK194" s="13">
        <f t="shared" si="269"/>
        <v>10000</v>
      </c>
      <c r="CL194" s="13">
        <f t="shared" si="312"/>
        <v>0</v>
      </c>
      <c r="CM194" s="13">
        <f t="shared" si="312"/>
        <v>500</v>
      </c>
      <c r="CN194" s="13">
        <f t="shared" si="312"/>
        <v>0</v>
      </c>
      <c r="CO194" s="13">
        <f t="shared" si="312"/>
        <v>1800</v>
      </c>
      <c r="CP194" s="13">
        <f t="shared" si="312"/>
        <v>0</v>
      </c>
      <c r="CQ194" s="13">
        <f t="shared" si="334"/>
        <v>2300</v>
      </c>
      <c r="CR194" s="68">
        <f t="shared" si="270"/>
        <v>7700</v>
      </c>
      <c r="CS194" s="268">
        <f t="shared" si="271"/>
        <v>0.23</v>
      </c>
      <c r="CT194" s="68">
        <f t="shared" si="244"/>
        <v>3000</v>
      </c>
      <c r="CU194" s="13">
        <f>SUMIFS(SALIDAS_BIT,FECHA_BIT,"&gt;="&amp;CU$2,FECHA_BIT,"&lt;="&amp;CU$3,CLAVE_BIT,$A194)+SUMIFS(SALIDAS_BOV1,FECHA_BOV1,"&gt;="&amp;CU$2,FECHA_BOV1,"&lt;="&amp;CU$3,CLAVE_BOV1,$A194)+SUMIFS(SALIDAS_BOV2,FECHA_BOV2,"&gt;="&amp;CU$2,FECHA_BOV2,"&lt;="&amp;CU$3,CLAVE_BOV2,$A194)+SUMIFS(SALIDAS_BOV3,FECHA_BOV3,"&gt;="&amp;CU$2,FECHA_BOV3,"&lt;="&amp;CU$3,CLAVE_BOV3,$A194)+SUMIFS(SALIDAS_TC,FECHA_TC,"&gt;="&amp;CU$2,FECHA_TC,"&lt;="&amp;CU$3,CLAVE_TC,$A194)+SUMIFS(SALIDAS_COMB,FECHA_COMB,"&gt;="&amp;CU$2,FECHA_COMB,"&lt;="&amp;CU$3,CLAVE_COMB,$A194)+SUMIFS(SALIDAS_DES,FECHA_DESGLOSEN,"&gt;="&amp;CU$2,FECHA_DESGLOSEN,"&lt;="&amp;CU$3,CLAVE_DESGLOSE,$A194)</f>
        <v>500</v>
      </c>
      <c r="CV194" s="13">
        <f>SUMIFS(SALIDAS_BIT,FECHA_BIT,"&gt;="&amp;CV$2,FECHA_BIT,"&lt;="&amp;CV$3,CLAVE_BIT,$A194)+SUMIFS(SALIDAS_BOV1,FECHA_BOV1,"&gt;="&amp;CV$2,FECHA_BOV1,"&lt;="&amp;CV$3,CLAVE_BOV1,$A194)+SUMIFS(SALIDAS_BOV2,FECHA_BOV2,"&gt;="&amp;CV$2,FECHA_BOV2,"&lt;="&amp;CV$3,CLAVE_BOV2,$A194)+SUMIFS(SALIDAS_BOV3,FECHA_BOV3,"&gt;="&amp;CV$2,FECHA_BOV3,"&lt;="&amp;CV$3,CLAVE_BOV3,$A194)+SUMIFS(SALIDAS_TC,FECHA_TC,"&gt;="&amp;CV$2,FECHA_TC,"&lt;="&amp;CV$3,CLAVE_TC,$A194)+SUMIFS(SALIDAS_COMB,FECHA_COMB,"&gt;="&amp;CV$2,FECHA_COMB,"&lt;="&amp;CV$3,CLAVE_COMB,$A194)+SUMIFS(SALIDAS_DES,FECHA_DESGLOSEN,"&gt;="&amp;CV$2,FECHA_DESGLOSEN,"&lt;="&amp;CV$3,CLAVE_DESGLOSE,$A194)</f>
        <v>500</v>
      </c>
      <c r="CW194" s="13">
        <f>SUMIFS(SALIDAS_BIT,FECHA_BIT,"&gt;="&amp;CW$2,FECHA_BIT,"&lt;="&amp;CW$3,CLAVE_BIT,$A194)+SUMIFS(SALIDAS_BOV1,FECHA_BOV1,"&gt;="&amp;CW$2,FECHA_BOV1,"&lt;="&amp;CW$3,CLAVE_BOV1,$A194)+SUMIFS(SALIDAS_BOV2,FECHA_BOV2,"&gt;="&amp;CW$2,FECHA_BOV2,"&lt;="&amp;CW$3,CLAVE_BOV2,$A194)+SUMIFS(SALIDAS_BOV3,FECHA_BOV3,"&gt;="&amp;CW$2,FECHA_BOV3,"&lt;="&amp;CW$3,CLAVE_BOV3,$A194)+SUMIFS(SALIDAS_TC,FECHA_TC,"&gt;="&amp;CW$2,FECHA_TC,"&lt;="&amp;CW$3,CLAVE_TC,$A194)+SUMIFS(SALIDAS_COMB,FECHA_COMB,"&gt;="&amp;CW$2,FECHA_COMB,"&lt;="&amp;CW$3,CLAVE_COMB,$A194)+SUMIFS(SALIDAS_DES,FECHA_DESGLOSEN,"&gt;="&amp;CW$2,FECHA_DESGLOSEN,"&lt;="&amp;CW$3,CLAVE_DESGLOSE,$A194)</f>
        <v>0</v>
      </c>
      <c r="CX194" s="13">
        <f>SUMIFS(SALIDAS_BIT,FECHA_BIT,"&gt;="&amp;CX$2,FECHA_BIT,"&lt;="&amp;CX$3,CLAVE_BIT,$A194)+SUMIFS(SALIDAS_BOV1,FECHA_BOV1,"&gt;="&amp;CX$2,FECHA_BOV1,"&lt;="&amp;CX$3,CLAVE_BOV1,$A194)+SUMIFS(SALIDAS_BOV2,FECHA_BOV2,"&gt;="&amp;CX$2,FECHA_BOV2,"&lt;="&amp;CX$3,CLAVE_BOV2,$A194)+SUMIFS(SALIDAS_BOV3,FECHA_BOV3,"&gt;="&amp;CX$2,FECHA_BOV3,"&lt;="&amp;CX$3,CLAVE_BOV3,$A194)+SUMIFS(SALIDAS_TC,FECHA_TC,"&gt;="&amp;CX$2,FECHA_TC,"&lt;="&amp;CX$3,CLAVE_TC,$A194)+SUMIFS(SALIDAS_COMB,FECHA_COMB,"&gt;="&amp;CX$2,FECHA_COMB,"&lt;="&amp;CX$3,CLAVE_COMB,$A194)+SUMIFS(SALIDAS_DES,FECHA_DESGLOSEN,"&gt;="&amp;CX$2,FECHA_DESGLOSEN,"&lt;="&amp;CX$3,CLAVE_DESGLOSE,$A194)</f>
        <v>0</v>
      </c>
      <c r="CY194" s="13">
        <f>SUMIFS(SALIDAS_BIT,FECHA_BIT,"&gt;="&amp;CY$2,FECHA_BIT,"&lt;="&amp;CY$3,CLAVE_BIT,$A194)+SUMIFS(SALIDAS_BOV1,FECHA_BOV1,"&gt;="&amp;CY$2,FECHA_BOV1,"&lt;="&amp;CY$3,CLAVE_BOV1,$A194)+SUMIFS(SALIDAS_BOV2,FECHA_BOV2,"&gt;="&amp;CY$2,FECHA_BOV2,"&lt;="&amp;CY$3,CLAVE_BOV2,$A194)+SUMIFS(SALIDAS_BOV3,FECHA_BOV3,"&gt;="&amp;CY$2,FECHA_BOV3,"&lt;="&amp;CY$3,CLAVE_BOV3,$A194)+SUMIFS(SALIDAS_TC,FECHA_TC,"&gt;="&amp;CY$2,FECHA_TC,"&lt;="&amp;CY$3,CLAVE_TC,$A194)+SUMIFS(SALIDAS_COMB,FECHA_COMB,"&gt;="&amp;CY$2,FECHA_COMB,"&lt;="&amp;CY$3,CLAVE_COMB,$A194)+SUMIFS(SALIDAS_DES,FECHA_DESGLOSEN,"&gt;="&amp;CY$2,FECHA_DESGLOSEN,"&lt;="&amp;CY$3,CLAVE_DESGLOSE,$A194)</f>
        <v>1000</v>
      </c>
      <c r="CZ194" s="68">
        <f t="shared" si="272"/>
        <v>2000</v>
      </c>
      <c r="DB194" s="17">
        <f>F194+N194+W194+AE194+AM194+AV194+BD194+BL194+BU194+CC194+CK194</f>
        <v>66000</v>
      </c>
      <c r="DC194" s="17">
        <f>K194+T194+AB194+AJ194+AS194+BA194+BI194+BR194+BZ194+CH194+CQ194</f>
        <v>27473</v>
      </c>
    </row>
    <row r="195" spans="1:107" hidden="1">
      <c r="A195" s="12" t="str">
        <f t="shared" si="245"/>
        <v>SERVICIOSVIATICOSSISTEMAS</v>
      </c>
      <c r="B195" s="12">
        <v>197</v>
      </c>
      <c r="C195" t="s">
        <v>21</v>
      </c>
      <c r="D195" s="12" t="s">
        <v>191</v>
      </c>
      <c r="E195" s="12" t="s">
        <v>36</v>
      </c>
      <c r="F195" s="259">
        <f t="shared" si="238"/>
        <v>1000</v>
      </c>
      <c r="G195" s="13">
        <f t="shared" si="326"/>
        <v>0</v>
      </c>
      <c r="H195" s="13">
        <f t="shared" si="326"/>
        <v>0</v>
      </c>
      <c r="I195" s="13">
        <f t="shared" si="326"/>
        <v>0</v>
      </c>
      <c r="J195" s="13">
        <f t="shared" si="326"/>
        <v>1200</v>
      </c>
      <c r="K195" s="13">
        <f t="shared" si="326"/>
        <v>1200</v>
      </c>
      <c r="L195" s="68">
        <f t="shared" si="246"/>
        <v>-200</v>
      </c>
      <c r="M195" s="268">
        <f t="shared" si="247"/>
        <v>1.2</v>
      </c>
      <c r="N195" s="13">
        <f t="shared" si="239"/>
        <v>1000</v>
      </c>
      <c r="O195" s="13">
        <f t="shared" si="327"/>
        <v>0</v>
      </c>
      <c r="P195" s="13">
        <f t="shared" si="327"/>
        <v>0</v>
      </c>
      <c r="Q195" s="13">
        <f t="shared" si="327"/>
        <v>0</v>
      </c>
      <c r="R195" s="13">
        <f t="shared" si="327"/>
        <v>3300</v>
      </c>
      <c r="S195" s="13">
        <f t="shared" si="327"/>
        <v>0</v>
      </c>
      <c r="T195" s="13">
        <f t="shared" si="327"/>
        <v>3300</v>
      </c>
      <c r="U195" s="68">
        <f t="shared" si="248"/>
        <v>-2300</v>
      </c>
      <c r="V195" s="268">
        <f t="shared" si="249"/>
        <v>3.3</v>
      </c>
      <c r="W195" s="13">
        <f t="shared" si="240"/>
        <v>1000</v>
      </c>
      <c r="X195" s="13">
        <f t="shared" si="328"/>
        <v>0</v>
      </c>
      <c r="Y195" s="13">
        <f t="shared" si="328"/>
        <v>400</v>
      </c>
      <c r="Z195" s="13">
        <f t="shared" si="328"/>
        <v>0</v>
      </c>
      <c r="AA195" s="13">
        <f t="shared" si="328"/>
        <v>0</v>
      </c>
      <c r="AB195" s="13">
        <f t="shared" si="328"/>
        <v>400</v>
      </c>
      <c r="AC195" s="68">
        <f t="shared" si="250"/>
        <v>600</v>
      </c>
      <c r="AD195" s="268">
        <f t="shared" si="251"/>
        <v>0.4</v>
      </c>
      <c r="AE195" s="13">
        <f t="shared" si="241"/>
        <v>1000</v>
      </c>
      <c r="AF195" s="13">
        <f t="shared" si="329"/>
        <v>800</v>
      </c>
      <c r="AG195" s="13">
        <f t="shared" si="329"/>
        <v>0</v>
      </c>
      <c r="AH195" s="13">
        <f t="shared" si="329"/>
        <v>450</v>
      </c>
      <c r="AI195" s="13">
        <f t="shared" si="329"/>
        <v>500</v>
      </c>
      <c r="AJ195" s="13">
        <f t="shared" si="329"/>
        <v>1750</v>
      </c>
      <c r="AK195" s="68">
        <f t="shared" si="252"/>
        <v>-750</v>
      </c>
      <c r="AL195" s="268">
        <f t="shared" si="253"/>
        <v>1.75</v>
      </c>
      <c r="AM195" s="13">
        <f t="shared" si="242"/>
        <v>1000</v>
      </c>
      <c r="AN195" s="13">
        <f t="shared" si="330"/>
        <v>0</v>
      </c>
      <c r="AO195" s="13">
        <f t="shared" si="330"/>
        <v>0</v>
      </c>
      <c r="AP195" s="13">
        <f t="shared" si="330"/>
        <v>400</v>
      </c>
      <c r="AQ195" s="13">
        <f t="shared" si="330"/>
        <v>0</v>
      </c>
      <c r="AR195" s="13">
        <f t="shared" si="330"/>
        <v>0</v>
      </c>
      <c r="AS195" s="13">
        <f t="shared" si="330"/>
        <v>400</v>
      </c>
      <c r="AT195" s="68">
        <f>AM195-AS195</f>
        <v>600</v>
      </c>
      <c r="AU195" s="268">
        <f t="shared" si="254"/>
        <v>0.4</v>
      </c>
      <c r="AV195" s="13">
        <f t="shared" si="243"/>
        <v>1000</v>
      </c>
      <c r="AW195" s="13">
        <f t="shared" si="323"/>
        <v>1200</v>
      </c>
      <c r="AX195" s="13">
        <f t="shared" si="323"/>
        <v>0</v>
      </c>
      <c r="AY195" s="13">
        <f t="shared" si="323"/>
        <v>0</v>
      </c>
      <c r="AZ195" s="13">
        <f t="shared" si="323"/>
        <v>400</v>
      </c>
      <c r="BA195" s="13">
        <f t="shared" si="324"/>
        <v>1600</v>
      </c>
      <c r="BB195" s="68">
        <f t="shared" si="255"/>
        <v>-600</v>
      </c>
      <c r="BC195" s="268">
        <f t="shared" si="256"/>
        <v>1.6</v>
      </c>
      <c r="BD195" s="13">
        <f t="shared" si="257"/>
        <v>1000</v>
      </c>
      <c r="BE195" s="13">
        <f>SUMIFS(SALIDAS_BIT,FECHA_BIT,"&gt;="&amp;BE$2,FECHA_BIT,"&lt;="&amp;BE$3,CLAVE_BIT,$A195)+SUMIFS(SALIDAS_BOV1,FECHA_BOV1,"&gt;="&amp;BE$2,FECHA_BOV1,"&lt;="&amp;BE$3,CLAVE_BOV1,$A195)+SUMIFS(SALIDAS_BOV2,FECHA_BOV2,"&gt;="&amp;BE$2,FECHA_BOV2,"&lt;="&amp;BE$3,CLAVE_BOV2,$A195)+SUMIFS(SALIDAS_BOV3,FECHA_BOV3,"&gt;="&amp;BE$2,FECHA_BOV3,"&lt;="&amp;BE$3,CLAVE_BOV3,$A195)+SUMIFS(SALIDAS_TC,FECHA_TC,"&gt;="&amp;BE$2,FECHA_TC,"&lt;="&amp;BE$3,CLAVE_TC,$A195)+SUMIFS(SALIDAS_COMB,FECHA_COMB,"&gt;="&amp;BE$2,FECHA_COMB,"&lt;="&amp;BE$3,CLAVE_COMB,$A195)+SUMIFS(SALIDAS_DES,FECHA_DESGLOSEN,"&gt;="&amp;BE$2,FECHA_DESGLOSEN,"&lt;="&amp;BE$3,CLAVE_DESGLOSE,$A195)</f>
        <v>2550</v>
      </c>
      <c r="BF195" s="13">
        <f>SUMIFS(SALIDAS_BIT,FECHA_BIT,"&gt;="&amp;BF$2,FECHA_BIT,"&lt;="&amp;BF$3,CLAVE_BIT,$A195)+SUMIFS(SALIDAS_BOV1,FECHA_BOV1,"&gt;="&amp;BF$2,FECHA_BOV1,"&lt;="&amp;BF$3,CLAVE_BOV1,$A195)+SUMIFS(SALIDAS_BOV2,FECHA_BOV2,"&gt;="&amp;BF$2,FECHA_BOV2,"&lt;="&amp;BF$3,CLAVE_BOV2,$A195)+SUMIFS(SALIDAS_BOV3,FECHA_BOV3,"&gt;="&amp;BF$2,FECHA_BOV3,"&lt;="&amp;BF$3,CLAVE_BOV3,$A195)+SUMIFS(SALIDAS_TC,FECHA_TC,"&gt;="&amp;BF$2,FECHA_TC,"&lt;="&amp;BF$3,CLAVE_TC,$A195)+SUMIFS(SALIDAS_COMB,FECHA_COMB,"&gt;="&amp;BF$2,FECHA_COMB,"&lt;="&amp;BF$3,CLAVE_COMB,$A195)+SUMIFS(SALIDAS_DES,FECHA_DESGLOSEN,"&gt;="&amp;BF$2,FECHA_DESGLOSEN,"&lt;="&amp;BF$3,CLAVE_DESGLOSE,$A195)</f>
        <v>2400</v>
      </c>
      <c r="BG195" s="13">
        <f>SUMIFS(SALIDAS_BIT,FECHA_BIT,"&gt;="&amp;BG$2,FECHA_BIT,"&lt;="&amp;BG$3,CLAVE_BIT,$A195)+SUMIFS(SALIDAS_BOV1,FECHA_BOV1,"&gt;="&amp;BG$2,FECHA_BOV1,"&lt;="&amp;BG$3,CLAVE_BOV1,$A195)+SUMIFS(SALIDAS_BOV2,FECHA_BOV2,"&gt;="&amp;BG$2,FECHA_BOV2,"&lt;="&amp;BG$3,CLAVE_BOV2,$A195)+SUMIFS(SALIDAS_BOV3,FECHA_BOV3,"&gt;="&amp;BG$2,FECHA_BOV3,"&lt;="&amp;BG$3,CLAVE_BOV3,$A195)+SUMIFS(SALIDAS_TC,FECHA_TC,"&gt;="&amp;BG$2,FECHA_TC,"&lt;="&amp;BG$3,CLAVE_TC,$A195)+SUMIFS(SALIDAS_COMB,FECHA_COMB,"&gt;="&amp;BG$2,FECHA_COMB,"&lt;="&amp;BG$3,CLAVE_COMB,$A195)+SUMIFS(SALIDAS_DES,FECHA_DESGLOSEN,"&gt;="&amp;BG$2,FECHA_DESGLOSEN,"&lt;="&amp;BG$3,CLAVE_DESGLOSE,$A195)</f>
        <v>2400</v>
      </c>
      <c r="BH195" s="13">
        <f>SUMIFS(SALIDAS_BIT,FECHA_BIT,"&gt;="&amp;BH$2,FECHA_BIT,"&lt;="&amp;BH$3,CLAVE_BIT,$A195)+SUMIFS(SALIDAS_BOV1,FECHA_BOV1,"&gt;="&amp;BH$2,FECHA_BOV1,"&lt;="&amp;BH$3,CLAVE_BOV1,$A195)+SUMIFS(SALIDAS_BOV2,FECHA_BOV2,"&gt;="&amp;BH$2,FECHA_BOV2,"&lt;="&amp;BH$3,CLAVE_BOV2,$A195)+SUMIFS(SALIDAS_BOV3,FECHA_BOV3,"&gt;="&amp;BH$2,FECHA_BOV3,"&lt;="&amp;BH$3,CLAVE_BOV3,$A195)+SUMIFS(SALIDAS_TC,FECHA_TC,"&gt;="&amp;BH$2,FECHA_TC,"&lt;="&amp;BH$3,CLAVE_TC,$A195)+SUMIFS(SALIDAS_COMB,FECHA_COMB,"&gt;="&amp;BH$2,FECHA_COMB,"&lt;="&amp;BH$3,CLAVE_COMB,$A195)+SUMIFS(SALIDAS_DES,FECHA_DESGLOSEN,"&gt;="&amp;BH$2,FECHA_DESGLOSEN,"&lt;="&amp;BH$3,CLAVE_DESGLOSE,$A195)</f>
        <v>1200</v>
      </c>
      <c r="BI195" s="13">
        <f t="shared" si="311"/>
        <v>8550</v>
      </c>
      <c r="BJ195" s="68">
        <f t="shared" si="258"/>
        <v>-7550</v>
      </c>
      <c r="BK195" s="268">
        <f t="shared" si="259"/>
        <v>8.5500000000000007</v>
      </c>
      <c r="BL195" s="13">
        <f t="shared" si="260"/>
        <v>1000</v>
      </c>
      <c r="BM195" s="13">
        <f>SUMIFS(SALIDAS_BIT,FECHA_BIT,"&gt;="&amp;BM$2,FECHA_BIT,"&lt;="&amp;BM$3,CLAVE_BIT,$A195)+SUMIFS(SALIDAS_BOV1,FECHA_BOV1,"&gt;="&amp;BM$2,FECHA_BOV1,"&lt;="&amp;BM$3,CLAVE_BOV1,$A195)+SUMIFS(SALIDAS_BOV2,FECHA_BOV2,"&gt;="&amp;BM$2,FECHA_BOV2,"&lt;="&amp;BM$3,CLAVE_BOV2,$A195)+SUMIFS(SALIDAS_BOV3,FECHA_BOV3,"&gt;="&amp;BM$2,FECHA_BOV3,"&lt;="&amp;BM$3,CLAVE_BOV3,$A195)+SUMIFS(SALIDAS_TC,FECHA_TC,"&gt;="&amp;BM$2,FECHA_TC,"&lt;="&amp;BM$3,CLAVE_TC,$A195)+SUMIFS(SALIDAS_COMB,FECHA_COMB,"&gt;="&amp;BM$2,FECHA_COMB,"&lt;="&amp;BM$3,CLAVE_COMB,$A195)+SUMIFS(SALIDAS_DES,FECHA_DESGLOSEN,"&gt;="&amp;BM$2,FECHA_DESGLOSEN,"&lt;="&amp;BM$3,CLAVE_DESGLOSE,$A195)</f>
        <v>1350</v>
      </c>
      <c r="BN195" s="13">
        <f>SUMIFS(SALIDAS_BIT,FECHA_BIT,"&gt;="&amp;BN$2,FECHA_BIT,"&lt;="&amp;BN$3,CLAVE_BIT,$A195)+SUMIFS(SALIDAS_BOV1,FECHA_BOV1,"&gt;="&amp;BN$2,FECHA_BOV1,"&lt;="&amp;BN$3,CLAVE_BOV1,$A195)+SUMIFS(SALIDAS_BOV2,FECHA_BOV2,"&gt;="&amp;BN$2,FECHA_BOV2,"&lt;="&amp;BN$3,CLAVE_BOV2,$A195)+SUMIFS(SALIDAS_BOV3,FECHA_BOV3,"&gt;="&amp;BN$2,FECHA_BOV3,"&lt;="&amp;BN$3,CLAVE_BOV3,$A195)+SUMIFS(SALIDAS_TC,FECHA_TC,"&gt;="&amp;BN$2,FECHA_TC,"&lt;="&amp;BN$3,CLAVE_TC,$A195)+SUMIFS(SALIDAS_COMB,FECHA_COMB,"&gt;="&amp;BN$2,FECHA_COMB,"&lt;="&amp;BN$3,CLAVE_COMB,$A195)+SUMIFS(SALIDAS_DES,FECHA_DESGLOSEN,"&gt;="&amp;BN$2,FECHA_DESGLOSEN,"&lt;="&amp;BN$3,CLAVE_DESGLOSE,$A195)</f>
        <v>6900</v>
      </c>
      <c r="BO195" s="13">
        <f>SUMIFS(SALIDAS_BIT,FECHA_BIT,"&gt;="&amp;BO$2,FECHA_BIT,"&lt;="&amp;BO$3,CLAVE_BIT,$A195)+SUMIFS(SALIDAS_BOV1,FECHA_BOV1,"&gt;="&amp;BO$2,FECHA_BOV1,"&lt;="&amp;BO$3,CLAVE_BOV1,$A195)+SUMIFS(SALIDAS_BOV2,FECHA_BOV2,"&gt;="&amp;BO$2,FECHA_BOV2,"&lt;="&amp;BO$3,CLAVE_BOV2,$A195)+SUMIFS(SALIDAS_BOV3,FECHA_BOV3,"&gt;="&amp;BO$2,FECHA_BOV3,"&lt;="&amp;BO$3,CLAVE_BOV3,$A195)+SUMIFS(SALIDAS_TC,FECHA_TC,"&gt;="&amp;BO$2,FECHA_TC,"&lt;="&amp;BO$3,CLAVE_TC,$A195)+SUMIFS(SALIDAS_COMB,FECHA_COMB,"&gt;="&amp;BO$2,FECHA_COMB,"&lt;="&amp;BO$3,CLAVE_COMB,$A195)+SUMIFS(SALIDAS_DES,FECHA_DESGLOSEN,"&gt;="&amp;BO$2,FECHA_DESGLOSEN,"&lt;="&amp;BO$3,CLAVE_DESGLOSE,$A195)</f>
        <v>1400</v>
      </c>
      <c r="BP195" s="13">
        <f>SUMIFS(SALIDAS_BIT,FECHA_BIT,"&gt;="&amp;BP$2,FECHA_BIT,"&lt;="&amp;BP$3,CLAVE_BIT,$A195)+SUMIFS(SALIDAS_BOV1,FECHA_BOV1,"&gt;="&amp;BP$2,FECHA_BOV1,"&lt;="&amp;BP$3,CLAVE_BOV1,$A195)+SUMIFS(SALIDAS_BOV2,FECHA_BOV2,"&gt;="&amp;BP$2,FECHA_BOV2,"&lt;="&amp;BP$3,CLAVE_BOV2,$A195)+SUMIFS(SALIDAS_BOV3,FECHA_BOV3,"&gt;="&amp;BP$2,FECHA_BOV3,"&lt;="&amp;BP$3,CLAVE_BOV3,$A195)+SUMIFS(SALIDAS_TC,FECHA_TC,"&gt;="&amp;BP$2,FECHA_TC,"&lt;="&amp;BP$3,CLAVE_TC,$A195)+SUMIFS(SALIDAS_COMB,FECHA_COMB,"&gt;="&amp;BP$2,FECHA_COMB,"&lt;="&amp;BP$3,CLAVE_COMB,$A195)+SUMIFS(SALIDAS_DES,FECHA_DESGLOSEN,"&gt;="&amp;BP$2,FECHA_DESGLOSEN,"&lt;="&amp;BP$3,CLAVE_DESGLOSE,$A195)</f>
        <v>400</v>
      </c>
      <c r="BQ195" s="13">
        <f>SUMIFS(SALIDAS_BIT,FECHA_BIT,"&gt;="&amp;BQ$2,FECHA_BIT,"&lt;="&amp;BQ$3,CLAVE_BIT,$A195)+SUMIFS(SALIDAS_BOV1,FECHA_BOV1,"&gt;="&amp;BQ$2,FECHA_BOV1,"&lt;="&amp;BQ$3,CLAVE_BOV1,$A195)+SUMIFS(SALIDAS_BOV2,FECHA_BOV2,"&gt;="&amp;BQ$2,FECHA_BOV2,"&lt;="&amp;BQ$3,CLAVE_BOV2,$A195)+SUMIFS(SALIDAS_BOV3,FECHA_BOV3,"&gt;="&amp;BQ$2,FECHA_BOV3,"&lt;="&amp;BQ$3,CLAVE_BOV3,$A195)+SUMIFS(SALIDAS_TC,FECHA_TC,"&gt;="&amp;BQ$2,FECHA_TC,"&lt;="&amp;BQ$3,CLAVE_TC,$A195)+SUMIFS(SALIDAS_COMB,FECHA_COMB,"&gt;="&amp;BQ$2,FECHA_COMB,"&lt;="&amp;BQ$3,CLAVE_COMB,$A195)+SUMIFS(SALIDAS_DES,FECHA_DESGLOSEN,"&gt;="&amp;BQ$2,FECHA_DESGLOSEN,"&lt;="&amp;BQ$3,CLAVE_DESGLOSE,$A195)</f>
        <v>1750</v>
      </c>
      <c r="BR195" s="13">
        <f t="shared" si="331"/>
        <v>11800</v>
      </c>
      <c r="BS195" s="68">
        <f t="shared" si="261"/>
        <v>-10800</v>
      </c>
      <c r="BT195" s="268">
        <f t="shared" si="262"/>
        <v>11.8</v>
      </c>
      <c r="BU195" s="13">
        <f t="shared" si="263"/>
        <v>1000</v>
      </c>
      <c r="BV195" s="13">
        <f t="shared" si="291"/>
        <v>1300</v>
      </c>
      <c r="BW195" s="13">
        <f t="shared" si="291"/>
        <v>600</v>
      </c>
      <c r="BX195" s="13">
        <f t="shared" si="291"/>
        <v>0</v>
      </c>
      <c r="BY195" s="13">
        <f t="shared" si="291"/>
        <v>0</v>
      </c>
      <c r="BZ195" s="13">
        <f t="shared" si="332"/>
        <v>1900</v>
      </c>
      <c r="CA195" s="68">
        <f t="shared" si="264"/>
        <v>-900</v>
      </c>
      <c r="CB195" s="268">
        <f t="shared" si="265"/>
        <v>1.9</v>
      </c>
      <c r="CC195" s="13">
        <f t="shared" si="266"/>
        <v>1000</v>
      </c>
      <c r="CD195" s="13">
        <f t="shared" si="292"/>
        <v>0</v>
      </c>
      <c r="CE195" s="13">
        <f t="shared" si="292"/>
        <v>2800</v>
      </c>
      <c r="CF195" s="13">
        <f t="shared" si="292"/>
        <v>0</v>
      </c>
      <c r="CG195" s="13">
        <f t="shared" si="292"/>
        <v>4200</v>
      </c>
      <c r="CH195" s="13">
        <f t="shared" si="333"/>
        <v>7000</v>
      </c>
      <c r="CI195" s="68">
        <f t="shared" si="267"/>
        <v>-6000</v>
      </c>
      <c r="CJ195" s="268">
        <f t="shared" si="268"/>
        <v>7</v>
      </c>
      <c r="CK195" s="13">
        <f t="shared" si="269"/>
        <v>1000</v>
      </c>
      <c r="CL195" s="13">
        <f t="shared" si="312"/>
        <v>5200</v>
      </c>
      <c r="CM195" s="13">
        <f t="shared" si="312"/>
        <v>6775.7739999999994</v>
      </c>
      <c r="CN195" s="13">
        <f t="shared" si="312"/>
        <v>5600</v>
      </c>
      <c r="CO195" s="13">
        <f t="shared" si="312"/>
        <v>0</v>
      </c>
      <c r="CP195" s="13">
        <f t="shared" si="312"/>
        <v>0</v>
      </c>
      <c r="CQ195" s="13">
        <f t="shared" si="334"/>
        <v>17575.774000000001</v>
      </c>
      <c r="CR195" s="68">
        <f t="shared" si="270"/>
        <v>-16575.774000000001</v>
      </c>
      <c r="CS195" s="268">
        <f t="shared" si="271"/>
        <v>17.575774000000003</v>
      </c>
      <c r="CT195" s="68">
        <f t="shared" si="244"/>
        <v>3000</v>
      </c>
      <c r="CU195" s="13">
        <f>SUMIFS(SALIDAS_BIT,FECHA_BIT,"&gt;="&amp;CU$2,FECHA_BIT,"&lt;="&amp;CU$3,CLAVE_BIT,$A195)+SUMIFS(SALIDAS_BOV1,FECHA_BOV1,"&gt;="&amp;CU$2,FECHA_BOV1,"&lt;="&amp;CU$3,CLAVE_BOV1,$A195)+SUMIFS(SALIDAS_BOV2,FECHA_BOV2,"&gt;="&amp;CU$2,FECHA_BOV2,"&lt;="&amp;CU$3,CLAVE_BOV2,$A195)+SUMIFS(SALIDAS_BOV3,FECHA_BOV3,"&gt;="&amp;CU$2,FECHA_BOV3,"&lt;="&amp;CU$3,CLAVE_BOV3,$A195)+SUMIFS(SALIDAS_TC,FECHA_TC,"&gt;="&amp;CU$2,FECHA_TC,"&lt;="&amp;CU$3,CLAVE_TC,$A195)+SUMIFS(SALIDAS_COMB,FECHA_COMB,"&gt;="&amp;CU$2,FECHA_COMB,"&lt;="&amp;CU$3,CLAVE_COMB,$A195)+SUMIFS(SALIDAS_DES,FECHA_DESGLOSEN,"&gt;="&amp;CU$2,FECHA_DESGLOSEN,"&lt;="&amp;CU$3,CLAVE_DESGLOSE,$A195)</f>
        <v>3600</v>
      </c>
      <c r="CV195" s="13">
        <f>SUMIFS(SALIDAS_BIT,FECHA_BIT,"&gt;="&amp;CV$2,FECHA_BIT,"&lt;="&amp;CV$3,CLAVE_BIT,$A195)+SUMIFS(SALIDAS_BOV1,FECHA_BOV1,"&gt;="&amp;CV$2,FECHA_BOV1,"&lt;="&amp;CV$3,CLAVE_BOV1,$A195)+SUMIFS(SALIDAS_BOV2,FECHA_BOV2,"&gt;="&amp;CV$2,FECHA_BOV2,"&lt;="&amp;CV$3,CLAVE_BOV2,$A195)+SUMIFS(SALIDAS_BOV3,FECHA_BOV3,"&gt;="&amp;CV$2,FECHA_BOV3,"&lt;="&amp;CV$3,CLAVE_BOV3,$A195)+SUMIFS(SALIDAS_TC,FECHA_TC,"&gt;="&amp;CV$2,FECHA_TC,"&lt;="&amp;CV$3,CLAVE_TC,$A195)+SUMIFS(SALIDAS_COMB,FECHA_COMB,"&gt;="&amp;CV$2,FECHA_COMB,"&lt;="&amp;CV$3,CLAVE_COMB,$A195)+SUMIFS(SALIDAS_DES,FECHA_DESGLOSEN,"&gt;="&amp;CV$2,FECHA_DESGLOSEN,"&lt;="&amp;CV$3,CLAVE_DESGLOSE,$A195)</f>
        <v>0</v>
      </c>
      <c r="CW195" s="13">
        <f>SUMIFS(SALIDAS_BIT,FECHA_BIT,"&gt;="&amp;CW$2,FECHA_BIT,"&lt;="&amp;CW$3,CLAVE_BIT,$A195)+SUMIFS(SALIDAS_BOV1,FECHA_BOV1,"&gt;="&amp;CW$2,FECHA_BOV1,"&lt;="&amp;CW$3,CLAVE_BOV1,$A195)+SUMIFS(SALIDAS_BOV2,FECHA_BOV2,"&gt;="&amp;CW$2,FECHA_BOV2,"&lt;="&amp;CW$3,CLAVE_BOV2,$A195)+SUMIFS(SALIDAS_BOV3,FECHA_BOV3,"&gt;="&amp;CW$2,FECHA_BOV3,"&lt;="&amp;CW$3,CLAVE_BOV3,$A195)+SUMIFS(SALIDAS_TC,FECHA_TC,"&gt;="&amp;CW$2,FECHA_TC,"&lt;="&amp;CW$3,CLAVE_TC,$A195)+SUMIFS(SALIDAS_COMB,FECHA_COMB,"&gt;="&amp;CW$2,FECHA_COMB,"&lt;="&amp;CW$3,CLAVE_COMB,$A195)+SUMIFS(SALIDAS_DES,FECHA_DESGLOSEN,"&gt;="&amp;CW$2,FECHA_DESGLOSEN,"&lt;="&amp;CW$3,CLAVE_DESGLOSE,$A195)</f>
        <v>300</v>
      </c>
      <c r="CX195" s="13">
        <f>SUMIFS(SALIDAS_BIT,FECHA_BIT,"&gt;="&amp;CX$2,FECHA_BIT,"&lt;="&amp;CX$3,CLAVE_BIT,$A195)+SUMIFS(SALIDAS_BOV1,FECHA_BOV1,"&gt;="&amp;CX$2,FECHA_BOV1,"&lt;="&amp;CX$3,CLAVE_BOV1,$A195)+SUMIFS(SALIDAS_BOV2,FECHA_BOV2,"&gt;="&amp;CX$2,FECHA_BOV2,"&lt;="&amp;CX$3,CLAVE_BOV2,$A195)+SUMIFS(SALIDAS_BOV3,FECHA_BOV3,"&gt;="&amp;CX$2,FECHA_BOV3,"&lt;="&amp;CX$3,CLAVE_BOV3,$A195)+SUMIFS(SALIDAS_TC,FECHA_TC,"&gt;="&amp;CX$2,FECHA_TC,"&lt;="&amp;CX$3,CLAVE_TC,$A195)+SUMIFS(SALIDAS_COMB,FECHA_COMB,"&gt;="&amp;CX$2,FECHA_COMB,"&lt;="&amp;CX$3,CLAVE_COMB,$A195)+SUMIFS(SALIDAS_DES,FECHA_DESGLOSEN,"&gt;="&amp;CX$2,FECHA_DESGLOSEN,"&lt;="&amp;CX$3,CLAVE_DESGLOSE,$A195)</f>
        <v>5000</v>
      </c>
      <c r="CY195" s="13">
        <f>SUMIFS(SALIDAS_BIT,FECHA_BIT,"&gt;="&amp;CY$2,FECHA_BIT,"&lt;="&amp;CY$3,CLAVE_BIT,$A195)+SUMIFS(SALIDAS_BOV1,FECHA_BOV1,"&gt;="&amp;CY$2,FECHA_BOV1,"&lt;="&amp;CY$3,CLAVE_BOV1,$A195)+SUMIFS(SALIDAS_BOV2,FECHA_BOV2,"&gt;="&amp;CY$2,FECHA_BOV2,"&lt;="&amp;CY$3,CLAVE_BOV2,$A195)+SUMIFS(SALIDAS_BOV3,FECHA_BOV3,"&gt;="&amp;CY$2,FECHA_BOV3,"&lt;="&amp;CY$3,CLAVE_BOV3,$A195)+SUMIFS(SALIDAS_TC,FECHA_TC,"&gt;="&amp;CY$2,FECHA_TC,"&lt;="&amp;CY$3,CLAVE_TC,$A195)+SUMIFS(SALIDAS_COMB,FECHA_COMB,"&gt;="&amp;CY$2,FECHA_COMB,"&lt;="&amp;CY$3,CLAVE_COMB,$A195)+SUMIFS(SALIDAS_DES,FECHA_DESGLOSEN,"&gt;="&amp;CY$2,FECHA_DESGLOSEN,"&lt;="&amp;CY$3,CLAVE_DESGLOSE,$A195)</f>
        <v>8900</v>
      </c>
      <c r="CZ195" s="68">
        <f t="shared" si="272"/>
        <v>-5900</v>
      </c>
      <c r="DB195" s="17">
        <f>F195+N195+W195+AE195+AM195+AV195+BD195+BL195+BU195+CC195+CK195</f>
        <v>11000</v>
      </c>
      <c r="DC195" s="17">
        <f>K195+T195+AB195+AJ195+AS195+BA195+BI195+BR195+BZ195+CH195+CQ195</f>
        <v>55475.774000000005</v>
      </c>
    </row>
    <row r="196" spans="1:107" hidden="1">
      <c r="A196" s="12" t="str">
        <f t="shared" si="245"/>
        <v>FINANZASVIATICOSFINANZAS</v>
      </c>
      <c r="B196" s="482">
        <v>198</v>
      </c>
      <c r="C196" s="12" t="s">
        <v>23</v>
      </c>
      <c r="D196" s="12" t="s">
        <v>191</v>
      </c>
      <c r="E196" s="12" t="s">
        <v>23</v>
      </c>
      <c r="F196" s="259">
        <f t="shared" si="238"/>
        <v>3000</v>
      </c>
      <c r="G196" s="13">
        <f t="shared" si="326"/>
        <v>0</v>
      </c>
      <c r="H196" s="13">
        <f t="shared" si="326"/>
        <v>1500</v>
      </c>
      <c r="I196" s="13">
        <f t="shared" si="326"/>
        <v>0</v>
      </c>
      <c r="J196" s="13">
        <f t="shared" si="326"/>
        <v>2400</v>
      </c>
      <c r="K196" s="13">
        <f t="shared" si="326"/>
        <v>3900</v>
      </c>
      <c r="L196" s="68">
        <f t="shared" si="246"/>
        <v>-900</v>
      </c>
      <c r="M196" s="268">
        <f t="shared" si="247"/>
        <v>1.3</v>
      </c>
      <c r="N196" s="13">
        <f t="shared" si="239"/>
        <v>3000</v>
      </c>
      <c r="O196" s="13">
        <f t="shared" si="327"/>
        <v>0</v>
      </c>
      <c r="P196" s="13">
        <f t="shared" si="327"/>
        <v>700</v>
      </c>
      <c r="Q196" s="13">
        <f t="shared" si="327"/>
        <v>2700</v>
      </c>
      <c r="R196" s="13">
        <f t="shared" si="327"/>
        <v>700</v>
      </c>
      <c r="S196" s="13">
        <f t="shared" si="327"/>
        <v>700</v>
      </c>
      <c r="T196" s="13">
        <f t="shared" si="327"/>
        <v>4800</v>
      </c>
      <c r="U196" s="68">
        <f t="shared" si="248"/>
        <v>-1800</v>
      </c>
      <c r="V196" s="268">
        <f t="shared" si="249"/>
        <v>1.6</v>
      </c>
      <c r="W196" s="13">
        <f t="shared" si="240"/>
        <v>3000</v>
      </c>
      <c r="X196" s="13">
        <f t="shared" si="328"/>
        <v>700</v>
      </c>
      <c r="Y196" s="13">
        <f t="shared" si="328"/>
        <v>0</v>
      </c>
      <c r="Z196" s="13">
        <f t="shared" si="328"/>
        <v>5000</v>
      </c>
      <c r="AA196" s="13">
        <f t="shared" si="328"/>
        <v>640</v>
      </c>
      <c r="AB196" s="13">
        <f t="shared" si="328"/>
        <v>6340</v>
      </c>
      <c r="AC196" s="68">
        <f t="shared" si="250"/>
        <v>-3340</v>
      </c>
      <c r="AD196" s="268">
        <f t="shared" si="251"/>
        <v>2.1133333333333333</v>
      </c>
      <c r="AE196" s="13">
        <f t="shared" si="241"/>
        <v>3000</v>
      </c>
      <c r="AF196" s="13">
        <f t="shared" si="329"/>
        <v>0</v>
      </c>
      <c r="AG196" s="13">
        <f t="shared" si="329"/>
        <v>1300</v>
      </c>
      <c r="AH196" s="13">
        <f t="shared" si="329"/>
        <v>2100</v>
      </c>
      <c r="AI196" s="13">
        <f t="shared" si="329"/>
        <v>0</v>
      </c>
      <c r="AJ196" s="13">
        <f t="shared" si="329"/>
        <v>3400</v>
      </c>
      <c r="AK196" s="68">
        <f t="shared" si="252"/>
        <v>-400</v>
      </c>
      <c r="AL196" s="268">
        <f t="shared" si="253"/>
        <v>1.1333333333333333</v>
      </c>
      <c r="AM196" s="13">
        <f t="shared" si="242"/>
        <v>3000</v>
      </c>
      <c r="AN196" s="13">
        <f t="shared" si="330"/>
        <v>700</v>
      </c>
      <c r="AO196" s="13">
        <f t="shared" si="330"/>
        <v>0</v>
      </c>
      <c r="AP196" s="13">
        <f t="shared" si="330"/>
        <v>700</v>
      </c>
      <c r="AQ196" s="13">
        <f t="shared" si="330"/>
        <v>450</v>
      </c>
      <c r="AR196" s="13">
        <f t="shared" si="330"/>
        <v>0</v>
      </c>
      <c r="AS196" s="13">
        <f t="shared" si="330"/>
        <v>1850</v>
      </c>
      <c r="AT196" s="68">
        <f>AM196-AS196</f>
        <v>1150</v>
      </c>
      <c r="AU196" s="268">
        <f t="shared" si="254"/>
        <v>0.6166666666666667</v>
      </c>
      <c r="AV196" s="13">
        <f t="shared" si="243"/>
        <v>3000</v>
      </c>
      <c r="AW196" s="13">
        <f t="shared" si="323"/>
        <v>1140</v>
      </c>
      <c r="AX196" s="13">
        <f t="shared" si="323"/>
        <v>373</v>
      </c>
      <c r="AY196" s="13">
        <f t="shared" si="323"/>
        <v>800</v>
      </c>
      <c r="AZ196" s="13">
        <f t="shared" si="323"/>
        <v>3500</v>
      </c>
      <c r="BA196" s="13">
        <f t="shared" si="324"/>
        <v>5813</v>
      </c>
      <c r="BB196" s="68">
        <f t="shared" si="255"/>
        <v>-2813</v>
      </c>
      <c r="BC196" s="268">
        <f t="shared" si="256"/>
        <v>1.9376666666666666</v>
      </c>
      <c r="BD196" s="13">
        <f t="shared" si="257"/>
        <v>3000</v>
      </c>
      <c r="BE196" s="13">
        <f>SUMIFS(SALIDAS_BIT,FECHA_BIT,"&gt;="&amp;BE$2,FECHA_BIT,"&lt;="&amp;BE$3,CLAVE_BIT,$A196)+SUMIFS(SALIDAS_BOV1,FECHA_BOV1,"&gt;="&amp;BE$2,FECHA_BOV1,"&lt;="&amp;BE$3,CLAVE_BOV1,$A196)+SUMIFS(SALIDAS_BOV2,FECHA_BOV2,"&gt;="&amp;BE$2,FECHA_BOV2,"&lt;="&amp;BE$3,CLAVE_BOV2,$A196)+SUMIFS(SALIDAS_BOV3,FECHA_BOV3,"&gt;="&amp;BE$2,FECHA_BOV3,"&lt;="&amp;BE$3,CLAVE_BOV3,$A196)+SUMIFS(SALIDAS_TC,FECHA_TC,"&gt;="&amp;BE$2,FECHA_TC,"&lt;="&amp;BE$3,CLAVE_TC,$A196)+SUMIFS(SALIDAS_COMB,FECHA_COMB,"&gt;="&amp;BE$2,FECHA_COMB,"&lt;="&amp;BE$3,CLAVE_COMB,$A196)+SUMIFS(SALIDAS_DES,FECHA_DESGLOSEN,"&gt;="&amp;BE$2,FECHA_DESGLOSEN,"&lt;="&amp;BE$3,CLAVE_DESGLOSE,$A196)</f>
        <v>1100</v>
      </c>
      <c r="BF196" s="13">
        <f>SUMIFS(SALIDAS_BIT,FECHA_BIT,"&gt;="&amp;BF$2,FECHA_BIT,"&lt;="&amp;BF$3,CLAVE_BIT,$A196)+SUMIFS(SALIDAS_BOV1,FECHA_BOV1,"&gt;="&amp;BF$2,FECHA_BOV1,"&lt;="&amp;BF$3,CLAVE_BOV1,$A196)+SUMIFS(SALIDAS_BOV2,FECHA_BOV2,"&gt;="&amp;BF$2,FECHA_BOV2,"&lt;="&amp;BF$3,CLAVE_BOV2,$A196)+SUMIFS(SALIDAS_BOV3,FECHA_BOV3,"&gt;="&amp;BF$2,FECHA_BOV3,"&lt;="&amp;BF$3,CLAVE_BOV3,$A196)+SUMIFS(SALIDAS_TC,FECHA_TC,"&gt;="&amp;BF$2,FECHA_TC,"&lt;="&amp;BF$3,CLAVE_TC,$A196)+SUMIFS(SALIDAS_COMB,FECHA_COMB,"&gt;="&amp;BF$2,FECHA_COMB,"&lt;="&amp;BF$3,CLAVE_COMB,$A196)+SUMIFS(SALIDAS_DES,FECHA_DESGLOSEN,"&gt;="&amp;BF$2,FECHA_DESGLOSEN,"&lt;="&amp;BF$3,CLAVE_DESGLOSE,$A196)</f>
        <v>1300</v>
      </c>
      <c r="BG196" s="13">
        <f>SUMIFS(SALIDAS_BIT,FECHA_BIT,"&gt;="&amp;BG$2,FECHA_BIT,"&lt;="&amp;BG$3,CLAVE_BIT,$A196)+SUMIFS(SALIDAS_BOV1,FECHA_BOV1,"&gt;="&amp;BG$2,FECHA_BOV1,"&lt;="&amp;BG$3,CLAVE_BOV1,$A196)+SUMIFS(SALIDAS_BOV2,FECHA_BOV2,"&gt;="&amp;BG$2,FECHA_BOV2,"&lt;="&amp;BG$3,CLAVE_BOV2,$A196)+SUMIFS(SALIDAS_BOV3,FECHA_BOV3,"&gt;="&amp;BG$2,FECHA_BOV3,"&lt;="&amp;BG$3,CLAVE_BOV3,$A196)+SUMIFS(SALIDAS_TC,FECHA_TC,"&gt;="&amp;BG$2,FECHA_TC,"&lt;="&amp;BG$3,CLAVE_TC,$A196)+SUMIFS(SALIDAS_COMB,FECHA_COMB,"&gt;="&amp;BG$2,FECHA_COMB,"&lt;="&amp;BG$3,CLAVE_COMB,$A196)+SUMIFS(SALIDAS_DES,FECHA_DESGLOSEN,"&gt;="&amp;BG$2,FECHA_DESGLOSEN,"&lt;="&amp;BG$3,CLAVE_DESGLOSE,$A196)</f>
        <v>2800</v>
      </c>
      <c r="BH196" s="13">
        <f>SUMIFS(SALIDAS_BIT,FECHA_BIT,"&gt;="&amp;BH$2,FECHA_BIT,"&lt;="&amp;BH$3,CLAVE_BIT,$A196)+SUMIFS(SALIDAS_BOV1,FECHA_BOV1,"&gt;="&amp;BH$2,FECHA_BOV1,"&lt;="&amp;BH$3,CLAVE_BOV1,$A196)+SUMIFS(SALIDAS_BOV2,FECHA_BOV2,"&gt;="&amp;BH$2,FECHA_BOV2,"&lt;="&amp;BH$3,CLAVE_BOV2,$A196)+SUMIFS(SALIDAS_BOV3,FECHA_BOV3,"&gt;="&amp;BH$2,FECHA_BOV3,"&lt;="&amp;BH$3,CLAVE_BOV3,$A196)+SUMIFS(SALIDAS_TC,FECHA_TC,"&gt;="&amp;BH$2,FECHA_TC,"&lt;="&amp;BH$3,CLAVE_TC,$A196)+SUMIFS(SALIDAS_COMB,FECHA_COMB,"&gt;="&amp;BH$2,FECHA_COMB,"&lt;="&amp;BH$3,CLAVE_COMB,$A196)+SUMIFS(SALIDAS_DES,FECHA_DESGLOSEN,"&gt;="&amp;BH$2,FECHA_DESGLOSEN,"&lt;="&amp;BH$3,CLAVE_DESGLOSE,$A196)</f>
        <v>2717</v>
      </c>
      <c r="BI196" s="13">
        <f t="shared" si="311"/>
        <v>7917</v>
      </c>
      <c r="BJ196" s="68">
        <f t="shared" si="258"/>
        <v>-4917</v>
      </c>
      <c r="BK196" s="268">
        <f t="shared" si="259"/>
        <v>2.6389999999999998</v>
      </c>
      <c r="BL196" s="13">
        <f t="shared" si="260"/>
        <v>3000</v>
      </c>
      <c r="BM196" s="13">
        <f>SUMIFS(SALIDAS_BIT,FECHA_BIT,"&gt;="&amp;BM$2,FECHA_BIT,"&lt;="&amp;BM$3,CLAVE_BIT,$A196)+SUMIFS(SALIDAS_BOV1,FECHA_BOV1,"&gt;="&amp;BM$2,FECHA_BOV1,"&lt;="&amp;BM$3,CLAVE_BOV1,$A196)+SUMIFS(SALIDAS_BOV2,FECHA_BOV2,"&gt;="&amp;BM$2,FECHA_BOV2,"&lt;="&amp;BM$3,CLAVE_BOV2,$A196)+SUMIFS(SALIDAS_BOV3,FECHA_BOV3,"&gt;="&amp;BM$2,FECHA_BOV3,"&lt;="&amp;BM$3,CLAVE_BOV3,$A196)+SUMIFS(SALIDAS_TC,FECHA_TC,"&gt;="&amp;BM$2,FECHA_TC,"&lt;="&amp;BM$3,CLAVE_TC,$A196)+SUMIFS(SALIDAS_COMB,FECHA_COMB,"&gt;="&amp;BM$2,FECHA_COMB,"&lt;="&amp;BM$3,CLAVE_COMB,$A196)+SUMIFS(SALIDAS_DES,FECHA_DESGLOSEN,"&gt;="&amp;BM$2,FECHA_DESGLOSEN,"&lt;="&amp;BM$3,CLAVE_DESGLOSE,$A196)</f>
        <v>2800</v>
      </c>
      <c r="BN196" s="13">
        <f>SUMIFS(SALIDAS_BIT,FECHA_BIT,"&gt;="&amp;BN$2,FECHA_BIT,"&lt;="&amp;BN$3,CLAVE_BIT,$A196)+SUMIFS(SALIDAS_BOV1,FECHA_BOV1,"&gt;="&amp;BN$2,FECHA_BOV1,"&lt;="&amp;BN$3,CLAVE_BOV1,$A196)+SUMIFS(SALIDAS_BOV2,FECHA_BOV2,"&gt;="&amp;BN$2,FECHA_BOV2,"&lt;="&amp;BN$3,CLAVE_BOV2,$A196)+SUMIFS(SALIDAS_BOV3,FECHA_BOV3,"&gt;="&amp;BN$2,FECHA_BOV3,"&lt;="&amp;BN$3,CLAVE_BOV3,$A196)+SUMIFS(SALIDAS_TC,FECHA_TC,"&gt;="&amp;BN$2,FECHA_TC,"&lt;="&amp;BN$3,CLAVE_TC,$A196)+SUMIFS(SALIDAS_COMB,FECHA_COMB,"&gt;="&amp;BN$2,FECHA_COMB,"&lt;="&amp;BN$3,CLAVE_COMB,$A196)+SUMIFS(SALIDAS_DES,FECHA_DESGLOSEN,"&gt;="&amp;BN$2,FECHA_DESGLOSEN,"&lt;="&amp;BN$3,CLAVE_DESGLOSE,$A196)</f>
        <v>0</v>
      </c>
      <c r="BO196" s="13">
        <f>SUMIFS(SALIDAS_BIT,FECHA_BIT,"&gt;="&amp;BO$2,FECHA_BIT,"&lt;="&amp;BO$3,CLAVE_BIT,$A196)+SUMIFS(SALIDAS_BOV1,FECHA_BOV1,"&gt;="&amp;BO$2,FECHA_BOV1,"&lt;="&amp;BO$3,CLAVE_BOV1,$A196)+SUMIFS(SALIDAS_BOV2,FECHA_BOV2,"&gt;="&amp;BO$2,FECHA_BOV2,"&lt;="&amp;BO$3,CLAVE_BOV2,$A196)+SUMIFS(SALIDAS_BOV3,FECHA_BOV3,"&gt;="&amp;BO$2,FECHA_BOV3,"&lt;="&amp;BO$3,CLAVE_BOV3,$A196)+SUMIFS(SALIDAS_TC,FECHA_TC,"&gt;="&amp;BO$2,FECHA_TC,"&lt;="&amp;BO$3,CLAVE_TC,$A196)+SUMIFS(SALIDAS_COMB,FECHA_COMB,"&gt;="&amp;BO$2,FECHA_COMB,"&lt;="&amp;BO$3,CLAVE_COMB,$A196)+SUMIFS(SALIDAS_DES,FECHA_DESGLOSEN,"&gt;="&amp;BO$2,FECHA_DESGLOSEN,"&lt;="&amp;BO$3,CLAVE_DESGLOSE,$A196)</f>
        <v>800</v>
      </c>
      <c r="BP196" s="13">
        <f>SUMIFS(SALIDAS_BIT,FECHA_BIT,"&gt;="&amp;BP$2,FECHA_BIT,"&lt;="&amp;BP$3,CLAVE_BIT,$A196)+SUMIFS(SALIDAS_BOV1,FECHA_BOV1,"&gt;="&amp;BP$2,FECHA_BOV1,"&lt;="&amp;BP$3,CLAVE_BOV1,$A196)+SUMIFS(SALIDAS_BOV2,FECHA_BOV2,"&gt;="&amp;BP$2,FECHA_BOV2,"&lt;="&amp;BP$3,CLAVE_BOV2,$A196)+SUMIFS(SALIDAS_BOV3,FECHA_BOV3,"&gt;="&amp;BP$2,FECHA_BOV3,"&lt;="&amp;BP$3,CLAVE_BOV3,$A196)+SUMIFS(SALIDAS_TC,FECHA_TC,"&gt;="&amp;BP$2,FECHA_TC,"&lt;="&amp;BP$3,CLAVE_TC,$A196)+SUMIFS(SALIDAS_COMB,FECHA_COMB,"&gt;="&amp;BP$2,FECHA_COMB,"&lt;="&amp;BP$3,CLAVE_COMB,$A196)+SUMIFS(SALIDAS_DES,FECHA_DESGLOSEN,"&gt;="&amp;BP$2,FECHA_DESGLOSEN,"&lt;="&amp;BP$3,CLAVE_DESGLOSE,$A196)</f>
        <v>0</v>
      </c>
      <c r="BQ196" s="13">
        <f>SUMIFS(SALIDAS_BIT,FECHA_BIT,"&gt;="&amp;BQ$2,FECHA_BIT,"&lt;="&amp;BQ$3,CLAVE_BIT,$A196)+SUMIFS(SALIDAS_BOV1,FECHA_BOV1,"&gt;="&amp;BQ$2,FECHA_BOV1,"&lt;="&amp;BQ$3,CLAVE_BOV1,$A196)+SUMIFS(SALIDAS_BOV2,FECHA_BOV2,"&gt;="&amp;BQ$2,FECHA_BOV2,"&lt;="&amp;BQ$3,CLAVE_BOV2,$A196)+SUMIFS(SALIDAS_BOV3,FECHA_BOV3,"&gt;="&amp;BQ$2,FECHA_BOV3,"&lt;="&amp;BQ$3,CLAVE_BOV3,$A196)+SUMIFS(SALIDAS_TC,FECHA_TC,"&gt;="&amp;BQ$2,FECHA_TC,"&lt;="&amp;BQ$3,CLAVE_TC,$A196)+SUMIFS(SALIDAS_COMB,FECHA_COMB,"&gt;="&amp;BQ$2,FECHA_COMB,"&lt;="&amp;BQ$3,CLAVE_COMB,$A196)+SUMIFS(SALIDAS_DES,FECHA_DESGLOSEN,"&gt;="&amp;BQ$2,FECHA_DESGLOSEN,"&lt;="&amp;BQ$3,CLAVE_DESGLOSE,$A196)</f>
        <v>800</v>
      </c>
      <c r="BR196" s="13">
        <f t="shared" si="331"/>
        <v>4400</v>
      </c>
      <c r="BS196" s="68">
        <f t="shared" si="261"/>
        <v>-1400</v>
      </c>
      <c r="BT196" s="268">
        <f t="shared" si="262"/>
        <v>1.4666666666666666</v>
      </c>
      <c r="BU196" s="13">
        <f t="shared" si="263"/>
        <v>3000</v>
      </c>
      <c r="BV196" s="13">
        <f t="shared" si="291"/>
        <v>800</v>
      </c>
      <c r="BW196" s="13">
        <f t="shared" si="291"/>
        <v>800</v>
      </c>
      <c r="BX196" s="13">
        <f t="shared" si="291"/>
        <v>1850</v>
      </c>
      <c r="BY196" s="13">
        <f t="shared" si="291"/>
        <v>8000</v>
      </c>
      <c r="BZ196" s="13">
        <f t="shared" si="332"/>
        <v>11450</v>
      </c>
      <c r="CA196" s="68">
        <f t="shared" si="264"/>
        <v>-8450</v>
      </c>
      <c r="CB196" s="268">
        <f t="shared" si="265"/>
        <v>3.8166666666666669</v>
      </c>
      <c r="CC196" s="13">
        <f t="shared" si="266"/>
        <v>3000</v>
      </c>
      <c r="CD196" s="13">
        <f t="shared" si="292"/>
        <v>800</v>
      </c>
      <c r="CE196" s="13">
        <f t="shared" si="292"/>
        <v>0</v>
      </c>
      <c r="CF196" s="13">
        <f t="shared" si="292"/>
        <v>0</v>
      </c>
      <c r="CG196" s="13">
        <f t="shared" si="292"/>
        <v>200</v>
      </c>
      <c r="CH196" s="13">
        <f t="shared" si="333"/>
        <v>1000</v>
      </c>
      <c r="CI196" s="68">
        <f t="shared" si="267"/>
        <v>2000</v>
      </c>
      <c r="CJ196" s="268">
        <f t="shared" si="268"/>
        <v>0.33333333333333331</v>
      </c>
      <c r="CK196" s="13">
        <f t="shared" si="269"/>
        <v>3000</v>
      </c>
      <c r="CL196" s="13">
        <f t="shared" si="312"/>
        <v>300</v>
      </c>
      <c r="CM196" s="13">
        <f t="shared" si="312"/>
        <v>1735</v>
      </c>
      <c r="CN196" s="13">
        <f t="shared" si="312"/>
        <v>1200</v>
      </c>
      <c r="CO196" s="13">
        <f t="shared" si="312"/>
        <v>2650</v>
      </c>
      <c r="CP196" s="13">
        <f t="shared" si="312"/>
        <v>1110</v>
      </c>
      <c r="CQ196" s="13">
        <f t="shared" si="334"/>
        <v>6995</v>
      </c>
      <c r="CR196" s="68">
        <f t="shared" si="270"/>
        <v>-3995</v>
      </c>
      <c r="CS196" s="268">
        <f t="shared" si="271"/>
        <v>2.3316666666666666</v>
      </c>
      <c r="CT196" s="68">
        <f t="shared" si="244"/>
        <v>4000</v>
      </c>
      <c r="CU196" s="13">
        <f>SUMIFS(SALIDAS_BIT,FECHA_BIT,"&gt;="&amp;CU$2,FECHA_BIT,"&lt;="&amp;CU$3,CLAVE_BIT,$A196)+SUMIFS(SALIDAS_BOV1,FECHA_BOV1,"&gt;="&amp;CU$2,FECHA_BOV1,"&lt;="&amp;CU$3,CLAVE_BOV1,$A196)+SUMIFS(SALIDAS_BOV2,FECHA_BOV2,"&gt;="&amp;CU$2,FECHA_BOV2,"&lt;="&amp;CU$3,CLAVE_BOV2,$A196)+SUMIFS(SALIDAS_BOV3,FECHA_BOV3,"&gt;="&amp;CU$2,FECHA_BOV3,"&lt;="&amp;CU$3,CLAVE_BOV3,$A196)+SUMIFS(SALIDAS_TC,FECHA_TC,"&gt;="&amp;CU$2,FECHA_TC,"&lt;="&amp;CU$3,CLAVE_TC,$A196)+SUMIFS(SALIDAS_COMB,FECHA_COMB,"&gt;="&amp;CU$2,FECHA_COMB,"&lt;="&amp;CU$3,CLAVE_COMB,$A196)+SUMIFS(SALIDAS_DES,FECHA_DESGLOSEN,"&gt;="&amp;CU$2,FECHA_DESGLOSEN,"&lt;="&amp;CU$3,CLAVE_DESGLOSE,$A196)</f>
        <v>0</v>
      </c>
      <c r="CV196" s="13">
        <f>SUMIFS(SALIDAS_BIT,FECHA_BIT,"&gt;="&amp;CV$2,FECHA_BIT,"&lt;="&amp;CV$3,CLAVE_BIT,$A196)+SUMIFS(SALIDAS_BOV1,FECHA_BOV1,"&gt;="&amp;CV$2,FECHA_BOV1,"&lt;="&amp;CV$3,CLAVE_BOV1,$A196)+SUMIFS(SALIDAS_BOV2,FECHA_BOV2,"&gt;="&amp;CV$2,FECHA_BOV2,"&lt;="&amp;CV$3,CLAVE_BOV2,$A196)+SUMIFS(SALIDAS_BOV3,FECHA_BOV3,"&gt;="&amp;CV$2,FECHA_BOV3,"&lt;="&amp;CV$3,CLAVE_BOV3,$A196)+SUMIFS(SALIDAS_TC,FECHA_TC,"&gt;="&amp;CV$2,FECHA_TC,"&lt;="&amp;CV$3,CLAVE_TC,$A196)+SUMIFS(SALIDAS_COMB,FECHA_COMB,"&gt;="&amp;CV$2,FECHA_COMB,"&lt;="&amp;CV$3,CLAVE_COMB,$A196)+SUMIFS(SALIDAS_DES,FECHA_DESGLOSEN,"&gt;="&amp;CV$2,FECHA_DESGLOSEN,"&lt;="&amp;CV$3,CLAVE_DESGLOSE,$A196)</f>
        <v>800</v>
      </c>
      <c r="CW196" s="13">
        <f>SUMIFS(SALIDAS_BIT,FECHA_BIT,"&gt;="&amp;CW$2,FECHA_BIT,"&lt;="&amp;CW$3,CLAVE_BIT,$A196)+SUMIFS(SALIDAS_BOV1,FECHA_BOV1,"&gt;="&amp;CW$2,FECHA_BOV1,"&lt;="&amp;CW$3,CLAVE_BOV1,$A196)+SUMIFS(SALIDAS_BOV2,FECHA_BOV2,"&gt;="&amp;CW$2,FECHA_BOV2,"&lt;="&amp;CW$3,CLAVE_BOV2,$A196)+SUMIFS(SALIDAS_BOV3,FECHA_BOV3,"&gt;="&amp;CW$2,FECHA_BOV3,"&lt;="&amp;CW$3,CLAVE_BOV3,$A196)+SUMIFS(SALIDAS_TC,FECHA_TC,"&gt;="&amp;CW$2,FECHA_TC,"&lt;="&amp;CW$3,CLAVE_TC,$A196)+SUMIFS(SALIDAS_COMB,FECHA_COMB,"&gt;="&amp;CW$2,FECHA_COMB,"&lt;="&amp;CW$3,CLAVE_COMB,$A196)+SUMIFS(SALIDAS_DES,FECHA_DESGLOSEN,"&gt;="&amp;CW$2,FECHA_DESGLOSEN,"&lt;="&amp;CW$3,CLAVE_DESGLOSE,$A196)</f>
        <v>2490</v>
      </c>
      <c r="CX196" s="13">
        <f>SUMIFS(SALIDAS_BIT,FECHA_BIT,"&gt;="&amp;CX$2,FECHA_BIT,"&lt;="&amp;CX$3,CLAVE_BIT,$A196)+SUMIFS(SALIDAS_BOV1,FECHA_BOV1,"&gt;="&amp;CX$2,FECHA_BOV1,"&lt;="&amp;CX$3,CLAVE_BOV1,$A196)+SUMIFS(SALIDAS_BOV2,FECHA_BOV2,"&gt;="&amp;CX$2,FECHA_BOV2,"&lt;="&amp;CX$3,CLAVE_BOV2,$A196)+SUMIFS(SALIDAS_BOV3,FECHA_BOV3,"&gt;="&amp;CX$2,FECHA_BOV3,"&lt;="&amp;CX$3,CLAVE_BOV3,$A196)+SUMIFS(SALIDAS_TC,FECHA_TC,"&gt;="&amp;CX$2,FECHA_TC,"&lt;="&amp;CX$3,CLAVE_TC,$A196)+SUMIFS(SALIDAS_COMB,FECHA_COMB,"&gt;="&amp;CX$2,FECHA_COMB,"&lt;="&amp;CX$3,CLAVE_COMB,$A196)+SUMIFS(SALIDAS_DES,FECHA_DESGLOSEN,"&gt;="&amp;CX$2,FECHA_DESGLOSEN,"&lt;="&amp;CX$3,CLAVE_DESGLOSE,$A196)</f>
        <v>1750</v>
      </c>
      <c r="CY196" s="13">
        <f>SUMIFS(SALIDAS_BIT,FECHA_BIT,"&gt;="&amp;CY$2,FECHA_BIT,"&lt;="&amp;CY$3,CLAVE_BIT,$A196)+SUMIFS(SALIDAS_BOV1,FECHA_BOV1,"&gt;="&amp;CY$2,FECHA_BOV1,"&lt;="&amp;CY$3,CLAVE_BOV1,$A196)+SUMIFS(SALIDAS_BOV2,FECHA_BOV2,"&gt;="&amp;CY$2,FECHA_BOV2,"&lt;="&amp;CY$3,CLAVE_BOV2,$A196)+SUMIFS(SALIDAS_BOV3,FECHA_BOV3,"&gt;="&amp;CY$2,FECHA_BOV3,"&lt;="&amp;CY$3,CLAVE_BOV3,$A196)+SUMIFS(SALIDAS_TC,FECHA_TC,"&gt;="&amp;CY$2,FECHA_TC,"&lt;="&amp;CY$3,CLAVE_TC,$A196)+SUMIFS(SALIDAS_COMB,FECHA_COMB,"&gt;="&amp;CY$2,FECHA_COMB,"&lt;="&amp;CY$3,CLAVE_COMB,$A196)+SUMIFS(SALIDAS_DES,FECHA_DESGLOSEN,"&gt;="&amp;CY$2,FECHA_DESGLOSEN,"&lt;="&amp;CY$3,CLAVE_DESGLOSE,$A196)</f>
        <v>5040</v>
      </c>
      <c r="CZ196" s="68">
        <f t="shared" si="272"/>
        <v>-1040</v>
      </c>
      <c r="DB196" s="17">
        <f>F196+N196+W196+AE196+AM196+AV196+BD196+BL196+BU196+CC196+CK196</f>
        <v>33000</v>
      </c>
      <c r="DC196" s="17">
        <f>K196+T196+AB196+AJ196+AS196+BA196+BI196+BR196+BZ196+CH196+CQ196</f>
        <v>57865</v>
      </c>
    </row>
    <row r="197" spans="1:107" hidden="1">
      <c r="A197" s="12" t="str">
        <f t="shared" si="245"/>
        <v>SGEVIATICOSGESTION EMPRESARIAL</v>
      </c>
      <c r="B197" s="12">
        <v>199</v>
      </c>
      <c r="C197" t="s">
        <v>39</v>
      </c>
      <c r="D197" s="12" t="s">
        <v>191</v>
      </c>
      <c r="E197" s="12" t="s">
        <v>40</v>
      </c>
      <c r="F197" s="259">
        <f t="shared" si="238"/>
        <v>8000</v>
      </c>
      <c r="G197" s="13">
        <f t="shared" ref="G197:K206" si="335">SUMIFS(SALIDAS_BIT,FECHA_BIT,"&gt;="&amp;G$2,FECHA_BIT,"&lt;="&amp;G$3,CLAVE_BIT,$A197)+SUMIFS(SALIDAS_BOV1,FECHA_BOV1,"&gt;="&amp;G$2,FECHA_BOV1,"&lt;="&amp;G$3,CLAVE_BOV1,$A197)+SUMIFS(SALIDAS_BOV2,FECHA_BOV2,"&gt;="&amp;G$2,FECHA_BOV2,"&lt;="&amp;G$3,CLAVE_BOV2,$A197)+SUMIFS(SALIDAS_BOV3,FECHA_BOV3,"&gt;="&amp;G$2,FECHA_BOV3,"&lt;="&amp;G$3,CLAVE_BOV3,$A197)+SUMIFS(SALIDAS_TC,FECHA_TC,"&gt;="&amp;G$2,FECHA_TC,"&lt;="&amp;G$3,CLAVE_TC,$A197)+SUMIFS(SALIDAS_COMB,FECHA_COMB,"&gt;="&amp;G$2,FECHA_COMB,"&lt;="&amp;G$3,CLAVE_COMB,$A197)+SUMIFS(SALIDAS_DES,FECHA_DESGLOSEN,"&gt;="&amp;G$2,FECHA_DESGLOSEN,"&lt;="&amp;G$3,CLAVE_DESGLOSE,$A197)</f>
        <v>0</v>
      </c>
      <c r="H197" s="13">
        <f t="shared" si="335"/>
        <v>3800</v>
      </c>
      <c r="I197" s="13">
        <f t="shared" si="335"/>
        <v>2000</v>
      </c>
      <c r="J197" s="13">
        <f t="shared" si="335"/>
        <v>2200</v>
      </c>
      <c r="K197" s="13">
        <f t="shared" si="335"/>
        <v>8000</v>
      </c>
      <c r="L197" s="68">
        <f t="shared" si="246"/>
        <v>0</v>
      </c>
      <c r="M197" s="268">
        <f t="shared" si="247"/>
        <v>1</v>
      </c>
      <c r="N197" s="13">
        <f t="shared" si="239"/>
        <v>8000</v>
      </c>
      <c r="O197" s="13">
        <f t="shared" ref="O197:T206" si="336">SUMIFS(SALIDAS_BIT,FECHA_BIT,"&gt;="&amp;O$2,FECHA_BIT,"&lt;="&amp;O$3,CLAVE_BIT,$A197)+SUMIFS(SALIDAS_BOV1,FECHA_BOV1,"&gt;="&amp;O$2,FECHA_BOV1,"&lt;="&amp;O$3,CLAVE_BOV1,$A197)+SUMIFS(SALIDAS_BOV2,FECHA_BOV2,"&gt;="&amp;O$2,FECHA_BOV2,"&lt;="&amp;O$3,CLAVE_BOV2,$A197)+SUMIFS(SALIDAS_BOV3,FECHA_BOV3,"&gt;="&amp;O$2,FECHA_BOV3,"&lt;="&amp;O$3,CLAVE_BOV3,$A197)+SUMIFS(SALIDAS_TC,FECHA_TC,"&gt;="&amp;O$2,FECHA_TC,"&lt;="&amp;O$3,CLAVE_TC,$A197)+SUMIFS(SALIDAS_COMB,FECHA_COMB,"&gt;="&amp;O$2,FECHA_COMB,"&lt;="&amp;O$3,CLAVE_COMB,$A197)+SUMIFS(SALIDAS_DES,FECHA_DESGLOSEN,"&gt;="&amp;O$2,FECHA_DESGLOSEN,"&lt;="&amp;O$3,CLAVE_DESGLOSE,$A197)</f>
        <v>0</v>
      </c>
      <c r="P197" s="13">
        <f t="shared" si="336"/>
        <v>2200</v>
      </c>
      <c r="Q197" s="13">
        <f t="shared" si="336"/>
        <v>0</v>
      </c>
      <c r="R197" s="13">
        <f t="shared" si="336"/>
        <v>2800</v>
      </c>
      <c r="S197" s="13">
        <f t="shared" si="336"/>
        <v>2200</v>
      </c>
      <c r="T197" s="13">
        <f t="shared" si="336"/>
        <v>7200</v>
      </c>
      <c r="U197" s="68">
        <f t="shared" si="248"/>
        <v>800</v>
      </c>
      <c r="V197" s="268">
        <f t="shared" si="249"/>
        <v>0.9</v>
      </c>
      <c r="W197" s="13">
        <f t="shared" si="240"/>
        <v>8000</v>
      </c>
      <c r="X197" s="13">
        <f t="shared" ref="X197:AB206" si="337">SUMIFS(SALIDAS_BIT,FECHA_BIT,"&gt;="&amp;X$2,FECHA_BIT,"&lt;="&amp;X$3,CLAVE_BIT,$A197)+SUMIFS(SALIDAS_BOV1,FECHA_BOV1,"&gt;="&amp;X$2,FECHA_BOV1,"&lt;="&amp;X$3,CLAVE_BOV1,$A197)+SUMIFS(SALIDAS_BOV2,FECHA_BOV2,"&gt;="&amp;X$2,FECHA_BOV2,"&lt;="&amp;X$3,CLAVE_BOV2,$A197)+SUMIFS(SALIDAS_BOV3,FECHA_BOV3,"&gt;="&amp;X$2,FECHA_BOV3,"&lt;="&amp;X$3,CLAVE_BOV3,$A197)+SUMIFS(SALIDAS_TC,FECHA_TC,"&gt;="&amp;X$2,FECHA_TC,"&lt;="&amp;X$3,CLAVE_TC,$A197)+SUMIFS(SALIDAS_COMB,FECHA_COMB,"&gt;="&amp;X$2,FECHA_COMB,"&lt;="&amp;X$3,CLAVE_COMB,$A197)+SUMIFS(SALIDAS_DES,FECHA_DESGLOSEN,"&gt;="&amp;X$2,FECHA_DESGLOSEN,"&lt;="&amp;X$3,CLAVE_DESGLOSE,$A197)</f>
        <v>800</v>
      </c>
      <c r="Y197" s="13">
        <f t="shared" si="337"/>
        <v>0</v>
      </c>
      <c r="Z197" s="13">
        <f t="shared" si="337"/>
        <v>2800</v>
      </c>
      <c r="AA197" s="13">
        <f t="shared" si="337"/>
        <v>880</v>
      </c>
      <c r="AB197" s="13">
        <f t="shared" si="337"/>
        <v>4480</v>
      </c>
      <c r="AC197" s="68">
        <f t="shared" si="250"/>
        <v>3520</v>
      </c>
      <c r="AD197" s="268">
        <f t="shared" si="251"/>
        <v>0.56000000000000005</v>
      </c>
      <c r="AE197" s="13">
        <f t="shared" si="241"/>
        <v>8000</v>
      </c>
      <c r="AF197" s="13">
        <f t="shared" ref="AF197:AJ206" si="338">SUMIFS(SALIDAS_BIT,FECHA_BIT,"&gt;="&amp;AF$2,FECHA_BIT,"&lt;="&amp;AF$3,CLAVE_BIT,$A197)+SUMIFS(SALIDAS_BOV1,FECHA_BOV1,"&gt;="&amp;AF$2,FECHA_BOV1,"&lt;="&amp;AF$3,CLAVE_BOV1,$A197)+SUMIFS(SALIDAS_BOV2,FECHA_BOV2,"&gt;="&amp;AF$2,FECHA_BOV2,"&lt;="&amp;AF$3,CLAVE_BOV2,$A197)+SUMIFS(SALIDAS_BOV3,FECHA_BOV3,"&gt;="&amp;AF$2,FECHA_BOV3,"&lt;="&amp;AF$3,CLAVE_BOV3,$A197)+SUMIFS(SALIDAS_TC,FECHA_TC,"&gt;="&amp;AF$2,FECHA_TC,"&lt;="&amp;AF$3,CLAVE_TC,$A197)+SUMIFS(SALIDAS_COMB,FECHA_COMB,"&gt;="&amp;AF$2,FECHA_COMB,"&lt;="&amp;AF$3,CLAVE_COMB,$A197)+SUMIFS(SALIDAS_DES,FECHA_DESGLOSEN,"&gt;="&amp;AF$2,FECHA_DESGLOSEN,"&lt;="&amp;AF$3,CLAVE_DESGLOSE,$A197)</f>
        <v>3800</v>
      </c>
      <c r="AG197" s="13">
        <f t="shared" si="338"/>
        <v>0</v>
      </c>
      <c r="AH197" s="13">
        <f t="shared" si="338"/>
        <v>2800</v>
      </c>
      <c r="AI197" s="13">
        <f t="shared" si="338"/>
        <v>0</v>
      </c>
      <c r="AJ197" s="13">
        <f t="shared" si="338"/>
        <v>6600</v>
      </c>
      <c r="AK197" s="68">
        <f t="shared" si="252"/>
        <v>1400</v>
      </c>
      <c r="AL197" s="268">
        <f t="shared" si="253"/>
        <v>0.82499999999999996</v>
      </c>
      <c r="AM197" s="13">
        <f t="shared" si="242"/>
        <v>8000</v>
      </c>
      <c r="AN197" s="13">
        <f t="shared" ref="AN197:AS206" si="339">SUMIFS(SALIDAS_BIT,FECHA_BIT,"&gt;="&amp;AN$2,FECHA_BIT,"&lt;="&amp;AN$3,CLAVE_BIT,$A197)+SUMIFS(SALIDAS_BOV1,FECHA_BOV1,"&gt;="&amp;AN$2,FECHA_BOV1,"&lt;="&amp;AN$3,CLAVE_BOV1,$A197)+SUMIFS(SALIDAS_BOV2,FECHA_BOV2,"&gt;="&amp;AN$2,FECHA_BOV2,"&lt;="&amp;AN$3,CLAVE_BOV2,$A197)+SUMIFS(SALIDAS_BOV3,FECHA_BOV3,"&gt;="&amp;AN$2,FECHA_BOV3,"&lt;="&amp;AN$3,CLAVE_BOV3,$A197)+SUMIFS(SALIDAS_TC,FECHA_TC,"&gt;="&amp;AN$2,FECHA_TC,"&lt;="&amp;AN$3,CLAVE_TC,$A197)+SUMIFS(SALIDAS_COMB,FECHA_COMB,"&gt;="&amp;AN$2,FECHA_COMB,"&lt;="&amp;AN$3,CLAVE_COMB,$A197)+SUMIFS(SALIDAS_DES,FECHA_DESGLOSEN,"&gt;="&amp;AN$2,FECHA_DESGLOSEN,"&lt;="&amp;AN$3,CLAVE_DESGLOSE,$A197)</f>
        <v>0</v>
      </c>
      <c r="AO197" s="13">
        <f t="shared" si="339"/>
        <v>1800</v>
      </c>
      <c r="AP197" s="13">
        <f t="shared" si="339"/>
        <v>2900</v>
      </c>
      <c r="AQ197" s="13">
        <f t="shared" si="339"/>
        <v>2400</v>
      </c>
      <c r="AR197" s="13">
        <f t="shared" si="339"/>
        <v>0</v>
      </c>
      <c r="AS197" s="13">
        <f t="shared" si="339"/>
        <v>7100</v>
      </c>
      <c r="AT197" s="68">
        <f>AM197-AS197</f>
        <v>900</v>
      </c>
      <c r="AU197" s="268">
        <f t="shared" si="254"/>
        <v>0.88749999999999996</v>
      </c>
      <c r="AV197" s="13">
        <f t="shared" si="243"/>
        <v>8000</v>
      </c>
      <c r="AW197" s="13">
        <f t="shared" si="323"/>
        <v>600</v>
      </c>
      <c r="AX197" s="13">
        <f t="shared" si="323"/>
        <v>2800</v>
      </c>
      <c r="AY197" s="13">
        <f t="shared" si="323"/>
        <v>0</v>
      </c>
      <c r="AZ197" s="13">
        <f t="shared" si="323"/>
        <v>0</v>
      </c>
      <c r="BA197" s="13">
        <f t="shared" si="324"/>
        <v>3400</v>
      </c>
      <c r="BB197" s="68">
        <f t="shared" si="255"/>
        <v>4600</v>
      </c>
      <c r="BC197" s="268">
        <f t="shared" si="256"/>
        <v>0.42499999999999999</v>
      </c>
      <c r="BD197" s="13">
        <f t="shared" si="257"/>
        <v>8000</v>
      </c>
      <c r="BE197" s="13">
        <f>SUMIFS(SALIDAS_BIT,FECHA_BIT,"&gt;="&amp;BE$2,FECHA_BIT,"&lt;="&amp;BE$3,CLAVE_BIT,$A197)+SUMIFS(SALIDAS_BOV1,FECHA_BOV1,"&gt;="&amp;BE$2,FECHA_BOV1,"&lt;="&amp;BE$3,CLAVE_BOV1,$A197)+SUMIFS(SALIDAS_BOV2,FECHA_BOV2,"&gt;="&amp;BE$2,FECHA_BOV2,"&lt;="&amp;BE$3,CLAVE_BOV2,$A197)+SUMIFS(SALIDAS_BOV3,FECHA_BOV3,"&gt;="&amp;BE$2,FECHA_BOV3,"&lt;="&amp;BE$3,CLAVE_BOV3,$A197)+SUMIFS(SALIDAS_TC,FECHA_TC,"&gt;="&amp;BE$2,FECHA_TC,"&lt;="&amp;BE$3,CLAVE_TC,$A197)+SUMIFS(SALIDAS_COMB,FECHA_COMB,"&gt;="&amp;BE$2,FECHA_COMB,"&lt;="&amp;BE$3,CLAVE_COMB,$A197)+SUMIFS(SALIDAS_DES,FECHA_DESGLOSEN,"&gt;="&amp;BE$2,FECHA_DESGLOSEN,"&lt;="&amp;BE$3,CLAVE_DESGLOSE,$A197)</f>
        <v>0</v>
      </c>
      <c r="BF197" s="13">
        <f>SUMIFS(SALIDAS_BIT,FECHA_BIT,"&gt;="&amp;BF$2,FECHA_BIT,"&lt;="&amp;BF$3,CLAVE_BIT,$A197)+SUMIFS(SALIDAS_BOV1,FECHA_BOV1,"&gt;="&amp;BF$2,FECHA_BOV1,"&lt;="&amp;BF$3,CLAVE_BOV1,$A197)+SUMIFS(SALIDAS_BOV2,FECHA_BOV2,"&gt;="&amp;BF$2,FECHA_BOV2,"&lt;="&amp;BF$3,CLAVE_BOV2,$A197)+SUMIFS(SALIDAS_BOV3,FECHA_BOV3,"&gt;="&amp;BF$2,FECHA_BOV3,"&lt;="&amp;BF$3,CLAVE_BOV3,$A197)+SUMIFS(SALIDAS_TC,FECHA_TC,"&gt;="&amp;BF$2,FECHA_TC,"&lt;="&amp;BF$3,CLAVE_TC,$A197)+SUMIFS(SALIDAS_COMB,FECHA_COMB,"&gt;="&amp;BF$2,FECHA_COMB,"&lt;="&amp;BF$3,CLAVE_COMB,$A197)+SUMIFS(SALIDAS_DES,FECHA_DESGLOSEN,"&gt;="&amp;BF$2,FECHA_DESGLOSEN,"&lt;="&amp;BF$3,CLAVE_DESGLOSE,$A197)</f>
        <v>7000</v>
      </c>
      <c r="BG197" s="13">
        <f>SUMIFS(SALIDAS_BIT,FECHA_BIT,"&gt;="&amp;BG$2,FECHA_BIT,"&lt;="&amp;BG$3,CLAVE_BIT,$A197)+SUMIFS(SALIDAS_BOV1,FECHA_BOV1,"&gt;="&amp;BG$2,FECHA_BOV1,"&lt;="&amp;BG$3,CLAVE_BOV1,$A197)+SUMIFS(SALIDAS_BOV2,FECHA_BOV2,"&gt;="&amp;BG$2,FECHA_BOV2,"&lt;="&amp;BG$3,CLAVE_BOV2,$A197)+SUMIFS(SALIDAS_BOV3,FECHA_BOV3,"&gt;="&amp;BG$2,FECHA_BOV3,"&lt;="&amp;BG$3,CLAVE_BOV3,$A197)+SUMIFS(SALIDAS_TC,FECHA_TC,"&gt;="&amp;BG$2,FECHA_TC,"&lt;="&amp;BG$3,CLAVE_TC,$A197)+SUMIFS(SALIDAS_COMB,FECHA_COMB,"&gt;="&amp;BG$2,FECHA_COMB,"&lt;="&amp;BG$3,CLAVE_COMB,$A197)+SUMIFS(SALIDAS_DES,FECHA_DESGLOSEN,"&gt;="&amp;BG$2,FECHA_DESGLOSEN,"&lt;="&amp;BG$3,CLAVE_DESGLOSE,$A197)</f>
        <v>0</v>
      </c>
      <c r="BH197" s="13">
        <f>SUMIFS(SALIDAS_BIT,FECHA_BIT,"&gt;="&amp;BH$2,FECHA_BIT,"&lt;="&amp;BH$3,CLAVE_BIT,$A197)+SUMIFS(SALIDAS_BOV1,FECHA_BOV1,"&gt;="&amp;BH$2,FECHA_BOV1,"&lt;="&amp;BH$3,CLAVE_BOV1,$A197)+SUMIFS(SALIDAS_BOV2,FECHA_BOV2,"&gt;="&amp;BH$2,FECHA_BOV2,"&lt;="&amp;BH$3,CLAVE_BOV2,$A197)+SUMIFS(SALIDAS_BOV3,FECHA_BOV3,"&gt;="&amp;BH$2,FECHA_BOV3,"&lt;="&amp;BH$3,CLAVE_BOV3,$A197)+SUMIFS(SALIDAS_TC,FECHA_TC,"&gt;="&amp;BH$2,FECHA_TC,"&lt;="&amp;BH$3,CLAVE_TC,$A197)+SUMIFS(SALIDAS_COMB,FECHA_COMB,"&gt;="&amp;BH$2,FECHA_COMB,"&lt;="&amp;BH$3,CLAVE_COMB,$A197)+SUMIFS(SALIDAS_DES,FECHA_DESGLOSEN,"&gt;="&amp;BH$2,FECHA_DESGLOSEN,"&lt;="&amp;BH$3,CLAVE_DESGLOSE,$A197)</f>
        <v>3900</v>
      </c>
      <c r="BI197" s="13">
        <f t="shared" si="311"/>
        <v>10900</v>
      </c>
      <c r="BJ197" s="68">
        <f t="shared" si="258"/>
        <v>-2900</v>
      </c>
      <c r="BK197" s="268">
        <f t="shared" si="259"/>
        <v>1.3625</v>
      </c>
      <c r="BL197" s="13">
        <f t="shared" si="260"/>
        <v>8000</v>
      </c>
      <c r="BM197" s="13">
        <f>SUMIFS(SALIDAS_BIT,FECHA_BIT,"&gt;="&amp;BM$2,FECHA_BIT,"&lt;="&amp;BM$3,CLAVE_BIT,$A197)+SUMIFS(SALIDAS_BOV1,FECHA_BOV1,"&gt;="&amp;BM$2,FECHA_BOV1,"&lt;="&amp;BM$3,CLAVE_BOV1,$A197)+SUMIFS(SALIDAS_BOV2,FECHA_BOV2,"&gt;="&amp;BM$2,FECHA_BOV2,"&lt;="&amp;BM$3,CLAVE_BOV2,$A197)+SUMIFS(SALIDAS_BOV3,FECHA_BOV3,"&gt;="&amp;BM$2,FECHA_BOV3,"&lt;="&amp;BM$3,CLAVE_BOV3,$A197)+SUMIFS(SALIDAS_TC,FECHA_TC,"&gt;="&amp;BM$2,FECHA_TC,"&lt;="&amp;BM$3,CLAVE_TC,$A197)+SUMIFS(SALIDAS_COMB,FECHA_COMB,"&gt;="&amp;BM$2,FECHA_COMB,"&lt;="&amp;BM$3,CLAVE_COMB,$A197)+SUMIFS(SALIDAS_DES,FECHA_DESGLOSEN,"&gt;="&amp;BM$2,FECHA_DESGLOSEN,"&lt;="&amp;BM$3,CLAVE_DESGLOSE,$A197)</f>
        <v>0</v>
      </c>
      <c r="BN197" s="13">
        <f>SUMIFS(SALIDAS_BIT,FECHA_BIT,"&gt;="&amp;BN$2,FECHA_BIT,"&lt;="&amp;BN$3,CLAVE_BIT,$A197)+SUMIFS(SALIDAS_BOV1,FECHA_BOV1,"&gt;="&amp;BN$2,FECHA_BOV1,"&lt;="&amp;BN$3,CLAVE_BOV1,$A197)+SUMIFS(SALIDAS_BOV2,FECHA_BOV2,"&gt;="&amp;BN$2,FECHA_BOV2,"&lt;="&amp;BN$3,CLAVE_BOV2,$A197)+SUMIFS(SALIDAS_BOV3,FECHA_BOV3,"&gt;="&amp;BN$2,FECHA_BOV3,"&lt;="&amp;BN$3,CLAVE_BOV3,$A197)+SUMIFS(SALIDAS_TC,FECHA_TC,"&gt;="&amp;BN$2,FECHA_TC,"&lt;="&amp;BN$3,CLAVE_TC,$A197)+SUMIFS(SALIDAS_COMB,FECHA_COMB,"&gt;="&amp;BN$2,FECHA_COMB,"&lt;="&amp;BN$3,CLAVE_COMB,$A197)+SUMIFS(SALIDAS_DES,FECHA_DESGLOSEN,"&gt;="&amp;BN$2,FECHA_DESGLOSEN,"&lt;="&amp;BN$3,CLAVE_DESGLOSE,$A197)</f>
        <v>1900</v>
      </c>
      <c r="BO197" s="13">
        <f>SUMIFS(SALIDAS_BIT,FECHA_BIT,"&gt;="&amp;BO$2,FECHA_BIT,"&lt;="&amp;BO$3,CLAVE_BIT,$A197)+SUMIFS(SALIDAS_BOV1,FECHA_BOV1,"&gt;="&amp;BO$2,FECHA_BOV1,"&lt;="&amp;BO$3,CLAVE_BOV1,$A197)+SUMIFS(SALIDAS_BOV2,FECHA_BOV2,"&gt;="&amp;BO$2,FECHA_BOV2,"&lt;="&amp;BO$3,CLAVE_BOV2,$A197)+SUMIFS(SALIDAS_BOV3,FECHA_BOV3,"&gt;="&amp;BO$2,FECHA_BOV3,"&lt;="&amp;BO$3,CLAVE_BOV3,$A197)+SUMIFS(SALIDAS_TC,FECHA_TC,"&gt;="&amp;BO$2,FECHA_TC,"&lt;="&amp;BO$3,CLAVE_TC,$A197)+SUMIFS(SALIDAS_COMB,FECHA_COMB,"&gt;="&amp;BO$2,FECHA_COMB,"&lt;="&amp;BO$3,CLAVE_COMB,$A197)+SUMIFS(SALIDAS_DES,FECHA_DESGLOSEN,"&gt;="&amp;BO$2,FECHA_DESGLOSEN,"&lt;="&amp;BO$3,CLAVE_DESGLOSE,$A197)</f>
        <v>0</v>
      </c>
      <c r="BP197" s="13">
        <f>SUMIFS(SALIDAS_BIT,FECHA_BIT,"&gt;="&amp;BP$2,FECHA_BIT,"&lt;="&amp;BP$3,CLAVE_BIT,$A197)+SUMIFS(SALIDAS_BOV1,FECHA_BOV1,"&gt;="&amp;BP$2,FECHA_BOV1,"&lt;="&amp;BP$3,CLAVE_BOV1,$A197)+SUMIFS(SALIDAS_BOV2,FECHA_BOV2,"&gt;="&amp;BP$2,FECHA_BOV2,"&lt;="&amp;BP$3,CLAVE_BOV2,$A197)+SUMIFS(SALIDAS_BOV3,FECHA_BOV3,"&gt;="&amp;BP$2,FECHA_BOV3,"&lt;="&amp;BP$3,CLAVE_BOV3,$A197)+SUMIFS(SALIDAS_TC,FECHA_TC,"&gt;="&amp;BP$2,FECHA_TC,"&lt;="&amp;BP$3,CLAVE_TC,$A197)+SUMIFS(SALIDAS_COMB,FECHA_COMB,"&gt;="&amp;BP$2,FECHA_COMB,"&lt;="&amp;BP$3,CLAVE_COMB,$A197)+SUMIFS(SALIDAS_DES,FECHA_DESGLOSEN,"&gt;="&amp;BP$2,FECHA_DESGLOSEN,"&lt;="&amp;BP$3,CLAVE_DESGLOSE,$A197)</f>
        <v>26821.340000000004</v>
      </c>
      <c r="BQ197" s="13">
        <f>SUMIFS(SALIDAS_BIT,FECHA_BIT,"&gt;="&amp;BQ$2,FECHA_BIT,"&lt;="&amp;BQ$3,CLAVE_BIT,$A197)+SUMIFS(SALIDAS_BOV1,FECHA_BOV1,"&gt;="&amp;BQ$2,FECHA_BOV1,"&lt;="&amp;BQ$3,CLAVE_BOV1,$A197)+SUMIFS(SALIDAS_BOV2,FECHA_BOV2,"&gt;="&amp;BQ$2,FECHA_BOV2,"&lt;="&amp;BQ$3,CLAVE_BOV2,$A197)+SUMIFS(SALIDAS_BOV3,FECHA_BOV3,"&gt;="&amp;BQ$2,FECHA_BOV3,"&lt;="&amp;BQ$3,CLAVE_BOV3,$A197)+SUMIFS(SALIDAS_TC,FECHA_TC,"&gt;="&amp;BQ$2,FECHA_TC,"&lt;="&amp;BQ$3,CLAVE_TC,$A197)+SUMIFS(SALIDAS_COMB,FECHA_COMB,"&gt;="&amp;BQ$2,FECHA_COMB,"&lt;="&amp;BQ$3,CLAVE_COMB,$A197)+SUMIFS(SALIDAS_DES,FECHA_DESGLOSEN,"&gt;="&amp;BQ$2,FECHA_DESGLOSEN,"&lt;="&amp;BQ$3,CLAVE_DESGLOSE,$A197)</f>
        <v>0</v>
      </c>
      <c r="BR197" s="13">
        <f t="shared" ref="BR197:BR206" si="340">SUMIFS(SALIDAS_BIT,FECHA_BIT,"&gt;="&amp;BR$2,FECHA_BIT,"&lt;="&amp;BR$3,CLAVE_BIT,$A197)+SUMIFS(SALIDAS_BOV1,FECHA_BOV1,"&gt;="&amp;BR$2,FECHA_BOV1,"&lt;="&amp;BR$3,CLAVE_BOV1,$A197)+SUMIFS(SALIDAS_BOV2,FECHA_BOV2,"&gt;="&amp;BR$2,FECHA_BOV2,"&lt;="&amp;BR$3,CLAVE_BOV2,$A197)+SUMIFS(SALIDAS_BOV3,FECHA_BOV3,"&gt;="&amp;BR$2,FECHA_BOV3,"&lt;="&amp;BR$3,CLAVE_BOV3,$A197)+SUMIFS(SALIDAS_TC,FECHA_TC,"&gt;="&amp;BR$2,FECHA_TC,"&lt;="&amp;BR$3,CLAVE_TC,$A197)+SUMIFS(SALIDAS_COMB,FECHA_COMB,"&gt;="&amp;BR$2,FECHA_COMB,"&lt;="&amp;BR$3,CLAVE_COMB,$A197)+SUMIFS(SALIDAS_DES,FECHA_DESGLOSEN,"&gt;="&amp;BR$2,FECHA_DESGLOSEN,"&lt;="&amp;BR$3,CLAVE_DESGLOSE,$A197)</f>
        <v>28721.340000000004</v>
      </c>
      <c r="BS197" s="68">
        <f t="shared" si="261"/>
        <v>-20721.340000000004</v>
      </c>
      <c r="BT197" s="268">
        <f t="shared" si="262"/>
        <v>3.5901675000000006</v>
      </c>
      <c r="BU197" s="13">
        <f t="shared" si="263"/>
        <v>8000</v>
      </c>
      <c r="BV197" s="13">
        <f t="shared" si="291"/>
        <v>0</v>
      </c>
      <c r="BW197" s="13">
        <f t="shared" si="291"/>
        <v>2900</v>
      </c>
      <c r="BX197" s="13">
        <f t="shared" si="291"/>
        <v>0</v>
      </c>
      <c r="BY197" s="13">
        <f t="shared" si="291"/>
        <v>0</v>
      </c>
      <c r="BZ197" s="13">
        <f t="shared" ref="BZ197:BZ206" si="341">SUMIFS(SALIDAS_BIT,FECHA_BIT,"&gt;="&amp;BZ$2,FECHA_BIT,"&lt;="&amp;BZ$3,CLAVE_BIT,$A197)+SUMIFS(SALIDAS_BOV1,FECHA_BOV1,"&gt;="&amp;BZ$2,FECHA_BOV1,"&lt;="&amp;BZ$3,CLAVE_BOV1,$A197)+SUMIFS(SALIDAS_BOV2,FECHA_BOV2,"&gt;="&amp;BZ$2,FECHA_BOV2,"&lt;="&amp;BZ$3,CLAVE_BOV2,$A197)+SUMIFS(SALIDAS_BOV3,FECHA_BOV3,"&gt;="&amp;BZ$2,FECHA_BOV3,"&lt;="&amp;BZ$3,CLAVE_BOV3,$A197)+SUMIFS(SALIDAS_TC,FECHA_TC,"&gt;="&amp;BZ$2,FECHA_TC,"&lt;="&amp;BZ$3,CLAVE_TC,$A197)+SUMIFS(SALIDAS_COMB,FECHA_COMB,"&gt;="&amp;BZ$2,FECHA_COMB,"&lt;="&amp;BZ$3,CLAVE_COMB,$A197)+SUMIFS(SALIDAS_DES,FECHA_DESGLOSEN,"&gt;="&amp;BZ$2,FECHA_DESGLOSEN,"&lt;="&amp;BZ$3,CLAVE_DESGLOSE,$A197)</f>
        <v>2900</v>
      </c>
      <c r="CA197" s="68">
        <f t="shared" si="264"/>
        <v>5100</v>
      </c>
      <c r="CB197" s="268">
        <f t="shared" si="265"/>
        <v>0.36249999999999999</v>
      </c>
      <c r="CC197" s="13">
        <f t="shared" si="266"/>
        <v>10500</v>
      </c>
      <c r="CD197" s="13">
        <f t="shared" si="292"/>
        <v>0</v>
      </c>
      <c r="CE197" s="13">
        <f t="shared" si="292"/>
        <v>0</v>
      </c>
      <c r="CF197" s="13">
        <f t="shared" si="292"/>
        <v>2900</v>
      </c>
      <c r="CG197" s="13">
        <f t="shared" si="292"/>
        <v>3000</v>
      </c>
      <c r="CH197" s="13">
        <f t="shared" ref="CH197:CH206" si="342">SUMIFS(SALIDAS_BIT,FECHA_BIT,"&gt;="&amp;CH$2,FECHA_BIT,"&lt;="&amp;CH$3,CLAVE_BIT,$A197)+SUMIFS(SALIDAS_BOV1,FECHA_BOV1,"&gt;="&amp;CH$2,FECHA_BOV1,"&lt;="&amp;CH$3,CLAVE_BOV1,$A197)+SUMIFS(SALIDAS_BOV2,FECHA_BOV2,"&gt;="&amp;CH$2,FECHA_BOV2,"&lt;="&amp;CH$3,CLAVE_BOV2,$A197)+SUMIFS(SALIDAS_BOV3,FECHA_BOV3,"&gt;="&amp;CH$2,FECHA_BOV3,"&lt;="&amp;CH$3,CLAVE_BOV3,$A197)+SUMIFS(SALIDAS_TC,FECHA_TC,"&gt;="&amp;CH$2,FECHA_TC,"&lt;="&amp;CH$3,CLAVE_TC,$A197)+SUMIFS(SALIDAS_COMB,FECHA_COMB,"&gt;="&amp;CH$2,FECHA_COMB,"&lt;="&amp;CH$3,CLAVE_COMB,$A197)+SUMIFS(SALIDAS_DES,FECHA_DESGLOSEN,"&gt;="&amp;CH$2,FECHA_DESGLOSEN,"&lt;="&amp;CH$3,CLAVE_DESGLOSE,$A197)</f>
        <v>5900</v>
      </c>
      <c r="CI197" s="68">
        <f t="shared" si="267"/>
        <v>4600</v>
      </c>
      <c r="CJ197" s="268">
        <f t="shared" si="268"/>
        <v>0.56190476190476191</v>
      </c>
      <c r="CK197" s="13">
        <f t="shared" si="269"/>
        <v>20000</v>
      </c>
      <c r="CL197" s="13">
        <f t="shared" si="312"/>
        <v>3000</v>
      </c>
      <c r="CM197" s="13">
        <f t="shared" si="312"/>
        <v>3000</v>
      </c>
      <c r="CN197" s="13">
        <f t="shared" si="312"/>
        <v>0</v>
      </c>
      <c r="CO197" s="13">
        <f t="shared" si="312"/>
        <v>4200</v>
      </c>
      <c r="CP197" s="13">
        <f t="shared" si="312"/>
        <v>3300</v>
      </c>
      <c r="CQ197" s="13">
        <f t="shared" ref="CQ197:CQ206" si="343">SUMIFS(SALIDAS_BIT,FECHA_BIT,"&gt;="&amp;CQ$2,FECHA_BIT,"&lt;="&amp;CQ$3,CLAVE_BIT,$A197)+SUMIFS(SALIDAS_BOV1,FECHA_BOV1,"&gt;="&amp;CQ$2,FECHA_BOV1,"&lt;="&amp;CQ$3,CLAVE_BOV1,$A197)+SUMIFS(SALIDAS_BOV2,FECHA_BOV2,"&gt;="&amp;CQ$2,FECHA_BOV2,"&lt;="&amp;CQ$3,CLAVE_BOV2,$A197)+SUMIFS(SALIDAS_BOV3,FECHA_BOV3,"&gt;="&amp;CQ$2,FECHA_BOV3,"&lt;="&amp;CQ$3,CLAVE_BOV3,$A197)+SUMIFS(SALIDAS_TC,FECHA_TC,"&gt;="&amp;CQ$2,FECHA_TC,"&lt;="&amp;CQ$3,CLAVE_TC,$A197)+SUMIFS(SALIDAS_COMB,FECHA_COMB,"&gt;="&amp;CQ$2,FECHA_COMB,"&lt;="&amp;CQ$3,CLAVE_COMB,$A197)+SUMIFS(SALIDAS_DES,FECHA_DESGLOSEN,"&gt;="&amp;CQ$2,FECHA_DESGLOSEN,"&lt;="&amp;CQ$3,CLAVE_DESGLOSE,$A197)</f>
        <v>13500</v>
      </c>
      <c r="CR197" s="68">
        <f t="shared" si="270"/>
        <v>6500</v>
      </c>
      <c r="CS197" s="268">
        <f t="shared" si="271"/>
        <v>0.67500000000000004</v>
      </c>
      <c r="CT197" s="68">
        <f t="shared" si="244"/>
        <v>8000</v>
      </c>
      <c r="CU197" s="13">
        <f>SUMIFS(SALIDAS_BIT,FECHA_BIT,"&gt;="&amp;CU$2,FECHA_BIT,"&lt;="&amp;CU$3,CLAVE_BIT,$A197)+SUMIFS(SALIDAS_BOV1,FECHA_BOV1,"&gt;="&amp;CU$2,FECHA_BOV1,"&lt;="&amp;CU$3,CLAVE_BOV1,$A197)+SUMIFS(SALIDAS_BOV2,FECHA_BOV2,"&gt;="&amp;CU$2,FECHA_BOV2,"&lt;="&amp;CU$3,CLAVE_BOV2,$A197)+SUMIFS(SALIDAS_BOV3,FECHA_BOV3,"&gt;="&amp;CU$2,FECHA_BOV3,"&lt;="&amp;CU$3,CLAVE_BOV3,$A197)+SUMIFS(SALIDAS_TC,FECHA_TC,"&gt;="&amp;CU$2,FECHA_TC,"&lt;="&amp;CU$3,CLAVE_TC,$A197)+SUMIFS(SALIDAS_COMB,FECHA_COMB,"&gt;="&amp;CU$2,FECHA_COMB,"&lt;="&amp;CU$3,CLAVE_COMB,$A197)+SUMIFS(SALIDAS_DES,FECHA_DESGLOSEN,"&gt;="&amp;CU$2,FECHA_DESGLOSEN,"&lt;="&amp;CU$3,CLAVE_DESGLOSE,$A197)</f>
        <v>2400</v>
      </c>
      <c r="CV197" s="13">
        <f>SUMIFS(SALIDAS_BIT,FECHA_BIT,"&gt;="&amp;CV$2,FECHA_BIT,"&lt;="&amp;CV$3,CLAVE_BIT,$A197)+SUMIFS(SALIDAS_BOV1,FECHA_BOV1,"&gt;="&amp;CV$2,FECHA_BOV1,"&lt;="&amp;CV$3,CLAVE_BOV1,$A197)+SUMIFS(SALIDAS_BOV2,FECHA_BOV2,"&gt;="&amp;CV$2,FECHA_BOV2,"&lt;="&amp;CV$3,CLAVE_BOV2,$A197)+SUMIFS(SALIDAS_BOV3,FECHA_BOV3,"&gt;="&amp;CV$2,FECHA_BOV3,"&lt;="&amp;CV$3,CLAVE_BOV3,$A197)+SUMIFS(SALIDAS_TC,FECHA_TC,"&gt;="&amp;CV$2,FECHA_TC,"&lt;="&amp;CV$3,CLAVE_TC,$A197)+SUMIFS(SALIDAS_COMB,FECHA_COMB,"&gt;="&amp;CV$2,FECHA_COMB,"&lt;="&amp;CV$3,CLAVE_COMB,$A197)+SUMIFS(SALIDAS_DES,FECHA_DESGLOSEN,"&gt;="&amp;CV$2,FECHA_DESGLOSEN,"&lt;="&amp;CV$3,CLAVE_DESGLOSE,$A197)</f>
        <v>1200</v>
      </c>
      <c r="CW197" s="13">
        <f>SUMIFS(SALIDAS_BIT,FECHA_BIT,"&gt;="&amp;CW$2,FECHA_BIT,"&lt;="&amp;CW$3,CLAVE_BIT,$A197)+SUMIFS(SALIDAS_BOV1,FECHA_BOV1,"&gt;="&amp;CW$2,FECHA_BOV1,"&lt;="&amp;CW$3,CLAVE_BOV1,$A197)+SUMIFS(SALIDAS_BOV2,FECHA_BOV2,"&gt;="&amp;CW$2,FECHA_BOV2,"&lt;="&amp;CW$3,CLAVE_BOV2,$A197)+SUMIFS(SALIDAS_BOV3,FECHA_BOV3,"&gt;="&amp;CW$2,FECHA_BOV3,"&lt;="&amp;CW$3,CLAVE_BOV3,$A197)+SUMIFS(SALIDAS_TC,FECHA_TC,"&gt;="&amp;CW$2,FECHA_TC,"&lt;="&amp;CW$3,CLAVE_TC,$A197)+SUMIFS(SALIDAS_COMB,FECHA_COMB,"&gt;="&amp;CW$2,FECHA_COMB,"&lt;="&amp;CW$3,CLAVE_COMB,$A197)+SUMIFS(SALIDAS_DES,FECHA_DESGLOSEN,"&gt;="&amp;CW$2,FECHA_DESGLOSEN,"&lt;="&amp;CW$3,CLAVE_DESGLOSE,$A197)</f>
        <v>1800</v>
      </c>
      <c r="CX197" s="13">
        <f>SUMIFS(SALIDAS_BIT,FECHA_BIT,"&gt;="&amp;CX$2,FECHA_BIT,"&lt;="&amp;CX$3,CLAVE_BIT,$A197)+SUMIFS(SALIDAS_BOV1,FECHA_BOV1,"&gt;="&amp;CX$2,FECHA_BOV1,"&lt;="&amp;CX$3,CLAVE_BOV1,$A197)+SUMIFS(SALIDAS_BOV2,FECHA_BOV2,"&gt;="&amp;CX$2,FECHA_BOV2,"&lt;="&amp;CX$3,CLAVE_BOV2,$A197)+SUMIFS(SALIDAS_BOV3,FECHA_BOV3,"&gt;="&amp;CX$2,FECHA_BOV3,"&lt;="&amp;CX$3,CLAVE_BOV3,$A197)+SUMIFS(SALIDAS_TC,FECHA_TC,"&gt;="&amp;CX$2,FECHA_TC,"&lt;="&amp;CX$3,CLAVE_TC,$A197)+SUMIFS(SALIDAS_COMB,FECHA_COMB,"&gt;="&amp;CX$2,FECHA_COMB,"&lt;="&amp;CX$3,CLAVE_COMB,$A197)+SUMIFS(SALIDAS_DES,FECHA_DESGLOSEN,"&gt;="&amp;CX$2,FECHA_DESGLOSEN,"&lt;="&amp;CX$3,CLAVE_DESGLOSE,$A197)</f>
        <v>1200</v>
      </c>
      <c r="CY197" s="13">
        <f>SUMIFS(SALIDAS_BIT,FECHA_BIT,"&gt;="&amp;CY$2,FECHA_BIT,"&lt;="&amp;CY$3,CLAVE_BIT,$A197)+SUMIFS(SALIDAS_BOV1,FECHA_BOV1,"&gt;="&amp;CY$2,FECHA_BOV1,"&lt;="&amp;CY$3,CLAVE_BOV1,$A197)+SUMIFS(SALIDAS_BOV2,FECHA_BOV2,"&gt;="&amp;CY$2,FECHA_BOV2,"&lt;="&amp;CY$3,CLAVE_BOV2,$A197)+SUMIFS(SALIDAS_BOV3,FECHA_BOV3,"&gt;="&amp;CY$2,FECHA_BOV3,"&lt;="&amp;CY$3,CLAVE_BOV3,$A197)+SUMIFS(SALIDAS_TC,FECHA_TC,"&gt;="&amp;CY$2,FECHA_TC,"&lt;="&amp;CY$3,CLAVE_TC,$A197)+SUMIFS(SALIDAS_COMB,FECHA_COMB,"&gt;="&amp;CY$2,FECHA_COMB,"&lt;="&amp;CY$3,CLAVE_COMB,$A197)+SUMIFS(SALIDAS_DES,FECHA_DESGLOSEN,"&gt;="&amp;CY$2,FECHA_DESGLOSEN,"&lt;="&amp;CY$3,CLAVE_DESGLOSE,$A197)</f>
        <v>6600</v>
      </c>
      <c r="CZ197" s="68">
        <f t="shared" si="272"/>
        <v>1400</v>
      </c>
      <c r="DB197" s="17">
        <f>F197+N197+W197+AE197+AM197+AV197+BD197+BL197+BU197+CC197+CK197</f>
        <v>102500</v>
      </c>
      <c r="DC197" s="17">
        <f>K197+T197+AB197+AJ197+AS197+BA197+BI197+BR197+BZ197+CH197+CQ197</f>
        <v>98701.34</v>
      </c>
    </row>
    <row r="198" spans="1:107" hidden="1">
      <c r="A198" s="12" t="str">
        <f t="shared" si="245"/>
        <v>DEVIATICOSDIRECCION</v>
      </c>
      <c r="B198" s="12">
        <v>200</v>
      </c>
      <c r="C198" t="s">
        <v>41</v>
      </c>
      <c r="D198" s="12" t="s">
        <v>191</v>
      </c>
      <c r="E198" s="12" t="s">
        <v>42</v>
      </c>
      <c r="F198" s="259">
        <f t="shared" si="238"/>
        <v>2500</v>
      </c>
      <c r="G198" s="13">
        <f t="shared" si="335"/>
        <v>0</v>
      </c>
      <c r="H198" s="13">
        <f t="shared" si="335"/>
        <v>0</v>
      </c>
      <c r="I198" s="13">
        <f t="shared" si="335"/>
        <v>0</v>
      </c>
      <c r="J198" s="13">
        <f t="shared" si="335"/>
        <v>0</v>
      </c>
      <c r="K198" s="13">
        <f t="shared" si="335"/>
        <v>0</v>
      </c>
      <c r="L198" s="68">
        <f t="shared" si="246"/>
        <v>2500</v>
      </c>
      <c r="M198" s="268">
        <f t="shared" si="247"/>
        <v>0</v>
      </c>
      <c r="N198" s="13">
        <f t="shared" si="239"/>
        <v>3835</v>
      </c>
      <c r="O198" s="13">
        <f t="shared" si="336"/>
        <v>0</v>
      </c>
      <c r="P198" s="13">
        <f t="shared" si="336"/>
        <v>1000</v>
      </c>
      <c r="Q198" s="13">
        <f t="shared" si="336"/>
        <v>1000</v>
      </c>
      <c r="R198" s="13">
        <f t="shared" si="336"/>
        <v>0</v>
      </c>
      <c r="S198" s="13">
        <f t="shared" si="336"/>
        <v>0</v>
      </c>
      <c r="T198" s="13">
        <f t="shared" si="336"/>
        <v>2000</v>
      </c>
      <c r="U198" s="68">
        <f t="shared" si="248"/>
        <v>1835</v>
      </c>
      <c r="V198" s="268">
        <f t="shared" si="249"/>
        <v>0.5215123859191656</v>
      </c>
      <c r="W198" s="13">
        <f t="shared" si="240"/>
        <v>3000</v>
      </c>
      <c r="X198" s="13">
        <f t="shared" si="337"/>
        <v>3000</v>
      </c>
      <c r="Y198" s="13">
        <f t="shared" si="337"/>
        <v>0</v>
      </c>
      <c r="Z198" s="13">
        <f t="shared" si="337"/>
        <v>0</v>
      </c>
      <c r="AA198" s="13">
        <f t="shared" si="337"/>
        <v>0</v>
      </c>
      <c r="AB198" s="13">
        <f t="shared" si="337"/>
        <v>3000</v>
      </c>
      <c r="AC198" s="68">
        <f t="shared" si="250"/>
        <v>0</v>
      </c>
      <c r="AD198" s="268">
        <f t="shared" si="251"/>
        <v>1</v>
      </c>
      <c r="AE198" s="13">
        <f t="shared" si="241"/>
        <v>1500</v>
      </c>
      <c r="AF198" s="13">
        <f t="shared" si="338"/>
        <v>0</v>
      </c>
      <c r="AG198" s="13">
        <f t="shared" si="338"/>
        <v>0</v>
      </c>
      <c r="AH198" s="13">
        <f t="shared" si="338"/>
        <v>0</v>
      </c>
      <c r="AI198" s="13">
        <f t="shared" si="338"/>
        <v>0</v>
      </c>
      <c r="AJ198" s="13">
        <f t="shared" si="338"/>
        <v>0</v>
      </c>
      <c r="AK198" s="68">
        <f t="shared" si="252"/>
        <v>1500</v>
      </c>
      <c r="AL198" s="268">
        <f t="shared" si="253"/>
        <v>0</v>
      </c>
      <c r="AM198" s="13">
        <f t="shared" si="242"/>
        <v>0</v>
      </c>
      <c r="AN198" s="13">
        <f t="shared" si="339"/>
        <v>0</v>
      </c>
      <c r="AO198" s="13">
        <f t="shared" si="339"/>
        <v>0</v>
      </c>
      <c r="AP198" s="13">
        <f t="shared" si="339"/>
        <v>0</v>
      </c>
      <c r="AQ198" s="13">
        <f t="shared" si="339"/>
        <v>500</v>
      </c>
      <c r="AR198" s="13">
        <f t="shared" si="339"/>
        <v>0</v>
      </c>
      <c r="AS198" s="13">
        <f t="shared" si="339"/>
        <v>500</v>
      </c>
      <c r="AT198" s="68">
        <f>AM198-AS198</f>
        <v>-500</v>
      </c>
      <c r="AU198" s="268">
        <f t="shared" si="254"/>
        <v>0</v>
      </c>
      <c r="AV198" s="13">
        <f t="shared" si="243"/>
        <v>3000</v>
      </c>
      <c r="AW198" s="13">
        <f t="shared" si="323"/>
        <v>0</v>
      </c>
      <c r="AX198" s="13">
        <f t="shared" si="323"/>
        <v>1000</v>
      </c>
      <c r="AY198" s="13">
        <f t="shared" si="323"/>
        <v>0</v>
      </c>
      <c r="AZ198" s="13">
        <f t="shared" si="323"/>
        <v>1000</v>
      </c>
      <c r="BA198" s="13">
        <f t="shared" si="324"/>
        <v>2000</v>
      </c>
      <c r="BB198" s="68">
        <f t="shared" si="255"/>
        <v>1000</v>
      </c>
      <c r="BC198" s="268">
        <f t="shared" si="256"/>
        <v>0.66666666666666663</v>
      </c>
      <c r="BD198" s="13">
        <f t="shared" si="257"/>
        <v>5389</v>
      </c>
      <c r="BE198" s="13">
        <f>SUMIFS(SALIDAS_BIT,FECHA_BIT,"&gt;="&amp;BE$2,FECHA_BIT,"&lt;="&amp;BE$3,CLAVE_BIT,$A198)+SUMIFS(SALIDAS_BOV1,FECHA_BOV1,"&gt;="&amp;BE$2,FECHA_BOV1,"&lt;="&amp;BE$3,CLAVE_BOV1,$A198)+SUMIFS(SALIDAS_BOV2,FECHA_BOV2,"&gt;="&amp;BE$2,FECHA_BOV2,"&lt;="&amp;BE$3,CLAVE_BOV2,$A198)+SUMIFS(SALIDAS_BOV3,FECHA_BOV3,"&gt;="&amp;BE$2,FECHA_BOV3,"&lt;="&amp;BE$3,CLAVE_BOV3,$A198)+SUMIFS(SALIDAS_TC,FECHA_TC,"&gt;="&amp;BE$2,FECHA_TC,"&lt;="&amp;BE$3,CLAVE_TC,$A198)+SUMIFS(SALIDAS_COMB,FECHA_COMB,"&gt;="&amp;BE$2,FECHA_COMB,"&lt;="&amp;BE$3,CLAVE_COMB,$A198)+SUMIFS(SALIDAS_DES,FECHA_DESGLOSEN,"&gt;="&amp;BE$2,FECHA_DESGLOSEN,"&lt;="&amp;BE$3,CLAVE_DESGLOSE,$A198)</f>
        <v>1000</v>
      </c>
      <c r="BF198" s="13">
        <f>SUMIFS(SALIDAS_BIT,FECHA_BIT,"&gt;="&amp;BF$2,FECHA_BIT,"&lt;="&amp;BF$3,CLAVE_BIT,$A198)+SUMIFS(SALIDAS_BOV1,FECHA_BOV1,"&gt;="&amp;BF$2,FECHA_BOV1,"&lt;="&amp;BF$3,CLAVE_BOV1,$A198)+SUMIFS(SALIDAS_BOV2,FECHA_BOV2,"&gt;="&amp;BF$2,FECHA_BOV2,"&lt;="&amp;BF$3,CLAVE_BOV2,$A198)+SUMIFS(SALIDAS_BOV3,FECHA_BOV3,"&gt;="&amp;BF$2,FECHA_BOV3,"&lt;="&amp;BF$3,CLAVE_BOV3,$A198)+SUMIFS(SALIDAS_TC,FECHA_TC,"&gt;="&amp;BF$2,FECHA_TC,"&lt;="&amp;BF$3,CLAVE_TC,$A198)+SUMIFS(SALIDAS_COMB,FECHA_COMB,"&gt;="&amp;BF$2,FECHA_COMB,"&lt;="&amp;BF$3,CLAVE_COMB,$A198)+SUMIFS(SALIDAS_DES,FECHA_DESGLOSEN,"&gt;="&amp;BF$2,FECHA_DESGLOSEN,"&lt;="&amp;BF$3,CLAVE_DESGLOSE,$A198)</f>
        <v>0</v>
      </c>
      <c r="BG198" s="13">
        <f>SUMIFS(SALIDAS_BIT,FECHA_BIT,"&gt;="&amp;BG$2,FECHA_BIT,"&lt;="&amp;BG$3,CLAVE_BIT,$A198)+SUMIFS(SALIDAS_BOV1,FECHA_BOV1,"&gt;="&amp;BG$2,FECHA_BOV1,"&lt;="&amp;BG$3,CLAVE_BOV1,$A198)+SUMIFS(SALIDAS_BOV2,FECHA_BOV2,"&gt;="&amp;BG$2,FECHA_BOV2,"&lt;="&amp;BG$3,CLAVE_BOV2,$A198)+SUMIFS(SALIDAS_BOV3,FECHA_BOV3,"&gt;="&amp;BG$2,FECHA_BOV3,"&lt;="&amp;BG$3,CLAVE_BOV3,$A198)+SUMIFS(SALIDAS_TC,FECHA_TC,"&gt;="&amp;BG$2,FECHA_TC,"&lt;="&amp;BG$3,CLAVE_TC,$A198)+SUMIFS(SALIDAS_COMB,FECHA_COMB,"&gt;="&amp;BG$2,FECHA_COMB,"&lt;="&amp;BG$3,CLAVE_COMB,$A198)+SUMIFS(SALIDAS_DES,FECHA_DESGLOSEN,"&gt;="&amp;BG$2,FECHA_DESGLOSEN,"&lt;="&amp;BG$3,CLAVE_DESGLOSE,$A198)</f>
        <v>5000</v>
      </c>
      <c r="BH198" s="13">
        <f>SUMIFS(SALIDAS_BIT,FECHA_BIT,"&gt;="&amp;BH$2,FECHA_BIT,"&lt;="&amp;BH$3,CLAVE_BIT,$A198)+SUMIFS(SALIDAS_BOV1,FECHA_BOV1,"&gt;="&amp;BH$2,FECHA_BOV1,"&lt;="&amp;BH$3,CLAVE_BOV1,$A198)+SUMIFS(SALIDAS_BOV2,FECHA_BOV2,"&gt;="&amp;BH$2,FECHA_BOV2,"&lt;="&amp;BH$3,CLAVE_BOV2,$A198)+SUMIFS(SALIDAS_BOV3,FECHA_BOV3,"&gt;="&amp;BH$2,FECHA_BOV3,"&lt;="&amp;BH$3,CLAVE_BOV3,$A198)+SUMIFS(SALIDAS_TC,FECHA_TC,"&gt;="&amp;BH$2,FECHA_TC,"&lt;="&amp;BH$3,CLAVE_TC,$A198)+SUMIFS(SALIDAS_COMB,FECHA_COMB,"&gt;="&amp;BH$2,FECHA_COMB,"&lt;="&amp;BH$3,CLAVE_COMB,$A198)+SUMIFS(SALIDAS_DES,FECHA_DESGLOSEN,"&gt;="&amp;BH$2,FECHA_DESGLOSEN,"&lt;="&amp;BH$3,CLAVE_DESGLOSE,$A198)</f>
        <v>1000</v>
      </c>
      <c r="BI198" s="13">
        <f t="shared" si="311"/>
        <v>7000</v>
      </c>
      <c r="BJ198" s="68">
        <f t="shared" si="258"/>
        <v>-1611</v>
      </c>
      <c r="BK198" s="268">
        <f t="shared" si="259"/>
        <v>1.2989422898496938</v>
      </c>
      <c r="BL198" s="13">
        <f t="shared" si="260"/>
        <v>0</v>
      </c>
      <c r="BM198" s="13">
        <f>SUMIFS(SALIDAS_BIT,FECHA_BIT,"&gt;="&amp;BM$2,FECHA_BIT,"&lt;="&amp;BM$3,CLAVE_BIT,$A198)+SUMIFS(SALIDAS_BOV1,FECHA_BOV1,"&gt;="&amp;BM$2,FECHA_BOV1,"&lt;="&amp;BM$3,CLAVE_BOV1,$A198)+SUMIFS(SALIDAS_BOV2,FECHA_BOV2,"&gt;="&amp;BM$2,FECHA_BOV2,"&lt;="&amp;BM$3,CLAVE_BOV2,$A198)+SUMIFS(SALIDAS_BOV3,FECHA_BOV3,"&gt;="&amp;BM$2,FECHA_BOV3,"&lt;="&amp;BM$3,CLAVE_BOV3,$A198)+SUMIFS(SALIDAS_TC,FECHA_TC,"&gt;="&amp;BM$2,FECHA_TC,"&lt;="&amp;BM$3,CLAVE_TC,$A198)+SUMIFS(SALIDAS_COMB,FECHA_COMB,"&gt;="&amp;BM$2,FECHA_COMB,"&lt;="&amp;BM$3,CLAVE_COMB,$A198)+SUMIFS(SALIDAS_DES,FECHA_DESGLOSEN,"&gt;="&amp;BM$2,FECHA_DESGLOSEN,"&lt;="&amp;BM$3,CLAVE_DESGLOSE,$A198)</f>
        <v>1000</v>
      </c>
      <c r="BN198" s="13">
        <f>SUMIFS(SALIDAS_BIT,FECHA_BIT,"&gt;="&amp;BN$2,FECHA_BIT,"&lt;="&amp;BN$3,CLAVE_BIT,$A198)+SUMIFS(SALIDAS_BOV1,FECHA_BOV1,"&gt;="&amp;BN$2,FECHA_BOV1,"&lt;="&amp;BN$3,CLAVE_BOV1,$A198)+SUMIFS(SALIDAS_BOV2,FECHA_BOV2,"&gt;="&amp;BN$2,FECHA_BOV2,"&lt;="&amp;BN$3,CLAVE_BOV2,$A198)+SUMIFS(SALIDAS_BOV3,FECHA_BOV3,"&gt;="&amp;BN$2,FECHA_BOV3,"&lt;="&amp;BN$3,CLAVE_BOV3,$A198)+SUMIFS(SALIDAS_TC,FECHA_TC,"&gt;="&amp;BN$2,FECHA_TC,"&lt;="&amp;BN$3,CLAVE_TC,$A198)+SUMIFS(SALIDAS_COMB,FECHA_COMB,"&gt;="&amp;BN$2,FECHA_COMB,"&lt;="&amp;BN$3,CLAVE_COMB,$A198)+SUMIFS(SALIDAS_DES,FECHA_DESGLOSEN,"&gt;="&amp;BN$2,FECHA_DESGLOSEN,"&lt;="&amp;BN$3,CLAVE_DESGLOSE,$A198)</f>
        <v>7099.76</v>
      </c>
      <c r="BO198" s="13">
        <f>SUMIFS(SALIDAS_BIT,FECHA_BIT,"&gt;="&amp;BO$2,FECHA_BIT,"&lt;="&amp;BO$3,CLAVE_BIT,$A198)+SUMIFS(SALIDAS_BOV1,FECHA_BOV1,"&gt;="&amp;BO$2,FECHA_BOV1,"&lt;="&amp;BO$3,CLAVE_BOV1,$A198)+SUMIFS(SALIDAS_BOV2,FECHA_BOV2,"&gt;="&amp;BO$2,FECHA_BOV2,"&lt;="&amp;BO$3,CLAVE_BOV2,$A198)+SUMIFS(SALIDAS_BOV3,FECHA_BOV3,"&gt;="&amp;BO$2,FECHA_BOV3,"&lt;="&amp;BO$3,CLAVE_BOV3,$A198)+SUMIFS(SALIDAS_TC,FECHA_TC,"&gt;="&amp;BO$2,FECHA_TC,"&lt;="&amp;BO$3,CLAVE_TC,$A198)+SUMIFS(SALIDAS_COMB,FECHA_COMB,"&gt;="&amp;BO$2,FECHA_COMB,"&lt;="&amp;BO$3,CLAVE_COMB,$A198)+SUMIFS(SALIDAS_DES,FECHA_DESGLOSEN,"&gt;="&amp;BO$2,FECHA_DESGLOSEN,"&lt;="&amp;BO$3,CLAVE_DESGLOSE,$A198)</f>
        <v>0</v>
      </c>
      <c r="BP198" s="13">
        <f>SUMIFS(SALIDAS_BIT,FECHA_BIT,"&gt;="&amp;BP$2,FECHA_BIT,"&lt;="&amp;BP$3,CLAVE_BIT,$A198)+SUMIFS(SALIDAS_BOV1,FECHA_BOV1,"&gt;="&amp;BP$2,FECHA_BOV1,"&lt;="&amp;BP$3,CLAVE_BOV1,$A198)+SUMIFS(SALIDAS_BOV2,FECHA_BOV2,"&gt;="&amp;BP$2,FECHA_BOV2,"&lt;="&amp;BP$3,CLAVE_BOV2,$A198)+SUMIFS(SALIDAS_BOV3,FECHA_BOV3,"&gt;="&amp;BP$2,FECHA_BOV3,"&lt;="&amp;BP$3,CLAVE_BOV3,$A198)+SUMIFS(SALIDAS_TC,FECHA_TC,"&gt;="&amp;BP$2,FECHA_TC,"&lt;="&amp;BP$3,CLAVE_TC,$A198)+SUMIFS(SALIDAS_COMB,FECHA_COMB,"&gt;="&amp;BP$2,FECHA_COMB,"&lt;="&amp;BP$3,CLAVE_COMB,$A198)+SUMIFS(SALIDAS_DES,FECHA_DESGLOSEN,"&gt;="&amp;BP$2,FECHA_DESGLOSEN,"&lt;="&amp;BP$3,CLAVE_DESGLOSE,$A198)</f>
        <v>1000</v>
      </c>
      <c r="BQ198" s="13">
        <f>SUMIFS(SALIDAS_BIT,FECHA_BIT,"&gt;="&amp;BQ$2,FECHA_BIT,"&lt;="&amp;BQ$3,CLAVE_BIT,$A198)+SUMIFS(SALIDAS_BOV1,FECHA_BOV1,"&gt;="&amp;BQ$2,FECHA_BOV1,"&lt;="&amp;BQ$3,CLAVE_BOV1,$A198)+SUMIFS(SALIDAS_BOV2,FECHA_BOV2,"&gt;="&amp;BQ$2,FECHA_BOV2,"&lt;="&amp;BQ$3,CLAVE_BOV2,$A198)+SUMIFS(SALIDAS_BOV3,FECHA_BOV3,"&gt;="&amp;BQ$2,FECHA_BOV3,"&lt;="&amp;BQ$3,CLAVE_BOV3,$A198)+SUMIFS(SALIDAS_TC,FECHA_TC,"&gt;="&amp;BQ$2,FECHA_TC,"&lt;="&amp;BQ$3,CLAVE_TC,$A198)+SUMIFS(SALIDAS_COMB,FECHA_COMB,"&gt;="&amp;BQ$2,FECHA_COMB,"&lt;="&amp;BQ$3,CLAVE_COMB,$A198)+SUMIFS(SALIDAS_DES,FECHA_DESGLOSEN,"&gt;="&amp;BQ$2,FECHA_DESGLOSEN,"&lt;="&amp;BQ$3,CLAVE_DESGLOSE,$A198)</f>
        <v>1000</v>
      </c>
      <c r="BR198" s="13">
        <f t="shared" si="340"/>
        <v>10099.76</v>
      </c>
      <c r="BS198" s="68">
        <f t="shared" si="261"/>
        <v>-10099.76</v>
      </c>
      <c r="BT198" s="268">
        <f t="shared" si="262"/>
        <v>0</v>
      </c>
      <c r="BU198" s="13">
        <f t="shared" si="263"/>
        <v>4000</v>
      </c>
      <c r="BV198" s="13">
        <f t="shared" si="291"/>
        <v>1000</v>
      </c>
      <c r="BW198" s="13">
        <f t="shared" si="291"/>
        <v>1000</v>
      </c>
      <c r="BX198" s="13">
        <f t="shared" si="291"/>
        <v>0</v>
      </c>
      <c r="BY198" s="13">
        <f t="shared" si="291"/>
        <v>1000</v>
      </c>
      <c r="BZ198" s="13">
        <f t="shared" si="341"/>
        <v>3000</v>
      </c>
      <c r="CA198" s="68">
        <f t="shared" si="264"/>
        <v>1000</v>
      </c>
      <c r="CB198" s="268">
        <f t="shared" si="265"/>
        <v>0.75</v>
      </c>
      <c r="CC198" s="13">
        <f t="shared" si="266"/>
        <v>4000</v>
      </c>
      <c r="CD198" s="13">
        <f t="shared" si="292"/>
        <v>0</v>
      </c>
      <c r="CE198" s="13">
        <f t="shared" si="292"/>
        <v>0</v>
      </c>
      <c r="CF198" s="13">
        <f t="shared" si="292"/>
        <v>1000</v>
      </c>
      <c r="CG198" s="13">
        <f t="shared" si="292"/>
        <v>0</v>
      </c>
      <c r="CH198" s="13">
        <f t="shared" si="342"/>
        <v>1000</v>
      </c>
      <c r="CI198" s="68">
        <f t="shared" si="267"/>
        <v>3000</v>
      </c>
      <c r="CJ198" s="268">
        <f t="shared" si="268"/>
        <v>0.25</v>
      </c>
      <c r="CK198" s="13">
        <f t="shared" si="269"/>
        <v>5000</v>
      </c>
      <c r="CL198" s="13">
        <f t="shared" si="312"/>
        <v>1000</v>
      </c>
      <c r="CM198" s="13">
        <f t="shared" si="312"/>
        <v>1000</v>
      </c>
      <c r="CN198" s="13">
        <f t="shared" si="312"/>
        <v>0</v>
      </c>
      <c r="CO198" s="13">
        <f t="shared" si="312"/>
        <v>1956</v>
      </c>
      <c r="CP198" s="13">
        <f t="shared" si="312"/>
        <v>0</v>
      </c>
      <c r="CQ198" s="13">
        <f t="shared" si="343"/>
        <v>3956</v>
      </c>
      <c r="CR198" s="68">
        <f t="shared" si="270"/>
        <v>1044</v>
      </c>
      <c r="CS198" s="268">
        <f t="shared" si="271"/>
        <v>0.79120000000000001</v>
      </c>
      <c r="CT198" s="68">
        <f t="shared" si="244"/>
        <v>2000</v>
      </c>
      <c r="CU198" s="13">
        <f>SUMIFS(SALIDAS_BIT,FECHA_BIT,"&gt;="&amp;CU$2,FECHA_BIT,"&lt;="&amp;CU$3,CLAVE_BIT,$A198)+SUMIFS(SALIDAS_BOV1,FECHA_BOV1,"&gt;="&amp;CU$2,FECHA_BOV1,"&lt;="&amp;CU$3,CLAVE_BOV1,$A198)+SUMIFS(SALIDAS_BOV2,FECHA_BOV2,"&gt;="&amp;CU$2,FECHA_BOV2,"&lt;="&amp;CU$3,CLAVE_BOV2,$A198)+SUMIFS(SALIDAS_BOV3,FECHA_BOV3,"&gt;="&amp;CU$2,FECHA_BOV3,"&lt;="&amp;CU$3,CLAVE_BOV3,$A198)+SUMIFS(SALIDAS_TC,FECHA_TC,"&gt;="&amp;CU$2,FECHA_TC,"&lt;="&amp;CU$3,CLAVE_TC,$A198)+SUMIFS(SALIDAS_COMB,FECHA_COMB,"&gt;="&amp;CU$2,FECHA_COMB,"&lt;="&amp;CU$3,CLAVE_COMB,$A198)+SUMIFS(SALIDAS_DES,FECHA_DESGLOSEN,"&gt;="&amp;CU$2,FECHA_DESGLOSEN,"&lt;="&amp;CU$3,CLAVE_DESGLOSE,$A198)</f>
        <v>0</v>
      </c>
      <c r="CV198" s="13">
        <f>SUMIFS(SALIDAS_BIT,FECHA_BIT,"&gt;="&amp;CV$2,FECHA_BIT,"&lt;="&amp;CV$3,CLAVE_BIT,$A198)+SUMIFS(SALIDAS_BOV1,FECHA_BOV1,"&gt;="&amp;CV$2,FECHA_BOV1,"&lt;="&amp;CV$3,CLAVE_BOV1,$A198)+SUMIFS(SALIDAS_BOV2,FECHA_BOV2,"&gt;="&amp;CV$2,FECHA_BOV2,"&lt;="&amp;CV$3,CLAVE_BOV2,$A198)+SUMIFS(SALIDAS_BOV3,FECHA_BOV3,"&gt;="&amp;CV$2,FECHA_BOV3,"&lt;="&amp;CV$3,CLAVE_BOV3,$A198)+SUMIFS(SALIDAS_TC,FECHA_TC,"&gt;="&amp;CV$2,FECHA_TC,"&lt;="&amp;CV$3,CLAVE_TC,$A198)+SUMIFS(SALIDAS_COMB,FECHA_COMB,"&gt;="&amp;CV$2,FECHA_COMB,"&lt;="&amp;CV$3,CLAVE_COMB,$A198)+SUMIFS(SALIDAS_DES,FECHA_DESGLOSEN,"&gt;="&amp;CV$2,FECHA_DESGLOSEN,"&lt;="&amp;CV$3,CLAVE_DESGLOSE,$A198)</f>
        <v>0</v>
      </c>
      <c r="CW198" s="13">
        <f>SUMIFS(SALIDAS_BIT,FECHA_BIT,"&gt;="&amp;CW$2,FECHA_BIT,"&lt;="&amp;CW$3,CLAVE_BIT,$A198)+SUMIFS(SALIDAS_BOV1,FECHA_BOV1,"&gt;="&amp;CW$2,FECHA_BOV1,"&lt;="&amp;CW$3,CLAVE_BOV1,$A198)+SUMIFS(SALIDAS_BOV2,FECHA_BOV2,"&gt;="&amp;CW$2,FECHA_BOV2,"&lt;="&amp;CW$3,CLAVE_BOV2,$A198)+SUMIFS(SALIDAS_BOV3,FECHA_BOV3,"&gt;="&amp;CW$2,FECHA_BOV3,"&lt;="&amp;CW$3,CLAVE_BOV3,$A198)+SUMIFS(SALIDAS_TC,FECHA_TC,"&gt;="&amp;CW$2,FECHA_TC,"&lt;="&amp;CW$3,CLAVE_TC,$A198)+SUMIFS(SALIDAS_COMB,FECHA_COMB,"&gt;="&amp;CW$2,FECHA_COMB,"&lt;="&amp;CW$3,CLAVE_COMB,$A198)+SUMIFS(SALIDAS_DES,FECHA_DESGLOSEN,"&gt;="&amp;CW$2,FECHA_DESGLOSEN,"&lt;="&amp;CW$3,CLAVE_DESGLOSE,$A198)</f>
        <v>0</v>
      </c>
      <c r="CX198" s="13">
        <f>SUMIFS(SALIDAS_BIT,FECHA_BIT,"&gt;="&amp;CX$2,FECHA_BIT,"&lt;="&amp;CX$3,CLAVE_BIT,$A198)+SUMIFS(SALIDAS_BOV1,FECHA_BOV1,"&gt;="&amp;CX$2,FECHA_BOV1,"&lt;="&amp;CX$3,CLAVE_BOV1,$A198)+SUMIFS(SALIDAS_BOV2,FECHA_BOV2,"&gt;="&amp;CX$2,FECHA_BOV2,"&lt;="&amp;CX$3,CLAVE_BOV2,$A198)+SUMIFS(SALIDAS_BOV3,FECHA_BOV3,"&gt;="&amp;CX$2,FECHA_BOV3,"&lt;="&amp;CX$3,CLAVE_BOV3,$A198)+SUMIFS(SALIDAS_TC,FECHA_TC,"&gt;="&amp;CX$2,FECHA_TC,"&lt;="&amp;CX$3,CLAVE_TC,$A198)+SUMIFS(SALIDAS_COMB,FECHA_COMB,"&gt;="&amp;CX$2,FECHA_COMB,"&lt;="&amp;CX$3,CLAVE_COMB,$A198)+SUMIFS(SALIDAS_DES,FECHA_DESGLOSEN,"&gt;="&amp;CX$2,FECHA_DESGLOSEN,"&lt;="&amp;CX$3,CLAVE_DESGLOSE,$A198)</f>
        <v>3000</v>
      </c>
      <c r="CY198" s="13">
        <f>SUMIFS(SALIDAS_BIT,FECHA_BIT,"&gt;="&amp;CY$2,FECHA_BIT,"&lt;="&amp;CY$3,CLAVE_BIT,$A198)+SUMIFS(SALIDAS_BOV1,FECHA_BOV1,"&gt;="&amp;CY$2,FECHA_BOV1,"&lt;="&amp;CY$3,CLAVE_BOV1,$A198)+SUMIFS(SALIDAS_BOV2,FECHA_BOV2,"&gt;="&amp;CY$2,FECHA_BOV2,"&lt;="&amp;CY$3,CLAVE_BOV2,$A198)+SUMIFS(SALIDAS_BOV3,FECHA_BOV3,"&gt;="&amp;CY$2,FECHA_BOV3,"&lt;="&amp;CY$3,CLAVE_BOV3,$A198)+SUMIFS(SALIDAS_TC,FECHA_TC,"&gt;="&amp;CY$2,FECHA_TC,"&lt;="&amp;CY$3,CLAVE_TC,$A198)+SUMIFS(SALIDAS_COMB,FECHA_COMB,"&gt;="&amp;CY$2,FECHA_COMB,"&lt;="&amp;CY$3,CLAVE_COMB,$A198)+SUMIFS(SALIDAS_DES,FECHA_DESGLOSEN,"&gt;="&amp;CY$2,FECHA_DESGLOSEN,"&lt;="&amp;CY$3,CLAVE_DESGLOSE,$A198)</f>
        <v>3000</v>
      </c>
      <c r="CZ198" s="68">
        <f t="shared" si="272"/>
        <v>-1000</v>
      </c>
      <c r="DB198" s="17">
        <f>F198+N198+W198+AE198+AM198+AV198+BD198+BL198+BU198+CC198+CK198</f>
        <v>32224</v>
      </c>
      <c r="DC198" s="17">
        <f>K198+T198+AB198+AJ198+AS198+BA198+BI198+BR198+BZ198+CH198+CQ198</f>
        <v>32555.760000000002</v>
      </c>
    </row>
    <row r="199" spans="1:107" hidden="1">
      <c r="A199" s="12" t="str">
        <f t="shared" si="245"/>
        <v>MMVIATICOSMARKET MAX</v>
      </c>
      <c r="B199" s="12">
        <v>201</v>
      </c>
      <c r="C199" t="s">
        <v>45</v>
      </c>
      <c r="D199" s="12" t="s">
        <v>191</v>
      </c>
      <c r="E199" s="12" t="s">
        <v>46</v>
      </c>
      <c r="F199" s="259">
        <f t="shared" ref="F199:F262" si="344">VLOOKUP($A199,T_PRESUPUESTO,MATCH(F$6,E_PRESUPUESTO,0),FALSE)</f>
        <v>0</v>
      </c>
      <c r="G199" s="13">
        <f t="shared" si="335"/>
        <v>0</v>
      </c>
      <c r="H199" s="13">
        <f t="shared" si="335"/>
        <v>0</v>
      </c>
      <c r="I199" s="13">
        <f t="shared" si="335"/>
        <v>0</v>
      </c>
      <c r="J199" s="13">
        <f t="shared" si="335"/>
        <v>0</v>
      </c>
      <c r="K199" s="13">
        <f t="shared" si="335"/>
        <v>0</v>
      </c>
      <c r="L199" s="68">
        <f t="shared" si="246"/>
        <v>0</v>
      </c>
      <c r="M199" s="268">
        <f t="shared" si="247"/>
        <v>0</v>
      </c>
      <c r="N199" s="13">
        <f t="shared" ref="N199:N262" si="345">VLOOKUP($A199,T_PRESUPUESTO,MATCH(N$6,E_PRESUPUESTO,0),FALSE)</f>
        <v>0</v>
      </c>
      <c r="O199" s="13">
        <f t="shared" si="336"/>
        <v>0</v>
      </c>
      <c r="P199" s="13">
        <f t="shared" si="336"/>
        <v>0</v>
      </c>
      <c r="Q199" s="13">
        <f t="shared" si="336"/>
        <v>0</v>
      </c>
      <c r="R199" s="13">
        <f t="shared" si="336"/>
        <v>0</v>
      </c>
      <c r="S199" s="13">
        <f t="shared" si="336"/>
        <v>0</v>
      </c>
      <c r="T199" s="13">
        <f t="shared" si="336"/>
        <v>0</v>
      </c>
      <c r="U199" s="68">
        <f t="shared" si="248"/>
        <v>0</v>
      </c>
      <c r="V199" s="268">
        <f t="shared" si="249"/>
        <v>0</v>
      </c>
      <c r="W199" s="13">
        <f t="shared" ref="W199:W262" si="346">VLOOKUP($A199,T_PRESUPUESTO,MATCH(W$6,E_PRESUPUESTO,0),FALSE)</f>
        <v>0</v>
      </c>
      <c r="X199" s="13">
        <f t="shared" si="337"/>
        <v>0</v>
      </c>
      <c r="Y199" s="13">
        <f t="shared" si="337"/>
        <v>0</v>
      </c>
      <c r="Z199" s="13">
        <f t="shared" si="337"/>
        <v>0</v>
      </c>
      <c r="AA199" s="13">
        <f t="shared" si="337"/>
        <v>0</v>
      </c>
      <c r="AB199" s="13">
        <f t="shared" si="337"/>
        <v>0</v>
      </c>
      <c r="AC199" s="68">
        <f t="shared" si="250"/>
        <v>0</v>
      </c>
      <c r="AD199" s="268">
        <f t="shared" si="251"/>
        <v>0</v>
      </c>
      <c r="AE199" s="13">
        <f t="shared" ref="AE199:AE262" si="347">VLOOKUP($A199,T_PRESUPUESTO,MATCH(AE$6,E_PRESUPUESTO,0),FALSE)</f>
        <v>0</v>
      </c>
      <c r="AF199" s="13">
        <f t="shared" si="338"/>
        <v>0</v>
      </c>
      <c r="AG199" s="13">
        <f t="shared" si="338"/>
        <v>0</v>
      </c>
      <c r="AH199" s="13">
        <f t="shared" si="338"/>
        <v>0</v>
      </c>
      <c r="AI199" s="13">
        <f t="shared" si="338"/>
        <v>420</v>
      </c>
      <c r="AJ199" s="13">
        <f t="shared" si="338"/>
        <v>420</v>
      </c>
      <c r="AK199" s="68">
        <f t="shared" si="252"/>
        <v>-420</v>
      </c>
      <c r="AL199" s="268">
        <f t="shared" si="253"/>
        <v>0</v>
      </c>
      <c r="AM199" s="13">
        <f t="shared" ref="AM199:AM262" si="348">VLOOKUP($A199,T_PRESUPUESTO,MATCH(AM$6,E_PRESUPUESTO,0),FALSE)</f>
        <v>0</v>
      </c>
      <c r="AN199" s="13">
        <f t="shared" si="339"/>
        <v>0</v>
      </c>
      <c r="AO199" s="13">
        <f t="shared" si="339"/>
        <v>0</v>
      </c>
      <c r="AP199" s="13">
        <f t="shared" si="339"/>
        <v>0</v>
      </c>
      <c r="AQ199" s="13">
        <f t="shared" si="339"/>
        <v>0</v>
      </c>
      <c r="AR199" s="13">
        <f t="shared" si="339"/>
        <v>0</v>
      </c>
      <c r="AS199" s="13">
        <f t="shared" si="339"/>
        <v>0</v>
      </c>
      <c r="AT199" s="68">
        <f>AM199-AS199</f>
        <v>0</v>
      </c>
      <c r="AU199" s="268">
        <f t="shared" si="254"/>
        <v>0</v>
      </c>
      <c r="AV199" s="13">
        <f t="shared" ref="AV199:AV262" si="349">VLOOKUP($A199,T_PRESUPUESTO,MATCH(AV$6,E_PRESUPUESTO,0),FALSE)</f>
        <v>0</v>
      </c>
      <c r="AW199" s="13">
        <f t="shared" si="323"/>
        <v>0</v>
      </c>
      <c r="AX199" s="13">
        <f t="shared" si="323"/>
        <v>0</v>
      </c>
      <c r="AY199" s="13">
        <f t="shared" si="323"/>
        <v>0</v>
      </c>
      <c r="AZ199" s="13">
        <f t="shared" si="323"/>
        <v>0</v>
      </c>
      <c r="BA199" s="13">
        <f t="shared" si="324"/>
        <v>0</v>
      </c>
      <c r="BB199" s="68">
        <f t="shared" si="255"/>
        <v>0</v>
      </c>
      <c r="BC199" s="268">
        <f t="shared" si="256"/>
        <v>0</v>
      </c>
      <c r="BD199" s="13">
        <f t="shared" si="257"/>
        <v>0</v>
      </c>
      <c r="BE199" s="13">
        <f>SUMIFS(SALIDAS_BIT,FECHA_BIT,"&gt;="&amp;BE$2,FECHA_BIT,"&lt;="&amp;BE$3,CLAVE_BIT,$A199)+SUMIFS(SALIDAS_BOV1,FECHA_BOV1,"&gt;="&amp;BE$2,FECHA_BOV1,"&lt;="&amp;BE$3,CLAVE_BOV1,$A199)+SUMIFS(SALIDAS_BOV2,FECHA_BOV2,"&gt;="&amp;BE$2,FECHA_BOV2,"&lt;="&amp;BE$3,CLAVE_BOV2,$A199)+SUMIFS(SALIDAS_BOV3,FECHA_BOV3,"&gt;="&amp;BE$2,FECHA_BOV3,"&lt;="&amp;BE$3,CLAVE_BOV3,$A199)+SUMIFS(SALIDAS_TC,FECHA_TC,"&gt;="&amp;BE$2,FECHA_TC,"&lt;="&amp;BE$3,CLAVE_TC,$A199)+SUMIFS(SALIDAS_COMB,FECHA_COMB,"&gt;="&amp;BE$2,FECHA_COMB,"&lt;="&amp;BE$3,CLAVE_COMB,$A199)+SUMIFS(SALIDAS_DES,FECHA_DESGLOSEN,"&gt;="&amp;BE$2,FECHA_DESGLOSEN,"&lt;="&amp;BE$3,CLAVE_DESGLOSE,$A199)</f>
        <v>0</v>
      </c>
      <c r="BF199" s="13">
        <f>SUMIFS(SALIDAS_BIT,FECHA_BIT,"&gt;="&amp;BF$2,FECHA_BIT,"&lt;="&amp;BF$3,CLAVE_BIT,$A199)+SUMIFS(SALIDAS_BOV1,FECHA_BOV1,"&gt;="&amp;BF$2,FECHA_BOV1,"&lt;="&amp;BF$3,CLAVE_BOV1,$A199)+SUMIFS(SALIDAS_BOV2,FECHA_BOV2,"&gt;="&amp;BF$2,FECHA_BOV2,"&lt;="&amp;BF$3,CLAVE_BOV2,$A199)+SUMIFS(SALIDAS_BOV3,FECHA_BOV3,"&gt;="&amp;BF$2,FECHA_BOV3,"&lt;="&amp;BF$3,CLAVE_BOV3,$A199)+SUMIFS(SALIDAS_TC,FECHA_TC,"&gt;="&amp;BF$2,FECHA_TC,"&lt;="&amp;BF$3,CLAVE_TC,$A199)+SUMIFS(SALIDAS_COMB,FECHA_COMB,"&gt;="&amp;BF$2,FECHA_COMB,"&lt;="&amp;BF$3,CLAVE_COMB,$A199)+SUMIFS(SALIDAS_DES,FECHA_DESGLOSEN,"&gt;="&amp;BF$2,FECHA_DESGLOSEN,"&lt;="&amp;BF$3,CLAVE_DESGLOSE,$A199)</f>
        <v>0</v>
      </c>
      <c r="BG199" s="13">
        <f>SUMIFS(SALIDAS_BIT,FECHA_BIT,"&gt;="&amp;BG$2,FECHA_BIT,"&lt;="&amp;BG$3,CLAVE_BIT,$A199)+SUMIFS(SALIDAS_BOV1,FECHA_BOV1,"&gt;="&amp;BG$2,FECHA_BOV1,"&lt;="&amp;BG$3,CLAVE_BOV1,$A199)+SUMIFS(SALIDAS_BOV2,FECHA_BOV2,"&gt;="&amp;BG$2,FECHA_BOV2,"&lt;="&amp;BG$3,CLAVE_BOV2,$A199)+SUMIFS(SALIDAS_BOV3,FECHA_BOV3,"&gt;="&amp;BG$2,FECHA_BOV3,"&lt;="&amp;BG$3,CLAVE_BOV3,$A199)+SUMIFS(SALIDAS_TC,FECHA_TC,"&gt;="&amp;BG$2,FECHA_TC,"&lt;="&amp;BG$3,CLAVE_TC,$A199)+SUMIFS(SALIDAS_COMB,FECHA_COMB,"&gt;="&amp;BG$2,FECHA_COMB,"&lt;="&amp;BG$3,CLAVE_COMB,$A199)+SUMIFS(SALIDAS_DES,FECHA_DESGLOSEN,"&gt;="&amp;BG$2,FECHA_DESGLOSEN,"&lt;="&amp;BG$3,CLAVE_DESGLOSE,$A199)</f>
        <v>0</v>
      </c>
      <c r="BH199" s="13">
        <f>SUMIFS(SALIDAS_BIT,FECHA_BIT,"&gt;="&amp;BH$2,FECHA_BIT,"&lt;="&amp;BH$3,CLAVE_BIT,$A199)+SUMIFS(SALIDAS_BOV1,FECHA_BOV1,"&gt;="&amp;BH$2,FECHA_BOV1,"&lt;="&amp;BH$3,CLAVE_BOV1,$A199)+SUMIFS(SALIDAS_BOV2,FECHA_BOV2,"&gt;="&amp;BH$2,FECHA_BOV2,"&lt;="&amp;BH$3,CLAVE_BOV2,$A199)+SUMIFS(SALIDAS_BOV3,FECHA_BOV3,"&gt;="&amp;BH$2,FECHA_BOV3,"&lt;="&amp;BH$3,CLAVE_BOV3,$A199)+SUMIFS(SALIDAS_TC,FECHA_TC,"&gt;="&amp;BH$2,FECHA_TC,"&lt;="&amp;BH$3,CLAVE_TC,$A199)+SUMIFS(SALIDAS_COMB,FECHA_COMB,"&gt;="&amp;BH$2,FECHA_COMB,"&lt;="&amp;BH$3,CLAVE_COMB,$A199)+SUMIFS(SALIDAS_DES,FECHA_DESGLOSEN,"&gt;="&amp;BH$2,FECHA_DESGLOSEN,"&lt;="&amp;BH$3,CLAVE_DESGLOSE,$A199)</f>
        <v>0</v>
      </c>
      <c r="BI199" s="13">
        <f t="shared" si="311"/>
        <v>0</v>
      </c>
      <c r="BJ199" s="68">
        <f t="shared" si="258"/>
        <v>0</v>
      </c>
      <c r="BK199" s="268">
        <f t="shared" si="259"/>
        <v>0</v>
      </c>
      <c r="BL199" s="13">
        <f t="shared" si="260"/>
        <v>0</v>
      </c>
      <c r="BM199" s="13">
        <f>SUMIFS(SALIDAS_BIT,FECHA_BIT,"&gt;="&amp;BM$2,FECHA_BIT,"&lt;="&amp;BM$3,CLAVE_BIT,$A199)+SUMIFS(SALIDAS_BOV1,FECHA_BOV1,"&gt;="&amp;BM$2,FECHA_BOV1,"&lt;="&amp;BM$3,CLAVE_BOV1,$A199)+SUMIFS(SALIDAS_BOV2,FECHA_BOV2,"&gt;="&amp;BM$2,FECHA_BOV2,"&lt;="&amp;BM$3,CLAVE_BOV2,$A199)+SUMIFS(SALIDAS_BOV3,FECHA_BOV3,"&gt;="&amp;BM$2,FECHA_BOV3,"&lt;="&amp;BM$3,CLAVE_BOV3,$A199)+SUMIFS(SALIDAS_TC,FECHA_TC,"&gt;="&amp;BM$2,FECHA_TC,"&lt;="&amp;BM$3,CLAVE_TC,$A199)+SUMIFS(SALIDAS_COMB,FECHA_COMB,"&gt;="&amp;BM$2,FECHA_COMB,"&lt;="&amp;BM$3,CLAVE_COMB,$A199)+SUMIFS(SALIDAS_DES,FECHA_DESGLOSEN,"&gt;="&amp;BM$2,FECHA_DESGLOSEN,"&lt;="&amp;BM$3,CLAVE_DESGLOSE,$A199)</f>
        <v>0</v>
      </c>
      <c r="BN199" s="13">
        <f>SUMIFS(SALIDAS_BIT,FECHA_BIT,"&gt;="&amp;BN$2,FECHA_BIT,"&lt;="&amp;BN$3,CLAVE_BIT,$A199)+SUMIFS(SALIDAS_BOV1,FECHA_BOV1,"&gt;="&amp;BN$2,FECHA_BOV1,"&lt;="&amp;BN$3,CLAVE_BOV1,$A199)+SUMIFS(SALIDAS_BOV2,FECHA_BOV2,"&gt;="&amp;BN$2,FECHA_BOV2,"&lt;="&amp;BN$3,CLAVE_BOV2,$A199)+SUMIFS(SALIDAS_BOV3,FECHA_BOV3,"&gt;="&amp;BN$2,FECHA_BOV3,"&lt;="&amp;BN$3,CLAVE_BOV3,$A199)+SUMIFS(SALIDAS_TC,FECHA_TC,"&gt;="&amp;BN$2,FECHA_TC,"&lt;="&amp;BN$3,CLAVE_TC,$A199)+SUMIFS(SALIDAS_COMB,FECHA_COMB,"&gt;="&amp;BN$2,FECHA_COMB,"&lt;="&amp;BN$3,CLAVE_COMB,$A199)+SUMIFS(SALIDAS_DES,FECHA_DESGLOSEN,"&gt;="&amp;BN$2,FECHA_DESGLOSEN,"&lt;="&amp;BN$3,CLAVE_DESGLOSE,$A199)</f>
        <v>0</v>
      </c>
      <c r="BO199" s="13">
        <f>SUMIFS(SALIDAS_BIT,FECHA_BIT,"&gt;="&amp;BO$2,FECHA_BIT,"&lt;="&amp;BO$3,CLAVE_BIT,$A199)+SUMIFS(SALIDAS_BOV1,FECHA_BOV1,"&gt;="&amp;BO$2,FECHA_BOV1,"&lt;="&amp;BO$3,CLAVE_BOV1,$A199)+SUMIFS(SALIDAS_BOV2,FECHA_BOV2,"&gt;="&amp;BO$2,FECHA_BOV2,"&lt;="&amp;BO$3,CLAVE_BOV2,$A199)+SUMIFS(SALIDAS_BOV3,FECHA_BOV3,"&gt;="&amp;BO$2,FECHA_BOV3,"&lt;="&amp;BO$3,CLAVE_BOV3,$A199)+SUMIFS(SALIDAS_TC,FECHA_TC,"&gt;="&amp;BO$2,FECHA_TC,"&lt;="&amp;BO$3,CLAVE_TC,$A199)+SUMIFS(SALIDAS_COMB,FECHA_COMB,"&gt;="&amp;BO$2,FECHA_COMB,"&lt;="&amp;BO$3,CLAVE_COMB,$A199)+SUMIFS(SALIDAS_DES,FECHA_DESGLOSEN,"&gt;="&amp;BO$2,FECHA_DESGLOSEN,"&lt;="&amp;BO$3,CLAVE_DESGLOSE,$A199)</f>
        <v>0</v>
      </c>
      <c r="BP199" s="13">
        <f>SUMIFS(SALIDAS_BIT,FECHA_BIT,"&gt;="&amp;BP$2,FECHA_BIT,"&lt;="&amp;BP$3,CLAVE_BIT,$A199)+SUMIFS(SALIDAS_BOV1,FECHA_BOV1,"&gt;="&amp;BP$2,FECHA_BOV1,"&lt;="&amp;BP$3,CLAVE_BOV1,$A199)+SUMIFS(SALIDAS_BOV2,FECHA_BOV2,"&gt;="&amp;BP$2,FECHA_BOV2,"&lt;="&amp;BP$3,CLAVE_BOV2,$A199)+SUMIFS(SALIDAS_BOV3,FECHA_BOV3,"&gt;="&amp;BP$2,FECHA_BOV3,"&lt;="&amp;BP$3,CLAVE_BOV3,$A199)+SUMIFS(SALIDAS_TC,FECHA_TC,"&gt;="&amp;BP$2,FECHA_TC,"&lt;="&amp;BP$3,CLAVE_TC,$A199)+SUMIFS(SALIDAS_COMB,FECHA_COMB,"&gt;="&amp;BP$2,FECHA_COMB,"&lt;="&amp;BP$3,CLAVE_COMB,$A199)+SUMIFS(SALIDAS_DES,FECHA_DESGLOSEN,"&gt;="&amp;BP$2,FECHA_DESGLOSEN,"&lt;="&amp;BP$3,CLAVE_DESGLOSE,$A199)</f>
        <v>0</v>
      </c>
      <c r="BQ199" s="13">
        <f>SUMIFS(SALIDAS_BIT,FECHA_BIT,"&gt;="&amp;BQ$2,FECHA_BIT,"&lt;="&amp;BQ$3,CLAVE_BIT,$A199)+SUMIFS(SALIDAS_BOV1,FECHA_BOV1,"&gt;="&amp;BQ$2,FECHA_BOV1,"&lt;="&amp;BQ$3,CLAVE_BOV1,$A199)+SUMIFS(SALIDAS_BOV2,FECHA_BOV2,"&gt;="&amp;BQ$2,FECHA_BOV2,"&lt;="&amp;BQ$3,CLAVE_BOV2,$A199)+SUMIFS(SALIDAS_BOV3,FECHA_BOV3,"&gt;="&amp;BQ$2,FECHA_BOV3,"&lt;="&amp;BQ$3,CLAVE_BOV3,$A199)+SUMIFS(SALIDAS_TC,FECHA_TC,"&gt;="&amp;BQ$2,FECHA_TC,"&lt;="&amp;BQ$3,CLAVE_TC,$A199)+SUMIFS(SALIDAS_COMB,FECHA_COMB,"&gt;="&amp;BQ$2,FECHA_COMB,"&lt;="&amp;BQ$3,CLAVE_COMB,$A199)+SUMIFS(SALIDAS_DES,FECHA_DESGLOSEN,"&gt;="&amp;BQ$2,FECHA_DESGLOSEN,"&lt;="&amp;BQ$3,CLAVE_DESGLOSE,$A199)</f>
        <v>0</v>
      </c>
      <c r="BR199" s="13">
        <f t="shared" si="340"/>
        <v>0</v>
      </c>
      <c r="BS199" s="68">
        <f t="shared" si="261"/>
        <v>0</v>
      </c>
      <c r="BT199" s="268">
        <f t="shared" si="262"/>
        <v>0</v>
      </c>
      <c r="BU199" s="13">
        <f t="shared" si="263"/>
        <v>0</v>
      </c>
      <c r="BV199" s="13">
        <f t="shared" si="291"/>
        <v>0</v>
      </c>
      <c r="BW199" s="13">
        <f t="shared" si="291"/>
        <v>0</v>
      </c>
      <c r="BX199" s="13">
        <f t="shared" si="291"/>
        <v>0</v>
      </c>
      <c r="BY199" s="13">
        <f t="shared" si="291"/>
        <v>0</v>
      </c>
      <c r="BZ199" s="13">
        <f t="shared" si="341"/>
        <v>0</v>
      </c>
      <c r="CA199" s="68">
        <f t="shared" si="264"/>
        <v>0</v>
      </c>
      <c r="CB199" s="268">
        <f t="shared" si="265"/>
        <v>0</v>
      </c>
      <c r="CC199" s="13">
        <f t="shared" si="266"/>
        <v>0</v>
      </c>
      <c r="CD199" s="13">
        <f t="shared" si="292"/>
        <v>0</v>
      </c>
      <c r="CE199" s="13">
        <f t="shared" si="292"/>
        <v>0</v>
      </c>
      <c r="CF199" s="13">
        <f t="shared" si="292"/>
        <v>0</v>
      </c>
      <c r="CG199" s="13">
        <f t="shared" si="292"/>
        <v>0</v>
      </c>
      <c r="CH199" s="13">
        <f t="shared" si="342"/>
        <v>0</v>
      </c>
      <c r="CI199" s="68">
        <f t="shared" si="267"/>
        <v>0</v>
      </c>
      <c r="CJ199" s="268">
        <f t="shared" si="268"/>
        <v>0</v>
      </c>
      <c r="CK199" s="13">
        <f t="shared" si="269"/>
        <v>0</v>
      </c>
      <c r="CL199" s="13">
        <f t="shared" si="312"/>
        <v>0</v>
      </c>
      <c r="CM199" s="13">
        <f t="shared" si="312"/>
        <v>0</v>
      </c>
      <c r="CN199" s="13">
        <f t="shared" si="312"/>
        <v>0</v>
      </c>
      <c r="CO199" s="13">
        <f t="shared" si="312"/>
        <v>0</v>
      </c>
      <c r="CP199" s="13">
        <f t="shared" si="312"/>
        <v>0</v>
      </c>
      <c r="CQ199" s="13">
        <f t="shared" si="343"/>
        <v>0</v>
      </c>
      <c r="CR199" s="68">
        <f t="shared" si="270"/>
        <v>0</v>
      </c>
      <c r="CS199" s="268">
        <f t="shared" si="271"/>
        <v>0</v>
      </c>
      <c r="CT199" s="68">
        <f t="shared" ref="CT199:CT262" si="350">VLOOKUP($A199,T_PRESUPUESTO,MATCH(CT$6,E_PRESUPUESTO,0),FALSE)</f>
        <v>0</v>
      </c>
      <c r="CU199" s="13">
        <f>SUMIFS(SALIDAS_BIT,FECHA_BIT,"&gt;="&amp;CU$2,FECHA_BIT,"&lt;="&amp;CU$3,CLAVE_BIT,$A199)+SUMIFS(SALIDAS_BOV1,FECHA_BOV1,"&gt;="&amp;CU$2,FECHA_BOV1,"&lt;="&amp;CU$3,CLAVE_BOV1,$A199)+SUMIFS(SALIDAS_BOV2,FECHA_BOV2,"&gt;="&amp;CU$2,FECHA_BOV2,"&lt;="&amp;CU$3,CLAVE_BOV2,$A199)+SUMIFS(SALIDAS_BOV3,FECHA_BOV3,"&gt;="&amp;CU$2,FECHA_BOV3,"&lt;="&amp;CU$3,CLAVE_BOV3,$A199)+SUMIFS(SALIDAS_TC,FECHA_TC,"&gt;="&amp;CU$2,FECHA_TC,"&lt;="&amp;CU$3,CLAVE_TC,$A199)+SUMIFS(SALIDAS_COMB,FECHA_COMB,"&gt;="&amp;CU$2,FECHA_COMB,"&lt;="&amp;CU$3,CLAVE_COMB,$A199)+SUMIFS(SALIDAS_DES,FECHA_DESGLOSEN,"&gt;="&amp;CU$2,FECHA_DESGLOSEN,"&lt;="&amp;CU$3,CLAVE_DESGLOSE,$A199)</f>
        <v>0</v>
      </c>
      <c r="CV199" s="13">
        <f>SUMIFS(SALIDAS_BIT,FECHA_BIT,"&gt;="&amp;CV$2,FECHA_BIT,"&lt;="&amp;CV$3,CLAVE_BIT,$A199)+SUMIFS(SALIDAS_BOV1,FECHA_BOV1,"&gt;="&amp;CV$2,FECHA_BOV1,"&lt;="&amp;CV$3,CLAVE_BOV1,$A199)+SUMIFS(SALIDAS_BOV2,FECHA_BOV2,"&gt;="&amp;CV$2,FECHA_BOV2,"&lt;="&amp;CV$3,CLAVE_BOV2,$A199)+SUMIFS(SALIDAS_BOV3,FECHA_BOV3,"&gt;="&amp;CV$2,FECHA_BOV3,"&lt;="&amp;CV$3,CLAVE_BOV3,$A199)+SUMIFS(SALIDAS_TC,FECHA_TC,"&gt;="&amp;CV$2,FECHA_TC,"&lt;="&amp;CV$3,CLAVE_TC,$A199)+SUMIFS(SALIDAS_COMB,FECHA_COMB,"&gt;="&amp;CV$2,FECHA_COMB,"&lt;="&amp;CV$3,CLAVE_COMB,$A199)+SUMIFS(SALIDAS_DES,FECHA_DESGLOSEN,"&gt;="&amp;CV$2,FECHA_DESGLOSEN,"&lt;="&amp;CV$3,CLAVE_DESGLOSE,$A199)</f>
        <v>0</v>
      </c>
      <c r="CW199" s="13">
        <f>SUMIFS(SALIDAS_BIT,FECHA_BIT,"&gt;="&amp;CW$2,FECHA_BIT,"&lt;="&amp;CW$3,CLAVE_BIT,$A199)+SUMIFS(SALIDAS_BOV1,FECHA_BOV1,"&gt;="&amp;CW$2,FECHA_BOV1,"&lt;="&amp;CW$3,CLAVE_BOV1,$A199)+SUMIFS(SALIDAS_BOV2,FECHA_BOV2,"&gt;="&amp;CW$2,FECHA_BOV2,"&lt;="&amp;CW$3,CLAVE_BOV2,$A199)+SUMIFS(SALIDAS_BOV3,FECHA_BOV3,"&gt;="&amp;CW$2,FECHA_BOV3,"&lt;="&amp;CW$3,CLAVE_BOV3,$A199)+SUMIFS(SALIDAS_TC,FECHA_TC,"&gt;="&amp;CW$2,FECHA_TC,"&lt;="&amp;CW$3,CLAVE_TC,$A199)+SUMIFS(SALIDAS_COMB,FECHA_COMB,"&gt;="&amp;CW$2,FECHA_COMB,"&lt;="&amp;CW$3,CLAVE_COMB,$A199)+SUMIFS(SALIDAS_DES,FECHA_DESGLOSEN,"&gt;="&amp;CW$2,FECHA_DESGLOSEN,"&lt;="&amp;CW$3,CLAVE_DESGLOSE,$A199)</f>
        <v>0</v>
      </c>
      <c r="CX199" s="13">
        <f>SUMIFS(SALIDAS_BIT,FECHA_BIT,"&gt;="&amp;CX$2,FECHA_BIT,"&lt;="&amp;CX$3,CLAVE_BIT,$A199)+SUMIFS(SALIDAS_BOV1,FECHA_BOV1,"&gt;="&amp;CX$2,FECHA_BOV1,"&lt;="&amp;CX$3,CLAVE_BOV1,$A199)+SUMIFS(SALIDAS_BOV2,FECHA_BOV2,"&gt;="&amp;CX$2,FECHA_BOV2,"&lt;="&amp;CX$3,CLAVE_BOV2,$A199)+SUMIFS(SALIDAS_BOV3,FECHA_BOV3,"&gt;="&amp;CX$2,FECHA_BOV3,"&lt;="&amp;CX$3,CLAVE_BOV3,$A199)+SUMIFS(SALIDAS_TC,FECHA_TC,"&gt;="&amp;CX$2,FECHA_TC,"&lt;="&amp;CX$3,CLAVE_TC,$A199)+SUMIFS(SALIDAS_COMB,FECHA_COMB,"&gt;="&amp;CX$2,FECHA_COMB,"&lt;="&amp;CX$3,CLAVE_COMB,$A199)+SUMIFS(SALIDAS_DES,FECHA_DESGLOSEN,"&gt;="&amp;CX$2,FECHA_DESGLOSEN,"&lt;="&amp;CX$3,CLAVE_DESGLOSE,$A199)</f>
        <v>0</v>
      </c>
      <c r="CY199" s="13">
        <f>SUMIFS(SALIDAS_BIT,FECHA_BIT,"&gt;="&amp;CY$2,FECHA_BIT,"&lt;="&amp;CY$3,CLAVE_BIT,$A199)+SUMIFS(SALIDAS_BOV1,FECHA_BOV1,"&gt;="&amp;CY$2,FECHA_BOV1,"&lt;="&amp;CY$3,CLAVE_BOV1,$A199)+SUMIFS(SALIDAS_BOV2,FECHA_BOV2,"&gt;="&amp;CY$2,FECHA_BOV2,"&lt;="&amp;CY$3,CLAVE_BOV2,$A199)+SUMIFS(SALIDAS_BOV3,FECHA_BOV3,"&gt;="&amp;CY$2,FECHA_BOV3,"&lt;="&amp;CY$3,CLAVE_BOV3,$A199)+SUMIFS(SALIDAS_TC,FECHA_TC,"&gt;="&amp;CY$2,FECHA_TC,"&lt;="&amp;CY$3,CLAVE_TC,$A199)+SUMIFS(SALIDAS_COMB,FECHA_COMB,"&gt;="&amp;CY$2,FECHA_COMB,"&lt;="&amp;CY$3,CLAVE_COMB,$A199)+SUMIFS(SALIDAS_DES,FECHA_DESGLOSEN,"&gt;="&amp;CY$2,FECHA_DESGLOSEN,"&lt;="&amp;CY$3,CLAVE_DESGLOSE,$A199)</f>
        <v>0</v>
      </c>
      <c r="CZ199" s="68">
        <f t="shared" si="272"/>
        <v>0</v>
      </c>
      <c r="DB199" s="17">
        <f>F199+N199+W199+AE199+AM199+AV199+BD199+BL199+BU199+CC199+CK199</f>
        <v>0</v>
      </c>
      <c r="DC199" s="17">
        <f>K199+T199+AB199+AJ199+AS199+BA199+BI199+BR199+BZ199+CH199+CQ199</f>
        <v>420</v>
      </c>
    </row>
    <row r="200" spans="1:107" hidden="1">
      <c r="A200" s="12" t="str">
        <f t="shared" ref="A200:A263" si="351">C200&amp;D200&amp;E200</f>
        <v>SERVICIOSMTTO DE EDIFICIOMANTENIMIENTO</v>
      </c>
      <c r="B200" s="12">
        <v>202</v>
      </c>
      <c r="C200" t="s">
        <v>21</v>
      </c>
      <c r="D200" s="12" t="s">
        <v>142</v>
      </c>
      <c r="E200" s="12" t="s">
        <v>35</v>
      </c>
      <c r="F200" s="259">
        <f t="shared" si="344"/>
        <v>31344</v>
      </c>
      <c r="G200" s="13">
        <f t="shared" si="335"/>
        <v>2730</v>
      </c>
      <c r="H200" s="13">
        <f t="shared" si="335"/>
        <v>4500</v>
      </c>
      <c r="I200" s="13">
        <f t="shared" si="335"/>
        <v>24950.959999999999</v>
      </c>
      <c r="J200" s="13">
        <f t="shared" si="335"/>
        <v>1947.57</v>
      </c>
      <c r="K200" s="13">
        <f t="shared" si="335"/>
        <v>34128.53</v>
      </c>
      <c r="L200" s="68">
        <f t="shared" ref="L200:L263" si="352">F200-K200</f>
        <v>-2784.5299999999988</v>
      </c>
      <c r="M200" s="268">
        <f t="shared" ref="M200:M263" si="353">IFERROR((K200/F200),0)</f>
        <v>1.0888377360898418</v>
      </c>
      <c r="N200" s="13">
        <f t="shared" si="345"/>
        <v>20516</v>
      </c>
      <c r="O200" s="13">
        <f t="shared" si="336"/>
        <v>14312.3</v>
      </c>
      <c r="P200" s="13">
        <f t="shared" si="336"/>
        <v>28904</v>
      </c>
      <c r="Q200" s="13">
        <f t="shared" si="336"/>
        <v>16728.62</v>
      </c>
      <c r="R200" s="13">
        <f t="shared" si="336"/>
        <v>18733.36</v>
      </c>
      <c r="S200" s="13">
        <f t="shared" si="336"/>
        <v>500</v>
      </c>
      <c r="T200" s="13">
        <f t="shared" si="336"/>
        <v>79178.28</v>
      </c>
      <c r="U200" s="68">
        <f t="shared" ref="U200:U263" si="354">N200-T200</f>
        <v>-58662.28</v>
      </c>
      <c r="V200" s="268">
        <f t="shared" ref="V200:V263" si="355">IFERROR((T200/N200),0)</f>
        <v>3.8593429518424642</v>
      </c>
      <c r="W200" s="13">
        <f t="shared" si="346"/>
        <v>35507</v>
      </c>
      <c r="X200" s="13">
        <f t="shared" si="337"/>
        <v>27361.63</v>
      </c>
      <c r="Y200" s="13">
        <f t="shared" si="337"/>
        <v>12025.28</v>
      </c>
      <c r="Z200" s="13">
        <f t="shared" si="337"/>
        <v>28171.32</v>
      </c>
      <c r="AA200" s="13">
        <f t="shared" si="337"/>
        <v>3713</v>
      </c>
      <c r="AB200" s="13">
        <f t="shared" si="337"/>
        <v>71271.23000000001</v>
      </c>
      <c r="AC200" s="68">
        <f t="shared" ref="AC200:AC263" si="356">W200-AB200</f>
        <v>-35764.23000000001</v>
      </c>
      <c r="AD200" s="268">
        <f t="shared" ref="AD200:AD263" si="357">IFERROR((AB200/W200),0)</f>
        <v>2.0072444870025632</v>
      </c>
      <c r="AE200" s="13">
        <f t="shared" si="347"/>
        <v>53649</v>
      </c>
      <c r="AF200" s="13">
        <f t="shared" si="338"/>
        <v>19539.66</v>
      </c>
      <c r="AG200" s="13">
        <f t="shared" si="338"/>
        <v>174</v>
      </c>
      <c r="AH200" s="13">
        <f t="shared" si="338"/>
        <v>4404.3599999999997</v>
      </c>
      <c r="AI200" s="13">
        <f t="shared" si="338"/>
        <v>45316.3</v>
      </c>
      <c r="AJ200" s="13">
        <f t="shared" si="338"/>
        <v>69434.320000000007</v>
      </c>
      <c r="AK200" s="68">
        <f t="shared" ref="AK200:AK263" si="358">AE200-AJ200</f>
        <v>-15785.320000000007</v>
      </c>
      <c r="AL200" s="268">
        <f t="shared" ref="AL200:AL263" si="359">IFERROR((AJ200/AE200),0)</f>
        <v>1.2942332569106603</v>
      </c>
      <c r="AM200" s="13">
        <f t="shared" si="348"/>
        <v>62642</v>
      </c>
      <c r="AN200" s="13">
        <f t="shared" si="339"/>
        <v>15113.220000000001</v>
      </c>
      <c r="AO200" s="13">
        <f t="shared" si="339"/>
        <v>21410</v>
      </c>
      <c r="AP200" s="13">
        <f t="shared" si="339"/>
        <v>4855</v>
      </c>
      <c r="AQ200" s="13">
        <f t="shared" si="339"/>
        <v>21457</v>
      </c>
      <c r="AR200" s="13">
        <f t="shared" si="339"/>
        <v>24144.12</v>
      </c>
      <c r="AS200" s="13">
        <f t="shared" si="339"/>
        <v>86979.340000000011</v>
      </c>
      <c r="AT200" s="68">
        <f>AM200-AS200</f>
        <v>-24337.340000000011</v>
      </c>
      <c r="AU200" s="268">
        <f t="shared" ref="AU200:AU263" si="360">IFERROR((AS200/AM200),0)</f>
        <v>1.3885147345231637</v>
      </c>
      <c r="AV200" s="13">
        <f t="shared" si="349"/>
        <v>33737</v>
      </c>
      <c r="AW200" s="13">
        <f t="shared" si="323"/>
        <v>22355.260000000002</v>
      </c>
      <c r="AX200" s="13">
        <f t="shared" si="323"/>
        <v>14100</v>
      </c>
      <c r="AY200" s="13">
        <f t="shared" si="323"/>
        <v>30086.35</v>
      </c>
      <c r="AZ200" s="13">
        <f t="shared" si="323"/>
        <v>10977</v>
      </c>
      <c r="BA200" s="13">
        <f t="shared" si="324"/>
        <v>77518.610000000015</v>
      </c>
      <c r="BB200" s="68">
        <f t="shared" ref="BB200:BB263" si="361">AV200-BA200</f>
        <v>-43781.610000000015</v>
      </c>
      <c r="BC200" s="268">
        <f t="shared" ref="BC200:BC263" si="362">IFERROR((BA200/AV200),0)</f>
        <v>2.2977327563209538</v>
      </c>
      <c r="BD200" s="13">
        <f t="shared" ref="BD200:BD263" si="363">VLOOKUP($A200,T_PRESUPUESTO,MATCH(BD$6,E_PRESUPUESTO,0),FALSE)</f>
        <v>52363</v>
      </c>
      <c r="BE200" s="13">
        <f>SUMIFS(SALIDAS_BIT,FECHA_BIT,"&gt;="&amp;BE$2,FECHA_BIT,"&lt;="&amp;BE$3,CLAVE_BIT,$A200)+SUMIFS(SALIDAS_BOV1,FECHA_BOV1,"&gt;="&amp;BE$2,FECHA_BOV1,"&lt;="&amp;BE$3,CLAVE_BOV1,$A200)+SUMIFS(SALIDAS_BOV2,FECHA_BOV2,"&gt;="&amp;BE$2,FECHA_BOV2,"&lt;="&amp;BE$3,CLAVE_BOV2,$A200)+SUMIFS(SALIDAS_BOV3,FECHA_BOV3,"&gt;="&amp;BE$2,FECHA_BOV3,"&lt;="&amp;BE$3,CLAVE_BOV3,$A200)+SUMIFS(SALIDAS_TC,FECHA_TC,"&gt;="&amp;BE$2,FECHA_TC,"&lt;="&amp;BE$3,CLAVE_TC,$A200)+SUMIFS(SALIDAS_COMB,FECHA_COMB,"&gt;="&amp;BE$2,FECHA_COMB,"&lt;="&amp;BE$3,CLAVE_COMB,$A200)+SUMIFS(SALIDAS_DES,FECHA_DESGLOSEN,"&gt;="&amp;BE$2,FECHA_DESGLOSEN,"&lt;="&amp;BE$3,CLAVE_DESGLOSE,$A200)</f>
        <v>45688.750000000007</v>
      </c>
      <c r="BF200" s="13">
        <f>SUMIFS(SALIDAS_BIT,FECHA_BIT,"&gt;="&amp;BF$2,FECHA_BIT,"&lt;="&amp;BF$3,CLAVE_BIT,$A200)+SUMIFS(SALIDAS_BOV1,FECHA_BOV1,"&gt;="&amp;BF$2,FECHA_BOV1,"&lt;="&amp;BF$3,CLAVE_BOV1,$A200)+SUMIFS(SALIDAS_BOV2,FECHA_BOV2,"&gt;="&amp;BF$2,FECHA_BOV2,"&lt;="&amp;BF$3,CLAVE_BOV2,$A200)+SUMIFS(SALIDAS_BOV3,FECHA_BOV3,"&gt;="&amp;BF$2,FECHA_BOV3,"&lt;="&amp;BF$3,CLAVE_BOV3,$A200)+SUMIFS(SALIDAS_TC,FECHA_TC,"&gt;="&amp;BF$2,FECHA_TC,"&lt;="&amp;BF$3,CLAVE_TC,$A200)+SUMIFS(SALIDAS_COMB,FECHA_COMB,"&gt;="&amp;BF$2,FECHA_COMB,"&lt;="&amp;BF$3,CLAVE_COMB,$A200)+SUMIFS(SALIDAS_DES,FECHA_DESGLOSEN,"&gt;="&amp;BF$2,FECHA_DESGLOSEN,"&lt;="&amp;BF$3,CLAVE_DESGLOSE,$A200)</f>
        <v>15003.9</v>
      </c>
      <c r="BG200" s="13">
        <f>SUMIFS(SALIDAS_BIT,FECHA_BIT,"&gt;="&amp;BG$2,FECHA_BIT,"&lt;="&amp;BG$3,CLAVE_BIT,$A200)+SUMIFS(SALIDAS_BOV1,FECHA_BOV1,"&gt;="&amp;BG$2,FECHA_BOV1,"&lt;="&amp;BG$3,CLAVE_BOV1,$A200)+SUMIFS(SALIDAS_BOV2,FECHA_BOV2,"&gt;="&amp;BG$2,FECHA_BOV2,"&lt;="&amp;BG$3,CLAVE_BOV2,$A200)+SUMIFS(SALIDAS_BOV3,FECHA_BOV3,"&gt;="&amp;BG$2,FECHA_BOV3,"&lt;="&amp;BG$3,CLAVE_BOV3,$A200)+SUMIFS(SALIDAS_TC,FECHA_TC,"&gt;="&amp;BG$2,FECHA_TC,"&lt;="&amp;BG$3,CLAVE_TC,$A200)+SUMIFS(SALIDAS_COMB,FECHA_COMB,"&gt;="&amp;BG$2,FECHA_COMB,"&lt;="&amp;BG$3,CLAVE_COMB,$A200)+SUMIFS(SALIDAS_DES,FECHA_DESGLOSEN,"&gt;="&amp;BG$2,FECHA_DESGLOSEN,"&lt;="&amp;BG$3,CLAVE_DESGLOSE,$A200)</f>
        <v>15150</v>
      </c>
      <c r="BH200" s="13">
        <f>SUMIFS(SALIDAS_BIT,FECHA_BIT,"&gt;="&amp;BH$2,FECHA_BIT,"&lt;="&amp;BH$3,CLAVE_BIT,$A200)+SUMIFS(SALIDAS_BOV1,FECHA_BOV1,"&gt;="&amp;BH$2,FECHA_BOV1,"&lt;="&amp;BH$3,CLAVE_BOV1,$A200)+SUMIFS(SALIDAS_BOV2,FECHA_BOV2,"&gt;="&amp;BH$2,FECHA_BOV2,"&lt;="&amp;BH$3,CLAVE_BOV2,$A200)+SUMIFS(SALIDAS_BOV3,FECHA_BOV3,"&gt;="&amp;BH$2,FECHA_BOV3,"&lt;="&amp;BH$3,CLAVE_BOV3,$A200)+SUMIFS(SALIDAS_TC,FECHA_TC,"&gt;="&amp;BH$2,FECHA_TC,"&lt;="&amp;BH$3,CLAVE_TC,$A200)+SUMIFS(SALIDAS_COMB,FECHA_COMB,"&gt;="&amp;BH$2,FECHA_COMB,"&lt;="&amp;BH$3,CLAVE_COMB,$A200)+SUMIFS(SALIDAS_DES,FECHA_DESGLOSEN,"&gt;="&amp;BH$2,FECHA_DESGLOSEN,"&lt;="&amp;BH$3,CLAVE_DESGLOSE,$A200)</f>
        <v>2080.5</v>
      </c>
      <c r="BI200" s="13">
        <f t="shared" si="311"/>
        <v>77923.149999999994</v>
      </c>
      <c r="BJ200" s="68">
        <f t="shared" ref="BJ200:BJ263" si="364">BD200-BI200</f>
        <v>-25560.149999999994</v>
      </c>
      <c r="BK200" s="268">
        <f t="shared" ref="BK200:BK263" si="365">IFERROR((BI200/BD200),0)</f>
        <v>1.4881337967648911</v>
      </c>
      <c r="BL200" s="13">
        <f t="shared" ref="BL200:BL263" si="366">VLOOKUP($A200,T_PRESUPUESTO,MATCH(BL$6,E_PRESUPUESTO,0),FALSE)</f>
        <v>23951</v>
      </c>
      <c r="BM200" s="13">
        <f>SUMIFS(SALIDAS_BIT,FECHA_BIT,"&gt;="&amp;BM$2,FECHA_BIT,"&lt;="&amp;BM$3,CLAVE_BIT,$A200)+SUMIFS(SALIDAS_BOV1,FECHA_BOV1,"&gt;="&amp;BM$2,FECHA_BOV1,"&lt;="&amp;BM$3,CLAVE_BOV1,$A200)+SUMIFS(SALIDAS_BOV2,FECHA_BOV2,"&gt;="&amp;BM$2,FECHA_BOV2,"&lt;="&amp;BM$3,CLAVE_BOV2,$A200)+SUMIFS(SALIDAS_BOV3,FECHA_BOV3,"&gt;="&amp;BM$2,FECHA_BOV3,"&lt;="&amp;BM$3,CLAVE_BOV3,$A200)+SUMIFS(SALIDAS_TC,FECHA_TC,"&gt;="&amp;BM$2,FECHA_TC,"&lt;="&amp;BM$3,CLAVE_TC,$A200)+SUMIFS(SALIDAS_COMB,FECHA_COMB,"&gt;="&amp;BM$2,FECHA_COMB,"&lt;="&amp;BM$3,CLAVE_COMB,$A200)+SUMIFS(SALIDAS_DES,FECHA_DESGLOSEN,"&gt;="&amp;BM$2,FECHA_DESGLOSEN,"&lt;="&amp;BM$3,CLAVE_DESGLOSE,$A200)</f>
        <v>13214.75</v>
      </c>
      <c r="BN200" s="13">
        <f>SUMIFS(SALIDAS_BIT,FECHA_BIT,"&gt;="&amp;BN$2,FECHA_BIT,"&lt;="&amp;BN$3,CLAVE_BIT,$A200)+SUMIFS(SALIDAS_BOV1,FECHA_BOV1,"&gt;="&amp;BN$2,FECHA_BOV1,"&lt;="&amp;BN$3,CLAVE_BOV1,$A200)+SUMIFS(SALIDAS_BOV2,FECHA_BOV2,"&gt;="&amp;BN$2,FECHA_BOV2,"&lt;="&amp;BN$3,CLAVE_BOV2,$A200)+SUMIFS(SALIDAS_BOV3,FECHA_BOV3,"&gt;="&amp;BN$2,FECHA_BOV3,"&lt;="&amp;BN$3,CLAVE_BOV3,$A200)+SUMIFS(SALIDAS_TC,FECHA_TC,"&gt;="&amp;BN$2,FECHA_TC,"&lt;="&amp;BN$3,CLAVE_TC,$A200)+SUMIFS(SALIDAS_COMB,FECHA_COMB,"&gt;="&amp;BN$2,FECHA_COMB,"&lt;="&amp;BN$3,CLAVE_COMB,$A200)+SUMIFS(SALIDAS_DES,FECHA_DESGLOSEN,"&gt;="&amp;BN$2,FECHA_DESGLOSEN,"&lt;="&amp;BN$3,CLAVE_DESGLOSE,$A200)</f>
        <v>23446.26</v>
      </c>
      <c r="BO200" s="13">
        <f>SUMIFS(SALIDAS_BIT,FECHA_BIT,"&gt;="&amp;BO$2,FECHA_BIT,"&lt;="&amp;BO$3,CLAVE_BIT,$A200)+SUMIFS(SALIDAS_BOV1,FECHA_BOV1,"&gt;="&amp;BO$2,FECHA_BOV1,"&lt;="&amp;BO$3,CLAVE_BOV1,$A200)+SUMIFS(SALIDAS_BOV2,FECHA_BOV2,"&gt;="&amp;BO$2,FECHA_BOV2,"&lt;="&amp;BO$3,CLAVE_BOV2,$A200)+SUMIFS(SALIDAS_BOV3,FECHA_BOV3,"&gt;="&amp;BO$2,FECHA_BOV3,"&lt;="&amp;BO$3,CLAVE_BOV3,$A200)+SUMIFS(SALIDAS_TC,FECHA_TC,"&gt;="&amp;BO$2,FECHA_TC,"&lt;="&amp;BO$3,CLAVE_TC,$A200)+SUMIFS(SALIDAS_COMB,FECHA_COMB,"&gt;="&amp;BO$2,FECHA_COMB,"&lt;="&amp;BO$3,CLAVE_COMB,$A200)+SUMIFS(SALIDAS_DES,FECHA_DESGLOSEN,"&gt;="&amp;BO$2,FECHA_DESGLOSEN,"&lt;="&amp;BO$3,CLAVE_DESGLOSE,$A200)</f>
        <v>15433.880000000001</v>
      </c>
      <c r="BP200" s="13">
        <f>SUMIFS(SALIDAS_BIT,FECHA_BIT,"&gt;="&amp;BP$2,FECHA_BIT,"&lt;="&amp;BP$3,CLAVE_BIT,$A200)+SUMIFS(SALIDAS_BOV1,FECHA_BOV1,"&gt;="&amp;BP$2,FECHA_BOV1,"&lt;="&amp;BP$3,CLAVE_BOV1,$A200)+SUMIFS(SALIDAS_BOV2,FECHA_BOV2,"&gt;="&amp;BP$2,FECHA_BOV2,"&lt;="&amp;BP$3,CLAVE_BOV2,$A200)+SUMIFS(SALIDAS_BOV3,FECHA_BOV3,"&gt;="&amp;BP$2,FECHA_BOV3,"&lt;="&amp;BP$3,CLAVE_BOV3,$A200)+SUMIFS(SALIDAS_TC,FECHA_TC,"&gt;="&amp;BP$2,FECHA_TC,"&lt;="&amp;BP$3,CLAVE_TC,$A200)+SUMIFS(SALIDAS_COMB,FECHA_COMB,"&gt;="&amp;BP$2,FECHA_COMB,"&lt;="&amp;BP$3,CLAVE_COMB,$A200)+SUMIFS(SALIDAS_DES,FECHA_DESGLOSEN,"&gt;="&amp;BP$2,FECHA_DESGLOSEN,"&lt;="&amp;BP$3,CLAVE_DESGLOSE,$A200)</f>
        <v>1500</v>
      </c>
      <c r="BQ200" s="13">
        <f>SUMIFS(SALIDAS_BIT,FECHA_BIT,"&gt;="&amp;BQ$2,FECHA_BIT,"&lt;="&amp;BQ$3,CLAVE_BIT,$A200)+SUMIFS(SALIDAS_BOV1,FECHA_BOV1,"&gt;="&amp;BQ$2,FECHA_BOV1,"&lt;="&amp;BQ$3,CLAVE_BOV1,$A200)+SUMIFS(SALIDAS_BOV2,FECHA_BOV2,"&gt;="&amp;BQ$2,FECHA_BOV2,"&lt;="&amp;BQ$3,CLAVE_BOV2,$A200)+SUMIFS(SALIDAS_BOV3,FECHA_BOV3,"&gt;="&amp;BQ$2,FECHA_BOV3,"&lt;="&amp;BQ$3,CLAVE_BOV3,$A200)+SUMIFS(SALIDAS_TC,FECHA_TC,"&gt;="&amp;BQ$2,FECHA_TC,"&lt;="&amp;BQ$3,CLAVE_TC,$A200)+SUMIFS(SALIDAS_COMB,FECHA_COMB,"&gt;="&amp;BQ$2,FECHA_COMB,"&lt;="&amp;BQ$3,CLAVE_COMB,$A200)+SUMIFS(SALIDAS_DES,FECHA_DESGLOSEN,"&gt;="&amp;BQ$2,FECHA_DESGLOSEN,"&lt;="&amp;BQ$3,CLAVE_DESGLOSE,$A200)</f>
        <v>22804</v>
      </c>
      <c r="BR200" s="13">
        <f t="shared" si="340"/>
        <v>76398.89</v>
      </c>
      <c r="BS200" s="68">
        <f t="shared" ref="BS200:BS263" si="367">BL200-BR200</f>
        <v>-52447.89</v>
      </c>
      <c r="BT200" s="268">
        <f t="shared" ref="BT200:BT263" si="368">IFERROR((BR200/BL200),0)</f>
        <v>3.1897995908312806</v>
      </c>
      <c r="BU200" s="13">
        <f t="shared" ref="BU200:BU263" si="369">VLOOKUP($A200,T_PRESUPUESTO,MATCH(BU$6,E_PRESUPUESTO,0),FALSE)</f>
        <v>20000</v>
      </c>
      <c r="BV200" s="13">
        <f t="shared" si="291"/>
        <v>200</v>
      </c>
      <c r="BW200" s="13">
        <f t="shared" si="291"/>
        <v>23960.16</v>
      </c>
      <c r="BX200" s="13">
        <f t="shared" si="291"/>
        <v>514</v>
      </c>
      <c r="BY200" s="13">
        <f t="shared" si="291"/>
        <v>12700</v>
      </c>
      <c r="BZ200" s="13">
        <f t="shared" si="341"/>
        <v>37374.160000000003</v>
      </c>
      <c r="CA200" s="68">
        <f t="shared" ref="CA200:CA263" si="370">BU200-BZ200</f>
        <v>-17374.160000000003</v>
      </c>
      <c r="CB200" s="268">
        <f t="shared" ref="CB200:CB263" si="371">IFERROR((BZ200/BU200),0)</f>
        <v>1.8687080000000003</v>
      </c>
      <c r="CC200" s="13">
        <f t="shared" ref="CC200:CC263" si="372">VLOOKUP($A200,T_PRESUPUESTO,MATCH(CC$6,E_PRESUPUESTO,0),FALSE)</f>
        <v>20000</v>
      </c>
      <c r="CD200" s="13">
        <f t="shared" si="292"/>
        <v>37582.829999999994</v>
      </c>
      <c r="CE200" s="13">
        <f t="shared" si="292"/>
        <v>35877.31</v>
      </c>
      <c r="CF200" s="13">
        <f t="shared" si="292"/>
        <v>1345.6</v>
      </c>
      <c r="CG200" s="13">
        <f t="shared" si="292"/>
        <v>55826.450000000004</v>
      </c>
      <c r="CH200" s="13">
        <f t="shared" si="342"/>
        <v>130632.19</v>
      </c>
      <c r="CI200" s="68">
        <f t="shared" ref="CI200:CI263" si="373">CC200-CH200</f>
        <v>-110632.19</v>
      </c>
      <c r="CJ200" s="268">
        <f t="shared" ref="CJ200:CJ263" si="374">IFERROR((CH200/CC200),0)</f>
        <v>6.5316095000000001</v>
      </c>
      <c r="CK200" s="13">
        <f t="shared" ref="CK200:CK263" si="375">VLOOKUP($A200,T_PRESUPUESTO,MATCH(CK$6,E_PRESUPUESTO,0),FALSE)</f>
        <v>20000</v>
      </c>
      <c r="CL200" s="13">
        <f t="shared" si="312"/>
        <v>7384</v>
      </c>
      <c r="CM200" s="13">
        <f t="shared" si="312"/>
        <v>56506.89</v>
      </c>
      <c r="CN200" s="13">
        <f t="shared" si="312"/>
        <v>26819.69</v>
      </c>
      <c r="CO200" s="13">
        <f t="shared" si="312"/>
        <v>57726.09</v>
      </c>
      <c r="CP200" s="13">
        <f t="shared" si="312"/>
        <v>15550.8</v>
      </c>
      <c r="CQ200" s="13">
        <f t="shared" si="343"/>
        <v>163987.47000000003</v>
      </c>
      <c r="CR200" s="68">
        <f t="shared" ref="CR200:CR263" si="376">CK200-CQ200</f>
        <v>-143987.47000000003</v>
      </c>
      <c r="CS200" s="268">
        <f t="shared" ref="CS200:CS263" si="377">IFERROR((CQ200/CK200),0)</f>
        <v>8.1993735000000019</v>
      </c>
      <c r="CT200" s="68">
        <f t="shared" si="350"/>
        <v>14261</v>
      </c>
      <c r="CU200" s="13">
        <f>SUMIFS(SALIDAS_BIT,FECHA_BIT,"&gt;="&amp;CU$2,FECHA_BIT,"&lt;="&amp;CU$3,CLAVE_BIT,$A200)+SUMIFS(SALIDAS_BOV1,FECHA_BOV1,"&gt;="&amp;CU$2,FECHA_BOV1,"&lt;="&amp;CU$3,CLAVE_BOV1,$A200)+SUMIFS(SALIDAS_BOV2,FECHA_BOV2,"&gt;="&amp;CU$2,FECHA_BOV2,"&lt;="&amp;CU$3,CLAVE_BOV2,$A200)+SUMIFS(SALIDAS_BOV3,FECHA_BOV3,"&gt;="&amp;CU$2,FECHA_BOV3,"&lt;="&amp;CU$3,CLAVE_BOV3,$A200)+SUMIFS(SALIDAS_TC,FECHA_TC,"&gt;="&amp;CU$2,FECHA_TC,"&lt;="&amp;CU$3,CLAVE_TC,$A200)+SUMIFS(SALIDAS_COMB,FECHA_COMB,"&gt;="&amp;CU$2,FECHA_COMB,"&lt;="&amp;CU$3,CLAVE_COMB,$A200)+SUMIFS(SALIDAS_DES,FECHA_DESGLOSEN,"&gt;="&amp;CU$2,FECHA_DESGLOSEN,"&lt;="&amp;CU$3,CLAVE_DESGLOSE,$A200)</f>
        <v>2156</v>
      </c>
      <c r="CV200" s="13">
        <f>SUMIFS(SALIDAS_BIT,FECHA_BIT,"&gt;="&amp;CV$2,FECHA_BIT,"&lt;="&amp;CV$3,CLAVE_BIT,$A200)+SUMIFS(SALIDAS_BOV1,FECHA_BOV1,"&gt;="&amp;CV$2,FECHA_BOV1,"&lt;="&amp;CV$3,CLAVE_BOV1,$A200)+SUMIFS(SALIDAS_BOV2,FECHA_BOV2,"&gt;="&amp;CV$2,FECHA_BOV2,"&lt;="&amp;CV$3,CLAVE_BOV2,$A200)+SUMIFS(SALIDAS_BOV3,FECHA_BOV3,"&gt;="&amp;CV$2,FECHA_BOV3,"&lt;="&amp;CV$3,CLAVE_BOV3,$A200)+SUMIFS(SALIDAS_TC,FECHA_TC,"&gt;="&amp;CV$2,FECHA_TC,"&lt;="&amp;CV$3,CLAVE_TC,$A200)+SUMIFS(SALIDAS_COMB,FECHA_COMB,"&gt;="&amp;CV$2,FECHA_COMB,"&lt;="&amp;CV$3,CLAVE_COMB,$A200)+SUMIFS(SALIDAS_DES,FECHA_DESGLOSEN,"&gt;="&amp;CV$2,FECHA_DESGLOSEN,"&lt;="&amp;CV$3,CLAVE_DESGLOSE,$A200)</f>
        <v>17327.169999999998</v>
      </c>
      <c r="CW200" s="13">
        <f>SUMIFS(SALIDAS_BIT,FECHA_BIT,"&gt;="&amp;CW$2,FECHA_BIT,"&lt;="&amp;CW$3,CLAVE_BIT,$A200)+SUMIFS(SALIDAS_BOV1,FECHA_BOV1,"&gt;="&amp;CW$2,FECHA_BOV1,"&lt;="&amp;CW$3,CLAVE_BOV1,$A200)+SUMIFS(SALIDAS_BOV2,FECHA_BOV2,"&gt;="&amp;CW$2,FECHA_BOV2,"&lt;="&amp;CW$3,CLAVE_BOV2,$A200)+SUMIFS(SALIDAS_BOV3,FECHA_BOV3,"&gt;="&amp;CW$2,FECHA_BOV3,"&lt;="&amp;CW$3,CLAVE_BOV3,$A200)+SUMIFS(SALIDAS_TC,FECHA_TC,"&gt;="&amp;CW$2,FECHA_TC,"&lt;="&amp;CW$3,CLAVE_TC,$A200)+SUMIFS(SALIDAS_COMB,FECHA_COMB,"&gt;="&amp;CW$2,FECHA_COMB,"&lt;="&amp;CW$3,CLAVE_COMB,$A200)+SUMIFS(SALIDAS_DES,FECHA_DESGLOSEN,"&gt;="&amp;CW$2,FECHA_DESGLOSEN,"&lt;="&amp;CW$3,CLAVE_DESGLOSE,$A200)</f>
        <v>10436</v>
      </c>
      <c r="CX200" s="13">
        <f>SUMIFS(SALIDAS_BIT,FECHA_BIT,"&gt;="&amp;CX$2,FECHA_BIT,"&lt;="&amp;CX$3,CLAVE_BIT,$A200)+SUMIFS(SALIDAS_BOV1,FECHA_BOV1,"&gt;="&amp;CX$2,FECHA_BOV1,"&lt;="&amp;CX$3,CLAVE_BOV1,$A200)+SUMIFS(SALIDAS_BOV2,FECHA_BOV2,"&gt;="&amp;CX$2,FECHA_BOV2,"&lt;="&amp;CX$3,CLAVE_BOV2,$A200)+SUMIFS(SALIDAS_BOV3,FECHA_BOV3,"&gt;="&amp;CX$2,FECHA_BOV3,"&lt;="&amp;CX$3,CLAVE_BOV3,$A200)+SUMIFS(SALIDAS_TC,FECHA_TC,"&gt;="&amp;CX$2,FECHA_TC,"&lt;="&amp;CX$3,CLAVE_TC,$A200)+SUMIFS(SALIDAS_COMB,FECHA_COMB,"&gt;="&amp;CX$2,FECHA_COMB,"&lt;="&amp;CX$3,CLAVE_COMB,$A200)+SUMIFS(SALIDAS_DES,FECHA_DESGLOSEN,"&gt;="&amp;CX$2,FECHA_DESGLOSEN,"&lt;="&amp;CX$3,CLAVE_DESGLOSE,$A200)</f>
        <v>44966</v>
      </c>
      <c r="CY200" s="13">
        <f>SUMIFS(SALIDAS_BIT,FECHA_BIT,"&gt;="&amp;CY$2,FECHA_BIT,"&lt;="&amp;CY$3,CLAVE_BIT,$A200)+SUMIFS(SALIDAS_BOV1,FECHA_BOV1,"&gt;="&amp;CY$2,FECHA_BOV1,"&lt;="&amp;CY$3,CLAVE_BOV1,$A200)+SUMIFS(SALIDAS_BOV2,FECHA_BOV2,"&gt;="&amp;CY$2,FECHA_BOV2,"&lt;="&amp;CY$3,CLAVE_BOV2,$A200)+SUMIFS(SALIDAS_BOV3,FECHA_BOV3,"&gt;="&amp;CY$2,FECHA_BOV3,"&lt;="&amp;CY$3,CLAVE_BOV3,$A200)+SUMIFS(SALIDAS_TC,FECHA_TC,"&gt;="&amp;CY$2,FECHA_TC,"&lt;="&amp;CY$3,CLAVE_TC,$A200)+SUMIFS(SALIDAS_COMB,FECHA_COMB,"&gt;="&amp;CY$2,FECHA_COMB,"&lt;="&amp;CY$3,CLAVE_COMB,$A200)+SUMIFS(SALIDAS_DES,FECHA_DESGLOSEN,"&gt;="&amp;CY$2,FECHA_DESGLOSEN,"&lt;="&amp;CY$3,CLAVE_DESGLOSE,$A200)</f>
        <v>74885.17</v>
      </c>
      <c r="CZ200" s="68">
        <f t="shared" ref="CZ200:CZ263" si="378">CT200-CY200</f>
        <v>-60624.17</v>
      </c>
      <c r="DB200" s="17">
        <f>F200+N200+W200+AE200+AM200+AV200+BD200+BL200+BU200+CC200+CK200</f>
        <v>373709</v>
      </c>
      <c r="DC200" s="17">
        <f>K200+T200+AB200+AJ200+AS200+BA200+BI200+BR200+BZ200+CH200+CQ200</f>
        <v>904826.17000000016</v>
      </c>
    </row>
    <row r="201" spans="1:107" hidden="1">
      <c r="A201" s="12" t="str">
        <f t="shared" si="351"/>
        <v>HRCOMBUSTIBLEHR</v>
      </c>
      <c r="B201" s="12">
        <v>203</v>
      </c>
      <c r="C201" t="s">
        <v>29</v>
      </c>
      <c r="D201" s="12" t="s">
        <v>32</v>
      </c>
      <c r="E201" s="12" t="s">
        <v>29</v>
      </c>
      <c r="F201" s="259">
        <f t="shared" si="344"/>
        <v>12400</v>
      </c>
      <c r="G201" s="13">
        <f t="shared" si="335"/>
        <v>2750</v>
      </c>
      <c r="H201" s="13">
        <f t="shared" si="335"/>
        <v>3050</v>
      </c>
      <c r="I201" s="13">
        <f t="shared" si="335"/>
        <v>1750</v>
      </c>
      <c r="J201" s="13">
        <f t="shared" si="335"/>
        <v>2200</v>
      </c>
      <c r="K201" s="13">
        <f t="shared" si="335"/>
        <v>9750</v>
      </c>
      <c r="L201" s="68">
        <f t="shared" si="352"/>
        <v>2650</v>
      </c>
      <c r="M201" s="268">
        <f t="shared" si="353"/>
        <v>0.78629032258064513</v>
      </c>
      <c r="N201" s="13">
        <f t="shared" si="345"/>
        <v>15500</v>
      </c>
      <c r="O201" s="13">
        <f t="shared" si="336"/>
        <v>3100</v>
      </c>
      <c r="P201" s="13">
        <f t="shared" si="336"/>
        <v>2000</v>
      </c>
      <c r="Q201" s="13">
        <f t="shared" si="336"/>
        <v>2150</v>
      </c>
      <c r="R201" s="13">
        <f t="shared" si="336"/>
        <v>6100</v>
      </c>
      <c r="S201" s="13">
        <f t="shared" si="336"/>
        <v>2900</v>
      </c>
      <c r="T201" s="13">
        <f t="shared" si="336"/>
        <v>16250</v>
      </c>
      <c r="U201" s="68">
        <f t="shared" si="354"/>
        <v>-750</v>
      </c>
      <c r="V201" s="268">
        <f t="shared" si="355"/>
        <v>1.0483870967741935</v>
      </c>
      <c r="W201" s="13">
        <f t="shared" si="346"/>
        <v>12400</v>
      </c>
      <c r="X201" s="13">
        <f t="shared" si="337"/>
        <v>3100</v>
      </c>
      <c r="Y201" s="13">
        <f t="shared" si="337"/>
        <v>1750</v>
      </c>
      <c r="Z201" s="13">
        <f t="shared" si="337"/>
        <v>3400</v>
      </c>
      <c r="AA201" s="13">
        <f t="shared" si="337"/>
        <v>2300</v>
      </c>
      <c r="AB201" s="13">
        <f t="shared" si="337"/>
        <v>10550</v>
      </c>
      <c r="AC201" s="68">
        <f t="shared" si="356"/>
        <v>1850</v>
      </c>
      <c r="AD201" s="268">
        <f t="shared" si="357"/>
        <v>0.85080645161290325</v>
      </c>
      <c r="AE201" s="13">
        <f t="shared" si="347"/>
        <v>12400</v>
      </c>
      <c r="AF201" s="13">
        <f t="shared" si="338"/>
        <v>2300</v>
      </c>
      <c r="AG201" s="13">
        <f t="shared" si="338"/>
        <v>3400</v>
      </c>
      <c r="AH201" s="13">
        <f t="shared" si="338"/>
        <v>0</v>
      </c>
      <c r="AI201" s="13">
        <f t="shared" si="338"/>
        <v>3400</v>
      </c>
      <c r="AJ201" s="13">
        <f t="shared" si="338"/>
        <v>9100</v>
      </c>
      <c r="AK201" s="68">
        <f t="shared" si="358"/>
        <v>3300</v>
      </c>
      <c r="AL201" s="268">
        <f t="shared" si="359"/>
        <v>0.7338709677419355</v>
      </c>
      <c r="AM201" s="13">
        <f t="shared" si="348"/>
        <v>15500</v>
      </c>
      <c r="AN201" s="13">
        <f t="shared" si="339"/>
        <v>3300</v>
      </c>
      <c r="AO201" s="13">
        <f t="shared" si="339"/>
        <v>3900</v>
      </c>
      <c r="AP201" s="13">
        <f t="shared" si="339"/>
        <v>4150</v>
      </c>
      <c r="AQ201" s="13">
        <f t="shared" si="339"/>
        <v>1750</v>
      </c>
      <c r="AR201" s="13">
        <f t="shared" si="339"/>
        <v>3150</v>
      </c>
      <c r="AS201" s="13">
        <f t="shared" si="339"/>
        <v>16250</v>
      </c>
      <c r="AT201" s="68">
        <f>AM201-AS201</f>
        <v>-750</v>
      </c>
      <c r="AU201" s="268">
        <f t="shared" si="360"/>
        <v>1.0483870967741935</v>
      </c>
      <c r="AV201" s="13">
        <f t="shared" si="349"/>
        <v>12400</v>
      </c>
      <c r="AW201" s="13">
        <f t="shared" si="323"/>
        <v>4600</v>
      </c>
      <c r="AX201" s="13">
        <f t="shared" si="323"/>
        <v>5300</v>
      </c>
      <c r="AY201" s="13">
        <f t="shared" si="323"/>
        <v>750</v>
      </c>
      <c r="AZ201" s="13">
        <f t="shared" si="323"/>
        <v>2500</v>
      </c>
      <c r="BA201" s="13">
        <f t="shared" ref="BA201:BA264" si="379">SUMIFS(SALIDAS_BIT,FECHA_BIT,"&gt;="&amp;BA$2,FECHA_BIT,"&lt;="&amp;BA$3,CLAVE_BIT,$A201)+SUMIFS(SALIDAS_BOV1,FECHA_BOV1,"&gt;="&amp;BA$2,FECHA_BOV1,"&lt;="&amp;BA$3,CLAVE_BOV1,$A201)+SUMIFS(SALIDAS_BOV2,FECHA_BOV2,"&gt;="&amp;BA$2,FECHA_BOV2,"&lt;="&amp;BA$3,CLAVE_BOV2,$A201)+SUMIFS(SALIDAS_BOV3,FECHA_BOV3,"&gt;="&amp;BA$2,FECHA_BOV3,"&lt;="&amp;BA$3,CLAVE_BOV3,$A201)+SUMIFS(SALIDAS_TC,FECHA_TC,"&gt;="&amp;BA$2,FECHA_TC,"&lt;="&amp;BA$3,CLAVE_TC,$A201)+SUMIFS(SALIDAS_COMB,FECHA_COMB,"&gt;="&amp;BA$2,FECHA_COMB,"&lt;="&amp;BA$3,CLAVE_COMB,$A201)+SUMIFS(SALIDAS_DES,FECHA_DESGLOSEN,"&gt;="&amp;BA$2,FECHA_DESGLOSEN,"&lt;="&amp;BA$3,CLAVE_DESGLOSE,$A201)</f>
        <v>13150</v>
      </c>
      <c r="BB201" s="68">
        <f t="shared" si="361"/>
        <v>-750</v>
      </c>
      <c r="BC201" s="268">
        <f t="shared" si="362"/>
        <v>1.060483870967742</v>
      </c>
      <c r="BD201" s="13">
        <f t="shared" si="363"/>
        <v>12400</v>
      </c>
      <c r="BE201" s="13">
        <f>SUMIFS(SALIDAS_BIT,FECHA_BIT,"&gt;="&amp;BE$2,FECHA_BIT,"&lt;="&amp;BE$3,CLAVE_BIT,$A201)+SUMIFS(SALIDAS_BOV1,FECHA_BOV1,"&gt;="&amp;BE$2,FECHA_BOV1,"&lt;="&amp;BE$3,CLAVE_BOV1,$A201)+SUMIFS(SALIDAS_BOV2,FECHA_BOV2,"&gt;="&amp;BE$2,FECHA_BOV2,"&lt;="&amp;BE$3,CLAVE_BOV2,$A201)+SUMIFS(SALIDAS_BOV3,FECHA_BOV3,"&gt;="&amp;BE$2,FECHA_BOV3,"&lt;="&amp;BE$3,CLAVE_BOV3,$A201)+SUMIFS(SALIDAS_TC,FECHA_TC,"&gt;="&amp;BE$2,FECHA_TC,"&lt;="&amp;BE$3,CLAVE_TC,$A201)+SUMIFS(SALIDAS_COMB,FECHA_COMB,"&gt;="&amp;BE$2,FECHA_COMB,"&lt;="&amp;BE$3,CLAVE_COMB,$A201)+SUMIFS(SALIDAS_DES,FECHA_DESGLOSEN,"&gt;="&amp;BE$2,FECHA_DESGLOSEN,"&lt;="&amp;BE$3,CLAVE_DESGLOSE,$A201)</f>
        <v>4900</v>
      </c>
      <c r="BF201" s="13">
        <f>SUMIFS(SALIDAS_BIT,FECHA_BIT,"&gt;="&amp;BF$2,FECHA_BIT,"&lt;="&amp;BF$3,CLAVE_BIT,$A201)+SUMIFS(SALIDAS_BOV1,FECHA_BOV1,"&gt;="&amp;BF$2,FECHA_BOV1,"&lt;="&amp;BF$3,CLAVE_BOV1,$A201)+SUMIFS(SALIDAS_BOV2,FECHA_BOV2,"&gt;="&amp;BF$2,FECHA_BOV2,"&lt;="&amp;BF$3,CLAVE_BOV2,$A201)+SUMIFS(SALIDAS_BOV3,FECHA_BOV3,"&gt;="&amp;BF$2,FECHA_BOV3,"&lt;="&amp;BF$3,CLAVE_BOV3,$A201)+SUMIFS(SALIDAS_TC,FECHA_TC,"&gt;="&amp;BF$2,FECHA_TC,"&lt;="&amp;BF$3,CLAVE_TC,$A201)+SUMIFS(SALIDAS_COMB,FECHA_COMB,"&gt;="&amp;BF$2,FECHA_COMB,"&lt;="&amp;BF$3,CLAVE_COMB,$A201)+SUMIFS(SALIDAS_DES,FECHA_DESGLOSEN,"&gt;="&amp;BF$2,FECHA_DESGLOSEN,"&lt;="&amp;BF$3,CLAVE_DESGLOSE,$A201)</f>
        <v>3900</v>
      </c>
      <c r="BG201" s="13">
        <f>SUMIFS(SALIDAS_BIT,FECHA_BIT,"&gt;="&amp;BG$2,FECHA_BIT,"&lt;="&amp;BG$3,CLAVE_BIT,$A201)+SUMIFS(SALIDAS_BOV1,FECHA_BOV1,"&gt;="&amp;BG$2,FECHA_BOV1,"&lt;="&amp;BG$3,CLAVE_BOV1,$A201)+SUMIFS(SALIDAS_BOV2,FECHA_BOV2,"&gt;="&amp;BG$2,FECHA_BOV2,"&lt;="&amp;BG$3,CLAVE_BOV2,$A201)+SUMIFS(SALIDAS_BOV3,FECHA_BOV3,"&gt;="&amp;BG$2,FECHA_BOV3,"&lt;="&amp;BG$3,CLAVE_BOV3,$A201)+SUMIFS(SALIDAS_TC,FECHA_TC,"&gt;="&amp;BG$2,FECHA_TC,"&lt;="&amp;BG$3,CLAVE_TC,$A201)+SUMIFS(SALIDAS_COMB,FECHA_COMB,"&gt;="&amp;BG$2,FECHA_COMB,"&lt;="&amp;BG$3,CLAVE_COMB,$A201)+SUMIFS(SALIDAS_DES,FECHA_DESGLOSEN,"&gt;="&amp;BG$2,FECHA_DESGLOSEN,"&lt;="&amp;BG$3,CLAVE_DESGLOSE,$A201)</f>
        <v>2300</v>
      </c>
      <c r="BH201" s="13">
        <f>SUMIFS(SALIDAS_BIT,FECHA_BIT,"&gt;="&amp;BH$2,FECHA_BIT,"&lt;="&amp;BH$3,CLAVE_BIT,$A201)+SUMIFS(SALIDAS_BOV1,FECHA_BOV1,"&gt;="&amp;BH$2,FECHA_BOV1,"&lt;="&amp;BH$3,CLAVE_BOV1,$A201)+SUMIFS(SALIDAS_BOV2,FECHA_BOV2,"&gt;="&amp;BH$2,FECHA_BOV2,"&lt;="&amp;BH$3,CLAVE_BOV2,$A201)+SUMIFS(SALIDAS_BOV3,FECHA_BOV3,"&gt;="&amp;BH$2,FECHA_BOV3,"&lt;="&amp;BH$3,CLAVE_BOV3,$A201)+SUMIFS(SALIDAS_TC,FECHA_TC,"&gt;="&amp;BH$2,FECHA_TC,"&lt;="&amp;BH$3,CLAVE_TC,$A201)+SUMIFS(SALIDAS_COMB,FECHA_COMB,"&gt;="&amp;BH$2,FECHA_COMB,"&lt;="&amp;BH$3,CLAVE_COMB,$A201)+SUMIFS(SALIDAS_DES,FECHA_DESGLOSEN,"&gt;="&amp;BH$2,FECHA_DESGLOSEN,"&lt;="&amp;BH$3,CLAVE_DESGLOSE,$A201)</f>
        <v>4050</v>
      </c>
      <c r="BI201" s="13">
        <f t="shared" si="311"/>
        <v>15150</v>
      </c>
      <c r="BJ201" s="68">
        <f t="shared" si="364"/>
        <v>-2750</v>
      </c>
      <c r="BK201" s="268">
        <f t="shared" si="365"/>
        <v>1.221774193548387</v>
      </c>
      <c r="BL201" s="13">
        <f t="shared" si="366"/>
        <v>17500</v>
      </c>
      <c r="BM201" s="13">
        <f>SUMIFS(SALIDAS_BIT,FECHA_BIT,"&gt;="&amp;BM$2,FECHA_BIT,"&lt;="&amp;BM$3,CLAVE_BIT,$A201)+SUMIFS(SALIDAS_BOV1,FECHA_BOV1,"&gt;="&amp;BM$2,FECHA_BOV1,"&lt;="&amp;BM$3,CLAVE_BOV1,$A201)+SUMIFS(SALIDAS_BOV2,FECHA_BOV2,"&gt;="&amp;BM$2,FECHA_BOV2,"&lt;="&amp;BM$3,CLAVE_BOV2,$A201)+SUMIFS(SALIDAS_BOV3,FECHA_BOV3,"&gt;="&amp;BM$2,FECHA_BOV3,"&lt;="&amp;BM$3,CLAVE_BOV3,$A201)+SUMIFS(SALIDAS_TC,FECHA_TC,"&gt;="&amp;BM$2,FECHA_TC,"&lt;="&amp;BM$3,CLAVE_TC,$A201)+SUMIFS(SALIDAS_COMB,FECHA_COMB,"&gt;="&amp;BM$2,FECHA_COMB,"&lt;="&amp;BM$3,CLAVE_COMB,$A201)+SUMIFS(SALIDAS_DES,FECHA_DESGLOSEN,"&gt;="&amp;BM$2,FECHA_DESGLOSEN,"&lt;="&amp;BM$3,CLAVE_DESGLOSE,$A201)</f>
        <v>5100</v>
      </c>
      <c r="BN201" s="13">
        <f>SUMIFS(SALIDAS_BIT,FECHA_BIT,"&gt;="&amp;BN$2,FECHA_BIT,"&lt;="&amp;BN$3,CLAVE_BIT,$A201)+SUMIFS(SALIDAS_BOV1,FECHA_BOV1,"&gt;="&amp;BN$2,FECHA_BOV1,"&lt;="&amp;BN$3,CLAVE_BOV1,$A201)+SUMIFS(SALIDAS_BOV2,FECHA_BOV2,"&gt;="&amp;BN$2,FECHA_BOV2,"&lt;="&amp;BN$3,CLAVE_BOV2,$A201)+SUMIFS(SALIDAS_BOV3,FECHA_BOV3,"&gt;="&amp;BN$2,FECHA_BOV3,"&lt;="&amp;BN$3,CLAVE_BOV3,$A201)+SUMIFS(SALIDAS_TC,FECHA_TC,"&gt;="&amp;BN$2,FECHA_TC,"&lt;="&amp;BN$3,CLAVE_TC,$A201)+SUMIFS(SALIDAS_COMB,FECHA_COMB,"&gt;="&amp;BN$2,FECHA_COMB,"&lt;="&amp;BN$3,CLAVE_COMB,$A201)+SUMIFS(SALIDAS_DES,FECHA_DESGLOSEN,"&gt;="&amp;BN$2,FECHA_DESGLOSEN,"&lt;="&amp;BN$3,CLAVE_DESGLOSE,$A201)</f>
        <v>3300</v>
      </c>
      <c r="BO201" s="13">
        <f>SUMIFS(SALIDAS_BIT,FECHA_BIT,"&gt;="&amp;BO$2,FECHA_BIT,"&lt;="&amp;BO$3,CLAVE_BIT,$A201)+SUMIFS(SALIDAS_BOV1,FECHA_BOV1,"&gt;="&amp;BO$2,FECHA_BOV1,"&lt;="&amp;BO$3,CLAVE_BOV1,$A201)+SUMIFS(SALIDAS_BOV2,FECHA_BOV2,"&gt;="&amp;BO$2,FECHA_BOV2,"&lt;="&amp;BO$3,CLAVE_BOV2,$A201)+SUMIFS(SALIDAS_BOV3,FECHA_BOV3,"&gt;="&amp;BO$2,FECHA_BOV3,"&lt;="&amp;BO$3,CLAVE_BOV3,$A201)+SUMIFS(SALIDAS_TC,FECHA_TC,"&gt;="&amp;BO$2,FECHA_TC,"&lt;="&amp;BO$3,CLAVE_TC,$A201)+SUMIFS(SALIDAS_COMB,FECHA_COMB,"&gt;="&amp;BO$2,FECHA_COMB,"&lt;="&amp;BO$3,CLAVE_COMB,$A201)+SUMIFS(SALIDAS_DES,FECHA_DESGLOSEN,"&gt;="&amp;BO$2,FECHA_DESGLOSEN,"&lt;="&amp;BO$3,CLAVE_DESGLOSE,$A201)</f>
        <v>3100</v>
      </c>
      <c r="BP201" s="13">
        <f>SUMIFS(SALIDAS_BIT,FECHA_BIT,"&gt;="&amp;BP$2,FECHA_BIT,"&lt;="&amp;BP$3,CLAVE_BIT,$A201)+SUMIFS(SALIDAS_BOV1,FECHA_BOV1,"&gt;="&amp;BP$2,FECHA_BOV1,"&lt;="&amp;BP$3,CLAVE_BOV1,$A201)+SUMIFS(SALIDAS_BOV2,FECHA_BOV2,"&gt;="&amp;BP$2,FECHA_BOV2,"&lt;="&amp;BP$3,CLAVE_BOV2,$A201)+SUMIFS(SALIDAS_BOV3,FECHA_BOV3,"&gt;="&amp;BP$2,FECHA_BOV3,"&lt;="&amp;BP$3,CLAVE_BOV3,$A201)+SUMIFS(SALIDAS_TC,FECHA_TC,"&gt;="&amp;BP$2,FECHA_TC,"&lt;="&amp;BP$3,CLAVE_TC,$A201)+SUMIFS(SALIDAS_COMB,FECHA_COMB,"&gt;="&amp;BP$2,FECHA_COMB,"&lt;="&amp;BP$3,CLAVE_COMB,$A201)+SUMIFS(SALIDAS_DES,FECHA_DESGLOSEN,"&gt;="&amp;BP$2,FECHA_DESGLOSEN,"&lt;="&amp;BP$3,CLAVE_DESGLOSE,$A201)</f>
        <v>3600</v>
      </c>
      <c r="BQ201" s="13">
        <f>SUMIFS(SALIDAS_BIT,FECHA_BIT,"&gt;="&amp;BQ$2,FECHA_BIT,"&lt;="&amp;BQ$3,CLAVE_BIT,$A201)+SUMIFS(SALIDAS_BOV1,FECHA_BOV1,"&gt;="&amp;BQ$2,FECHA_BOV1,"&lt;="&amp;BQ$3,CLAVE_BOV1,$A201)+SUMIFS(SALIDAS_BOV2,FECHA_BOV2,"&gt;="&amp;BQ$2,FECHA_BOV2,"&lt;="&amp;BQ$3,CLAVE_BOV2,$A201)+SUMIFS(SALIDAS_BOV3,FECHA_BOV3,"&gt;="&amp;BQ$2,FECHA_BOV3,"&lt;="&amp;BQ$3,CLAVE_BOV3,$A201)+SUMIFS(SALIDAS_TC,FECHA_TC,"&gt;="&amp;BQ$2,FECHA_TC,"&lt;="&amp;BQ$3,CLAVE_TC,$A201)+SUMIFS(SALIDAS_COMB,FECHA_COMB,"&gt;="&amp;BQ$2,FECHA_COMB,"&lt;="&amp;BQ$3,CLAVE_COMB,$A201)+SUMIFS(SALIDAS_DES,FECHA_DESGLOSEN,"&gt;="&amp;BQ$2,FECHA_DESGLOSEN,"&lt;="&amp;BQ$3,CLAVE_DESGLOSE,$A201)</f>
        <v>3500</v>
      </c>
      <c r="BR201" s="13">
        <f t="shared" si="340"/>
        <v>18600</v>
      </c>
      <c r="BS201" s="68">
        <f t="shared" si="367"/>
        <v>-1100</v>
      </c>
      <c r="BT201" s="268">
        <f t="shared" si="368"/>
        <v>1.0628571428571429</v>
      </c>
      <c r="BU201" s="13">
        <f t="shared" si="369"/>
        <v>19000</v>
      </c>
      <c r="BV201" s="13">
        <f t="shared" si="291"/>
        <v>5450</v>
      </c>
      <c r="BW201" s="13">
        <f t="shared" si="291"/>
        <v>4900</v>
      </c>
      <c r="BX201" s="13">
        <f t="shared" si="291"/>
        <v>4800</v>
      </c>
      <c r="BY201" s="13">
        <f t="shared" si="291"/>
        <v>4100</v>
      </c>
      <c r="BZ201" s="13">
        <f t="shared" si="341"/>
        <v>19250</v>
      </c>
      <c r="CA201" s="68">
        <f t="shared" si="370"/>
        <v>-250</v>
      </c>
      <c r="CB201" s="268">
        <f t="shared" si="371"/>
        <v>1.013157894736842</v>
      </c>
      <c r="CC201" s="13">
        <f t="shared" si="372"/>
        <v>21000</v>
      </c>
      <c r="CD201" s="13">
        <f t="shared" si="292"/>
        <v>4700</v>
      </c>
      <c r="CE201" s="13">
        <f t="shared" si="292"/>
        <v>4000</v>
      </c>
      <c r="CF201" s="13">
        <f t="shared" si="292"/>
        <v>2400</v>
      </c>
      <c r="CG201" s="13">
        <f t="shared" si="292"/>
        <v>1450</v>
      </c>
      <c r="CH201" s="13">
        <f t="shared" si="342"/>
        <v>12550</v>
      </c>
      <c r="CI201" s="68">
        <f t="shared" si="373"/>
        <v>8450</v>
      </c>
      <c r="CJ201" s="268">
        <f t="shared" si="374"/>
        <v>0.59761904761904761</v>
      </c>
      <c r="CK201" s="13">
        <f t="shared" si="375"/>
        <v>22000</v>
      </c>
      <c r="CL201" s="13">
        <f t="shared" si="312"/>
        <v>4200</v>
      </c>
      <c r="CM201" s="13">
        <f t="shared" si="312"/>
        <v>3500</v>
      </c>
      <c r="CN201" s="13">
        <f t="shared" si="312"/>
        <v>6400</v>
      </c>
      <c r="CO201" s="13">
        <f t="shared" si="312"/>
        <v>2300</v>
      </c>
      <c r="CP201" s="13">
        <f t="shared" si="312"/>
        <v>3100</v>
      </c>
      <c r="CQ201" s="13">
        <f t="shared" si="343"/>
        <v>19500</v>
      </c>
      <c r="CR201" s="68">
        <f t="shared" si="376"/>
        <v>2500</v>
      </c>
      <c r="CS201" s="268">
        <f t="shared" si="377"/>
        <v>0.88636363636363635</v>
      </c>
      <c r="CT201" s="68">
        <f t="shared" si="350"/>
        <v>14000</v>
      </c>
      <c r="CU201" s="13">
        <f>SUMIFS(SALIDAS_BIT,FECHA_BIT,"&gt;="&amp;CU$2,FECHA_BIT,"&lt;="&amp;CU$3,CLAVE_BIT,$A201)+SUMIFS(SALIDAS_BOV1,FECHA_BOV1,"&gt;="&amp;CU$2,FECHA_BOV1,"&lt;="&amp;CU$3,CLAVE_BOV1,$A201)+SUMIFS(SALIDAS_BOV2,FECHA_BOV2,"&gt;="&amp;CU$2,FECHA_BOV2,"&lt;="&amp;CU$3,CLAVE_BOV2,$A201)+SUMIFS(SALIDAS_BOV3,FECHA_BOV3,"&gt;="&amp;CU$2,FECHA_BOV3,"&lt;="&amp;CU$3,CLAVE_BOV3,$A201)+SUMIFS(SALIDAS_TC,FECHA_TC,"&gt;="&amp;CU$2,FECHA_TC,"&lt;="&amp;CU$3,CLAVE_TC,$A201)+SUMIFS(SALIDAS_COMB,FECHA_COMB,"&gt;="&amp;CU$2,FECHA_COMB,"&lt;="&amp;CU$3,CLAVE_COMB,$A201)+SUMIFS(SALIDAS_DES,FECHA_DESGLOSEN,"&gt;="&amp;CU$2,FECHA_DESGLOSEN,"&lt;="&amp;CU$3,CLAVE_DESGLOSE,$A201)</f>
        <v>600</v>
      </c>
      <c r="CV201" s="13">
        <f>SUMIFS(SALIDAS_BIT,FECHA_BIT,"&gt;="&amp;CV$2,FECHA_BIT,"&lt;="&amp;CV$3,CLAVE_BIT,$A201)+SUMIFS(SALIDAS_BOV1,FECHA_BOV1,"&gt;="&amp;CV$2,FECHA_BOV1,"&lt;="&amp;CV$3,CLAVE_BOV1,$A201)+SUMIFS(SALIDAS_BOV2,FECHA_BOV2,"&gt;="&amp;CV$2,FECHA_BOV2,"&lt;="&amp;CV$3,CLAVE_BOV2,$A201)+SUMIFS(SALIDAS_BOV3,FECHA_BOV3,"&gt;="&amp;CV$2,FECHA_BOV3,"&lt;="&amp;CV$3,CLAVE_BOV3,$A201)+SUMIFS(SALIDAS_TC,FECHA_TC,"&gt;="&amp;CV$2,FECHA_TC,"&lt;="&amp;CV$3,CLAVE_TC,$A201)+SUMIFS(SALIDAS_COMB,FECHA_COMB,"&gt;="&amp;CV$2,FECHA_COMB,"&lt;="&amp;CV$3,CLAVE_COMB,$A201)+SUMIFS(SALIDAS_DES,FECHA_DESGLOSEN,"&gt;="&amp;CV$2,FECHA_DESGLOSEN,"&lt;="&amp;CV$3,CLAVE_DESGLOSE,$A201)</f>
        <v>0</v>
      </c>
      <c r="CW201" s="13">
        <f>SUMIFS(SALIDAS_BIT,FECHA_BIT,"&gt;="&amp;CW$2,FECHA_BIT,"&lt;="&amp;CW$3,CLAVE_BIT,$A201)+SUMIFS(SALIDAS_BOV1,FECHA_BOV1,"&gt;="&amp;CW$2,FECHA_BOV1,"&lt;="&amp;CW$3,CLAVE_BOV1,$A201)+SUMIFS(SALIDAS_BOV2,FECHA_BOV2,"&gt;="&amp;CW$2,FECHA_BOV2,"&lt;="&amp;CW$3,CLAVE_BOV2,$A201)+SUMIFS(SALIDAS_BOV3,FECHA_BOV3,"&gt;="&amp;CW$2,FECHA_BOV3,"&lt;="&amp;CW$3,CLAVE_BOV3,$A201)+SUMIFS(SALIDAS_TC,FECHA_TC,"&gt;="&amp;CW$2,FECHA_TC,"&lt;="&amp;CW$3,CLAVE_TC,$A201)+SUMIFS(SALIDAS_COMB,FECHA_COMB,"&gt;="&amp;CW$2,FECHA_COMB,"&lt;="&amp;CW$3,CLAVE_COMB,$A201)+SUMIFS(SALIDAS_DES,FECHA_DESGLOSEN,"&gt;="&amp;CW$2,FECHA_DESGLOSEN,"&lt;="&amp;CW$3,CLAVE_DESGLOSE,$A201)</f>
        <v>0</v>
      </c>
      <c r="CX201" s="13">
        <f>SUMIFS(SALIDAS_BIT,FECHA_BIT,"&gt;="&amp;CX$2,FECHA_BIT,"&lt;="&amp;CX$3,CLAVE_BIT,$A201)+SUMIFS(SALIDAS_BOV1,FECHA_BOV1,"&gt;="&amp;CX$2,FECHA_BOV1,"&lt;="&amp;CX$3,CLAVE_BOV1,$A201)+SUMIFS(SALIDAS_BOV2,FECHA_BOV2,"&gt;="&amp;CX$2,FECHA_BOV2,"&lt;="&amp;CX$3,CLAVE_BOV2,$A201)+SUMIFS(SALIDAS_BOV3,FECHA_BOV3,"&gt;="&amp;CX$2,FECHA_BOV3,"&lt;="&amp;CX$3,CLAVE_BOV3,$A201)+SUMIFS(SALIDAS_TC,FECHA_TC,"&gt;="&amp;CX$2,FECHA_TC,"&lt;="&amp;CX$3,CLAVE_TC,$A201)+SUMIFS(SALIDAS_COMB,FECHA_COMB,"&gt;="&amp;CX$2,FECHA_COMB,"&lt;="&amp;CX$3,CLAVE_COMB,$A201)+SUMIFS(SALIDAS_DES,FECHA_DESGLOSEN,"&gt;="&amp;CX$2,FECHA_DESGLOSEN,"&lt;="&amp;CX$3,CLAVE_DESGLOSE,$A201)</f>
        <v>0</v>
      </c>
      <c r="CY201" s="13">
        <f>SUMIFS(SALIDAS_BIT,FECHA_BIT,"&gt;="&amp;CY$2,FECHA_BIT,"&lt;="&amp;CY$3,CLAVE_BIT,$A201)+SUMIFS(SALIDAS_BOV1,FECHA_BOV1,"&gt;="&amp;CY$2,FECHA_BOV1,"&lt;="&amp;CY$3,CLAVE_BOV1,$A201)+SUMIFS(SALIDAS_BOV2,FECHA_BOV2,"&gt;="&amp;CY$2,FECHA_BOV2,"&lt;="&amp;CY$3,CLAVE_BOV2,$A201)+SUMIFS(SALIDAS_BOV3,FECHA_BOV3,"&gt;="&amp;CY$2,FECHA_BOV3,"&lt;="&amp;CY$3,CLAVE_BOV3,$A201)+SUMIFS(SALIDAS_TC,FECHA_TC,"&gt;="&amp;CY$2,FECHA_TC,"&lt;="&amp;CY$3,CLAVE_TC,$A201)+SUMIFS(SALIDAS_COMB,FECHA_COMB,"&gt;="&amp;CY$2,FECHA_COMB,"&lt;="&amp;CY$3,CLAVE_COMB,$A201)+SUMIFS(SALIDAS_DES,FECHA_DESGLOSEN,"&gt;="&amp;CY$2,FECHA_DESGLOSEN,"&lt;="&amp;CY$3,CLAVE_DESGLOSE,$A201)</f>
        <v>600</v>
      </c>
      <c r="CZ201" s="68">
        <f t="shared" si="378"/>
        <v>13400</v>
      </c>
      <c r="DB201" s="17">
        <f>F201+N201+W201+AE201+AM201+AV201+BD201+BL201+BU201+CC201+CK201</f>
        <v>172500</v>
      </c>
      <c r="DC201" s="17">
        <f>K201+T201+AB201+AJ201+AS201+BA201+BI201+BR201+BZ201+CH201+CQ201</f>
        <v>160100</v>
      </c>
    </row>
    <row r="202" spans="1:107" hidden="1">
      <c r="A202" s="12" t="str">
        <f t="shared" si="351"/>
        <v>CAPCOMBUSTIBLECAPRICHOS</v>
      </c>
      <c r="B202" s="12">
        <v>204</v>
      </c>
      <c r="C202" t="s">
        <v>31</v>
      </c>
      <c r="D202" s="12" t="s">
        <v>32</v>
      </c>
      <c r="E202" s="12" t="s">
        <v>33</v>
      </c>
      <c r="F202" s="259">
        <f t="shared" si="344"/>
        <v>12500</v>
      </c>
      <c r="G202" s="13">
        <f t="shared" si="335"/>
        <v>2000</v>
      </c>
      <c r="H202" s="13">
        <f t="shared" si="335"/>
        <v>2000</v>
      </c>
      <c r="I202" s="13">
        <f t="shared" si="335"/>
        <v>1700</v>
      </c>
      <c r="J202" s="13">
        <f t="shared" si="335"/>
        <v>1300</v>
      </c>
      <c r="K202" s="13">
        <f t="shared" si="335"/>
        <v>7000</v>
      </c>
      <c r="L202" s="68">
        <f t="shared" si="352"/>
        <v>5500</v>
      </c>
      <c r="M202" s="268">
        <f t="shared" si="353"/>
        <v>0.56000000000000005</v>
      </c>
      <c r="N202" s="13">
        <f t="shared" si="345"/>
        <v>12500</v>
      </c>
      <c r="O202" s="13">
        <f t="shared" si="336"/>
        <v>1700</v>
      </c>
      <c r="P202" s="13">
        <f t="shared" si="336"/>
        <v>1500</v>
      </c>
      <c r="Q202" s="13">
        <f t="shared" si="336"/>
        <v>2200</v>
      </c>
      <c r="R202" s="13">
        <f t="shared" si="336"/>
        <v>5000</v>
      </c>
      <c r="S202" s="13">
        <f t="shared" si="336"/>
        <v>1000</v>
      </c>
      <c r="T202" s="13">
        <f t="shared" si="336"/>
        <v>11400</v>
      </c>
      <c r="U202" s="68">
        <f t="shared" si="354"/>
        <v>1100</v>
      </c>
      <c r="V202" s="268">
        <f t="shared" si="355"/>
        <v>0.91200000000000003</v>
      </c>
      <c r="W202" s="13">
        <f t="shared" si="346"/>
        <v>12500</v>
      </c>
      <c r="X202" s="13">
        <f t="shared" si="337"/>
        <v>1000</v>
      </c>
      <c r="Y202" s="13">
        <f t="shared" si="337"/>
        <v>2300</v>
      </c>
      <c r="Z202" s="13">
        <f t="shared" si="337"/>
        <v>2800</v>
      </c>
      <c r="AA202" s="13">
        <f t="shared" si="337"/>
        <v>2000</v>
      </c>
      <c r="AB202" s="13">
        <f t="shared" si="337"/>
        <v>8100</v>
      </c>
      <c r="AC202" s="68">
        <f t="shared" si="356"/>
        <v>4400</v>
      </c>
      <c r="AD202" s="268">
        <f t="shared" si="357"/>
        <v>0.64800000000000002</v>
      </c>
      <c r="AE202" s="13">
        <f t="shared" si="347"/>
        <v>12500</v>
      </c>
      <c r="AF202" s="13">
        <f t="shared" si="338"/>
        <v>1600</v>
      </c>
      <c r="AG202" s="13">
        <f t="shared" si="338"/>
        <v>3700</v>
      </c>
      <c r="AH202" s="13">
        <f t="shared" si="338"/>
        <v>2900</v>
      </c>
      <c r="AI202" s="13">
        <f t="shared" si="338"/>
        <v>1000</v>
      </c>
      <c r="AJ202" s="13">
        <f t="shared" si="338"/>
        <v>9200</v>
      </c>
      <c r="AK202" s="68">
        <f t="shared" si="358"/>
        <v>3300</v>
      </c>
      <c r="AL202" s="268">
        <f t="shared" si="359"/>
        <v>0.73599999999999999</v>
      </c>
      <c r="AM202" s="13">
        <f t="shared" si="348"/>
        <v>12500</v>
      </c>
      <c r="AN202" s="13">
        <f t="shared" si="339"/>
        <v>2300</v>
      </c>
      <c r="AO202" s="13">
        <f t="shared" si="339"/>
        <v>4300</v>
      </c>
      <c r="AP202" s="13">
        <f t="shared" si="339"/>
        <v>2300</v>
      </c>
      <c r="AQ202" s="13">
        <f t="shared" si="339"/>
        <v>2000</v>
      </c>
      <c r="AR202" s="13">
        <f t="shared" si="339"/>
        <v>2300</v>
      </c>
      <c r="AS202" s="13">
        <f t="shared" si="339"/>
        <v>13200</v>
      </c>
      <c r="AT202" s="68">
        <f>AM202-AS202</f>
        <v>-700</v>
      </c>
      <c r="AU202" s="268">
        <f t="shared" si="360"/>
        <v>1.056</v>
      </c>
      <c r="AV202" s="13">
        <f t="shared" si="349"/>
        <v>12500</v>
      </c>
      <c r="AW202" s="13">
        <f t="shared" si="323"/>
        <v>3800</v>
      </c>
      <c r="AX202" s="13">
        <f t="shared" si="323"/>
        <v>2300</v>
      </c>
      <c r="AY202" s="13">
        <f t="shared" si="323"/>
        <v>2300</v>
      </c>
      <c r="AZ202" s="13">
        <f t="shared" si="323"/>
        <v>1650</v>
      </c>
      <c r="BA202" s="13">
        <f t="shared" si="379"/>
        <v>10050</v>
      </c>
      <c r="BB202" s="68">
        <f t="shared" si="361"/>
        <v>2450</v>
      </c>
      <c r="BC202" s="268">
        <f t="shared" si="362"/>
        <v>0.80400000000000005</v>
      </c>
      <c r="BD202" s="13">
        <f t="shared" si="363"/>
        <v>12500</v>
      </c>
      <c r="BE202" s="13">
        <f>SUMIFS(SALIDAS_BIT,FECHA_BIT,"&gt;="&amp;BE$2,FECHA_BIT,"&lt;="&amp;BE$3,CLAVE_BIT,$A202)+SUMIFS(SALIDAS_BOV1,FECHA_BOV1,"&gt;="&amp;BE$2,FECHA_BOV1,"&lt;="&amp;BE$3,CLAVE_BOV1,$A202)+SUMIFS(SALIDAS_BOV2,FECHA_BOV2,"&gt;="&amp;BE$2,FECHA_BOV2,"&lt;="&amp;BE$3,CLAVE_BOV2,$A202)+SUMIFS(SALIDAS_BOV3,FECHA_BOV3,"&gt;="&amp;BE$2,FECHA_BOV3,"&lt;="&amp;BE$3,CLAVE_BOV3,$A202)+SUMIFS(SALIDAS_TC,FECHA_TC,"&gt;="&amp;BE$2,FECHA_TC,"&lt;="&amp;BE$3,CLAVE_TC,$A202)+SUMIFS(SALIDAS_COMB,FECHA_COMB,"&gt;="&amp;BE$2,FECHA_COMB,"&lt;="&amp;BE$3,CLAVE_COMB,$A202)+SUMIFS(SALIDAS_DES,FECHA_DESGLOSEN,"&gt;="&amp;BE$2,FECHA_DESGLOSEN,"&lt;="&amp;BE$3,CLAVE_DESGLOSE,$A202)</f>
        <v>3800</v>
      </c>
      <c r="BF202" s="13">
        <f>SUMIFS(SALIDAS_BIT,FECHA_BIT,"&gt;="&amp;BF$2,FECHA_BIT,"&lt;="&amp;BF$3,CLAVE_BIT,$A202)+SUMIFS(SALIDAS_BOV1,FECHA_BOV1,"&gt;="&amp;BF$2,FECHA_BOV1,"&lt;="&amp;BF$3,CLAVE_BOV1,$A202)+SUMIFS(SALIDAS_BOV2,FECHA_BOV2,"&gt;="&amp;BF$2,FECHA_BOV2,"&lt;="&amp;BF$3,CLAVE_BOV2,$A202)+SUMIFS(SALIDAS_BOV3,FECHA_BOV3,"&gt;="&amp;BF$2,FECHA_BOV3,"&lt;="&amp;BF$3,CLAVE_BOV3,$A202)+SUMIFS(SALIDAS_TC,FECHA_TC,"&gt;="&amp;BF$2,FECHA_TC,"&lt;="&amp;BF$3,CLAVE_TC,$A202)+SUMIFS(SALIDAS_COMB,FECHA_COMB,"&gt;="&amp;BF$2,FECHA_COMB,"&lt;="&amp;BF$3,CLAVE_COMB,$A202)+SUMIFS(SALIDAS_DES,FECHA_DESGLOSEN,"&gt;="&amp;BF$2,FECHA_DESGLOSEN,"&lt;="&amp;BF$3,CLAVE_DESGLOSE,$A202)</f>
        <v>1500</v>
      </c>
      <c r="BG202" s="13">
        <f>SUMIFS(SALIDAS_BIT,FECHA_BIT,"&gt;="&amp;BG$2,FECHA_BIT,"&lt;="&amp;BG$3,CLAVE_BIT,$A202)+SUMIFS(SALIDAS_BOV1,FECHA_BOV1,"&gt;="&amp;BG$2,FECHA_BOV1,"&lt;="&amp;BG$3,CLAVE_BOV1,$A202)+SUMIFS(SALIDAS_BOV2,FECHA_BOV2,"&gt;="&amp;BG$2,FECHA_BOV2,"&lt;="&amp;BG$3,CLAVE_BOV2,$A202)+SUMIFS(SALIDAS_BOV3,FECHA_BOV3,"&gt;="&amp;BG$2,FECHA_BOV3,"&lt;="&amp;BG$3,CLAVE_BOV3,$A202)+SUMIFS(SALIDAS_TC,FECHA_TC,"&gt;="&amp;BG$2,FECHA_TC,"&lt;="&amp;BG$3,CLAVE_TC,$A202)+SUMIFS(SALIDAS_COMB,FECHA_COMB,"&gt;="&amp;BG$2,FECHA_COMB,"&lt;="&amp;BG$3,CLAVE_COMB,$A202)+SUMIFS(SALIDAS_DES,FECHA_DESGLOSEN,"&gt;="&amp;BG$2,FECHA_DESGLOSEN,"&lt;="&amp;BG$3,CLAVE_DESGLOSE,$A202)</f>
        <v>1300</v>
      </c>
      <c r="BH202" s="13">
        <f>SUMIFS(SALIDAS_BIT,FECHA_BIT,"&gt;="&amp;BH$2,FECHA_BIT,"&lt;="&amp;BH$3,CLAVE_BIT,$A202)+SUMIFS(SALIDAS_BOV1,FECHA_BOV1,"&gt;="&amp;BH$2,FECHA_BOV1,"&lt;="&amp;BH$3,CLAVE_BOV1,$A202)+SUMIFS(SALIDAS_BOV2,FECHA_BOV2,"&gt;="&amp;BH$2,FECHA_BOV2,"&lt;="&amp;BH$3,CLAVE_BOV2,$A202)+SUMIFS(SALIDAS_BOV3,FECHA_BOV3,"&gt;="&amp;BH$2,FECHA_BOV3,"&lt;="&amp;BH$3,CLAVE_BOV3,$A202)+SUMIFS(SALIDAS_TC,FECHA_TC,"&gt;="&amp;BH$2,FECHA_TC,"&lt;="&amp;BH$3,CLAVE_TC,$A202)+SUMIFS(SALIDAS_COMB,FECHA_COMB,"&gt;="&amp;BH$2,FECHA_COMB,"&lt;="&amp;BH$3,CLAVE_COMB,$A202)+SUMIFS(SALIDAS_DES,FECHA_DESGLOSEN,"&gt;="&amp;BH$2,FECHA_DESGLOSEN,"&lt;="&amp;BH$3,CLAVE_DESGLOSE,$A202)</f>
        <v>2700</v>
      </c>
      <c r="BI202" s="13">
        <f t="shared" si="311"/>
        <v>9300</v>
      </c>
      <c r="BJ202" s="68">
        <f t="shared" si="364"/>
        <v>3200</v>
      </c>
      <c r="BK202" s="268">
        <f t="shared" si="365"/>
        <v>0.74399999999999999</v>
      </c>
      <c r="BL202" s="13">
        <f t="shared" si="366"/>
        <v>12500</v>
      </c>
      <c r="BM202" s="13">
        <f>SUMIFS(SALIDAS_BIT,FECHA_BIT,"&gt;="&amp;BM$2,FECHA_BIT,"&lt;="&amp;BM$3,CLAVE_BIT,$A202)+SUMIFS(SALIDAS_BOV1,FECHA_BOV1,"&gt;="&amp;BM$2,FECHA_BOV1,"&lt;="&amp;BM$3,CLAVE_BOV1,$A202)+SUMIFS(SALIDAS_BOV2,FECHA_BOV2,"&gt;="&amp;BM$2,FECHA_BOV2,"&lt;="&amp;BM$3,CLAVE_BOV2,$A202)+SUMIFS(SALIDAS_BOV3,FECHA_BOV3,"&gt;="&amp;BM$2,FECHA_BOV3,"&lt;="&amp;BM$3,CLAVE_BOV3,$A202)+SUMIFS(SALIDAS_TC,FECHA_TC,"&gt;="&amp;BM$2,FECHA_TC,"&lt;="&amp;BM$3,CLAVE_TC,$A202)+SUMIFS(SALIDAS_COMB,FECHA_COMB,"&gt;="&amp;BM$2,FECHA_COMB,"&lt;="&amp;BM$3,CLAVE_COMB,$A202)+SUMIFS(SALIDAS_DES,FECHA_DESGLOSEN,"&gt;="&amp;BM$2,FECHA_DESGLOSEN,"&lt;="&amp;BM$3,CLAVE_DESGLOSE,$A202)</f>
        <v>2300</v>
      </c>
      <c r="BN202" s="13">
        <f>SUMIFS(SALIDAS_BIT,FECHA_BIT,"&gt;="&amp;BN$2,FECHA_BIT,"&lt;="&amp;BN$3,CLAVE_BIT,$A202)+SUMIFS(SALIDAS_BOV1,FECHA_BOV1,"&gt;="&amp;BN$2,FECHA_BOV1,"&lt;="&amp;BN$3,CLAVE_BOV1,$A202)+SUMIFS(SALIDAS_BOV2,FECHA_BOV2,"&gt;="&amp;BN$2,FECHA_BOV2,"&lt;="&amp;BN$3,CLAVE_BOV2,$A202)+SUMIFS(SALIDAS_BOV3,FECHA_BOV3,"&gt;="&amp;BN$2,FECHA_BOV3,"&lt;="&amp;BN$3,CLAVE_BOV3,$A202)+SUMIFS(SALIDAS_TC,FECHA_TC,"&gt;="&amp;BN$2,FECHA_TC,"&lt;="&amp;BN$3,CLAVE_TC,$A202)+SUMIFS(SALIDAS_COMB,FECHA_COMB,"&gt;="&amp;BN$2,FECHA_COMB,"&lt;="&amp;BN$3,CLAVE_COMB,$A202)+SUMIFS(SALIDAS_DES,FECHA_DESGLOSEN,"&gt;="&amp;BN$2,FECHA_DESGLOSEN,"&lt;="&amp;BN$3,CLAVE_DESGLOSE,$A202)</f>
        <v>2200</v>
      </c>
      <c r="BO202" s="13">
        <f>SUMIFS(SALIDAS_BIT,FECHA_BIT,"&gt;="&amp;BO$2,FECHA_BIT,"&lt;="&amp;BO$3,CLAVE_BIT,$A202)+SUMIFS(SALIDAS_BOV1,FECHA_BOV1,"&gt;="&amp;BO$2,FECHA_BOV1,"&lt;="&amp;BO$3,CLAVE_BOV1,$A202)+SUMIFS(SALIDAS_BOV2,FECHA_BOV2,"&gt;="&amp;BO$2,FECHA_BOV2,"&lt;="&amp;BO$3,CLAVE_BOV2,$A202)+SUMIFS(SALIDAS_BOV3,FECHA_BOV3,"&gt;="&amp;BO$2,FECHA_BOV3,"&lt;="&amp;BO$3,CLAVE_BOV3,$A202)+SUMIFS(SALIDAS_TC,FECHA_TC,"&gt;="&amp;BO$2,FECHA_TC,"&lt;="&amp;BO$3,CLAVE_TC,$A202)+SUMIFS(SALIDAS_COMB,FECHA_COMB,"&gt;="&amp;BO$2,FECHA_COMB,"&lt;="&amp;BO$3,CLAVE_COMB,$A202)+SUMIFS(SALIDAS_DES,FECHA_DESGLOSEN,"&gt;="&amp;BO$2,FECHA_DESGLOSEN,"&lt;="&amp;BO$3,CLAVE_DESGLOSE,$A202)</f>
        <v>2300</v>
      </c>
      <c r="BP202" s="13">
        <f>SUMIFS(SALIDAS_BIT,FECHA_BIT,"&gt;="&amp;BP$2,FECHA_BIT,"&lt;="&amp;BP$3,CLAVE_BIT,$A202)+SUMIFS(SALIDAS_BOV1,FECHA_BOV1,"&gt;="&amp;BP$2,FECHA_BOV1,"&lt;="&amp;BP$3,CLAVE_BOV1,$A202)+SUMIFS(SALIDAS_BOV2,FECHA_BOV2,"&gt;="&amp;BP$2,FECHA_BOV2,"&lt;="&amp;BP$3,CLAVE_BOV2,$A202)+SUMIFS(SALIDAS_BOV3,FECHA_BOV3,"&gt;="&amp;BP$2,FECHA_BOV3,"&lt;="&amp;BP$3,CLAVE_BOV3,$A202)+SUMIFS(SALIDAS_TC,FECHA_TC,"&gt;="&amp;BP$2,FECHA_TC,"&lt;="&amp;BP$3,CLAVE_TC,$A202)+SUMIFS(SALIDAS_COMB,FECHA_COMB,"&gt;="&amp;BP$2,FECHA_COMB,"&lt;="&amp;BP$3,CLAVE_COMB,$A202)+SUMIFS(SALIDAS_DES,FECHA_DESGLOSEN,"&gt;="&amp;BP$2,FECHA_DESGLOSEN,"&lt;="&amp;BP$3,CLAVE_DESGLOSE,$A202)</f>
        <v>2300</v>
      </c>
      <c r="BQ202" s="13">
        <f>SUMIFS(SALIDAS_BIT,FECHA_BIT,"&gt;="&amp;BQ$2,FECHA_BIT,"&lt;="&amp;BQ$3,CLAVE_BIT,$A202)+SUMIFS(SALIDAS_BOV1,FECHA_BOV1,"&gt;="&amp;BQ$2,FECHA_BOV1,"&lt;="&amp;BQ$3,CLAVE_BOV1,$A202)+SUMIFS(SALIDAS_BOV2,FECHA_BOV2,"&gt;="&amp;BQ$2,FECHA_BOV2,"&lt;="&amp;BQ$3,CLAVE_BOV2,$A202)+SUMIFS(SALIDAS_BOV3,FECHA_BOV3,"&gt;="&amp;BQ$2,FECHA_BOV3,"&lt;="&amp;BQ$3,CLAVE_BOV3,$A202)+SUMIFS(SALIDAS_TC,FECHA_TC,"&gt;="&amp;BQ$2,FECHA_TC,"&lt;="&amp;BQ$3,CLAVE_TC,$A202)+SUMIFS(SALIDAS_COMB,FECHA_COMB,"&gt;="&amp;BQ$2,FECHA_COMB,"&lt;="&amp;BQ$3,CLAVE_COMB,$A202)+SUMIFS(SALIDAS_DES,FECHA_DESGLOSEN,"&gt;="&amp;BQ$2,FECHA_DESGLOSEN,"&lt;="&amp;BQ$3,CLAVE_DESGLOSE,$A202)</f>
        <v>3800</v>
      </c>
      <c r="BR202" s="13">
        <f t="shared" si="340"/>
        <v>12900</v>
      </c>
      <c r="BS202" s="68">
        <f t="shared" si="367"/>
        <v>-400</v>
      </c>
      <c r="BT202" s="268">
        <f t="shared" si="368"/>
        <v>1.032</v>
      </c>
      <c r="BU202" s="13">
        <f t="shared" si="369"/>
        <v>12500</v>
      </c>
      <c r="BV202" s="13">
        <f t="shared" si="291"/>
        <v>1300</v>
      </c>
      <c r="BW202" s="13">
        <f t="shared" si="291"/>
        <v>2300</v>
      </c>
      <c r="BX202" s="13">
        <f t="shared" si="291"/>
        <v>2300</v>
      </c>
      <c r="BY202" s="13">
        <f t="shared" si="291"/>
        <v>3800</v>
      </c>
      <c r="BZ202" s="13">
        <f t="shared" si="341"/>
        <v>9700</v>
      </c>
      <c r="CA202" s="68">
        <f t="shared" si="370"/>
        <v>2800</v>
      </c>
      <c r="CB202" s="268">
        <f t="shared" si="371"/>
        <v>0.77600000000000002</v>
      </c>
      <c r="CC202" s="13">
        <f t="shared" si="372"/>
        <v>12500</v>
      </c>
      <c r="CD202" s="13">
        <f t="shared" si="292"/>
        <v>1300</v>
      </c>
      <c r="CE202" s="13">
        <f t="shared" si="292"/>
        <v>1300</v>
      </c>
      <c r="CF202" s="13">
        <f t="shared" si="292"/>
        <v>3800</v>
      </c>
      <c r="CG202" s="13">
        <f t="shared" si="292"/>
        <v>1300</v>
      </c>
      <c r="CH202" s="13">
        <f t="shared" si="342"/>
        <v>7700</v>
      </c>
      <c r="CI202" s="68">
        <f t="shared" si="373"/>
        <v>4800</v>
      </c>
      <c r="CJ202" s="268">
        <f t="shared" si="374"/>
        <v>0.61599999999999999</v>
      </c>
      <c r="CK202" s="13">
        <f t="shared" si="375"/>
        <v>12500</v>
      </c>
      <c r="CL202" s="13">
        <f t="shared" si="312"/>
        <v>1300</v>
      </c>
      <c r="CM202" s="13">
        <f t="shared" si="312"/>
        <v>3100</v>
      </c>
      <c r="CN202" s="13">
        <f t="shared" si="312"/>
        <v>2000</v>
      </c>
      <c r="CO202" s="13">
        <f t="shared" si="312"/>
        <v>4500</v>
      </c>
      <c r="CP202" s="13">
        <f t="shared" si="312"/>
        <v>3600</v>
      </c>
      <c r="CQ202" s="13">
        <f t="shared" si="343"/>
        <v>14500</v>
      </c>
      <c r="CR202" s="68">
        <f t="shared" si="376"/>
        <v>-2000</v>
      </c>
      <c r="CS202" s="268">
        <f t="shared" si="377"/>
        <v>1.1599999999999999</v>
      </c>
      <c r="CT202" s="68">
        <f t="shared" si="350"/>
        <v>14000</v>
      </c>
      <c r="CU202" s="13">
        <f>SUMIFS(SALIDAS_BIT,FECHA_BIT,"&gt;="&amp;CU$2,FECHA_BIT,"&lt;="&amp;CU$3,CLAVE_BIT,$A202)+SUMIFS(SALIDAS_BOV1,FECHA_BOV1,"&gt;="&amp;CU$2,FECHA_BOV1,"&lt;="&amp;CU$3,CLAVE_BOV1,$A202)+SUMIFS(SALIDAS_BOV2,FECHA_BOV2,"&gt;="&amp;CU$2,FECHA_BOV2,"&lt;="&amp;CU$3,CLAVE_BOV2,$A202)+SUMIFS(SALIDAS_BOV3,FECHA_BOV3,"&gt;="&amp;CU$2,FECHA_BOV3,"&lt;="&amp;CU$3,CLAVE_BOV3,$A202)+SUMIFS(SALIDAS_TC,FECHA_TC,"&gt;="&amp;CU$2,FECHA_TC,"&lt;="&amp;CU$3,CLAVE_TC,$A202)+SUMIFS(SALIDAS_COMB,FECHA_COMB,"&gt;="&amp;CU$2,FECHA_COMB,"&lt;="&amp;CU$3,CLAVE_COMB,$A202)+SUMIFS(SALIDAS_DES,FECHA_DESGLOSEN,"&gt;="&amp;CU$2,FECHA_DESGLOSEN,"&lt;="&amp;CU$3,CLAVE_DESGLOSE,$A202)</f>
        <v>1300</v>
      </c>
      <c r="CV202" s="13">
        <f>SUMIFS(SALIDAS_BIT,FECHA_BIT,"&gt;="&amp;CV$2,FECHA_BIT,"&lt;="&amp;CV$3,CLAVE_BIT,$A202)+SUMIFS(SALIDAS_BOV1,FECHA_BOV1,"&gt;="&amp;CV$2,FECHA_BOV1,"&lt;="&amp;CV$3,CLAVE_BOV1,$A202)+SUMIFS(SALIDAS_BOV2,FECHA_BOV2,"&gt;="&amp;CV$2,FECHA_BOV2,"&lt;="&amp;CV$3,CLAVE_BOV2,$A202)+SUMIFS(SALIDAS_BOV3,FECHA_BOV3,"&gt;="&amp;CV$2,FECHA_BOV3,"&lt;="&amp;CV$3,CLAVE_BOV3,$A202)+SUMIFS(SALIDAS_TC,FECHA_TC,"&gt;="&amp;CV$2,FECHA_TC,"&lt;="&amp;CV$3,CLAVE_TC,$A202)+SUMIFS(SALIDAS_COMB,FECHA_COMB,"&gt;="&amp;CV$2,FECHA_COMB,"&lt;="&amp;CV$3,CLAVE_COMB,$A202)+SUMIFS(SALIDAS_DES,FECHA_DESGLOSEN,"&gt;="&amp;CV$2,FECHA_DESGLOSEN,"&lt;="&amp;CV$3,CLAVE_DESGLOSE,$A202)</f>
        <v>0</v>
      </c>
      <c r="CW202" s="13">
        <f>SUMIFS(SALIDAS_BIT,FECHA_BIT,"&gt;="&amp;CW$2,FECHA_BIT,"&lt;="&amp;CW$3,CLAVE_BIT,$A202)+SUMIFS(SALIDAS_BOV1,FECHA_BOV1,"&gt;="&amp;CW$2,FECHA_BOV1,"&lt;="&amp;CW$3,CLAVE_BOV1,$A202)+SUMIFS(SALIDAS_BOV2,FECHA_BOV2,"&gt;="&amp;CW$2,FECHA_BOV2,"&lt;="&amp;CW$3,CLAVE_BOV2,$A202)+SUMIFS(SALIDAS_BOV3,FECHA_BOV3,"&gt;="&amp;CW$2,FECHA_BOV3,"&lt;="&amp;CW$3,CLAVE_BOV3,$A202)+SUMIFS(SALIDAS_TC,FECHA_TC,"&gt;="&amp;CW$2,FECHA_TC,"&lt;="&amp;CW$3,CLAVE_TC,$A202)+SUMIFS(SALIDAS_COMB,FECHA_COMB,"&gt;="&amp;CW$2,FECHA_COMB,"&lt;="&amp;CW$3,CLAVE_COMB,$A202)+SUMIFS(SALIDAS_DES,FECHA_DESGLOSEN,"&gt;="&amp;CW$2,FECHA_DESGLOSEN,"&lt;="&amp;CW$3,CLAVE_DESGLOSE,$A202)</f>
        <v>0</v>
      </c>
      <c r="CX202" s="13">
        <f>SUMIFS(SALIDAS_BIT,FECHA_BIT,"&gt;="&amp;CX$2,FECHA_BIT,"&lt;="&amp;CX$3,CLAVE_BIT,$A202)+SUMIFS(SALIDAS_BOV1,FECHA_BOV1,"&gt;="&amp;CX$2,FECHA_BOV1,"&lt;="&amp;CX$3,CLAVE_BOV1,$A202)+SUMIFS(SALIDAS_BOV2,FECHA_BOV2,"&gt;="&amp;CX$2,FECHA_BOV2,"&lt;="&amp;CX$3,CLAVE_BOV2,$A202)+SUMIFS(SALIDAS_BOV3,FECHA_BOV3,"&gt;="&amp;CX$2,FECHA_BOV3,"&lt;="&amp;CX$3,CLAVE_BOV3,$A202)+SUMIFS(SALIDAS_TC,FECHA_TC,"&gt;="&amp;CX$2,FECHA_TC,"&lt;="&amp;CX$3,CLAVE_TC,$A202)+SUMIFS(SALIDAS_COMB,FECHA_COMB,"&gt;="&amp;CX$2,FECHA_COMB,"&lt;="&amp;CX$3,CLAVE_COMB,$A202)+SUMIFS(SALIDAS_DES,FECHA_DESGLOSEN,"&gt;="&amp;CX$2,FECHA_DESGLOSEN,"&lt;="&amp;CX$3,CLAVE_DESGLOSE,$A202)</f>
        <v>0</v>
      </c>
      <c r="CY202" s="13">
        <f>SUMIFS(SALIDAS_BIT,FECHA_BIT,"&gt;="&amp;CY$2,FECHA_BIT,"&lt;="&amp;CY$3,CLAVE_BIT,$A202)+SUMIFS(SALIDAS_BOV1,FECHA_BOV1,"&gt;="&amp;CY$2,FECHA_BOV1,"&lt;="&amp;CY$3,CLAVE_BOV1,$A202)+SUMIFS(SALIDAS_BOV2,FECHA_BOV2,"&gt;="&amp;CY$2,FECHA_BOV2,"&lt;="&amp;CY$3,CLAVE_BOV2,$A202)+SUMIFS(SALIDAS_BOV3,FECHA_BOV3,"&gt;="&amp;CY$2,FECHA_BOV3,"&lt;="&amp;CY$3,CLAVE_BOV3,$A202)+SUMIFS(SALIDAS_TC,FECHA_TC,"&gt;="&amp;CY$2,FECHA_TC,"&lt;="&amp;CY$3,CLAVE_TC,$A202)+SUMIFS(SALIDAS_COMB,FECHA_COMB,"&gt;="&amp;CY$2,FECHA_COMB,"&lt;="&amp;CY$3,CLAVE_COMB,$A202)+SUMIFS(SALIDAS_DES,FECHA_DESGLOSEN,"&gt;="&amp;CY$2,FECHA_DESGLOSEN,"&lt;="&amp;CY$3,CLAVE_DESGLOSE,$A202)</f>
        <v>1300</v>
      </c>
      <c r="CZ202" s="68">
        <f t="shared" si="378"/>
        <v>12700</v>
      </c>
      <c r="DB202" s="17">
        <f>F202+N202+W202+AE202+AM202+AV202+BD202+BL202+BU202+CC202+CK202</f>
        <v>137500</v>
      </c>
      <c r="DC202" s="17">
        <f>K202+T202+AB202+AJ202+AS202+BA202+BI202+BR202+BZ202+CH202+CQ202</f>
        <v>113050</v>
      </c>
    </row>
    <row r="203" spans="1:107" hidden="1">
      <c r="A203" s="12" t="str">
        <f t="shared" si="351"/>
        <v>SERVICIOSCOMBUSTIBLECEDIS</v>
      </c>
      <c r="B203" s="12">
        <v>205</v>
      </c>
      <c r="C203" t="s">
        <v>21</v>
      </c>
      <c r="D203" s="12" t="s">
        <v>32</v>
      </c>
      <c r="E203" s="12" t="s">
        <v>28</v>
      </c>
      <c r="F203" s="259">
        <f t="shared" si="344"/>
        <v>56000</v>
      </c>
      <c r="G203" s="13">
        <f t="shared" si="335"/>
        <v>15500</v>
      </c>
      <c r="H203" s="13">
        <f t="shared" si="335"/>
        <v>16500</v>
      </c>
      <c r="I203" s="13">
        <f t="shared" si="335"/>
        <v>15500</v>
      </c>
      <c r="J203" s="13">
        <f t="shared" si="335"/>
        <v>16300</v>
      </c>
      <c r="K203" s="13">
        <f t="shared" si="335"/>
        <v>63800</v>
      </c>
      <c r="L203" s="68">
        <f t="shared" si="352"/>
        <v>-7800</v>
      </c>
      <c r="M203" s="268">
        <f t="shared" si="353"/>
        <v>1.1392857142857142</v>
      </c>
      <c r="N203" s="13">
        <f t="shared" si="345"/>
        <v>69000</v>
      </c>
      <c r="O203" s="13">
        <f t="shared" si="336"/>
        <v>15500</v>
      </c>
      <c r="P203" s="13">
        <f t="shared" si="336"/>
        <v>23500</v>
      </c>
      <c r="Q203" s="13">
        <f t="shared" si="336"/>
        <v>22500</v>
      </c>
      <c r="R203" s="13">
        <f t="shared" si="336"/>
        <v>43000</v>
      </c>
      <c r="S203" s="13">
        <f t="shared" si="336"/>
        <v>20300</v>
      </c>
      <c r="T203" s="13">
        <f t="shared" si="336"/>
        <v>124800</v>
      </c>
      <c r="U203" s="68">
        <f t="shared" si="354"/>
        <v>-55800</v>
      </c>
      <c r="V203" s="268">
        <f t="shared" si="355"/>
        <v>1.808695652173913</v>
      </c>
      <c r="W203" s="13">
        <f t="shared" si="346"/>
        <v>56000</v>
      </c>
      <c r="X203" s="13">
        <f t="shared" si="337"/>
        <v>21500</v>
      </c>
      <c r="Y203" s="13">
        <f t="shared" si="337"/>
        <v>17500</v>
      </c>
      <c r="Z203" s="13">
        <f t="shared" si="337"/>
        <v>15500</v>
      </c>
      <c r="AA203" s="13">
        <f t="shared" si="337"/>
        <v>19500</v>
      </c>
      <c r="AB203" s="13">
        <f t="shared" si="337"/>
        <v>74000</v>
      </c>
      <c r="AC203" s="68">
        <f t="shared" si="356"/>
        <v>-18000</v>
      </c>
      <c r="AD203" s="268">
        <f t="shared" si="357"/>
        <v>1.3214285714285714</v>
      </c>
      <c r="AE203" s="13">
        <f t="shared" si="347"/>
        <v>56000</v>
      </c>
      <c r="AF203" s="13">
        <f t="shared" si="338"/>
        <v>11500</v>
      </c>
      <c r="AG203" s="13">
        <f t="shared" si="338"/>
        <v>17500</v>
      </c>
      <c r="AH203" s="13">
        <f t="shared" si="338"/>
        <v>13800</v>
      </c>
      <c r="AI203" s="13">
        <f t="shared" si="338"/>
        <v>17500</v>
      </c>
      <c r="AJ203" s="13">
        <f t="shared" si="338"/>
        <v>60300</v>
      </c>
      <c r="AK203" s="68">
        <f t="shared" si="358"/>
        <v>-4300</v>
      </c>
      <c r="AL203" s="268">
        <f t="shared" si="359"/>
        <v>1.0767857142857142</v>
      </c>
      <c r="AM203" s="13">
        <f t="shared" si="348"/>
        <v>69000</v>
      </c>
      <c r="AN203" s="13">
        <f t="shared" si="339"/>
        <v>13700</v>
      </c>
      <c r="AO203" s="13">
        <f t="shared" si="339"/>
        <v>17500</v>
      </c>
      <c r="AP203" s="13">
        <f t="shared" si="339"/>
        <v>18700</v>
      </c>
      <c r="AQ203" s="13">
        <f t="shared" si="339"/>
        <v>15700</v>
      </c>
      <c r="AR203" s="13">
        <f t="shared" si="339"/>
        <v>13800</v>
      </c>
      <c r="AS203" s="13">
        <f t="shared" si="339"/>
        <v>79400</v>
      </c>
      <c r="AT203" s="68">
        <f>AM203-AS203</f>
        <v>-10400</v>
      </c>
      <c r="AU203" s="268">
        <f t="shared" si="360"/>
        <v>1.1507246376811595</v>
      </c>
      <c r="AV203" s="13">
        <f t="shared" si="349"/>
        <v>56000</v>
      </c>
      <c r="AW203" s="13">
        <f t="shared" si="323"/>
        <v>17700</v>
      </c>
      <c r="AX203" s="13">
        <f t="shared" si="323"/>
        <v>15800</v>
      </c>
      <c r="AY203" s="13">
        <f t="shared" si="323"/>
        <v>20800</v>
      </c>
      <c r="AZ203" s="13">
        <f t="shared" si="323"/>
        <v>18700</v>
      </c>
      <c r="BA203" s="13">
        <f t="shared" si="379"/>
        <v>73000</v>
      </c>
      <c r="BB203" s="68">
        <f t="shared" si="361"/>
        <v>-17000</v>
      </c>
      <c r="BC203" s="268">
        <f t="shared" si="362"/>
        <v>1.3035714285714286</v>
      </c>
      <c r="BD203" s="13">
        <f t="shared" si="363"/>
        <v>56000</v>
      </c>
      <c r="BE203" s="13">
        <f>SUMIFS(SALIDAS_BIT,FECHA_BIT,"&gt;="&amp;BE$2,FECHA_BIT,"&lt;="&amp;BE$3,CLAVE_BIT,$A203)+SUMIFS(SALIDAS_BOV1,FECHA_BOV1,"&gt;="&amp;BE$2,FECHA_BOV1,"&lt;="&amp;BE$3,CLAVE_BOV1,$A203)+SUMIFS(SALIDAS_BOV2,FECHA_BOV2,"&gt;="&amp;BE$2,FECHA_BOV2,"&lt;="&amp;BE$3,CLAVE_BOV2,$A203)+SUMIFS(SALIDAS_BOV3,FECHA_BOV3,"&gt;="&amp;BE$2,FECHA_BOV3,"&lt;="&amp;BE$3,CLAVE_BOV3,$A203)+SUMIFS(SALIDAS_TC,FECHA_TC,"&gt;="&amp;BE$2,FECHA_TC,"&lt;="&amp;BE$3,CLAVE_TC,$A203)+SUMIFS(SALIDAS_COMB,FECHA_COMB,"&gt;="&amp;BE$2,FECHA_COMB,"&lt;="&amp;BE$3,CLAVE_COMB,$A203)+SUMIFS(SALIDAS_DES,FECHA_DESGLOSEN,"&gt;="&amp;BE$2,FECHA_DESGLOSEN,"&lt;="&amp;BE$3,CLAVE_DESGLOSE,$A203)</f>
        <v>20500</v>
      </c>
      <c r="BF203" s="13">
        <f>SUMIFS(SALIDAS_BIT,FECHA_BIT,"&gt;="&amp;BF$2,FECHA_BIT,"&lt;="&amp;BF$3,CLAVE_BIT,$A203)+SUMIFS(SALIDAS_BOV1,FECHA_BOV1,"&gt;="&amp;BF$2,FECHA_BOV1,"&lt;="&amp;BF$3,CLAVE_BOV1,$A203)+SUMIFS(SALIDAS_BOV2,FECHA_BOV2,"&gt;="&amp;BF$2,FECHA_BOV2,"&lt;="&amp;BF$3,CLAVE_BOV2,$A203)+SUMIFS(SALIDAS_BOV3,FECHA_BOV3,"&gt;="&amp;BF$2,FECHA_BOV3,"&lt;="&amp;BF$3,CLAVE_BOV3,$A203)+SUMIFS(SALIDAS_TC,FECHA_TC,"&gt;="&amp;BF$2,FECHA_TC,"&lt;="&amp;BF$3,CLAVE_TC,$A203)+SUMIFS(SALIDAS_COMB,FECHA_COMB,"&gt;="&amp;BF$2,FECHA_COMB,"&lt;="&amp;BF$3,CLAVE_COMB,$A203)+SUMIFS(SALIDAS_DES,FECHA_DESGLOSEN,"&gt;="&amp;BF$2,FECHA_DESGLOSEN,"&lt;="&amp;BF$3,CLAVE_DESGLOSE,$A203)</f>
        <v>14500</v>
      </c>
      <c r="BG203" s="13">
        <f>SUMIFS(SALIDAS_BIT,FECHA_BIT,"&gt;="&amp;BG$2,FECHA_BIT,"&lt;="&amp;BG$3,CLAVE_BIT,$A203)+SUMIFS(SALIDAS_BOV1,FECHA_BOV1,"&gt;="&amp;BG$2,FECHA_BOV1,"&lt;="&amp;BG$3,CLAVE_BOV1,$A203)+SUMIFS(SALIDAS_BOV2,FECHA_BOV2,"&gt;="&amp;BG$2,FECHA_BOV2,"&lt;="&amp;BG$3,CLAVE_BOV2,$A203)+SUMIFS(SALIDAS_BOV3,FECHA_BOV3,"&gt;="&amp;BG$2,FECHA_BOV3,"&lt;="&amp;BG$3,CLAVE_BOV3,$A203)+SUMIFS(SALIDAS_TC,FECHA_TC,"&gt;="&amp;BG$2,FECHA_TC,"&lt;="&amp;BG$3,CLAVE_TC,$A203)+SUMIFS(SALIDAS_COMB,FECHA_COMB,"&gt;="&amp;BG$2,FECHA_COMB,"&lt;="&amp;BG$3,CLAVE_COMB,$A203)+SUMIFS(SALIDAS_DES,FECHA_DESGLOSEN,"&gt;="&amp;BG$2,FECHA_DESGLOSEN,"&lt;="&amp;BG$3,CLAVE_DESGLOSE,$A203)</f>
        <v>18000</v>
      </c>
      <c r="BH203" s="13">
        <f>SUMIFS(SALIDAS_BIT,FECHA_BIT,"&gt;="&amp;BH$2,FECHA_BIT,"&lt;="&amp;BH$3,CLAVE_BIT,$A203)+SUMIFS(SALIDAS_BOV1,FECHA_BOV1,"&gt;="&amp;BH$2,FECHA_BOV1,"&lt;="&amp;BH$3,CLAVE_BOV1,$A203)+SUMIFS(SALIDAS_BOV2,FECHA_BOV2,"&gt;="&amp;BH$2,FECHA_BOV2,"&lt;="&amp;BH$3,CLAVE_BOV2,$A203)+SUMIFS(SALIDAS_BOV3,FECHA_BOV3,"&gt;="&amp;BH$2,FECHA_BOV3,"&lt;="&amp;BH$3,CLAVE_BOV3,$A203)+SUMIFS(SALIDAS_TC,FECHA_TC,"&gt;="&amp;BH$2,FECHA_TC,"&lt;="&amp;BH$3,CLAVE_TC,$A203)+SUMIFS(SALIDAS_COMB,FECHA_COMB,"&gt;="&amp;BH$2,FECHA_COMB,"&lt;="&amp;BH$3,CLAVE_COMB,$A203)+SUMIFS(SALIDAS_DES,FECHA_DESGLOSEN,"&gt;="&amp;BH$2,FECHA_DESGLOSEN,"&lt;="&amp;BH$3,CLAVE_DESGLOSE,$A203)</f>
        <v>14500</v>
      </c>
      <c r="BI203" s="13">
        <f t="shared" si="311"/>
        <v>67500</v>
      </c>
      <c r="BJ203" s="68">
        <f t="shared" si="364"/>
        <v>-11500</v>
      </c>
      <c r="BK203" s="268">
        <f t="shared" si="365"/>
        <v>1.2053571428571428</v>
      </c>
      <c r="BL203" s="13">
        <f t="shared" si="366"/>
        <v>89000</v>
      </c>
      <c r="BM203" s="13">
        <f>SUMIFS(SALIDAS_BIT,FECHA_BIT,"&gt;="&amp;BM$2,FECHA_BIT,"&lt;="&amp;BM$3,CLAVE_BIT,$A203)+SUMIFS(SALIDAS_BOV1,FECHA_BOV1,"&gt;="&amp;BM$2,FECHA_BOV1,"&lt;="&amp;BM$3,CLAVE_BOV1,$A203)+SUMIFS(SALIDAS_BOV2,FECHA_BOV2,"&gt;="&amp;BM$2,FECHA_BOV2,"&lt;="&amp;BM$3,CLAVE_BOV2,$A203)+SUMIFS(SALIDAS_BOV3,FECHA_BOV3,"&gt;="&amp;BM$2,FECHA_BOV3,"&lt;="&amp;BM$3,CLAVE_BOV3,$A203)+SUMIFS(SALIDAS_TC,FECHA_TC,"&gt;="&amp;BM$2,FECHA_TC,"&lt;="&amp;BM$3,CLAVE_TC,$A203)+SUMIFS(SALIDAS_COMB,FECHA_COMB,"&gt;="&amp;BM$2,FECHA_COMB,"&lt;="&amp;BM$3,CLAVE_COMB,$A203)+SUMIFS(SALIDAS_DES,FECHA_DESGLOSEN,"&gt;="&amp;BM$2,FECHA_DESGLOSEN,"&lt;="&amp;BM$3,CLAVE_DESGLOSE,$A203)</f>
        <v>19500</v>
      </c>
      <c r="BN203" s="13">
        <f>SUMIFS(SALIDAS_BIT,FECHA_BIT,"&gt;="&amp;BN$2,FECHA_BIT,"&lt;="&amp;BN$3,CLAVE_BIT,$A203)+SUMIFS(SALIDAS_BOV1,FECHA_BOV1,"&gt;="&amp;BN$2,FECHA_BOV1,"&lt;="&amp;BN$3,CLAVE_BOV1,$A203)+SUMIFS(SALIDAS_BOV2,FECHA_BOV2,"&gt;="&amp;BN$2,FECHA_BOV2,"&lt;="&amp;BN$3,CLAVE_BOV2,$A203)+SUMIFS(SALIDAS_BOV3,FECHA_BOV3,"&gt;="&amp;BN$2,FECHA_BOV3,"&lt;="&amp;BN$3,CLAVE_BOV3,$A203)+SUMIFS(SALIDAS_TC,FECHA_TC,"&gt;="&amp;BN$2,FECHA_TC,"&lt;="&amp;BN$3,CLAVE_TC,$A203)+SUMIFS(SALIDAS_COMB,FECHA_COMB,"&gt;="&amp;BN$2,FECHA_COMB,"&lt;="&amp;BN$3,CLAVE_COMB,$A203)+SUMIFS(SALIDAS_DES,FECHA_DESGLOSEN,"&gt;="&amp;BN$2,FECHA_DESGLOSEN,"&lt;="&amp;BN$3,CLAVE_DESGLOSE,$A203)</f>
        <v>18700</v>
      </c>
      <c r="BO203" s="13">
        <f>SUMIFS(SALIDAS_BIT,FECHA_BIT,"&gt;="&amp;BO$2,FECHA_BIT,"&lt;="&amp;BO$3,CLAVE_BIT,$A203)+SUMIFS(SALIDAS_BOV1,FECHA_BOV1,"&gt;="&amp;BO$2,FECHA_BOV1,"&lt;="&amp;BO$3,CLAVE_BOV1,$A203)+SUMIFS(SALIDAS_BOV2,FECHA_BOV2,"&gt;="&amp;BO$2,FECHA_BOV2,"&lt;="&amp;BO$3,CLAVE_BOV2,$A203)+SUMIFS(SALIDAS_BOV3,FECHA_BOV3,"&gt;="&amp;BO$2,FECHA_BOV3,"&lt;="&amp;BO$3,CLAVE_BOV3,$A203)+SUMIFS(SALIDAS_TC,FECHA_TC,"&gt;="&amp;BO$2,FECHA_TC,"&lt;="&amp;BO$3,CLAVE_TC,$A203)+SUMIFS(SALIDAS_COMB,FECHA_COMB,"&gt;="&amp;BO$2,FECHA_COMB,"&lt;="&amp;BO$3,CLAVE_COMB,$A203)+SUMIFS(SALIDAS_DES,FECHA_DESGLOSEN,"&gt;="&amp;BO$2,FECHA_DESGLOSEN,"&lt;="&amp;BO$3,CLAVE_DESGLOSE,$A203)</f>
        <v>20500</v>
      </c>
      <c r="BP203" s="13">
        <f>SUMIFS(SALIDAS_BIT,FECHA_BIT,"&gt;="&amp;BP$2,FECHA_BIT,"&lt;="&amp;BP$3,CLAVE_BIT,$A203)+SUMIFS(SALIDAS_BOV1,FECHA_BOV1,"&gt;="&amp;BP$2,FECHA_BOV1,"&lt;="&amp;BP$3,CLAVE_BOV1,$A203)+SUMIFS(SALIDAS_BOV2,FECHA_BOV2,"&gt;="&amp;BP$2,FECHA_BOV2,"&lt;="&amp;BP$3,CLAVE_BOV2,$A203)+SUMIFS(SALIDAS_BOV3,FECHA_BOV3,"&gt;="&amp;BP$2,FECHA_BOV3,"&lt;="&amp;BP$3,CLAVE_BOV3,$A203)+SUMIFS(SALIDAS_TC,FECHA_TC,"&gt;="&amp;BP$2,FECHA_TC,"&lt;="&amp;BP$3,CLAVE_TC,$A203)+SUMIFS(SALIDAS_COMB,FECHA_COMB,"&gt;="&amp;BP$2,FECHA_COMB,"&lt;="&amp;BP$3,CLAVE_COMB,$A203)+SUMIFS(SALIDAS_DES,FECHA_DESGLOSEN,"&gt;="&amp;BP$2,FECHA_DESGLOSEN,"&lt;="&amp;BP$3,CLAVE_DESGLOSE,$A203)</f>
        <v>21700</v>
      </c>
      <c r="BQ203" s="13">
        <f>SUMIFS(SALIDAS_BIT,FECHA_BIT,"&gt;="&amp;BQ$2,FECHA_BIT,"&lt;="&amp;BQ$3,CLAVE_BIT,$A203)+SUMIFS(SALIDAS_BOV1,FECHA_BOV1,"&gt;="&amp;BQ$2,FECHA_BOV1,"&lt;="&amp;BQ$3,CLAVE_BOV1,$A203)+SUMIFS(SALIDAS_BOV2,FECHA_BOV2,"&gt;="&amp;BQ$2,FECHA_BOV2,"&lt;="&amp;BQ$3,CLAVE_BOV2,$A203)+SUMIFS(SALIDAS_BOV3,FECHA_BOV3,"&gt;="&amp;BQ$2,FECHA_BOV3,"&lt;="&amp;BQ$3,CLAVE_BOV3,$A203)+SUMIFS(SALIDAS_TC,FECHA_TC,"&gt;="&amp;BQ$2,FECHA_TC,"&lt;="&amp;BQ$3,CLAVE_TC,$A203)+SUMIFS(SALIDAS_COMB,FECHA_COMB,"&gt;="&amp;BQ$2,FECHA_COMB,"&lt;="&amp;BQ$3,CLAVE_COMB,$A203)+SUMIFS(SALIDAS_DES,FECHA_DESGLOSEN,"&gt;="&amp;BQ$2,FECHA_DESGLOSEN,"&lt;="&amp;BQ$3,CLAVE_DESGLOSE,$A203)</f>
        <v>18500</v>
      </c>
      <c r="BR203" s="13">
        <f t="shared" si="340"/>
        <v>98900</v>
      </c>
      <c r="BS203" s="68">
        <f t="shared" si="367"/>
        <v>-9900</v>
      </c>
      <c r="BT203" s="268">
        <f t="shared" si="368"/>
        <v>1.1112359550561797</v>
      </c>
      <c r="BU203" s="13">
        <f t="shared" si="369"/>
        <v>72000</v>
      </c>
      <c r="BV203" s="13">
        <f t="shared" si="291"/>
        <v>22700</v>
      </c>
      <c r="BW203" s="13">
        <f t="shared" si="291"/>
        <v>29500</v>
      </c>
      <c r="BX203" s="13">
        <f t="shared" si="291"/>
        <v>17200</v>
      </c>
      <c r="BY203" s="13">
        <f t="shared" si="291"/>
        <v>19000</v>
      </c>
      <c r="BZ203" s="13">
        <f t="shared" si="341"/>
        <v>88400</v>
      </c>
      <c r="CA203" s="68">
        <f t="shared" si="370"/>
        <v>-16400</v>
      </c>
      <c r="CB203" s="268">
        <f t="shared" si="371"/>
        <v>1.2277777777777779</v>
      </c>
      <c r="CC203" s="13">
        <f t="shared" si="372"/>
        <v>72000</v>
      </c>
      <c r="CD203" s="13">
        <f t="shared" si="292"/>
        <v>34000</v>
      </c>
      <c r="CE203" s="13">
        <f t="shared" si="292"/>
        <v>11000</v>
      </c>
      <c r="CF203" s="13">
        <f t="shared" si="292"/>
        <v>11500</v>
      </c>
      <c r="CG203" s="13">
        <f t="shared" si="292"/>
        <v>18000</v>
      </c>
      <c r="CH203" s="13">
        <f t="shared" si="342"/>
        <v>74500</v>
      </c>
      <c r="CI203" s="68">
        <f t="shared" si="373"/>
        <v>-2500</v>
      </c>
      <c r="CJ203" s="268">
        <f t="shared" si="374"/>
        <v>1.0347222222222223</v>
      </c>
      <c r="CK203" s="13">
        <f t="shared" si="375"/>
        <v>69000</v>
      </c>
      <c r="CL203" s="13">
        <f t="shared" si="312"/>
        <v>22200</v>
      </c>
      <c r="CM203" s="13">
        <f t="shared" si="312"/>
        <v>21700</v>
      </c>
      <c r="CN203" s="13">
        <f t="shared" si="312"/>
        <v>33000</v>
      </c>
      <c r="CO203" s="13">
        <f t="shared" si="312"/>
        <v>18500</v>
      </c>
      <c r="CP203" s="13">
        <f t="shared" si="312"/>
        <v>20500</v>
      </c>
      <c r="CQ203" s="13">
        <f t="shared" si="343"/>
        <v>115900</v>
      </c>
      <c r="CR203" s="68">
        <f t="shared" si="376"/>
        <v>-46900</v>
      </c>
      <c r="CS203" s="268">
        <f t="shared" si="377"/>
        <v>1.6797101449275362</v>
      </c>
      <c r="CT203" s="68">
        <f t="shared" si="350"/>
        <v>70000</v>
      </c>
      <c r="CU203" s="13">
        <f>SUMIFS(SALIDAS_BIT,FECHA_BIT,"&gt;="&amp;CU$2,FECHA_BIT,"&lt;="&amp;CU$3,CLAVE_BIT,$A203)+SUMIFS(SALIDAS_BOV1,FECHA_BOV1,"&gt;="&amp;CU$2,FECHA_BOV1,"&lt;="&amp;CU$3,CLAVE_BOV1,$A203)+SUMIFS(SALIDAS_BOV2,FECHA_BOV2,"&gt;="&amp;CU$2,FECHA_BOV2,"&lt;="&amp;CU$3,CLAVE_BOV2,$A203)+SUMIFS(SALIDAS_BOV3,FECHA_BOV3,"&gt;="&amp;CU$2,FECHA_BOV3,"&lt;="&amp;CU$3,CLAVE_BOV3,$A203)+SUMIFS(SALIDAS_TC,FECHA_TC,"&gt;="&amp;CU$2,FECHA_TC,"&lt;="&amp;CU$3,CLAVE_TC,$A203)+SUMIFS(SALIDAS_COMB,FECHA_COMB,"&gt;="&amp;CU$2,FECHA_COMB,"&lt;="&amp;CU$3,CLAVE_COMB,$A203)+SUMIFS(SALIDAS_DES,FECHA_DESGLOSEN,"&gt;="&amp;CU$2,FECHA_DESGLOSEN,"&lt;="&amp;CU$3,CLAVE_DESGLOSE,$A203)</f>
        <v>24500</v>
      </c>
      <c r="CV203" s="13">
        <f>SUMIFS(SALIDAS_BIT,FECHA_BIT,"&gt;="&amp;CV$2,FECHA_BIT,"&lt;="&amp;CV$3,CLAVE_BIT,$A203)+SUMIFS(SALIDAS_BOV1,FECHA_BOV1,"&gt;="&amp;CV$2,FECHA_BOV1,"&lt;="&amp;CV$3,CLAVE_BOV1,$A203)+SUMIFS(SALIDAS_BOV2,FECHA_BOV2,"&gt;="&amp;CV$2,FECHA_BOV2,"&lt;="&amp;CV$3,CLAVE_BOV2,$A203)+SUMIFS(SALIDAS_BOV3,FECHA_BOV3,"&gt;="&amp;CV$2,FECHA_BOV3,"&lt;="&amp;CV$3,CLAVE_BOV3,$A203)+SUMIFS(SALIDAS_TC,FECHA_TC,"&gt;="&amp;CV$2,FECHA_TC,"&lt;="&amp;CV$3,CLAVE_TC,$A203)+SUMIFS(SALIDAS_COMB,FECHA_COMB,"&gt;="&amp;CV$2,FECHA_COMB,"&lt;="&amp;CV$3,CLAVE_COMB,$A203)+SUMIFS(SALIDAS_DES,FECHA_DESGLOSEN,"&gt;="&amp;CV$2,FECHA_DESGLOSEN,"&lt;="&amp;CV$3,CLAVE_DESGLOSE,$A203)</f>
        <v>23000</v>
      </c>
      <c r="CW203" s="13">
        <f>SUMIFS(SALIDAS_BIT,FECHA_BIT,"&gt;="&amp;CW$2,FECHA_BIT,"&lt;="&amp;CW$3,CLAVE_BIT,$A203)+SUMIFS(SALIDAS_BOV1,FECHA_BOV1,"&gt;="&amp;CW$2,FECHA_BOV1,"&lt;="&amp;CW$3,CLAVE_BOV1,$A203)+SUMIFS(SALIDAS_BOV2,FECHA_BOV2,"&gt;="&amp;CW$2,FECHA_BOV2,"&lt;="&amp;CW$3,CLAVE_BOV2,$A203)+SUMIFS(SALIDAS_BOV3,FECHA_BOV3,"&gt;="&amp;CW$2,FECHA_BOV3,"&lt;="&amp;CW$3,CLAVE_BOV3,$A203)+SUMIFS(SALIDAS_TC,FECHA_TC,"&gt;="&amp;CW$2,FECHA_TC,"&lt;="&amp;CW$3,CLAVE_TC,$A203)+SUMIFS(SALIDAS_COMB,FECHA_COMB,"&gt;="&amp;CW$2,FECHA_COMB,"&lt;="&amp;CW$3,CLAVE_COMB,$A203)+SUMIFS(SALIDAS_DES,FECHA_DESGLOSEN,"&gt;="&amp;CW$2,FECHA_DESGLOSEN,"&lt;="&amp;CW$3,CLAVE_DESGLOSE,$A203)</f>
        <v>0</v>
      </c>
      <c r="CX203" s="13">
        <f>SUMIFS(SALIDAS_BIT,FECHA_BIT,"&gt;="&amp;CX$2,FECHA_BIT,"&lt;="&amp;CX$3,CLAVE_BIT,$A203)+SUMIFS(SALIDAS_BOV1,FECHA_BOV1,"&gt;="&amp;CX$2,FECHA_BOV1,"&lt;="&amp;CX$3,CLAVE_BOV1,$A203)+SUMIFS(SALIDAS_BOV2,FECHA_BOV2,"&gt;="&amp;CX$2,FECHA_BOV2,"&lt;="&amp;CX$3,CLAVE_BOV2,$A203)+SUMIFS(SALIDAS_BOV3,FECHA_BOV3,"&gt;="&amp;CX$2,FECHA_BOV3,"&lt;="&amp;CX$3,CLAVE_BOV3,$A203)+SUMIFS(SALIDAS_TC,FECHA_TC,"&gt;="&amp;CX$2,FECHA_TC,"&lt;="&amp;CX$3,CLAVE_TC,$A203)+SUMIFS(SALIDAS_COMB,FECHA_COMB,"&gt;="&amp;CX$2,FECHA_COMB,"&lt;="&amp;CX$3,CLAVE_COMB,$A203)+SUMIFS(SALIDAS_DES,FECHA_DESGLOSEN,"&gt;="&amp;CX$2,FECHA_DESGLOSEN,"&lt;="&amp;CX$3,CLAVE_DESGLOSE,$A203)</f>
        <v>0</v>
      </c>
      <c r="CY203" s="13">
        <f>SUMIFS(SALIDAS_BIT,FECHA_BIT,"&gt;="&amp;CY$2,FECHA_BIT,"&lt;="&amp;CY$3,CLAVE_BIT,$A203)+SUMIFS(SALIDAS_BOV1,FECHA_BOV1,"&gt;="&amp;CY$2,FECHA_BOV1,"&lt;="&amp;CY$3,CLAVE_BOV1,$A203)+SUMIFS(SALIDAS_BOV2,FECHA_BOV2,"&gt;="&amp;CY$2,FECHA_BOV2,"&lt;="&amp;CY$3,CLAVE_BOV2,$A203)+SUMIFS(SALIDAS_BOV3,FECHA_BOV3,"&gt;="&amp;CY$2,FECHA_BOV3,"&lt;="&amp;CY$3,CLAVE_BOV3,$A203)+SUMIFS(SALIDAS_TC,FECHA_TC,"&gt;="&amp;CY$2,FECHA_TC,"&lt;="&amp;CY$3,CLAVE_TC,$A203)+SUMIFS(SALIDAS_COMB,FECHA_COMB,"&gt;="&amp;CY$2,FECHA_COMB,"&lt;="&amp;CY$3,CLAVE_COMB,$A203)+SUMIFS(SALIDAS_DES,FECHA_DESGLOSEN,"&gt;="&amp;CY$2,FECHA_DESGLOSEN,"&lt;="&amp;CY$3,CLAVE_DESGLOSE,$A203)</f>
        <v>47500</v>
      </c>
      <c r="CZ203" s="68">
        <f t="shared" si="378"/>
        <v>22500</v>
      </c>
      <c r="DB203" s="17">
        <f>F203+N203+W203+AE203+AM203+AV203+BD203+BL203+BU203+CC203+CK203</f>
        <v>720000</v>
      </c>
      <c r="DC203" s="17">
        <f>K203+T203+AB203+AJ203+AS203+BA203+BI203+BR203+BZ203+CH203+CQ203</f>
        <v>920500</v>
      </c>
    </row>
    <row r="204" spans="1:107" hidden="1">
      <c r="A204" s="12" t="str">
        <f t="shared" si="351"/>
        <v>SERVICIOSCOMBUSTIBLEINVENTARIOS</v>
      </c>
      <c r="B204" s="12">
        <v>206</v>
      </c>
      <c r="C204" t="s">
        <v>21</v>
      </c>
      <c r="D204" s="12" t="s">
        <v>32</v>
      </c>
      <c r="E204" s="12" t="s">
        <v>34</v>
      </c>
      <c r="F204" s="259">
        <f t="shared" si="344"/>
        <v>8000</v>
      </c>
      <c r="G204" s="13">
        <f t="shared" si="335"/>
        <v>0</v>
      </c>
      <c r="H204" s="13">
        <f t="shared" si="335"/>
        <v>0</v>
      </c>
      <c r="I204" s="13">
        <f t="shared" si="335"/>
        <v>0</v>
      </c>
      <c r="J204" s="13">
        <f t="shared" si="335"/>
        <v>2500</v>
      </c>
      <c r="K204" s="13">
        <f t="shared" si="335"/>
        <v>2500</v>
      </c>
      <c r="L204" s="68">
        <f t="shared" si="352"/>
        <v>5500</v>
      </c>
      <c r="M204" s="268">
        <f t="shared" si="353"/>
        <v>0.3125</v>
      </c>
      <c r="N204" s="13">
        <f t="shared" si="345"/>
        <v>5000</v>
      </c>
      <c r="O204" s="13">
        <f t="shared" si="336"/>
        <v>1500</v>
      </c>
      <c r="P204" s="13">
        <f t="shared" si="336"/>
        <v>2500</v>
      </c>
      <c r="Q204" s="13">
        <f t="shared" si="336"/>
        <v>1000</v>
      </c>
      <c r="R204" s="13">
        <f t="shared" si="336"/>
        <v>1500</v>
      </c>
      <c r="S204" s="13">
        <f t="shared" si="336"/>
        <v>2500</v>
      </c>
      <c r="T204" s="13">
        <f t="shared" si="336"/>
        <v>9000</v>
      </c>
      <c r="U204" s="68">
        <f t="shared" si="354"/>
        <v>-4000</v>
      </c>
      <c r="V204" s="268">
        <f t="shared" si="355"/>
        <v>1.8</v>
      </c>
      <c r="W204" s="13">
        <f t="shared" si="346"/>
        <v>2000</v>
      </c>
      <c r="X204" s="13">
        <f t="shared" si="337"/>
        <v>1500</v>
      </c>
      <c r="Y204" s="13">
        <f t="shared" si="337"/>
        <v>1000</v>
      </c>
      <c r="Z204" s="13">
        <f t="shared" si="337"/>
        <v>0</v>
      </c>
      <c r="AA204" s="13">
        <f t="shared" si="337"/>
        <v>1500</v>
      </c>
      <c r="AB204" s="13">
        <f t="shared" si="337"/>
        <v>4000</v>
      </c>
      <c r="AC204" s="68">
        <f t="shared" si="356"/>
        <v>-2000</v>
      </c>
      <c r="AD204" s="268">
        <f t="shared" si="357"/>
        <v>2</v>
      </c>
      <c r="AE204" s="13">
        <f t="shared" si="347"/>
        <v>2000</v>
      </c>
      <c r="AF204" s="13">
        <f t="shared" si="338"/>
        <v>1500</v>
      </c>
      <c r="AG204" s="13">
        <f t="shared" si="338"/>
        <v>0</v>
      </c>
      <c r="AH204" s="13">
        <f t="shared" si="338"/>
        <v>0</v>
      </c>
      <c r="AI204" s="13">
        <f t="shared" si="338"/>
        <v>0</v>
      </c>
      <c r="AJ204" s="13">
        <f t="shared" si="338"/>
        <v>1500</v>
      </c>
      <c r="AK204" s="68">
        <f t="shared" si="358"/>
        <v>500</v>
      </c>
      <c r="AL204" s="268">
        <f t="shared" si="359"/>
        <v>0.75</v>
      </c>
      <c r="AM204" s="13">
        <f t="shared" si="348"/>
        <v>2500</v>
      </c>
      <c r="AN204" s="13">
        <f t="shared" si="339"/>
        <v>0</v>
      </c>
      <c r="AO204" s="13">
        <f t="shared" si="339"/>
        <v>500</v>
      </c>
      <c r="AP204" s="13">
        <f t="shared" si="339"/>
        <v>500</v>
      </c>
      <c r="AQ204" s="13">
        <f t="shared" si="339"/>
        <v>200</v>
      </c>
      <c r="AR204" s="13">
        <f t="shared" si="339"/>
        <v>0</v>
      </c>
      <c r="AS204" s="13">
        <f t="shared" si="339"/>
        <v>1200</v>
      </c>
      <c r="AT204" s="68">
        <f>AM204-AS204</f>
        <v>1300</v>
      </c>
      <c r="AU204" s="268">
        <f t="shared" si="360"/>
        <v>0.48</v>
      </c>
      <c r="AV204" s="13">
        <f t="shared" si="349"/>
        <v>2000</v>
      </c>
      <c r="AW204" s="13">
        <f t="shared" si="323"/>
        <v>1000</v>
      </c>
      <c r="AX204" s="13">
        <f t="shared" si="323"/>
        <v>500</v>
      </c>
      <c r="AY204" s="13">
        <f t="shared" si="323"/>
        <v>500</v>
      </c>
      <c r="AZ204" s="13">
        <f t="shared" si="323"/>
        <v>500</v>
      </c>
      <c r="BA204" s="13">
        <f t="shared" si="379"/>
        <v>2500</v>
      </c>
      <c r="BB204" s="68">
        <f t="shared" si="361"/>
        <v>-500</v>
      </c>
      <c r="BC204" s="268">
        <f t="shared" si="362"/>
        <v>1.25</v>
      </c>
      <c r="BD204" s="13">
        <f t="shared" si="363"/>
        <v>2000</v>
      </c>
      <c r="BE204" s="13">
        <f>SUMIFS(SALIDAS_BIT,FECHA_BIT,"&gt;="&amp;BE$2,FECHA_BIT,"&lt;="&amp;BE$3,CLAVE_BIT,$A204)+SUMIFS(SALIDAS_BOV1,FECHA_BOV1,"&gt;="&amp;BE$2,FECHA_BOV1,"&lt;="&amp;BE$3,CLAVE_BOV1,$A204)+SUMIFS(SALIDAS_BOV2,FECHA_BOV2,"&gt;="&amp;BE$2,FECHA_BOV2,"&lt;="&amp;BE$3,CLAVE_BOV2,$A204)+SUMIFS(SALIDAS_BOV3,FECHA_BOV3,"&gt;="&amp;BE$2,FECHA_BOV3,"&lt;="&amp;BE$3,CLAVE_BOV3,$A204)+SUMIFS(SALIDAS_TC,FECHA_TC,"&gt;="&amp;BE$2,FECHA_TC,"&lt;="&amp;BE$3,CLAVE_TC,$A204)+SUMIFS(SALIDAS_COMB,FECHA_COMB,"&gt;="&amp;BE$2,FECHA_COMB,"&lt;="&amp;BE$3,CLAVE_COMB,$A204)+SUMIFS(SALIDAS_DES,FECHA_DESGLOSEN,"&gt;="&amp;BE$2,FECHA_DESGLOSEN,"&lt;="&amp;BE$3,CLAVE_DESGLOSE,$A204)</f>
        <v>0</v>
      </c>
      <c r="BF204" s="13">
        <f>SUMIFS(SALIDAS_BIT,FECHA_BIT,"&gt;="&amp;BF$2,FECHA_BIT,"&lt;="&amp;BF$3,CLAVE_BIT,$A204)+SUMIFS(SALIDAS_BOV1,FECHA_BOV1,"&gt;="&amp;BF$2,FECHA_BOV1,"&lt;="&amp;BF$3,CLAVE_BOV1,$A204)+SUMIFS(SALIDAS_BOV2,FECHA_BOV2,"&gt;="&amp;BF$2,FECHA_BOV2,"&lt;="&amp;BF$3,CLAVE_BOV2,$A204)+SUMIFS(SALIDAS_BOV3,FECHA_BOV3,"&gt;="&amp;BF$2,FECHA_BOV3,"&lt;="&amp;BF$3,CLAVE_BOV3,$A204)+SUMIFS(SALIDAS_TC,FECHA_TC,"&gt;="&amp;BF$2,FECHA_TC,"&lt;="&amp;BF$3,CLAVE_TC,$A204)+SUMIFS(SALIDAS_COMB,FECHA_COMB,"&gt;="&amp;BF$2,FECHA_COMB,"&lt;="&amp;BF$3,CLAVE_COMB,$A204)+SUMIFS(SALIDAS_DES,FECHA_DESGLOSEN,"&gt;="&amp;BF$2,FECHA_DESGLOSEN,"&lt;="&amp;BF$3,CLAVE_DESGLOSE,$A204)</f>
        <v>1000</v>
      </c>
      <c r="BG204" s="13">
        <f>SUMIFS(SALIDAS_BIT,FECHA_BIT,"&gt;="&amp;BG$2,FECHA_BIT,"&lt;="&amp;BG$3,CLAVE_BIT,$A204)+SUMIFS(SALIDAS_BOV1,FECHA_BOV1,"&gt;="&amp;BG$2,FECHA_BOV1,"&lt;="&amp;BG$3,CLAVE_BOV1,$A204)+SUMIFS(SALIDAS_BOV2,FECHA_BOV2,"&gt;="&amp;BG$2,FECHA_BOV2,"&lt;="&amp;BG$3,CLAVE_BOV2,$A204)+SUMIFS(SALIDAS_BOV3,FECHA_BOV3,"&gt;="&amp;BG$2,FECHA_BOV3,"&lt;="&amp;BG$3,CLAVE_BOV3,$A204)+SUMIFS(SALIDAS_TC,FECHA_TC,"&gt;="&amp;BG$2,FECHA_TC,"&lt;="&amp;BG$3,CLAVE_TC,$A204)+SUMIFS(SALIDAS_COMB,FECHA_COMB,"&gt;="&amp;BG$2,FECHA_COMB,"&lt;="&amp;BG$3,CLAVE_COMB,$A204)+SUMIFS(SALIDAS_DES,FECHA_DESGLOSEN,"&gt;="&amp;BG$2,FECHA_DESGLOSEN,"&lt;="&amp;BG$3,CLAVE_DESGLOSE,$A204)</f>
        <v>700</v>
      </c>
      <c r="BH204" s="13">
        <f>SUMIFS(SALIDAS_BIT,FECHA_BIT,"&gt;="&amp;BH$2,FECHA_BIT,"&lt;="&amp;BH$3,CLAVE_BIT,$A204)+SUMIFS(SALIDAS_BOV1,FECHA_BOV1,"&gt;="&amp;BH$2,FECHA_BOV1,"&lt;="&amp;BH$3,CLAVE_BOV1,$A204)+SUMIFS(SALIDAS_BOV2,FECHA_BOV2,"&gt;="&amp;BH$2,FECHA_BOV2,"&lt;="&amp;BH$3,CLAVE_BOV2,$A204)+SUMIFS(SALIDAS_BOV3,FECHA_BOV3,"&gt;="&amp;BH$2,FECHA_BOV3,"&lt;="&amp;BH$3,CLAVE_BOV3,$A204)+SUMIFS(SALIDAS_TC,FECHA_TC,"&gt;="&amp;BH$2,FECHA_TC,"&lt;="&amp;BH$3,CLAVE_TC,$A204)+SUMIFS(SALIDAS_COMB,FECHA_COMB,"&gt;="&amp;BH$2,FECHA_COMB,"&lt;="&amp;BH$3,CLAVE_COMB,$A204)+SUMIFS(SALIDAS_DES,FECHA_DESGLOSEN,"&gt;="&amp;BH$2,FECHA_DESGLOSEN,"&lt;="&amp;BH$3,CLAVE_DESGLOSE,$A204)</f>
        <v>2000</v>
      </c>
      <c r="BI204" s="13">
        <f t="shared" si="311"/>
        <v>3700</v>
      </c>
      <c r="BJ204" s="68">
        <f t="shared" si="364"/>
        <v>-1700</v>
      </c>
      <c r="BK204" s="268">
        <f t="shared" si="365"/>
        <v>1.85</v>
      </c>
      <c r="BL204" s="13">
        <f t="shared" si="366"/>
        <v>2500</v>
      </c>
      <c r="BM204" s="13">
        <f>SUMIFS(SALIDAS_BIT,FECHA_BIT,"&gt;="&amp;BM$2,FECHA_BIT,"&lt;="&amp;BM$3,CLAVE_BIT,$A204)+SUMIFS(SALIDAS_BOV1,FECHA_BOV1,"&gt;="&amp;BM$2,FECHA_BOV1,"&lt;="&amp;BM$3,CLAVE_BOV1,$A204)+SUMIFS(SALIDAS_BOV2,FECHA_BOV2,"&gt;="&amp;BM$2,FECHA_BOV2,"&lt;="&amp;BM$3,CLAVE_BOV2,$A204)+SUMIFS(SALIDAS_BOV3,FECHA_BOV3,"&gt;="&amp;BM$2,FECHA_BOV3,"&lt;="&amp;BM$3,CLAVE_BOV3,$A204)+SUMIFS(SALIDAS_TC,FECHA_TC,"&gt;="&amp;BM$2,FECHA_TC,"&lt;="&amp;BM$3,CLAVE_TC,$A204)+SUMIFS(SALIDAS_COMB,FECHA_COMB,"&gt;="&amp;BM$2,FECHA_COMB,"&lt;="&amp;BM$3,CLAVE_COMB,$A204)+SUMIFS(SALIDAS_DES,FECHA_DESGLOSEN,"&gt;="&amp;BM$2,FECHA_DESGLOSEN,"&lt;="&amp;BM$3,CLAVE_DESGLOSE,$A204)</f>
        <v>1500</v>
      </c>
      <c r="BN204" s="13">
        <f>SUMIFS(SALIDAS_BIT,FECHA_BIT,"&gt;="&amp;BN$2,FECHA_BIT,"&lt;="&amp;BN$3,CLAVE_BIT,$A204)+SUMIFS(SALIDAS_BOV1,FECHA_BOV1,"&gt;="&amp;BN$2,FECHA_BOV1,"&lt;="&amp;BN$3,CLAVE_BOV1,$A204)+SUMIFS(SALIDAS_BOV2,FECHA_BOV2,"&gt;="&amp;BN$2,FECHA_BOV2,"&lt;="&amp;BN$3,CLAVE_BOV2,$A204)+SUMIFS(SALIDAS_BOV3,FECHA_BOV3,"&gt;="&amp;BN$2,FECHA_BOV3,"&lt;="&amp;BN$3,CLAVE_BOV3,$A204)+SUMIFS(SALIDAS_TC,FECHA_TC,"&gt;="&amp;BN$2,FECHA_TC,"&lt;="&amp;BN$3,CLAVE_TC,$A204)+SUMIFS(SALIDAS_COMB,FECHA_COMB,"&gt;="&amp;BN$2,FECHA_COMB,"&lt;="&amp;BN$3,CLAVE_COMB,$A204)+SUMIFS(SALIDAS_DES,FECHA_DESGLOSEN,"&gt;="&amp;BN$2,FECHA_DESGLOSEN,"&lt;="&amp;BN$3,CLAVE_DESGLOSE,$A204)</f>
        <v>0</v>
      </c>
      <c r="BO204" s="13">
        <f>SUMIFS(SALIDAS_BIT,FECHA_BIT,"&gt;="&amp;BO$2,FECHA_BIT,"&lt;="&amp;BO$3,CLAVE_BIT,$A204)+SUMIFS(SALIDAS_BOV1,FECHA_BOV1,"&gt;="&amp;BO$2,FECHA_BOV1,"&lt;="&amp;BO$3,CLAVE_BOV1,$A204)+SUMIFS(SALIDAS_BOV2,FECHA_BOV2,"&gt;="&amp;BO$2,FECHA_BOV2,"&lt;="&amp;BO$3,CLAVE_BOV2,$A204)+SUMIFS(SALIDAS_BOV3,FECHA_BOV3,"&gt;="&amp;BO$2,FECHA_BOV3,"&lt;="&amp;BO$3,CLAVE_BOV3,$A204)+SUMIFS(SALIDAS_TC,FECHA_TC,"&gt;="&amp;BO$2,FECHA_TC,"&lt;="&amp;BO$3,CLAVE_TC,$A204)+SUMIFS(SALIDAS_COMB,FECHA_COMB,"&gt;="&amp;BO$2,FECHA_COMB,"&lt;="&amp;BO$3,CLAVE_COMB,$A204)+SUMIFS(SALIDAS_DES,FECHA_DESGLOSEN,"&gt;="&amp;BO$2,FECHA_DESGLOSEN,"&lt;="&amp;BO$3,CLAVE_DESGLOSE,$A204)</f>
        <v>500</v>
      </c>
      <c r="BP204" s="13">
        <f>SUMIFS(SALIDAS_BIT,FECHA_BIT,"&gt;="&amp;BP$2,FECHA_BIT,"&lt;="&amp;BP$3,CLAVE_BIT,$A204)+SUMIFS(SALIDAS_BOV1,FECHA_BOV1,"&gt;="&amp;BP$2,FECHA_BOV1,"&lt;="&amp;BP$3,CLAVE_BOV1,$A204)+SUMIFS(SALIDAS_BOV2,FECHA_BOV2,"&gt;="&amp;BP$2,FECHA_BOV2,"&lt;="&amp;BP$3,CLAVE_BOV2,$A204)+SUMIFS(SALIDAS_BOV3,FECHA_BOV3,"&gt;="&amp;BP$2,FECHA_BOV3,"&lt;="&amp;BP$3,CLAVE_BOV3,$A204)+SUMIFS(SALIDAS_TC,FECHA_TC,"&gt;="&amp;BP$2,FECHA_TC,"&lt;="&amp;BP$3,CLAVE_TC,$A204)+SUMIFS(SALIDAS_COMB,FECHA_COMB,"&gt;="&amp;BP$2,FECHA_COMB,"&lt;="&amp;BP$3,CLAVE_COMB,$A204)+SUMIFS(SALIDAS_DES,FECHA_DESGLOSEN,"&gt;="&amp;BP$2,FECHA_DESGLOSEN,"&lt;="&amp;BP$3,CLAVE_DESGLOSE,$A204)</f>
        <v>500</v>
      </c>
      <c r="BQ204" s="13">
        <f>SUMIFS(SALIDAS_BIT,FECHA_BIT,"&gt;="&amp;BQ$2,FECHA_BIT,"&lt;="&amp;BQ$3,CLAVE_BIT,$A204)+SUMIFS(SALIDAS_BOV1,FECHA_BOV1,"&gt;="&amp;BQ$2,FECHA_BOV1,"&lt;="&amp;BQ$3,CLAVE_BOV1,$A204)+SUMIFS(SALIDAS_BOV2,FECHA_BOV2,"&gt;="&amp;BQ$2,FECHA_BOV2,"&lt;="&amp;BQ$3,CLAVE_BOV2,$A204)+SUMIFS(SALIDAS_BOV3,FECHA_BOV3,"&gt;="&amp;BQ$2,FECHA_BOV3,"&lt;="&amp;BQ$3,CLAVE_BOV3,$A204)+SUMIFS(SALIDAS_TC,FECHA_TC,"&gt;="&amp;BQ$2,FECHA_TC,"&lt;="&amp;BQ$3,CLAVE_TC,$A204)+SUMIFS(SALIDAS_COMB,FECHA_COMB,"&gt;="&amp;BQ$2,FECHA_COMB,"&lt;="&amp;BQ$3,CLAVE_COMB,$A204)+SUMIFS(SALIDAS_DES,FECHA_DESGLOSEN,"&gt;="&amp;BQ$2,FECHA_DESGLOSEN,"&lt;="&amp;BQ$3,CLAVE_DESGLOSE,$A204)</f>
        <v>1000</v>
      </c>
      <c r="BR204" s="13">
        <f t="shared" si="340"/>
        <v>3500</v>
      </c>
      <c r="BS204" s="68">
        <f t="shared" si="367"/>
        <v>-1000</v>
      </c>
      <c r="BT204" s="268">
        <f t="shared" si="368"/>
        <v>1.4</v>
      </c>
      <c r="BU204" s="13">
        <f t="shared" si="369"/>
        <v>2000</v>
      </c>
      <c r="BV204" s="13">
        <f t="shared" si="291"/>
        <v>1700</v>
      </c>
      <c r="BW204" s="13">
        <f t="shared" si="291"/>
        <v>900</v>
      </c>
      <c r="BX204" s="13">
        <f t="shared" si="291"/>
        <v>0</v>
      </c>
      <c r="BY204" s="13">
        <f t="shared" si="291"/>
        <v>0</v>
      </c>
      <c r="BZ204" s="13">
        <f t="shared" si="341"/>
        <v>2600</v>
      </c>
      <c r="CA204" s="68">
        <f t="shared" si="370"/>
        <v>-600</v>
      </c>
      <c r="CB204" s="268">
        <f t="shared" si="371"/>
        <v>1.3</v>
      </c>
      <c r="CC204" s="13">
        <f t="shared" si="372"/>
        <v>2000</v>
      </c>
      <c r="CD204" s="13">
        <f t="shared" si="292"/>
        <v>0</v>
      </c>
      <c r="CE204" s="13">
        <f t="shared" si="292"/>
        <v>1500</v>
      </c>
      <c r="CF204" s="13">
        <f t="shared" si="292"/>
        <v>0</v>
      </c>
      <c r="CG204" s="13">
        <f t="shared" si="292"/>
        <v>0</v>
      </c>
      <c r="CH204" s="13">
        <f t="shared" si="342"/>
        <v>1500</v>
      </c>
      <c r="CI204" s="68">
        <f t="shared" si="373"/>
        <v>500</v>
      </c>
      <c r="CJ204" s="268">
        <f t="shared" si="374"/>
        <v>0.75</v>
      </c>
      <c r="CK204" s="13">
        <f t="shared" si="375"/>
        <v>1000</v>
      </c>
      <c r="CL204" s="13">
        <f t="shared" si="312"/>
        <v>4200</v>
      </c>
      <c r="CM204" s="13">
        <f t="shared" si="312"/>
        <v>1750</v>
      </c>
      <c r="CN204" s="13">
        <f t="shared" si="312"/>
        <v>1250</v>
      </c>
      <c r="CO204" s="13">
        <f t="shared" si="312"/>
        <v>0</v>
      </c>
      <c r="CP204" s="13">
        <f t="shared" si="312"/>
        <v>0</v>
      </c>
      <c r="CQ204" s="13">
        <f t="shared" si="343"/>
        <v>7200</v>
      </c>
      <c r="CR204" s="68">
        <f t="shared" si="376"/>
        <v>-6200</v>
      </c>
      <c r="CS204" s="268">
        <f t="shared" si="377"/>
        <v>7.2</v>
      </c>
      <c r="CT204" s="68">
        <f t="shared" si="350"/>
        <v>4000</v>
      </c>
      <c r="CU204" s="13">
        <f>SUMIFS(SALIDAS_BIT,FECHA_BIT,"&gt;="&amp;CU$2,FECHA_BIT,"&lt;="&amp;CU$3,CLAVE_BIT,$A204)+SUMIFS(SALIDAS_BOV1,FECHA_BOV1,"&gt;="&amp;CU$2,FECHA_BOV1,"&lt;="&amp;CU$3,CLAVE_BOV1,$A204)+SUMIFS(SALIDAS_BOV2,FECHA_BOV2,"&gt;="&amp;CU$2,FECHA_BOV2,"&lt;="&amp;CU$3,CLAVE_BOV2,$A204)+SUMIFS(SALIDAS_BOV3,FECHA_BOV3,"&gt;="&amp;CU$2,FECHA_BOV3,"&lt;="&amp;CU$3,CLAVE_BOV3,$A204)+SUMIFS(SALIDAS_TC,FECHA_TC,"&gt;="&amp;CU$2,FECHA_TC,"&lt;="&amp;CU$3,CLAVE_TC,$A204)+SUMIFS(SALIDAS_COMB,FECHA_COMB,"&gt;="&amp;CU$2,FECHA_COMB,"&lt;="&amp;CU$3,CLAVE_COMB,$A204)+SUMIFS(SALIDAS_DES,FECHA_DESGLOSEN,"&gt;="&amp;CU$2,FECHA_DESGLOSEN,"&lt;="&amp;CU$3,CLAVE_DESGLOSE,$A204)</f>
        <v>2700</v>
      </c>
      <c r="CV204" s="13">
        <f>SUMIFS(SALIDAS_BIT,FECHA_BIT,"&gt;="&amp;CV$2,FECHA_BIT,"&lt;="&amp;CV$3,CLAVE_BIT,$A204)+SUMIFS(SALIDAS_BOV1,FECHA_BOV1,"&gt;="&amp;CV$2,FECHA_BOV1,"&lt;="&amp;CV$3,CLAVE_BOV1,$A204)+SUMIFS(SALIDAS_BOV2,FECHA_BOV2,"&gt;="&amp;CV$2,FECHA_BOV2,"&lt;="&amp;CV$3,CLAVE_BOV2,$A204)+SUMIFS(SALIDAS_BOV3,FECHA_BOV3,"&gt;="&amp;CV$2,FECHA_BOV3,"&lt;="&amp;CV$3,CLAVE_BOV3,$A204)+SUMIFS(SALIDAS_TC,FECHA_TC,"&gt;="&amp;CV$2,FECHA_TC,"&lt;="&amp;CV$3,CLAVE_TC,$A204)+SUMIFS(SALIDAS_COMB,FECHA_COMB,"&gt;="&amp;CV$2,FECHA_COMB,"&lt;="&amp;CV$3,CLAVE_COMB,$A204)+SUMIFS(SALIDAS_DES,FECHA_DESGLOSEN,"&gt;="&amp;CV$2,FECHA_DESGLOSEN,"&lt;="&amp;CV$3,CLAVE_DESGLOSE,$A204)</f>
        <v>2700</v>
      </c>
      <c r="CW204" s="13">
        <f>SUMIFS(SALIDAS_BIT,FECHA_BIT,"&gt;="&amp;CW$2,FECHA_BIT,"&lt;="&amp;CW$3,CLAVE_BIT,$A204)+SUMIFS(SALIDAS_BOV1,FECHA_BOV1,"&gt;="&amp;CW$2,FECHA_BOV1,"&lt;="&amp;CW$3,CLAVE_BOV1,$A204)+SUMIFS(SALIDAS_BOV2,FECHA_BOV2,"&gt;="&amp;CW$2,FECHA_BOV2,"&lt;="&amp;CW$3,CLAVE_BOV2,$A204)+SUMIFS(SALIDAS_BOV3,FECHA_BOV3,"&gt;="&amp;CW$2,FECHA_BOV3,"&lt;="&amp;CW$3,CLAVE_BOV3,$A204)+SUMIFS(SALIDAS_TC,FECHA_TC,"&gt;="&amp;CW$2,FECHA_TC,"&lt;="&amp;CW$3,CLAVE_TC,$A204)+SUMIFS(SALIDAS_COMB,FECHA_COMB,"&gt;="&amp;CW$2,FECHA_COMB,"&lt;="&amp;CW$3,CLAVE_COMB,$A204)+SUMIFS(SALIDAS_DES,FECHA_DESGLOSEN,"&gt;="&amp;CW$2,FECHA_DESGLOSEN,"&lt;="&amp;CW$3,CLAVE_DESGLOSE,$A204)</f>
        <v>0</v>
      </c>
      <c r="CX204" s="13">
        <f>SUMIFS(SALIDAS_BIT,FECHA_BIT,"&gt;="&amp;CX$2,FECHA_BIT,"&lt;="&amp;CX$3,CLAVE_BIT,$A204)+SUMIFS(SALIDAS_BOV1,FECHA_BOV1,"&gt;="&amp;CX$2,FECHA_BOV1,"&lt;="&amp;CX$3,CLAVE_BOV1,$A204)+SUMIFS(SALIDAS_BOV2,FECHA_BOV2,"&gt;="&amp;CX$2,FECHA_BOV2,"&lt;="&amp;CX$3,CLAVE_BOV2,$A204)+SUMIFS(SALIDAS_BOV3,FECHA_BOV3,"&gt;="&amp;CX$2,FECHA_BOV3,"&lt;="&amp;CX$3,CLAVE_BOV3,$A204)+SUMIFS(SALIDAS_TC,FECHA_TC,"&gt;="&amp;CX$2,FECHA_TC,"&lt;="&amp;CX$3,CLAVE_TC,$A204)+SUMIFS(SALIDAS_COMB,FECHA_COMB,"&gt;="&amp;CX$2,FECHA_COMB,"&lt;="&amp;CX$3,CLAVE_COMB,$A204)+SUMIFS(SALIDAS_DES,FECHA_DESGLOSEN,"&gt;="&amp;CX$2,FECHA_DESGLOSEN,"&lt;="&amp;CX$3,CLAVE_DESGLOSE,$A204)</f>
        <v>0</v>
      </c>
      <c r="CY204" s="13">
        <f>SUMIFS(SALIDAS_BIT,FECHA_BIT,"&gt;="&amp;CY$2,FECHA_BIT,"&lt;="&amp;CY$3,CLAVE_BIT,$A204)+SUMIFS(SALIDAS_BOV1,FECHA_BOV1,"&gt;="&amp;CY$2,FECHA_BOV1,"&lt;="&amp;CY$3,CLAVE_BOV1,$A204)+SUMIFS(SALIDAS_BOV2,FECHA_BOV2,"&gt;="&amp;CY$2,FECHA_BOV2,"&lt;="&amp;CY$3,CLAVE_BOV2,$A204)+SUMIFS(SALIDAS_BOV3,FECHA_BOV3,"&gt;="&amp;CY$2,FECHA_BOV3,"&lt;="&amp;CY$3,CLAVE_BOV3,$A204)+SUMIFS(SALIDAS_TC,FECHA_TC,"&gt;="&amp;CY$2,FECHA_TC,"&lt;="&amp;CY$3,CLAVE_TC,$A204)+SUMIFS(SALIDAS_COMB,FECHA_COMB,"&gt;="&amp;CY$2,FECHA_COMB,"&lt;="&amp;CY$3,CLAVE_COMB,$A204)+SUMIFS(SALIDAS_DES,FECHA_DESGLOSEN,"&gt;="&amp;CY$2,FECHA_DESGLOSEN,"&lt;="&amp;CY$3,CLAVE_DESGLOSE,$A204)</f>
        <v>5400</v>
      </c>
      <c r="CZ204" s="68">
        <f t="shared" si="378"/>
        <v>-1400</v>
      </c>
      <c r="DB204" s="17">
        <f>F204+N204+W204+AE204+AM204+AV204+BD204+BL204+BU204+CC204+CK204</f>
        <v>31000</v>
      </c>
      <c r="DC204" s="17">
        <f>K204+T204+AB204+AJ204+AS204+BA204+BI204+BR204+BZ204+CH204+CQ204</f>
        <v>39200</v>
      </c>
    </row>
    <row r="205" spans="1:107" hidden="1">
      <c r="A205" s="12" t="str">
        <f t="shared" si="351"/>
        <v>SERVICIOSCOMBUSTIBLEMANTENIMIENTO</v>
      </c>
      <c r="B205" s="12">
        <v>207</v>
      </c>
      <c r="C205" t="s">
        <v>21</v>
      </c>
      <c r="D205" s="12" t="s">
        <v>32</v>
      </c>
      <c r="E205" s="12" t="s">
        <v>35</v>
      </c>
      <c r="F205" s="259">
        <f t="shared" si="344"/>
        <v>0</v>
      </c>
      <c r="G205" s="13">
        <f t="shared" si="335"/>
        <v>1000</v>
      </c>
      <c r="H205" s="13">
        <f t="shared" si="335"/>
        <v>0</v>
      </c>
      <c r="I205" s="13">
        <f t="shared" si="335"/>
        <v>2000</v>
      </c>
      <c r="J205" s="13">
        <f t="shared" si="335"/>
        <v>500</v>
      </c>
      <c r="K205" s="13">
        <f t="shared" si="335"/>
        <v>3500</v>
      </c>
      <c r="L205" s="68">
        <f t="shared" si="352"/>
        <v>-3500</v>
      </c>
      <c r="M205" s="268">
        <f t="shared" si="353"/>
        <v>0</v>
      </c>
      <c r="N205" s="13">
        <f t="shared" si="345"/>
        <v>0</v>
      </c>
      <c r="O205" s="13">
        <f t="shared" si="336"/>
        <v>0</v>
      </c>
      <c r="P205" s="13">
        <f t="shared" si="336"/>
        <v>0</v>
      </c>
      <c r="Q205" s="13">
        <f t="shared" si="336"/>
        <v>0</v>
      </c>
      <c r="R205" s="13">
        <f t="shared" si="336"/>
        <v>1000</v>
      </c>
      <c r="S205" s="13">
        <f t="shared" si="336"/>
        <v>0</v>
      </c>
      <c r="T205" s="13">
        <f t="shared" si="336"/>
        <v>1000</v>
      </c>
      <c r="U205" s="68">
        <f t="shared" si="354"/>
        <v>-1000</v>
      </c>
      <c r="V205" s="268">
        <f t="shared" si="355"/>
        <v>0</v>
      </c>
      <c r="W205" s="13">
        <f t="shared" si="346"/>
        <v>0</v>
      </c>
      <c r="X205" s="13">
        <f t="shared" si="337"/>
        <v>2000</v>
      </c>
      <c r="Y205" s="13">
        <f t="shared" si="337"/>
        <v>500</v>
      </c>
      <c r="Z205" s="13">
        <f t="shared" si="337"/>
        <v>1000</v>
      </c>
      <c r="AA205" s="13">
        <f t="shared" si="337"/>
        <v>1500</v>
      </c>
      <c r="AB205" s="13">
        <f t="shared" si="337"/>
        <v>5000</v>
      </c>
      <c r="AC205" s="68">
        <f t="shared" si="356"/>
        <v>-5000</v>
      </c>
      <c r="AD205" s="268">
        <f t="shared" si="357"/>
        <v>0</v>
      </c>
      <c r="AE205" s="13">
        <f t="shared" si="347"/>
        <v>0</v>
      </c>
      <c r="AF205" s="13">
        <f t="shared" si="338"/>
        <v>1000</v>
      </c>
      <c r="AG205" s="13">
        <f t="shared" si="338"/>
        <v>0</v>
      </c>
      <c r="AH205" s="13">
        <f t="shared" si="338"/>
        <v>0</v>
      </c>
      <c r="AI205" s="13">
        <f t="shared" si="338"/>
        <v>0</v>
      </c>
      <c r="AJ205" s="13">
        <f t="shared" si="338"/>
        <v>1000</v>
      </c>
      <c r="AK205" s="68">
        <f t="shared" si="358"/>
        <v>-1000</v>
      </c>
      <c r="AL205" s="268">
        <f t="shared" si="359"/>
        <v>0</v>
      </c>
      <c r="AM205" s="13">
        <f t="shared" si="348"/>
        <v>0</v>
      </c>
      <c r="AN205" s="13">
        <f t="shared" si="339"/>
        <v>500</v>
      </c>
      <c r="AO205" s="13">
        <f t="shared" si="339"/>
        <v>500</v>
      </c>
      <c r="AP205" s="13">
        <f t="shared" si="339"/>
        <v>0</v>
      </c>
      <c r="AQ205" s="13">
        <f t="shared" si="339"/>
        <v>0</v>
      </c>
      <c r="AR205" s="13">
        <f t="shared" si="339"/>
        <v>500</v>
      </c>
      <c r="AS205" s="13">
        <f t="shared" si="339"/>
        <v>1500</v>
      </c>
      <c r="AT205" s="68">
        <f>AM205-AS205</f>
        <v>-1500</v>
      </c>
      <c r="AU205" s="268">
        <f t="shared" si="360"/>
        <v>0</v>
      </c>
      <c r="AV205" s="13">
        <f t="shared" si="349"/>
        <v>0</v>
      </c>
      <c r="AW205" s="13">
        <f t="shared" si="323"/>
        <v>1000</v>
      </c>
      <c r="AX205" s="13">
        <f t="shared" si="323"/>
        <v>0</v>
      </c>
      <c r="AY205" s="13">
        <f t="shared" si="323"/>
        <v>0</v>
      </c>
      <c r="AZ205" s="13">
        <f t="shared" si="323"/>
        <v>700</v>
      </c>
      <c r="BA205" s="13">
        <f t="shared" si="379"/>
        <v>1700</v>
      </c>
      <c r="BB205" s="68">
        <f t="shared" si="361"/>
        <v>-1700</v>
      </c>
      <c r="BC205" s="268">
        <f t="shared" si="362"/>
        <v>0</v>
      </c>
      <c r="BD205" s="13">
        <f t="shared" si="363"/>
        <v>0</v>
      </c>
      <c r="BE205" s="13">
        <f>SUMIFS(SALIDAS_BIT,FECHA_BIT,"&gt;="&amp;BE$2,FECHA_BIT,"&lt;="&amp;BE$3,CLAVE_BIT,$A205)+SUMIFS(SALIDAS_BOV1,FECHA_BOV1,"&gt;="&amp;BE$2,FECHA_BOV1,"&lt;="&amp;BE$3,CLAVE_BOV1,$A205)+SUMIFS(SALIDAS_BOV2,FECHA_BOV2,"&gt;="&amp;BE$2,FECHA_BOV2,"&lt;="&amp;BE$3,CLAVE_BOV2,$A205)+SUMIFS(SALIDAS_BOV3,FECHA_BOV3,"&gt;="&amp;BE$2,FECHA_BOV3,"&lt;="&amp;BE$3,CLAVE_BOV3,$A205)+SUMIFS(SALIDAS_TC,FECHA_TC,"&gt;="&amp;BE$2,FECHA_TC,"&lt;="&amp;BE$3,CLAVE_TC,$A205)+SUMIFS(SALIDAS_COMB,FECHA_COMB,"&gt;="&amp;BE$2,FECHA_COMB,"&lt;="&amp;BE$3,CLAVE_COMB,$A205)+SUMIFS(SALIDAS_DES,FECHA_DESGLOSEN,"&gt;="&amp;BE$2,FECHA_DESGLOSEN,"&lt;="&amp;BE$3,CLAVE_DESGLOSE,$A205)</f>
        <v>1420.28</v>
      </c>
      <c r="BF205" s="13">
        <f>SUMIFS(SALIDAS_BIT,FECHA_BIT,"&gt;="&amp;BF$2,FECHA_BIT,"&lt;="&amp;BF$3,CLAVE_BIT,$A205)+SUMIFS(SALIDAS_BOV1,FECHA_BOV1,"&gt;="&amp;BF$2,FECHA_BOV1,"&lt;="&amp;BF$3,CLAVE_BOV1,$A205)+SUMIFS(SALIDAS_BOV2,FECHA_BOV2,"&gt;="&amp;BF$2,FECHA_BOV2,"&lt;="&amp;BF$3,CLAVE_BOV2,$A205)+SUMIFS(SALIDAS_BOV3,FECHA_BOV3,"&gt;="&amp;BF$2,FECHA_BOV3,"&lt;="&amp;BF$3,CLAVE_BOV3,$A205)+SUMIFS(SALIDAS_TC,FECHA_TC,"&gt;="&amp;BF$2,FECHA_TC,"&lt;="&amp;BF$3,CLAVE_TC,$A205)+SUMIFS(SALIDAS_COMB,FECHA_COMB,"&gt;="&amp;BF$2,FECHA_COMB,"&lt;="&amp;BF$3,CLAVE_COMB,$A205)+SUMIFS(SALIDAS_DES,FECHA_DESGLOSEN,"&gt;="&amp;BF$2,FECHA_DESGLOSEN,"&lt;="&amp;BF$3,CLAVE_DESGLOSE,$A205)</f>
        <v>500</v>
      </c>
      <c r="BG205" s="13">
        <f>SUMIFS(SALIDAS_BIT,FECHA_BIT,"&gt;="&amp;BG$2,FECHA_BIT,"&lt;="&amp;BG$3,CLAVE_BIT,$A205)+SUMIFS(SALIDAS_BOV1,FECHA_BOV1,"&gt;="&amp;BG$2,FECHA_BOV1,"&lt;="&amp;BG$3,CLAVE_BOV1,$A205)+SUMIFS(SALIDAS_BOV2,FECHA_BOV2,"&gt;="&amp;BG$2,FECHA_BOV2,"&lt;="&amp;BG$3,CLAVE_BOV2,$A205)+SUMIFS(SALIDAS_BOV3,FECHA_BOV3,"&gt;="&amp;BG$2,FECHA_BOV3,"&lt;="&amp;BG$3,CLAVE_BOV3,$A205)+SUMIFS(SALIDAS_TC,FECHA_TC,"&gt;="&amp;BG$2,FECHA_TC,"&lt;="&amp;BG$3,CLAVE_TC,$A205)+SUMIFS(SALIDAS_COMB,FECHA_COMB,"&gt;="&amp;BG$2,FECHA_COMB,"&lt;="&amp;BG$3,CLAVE_COMB,$A205)+SUMIFS(SALIDAS_DES,FECHA_DESGLOSEN,"&gt;="&amp;BG$2,FECHA_DESGLOSEN,"&lt;="&amp;BG$3,CLAVE_DESGLOSE,$A205)</f>
        <v>1000</v>
      </c>
      <c r="BH205" s="13">
        <f>SUMIFS(SALIDAS_BIT,FECHA_BIT,"&gt;="&amp;BH$2,FECHA_BIT,"&lt;="&amp;BH$3,CLAVE_BIT,$A205)+SUMIFS(SALIDAS_BOV1,FECHA_BOV1,"&gt;="&amp;BH$2,FECHA_BOV1,"&lt;="&amp;BH$3,CLAVE_BOV1,$A205)+SUMIFS(SALIDAS_BOV2,FECHA_BOV2,"&gt;="&amp;BH$2,FECHA_BOV2,"&lt;="&amp;BH$3,CLAVE_BOV2,$A205)+SUMIFS(SALIDAS_BOV3,FECHA_BOV3,"&gt;="&amp;BH$2,FECHA_BOV3,"&lt;="&amp;BH$3,CLAVE_BOV3,$A205)+SUMIFS(SALIDAS_TC,FECHA_TC,"&gt;="&amp;BH$2,FECHA_TC,"&lt;="&amp;BH$3,CLAVE_TC,$A205)+SUMIFS(SALIDAS_COMB,FECHA_COMB,"&gt;="&amp;BH$2,FECHA_COMB,"&lt;="&amp;BH$3,CLAVE_COMB,$A205)+SUMIFS(SALIDAS_DES,FECHA_DESGLOSEN,"&gt;="&amp;BH$2,FECHA_DESGLOSEN,"&lt;="&amp;BH$3,CLAVE_DESGLOSE,$A205)</f>
        <v>300</v>
      </c>
      <c r="BI205" s="13">
        <f t="shared" si="311"/>
        <v>3220.2799999999997</v>
      </c>
      <c r="BJ205" s="68">
        <f t="shared" si="364"/>
        <v>-3220.2799999999997</v>
      </c>
      <c r="BK205" s="268">
        <f t="shared" si="365"/>
        <v>0</v>
      </c>
      <c r="BL205" s="13">
        <f t="shared" si="366"/>
        <v>0</v>
      </c>
      <c r="BM205" s="13">
        <f>SUMIFS(SALIDAS_BIT,FECHA_BIT,"&gt;="&amp;BM$2,FECHA_BIT,"&lt;="&amp;BM$3,CLAVE_BIT,$A205)+SUMIFS(SALIDAS_BOV1,FECHA_BOV1,"&gt;="&amp;BM$2,FECHA_BOV1,"&lt;="&amp;BM$3,CLAVE_BOV1,$A205)+SUMIFS(SALIDAS_BOV2,FECHA_BOV2,"&gt;="&amp;BM$2,FECHA_BOV2,"&lt;="&amp;BM$3,CLAVE_BOV2,$A205)+SUMIFS(SALIDAS_BOV3,FECHA_BOV3,"&gt;="&amp;BM$2,FECHA_BOV3,"&lt;="&amp;BM$3,CLAVE_BOV3,$A205)+SUMIFS(SALIDAS_TC,FECHA_TC,"&gt;="&amp;BM$2,FECHA_TC,"&lt;="&amp;BM$3,CLAVE_TC,$A205)+SUMIFS(SALIDAS_COMB,FECHA_COMB,"&gt;="&amp;BM$2,FECHA_COMB,"&lt;="&amp;BM$3,CLAVE_COMB,$A205)+SUMIFS(SALIDAS_DES,FECHA_DESGLOSEN,"&gt;="&amp;BM$2,FECHA_DESGLOSEN,"&lt;="&amp;BM$3,CLAVE_DESGLOSE,$A205)</f>
        <v>2000</v>
      </c>
      <c r="BN205" s="13">
        <f>SUMIFS(SALIDAS_BIT,FECHA_BIT,"&gt;="&amp;BN$2,FECHA_BIT,"&lt;="&amp;BN$3,CLAVE_BIT,$A205)+SUMIFS(SALIDAS_BOV1,FECHA_BOV1,"&gt;="&amp;BN$2,FECHA_BOV1,"&lt;="&amp;BN$3,CLAVE_BOV1,$A205)+SUMIFS(SALIDAS_BOV2,FECHA_BOV2,"&gt;="&amp;BN$2,FECHA_BOV2,"&lt;="&amp;BN$3,CLAVE_BOV2,$A205)+SUMIFS(SALIDAS_BOV3,FECHA_BOV3,"&gt;="&amp;BN$2,FECHA_BOV3,"&lt;="&amp;BN$3,CLAVE_BOV3,$A205)+SUMIFS(SALIDAS_TC,FECHA_TC,"&gt;="&amp;BN$2,FECHA_TC,"&lt;="&amp;BN$3,CLAVE_TC,$A205)+SUMIFS(SALIDAS_COMB,FECHA_COMB,"&gt;="&amp;BN$2,FECHA_COMB,"&lt;="&amp;BN$3,CLAVE_COMB,$A205)+SUMIFS(SALIDAS_DES,FECHA_DESGLOSEN,"&gt;="&amp;BN$2,FECHA_DESGLOSEN,"&lt;="&amp;BN$3,CLAVE_DESGLOSE,$A205)</f>
        <v>1949</v>
      </c>
      <c r="BO205" s="13">
        <f>SUMIFS(SALIDAS_BIT,FECHA_BIT,"&gt;="&amp;BO$2,FECHA_BIT,"&lt;="&amp;BO$3,CLAVE_BIT,$A205)+SUMIFS(SALIDAS_BOV1,FECHA_BOV1,"&gt;="&amp;BO$2,FECHA_BOV1,"&lt;="&amp;BO$3,CLAVE_BOV1,$A205)+SUMIFS(SALIDAS_BOV2,FECHA_BOV2,"&gt;="&amp;BO$2,FECHA_BOV2,"&lt;="&amp;BO$3,CLAVE_BOV2,$A205)+SUMIFS(SALIDAS_BOV3,FECHA_BOV3,"&gt;="&amp;BO$2,FECHA_BOV3,"&lt;="&amp;BO$3,CLAVE_BOV3,$A205)+SUMIFS(SALIDAS_TC,FECHA_TC,"&gt;="&amp;BO$2,FECHA_TC,"&lt;="&amp;BO$3,CLAVE_TC,$A205)+SUMIFS(SALIDAS_COMB,FECHA_COMB,"&gt;="&amp;BO$2,FECHA_COMB,"&lt;="&amp;BO$3,CLAVE_COMB,$A205)+SUMIFS(SALIDAS_DES,FECHA_DESGLOSEN,"&gt;="&amp;BO$2,FECHA_DESGLOSEN,"&lt;="&amp;BO$3,CLAVE_DESGLOSE,$A205)</f>
        <v>1500</v>
      </c>
      <c r="BP205" s="13">
        <f>SUMIFS(SALIDAS_BIT,FECHA_BIT,"&gt;="&amp;BP$2,FECHA_BIT,"&lt;="&amp;BP$3,CLAVE_BIT,$A205)+SUMIFS(SALIDAS_BOV1,FECHA_BOV1,"&gt;="&amp;BP$2,FECHA_BOV1,"&lt;="&amp;BP$3,CLAVE_BOV1,$A205)+SUMIFS(SALIDAS_BOV2,FECHA_BOV2,"&gt;="&amp;BP$2,FECHA_BOV2,"&lt;="&amp;BP$3,CLAVE_BOV2,$A205)+SUMIFS(SALIDAS_BOV3,FECHA_BOV3,"&gt;="&amp;BP$2,FECHA_BOV3,"&lt;="&amp;BP$3,CLAVE_BOV3,$A205)+SUMIFS(SALIDAS_TC,FECHA_TC,"&gt;="&amp;BP$2,FECHA_TC,"&lt;="&amp;BP$3,CLAVE_TC,$A205)+SUMIFS(SALIDAS_COMB,FECHA_COMB,"&gt;="&amp;BP$2,FECHA_COMB,"&lt;="&amp;BP$3,CLAVE_COMB,$A205)+SUMIFS(SALIDAS_DES,FECHA_DESGLOSEN,"&gt;="&amp;BP$2,FECHA_DESGLOSEN,"&lt;="&amp;BP$3,CLAVE_DESGLOSE,$A205)</f>
        <v>0</v>
      </c>
      <c r="BQ205" s="13">
        <f>SUMIFS(SALIDAS_BIT,FECHA_BIT,"&gt;="&amp;BQ$2,FECHA_BIT,"&lt;="&amp;BQ$3,CLAVE_BIT,$A205)+SUMIFS(SALIDAS_BOV1,FECHA_BOV1,"&gt;="&amp;BQ$2,FECHA_BOV1,"&lt;="&amp;BQ$3,CLAVE_BOV1,$A205)+SUMIFS(SALIDAS_BOV2,FECHA_BOV2,"&gt;="&amp;BQ$2,FECHA_BOV2,"&lt;="&amp;BQ$3,CLAVE_BOV2,$A205)+SUMIFS(SALIDAS_BOV3,FECHA_BOV3,"&gt;="&amp;BQ$2,FECHA_BOV3,"&lt;="&amp;BQ$3,CLAVE_BOV3,$A205)+SUMIFS(SALIDAS_TC,FECHA_TC,"&gt;="&amp;BQ$2,FECHA_TC,"&lt;="&amp;BQ$3,CLAVE_TC,$A205)+SUMIFS(SALIDAS_COMB,FECHA_COMB,"&gt;="&amp;BQ$2,FECHA_COMB,"&lt;="&amp;BQ$3,CLAVE_COMB,$A205)+SUMIFS(SALIDAS_DES,FECHA_DESGLOSEN,"&gt;="&amp;BQ$2,FECHA_DESGLOSEN,"&lt;="&amp;BQ$3,CLAVE_DESGLOSE,$A205)</f>
        <v>200</v>
      </c>
      <c r="BR205" s="13">
        <f t="shared" si="340"/>
        <v>5649</v>
      </c>
      <c r="BS205" s="68">
        <f t="shared" si="367"/>
        <v>-5649</v>
      </c>
      <c r="BT205" s="268">
        <f t="shared" si="368"/>
        <v>0</v>
      </c>
      <c r="BU205" s="13">
        <f t="shared" si="369"/>
        <v>0</v>
      </c>
      <c r="BV205" s="13">
        <f t="shared" si="291"/>
        <v>0</v>
      </c>
      <c r="BW205" s="13">
        <f t="shared" si="291"/>
        <v>0</v>
      </c>
      <c r="BX205" s="13">
        <f t="shared" si="291"/>
        <v>0</v>
      </c>
      <c r="BY205" s="13">
        <f t="shared" si="291"/>
        <v>0</v>
      </c>
      <c r="BZ205" s="13">
        <f t="shared" si="341"/>
        <v>0</v>
      </c>
      <c r="CA205" s="68">
        <f t="shared" si="370"/>
        <v>0</v>
      </c>
      <c r="CB205" s="268">
        <f t="shared" si="371"/>
        <v>0</v>
      </c>
      <c r="CC205" s="13">
        <f t="shared" si="372"/>
        <v>0</v>
      </c>
      <c r="CD205" s="13">
        <f t="shared" si="292"/>
        <v>0</v>
      </c>
      <c r="CE205" s="13">
        <f t="shared" si="292"/>
        <v>0</v>
      </c>
      <c r="CF205" s="13">
        <f t="shared" si="292"/>
        <v>0</v>
      </c>
      <c r="CG205" s="13">
        <f t="shared" si="292"/>
        <v>0</v>
      </c>
      <c r="CH205" s="13">
        <f t="shared" si="342"/>
        <v>0</v>
      </c>
      <c r="CI205" s="68">
        <f t="shared" si="373"/>
        <v>0</v>
      </c>
      <c r="CJ205" s="268">
        <f t="shared" si="374"/>
        <v>0</v>
      </c>
      <c r="CK205" s="13">
        <f t="shared" si="375"/>
        <v>0</v>
      </c>
      <c r="CL205" s="13">
        <f t="shared" si="312"/>
        <v>200</v>
      </c>
      <c r="CM205" s="13">
        <f t="shared" si="312"/>
        <v>0</v>
      </c>
      <c r="CN205" s="13">
        <f t="shared" si="312"/>
        <v>4000</v>
      </c>
      <c r="CO205" s="13">
        <f t="shared" si="312"/>
        <v>400</v>
      </c>
      <c r="CP205" s="13">
        <f t="shared" si="312"/>
        <v>0</v>
      </c>
      <c r="CQ205" s="13">
        <f t="shared" si="343"/>
        <v>4600</v>
      </c>
      <c r="CR205" s="68">
        <f t="shared" si="376"/>
        <v>-4600</v>
      </c>
      <c r="CS205" s="268">
        <f t="shared" si="377"/>
        <v>0</v>
      </c>
      <c r="CT205" s="68">
        <f t="shared" si="350"/>
        <v>5000</v>
      </c>
      <c r="CU205" s="13">
        <f>SUMIFS(SALIDAS_BIT,FECHA_BIT,"&gt;="&amp;CU$2,FECHA_BIT,"&lt;="&amp;CU$3,CLAVE_BIT,$A205)+SUMIFS(SALIDAS_BOV1,FECHA_BOV1,"&gt;="&amp;CU$2,FECHA_BOV1,"&lt;="&amp;CU$3,CLAVE_BOV1,$A205)+SUMIFS(SALIDAS_BOV2,FECHA_BOV2,"&gt;="&amp;CU$2,FECHA_BOV2,"&lt;="&amp;CU$3,CLAVE_BOV2,$A205)+SUMIFS(SALIDAS_BOV3,FECHA_BOV3,"&gt;="&amp;CU$2,FECHA_BOV3,"&lt;="&amp;CU$3,CLAVE_BOV3,$A205)+SUMIFS(SALIDAS_TC,FECHA_TC,"&gt;="&amp;CU$2,FECHA_TC,"&lt;="&amp;CU$3,CLAVE_TC,$A205)+SUMIFS(SALIDAS_COMB,FECHA_COMB,"&gt;="&amp;CU$2,FECHA_COMB,"&lt;="&amp;CU$3,CLAVE_COMB,$A205)+SUMIFS(SALIDAS_DES,FECHA_DESGLOSEN,"&gt;="&amp;CU$2,FECHA_DESGLOSEN,"&lt;="&amp;CU$3,CLAVE_DESGLOSE,$A205)</f>
        <v>4450</v>
      </c>
      <c r="CV205" s="13">
        <f>SUMIFS(SALIDAS_BIT,FECHA_BIT,"&gt;="&amp;CV$2,FECHA_BIT,"&lt;="&amp;CV$3,CLAVE_BIT,$A205)+SUMIFS(SALIDAS_BOV1,FECHA_BOV1,"&gt;="&amp;CV$2,FECHA_BOV1,"&lt;="&amp;CV$3,CLAVE_BOV1,$A205)+SUMIFS(SALIDAS_BOV2,FECHA_BOV2,"&gt;="&amp;CV$2,FECHA_BOV2,"&lt;="&amp;CV$3,CLAVE_BOV2,$A205)+SUMIFS(SALIDAS_BOV3,FECHA_BOV3,"&gt;="&amp;CV$2,FECHA_BOV3,"&lt;="&amp;CV$3,CLAVE_BOV3,$A205)+SUMIFS(SALIDAS_TC,FECHA_TC,"&gt;="&amp;CV$2,FECHA_TC,"&lt;="&amp;CV$3,CLAVE_TC,$A205)+SUMIFS(SALIDAS_COMB,FECHA_COMB,"&gt;="&amp;CV$2,FECHA_COMB,"&lt;="&amp;CV$3,CLAVE_COMB,$A205)+SUMIFS(SALIDAS_DES,FECHA_DESGLOSEN,"&gt;="&amp;CV$2,FECHA_DESGLOSEN,"&lt;="&amp;CV$3,CLAVE_DESGLOSE,$A205)</f>
        <v>1500</v>
      </c>
      <c r="CW205" s="13">
        <f>SUMIFS(SALIDAS_BIT,FECHA_BIT,"&gt;="&amp;CW$2,FECHA_BIT,"&lt;="&amp;CW$3,CLAVE_BIT,$A205)+SUMIFS(SALIDAS_BOV1,FECHA_BOV1,"&gt;="&amp;CW$2,FECHA_BOV1,"&lt;="&amp;CW$3,CLAVE_BOV1,$A205)+SUMIFS(SALIDAS_BOV2,FECHA_BOV2,"&gt;="&amp;CW$2,FECHA_BOV2,"&lt;="&amp;CW$3,CLAVE_BOV2,$A205)+SUMIFS(SALIDAS_BOV3,FECHA_BOV3,"&gt;="&amp;CW$2,FECHA_BOV3,"&lt;="&amp;CW$3,CLAVE_BOV3,$A205)+SUMIFS(SALIDAS_TC,FECHA_TC,"&gt;="&amp;CW$2,FECHA_TC,"&lt;="&amp;CW$3,CLAVE_TC,$A205)+SUMIFS(SALIDAS_COMB,FECHA_COMB,"&gt;="&amp;CW$2,FECHA_COMB,"&lt;="&amp;CW$3,CLAVE_COMB,$A205)+SUMIFS(SALIDAS_DES,FECHA_DESGLOSEN,"&gt;="&amp;CW$2,FECHA_DESGLOSEN,"&lt;="&amp;CW$3,CLAVE_DESGLOSE,$A205)</f>
        <v>0</v>
      </c>
      <c r="CX205" s="13">
        <f>SUMIFS(SALIDAS_BIT,FECHA_BIT,"&gt;="&amp;CX$2,FECHA_BIT,"&lt;="&amp;CX$3,CLAVE_BIT,$A205)+SUMIFS(SALIDAS_BOV1,FECHA_BOV1,"&gt;="&amp;CX$2,FECHA_BOV1,"&lt;="&amp;CX$3,CLAVE_BOV1,$A205)+SUMIFS(SALIDAS_BOV2,FECHA_BOV2,"&gt;="&amp;CX$2,FECHA_BOV2,"&lt;="&amp;CX$3,CLAVE_BOV2,$A205)+SUMIFS(SALIDAS_BOV3,FECHA_BOV3,"&gt;="&amp;CX$2,FECHA_BOV3,"&lt;="&amp;CX$3,CLAVE_BOV3,$A205)+SUMIFS(SALIDAS_TC,FECHA_TC,"&gt;="&amp;CX$2,FECHA_TC,"&lt;="&amp;CX$3,CLAVE_TC,$A205)+SUMIFS(SALIDAS_COMB,FECHA_COMB,"&gt;="&amp;CX$2,FECHA_COMB,"&lt;="&amp;CX$3,CLAVE_COMB,$A205)+SUMIFS(SALIDAS_DES,FECHA_DESGLOSEN,"&gt;="&amp;CX$2,FECHA_DESGLOSEN,"&lt;="&amp;CX$3,CLAVE_DESGLOSE,$A205)</f>
        <v>0</v>
      </c>
      <c r="CY205" s="13">
        <f>SUMIFS(SALIDAS_BIT,FECHA_BIT,"&gt;="&amp;CY$2,FECHA_BIT,"&lt;="&amp;CY$3,CLAVE_BIT,$A205)+SUMIFS(SALIDAS_BOV1,FECHA_BOV1,"&gt;="&amp;CY$2,FECHA_BOV1,"&lt;="&amp;CY$3,CLAVE_BOV1,$A205)+SUMIFS(SALIDAS_BOV2,FECHA_BOV2,"&gt;="&amp;CY$2,FECHA_BOV2,"&lt;="&amp;CY$3,CLAVE_BOV2,$A205)+SUMIFS(SALIDAS_BOV3,FECHA_BOV3,"&gt;="&amp;CY$2,FECHA_BOV3,"&lt;="&amp;CY$3,CLAVE_BOV3,$A205)+SUMIFS(SALIDAS_TC,FECHA_TC,"&gt;="&amp;CY$2,FECHA_TC,"&lt;="&amp;CY$3,CLAVE_TC,$A205)+SUMIFS(SALIDAS_COMB,FECHA_COMB,"&gt;="&amp;CY$2,FECHA_COMB,"&lt;="&amp;CY$3,CLAVE_COMB,$A205)+SUMIFS(SALIDAS_DES,FECHA_DESGLOSEN,"&gt;="&amp;CY$2,FECHA_DESGLOSEN,"&lt;="&amp;CY$3,CLAVE_DESGLOSE,$A205)</f>
        <v>5950</v>
      </c>
      <c r="CZ205" s="68">
        <f t="shared" si="378"/>
        <v>-950</v>
      </c>
      <c r="DB205" s="17">
        <f>F205+N205+W205+AE205+AM205+AV205+BD205+BL205+BU205+CC205+CK205</f>
        <v>0</v>
      </c>
      <c r="DC205" s="17">
        <f>K205+T205+AB205+AJ205+AS205+BA205+BI205+BR205+BZ205+CH205+CQ205</f>
        <v>27169.279999999999</v>
      </c>
    </row>
    <row r="206" spans="1:107" hidden="1">
      <c r="A206" s="12" t="str">
        <f t="shared" si="351"/>
        <v>SERVICIOSCOMBUSTIBLESERVICIOS</v>
      </c>
      <c r="B206" s="12">
        <v>208</v>
      </c>
      <c r="C206" t="s">
        <v>21</v>
      </c>
      <c r="D206" s="12" t="s">
        <v>32</v>
      </c>
      <c r="E206" s="12" t="s">
        <v>21</v>
      </c>
      <c r="F206" s="259">
        <f t="shared" si="344"/>
        <v>3200</v>
      </c>
      <c r="G206" s="13">
        <f t="shared" si="335"/>
        <v>400</v>
      </c>
      <c r="H206" s="13">
        <f t="shared" si="335"/>
        <v>500</v>
      </c>
      <c r="I206" s="13">
        <f t="shared" si="335"/>
        <v>0</v>
      </c>
      <c r="J206" s="13">
        <f t="shared" si="335"/>
        <v>900</v>
      </c>
      <c r="K206" s="13">
        <f t="shared" si="335"/>
        <v>1800</v>
      </c>
      <c r="L206" s="68">
        <f t="shared" si="352"/>
        <v>1400</v>
      </c>
      <c r="M206" s="268">
        <f t="shared" si="353"/>
        <v>0.5625</v>
      </c>
      <c r="N206" s="13">
        <f t="shared" si="345"/>
        <v>4200</v>
      </c>
      <c r="O206" s="13">
        <f t="shared" si="336"/>
        <v>400</v>
      </c>
      <c r="P206" s="13">
        <f t="shared" si="336"/>
        <v>0</v>
      </c>
      <c r="Q206" s="13">
        <f t="shared" si="336"/>
        <v>2500</v>
      </c>
      <c r="R206" s="13">
        <f t="shared" si="336"/>
        <v>2500</v>
      </c>
      <c r="S206" s="13">
        <f t="shared" si="336"/>
        <v>300</v>
      </c>
      <c r="T206" s="13">
        <f t="shared" si="336"/>
        <v>5700</v>
      </c>
      <c r="U206" s="68">
        <f t="shared" si="354"/>
        <v>-1500</v>
      </c>
      <c r="V206" s="268">
        <f t="shared" si="355"/>
        <v>1.3571428571428572</v>
      </c>
      <c r="W206" s="13">
        <f t="shared" si="346"/>
        <v>3200</v>
      </c>
      <c r="X206" s="13">
        <f t="shared" si="337"/>
        <v>900</v>
      </c>
      <c r="Y206" s="13">
        <f t="shared" si="337"/>
        <v>0</v>
      </c>
      <c r="Z206" s="13">
        <f t="shared" si="337"/>
        <v>400</v>
      </c>
      <c r="AA206" s="13">
        <f t="shared" si="337"/>
        <v>400</v>
      </c>
      <c r="AB206" s="13">
        <f t="shared" si="337"/>
        <v>1700</v>
      </c>
      <c r="AC206" s="68">
        <f t="shared" si="356"/>
        <v>1500</v>
      </c>
      <c r="AD206" s="268">
        <f t="shared" si="357"/>
        <v>0.53125</v>
      </c>
      <c r="AE206" s="13">
        <f t="shared" si="347"/>
        <v>4200</v>
      </c>
      <c r="AF206" s="13">
        <f t="shared" si="338"/>
        <v>1500</v>
      </c>
      <c r="AG206" s="13">
        <f t="shared" si="338"/>
        <v>0</v>
      </c>
      <c r="AH206" s="13">
        <f t="shared" si="338"/>
        <v>400</v>
      </c>
      <c r="AI206" s="13">
        <f t="shared" si="338"/>
        <v>1400</v>
      </c>
      <c r="AJ206" s="13">
        <f t="shared" si="338"/>
        <v>3300</v>
      </c>
      <c r="AK206" s="68">
        <f t="shared" si="358"/>
        <v>900</v>
      </c>
      <c r="AL206" s="268">
        <f t="shared" si="359"/>
        <v>0.7857142857142857</v>
      </c>
      <c r="AM206" s="13">
        <f t="shared" si="348"/>
        <v>4200</v>
      </c>
      <c r="AN206" s="13">
        <f t="shared" si="339"/>
        <v>1900</v>
      </c>
      <c r="AO206" s="13">
        <f t="shared" si="339"/>
        <v>400</v>
      </c>
      <c r="AP206" s="13">
        <f t="shared" si="339"/>
        <v>900</v>
      </c>
      <c r="AQ206" s="13">
        <f t="shared" si="339"/>
        <v>400</v>
      </c>
      <c r="AR206" s="13">
        <f t="shared" si="339"/>
        <v>0</v>
      </c>
      <c r="AS206" s="13">
        <f t="shared" si="339"/>
        <v>3600</v>
      </c>
      <c r="AT206" s="68">
        <f>AM206-AS206</f>
        <v>600</v>
      </c>
      <c r="AU206" s="268">
        <f t="shared" si="360"/>
        <v>0.8571428571428571</v>
      </c>
      <c r="AV206" s="13">
        <f t="shared" si="349"/>
        <v>3200</v>
      </c>
      <c r="AW206" s="13">
        <f t="shared" si="323"/>
        <v>1500</v>
      </c>
      <c r="AX206" s="13">
        <f t="shared" si="323"/>
        <v>400</v>
      </c>
      <c r="AY206" s="13">
        <f t="shared" si="323"/>
        <v>0</v>
      </c>
      <c r="AZ206" s="13">
        <f t="shared" si="323"/>
        <v>0</v>
      </c>
      <c r="BA206" s="13">
        <f t="shared" si="379"/>
        <v>1900</v>
      </c>
      <c r="BB206" s="68">
        <f t="shared" si="361"/>
        <v>1300</v>
      </c>
      <c r="BC206" s="268">
        <f t="shared" si="362"/>
        <v>0.59375</v>
      </c>
      <c r="BD206" s="13">
        <f t="shared" si="363"/>
        <v>3200</v>
      </c>
      <c r="BE206" s="13">
        <f>SUMIFS(SALIDAS_BIT,FECHA_BIT,"&gt;="&amp;BE$2,FECHA_BIT,"&lt;="&amp;BE$3,CLAVE_BIT,$A206)+SUMIFS(SALIDAS_BOV1,FECHA_BOV1,"&gt;="&amp;BE$2,FECHA_BOV1,"&lt;="&amp;BE$3,CLAVE_BOV1,$A206)+SUMIFS(SALIDAS_BOV2,FECHA_BOV2,"&gt;="&amp;BE$2,FECHA_BOV2,"&lt;="&amp;BE$3,CLAVE_BOV2,$A206)+SUMIFS(SALIDAS_BOV3,FECHA_BOV3,"&gt;="&amp;BE$2,FECHA_BOV3,"&lt;="&amp;BE$3,CLAVE_BOV3,$A206)+SUMIFS(SALIDAS_TC,FECHA_TC,"&gt;="&amp;BE$2,FECHA_TC,"&lt;="&amp;BE$3,CLAVE_TC,$A206)+SUMIFS(SALIDAS_COMB,FECHA_COMB,"&gt;="&amp;BE$2,FECHA_COMB,"&lt;="&amp;BE$3,CLAVE_COMB,$A206)+SUMIFS(SALIDAS_DES,FECHA_DESGLOSEN,"&gt;="&amp;BE$2,FECHA_DESGLOSEN,"&lt;="&amp;BE$3,CLAVE_DESGLOSE,$A206)</f>
        <v>400</v>
      </c>
      <c r="BF206" s="13">
        <f>SUMIFS(SALIDAS_BIT,FECHA_BIT,"&gt;="&amp;BF$2,FECHA_BIT,"&lt;="&amp;BF$3,CLAVE_BIT,$A206)+SUMIFS(SALIDAS_BOV1,FECHA_BOV1,"&gt;="&amp;BF$2,FECHA_BOV1,"&lt;="&amp;BF$3,CLAVE_BOV1,$A206)+SUMIFS(SALIDAS_BOV2,FECHA_BOV2,"&gt;="&amp;BF$2,FECHA_BOV2,"&lt;="&amp;BF$3,CLAVE_BOV2,$A206)+SUMIFS(SALIDAS_BOV3,FECHA_BOV3,"&gt;="&amp;BF$2,FECHA_BOV3,"&lt;="&amp;BF$3,CLAVE_BOV3,$A206)+SUMIFS(SALIDAS_TC,FECHA_TC,"&gt;="&amp;BF$2,FECHA_TC,"&lt;="&amp;BF$3,CLAVE_TC,$A206)+SUMIFS(SALIDAS_COMB,FECHA_COMB,"&gt;="&amp;BF$2,FECHA_COMB,"&lt;="&amp;BF$3,CLAVE_COMB,$A206)+SUMIFS(SALIDAS_DES,FECHA_DESGLOSEN,"&gt;="&amp;BF$2,FECHA_DESGLOSEN,"&lt;="&amp;BF$3,CLAVE_DESGLOSE,$A206)</f>
        <v>2000</v>
      </c>
      <c r="BG206" s="13">
        <f>SUMIFS(SALIDAS_BIT,FECHA_BIT,"&gt;="&amp;BG$2,FECHA_BIT,"&lt;="&amp;BG$3,CLAVE_BIT,$A206)+SUMIFS(SALIDAS_BOV1,FECHA_BOV1,"&gt;="&amp;BG$2,FECHA_BOV1,"&lt;="&amp;BG$3,CLAVE_BOV1,$A206)+SUMIFS(SALIDAS_BOV2,FECHA_BOV2,"&gt;="&amp;BG$2,FECHA_BOV2,"&lt;="&amp;BG$3,CLAVE_BOV2,$A206)+SUMIFS(SALIDAS_BOV3,FECHA_BOV3,"&gt;="&amp;BG$2,FECHA_BOV3,"&lt;="&amp;BG$3,CLAVE_BOV3,$A206)+SUMIFS(SALIDAS_TC,FECHA_TC,"&gt;="&amp;BG$2,FECHA_TC,"&lt;="&amp;BG$3,CLAVE_TC,$A206)+SUMIFS(SALIDAS_COMB,FECHA_COMB,"&gt;="&amp;BG$2,FECHA_COMB,"&lt;="&amp;BG$3,CLAVE_COMB,$A206)+SUMIFS(SALIDAS_DES,FECHA_DESGLOSEN,"&gt;="&amp;BG$2,FECHA_DESGLOSEN,"&lt;="&amp;BG$3,CLAVE_DESGLOSE,$A206)</f>
        <v>0</v>
      </c>
      <c r="BH206" s="13">
        <f>SUMIFS(SALIDAS_BIT,FECHA_BIT,"&gt;="&amp;BH$2,FECHA_BIT,"&lt;="&amp;BH$3,CLAVE_BIT,$A206)+SUMIFS(SALIDAS_BOV1,FECHA_BOV1,"&gt;="&amp;BH$2,FECHA_BOV1,"&lt;="&amp;BH$3,CLAVE_BOV1,$A206)+SUMIFS(SALIDAS_BOV2,FECHA_BOV2,"&gt;="&amp;BH$2,FECHA_BOV2,"&lt;="&amp;BH$3,CLAVE_BOV2,$A206)+SUMIFS(SALIDAS_BOV3,FECHA_BOV3,"&gt;="&amp;BH$2,FECHA_BOV3,"&lt;="&amp;BH$3,CLAVE_BOV3,$A206)+SUMIFS(SALIDAS_TC,FECHA_TC,"&gt;="&amp;BH$2,FECHA_TC,"&lt;="&amp;BH$3,CLAVE_TC,$A206)+SUMIFS(SALIDAS_COMB,FECHA_COMB,"&gt;="&amp;BH$2,FECHA_COMB,"&lt;="&amp;BH$3,CLAVE_COMB,$A206)+SUMIFS(SALIDAS_DES,FECHA_DESGLOSEN,"&gt;="&amp;BH$2,FECHA_DESGLOSEN,"&lt;="&amp;BH$3,CLAVE_DESGLOSE,$A206)</f>
        <v>500</v>
      </c>
      <c r="BI206" s="13">
        <f t="shared" si="311"/>
        <v>2900</v>
      </c>
      <c r="BJ206" s="68">
        <f t="shared" si="364"/>
        <v>300</v>
      </c>
      <c r="BK206" s="268">
        <f t="shared" si="365"/>
        <v>0.90625</v>
      </c>
      <c r="BL206" s="13">
        <f t="shared" si="366"/>
        <v>4200</v>
      </c>
      <c r="BM206" s="13">
        <f>SUMIFS(SALIDAS_BIT,FECHA_BIT,"&gt;="&amp;BM$2,FECHA_BIT,"&lt;="&amp;BM$3,CLAVE_BIT,$A206)+SUMIFS(SALIDAS_BOV1,FECHA_BOV1,"&gt;="&amp;BM$2,FECHA_BOV1,"&lt;="&amp;BM$3,CLAVE_BOV1,$A206)+SUMIFS(SALIDAS_BOV2,FECHA_BOV2,"&gt;="&amp;BM$2,FECHA_BOV2,"&lt;="&amp;BM$3,CLAVE_BOV2,$A206)+SUMIFS(SALIDAS_BOV3,FECHA_BOV3,"&gt;="&amp;BM$2,FECHA_BOV3,"&lt;="&amp;BM$3,CLAVE_BOV3,$A206)+SUMIFS(SALIDAS_TC,FECHA_TC,"&gt;="&amp;BM$2,FECHA_TC,"&lt;="&amp;BM$3,CLAVE_TC,$A206)+SUMIFS(SALIDAS_COMB,FECHA_COMB,"&gt;="&amp;BM$2,FECHA_COMB,"&lt;="&amp;BM$3,CLAVE_COMB,$A206)+SUMIFS(SALIDAS_DES,FECHA_DESGLOSEN,"&gt;="&amp;BM$2,FECHA_DESGLOSEN,"&lt;="&amp;BM$3,CLAVE_DESGLOSE,$A206)</f>
        <v>400</v>
      </c>
      <c r="BN206" s="13">
        <f>SUMIFS(SALIDAS_BIT,FECHA_BIT,"&gt;="&amp;BN$2,FECHA_BIT,"&lt;="&amp;BN$3,CLAVE_BIT,$A206)+SUMIFS(SALIDAS_BOV1,FECHA_BOV1,"&gt;="&amp;BN$2,FECHA_BOV1,"&lt;="&amp;BN$3,CLAVE_BOV1,$A206)+SUMIFS(SALIDAS_BOV2,FECHA_BOV2,"&gt;="&amp;BN$2,FECHA_BOV2,"&lt;="&amp;BN$3,CLAVE_BOV2,$A206)+SUMIFS(SALIDAS_BOV3,FECHA_BOV3,"&gt;="&amp;BN$2,FECHA_BOV3,"&lt;="&amp;BN$3,CLAVE_BOV3,$A206)+SUMIFS(SALIDAS_TC,FECHA_TC,"&gt;="&amp;BN$2,FECHA_TC,"&lt;="&amp;BN$3,CLAVE_TC,$A206)+SUMIFS(SALIDAS_COMB,FECHA_COMB,"&gt;="&amp;BN$2,FECHA_COMB,"&lt;="&amp;BN$3,CLAVE_COMB,$A206)+SUMIFS(SALIDAS_DES,FECHA_DESGLOSEN,"&gt;="&amp;BN$2,FECHA_DESGLOSEN,"&lt;="&amp;BN$3,CLAVE_DESGLOSE,$A206)</f>
        <v>1400</v>
      </c>
      <c r="BO206" s="13">
        <f>SUMIFS(SALIDAS_BIT,FECHA_BIT,"&gt;="&amp;BO$2,FECHA_BIT,"&lt;="&amp;BO$3,CLAVE_BIT,$A206)+SUMIFS(SALIDAS_BOV1,FECHA_BOV1,"&gt;="&amp;BO$2,FECHA_BOV1,"&lt;="&amp;BO$3,CLAVE_BOV1,$A206)+SUMIFS(SALIDAS_BOV2,FECHA_BOV2,"&gt;="&amp;BO$2,FECHA_BOV2,"&lt;="&amp;BO$3,CLAVE_BOV2,$A206)+SUMIFS(SALIDAS_BOV3,FECHA_BOV3,"&gt;="&amp;BO$2,FECHA_BOV3,"&lt;="&amp;BO$3,CLAVE_BOV3,$A206)+SUMIFS(SALIDAS_TC,FECHA_TC,"&gt;="&amp;BO$2,FECHA_TC,"&lt;="&amp;BO$3,CLAVE_TC,$A206)+SUMIFS(SALIDAS_COMB,FECHA_COMB,"&gt;="&amp;BO$2,FECHA_COMB,"&lt;="&amp;BO$3,CLAVE_COMB,$A206)+SUMIFS(SALIDAS_DES,FECHA_DESGLOSEN,"&gt;="&amp;BO$2,FECHA_DESGLOSEN,"&lt;="&amp;BO$3,CLAVE_DESGLOSE,$A206)</f>
        <v>400</v>
      </c>
      <c r="BP206" s="13">
        <f>SUMIFS(SALIDAS_BIT,FECHA_BIT,"&gt;="&amp;BP$2,FECHA_BIT,"&lt;="&amp;BP$3,CLAVE_BIT,$A206)+SUMIFS(SALIDAS_BOV1,FECHA_BOV1,"&gt;="&amp;BP$2,FECHA_BOV1,"&lt;="&amp;BP$3,CLAVE_BOV1,$A206)+SUMIFS(SALIDAS_BOV2,FECHA_BOV2,"&gt;="&amp;BP$2,FECHA_BOV2,"&lt;="&amp;BP$3,CLAVE_BOV2,$A206)+SUMIFS(SALIDAS_BOV3,FECHA_BOV3,"&gt;="&amp;BP$2,FECHA_BOV3,"&lt;="&amp;BP$3,CLAVE_BOV3,$A206)+SUMIFS(SALIDAS_TC,FECHA_TC,"&gt;="&amp;BP$2,FECHA_TC,"&lt;="&amp;BP$3,CLAVE_TC,$A206)+SUMIFS(SALIDAS_COMB,FECHA_COMB,"&gt;="&amp;BP$2,FECHA_COMB,"&lt;="&amp;BP$3,CLAVE_COMB,$A206)+SUMIFS(SALIDAS_DES,FECHA_DESGLOSEN,"&gt;="&amp;BP$2,FECHA_DESGLOSEN,"&lt;="&amp;BP$3,CLAVE_DESGLOSE,$A206)</f>
        <v>1900</v>
      </c>
      <c r="BQ206" s="13">
        <f>SUMIFS(SALIDAS_BIT,FECHA_BIT,"&gt;="&amp;BQ$2,FECHA_BIT,"&lt;="&amp;BQ$3,CLAVE_BIT,$A206)+SUMIFS(SALIDAS_BOV1,FECHA_BOV1,"&gt;="&amp;BQ$2,FECHA_BOV1,"&lt;="&amp;BQ$3,CLAVE_BOV1,$A206)+SUMIFS(SALIDAS_BOV2,FECHA_BOV2,"&gt;="&amp;BQ$2,FECHA_BOV2,"&lt;="&amp;BQ$3,CLAVE_BOV2,$A206)+SUMIFS(SALIDAS_BOV3,FECHA_BOV3,"&gt;="&amp;BQ$2,FECHA_BOV3,"&lt;="&amp;BQ$3,CLAVE_BOV3,$A206)+SUMIFS(SALIDAS_TC,FECHA_TC,"&gt;="&amp;BQ$2,FECHA_TC,"&lt;="&amp;BQ$3,CLAVE_TC,$A206)+SUMIFS(SALIDAS_COMB,FECHA_COMB,"&gt;="&amp;BQ$2,FECHA_COMB,"&lt;="&amp;BQ$3,CLAVE_COMB,$A206)+SUMIFS(SALIDAS_DES,FECHA_DESGLOSEN,"&gt;="&amp;BQ$2,FECHA_DESGLOSEN,"&lt;="&amp;BQ$3,CLAVE_DESGLOSE,$A206)</f>
        <v>0</v>
      </c>
      <c r="BR206" s="13">
        <f t="shared" si="340"/>
        <v>4100</v>
      </c>
      <c r="BS206" s="68">
        <f t="shared" si="367"/>
        <v>100</v>
      </c>
      <c r="BT206" s="268">
        <f t="shared" si="368"/>
        <v>0.97619047619047616</v>
      </c>
      <c r="BU206" s="13">
        <f t="shared" si="369"/>
        <v>5200</v>
      </c>
      <c r="BV206" s="13">
        <f t="shared" si="291"/>
        <v>400</v>
      </c>
      <c r="BW206" s="13">
        <f t="shared" si="291"/>
        <v>400</v>
      </c>
      <c r="BX206" s="13">
        <f t="shared" si="291"/>
        <v>1900</v>
      </c>
      <c r="BY206" s="13">
        <f t="shared" si="291"/>
        <v>1000</v>
      </c>
      <c r="BZ206" s="13">
        <f t="shared" si="341"/>
        <v>3700</v>
      </c>
      <c r="CA206" s="68">
        <f t="shared" si="370"/>
        <v>1500</v>
      </c>
      <c r="CB206" s="268">
        <f t="shared" si="371"/>
        <v>0.71153846153846156</v>
      </c>
      <c r="CC206" s="13">
        <f t="shared" si="372"/>
        <v>5200</v>
      </c>
      <c r="CD206" s="13">
        <f t="shared" si="292"/>
        <v>500</v>
      </c>
      <c r="CE206" s="13">
        <f t="shared" si="292"/>
        <v>400</v>
      </c>
      <c r="CF206" s="13">
        <f t="shared" si="292"/>
        <v>700</v>
      </c>
      <c r="CG206" s="13">
        <f t="shared" si="292"/>
        <v>0</v>
      </c>
      <c r="CH206" s="13">
        <f t="shared" si="342"/>
        <v>1600</v>
      </c>
      <c r="CI206" s="68">
        <f t="shared" si="373"/>
        <v>3600</v>
      </c>
      <c r="CJ206" s="268">
        <f t="shared" si="374"/>
        <v>0.30769230769230771</v>
      </c>
      <c r="CK206" s="13">
        <f t="shared" si="375"/>
        <v>6200</v>
      </c>
      <c r="CL206" s="13">
        <f t="shared" si="312"/>
        <v>300</v>
      </c>
      <c r="CM206" s="13">
        <f t="shared" si="312"/>
        <v>15800</v>
      </c>
      <c r="CN206" s="13">
        <f t="shared" si="312"/>
        <v>900</v>
      </c>
      <c r="CO206" s="13">
        <f t="shared" si="312"/>
        <v>1200</v>
      </c>
      <c r="CP206" s="13">
        <f t="shared" si="312"/>
        <v>400</v>
      </c>
      <c r="CQ206" s="13">
        <f t="shared" si="343"/>
        <v>18600</v>
      </c>
      <c r="CR206" s="68">
        <f t="shared" si="376"/>
        <v>-12400</v>
      </c>
      <c r="CS206" s="268">
        <f t="shared" si="377"/>
        <v>3</v>
      </c>
      <c r="CT206" s="68">
        <f t="shared" si="350"/>
        <v>1600</v>
      </c>
      <c r="CU206" s="13">
        <f>SUMIFS(SALIDAS_BIT,FECHA_BIT,"&gt;="&amp;CU$2,FECHA_BIT,"&lt;="&amp;CU$3,CLAVE_BIT,$A206)+SUMIFS(SALIDAS_BOV1,FECHA_BOV1,"&gt;="&amp;CU$2,FECHA_BOV1,"&lt;="&amp;CU$3,CLAVE_BOV1,$A206)+SUMIFS(SALIDAS_BOV2,FECHA_BOV2,"&gt;="&amp;CU$2,FECHA_BOV2,"&lt;="&amp;CU$3,CLAVE_BOV2,$A206)+SUMIFS(SALIDAS_BOV3,FECHA_BOV3,"&gt;="&amp;CU$2,FECHA_BOV3,"&lt;="&amp;CU$3,CLAVE_BOV3,$A206)+SUMIFS(SALIDAS_TC,FECHA_TC,"&gt;="&amp;CU$2,FECHA_TC,"&lt;="&amp;CU$3,CLAVE_TC,$A206)+SUMIFS(SALIDAS_COMB,FECHA_COMB,"&gt;="&amp;CU$2,FECHA_COMB,"&lt;="&amp;CU$3,CLAVE_COMB,$A206)+SUMIFS(SALIDAS_DES,FECHA_DESGLOSEN,"&gt;="&amp;CU$2,FECHA_DESGLOSEN,"&lt;="&amp;CU$3,CLAVE_DESGLOSE,$A206)</f>
        <v>1400</v>
      </c>
      <c r="CV206" s="13">
        <f>SUMIFS(SALIDAS_BIT,FECHA_BIT,"&gt;="&amp;CV$2,FECHA_BIT,"&lt;="&amp;CV$3,CLAVE_BIT,$A206)+SUMIFS(SALIDAS_BOV1,FECHA_BOV1,"&gt;="&amp;CV$2,FECHA_BOV1,"&lt;="&amp;CV$3,CLAVE_BOV1,$A206)+SUMIFS(SALIDAS_BOV2,FECHA_BOV2,"&gt;="&amp;CV$2,FECHA_BOV2,"&lt;="&amp;CV$3,CLAVE_BOV2,$A206)+SUMIFS(SALIDAS_BOV3,FECHA_BOV3,"&gt;="&amp;CV$2,FECHA_BOV3,"&lt;="&amp;CV$3,CLAVE_BOV3,$A206)+SUMIFS(SALIDAS_TC,FECHA_TC,"&gt;="&amp;CV$2,FECHA_TC,"&lt;="&amp;CV$3,CLAVE_TC,$A206)+SUMIFS(SALIDAS_COMB,FECHA_COMB,"&gt;="&amp;CV$2,FECHA_COMB,"&lt;="&amp;CV$3,CLAVE_COMB,$A206)+SUMIFS(SALIDAS_DES,FECHA_DESGLOSEN,"&gt;="&amp;CV$2,FECHA_DESGLOSEN,"&lt;="&amp;CV$3,CLAVE_DESGLOSE,$A206)</f>
        <v>400</v>
      </c>
      <c r="CW206" s="13">
        <f>SUMIFS(SALIDAS_BIT,FECHA_BIT,"&gt;="&amp;CW$2,FECHA_BIT,"&lt;="&amp;CW$3,CLAVE_BIT,$A206)+SUMIFS(SALIDAS_BOV1,FECHA_BOV1,"&gt;="&amp;CW$2,FECHA_BOV1,"&lt;="&amp;CW$3,CLAVE_BOV1,$A206)+SUMIFS(SALIDAS_BOV2,FECHA_BOV2,"&gt;="&amp;CW$2,FECHA_BOV2,"&lt;="&amp;CW$3,CLAVE_BOV2,$A206)+SUMIFS(SALIDAS_BOV3,FECHA_BOV3,"&gt;="&amp;CW$2,FECHA_BOV3,"&lt;="&amp;CW$3,CLAVE_BOV3,$A206)+SUMIFS(SALIDAS_TC,FECHA_TC,"&gt;="&amp;CW$2,FECHA_TC,"&lt;="&amp;CW$3,CLAVE_TC,$A206)+SUMIFS(SALIDAS_COMB,FECHA_COMB,"&gt;="&amp;CW$2,FECHA_COMB,"&lt;="&amp;CW$3,CLAVE_COMB,$A206)+SUMIFS(SALIDAS_DES,FECHA_DESGLOSEN,"&gt;="&amp;CW$2,FECHA_DESGLOSEN,"&lt;="&amp;CW$3,CLAVE_DESGLOSE,$A206)</f>
        <v>0</v>
      </c>
      <c r="CX206" s="13">
        <f>SUMIFS(SALIDAS_BIT,FECHA_BIT,"&gt;="&amp;CX$2,FECHA_BIT,"&lt;="&amp;CX$3,CLAVE_BIT,$A206)+SUMIFS(SALIDAS_BOV1,FECHA_BOV1,"&gt;="&amp;CX$2,FECHA_BOV1,"&lt;="&amp;CX$3,CLAVE_BOV1,$A206)+SUMIFS(SALIDAS_BOV2,FECHA_BOV2,"&gt;="&amp;CX$2,FECHA_BOV2,"&lt;="&amp;CX$3,CLAVE_BOV2,$A206)+SUMIFS(SALIDAS_BOV3,FECHA_BOV3,"&gt;="&amp;CX$2,FECHA_BOV3,"&lt;="&amp;CX$3,CLAVE_BOV3,$A206)+SUMIFS(SALIDAS_TC,FECHA_TC,"&gt;="&amp;CX$2,FECHA_TC,"&lt;="&amp;CX$3,CLAVE_TC,$A206)+SUMIFS(SALIDAS_COMB,FECHA_COMB,"&gt;="&amp;CX$2,FECHA_COMB,"&lt;="&amp;CX$3,CLAVE_COMB,$A206)+SUMIFS(SALIDAS_DES,FECHA_DESGLOSEN,"&gt;="&amp;CX$2,FECHA_DESGLOSEN,"&lt;="&amp;CX$3,CLAVE_DESGLOSE,$A206)</f>
        <v>0</v>
      </c>
      <c r="CY206" s="13">
        <f>SUMIFS(SALIDAS_BIT,FECHA_BIT,"&gt;="&amp;CY$2,FECHA_BIT,"&lt;="&amp;CY$3,CLAVE_BIT,$A206)+SUMIFS(SALIDAS_BOV1,FECHA_BOV1,"&gt;="&amp;CY$2,FECHA_BOV1,"&lt;="&amp;CY$3,CLAVE_BOV1,$A206)+SUMIFS(SALIDAS_BOV2,FECHA_BOV2,"&gt;="&amp;CY$2,FECHA_BOV2,"&lt;="&amp;CY$3,CLAVE_BOV2,$A206)+SUMIFS(SALIDAS_BOV3,FECHA_BOV3,"&gt;="&amp;CY$2,FECHA_BOV3,"&lt;="&amp;CY$3,CLAVE_BOV3,$A206)+SUMIFS(SALIDAS_TC,FECHA_TC,"&gt;="&amp;CY$2,FECHA_TC,"&lt;="&amp;CY$3,CLAVE_TC,$A206)+SUMIFS(SALIDAS_COMB,FECHA_COMB,"&gt;="&amp;CY$2,FECHA_COMB,"&lt;="&amp;CY$3,CLAVE_COMB,$A206)+SUMIFS(SALIDAS_DES,FECHA_DESGLOSEN,"&gt;="&amp;CY$2,FECHA_DESGLOSEN,"&lt;="&amp;CY$3,CLAVE_DESGLOSE,$A206)</f>
        <v>1800</v>
      </c>
      <c r="CZ206" s="68">
        <f t="shared" si="378"/>
        <v>-200</v>
      </c>
      <c r="DB206" s="17">
        <f>F206+N206+W206+AE206+AM206+AV206+BD206+BL206+BU206+CC206+CK206</f>
        <v>46200</v>
      </c>
      <c r="DC206" s="17">
        <f>K206+T206+AB206+AJ206+AS206+BA206+BI206+BR206+BZ206+CH206+CQ206</f>
        <v>48900</v>
      </c>
    </row>
    <row r="207" spans="1:107" hidden="1">
      <c r="A207" s="12" t="str">
        <f t="shared" si="351"/>
        <v>SERVICIOSCOMBUSTIBLESISTEMAS</v>
      </c>
      <c r="B207" s="12">
        <v>209</v>
      </c>
      <c r="C207" t="s">
        <v>21</v>
      </c>
      <c r="D207" s="12" t="s">
        <v>32</v>
      </c>
      <c r="E207" s="12" t="s">
        <v>36</v>
      </c>
      <c r="F207" s="259">
        <f t="shared" si="344"/>
        <v>1000</v>
      </c>
      <c r="G207" s="13">
        <f t="shared" ref="G207:K216" si="380">SUMIFS(SALIDAS_BIT,FECHA_BIT,"&gt;="&amp;G$2,FECHA_BIT,"&lt;="&amp;G$3,CLAVE_BIT,$A207)+SUMIFS(SALIDAS_BOV1,FECHA_BOV1,"&gt;="&amp;G$2,FECHA_BOV1,"&lt;="&amp;G$3,CLAVE_BOV1,$A207)+SUMIFS(SALIDAS_BOV2,FECHA_BOV2,"&gt;="&amp;G$2,FECHA_BOV2,"&lt;="&amp;G$3,CLAVE_BOV2,$A207)+SUMIFS(SALIDAS_BOV3,FECHA_BOV3,"&gt;="&amp;G$2,FECHA_BOV3,"&lt;="&amp;G$3,CLAVE_BOV3,$A207)+SUMIFS(SALIDAS_TC,FECHA_TC,"&gt;="&amp;G$2,FECHA_TC,"&lt;="&amp;G$3,CLAVE_TC,$A207)+SUMIFS(SALIDAS_COMB,FECHA_COMB,"&gt;="&amp;G$2,FECHA_COMB,"&lt;="&amp;G$3,CLAVE_COMB,$A207)+SUMIFS(SALIDAS_DES,FECHA_DESGLOSEN,"&gt;="&amp;G$2,FECHA_DESGLOSEN,"&lt;="&amp;G$3,CLAVE_DESGLOSE,$A207)</f>
        <v>0</v>
      </c>
      <c r="H207" s="13">
        <f t="shared" si="380"/>
        <v>0</v>
      </c>
      <c r="I207" s="13">
        <f t="shared" si="380"/>
        <v>0</v>
      </c>
      <c r="J207" s="13">
        <f t="shared" si="380"/>
        <v>0</v>
      </c>
      <c r="K207" s="13">
        <f t="shared" si="380"/>
        <v>0</v>
      </c>
      <c r="L207" s="68">
        <f t="shared" si="352"/>
        <v>1000</v>
      </c>
      <c r="M207" s="268">
        <f t="shared" si="353"/>
        <v>0</v>
      </c>
      <c r="N207" s="13">
        <f t="shared" si="345"/>
        <v>1000</v>
      </c>
      <c r="O207" s="13">
        <f t="shared" ref="O207:T216" si="381">SUMIFS(SALIDAS_BIT,FECHA_BIT,"&gt;="&amp;O$2,FECHA_BIT,"&lt;="&amp;O$3,CLAVE_BIT,$A207)+SUMIFS(SALIDAS_BOV1,FECHA_BOV1,"&gt;="&amp;O$2,FECHA_BOV1,"&lt;="&amp;O$3,CLAVE_BOV1,$A207)+SUMIFS(SALIDAS_BOV2,FECHA_BOV2,"&gt;="&amp;O$2,FECHA_BOV2,"&lt;="&amp;O$3,CLAVE_BOV2,$A207)+SUMIFS(SALIDAS_BOV3,FECHA_BOV3,"&gt;="&amp;O$2,FECHA_BOV3,"&lt;="&amp;O$3,CLAVE_BOV3,$A207)+SUMIFS(SALIDAS_TC,FECHA_TC,"&gt;="&amp;O$2,FECHA_TC,"&lt;="&amp;O$3,CLAVE_TC,$A207)+SUMIFS(SALIDAS_COMB,FECHA_COMB,"&gt;="&amp;O$2,FECHA_COMB,"&lt;="&amp;O$3,CLAVE_COMB,$A207)+SUMIFS(SALIDAS_DES,FECHA_DESGLOSEN,"&gt;="&amp;O$2,FECHA_DESGLOSEN,"&lt;="&amp;O$3,CLAVE_DESGLOSE,$A207)</f>
        <v>0</v>
      </c>
      <c r="P207" s="13">
        <f t="shared" si="381"/>
        <v>0</v>
      </c>
      <c r="Q207" s="13">
        <f t="shared" si="381"/>
        <v>0</v>
      </c>
      <c r="R207" s="13">
        <f t="shared" si="381"/>
        <v>0</v>
      </c>
      <c r="S207" s="13">
        <f t="shared" si="381"/>
        <v>0</v>
      </c>
      <c r="T207" s="13">
        <f t="shared" si="381"/>
        <v>0</v>
      </c>
      <c r="U207" s="68">
        <f t="shared" si="354"/>
        <v>1000</v>
      </c>
      <c r="V207" s="268">
        <f t="shared" si="355"/>
        <v>0</v>
      </c>
      <c r="W207" s="13">
        <f t="shared" si="346"/>
        <v>1000</v>
      </c>
      <c r="X207" s="13">
        <f t="shared" ref="X207:AB216" si="382">SUMIFS(SALIDAS_BIT,FECHA_BIT,"&gt;="&amp;X$2,FECHA_BIT,"&lt;="&amp;X$3,CLAVE_BIT,$A207)+SUMIFS(SALIDAS_BOV1,FECHA_BOV1,"&gt;="&amp;X$2,FECHA_BOV1,"&lt;="&amp;X$3,CLAVE_BOV1,$A207)+SUMIFS(SALIDAS_BOV2,FECHA_BOV2,"&gt;="&amp;X$2,FECHA_BOV2,"&lt;="&amp;X$3,CLAVE_BOV2,$A207)+SUMIFS(SALIDAS_BOV3,FECHA_BOV3,"&gt;="&amp;X$2,FECHA_BOV3,"&lt;="&amp;X$3,CLAVE_BOV3,$A207)+SUMIFS(SALIDAS_TC,FECHA_TC,"&gt;="&amp;X$2,FECHA_TC,"&lt;="&amp;X$3,CLAVE_TC,$A207)+SUMIFS(SALIDAS_COMB,FECHA_COMB,"&gt;="&amp;X$2,FECHA_COMB,"&lt;="&amp;X$3,CLAVE_COMB,$A207)+SUMIFS(SALIDAS_DES,FECHA_DESGLOSEN,"&gt;="&amp;X$2,FECHA_DESGLOSEN,"&lt;="&amp;X$3,CLAVE_DESGLOSE,$A207)</f>
        <v>0</v>
      </c>
      <c r="Y207" s="13">
        <f t="shared" si="382"/>
        <v>0</v>
      </c>
      <c r="Z207" s="13">
        <f t="shared" si="382"/>
        <v>0</v>
      </c>
      <c r="AA207" s="13">
        <f t="shared" si="382"/>
        <v>0</v>
      </c>
      <c r="AB207" s="13">
        <f t="shared" si="382"/>
        <v>0</v>
      </c>
      <c r="AC207" s="68">
        <f t="shared" si="356"/>
        <v>1000</v>
      </c>
      <c r="AD207" s="268">
        <f t="shared" si="357"/>
        <v>0</v>
      </c>
      <c r="AE207" s="13">
        <f t="shared" si="347"/>
        <v>1000</v>
      </c>
      <c r="AF207" s="13">
        <f t="shared" ref="AF207:AJ216" si="383">SUMIFS(SALIDAS_BIT,FECHA_BIT,"&gt;="&amp;AF$2,FECHA_BIT,"&lt;="&amp;AF$3,CLAVE_BIT,$A207)+SUMIFS(SALIDAS_BOV1,FECHA_BOV1,"&gt;="&amp;AF$2,FECHA_BOV1,"&lt;="&amp;AF$3,CLAVE_BOV1,$A207)+SUMIFS(SALIDAS_BOV2,FECHA_BOV2,"&gt;="&amp;AF$2,FECHA_BOV2,"&lt;="&amp;AF$3,CLAVE_BOV2,$A207)+SUMIFS(SALIDAS_BOV3,FECHA_BOV3,"&gt;="&amp;AF$2,FECHA_BOV3,"&lt;="&amp;AF$3,CLAVE_BOV3,$A207)+SUMIFS(SALIDAS_TC,FECHA_TC,"&gt;="&amp;AF$2,FECHA_TC,"&lt;="&amp;AF$3,CLAVE_TC,$A207)+SUMIFS(SALIDAS_COMB,FECHA_COMB,"&gt;="&amp;AF$2,FECHA_COMB,"&lt;="&amp;AF$3,CLAVE_COMB,$A207)+SUMIFS(SALIDAS_DES,FECHA_DESGLOSEN,"&gt;="&amp;AF$2,FECHA_DESGLOSEN,"&lt;="&amp;AF$3,CLAVE_DESGLOSE,$A207)</f>
        <v>0</v>
      </c>
      <c r="AG207" s="13">
        <f t="shared" si="383"/>
        <v>0</v>
      </c>
      <c r="AH207" s="13">
        <f t="shared" si="383"/>
        <v>0</v>
      </c>
      <c r="AI207" s="13">
        <f t="shared" si="383"/>
        <v>0</v>
      </c>
      <c r="AJ207" s="13">
        <f t="shared" si="383"/>
        <v>0</v>
      </c>
      <c r="AK207" s="68">
        <f t="shared" si="358"/>
        <v>1000</v>
      </c>
      <c r="AL207" s="268">
        <f t="shared" si="359"/>
        <v>0</v>
      </c>
      <c r="AM207" s="13">
        <f t="shared" si="348"/>
        <v>1000</v>
      </c>
      <c r="AN207" s="13">
        <f t="shared" ref="AN207:AS216" si="384">SUMIFS(SALIDAS_BIT,FECHA_BIT,"&gt;="&amp;AN$2,FECHA_BIT,"&lt;="&amp;AN$3,CLAVE_BIT,$A207)+SUMIFS(SALIDAS_BOV1,FECHA_BOV1,"&gt;="&amp;AN$2,FECHA_BOV1,"&lt;="&amp;AN$3,CLAVE_BOV1,$A207)+SUMIFS(SALIDAS_BOV2,FECHA_BOV2,"&gt;="&amp;AN$2,FECHA_BOV2,"&lt;="&amp;AN$3,CLAVE_BOV2,$A207)+SUMIFS(SALIDAS_BOV3,FECHA_BOV3,"&gt;="&amp;AN$2,FECHA_BOV3,"&lt;="&amp;AN$3,CLAVE_BOV3,$A207)+SUMIFS(SALIDAS_TC,FECHA_TC,"&gt;="&amp;AN$2,FECHA_TC,"&lt;="&amp;AN$3,CLAVE_TC,$A207)+SUMIFS(SALIDAS_COMB,FECHA_COMB,"&gt;="&amp;AN$2,FECHA_COMB,"&lt;="&amp;AN$3,CLAVE_COMB,$A207)+SUMIFS(SALIDAS_DES,FECHA_DESGLOSEN,"&gt;="&amp;AN$2,FECHA_DESGLOSEN,"&lt;="&amp;AN$3,CLAVE_DESGLOSE,$A207)</f>
        <v>0</v>
      </c>
      <c r="AO207" s="13">
        <f t="shared" si="384"/>
        <v>0</v>
      </c>
      <c r="AP207" s="13">
        <f t="shared" si="384"/>
        <v>0</v>
      </c>
      <c r="AQ207" s="13">
        <f t="shared" si="384"/>
        <v>0</v>
      </c>
      <c r="AR207" s="13">
        <f t="shared" si="384"/>
        <v>0</v>
      </c>
      <c r="AS207" s="13">
        <f t="shared" si="384"/>
        <v>0</v>
      </c>
      <c r="AT207" s="68">
        <f>AM207-AS207</f>
        <v>1000</v>
      </c>
      <c r="AU207" s="268">
        <f t="shared" si="360"/>
        <v>0</v>
      </c>
      <c r="AV207" s="13">
        <f t="shared" si="349"/>
        <v>1000</v>
      </c>
      <c r="AW207" s="13">
        <f t="shared" si="323"/>
        <v>0</v>
      </c>
      <c r="AX207" s="13">
        <f t="shared" si="323"/>
        <v>0</v>
      </c>
      <c r="AY207" s="13">
        <f t="shared" si="323"/>
        <v>0</v>
      </c>
      <c r="AZ207" s="13">
        <f t="shared" si="323"/>
        <v>0</v>
      </c>
      <c r="BA207" s="13">
        <f t="shared" si="379"/>
        <v>0</v>
      </c>
      <c r="BB207" s="68">
        <f t="shared" si="361"/>
        <v>1000</v>
      </c>
      <c r="BC207" s="268">
        <f t="shared" si="362"/>
        <v>0</v>
      </c>
      <c r="BD207" s="13">
        <f t="shared" si="363"/>
        <v>1000</v>
      </c>
      <c r="BE207" s="13">
        <f>SUMIFS(SALIDAS_BIT,FECHA_BIT,"&gt;="&amp;BE$2,FECHA_BIT,"&lt;="&amp;BE$3,CLAVE_BIT,$A207)+SUMIFS(SALIDAS_BOV1,FECHA_BOV1,"&gt;="&amp;BE$2,FECHA_BOV1,"&lt;="&amp;BE$3,CLAVE_BOV1,$A207)+SUMIFS(SALIDAS_BOV2,FECHA_BOV2,"&gt;="&amp;BE$2,FECHA_BOV2,"&lt;="&amp;BE$3,CLAVE_BOV2,$A207)+SUMIFS(SALIDAS_BOV3,FECHA_BOV3,"&gt;="&amp;BE$2,FECHA_BOV3,"&lt;="&amp;BE$3,CLAVE_BOV3,$A207)+SUMIFS(SALIDAS_TC,FECHA_TC,"&gt;="&amp;BE$2,FECHA_TC,"&lt;="&amp;BE$3,CLAVE_TC,$A207)+SUMIFS(SALIDAS_COMB,FECHA_COMB,"&gt;="&amp;BE$2,FECHA_COMB,"&lt;="&amp;BE$3,CLAVE_COMB,$A207)+SUMIFS(SALIDAS_DES,FECHA_DESGLOSEN,"&gt;="&amp;BE$2,FECHA_DESGLOSEN,"&lt;="&amp;BE$3,CLAVE_DESGLOSE,$A207)</f>
        <v>1700</v>
      </c>
      <c r="BF207" s="13">
        <f>SUMIFS(SALIDAS_BIT,FECHA_BIT,"&gt;="&amp;BF$2,FECHA_BIT,"&lt;="&amp;BF$3,CLAVE_BIT,$A207)+SUMIFS(SALIDAS_BOV1,FECHA_BOV1,"&gt;="&amp;BF$2,FECHA_BOV1,"&lt;="&amp;BF$3,CLAVE_BOV1,$A207)+SUMIFS(SALIDAS_BOV2,FECHA_BOV2,"&gt;="&amp;BF$2,FECHA_BOV2,"&lt;="&amp;BF$3,CLAVE_BOV2,$A207)+SUMIFS(SALIDAS_BOV3,FECHA_BOV3,"&gt;="&amp;BF$2,FECHA_BOV3,"&lt;="&amp;BF$3,CLAVE_BOV3,$A207)+SUMIFS(SALIDAS_TC,FECHA_TC,"&gt;="&amp;BF$2,FECHA_TC,"&lt;="&amp;BF$3,CLAVE_TC,$A207)+SUMIFS(SALIDAS_COMB,FECHA_COMB,"&gt;="&amp;BF$2,FECHA_COMB,"&lt;="&amp;BF$3,CLAVE_COMB,$A207)+SUMIFS(SALIDAS_DES,FECHA_DESGLOSEN,"&gt;="&amp;BF$2,FECHA_DESGLOSEN,"&lt;="&amp;BF$3,CLAVE_DESGLOSE,$A207)</f>
        <v>0</v>
      </c>
      <c r="BG207" s="13">
        <f>SUMIFS(SALIDAS_BIT,FECHA_BIT,"&gt;="&amp;BG$2,FECHA_BIT,"&lt;="&amp;BG$3,CLAVE_BIT,$A207)+SUMIFS(SALIDAS_BOV1,FECHA_BOV1,"&gt;="&amp;BG$2,FECHA_BOV1,"&lt;="&amp;BG$3,CLAVE_BOV1,$A207)+SUMIFS(SALIDAS_BOV2,FECHA_BOV2,"&gt;="&amp;BG$2,FECHA_BOV2,"&lt;="&amp;BG$3,CLAVE_BOV2,$A207)+SUMIFS(SALIDAS_BOV3,FECHA_BOV3,"&gt;="&amp;BG$2,FECHA_BOV3,"&lt;="&amp;BG$3,CLAVE_BOV3,$A207)+SUMIFS(SALIDAS_TC,FECHA_TC,"&gt;="&amp;BG$2,FECHA_TC,"&lt;="&amp;BG$3,CLAVE_TC,$A207)+SUMIFS(SALIDAS_COMB,FECHA_COMB,"&gt;="&amp;BG$2,FECHA_COMB,"&lt;="&amp;BG$3,CLAVE_COMB,$A207)+SUMIFS(SALIDAS_DES,FECHA_DESGLOSEN,"&gt;="&amp;BG$2,FECHA_DESGLOSEN,"&lt;="&amp;BG$3,CLAVE_DESGLOSE,$A207)</f>
        <v>0</v>
      </c>
      <c r="BH207" s="13">
        <f>SUMIFS(SALIDAS_BIT,FECHA_BIT,"&gt;="&amp;BH$2,FECHA_BIT,"&lt;="&amp;BH$3,CLAVE_BIT,$A207)+SUMIFS(SALIDAS_BOV1,FECHA_BOV1,"&gt;="&amp;BH$2,FECHA_BOV1,"&lt;="&amp;BH$3,CLAVE_BOV1,$A207)+SUMIFS(SALIDAS_BOV2,FECHA_BOV2,"&gt;="&amp;BH$2,FECHA_BOV2,"&lt;="&amp;BH$3,CLAVE_BOV2,$A207)+SUMIFS(SALIDAS_BOV3,FECHA_BOV3,"&gt;="&amp;BH$2,FECHA_BOV3,"&lt;="&amp;BH$3,CLAVE_BOV3,$A207)+SUMIFS(SALIDAS_TC,FECHA_TC,"&gt;="&amp;BH$2,FECHA_TC,"&lt;="&amp;BH$3,CLAVE_TC,$A207)+SUMIFS(SALIDAS_COMB,FECHA_COMB,"&gt;="&amp;BH$2,FECHA_COMB,"&lt;="&amp;BH$3,CLAVE_COMB,$A207)+SUMIFS(SALIDAS_DES,FECHA_DESGLOSEN,"&gt;="&amp;BH$2,FECHA_DESGLOSEN,"&lt;="&amp;BH$3,CLAVE_DESGLOSE,$A207)</f>
        <v>0</v>
      </c>
      <c r="BI207" s="13">
        <f t="shared" si="311"/>
        <v>1700</v>
      </c>
      <c r="BJ207" s="68">
        <f t="shared" si="364"/>
        <v>-700</v>
      </c>
      <c r="BK207" s="268">
        <f t="shared" si="365"/>
        <v>1.7</v>
      </c>
      <c r="BL207" s="13">
        <f t="shared" si="366"/>
        <v>1000</v>
      </c>
      <c r="BM207" s="13">
        <f>SUMIFS(SALIDAS_BIT,FECHA_BIT,"&gt;="&amp;BM$2,FECHA_BIT,"&lt;="&amp;BM$3,CLAVE_BIT,$A207)+SUMIFS(SALIDAS_BOV1,FECHA_BOV1,"&gt;="&amp;BM$2,FECHA_BOV1,"&lt;="&amp;BM$3,CLAVE_BOV1,$A207)+SUMIFS(SALIDAS_BOV2,FECHA_BOV2,"&gt;="&amp;BM$2,FECHA_BOV2,"&lt;="&amp;BM$3,CLAVE_BOV2,$A207)+SUMIFS(SALIDAS_BOV3,FECHA_BOV3,"&gt;="&amp;BM$2,FECHA_BOV3,"&lt;="&amp;BM$3,CLAVE_BOV3,$A207)+SUMIFS(SALIDAS_TC,FECHA_TC,"&gt;="&amp;BM$2,FECHA_TC,"&lt;="&amp;BM$3,CLAVE_TC,$A207)+SUMIFS(SALIDAS_COMB,FECHA_COMB,"&gt;="&amp;BM$2,FECHA_COMB,"&lt;="&amp;BM$3,CLAVE_COMB,$A207)+SUMIFS(SALIDAS_DES,FECHA_DESGLOSEN,"&gt;="&amp;BM$2,FECHA_DESGLOSEN,"&lt;="&amp;BM$3,CLAVE_DESGLOSE,$A207)</f>
        <v>0</v>
      </c>
      <c r="BN207" s="13">
        <f>SUMIFS(SALIDAS_BIT,FECHA_BIT,"&gt;="&amp;BN$2,FECHA_BIT,"&lt;="&amp;BN$3,CLAVE_BIT,$A207)+SUMIFS(SALIDAS_BOV1,FECHA_BOV1,"&gt;="&amp;BN$2,FECHA_BOV1,"&lt;="&amp;BN$3,CLAVE_BOV1,$A207)+SUMIFS(SALIDAS_BOV2,FECHA_BOV2,"&gt;="&amp;BN$2,FECHA_BOV2,"&lt;="&amp;BN$3,CLAVE_BOV2,$A207)+SUMIFS(SALIDAS_BOV3,FECHA_BOV3,"&gt;="&amp;BN$2,FECHA_BOV3,"&lt;="&amp;BN$3,CLAVE_BOV3,$A207)+SUMIFS(SALIDAS_TC,FECHA_TC,"&gt;="&amp;BN$2,FECHA_TC,"&lt;="&amp;BN$3,CLAVE_TC,$A207)+SUMIFS(SALIDAS_COMB,FECHA_COMB,"&gt;="&amp;BN$2,FECHA_COMB,"&lt;="&amp;BN$3,CLAVE_COMB,$A207)+SUMIFS(SALIDAS_DES,FECHA_DESGLOSEN,"&gt;="&amp;BN$2,FECHA_DESGLOSEN,"&lt;="&amp;BN$3,CLAVE_DESGLOSE,$A207)</f>
        <v>3700</v>
      </c>
      <c r="BO207" s="13">
        <f>SUMIFS(SALIDAS_BIT,FECHA_BIT,"&gt;="&amp;BO$2,FECHA_BIT,"&lt;="&amp;BO$3,CLAVE_BIT,$A207)+SUMIFS(SALIDAS_BOV1,FECHA_BOV1,"&gt;="&amp;BO$2,FECHA_BOV1,"&lt;="&amp;BO$3,CLAVE_BOV1,$A207)+SUMIFS(SALIDAS_BOV2,FECHA_BOV2,"&gt;="&amp;BO$2,FECHA_BOV2,"&lt;="&amp;BO$3,CLAVE_BOV2,$A207)+SUMIFS(SALIDAS_BOV3,FECHA_BOV3,"&gt;="&amp;BO$2,FECHA_BOV3,"&lt;="&amp;BO$3,CLAVE_BOV3,$A207)+SUMIFS(SALIDAS_TC,FECHA_TC,"&gt;="&amp;BO$2,FECHA_TC,"&lt;="&amp;BO$3,CLAVE_TC,$A207)+SUMIFS(SALIDAS_COMB,FECHA_COMB,"&gt;="&amp;BO$2,FECHA_COMB,"&lt;="&amp;BO$3,CLAVE_COMB,$A207)+SUMIFS(SALIDAS_DES,FECHA_DESGLOSEN,"&gt;="&amp;BO$2,FECHA_DESGLOSEN,"&lt;="&amp;BO$3,CLAVE_DESGLOSE,$A207)</f>
        <v>0</v>
      </c>
      <c r="BP207" s="13">
        <f>SUMIFS(SALIDAS_BIT,FECHA_BIT,"&gt;="&amp;BP$2,FECHA_BIT,"&lt;="&amp;BP$3,CLAVE_BIT,$A207)+SUMIFS(SALIDAS_BOV1,FECHA_BOV1,"&gt;="&amp;BP$2,FECHA_BOV1,"&lt;="&amp;BP$3,CLAVE_BOV1,$A207)+SUMIFS(SALIDAS_BOV2,FECHA_BOV2,"&gt;="&amp;BP$2,FECHA_BOV2,"&lt;="&amp;BP$3,CLAVE_BOV2,$A207)+SUMIFS(SALIDAS_BOV3,FECHA_BOV3,"&gt;="&amp;BP$2,FECHA_BOV3,"&lt;="&amp;BP$3,CLAVE_BOV3,$A207)+SUMIFS(SALIDAS_TC,FECHA_TC,"&gt;="&amp;BP$2,FECHA_TC,"&lt;="&amp;BP$3,CLAVE_TC,$A207)+SUMIFS(SALIDAS_COMB,FECHA_COMB,"&gt;="&amp;BP$2,FECHA_COMB,"&lt;="&amp;BP$3,CLAVE_COMB,$A207)+SUMIFS(SALIDAS_DES,FECHA_DESGLOSEN,"&gt;="&amp;BP$2,FECHA_DESGLOSEN,"&lt;="&amp;BP$3,CLAVE_DESGLOSE,$A207)</f>
        <v>0</v>
      </c>
      <c r="BQ207" s="13">
        <f>SUMIFS(SALIDAS_BIT,FECHA_BIT,"&gt;="&amp;BQ$2,FECHA_BIT,"&lt;="&amp;BQ$3,CLAVE_BIT,$A207)+SUMIFS(SALIDAS_BOV1,FECHA_BOV1,"&gt;="&amp;BQ$2,FECHA_BOV1,"&lt;="&amp;BQ$3,CLAVE_BOV1,$A207)+SUMIFS(SALIDAS_BOV2,FECHA_BOV2,"&gt;="&amp;BQ$2,FECHA_BOV2,"&lt;="&amp;BQ$3,CLAVE_BOV2,$A207)+SUMIFS(SALIDAS_BOV3,FECHA_BOV3,"&gt;="&amp;BQ$2,FECHA_BOV3,"&lt;="&amp;BQ$3,CLAVE_BOV3,$A207)+SUMIFS(SALIDAS_TC,FECHA_TC,"&gt;="&amp;BQ$2,FECHA_TC,"&lt;="&amp;BQ$3,CLAVE_TC,$A207)+SUMIFS(SALIDAS_COMB,FECHA_COMB,"&gt;="&amp;BQ$2,FECHA_COMB,"&lt;="&amp;BQ$3,CLAVE_COMB,$A207)+SUMIFS(SALIDAS_DES,FECHA_DESGLOSEN,"&gt;="&amp;BQ$2,FECHA_DESGLOSEN,"&lt;="&amp;BQ$3,CLAVE_DESGLOSE,$A207)</f>
        <v>0</v>
      </c>
      <c r="BR207" s="13">
        <f t="shared" ref="BR207:BR216" si="385">SUMIFS(SALIDAS_BIT,FECHA_BIT,"&gt;="&amp;BR$2,FECHA_BIT,"&lt;="&amp;BR$3,CLAVE_BIT,$A207)+SUMIFS(SALIDAS_BOV1,FECHA_BOV1,"&gt;="&amp;BR$2,FECHA_BOV1,"&lt;="&amp;BR$3,CLAVE_BOV1,$A207)+SUMIFS(SALIDAS_BOV2,FECHA_BOV2,"&gt;="&amp;BR$2,FECHA_BOV2,"&lt;="&amp;BR$3,CLAVE_BOV2,$A207)+SUMIFS(SALIDAS_BOV3,FECHA_BOV3,"&gt;="&amp;BR$2,FECHA_BOV3,"&lt;="&amp;BR$3,CLAVE_BOV3,$A207)+SUMIFS(SALIDAS_TC,FECHA_TC,"&gt;="&amp;BR$2,FECHA_TC,"&lt;="&amp;BR$3,CLAVE_TC,$A207)+SUMIFS(SALIDAS_COMB,FECHA_COMB,"&gt;="&amp;BR$2,FECHA_COMB,"&lt;="&amp;BR$3,CLAVE_COMB,$A207)+SUMIFS(SALIDAS_DES,FECHA_DESGLOSEN,"&gt;="&amp;BR$2,FECHA_DESGLOSEN,"&lt;="&amp;BR$3,CLAVE_DESGLOSE,$A207)</f>
        <v>3700</v>
      </c>
      <c r="BS207" s="68">
        <f t="shared" si="367"/>
        <v>-2700</v>
      </c>
      <c r="BT207" s="268">
        <f t="shared" si="368"/>
        <v>3.7</v>
      </c>
      <c r="BU207" s="13">
        <f t="shared" si="369"/>
        <v>2000</v>
      </c>
      <c r="BV207" s="13">
        <f t="shared" si="291"/>
        <v>0</v>
      </c>
      <c r="BW207" s="13">
        <f t="shared" si="291"/>
        <v>0</v>
      </c>
      <c r="BX207" s="13">
        <f t="shared" si="291"/>
        <v>1000</v>
      </c>
      <c r="BY207" s="13">
        <f t="shared" si="291"/>
        <v>0</v>
      </c>
      <c r="BZ207" s="13">
        <f t="shared" ref="BZ207:BZ216" si="386">SUMIFS(SALIDAS_BIT,FECHA_BIT,"&gt;="&amp;BZ$2,FECHA_BIT,"&lt;="&amp;BZ$3,CLAVE_BIT,$A207)+SUMIFS(SALIDAS_BOV1,FECHA_BOV1,"&gt;="&amp;BZ$2,FECHA_BOV1,"&lt;="&amp;BZ$3,CLAVE_BOV1,$A207)+SUMIFS(SALIDAS_BOV2,FECHA_BOV2,"&gt;="&amp;BZ$2,FECHA_BOV2,"&lt;="&amp;BZ$3,CLAVE_BOV2,$A207)+SUMIFS(SALIDAS_BOV3,FECHA_BOV3,"&gt;="&amp;BZ$2,FECHA_BOV3,"&lt;="&amp;BZ$3,CLAVE_BOV3,$A207)+SUMIFS(SALIDAS_TC,FECHA_TC,"&gt;="&amp;BZ$2,FECHA_TC,"&lt;="&amp;BZ$3,CLAVE_TC,$A207)+SUMIFS(SALIDAS_COMB,FECHA_COMB,"&gt;="&amp;BZ$2,FECHA_COMB,"&lt;="&amp;BZ$3,CLAVE_COMB,$A207)+SUMIFS(SALIDAS_DES,FECHA_DESGLOSEN,"&gt;="&amp;BZ$2,FECHA_DESGLOSEN,"&lt;="&amp;BZ$3,CLAVE_DESGLOSE,$A207)</f>
        <v>1000</v>
      </c>
      <c r="CA207" s="68">
        <f t="shared" si="370"/>
        <v>1000</v>
      </c>
      <c r="CB207" s="268">
        <f t="shared" si="371"/>
        <v>0.5</v>
      </c>
      <c r="CC207" s="13">
        <f t="shared" si="372"/>
        <v>1000</v>
      </c>
      <c r="CD207" s="13">
        <f t="shared" si="292"/>
        <v>500</v>
      </c>
      <c r="CE207" s="13">
        <f t="shared" si="292"/>
        <v>0</v>
      </c>
      <c r="CF207" s="13">
        <f t="shared" si="292"/>
        <v>0</v>
      </c>
      <c r="CG207" s="13">
        <f t="shared" si="292"/>
        <v>0</v>
      </c>
      <c r="CH207" s="13">
        <f t="shared" ref="CH207:CH216" si="387">SUMIFS(SALIDAS_BIT,FECHA_BIT,"&gt;="&amp;CH$2,FECHA_BIT,"&lt;="&amp;CH$3,CLAVE_BIT,$A207)+SUMIFS(SALIDAS_BOV1,FECHA_BOV1,"&gt;="&amp;CH$2,FECHA_BOV1,"&lt;="&amp;CH$3,CLAVE_BOV1,$A207)+SUMIFS(SALIDAS_BOV2,FECHA_BOV2,"&gt;="&amp;CH$2,FECHA_BOV2,"&lt;="&amp;CH$3,CLAVE_BOV2,$A207)+SUMIFS(SALIDAS_BOV3,FECHA_BOV3,"&gt;="&amp;CH$2,FECHA_BOV3,"&lt;="&amp;CH$3,CLAVE_BOV3,$A207)+SUMIFS(SALIDAS_TC,FECHA_TC,"&gt;="&amp;CH$2,FECHA_TC,"&lt;="&amp;CH$3,CLAVE_TC,$A207)+SUMIFS(SALIDAS_COMB,FECHA_COMB,"&gt;="&amp;CH$2,FECHA_COMB,"&lt;="&amp;CH$3,CLAVE_COMB,$A207)+SUMIFS(SALIDAS_DES,FECHA_DESGLOSEN,"&gt;="&amp;CH$2,FECHA_DESGLOSEN,"&lt;="&amp;CH$3,CLAVE_DESGLOSE,$A207)</f>
        <v>500</v>
      </c>
      <c r="CI207" s="68">
        <f t="shared" si="373"/>
        <v>500</v>
      </c>
      <c r="CJ207" s="268">
        <f t="shared" si="374"/>
        <v>0.5</v>
      </c>
      <c r="CK207" s="13">
        <f t="shared" si="375"/>
        <v>1000</v>
      </c>
      <c r="CL207" s="13">
        <f t="shared" si="312"/>
        <v>0</v>
      </c>
      <c r="CM207" s="13">
        <f t="shared" si="312"/>
        <v>0</v>
      </c>
      <c r="CN207" s="13">
        <f t="shared" si="312"/>
        <v>0</v>
      </c>
      <c r="CO207" s="13">
        <f t="shared" si="312"/>
        <v>0</v>
      </c>
      <c r="CP207" s="13">
        <f t="shared" si="312"/>
        <v>0</v>
      </c>
      <c r="CQ207" s="13">
        <f t="shared" ref="CQ207:CQ216" si="388">SUMIFS(SALIDAS_BIT,FECHA_BIT,"&gt;="&amp;CQ$2,FECHA_BIT,"&lt;="&amp;CQ$3,CLAVE_BIT,$A207)+SUMIFS(SALIDAS_BOV1,FECHA_BOV1,"&gt;="&amp;CQ$2,FECHA_BOV1,"&lt;="&amp;CQ$3,CLAVE_BOV1,$A207)+SUMIFS(SALIDAS_BOV2,FECHA_BOV2,"&gt;="&amp;CQ$2,FECHA_BOV2,"&lt;="&amp;CQ$3,CLAVE_BOV2,$A207)+SUMIFS(SALIDAS_BOV3,FECHA_BOV3,"&gt;="&amp;CQ$2,FECHA_BOV3,"&lt;="&amp;CQ$3,CLAVE_BOV3,$A207)+SUMIFS(SALIDAS_TC,FECHA_TC,"&gt;="&amp;CQ$2,FECHA_TC,"&lt;="&amp;CQ$3,CLAVE_TC,$A207)+SUMIFS(SALIDAS_COMB,FECHA_COMB,"&gt;="&amp;CQ$2,FECHA_COMB,"&lt;="&amp;CQ$3,CLAVE_COMB,$A207)+SUMIFS(SALIDAS_DES,FECHA_DESGLOSEN,"&gt;="&amp;CQ$2,FECHA_DESGLOSEN,"&lt;="&amp;CQ$3,CLAVE_DESGLOSE,$A207)</f>
        <v>0</v>
      </c>
      <c r="CR207" s="68">
        <f t="shared" si="376"/>
        <v>1000</v>
      </c>
      <c r="CS207" s="268">
        <f t="shared" si="377"/>
        <v>0</v>
      </c>
      <c r="CT207" s="68">
        <f t="shared" si="350"/>
        <v>2000</v>
      </c>
      <c r="CU207" s="13">
        <f>SUMIFS(SALIDAS_BIT,FECHA_BIT,"&gt;="&amp;CU$2,FECHA_BIT,"&lt;="&amp;CU$3,CLAVE_BIT,$A207)+SUMIFS(SALIDAS_BOV1,FECHA_BOV1,"&gt;="&amp;CU$2,FECHA_BOV1,"&lt;="&amp;CU$3,CLAVE_BOV1,$A207)+SUMIFS(SALIDAS_BOV2,FECHA_BOV2,"&gt;="&amp;CU$2,FECHA_BOV2,"&lt;="&amp;CU$3,CLAVE_BOV2,$A207)+SUMIFS(SALIDAS_BOV3,FECHA_BOV3,"&gt;="&amp;CU$2,FECHA_BOV3,"&lt;="&amp;CU$3,CLAVE_BOV3,$A207)+SUMIFS(SALIDAS_TC,FECHA_TC,"&gt;="&amp;CU$2,FECHA_TC,"&lt;="&amp;CU$3,CLAVE_TC,$A207)+SUMIFS(SALIDAS_COMB,FECHA_COMB,"&gt;="&amp;CU$2,FECHA_COMB,"&lt;="&amp;CU$3,CLAVE_COMB,$A207)+SUMIFS(SALIDAS_DES,FECHA_DESGLOSEN,"&gt;="&amp;CU$2,FECHA_DESGLOSEN,"&lt;="&amp;CU$3,CLAVE_DESGLOSE,$A207)</f>
        <v>0</v>
      </c>
      <c r="CV207" s="13">
        <f>SUMIFS(SALIDAS_BIT,FECHA_BIT,"&gt;="&amp;CV$2,FECHA_BIT,"&lt;="&amp;CV$3,CLAVE_BIT,$A207)+SUMIFS(SALIDAS_BOV1,FECHA_BOV1,"&gt;="&amp;CV$2,FECHA_BOV1,"&lt;="&amp;CV$3,CLAVE_BOV1,$A207)+SUMIFS(SALIDAS_BOV2,FECHA_BOV2,"&gt;="&amp;CV$2,FECHA_BOV2,"&lt;="&amp;CV$3,CLAVE_BOV2,$A207)+SUMIFS(SALIDAS_BOV3,FECHA_BOV3,"&gt;="&amp;CV$2,FECHA_BOV3,"&lt;="&amp;CV$3,CLAVE_BOV3,$A207)+SUMIFS(SALIDAS_TC,FECHA_TC,"&gt;="&amp;CV$2,FECHA_TC,"&lt;="&amp;CV$3,CLAVE_TC,$A207)+SUMIFS(SALIDAS_COMB,FECHA_COMB,"&gt;="&amp;CV$2,FECHA_COMB,"&lt;="&amp;CV$3,CLAVE_COMB,$A207)+SUMIFS(SALIDAS_DES,FECHA_DESGLOSEN,"&gt;="&amp;CV$2,FECHA_DESGLOSEN,"&lt;="&amp;CV$3,CLAVE_DESGLOSE,$A207)</f>
        <v>0</v>
      </c>
      <c r="CW207" s="13">
        <f>SUMIFS(SALIDAS_BIT,FECHA_BIT,"&gt;="&amp;CW$2,FECHA_BIT,"&lt;="&amp;CW$3,CLAVE_BIT,$A207)+SUMIFS(SALIDAS_BOV1,FECHA_BOV1,"&gt;="&amp;CW$2,FECHA_BOV1,"&lt;="&amp;CW$3,CLAVE_BOV1,$A207)+SUMIFS(SALIDAS_BOV2,FECHA_BOV2,"&gt;="&amp;CW$2,FECHA_BOV2,"&lt;="&amp;CW$3,CLAVE_BOV2,$A207)+SUMIFS(SALIDAS_BOV3,FECHA_BOV3,"&gt;="&amp;CW$2,FECHA_BOV3,"&lt;="&amp;CW$3,CLAVE_BOV3,$A207)+SUMIFS(SALIDAS_TC,FECHA_TC,"&gt;="&amp;CW$2,FECHA_TC,"&lt;="&amp;CW$3,CLAVE_TC,$A207)+SUMIFS(SALIDAS_COMB,FECHA_COMB,"&gt;="&amp;CW$2,FECHA_COMB,"&lt;="&amp;CW$3,CLAVE_COMB,$A207)+SUMIFS(SALIDAS_DES,FECHA_DESGLOSEN,"&gt;="&amp;CW$2,FECHA_DESGLOSEN,"&lt;="&amp;CW$3,CLAVE_DESGLOSE,$A207)</f>
        <v>0</v>
      </c>
      <c r="CX207" s="13">
        <f>SUMIFS(SALIDAS_BIT,FECHA_BIT,"&gt;="&amp;CX$2,FECHA_BIT,"&lt;="&amp;CX$3,CLAVE_BIT,$A207)+SUMIFS(SALIDAS_BOV1,FECHA_BOV1,"&gt;="&amp;CX$2,FECHA_BOV1,"&lt;="&amp;CX$3,CLAVE_BOV1,$A207)+SUMIFS(SALIDAS_BOV2,FECHA_BOV2,"&gt;="&amp;CX$2,FECHA_BOV2,"&lt;="&amp;CX$3,CLAVE_BOV2,$A207)+SUMIFS(SALIDAS_BOV3,FECHA_BOV3,"&gt;="&amp;CX$2,FECHA_BOV3,"&lt;="&amp;CX$3,CLAVE_BOV3,$A207)+SUMIFS(SALIDAS_TC,FECHA_TC,"&gt;="&amp;CX$2,FECHA_TC,"&lt;="&amp;CX$3,CLAVE_TC,$A207)+SUMIFS(SALIDAS_COMB,FECHA_COMB,"&gt;="&amp;CX$2,FECHA_COMB,"&lt;="&amp;CX$3,CLAVE_COMB,$A207)+SUMIFS(SALIDAS_DES,FECHA_DESGLOSEN,"&gt;="&amp;CX$2,FECHA_DESGLOSEN,"&lt;="&amp;CX$3,CLAVE_DESGLOSE,$A207)</f>
        <v>0</v>
      </c>
      <c r="CY207" s="13">
        <f>SUMIFS(SALIDAS_BIT,FECHA_BIT,"&gt;="&amp;CY$2,FECHA_BIT,"&lt;="&amp;CY$3,CLAVE_BIT,$A207)+SUMIFS(SALIDAS_BOV1,FECHA_BOV1,"&gt;="&amp;CY$2,FECHA_BOV1,"&lt;="&amp;CY$3,CLAVE_BOV1,$A207)+SUMIFS(SALIDAS_BOV2,FECHA_BOV2,"&gt;="&amp;CY$2,FECHA_BOV2,"&lt;="&amp;CY$3,CLAVE_BOV2,$A207)+SUMIFS(SALIDAS_BOV3,FECHA_BOV3,"&gt;="&amp;CY$2,FECHA_BOV3,"&lt;="&amp;CY$3,CLAVE_BOV3,$A207)+SUMIFS(SALIDAS_TC,FECHA_TC,"&gt;="&amp;CY$2,FECHA_TC,"&lt;="&amp;CY$3,CLAVE_TC,$A207)+SUMIFS(SALIDAS_COMB,FECHA_COMB,"&gt;="&amp;CY$2,FECHA_COMB,"&lt;="&amp;CY$3,CLAVE_COMB,$A207)+SUMIFS(SALIDAS_DES,FECHA_DESGLOSEN,"&gt;="&amp;CY$2,FECHA_DESGLOSEN,"&lt;="&amp;CY$3,CLAVE_DESGLOSE,$A207)</f>
        <v>0</v>
      </c>
      <c r="CZ207" s="68">
        <f t="shared" si="378"/>
        <v>2000</v>
      </c>
      <c r="DB207" s="17">
        <f>F207+N207+W207+AE207+AM207+AV207+BD207+BL207+BU207+CC207+CK207</f>
        <v>12000</v>
      </c>
      <c r="DC207" s="17">
        <f>K207+T207+AB207+AJ207+AS207+BA207+BI207+BR207+BZ207+CH207+CQ207</f>
        <v>6900</v>
      </c>
    </row>
    <row r="208" spans="1:107" hidden="1">
      <c r="A208" s="12" t="str">
        <f t="shared" si="351"/>
        <v>FINANZASCOMBUSTIBLECONTABILIDAD</v>
      </c>
      <c r="B208" s="482">
        <v>210</v>
      </c>
      <c r="C208" t="s">
        <v>23</v>
      </c>
      <c r="D208" s="12" t="s">
        <v>32</v>
      </c>
      <c r="E208" s="12" t="s">
        <v>37</v>
      </c>
      <c r="F208" s="259">
        <f t="shared" si="344"/>
        <v>2800</v>
      </c>
      <c r="G208" s="13">
        <f t="shared" si="380"/>
        <v>2000</v>
      </c>
      <c r="H208" s="13">
        <f t="shared" si="380"/>
        <v>0</v>
      </c>
      <c r="I208" s="13">
        <f t="shared" si="380"/>
        <v>0</v>
      </c>
      <c r="J208" s="13">
        <f t="shared" si="380"/>
        <v>1000</v>
      </c>
      <c r="K208" s="13">
        <f t="shared" si="380"/>
        <v>3000</v>
      </c>
      <c r="L208" s="68">
        <f t="shared" si="352"/>
        <v>-200</v>
      </c>
      <c r="M208" s="268">
        <f t="shared" si="353"/>
        <v>1.0714285714285714</v>
      </c>
      <c r="N208" s="13">
        <f t="shared" si="345"/>
        <v>3500</v>
      </c>
      <c r="O208" s="13">
        <f t="shared" si="381"/>
        <v>3000</v>
      </c>
      <c r="P208" s="13">
        <f t="shared" si="381"/>
        <v>1100</v>
      </c>
      <c r="Q208" s="13">
        <f t="shared" si="381"/>
        <v>0</v>
      </c>
      <c r="R208" s="13">
        <f t="shared" si="381"/>
        <v>0</v>
      </c>
      <c r="S208" s="13">
        <f t="shared" si="381"/>
        <v>1500</v>
      </c>
      <c r="T208" s="13">
        <f t="shared" si="381"/>
        <v>5600</v>
      </c>
      <c r="U208" s="68">
        <f t="shared" si="354"/>
        <v>-2100</v>
      </c>
      <c r="V208" s="268">
        <f t="shared" si="355"/>
        <v>1.6</v>
      </c>
      <c r="W208" s="13">
        <f t="shared" si="346"/>
        <v>2800</v>
      </c>
      <c r="X208" s="13">
        <f t="shared" si="382"/>
        <v>1500</v>
      </c>
      <c r="Y208" s="13">
        <f t="shared" si="382"/>
        <v>1500</v>
      </c>
      <c r="Z208" s="13">
        <f t="shared" si="382"/>
        <v>1500</v>
      </c>
      <c r="AA208" s="13">
        <f t="shared" si="382"/>
        <v>1400</v>
      </c>
      <c r="AB208" s="13">
        <f t="shared" si="382"/>
        <v>5900</v>
      </c>
      <c r="AC208" s="68">
        <f t="shared" si="356"/>
        <v>-3100</v>
      </c>
      <c r="AD208" s="268">
        <f t="shared" si="357"/>
        <v>2.1071428571428572</v>
      </c>
      <c r="AE208" s="13">
        <f t="shared" si="347"/>
        <v>2800</v>
      </c>
      <c r="AF208" s="13">
        <f t="shared" si="383"/>
        <v>0</v>
      </c>
      <c r="AG208" s="13">
        <f t="shared" si="383"/>
        <v>900</v>
      </c>
      <c r="AH208" s="13">
        <f t="shared" si="383"/>
        <v>0</v>
      </c>
      <c r="AI208" s="13">
        <f t="shared" si="383"/>
        <v>0</v>
      </c>
      <c r="AJ208" s="13">
        <f t="shared" si="383"/>
        <v>900</v>
      </c>
      <c r="AK208" s="68">
        <f t="shared" si="358"/>
        <v>1900</v>
      </c>
      <c r="AL208" s="268">
        <f t="shared" si="359"/>
        <v>0.32142857142857145</v>
      </c>
      <c r="AM208" s="13">
        <f t="shared" si="348"/>
        <v>3500</v>
      </c>
      <c r="AN208" s="13">
        <f t="shared" si="384"/>
        <v>0</v>
      </c>
      <c r="AO208" s="13">
        <f t="shared" si="384"/>
        <v>0</v>
      </c>
      <c r="AP208" s="13">
        <f t="shared" si="384"/>
        <v>500</v>
      </c>
      <c r="AQ208" s="13">
        <f t="shared" si="384"/>
        <v>0</v>
      </c>
      <c r="AR208" s="13">
        <f t="shared" si="384"/>
        <v>0</v>
      </c>
      <c r="AS208" s="13">
        <f t="shared" si="384"/>
        <v>500</v>
      </c>
      <c r="AT208" s="68">
        <f>AM208-AS208</f>
        <v>3000</v>
      </c>
      <c r="AU208" s="268">
        <f t="shared" si="360"/>
        <v>0.14285714285714285</v>
      </c>
      <c r="AV208" s="13">
        <f t="shared" si="349"/>
        <v>2800</v>
      </c>
      <c r="AW208" s="13">
        <f t="shared" si="323"/>
        <v>1400</v>
      </c>
      <c r="AX208" s="13">
        <f t="shared" si="323"/>
        <v>0</v>
      </c>
      <c r="AY208" s="13">
        <f t="shared" si="323"/>
        <v>1000</v>
      </c>
      <c r="AZ208" s="13">
        <f t="shared" si="323"/>
        <v>0</v>
      </c>
      <c r="BA208" s="13">
        <f t="shared" si="379"/>
        <v>2400</v>
      </c>
      <c r="BB208" s="68">
        <f t="shared" si="361"/>
        <v>400</v>
      </c>
      <c r="BC208" s="268">
        <f t="shared" si="362"/>
        <v>0.8571428571428571</v>
      </c>
      <c r="BD208" s="13">
        <f t="shared" si="363"/>
        <v>2800</v>
      </c>
      <c r="BE208" s="13">
        <f>SUMIFS(SALIDAS_BIT,FECHA_BIT,"&gt;="&amp;BE$2,FECHA_BIT,"&lt;="&amp;BE$3,CLAVE_BIT,$A208)+SUMIFS(SALIDAS_BOV1,FECHA_BOV1,"&gt;="&amp;BE$2,FECHA_BOV1,"&lt;="&amp;BE$3,CLAVE_BOV1,$A208)+SUMIFS(SALIDAS_BOV2,FECHA_BOV2,"&gt;="&amp;BE$2,FECHA_BOV2,"&lt;="&amp;BE$3,CLAVE_BOV2,$A208)+SUMIFS(SALIDAS_BOV3,FECHA_BOV3,"&gt;="&amp;BE$2,FECHA_BOV3,"&lt;="&amp;BE$3,CLAVE_BOV3,$A208)+SUMIFS(SALIDAS_TC,FECHA_TC,"&gt;="&amp;BE$2,FECHA_TC,"&lt;="&amp;BE$3,CLAVE_TC,$A208)+SUMIFS(SALIDAS_COMB,FECHA_COMB,"&gt;="&amp;BE$2,FECHA_COMB,"&lt;="&amp;BE$3,CLAVE_COMB,$A208)+SUMIFS(SALIDAS_DES,FECHA_DESGLOSEN,"&gt;="&amp;BE$2,FECHA_DESGLOSEN,"&lt;="&amp;BE$3,CLAVE_DESGLOSE,$A208)</f>
        <v>0</v>
      </c>
      <c r="BF208" s="13">
        <f>SUMIFS(SALIDAS_BIT,FECHA_BIT,"&gt;="&amp;BF$2,FECHA_BIT,"&lt;="&amp;BF$3,CLAVE_BIT,$A208)+SUMIFS(SALIDAS_BOV1,FECHA_BOV1,"&gt;="&amp;BF$2,FECHA_BOV1,"&lt;="&amp;BF$3,CLAVE_BOV1,$A208)+SUMIFS(SALIDAS_BOV2,FECHA_BOV2,"&gt;="&amp;BF$2,FECHA_BOV2,"&lt;="&amp;BF$3,CLAVE_BOV2,$A208)+SUMIFS(SALIDAS_BOV3,FECHA_BOV3,"&gt;="&amp;BF$2,FECHA_BOV3,"&lt;="&amp;BF$3,CLAVE_BOV3,$A208)+SUMIFS(SALIDAS_TC,FECHA_TC,"&gt;="&amp;BF$2,FECHA_TC,"&lt;="&amp;BF$3,CLAVE_TC,$A208)+SUMIFS(SALIDAS_COMB,FECHA_COMB,"&gt;="&amp;BF$2,FECHA_COMB,"&lt;="&amp;BF$3,CLAVE_COMB,$A208)+SUMIFS(SALIDAS_DES,FECHA_DESGLOSEN,"&gt;="&amp;BF$2,FECHA_DESGLOSEN,"&lt;="&amp;BF$3,CLAVE_DESGLOSE,$A208)</f>
        <v>0</v>
      </c>
      <c r="BG208" s="13">
        <f>SUMIFS(SALIDAS_BIT,FECHA_BIT,"&gt;="&amp;BG$2,FECHA_BIT,"&lt;="&amp;BG$3,CLAVE_BIT,$A208)+SUMIFS(SALIDAS_BOV1,FECHA_BOV1,"&gt;="&amp;BG$2,FECHA_BOV1,"&lt;="&amp;BG$3,CLAVE_BOV1,$A208)+SUMIFS(SALIDAS_BOV2,FECHA_BOV2,"&gt;="&amp;BG$2,FECHA_BOV2,"&lt;="&amp;BG$3,CLAVE_BOV2,$A208)+SUMIFS(SALIDAS_BOV3,FECHA_BOV3,"&gt;="&amp;BG$2,FECHA_BOV3,"&lt;="&amp;BG$3,CLAVE_BOV3,$A208)+SUMIFS(SALIDAS_TC,FECHA_TC,"&gt;="&amp;BG$2,FECHA_TC,"&lt;="&amp;BG$3,CLAVE_TC,$A208)+SUMIFS(SALIDAS_COMB,FECHA_COMB,"&gt;="&amp;BG$2,FECHA_COMB,"&lt;="&amp;BG$3,CLAVE_COMB,$A208)+SUMIFS(SALIDAS_DES,FECHA_DESGLOSEN,"&gt;="&amp;BG$2,FECHA_DESGLOSEN,"&lt;="&amp;BG$3,CLAVE_DESGLOSE,$A208)</f>
        <v>0</v>
      </c>
      <c r="BH208" s="13">
        <f>SUMIFS(SALIDAS_BIT,FECHA_BIT,"&gt;="&amp;BH$2,FECHA_BIT,"&lt;="&amp;BH$3,CLAVE_BIT,$A208)+SUMIFS(SALIDAS_BOV1,FECHA_BOV1,"&gt;="&amp;BH$2,FECHA_BOV1,"&lt;="&amp;BH$3,CLAVE_BOV1,$A208)+SUMIFS(SALIDAS_BOV2,FECHA_BOV2,"&gt;="&amp;BH$2,FECHA_BOV2,"&lt;="&amp;BH$3,CLAVE_BOV2,$A208)+SUMIFS(SALIDAS_BOV3,FECHA_BOV3,"&gt;="&amp;BH$2,FECHA_BOV3,"&lt;="&amp;BH$3,CLAVE_BOV3,$A208)+SUMIFS(SALIDAS_TC,FECHA_TC,"&gt;="&amp;BH$2,FECHA_TC,"&lt;="&amp;BH$3,CLAVE_TC,$A208)+SUMIFS(SALIDAS_COMB,FECHA_COMB,"&gt;="&amp;BH$2,FECHA_COMB,"&lt;="&amp;BH$3,CLAVE_COMB,$A208)+SUMIFS(SALIDAS_DES,FECHA_DESGLOSEN,"&gt;="&amp;BH$2,FECHA_DESGLOSEN,"&lt;="&amp;BH$3,CLAVE_DESGLOSE,$A208)</f>
        <v>900</v>
      </c>
      <c r="BI208" s="13">
        <f t="shared" si="311"/>
        <v>900</v>
      </c>
      <c r="BJ208" s="68">
        <f t="shared" si="364"/>
        <v>1900</v>
      </c>
      <c r="BK208" s="268">
        <f t="shared" si="365"/>
        <v>0.32142857142857145</v>
      </c>
      <c r="BL208" s="13">
        <f t="shared" si="366"/>
        <v>3500</v>
      </c>
      <c r="BM208" s="13">
        <f>SUMIFS(SALIDAS_BIT,FECHA_BIT,"&gt;="&amp;BM$2,FECHA_BIT,"&lt;="&amp;BM$3,CLAVE_BIT,$A208)+SUMIFS(SALIDAS_BOV1,FECHA_BOV1,"&gt;="&amp;BM$2,FECHA_BOV1,"&lt;="&amp;BM$3,CLAVE_BOV1,$A208)+SUMIFS(SALIDAS_BOV2,FECHA_BOV2,"&gt;="&amp;BM$2,FECHA_BOV2,"&lt;="&amp;BM$3,CLAVE_BOV2,$A208)+SUMIFS(SALIDAS_BOV3,FECHA_BOV3,"&gt;="&amp;BM$2,FECHA_BOV3,"&lt;="&amp;BM$3,CLAVE_BOV3,$A208)+SUMIFS(SALIDAS_TC,FECHA_TC,"&gt;="&amp;BM$2,FECHA_TC,"&lt;="&amp;BM$3,CLAVE_TC,$A208)+SUMIFS(SALIDAS_COMB,FECHA_COMB,"&gt;="&amp;BM$2,FECHA_COMB,"&lt;="&amp;BM$3,CLAVE_COMB,$A208)+SUMIFS(SALIDAS_DES,FECHA_DESGLOSEN,"&gt;="&amp;BM$2,FECHA_DESGLOSEN,"&lt;="&amp;BM$3,CLAVE_DESGLOSE,$A208)</f>
        <v>500</v>
      </c>
      <c r="BN208" s="13">
        <f>SUMIFS(SALIDAS_BIT,FECHA_BIT,"&gt;="&amp;BN$2,FECHA_BIT,"&lt;="&amp;BN$3,CLAVE_BIT,$A208)+SUMIFS(SALIDAS_BOV1,FECHA_BOV1,"&gt;="&amp;BN$2,FECHA_BOV1,"&lt;="&amp;BN$3,CLAVE_BOV1,$A208)+SUMIFS(SALIDAS_BOV2,FECHA_BOV2,"&gt;="&amp;BN$2,FECHA_BOV2,"&lt;="&amp;BN$3,CLAVE_BOV2,$A208)+SUMIFS(SALIDAS_BOV3,FECHA_BOV3,"&gt;="&amp;BN$2,FECHA_BOV3,"&lt;="&amp;BN$3,CLAVE_BOV3,$A208)+SUMIFS(SALIDAS_TC,FECHA_TC,"&gt;="&amp;BN$2,FECHA_TC,"&lt;="&amp;BN$3,CLAVE_TC,$A208)+SUMIFS(SALIDAS_COMB,FECHA_COMB,"&gt;="&amp;BN$2,FECHA_COMB,"&lt;="&amp;BN$3,CLAVE_COMB,$A208)+SUMIFS(SALIDAS_DES,FECHA_DESGLOSEN,"&gt;="&amp;BN$2,FECHA_DESGLOSEN,"&lt;="&amp;BN$3,CLAVE_DESGLOSE,$A208)</f>
        <v>0</v>
      </c>
      <c r="BO208" s="13">
        <f>SUMIFS(SALIDAS_BIT,FECHA_BIT,"&gt;="&amp;BO$2,FECHA_BIT,"&lt;="&amp;BO$3,CLAVE_BIT,$A208)+SUMIFS(SALIDAS_BOV1,FECHA_BOV1,"&gt;="&amp;BO$2,FECHA_BOV1,"&lt;="&amp;BO$3,CLAVE_BOV1,$A208)+SUMIFS(SALIDAS_BOV2,FECHA_BOV2,"&gt;="&amp;BO$2,FECHA_BOV2,"&lt;="&amp;BO$3,CLAVE_BOV2,$A208)+SUMIFS(SALIDAS_BOV3,FECHA_BOV3,"&gt;="&amp;BO$2,FECHA_BOV3,"&lt;="&amp;BO$3,CLAVE_BOV3,$A208)+SUMIFS(SALIDAS_TC,FECHA_TC,"&gt;="&amp;BO$2,FECHA_TC,"&lt;="&amp;BO$3,CLAVE_TC,$A208)+SUMIFS(SALIDAS_COMB,FECHA_COMB,"&gt;="&amp;BO$2,FECHA_COMB,"&lt;="&amp;BO$3,CLAVE_COMB,$A208)+SUMIFS(SALIDAS_DES,FECHA_DESGLOSEN,"&gt;="&amp;BO$2,FECHA_DESGLOSEN,"&lt;="&amp;BO$3,CLAVE_DESGLOSE,$A208)</f>
        <v>500</v>
      </c>
      <c r="BP208" s="13">
        <f>SUMIFS(SALIDAS_BIT,FECHA_BIT,"&gt;="&amp;BP$2,FECHA_BIT,"&lt;="&amp;BP$3,CLAVE_BIT,$A208)+SUMIFS(SALIDAS_BOV1,FECHA_BOV1,"&gt;="&amp;BP$2,FECHA_BOV1,"&lt;="&amp;BP$3,CLAVE_BOV1,$A208)+SUMIFS(SALIDAS_BOV2,FECHA_BOV2,"&gt;="&amp;BP$2,FECHA_BOV2,"&lt;="&amp;BP$3,CLAVE_BOV2,$A208)+SUMIFS(SALIDAS_BOV3,FECHA_BOV3,"&gt;="&amp;BP$2,FECHA_BOV3,"&lt;="&amp;BP$3,CLAVE_BOV3,$A208)+SUMIFS(SALIDAS_TC,FECHA_TC,"&gt;="&amp;BP$2,FECHA_TC,"&lt;="&amp;BP$3,CLAVE_TC,$A208)+SUMIFS(SALIDAS_COMB,FECHA_COMB,"&gt;="&amp;BP$2,FECHA_COMB,"&lt;="&amp;BP$3,CLAVE_COMB,$A208)+SUMIFS(SALIDAS_DES,FECHA_DESGLOSEN,"&gt;="&amp;BP$2,FECHA_DESGLOSEN,"&lt;="&amp;BP$3,CLAVE_DESGLOSE,$A208)</f>
        <v>500</v>
      </c>
      <c r="BQ208" s="13">
        <f>SUMIFS(SALIDAS_BIT,FECHA_BIT,"&gt;="&amp;BQ$2,FECHA_BIT,"&lt;="&amp;BQ$3,CLAVE_BIT,$A208)+SUMIFS(SALIDAS_BOV1,FECHA_BOV1,"&gt;="&amp;BQ$2,FECHA_BOV1,"&lt;="&amp;BQ$3,CLAVE_BOV1,$A208)+SUMIFS(SALIDAS_BOV2,FECHA_BOV2,"&gt;="&amp;BQ$2,FECHA_BOV2,"&lt;="&amp;BQ$3,CLAVE_BOV2,$A208)+SUMIFS(SALIDAS_BOV3,FECHA_BOV3,"&gt;="&amp;BQ$2,FECHA_BOV3,"&lt;="&amp;BQ$3,CLAVE_BOV3,$A208)+SUMIFS(SALIDAS_TC,FECHA_TC,"&gt;="&amp;BQ$2,FECHA_TC,"&lt;="&amp;BQ$3,CLAVE_TC,$A208)+SUMIFS(SALIDAS_COMB,FECHA_COMB,"&gt;="&amp;BQ$2,FECHA_COMB,"&lt;="&amp;BQ$3,CLAVE_COMB,$A208)+SUMIFS(SALIDAS_DES,FECHA_DESGLOSEN,"&gt;="&amp;BQ$2,FECHA_DESGLOSEN,"&lt;="&amp;BQ$3,CLAVE_DESGLOSE,$A208)</f>
        <v>0</v>
      </c>
      <c r="BR208" s="13">
        <f t="shared" si="385"/>
        <v>1500</v>
      </c>
      <c r="BS208" s="68">
        <f t="shared" si="367"/>
        <v>2000</v>
      </c>
      <c r="BT208" s="268">
        <f t="shared" si="368"/>
        <v>0.42857142857142855</v>
      </c>
      <c r="BU208" s="13">
        <f t="shared" si="369"/>
        <v>2800</v>
      </c>
      <c r="BV208" s="13">
        <f t="shared" si="291"/>
        <v>0</v>
      </c>
      <c r="BW208" s="13">
        <f t="shared" si="291"/>
        <v>500</v>
      </c>
      <c r="BX208" s="13">
        <f t="shared" si="291"/>
        <v>500</v>
      </c>
      <c r="BY208" s="13">
        <f t="shared" si="291"/>
        <v>0</v>
      </c>
      <c r="BZ208" s="13">
        <f t="shared" si="386"/>
        <v>1000</v>
      </c>
      <c r="CA208" s="68">
        <f t="shared" si="370"/>
        <v>1800</v>
      </c>
      <c r="CB208" s="268">
        <f t="shared" si="371"/>
        <v>0.35714285714285715</v>
      </c>
      <c r="CC208" s="13">
        <f t="shared" si="372"/>
        <v>2800</v>
      </c>
      <c r="CD208" s="13">
        <f t="shared" si="292"/>
        <v>0</v>
      </c>
      <c r="CE208" s="13">
        <f t="shared" si="292"/>
        <v>950</v>
      </c>
      <c r="CF208" s="13">
        <f t="shared" si="292"/>
        <v>0</v>
      </c>
      <c r="CG208" s="13">
        <f t="shared" si="292"/>
        <v>0</v>
      </c>
      <c r="CH208" s="13">
        <f t="shared" si="387"/>
        <v>950</v>
      </c>
      <c r="CI208" s="68">
        <f t="shared" si="373"/>
        <v>1850</v>
      </c>
      <c r="CJ208" s="268">
        <f t="shared" si="374"/>
        <v>0.3392857142857143</v>
      </c>
      <c r="CK208" s="13">
        <f t="shared" si="375"/>
        <v>3500</v>
      </c>
      <c r="CL208" s="13">
        <f t="shared" si="312"/>
        <v>0</v>
      </c>
      <c r="CM208" s="13">
        <f t="shared" si="312"/>
        <v>0</v>
      </c>
      <c r="CN208" s="13">
        <f t="shared" si="312"/>
        <v>0</v>
      </c>
      <c r="CO208" s="13">
        <f t="shared" si="312"/>
        <v>500</v>
      </c>
      <c r="CP208" s="13">
        <f t="shared" si="312"/>
        <v>500</v>
      </c>
      <c r="CQ208" s="13">
        <f t="shared" si="388"/>
        <v>1000</v>
      </c>
      <c r="CR208" s="68">
        <f t="shared" si="376"/>
        <v>2500</v>
      </c>
      <c r="CS208" s="268">
        <f t="shared" si="377"/>
        <v>0.2857142857142857</v>
      </c>
      <c r="CT208" s="68">
        <f t="shared" si="350"/>
        <v>3200</v>
      </c>
      <c r="CU208" s="13">
        <f>SUMIFS(SALIDAS_BIT,FECHA_BIT,"&gt;="&amp;CU$2,FECHA_BIT,"&lt;="&amp;CU$3,CLAVE_BIT,$A208)+SUMIFS(SALIDAS_BOV1,FECHA_BOV1,"&gt;="&amp;CU$2,FECHA_BOV1,"&lt;="&amp;CU$3,CLAVE_BOV1,$A208)+SUMIFS(SALIDAS_BOV2,FECHA_BOV2,"&gt;="&amp;CU$2,FECHA_BOV2,"&lt;="&amp;CU$3,CLAVE_BOV2,$A208)+SUMIFS(SALIDAS_BOV3,FECHA_BOV3,"&gt;="&amp;CU$2,FECHA_BOV3,"&lt;="&amp;CU$3,CLAVE_BOV3,$A208)+SUMIFS(SALIDAS_TC,FECHA_TC,"&gt;="&amp;CU$2,FECHA_TC,"&lt;="&amp;CU$3,CLAVE_TC,$A208)+SUMIFS(SALIDAS_COMB,FECHA_COMB,"&gt;="&amp;CU$2,FECHA_COMB,"&lt;="&amp;CU$3,CLAVE_COMB,$A208)+SUMIFS(SALIDAS_DES,FECHA_DESGLOSEN,"&gt;="&amp;CU$2,FECHA_DESGLOSEN,"&lt;="&amp;CU$3,CLAVE_DESGLOSE,$A208)</f>
        <v>0</v>
      </c>
      <c r="CV208" s="13">
        <f>SUMIFS(SALIDAS_BIT,FECHA_BIT,"&gt;="&amp;CV$2,FECHA_BIT,"&lt;="&amp;CV$3,CLAVE_BIT,$A208)+SUMIFS(SALIDAS_BOV1,FECHA_BOV1,"&gt;="&amp;CV$2,FECHA_BOV1,"&lt;="&amp;CV$3,CLAVE_BOV1,$A208)+SUMIFS(SALIDAS_BOV2,FECHA_BOV2,"&gt;="&amp;CV$2,FECHA_BOV2,"&lt;="&amp;CV$3,CLAVE_BOV2,$A208)+SUMIFS(SALIDAS_BOV3,FECHA_BOV3,"&gt;="&amp;CV$2,FECHA_BOV3,"&lt;="&amp;CV$3,CLAVE_BOV3,$A208)+SUMIFS(SALIDAS_TC,FECHA_TC,"&gt;="&amp;CV$2,FECHA_TC,"&lt;="&amp;CV$3,CLAVE_TC,$A208)+SUMIFS(SALIDAS_COMB,FECHA_COMB,"&gt;="&amp;CV$2,FECHA_COMB,"&lt;="&amp;CV$3,CLAVE_COMB,$A208)+SUMIFS(SALIDAS_DES,FECHA_DESGLOSEN,"&gt;="&amp;CV$2,FECHA_DESGLOSEN,"&lt;="&amp;CV$3,CLAVE_DESGLOSE,$A208)</f>
        <v>1000</v>
      </c>
      <c r="CW208" s="13">
        <f>SUMIFS(SALIDAS_BIT,FECHA_BIT,"&gt;="&amp;CW$2,FECHA_BIT,"&lt;="&amp;CW$3,CLAVE_BIT,$A208)+SUMIFS(SALIDAS_BOV1,FECHA_BOV1,"&gt;="&amp;CW$2,FECHA_BOV1,"&lt;="&amp;CW$3,CLAVE_BOV1,$A208)+SUMIFS(SALIDAS_BOV2,FECHA_BOV2,"&gt;="&amp;CW$2,FECHA_BOV2,"&lt;="&amp;CW$3,CLAVE_BOV2,$A208)+SUMIFS(SALIDAS_BOV3,FECHA_BOV3,"&gt;="&amp;CW$2,FECHA_BOV3,"&lt;="&amp;CW$3,CLAVE_BOV3,$A208)+SUMIFS(SALIDAS_TC,FECHA_TC,"&gt;="&amp;CW$2,FECHA_TC,"&lt;="&amp;CW$3,CLAVE_TC,$A208)+SUMIFS(SALIDAS_COMB,FECHA_COMB,"&gt;="&amp;CW$2,FECHA_COMB,"&lt;="&amp;CW$3,CLAVE_COMB,$A208)+SUMIFS(SALIDAS_DES,FECHA_DESGLOSEN,"&gt;="&amp;CW$2,FECHA_DESGLOSEN,"&lt;="&amp;CW$3,CLAVE_DESGLOSE,$A208)</f>
        <v>0</v>
      </c>
      <c r="CX208" s="13">
        <f>SUMIFS(SALIDAS_BIT,FECHA_BIT,"&gt;="&amp;CX$2,FECHA_BIT,"&lt;="&amp;CX$3,CLAVE_BIT,$A208)+SUMIFS(SALIDAS_BOV1,FECHA_BOV1,"&gt;="&amp;CX$2,FECHA_BOV1,"&lt;="&amp;CX$3,CLAVE_BOV1,$A208)+SUMIFS(SALIDAS_BOV2,FECHA_BOV2,"&gt;="&amp;CX$2,FECHA_BOV2,"&lt;="&amp;CX$3,CLAVE_BOV2,$A208)+SUMIFS(SALIDAS_BOV3,FECHA_BOV3,"&gt;="&amp;CX$2,FECHA_BOV3,"&lt;="&amp;CX$3,CLAVE_BOV3,$A208)+SUMIFS(SALIDAS_TC,FECHA_TC,"&gt;="&amp;CX$2,FECHA_TC,"&lt;="&amp;CX$3,CLAVE_TC,$A208)+SUMIFS(SALIDAS_COMB,FECHA_COMB,"&gt;="&amp;CX$2,FECHA_COMB,"&lt;="&amp;CX$3,CLAVE_COMB,$A208)+SUMIFS(SALIDAS_DES,FECHA_DESGLOSEN,"&gt;="&amp;CX$2,FECHA_DESGLOSEN,"&lt;="&amp;CX$3,CLAVE_DESGLOSE,$A208)</f>
        <v>0</v>
      </c>
      <c r="CY208" s="13">
        <f>SUMIFS(SALIDAS_BIT,FECHA_BIT,"&gt;="&amp;CY$2,FECHA_BIT,"&lt;="&amp;CY$3,CLAVE_BIT,$A208)+SUMIFS(SALIDAS_BOV1,FECHA_BOV1,"&gt;="&amp;CY$2,FECHA_BOV1,"&lt;="&amp;CY$3,CLAVE_BOV1,$A208)+SUMIFS(SALIDAS_BOV2,FECHA_BOV2,"&gt;="&amp;CY$2,FECHA_BOV2,"&lt;="&amp;CY$3,CLAVE_BOV2,$A208)+SUMIFS(SALIDAS_BOV3,FECHA_BOV3,"&gt;="&amp;CY$2,FECHA_BOV3,"&lt;="&amp;CY$3,CLAVE_BOV3,$A208)+SUMIFS(SALIDAS_TC,FECHA_TC,"&gt;="&amp;CY$2,FECHA_TC,"&lt;="&amp;CY$3,CLAVE_TC,$A208)+SUMIFS(SALIDAS_COMB,FECHA_COMB,"&gt;="&amp;CY$2,FECHA_COMB,"&lt;="&amp;CY$3,CLAVE_COMB,$A208)+SUMIFS(SALIDAS_DES,FECHA_DESGLOSEN,"&gt;="&amp;CY$2,FECHA_DESGLOSEN,"&lt;="&amp;CY$3,CLAVE_DESGLOSE,$A208)</f>
        <v>1000</v>
      </c>
      <c r="CZ208" s="68">
        <f t="shared" si="378"/>
        <v>2200</v>
      </c>
      <c r="DB208" s="17">
        <f>F208+N208+W208+AE208+AM208+AV208+BD208+BL208+BU208+CC208+CK208</f>
        <v>33600</v>
      </c>
      <c r="DC208" s="17">
        <f>K208+T208+AB208+AJ208+AS208+BA208+BI208+BR208+BZ208+CH208+CQ208</f>
        <v>23650</v>
      </c>
    </row>
    <row r="209" spans="1:107" hidden="1">
      <c r="A209" s="12" t="str">
        <f t="shared" si="351"/>
        <v>FINANZASCOMBUSTIBLETESORERIA</v>
      </c>
      <c r="B209" s="482">
        <v>211</v>
      </c>
      <c r="C209" t="s">
        <v>23</v>
      </c>
      <c r="D209" s="12" t="s">
        <v>32</v>
      </c>
      <c r="E209" s="12" t="s">
        <v>38</v>
      </c>
      <c r="F209" s="259">
        <f t="shared" si="344"/>
        <v>8800</v>
      </c>
      <c r="G209" s="13">
        <f t="shared" si="380"/>
        <v>1500</v>
      </c>
      <c r="H209" s="13">
        <f t="shared" si="380"/>
        <v>0</v>
      </c>
      <c r="I209" s="13">
        <f t="shared" si="380"/>
        <v>2900</v>
      </c>
      <c r="J209" s="13">
        <f t="shared" si="380"/>
        <v>2200</v>
      </c>
      <c r="K209" s="13">
        <f t="shared" si="380"/>
        <v>6600</v>
      </c>
      <c r="L209" s="68">
        <f t="shared" si="352"/>
        <v>2200</v>
      </c>
      <c r="M209" s="268">
        <f t="shared" si="353"/>
        <v>0.75</v>
      </c>
      <c r="N209" s="13">
        <f t="shared" si="345"/>
        <v>11000</v>
      </c>
      <c r="O209" s="13">
        <f t="shared" si="381"/>
        <v>2200</v>
      </c>
      <c r="P209" s="13">
        <f t="shared" si="381"/>
        <v>2200</v>
      </c>
      <c r="Q209" s="13">
        <f t="shared" si="381"/>
        <v>2200</v>
      </c>
      <c r="R209" s="13">
        <f t="shared" si="381"/>
        <v>4400</v>
      </c>
      <c r="S209" s="13">
        <f t="shared" si="381"/>
        <v>2200</v>
      </c>
      <c r="T209" s="13">
        <f t="shared" si="381"/>
        <v>13200</v>
      </c>
      <c r="U209" s="68">
        <f t="shared" si="354"/>
        <v>-2200</v>
      </c>
      <c r="V209" s="268">
        <f t="shared" si="355"/>
        <v>1.2</v>
      </c>
      <c r="W209" s="13">
        <f t="shared" si="346"/>
        <v>8800</v>
      </c>
      <c r="X209" s="13">
        <f t="shared" si="382"/>
        <v>2200</v>
      </c>
      <c r="Y209" s="13">
        <f t="shared" si="382"/>
        <v>0</v>
      </c>
      <c r="Z209" s="13">
        <f t="shared" si="382"/>
        <v>2200</v>
      </c>
      <c r="AA209" s="13">
        <f t="shared" si="382"/>
        <v>2200</v>
      </c>
      <c r="AB209" s="13">
        <f t="shared" si="382"/>
        <v>6600</v>
      </c>
      <c r="AC209" s="68">
        <f t="shared" si="356"/>
        <v>2200</v>
      </c>
      <c r="AD209" s="268">
        <f t="shared" si="357"/>
        <v>0.75</v>
      </c>
      <c r="AE209" s="13">
        <f t="shared" si="347"/>
        <v>8800</v>
      </c>
      <c r="AF209" s="13">
        <f t="shared" si="383"/>
        <v>1500</v>
      </c>
      <c r="AG209" s="13">
        <f t="shared" si="383"/>
        <v>2200</v>
      </c>
      <c r="AH209" s="13">
        <f t="shared" si="383"/>
        <v>2700</v>
      </c>
      <c r="AI209" s="13">
        <f t="shared" si="383"/>
        <v>2700</v>
      </c>
      <c r="AJ209" s="13">
        <f t="shared" si="383"/>
        <v>9100</v>
      </c>
      <c r="AK209" s="68">
        <f t="shared" si="358"/>
        <v>-300</v>
      </c>
      <c r="AL209" s="268">
        <f t="shared" si="359"/>
        <v>1.0340909090909092</v>
      </c>
      <c r="AM209" s="13">
        <f t="shared" si="348"/>
        <v>11000</v>
      </c>
      <c r="AN209" s="13">
        <f t="shared" si="384"/>
        <v>2850</v>
      </c>
      <c r="AO209" s="13">
        <f t="shared" si="384"/>
        <v>2700</v>
      </c>
      <c r="AP209" s="13">
        <f t="shared" si="384"/>
        <v>2200</v>
      </c>
      <c r="AQ209" s="13">
        <f t="shared" si="384"/>
        <v>2200</v>
      </c>
      <c r="AR209" s="13">
        <f t="shared" si="384"/>
        <v>2152</v>
      </c>
      <c r="AS209" s="13">
        <f t="shared" si="384"/>
        <v>12102</v>
      </c>
      <c r="AT209" s="68">
        <f>AM209-AS209</f>
        <v>-1102</v>
      </c>
      <c r="AU209" s="268">
        <f t="shared" si="360"/>
        <v>1.1001818181818181</v>
      </c>
      <c r="AV209" s="13">
        <f t="shared" si="349"/>
        <v>8800</v>
      </c>
      <c r="AW209" s="13">
        <f t="shared" si="323"/>
        <v>2200</v>
      </c>
      <c r="AX209" s="13">
        <f t="shared" si="323"/>
        <v>2200</v>
      </c>
      <c r="AY209" s="13">
        <f t="shared" si="323"/>
        <v>2200</v>
      </c>
      <c r="AZ209" s="13">
        <f t="shared" si="323"/>
        <v>2200</v>
      </c>
      <c r="BA209" s="13">
        <f t="shared" si="379"/>
        <v>8800</v>
      </c>
      <c r="BB209" s="68">
        <f t="shared" si="361"/>
        <v>0</v>
      </c>
      <c r="BC209" s="268">
        <f t="shared" si="362"/>
        <v>1</v>
      </c>
      <c r="BD209" s="13">
        <f t="shared" si="363"/>
        <v>8800</v>
      </c>
      <c r="BE209" s="13">
        <f>SUMIFS(SALIDAS_BIT,FECHA_BIT,"&gt;="&amp;BE$2,FECHA_BIT,"&lt;="&amp;BE$3,CLAVE_BIT,$A209)+SUMIFS(SALIDAS_BOV1,FECHA_BOV1,"&gt;="&amp;BE$2,FECHA_BOV1,"&lt;="&amp;BE$3,CLAVE_BOV1,$A209)+SUMIFS(SALIDAS_BOV2,FECHA_BOV2,"&gt;="&amp;BE$2,FECHA_BOV2,"&lt;="&amp;BE$3,CLAVE_BOV2,$A209)+SUMIFS(SALIDAS_BOV3,FECHA_BOV3,"&gt;="&amp;BE$2,FECHA_BOV3,"&lt;="&amp;BE$3,CLAVE_BOV3,$A209)+SUMIFS(SALIDAS_TC,FECHA_TC,"&gt;="&amp;BE$2,FECHA_TC,"&lt;="&amp;BE$3,CLAVE_TC,$A209)+SUMIFS(SALIDAS_COMB,FECHA_COMB,"&gt;="&amp;BE$2,FECHA_COMB,"&lt;="&amp;BE$3,CLAVE_COMB,$A209)+SUMIFS(SALIDAS_DES,FECHA_DESGLOSEN,"&gt;="&amp;BE$2,FECHA_DESGLOSEN,"&lt;="&amp;BE$3,CLAVE_DESGLOSE,$A209)</f>
        <v>2200</v>
      </c>
      <c r="BF209" s="13">
        <f>SUMIFS(SALIDAS_BIT,FECHA_BIT,"&gt;="&amp;BF$2,FECHA_BIT,"&lt;="&amp;BF$3,CLAVE_BIT,$A209)+SUMIFS(SALIDAS_BOV1,FECHA_BOV1,"&gt;="&amp;BF$2,FECHA_BOV1,"&lt;="&amp;BF$3,CLAVE_BOV1,$A209)+SUMIFS(SALIDAS_BOV2,FECHA_BOV2,"&gt;="&amp;BF$2,FECHA_BOV2,"&lt;="&amp;BF$3,CLAVE_BOV2,$A209)+SUMIFS(SALIDAS_BOV3,FECHA_BOV3,"&gt;="&amp;BF$2,FECHA_BOV3,"&lt;="&amp;BF$3,CLAVE_BOV3,$A209)+SUMIFS(SALIDAS_TC,FECHA_TC,"&gt;="&amp;BF$2,FECHA_TC,"&lt;="&amp;BF$3,CLAVE_TC,$A209)+SUMIFS(SALIDAS_COMB,FECHA_COMB,"&gt;="&amp;BF$2,FECHA_COMB,"&lt;="&amp;BF$3,CLAVE_COMB,$A209)+SUMIFS(SALIDAS_DES,FECHA_DESGLOSEN,"&gt;="&amp;BF$2,FECHA_DESGLOSEN,"&lt;="&amp;BF$3,CLAVE_DESGLOSE,$A209)</f>
        <v>2200</v>
      </c>
      <c r="BG209" s="13">
        <f>SUMIFS(SALIDAS_BIT,FECHA_BIT,"&gt;="&amp;BG$2,FECHA_BIT,"&lt;="&amp;BG$3,CLAVE_BIT,$A209)+SUMIFS(SALIDAS_BOV1,FECHA_BOV1,"&gt;="&amp;BG$2,FECHA_BOV1,"&lt;="&amp;BG$3,CLAVE_BOV1,$A209)+SUMIFS(SALIDAS_BOV2,FECHA_BOV2,"&gt;="&amp;BG$2,FECHA_BOV2,"&lt;="&amp;BG$3,CLAVE_BOV2,$A209)+SUMIFS(SALIDAS_BOV3,FECHA_BOV3,"&gt;="&amp;BG$2,FECHA_BOV3,"&lt;="&amp;BG$3,CLAVE_BOV3,$A209)+SUMIFS(SALIDAS_TC,FECHA_TC,"&gt;="&amp;BG$2,FECHA_TC,"&lt;="&amp;BG$3,CLAVE_TC,$A209)+SUMIFS(SALIDAS_COMB,FECHA_COMB,"&gt;="&amp;BG$2,FECHA_COMB,"&lt;="&amp;BG$3,CLAVE_COMB,$A209)+SUMIFS(SALIDAS_DES,FECHA_DESGLOSEN,"&gt;="&amp;BG$2,FECHA_DESGLOSEN,"&lt;="&amp;BG$3,CLAVE_DESGLOSE,$A209)</f>
        <v>2700</v>
      </c>
      <c r="BH209" s="13">
        <f>SUMIFS(SALIDAS_BIT,FECHA_BIT,"&gt;="&amp;BH$2,FECHA_BIT,"&lt;="&amp;BH$3,CLAVE_BIT,$A209)+SUMIFS(SALIDAS_BOV1,FECHA_BOV1,"&gt;="&amp;BH$2,FECHA_BOV1,"&lt;="&amp;BH$3,CLAVE_BOV1,$A209)+SUMIFS(SALIDAS_BOV2,FECHA_BOV2,"&gt;="&amp;BH$2,FECHA_BOV2,"&lt;="&amp;BH$3,CLAVE_BOV2,$A209)+SUMIFS(SALIDAS_BOV3,FECHA_BOV3,"&gt;="&amp;BH$2,FECHA_BOV3,"&lt;="&amp;BH$3,CLAVE_BOV3,$A209)+SUMIFS(SALIDAS_TC,FECHA_TC,"&gt;="&amp;BH$2,FECHA_TC,"&lt;="&amp;BH$3,CLAVE_TC,$A209)+SUMIFS(SALIDAS_COMB,FECHA_COMB,"&gt;="&amp;BH$2,FECHA_COMB,"&lt;="&amp;BH$3,CLAVE_COMB,$A209)+SUMIFS(SALIDAS_DES,FECHA_DESGLOSEN,"&gt;="&amp;BH$2,FECHA_DESGLOSEN,"&lt;="&amp;BH$3,CLAVE_DESGLOSE,$A209)</f>
        <v>2200</v>
      </c>
      <c r="BI209" s="13">
        <f t="shared" si="311"/>
        <v>9300</v>
      </c>
      <c r="BJ209" s="68">
        <f t="shared" si="364"/>
        <v>-500</v>
      </c>
      <c r="BK209" s="268">
        <f t="shared" si="365"/>
        <v>1.0568181818181819</v>
      </c>
      <c r="BL209" s="13">
        <f t="shared" si="366"/>
        <v>11000</v>
      </c>
      <c r="BM209" s="13">
        <f>SUMIFS(SALIDAS_BIT,FECHA_BIT,"&gt;="&amp;BM$2,FECHA_BIT,"&lt;="&amp;BM$3,CLAVE_BIT,$A209)+SUMIFS(SALIDAS_BOV1,FECHA_BOV1,"&gt;="&amp;BM$2,FECHA_BOV1,"&lt;="&amp;BM$3,CLAVE_BOV1,$A209)+SUMIFS(SALIDAS_BOV2,FECHA_BOV2,"&gt;="&amp;BM$2,FECHA_BOV2,"&lt;="&amp;BM$3,CLAVE_BOV2,$A209)+SUMIFS(SALIDAS_BOV3,FECHA_BOV3,"&gt;="&amp;BM$2,FECHA_BOV3,"&lt;="&amp;BM$3,CLAVE_BOV3,$A209)+SUMIFS(SALIDAS_TC,FECHA_TC,"&gt;="&amp;BM$2,FECHA_TC,"&lt;="&amp;BM$3,CLAVE_TC,$A209)+SUMIFS(SALIDAS_COMB,FECHA_COMB,"&gt;="&amp;BM$2,FECHA_COMB,"&lt;="&amp;BM$3,CLAVE_COMB,$A209)+SUMIFS(SALIDAS_DES,FECHA_DESGLOSEN,"&gt;="&amp;BM$2,FECHA_DESGLOSEN,"&lt;="&amp;BM$3,CLAVE_DESGLOSE,$A209)</f>
        <v>1700</v>
      </c>
      <c r="BN209" s="13">
        <f>SUMIFS(SALIDAS_BIT,FECHA_BIT,"&gt;="&amp;BN$2,FECHA_BIT,"&lt;="&amp;BN$3,CLAVE_BIT,$A209)+SUMIFS(SALIDAS_BOV1,FECHA_BOV1,"&gt;="&amp;BN$2,FECHA_BOV1,"&lt;="&amp;BN$3,CLAVE_BOV1,$A209)+SUMIFS(SALIDAS_BOV2,FECHA_BOV2,"&gt;="&amp;BN$2,FECHA_BOV2,"&lt;="&amp;BN$3,CLAVE_BOV2,$A209)+SUMIFS(SALIDAS_BOV3,FECHA_BOV3,"&gt;="&amp;BN$2,FECHA_BOV3,"&lt;="&amp;BN$3,CLAVE_BOV3,$A209)+SUMIFS(SALIDAS_TC,FECHA_TC,"&gt;="&amp;BN$2,FECHA_TC,"&lt;="&amp;BN$3,CLAVE_TC,$A209)+SUMIFS(SALIDAS_COMB,FECHA_COMB,"&gt;="&amp;BN$2,FECHA_COMB,"&lt;="&amp;BN$3,CLAVE_COMB,$A209)+SUMIFS(SALIDAS_DES,FECHA_DESGLOSEN,"&gt;="&amp;BN$2,FECHA_DESGLOSEN,"&lt;="&amp;BN$3,CLAVE_DESGLOSE,$A209)</f>
        <v>2200</v>
      </c>
      <c r="BO209" s="13">
        <f>SUMIFS(SALIDAS_BIT,FECHA_BIT,"&gt;="&amp;BO$2,FECHA_BIT,"&lt;="&amp;BO$3,CLAVE_BIT,$A209)+SUMIFS(SALIDAS_BOV1,FECHA_BOV1,"&gt;="&amp;BO$2,FECHA_BOV1,"&lt;="&amp;BO$3,CLAVE_BOV1,$A209)+SUMIFS(SALIDAS_BOV2,FECHA_BOV2,"&gt;="&amp;BO$2,FECHA_BOV2,"&lt;="&amp;BO$3,CLAVE_BOV2,$A209)+SUMIFS(SALIDAS_BOV3,FECHA_BOV3,"&gt;="&amp;BO$2,FECHA_BOV3,"&lt;="&amp;BO$3,CLAVE_BOV3,$A209)+SUMIFS(SALIDAS_TC,FECHA_TC,"&gt;="&amp;BO$2,FECHA_TC,"&lt;="&amp;BO$3,CLAVE_TC,$A209)+SUMIFS(SALIDAS_COMB,FECHA_COMB,"&gt;="&amp;BO$2,FECHA_COMB,"&lt;="&amp;BO$3,CLAVE_COMB,$A209)+SUMIFS(SALIDAS_DES,FECHA_DESGLOSEN,"&gt;="&amp;BO$2,FECHA_DESGLOSEN,"&lt;="&amp;BO$3,CLAVE_DESGLOSE,$A209)</f>
        <v>2200</v>
      </c>
      <c r="BP209" s="13">
        <f>SUMIFS(SALIDAS_BIT,FECHA_BIT,"&gt;="&amp;BP$2,FECHA_BIT,"&lt;="&amp;BP$3,CLAVE_BIT,$A209)+SUMIFS(SALIDAS_BOV1,FECHA_BOV1,"&gt;="&amp;BP$2,FECHA_BOV1,"&lt;="&amp;BP$3,CLAVE_BOV1,$A209)+SUMIFS(SALIDAS_BOV2,FECHA_BOV2,"&gt;="&amp;BP$2,FECHA_BOV2,"&lt;="&amp;BP$3,CLAVE_BOV2,$A209)+SUMIFS(SALIDAS_BOV3,FECHA_BOV3,"&gt;="&amp;BP$2,FECHA_BOV3,"&lt;="&amp;BP$3,CLAVE_BOV3,$A209)+SUMIFS(SALIDAS_TC,FECHA_TC,"&gt;="&amp;BP$2,FECHA_TC,"&lt;="&amp;BP$3,CLAVE_TC,$A209)+SUMIFS(SALIDAS_COMB,FECHA_COMB,"&gt;="&amp;BP$2,FECHA_COMB,"&lt;="&amp;BP$3,CLAVE_COMB,$A209)+SUMIFS(SALIDAS_DES,FECHA_DESGLOSEN,"&gt;="&amp;BP$2,FECHA_DESGLOSEN,"&lt;="&amp;BP$3,CLAVE_DESGLOSE,$A209)</f>
        <v>2200</v>
      </c>
      <c r="BQ209" s="13">
        <f>SUMIFS(SALIDAS_BIT,FECHA_BIT,"&gt;="&amp;BQ$2,FECHA_BIT,"&lt;="&amp;BQ$3,CLAVE_BIT,$A209)+SUMIFS(SALIDAS_BOV1,FECHA_BOV1,"&gt;="&amp;BQ$2,FECHA_BOV1,"&lt;="&amp;BQ$3,CLAVE_BOV1,$A209)+SUMIFS(SALIDAS_BOV2,FECHA_BOV2,"&gt;="&amp;BQ$2,FECHA_BOV2,"&lt;="&amp;BQ$3,CLAVE_BOV2,$A209)+SUMIFS(SALIDAS_BOV3,FECHA_BOV3,"&gt;="&amp;BQ$2,FECHA_BOV3,"&lt;="&amp;BQ$3,CLAVE_BOV3,$A209)+SUMIFS(SALIDAS_TC,FECHA_TC,"&gt;="&amp;BQ$2,FECHA_TC,"&lt;="&amp;BQ$3,CLAVE_TC,$A209)+SUMIFS(SALIDAS_COMB,FECHA_COMB,"&gt;="&amp;BQ$2,FECHA_COMB,"&lt;="&amp;BQ$3,CLAVE_COMB,$A209)+SUMIFS(SALIDAS_DES,FECHA_DESGLOSEN,"&gt;="&amp;BQ$2,FECHA_DESGLOSEN,"&lt;="&amp;BQ$3,CLAVE_DESGLOSE,$A209)</f>
        <v>2200</v>
      </c>
      <c r="BR209" s="13">
        <f t="shared" si="385"/>
        <v>10500</v>
      </c>
      <c r="BS209" s="68">
        <f t="shared" si="367"/>
        <v>500</v>
      </c>
      <c r="BT209" s="268">
        <f t="shared" si="368"/>
        <v>0.95454545454545459</v>
      </c>
      <c r="BU209" s="13">
        <f t="shared" si="369"/>
        <v>8800</v>
      </c>
      <c r="BV209" s="13">
        <f t="shared" si="291"/>
        <v>2200</v>
      </c>
      <c r="BW209" s="13">
        <f t="shared" si="291"/>
        <v>2200</v>
      </c>
      <c r="BX209" s="13">
        <f t="shared" si="291"/>
        <v>2200</v>
      </c>
      <c r="BY209" s="13">
        <f t="shared" si="291"/>
        <v>2200</v>
      </c>
      <c r="BZ209" s="13">
        <f t="shared" si="386"/>
        <v>8800</v>
      </c>
      <c r="CA209" s="68">
        <f t="shared" si="370"/>
        <v>0</v>
      </c>
      <c r="CB209" s="268">
        <f t="shared" si="371"/>
        <v>1</v>
      </c>
      <c r="CC209" s="13">
        <f t="shared" si="372"/>
        <v>10000</v>
      </c>
      <c r="CD209" s="13">
        <f t="shared" si="292"/>
        <v>2200</v>
      </c>
      <c r="CE209" s="13">
        <f t="shared" si="292"/>
        <v>2200</v>
      </c>
      <c r="CF209" s="13">
        <f t="shared" si="292"/>
        <v>2200</v>
      </c>
      <c r="CG209" s="13">
        <f t="shared" si="292"/>
        <v>2200</v>
      </c>
      <c r="CH209" s="13">
        <f t="shared" si="387"/>
        <v>8800</v>
      </c>
      <c r="CI209" s="68">
        <f t="shared" si="373"/>
        <v>1200</v>
      </c>
      <c r="CJ209" s="268">
        <f t="shared" si="374"/>
        <v>0.88</v>
      </c>
      <c r="CK209" s="13">
        <f t="shared" si="375"/>
        <v>15000</v>
      </c>
      <c r="CL209" s="13">
        <f t="shared" si="312"/>
        <v>2200</v>
      </c>
      <c r="CM209" s="13">
        <f t="shared" si="312"/>
        <v>2200</v>
      </c>
      <c r="CN209" s="13">
        <f t="shared" si="312"/>
        <v>2200</v>
      </c>
      <c r="CO209" s="13">
        <f t="shared" si="312"/>
        <v>1400</v>
      </c>
      <c r="CP209" s="13">
        <f t="shared" si="312"/>
        <v>700</v>
      </c>
      <c r="CQ209" s="13">
        <f t="shared" si="388"/>
        <v>8700</v>
      </c>
      <c r="CR209" s="68">
        <f t="shared" si="376"/>
        <v>6300</v>
      </c>
      <c r="CS209" s="268">
        <f t="shared" si="377"/>
        <v>0.57999999999999996</v>
      </c>
      <c r="CT209" s="68">
        <f t="shared" si="350"/>
        <v>10000</v>
      </c>
      <c r="CU209" s="13">
        <f>SUMIFS(SALIDAS_BIT,FECHA_BIT,"&gt;="&amp;CU$2,FECHA_BIT,"&lt;="&amp;CU$3,CLAVE_BIT,$A209)+SUMIFS(SALIDAS_BOV1,FECHA_BOV1,"&gt;="&amp;CU$2,FECHA_BOV1,"&lt;="&amp;CU$3,CLAVE_BOV1,$A209)+SUMIFS(SALIDAS_BOV2,FECHA_BOV2,"&gt;="&amp;CU$2,FECHA_BOV2,"&lt;="&amp;CU$3,CLAVE_BOV2,$A209)+SUMIFS(SALIDAS_BOV3,FECHA_BOV3,"&gt;="&amp;CU$2,FECHA_BOV3,"&lt;="&amp;CU$3,CLAVE_BOV3,$A209)+SUMIFS(SALIDAS_TC,FECHA_TC,"&gt;="&amp;CU$2,FECHA_TC,"&lt;="&amp;CU$3,CLAVE_TC,$A209)+SUMIFS(SALIDAS_COMB,FECHA_COMB,"&gt;="&amp;CU$2,FECHA_COMB,"&lt;="&amp;CU$3,CLAVE_COMB,$A209)+SUMIFS(SALIDAS_DES,FECHA_DESGLOSEN,"&gt;="&amp;CU$2,FECHA_DESGLOSEN,"&lt;="&amp;CU$3,CLAVE_DESGLOSE,$A209)</f>
        <v>700</v>
      </c>
      <c r="CV209" s="13">
        <f>SUMIFS(SALIDAS_BIT,FECHA_BIT,"&gt;="&amp;CV$2,FECHA_BIT,"&lt;="&amp;CV$3,CLAVE_BIT,$A209)+SUMIFS(SALIDAS_BOV1,FECHA_BOV1,"&gt;="&amp;CV$2,FECHA_BOV1,"&lt;="&amp;CV$3,CLAVE_BOV1,$A209)+SUMIFS(SALIDAS_BOV2,FECHA_BOV2,"&gt;="&amp;CV$2,FECHA_BOV2,"&lt;="&amp;CV$3,CLAVE_BOV2,$A209)+SUMIFS(SALIDAS_BOV3,FECHA_BOV3,"&gt;="&amp;CV$2,FECHA_BOV3,"&lt;="&amp;CV$3,CLAVE_BOV3,$A209)+SUMIFS(SALIDAS_TC,FECHA_TC,"&gt;="&amp;CV$2,FECHA_TC,"&lt;="&amp;CV$3,CLAVE_TC,$A209)+SUMIFS(SALIDAS_COMB,FECHA_COMB,"&gt;="&amp;CV$2,FECHA_COMB,"&lt;="&amp;CV$3,CLAVE_COMB,$A209)+SUMIFS(SALIDAS_DES,FECHA_DESGLOSEN,"&gt;="&amp;CV$2,FECHA_DESGLOSEN,"&lt;="&amp;CV$3,CLAVE_DESGLOSE,$A209)</f>
        <v>0</v>
      </c>
      <c r="CW209" s="13">
        <f>SUMIFS(SALIDAS_BIT,FECHA_BIT,"&gt;="&amp;CW$2,FECHA_BIT,"&lt;="&amp;CW$3,CLAVE_BIT,$A209)+SUMIFS(SALIDAS_BOV1,FECHA_BOV1,"&gt;="&amp;CW$2,FECHA_BOV1,"&lt;="&amp;CW$3,CLAVE_BOV1,$A209)+SUMIFS(SALIDAS_BOV2,FECHA_BOV2,"&gt;="&amp;CW$2,FECHA_BOV2,"&lt;="&amp;CW$3,CLAVE_BOV2,$A209)+SUMIFS(SALIDAS_BOV3,FECHA_BOV3,"&gt;="&amp;CW$2,FECHA_BOV3,"&lt;="&amp;CW$3,CLAVE_BOV3,$A209)+SUMIFS(SALIDAS_TC,FECHA_TC,"&gt;="&amp;CW$2,FECHA_TC,"&lt;="&amp;CW$3,CLAVE_TC,$A209)+SUMIFS(SALIDAS_COMB,FECHA_COMB,"&gt;="&amp;CW$2,FECHA_COMB,"&lt;="&amp;CW$3,CLAVE_COMB,$A209)+SUMIFS(SALIDAS_DES,FECHA_DESGLOSEN,"&gt;="&amp;CW$2,FECHA_DESGLOSEN,"&lt;="&amp;CW$3,CLAVE_DESGLOSE,$A209)</f>
        <v>0</v>
      </c>
      <c r="CX209" s="13">
        <f>SUMIFS(SALIDAS_BIT,FECHA_BIT,"&gt;="&amp;CX$2,FECHA_BIT,"&lt;="&amp;CX$3,CLAVE_BIT,$A209)+SUMIFS(SALIDAS_BOV1,FECHA_BOV1,"&gt;="&amp;CX$2,FECHA_BOV1,"&lt;="&amp;CX$3,CLAVE_BOV1,$A209)+SUMIFS(SALIDAS_BOV2,FECHA_BOV2,"&gt;="&amp;CX$2,FECHA_BOV2,"&lt;="&amp;CX$3,CLAVE_BOV2,$A209)+SUMIFS(SALIDAS_BOV3,FECHA_BOV3,"&gt;="&amp;CX$2,FECHA_BOV3,"&lt;="&amp;CX$3,CLAVE_BOV3,$A209)+SUMIFS(SALIDAS_TC,FECHA_TC,"&gt;="&amp;CX$2,FECHA_TC,"&lt;="&amp;CX$3,CLAVE_TC,$A209)+SUMIFS(SALIDAS_COMB,FECHA_COMB,"&gt;="&amp;CX$2,FECHA_COMB,"&lt;="&amp;CX$3,CLAVE_COMB,$A209)+SUMIFS(SALIDAS_DES,FECHA_DESGLOSEN,"&gt;="&amp;CX$2,FECHA_DESGLOSEN,"&lt;="&amp;CX$3,CLAVE_DESGLOSE,$A209)</f>
        <v>0</v>
      </c>
      <c r="CY209" s="13">
        <f>SUMIFS(SALIDAS_BIT,FECHA_BIT,"&gt;="&amp;CY$2,FECHA_BIT,"&lt;="&amp;CY$3,CLAVE_BIT,$A209)+SUMIFS(SALIDAS_BOV1,FECHA_BOV1,"&gt;="&amp;CY$2,FECHA_BOV1,"&lt;="&amp;CY$3,CLAVE_BOV1,$A209)+SUMIFS(SALIDAS_BOV2,FECHA_BOV2,"&gt;="&amp;CY$2,FECHA_BOV2,"&lt;="&amp;CY$3,CLAVE_BOV2,$A209)+SUMIFS(SALIDAS_BOV3,FECHA_BOV3,"&gt;="&amp;CY$2,FECHA_BOV3,"&lt;="&amp;CY$3,CLAVE_BOV3,$A209)+SUMIFS(SALIDAS_TC,FECHA_TC,"&gt;="&amp;CY$2,FECHA_TC,"&lt;="&amp;CY$3,CLAVE_TC,$A209)+SUMIFS(SALIDAS_COMB,FECHA_COMB,"&gt;="&amp;CY$2,FECHA_COMB,"&lt;="&amp;CY$3,CLAVE_COMB,$A209)+SUMIFS(SALIDAS_DES,FECHA_DESGLOSEN,"&gt;="&amp;CY$2,FECHA_DESGLOSEN,"&lt;="&amp;CY$3,CLAVE_DESGLOSE,$A209)</f>
        <v>700</v>
      </c>
      <c r="CZ209" s="68">
        <f t="shared" si="378"/>
        <v>9300</v>
      </c>
      <c r="DB209" s="17">
        <f>F209+N209+W209+AE209+AM209+AV209+BD209+BL209+BU209+CC209+CK209</f>
        <v>110800</v>
      </c>
      <c r="DC209" s="17">
        <f>K209+T209+AB209+AJ209+AS209+BA209+BI209+BR209+BZ209+CH209+CQ209</f>
        <v>102502</v>
      </c>
    </row>
    <row r="210" spans="1:107" hidden="1">
      <c r="A210" s="12" t="str">
        <f t="shared" si="351"/>
        <v>FINANZASCOMBUSTIBLEFINANZAS</v>
      </c>
      <c r="B210" s="482">
        <v>212</v>
      </c>
      <c r="C210" t="s">
        <v>23</v>
      </c>
      <c r="D210" s="12" t="s">
        <v>32</v>
      </c>
      <c r="E210" s="12" t="s">
        <v>23</v>
      </c>
      <c r="F210" s="259">
        <f t="shared" si="344"/>
        <v>2800</v>
      </c>
      <c r="G210" s="13">
        <f t="shared" si="380"/>
        <v>700</v>
      </c>
      <c r="H210" s="13">
        <f t="shared" si="380"/>
        <v>200</v>
      </c>
      <c r="I210" s="13">
        <f t="shared" si="380"/>
        <v>0</v>
      </c>
      <c r="J210" s="13">
        <f t="shared" si="380"/>
        <v>0</v>
      </c>
      <c r="K210" s="13">
        <f t="shared" si="380"/>
        <v>900</v>
      </c>
      <c r="L210" s="68">
        <f t="shared" si="352"/>
        <v>1900</v>
      </c>
      <c r="M210" s="268">
        <f t="shared" si="353"/>
        <v>0.32142857142857145</v>
      </c>
      <c r="N210" s="13">
        <f t="shared" si="345"/>
        <v>3500</v>
      </c>
      <c r="O210" s="13">
        <f t="shared" si="381"/>
        <v>0</v>
      </c>
      <c r="P210" s="13">
        <f t="shared" si="381"/>
        <v>700</v>
      </c>
      <c r="Q210" s="13">
        <f t="shared" si="381"/>
        <v>700</v>
      </c>
      <c r="R210" s="13">
        <f t="shared" si="381"/>
        <v>0</v>
      </c>
      <c r="S210" s="13">
        <f t="shared" si="381"/>
        <v>1620</v>
      </c>
      <c r="T210" s="13">
        <f t="shared" si="381"/>
        <v>3020</v>
      </c>
      <c r="U210" s="68">
        <f t="shared" si="354"/>
        <v>480</v>
      </c>
      <c r="V210" s="268">
        <f t="shared" si="355"/>
        <v>0.86285714285714288</v>
      </c>
      <c r="W210" s="13">
        <f t="shared" si="346"/>
        <v>2800</v>
      </c>
      <c r="X210" s="13">
        <f t="shared" si="382"/>
        <v>0</v>
      </c>
      <c r="Y210" s="13">
        <f t="shared" si="382"/>
        <v>0</v>
      </c>
      <c r="Z210" s="13">
        <f t="shared" si="382"/>
        <v>1400</v>
      </c>
      <c r="AA210" s="13">
        <f t="shared" si="382"/>
        <v>700</v>
      </c>
      <c r="AB210" s="13">
        <f t="shared" si="382"/>
        <v>2100</v>
      </c>
      <c r="AC210" s="68">
        <f t="shared" si="356"/>
        <v>700</v>
      </c>
      <c r="AD210" s="268">
        <f t="shared" si="357"/>
        <v>0.75</v>
      </c>
      <c r="AE210" s="13">
        <f t="shared" si="347"/>
        <v>2800</v>
      </c>
      <c r="AF210" s="13">
        <f t="shared" si="383"/>
        <v>0</v>
      </c>
      <c r="AG210" s="13">
        <f t="shared" si="383"/>
        <v>700</v>
      </c>
      <c r="AH210" s="13">
        <f t="shared" si="383"/>
        <v>0</v>
      </c>
      <c r="AI210" s="13">
        <f t="shared" si="383"/>
        <v>700</v>
      </c>
      <c r="AJ210" s="13">
        <f t="shared" si="383"/>
        <v>1400</v>
      </c>
      <c r="AK210" s="68">
        <f t="shared" si="358"/>
        <v>1400</v>
      </c>
      <c r="AL210" s="268">
        <f t="shared" si="359"/>
        <v>0.5</v>
      </c>
      <c r="AM210" s="13">
        <f t="shared" si="348"/>
        <v>3500</v>
      </c>
      <c r="AN210" s="13">
        <f t="shared" si="384"/>
        <v>700</v>
      </c>
      <c r="AO210" s="13">
        <f t="shared" si="384"/>
        <v>700</v>
      </c>
      <c r="AP210" s="13">
        <f t="shared" si="384"/>
        <v>700</v>
      </c>
      <c r="AQ210" s="13">
        <f t="shared" si="384"/>
        <v>300</v>
      </c>
      <c r="AR210" s="13">
        <f t="shared" si="384"/>
        <v>700</v>
      </c>
      <c r="AS210" s="13">
        <f t="shared" si="384"/>
        <v>3100</v>
      </c>
      <c r="AT210" s="68">
        <f>AM210-AS210</f>
        <v>400</v>
      </c>
      <c r="AU210" s="268">
        <f t="shared" si="360"/>
        <v>0.88571428571428568</v>
      </c>
      <c r="AV210" s="13">
        <f t="shared" si="349"/>
        <v>2800</v>
      </c>
      <c r="AW210" s="13">
        <f t="shared" si="323"/>
        <v>700</v>
      </c>
      <c r="AX210" s="13">
        <f t="shared" si="323"/>
        <v>0</v>
      </c>
      <c r="AY210" s="13">
        <f t="shared" si="323"/>
        <v>700</v>
      </c>
      <c r="AZ210" s="13">
        <f t="shared" si="323"/>
        <v>700</v>
      </c>
      <c r="BA210" s="13">
        <f t="shared" si="379"/>
        <v>2100</v>
      </c>
      <c r="BB210" s="68">
        <f t="shared" si="361"/>
        <v>700</v>
      </c>
      <c r="BC210" s="268">
        <f t="shared" si="362"/>
        <v>0.75</v>
      </c>
      <c r="BD210" s="13">
        <f t="shared" si="363"/>
        <v>2800</v>
      </c>
      <c r="BE210" s="13">
        <f>SUMIFS(SALIDAS_BIT,FECHA_BIT,"&gt;="&amp;BE$2,FECHA_BIT,"&lt;="&amp;BE$3,CLAVE_BIT,$A210)+SUMIFS(SALIDAS_BOV1,FECHA_BOV1,"&gt;="&amp;BE$2,FECHA_BOV1,"&lt;="&amp;BE$3,CLAVE_BOV1,$A210)+SUMIFS(SALIDAS_BOV2,FECHA_BOV2,"&gt;="&amp;BE$2,FECHA_BOV2,"&lt;="&amp;BE$3,CLAVE_BOV2,$A210)+SUMIFS(SALIDAS_BOV3,FECHA_BOV3,"&gt;="&amp;BE$2,FECHA_BOV3,"&lt;="&amp;BE$3,CLAVE_BOV3,$A210)+SUMIFS(SALIDAS_TC,FECHA_TC,"&gt;="&amp;BE$2,FECHA_TC,"&lt;="&amp;BE$3,CLAVE_TC,$A210)+SUMIFS(SALIDAS_COMB,FECHA_COMB,"&gt;="&amp;BE$2,FECHA_COMB,"&lt;="&amp;BE$3,CLAVE_COMB,$A210)+SUMIFS(SALIDAS_DES,FECHA_DESGLOSEN,"&gt;="&amp;BE$2,FECHA_DESGLOSEN,"&lt;="&amp;BE$3,CLAVE_DESGLOSE,$A210)</f>
        <v>700</v>
      </c>
      <c r="BF210" s="13">
        <f>SUMIFS(SALIDAS_BIT,FECHA_BIT,"&gt;="&amp;BF$2,FECHA_BIT,"&lt;="&amp;BF$3,CLAVE_BIT,$A210)+SUMIFS(SALIDAS_BOV1,FECHA_BOV1,"&gt;="&amp;BF$2,FECHA_BOV1,"&lt;="&amp;BF$3,CLAVE_BOV1,$A210)+SUMIFS(SALIDAS_BOV2,FECHA_BOV2,"&gt;="&amp;BF$2,FECHA_BOV2,"&lt;="&amp;BF$3,CLAVE_BOV2,$A210)+SUMIFS(SALIDAS_BOV3,FECHA_BOV3,"&gt;="&amp;BF$2,FECHA_BOV3,"&lt;="&amp;BF$3,CLAVE_BOV3,$A210)+SUMIFS(SALIDAS_TC,FECHA_TC,"&gt;="&amp;BF$2,FECHA_TC,"&lt;="&amp;BF$3,CLAVE_TC,$A210)+SUMIFS(SALIDAS_COMB,FECHA_COMB,"&gt;="&amp;BF$2,FECHA_COMB,"&lt;="&amp;BF$3,CLAVE_COMB,$A210)+SUMIFS(SALIDAS_DES,FECHA_DESGLOSEN,"&gt;="&amp;BF$2,FECHA_DESGLOSEN,"&lt;="&amp;BF$3,CLAVE_DESGLOSE,$A210)</f>
        <v>0</v>
      </c>
      <c r="BG210" s="13">
        <f>SUMIFS(SALIDAS_BIT,FECHA_BIT,"&gt;="&amp;BG$2,FECHA_BIT,"&lt;="&amp;BG$3,CLAVE_BIT,$A210)+SUMIFS(SALIDAS_BOV1,FECHA_BOV1,"&gt;="&amp;BG$2,FECHA_BOV1,"&lt;="&amp;BG$3,CLAVE_BOV1,$A210)+SUMIFS(SALIDAS_BOV2,FECHA_BOV2,"&gt;="&amp;BG$2,FECHA_BOV2,"&lt;="&amp;BG$3,CLAVE_BOV2,$A210)+SUMIFS(SALIDAS_BOV3,FECHA_BOV3,"&gt;="&amp;BG$2,FECHA_BOV3,"&lt;="&amp;BG$3,CLAVE_BOV3,$A210)+SUMIFS(SALIDAS_TC,FECHA_TC,"&gt;="&amp;BG$2,FECHA_TC,"&lt;="&amp;BG$3,CLAVE_TC,$A210)+SUMIFS(SALIDAS_COMB,FECHA_COMB,"&gt;="&amp;BG$2,FECHA_COMB,"&lt;="&amp;BG$3,CLAVE_COMB,$A210)+SUMIFS(SALIDAS_DES,FECHA_DESGLOSEN,"&gt;="&amp;BG$2,FECHA_DESGLOSEN,"&lt;="&amp;BG$3,CLAVE_DESGLOSE,$A210)</f>
        <v>0</v>
      </c>
      <c r="BH210" s="13">
        <f>SUMIFS(SALIDAS_BIT,FECHA_BIT,"&gt;="&amp;BH$2,FECHA_BIT,"&lt;="&amp;BH$3,CLAVE_BIT,$A210)+SUMIFS(SALIDAS_BOV1,FECHA_BOV1,"&gt;="&amp;BH$2,FECHA_BOV1,"&lt;="&amp;BH$3,CLAVE_BOV1,$A210)+SUMIFS(SALIDAS_BOV2,FECHA_BOV2,"&gt;="&amp;BH$2,FECHA_BOV2,"&lt;="&amp;BH$3,CLAVE_BOV2,$A210)+SUMIFS(SALIDAS_BOV3,FECHA_BOV3,"&gt;="&amp;BH$2,FECHA_BOV3,"&lt;="&amp;BH$3,CLAVE_BOV3,$A210)+SUMIFS(SALIDAS_TC,FECHA_TC,"&gt;="&amp;BH$2,FECHA_TC,"&lt;="&amp;BH$3,CLAVE_TC,$A210)+SUMIFS(SALIDAS_COMB,FECHA_COMB,"&gt;="&amp;BH$2,FECHA_COMB,"&lt;="&amp;BH$3,CLAVE_COMB,$A210)+SUMIFS(SALIDAS_DES,FECHA_DESGLOSEN,"&gt;="&amp;BH$2,FECHA_DESGLOSEN,"&lt;="&amp;BH$3,CLAVE_DESGLOSE,$A210)</f>
        <v>0</v>
      </c>
      <c r="BI210" s="13">
        <f t="shared" si="311"/>
        <v>700</v>
      </c>
      <c r="BJ210" s="68">
        <f t="shared" si="364"/>
        <v>2100</v>
      </c>
      <c r="BK210" s="268">
        <f t="shared" si="365"/>
        <v>0.25</v>
      </c>
      <c r="BL210" s="13">
        <f t="shared" si="366"/>
        <v>3500</v>
      </c>
      <c r="BM210" s="13">
        <f>SUMIFS(SALIDAS_BIT,FECHA_BIT,"&gt;="&amp;BM$2,FECHA_BIT,"&lt;="&amp;BM$3,CLAVE_BIT,$A210)+SUMIFS(SALIDAS_BOV1,FECHA_BOV1,"&gt;="&amp;BM$2,FECHA_BOV1,"&lt;="&amp;BM$3,CLAVE_BOV1,$A210)+SUMIFS(SALIDAS_BOV2,FECHA_BOV2,"&gt;="&amp;BM$2,FECHA_BOV2,"&lt;="&amp;BM$3,CLAVE_BOV2,$A210)+SUMIFS(SALIDAS_BOV3,FECHA_BOV3,"&gt;="&amp;BM$2,FECHA_BOV3,"&lt;="&amp;BM$3,CLAVE_BOV3,$A210)+SUMIFS(SALIDAS_TC,FECHA_TC,"&gt;="&amp;BM$2,FECHA_TC,"&lt;="&amp;BM$3,CLAVE_TC,$A210)+SUMIFS(SALIDAS_COMB,FECHA_COMB,"&gt;="&amp;BM$2,FECHA_COMB,"&lt;="&amp;BM$3,CLAVE_COMB,$A210)+SUMIFS(SALIDAS_DES,FECHA_DESGLOSEN,"&gt;="&amp;BM$2,FECHA_DESGLOSEN,"&lt;="&amp;BM$3,CLAVE_DESGLOSE,$A210)</f>
        <v>700</v>
      </c>
      <c r="BN210" s="13">
        <f>SUMIFS(SALIDAS_BIT,FECHA_BIT,"&gt;="&amp;BN$2,FECHA_BIT,"&lt;="&amp;BN$3,CLAVE_BIT,$A210)+SUMIFS(SALIDAS_BOV1,FECHA_BOV1,"&gt;="&amp;BN$2,FECHA_BOV1,"&lt;="&amp;BN$3,CLAVE_BOV1,$A210)+SUMIFS(SALIDAS_BOV2,FECHA_BOV2,"&gt;="&amp;BN$2,FECHA_BOV2,"&lt;="&amp;BN$3,CLAVE_BOV2,$A210)+SUMIFS(SALIDAS_BOV3,FECHA_BOV3,"&gt;="&amp;BN$2,FECHA_BOV3,"&lt;="&amp;BN$3,CLAVE_BOV3,$A210)+SUMIFS(SALIDAS_TC,FECHA_TC,"&gt;="&amp;BN$2,FECHA_TC,"&lt;="&amp;BN$3,CLAVE_TC,$A210)+SUMIFS(SALIDAS_COMB,FECHA_COMB,"&gt;="&amp;BN$2,FECHA_COMB,"&lt;="&amp;BN$3,CLAVE_COMB,$A210)+SUMIFS(SALIDAS_DES,FECHA_DESGLOSEN,"&gt;="&amp;BN$2,FECHA_DESGLOSEN,"&lt;="&amp;BN$3,CLAVE_DESGLOSE,$A210)</f>
        <v>700</v>
      </c>
      <c r="BO210" s="13">
        <f>SUMIFS(SALIDAS_BIT,FECHA_BIT,"&gt;="&amp;BO$2,FECHA_BIT,"&lt;="&amp;BO$3,CLAVE_BIT,$A210)+SUMIFS(SALIDAS_BOV1,FECHA_BOV1,"&gt;="&amp;BO$2,FECHA_BOV1,"&lt;="&amp;BO$3,CLAVE_BOV1,$A210)+SUMIFS(SALIDAS_BOV2,FECHA_BOV2,"&gt;="&amp;BO$2,FECHA_BOV2,"&lt;="&amp;BO$3,CLAVE_BOV2,$A210)+SUMIFS(SALIDAS_BOV3,FECHA_BOV3,"&gt;="&amp;BO$2,FECHA_BOV3,"&lt;="&amp;BO$3,CLAVE_BOV3,$A210)+SUMIFS(SALIDAS_TC,FECHA_TC,"&gt;="&amp;BO$2,FECHA_TC,"&lt;="&amp;BO$3,CLAVE_TC,$A210)+SUMIFS(SALIDAS_COMB,FECHA_COMB,"&gt;="&amp;BO$2,FECHA_COMB,"&lt;="&amp;BO$3,CLAVE_COMB,$A210)+SUMIFS(SALIDAS_DES,FECHA_DESGLOSEN,"&gt;="&amp;BO$2,FECHA_DESGLOSEN,"&lt;="&amp;BO$3,CLAVE_DESGLOSE,$A210)</f>
        <v>700</v>
      </c>
      <c r="BP210" s="13">
        <f>SUMIFS(SALIDAS_BIT,FECHA_BIT,"&gt;="&amp;BP$2,FECHA_BIT,"&lt;="&amp;BP$3,CLAVE_BIT,$A210)+SUMIFS(SALIDAS_BOV1,FECHA_BOV1,"&gt;="&amp;BP$2,FECHA_BOV1,"&lt;="&amp;BP$3,CLAVE_BOV1,$A210)+SUMIFS(SALIDAS_BOV2,FECHA_BOV2,"&gt;="&amp;BP$2,FECHA_BOV2,"&lt;="&amp;BP$3,CLAVE_BOV2,$A210)+SUMIFS(SALIDAS_BOV3,FECHA_BOV3,"&gt;="&amp;BP$2,FECHA_BOV3,"&lt;="&amp;BP$3,CLAVE_BOV3,$A210)+SUMIFS(SALIDAS_TC,FECHA_TC,"&gt;="&amp;BP$2,FECHA_TC,"&lt;="&amp;BP$3,CLAVE_TC,$A210)+SUMIFS(SALIDAS_COMB,FECHA_COMB,"&gt;="&amp;BP$2,FECHA_COMB,"&lt;="&amp;BP$3,CLAVE_COMB,$A210)+SUMIFS(SALIDAS_DES,FECHA_DESGLOSEN,"&gt;="&amp;BP$2,FECHA_DESGLOSEN,"&lt;="&amp;BP$3,CLAVE_DESGLOSE,$A210)</f>
        <v>700</v>
      </c>
      <c r="BQ210" s="13">
        <f>SUMIFS(SALIDAS_BIT,FECHA_BIT,"&gt;="&amp;BQ$2,FECHA_BIT,"&lt;="&amp;BQ$3,CLAVE_BIT,$A210)+SUMIFS(SALIDAS_BOV1,FECHA_BOV1,"&gt;="&amp;BQ$2,FECHA_BOV1,"&lt;="&amp;BQ$3,CLAVE_BOV1,$A210)+SUMIFS(SALIDAS_BOV2,FECHA_BOV2,"&gt;="&amp;BQ$2,FECHA_BOV2,"&lt;="&amp;BQ$3,CLAVE_BOV2,$A210)+SUMIFS(SALIDAS_BOV3,FECHA_BOV3,"&gt;="&amp;BQ$2,FECHA_BOV3,"&lt;="&amp;BQ$3,CLAVE_BOV3,$A210)+SUMIFS(SALIDAS_TC,FECHA_TC,"&gt;="&amp;BQ$2,FECHA_TC,"&lt;="&amp;BQ$3,CLAVE_TC,$A210)+SUMIFS(SALIDAS_COMB,FECHA_COMB,"&gt;="&amp;BQ$2,FECHA_COMB,"&lt;="&amp;BQ$3,CLAVE_COMB,$A210)+SUMIFS(SALIDAS_DES,FECHA_DESGLOSEN,"&gt;="&amp;BQ$2,FECHA_DESGLOSEN,"&lt;="&amp;BQ$3,CLAVE_DESGLOSE,$A210)</f>
        <v>0</v>
      </c>
      <c r="BR210" s="13">
        <f t="shared" si="385"/>
        <v>2800</v>
      </c>
      <c r="BS210" s="68">
        <f t="shared" si="367"/>
        <v>700</v>
      </c>
      <c r="BT210" s="268">
        <f t="shared" si="368"/>
        <v>0.8</v>
      </c>
      <c r="BU210" s="13">
        <f t="shared" si="369"/>
        <v>2800</v>
      </c>
      <c r="BV210" s="13">
        <f t="shared" si="291"/>
        <v>0</v>
      </c>
      <c r="BW210" s="13">
        <f t="shared" si="291"/>
        <v>700</v>
      </c>
      <c r="BX210" s="13">
        <f t="shared" si="291"/>
        <v>700</v>
      </c>
      <c r="BY210" s="13">
        <f t="shared" si="291"/>
        <v>0</v>
      </c>
      <c r="BZ210" s="13">
        <f t="shared" si="386"/>
        <v>1400</v>
      </c>
      <c r="CA210" s="68">
        <f t="shared" si="370"/>
        <v>1400</v>
      </c>
      <c r="CB210" s="268">
        <f t="shared" si="371"/>
        <v>0.5</v>
      </c>
      <c r="CC210" s="13">
        <f t="shared" si="372"/>
        <v>2800</v>
      </c>
      <c r="CD210" s="13">
        <f t="shared" si="292"/>
        <v>0</v>
      </c>
      <c r="CE210" s="13">
        <f t="shared" si="292"/>
        <v>700</v>
      </c>
      <c r="CF210" s="13">
        <f t="shared" si="292"/>
        <v>700</v>
      </c>
      <c r="CG210" s="13">
        <f t="shared" si="292"/>
        <v>0</v>
      </c>
      <c r="CH210" s="13">
        <f t="shared" si="387"/>
        <v>1400</v>
      </c>
      <c r="CI210" s="68">
        <f t="shared" si="373"/>
        <v>1400</v>
      </c>
      <c r="CJ210" s="268">
        <f t="shared" si="374"/>
        <v>0.5</v>
      </c>
      <c r="CK210" s="13">
        <f t="shared" si="375"/>
        <v>3500</v>
      </c>
      <c r="CL210" s="13">
        <f t="shared" si="312"/>
        <v>700</v>
      </c>
      <c r="CM210" s="13">
        <f t="shared" si="312"/>
        <v>700</v>
      </c>
      <c r="CN210" s="13">
        <f t="shared" si="312"/>
        <v>1900</v>
      </c>
      <c r="CO210" s="13">
        <f t="shared" si="312"/>
        <v>2200</v>
      </c>
      <c r="CP210" s="13">
        <f t="shared" si="312"/>
        <v>1500</v>
      </c>
      <c r="CQ210" s="13">
        <f t="shared" si="388"/>
        <v>7000</v>
      </c>
      <c r="CR210" s="68">
        <f t="shared" si="376"/>
        <v>-3500</v>
      </c>
      <c r="CS210" s="268">
        <f t="shared" si="377"/>
        <v>2</v>
      </c>
      <c r="CT210" s="68">
        <f t="shared" si="350"/>
        <v>3200</v>
      </c>
      <c r="CU210" s="13">
        <f>SUMIFS(SALIDAS_BIT,FECHA_BIT,"&gt;="&amp;CU$2,FECHA_BIT,"&lt;="&amp;CU$3,CLAVE_BIT,$A210)+SUMIFS(SALIDAS_BOV1,FECHA_BOV1,"&gt;="&amp;CU$2,FECHA_BOV1,"&lt;="&amp;CU$3,CLAVE_BOV1,$A210)+SUMIFS(SALIDAS_BOV2,FECHA_BOV2,"&gt;="&amp;CU$2,FECHA_BOV2,"&lt;="&amp;CU$3,CLAVE_BOV2,$A210)+SUMIFS(SALIDAS_BOV3,FECHA_BOV3,"&gt;="&amp;CU$2,FECHA_BOV3,"&lt;="&amp;CU$3,CLAVE_BOV3,$A210)+SUMIFS(SALIDAS_TC,FECHA_TC,"&gt;="&amp;CU$2,FECHA_TC,"&lt;="&amp;CU$3,CLAVE_TC,$A210)+SUMIFS(SALIDAS_COMB,FECHA_COMB,"&gt;="&amp;CU$2,FECHA_COMB,"&lt;="&amp;CU$3,CLAVE_COMB,$A210)+SUMIFS(SALIDAS_DES,FECHA_DESGLOSEN,"&gt;="&amp;CU$2,FECHA_DESGLOSEN,"&lt;="&amp;CU$3,CLAVE_DESGLOSE,$A210)</f>
        <v>2200</v>
      </c>
      <c r="CV210" s="13">
        <f>SUMIFS(SALIDAS_BIT,FECHA_BIT,"&gt;="&amp;CV$2,FECHA_BIT,"&lt;="&amp;CV$3,CLAVE_BIT,$A210)+SUMIFS(SALIDAS_BOV1,FECHA_BOV1,"&gt;="&amp;CV$2,FECHA_BOV1,"&lt;="&amp;CV$3,CLAVE_BOV1,$A210)+SUMIFS(SALIDAS_BOV2,FECHA_BOV2,"&gt;="&amp;CV$2,FECHA_BOV2,"&lt;="&amp;CV$3,CLAVE_BOV2,$A210)+SUMIFS(SALIDAS_BOV3,FECHA_BOV3,"&gt;="&amp;CV$2,FECHA_BOV3,"&lt;="&amp;CV$3,CLAVE_BOV3,$A210)+SUMIFS(SALIDAS_TC,FECHA_TC,"&gt;="&amp;CV$2,FECHA_TC,"&lt;="&amp;CV$3,CLAVE_TC,$A210)+SUMIFS(SALIDAS_COMB,FECHA_COMB,"&gt;="&amp;CV$2,FECHA_COMB,"&lt;="&amp;CV$3,CLAVE_COMB,$A210)+SUMIFS(SALIDAS_DES,FECHA_DESGLOSEN,"&gt;="&amp;CV$2,FECHA_DESGLOSEN,"&lt;="&amp;CV$3,CLAVE_DESGLOSE,$A210)</f>
        <v>0</v>
      </c>
      <c r="CW210" s="13">
        <f>SUMIFS(SALIDAS_BIT,FECHA_BIT,"&gt;="&amp;CW$2,FECHA_BIT,"&lt;="&amp;CW$3,CLAVE_BIT,$A210)+SUMIFS(SALIDAS_BOV1,FECHA_BOV1,"&gt;="&amp;CW$2,FECHA_BOV1,"&lt;="&amp;CW$3,CLAVE_BOV1,$A210)+SUMIFS(SALIDAS_BOV2,FECHA_BOV2,"&gt;="&amp;CW$2,FECHA_BOV2,"&lt;="&amp;CW$3,CLAVE_BOV2,$A210)+SUMIFS(SALIDAS_BOV3,FECHA_BOV3,"&gt;="&amp;CW$2,FECHA_BOV3,"&lt;="&amp;CW$3,CLAVE_BOV3,$A210)+SUMIFS(SALIDAS_TC,FECHA_TC,"&gt;="&amp;CW$2,FECHA_TC,"&lt;="&amp;CW$3,CLAVE_TC,$A210)+SUMIFS(SALIDAS_COMB,FECHA_COMB,"&gt;="&amp;CW$2,FECHA_COMB,"&lt;="&amp;CW$3,CLAVE_COMB,$A210)+SUMIFS(SALIDAS_DES,FECHA_DESGLOSEN,"&gt;="&amp;CW$2,FECHA_DESGLOSEN,"&lt;="&amp;CW$3,CLAVE_DESGLOSE,$A210)</f>
        <v>17894.900000000001</v>
      </c>
      <c r="CX210" s="13">
        <f>SUMIFS(SALIDAS_BIT,FECHA_BIT,"&gt;="&amp;CX$2,FECHA_BIT,"&lt;="&amp;CX$3,CLAVE_BIT,$A210)+SUMIFS(SALIDAS_BOV1,FECHA_BOV1,"&gt;="&amp;CX$2,FECHA_BOV1,"&lt;="&amp;CX$3,CLAVE_BOV1,$A210)+SUMIFS(SALIDAS_BOV2,FECHA_BOV2,"&gt;="&amp;CX$2,FECHA_BOV2,"&lt;="&amp;CX$3,CLAVE_BOV2,$A210)+SUMIFS(SALIDAS_BOV3,FECHA_BOV3,"&gt;="&amp;CX$2,FECHA_BOV3,"&lt;="&amp;CX$3,CLAVE_BOV3,$A210)+SUMIFS(SALIDAS_TC,FECHA_TC,"&gt;="&amp;CX$2,FECHA_TC,"&lt;="&amp;CX$3,CLAVE_TC,$A210)+SUMIFS(SALIDAS_COMB,FECHA_COMB,"&gt;="&amp;CX$2,FECHA_COMB,"&lt;="&amp;CX$3,CLAVE_COMB,$A210)+SUMIFS(SALIDAS_DES,FECHA_DESGLOSEN,"&gt;="&amp;CX$2,FECHA_DESGLOSEN,"&lt;="&amp;CX$3,CLAVE_DESGLOSE,$A210)</f>
        <v>0</v>
      </c>
      <c r="CY210" s="13">
        <f>SUMIFS(SALIDAS_BIT,FECHA_BIT,"&gt;="&amp;CY$2,FECHA_BIT,"&lt;="&amp;CY$3,CLAVE_BIT,$A210)+SUMIFS(SALIDAS_BOV1,FECHA_BOV1,"&gt;="&amp;CY$2,FECHA_BOV1,"&lt;="&amp;CY$3,CLAVE_BOV1,$A210)+SUMIFS(SALIDAS_BOV2,FECHA_BOV2,"&gt;="&amp;CY$2,FECHA_BOV2,"&lt;="&amp;CY$3,CLAVE_BOV2,$A210)+SUMIFS(SALIDAS_BOV3,FECHA_BOV3,"&gt;="&amp;CY$2,FECHA_BOV3,"&lt;="&amp;CY$3,CLAVE_BOV3,$A210)+SUMIFS(SALIDAS_TC,FECHA_TC,"&gt;="&amp;CY$2,FECHA_TC,"&lt;="&amp;CY$3,CLAVE_TC,$A210)+SUMIFS(SALIDAS_COMB,FECHA_COMB,"&gt;="&amp;CY$2,FECHA_COMB,"&lt;="&amp;CY$3,CLAVE_COMB,$A210)+SUMIFS(SALIDAS_DES,FECHA_DESGLOSEN,"&gt;="&amp;CY$2,FECHA_DESGLOSEN,"&lt;="&amp;CY$3,CLAVE_DESGLOSE,$A210)</f>
        <v>20094.900000000001</v>
      </c>
      <c r="CZ210" s="68">
        <f t="shared" si="378"/>
        <v>-16894.900000000001</v>
      </c>
      <c r="DB210" s="17">
        <f>F210+N210+W210+AE210+AM210+AV210+BD210+BL210+BU210+CC210+CK210</f>
        <v>33600</v>
      </c>
      <c r="DC210" s="17">
        <f>K210+T210+AB210+AJ210+AS210+BA210+BI210+BR210+BZ210+CH210+CQ210</f>
        <v>25920</v>
      </c>
    </row>
    <row r="211" spans="1:107" hidden="1">
      <c r="A211" s="12" t="str">
        <f t="shared" si="351"/>
        <v>SGECOMBUSTIBLEGESTION EMPRESARIAL</v>
      </c>
      <c r="B211" s="12">
        <v>213</v>
      </c>
      <c r="C211" t="s">
        <v>39</v>
      </c>
      <c r="D211" s="12" t="s">
        <v>32</v>
      </c>
      <c r="E211" s="12" t="s">
        <v>40</v>
      </c>
      <c r="F211" s="259">
        <f t="shared" si="344"/>
        <v>4000</v>
      </c>
      <c r="G211" s="13">
        <f t="shared" si="380"/>
        <v>500</v>
      </c>
      <c r="H211" s="13">
        <f t="shared" si="380"/>
        <v>0</v>
      </c>
      <c r="I211" s="13">
        <f t="shared" si="380"/>
        <v>500</v>
      </c>
      <c r="J211" s="13">
        <f t="shared" si="380"/>
        <v>500</v>
      </c>
      <c r="K211" s="13">
        <f t="shared" si="380"/>
        <v>1500</v>
      </c>
      <c r="L211" s="68">
        <f t="shared" si="352"/>
        <v>2500</v>
      </c>
      <c r="M211" s="268">
        <f t="shared" si="353"/>
        <v>0.375</v>
      </c>
      <c r="N211" s="13">
        <f t="shared" si="345"/>
        <v>4000</v>
      </c>
      <c r="O211" s="13">
        <f t="shared" si="381"/>
        <v>0</v>
      </c>
      <c r="P211" s="13">
        <f t="shared" si="381"/>
        <v>1000</v>
      </c>
      <c r="Q211" s="13">
        <f t="shared" si="381"/>
        <v>0</v>
      </c>
      <c r="R211" s="13">
        <f t="shared" si="381"/>
        <v>1000</v>
      </c>
      <c r="S211" s="13">
        <f t="shared" si="381"/>
        <v>0</v>
      </c>
      <c r="T211" s="13">
        <f t="shared" si="381"/>
        <v>2000</v>
      </c>
      <c r="U211" s="68">
        <f t="shared" si="354"/>
        <v>2000</v>
      </c>
      <c r="V211" s="268">
        <f t="shared" si="355"/>
        <v>0.5</v>
      </c>
      <c r="W211" s="13">
        <f t="shared" si="346"/>
        <v>4000</v>
      </c>
      <c r="X211" s="13">
        <f t="shared" si="382"/>
        <v>500</v>
      </c>
      <c r="Y211" s="13">
        <f t="shared" si="382"/>
        <v>0</v>
      </c>
      <c r="Z211" s="13">
        <f t="shared" si="382"/>
        <v>1000</v>
      </c>
      <c r="AA211" s="13">
        <f t="shared" si="382"/>
        <v>600</v>
      </c>
      <c r="AB211" s="13">
        <f t="shared" si="382"/>
        <v>2100</v>
      </c>
      <c r="AC211" s="68">
        <f t="shared" si="356"/>
        <v>1900</v>
      </c>
      <c r="AD211" s="268">
        <f t="shared" si="357"/>
        <v>0.52500000000000002</v>
      </c>
      <c r="AE211" s="13">
        <f t="shared" si="347"/>
        <v>4000</v>
      </c>
      <c r="AF211" s="13">
        <f t="shared" si="383"/>
        <v>1000</v>
      </c>
      <c r="AG211" s="13">
        <f t="shared" si="383"/>
        <v>0</v>
      </c>
      <c r="AH211" s="13">
        <f t="shared" si="383"/>
        <v>0</v>
      </c>
      <c r="AI211" s="13">
        <f t="shared" si="383"/>
        <v>0</v>
      </c>
      <c r="AJ211" s="13">
        <f t="shared" si="383"/>
        <v>1000</v>
      </c>
      <c r="AK211" s="68">
        <f t="shared" si="358"/>
        <v>3000</v>
      </c>
      <c r="AL211" s="268">
        <f t="shared" si="359"/>
        <v>0.25</v>
      </c>
      <c r="AM211" s="13">
        <f t="shared" si="348"/>
        <v>4000</v>
      </c>
      <c r="AN211" s="13">
        <f t="shared" si="384"/>
        <v>0</v>
      </c>
      <c r="AO211" s="13">
        <f t="shared" si="384"/>
        <v>800</v>
      </c>
      <c r="AP211" s="13">
        <f t="shared" si="384"/>
        <v>1000</v>
      </c>
      <c r="AQ211" s="13">
        <f t="shared" si="384"/>
        <v>1000</v>
      </c>
      <c r="AR211" s="13">
        <f t="shared" si="384"/>
        <v>0</v>
      </c>
      <c r="AS211" s="13">
        <f t="shared" si="384"/>
        <v>2800</v>
      </c>
      <c r="AT211" s="68">
        <f>AM211-AS211</f>
        <v>1200</v>
      </c>
      <c r="AU211" s="268">
        <f t="shared" si="360"/>
        <v>0.7</v>
      </c>
      <c r="AV211" s="13">
        <f t="shared" si="349"/>
        <v>4000</v>
      </c>
      <c r="AW211" s="13">
        <f t="shared" si="323"/>
        <v>0</v>
      </c>
      <c r="AX211" s="13">
        <f t="shared" si="323"/>
        <v>1000</v>
      </c>
      <c r="AY211" s="13">
        <f t="shared" si="323"/>
        <v>0</v>
      </c>
      <c r="AZ211" s="13">
        <f t="shared" si="323"/>
        <v>0</v>
      </c>
      <c r="BA211" s="13">
        <f t="shared" si="379"/>
        <v>1000</v>
      </c>
      <c r="BB211" s="68">
        <f t="shared" si="361"/>
        <v>3000</v>
      </c>
      <c r="BC211" s="268">
        <f t="shared" si="362"/>
        <v>0.25</v>
      </c>
      <c r="BD211" s="13">
        <f t="shared" si="363"/>
        <v>4000</v>
      </c>
      <c r="BE211" s="13">
        <f>SUMIFS(SALIDAS_BIT,FECHA_BIT,"&gt;="&amp;BE$2,FECHA_BIT,"&lt;="&amp;BE$3,CLAVE_BIT,$A211)+SUMIFS(SALIDAS_BOV1,FECHA_BOV1,"&gt;="&amp;BE$2,FECHA_BOV1,"&lt;="&amp;BE$3,CLAVE_BOV1,$A211)+SUMIFS(SALIDAS_BOV2,FECHA_BOV2,"&gt;="&amp;BE$2,FECHA_BOV2,"&lt;="&amp;BE$3,CLAVE_BOV2,$A211)+SUMIFS(SALIDAS_BOV3,FECHA_BOV3,"&gt;="&amp;BE$2,FECHA_BOV3,"&lt;="&amp;BE$3,CLAVE_BOV3,$A211)+SUMIFS(SALIDAS_TC,FECHA_TC,"&gt;="&amp;BE$2,FECHA_TC,"&lt;="&amp;BE$3,CLAVE_TC,$A211)+SUMIFS(SALIDAS_COMB,FECHA_COMB,"&gt;="&amp;BE$2,FECHA_COMB,"&lt;="&amp;BE$3,CLAVE_COMB,$A211)+SUMIFS(SALIDAS_DES,FECHA_DESGLOSEN,"&gt;="&amp;BE$2,FECHA_DESGLOSEN,"&lt;="&amp;BE$3,CLAVE_DESGLOSE,$A211)</f>
        <v>0</v>
      </c>
      <c r="BF211" s="13">
        <f>SUMIFS(SALIDAS_BIT,FECHA_BIT,"&gt;="&amp;BF$2,FECHA_BIT,"&lt;="&amp;BF$3,CLAVE_BIT,$A211)+SUMIFS(SALIDAS_BOV1,FECHA_BOV1,"&gt;="&amp;BF$2,FECHA_BOV1,"&lt;="&amp;BF$3,CLAVE_BOV1,$A211)+SUMIFS(SALIDAS_BOV2,FECHA_BOV2,"&gt;="&amp;BF$2,FECHA_BOV2,"&lt;="&amp;BF$3,CLAVE_BOV2,$A211)+SUMIFS(SALIDAS_BOV3,FECHA_BOV3,"&gt;="&amp;BF$2,FECHA_BOV3,"&lt;="&amp;BF$3,CLAVE_BOV3,$A211)+SUMIFS(SALIDAS_TC,FECHA_TC,"&gt;="&amp;BF$2,FECHA_TC,"&lt;="&amp;BF$3,CLAVE_TC,$A211)+SUMIFS(SALIDAS_COMB,FECHA_COMB,"&gt;="&amp;BF$2,FECHA_COMB,"&lt;="&amp;BF$3,CLAVE_COMB,$A211)+SUMIFS(SALIDAS_DES,FECHA_DESGLOSEN,"&gt;="&amp;BF$2,FECHA_DESGLOSEN,"&lt;="&amp;BF$3,CLAVE_DESGLOSE,$A211)</f>
        <v>1000</v>
      </c>
      <c r="BG211" s="13">
        <f>SUMIFS(SALIDAS_BIT,FECHA_BIT,"&gt;="&amp;BG$2,FECHA_BIT,"&lt;="&amp;BG$3,CLAVE_BIT,$A211)+SUMIFS(SALIDAS_BOV1,FECHA_BOV1,"&gt;="&amp;BG$2,FECHA_BOV1,"&lt;="&amp;BG$3,CLAVE_BOV1,$A211)+SUMIFS(SALIDAS_BOV2,FECHA_BOV2,"&gt;="&amp;BG$2,FECHA_BOV2,"&lt;="&amp;BG$3,CLAVE_BOV2,$A211)+SUMIFS(SALIDAS_BOV3,FECHA_BOV3,"&gt;="&amp;BG$2,FECHA_BOV3,"&lt;="&amp;BG$3,CLAVE_BOV3,$A211)+SUMIFS(SALIDAS_TC,FECHA_TC,"&gt;="&amp;BG$2,FECHA_TC,"&lt;="&amp;BG$3,CLAVE_TC,$A211)+SUMIFS(SALIDAS_COMB,FECHA_COMB,"&gt;="&amp;BG$2,FECHA_COMB,"&lt;="&amp;BG$3,CLAVE_COMB,$A211)+SUMIFS(SALIDAS_DES,FECHA_DESGLOSEN,"&gt;="&amp;BG$2,FECHA_DESGLOSEN,"&lt;="&amp;BG$3,CLAVE_DESGLOSE,$A211)</f>
        <v>1000</v>
      </c>
      <c r="BH211" s="13">
        <f>SUMIFS(SALIDAS_BIT,FECHA_BIT,"&gt;="&amp;BH$2,FECHA_BIT,"&lt;="&amp;BH$3,CLAVE_BIT,$A211)+SUMIFS(SALIDAS_BOV1,FECHA_BOV1,"&gt;="&amp;BH$2,FECHA_BOV1,"&lt;="&amp;BH$3,CLAVE_BOV1,$A211)+SUMIFS(SALIDAS_BOV2,FECHA_BOV2,"&gt;="&amp;BH$2,FECHA_BOV2,"&lt;="&amp;BH$3,CLAVE_BOV2,$A211)+SUMIFS(SALIDAS_BOV3,FECHA_BOV3,"&gt;="&amp;BH$2,FECHA_BOV3,"&lt;="&amp;BH$3,CLAVE_BOV3,$A211)+SUMIFS(SALIDAS_TC,FECHA_TC,"&gt;="&amp;BH$2,FECHA_TC,"&lt;="&amp;BH$3,CLAVE_TC,$A211)+SUMIFS(SALIDAS_COMB,FECHA_COMB,"&gt;="&amp;BH$2,FECHA_COMB,"&lt;="&amp;BH$3,CLAVE_COMB,$A211)+SUMIFS(SALIDAS_DES,FECHA_DESGLOSEN,"&gt;="&amp;BH$2,FECHA_DESGLOSEN,"&lt;="&amp;BH$3,CLAVE_DESGLOSE,$A211)</f>
        <v>1000</v>
      </c>
      <c r="BI211" s="13">
        <f t="shared" si="311"/>
        <v>3000</v>
      </c>
      <c r="BJ211" s="68">
        <f t="shared" si="364"/>
        <v>1000</v>
      </c>
      <c r="BK211" s="268">
        <f t="shared" si="365"/>
        <v>0.75</v>
      </c>
      <c r="BL211" s="13">
        <f t="shared" si="366"/>
        <v>4000</v>
      </c>
      <c r="BM211" s="13">
        <f>SUMIFS(SALIDAS_BIT,FECHA_BIT,"&gt;="&amp;BM$2,FECHA_BIT,"&lt;="&amp;BM$3,CLAVE_BIT,$A211)+SUMIFS(SALIDAS_BOV1,FECHA_BOV1,"&gt;="&amp;BM$2,FECHA_BOV1,"&lt;="&amp;BM$3,CLAVE_BOV1,$A211)+SUMIFS(SALIDAS_BOV2,FECHA_BOV2,"&gt;="&amp;BM$2,FECHA_BOV2,"&lt;="&amp;BM$3,CLAVE_BOV2,$A211)+SUMIFS(SALIDAS_BOV3,FECHA_BOV3,"&gt;="&amp;BM$2,FECHA_BOV3,"&lt;="&amp;BM$3,CLAVE_BOV3,$A211)+SUMIFS(SALIDAS_TC,FECHA_TC,"&gt;="&amp;BM$2,FECHA_TC,"&lt;="&amp;BM$3,CLAVE_TC,$A211)+SUMIFS(SALIDAS_COMB,FECHA_COMB,"&gt;="&amp;BM$2,FECHA_COMB,"&lt;="&amp;BM$3,CLAVE_COMB,$A211)+SUMIFS(SALIDAS_DES,FECHA_DESGLOSEN,"&gt;="&amp;BM$2,FECHA_DESGLOSEN,"&lt;="&amp;BM$3,CLAVE_DESGLOSE,$A211)</f>
        <v>0</v>
      </c>
      <c r="BN211" s="13">
        <f>SUMIFS(SALIDAS_BIT,FECHA_BIT,"&gt;="&amp;BN$2,FECHA_BIT,"&lt;="&amp;BN$3,CLAVE_BIT,$A211)+SUMIFS(SALIDAS_BOV1,FECHA_BOV1,"&gt;="&amp;BN$2,FECHA_BOV1,"&lt;="&amp;BN$3,CLAVE_BOV1,$A211)+SUMIFS(SALIDAS_BOV2,FECHA_BOV2,"&gt;="&amp;BN$2,FECHA_BOV2,"&lt;="&amp;BN$3,CLAVE_BOV2,$A211)+SUMIFS(SALIDAS_BOV3,FECHA_BOV3,"&gt;="&amp;BN$2,FECHA_BOV3,"&lt;="&amp;BN$3,CLAVE_BOV3,$A211)+SUMIFS(SALIDAS_TC,FECHA_TC,"&gt;="&amp;BN$2,FECHA_TC,"&lt;="&amp;BN$3,CLAVE_TC,$A211)+SUMIFS(SALIDAS_COMB,FECHA_COMB,"&gt;="&amp;BN$2,FECHA_COMB,"&lt;="&amp;BN$3,CLAVE_COMB,$A211)+SUMIFS(SALIDAS_DES,FECHA_DESGLOSEN,"&gt;="&amp;BN$2,FECHA_DESGLOSEN,"&lt;="&amp;BN$3,CLAVE_DESGLOSE,$A211)</f>
        <v>1000</v>
      </c>
      <c r="BO211" s="13">
        <f>SUMIFS(SALIDAS_BIT,FECHA_BIT,"&gt;="&amp;BO$2,FECHA_BIT,"&lt;="&amp;BO$3,CLAVE_BIT,$A211)+SUMIFS(SALIDAS_BOV1,FECHA_BOV1,"&gt;="&amp;BO$2,FECHA_BOV1,"&lt;="&amp;BO$3,CLAVE_BOV1,$A211)+SUMIFS(SALIDAS_BOV2,FECHA_BOV2,"&gt;="&amp;BO$2,FECHA_BOV2,"&lt;="&amp;BO$3,CLAVE_BOV2,$A211)+SUMIFS(SALIDAS_BOV3,FECHA_BOV3,"&gt;="&amp;BO$2,FECHA_BOV3,"&lt;="&amp;BO$3,CLAVE_BOV3,$A211)+SUMIFS(SALIDAS_TC,FECHA_TC,"&gt;="&amp;BO$2,FECHA_TC,"&lt;="&amp;BO$3,CLAVE_TC,$A211)+SUMIFS(SALIDAS_COMB,FECHA_COMB,"&gt;="&amp;BO$2,FECHA_COMB,"&lt;="&amp;BO$3,CLAVE_COMB,$A211)+SUMIFS(SALIDAS_DES,FECHA_DESGLOSEN,"&gt;="&amp;BO$2,FECHA_DESGLOSEN,"&lt;="&amp;BO$3,CLAVE_DESGLOSE,$A211)</f>
        <v>500</v>
      </c>
      <c r="BP211" s="13">
        <f>SUMIFS(SALIDAS_BIT,FECHA_BIT,"&gt;="&amp;BP$2,FECHA_BIT,"&lt;="&amp;BP$3,CLAVE_BIT,$A211)+SUMIFS(SALIDAS_BOV1,FECHA_BOV1,"&gt;="&amp;BP$2,FECHA_BOV1,"&lt;="&amp;BP$3,CLAVE_BOV1,$A211)+SUMIFS(SALIDAS_BOV2,FECHA_BOV2,"&gt;="&amp;BP$2,FECHA_BOV2,"&lt;="&amp;BP$3,CLAVE_BOV2,$A211)+SUMIFS(SALIDAS_BOV3,FECHA_BOV3,"&gt;="&amp;BP$2,FECHA_BOV3,"&lt;="&amp;BP$3,CLAVE_BOV3,$A211)+SUMIFS(SALIDAS_TC,FECHA_TC,"&gt;="&amp;BP$2,FECHA_TC,"&lt;="&amp;BP$3,CLAVE_TC,$A211)+SUMIFS(SALIDAS_COMB,FECHA_COMB,"&gt;="&amp;BP$2,FECHA_COMB,"&lt;="&amp;BP$3,CLAVE_COMB,$A211)+SUMIFS(SALIDAS_DES,FECHA_DESGLOSEN,"&gt;="&amp;BP$2,FECHA_DESGLOSEN,"&lt;="&amp;BP$3,CLAVE_DESGLOSE,$A211)</f>
        <v>800</v>
      </c>
      <c r="BQ211" s="13">
        <f>SUMIFS(SALIDAS_BIT,FECHA_BIT,"&gt;="&amp;BQ$2,FECHA_BIT,"&lt;="&amp;BQ$3,CLAVE_BIT,$A211)+SUMIFS(SALIDAS_BOV1,FECHA_BOV1,"&gt;="&amp;BQ$2,FECHA_BOV1,"&lt;="&amp;BQ$3,CLAVE_BOV1,$A211)+SUMIFS(SALIDAS_BOV2,FECHA_BOV2,"&gt;="&amp;BQ$2,FECHA_BOV2,"&lt;="&amp;BQ$3,CLAVE_BOV2,$A211)+SUMIFS(SALIDAS_BOV3,FECHA_BOV3,"&gt;="&amp;BQ$2,FECHA_BOV3,"&lt;="&amp;BQ$3,CLAVE_BOV3,$A211)+SUMIFS(SALIDAS_TC,FECHA_TC,"&gt;="&amp;BQ$2,FECHA_TC,"&lt;="&amp;BQ$3,CLAVE_TC,$A211)+SUMIFS(SALIDAS_COMB,FECHA_COMB,"&gt;="&amp;BQ$2,FECHA_COMB,"&lt;="&amp;BQ$3,CLAVE_COMB,$A211)+SUMIFS(SALIDAS_DES,FECHA_DESGLOSEN,"&gt;="&amp;BQ$2,FECHA_DESGLOSEN,"&lt;="&amp;BQ$3,CLAVE_DESGLOSE,$A211)</f>
        <v>0</v>
      </c>
      <c r="BR211" s="13">
        <f t="shared" si="385"/>
        <v>2300</v>
      </c>
      <c r="BS211" s="68">
        <f t="shared" si="367"/>
        <v>1700</v>
      </c>
      <c r="BT211" s="268">
        <f t="shared" si="368"/>
        <v>0.57499999999999996</v>
      </c>
      <c r="BU211" s="13">
        <f t="shared" si="369"/>
        <v>4000</v>
      </c>
      <c r="BV211" s="13">
        <f t="shared" si="291"/>
        <v>1000</v>
      </c>
      <c r="BW211" s="13">
        <f t="shared" si="291"/>
        <v>1000</v>
      </c>
      <c r="BX211" s="13">
        <f t="shared" si="291"/>
        <v>0</v>
      </c>
      <c r="BY211" s="13">
        <f t="shared" si="291"/>
        <v>0</v>
      </c>
      <c r="BZ211" s="13">
        <f t="shared" si="386"/>
        <v>2000</v>
      </c>
      <c r="CA211" s="68">
        <f t="shared" si="370"/>
        <v>2000</v>
      </c>
      <c r="CB211" s="268">
        <f t="shared" si="371"/>
        <v>0.5</v>
      </c>
      <c r="CC211" s="13">
        <f t="shared" si="372"/>
        <v>5000</v>
      </c>
      <c r="CD211" s="13">
        <f t="shared" si="292"/>
        <v>0</v>
      </c>
      <c r="CE211" s="13">
        <f t="shared" si="292"/>
        <v>800</v>
      </c>
      <c r="CF211" s="13">
        <f t="shared" si="292"/>
        <v>0</v>
      </c>
      <c r="CG211" s="13">
        <f t="shared" si="292"/>
        <v>0</v>
      </c>
      <c r="CH211" s="13">
        <f t="shared" si="387"/>
        <v>800</v>
      </c>
      <c r="CI211" s="68">
        <f t="shared" si="373"/>
        <v>4200</v>
      </c>
      <c r="CJ211" s="268">
        <f t="shared" si="374"/>
        <v>0.16</v>
      </c>
      <c r="CK211" s="13">
        <f t="shared" si="375"/>
        <v>6000</v>
      </c>
      <c r="CL211" s="13">
        <f t="shared" si="312"/>
        <v>0</v>
      </c>
      <c r="CM211" s="13">
        <f t="shared" si="312"/>
        <v>0</v>
      </c>
      <c r="CN211" s="13">
        <f t="shared" si="312"/>
        <v>0</v>
      </c>
      <c r="CO211" s="13">
        <f t="shared" si="312"/>
        <v>800</v>
      </c>
      <c r="CP211" s="13">
        <f t="shared" si="312"/>
        <v>0</v>
      </c>
      <c r="CQ211" s="13">
        <f t="shared" si="388"/>
        <v>800</v>
      </c>
      <c r="CR211" s="68">
        <f t="shared" si="376"/>
        <v>5200</v>
      </c>
      <c r="CS211" s="268">
        <f t="shared" si="377"/>
        <v>0.13333333333333333</v>
      </c>
      <c r="CT211" s="68">
        <f t="shared" si="350"/>
        <v>3000</v>
      </c>
      <c r="CU211" s="13">
        <f>SUMIFS(SALIDAS_BIT,FECHA_BIT,"&gt;="&amp;CU$2,FECHA_BIT,"&lt;="&amp;CU$3,CLAVE_BIT,$A211)+SUMIFS(SALIDAS_BOV1,FECHA_BOV1,"&gt;="&amp;CU$2,FECHA_BOV1,"&lt;="&amp;CU$3,CLAVE_BOV1,$A211)+SUMIFS(SALIDAS_BOV2,FECHA_BOV2,"&gt;="&amp;CU$2,FECHA_BOV2,"&lt;="&amp;CU$3,CLAVE_BOV2,$A211)+SUMIFS(SALIDAS_BOV3,FECHA_BOV3,"&gt;="&amp;CU$2,FECHA_BOV3,"&lt;="&amp;CU$3,CLAVE_BOV3,$A211)+SUMIFS(SALIDAS_TC,FECHA_TC,"&gt;="&amp;CU$2,FECHA_TC,"&lt;="&amp;CU$3,CLAVE_TC,$A211)+SUMIFS(SALIDAS_COMB,FECHA_COMB,"&gt;="&amp;CU$2,FECHA_COMB,"&lt;="&amp;CU$3,CLAVE_COMB,$A211)+SUMIFS(SALIDAS_DES,FECHA_DESGLOSEN,"&gt;="&amp;CU$2,FECHA_DESGLOSEN,"&lt;="&amp;CU$3,CLAVE_DESGLOSE,$A211)</f>
        <v>0</v>
      </c>
      <c r="CV211" s="13">
        <f>SUMIFS(SALIDAS_BIT,FECHA_BIT,"&gt;="&amp;CV$2,FECHA_BIT,"&lt;="&amp;CV$3,CLAVE_BIT,$A211)+SUMIFS(SALIDAS_BOV1,FECHA_BOV1,"&gt;="&amp;CV$2,FECHA_BOV1,"&lt;="&amp;CV$3,CLAVE_BOV1,$A211)+SUMIFS(SALIDAS_BOV2,FECHA_BOV2,"&gt;="&amp;CV$2,FECHA_BOV2,"&lt;="&amp;CV$3,CLAVE_BOV2,$A211)+SUMIFS(SALIDAS_BOV3,FECHA_BOV3,"&gt;="&amp;CV$2,FECHA_BOV3,"&lt;="&amp;CV$3,CLAVE_BOV3,$A211)+SUMIFS(SALIDAS_TC,FECHA_TC,"&gt;="&amp;CV$2,FECHA_TC,"&lt;="&amp;CV$3,CLAVE_TC,$A211)+SUMIFS(SALIDAS_COMB,FECHA_COMB,"&gt;="&amp;CV$2,FECHA_COMB,"&lt;="&amp;CV$3,CLAVE_COMB,$A211)+SUMIFS(SALIDAS_DES,FECHA_DESGLOSEN,"&gt;="&amp;CV$2,FECHA_DESGLOSEN,"&lt;="&amp;CV$3,CLAVE_DESGLOSE,$A211)</f>
        <v>1300</v>
      </c>
      <c r="CW211" s="13">
        <f>SUMIFS(SALIDAS_BIT,FECHA_BIT,"&gt;="&amp;CW$2,FECHA_BIT,"&lt;="&amp;CW$3,CLAVE_BIT,$A211)+SUMIFS(SALIDAS_BOV1,FECHA_BOV1,"&gt;="&amp;CW$2,FECHA_BOV1,"&lt;="&amp;CW$3,CLAVE_BOV1,$A211)+SUMIFS(SALIDAS_BOV2,FECHA_BOV2,"&gt;="&amp;CW$2,FECHA_BOV2,"&lt;="&amp;CW$3,CLAVE_BOV2,$A211)+SUMIFS(SALIDAS_BOV3,FECHA_BOV3,"&gt;="&amp;CW$2,FECHA_BOV3,"&lt;="&amp;CW$3,CLAVE_BOV3,$A211)+SUMIFS(SALIDAS_TC,FECHA_TC,"&gt;="&amp;CW$2,FECHA_TC,"&lt;="&amp;CW$3,CLAVE_TC,$A211)+SUMIFS(SALIDAS_COMB,FECHA_COMB,"&gt;="&amp;CW$2,FECHA_COMB,"&lt;="&amp;CW$3,CLAVE_COMB,$A211)+SUMIFS(SALIDAS_DES,FECHA_DESGLOSEN,"&gt;="&amp;CW$2,FECHA_DESGLOSEN,"&lt;="&amp;CW$3,CLAVE_DESGLOSE,$A211)</f>
        <v>0</v>
      </c>
      <c r="CX211" s="13">
        <f>SUMIFS(SALIDAS_BIT,FECHA_BIT,"&gt;="&amp;CX$2,FECHA_BIT,"&lt;="&amp;CX$3,CLAVE_BIT,$A211)+SUMIFS(SALIDAS_BOV1,FECHA_BOV1,"&gt;="&amp;CX$2,FECHA_BOV1,"&lt;="&amp;CX$3,CLAVE_BOV1,$A211)+SUMIFS(SALIDAS_BOV2,FECHA_BOV2,"&gt;="&amp;CX$2,FECHA_BOV2,"&lt;="&amp;CX$3,CLAVE_BOV2,$A211)+SUMIFS(SALIDAS_BOV3,FECHA_BOV3,"&gt;="&amp;CX$2,FECHA_BOV3,"&lt;="&amp;CX$3,CLAVE_BOV3,$A211)+SUMIFS(SALIDAS_TC,FECHA_TC,"&gt;="&amp;CX$2,FECHA_TC,"&lt;="&amp;CX$3,CLAVE_TC,$A211)+SUMIFS(SALIDAS_COMB,FECHA_COMB,"&gt;="&amp;CX$2,FECHA_COMB,"&lt;="&amp;CX$3,CLAVE_COMB,$A211)+SUMIFS(SALIDAS_DES,FECHA_DESGLOSEN,"&gt;="&amp;CX$2,FECHA_DESGLOSEN,"&lt;="&amp;CX$3,CLAVE_DESGLOSE,$A211)</f>
        <v>0</v>
      </c>
      <c r="CY211" s="13">
        <f>SUMIFS(SALIDAS_BIT,FECHA_BIT,"&gt;="&amp;CY$2,FECHA_BIT,"&lt;="&amp;CY$3,CLAVE_BIT,$A211)+SUMIFS(SALIDAS_BOV1,FECHA_BOV1,"&gt;="&amp;CY$2,FECHA_BOV1,"&lt;="&amp;CY$3,CLAVE_BOV1,$A211)+SUMIFS(SALIDAS_BOV2,FECHA_BOV2,"&gt;="&amp;CY$2,FECHA_BOV2,"&lt;="&amp;CY$3,CLAVE_BOV2,$A211)+SUMIFS(SALIDAS_BOV3,FECHA_BOV3,"&gt;="&amp;CY$2,FECHA_BOV3,"&lt;="&amp;CY$3,CLAVE_BOV3,$A211)+SUMIFS(SALIDAS_TC,FECHA_TC,"&gt;="&amp;CY$2,FECHA_TC,"&lt;="&amp;CY$3,CLAVE_TC,$A211)+SUMIFS(SALIDAS_COMB,FECHA_COMB,"&gt;="&amp;CY$2,FECHA_COMB,"&lt;="&amp;CY$3,CLAVE_COMB,$A211)+SUMIFS(SALIDAS_DES,FECHA_DESGLOSEN,"&gt;="&amp;CY$2,FECHA_DESGLOSEN,"&lt;="&amp;CY$3,CLAVE_DESGLOSE,$A211)</f>
        <v>1300</v>
      </c>
      <c r="CZ211" s="68">
        <f t="shared" si="378"/>
        <v>1700</v>
      </c>
      <c r="DB211" s="17">
        <f>F211+N211+W211+AE211+AM211+AV211+BD211+BL211+BU211+CC211+CK211</f>
        <v>47000</v>
      </c>
      <c r="DC211" s="17">
        <f>K211+T211+AB211+AJ211+AS211+BA211+BI211+BR211+BZ211+CH211+CQ211</f>
        <v>19300</v>
      </c>
    </row>
    <row r="212" spans="1:107" hidden="1">
      <c r="A212" s="12" t="str">
        <f t="shared" si="351"/>
        <v>DECOMBUSTIBLEDIRECCION</v>
      </c>
      <c r="B212" s="12">
        <v>214</v>
      </c>
      <c r="C212" t="s">
        <v>41</v>
      </c>
      <c r="D212" s="12" t="s">
        <v>32</v>
      </c>
      <c r="E212" s="12" t="s">
        <v>42</v>
      </c>
      <c r="F212" s="259">
        <f t="shared" si="344"/>
        <v>4400</v>
      </c>
      <c r="G212" s="13">
        <f t="shared" si="380"/>
        <v>1000</v>
      </c>
      <c r="H212" s="13">
        <f t="shared" si="380"/>
        <v>0</v>
      </c>
      <c r="I212" s="13">
        <f t="shared" si="380"/>
        <v>3200</v>
      </c>
      <c r="J212" s="13">
        <f t="shared" si="380"/>
        <v>1000</v>
      </c>
      <c r="K212" s="13">
        <f t="shared" si="380"/>
        <v>5200</v>
      </c>
      <c r="L212" s="68">
        <f t="shared" si="352"/>
        <v>-800</v>
      </c>
      <c r="M212" s="268">
        <f t="shared" si="353"/>
        <v>1.1818181818181819</v>
      </c>
      <c r="N212" s="13">
        <f t="shared" si="345"/>
        <v>4500</v>
      </c>
      <c r="O212" s="13">
        <f t="shared" si="381"/>
        <v>0</v>
      </c>
      <c r="P212" s="13">
        <f t="shared" si="381"/>
        <v>1000</v>
      </c>
      <c r="Q212" s="13">
        <f t="shared" si="381"/>
        <v>2000</v>
      </c>
      <c r="R212" s="13">
        <f t="shared" si="381"/>
        <v>0</v>
      </c>
      <c r="S212" s="13">
        <f t="shared" si="381"/>
        <v>1000</v>
      </c>
      <c r="T212" s="13">
        <f t="shared" si="381"/>
        <v>4000</v>
      </c>
      <c r="U212" s="68">
        <f t="shared" si="354"/>
        <v>500</v>
      </c>
      <c r="V212" s="268">
        <f t="shared" si="355"/>
        <v>0.88888888888888884</v>
      </c>
      <c r="W212" s="13">
        <f t="shared" si="346"/>
        <v>5000</v>
      </c>
      <c r="X212" s="13">
        <f t="shared" si="382"/>
        <v>2000</v>
      </c>
      <c r="Y212" s="13">
        <f t="shared" si="382"/>
        <v>0</v>
      </c>
      <c r="Z212" s="13">
        <f t="shared" si="382"/>
        <v>1000</v>
      </c>
      <c r="AA212" s="13">
        <f t="shared" si="382"/>
        <v>1000</v>
      </c>
      <c r="AB212" s="13">
        <f t="shared" si="382"/>
        <v>4000</v>
      </c>
      <c r="AC212" s="68">
        <f t="shared" si="356"/>
        <v>1000</v>
      </c>
      <c r="AD212" s="268">
        <f t="shared" si="357"/>
        <v>0.8</v>
      </c>
      <c r="AE212" s="13">
        <f t="shared" si="347"/>
        <v>3500</v>
      </c>
      <c r="AF212" s="13">
        <f t="shared" si="383"/>
        <v>1000</v>
      </c>
      <c r="AG212" s="13">
        <f t="shared" si="383"/>
        <v>0</v>
      </c>
      <c r="AH212" s="13">
        <f t="shared" si="383"/>
        <v>0</v>
      </c>
      <c r="AI212" s="13">
        <f t="shared" si="383"/>
        <v>1000</v>
      </c>
      <c r="AJ212" s="13">
        <f t="shared" si="383"/>
        <v>2000</v>
      </c>
      <c r="AK212" s="68">
        <f t="shared" si="358"/>
        <v>1500</v>
      </c>
      <c r="AL212" s="268">
        <f t="shared" si="359"/>
        <v>0.5714285714285714</v>
      </c>
      <c r="AM212" s="13">
        <f t="shared" si="348"/>
        <v>1000</v>
      </c>
      <c r="AN212" s="13">
        <f t="shared" si="384"/>
        <v>1000</v>
      </c>
      <c r="AO212" s="13">
        <f t="shared" si="384"/>
        <v>1000</v>
      </c>
      <c r="AP212" s="13">
        <f t="shared" si="384"/>
        <v>0</v>
      </c>
      <c r="AQ212" s="13">
        <f t="shared" si="384"/>
        <v>1000</v>
      </c>
      <c r="AR212" s="13">
        <f t="shared" si="384"/>
        <v>1500</v>
      </c>
      <c r="AS212" s="13">
        <f t="shared" si="384"/>
        <v>4500</v>
      </c>
      <c r="AT212" s="68">
        <f>AM212-AS212</f>
        <v>-3500</v>
      </c>
      <c r="AU212" s="268">
        <f t="shared" si="360"/>
        <v>4.5</v>
      </c>
      <c r="AV212" s="13">
        <f t="shared" si="349"/>
        <v>1500</v>
      </c>
      <c r="AW212" s="13">
        <f t="shared" si="323"/>
        <v>0</v>
      </c>
      <c r="AX212" s="13">
        <f t="shared" si="323"/>
        <v>2000</v>
      </c>
      <c r="AY212" s="13">
        <f t="shared" si="323"/>
        <v>0</v>
      </c>
      <c r="AZ212" s="13">
        <f t="shared" si="323"/>
        <v>1000</v>
      </c>
      <c r="BA212" s="13">
        <f t="shared" si="379"/>
        <v>3000</v>
      </c>
      <c r="BB212" s="68">
        <f t="shared" si="361"/>
        <v>-1500</v>
      </c>
      <c r="BC212" s="268">
        <f t="shared" si="362"/>
        <v>2</v>
      </c>
      <c r="BD212" s="13">
        <f t="shared" si="363"/>
        <v>500</v>
      </c>
      <c r="BE212" s="13">
        <f>SUMIFS(SALIDAS_BIT,FECHA_BIT,"&gt;="&amp;BE$2,FECHA_BIT,"&lt;="&amp;BE$3,CLAVE_BIT,$A212)+SUMIFS(SALIDAS_BOV1,FECHA_BOV1,"&gt;="&amp;BE$2,FECHA_BOV1,"&lt;="&amp;BE$3,CLAVE_BOV1,$A212)+SUMIFS(SALIDAS_BOV2,FECHA_BOV2,"&gt;="&amp;BE$2,FECHA_BOV2,"&lt;="&amp;BE$3,CLAVE_BOV2,$A212)+SUMIFS(SALIDAS_BOV3,FECHA_BOV3,"&gt;="&amp;BE$2,FECHA_BOV3,"&lt;="&amp;BE$3,CLAVE_BOV3,$A212)+SUMIFS(SALIDAS_TC,FECHA_TC,"&gt;="&amp;BE$2,FECHA_TC,"&lt;="&amp;BE$3,CLAVE_TC,$A212)+SUMIFS(SALIDAS_COMB,FECHA_COMB,"&gt;="&amp;BE$2,FECHA_COMB,"&lt;="&amp;BE$3,CLAVE_COMB,$A212)+SUMIFS(SALIDAS_DES,FECHA_DESGLOSEN,"&gt;="&amp;BE$2,FECHA_DESGLOSEN,"&lt;="&amp;BE$3,CLAVE_DESGLOSE,$A212)</f>
        <v>1000</v>
      </c>
      <c r="BF212" s="13">
        <f>SUMIFS(SALIDAS_BIT,FECHA_BIT,"&gt;="&amp;BF$2,FECHA_BIT,"&lt;="&amp;BF$3,CLAVE_BIT,$A212)+SUMIFS(SALIDAS_BOV1,FECHA_BOV1,"&gt;="&amp;BF$2,FECHA_BOV1,"&lt;="&amp;BF$3,CLAVE_BOV1,$A212)+SUMIFS(SALIDAS_BOV2,FECHA_BOV2,"&gt;="&amp;BF$2,FECHA_BOV2,"&lt;="&amp;BF$3,CLAVE_BOV2,$A212)+SUMIFS(SALIDAS_BOV3,FECHA_BOV3,"&gt;="&amp;BF$2,FECHA_BOV3,"&lt;="&amp;BF$3,CLAVE_BOV3,$A212)+SUMIFS(SALIDAS_TC,FECHA_TC,"&gt;="&amp;BF$2,FECHA_TC,"&lt;="&amp;BF$3,CLAVE_TC,$A212)+SUMIFS(SALIDAS_COMB,FECHA_COMB,"&gt;="&amp;BF$2,FECHA_COMB,"&lt;="&amp;BF$3,CLAVE_COMB,$A212)+SUMIFS(SALIDAS_DES,FECHA_DESGLOSEN,"&gt;="&amp;BF$2,FECHA_DESGLOSEN,"&lt;="&amp;BF$3,CLAVE_DESGLOSE,$A212)</f>
        <v>1500</v>
      </c>
      <c r="BG212" s="13">
        <f>SUMIFS(SALIDAS_BIT,FECHA_BIT,"&gt;="&amp;BG$2,FECHA_BIT,"&lt;="&amp;BG$3,CLAVE_BIT,$A212)+SUMIFS(SALIDAS_BOV1,FECHA_BOV1,"&gt;="&amp;BG$2,FECHA_BOV1,"&lt;="&amp;BG$3,CLAVE_BOV1,$A212)+SUMIFS(SALIDAS_BOV2,FECHA_BOV2,"&gt;="&amp;BG$2,FECHA_BOV2,"&lt;="&amp;BG$3,CLAVE_BOV2,$A212)+SUMIFS(SALIDAS_BOV3,FECHA_BOV3,"&gt;="&amp;BG$2,FECHA_BOV3,"&lt;="&amp;BG$3,CLAVE_BOV3,$A212)+SUMIFS(SALIDAS_TC,FECHA_TC,"&gt;="&amp;BG$2,FECHA_TC,"&lt;="&amp;BG$3,CLAVE_TC,$A212)+SUMIFS(SALIDAS_COMB,FECHA_COMB,"&gt;="&amp;BG$2,FECHA_COMB,"&lt;="&amp;BG$3,CLAVE_COMB,$A212)+SUMIFS(SALIDAS_DES,FECHA_DESGLOSEN,"&gt;="&amp;BG$2,FECHA_DESGLOSEN,"&lt;="&amp;BG$3,CLAVE_DESGLOSE,$A212)</f>
        <v>4000</v>
      </c>
      <c r="BH212" s="13">
        <f>SUMIFS(SALIDAS_BIT,FECHA_BIT,"&gt;="&amp;BH$2,FECHA_BIT,"&lt;="&amp;BH$3,CLAVE_BIT,$A212)+SUMIFS(SALIDAS_BOV1,FECHA_BOV1,"&gt;="&amp;BH$2,FECHA_BOV1,"&lt;="&amp;BH$3,CLAVE_BOV1,$A212)+SUMIFS(SALIDAS_BOV2,FECHA_BOV2,"&gt;="&amp;BH$2,FECHA_BOV2,"&lt;="&amp;BH$3,CLAVE_BOV2,$A212)+SUMIFS(SALIDAS_BOV3,FECHA_BOV3,"&gt;="&amp;BH$2,FECHA_BOV3,"&lt;="&amp;BH$3,CLAVE_BOV3,$A212)+SUMIFS(SALIDAS_TC,FECHA_TC,"&gt;="&amp;BH$2,FECHA_TC,"&lt;="&amp;BH$3,CLAVE_TC,$A212)+SUMIFS(SALIDAS_COMB,FECHA_COMB,"&gt;="&amp;BH$2,FECHA_COMB,"&lt;="&amp;BH$3,CLAVE_COMB,$A212)+SUMIFS(SALIDAS_DES,FECHA_DESGLOSEN,"&gt;="&amp;BH$2,FECHA_DESGLOSEN,"&lt;="&amp;BH$3,CLAVE_DESGLOSE,$A212)</f>
        <v>1000</v>
      </c>
      <c r="BI212" s="13">
        <f t="shared" si="311"/>
        <v>7500</v>
      </c>
      <c r="BJ212" s="68">
        <f t="shared" si="364"/>
        <v>-7000</v>
      </c>
      <c r="BK212" s="268">
        <f t="shared" si="365"/>
        <v>15</v>
      </c>
      <c r="BL212" s="13">
        <f t="shared" si="366"/>
        <v>1300</v>
      </c>
      <c r="BM212" s="13">
        <f>SUMIFS(SALIDAS_BIT,FECHA_BIT,"&gt;="&amp;BM$2,FECHA_BIT,"&lt;="&amp;BM$3,CLAVE_BIT,$A212)+SUMIFS(SALIDAS_BOV1,FECHA_BOV1,"&gt;="&amp;BM$2,FECHA_BOV1,"&lt;="&amp;BM$3,CLAVE_BOV1,$A212)+SUMIFS(SALIDAS_BOV2,FECHA_BOV2,"&gt;="&amp;BM$2,FECHA_BOV2,"&lt;="&amp;BM$3,CLAVE_BOV2,$A212)+SUMIFS(SALIDAS_BOV3,FECHA_BOV3,"&gt;="&amp;BM$2,FECHA_BOV3,"&lt;="&amp;BM$3,CLAVE_BOV3,$A212)+SUMIFS(SALIDAS_TC,FECHA_TC,"&gt;="&amp;BM$2,FECHA_TC,"&lt;="&amp;BM$3,CLAVE_TC,$A212)+SUMIFS(SALIDAS_COMB,FECHA_COMB,"&gt;="&amp;BM$2,FECHA_COMB,"&lt;="&amp;BM$3,CLAVE_COMB,$A212)+SUMIFS(SALIDAS_DES,FECHA_DESGLOSEN,"&gt;="&amp;BM$2,FECHA_DESGLOSEN,"&lt;="&amp;BM$3,CLAVE_DESGLOSE,$A212)</f>
        <v>1000</v>
      </c>
      <c r="BN212" s="13">
        <f>SUMIFS(SALIDAS_BIT,FECHA_BIT,"&gt;="&amp;BN$2,FECHA_BIT,"&lt;="&amp;BN$3,CLAVE_BIT,$A212)+SUMIFS(SALIDAS_BOV1,FECHA_BOV1,"&gt;="&amp;BN$2,FECHA_BOV1,"&lt;="&amp;BN$3,CLAVE_BOV1,$A212)+SUMIFS(SALIDAS_BOV2,FECHA_BOV2,"&gt;="&amp;BN$2,FECHA_BOV2,"&lt;="&amp;BN$3,CLAVE_BOV2,$A212)+SUMIFS(SALIDAS_BOV3,FECHA_BOV3,"&gt;="&amp;BN$2,FECHA_BOV3,"&lt;="&amp;BN$3,CLAVE_BOV3,$A212)+SUMIFS(SALIDAS_TC,FECHA_TC,"&gt;="&amp;BN$2,FECHA_TC,"&lt;="&amp;BN$3,CLAVE_TC,$A212)+SUMIFS(SALIDAS_COMB,FECHA_COMB,"&gt;="&amp;BN$2,FECHA_COMB,"&lt;="&amp;BN$3,CLAVE_COMB,$A212)+SUMIFS(SALIDAS_DES,FECHA_DESGLOSEN,"&gt;="&amp;BN$2,FECHA_DESGLOSEN,"&lt;="&amp;BN$3,CLAVE_DESGLOSE,$A212)</f>
        <v>1000</v>
      </c>
      <c r="BO212" s="13">
        <f>SUMIFS(SALIDAS_BIT,FECHA_BIT,"&gt;="&amp;BO$2,FECHA_BIT,"&lt;="&amp;BO$3,CLAVE_BIT,$A212)+SUMIFS(SALIDAS_BOV1,FECHA_BOV1,"&gt;="&amp;BO$2,FECHA_BOV1,"&lt;="&amp;BO$3,CLAVE_BOV1,$A212)+SUMIFS(SALIDAS_BOV2,FECHA_BOV2,"&gt;="&amp;BO$2,FECHA_BOV2,"&lt;="&amp;BO$3,CLAVE_BOV2,$A212)+SUMIFS(SALIDAS_BOV3,FECHA_BOV3,"&gt;="&amp;BO$2,FECHA_BOV3,"&lt;="&amp;BO$3,CLAVE_BOV3,$A212)+SUMIFS(SALIDAS_TC,FECHA_TC,"&gt;="&amp;BO$2,FECHA_TC,"&lt;="&amp;BO$3,CLAVE_TC,$A212)+SUMIFS(SALIDAS_COMB,FECHA_COMB,"&gt;="&amp;BO$2,FECHA_COMB,"&lt;="&amp;BO$3,CLAVE_COMB,$A212)+SUMIFS(SALIDAS_DES,FECHA_DESGLOSEN,"&gt;="&amp;BO$2,FECHA_DESGLOSEN,"&lt;="&amp;BO$3,CLAVE_DESGLOSE,$A212)</f>
        <v>1000</v>
      </c>
      <c r="BP212" s="13">
        <f>SUMIFS(SALIDAS_BIT,FECHA_BIT,"&gt;="&amp;BP$2,FECHA_BIT,"&lt;="&amp;BP$3,CLAVE_BIT,$A212)+SUMIFS(SALIDAS_BOV1,FECHA_BOV1,"&gt;="&amp;BP$2,FECHA_BOV1,"&lt;="&amp;BP$3,CLAVE_BOV1,$A212)+SUMIFS(SALIDAS_BOV2,FECHA_BOV2,"&gt;="&amp;BP$2,FECHA_BOV2,"&lt;="&amp;BP$3,CLAVE_BOV2,$A212)+SUMIFS(SALIDAS_BOV3,FECHA_BOV3,"&gt;="&amp;BP$2,FECHA_BOV3,"&lt;="&amp;BP$3,CLAVE_BOV3,$A212)+SUMIFS(SALIDAS_TC,FECHA_TC,"&gt;="&amp;BP$2,FECHA_TC,"&lt;="&amp;BP$3,CLAVE_TC,$A212)+SUMIFS(SALIDAS_COMB,FECHA_COMB,"&gt;="&amp;BP$2,FECHA_COMB,"&lt;="&amp;BP$3,CLAVE_COMB,$A212)+SUMIFS(SALIDAS_DES,FECHA_DESGLOSEN,"&gt;="&amp;BP$2,FECHA_DESGLOSEN,"&lt;="&amp;BP$3,CLAVE_DESGLOSE,$A212)</f>
        <v>1021</v>
      </c>
      <c r="BQ212" s="13">
        <f>SUMIFS(SALIDAS_BIT,FECHA_BIT,"&gt;="&amp;BQ$2,FECHA_BIT,"&lt;="&amp;BQ$3,CLAVE_BIT,$A212)+SUMIFS(SALIDAS_BOV1,FECHA_BOV1,"&gt;="&amp;BQ$2,FECHA_BOV1,"&lt;="&amp;BQ$3,CLAVE_BOV1,$A212)+SUMIFS(SALIDAS_BOV2,FECHA_BOV2,"&gt;="&amp;BQ$2,FECHA_BOV2,"&lt;="&amp;BQ$3,CLAVE_BOV2,$A212)+SUMIFS(SALIDAS_BOV3,FECHA_BOV3,"&gt;="&amp;BQ$2,FECHA_BOV3,"&lt;="&amp;BQ$3,CLAVE_BOV3,$A212)+SUMIFS(SALIDAS_TC,FECHA_TC,"&gt;="&amp;BQ$2,FECHA_TC,"&lt;="&amp;BQ$3,CLAVE_TC,$A212)+SUMIFS(SALIDAS_COMB,FECHA_COMB,"&gt;="&amp;BQ$2,FECHA_COMB,"&lt;="&amp;BQ$3,CLAVE_COMB,$A212)+SUMIFS(SALIDAS_DES,FECHA_DESGLOSEN,"&gt;="&amp;BQ$2,FECHA_DESGLOSEN,"&lt;="&amp;BQ$3,CLAVE_DESGLOSE,$A212)</f>
        <v>1000</v>
      </c>
      <c r="BR212" s="13">
        <f t="shared" si="385"/>
        <v>5021</v>
      </c>
      <c r="BS212" s="68">
        <f t="shared" si="367"/>
        <v>-3721</v>
      </c>
      <c r="BT212" s="268">
        <f t="shared" si="368"/>
        <v>3.8623076923076924</v>
      </c>
      <c r="BU212" s="13">
        <f t="shared" si="369"/>
        <v>5000</v>
      </c>
      <c r="BV212" s="13">
        <f t="shared" si="291"/>
        <v>1500</v>
      </c>
      <c r="BW212" s="13">
        <f t="shared" si="291"/>
        <v>1000</v>
      </c>
      <c r="BX212" s="13">
        <f t="shared" si="291"/>
        <v>1000</v>
      </c>
      <c r="BY212" s="13">
        <f t="shared" ref="BV212:BY275" si="389">SUMIFS(SALIDAS_BIT,FECHA_BIT,"&gt;="&amp;BY$2,FECHA_BIT,"&lt;="&amp;BY$3,CLAVE_BIT,$A212)+SUMIFS(SALIDAS_BOV1,FECHA_BOV1,"&gt;="&amp;BY$2,FECHA_BOV1,"&lt;="&amp;BY$3,CLAVE_BOV1,$A212)+SUMIFS(SALIDAS_BOV2,FECHA_BOV2,"&gt;="&amp;BY$2,FECHA_BOV2,"&lt;="&amp;BY$3,CLAVE_BOV2,$A212)+SUMIFS(SALIDAS_BOV3,FECHA_BOV3,"&gt;="&amp;BY$2,FECHA_BOV3,"&lt;="&amp;BY$3,CLAVE_BOV3,$A212)+SUMIFS(SALIDAS_TC,FECHA_TC,"&gt;="&amp;BY$2,FECHA_TC,"&lt;="&amp;BY$3,CLAVE_TC,$A212)+SUMIFS(SALIDAS_COMB,FECHA_COMB,"&gt;="&amp;BY$2,FECHA_COMB,"&lt;="&amp;BY$3,CLAVE_COMB,$A212)+SUMIFS(SALIDAS_DES,FECHA_DESGLOSEN,"&gt;="&amp;BY$2,FECHA_DESGLOSEN,"&lt;="&amp;BY$3,CLAVE_DESGLOSE,$A212)</f>
        <v>1600</v>
      </c>
      <c r="BZ212" s="13">
        <f t="shared" si="386"/>
        <v>5100</v>
      </c>
      <c r="CA212" s="68">
        <f t="shared" si="370"/>
        <v>-100</v>
      </c>
      <c r="CB212" s="268">
        <f t="shared" si="371"/>
        <v>1.02</v>
      </c>
      <c r="CC212" s="13">
        <f t="shared" si="372"/>
        <v>5000</v>
      </c>
      <c r="CD212" s="13">
        <f t="shared" si="292"/>
        <v>1000</v>
      </c>
      <c r="CE212" s="13">
        <f t="shared" si="292"/>
        <v>1000</v>
      </c>
      <c r="CF212" s="13">
        <f t="shared" si="292"/>
        <v>1000</v>
      </c>
      <c r="CG212" s="13">
        <f t="shared" ref="CD212:CG275" si="390">SUMIFS(SALIDAS_BIT,FECHA_BIT,"&gt;="&amp;CG$2,FECHA_BIT,"&lt;="&amp;CG$3,CLAVE_BIT,$A212)+SUMIFS(SALIDAS_BOV1,FECHA_BOV1,"&gt;="&amp;CG$2,FECHA_BOV1,"&lt;="&amp;CG$3,CLAVE_BOV1,$A212)+SUMIFS(SALIDAS_BOV2,FECHA_BOV2,"&gt;="&amp;CG$2,FECHA_BOV2,"&lt;="&amp;CG$3,CLAVE_BOV2,$A212)+SUMIFS(SALIDAS_BOV3,FECHA_BOV3,"&gt;="&amp;CG$2,FECHA_BOV3,"&lt;="&amp;CG$3,CLAVE_BOV3,$A212)+SUMIFS(SALIDAS_TC,FECHA_TC,"&gt;="&amp;CG$2,FECHA_TC,"&lt;="&amp;CG$3,CLAVE_TC,$A212)+SUMIFS(SALIDAS_COMB,FECHA_COMB,"&gt;="&amp;CG$2,FECHA_COMB,"&lt;="&amp;CG$3,CLAVE_COMB,$A212)+SUMIFS(SALIDAS_DES,FECHA_DESGLOSEN,"&gt;="&amp;CG$2,FECHA_DESGLOSEN,"&lt;="&amp;CG$3,CLAVE_DESGLOSE,$A212)</f>
        <v>0</v>
      </c>
      <c r="CH212" s="13">
        <f t="shared" si="387"/>
        <v>3000</v>
      </c>
      <c r="CI212" s="68">
        <f t="shared" si="373"/>
        <v>2000</v>
      </c>
      <c r="CJ212" s="268">
        <f t="shared" si="374"/>
        <v>0.6</v>
      </c>
      <c r="CK212" s="13">
        <f t="shared" si="375"/>
        <v>6002</v>
      </c>
      <c r="CL212" s="13">
        <f t="shared" si="312"/>
        <v>0</v>
      </c>
      <c r="CM212" s="13">
        <f t="shared" si="312"/>
        <v>3000</v>
      </c>
      <c r="CN212" s="13">
        <f t="shared" si="312"/>
        <v>1500</v>
      </c>
      <c r="CO212" s="13">
        <f t="shared" si="312"/>
        <v>1500</v>
      </c>
      <c r="CP212" s="13">
        <f t="shared" si="312"/>
        <v>0</v>
      </c>
      <c r="CQ212" s="13">
        <f t="shared" si="388"/>
        <v>6000</v>
      </c>
      <c r="CR212" s="68">
        <f t="shared" si="376"/>
        <v>2</v>
      </c>
      <c r="CS212" s="268">
        <f t="shared" si="377"/>
        <v>0.99966677774075308</v>
      </c>
      <c r="CT212" s="68">
        <f t="shared" si="350"/>
        <v>4000</v>
      </c>
      <c r="CU212" s="13">
        <f>SUMIFS(SALIDAS_BIT,FECHA_BIT,"&gt;="&amp;CU$2,FECHA_BIT,"&lt;="&amp;CU$3,CLAVE_BIT,$A212)+SUMIFS(SALIDAS_BOV1,FECHA_BOV1,"&gt;="&amp;CU$2,FECHA_BOV1,"&lt;="&amp;CU$3,CLAVE_BOV1,$A212)+SUMIFS(SALIDAS_BOV2,FECHA_BOV2,"&gt;="&amp;CU$2,FECHA_BOV2,"&lt;="&amp;CU$3,CLAVE_BOV2,$A212)+SUMIFS(SALIDAS_BOV3,FECHA_BOV3,"&gt;="&amp;CU$2,FECHA_BOV3,"&lt;="&amp;CU$3,CLAVE_BOV3,$A212)+SUMIFS(SALIDAS_TC,FECHA_TC,"&gt;="&amp;CU$2,FECHA_TC,"&lt;="&amp;CU$3,CLAVE_TC,$A212)+SUMIFS(SALIDAS_COMB,FECHA_COMB,"&gt;="&amp;CU$2,FECHA_COMB,"&lt;="&amp;CU$3,CLAVE_COMB,$A212)+SUMIFS(SALIDAS_DES,FECHA_DESGLOSEN,"&gt;="&amp;CU$2,FECHA_DESGLOSEN,"&lt;="&amp;CU$3,CLAVE_DESGLOSE,$A212)</f>
        <v>1000</v>
      </c>
      <c r="CV212" s="13">
        <f>SUMIFS(SALIDAS_BIT,FECHA_BIT,"&gt;="&amp;CV$2,FECHA_BIT,"&lt;="&amp;CV$3,CLAVE_BIT,$A212)+SUMIFS(SALIDAS_BOV1,FECHA_BOV1,"&gt;="&amp;CV$2,FECHA_BOV1,"&lt;="&amp;CV$3,CLAVE_BOV1,$A212)+SUMIFS(SALIDAS_BOV2,FECHA_BOV2,"&gt;="&amp;CV$2,FECHA_BOV2,"&lt;="&amp;CV$3,CLAVE_BOV2,$A212)+SUMIFS(SALIDAS_BOV3,FECHA_BOV3,"&gt;="&amp;CV$2,FECHA_BOV3,"&lt;="&amp;CV$3,CLAVE_BOV3,$A212)+SUMIFS(SALIDAS_TC,FECHA_TC,"&gt;="&amp;CV$2,FECHA_TC,"&lt;="&amp;CV$3,CLAVE_TC,$A212)+SUMIFS(SALIDAS_COMB,FECHA_COMB,"&gt;="&amp;CV$2,FECHA_COMB,"&lt;="&amp;CV$3,CLAVE_COMB,$A212)+SUMIFS(SALIDAS_DES,FECHA_DESGLOSEN,"&gt;="&amp;CV$2,FECHA_DESGLOSEN,"&lt;="&amp;CV$3,CLAVE_DESGLOSE,$A212)</f>
        <v>1000</v>
      </c>
      <c r="CW212" s="13">
        <f>SUMIFS(SALIDAS_BIT,FECHA_BIT,"&gt;="&amp;CW$2,FECHA_BIT,"&lt;="&amp;CW$3,CLAVE_BIT,$A212)+SUMIFS(SALIDAS_BOV1,FECHA_BOV1,"&gt;="&amp;CW$2,FECHA_BOV1,"&lt;="&amp;CW$3,CLAVE_BOV1,$A212)+SUMIFS(SALIDAS_BOV2,FECHA_BOV2,"&gt;="&amp;CW$2,FECHA_BOV2,"&lt;="&amp;CW$3,CLAVE_BOV2,$A212)+SUMIFS(SALIDAS_BOV3,FECHA_BOV3,"&gt;="&amp;CW$2,FECHA_BOV3,"&lt;="&amp;CW$3,CLAVE_BOV3,$A212)+SUMIFS(SALIDAS_TC,FECHA_TC,"&gt;="&amp;CW$2,FECHA_TC,"&lt;="&amp;CW$3,CLAVE_TC,$A212)+SUMIFS(SALIDAS_COMB,FECHA_COMB,"&gt;="&amp;CW$2,FECHA_COMB,"&lt;="&amp;CW$3,CLAVE_COMB,$A212)+SUMIFS(SALIDAS_DES,FECHA_DESGLOSEN,"&gt;="&amp;CW$2,FECHA_DESGLOSEN,"&lt;="&amp;CW$3,CLAVE_DESGLOSE,$A212)</f>
        <v>0</v>
      </c>
      <c r="CX212" s="13">
        <f>SUMIFS(SALIDAS_BIT,FECHA_BIT,"&gt;="&amp;CX$2,FECHA_BIT,"&lt;="&amp;CX$3,CLAVE_BIT,$A212)+SUMIFS(SALIDAS_BOV1,FECHA_BOV1,"&gt;="&amp;CX$2,FECHA_BOV1,"&lt;="&amp;CX$3,CLAVE_BOV1,$A212)+SUMIFS(SALIDAS_BOV2,FECHA_BOV2,"&gt;="&amp;CX$2,FECHA_BOV2,"&lt;="&amp;CX$3,CLAVE_BOV2,$A212)+SUMIFS(SALIDAS_BOV3,FECHA_BOV3,"&gt;="&amp;CX$2,FECHA_BOV3,"&lt;="&amp;CX$3,CLAVE_BOV3,$A212)+SUMIFS(SALIDAS_TC,FECHA_TC,"&gt;="&amp;CX$2,FECHA_TC,"&lt;="&amp;CX$3,CLAVE_TC,$A212)+SUMIFS(SALIDAS_COMB,FECHA_COMB,"&gt;="&amp;CX$2,FECHA_COMB,"&lt;="&amp;CX$3,CLAVE_COMB,$A212)+SUMIFS(SALIDAS_DES,FECHA_DESGLOSEN,"&gt;="&amp;CX$2,FECHA_DESGLOSEN,"&lt;="&amp;CX$3,CLAVE_DESGLOSE,$A212)</f>
        <v>0</v>
      </c>
      <c r="CY212" s="13">
        <f>SUMIFS(SALIDAS_BIT,FECHA_BIT,"&gt;="&amp;CY$2,FECHA_BIT,"&lt;="&amp;CY$3,CLAVE_BIT,$A212)+SUMIFS(SALIDAS_BOV1,FECHA_BOV1,"&gt;="&amp;CY$2,FECHA_BOV1,"&lt;="&amp;CY$3,CLAVE_BOV1,$A212)+SUMIFS(SALIDAS_BOV2,FECHA_BOV2,"&gt;="&amp;CY$2,FECHA_BOV2,"&lt;="&amp;CY$3,CLAVE_BOV2,$A212)+SUMIFS(SALIDAS_BOV3,FECHA_BOV3,"&gt;="&amp;CY$2,FECHA_BOV3,"&lt;="&amp;CY$3,CLAVE_BOV3,$A212)+SUMIFS(SALIDAS_TC,FECHA_TC,"&gt;="&amp;CY$2,FECHA_TC,"&lt;="&amp;CY$3,CLAVE_TC,$A212)+SUMIFS(SALIDAS_COMB,FECHA_COMB,"&gt;="&amp;CY$2,FECHA_COMB,"&lt;="&amp;CY$3,CLAVE_COMB,$A212)+SUMIFS(SALIDAS_DES,FECHA_DESGLOSEN,"&gt;="&amp;CY$2,FECHA_DESGLOSEN,"&lt;="&amp;CY$3,CLAVE_DESGLOSE,$A212)</f>
        <v>2000</v>
      </c>
      <c r="CZ212" s="68">
        <f t="shared" si="378"/>
        <v>2000</v>
      </c>
      <c r="DB212" s="17">
        <f>F212+N212+W212+AE212+AM212+AV212+BD212+BL212+BU212+CC212+CK212</f>
        <v>37702</v>
      </c>
      <c r="DC212" s="17">
        <f>K212+T212+AB212+AJ212+AS212+BA212+BI212+BR212+BZ212+CH212+CQ212</f>
        <v>49321</v>
      </c>
    </row>
    <row r="213" spans="1:107" hidden="1">
      <c r="A213" s="12" t="str">
        <f t="shared" si="351"/>
        <v>MELCOMBUSTIBLEMELISSA</v>
      </c>
      <c r="B213" s="12">
        <v>215</v>
      </c>
      <c r="C213" t="s">
        <v>43</v>
      </c>
      <c r="D213" s="12" t="s">
        <v>32</v>
      </c>
      <c r="E213" s="12" t="s">
        <v>44</v>
      </c>
      <c r="F213" s="259">
        <f t="shared" si="344"/>
        <v>500</v>
      </c>
      <c r="G213" s="13">
        <f t="shared" si="380"/>
        <v>1000</v>
      </c>
      <c r="H213" s="13">
        <f t="shared" si="380"/>
        <v>0</v>
      </c>
      <c r="I213" s="13">
        <f t="shared" si="380"/>
        <v>0</v>
      </c>
      <c r="J213" s="13">
        <f t="shared" si="380"/>
        <v>1500</v>
      </c>
      <c r="K213" s="13">
        <f t="shared" si="380"/>
        <v>2500</v>
      </c>
      <c r="L213" s="68">
        <f t="shared" si="352"/>
        <v>-2000</v>
      </c>
      <c r="M213" s="268">
        <f t="shared" si="353"/>
        <v>5</v>
      </c>
      <c r="N213" s="13">
        <f t="shared" si="345"/>
        <v>3500</v>
      </c>
      <c r="O213" s="13">
        <f t="shared" si="381"/>
        <v>1500</v>
      </c>
      <c r="P213" s="13">
        <f t="shared" si="381"/>
        <v>1600</v>
      </c>
      <c r="Q213" s="13">
        <f t="shared" si="381"/>
        <v>1000</v>
      </c>
      <c r="R213" s="13">
        <f t="shared" si="381"/>
        <v>3500</v>
      </c>
      <c r="S213" s="13">
        <f t="shared" si="381"/>
        <v>700</v>
      </c>
      <c r="T213" s="13">
        <f t="shared" si="381"/>
        <v>8300</v>
      </c>
      <c r="U213" s="68">
        <f t="shared" si="354"/>
        <v>-4800</v>
      </c>
      <c r="V213" s="268">
        <f t="shared" si="355"/>
        <v>2.3714285714285714</v>
      </c>
      <c r="W213" s="13">
        <f t="shared" si="346"/>
        <v>2800</v>
      </c>
      <c r="X213" s="13">
        <f t="shared" si="382"/>
        <v>0</v>
      </c>
      <c r="Y213" s="13">
        <f t="shared" si="382"/>
        <v>0</v>
      </c>
      <c r="Z213" s="13">
        <f t="shared" si="382"/>
        <v>1000</v>
      </c>
      <c r="AA213" s="13">
        <f t="shared" si="382"/>
        <v>1000</v>
      </c>
      <c r="AB213" s="13">
        <f t="shared" si="382"/>
        <v>2000</v>
      </c>
      <c r="AC213" s="68">
        <f t="shared" si="356"/>
        <v>800</v>
      </c>
      <c r="AD213" s="268">
        <f t="shared" si="357"/>
        <v>0.7142857142857143</v>
      </c>
      <c r="AE213" s="13">
        <f t="shared" si="347"/>
        <v>2800</v>
      </c>
      <c r="AF213" s="13">
        <f t="shared" si="383"/>
        <v>1000</v>
      </c>
      <c r="AG213" s="13">
        <f t="shared" si="383"/>
        <v>1000</v>
      </c>
      <c r="AH213" s="13">
        <f t="shared" si="383"/>
        <v>0</v>
      </c>
      <c r="AI213" s="13">
        <f t="shared" si="383"/>
        <v>1000</v>
      </c>
      <c r="AJ213" s="13">
        <f t="shared" si="383"/>
        <v>3000</v>
      </c>
      <c r="AK213" s="68">
        <f t="shared" si="358"/>
        <v>-200</v>
      </c>
      <c r="AL213" s="268">
        <f t="shared" si="359"/>
        <v>1.0714285714285714</v>
      </c>
      <c r="AM213" s="13">
        <f t="shared" si="348"/>
        <v>1700</v>
      </c>
      <c r="AN213" s="13">
        <f t="shared" si="384"/>
        <v>1000</v>
      </c>
      <c r="AO213" s="13">
        <f t="shared" si="384"/>
        <v>1000</v>
      </c>
      <c r="AP213" s="13">
        <f t="shared" si="384"/>
        <v>1000</v>
      </c>
      <c r="AQ213" s="13">
        <f t="shared" si="384"/>
        <v>1000</v>
      </c>
      <c r="AR213" s="13">
        <f t="shared" si="384"/>
        <v>1000</v>
      </c>
      <c r="AS213" s="13">
        <f t="shared" si="384"/>
        <v>5000</v>
      </c>
      <c r="AT213" s="68">
        <f>AM213-AS213</f>
        <v>-3300</v>
      </c>
      <c r="AU213" s="268">
        <f t="shared" si="360"/>
        <v>2.9411764705882355</v>
      </c>
      <c r="AV213" s="13">
        <f t="shared" si="349"/>
        <v>1700</v>
      </c>
      <c r="AW213" s="13">
        <f t="shared" si="323"/>
        <v>0</v>
      </c>
      <c r="AX213" s="13">
        <f t="shared" si="323"/>
        <v>2000</v>
      </c>
      <c r="AY213" s="13">
        <f t="shared" si="323"/>
        <v>1000</v>
      </c>
      <c r="AZ213" s="13">
        <f t="shared" si="323"/>
        <v>1000</v>
      </c>
      <c r="BA213" s="13">
        <f t="shared" si="379"/>
        <v>4000</v>
      </c>
      <c r="BB213" s="68">
        <f t="shared" si="361"/>
        <v>-2300</v>
      </c>
      <c r="BC213" s="268">
        <f t="shared" si="362"/>
        <v>2.3529411764705883</v>
      </c>
      <c r="BD213" s="13">
        <f t="shared" si="363"/>
        <v>2300</v>
      </c>
      <c r="BE213" s="13">
        <f>SUMIFS(SALIDAS_BIT,FECHA_BIT,"&gt;="&amp;BE$2,FECHA_BIT,"&lt;="&amp;BE$3,CLAVE_BIT,$A213)+SUMIFS(SALIDAS_BOV1,FECHA_BOV1,"&gt;="&amp;BE$2,FECHA_BOV1,"&lt;="&amp;BE$3,CLAVE_BOV1,$A213)+SUMIFS(SALIDAS_BOV2,FECHA_BOV2,"&gt;="&amp;BE$2,FECHA_BOV2,"&lt;="&amp;BE$3,CLAVE_BOV2,$A213)+SUMIFS(SALIDAS_BOV3,FECHA_BOV3,"&gt;="&amp;BE$2,FECHA_BOV3,"&lt;="&amp;BE$3,CLAVE_BOV3,$A213)+SUMIFS(SALIDAS_TC,FECHA_TC,"&gt;="&amp;BE$2,FECHA_TC,"&lt;="&amp;BE$3,CLAVE_TC,$A213)+SUMIFS(SALIDAS_COMB,FECHA_COMB,"&gt;="&amp;BE$2,FECHA_COMB,"&lt;="&amp;BE$3,CLAVE_COMB,$A213)+SUMIFS(SALIDAS_DES,FECHA_DESGLOSEN,"&gt;="&amp;BE$2,FECHA_DESGLOSEN,"&lt;="&amp;BE$3,CLAVE_DESGLOSE,$A213)</f>
        <v>1000</v>
      </c>
      <c r="BF213" s="13">
        <f>SUMIFS(SALIDAS_BIT,FECHA_BIT,"&gt;="&amp;BF$2,FECHA_BIT,"&lt;="&amp;BF$3,CLAVE_BIT,$A213)+SUMIFS(SALIDAS_BOV1,FECHA_BOV1,"&gt;="&amp;BF$2,FECHA_BOV1,"&lt;="&amp;BF$3,CLAVE_BOV1,$A213)+SUMIFS(SALIDAS_BOV2,FECHA_BOV2,"&gt;="&amp;BF$2,FECHA_BOV2,"&lt;="&amp;BF$3,CLAVE_BOV2,$A213)+SUMIFS(SALIDAS_BOV3,FECHA_BOV3,"&gt;="&amp;BF$2,FECHA_BOV3,"&lt;="&amp;BF$3,CLAVE_BOV3,$A213)+SUMIFS(SALIDAS_TC,FECHA_TC,"&gt;="&amp;BF$2,FECHA_TC,"&lt;="&amp;BF$3,CLAVE_TC,$A213)+SUMIFS(SALIDAS_COMB,FECHA_COMB,"&gt;="&amp;BF$2,FECHA_COMB,"&lt;="&amp;BF$3,CLAVE_COMB,$A213)+SUMIFS(SALIDAS_DES,FECHA_DESGLOSEN,"&gt;="&amp;BF$2,FECHA_DESGLOSEN,"&lt;="&amp;BF$3,CLAVE_DESGLOSE,$A213)</f>
        <v>1000</v>
      </c>
      <c r="BG213" s="13">
        <f>SUMIFS(SALIDAS_BIT,FECHA_BIT,"&gt;="&amp;BG$2,FECHA_BIT,"&lt;="&amp;BG$3,CLAVE_BIT,$A213)+SUMIFS(SALIDAS_BOV1,FECHA_BOV1,"&gt;="&amp;BG$2,FECHA_BOV1,"&lt;="&amp;BG$3,CLAVE_BOV1,$A213)+SUMIFS(SALIDAS_BOV2,FECHA_BOV2,"&gt;="&amp;BG$2,FECHA_BOV2,"&lt;="&amp;BG$3,CLAVE_BOV2,$A213)+SUMIFS(SALIDAS_BOV3,FECHA_BOV3,"&gt;="&amp;BG$2,FECHA_BOV3,"&lt;="&amp;BG$3,CLAVE_BOV3,$A213)+SUMIFS(SALIDAS_TC,FECHA_TC,"&gt;="&amp;BG$2,FECHA_TC,"&lt;="&amp;BG$3,CLAVE_TC,$A213)+SUMIFS(SALIDAS_COMB,FECHA_COMB,"&gt;="&amp;BG$2,FECHA_COMB,"&lt;="&amp;BG$3,CLAVE_COMB,$A213)+SUMIFS(SALIDAS_DES,FECHA_DESGLOSEN,"&gt;="&amp;BG$2,FECHA_DESGLOSEN,"&lt;="&amp;BG$3,CLAVE_DESGLOSE,$A213)</f>
        <v>0</v>
      </c>
      <c r="BH213" s="13">
        <f>SUMIFS(SALIDAS_BIT,FECHA_BIT,"&gt;="&amp;BH$2,FECHA_BIT,"&lt;="&amp;BH$3,CLAVE_BIT,$A213)+SUMIFS(SALIDAS_BOV1,FECHA_BOV1,"&gt;="&amp;BH$2,FECHA_BOV1,"&lt;="&amp;BH$3,CLAVE_BOV1,$A213)+SUMIFS(SALIDAS_BOV2,FECHA_BOV2,"&gt;="&amp;BH$2,FECHA_BOV2,"&lt;="&amp;BH$3,CLAVE_BOV2,$A213)+SUMIFS(SALIDAS_BOV3,FECHA_BOV3,"&gt;="&amp;BH$2,FECHA_BOV3,"&lt;="&amp;BH$3,CLAVE_BOV3,$A213)+SUMIFS(SALIDAS_TC,FECHA_TC,"&gt;="&amp;BH$2,FECHA_TC,"&lt;="&amp;BH$3,CLAVE_TC,$A213)+SUMIFS(SALIDAS_COMB,FECHA_COMB,"&gt;="&amp;BH$2,FECHA_COMB,"&lt;="&amp;BH$3,CLAVE_COMB,$A213)+SUMIFS(SALIDAS_DES,FECHA_DESGLOSEN,"&gt;="&amp;BH$2,FECHA_DESGLOSEN,"&lt;="&amp;BH$3,CLAVE_DESGLOSE,$A213)</f>
        <v>0</v>
      </c>
      <c r="BI213" s="13">
        <f t="shared" si="311"/>
        <v>2000</v>
      </c>
      <c r="BJ213" s="68">
        <f t="shared" si="364"/>
        <v>300</v>
      </c>
      <c r="BK213" s="268">
        <f t="shared" si="365"/>
        <v>0.86956521739130432</v>
      </c>
      <c r="BL213" s="13">
        <f t="shared" si="366"/>
        <v>4000</v>
      </c>
      <c r="BM213" s="13">
        <f>SUMIFS(SALIDAS_BIT,FECHA_BIT,"&gt;="&amp;BM$2,FECHA_BIT,"&lt;="&amp;BM$3,CLAVE_BIT,$A213)+SUMIFS(SALIDAS_BOV1,FECHA_BOV1,"&gt;="&amp;BM$2,FECHA_BOV1,"&lt;="&amp;BM$3,CLAVE_BOV1,$A213)+SUMIFS(SALIDAS_BOV2,FECHA_BOV2,"&gt;="&amp;BM$2,FECHA_BOV2,"&lt;="&amp;BM$3,CLAVE_BOV2,$A213)+SUMIFS(SALIDAS_BOV3,FECHA_BOV3,"&gt;="&amp;BM$2,FECHA_BOV3,"&lt;="&amp;BM$3,CLAVE_BOV3,$A213)+SUMIFS(SALIDAS_TC,FECHA_TC,"&gt;="&amp;BM$2,FECHA_TC,"&lt;="&amp;BM$3,CLAVE_TC,$A213)+SUMIFS(SALIDAS_COMB,FECHA_COMB,"&gt;="&amp;BM$2,FECHA_COMB,"&lt;="&amp;BM$3,CLAVE_COMB,$A213)+SUMIFS(SALIDAS_DES,FECHA_DESGLOSEN,"&gt;="&amp;BM$2,FECHA_DESGLOSEN,"&lt;="&amp;BM$3,CLAVE_DESGLOSE,$A213)</f>
        <v>1000</v>
      </c>
      <c r="BN213" s="13">
        <f>SUMIFS(SALIDAS_BIT,FECHA_BIT,"&gt;="&amp;BN$2,FECHA_BIT,"&lt;="&amp;BN$3,CLAVE_BIT,$A213)+SUMIFS(SALIDAS_BOV1,FECHA_BOV1,"&gt;="&amp;BN$2,FECHA_BOV1,"&lt;="&amp;BN$3,CLAVE_BOV1,$A213)+SUMIFS(SALIDAS_BOV2,FECHA_BOV2,"&gt;="&amp;BN$2,FECHA_BOV2,"&lt;="&amp;BN$3,CLAVE_BOV2,$A213)+SUMIFS(SALIDAS_BOV3,FECHA_BOV3,"&gt;="&amp;BN$2,FECHA_BOV3,"&lt;="&amp;BN$3,CLAVE_BOV3,$A213)+SUMIFS(SALIDAS_TC,FECHA_TC,"&gt;="&amp;BN$2,FECHA_TC,"&lt;="&amp;BN$3,CLAVE_TC,$A213)+SUMIFS(SALIDAS_COMB,FECHA_COMB,"&gt;="&amp;BN$2,FECHA_COMB,"&lt;="&amp;BN$3,CLAVE_COMB,$A213)+SUMIFS(SALIDAS_DES,FECHA_DESGLOSEN,"&gt;="&amp;BN$2,FECHA_DESGLOSEN,"&lt;="&amp;BN$3,CLAVE_DESGLOSE,$A213)</f>
        <v>1400</v>
      </c>
      <c r="BO213" s="13">
        <f>SUMIFS(SALIDAS_BIT,FECHA_BIT,"&gt;="&amp;BO$2,FECHA_BIT,"&lt;="&amp;BO$3,CLAVE_BIT,$A213)+SUMIFS(SALIDAS_BOV1,FECHA_BOV1,"&gt;="&amp;BO$2,FECHA_BOV1,"&lt;="&amp;BO$3,CLAVE_BOV1,$A213)+SUMIFS(SALIDAS_BOV2,FECHA_BOV2,"&gt;="&amp;BO$2,FECHA_BOV2,"&lt;="&amp;BO$3,CLAVE_BOV2,$A213)+SUMIFS(SALIDAS_BOV3,FECHA_BOV3,"&gt;="&amp;BO$2,FECHA_BOV3,"&lt;="&amp;BO$3,CLAVE_BOV3,$A213)+SUMIFS(SALIDAS_TC,FECHA_TC,"&gt;="&amp;BO$2,FECHA_TC,"&lt;="&amp;BO$3,CLAVE_TC,$A213)+SUMIFS(SALIDAS_COMB,FECHA_COMB,"&gt;="&amp;BO$2,FECHA_COMB,"&lt;="&amp;BO$3,CLAVE_COMB,$A213)+SUMIFS(SALIDAS_DES,FECHA_DESGLOSEN,"&gt;="&amp;BO$2,FECHA_DESGLOSEN,"&lt;="&amp;BO$3,CLAVE_DESGLOSE,$A213)</f>
        <v>1000</v>
      </c>
      <c r="BP213" s="13">
        <f>SUMIFS(SALIDAS_BIT,FECHA_BIT,"&gt;="&amp;BP$2,FECHA_BIT,"&lt;="&amp;BP$3,CLAVE_BIT,$A213)+SUMIFS(SALIDAS_BOV1,FECHA_BOV1,"&gt;="&amp;BP$2,FECHA_BOV1,"&lt;="&amp;BP$3,CLAVE_BOV1,$A213)+SUMIFS(SALIDAS_BOV2,FECHA_BOV2,"&gt;="&amp;BP$2,FECHA_BOV2,"&lt;="&amp;BP$3,CLAVE_BOV2,$A213)+SUMIFS(SALIDAS_BOV3,FECHA_BOV3,"&gt;="&amp;BP$2,FECHA_BOV3,"&lt;="&amp;BP$3,CLAVE_BOV3,$A213)+SUMIFS(SALIDAS_TC,FECHA_TC,"&gt;="&amp;BP$2,FECHA_TC,"&lt;="&amp;BP$3,CLAVE_TC,$A213)+SUMIFS(SALIDAS_COMB,FECHA_COMB,"&gt;="&amp;BP$2,FECHA_COMB,"&lt;="&amp;BP$3,CLAVE_COMB,$A213)+SUMIFS(SALIDAS_DES,FECHA_DESGLOSEN,"&gt;="&amp;BP$2,FECHA_DESGLOSEN,"&lt;="&amp;BP$3,CLAVE_DESGLOSE,$A213)</f>
        <v>1300</v>
      </c>
      <c r="BQ213" s="13">
        <f>SUMIFS(SALIDAS_BIT,FECHA_BIT,"&gt;="&amp;BQ$2,FECHA_BIT,"&lt;="&amp;BQ$3,CLAVE_BIT,$A213)+SUMIFS(SALIDAS_BOV1,FECHA_BOV1,"&gt;="&amp;BQ$2,FECHA_BOV1,"&lt;="&amp;BQ$3,CLAVE_BOV1,$A213)+SUMIFS(SALIDAS_BOV2,FECHA_BOV2,"&gt;="&amp;BQ$2,FECHA_BOV2,"&lt;="&amp;BQ$3,CLAVE_BOV2,$A213)+SUMIFS(SALIDAS_BOV3,FECHA_BOV3,"&gt;="&amp;BQ$2,FECHA_BOV3,"&lt;="&amp;BQ$3,CLAVE_BOV3,$A213)+SUMIFS(SALIDAS_TC,FECHA_TC,"&gt;="&amp;BQ$2,FECHA_TC,"&lt;="&amp;BQ$3,CLAVE_TC,$A213)+SUMIFS(SALIDAS_COMB,FECHA_COMB,"&gt;="&amp;BQ$2,FECHA_COMB,"&lt;="&amp;BQ$3,CLAVE_COMB,$A213)+SUMIFS(SALIDAS_DES,FECHA_DESGLOSEN,"&gt;="&amp;BQ$2,FECHA_DESGLOSEN,"&lt;="&amp;BQ$3,CLAVE_DESGLOSE,$A213)</f>
        <v>1200</v>
      </c>
      <c r="BR213" s="13">
        <f t="shared" si="385"/>
        <v>5900</v>
      </c>
      <c r="BS213" s="68">
        <f t="shared" si="367"/>
        <v>-1900</v>
      </c>
      <c r="BT213" s="268">
        <f t="shared" si="368"/>
        <v>1.4750000000000001</v>
      </c>
      <c r="BU213" s="13">
        <f t="shared" si="369"/>
        <v>0</v>
      </c>
      <c r="BV213" s="13">
        <f t="shared" si="389"/>
        <v>1000</v>
      </c>
      <c r="BW213" s="13">
        <f t="shared" si="389"/>
        <v>1000</v>
      </c>
      <c r="BX213" s="13">
        <f t="shared" si="389"/>
        <v>1000</v>
      </c>
      <c r="BY213" s="13">
        <f t="shared" si="389"/>
        <v>1000</v>
      </c>
      <c r="BZ213" s="13">
        <f t="shared" si="386"/>
        <v>4000</v>
      </c>
      <c r="CA213" s="68">
        <f t="shared" si="370"/>
        <v>-4000</v>
      </c>
      <c r="CB213" s="268">
        <f t="shared" si="371"/>
        <v>0</v>
      </c>
      <c r="CC213" s="13">
        <f t="shared" si="372"/>
        <v>0</v>
      </c>
      <c r="CD213" s="13">
        <f t="shared" si="390"/>
        <v>1200</v>
      </c>
      <c r="CE213" s="13">
        <f t="shared" si="390"/>
        <v>1200</v>
      </c>
      <c r="CF213" s="13">
        <f t="shared" si="390"/>
        <v>0</v>
      </c>
      <c r="CG213" s="13">
        <f t="shared" si="390"/>
        <v>0</v>
      </c>
      <c r="CH213" s="13">
        <f t="shared" si="387"/>
        <v>2400</v>
      </c>
      <c r="CI213" s="68">
        <f t="shared" si="373"/>
        <v>-2400</v>
      </c>
      <c r="CJ213" s="268">
        <f t="shared" si="374"/>
        <v>0</v>
      </c>
      <c r="CK213" s="13">
        <f t="shared" si="375"/>
        <v>0</v>
      </c>
      <c r="CL213" s="13">
        <f t="shared" si="312"/>
        <v>1000</v>
      </c>
      <c r="CM213" s="13">
        <f t="shared" si="312"/>
        <v>1200</v>
      </c>
      <c r="CN213" s="13">
        <f t="shared" si="312"/>
        <v>1400</v>
      </c>
      <c r="CO213" s="13">
        <f t="shared" si="312"/>
        <v>1400</v>
      </c>
      <c r="CP213" s="13">
        <f t="shared" si="312"/>
        <v>0</v>
      </c>
      <c r="CQ213" s="13">
        <f t="shared" si="388"/>
        <v>5000</v>
      </c>
      <c r="CR213" s="68">
        <f t="shared" si="376"/>
        <v>-5000</v>
      </c>
      <c r="CS213" s="268">
        <f t="shared" si="377"/>
        <v>0</v>
      </c>
      <c r="CT213" s="68">
        <f t="shared" si="350"/>
        <v>0</v>
      </c>
      <c r="CU213" s="13">
        <f>SUMIFS(SALIDAS_BIT,FECHA_BIT,"&gt;="&amp;CU$2,FECHA_BIT,"&lt;="&amp;CU$3,CLAVE_BIT,$A213)+SUMIFS(SALIDAS_BOV1,FECHA_BOV1,"&gt;="&amp;CU$2,FECHA_BOV1,"&lt;="&amp;CU$3,CLAVE_BOV1,$A213)+SUMIFS(SALIDAS_BOV2,FECHA_BOV2,"&gt;="&amp;CU$2,FECHA_BOV2,"&lt;="&amp;CU$3,CLAVE_BOV2,$A213)+SUMIFS(SALIDAS_BOV3,FECHA_BOV3,"&gt;="&amp;CU$2,FECHA_BOV3,"&lt;="&amp;CU$3,CLAVE_BOV3,$A213)+SUMIFS(SALIDAS_TC,FECHA_TC,"&gt;="&amp;CU$2,FECHA_TC,"&lt;="&amp;CU$3,CLAVE_TC,$A213)+SUMIFS(SALIDAS_COMB,FECHA_COMB,"&gt;="&amp;CU$2,FECHA_COMB,"&lt;="&amp;CU$3,CLAVE_COMB,$A213)+SUMIFS(SALIDAS_DES,FECHA_DESGLOSEN,"&gt;="&amp;CU$2,FECHA_DESGLOSEN,"&lt;="&amp;CU$3,CLAVE_DESGLOSE,$A213)</f>
        <v>1200</v>
      </c>
      <c r="CV213" s="13">
        <f>SUMIFS(SALIDAS_BIT,FECHA_BIT,"&gt;="&amp;CV$2,FECHA_BIT,"&lt;="&amp;CV$3,CLAVE_BIT,$A213)+SUMIFS(SALIDAS_BOV1,FECHA_BOV1,"&gt;="&amp;CV$2,FECHA_BOV1,"&lt;="&amp;CV$3,CLAVE_BOV1,$A213)+SUMIFS(SALIDAS_BOV2,FECHA_BOV2,"&gt;="&amp;CV$2,FECHA_BOV2,"&lt;="&amp;CV$3,CLAVE_BOV2,$A213)+SUMIFS(SALIDAS_BOV3,FECHA_BOV3,"&gt;="&amp;CV$2,FECHA_BOV3,"&lt;="&amp;CV$3,CLAVE_BOV3,$A213)+SUMIFS(SALIDAS_TC,FECHA_TC,"&gt;="&amp;CV$2,FECHA_TC,"&lt;="&amp;CV$3,CLAVE_TC,$A213)+SUMIFS(SALIDAS_COMB,FECHA_COMB,"&gt;="&amp;CV$2,FECHA_COMB,"&lt;="&amp;CV$3,CLAVE_COMB,$A213)+SUMIFS(SALIDAS_DES,FECHA_DESGLOSEN,"&gt;="&amp;CV$2,FECHA_DESGLOSEN,"&lt;="&amp;CV$3,CLAVE_DESGLOSE,$A213)</f>
        <v>0</v>
      </c>
      <c r="CW213" s="13">
        <f>SUMIFS(SALIDAS_BIT,FECHA_BIT,"&gt;="&amp;CW$2,FECHA_BIT,"&lt;="&amp;CW$3,CLAVE_BIT,$A213)+SUMIFS(SALIDAS_BOV1,FECHA_BOV1,"&gt;="&amp;CW$2,FECHA_BOV1,"&lt;="&amp;CW$3,CLAVE_BOV1,$A213)+SUMIFS(SALIDAS_BOV2,FECHA_BOV2,"&gt;="&amp;CW$2,FECHA_BOV2,"&lt;="&amp;CW$3,CLAVE_BOV2,$A213)+SUMIFS(SALIDAS_BOV3,FECHA_BOV3,"&gt;="&amp;CW$2,FECHA_BOV3,"&lt;="&amp;CW$3,CLAVE_BOV3,$A213)+SUMIFS(SALIDAS_TC,FECHA_TC,"&gt;="&amp;CW$2,FECHA_TC,"&lt;="&amp;CW$3,CLAVE_TC,$A213)+SUMIFS(SALIDAS_COMB,FECHA_COMB,"&gt;="&amp;CW$2,FECHA_COMB,"&lt;="&amp;CW$3,CLAVE_COMB,$A213)+SUMIFS(SALIDAS_DES,FECHA_DESGLOSEN,"&gt;="&amp;CW$2,FECHA_DESGLOSEN,"&lt;="&amp;CW$3,CLAVE_DESGLOSE,$A213)</f>
        <v>0</v>
      </c>
      <c r="CX213" s="13">
        <f>SUMIFS(SALIDAS_BIT,FECHA_BIT,"&gt;="&amp;CX$2,FECHA_BIT,"&lt;="&amp;CX$3,CLAVE_BIT,$A213)+SUMIFS(SALIDAS_BOV1,FECHA_BOV1,"&gt;="&amp;CX$2,FECHA_BOV1,"&lt;="&amp;CX$3,CLAVE_BOV1,$A213)+SUMIFS(SALIDAS_BOV2,FECHA_BOV2,"&gt;="&amp;CX$2,FECHA_BOV2,"&lt;="&amp;CX$3,CLAVE_BOV2,$A213)+SUMIFS(SALIDAS_BOV3,FECHA_BOV3,"&gt;="&amp;CX$2,FECHA_BOV3,"&lt;="&amp;CX$3,CLAVE_BOV3,$A213)+SUMIFS(SALIDAS_TC,FECHA_TC,"&gt;="&amp;CX$2,FECHA_TC,"&lt;="&amp;CX$3,CLAVE_TC,$A213)+SUMIFS(SALIDAS_COMB,FECHA_COMB,"&gt;="&amp;CX$2,FECHA_COMB,"&lt;="&amp;CX$3,CLAVE_COMB,$A213)+SUMIFS(SALIDAS_DES,FECHA_DESGLOSEN,"&gt;="&amp;CX$2,FECHA_DESGLOSEN,"&lt;="&amp;CX$3,CLAVE_DESGLOSE,$A213)</f>
        <v>0</v>
      </c>
      <c r="CY213" s="13">
        <f>SUMIFS(SALIDAS_BIT,FECHA_BIT,"&gt;="&amp;CY$2,FECHA_BIT,"&lt;="&amp;CY$3,CLAVE_BIT,$A213)+SUMIFS(SALIDAS_BOV1,FECHA_BOV1,"&gt;="&amp;CY$2,FECHA_BOV1,"&lt;="&amp;CY$3,CLAVE_BOV1,$A213)+SUMIFS(SALIDAS_BOV2,FECHA_BOV2,"&gt;="&amp;CY$2,FECHA_BOV2,"&lt;="&amp;CY$3,CLAVE_BOV2,$A213)+SUMIFS(SALIDAS_BOV3,FECHA_BOV3,"&gt;="&amp;CY$2,FECHA_BOV3,"&lt;="&amp;CY$3,CLAVE_BOV3,$A213)+SUMIFS(SALIDAS_TC,FECHA_TC,"&gt;="&amp;CY$2,FECHA_TC,"&lt;="&amp;CY$3,CLAVE_TC,$A213)+SUMIFS(SALIDAS_COMB,FECHA_COMB,"&gt;="&amp;CY$2,FECHA_COMB,"&lt;="&amp;CY$3,CLAVE_COMB,$A213)+SUMIFS(SALIDAS_DES,FECHA_DESGLOSEN,"&gt;="&amp;CY$2,FECHA_DESGLOSEN,"&lt;="&amp;CY$3,CLAVE_DESGLOSE,$A213)</f>
        <v>1200</v>
      </c>
      <c r="CZ213" s="68">
        <f t="shared" si="378"/>
        <v>-1200</v>
      </c>
      <c r="DB213" s="17">
        <f>F213+N213+W213+AE213+AM213+AV213+BD213+BL213+BU213+CC213+CK213</f>
        <v>19300</v>
      </c>
      <c r="DC213" s="17">
        <f>K213+T213+AB213+AJ213+AS213+BA213+BI213+BR213+BZ213+CH213+CQ213</f>
        <v>44100</v>
      </c>
    </row>
    <row r="214" spans="1:107" hidden="1">
      <c r="A214" s="12" t="str">
        <f t="shared" si="351"/>
        <v>MMCOMBUSTIBLEMARKET MAX</v>
      </c>
      <c r="B214" s="12">
        <v>216</v>
      </c>
      <c r="C214" t="s">
        <v>45</v>
      </c>
      <c r="D214" s="12" t="s">
        <v>32</v>
      </c>
      <c r="E214" s="12" t="s">
        <v>46</v>
      </c>
      <c r="F214" s="259">
        <f t="shared" si="344"/>
        <v>2800</v>
      </c>
      <c r="G214" s="13">
        <f t="shared" si="380"/>
        <v>700</v>
      </c>
      <c r="H214" s="13">
        <f t="shared" si="380"/>
        <v>0</v>
      </c>
      <c r="I214" s="13">
        <f t="shared" si="380"/>
        <v>1400</v>
      </c>
      <c r="J214" s="13">
        <f t="shared" si="380"/>
        <v>700</v>
      </c>
      <c r="K214" s="13">
        <f t="shared" si="380"/>
        <v>2800</v>
      </c>
      <c r="L214" s="68">
        <f t="shared" si="352"/>
        <v>0</v>
      </c>
      <c r="M214" s="268">
        <f t="shared" si="353"/>
        <v>1</v>
      </c>
      <c r="N214" s="13">
        <f t="shared" si="345"/>
        <v>300</v>
      </c>
      <c r="O214" s="13">
        <f t="shared" si="381"/>
        <v>700</v>
      </c>
      <c r="P214" s="13">
        <f t="shared" si="381"/>
        <v>700</v>
      </c>
      <c r="Q214" s="13">
        <f t="shared" si="381"/>
        <v>700</v>
      </c>
      <c r="R214" s="13">
        <f t="shared" si="381"/>
        <v>700</v>
      </c>
      <c r="S214" s="13">
        <f t="shared" si="381"/>
        <v>0</v>
      </c>
      <c r="T214" s="13">
        <f t="shared" si="381"/>
        <v>2800</v>
      </c>
      <c r="U214" s="68">
        <f t="shared" si="354"/>
        <v>-2500</v>
      </c>
      <c r="V214" s="268">
        <f t="shared" si="355"/>
        <v>9.3333333333333339</v>
      </c>
      <c r="W214" s="13">
        <f t="shared" si="346"/>
        <v>800</v>
      </c>
      <c r="X214" s="13">
        <f t="shared" si="382"/>
        <v>700</v>
      </c>
      <c r="Y214" s="13">
        <f t="shared" si="382"/>
        <v>700</v>
      </c>
      <c r="Z214" s="13">
        <f t="shared" si="382"/>
        <v>700</v>
      </c>
      <c r="AA214" s="13">
        <f t="shared" si="382"/>
        <v>700</v>
      </c>
      <c r="AB214" s="13">
        <f t="shared" si="382"/>
        <v>2800</v>
      </c>
      <c r="AC214" s="68">
        <f t="shared" si="356"/>
        <v>-2000</v>
      </c>
      <c r="AD214" s="268">
        <f t="shared" si="357"/>
        <v>3.5</v>
      </c>
      <c r="AE214" s="13">
        <f t="shared" si="347"/>
        <v>1000</v>
      </c>
      <c r="AF214" s="13">
        <f t="shared" si="383"/>
        <v>700</v>
      </c>
      <c r="AG214" s="13">
        <f t="shared" si="383"/>
        <v>700</v>
      </c>
      <c r="AH214" s="13">
        <f t="shared" si="383"/>
        <v>700</v>
      </c>
      <c r="AI214" s="13">
        <f t="shared" si="383"/>
        <v>700</v>
      </c>
      <c r="AJ214" s="13">
        <f t="shared" si="383"/>
        <v>2800</v>
      </c>
      <c r="AK214" s="68">
        <f t="shared" si="358"/>
        <v>-1800</v>
      </c>
      <c r="AL214" s="268">
        <f t="shared" si="359"/>
        <v>2.8</v>
      </c>
      <c r="AM214" s="13">
        <f t="shared" si="348"/>
        <v>2800</v>
      </c>
      <c r="AN214" s="13">
        <f t="shared" si="384"/>
        <v>700</v>
      </c>
      <c r="AO214" s="13">
        <f t="shared" si="384"/>
        <v>700</v>
      </c>
      <c r="AP214" s="13">
        <f t="shared" si="384"/>
        <v>700</v>
      </c>
      <c r="AQ214" s="13">
        <f t="shared" si="384"/>
        <v>700</v>
      </c>
      <c r="AR214" s="13">
        <f t="shared" si="384"/>
        <v>700</v>
      </c>
      <c r="AS214" s="13">
        <f t="shared" si="384"/>
        <v>3500</v>
      </c>
      <c r="AT214" s="68">
        <f>AM214-AS214</f>
        <v>-700</v>
      </c>
      <c r="AU214" s="268">
        <f t="shared" si="360"/>
        <v>1.25</v>
      </c>
      <c r="AV214" s="13">
        <f t="shared" si="349"/>
        <v>0</v>
      </c>
      <c r="AW214" s="13">
        <f t="shared" si="323"/>
        <v>700</v>
      </c>
      <c r="AX214" s="13">
        <f t="shared" si="323"/>
        <v>700</v>
      </c>
      <c r="AY214" s="13">
        <f t="shared" si="323"/>
        <v>700</v>
      </c>
      <c r="AZ214" s="13">
        <f t="shared" si="323"/>
        <v>700</v>
      </c>
      <c r="BA214" s="13">
        <f t="shared" si="379"/>
        <v>2800</v>
      </c>
      <c r="BB214" s="68">
        <f t="shared" si="361"/>
        <v>-2800</v>
      </c>
      <c r="BC214" s="268">
        <f t="shared" si="362"/>
        <v>0</v>
      </c>
      <c r="BD214" s="13">
        <f t="shared" si="363"/>
        <v>0</v>
      </c>
      <c r="BE214" s="13">
        <f>SUMIFS(SALIDAS_BIT,FECHA_BIT,"&gt;="&amp;BE$2,FECHA_BIT,"&lt;="&amp;BE$3,CLAVE_BIT,$A214)+SUMIFS(SALIDAS_BOV1,FECHA_BOV1,"&gt;="&amp;BE$2,FECHA_BOV1,"&lt;="&amp;BE$3,CLAVE_BOV1,$A214)+SUMIFS(SALIDAS_BOV2,FECHA_BOV2,"&gt;="&amp;BE$2,FECHA_BOV2,"&lt;="&amp;BE$3,CLAVE_BOV2,$A214)+SUMIFS(SALIDAS_BOV3,FECHA_BOV3,"&gt;="&amp;BE$2,FECHA_BOV3,"&lt;="&amp;BE$3,CLAVE_BOV3,$A214)+SUMIFS(SALIDAS_TC,FECHA_TC,"&gt;="&amp;BE$2,FECHA_TC,"&lt;="&amp;BE$3,CLAVE_TC,$A214)+SUMIFS(SALIDAS_COMB,FECHA_COMB,"&gt;="&amp;BE$2,FECHA_COMB,"&lt;="&amp;BE$3,CLAVE_COMB,$A214)+SUMIFS(SALIDAS_DES,FECHA_DESGLOSEN,"&gt;="&amp;BE$2,FECHA_DESGLOSEN,"&lt;="&amp;BE$3,CLAVE_DESGLOSE,$A214)</f>
        <v>700</v>
      </c>
      <c r="BF214" s="13">
        <f>SUMIFS(SALIDAS_BIT,FECHA_BIT,"&gt;="&amp;BF$2,FECHA_BIT,"&lt;="&amp;BF$3,CLAVE_BIT,$A214)+SUMIFS(SALIDAS_BOV1,FECHA_BOV1,"&gt;="&amp;BF$2,FECHA_BOV1,"&lt;="&amp;BF$3,CLAVE_BOV1,$A214)+SUMIFS(SALIDAS_BOV2,FECHA_BOV2,"&gt;="&amp;BF$2,FECHA_BOV2,"&lt;="&amp;BF$3,CLAVE_BOV2,$A214)+SUMIFS(SALIDAS_BOV3,FECHA_BOV3,"&gt;="&amp;BF$2,FECHA_BOV3,"&lt;="&amp;BF$3,CLAVE_BOV3,$A214)+SUMIFS(SALIDAS_TC,FECHA_TC,"&gt;="&amp;BF$2,FECHA_TC,"&lt;="&amp;BF$3,CLAVE_TC,$A214)+SUMIFS(SALIDAS_COMB,FECHA_COMB,"&gt;="&amp;BF$2,FECHA_COMB,"&lt;="&amp;BF$3,CLAVE_COMB,$A214)+SUMIFS(SALIDAS_DES,FECHA_DESGLOSEN,"&gt;="&amp;BF$2,FECHA_DESGLOSEN,"&lt;="&amp;BF$3,CLAVE_DESGLOSE,$A214)</f>
        <v>700</v>
      </c>
      <c r="BG214" s="13">
        <f>SUMIFS(SALIDAS_BIT,FECHA_BIT,"&gt;="&amp;BG$2,FECHA_BIT,"&lt;="&amp;BG$3,CLAVE_BIT,$A214)+SUMIFS(SALIDAS_BOV1,FECHA_BOV1,"&gt;="&amp;BG$2,FECHA_BOV1,"&lt;="&amp;BG$3,CLAVE_BOV1,$A214)+SUMIFS(SALIDAS_BOV2,FECHA_BOV2,"&gt;="&amp;BG$2,FECHA_BOV2,"&lt;="&amp;BG$3,CLAVE_BOV2,$A214)+SUMIFS(SALIDAS_BOV3,FECHA_BOV3,"&gt;="&amp;BG$2,FECHA_BOV3,"&lt;="&amp;BG$3,CLAVE_BOV3,$A214)+SUMIFS(SALIDAS_TC,FECHA_TC,"&gt;="&amp;BG$2,FECHA_TC,"&lt;="&amp;BG$3,CLAVE_TC,$A214)+SUMIFS(SALIDAS_COMB,FECHA_COMB,"&gt;="&amp;BG$2,FECHA_COMB,"&lt;="&amp;BG$3,CLAVE_COMB,$A214)+SUMIFS(SALIDAS_DES,FECHA_DESGLOSEN,"&gt;="&amp;BG$2,FECHA_DESGLOSEN,"&lt;="&amp;BG$3,CLAVE_DESGLOSE,$A214)</f>
        <v>700</v>
      </c>
      <c r="BH214" s="13">
        <f>SUMIFS(SALIDAS_BIT,FECHA_BIT,"&gt;="&amp;BH$2,FECHA_BIT,"&lt;="&amp;BH$3,CLAVE_BIT,$A214)+SUMIFS(SALIDAS_BOV1,FECHA_BOV1,"&gt;="&amp;BH$2,FECHA_BOV1,"&lt;="&amp;BH$3,CLAVE_BOV1,$A214)+SUMIFS(SALIDAS_BOV2,FECHA_BOV2,"&gt;="&amp;BH$2,FECHA_BOV2,"&lt;="&amp;BH$3,CLAVE_BOV2,$A214)+SUMIFS(SALIDAS_BOV3,FECHA_BOV3,"&gt;="&amp;BH$2,FECHA_BOV3,"&lt;="&amp;BH$3,CLAVE_BOV3,$A214)+SUMIFS(SALIDAS_TC,FECHA_TC,"&gt;="&amp;BH$2,FECHA_TC,"&lt;="&amp;BH$3,CLAVE_TC,$A214)+SUMIFS(SALIDAS_COMB,FECHA_COMB,"&gt;="&amp;BH$2,FECHA_COMB,"&lt;="&amp;BH$3,CLAVE_COMB,$A214)+SUMIFS(SALIDAS_DES,FECHA_DESGLOSEN,"&gt;="&amp;BH$2,FECHA_DESGLOSEN,"&lt;="&amp;BH$3,CLAVE_DESGLOSE,$A214)</f>
        <v>0</v>
      </c>
      <c r="BI214" s="13">
        <f t="shared" si="311"/>
        <v>2100</v>
      </c>
      <c r="BJ214" s="68">
        <f t="shared" si="364"/>
        <v>-2100</v>
      </c>
      <c r="BK214" s="268">
        <f t="shared" si="365"/>
        <v>0</v>
      </c>
      <c r="BL214" s="13">
        <f t="shared" si="366"/>
        <v>3500</v>
      </c>
      <c r="BM214" s="13">
        <f>SUMIFS(SALIDAS_BIT,FECHA_BIT,"&gt;="&amp;BM$2,FECHA_BIT,"&lt;="&amp;BM$3,CLAVE_BIT,$A214)+SUMIFS(SALIDAS_BOV1,FECHA_BOV1,"&gt;="&amp;BM$2,FECHA_BOV1,"&lt;="&amp;BM$3,CLAVE_BOV1,$A214)+SUMIFS(SALIDAS_BOV2,FECHA_BOV2,"&gt;="&amp;BM$2,FECHA_BOV2,"&lt;="&amp;BM$3,CLAVE_BOV2,$A214)+SUMIFS(SALIDAS_BOV3,FECHA_BOV3,"&gt;="&amp;BM$2,FECHA_BOV3,"&lt;="&amp;BM$3,CLAVE_BOV3,$A214)+SUMIFS(SALIDAS_TC,FECHA_TC,"&gt;="&amp;BM$2,FECHA_TC,"&lt;="&amp;BM$3,CLAVE_TC,$A214)+SUMIFS(SALIDAS_COMB,FECHA_COMB,"&gt;="&amp;BM$2,FECHA_COMB,"&lt;="&amp;BM$3,CLAVE_COMB,$A214)+SUMIFS(SALIDAS_DES,FECHA_DESGLOSEN,"&gt;="&amp;BM$2,FECHA_DESGLOSEN,"&lt;="&amp;BM$3,CLAVE_DESGLOSE,$A214)</f>
        <v>700</v>
      </c>
      <c r="BN214" s="13">
        <f>SUMIFS(SALIDAS_BIT,FECHA_BIT,"&gt;="&amp;BN$2,FECHA_BIT,"&lt;="&amp;BN$3,CLAVE_BIT,$A214)+SUMIFS(SALIDAS_BOV1,FECHA_BOV1,"&gt;="&amp;BN$2,FECHA_BOV1,"&lt;="&amp;BN$3,CLAVE_BOV1,$A214)+SUMIFS(SALIDAS_BOV2,FECHA_BOV2,"&gt;="&amp;BN$2,FECHA_BOV2,"&lt;="&amp;BN$3,CLAVE_BOV2,$A214)+SUMIFS(SALIDAS_BOV3,FECHA_BOV3,"&gt;="&amp;BN$2,FECHA_BOV3,"&lt;="&amp;BN$3,CLAVE_BOV3,$A214)+SUMIFS(SALIDAS_TC,FECHA_TC,"&gt;="&amp;BN$2,FECHA_TC,"&lt;="&amp;BN$3,CLAVE_TC,$A214)+SUMIFS(SALIDAS_COMB,FECHA_COMB,"&gt;="&amp;BN$2,FECHA_COMB,"&lt;="&amp;BN$3,CLAVE_COMB,$A214)+SUMIFS(SALIDAS_DES,FECHA_DESGLOSEN,"&gt;="&amp;BN$2,FECHA_DESGLOSEN,"&lt;="&amp;BN$3,CLAVE_DESGLOSE,$A214)</f>
        <v>750</v>
      </c>
      <c r="BO214" s="13">
        <f>SUMIFS(SALIDAS_BIT,FECHA_BIT,"&gt;="&amp;BO$2,FECHA_BIT,"&lt;="&amp;BO$3,CLAVE_BIT,$A214)+SUMIFS(SALIDAS_BOV1,FECHA_BOV1,"&gt;="&amp;BO$2,FECHA_BOV1,"&lt;="&amp;BO$3,CLAVE_BOV1,$A214)+SUMIFS(SALIDAS_BOV2,FECHA_BOV2,"&gt;="&amp;BO$2,FECHA_BOV2,"&lt;="&amp;BO$3,CLAVE_BOV2,$A214)+SUMIFS(SALIDAS_BOV3,FECHA_BOV3,"&gt;="&amp;BO$2,FECHA_BOV3,"&lt;="&amp;BO$3,CLAVE_BOV3,$A214)+SUMIFS(SALIDAS_TC,FECHA_TC,"&gt;="&amp;BO$2,FECHA_TC,"&lt;="&amp;BO$3,CLAVE_TC,$A214)+SUMIFS(SALIDAS_COMB,FECHA_COMB,"&gt;="&amp;BO$2,FECHA_COMB,"&lt;="&amp;BO$3,CLAVE_COMB,$A214)+SUMIFS(SALIDAS_DES,FECHA_DESGLOSEN,"&gt;="&amp;BO$2,FECHA_DESGLOSEN,"&lt;="&amp;BO$3,CLAVE_DESGLOSE,$A214)</f>
        <v>700</v>
      </c>
      <c r="BP214" s="13">
        <f>SUMIFS(SALIDAS_BIT,FECHA_BIT,"&gt;="&amp;BP$2,FECHA_BIT,"&lt;="&amp;BP$3,CLAVE_BIT,$A214)+SUMIFS(SALIDAS_BOV1,FECHA_BOV1,"&gt;="&amp;BP$2,FECHA_BOV1,"&lt;="&amp;BP$3,CLAVE_BOV1,$A214)+SUMIFS(SALIDAS_BOV2,FECHA_BOV2,"&gt;="&amp;BP$2,FECHA_BOV2,"&lt;="&amp;BP$3,CLAVE_BOV2,$A214)+SUMIFS(SALIDAS_BOV3,FECHA_BOV3,"&gt;="&amp;BP$2,FECHA_BOV3,"&lt;="&amp;BP$3,CLAVE_BOV3,$A214)+SUMIFS(SALIDAS_TC,FECHA_TC,"&gt;="&amp;BP$2,FECHA_TC,"&lt;="&amp;BP$3,CLAVE_TC,$A214)+SUMIFS(SALIDAS_COMB,FECHA_COMB,"&gt;="&amp;BP$2,FECHA_COMB,"&lt;="&amp;BP$3,CLAVE_COMB,$A214)+SUMIFS(SALIDAS_DES,FECHA_DESGLOSEN,"&gt;="&amp;BP$2,FECHA_DESGLOSEN,"&lt;="&amp;BP$3,CLAVE_DESGLOSE,$A214)</f>
        <v>700</v>
      </c>
      <c r="BQ214" s="13">
        <f>SUMIFS(SALIDAS_BIT,FECHA_BIT,"&gt;="&amp;BQ$2,FECHA_BIT,"&lt;="&amp;BQ$3,CLAVE_BIT,$A214)+SUMIFS(SALIDAS_BOV1,FECHA_BOV1,"&gt;="&amp;BQ$2,FECHA_BOV1,"&lt;="&amp;BQ$3,CLAVE_BOV1,$A214)+SUMIFS(SALIDAS_BOV2,FECHA_BOV2,"&gt;="&amp;BQ$2,FECHA_BOV2,"&lt;="&amp;BQ$3,CLAVE_BOV2,$A214)+SUMIFS(SALIDAS_BOV3,FECHA_BOV3,"&gt;="&amp;BQ$2,FECHA_BOV3,"&lt;="&amp;BQ$3,CLAVE_BOV3,$A214)+SUMIFS(SALIDAS_TC,FECHA_TC,"&gt;="&amp;BQ$2,FECHA_TC,"&lt;="&amp;BQ$3,CLAVE_TC,$A214)+SUMIFS(SALIDAS_COMB,FECHA_COMB,"&gt;="&amp;BQ$2,FECHA_COMB,"&lt;="&amp;BQ$3,CLAVE_COMB,$A214)+SUMIFS(SALIDAS_DES,FECHA_DESGLOSEN,"&gt;="&amp;BQ$2,FECHA_DESGLOSEN,"&lt;="&amp;BQ$3,CLAVE_DESGLOSE,$A214)</f>
        <v>700</v>
      </c>
      <c r="BR214" s="13">
        <f t="shared" si="385"/>
        <v>3550</v>
      </c>
      <c r="BS214" s="68">
        <f t="shared" si="367"/>
        <v>-50</v>
      </c>
      <c r="BT214" s="268">
        <f t="shared" si="368"/>
        <v>1.0142857142857142</v>
      </c>
      <c r="BU214" s="13">
        <f t="shared" si="369"/>
        <v>0</v>
      </c>
      <c r="BV214" s="13">
        <f t="shared" si="389"/>
        <v>700</v>
      </c>
      <c r="BW214" s="13">
        <f t="shared" si="389"/>
        <v>700</v>
      </c>
      <c r="BX214" s="13">
        <f t="shared" si="389"/>
        <v>700</v>
      </c>
      <c r="BY214" s="13">
        <f t="shared" si="389"/>
        <v>700</v>
      </c>
      <c r="BZ214" s="13">
        <f t="shared" si="386"/>
        <v>2800</v>
      </c>
      <c r="CA214" s="68">
        <f t="shared" si="370"/>
        <v>-2800</v>
      </c>
      <c r="CB214" s="268">
        <f t="shared" si="371"/>
        <v>0</v>
      </c>
      <c r="CC214" s="13">
        <f t="shared" si="372"/>
        <v>0</v>
      </c>
      <c r="CD214" s="13">
        <f t="shared" si="390"/>
        <v>700</v>
      </c>
      <c r="CE214" s="13">
        <f t="shared" si="390"/>
        <v>700</v>
      </c>
      <c r="CF214" s="13">
        <f t="shared" si="390"/>
        <v>700</v>
      </c>
      <c r="CG214" s="13">
        <f t="shared" si="390"/>
        <v>0</v>
      </c>
      <c r="CH214" s="13">
        <f t="shared" si="387"/>
        <v>2100</v>
      </c>
      <c r="CI214" s="68">
        <f t="shared" si="373"/>
        <v>-2100</v>
      </c>
      <c r="CJ214" s="268">
        <f t="shared" si="374"/>
        <v>0</v>
      </c>
      <c r="CK214" s="13">
        <f t="shared" si="375"/>
        <v>0</v>
      </c>
      <c r="CL214" s="13">
        <f t="shared" si="312"/>
        <v>700</v>
      </c>
      <c r="CM214" s="13">
        <f t="shared" si="312"/>
        <v>700</v>
      </c>
      <c r="CN214" s="13">
        <f t="shared" si="312"/>
        <v>700</v>
      </c>
      <c r="CO214" s="13">
        <f t="shared" si="312"/>
        <v>700</v>
      </c>
      <c r="CP214" s="13">
        <f t="shared" si="312"/>
        <v>700</v>
      </c>
      <c r="CQ214" s="13">
        <f t="shared" si="388"/>
        <v>3500</v>
      </c>
      <c r="CR214" s="68">
        <f t="shared" si="376"/>
        <v>-3500</v>
      </c>
      <c r="CS214" s="268">
        <f t="shared" si="377"/>
        <v>0</v>
      </c>
      <c r="CT214" s="68">
        <f t="shared" si="350"/>
        <v>40000</v>
      </c>
      <c r="CU214" s="13">
        <f>SUMIFS(SALIDAS_BIT,FECHA_BIT,"&gt;="&amp;CU$2,FECHA_BIT,"&lt;="&amp;CU$3,CLAVE_BIT,$A214)+SUMIFS(SALIDAS_BOV1,FECHA_BOV1,"&gt;="&amp;CU$2,FECHA_BOV1,"&lt;="&amp;CU$3,CLAVE_BOV1,$A214)+SUMIFS(SALIDAS_BOV2,FECHA_BOV2,"&gt;="&amp;CU$2,FECHA_BOV2,"&lt;="&amp;CU$3,CLAVE_BOV2,$A214)+SUMIFS(SALIDAS_BOV3,FECHA_BOV3,"&gt;="&amp;CU$2,FECHA_BOV3,"&lt;="&amp;CU$3,CLAVE_BOV3,$A214)+SUMIFS(SALIDAS_TC,FECHA_TC,"&gt;="&amp;CU$2,FECHA_TC,"&lt;="&amp;CU$3,CLAVE_TC,$A214)+SUMIFS(SALIDAS_COMB,FECHA_COMB,"&gt;="&amp;CU$2,FECHA_COMB,"&lt;="&amp;CU$3,CLAVE_COMB,$A214)+SUMIFS(SALIDAS_DES,FECHA_DESGLOSEN,"&gt;="&amp;CU$2,FECHA_DESGLOSEN,"&lt;="&amp;CU$3,CLAVE_DESGLOSE,$A214)</f>
        <v>700</v>
      </c>
      <c r="CV214" s="13">
        <f>SUMIFS(SALIDAS_BIT,FECHA_BIT,"&gt;="&amp;CV$2,FECHA_BIT,"&lt;="&amp;CV$3,CLAVE_BIT,$A214)+SUMIFS(SALIDAS_BOV1,FECHA_BOV1,"&gt;="&amp;CV$2,FECHA_BOV1,"&lt;="&amp;CV$3,CLAVE_BOV1,$A214)+SUMIFS(SALIDAS_BOV2,FECHA_BOV2,"&gt;="&amp;CV$2,FECHA_BOV2,"&lt;="&amp;CV$3,CLAVE_BOV2,$A214)+SUMIFS(SALIDAS_BOV3,FECHA_BOV3,"&gt;="&amp;CV$2,FECHA_BOV3,"&lt;="&amp;CV$3,CLAVE_BOV3,$A214)+SUMIFS(SALIDAS_TC,FECHA_TC,"&gt;="&amp;CV$2,FECHA_TC,"&lt;="&amp;CV$3,CLAVE_TC,$A214)+SUMIFS(SALIDAS_COMB,FECHA_COMB,"&gt;="&amp;CV$2,FECHA_COMB,"&lt;="&amp;CV$3,CLAVE_COMB,$A214)+SUMIFS(SALIDAS_DES,FECHA_DESGLOSEN,"&gt;="&amp;CV$2,FECHA_DESGLOSEN,"&lt;="&amp;CV$3,CLAVE_DESGLOSE,$A214)</f>
        <v>1200</v>
      </c>
      <c r="CW214" s="13">
        <f>SUMIFS(SALIDAS_BIT,FECHA_BIT,"&gt;="&amp;CW$2,FECHA_BIT,"&lt;="&amp;CW$3,CLAVE_BIT,$A214)+SUMIFS(SALIDAS_BOV1,FECHA_BOV1,"&gt;="&amp;CW$2,FECHA_BOV1,"&lt;="&amp;CW$3,CLAVE_BOV1,$A214)+SUMIFS(SALIDAS_BOV2,FECHA_BOV2,"&gt;="&amp;CW$2,FECHA_BOV2,"&lt;="&amp;CW$3,CLAVE_BOV2,$A214)+SUMIFS(SALIDAS_BOV3,FECHA_BOV3,"&gt;="&amp;CW$2,FECHA_BOV3,"&lt;="&amp;CW$3,CLAVE_BOV3,$A214)+SUMIFS(SALIDAS_TC,FECHA_TC,"&gt;="&amp;CW$2,FECHA_TC,"&lt;="&amp;CW$3,CLAVE_TC,$A214)+SUMIFS(SALIDAS_COMB,FECHA_COMB,"&gt;="&amp;CW$2,FECHA_COMB,"&lt;="&amp;CW$3,CLAVE_COMB,$A214)+SUMIFS(SALIDAS_DES,FECHA_DESGLOSEN,"&gt;="&amp;CW$2,FECHA_DESGLOSEN,"&lt;="&amp;CW$3,CLAVE_DESGLOSE,$A214)</f>
        <v>0</v>
      </c>
      <c r="CX214" s="13">
        <f>SUMIFS(SALIDAS_BIT,FECHA_BIT,"&gt;="&amp;CX$2,FECHA_BIT,"&lt;="&amp;CX$3,CLAVE_BIT,$A214)+SUMIFS(SALIDAS_BOV1,FECHA_BOV1,"&gt;="&amp;CX$2,FECHA_BOV1,"&lt;="&amp;CX$3,CLAVE_BOV1,$A214)+SUMIFS(SALIDAS_BOV2,FECHA_BOV2,"&gt;="&amp;CX$2,FECHA_BOV2,"&lt;="&amp;CX$3,CLAVE_BOV2,$A214)+SUMIFS(SALIDAS_BOV3,FECHA_BOV3,"&gt;="&amp;CX$2,FECHA_BOV3,"&lt;="&amp;CX$3,CLAVE_BOV3,$A214)+SUMIFS(SALIDAS_TC,FECHA_TC,"&gt;="&amp;CX$2,FECHA_TC,"&lt;="&amp;CX$3,CLAVE_TC,$A214)+SUMIFS(SALIDAS_COMB,FECHA_COMB,"&gt;="&amp;CX$2,FECHA_COMB,"&lt;="&amp;CX$3,CLAVE_COMB,$A214)+SUMIFS(SALIDAS_DES,FECHA_DESGLOSEN,"&gt;="&amp;CX$2,FECHA_DESGLOSEN,"&lt;="&amp;CX$3,CLAVE_DESGLOSE,$A214)</f>
        <v>0</v>
      </c>
      <c r="CY214" s="13">
        <f>SUMIFS(SALIDAS_BIT,FECHA_BIT,"&gt;="&amp;CY$2,FECHA_BIT,"&lt;="&amp;CY$3,CLAVE_BIT,$A214)+SUMIFS(SALIDAS_BOV1,FECHA_BOV1,"&gt;="&amp;CY$2,FECHA_BOV1,"&lt;="&amp;CY$3,CLAVE_BOV1,$A214)+SUMIFS(SALIDAS_BOV2,FECHA_BOV2,"&gt;="&amp;CY$2,FECHA_BOV2,"&lt;="&amp;CY$3,CLAVE_BOV2,$A214)+SUMIFS(SALIDAS_BOV3,FECHA_BOV3,"&gt;="&amp;CY$2,FECHA_BOV3,"&lt;="&amp;CY$3,CLAVE_BOV3,$A214)+SUMIFS(SALIDAS_TC,FECHA_TC,"&gt;="&amp;CY$2,FECHA_TC,"&lt;="&amp;CY$3,CLAVE_TC,$A214)+SUMIFS(SALIDAS_COMB,FECHA_COMB,"&gt;="&amp;CY$2,FECHA_COMB,"&lt;="&amp;CY$3,CLAVE_COMB,$A214)+SUMIFS(SALIDAS_DES,FECHA_DESGLOSEN,"&gt;="&amp;CY$2,FECHA_DESGLOSEN,"&lt;="&amp;CY$3,CLAVE_DESGLOSE,$A214)</f>
        <v>1900</v>
      </c>
      <c r="CZ214" s="68">
        <f t="shared" si="378"/>
        <v>38100</v>
      </c>
      <c r="DB214" s="17">
        <f>F214+N214+W214+AE214+AM214+AV214+BD214+BL214+BU214+CC214+CK214</f>
        <v>11200</v>
      </c>
      <c r="DC214" s="17">
        <f>K214+T214+AB214+AJ214+AS214+BA214+BI214+BR214+BZ214+CH214+CQ214</f>
        <v>31550</v>
      </c>
    </row>
    <row r="215" spans="1:107" hidden="1">
      <c r="A215" s="12" t="str">
        <f t="shared" si="351"/>
        <v>FINANZASCOMBUSTIBLECOMISION SI VALE</v>
      </c>
      <c r="B215" s="482">
        <v>217</v>
      </c>
      <c r="C215" t="s">
        <v>23</v>
      </c>
      <c r="D215" s="12" t="s">
        <v>32</v>
      </c>
      <c r="E215" s="12" t="s">
        <v>47</v>
      </c>
      <c r="F215" s="259">
        <f t="shared" si="344"/>
        <v>6264</v>
      </c>
      <c r="G215" s="13">
        <f t="shared" si="380"/>
        <v>0</v>
      </c>
      <c r="H215" s="13">
        <f t="shared" si="380"/>
        <v>1566</v>
      </c>
      <c r="I215" s="13">
        <f t="shared" si="380"/>
        <v>2766.2</v>
      </c>
      <c r="J215" s="13">
        <f t="shared" si="380"/>
        <v>1670.4</v>
      </c>
      <c r="K215" s="13">
        <f t="shared" si="380"/>
        <v>6002.6</v>
      </c>
      <c r="L215" s="68">
        <f t="shared" si="352"/>
        <v>261.39999999999964</v>
      </c>
      <c r="M215" s="268">
        <f t="shared" si="353"/>
        <v>0.9582694763729247</v>
      </c>
      <c r="N215" s="13">
        <f t="shared" si="345"/>
        <v>0</v>
      </c>
      <c r="O215" s="13">
        <f t="shared" si="381"/>
        <v>1618.2</v>
      </c>
      <c r="P215" s="13">
        <f t="shared" si="381"/>
        <v>1566</v>
      </c>
      <c r="Q215" s="13">
        <f t="shared" si="381"/>
        <v>1044</v>
      </c>
      <c r="R215" s="13">
        <f t="shared" si="381"/>
        <v>2281.5</v>
      </c>
      <c r="S215" s="13">
        <f t="shared" si="381"/>
        <v>1566</v>
      </c>
      <c r="T215" s="13">
        <f t="shared" si="381"/>
        <v>8075.7</v>
      </c>
      <c r="U215" s="68">
        <f t="shared" si="354"/>
        <v>-8075.7</v>
      </c>
      <c r="V215" s="268">
        <f t="shared" si="355"/>
        <v>0</v>
      </c>
      <c r="W215" s="13">
        <f t="shared" si="346"/>
        <v>4803</v>
      </c>
      <c r="X215" s="13">
        <f t="shared" si="382"/>
        <v>1566</v>
      </c>
      <c r="Y215" s="13">
        <f t="shared" si="382"/>
        <v>1566</v>
      </c>
      <c r="Z215" s="13">
        <f t="shared" si="382"/>
        <v>1566</v>
      </c>
      <c r="AA215" s="13">
        <f t="shared" si="382"/>
        <v>0</v>
      </c>
      <c r="AB215" s="13">
        <f t="shared" si="382"/>
        <v>4698</v>
      </c>
      <c r="AC215" s="68">
        <f t="shared" si="356"/>
        <v>105</v>
      </c>
      <c r="AD215" s="268">
        <f t="shared" si="357"/>
        <v>0.97813866333541533</v>
      </c>
      <c r="AE215" s="13">
        <f t="shared" si="347"/>
        <v>4384</v>
      </c>
      <c r="AF215" s="13">
        <f t="shared" si="383"/>
        <v>4854.6000000000004</v>
      </c>
      <c r="AG215" s="13">
        <f t="shared" si="383"/>
        <v>0</v>
      </c>
      <c r="AH215" s="13">
        <f t="shared" si="383"/>
        <v>0</v>
      </c>
      <c r="AI215" s="13">
        <f t="shared" si="383"/>
        <v>0</v>
      </c>
      <c r="AJ215" s="13">
        <f t="shared" si="383"/>
        <v>4854.6000000000004</v>
      </c>
      <c r="AK215" s="68">
        <f t="shared" si="358"/>
        <v>-470.60000000000036</v>
      </c>
      <c r="AL215" s="268">
        <f t="shared" si="359"/>
        <v>1.1073448905109491</v>
      </c>
      <c r="AM215" s="13">
        <f t="shared" si="348"/>
        <v>6531</v>
      </c>
      <c r="AN215" s="13">
        <f t="shared" si="384"/>
        <v>0</v>
      </c>
      <c r="AO215" s="13">
        <f t="shared" si="384"/>
        <v>0</v>
      </c>
      <c r="AP215" s="13">
        <f t="shared" si="384"/>
        <v>0</v>
      </c>
      <c r="AQ215" s="13">
        <f t="shared" si="384"/>
        <v>0</v>
      </c>
      <c r="AR215" s="13">
        <f t="shared" si="384"/>
        <v>0</v>
      </c>
      <c r="AS215" s="13">
        <f t="shared" si="384"/>
        <v>0</v>
      </c>
      <c r="AT215" s="68">
        <f>AM215-AS215</f>
        <v>6531</v>
      </c>
      <c r="AU215" s="268">
        <f t="shared" si="360"/>
        <v>0</v>
      </c>
      <c r="AV215" s="13">
        <f t="shared" si="349"/>
        <v>4855</v>
      </c>
      <c r="AW215" s="13">
        <f t="shared" si="323"/>
        <v>0</v>
      </c>
      <c r="AX215" s="13">
        <f t="shared" si="323"/>
        <v>0</v>
      </c>
      <c r="AY215" s="13">
        <f t="shared" si="323"/>
        <v>0</v>
      </c>
      <c r="AZ215" s="13">
        <f t="shared" si="323"/>
        <v>0</v>
      </c>
      <c r="BA215" s="13">
        <f t="shared" si="379"/>
        <v>0</v>
      </c>
      <c r="BB215" s="68">
        <f t="shared" si="361"/>
        <v>4855</v>
      </c>
      <c r="BC215" s="268">
        <f t="shared" si="362"/>
        <v>0</v>
      </c>
      <c r="BD215" s="13">
        <f t="shared" si="363"/>
        <v>5046</v>
      </c>
      <c r="BE215" s="13">
        <f>SUMIFS(SALIDAS_BIT,FECHA_BIT,"&gt;="&amp;BE$2,FECHA_BIT,"&lt;="&amp;BE$3,CLAVE_BIT,$A215)+SUMIFS(SALIDAS_BOV1,FECHA_BOV1,"&gt;="&amp;BE$2,FECHA_BOV1,"&lt;="&amp;BE$3,CLAVE_BOV1,$A215)+SUMIFS(SALIDAS_BOV2,FECHA_BOV2,"&gt;="&amp;BE$2,FECHA_BOV2,"&lt;="&amp;BE$3,CLAVE_BOV2,$A215)+SUMIFS(SALIDAS_BOV3,FECHA_BOV3,"&gt;="&amp;BE$2,FECHA_BOV3,"&lt;="&amp;BE$3,CLAVE_BOV3,$A215)+SUMIFS(SALIDAS_TC,FECHA_TC,"&gt;="&amp;BE$2,FECHA_TC,"&lt;="&amp;BE$3,CLAVE_TC,$A215)+SUMIFS(SALIDAS_COMB,FECHA_COMB,"&gt;="&amp;BE$2,FECHA_COMB,"&lt;="&amp;BE$3,CLAVE_COMB,$A215)+SUMIFS(SALIDAS_DES,FECHA_DESGLOSEN,"&gt;="&amp;BE$2,FECHA_DESGLOSEN,"&lt;="&amp;BE$3,CLAVE_DESGLOSE,$A215)</f>
        <v>0</v>
      </c>
      <c r="BF215" s="13">
        <f>SUMIFS(SALIDAS_BIT,FECHA_BIT,"&gt;="&amp;BF$2,FECHA_BIT,"&lt;="&amp;BF$3,CLAVE_BIT,$A215)+SUMIFS(SALIDAS_BOV1,FECHA_BOV1,"&gt;="&amp;BF$2,FECHA_BOV1,"&lt;="&amp;BF$3,CLAVE_BOV1,$A215)+SUMIFS(SALIDAS_BOV2,FECHA_BOV2,"&gt;="&amp;BF$2,FECHA_BOV2,"&lt;="&amp;BF$3,CLAVE_BOV2,$A215)+SUMIFS(SALIDAS_BOV3,FECHA_BOV3,"&gt;="&amp;BF$2,FECHA_BOV3,"&lt;="&amp;BF$3,CLAVE_BOV3,$A215)+SUMIFS(SALIDAS_TC,FECHA_TC,"&gt;="&amp;BF$2,FECHA_TC,"&lt;="&amp;BF$3,CLAVE_TC,$A215)+SUMIFS(SALIDAS_COMB,FECHA_COMB,"&gt;="&amp;BF$2,FECHA_COMB,"&lt;="&amp;BF$3,CLAVE_COMB,$A215)+SUMIFS(SALIDAS_DES,FECHA_DESGLOSEN,"&gt;="&amp;BF$2,FECHA_DESGLOSEN,"&lt;="&amp;BF$3,CLAVE_DESGLOSE,$A215)</f>
        <v>0</v>
      </c>
      <c r="BG215" s="13">
        <f>SUMIFS(SALIDAS_BIT,FECHA_BIT,"&gt;="&amp;BG$2,FECHA_BIT,"&lt;="&amp;BG$3,CLAVE_BIT,$A215)+SUMIFS(SALIDAS_BOV1,FECHA_BOV1,"&gt;="&amp;BG$2,FECHA_BOV1,"&lt;="&amp;BG$3,CLAVE_BOV1,$A215)+SUMIFS(SALIDAS_BOV2,FECHA_BOV2,"&gt;="&amp;BG$2,FECHA_BOV2,"&lt;="&amp;BG$3,CLAVE_BOV2,$A215)+SUMIFS(SALIDAS_BOV3,FECHA_BOV3,"&gt;="&amp;BG$2,FECHA_BOV3,"&lt;="&amp;BG$3,CLAVE_BOV3,$A215)+SUMIFS(SALIDAS_TC,FECHA_TC,"&gt;="&amp;BG$2,FECHA_TC,"&lt;="&amp;BG$3,CLAVE_TC,$A215)+SUMIFS(SALIDAS_COMB,FECHA_COMB,"&gt;="&amp;BG$2,FECHA_COMB,"&lt;="&amp;BG$3,CLAVE_COMB,$A215)+SUMIFS(SALIDAS_DES,FECHA_DESGLOSEN,"&gt;="&amp;BG$2,FECHA_DESGLOSEN,"&lt;="&amp;BG$3,CLAVE_DESGLOSE,$A215)</f>
        <v>0</v>
      </c>
      <c r="BH215" s="13">
        <f>SUMIFS(SALIDAS_BIT,FECHA_BIT,"&gt;="&amp;BH$2,FECHA_BIT,"&lt;="&amp;BH$3,CLAVE_BIT,$A215)+SUMIFS(SALIDAS_BOV1,FECHA_BOV1,"&gt;="&amp;BH$2,FECHA_BOV1,"&lt;="&amp;BH$3,CLAVE_BOV1,$A215)+SUMIFS(SALIDAS_BOV2,FECHA_BOV2,"&gt;="&amp;BH$2,FECHA_BOV2,"&lt;="&amp;BH$3,CLAVE_BOV2,$A215)+SUMIFS(SALIDAS_BOV3,FECHA_BOV3,"&gt;="&amp;BH$2,FECHA_BOV3,"&lt;="&amp;BH$3,CLAVE_BOV3,$A215)+SUMIFS(SALIDAS_TC,FECHA_TC,"&gt;="&amp;BH$2,FECHA_TC,"&lt;="&amp;BH$3,CLAVE_TC,$A215)+SUMIFS(SALIDAS_COMB,FECHA_COMB,"&gt;="&amp;BH$2,FECHA_COMB,"&lt;="&amp;BH$3,CLAVE_COMB,$A215)+SUMIFS(SALIDAS_DES,FECHA_DESGLOSEN,"&gt;="&amp;BH$2,FECHA_DESGLOSEN,"&lt;="&amp;BH$3,CLAVE_DESGLOSE,$A215)</f>
        <v>0</v>
      </c>
      <c r="BI215" s="13">
        <f t="shared" si="311"/>
        <v>0</v>
      </c>
      <c r="BJ215" s="68">
        <f t="shared" si="364"/>
        <v>5046</v>
      </c>
      <c r="BK215" s="268">
        <f t="shared" si="365"/>
        <v>0</v>
      </c>
      <c r="BL215" s="13">
        <f t="shared" si="366"/>
        <v>6629</v>
      </c>
      <c r="BM215" s="13">
        <f>SUMIFS(SALIDAS_BIT,FECHA_BIT,"&gt;="&amp;BM$2,FECHA_BIT,"&lt;="&amp;BM$3,CLAVE_BIT,$A215)+SUMIFS(SALIDAS_BOV1,FECHA_BOV1,"&gt;="&amp;BM$2,FECHA_BOV1,"&lt;="&amp;BM$3,CLAVE_BOV1,$A215)+SUMIFS(SALIDAS_BOV2,FECHA_BOV2,"&gt;="&amp;BM$2,FECHA_BOV2,"&lt;="&amp;BM$3,CLAVE_BOV2,$A215)+SUMIFS(SALIDAS_BOV3,FECHA_BOV3,"&gt;="&amp;BM$2,FECHA_BOV3,"&lt;="&amp;BM$3,CLAVE_BOV3,$A215)+SUMIFS(SALIDAS_TC,FECHA_TC,"&gt;="&amp;BM$2,FECHA_TC,"&lt;="&amp;BM$3,CLAVE_TC,$A215)+SUMIFS(SALIDAS_COMB,FECHA_COMB,"&gt;="&amp;BM$2,FECHA_COMB,"&lt;="&amp;BM$3,CLAVE_COMB,$A215)+SUMIFS(SALIDAS_DES,FECHA_DESGLOSEN,"&gt;="&amp;BM$2,FECHA_DESGLOSEN,"&lt;="&amp;BM$3,CLAVE_DESGLOSE,$A215)</f>
        <v>0</v>
      </c>
      <c r="BN215" s="13">
        <f>SUMIFS(SALIDAS_BIT,FECHA_BIT,"&gt;="&amp;BN$2,FECHA_BIT,"&lt;="&amp;BN$3,CLAVE_BIT,$A215)+SUMIFS(SALIDAS_BOV1,FECHA_BOV1,"&gt;="&amp;BN$2,FECHA_BOV1,"&lt;="&amp;BN$3,CLAVE_BOV1,$A215)+SUMIFS(SALIDAS_BOV2,FECHA_BOV2,"&gt;="&amp;BN$2,FECHA_BOV2,"&lt;="&amp;BN$3,CLAVE_BOV2,$A215)+SUMIFS(SALIDAS_BOV3,FECHA_BOV3,"&gt;="&amp;BN$2,FECHA_BOV3,"&lt;="&amp;BN$3,CLAVE_BOV3,$A215)+SUMIFS(SALIDAS_TC,FECHA_TC,"&gt;="&amp;BN$2,FECHA_TC,"&lt;="&amp;BN$3,CLAVE_TC,$A215)+SUMIFS(SALIDAS_COMB,FECHA_COMB,"&gt;="&amp;BN$2,FECHA_COMB,"&lt;="&amp;BN$3,CLAVE_COMB,$A215)+SUMIFS(SALIDAS_DES,FECHA_DESGLOSEN,"&gt;="&amp;BN$2,FECHA_DESGLOSEN,"&lt;="&amp;BN$3,CLAVE_DESGLOSE,$A215)</f>
        <v>0</v>
      </c>
      <c r="BO215" s="13">
        <f>SUMIFS(SALIDAS_BIT,FECHA_BIT,"&gt;="&amp;BO$2,FECHA_BIT,"&lt;="&amp;BO$3,CLAVE_BIT,$A215)+SUMIFS(SALIDAS_BOV1,FECHA_BOV1,"&gt;="&amp;BO$2,FECHA_BOV1,"&lt;="&amp;BO$3,CLAVE_BOV1,$A215)+SUMIFS(SALIDAS_BOV2,FECHA_BOV2,"&gt;="&amp;BO$2,FECHA_BOV2,"&lt;="&amp;BO$3,CLAVE_BOV2,$A215)+SUMIFS(SALIDAS_BOV3,FECHA_BOV3,"&gt;="&amp;BO$2,FECHA_BOV3,"&lt;="&amp;BO$3,CLAVE_BOV3,$A215)+SUMIFS(SALIDAS_TC,FECHA_TC,"&gt;="&amp;BO$2,FECHA_TC,"&lt;="&amp;BO$3,CLAVE_TC,$A215)+SUMIFS(SALIDAS_COMB,FECHA_COMB,"&gt;="&amp;BO$2,FECHA_COMB,"&lt;="&amp;BO$3,CLAVE_COMB,$A215)+SUMIFS(SALIDAS_DES,FECHA_DESGLOSEN,"&gt;="&amp;BO$2,FECHA_DESGLOSEN,"&lt;="&amp;BO$3,CLAVE_DESGLOSE,$A215)</f>
        <v>0</v>
      </c>
      <c r="BP215" s="13">
        <f>SUMIFS(SALIDAS_BIT,FECHA_BIT,"&gt;="&amp;BP$2,FECHA_BIT,"&lt;="&amp;BP$3,CLAVE_BIT,$A215)+SUMIFS(SALIDAS_BOV1,FECHA_BOV1,"&gt;="&amp;BP$2,FECHA_BOV1,"&lt;="&amp;BP$3,CLAVE_BOV1,$A215)+SUMIFS(SALIDAS_BOV2,FECHA_BOV2,"&gt;="&amp;BP$2,FECHA_BOV2,"&lt;="&amp;BP$3,CLAVE_BOV2,$A215)+SUMIFS(SALIDAS_BOV3,FECHA_BOV3,"&gt;="&amp;BP$2,FECHA_BOV3,"&lt;="&amp;BP$3,CLAVE_BOV3,$A215)+SUMIFS(SALIDAS_TC,FECHA_TC,"&gt;="&amp;BP$2,FECHA_TC,"&lt;="&amp;BP$3,CLAVE_TC,$A215)+SUMIFS(SALIDAS_COMB,FECHA_COMB,"&gt;="&amp;BP$2,FECHA_COMB,"&lt;="&amp;BP$3,CLAVE_COMB,$A215)+SUMIFS(SALIDAS_DES,FECHA_DESGLOSEN,"&gt;="&amp;BP$2,FECHA_DESGLOSEN,"&lt;="&amp;BP$3,CLAVE_DESGLOSE,$A215)</f>
        <v>0</v>
      </c>
      <c r="BQ215" s="13">
        <f>SUMIFS(SALIDAS_BIT,FECHA_BIT,"&gt;="&amp;BQ$2,FECHA_BIT,"&lt;="&amp;BQ$3,CLAVE_BIT,$A215)+SUMIFS(SALIDAS_BOV1,FECHA_BOV1,"&gt;="&amp;BQ$2,FECHA_BOV1,"&lt;="&amp;BQ$3,CLAVE_BOV1,$A215)+SUMIFS(SALIDAS_BOV2,FECHA_BOV2,"&gt;="&amp;BQ$2,FECHA_BOV2,"&lt;="&amp;BQ$3,CLAVE_BOV2,$A215)+SUMIFS(SALIDAS_BOV3,FECHA_BOV3,"&gt;="&amp;BQ$2,FECHA_BOV3,"&lt;="&amp;BQ$3,CLAVE_BOV3,$A215)+SUMIFS(SALIDAS_TC,FECHA_TC,"&gt;="&amp;BQ$2,FECHA_TC,"&lt;="&amp;BQ$3,CLAVE_TC,$A215)+SUMIFS(SALIDAS_COMB,FECHA_COMB,"&gt;="&amp;BQ$2,FECHA_COMB,"&lt;="&amp;BQ$3,CLAVE_COMB,$A215)+SUMIFS(SALIDAS_DES,FECHA_DESGLOSEN,"&gt;="&amp;BQ$2,FECHA_DESGLOSEN,"&lt;="&amp;BQ$3,CLAVE_DESGLOSE,$A215)</f>
        <v>0</v>
      </c>
      <c r="BR215" s="13">
        <f t="shared" si="385"/>
        <v>0</v>
      </c>
      <c r="BS215" s="68">
        <f t="shared" si="367"/>
        <v>6629</v>
      </c>
      <c r="BT215" s="268">
        <f t="shared" si="368"/>
        <v>0</v>
      </c>
      <c r="BU215" s="13">
        <f t="shared" si="369"/>
        <v>0</v>
      </c>
      <c r="BV215" s="13">
        <f t="shared" si="389"/>
        <v>0</v>
      </c>
      <c r="BW215" s="13">
        <f t="shared" si="389"/>
        <v>0</v>
      </c>
      <c r="BX215" s="13">
        <f t="shared" si="389"/>
        <v>0</v>
      </c>
      <c r="BY215" s="13">
        <f t="shared" si="389"/>
        <v>0</v>
      </c>
      <c r="BZ215" s="13">
        <f t="shared" si="386"/>
        <v>0</v>
      </c>
      <c r="CA215" s="68">
        <f t="shared" si="370"/>
        <v>0</v>
      </c>
      <c r="CB215" s="268">
        <f t="shared" si="371"/>
        <v>0</v>
      </c>
      <c r="CC215" s="13">
        <f t="shared" si="372"/>
        <v>0</v>
      </c>
      <c r="CD215" s="13">
        <f t="shared" si="390"/>
        <v>1957.5</v>
      </c>
      <c r="CE215" s="13">
        <f t="shared" si="390"/>
        <v>1404.18</v>
      </c>
      <c r="CF215" s="13">
        <f t="shared" si="390"/>
        <v>1461.6</v>
      </c>
      <c r="CG215" s="13">
        <f t="shared" si="390"/>
        <v>1827</v>
      </c>
      <c r="CH215" s="13">
        <f t="shared" si="387"/>
        <v>6650.2800000000007</v>
      </c>
      <c r="CI215" s="68">
        <f t="shared" si="373"/>
        <v>-6650.2800000000007</v>
      </c>
      <c r="CJ215" s="268">
        <f t="shared" si="374"/>
        <v>0</v>
      </c>
      <c r="CK215" s="13">
        <f t="shared" si="375"/>
        <v>0</v>
      </c>
      <c r="CL215" s="13">
        <f t="shared" si="312"/>
        <v>0</v>
      </c>
      <c r="CM215" s="13">
        <f t="shared" si="312"/>
        <v>0</v>
      </c>
      <c r="CN215" s="13">
        <f t="shared" si="312"/>
        <v>0</v>
      </c>
      <c r="CO215" s="13">
        <f t="shared" si="312"/>
        <v>0</v>
      </c>
      <c r="CP215" s="13">
        <f t="shared" si="312"/>
        <v>0</v>
      </c>
      <c r="CQ215" s="13">
        <f t="shared" si="388"/>
        <v>0</v>
      </c>
      <c r="CR215" s="68">
        <f t="shared" si="376"/>
        <v>0</v>
      </c>
      <c r="CS215" s="268">
        <f t="shared" si="377"/>
        <v>0</v>
      </c>
      <c r="CT215" s="68">
        <f t="shared" si="350"/>
        <v>5202</v>
      </c>
      <c r="CU215" s="13">
        <f>SUMIFS(SALIDAS_BIT,FECHA_BIT,"&gt;="&amp;CU$2,FECHA_BIT,"&lt;="&amp;CU$3,CLAVE_BIT,$A215)+SUMIFS(SALIDAS_BOV1,FECHA_BOV1,"&gt;="&amp;CU$2,FECHA_BOV1,"&lt;="&amp;CU$3,CLAVE_BOV1,$A215)+SUMIFS(SALIDAS_BOV2,FECHA_BOV2,"&gt;="&amp;CU$2,FECHA_BOV2,"&lt;="&amp;CU$3,CLAVE_BOV2,$A215)+SUMIFS(SALIDAS_BOV3,FECHA_BOV3,"&gt;="&amp;CU$2,FECHA_BOV3,"&lt;="&amp;CU$3,CLAVE_BOV3,$A215)+SUMIFS(SALIDAS_TC,FECHA_TC,"&gt;="&amp;CU$2,FECHA_TC,"&lt;="&amp;CU$3,CLAVE_TC,$A215)+SUMIFS(SALIDAS_COMB,FECHA_COMB,"&gt;="&amp;CU$2,FECHA_COMB,"&lt;="&amp;CU$3,CLAVE_COMB,$A215)+SUMIFS(SALIDAS_DES,FECHA_DESGLOSEN,"&gt;="&amp;CU$2,FECHA_DESGLOSEN,"&lt;="&amp;CU$3,CLAVE_DESGLOSE,$A215)</f>
        <v>0</v>
      </c>
      <c r="CV215" s="13">
        <f>SUMIFS(SALIDAS_BIT,FECHA_BIT,"&gt;="&amp;CV$2,FECHA_BIT,"&lt;="&amp;CV$3,CLAVE_BIT,$A215)+SUMIFS(SALIDAS_BOV1,FECHA_BOV1,"&gt;="&amp;CV$2,FECHA_BOV1,"&lt;="&amp;CV$3,CLAVE_BOV1,$A215)+SUMIFS(SALIDAS_BOV2,FECHA_BOV2,"&gt;="&amp;CV$2,FECHA_BOV2,"&lt;="&amp;CV$3,CLAVE_BOV2,$A215)+SUMIFS(SALIDAS_BOV3,FECHA_BOV3,"&gt;="&amp;CV$2,FECHA_BOV3,"&lt;="&amp;CV$3,CLAVE_BOV3,$A215)+SUMIFS(SALIDAS_TC,FECHA_TC,"&gt;="&amp;CV$2,FECHA_TC,"&lt;="&amp;CV$3,CLAVE_TC,$A215)+SUMIFS(SALIDAS_COMB,FECHA_COMB,"&gt;="&amp;CV$2,FECHA_COMB,"&lt;="&amp;CV$3,CLAVE_COMB,$A215)+SUMIFS(SALIDAS_DES,FECHA_DESGLOSEN,"&gt;="&amp;CV$2,FECHA_DESGLOSEN,"&lt;="&amp;CV$3,CLAVE_DESGLOSE,$A215)</f>
        <v>0</v>
      </c>
      <c r="CW215" s="13">
        <f>SUMIFS(SALIDAS_BIT,FECHA_BIT,"&gt;="&amp;CW$2,FECHA_BIT,"&lt;="&amp;CW$3,CLAVE_BIT,$A215)+SUMIFS(SALIDAS_BOV1,FECHA_BOV1,"&gt;="&amp;CW$2,FECHA_BOV1,"&lt;="&amp;CW$3,CLAVE_BOV1,$A215)+SUMIFS(SALIDAS_BOV2,FECHA_BOV2,"&gt;="&amp;CW$2,FECHA_BOV2,"&lt;="&amp;CW$3,CLAVE_BOV2,$A215)+SUMIFS(SALIDAS_BOV3,FECHA_BOV3,"&gt;="&amp;CW$2,FECHA_BOV3,"&lt;="&amp;CW$3,CLAVE_BOV3,$A215)+SUMIFS(SALIDAS_TC,FECHA_TC,"&gt;="&amp;CW$2,FECHA_TC,"&lt;="&amp;CW$3,CLAVE_TC,$A215)+SUMIFS(SALIDAS_COMB,FECHA_COMB,"&gt;="&amp;CW$2,FECHA_COMB,"&lt;="&amp;CW$3,CLAVE_COMB,$A215)+SUMIFS(SALIDAS_DES,FECHA_DESGLOSEN,"&gt;="&amp;CW$2,FECHA_DESGLOSEN,"&lt;="&amp;CW$3,CLAVE_DESGLOSE,$A215)</f>
        <v>0</v>
      </c>
      <c r="CX215" s="13">
        <f>SUMIFS(SALIDAS_BIT,FECHA_BIT,"&gt;="&amp;CX$2,FECHA_BIT,"&lt;="&amp;CX$3,CLAVE_BIT,$A215)+SUMIFS(SALIDAS_BOV1,FECHA_BOV1,"&gt;="&amp;CX$2,FECHA_BOV1,"&lt;="&amp;CX$3,CLAVE_BOV1,$A215)+SUMIFS(SALIDAS_BOV2,FECHA_BOV2,"&gt;="&amp;CX$2,FECHA_BOV2,"&lt;="&amp;CX$3,CLAVE_BOV2,$A215)+SUMIFS(SALIDAS_BOV3,FECHA_BOV3,"&gt;="&amp;CX$2,FECHA_BOV3,"&lt;="&amp;CX$3,CLAVE_BOV3,$A215)+SUMIFS(SALIDAS_TC,FECHA_TC,"&gt;="&amp;CX$2,FECHA_TC,"&lt;="&amp;CX$3,CLAVE_TC,$A215)+SUMIFS(SALIDAS_COMB,FECHA_COMB,"&gt;="&amp;CX$2,FECHA_COMB,"&lt;="&amp;CX$3,CLAVE_COMB,$A215)+SUMIFS(SALIDAS_DES,FECHA_DESGLOSEN,"&gt;="&amp;CX$2,FECHA_DESGLOSEN,"&lt;="&amp;CX$3,CLAVE_DESGLOSE,$A215)</f>
        <v>0</v>
      </c>
      <c r="CY215" s="13">
        <f>SUMIFS(SALIDAS_BIT,FECHA_BIT,"&gt;="&amp;CY$2,FECHA_BIT,"&lt;="&amp;CY$3,CLAVE_BIT,$A215)+SUMIFS(SALIDAS_BOV1,FECHA_BOV1,"&gt;="&amp;CY$2,FECHA_BOV1,"&lt;="&amp;CY$3,CLAVE_BOV1,$A215)+SUMIFS(SALIDAS_BOV2,FECHA_BOV2,"&gt;="&amp;CY$2,FECHA_BOV2,"&lt;="&amp;CY$3,CLAVE_BOV2,$A215)+SUMIFS(SALIDAS_BOV3,FECHA_BOV3,"&gt;="&amp;CY$2,FECHA_BOV3,"&lt;="&amp;CY$3,CLAVE_BOV3,$A215)+SUMIFS(SALIDAS_TC,FECHA_TC,"&gt;="&amp;CY$2,FECHA_TC,"&lt;="&amp;CY$3,CLAVE_TC,$A215)+SUMIFS(SALIDAS_COMB,FECHA_COMB,"&gt;="&amp;CY$2,FECHA_COMB,"&lt;="&amp;CY$3,CLAVE_COMB,$A215)+SUMIFS(SALIDAS_DES,FECHA_DESGLOSEN,"&gt;="&amp;CY$2,FECHA_DESGLOSEN,"&lt;="&amp;CY$3,CLAVE_DESGLOSE,$A215)</f>
        <v>0</v>
      </c>
      <c r="CZ215" s="68">
        <f t="shared" si="378"/>
        <v>5202</v>
      </c>
      <c r="DB215" s="17">
        <f>F215+N215+W215+AE215+AM215+AV215+BD215+BL215+BU215+CC215+CK215</f>
        <v>38512</v>
      </c>
      <c r="DC215" s="17">
        <f>K215+T215+AB215+AJ215+AS215+BA215+BI215+BR215+BZ215+CH215+CQ215</f>
        <v>30281.18</v>
      </c>
    </row>
    <row r="216" spans="1:107" hidden="1">
      <c r="A216" s="12" t="str">
        <f t="shared" si="351"/>
        <v>HRSGMHR</v>
      </c>
      <c r="B216" s="12">
        <v>218</v>
      </c>
      <c r="C216" t="s">
        <v>29</v>
      </c>
      <c r="D216" s="12" t="s">
        <v>176</v>
      </c>
      <c r="E216" s="12" t="s">
        <v>29</v>
      </c>
      <c r="F216" s="259">
        <f t="shared" si="344"/>
        <v>0</v>
      </c>
      <c r="G216" s="13">
        <f t="shared" si="380"/>
        <v>0</v>
      </c>
      <c r="H216" s="13">
        <f t="shared" si="380"/>
        <v>0</v>
      </c>
      <c r="I216" s="13">
        <f t="shared" si="380"/>
        <v>0</v>
      </c>
      <c r="J216" s="13">
        <f t="shared" si="380"/>
        <v>0</v>
      </c>
      <c r="K216" s="13">
        <f t="shared" si="380"/>
        <v>0</v>
      </c>
      <c r="L216" s="68">
        <f t="shared" si="352"/>
        <v>0</v>
      </c>
      <c r="M216" s="268">
        <f t="shared" si="353"/>
        <v>0</v>
      </c>
      <c r="N216" s="13">
        <f t="shared" si="345"/>
        <v>0</v>
      </c>
      <c r="O216" s="13">
        <f t="shared" si="381"/>
        <v>0</v>
      </c>
      <c r="P216" s="13">
        <f t="shared" si="381"/>
        <v>0</v>
      </c>
      <c r="Q216" s="13">
        <f t="shared" si="381"/>
        <v>0</v>
      </c>
      <c r="R216" s="13">
        <f t="shared" si="381"/>
        <v>0</v>
      </c>
      <c r="S216" s="13">
        <f t="shared" si="381"/>
        <v>0</v>
      </c>
      <c r="T216" s="13">
        <f t="shared" si="381"/>
        <v>0</v>
      </c>
      <c r="U216" s="68">
        <f t="shared" si="354"/>
        <v>0</v>
      </c>
      <c r="V216" s="268">
        <f t="shared" si="355"/>
        <v>0</v>
      </c>
      <c r="W216" s="13">
        <f t="shared" si="346"/>
        <v>0</v>
      </c>
      <c r="X216" s="13">
        <f t="shared" si="382"/>
        <v>0</v>
      </c>
      <c r="Y216" s="13">
        <f t="shared" si="382"/>
        <v>17351.37</v>
      </c>
      <c r="Z216" s="13">
        <f t="shared" si="382"/>
        <v>0</v>
      </c>
      <c r="AA216" s="13">
        <f t="shared" si="382"/>
        <v>0</v>
      </c>
      <c r="AB216" s="13">
        <f t="shared" si="382"/>
        <v>17351.37</v>
      </c>
      <c r="AC216" s="68">
        <f t="shared" si="356"/>
        <v>-17351.37</v>
      </c>
      <c r="AD216" s="268">
        <f t="shared" si="357"/>
        <v>0</v>
      </c>
      <c r="AE216" s="13">
        <f t="shared" si="347"/>
        <v>0</v>
      </c>
      <c r="AF216" s="13">
        <f t="shared" si="383"/>
        <v>0</v>
      </c>
      <c r="AG216" s="13">
        <f t="shared" si="383"/>
        <v>0</v>
      </c>
      <c r="AH216" s="13">
        <f t="shared" si="383"/>
        <v>0</v>
      </c>
      <c r="AI216" s="13">
        <f t="shared" si="383"/>
        <v>0</v>
      </c>
      <c r="AJ216" s="13">
        <f t="shared" si="383"/>
        <v>0</v>
      </c>
      <c r="AK216" s="68">
        <f t="shared" si="358"/>
        <v>0</v>
      </c>
      <c r="AL216" s="268">
        <f t="shared" si="359"/>
        <v>0</v>
      </c>
      <c r="AM216" s="13">
        <f t="shared" si="348"/>
        <v>0</v>
      </c>
      <c r="AN216" s="13">
        <f t="shared" si="384"/>
        <v>0</v>
      </c>
      <c r="AO216" s="13">
        <f t="shared" si="384"/>
        <v>0</v>
      </c>
      <c r="AP216" s="13">
        <f t="shared" si="384"/>
        <v>0</v>
      </c>
      <c r="AQ216" s="13">
        <f t="shared" si="384"/>
        <v>0</v>
      </c>
      <c r="AR216" s="13">
        <f t="shared" si="384"/>
        <v>0</v>
      </c>
      <c r="AS216" s="13">
        <f t="shared" si="384"/>
        <v>0</v>
      </c>
      <c r="AT216" s="68">
        <f>AM216-AS216</f>
        <v>0</v>
      </c>
      <c r="AU216" s="268">
        <f t="shared" si="360"/>
        <v>0</v>
      </c>
      <c r="AV216" s="13">
        <f t="shared" si="349"/>
        <v>0</v>
      </c>
      <c r="AW216" s="13">
        <f t="shared" si="323"/>
        <v>0</v>
      </c>
      <c r="AX216" s="13">
        <f t="shared" si="323"/>
        <v>0</v>
      </c>
      <c r="AY216" s="13">
        <f t="shared" si="323"/>
        <v>0</v>
      </c>
      <c r="AZ216" s="13">
        <f t="shared" si="323"/>
        <v>0</v>
      </c>
      <c r="BA216" s="13">
        <f t="shared" si="379"/>
        <v>0</v>
      </c>
      <c r="BB216" s="68">
        <f t="shared" si="361"/>
        <v>0</v>
      </c>
      <c r="BC216" s="268">
        <f t="shared" si="362"/>
        <v>0</v>
      </c>
      <c r="BD216" s="13">
        <f t="shared" si="363"/>
        <v>0</v>
      </c>
      <c r="BE216" s="13">
        <f>SUMIFS(SALIDAS_BIT,FECHA_BIT,"&gt;="&amp;BE$2,FECHA_BIT,"&lt;="&amp;BE$3,CLAVE_BIT,$A216)+SUMIFS(SALIDAS_BOV1,FECHA_BOV1,"&gt;="&amp;BE$2,FECHA_BOV1,"&lt;="&amp;BE$3,CLAVE_BOV1,$A216)+SUMIFS(SALIDAS_BOV2,FECHA_BOV2,"&gt;="&amp;BE$2,FECHA_BOV2,"&lt;="&amp;BE$3,CLAVE_BOV2,$A216)+SUMIFS(SALIDAS_BOV3,FECHA_BOV3,"&gt;="&amp;BE$2,FECHA_BOV3,"&lt;="&amp;BE$3,CLAVE_BOV3,$A216)+SUMIFS(SALIDAS_TC,FECHA_TC,"&gt;="&amp;BE$2,FECHA_TC,"&lt;="&amp;BE$3,CLAVE_TC,$A216)+SUMIFS(SALIDAS_COMB,FECHA_COMB,"&gt;="&amp;BE$2,FECHA_COMB,"&lt;="&amp;BE$3,CLAVE_COMB,$A216)+SUMIFS(SALIDAS_DES,FECHA_DESGLOSEN,"&gt;="&amp;BE$2,FECHA_DESGLOSEN,"&lt;="&amp;BE$3,CLAVE_DESGLOSE,$A216)</f>
        <v>0</v>
      </c>
      <c r="BF216" s="13">
        <f>SUMIFS(SALIDAS_BIT,FECHA_BIT,"&gt;="&amp;BF$2,FECHA_BIT,"&lt;="&amp;BF$3,CLAVE_BIT,$A216)+SUMIFS(SALIDAS_BOV1,FECHA_BOV1,"&gt;="&amp;BF$2,FECHA_BOV1,"&lt;="&amp;BF$3,CLAVE_BOV1,$A216)+SUMIFS(SALIDAS_BOV2,FECHA_BOV2,"&gt;="&amp;BF$2,FECHA_BOV2,"&lt;="&amp;BF$3,CLAVE_BOV2,$A216)+SUMIFS(SALIDAS_BOV3,FECHA_BOV3,"&gt;="&amp;BF$2,FECHA_BOV3,"&lt;="&amp;BF$3,CLAVE_BOV3,$A216)+SUMIFS(SALIDAS_TC,FECHA_TC,"&gt;="&amp;BF$2,FECHA_TC,"&lt;="&amp;BF$3,CLAVE_TC,$A216)+SUMIFS(SALIDAS_COMB,FECHA_COMB,"&gt;="&amp;BF$2,FECHA_COMB,"&lt;="&amp;BF$3,CLAVE_COMB,$A216)+SUMIFS(SALIDAS_DES,FECHA_DESGLOSEN,"&gt;="&amp;BF$2,FECHA_DESGLOSEN,"&lt;="&amp;BF$3,CLAVE_DESGLOSE,$A216)</f>
        <v>0</v>
      </c>
      <c r="BG216" s="13">
        <f>SUMIFS(SALIDAS_BIT,FECHA_BIT,"&gt;="&amp;BG$2,FECHA_BIT,"&lt;="&amp;BG$3,CLAVE_BIT,$A216)+SUMIFS(SALIDAS_BOV1,FECHA_BOV1,"&gt;="&amp;BG$2,FECHA_BOV1,"&lt;="&amp;BG$3,CLAVE_BOV1,$A216)+SUMIFS(SALIDAS_BOV2,FECHA_BOV2,"&gt;="&amp;BG$2,FECHA_BOV2,"&lt;="&amp;BG$3,CLAVE_BOV2,$A216)+SUMIFS(SALIDAS_BOV3,FECHA_BOV3,"&gt;="&amp;BG$2,FECHA_BOV3,"&lt;="&amp;BG$3,CLAVE_BOV3,$A216)+SUMIFS(SALIDAS_TC,FECHA_TC,"&gt;="&amp;BG$2,FECHA_TC,"&lt;="&amp;BG$3,CLAVE_TC,$A216)+SUMIFS(SALIDAS_COMB,FECHA_COMB,"&gt;="&amp;BG$2,FECHA_COMB,"&lt;="&amp;BG$3,CLAVE_COMB,$A216)+SUMIFS(SALIDAS_DES,FECHA_DESGLOSEN,"&gt;="&amp;BG$2,FECHA_DESGLOSEN,"&lt;="&amp;BG$3,CLAVE_DESGLOSE,$A216)</f>
        <v>0</v>
      </c>
      <c r="BH216" s="13">
        <f>SUMIFS(SALIDAS_BIT,FECHA_BIT,"&gt;="&amp;BH$2,FECHA_BIT,"&lt;="&amp;BH$3,CLAVE_BIT,$A216)+SUMIFS(SALIDAS_BOV1,FECHA_BOV1,"&gt;="&amp;BH$2,FECHA_BOV1,"&lt;="&amp;BH$3,CLAVE_BOV1,$A216)+SUMIFS(SALIDAS_BOV2,FECHA_BOV2,"&gt;="&amp;BH$2,FECHA_BOV2,"&lt;="&amp;BH$3,CLAVE_BOV2,$A216)+SUMIFS(SALIDAS_BOV3,FECHA_BOV3,"&gt;="&amp;BH$2,FECHA_BOV3,"&lt;="&amp;BH$3,CLAVE_BOV3,$A216)+SUMIFS(SALIDAS_TC,FECHA_TC,"&gt;="&amp;BH$2,FECHA_TC,"&lt;="&amp;BH$3,CLAVE_TC,$A216)+SUMIFS(SALIDAS_COMB,FECHA_COMB,"&gt;="&amp;BH$2,FECHA_COMB,"&lt;="&amp;BH$3,CLAVE_COMB,$A216)+SUMIFS(SALIDAS_DES,FECHA_DESGLOSEN,"&gt;="&amp;BH$2,FECHA_DESGLOSEN,"&lt;="&amp;BH$3,CLAVE_DESGLOSE,$A216)</f>
        <v>0</v>
      </c>
      <c r="BI216" s="13">
        <f t="shared" si="311"/>
        <v>0</v>
      </c>
      <c r="BJ216" s="68">
        <f t="shared" si="364"/>
        <v>0</v>
      </c>
      <c r="BK216" s="268">
        <f t="shared" si="365"/>
        <v>0</v>
      </c>
      <c r="BL216" s="13">
        <f t="shared" si="366"/>
        <v>0</v>
      </c>
      <c r="BM216" s="13">
        <f>SUMIFS(SALIDAS_BIT,FECHA_BIT,"&gt;="&amp;BM$2,FECHA_BIT,"&lt;="&amp;BM$3,CLAVE_BIT,$A216)+SUMIFS(SALIDAS_BOV1,FECHA_BOV1,"&gt;="&amp;BM$2,FECHA_BOV1,"&lt;="&amp;BM$3,CLAVE_BOV1,$A216)+SUMIFS(SALIDAS_BOV2,FECHA_BOV2,"&gt;="&amp;BM$2,FECHA_BOV2,"&lt;="&amp;BM$3,CLAVE_BOV2,$A216)+SUMIFS(SALIDAS_BOV3,FECHA_BOV3,"&gt;="&amp;BM$2,FECHA_BOV3,"&lt;="&amp;BM$3,CLAVE_BOV3,$A216)+SUMIFS(SALIDAS_TC,FECHA_TC,"&gt;="&amp;BM$2,FECHA_TC,"&lt;="&amp;BM$3,CLAVE_TC,$A216)+SUMIFS(SALIDAS_COMB,FECHA_COMB,"&gt;="&amp;BM$2,FECHA_COMB,"&lt;="&amp;BM$3,CLAVE_COMB,$A216)+SUMIFS(SALIDAS_DES,FECHA_DESGLOSEN,"&gt;="&amp;BM$2,FECHA_DESGLOSEN,"&lt;="&amp;BM$3,CLAVE_DESGLOSE,$A216)</f>
        <v>0</v>
      </c>
      <c r="BN216" s="13">
        <f>SUMIFS(SALIDAS_BIT,FECHA_BIT,"&gt;="&amp;BN$2,FECHA_BIT,"&lt;="&amp;BN$3,CLAVE_BIT,$A216)+SUMIFS(SALIDAS_BOV1,FECHA_BOV1,"&gt;="&amp;BN$2,FECHA_BOV1,"&lt;="&amp;BN$3,CLAVE_BOV1,$A216)+SUMIFS(SALIDAS_BOV2,FECHA_BOV2,"&gt;="&amp;BN$2,FECHA_BOV2,"&lt;="&amp;BN$3,CLAVE_BOV2,$A216)+SUMIFS(SALIDAS_BOV3,FECHA_BOV3,"&gt;="&amp;BN$2,FECHA_BOV3,"&lt;="&amp;BN$3,CLAVE_BOV3,$A216)+SUMIFS(SALIDAS_TC,FECHA_TC,"&gt;="&amp;BN$2,FECHA_TC,"&lt;="&amp;BN$3,CLAVE_TC,$A216)+SUMIFS(SALIDAS_COMB,FECHA_COMB,"&gt;="&amp;BN$2,FECHA_COMB,"&lt;="&amp;BN$3,CLAVE_COMB,$A216)+SUMIFS(SALIDAS_DES,FECHA_DESGLOSEN,"&gt;="&amp;BN$2,FECHA_DESGLOSEN,"&lt;="&amp;BN$3,CLAVE_DESGLOSE,$A216)</f>
        <v>0</v>
      </c>
      <c r="BO216" s="13">
        <f>SUMIFS(SALIDAS_BIT,FECHA_BIT,"&gt;="&amp;BO$2,FECHA_BIT,"&lt;="&amp;BO$3,CLAVE_BIT,$A216)+SUMIFS(SALIDAS_BOV1,FECHA_BOV1,"&gt;="&amp;BO$2,FECHA_BOV1,"&lt;="&amp;BO$3,CLAVE_BOV1,$A216)+SUMIFS(SALIDAS_BOV2,FECHA_BOV2,"&gt;="&amp;BO$2,FECHA_BOV2,"&lt;="&amp;BO$3,CLAVE_BOV2,$A216)+SUMIFS(SALIDAS_BOV3,FECHA_BOV3,"&gt;="&amp;BO$2,FECHA_BOV3,"&lt;="&amp;BO$3,CLAVE_BOV3,$A216)+SUMIFS(SALIDAS_TC,FECHA_TC,"&gt;="&amp;BO$2,FECHA_TC,"&lt;="&amp;BO$3,CLAVE_TC,$A216)+SUMIFS(SALIDAS_COMB,FECHA_COMB,"&gt;="&amp;BO$2,FECHA_COMB,"&lt;="&amp;BO$3,CLAVE_COMB,$A216)+SUMIFS(SALIDAS_DES,FECHA_DESGLOSEN,"&gt;="&amp;BO$2,FECHA_DESGLOSEN,"&lt;="&amp;BO$3,CLAVE_DESGLOSE,$A216)</f>
        <v>0</v>
      </c>
      <c r="BP216" s="13">
        <f>SUMIFS(SALIDAS_BIT,FECHA_BIT,"&gt;="&amp;BP$2,FECHA_BIT,"&lt;="&amp;BP$3,CLAVE_BIT,$A216)+SUMIFS(SALIDAS_BOV1,FECHA_BOV1,"&gt;="&amp;BP$2,FECHA_BOV1,"&lt;="&amp;BP$3,CLAVE_BOV1,$A216)+SUMIFS(SALIDAS_BOV2,FECHA_BOV2,"&gt;="&amp;BP$2,FECHA_BOV2,"&lt;="&amp;BP$3,CLAVE_BOV2,$A216)+SUMIFS(SALIDAS_BOV3,FECHA_BOV3,"&gt;="&amp;BP$2,FECHA_BOV3,"&lt;="&amp;BP$3,CLAVE_BOV3,$A216)+SUMIFS(SALIDAS_TC,FECHA_TC,"&gt;="&amp;BP$2,FECHA_TC,"&lt;="&amp;BP$3,CLAVE_TC,$A216)+SUMIFS(SALIDAS_COMB,FECHA_COMB,"&gt;="&amp;BP$2,FECHA_COMB,"&lt;="&amp;BP$3,CLAVE_COMB,$A216)+SUMIFS(SALIDAS_DES,FECHA_DESGLOSEN,"&gt;="&amp;BP$2,FECHA_DESGLOSEN,"&lt;="&amp;BP$3,CLAVE_DESGLOSE,$A216)</f>
        <v>0</v>
      </c>
      <c r="BQ216" s="13">
        <f>SUMIFS(SALIDAS_BIT,FECHA_BIT,"&gt;="&amp;BQ$2,FECHA_BIT,"&lt;="&amp;BQ$3,CLAVE_BIT,$A216)+SUMIFS(SALIDAS_BOV1,FECHA_BOV1,"&gt;="&amp;BQ$2,FECHA_BOV1,"&lt;="&amp;BQ$3,CLAVE_BOV1,$A216)+SUMIFS(SALIDAS_BOV2,FECHA_BOV2,"&gt;="&amp;BQ$2,FECHA_BOV2,"&lt;="&amp;BQ$3,CLAVE_BOV2,$A216)+SUMIFS(SALIDAS_BOV3,FECHA_BOV3,"&gt;="&amp;BQ$2,FECHA_BOV3,"&lt;="&amp;BQ$3,CLAVE_BOV3,$A216)+SUMIFS(SALIDAS_TC,FECHA_TC,"&gt;="&amp;BQ$2,FECHA_TC,"&lt;="&amp;BQ$3,CLAVE_TC,$A216)+SUMIFS(SALIDAS_COMB,FECHA_COMB,"&gt;="&amp;BQ$2,FECHA_COMB,"&lt;="&amp;BQ$3,CLAVE_COMB,$A216)+SUMIFS(SALIDAS_DES,FECHA_DESGLOSEN,"&gt;="&amp;BQ$2,FECHA_DESGLOSEN,"&lt;="&amp;BQ$3,CLAVE_DESGLOSE,$A216)</f>
        <v>0</v>
      </c>
      <c r="BR216" s="13">
        <f t="shared" si="385"/>
        <v>0</v>
      </c>
      <c r="BS216" s="68">
        <f t="shared" si="367"/>
        <v>0</v>
      </c>
      <c r="BT216" s="268">
        <f t="shared" si="368"/>
        <v>0</v>
      </c>
      <c r="BU216" s="13">
        <f t="shared" si="369"/>
        <v>0</v>
      </c>
      <c r="BV216" s="13">
        <f t="shared" si="389"/>
        <v>0</v>
      </c>
      <c r="BW216" s="13">
        <f t="shared" si="389"/>
        <v>16258.57</v>
      </c>
      <c r="BX216" s="13">
        <f t="shared" si="389"/>
        <v>0</v>
      </c>
      <c r="BY216" s="13">
        <f t="shared" si="389"/>
        <v>0</v>
      </c>
      <c r="BZ216" s="13">
        <f t="shared" si="386"/>
        <v>16258.57</v>
      </c>
      <c r="CA216" s="68">
        <f t="shared" si="370"/>
        <v>-16258.57</v>
      </c>
      <c r="CB216" s="268">
        <f t="shared" si="371"/>
        <v>0</v>
      </c>
      <c r="CC216" s="13">
        <f t="shared" si="372"/>
        <v>27557</v>
      </c>
      <c r="CD216" s="13">
        <f t="shared" si="390"/>
        <v>0</v>
      </c>
      <c r="CE216" s="13">
        <f t="shared" si="390"/>
        <v>0</v>
      </c>
      <c r="CF216" s="13">
        <f t="shared" si="390"/>
        <v>0</v>
      </c>
      <c r="CG216" s="13">
        <f t="shared" si="390"/>
        <v>0</v>
      </c>
      <c r="CH216" s="13">
        <f t="shared" si="387"/>
        <v>0</v>
      </c>
      <c r="CI216" s="68">
        <f t="shared" si="373"/>
        <v>27557</v>
      </c>
      <c r="CJ216" s="268">
        <f t="shared" si="374"/>
        <v>0</v>
      </c>
      <c r="CK216" s="13">
        <f t="shared" si="375"/>
        <v>0</v>
      </c>
      <c r="CL216" s="13">
        <f t="shared" si="312"/>
        <v>0</v>
      </c>
      <c r="CM216" s="13">
        <f t="shared" si="312"/>
        <v>0</v>
      </c>
      <c r="CN216" s="13">
        <f t="shared" si="312"/>
        <v>0</v>
      </c>
      <c r="CO216" s="13">
        <f t="shared" si="312"/>
        <v>0</v>
      </c>
      <c r="CP216" s="13">
        <f t="shared" si="312"/>
        <v>0</v>
      </c>
      <c r="CQ216" s="13">
        <f t="shared" si="388"/>
        <v>0</v>
      </c>
      <c r="CR216" s="68">
        <f t="shared" si="376"/>
        <v>0</v>
      </c>
      <c r="CS216" s="268">
        <f t="shared" si="377"/>
        <v>0</v>
      </c>
      <c r="CT216" s="68">
        <f t="shared" si="350"/>
        <v>0</v>
      </c>
      <c r="CU216" s="13">
        <f>SUMIFS(SALIDAS_BIT,FECHA_BIT,"&gt;="&amp;CU$2,FECHA_BIT,"&lt;="&amp;CU$3,CLAVE_BIT,$A216)+SUMIFS(SALIDAS_BOV1,FECHA_BOV1,"&gt;="&amp;CU$2,FECHA_BOV1,"&lt;="&amp;CU$3,CLAVE_BOV1,$A216)+SUMIFS(SALIDAS_BOV2,FECHA_BOV2,"&gt;="&amp;CU$2,FECHA_BOV2,"&lt;="&amp;CU$3,CLAVE_BOV2,$A216)+SUMIFS(SALIDAS_BOV3,FECHA_BOV3,"&gt;="&amp;CU$2,FECHA_BOV3,"&lt;="&amp;CU$3,CLAVE_BOV3,$A216)+SUMIFS(SALIDAS_TC,FECHA_TC,"&gt;="&amp;CU$2,FECHA_TC,"&lt;="&amp;CU$3,CLAVE_TC,$A216)+SUMIFS(SALIDAS_COMB,FECHA_COMB,"&gt;="&amp;CU$2,FECHA_COMB,"&lt;="&amp;CU$3,CLAVE_COMB,$A216)+SUMIFS(SALIDAS_DES,FECHA_DESGLOSEN,"&gt;="&amp;CU$2,FECHA_DESGLOSEN,"&lt;="&amp;CU$3,CLAVE_DESGLOSE,$A216)</f>
        <v>0</v>
      </c>
      <c r="CV216" s="13">
        <f>SUMIFS(SALIDAS_BIT,FECHA_BIT,"&gt;="&amp;CV$2,FECHA_BIT,"&lt;="&amp;CV$3,CLAVE_BIT,$A216)+SUMIFS(SALIDAS_BOV1,FECHA_BOV1,"&gt;="&amp;CV$2,FECHA_BOV1,"&lt;="&amp;CV$3,CLAVE_BOV1,$A216)+SUMIFS(SALIDAS_BOV2,FECHA_BOV2,"&gt;="&amp;CV$2,FECHA_BOV2,"&lt;="&amp;CV$3,CLAVE_BOV2,$A216)+SUMIFS(SALIDAS_BOV3,FECHA_BOV3,"&gt;="&amp;CV$2,FECHA_BOV3,"&lt;="&amp;CV$3,CLAVE_BOV3,$A216)+SUMIFS(SALIDAS_TC,FECHA_TC,"&gt;="&amp;CV$2,FECHA_TC,"&lt;="&amp;CV$3,CLAVE_TC,$A216)+SUMIFS(SALIDAS_COMB,FECHA_COMB,"&gt;="&amp;CV$2,FECHA_COMB,"&lt;="&amp;CV$3,CLAVE_COMB,$A216)+SUMIFS(SALIDAS_DES,FECHA_DESGLOSEN,"&gt;="&amp;CV$2,FECHA_DESGLOSEN,"&lt;="&amp;CV$3,CLAVE_DESGLOSE,$A216)</f>
        <v>0</v>
      </c>
      <c r="CW216" s="13">
        <f>SUMIFS(SALIDAS_BIT,FECHA_BIT,"&gt;="&amp;CW$2,FECHA_BIT,"&lt;="&amp;CW$3,CLAVE_BIT,$A216)+SUMIFS(SALIDAS_BOV1,FECHA_BOV1,"&gt;="&amp;CW$2,FECHA_BOV1,"&lt;="&amp;CW$3,CLAVE_BOV1,$A216)+SUMIFS(SALIDAS_BOV2,FECHA_BOV2,"&gt;="&amp;CW$2,FECHA_BOV2,"&lt;="&amp;CW$3,CLAVE_BOV2,$A216)+SUMIFS(SALIDAS_BOV3,FECHA_BOV3,"&gt;="&amp;CW$2,FECHA_BOV3,"&lt;="&amp;CW$3,CLAVE_BOV3,$A216)+SUMIFS(SALIDAS_TC,FECHA_TC,"&gt;="&amp;CW$2,FECHA_TC,"&lt;="&amp;CW$3,CLAVE_TC,$A216)+SUMIFS(SALIDAS_COMB,FECHA_COMB,"&gt;="&amp;CW$2,FECHA_COMB,"&lt;="&amp;CW$3,CLAVE_COMB,$A216)+SUMIFS(SALIDAS_DES,FECHA_DESGLOSEN,"&gt;="&amp;CW$2,FECHA_DESGLOSEN,"&lt;="&amp;CW$3,CLAVE_DESGLOSE,$A216)</f>
        <v>0</v>
      </c>
      <c r="CX216" s="13">
        <f>SUMIFS(SALIDAS_BIT,FECHA_BIT,"&gt;="&amp;CX$2,FECHA_BIT,"&lt;="&amp;CX$3,CLAVE_BIT,$A216)+SUMIFS(SALIDAS_BOV1,FECHA_BOV1,"&gt;="&amp;CX$2,FECHA_BOV1,"&lt;="&amp;CX$3,CLAVE_BOV1,$A216)+SUMIFS(SALIDAS_BOV2,FECHA_BOV2,"&gt;="&amp;CX$2,FECHA_BOV2,"&lt;="&amp;CX$3,CLAVE_BOV2,$A216)+SUMIFS(SALIDAS_BOV3,FECHA_BOV3,"&gt;="&amp;CX$2,FECHA_BOV3,"&lt;="&amp;CX$3,CLAVE_BOV3,$A216)+SUMIFS(SALIDAS_TC,FECHA_TC,"&gt;="&amp;CX$2,FECHA_TC,"&lt;="&amp;CX$3,CLAVE_TC,$A216)+SUMIFS(SALIDAS_COMB,FECHA_COMB,"&gt;="&amp;CX$2,FECHA_COMB,"&lt;="&amp;CX$3,CLAVE_COMB,$A216)+SUMIFS(SALIDAS_DES,FECHA_DESGLOSEN,"&gt;="&amp;CX$2,FECHA_DESGLOSEN,"&lt;="&amp;CX$3,CLAVE_DESGLOSE,$A216)</f>
        <v>0</v>
      </c>
      <c r="CY216" s="13">
        <f>SUMIFS(SALIDAS_BIT,FECHA_BIT,"&gt;="&amp;CY$2,FECHA_BIT,"&lt;="&amp;CY$3,CLAVE_BIT,$A216)+SUMIFS(SALIDAS_BOV1,FECHA_BOV1,"&gt;="&amp;CY$2,FECHA_BOV1,"&lt;="&amp;CY$3,CLAVE_BOV1,$A216)+SUMIFS(SALIDAS_BOV2,FECHA_BOV2,"&gt;="&amp;CY$2,FECHA_BOV2,"&lt;="&amp;CY$3,CLAVE_BOV2,$A216)+SUMIFS(SALIDAS_BOV3,FECHA_BOV3,"&gt;="&amp;CY$2,FECHA_BOV3,"&lt;="&amp;CY$3,CLAVE_BOV3,$A216)+SUMIFS(SALIDAS_TC,FECHA_TC,"&gt;="&amp;CY$2,FECHA_TC,"&lt;="&amp;CY$3,CLAVE_TC,$A216)+SUMIFS(SALIDAS_COMB,FECHA_COMB,"&gt;="&amp;CY$2,FECHA_COMB,"&lt;="&amp;CY$3,CLAVE_COMB,$A216)+SUMIFS(SALIDAS_DES,FECHA_DESGLOSEN,"&gt;="&amp;CY$2,FECHA_DESGLOSEN,"&lt;="&amp;CY$3,CLAVE_DESGLOSE,$A216)</f>
        <v>0</v>
      </c>
      <c r="CZ216" s="68">
        <f t="shared" si="378"/>
        <v>0</v>
      </c>
      <c r="DB216" s="17">
        <f>F216+N216+W216+AE216+AM216+AV216+BD216+BL216+BU216+CC216+CK216</f>
        <v>27557</v>
      </c>
      <c r="DC216" s="17">
        <f>K216+T216+AB216+AJ216+AS216+BA216+BI216+BR216+BZ216+CH216+CQ216</f>
        <v>33609.94</v>
      </c>
    </row>
    <row r="217" spans="1:107" hidden="1">
      <c r="A217" s="12" t="str">
        <f t="shared" si="351"/>
        <v>SERVICIOSSGMSERVICIOS</v>
      </c>
      <c r="B217" s="12">
        <v>219</v>
      </c>
      <c r="C217" t="s">
        <v>21</v>
      </c>
      <c r="D217" s="12" t="s">
        <v>176</v>
      </c>
      <c r="E217" s="12" t="s">
        <v>21</v>
      </c>
      <c r="F217" s="259">
        <f t="shared" si="344"/>
        <v>0</v>
      </c>
      <c r="G217" s="13">
        <f t="shared" ref="G217:K226" si="391">SUMIFS(SALIDAS_BIT,FECHA_BIT,"&gt;="&amp;G$2,FECHA_BIT,"&lt;="&amp;G$3,CLAVE_BIT,$A217)+SUMIFS(SALIDAS_BOV1,FECHA_BOV1,"&gt;="&amp;G$2,FECHA_BOV1,"&lt;="&amp;G$3,CLAVE_BOV1,$A217)+SUMIFS(SALIDAS_BOV2,FECHA_BOV2,"&gt;="&amp;G$2,FECHA_BOV2,"&lt;="&amp;G$3,CLAVE_BOV2,$A217)+SUMIFS(SALIDAS_BOV3,FECHA_BOV3,"&gt;="&amp;G$2,FECHA_BOV3,"&lt;="&amp;G$3,CLAVE_BOV3,$A217)+SUMIFS(SALIDAS_TC,FECHA_TC,"&gt;="&amp;G$2,FECHA_TC,"&lt;="&amp;G$3,CLAVE_TC,$A217)+SUMIFS(SALIDAS_COMB,FECHA_COMB,"&gt;="&amp;G$2,FECHA_COMB,"&lt;="&amp;G$3,CLAVE_COMB,$A217)+SUMIFS(SALIDAS_DES,FECHA_DESGLOSEN,"&gt;="&amp;G$2,FECHA_DESGLOSEN,"&lt;="&amp;G$3,CLAVE_DESGLOSE,$A217)</f>
        <v>0</v>
      </c>
      <c r="H217" s="13">
        <f t="shared" si="391"/>
        <v>0</v>
      </c>
      <c r="I217" s="13">
        <f t="shared" si="391"/>
        <v>0</v>
      </c>
      <c r="J217" s="13">
        <f t="shared" si="391"/>
        <v>0</v>
      </c>
      <c r="K217" s="13">
        <f t="shared" si="391"/>
        <v>0</v>
      </c>
      <c r="L217" s="68">
        <f t="shared" si="352"/>
        <v>0</v>
      </c>
      <c r="M217" s="268">
        <f t="shared" si="353"/>
        <v>0</v>
      </c>
      <c r="N217" s="13">
        <f t="shared" si="345"/>
        <v>0</v>
      </c>
      <c r="O217" s="13">
        <f t="shared" ref="O217:T226" si="392">SUMIFS(SALIDAS_BIT,FECHA_BIT,"&gt;="&amp;O$2,FECHA_BIT,"&lt;="&amp;O$3,CLAVE_BIT,$A217)+SUMIFS(SALIDAS_BOV1,FECHA_BOV1,"&gt;="&amp;O$2,FECHA_BOV1,"&lt;="&amp;O$3,CLAVE_BOV1,$A217)+SUMIFS(SALIDAS_BOV2,FECHA_BOV2,"&gt;="&amp;O$2,FECHA_BOV2,"&lt;="&amp;O$3,CLAVE_BOV2,$A217)+SUMIFS(SALIDAS_BOV3,FECHA_BOV3,"&gt;="&amp;O$2,FECHA_BOV3,"&lt;="&amp;O$3,CLAVE_BOV3,$A217)+SUMIFS(SALIDAS_TC,FECHA_TC,"&gt;="&amp;O$2,FECHA_TC,"&lt;="&amp;O$3,CLAVE_TC,$A217)+SUMIFS(SALIDAS_COMB,FECHA_COMB,"&gt;="&amp;O$2,FECHA_COMB,"&lt;="&amp;O$3,CLAVE_COMB,$A217)+SUMIFS(SALIDAS_DES,FECHA_DESGLOSEN,"&gt;="&amp;O$2,FECHA_DESGLOSEN,"&lt;="&amp;O$3,CLAVE_DESGLOSE,$A217)</f>
        <v>0</v>
      </c>
      <c r="P217" s="13">
        <f t="shared" si="392"/>
        <v>0</v>
      </c>
      <c r="Q217" s="13">
        <f t="shared" si="392"/>
        <v>0</v>
      </c>
      <c r="R217" s="13">
        <f t="shared" si="392"/>
        <v>0</v>
      </c>
      <c r="S217" s="13">
        <f t="shared" si="392"/>
        <v>0</v>
      </c>
      <c r="T217" s="13">
        <f t="shared" si="392"/>
        <v>0</v>
      </c>
      <c r="U217" s="68">
        <f t="shared" si="354"/>
        <v>0</v>
      </c>
      <c r="V217" s="268">
        <f t="shared" si="355"/>
        <v>0</v>
      </c>
      <c r="W217" s="13">
        <f t="shared" si="346"/>
        <v>0</v>
      </c>
      <c r="X217" s="13">
        <f t="shared" ref="X217:AB226" si="393">SUMIFS(SALIDAS_BIT,FECHA_BIT,"&gt;="&amp;X$2,FECHA_BIT,"&lt;="&amp;X$3,CLAVE_BIT,$A217)+SUMIFS(SALIDAS_BOV1,FECHA_BOV1,"&gt;="&amp;X$2,FECHA_BOV1,"&lt;="&amp;X$3,CLAVE_BOV1,$A217)+SUMIFS(SALIDAS_BOV2,FECHA_BOV2,"&gt;="&amp;X$2,FECHA_BOV2,"&lt;="&amp;X$3,CLAVE_BOV2,$A217)+SUMIFS(SALIDAS_BOV3,FECHA_BOV3,"&gt;="&amp;X$2,FECHA_BOV3,"&lt;="&amp;X$3,CLAVE_BOV3,$A217)+SUMIFS(SALIDAS_TC,FECHA_TC,"&gt;="&amp;X$2,FECHA_TC,"&lt;="&amp;X$3,CLAVE_TC,$A217)+SUMIFS(SALIDAS_COMB,FECHA_COMB,"&gt;="&amp;X$2,FECHA_COMB,"&lt;="&amp;X$3,CLAVE_COMB,$A217)+SUMIFS(SALIDAS_DES,FECHA_DESGLOSEN,"&gt;="&amp;X$2,FECHA_DESGLOSEN,"&lt;="&amp;X$3,CLAVE_DESGLOSE,$A217)</f>
        <v>0</v>
      </c>
      <c r="Y217" s="13">
        <f t="shared" si="393"/>
        <v>17351.37</v>
      </c>
      <c r="Z217" s="13">
        <f t="shared" si="393"/>
        <v>0</v>
      </c>
      <c r="AA217" s="13">
        <f t="shared" si="393"/>
        <v>0</v>
      </c>
      <c r="AB217" s="13">
        <f t="shared" si="393"/>
        <v>17351.37</v>
      </c>
      <c r="AC217" s="68">
        <f t="shared" si="356"/>
        <v>-17351.37</v>
      </c>
      <c r="AD217" s="268">
        <f t="shared" si="357"/>
        <v>0</v>
      </c>
      <c r="AE217" s="13">
        <f t="shared" si="347"/>
        <v>0</v>
      </c>
      <c r="AF217" s="13">
        <f t="shared" ref="AF217:AJ226" si="394">SUMIFS(SALIDAS_BIT,FECHA_BIT,"&gt;="&amp;AF$2,FECHA_BIT,"&lt;="&amp;AF$3,CLAVE_BIT,$A217)+SUMIFS(SALIDAS_BOV1,FECHA_BOV1,"&gt;="&amp;AF$2,FECHA_BOV1,"&lt;="&amp;AF$3,CLAVE_BOV1,$A217)+SUMIFS(SALIDAS_BOV2,FECHA_BOV2,"&gt;="&amp;AF$2,FECHA_BOV2,"&lt;="&amp;AF$3,CLAVE_BOV2,$A217)+SUMIFS(SALIDAS_BOV3,FECHA_BOV3,"&gt;="&amp;AF$2,FECHA_BOV3,"&lt;="&amp;AF$3,CLAVE_BOV3,$A217)+SUMIFS(SALIDAS_TC,FECHA_TC,"&gt;="&amp;AF$2,FECHA_TC,"&lt;="&amp;AF$3,CLAVE_TC,$A217)+SUMIFS(SALIDAS_COMB,FECHA_COMB,"&gt;="&amp;AF$2,FECHA_COMB,"&lt;="&amp;AF$3,CLAVE_COMB,$A217)+SUMIFS(SALIDAS_DES,FECHA_DESGLOSEN,"&gt;="&amp;AF$2,FECHA_DESGLOSEN,"&lt;="&amp;AF$3,CLAVE_DESGLOSE,$A217)</f>
        <v>0</v>
      </c>
      <c r="AG217" s="13">
        <f t="shared" si="394"/>
        <v>0</v>
      </c>
      <c r="AH217" s="13">
        <f t="shared" si="394"/>
        <v>2000</v>
      </c>
      <c r="AI217" s="13">
        <f t="shared" si="394"/>
        <v>0</v>
      </c>
      <c r="AJ217" s="13">
        <f t="shared" si="394"/>
        <v>2000</v>
      </c>
      <c r="AK217" s="68">
        <f t="shared" si="358"/>
        <v>-2000</v>
      </c>
      <c r="AL217" s="268">
        <f t="shared" si="359"/>
        <v>0</v>
      </c>
      <c r="AM217" s="13">
        <f t="shared" si="348"/>
        <v>0</v>
      </c>
      <c r="AN217" s="13">
        <f t="shared" ref="AN217:AS226" si="395">SUMIFS(SALIDAS_BIT,FECHA_BIT,"&gt;="&amp;AN$2,FECHA_BIT,"&lt;="&amp;AN$3,CLAVE_BIT,$A217)+SUMIFS(SALIDAS_BOV1,FECHA_BOV1,"&gt;="&amp;AN$2,FECHA_BOV1,"&lt;="&amp;AN$3,CLAVE_BOV1,$A217)+SUMIFS(SALIDAS_BOV2,FECHA_BOV2,"&gt;="&amp;AN$2,FECHA_BOV2,"&lt;="&amp;AN$3,CLAVE_BOV2,$A217)+SUMIFS(SALIDAS_BOV3,FECHA_BOV3,"&gt;="&amp;AN$2,FECHA_BOV3,"&lt;="&amp;AN$3,CLAVE_BOV3,$A217)+SUMIFS(SALIDAS_TC,FECHA_TC,"&gt;="&amp;AN$2,FECHA_TC,"&lt;="&amp;AN$3,CLAVE_TC,$A217)+SUMIFS(SALIDAS_COMB,FECHA_COMB,"&gt;="&amp;AN$2,FECHA_COMB,"&lt;="&amp;AN$3,CLAVE_COMB,$A217)+SUMIFS(SALIDAS_DES,FECHA_DESGLOSEN,"&gt;="&amp;AN$2,FECHA_DESGLOSEN,"&lt;="&amp;AN$3,CLAVE_DESGLOSE,$A217)</f>
        <v>0</v>
      </c>
      <c r="AO217" s="13">
        <f t="shared" si="395"/>
        <v>0</v>
      </c>
      <c r="AP217" s="13">
        <f t="shared" si="395"/>
        <v>0</v>
      </c>
      <c r="AQ217" s="13">
        <f t="shared" si="395"/>
        <v>0</v>
      </c>
      <c r="AR217" s="13">
        <f t="shared" si="395"/>
        <v>0</v>
      </c>
      <c r="AS217" s="13">
        <f t="shared" si="395"/>
        <v>0</v>
      </c>
      <c r="AT217" s="68">
        <f>AM217-AS217</f>
        <v>0</v>
      </c>
      <c r="AU217" s="268">
        <f t="shared" si="360"/>
        <v>0</v>
      </c>
      <c r="AV217" s="13">
        <f t="shared" si="349"/>
        <v>0</v>
      </c>
      <c r="AW217" s="13">
        <f t="shared" si="323"/>
        <v>1683</v>
      </c>
      <c r="AX217" s="13">
        <f t="shared" si="323"/>
        <v>0</v>
      </c>
      <c r="AY217" s="13">
        <f t="shared" si="323"/>
        <v>0</v>
      </c>
      <c r="AZ217" s="13">
        <f t="shared" si="323"/>
        <v>0</v>
      </c>
      <c r="BA217" s="13">
        <f t="shared" si="379"/>
        <v>1683</v>
      </c>
      <c r="BB217" s="68">
        <f t="shared" si="361"/>
        <v>-1683</v>
      </c>
      <c r="BC217" s="268">
        <f t="shared" si="362"/>
        <v>0</v>
      </c>
      <c r="BD217" s="13">
        <f t="shared" si="363"/>
        <v>0</v>
      </c>
      <c r="BE217" s="13">
        <f>SUMIFS(SALIDAS_BIT,FECHA_BIT,"&gt;="&amp;BE$2,FECHA_BIT,"&lt;="&amp;BE$3,CLAVE_BIT,$A217)+SUMIFS(SALIDAS_BOV1,FECHA_BOV1,"&gt;="&amp;BE$2,FECHA_BOV1,"&lt;="&amp;BE$3,CLAVE_BOV1,$A217)+SUMIFS(SALIDAS_BOV2,FECHA_BOV2,"&gt;="&amp;BE$2,FECHA_BOV2,"&lt;="&amp;BE$3,CLAVE_BOV2,$A217)+SUMIFS(SALIDAS_BOV3,FECHA_BOV3,"&gt;="&amp;BE$2,FECHA_BOV3,"&lt;="&amp;BE$3,CLAVE_BOV3,$A217)+SUMIFS(SALIDAS_TC,FECHA_TC,"&gt;="&amp;BE$2,FECHA_TC,"&lt;="&amp;BE$3,CLAVE_TC,$A217)+SUMIFS(SALIDAS_COMB,FECHA_COMB,"&gt;="&amp;BE$2,FECHA_COMB,"&lt;="&amp;BE$3,CLAVE_COMB,$A217)+SUMIFS(SALIDAS_DES,FECHA_DESGLOSEN,"&gt;="&amp;BE$2,FECHA_DESGLOSEN,"&lt;="&amp;BE$3,CLAVE_DESGLOSE,$A217)</f>
        <v>0</v>
      </c>
      <c r="BF217" s="13">
        <f>SUMIFS(SALIDAS_BIT,FECHA_BIT,"&gt;="&amp;BF$2,FECHA_BIT,"&lt;="&amp;BF$3,CLAVE_BIT,$A217)+SUMIFS(SALIDAS_BOV1,FECHA_BOV1,"&gt;="&amp;BF$2,FECHA_BOV1,"&lt;="&amp;BF$3,CLAVE_BOV1,$A217)+SUMIFS(SALIDAS_BOV2,FECHA_BOV2,"&gt;="&amp;BF$2,FECHA_BOV2,"&lt;="&amp;BF$3,CLAVE_BOV2,$A217)+SUMIFS(SALIDAS_BOV3,FECHA_BOV3,"&gt;="&amp;BF$2,FECHA_BOV3,"&lt;="&amp;BF$3,CLAVE_BOV3,$A217)+SUMIFS(SALIDAS_TC,FECHA_TC,"&gt;="&amp;BF$2,FECHA_TC,"&lt;="&amp;BF$3,CLAVE_TC,$A217)+SUMIFS(SALIDAS_COMB,FECHA_COMB,"&gt;="&amp;BF$2,FECHA_COMB,"&lt;="&amp;BF$3,CLAVE_COMB,$A217)+SUMIFS(SALIDAS_DES,FECHA_DESGLOSEN,"&gt;="&amp;BF$2,FECHA_DESGLOSEN,"&lt;="&amp;BF$3,CLAVE_DESGLOSE,$A217)</f>
        <v>1500</v>
      </c>
      <c r="BG217" s="13">
        <f>SUMIFS(SALIDAS_BIT,FECHA_BIT,"&gt;="&amp;BG$2,FECHA_BIT,"&lt;="&amp;BG$3,CLAVE_BIT,$A217)+SUMIFS(SALIDAS_BOV1,FECHA_BOV1,"&gt;="&amp;BG$2,FECHA_BOV1,"&lt;="&amp;BG$3,CLAVE_BOV1,$A217)+SUMIFS(SALIDAS_BOV2,FECHA_BOV2,"&gt;="&amp;BG$2,FECHA_BOV2,"&lt;="&amp;BG$3,CLAVE_BOV2,$A217)+SUMIFS(SALIDAS_BOV3,FECHA_BOV3,"&gt;="&amp;BG$2,FECHA_BOV3,"&lt;="&amp;BG$3,CLAVE_BOV3,$A217)+SUMIFS(SALIDAS_TC,FECHA_TC,"&gt;="&amp;BG$2,FECHA_TC,"&lt;="&amp;BG$3,CLAVE_TC,$A217)+SUMIFS(SALIDAS_COMB,FECHA_COMB,"&gt;="&amp;BG$2,FECHA_COMB,"&lt;="&amp;BG$3,CLAVE_COMB,$A217)+SUMIFS(SALIDAS_DES,FECHA_DESGLOSEN,"&gt;="&amp;BG$2,FECHA_DESGLOSEN,"&lt;="&amp;BG$3,CLAVE_DESGLOSE,$A217)</f>
        <v>0</v>
      </c>
      <c r="BH217" s="13">
        <f>SUMIFS(SALIDAS_BIT,FECHA_BIT,"&gt;="&amp;BH$2,FECHA_BIT,"&lt;="&amp;BH$3,CLAVE_BIT,$A217)+SUMIFS(SALIDAS_BOV1,FECHA_BOV1,"&gt;="&amp;BH$2,FECHA_BOV1,"&lt;="&amp;BH$3,CLAVE_BOV1,$A217)+SUMIFS(SALIDAS_BOV2,FECHA_BOV2,"&gt;="&amp;BH$2,FECHA_BOV2,"&lt;="&amp;BH$3,CLAVE_BOV2,$A217)+SUMIFS(SALIDAS_BOV3,FECHA_BOV3,"&gt;="&amp;BH$2,FECHA_BOV3,"&lt;="&amp;BH$3,CLAVE_BOV3,$A217)+SUMIFS(SALIDAS_TC,FECHA_TC,"&gt;="&amp;BH$2,FECHA_TC,"&lt;="&amp;BH$3,CLAVE_TC,$A217)+SUMIFS(SALIDAS_COMB,FECHA_COMB,"&gt;="&amp;BH$2,FECHA_COMB,"&lt;="&amp;BH$3,CLAVE_COMB,$A217)+SUMIFS(SALIDAS_DES,FECHA_DESGLOSEN,"&gt;="&amp;BH$2,FECHA_DESGLOSEN,"&lt;="&amp;BH$3,CLAVE_DESGLOSE,$A217)</f>
        <v>0</v>
      </c>
      <c r="BI217" s="13">
        <f t="shared" si="311"/>
        <v>1500</v>
      </c>
      <c r="BJ217" s="68">
        <f t="shared" si="364"/>
        <v>-1500</v>
      </c>
      <c r="BK217" s="268">
        <f t="shared" si="365"/>
        <v>0</v>
      </c>
      <c r="BL217" s="13">
        <f t="shared" si="366"/>
        <v>0</v>
      </c>
      <c r="BM217" s="13">
        <f>SUMIFS(SALIDAS_BIT,FECHA_BIT,"&gt;="&amp;BM$2,FECHA_BIT,"&lt;="&amp;BM$3,CLAVE_BIT,$A217)+SUMIFS(SALIDAS_BOV1,FECHA_BOV1,"&gt;="&amp;BM$2,FECHA_BOV1,"&lt;="&amp;BM$3,CLAVE_BOV1,$A217)+SUMIFS(SALIDAS_BOV2,FECHA_BOV2,"&gt;="&amp;BM$2,FECHA_BOV2,"&lt;="&amp;BM$3,CLAVE_BOV2,$A217)+SUMIFS(SALIDAS_BOV3,FECHA_BOV3,"&gt;="&amp;BM$2,FECHA_BOV3,"&lt;="&amp;BM$3,CLAVE_BOV3,$A217)+SUMIFS(SALIDAS_TC,FECHA_TC,"&gt;="&amp;BM$2,FECHA_TC,"&lt;="&amp;BM$3,CLAVE_TC,$A217)+SUMIFS(SALIDAS_COMB,FECHA_COMB,"&gt;="&amp;BM$2,FECHA_COMB,"&lt;="&amp;BM$3,CLAVE_COMB,$A217)+SUMIFS(SALIDAS_DES,FECHA_DESGLOSEN,"&gt;="&amp;BM$2,FECHA_DESGLOSEN,"&lt;="&amp;BM$3,CLAVE_DESGLOSE,$A217)</f>
        <v>0</v>
      </c>
      <c r="BN217" s="13">
        <f>SUMIFS(SALIDAS_BIT,FECHA_BIT,"&gt;="&amp;BN$2,FECHA_BIT,"&lt;="&amp;BN$3,CLAVE_BIT,$A217)+SUMIFS(SALIDAS_BOV1,FECHA_BOV1,"&gt;="&amp;BN$2,FECHA_BOV1,"&lt;="&amp;BN$3,CLAVE_BOV1,$A217)+SUMIFS(SALIDAS_BOV2,FECHA_BOV2,"&gt;="&amp;BN$2,FECHA_BOV2,"&lt;="&amp;BN$3,CLAVE_BOV2,$A217)+SUMIFS(SALIDAS_BOV3,FECHA_BOV3,"&gt;="&amp;BN$2,FECHA_BOV3,"&lt;="&amp;BN$3,CLAVE_BOV3,$A217)+SUMIFS(SALIDAS_TC,FECHA_TC,"&gt;="&amp;BN$2,FECHA_TC,"&lt;="&amp;BN$3,CLAVE_TC,$A217)+SUMIFS(SALIDAS_COMB,FECHA_COMB,"&gt;="&amp;BN$2,FECHA_COMB,"&lt;="&amp;BN$3,CLAVE_COMB,$A217)+SUMIFS(SALIDAS_DES,FECHA_DESGLOSEN,"&gt;="&amp;BN$2,FECHA_DESGLOSEN,"&lt;="&amp;BN$3,CLAVE_DESGLOSE,$A217)</f>
        <v>0</v>
      </c>
      <c r="BO217" s="13">
        <f>SUMIFS(SALIDAS_BIT,FECHA_BIT,"&gt;="&amp;BO$2,FECHA_BIT,"&lt;="&amp;BO$3,CLAVE_BIT,$A217)+SUMIFS(SALIDAS_BOV1,FECHA_BOV1,"&gt;="&amp;BO$2,FECHA_BOV1,"&lt;="&amp;BO$3,CLAVE_BOV1,$A217)+SUMIFS(SALIDAS_BOV2,FECHA_BOV2,"&gt;="&amp;BO$2,FECHA_BOV2,"&lt;="&amp;BO$3,CLAVE_BOV2,$A217)+SUMIFS(SALIDAS_BOV3,FECHA_BOV3,"&gt;="&amp;BO$2,FECHA_BOV3,"&lt;="&amp;BO$3,CLAVE_BOV3,$A217)+SUMIFS(SALIDAS_TC,FECHA_TC,"&gt;="&amp;BO$2,FECHA_TC,"&lt;="&amp;BO$3,CLAVE_TC,$A217)+SUMIFS(SALIDAS_COMB,FECHA_COMB,"&gt;="&amp;BO$2,FECHA_COMB,"&lt;="&amp;BO$3,CLAVE_COMB,$A217)+SUMIFS(SALIDAS_DES,FECHA_DESGLOSEN,"&gt;="&amp;BO$2,FECHA_DESGLOSEN,"&lt;="&amp;BO$3,CLAVE_DESGLOSE,$A217)</f>
        <v>0</v>
      </c>
      <c r="BP217" s="13">
        <f>SUMIFS(SALIDAS_BIT,FECHA_BIT,"&gt;="&amp;BP$2,FECHA_BIT,"&lt;="&amp;BP$3,CLAVE_BIT,$A217)+SUMIFS(SALIDAS_BOV1,FECHA_BOV1,"&gt;="&amp;BP$2,FECHA_BOV1,"&lt;="&amp;BP$3,CLAVE_BOV1,$A217)+SUMIFS(SALIDAS_BOV2,FECHA_BOV2,"&gt;="&amp;BP$2,FECHA_BOV2,"&lt;="&amp;BP$3,CLAVE_BOV2,$A217)+SUMIFS(SALIDAS_BOV3,FECHA_BOV3,"&gt;="&amp;BP$2,FECHA_BOV3,"&lt;="&amp;BP$3,CLAVE_BOV3,$A217)+SUMIFS(SALIDAS_TC,FECHA_TC,"&gt;="&amp;BP$2,FECHA_TC,"&lt;="&amp;BP$3,CLAVE_TC,$A217)+SUMIFS(SALIDAS_COMB,FECHA_COMB,"&gt;="&amp;BP$2,FECHA_COMB,"&lt;="&amp;BP$3,CLAVE_COMB,$A217)+SUMIFS(SALIDAS_DES,FECHA_DESGLOSEN,"&gt;="&amp;BP$2,FECHA_DESGLOSEN,"&lt;="&amp;BP$3,CLAVE_DESGLOSE,$A217)</f>
        <v>0</v>
      </c>
      <c r="BQ217" s="13">
        <f>SUMIFS(SALIDAS_BIT,FECHA_BIT,"&gt;="&amp;BQ$2,FECHA_BIT,"&lt;="&amp;BQ$3,CLAVE_BIT,$A217)+SUMIFS(SALIDAS_BOV1,FECHA_BOV1,"&gt;="&amp;BQ$2,FECHA_BOV1,"&lt;="&amp;BQ$3,CLAVE_BOV1,$A217)+SUMIFS(SALIDAS_BOV2,FECHA_BOV2,"&gt;="&amp;BQ$2,FECHA_BOV2,"&lt;="&amp;BQ$3,CLAVE_BOV2,$A217)+SUMIFS(SALIDAS_BOV3,FECHA_BOV3,"&gt;="&amp;BQ$2,FECHA_BOV3,"&lt;="&amp;BQ$3,CLAVE_BOV3,$A217)+SUMIFS(SALIDAS_TC,FECHA_TC,"&gt;="&amp;BQ$2,FECHA_TC,"&lt;="&amp;BQ$3,CLAVE_TC,$A217)+SUMIFS(SALIDAS_COMB,FECHA_COMB,"&gt;="&amp;BQ$2,FECHA_COMB,"&lt;="&amp;BQ$3,CLAVE_COMB,$A217)+SUMIFS(SALIDAS_DES,FECHA_DESGLOSEN,"&gt;="&amp;BQ$2,FECHA_DESGLOSEN,"&lt;="&amp;BQ$3,CLAVE_DESGLOSE,$A217)</f>
        <v>0</v>
      </c>
      <c r="BR217" s="13">
        <f t="shared" ref="BR217:BR226" si="396">SUMIFS(SALIDAS_BIT,FECHA_BIT,"&gt;="&amp;BR$2,FECHA_BIT,"&lt;="&amp;BR$3,CLAVE_BIT,$A217)+SUMIFS(SALIDAS_BOV1,FECHA_BOV1,"&gt;="&amp;BR$2,FECHA_BOV1,"&lt;="&amp;BR$3,CLAVE_BOV1,$A217)+SUMIFS(SALIDAS_BOV2,FECHA_BOV2,"&gt;="&amp;BR$2,FECHA_BOV2,"&lt;="&amp;BR$3,CLAVE_BOV2,$A217)+SUMIFS(SALIDAS_BOV3,FECHA_BOV3,"&gt;="&amp;BR$2,FECHA_BOV3,"&lt;="&amp;BR$3,CLAVE_BOV3,$A217)+SUMIFS(SALIDAS_TC,FECHA_TC,"&gt;="&amp;BR$2,FECHA_TC,"&lt;="&amp;BR$3,CLAVE_TC,$A217)+SUMIFS(SALIDAS_COMB,FECHA_COMB,"&gt;="&amp;BR$2,FECHA_COMB,"&lt;="&amp;BR$3,CLAVE_COMB,$A217)+SUMIFS(SALIDAS_DES,FECHA_DESGLOSEN,"&gt;="&amp;BR$2,FECHA_DESGLOSEN,"&lt;="&amp;BR$3,CLAVE_DESGLOSE,$A217)</f>
        <v>0</v>
      </c>
      <c r="BS217" s="68">
        <f t="shared" si="367"/>
        <v>0</v>
      </c>
      <c r="BT217" s="268">
        <f t="shared" si="368"/>
        <v>0</v>
      </c>
      <c r="BU217" s="13">
        <f t="shared" si="369"/>
        <v>0</v>
      </c>
      <c r="BV217" s="13">
        <f t="shared" si="389"/>
        <v>0</v>
      </c>
      <c r="BW217" s="13">
        <f t="shared" si="389"/>
        <v>0</v>
      </c>
      <c r="BX217" s="13">
        <f t="shared" si="389"/>
        <v>0</v>
      </c>
      <c r="BY217" s="13">
        <f t="shared" si="389"/>
        <v>0</v>
      </c>
      <c r="BZ217" s="13">
        <f t="shared" ref="BZ217:BZ226" si="397">SUMIFS(SALIDAS_BIT,FECHA_BIT,"&gt;="&amp;BZ$2,FECHA_BIT,"&lt;="&amp;BZ$3,CLAVE_BIT,$A217)+SUMIFS(SALIDAS_BOV1,FECHA_BOV1,"&gt;="&amp;BZ$2,FECHA_BOV1,"&lt;="&amp;BZ$3,CLAVE_BOV1,$A217)+SUMIFS(SALIDAS_BOV2,FECHA_BOV2,"&gt;="&amp;BZ$2,FECHA_BOV2,"&lt;="&amp;BZ$3,CLAVE_BOV2,$A217)+SUMIFS(SALIDAS_BOV3,FECHA_BOV3,"&gt;="&amp;BZ$2,FECHA_BOV3,"&lt;="&amp;BZ$3,CLAVE_BOV3,$A217)+SUMIFS(SALIDAS_TC,FECHA_TC,"&gt;="&amp;BZ$2,FECHA_TC,"&lt;="&amp;BZ$3,CLAVE_TC,$A217)+SUMIFS(SALIDAS_COMB,FECHA_COMB,"&gt;="&amp;BZ$2,FECHA_COMB,"&lt;="&amp;BZ$3,CLAVE_COMB,$A217)+SUMIFS(SALIDAS_DES,FECHA_DESGLOSEN,"&gt;="&amp;BZ$2,FECHA_DESGLOSEN,"&lt;="&amp;BZ$3,CLAVE_DESGLOSE,$A217)</f>
        <v>0</v>
      </c>
      <c r="CA217" s="68">
        <f t="shared" si="370"/>
        <v>0</v>
      </c>
      <c r="CB217" s="268">
        <f t="shared" si="371"/>
        <v>0</v>
      </c>
      <c r="CC217" s="13">
        <f t="shared" si="372"/>
        <v>0</v>
      </c>
      <c r="CD217" s="13">
        <f t="shared" si="390"/>
        <v>0</v>
      </c>
      <c r="CE217" s="13">
        <f t="shared" si="390"/>
        <v>0</v>
      </c>
      <c r="CF217" s="13">
        <f t="shared" si="390"/>
        <v>0</v>
      </c>
      <c r="CG217" s="13">
        <f t="shared" si="390"/>
        <v>0</v>
      </c>
      <c r="CH217" s="13">
        <f t="shared" ref="CH217:CH226" si="398">SUMIFS(SALIDAS_BIT,FECHA_BIT,"&gt;="&amp;CH$2,FECHA_BIT,"&lt;="&amp;CH$3,CLAVE_BIT,$A217)+SUMIFS(SALIDAS_BOV1,FECHA_BOV1,"&gt;="&amp;CH$2,FECHA_BOV1,"&lt;="&amp;CH$3,CLAVE_BOV1,$A217)+SUMIFS(SALIDAS_BOV2,FECHA_BOV2,"&gt;="&amp;CH$2,FECHA_BOV2,"&lt;="&amp;CH$3,CLAVE_BOV2,$A217)+SUMIFS(SALIDAS_BOV3,FECHA_BOV3,"&gt;="&amp;CH$2,FECHA_BOV3,"&lt;="&amp;CH$3,CLAVE_BOV3,$A217)+SUMIFS(SALIDAS_TC,FECHA_TC,"&gt;="&amp;CH$2,FECHA_TC,"&lt;="&amp;CH$3,CLAVE_TC,$A217)+SUMIFS(SALIDAS_COMB,FECHA_COMB,"&gt;="&amp;CH$2,FECHA_COMB,"&lt;="&amp;CH$3,CLAVE_COMB,$A217)+SUMIFS(SALIDAS_DES,FECHA_DESGLOSEN,"&gt;="&amp;CH$2,FECHA_DESGLOSEN,"&lt;="&amp;CH$3,CLAVE_DESGLOSE,$A217)</f>
        <v>0</v>
      </c>
      <c r="CI217" s="68">
        <f t="shared" si="373"/>
        <v>0</v>
      </c>
      <c r="CJ217" s="268">
        <f t="shared" si="374"/>
        <v>0</v>
      </c>
      <c r="CK217" s="13">
        <f t="shared" si="375"/>
        <v>40000</v>
      </c>
      <c r="CL217" s="13">
        <f t="shared" si="312"/>
        <v>0</v>
      </c>
      <c r="CM217" s="13">
        <f t="shared" si="312"/>
        <v>0</v>
      </c>
      <c r="CN217" s="13">
        <f t="shared" si="312"/>
        <v>0</v>
      </c>
      <c r="CO217" s="13">
        <f t="shared" si="312"/>
        <v>0</v>
      </c>
      <c r="CP217" s="13">
        <f t="shared" si="312"/>
        <v>0</v>
      </c>
      <c r="CQ217" s="13">
        <f t="shared" ref="CQ217:CQ226" si="399">SUMIFS(SALIDAS_BIT,FECHA_BIT,"&gt;="&amp;CQ$2,FECHA_BIT,"&lt;="&amp;CQ$3,CLAVE_BIT,$A217)+SUMIFS(SALIDAS_BOV1,FECHA_BOV1,"&gt;="&amp;CQ$2,FECHA_BOV1,"&lt;="&amp;CQ$3,CLAVE_BOV1,$A217)+SUMIFS(SALIDAS_BOV2,FECHA_BOV2,"&gt;="&amp;CQ$2,FECHA_BOV2,"&lt;="&amp;CQ$3,CLAVE_BOV2,$A217)+SUMIFS(SALIDAS_BOV3,FECHA_BOV3,"&gt;="&amp;CQ$2,FECHA_BOV3,"&lt;="&amp;CQ$3,CLAVE_BOV3,$A217)+SUMIFS(SALIDAS_TC,FECHA_TC,"&gt;="&amp;CQ$2,FECHA_TC,"&lt;="&amp;CQ$3,CLAVE_TC,$A217)+SUMIFS(SALIDAS_COMB,FECHA_COMB,"&gt;="&amp;CQ$2,FECHA_COMB,"&lt;="&amp;CQ$3,CLAVE_COMB,$A217)+SUMIFS(SALIDAS_DES,FECHA_DESGLOSEN,"&gt;="&amp;CQ$2,FECHA_DESGLOSEN,"&lt;="&amp;CQ$3,CLAVE_DESGLOSE,$A217)</f>
        <v>0</v>
      </c>
      <c r="CR217" s="68">
        <f t="shared" si="376"/>
        <v>40000</v>
      </c>
      <c r="CS217" s="268">
        <f t="shared" si="377"/>
        <v>0</v>
      </c>
      <c r="CT217" s="68">
        <f t="shared" si="350"/>
        <v>2000</v>
      </c>
      <c r="CU217" s="13">
        <f>SUMIFS(SALIDAS_BIT,FECHA_BIT,"&gt;="&amp;CU$2,FECHA_BIT,"&lt;="&amp;CU$3,CLAVE_BIT,$A217)+SUMIFS(SALIDAS_BOV1,FECHA_BOV1,"&gt;="&amp;CU$2,FECHA_BOV1,"&lt;="&amp;CU$3,CLAVE_BOV1,$A217)+SUMIFS(SALIDAS_BOV2,FECHA_BOV2,"&gt;="&amp;CU$2,FECHA_BOV2,"&lt;="&amp;CU$3,CLAVE_BOV2,$A217)+SUMIFS(SALIDAS_BOV3,FECHA_BOV3,"&gt;="&amp;CU$2,FECHA_BOV3,"&lt;="&amp;CU$3,CLAVE_BOV3,$A217)+SUMIFS(SALIDAS_TC,FECHA_TC,"&gt;="&amp;CU$2,FECHA_TC,"&lt;="&amp;CU$3,CLAVE_TC,$A217)+SUMIFS(SALIDAS_COMB,FECHA_COMB,"&gt;="&amp;CU$2,FECHA_COMB,"&lt;="&amp;CU$3,CLAVE_COMB,$A217)+SUMIFS(SALIDAS_DES,FECHA_DESGLOSEN,"&gt;="&amp;CU$2,FECHA_DESGLOSEN,"&lt;="&amp;CU$3,CLAVE_DESGLOSE,$A217)</f>
        <v>0</v>
      </c>
      <c r="CV217" s="13">
        <f>SUMIFS(SALIDAS_BIT,FECHA_BIT,"&gt;="&amp;CV$2,FECHA_BIT,"&lt;="&amp;CV$3,CLAVE_BIT,$A217)+SUMIFS(SALIDAS_BOV1,FECHA_BOV1,"&gt;="&amp;CV$2,FECHA_BOV1,"&lt;="&amp;CV$3,CLAVE_BOV1,$A217)+SUMIFS(SALIDAS_BOV2,FECHA_BOV2,"&gt;="&amp;CV$2,FECHA_BOV2,"&lt;="&amp;CV$3,CLAVE_BOV2,$A217)+SUMIFS(SALIDAS_BOV3,FECHA_BOV3,"&gt;="&amp;CV$2,FECHA_BOV3,"&lt;="&amp;CV$3,CLAVE_BOV3,$A217)+SUMIFS(SALIDAS_TC,FECHA_TC,"&gt;="&amp;CV$2,FECHA_TC,"&lt;="&amp;CV$3,CLAVE_TC,$A217)+SUMIFS(SALIDAS_COMB,FECHA_COMB,"&gt;="&amp;CV$2,FECHA_COMB,"&lt;="&amp;CV$3,CLAVE_COMB,$A217)+SUMIFS(SALIDAS_DES,FECHA_DESGLOSEN,"&gt;="&amp;CV$2,FECHA_DESGLOSEN,"&lt;="&amp;CV$3,CLAVE_DESGLOSE,$A217)</f>
        <v>0</v>
      </c>
      <c r="CW217" s="13">
        <f>SUMIFS(SALIDAS_BIT,FECHA_BIT,"&gt;="&amp;CW$2,FECHA_BIT,"&lt;="&amp;CW$3,CLAVE_BIT,$A217)+SUMIFS(SALIDAS_BOV1,FECHA_BOV1,"&gt;="&amp;CW$2,FECHA_BOV1,"&lt;="&amp;CW$3,CLAVE_BOV1,$A217)+SUMIFS(SALIDAS_BOV2,FECHA_BOV2,"&gt;="&amp;CW$2,FECHA_BOV2,"&lt;="&amp;CW$3,CLAVE_BOV2,$A217)+SUMIFS(SALIDAS_BOV3,FECHA_BOV3,"&gt;="&amp;CW$2,FECHA_BOV3,"&lt;="&amp;CW$3,CLAVE_BOV3,$A217)+SUMIFS(SALIDAS_TC,FECHA_TC,"&gt;="&amp;CW$2,FECHA_TC,"&lt;="&amp;CW$3,CLAVE_TC,$A217)+SUMIFS(SALIDAS_COMB,FECHA_COMB,"&gt;="&amp;CW$2,FECHA_COMB,"&lt;="&amp;CW$3,CLAVE_COMB,$A217)+SUMIFS(SALIDAS_DES,FECHA_DESGLOSEN,"&gt;="&amp;CW$2,FECHA_DESGLOSEN,"&lt;="&amp;CW$3,CLAVE_DESGLOSE,$A217)</f>
        <v>0</v>
      </c>
      <c r="CX217" s="13">
        <f>SUMIFS(SALIDAS_BIT,FECHA_BIT,"&gt;="&amp;CX$2,FECHA_BIT,"&lt;="&amp;CX$3,CLAVE_BIT,$A217)+SUMIFS(SALIDAS_BOV1,FECHA_BOV1,"&gt;="&amp;CX$2,FECHA_BOV1,"&lt;="&amp;CX$3,CLAVE_BOV1,$A217)+SUMIFS(SALIDAS_BOV2,FECHA_BOV2,"&gt;="&amp;CX$2,FECHA_BOV2,"&lt;="&amp;CX$3,CLAVE_BOV2,$A217)+SUMIFS(SALIDAS_BOV3,FECHA_BOV3,"&gt;="&amp;CX$2,FECHA_BOV3,"&lt;="&amp;CX$3,CLAVE_BOV3,$A217)+SUMIFS(SALIDAS_TC,FECHA_TC,"&gt;="&amp;CX$2,FECHA_TC,"&lt;="&amp;CX$3,CLAVE_TC,$A217)+SUMIFS(SALIDAS_COMB,FECHA_COMB,"&gt;="&amp;CX$2,FECHA_COMB,"&lt;="&amp;CX$3,CLAVE_COMB,$A217)+SUMIFS(SALIDAS_DES,FECHA_DESGLOSEN,"&gt;="&amp;CX$2,FECHA_DESGLOSEN,"&lt;="&amp;CX$3,CLAVE_DESGLOSE,$A217)</f>
        <v>0</v>
      </c>
      <c r="CY217" s="13">
        <f>SUMIFS(SALIDAS_BIT,FECHA_BIT,"&gt;="&amp;CY$2,FECHA_BIT,"&lt;="&amp;CY$3,CLAVE_BIT,$A217)+SUMIFS(SALIDAS_BOV1,FECHA_BOV1,"&gt;="&amp;CY$2,FECHA_BOV1,"&lt;="&amp;CY$3,CLAVE_BOV1,$A217)+SUMIFS(SALIDAS_BOV2,FECHA_BOV2,"&gt;="&amp;CY$2,FECHA_BOV2,"&lt;="&amp;CY$3,CLAVE_BOV2,$A217)+SUMIFS(SALIDAS_BOV3,FECHA_BOV3,"&gt;="&amp;CY$2,FECHA_BOV3,"&lt;="&amp;CY$3,CLAVE_BOV3,$A217)+SUMIFS(SALIDAS_TC,FECHA_TC,"&gt;="&amp;CY$2,FECHA_TC,"&lt;="&amp;CY$3,CLAVE_TC,$A217)+SUMIFS(SALIDAS_COMB,FECHA_COMB,"&gt;="&amp;CY$2,FECHA_COMB,"&lt;="&amp;CY$3,CLAVE_COMB,$A217)+SUMIFS(SALIDAS_DES,FECHA_DESGLOSEN,"&gt;="&amp;CY$2,FECHA_DESGLOSEN,"&lt;="&amp;CY$3,CLAVE_DESGLOSE,$A217)</f>
        <v>0</v>
      </c>
      <c r="CZ217" s="68">
        <f t="shared" si="378"/>
        <v>2000</v>
      </c>
      <c r="DB217" s="17">
        <f>F217+N217+W217+AE217+AM217+AV217+BD217+BL217+BU217+CC217+CK217</f>
        <v>40000</v>
      </c>
      <c r="DC217" s="17">
        <f>K217+T217+AB217+AJ217+AS217+BA217+BI217+BR217+BZ217+CH217+CQ217</f>
        <v>22534.37</v>
      </c>
    </row>
    <row r="218" spans="1:107" hidden="1">
      <c r="A218" s="12" t="str">
        <f t="shared" si="351"/>
        <v>FINANZASSGMFINANZAS</v>
      </c>
      <c r="B218" s="12">
        <v>220</v>
      </c>
      <c r="C218" t="s">
        <v>23</v>
      </c>
      <c r="D218" s="12" t="s">
        <v>176</v>
      </c>
      <c r="E218" s="12" t="s">
        <v>23</v>
      </c>
      <c r="F218" s="259">
        <f t="shared" si="344"/>
        <v>0</v>
      </c>
      <c r="G218" s="13">
        <f t="shared" si="391"/>
        <v>0</v>
      </c>
      <c r="H218" s="13">
        <f t="shared" si="391"/>
        <v>0</v>
      </c>
      <c r="I218" s="13">
        <f t="shared" si="391"/>
        <v>0</v>
      </c>
      <c r="J218" s="13">
        <f t="shared" si="391"/>
        <v>0</v>
      </c>
      <c r="K218" s="13">
        <f t="shared" si="391"/>
        <v>0</v>
      </c>
      <c r="L218" s="68">
        <f t="shared" si="352"/>
        <v>0</v>
      </c>
      <c r="M218" s="268">
        <f t="shared" si="353"/>
        <v>0</v>
      </c>
      <c r="N218" s="13">
        <f t="shared" si="345"/>
        <v>41929</v>
      </c>
      <c r="O218" s="13">
        <f t="shared" si="392"/>
        <v>0</v>
      </c>
      <c r="P218" s="13">
        <f t="shared" si="392"/>
        <v>0</v>
      </c>
      <c r="Q218" s="13">
        <f t="shared" si="392"/>
        <v>0</v>
      </c>
      <c r="R218" s="13">
        <f t="shared" si="392"/>
        <v>4390</v>
      </c>
      <c r="S218" s="13">
        <f t="shared" si="392"/>
        <v>0</v>
      </c>
      <c r="T218" s="13">
        <f t="shared" si="392"/>
        <v>4390</v>
      </c>
      <c r="U218" s="68">
        <f t="shared" si="354"/>
        <v>37539</v>
      </c>
      <c r="V218" s="268">
        <f t="shared" si="355"/>
        <v>0.10470080373965514</v>
      </c>
      <c r="W218" s="13">
        <f t="shared" si="346"/>
        <v>0</v>
      </c>
      <c r="X218" s="13">
        <f t="shared" si="393"/>
        <v>0</v>
      </c>
      <c r="Y218" s="13">
        <f t="shared" si="393"/>
        <v>34702.74</v>
      </c>
      <c r="Z218" s="13">
        <f t="shared" si="393"/>
        <v>0</v>
      </c>
      <c r="AA218" s="13">
        <f t="shared" si="393"/>
        <v>0</v>
      </c>
      <c r="AB218" s="13">
        <f t="shared" si="393"/>
        <v>34702.74</v>
      </c>
      <c r="AC218" s="68">
        <f t="shared" si="356"/>
        <v>-34702.74</v>
      </c>
      <c r="AD218" s="268">
        <f t="shared" si="357"/>
        <v>0</v>
      </c>
      <c r="AE218" s="13">
        <f t="shared" si="347"/>
        <v>0</v>
      </c>
      <c r="AF218" s="13">
        <f t="shared" si="394"/>
        <v>0</v>
      </c>
      <c r="AG218" s="13">
        <f t="shared" si="394"/>
        <v>0</v>
      </c>
      <c r="AH218" s="13">
        <f t="shared" si="394"/>
        <v>0</v>
      </c>
      <c r="AI218" s="13">
        <f t="shared" si="394"/>
        <v>0</v>
      </c>
      <c r="AJ218" s="13">
        <f t="shared" si="394"/>
        <v>0</v>
      </c>
      <c r="AK218" s="68">
        <f t="shared" si="358"/>
        <v>0</v>
      </c>
      <c r="AL218" s="268">
        <f t="shared" si="359"/>
        <v>0</v>
      </c>
      <c r="AM218" s="13">
        <f t="shared" si="348"/>
        <v>0</v>
      </c>
      <c r="AN218" s="13">
        <f t="shared" si="395"/>
        <v>0</v>
      </c>
      <c r="AO218" s="13">
        <f t="shared" si="395"/>
        <v>0</v>
      </c>
      <c r="AP218" s="13">
        <f t="shared" si="395"/>
        <v>0</v>
      </c>
      <c r="AQ218" s="13">
        <f t="shared" si="395"/>
        <v>0</v>
      </c>
      <c r="AR218" s="13">
        <f t="shared" si="395"/>
        <v>0</v>
      </c>
      <c r="AS218" s="13">
        <f t="shared" si="395"/>
        <v>0</v>
      </c>
      <c r="AT218" s="68">
        <f>AM218-AS218</f>
        <v>0</v>
      </c>
      <c r="AU218" s="268">
        <f t="shared" si="360"/>
        <v>0</v>
      </c>
      <c r="AV218" s="13">
        <f t="shared" si="349"/>
        <v>0</v>
      </c>
      <c r="AW218" s="13">
        <f t="shared" si="323"/>
        <v>0</v>
      </c>
      <c r="AX218" s="13">
        <f t="shared" si="323"/>
        <v>0</v>
      </c>
      <c r="AY218" s="13">
        <f t="shared" si="323"/>
        <v>0</v>
      </c>
      <c r="AZ218" s="13">
        <f t="shared" si="323"/>
        <v>0</v>
      </c>
      <c r="BA218" s="13">
        <f t="shared" si="379"/>
        <v>0</v>
      </c>
      <c r="BB218" s="68">
        <f t="shared" si="361"/>
        <v>0</v>
      </c>
      <c r="BC218" s="268">
        <f t="shared" si="362"/>
        <v>0</v>
      </c>
      <c r="BD218" s="13">
        <f t="shared" si="363"/>
        <v>0</v>
      </c>
      <c r="BE218" s="13">
        <f>SUMIFS(SALIDAS_BIT,FECHA_BIT,"&gt;="&amp;BE$2,FECHA_BIT,"&lt;="&amp;BE$3,CLAVE_BIT,$A218)+SUMIFS(SALIDAS_BOV1,FECHA_BOV1,"&gt;="&amp;BE$2,FECHA_BOV1,"&lt;="&amp;BE$3,CLAVE_BOV1,$A218)+SUMIFS(SALIDAS_BOV2,FECHA_BOV2,"&gt;="&amp;BE$2,FECHA_BOV2,"&lt;="&amp;BE$3,CLAVE_BOV2,$A218)+SUMIFS(SALIDAS_BOV3,FECHA_BOV3,"&gt;="&amp;BE$2,FECHA_BOV3,"&lt;="&amp;BE$3,CLAVE_BOV3,$A218)+SUMIFS(SALIDAS_TC,FECHA_TC,"&gt;="&amp;BE$2,FECHA_TC,"&lt;="&amp;BE$3,CLAVE_TC,$A218)+SUMIFS(SALIDAS_COMB,FECHA_COMB,"&gt;="&amp;BE$2,FECHA_COMB,"&lt;="&amp;BE$3,CLAVE_COMB,$A218)+SUMIFS(SALIDAS_DES,FECHA_DESGLOSEN,"&gt;="&amp;BE$2,FECHA_DESGLOSEN,"&lt;="&amp;BE$3,CLAVE_DESGLOSE,$A218)</f>
        <v>0</v>
      </c>
      <c r="BF218" s="13">
        <f>SUMIFS(SALIDAS_BIT,FECHA_BIT,"&gt;="&amp;BF$2,FECHA_BIT,"&lt;="&amp;BF$3,CLAVE_BIT,$A218)+SUMIFS(SALIDAS_BOV1,FECHA_BOV1,"&gt;="&amp;BF$2,FECHA_BOV1,"&lt;="&amp;BF$3,CLAVE_BOV1,$A218)+SUMIFS(SALIDAS_BOV2,FECHA_BOV2,"&gt;="&amp;BF$2,FECHA_BOV2,"&lt;="&amp;BF$3,CLAVE_BOV2,$A218)+SUMIFS(SALIDAS_BOV3,FECHA_BOV3,"&gt;="&amp;BF$2,FECHA_BOV3,"&lt;="&amp;BF$3,CLAVE_BOV3,$A218)+SUMIFS(SALIDAS_TC,FECHA_TC,"&gt;="&amp;BF$2,FECHA_TC,"&lt;="&amp;BF$3,CLAVE_TC,$A218)+SUMIFS(SALIDAS_COMB,FECHA_COMB,"&gt;="&amp;BF$2,FECHA_COMB,"&lt;="&amp;BF$3,CLAVE_COMB,$A218)+SUMIFS(SALIDAS_DES,FECHA_DESGLOSEN,"&gt;="&amp;BF$2,FECHA_DESGLOSEN,"&lt;="&amp;BF$3,CLAVE_DESGLOSE,$A218)</f>
        <v>0</v>
      </c>
      <c r="BG218" s="13">
        <f>SUMIFS(SALIDAS_BIT,FECHA_BIT,"&gt;="&amp;BG$2,FECHA_BIT,"&lt;="&amp;BG$3,CLAVE_BIT,$A218)+SUMIFS(SALIDAS_BOV1,FECHA_BOV1,"&gt;="&amp;BG$2,FECHA_BOV1,"&lt;="&amp;BG$3,CLAVE_BOV1,$A218)+SUMIFS(SALIDAS_BOV2,FECHA_BOV2,"&gt;="&amp;BG$2,FECHA_BOV2,"&lt;="&amp;BG$3,CLAVE_BOV2,$A218)+SUMIFS(SALIDAS_BOV3,FECHA_BOV3,"&gt;="&amp;BG$2,FECHA_BOV3,"&lt;="&amp;BG$3,CLAVE_BOV3,$A218)+SUMIFS(SALIDAS_TC,FECHA_TC,"&gt;="&amp;BG$2,FECHA_TC,"&lt;="&amp;BG$3,CLAVE_TC,$A218)+SUMIFS(SALIDAS_COMB,FECHA_COMB,"&gt;="&amp;BG$2,FECHA_COMB,"&lt;="&amp;BG$3,CLAVE_COMB,$A218)+SUMIFS(SALIDAS_DES,FECHA_DESGLOSEN,"&gt;="&amp;BG$2,FECHA_DESGLOSEN,"&lt;="&amp;BG$3,CLAVE_DESGLOSE,$A218)</f>
        <v>0</v>
      </c>
      <c r="BH218" s="13">
        <f>SUMIFS(SALIDAS_BIT,FECHA_BIT,"&gt;="&amp;BH$2,FECHA_BIT,"&lt;="&amp;BH$3,CLAVE_BIT,$A218)+SUMIFS(SALIDAS_BOV1,FECHA_BOV1,"&gt;="&amp;BH$2,FECHA_BOV1,"&lt;="&amp;BH$3,CLAVE_BOV1,$A218)+SUMIFS(SALIDAS_BOV2,FECHA_BOV2,"&gt;="&amp;BH$2,FECHA_BOV2,"&lt;="&amp;BH$3,CLAVE_BOV2,$A218)+SUMIFS(SALIDAS_BOV3,FECHA_BOV3,"&gt;="&amp;BH$2,FECHA_BOV3,"&lt;="&amp;BH$3,CLAVE_BOV3,$A218)+SUMIFS(SALIDAS_TC,FECHA_TC,"&gt;="&amp;BH$2,FECHA_TC,"&lt;="&amp;BH$3,CLAVE_TC,$A218)+SUMIFS(SALIDAS_COMB,FECHA_COMB,"&gt;="&amp;BH$2,FECHA_COMB,"&lt;="&amp;BH$3,CLAVE_COMB,$A218)+SUMIFS(SALIDAS_DES,FECHA_DESGLOSEN,"&gt;="&amp;BH$2,FECHA_DESGLOSEN,"&lt;="&amp;BH$3,CLAVE_DESGLOSE,$A218)</f>
        <v>0</v>
      </c>
      <c r="BI218" s="13">
        <f t="shared" si="311"/>
        <v>0</v>
      </c>
      <c r="BJ218" s="68">
        <f t="shared" si="364"/>
        <v>0</v>
      </c>
      <c r="BK218" s="268">
        <f t="shared" si="365"/>
        <v>0</v>
      </c>
      <c r="BL218" s="13">
        <f t="shared" si="366"/>
        <v>0</v>
      </c>
      <c r="BM218" s="13">
        <f>SUMIFS(SALIDAS_BIT,FECHA_BIT,"&gt;="&amp;BM$2,FECHA_BIT,"&lt;="&amp;BM$3,CLAVE_BIT,$A218)+SUMIFS(SALIDAS_BOV1,FECHA_BOV1,"&gt;="&amp;BM$2,FECHA_BOV1,"&lt;="&amp;BM$3,CLAVE_BOV1,$A218)+SUMIFS(SALIDAS_BOV2,FECHA_BOV2,"&gt;="&amp;BM$2,FECHA_BOV2,"&lt;="&amp;BM$3,CLAVE_BOV2,$A218)+SUMIFS(SALIDAS_BOV3,FECHA_BOV3,"&gt;="&amp;BM$2,FECHA_BOV3,"&lt;="&amp;BM$3,CLAVE_BOV3,$A218)+SUMIFS(SALIDAS_TC,FECHA_TC,"&gt;="&amp;BM$2,FECHA_TC,"&lt;="&amp;BM$3,CLAVE_TC,$A218)+SUMIFS(SALIDAS_COMB,FECHA_COMB,"&gt;="&amp;BM$2,FECHA_COMB,"&lt;="&amp;BM$3,CLAVE_COMB,$A218)+SUMIFS(SALIDAS_DES,FECHA_DESGLOSEN,"&gt;="&amp;BM$2,FECHA_DESGLOSEN,"&lt;="&amp;BM$3,CLAVE_DESGLOSE,$A218)</f>
        <v>0</v>
      </c>
      <c r="BN218" s="13">
        <f>SUMIFS(SALIDAS_BIT,FECHA_BIT,"&gt;="&amp;BN$2,FECHA_BIT,"&lt;="&amp;BN$3,CLAVE_BIT,$A218)+SUMIFS(SALIDAS_BOV1,FECHA_BOV1,"&gt;="&amp;BN$2,FECHA_BOV1,"&lt;="&amp;BN$3,CLAVE_BOV1,$A218)+SUMIFS(SALIDAS_BOV2,FECHA_BOV2,"&gt;="&amp;BN$2,FECHA_BOV2,"&lt;="&amp;BN$3,CLAVE_BOV2,$A218)+SUMIFS(SALIDAS_BOV3,FECHA_BOV3,"&gt;="&amp;BN$2,FECHA_BOV3,"&lt;="&amp;BN$3,CLAVE_BOV3,$A218)+SUMIFS(SALIDAS_TC,FECHA_TC,"&gt;="&amp;BN$2,FECHA_TC,"&lt;="&amp;BN$3,CLAVE_TC,$A218)+SUMIFS(SALIDAS_COMB,FECHA_COMB,"&gt;="&amp;BN$2,FECHA_COMB,"&lt;="&amp;BN$3,CLAVE_COMB,$A218)+SUMIFS(SALIDAS_DES,FECHA_DESGLOSEN,"&gt;="&amp;BN$2,FECHA_DESGLOSEN,"&lt;="&amp;BN$3,CLAVE_DESGLOSE,$A218)</f>
        <v>0</v>
      </c>
      <c r="BO218" s="13">
        <f>SUMIFS(SALIDAS_BIT,FECHA_BIT,"&gt;="&amp;BO$2,FECHA_BIT,"&lt;="&amp;BO$3,CLAVE_BIT,$A218)+SUMIFS(SALIDAS_BOV1,FECHA_BOV1,"&gt;="&amp;BO$2,FECHA_BOV1,"&lt;="&amp;BO$3,CLAVE_BOV1,$A218)+SUMIFS(SALIDAS_BOV2,FECHA_BOV2,"&gt;="&amp;BO$2,FECHA_BOV2,"&lt;="&amp;BO$3,CLAVE_BOV2,$A218)+SUMIFS(SALIDAS_BOV3,FECHA_BOV3,"&gt;="&amp;BO$2,FECHA_BOV3,"&lt;="&amp;BO$3,CLAVE_BOV3,$A218)+SUMIFS(SALIDAS_TC,FECHA_TC,"&gt;="&amp;BO$2,FECHA_TC,"&lt;="&amp;BO$3,CLAVE_TC,$A218)+SUMIFS(SALIDAS_COMB,FECHA_COMB,"&gt;="&amp;BO$2,FECHA_COMB,"&lt;="&amp;BO$3,CLAVE_COMB,$A218)+SUMIFS(SALIDAS_DES,FECHA_DESGLOSEN,"&gt;="&amp;BO$2,FECHA_DESGLOSEN,"&lt;="&amp;BO$3,CLAVE_DESGLOSE,$A218)</f>
        <v>0</v>
      </c>
      <c r="BP218" s="13">
        <f>SUMIFS(SALIDAS_BIT,FECHA_BIT,"&gt;="&amp;BP$2,FECHA_BIT,"&lt;="&amp;BP$3,CLAVE_BIT,$A218)+SUMIFS(SALIDAS_BOV1,FECHA_BOV1,"&gt;="&amp;BP$2,FECHA_BOV1,"&lt;="&amp;BP$3,CLAVE_BOV1,$A218)+SUMIFS(SALIDAS_BOV2,FECHA_BOV2,"&gt;="&amp;BP$2,FECHA_BOV2,"&lt;="&amp;BP$3,CLAVE_BOV2,$A218)+SUMIFS(SALIDAS_BOV3,FECHA_BOV3,"&gt;="&amp;BP$2,FECHA_BOV3,"&lt;="&amp;BP$3,CLAVE_BOV3,$A218)+SUMIFS(SALIDAS_TC,FECHA_TC,"&gt;="&amp;BP$2,FECHA_TC,"&lt;="&amp;BP$3,CLAVE_TC,$A218)+SUMIFS(SALIDAS_COMB,FECHA_COMB,"&gt;="&amp;BP$2,FECHA_COMB,"&lt;="&amp;BP$3,CLAVE_COMB,$A218)+SUMIFS(SALIDAS_DES,FECHA_DESGLOSEN,"&gt;="&amp;BP$2,FECHA_DESGLOSEN,"&lt;="&amp;BP$3,CLAVE_DESGLOSE,$A218)</f>
        <v>0</v>
      </c>
      <c r="BQ218" s="13">
        <f>SUMIFS(SALIDAS_BIT,FECHA_BIT,"&gt;="&amp;BQ$2,FECHA_BIT,"&lt;="&amp;BQ$3,CLAVE_BIT,$A218)+SUMIFS(SALIDAS_BOV1,FECHA_BOV1,"&gt;="&amp;BQ$2,FECHA_BOV1,"&lt;="&amp;BQ$3,CLAVE_BOV1,$A218)+SUMIFS(SALIDAS_BOV2,FECHA_BOV2,"&gt;="&amp;BQ$2,FECHA_BOV2,"&lt;="&amp;BQ$3,CLAVE_BOV2,$A218)+SUMIFS(SALIDAS_BOV3,FECHA_BOV3,"&gt;="&amp;BQ$2,FECHA_BOV3,"&lt;="&amp;BQ$3,CLAVE_BOV3,$A218)+SUMIFS(SALIDAS_TC,FECHA_TC,"&gt;="&amp;BQ$2,FECHA_TC,"&lt;="&amp;BQ$3,CLAVE_TC,$A218)+SUMIFS(SALIDAS_COMB,FECHA_COMB,"&gt;="&amp;BQ$2,FECHA_COMB,"&lt;="&amp;BQ$3,CLAVE_COMB,$A218)+SUMIFS(SALIDAS_DES,FECHA_DESGLOSEN,"&gt;="&amp;BQ$2,FECHA_DESGLOSEN,"&lt;="&amp;BQ$3,CLAVE_DESGLOSE,$A218)</f>
        <v>0</v>
      </c>
      <c r="BR218" s="13">
        <f t="shared" si="396"/>
        <v>0</v>
      </c>
      <c r="BS218" s="68">
        <f t="shared" si="367"/>
        <v>0</v>
      </c>
      <c r="BT218" s="268">
        <f t="shared" si="368"/>
        <v>0</v>
      </c>
      <c r="BU218" s="13">
        <f t="shared" si="369"/>
        <v>0</v>
      </c>
      <c r="BV218" s="13">
        <f t="shared" si="389"/>
        <v>0</v>
      </c>
      <c r="BW218" s="13">
        <f t="shared" si="389"/>
        <v>0</v>
      </c>
      <c r="BX218" s="13">
        <f t="shared" si="389"/>
        <v>0</v>
      </c>
      <c r="BY218" s="13">
        <f t="shared" si="389"/>
        <v>0</v>
      </c>
      <c r="BZ218" s="13">
        <f t="shared" si="397"/>
        <v>0</v>
      </c>
      <c r="CA218" s="68">
        <f t="shared" si="370"/>
        <v>0</v>
      </c>
      <c r="CB218" s="268">
        <f t="shared" si="371"/>
        <v>0</v>
      </c>
      <c r="CC218" s="13">
        <f t="shared" si="372"/>
        <v>0</v>
      </c>
      <c r="CD218" s="13">
        <f t="shared" si="390"/>
        <v>0</v>
      </c>
      <c r="CE218" s="13">
        <f t="shared" si="390"/>
        <v>0</v>
      </c>
      <c r="CF218" s="13">
        <f t="shared" si="390"/>
        <v>0</v>
      </c>
      <c r="CG218" s="13">
        <f t="shared" si="390"/>
        <v>0</v>
      </c>
      <c r="CH218" s="13">
        <f t="shared" si="398"/>
        <v>0</v>
      </c>
      <c r="CI218" s="68">
        <f t="shared" si="373"/>
        <v>0</v>
      </c>
      <c r="CJ218" s="268">
        <f t="shared" si="374"/>
        <v>0</v>
      </c>
      <c r="CK218" s="13">
        <f t="shared" si="375"/>
        <v>0</v>
      </c>
      <c r="CL218" s="13">
        <f t="shared" si="312"/>
        <v>0</v>
      </c>
      <c r="CM218" s="13">
        <f t="shared" si="312"/>
        <v>0</v>
      </c>
      <c r="CN218" s="13">
        <f t="shared" si="312"/>
        <v>0</v>
      </c>
      <c r="CO218" s="13">
        <f t="shared" si="312"/>
        <v>0</v>
      </c>
      <c r="CP218" s="13">
        <f t="shared" si="312"/>
        <v>0</v>
      </c>
      <c r="CQ218" s="13">
        <f t="shared" si="399"/>
        <v>0</v>
      </c>
      <c r="CR218" s="68">
        <f t="shared" si="376"/>
        <v>0</v>
      </c>
      <c r="CS218" s="268">
        <f t="shared" si="377"/>
        <v>0</v>
      </c>
      <c r="CT218" s="68">
        <f t="shared" si="350"/>
        <v>0</v>
      </c>
      <c r="CU218" s="13">
        <f>SUMIFS(SALIDAS_BIT,FECHA_BIT,"&gt;="&amp;CU$2,FECHA_BIT,"&lt;="&amp;CU$3,CLAVE_BIT,$A218)+SUMIFS(SALIDAS_BOV1,FECHA_BOV1,"&gt;="&amp;CU$2,FECHA_BOV1,"&lt;="&amp;CU$3,CLAVE_BOV1,$A218)+SUMIFS(SALIDAS_BOV2,FECHA_BOV2,"&gt;="&amp;CU$2,FECHA_BOV2,"&lt;="&amp;CU$3,CLAVE_BOV2,$A218)+SUMIFS(SALIDAS_BOV3,FECHA_BOV3,"&gt;="&amp;CU$2,FECHA_BOV3,"&lt;="&amp;CU$3,CLAVE_BOV3,$A218)+SUMIFS(SALIDAS_TC,FECHA_TC,"&gt;="&amp;CU$2,FECHA_TC,"&lt;="&amp;CU$3,CLAVE_TC,$A218)+SUMIFS(SALIDAS_COMB,FECHA_COMB,"&gt;="&amp;CU$2,FECHA_COMB,"&lt;="&amp;CU$3,CLAVE_COMB,$A218)+SUMIFS(SALIDAS_DES,FECHA_DESGLOSEN,"&gt;="&amp;CU$2,FECHA_DESGLOSEN,"&lt;="&amp;CU$3,CLAVE_DESGLOSE,$A218)</f>
        <v>0</v>
      </c>
      <c r="CV218" s="13">
        <f>SUMIFS(SALIDAS_BIT,FECHA_BIT,"&gt;="&amp;CV$2,FECHA_BIT,"&lt;="&amp;CV$3,CLAVE_BIT,$A218)+SUMIFS(SALIDAS_BOV1,FECHA_BOV1,"&gt;="&amp;CV$2,FECHA_BOV1,"&lt;="&amp;CV$3,CLAVE_BOV1,$A218)+SUMIFS(SALIDAS_BOV2,FECHA_BOV2,"&gt;="&amp;CV$2,FECHA_BOV2,"&lt;="&amp;CV$3,CLAVE_BOV2,$A218)+SUMIFS(SALIDAS_BOV3,FECHA_BOV3,"&gt;="&amp;CV$2,FECHA_BOV3,"&lt;="&amp;CV$3,CLAVE_BOV3,$A218)+SUMIFS(SALIDAS_TC,FECHA_TC,"&gt;="&amp;CV$2,FECHA_TC,"&lt;="&amp;CV$3,CLAVE_TC,$A218)+SUMIFS(SALIDAS_COMB,FECHA_COMB,"&gt;="&amp;CV$2,FECHA_COMB,"&lt;="&amp;CV$3,CLAVE_COMB,$A218)+SUMIFS(SALIDAS_DES,FECHA_DESGLOSEN,"&gt;="&amp;CV$2,FECHA_DESGLOSEN,"&lt;="&amp;CV$3,CLAVE_DESGLOSE,$A218)</f>
        <v>0</v>
      </c>
      <c r="CW218" s="13">
        <f>SUMIFS(SALIDAS_BIT,FECHA_BIT,"&gt;="&amp;CW$2,FECHA_BIT,"&lt;="&amp;CW$3,CLAVE_BIT,$A218)+SUMIFS(SALIDAS_BOV1,FECHA_BOV1,"&gt;="&amp;CW$2,FECHA_BOV1,"&lt;="&amp;CW$3,CLAVE_BOV1,$A218)+SUMIFS(SALIDAS_BOV2,FECHA_BOV2,"&gt;="&amp;CW$2,FECHA_BOV2,"&lt;="&amp;CW$3,CLAVE_BOV2,$A218)+SUMIFS(SALIDAS_BOV3,FECHA_BOV3,"&gt;="&amp;CW$2,FECHA_BOV3,"&lt;="&amp;CW$3,CLAVE_BOV3,$A218)+SUMIFS(SALIDAS_TC,FECHA_TC,"&gt;="&amp;CW$2,FECHA_TC,"&lt;="&amp;CW$3,CLAVE_TC,$A218)+SUMIFS(SALIDAS_COMB,FECHA_COMB,"&gt;="&amp;CW$2,FECHA_COMB,"&lt;="&amp;CW$3,CLAVE_COMB,$A218)+SUMIFS(SALIDAS_DES,FECHA_DESGLOSEN,"&gt;="&amp;CW$2,FECHA_DESGLOSEN,"&lt;="&amp;CW$3,CLAVE_DESGLOSE,$A218)</f>
        <v>0</v>
      </c>
      <c r="CX218" s="13">
        <f>SUMIFS(SALIDAS_BIT,FECHA_BIT,"&gt;="&amp;CX$2,FECHA_BIT,"&lt;="&amp;CX$3,CLAVE_BIT,$A218)+SUMIFS(SALIDAS_BOV1,FECHA_BOV1,"&gt;="&amp;CX$2,FECHA_BOV1,"&lt;="&amp;CX$3,CLAVE_BOV1,$A218)+SUMIFS(SALIDAS_BOV2,FECHA_BOV2,"&gt;="&amp;CX$2,FECHA_BOV2,"&lt;="&amp;CX$3,CLAVE_BOV2,$A218)+SUMIFS(SALIDAS_BOV3,FECHA_BOV3,"&gt;="&amp;CX$2,FECHA_BOV3,"&lt;="&amp;CX$3,CLAVE_BOV3,$A218)+SUMIFS(SALIDAS_TC,FECHA_TC,"&gt;="&amp;CX$2,FECHA_TC,"&lt;="&amp;CX$3,CLAVE_TC,$A218)+SUMIFS(SALIDAS_COMB,FECHA_COMB,"&gt;="&amp;CX$2,FECHA_COMB,"&lt;="&amp;CX$3,CLAVE_COMB,$A218)+SUMIFS(SALIDAS_DES,FECHA_DESGLOSEN,"&gt;="&amp;CX$2,FECHA_DESGLOSEN,"&lt;="&amp;CX$3,CLAVE_DESGLOSE,$A218)</f>
        <v>0</v>
      </c>
      <c r="CY218" s="13">
        <f>SUMIFS(SALIDAS_BIT,FECHA_BIT,"&gt;="&amp;CY$2,FECHA_BIT,"&lt;="&amp;CY$3,CLAVE_BIT,$A218)+SUMIFS(SALIDAS_BOV1,FECHA_BOV1,"&gt;="&amp;CY$2,FECHA_BOV1,"&lt;="&amp;CY$3,CLAVE_BOV1,$A218)+SUMIFS(SALIDAS_BOV2,FECHA_BOV2,"&gt;="&amp;CY$2,FECHA_BOV2,"&lt;="&amp;CY$3,CLAVE_BOV2,$A218)+SUMIFS(SALIDAS_BOV3,FECHA_BOV3,"&gt;="&amp;CY$2,FECHA_BOV3,"&lt;="&amp;CY$3,CLAVE_BOV3,$A218)+SUMIFS(SALIDAS_TC,FECHA_TC,"&gt;="&amp;CY$2,FECHA_TC,"&lt;="&amp;CY$3,CLAVE_TC,$A218)+SUMIFS(SALIDAS_COMB,FECHA_COMB,"&gt;="&amp;CY$2,FECHA_COMB,"&lt;="&amp;CY$3,CLAVE_COMB,$A218)+SUMIFS(SALIDAS_DES,FECHA_DESGLOSEN,"&gt;="&amp;CY$2,FECHA_DESGLOSEN,"&lt;="&amp;CY$3,CLAVE_DESGLOSE,$A218)</f>
        <v>0</v>
      </c>
      <c r="CZ218" s="68">
        <f t="shared" si="378"/>
        <v>0</v>
      </c>
      <c r="DB218" s="17">
        <f>F218+N218+W218+AE218+AM218+AV218+BD218+BL218+BU218+CC218+CK218</f>
        <v>41929</v>
      </c>
      <c r="DC218" s="17">
        <f>K218+T218+AB218+AJ218+AS218+BA218+BI218+BR218+BZ218+CH218+CQ218</f>
        <v>39092.74</v>
      </c>
    </row>
    <row r="219" spans="1:107" hidden="1">
      <c r="A219" s="12" t="str">
        <f t="shared" si="351"/>
        <v>SGESGMGESTION EMPRESARIAL</v>
      </c>
      <c r="B219" s="12">
        <v>221</v>
      </c>
      <c r="C219" t="s">
        <v>39</v>
      </c>
      <c r="D219" s="12" t="s">
        <v>176</v>
      </c>
      <c r="E219" s="12" t="s">
        <v>40</v>
      </c>
      <c r="F219" s="259">
        <f t="shared" si="344"/>
        <v>0</v>
      </c>
      <c r="G219" s="13">
        <f t="shared" si="391"/>
        <v>0</v>
      </c>
      <c r="H219" s="13">
        <f t="shared" si="391"/>
        <v>0</v>
      </c>
      <c r="I219" s="13">
        <f t="shared" si="391"/>
        <v>0</v>
      </c>
      <c r="J219" s="13">
        <f t="shared" si="391"/>
        <v>0</v>
      </c>
      <c r="K219" s="13">
        <f t="shared" si="391"/>
        <v>0</v>
      </c>
      <c r="L219" s="68">
        <f t="shared" si="352"/>
        <v>0</v>
      </c>
      <c r="M219" s="268">
        <f t="shared" si="353"/>
        <v>0</v>
      </c>
      <c r="N219" s="13">
        <f t="shared" si="345"/>
        <v>0</v>
      </c>
      <c r="O219" s="13">
        <f t="shared" si="392"/>
        <v>0</v>
      </c>
      <c r="P219" s="13">
        <f t="shared" si="392"/>
        <v>0</v>
      </c>
      <c r="Q219" s="13">
        <f t="shared" si="392"/>
        <v>0</v>
      </c>
      <c r="R219" s="13">
        <f t="shared" si="392"/>
        <v>0</v>
      </c>
      <c r="S219" s="13">
        <f t="shared" si="392"/>
        <v>0</v>
      </c>
      <c r="T219" s="13">
        <f t="shared" si="392"/>
        <v>0</v>
      </c>
      <c r="U219" s="68">
        <f t="shared" si="354"/>
        <v>0</v>
      </c>
      <c r="V219" s="268">
        <f t="shared" si="355"/>
        <v>0</v>
      </c>
      <c r="W219" s="13">
        <f t="shared" si="346"/>
        <v>3707</v>
      </c>
      <c r="X219" s="13">
        <f t="shared" si="393"/>
        <v>1750</v>
      </c>
      <c r="Y219" s="13">
        <f t="shared" si="393"/>
        <v>17351.37</v>
      </c>
      <c r="Z219" s="13">
        <f t="shared" si="393"/>
        <v>0</v>
      </c>
      <c r="AA219" s="13">
        <f t="shared" si="393"/>
        <v>0</v>
      </c>
      <c r="AB219" s="13">
        <f t="shared" si="393"/>
        <v>19101.37</v>
      </c>
      <c r="AC219" s="68">
        <f t="shared" si="356"/>
        <v>-15394.369999999999</v>
      </c>
      <c r="AD219" s="268">
        <f t="shared" si="357"/>
        <v>5.1527839223091449</v>
      </c>
      <c r="AE219" s="13">
        <f t="shared" si="347"/>
        <v>0</v>
      </c>
      <c r="AF219" s="13">
        <f t="shared" si="394"/>
        <v>0</v>
      </c>
      <c r="AG219" s="13">
        <f t="shared" si="394"/>
        <v>0</v>
      </c>
      <c r="AH219" s="13">
        <f t="shared" si="394"/>
        <v>0</v>
      </c>
      <c r="AI219" s="13">
        <f t="shared" si="394"/>
        <v>0</v>
      </c>
      <c r="AJ219" s="13">
        <f t="shared" si="394"/>
        <v>0</v>
      </c>
      <c r="AK219" s="68">
        <f t="shared" si="358"/>
        <v>0</v>
      </c>
      <c r="AL219" s="268">
        <f t="shared" si="359"/>
        <v>0</v>
      </c>
      <c r="AM219" s="13">
        <f t="shared" si="348"/>
        <v>0</v>
      </c>
      <c r="AN219" s="13">
        <f t="shared" si="395"/>
        <v>0</v>
      </c>
      <c r="AO219" s="13">
        <f t="shared" si="395"/>
        <v>0</v>
      </c>
      <c r="AP219" s="13">
        <f t="shared" si="395"/>
        <v>0</v>
      </c>
      <c r="AQ219" s="13">
        <f t="shared" si="395"/>
        <v>0</v>
      </c>
      <c r="AR219" s="13">
        <f t="shared" si="395"/>
        <v>0</v>
      </c>
      <c r="AS219" s="13">
        <f t="shared" si="395"/>
        <v>0</v>
      </c>
      <c r="AT219" s="68">
        <f>AM219-AS219</f>
        <v>0</v>
      </c>
      <c r="AU219" s="268">
        <f t="shared" si="360"/>
        <v>0</v>
      </c>
      <c r="AV219" s="13">
        <f t="shared" si="349"/>
        <v>25918</v>
      </c>
      <c r="AW219" s="13">
        <f t="shared" si="323"/>
        <v>0</v>
      </c>
      <c r="AX219" s="13">
        <f t="shared" si="323"/>
        <v>0</v>
      </c>
      <c r="AY219" s="13">
        <f t="shared" si="323"/>
        <v>0</v>
      </c>
      <c r="AZ219" s="13">
        <f t="shared" si="323"/>
        <v>0</v>
      </c>
      <c r="BA219" s="13">
        <f t="shared" si="379"/>
        <v>0</v>
      </c>
      <c r="BB219" s="68">
        <f t="shared" si="361"/>
        <v>25918</v>
      </c>
      <c r="BC219" s="268">
        <f t="shared" si="362"/>
        <v>0</v>
      </c>
      <c r="BD219" s="13">
        <f t="shared" si="363"/>
        <v>0</v>
      </c>
      <c r="BE219" s="13">
        <f>SUMIFS(SALIDAS_BIT,FECHA_BIT,"&gt;="&amp;BE$2,FECHA_BIT,"&lt;="&amp;BE$3,CLAVE_BIT,$A219)+SUMIFS(SALIDAS_BOV1,FECHA_BOV1,"&gt;="&amp;BE$2,FECHA_BOV1,"&lt;="&amp;BE$3,CLAVE_BOV1,$A219)+SUMIFS(SALIDAS_BOV2,FECHA_BOV2,"&gt;="&amp;BE$2,FECHA_BOV2,"&lt;="&amp;BE$3,CLAVE_BOV2,$A219)+SUMIFS(SALIDAS_BOV3,FECHA_BOV3,"&gt;="&amp;BE$2,FECHA_BOV3,"&lt;="&amp;BE$3,CLAVE_BOV3,$A219)+SUMIFS(SALIDAS_TC,FECHA_TC,"&gt;="&amp;BE$2,FECHA_TC,"&lt;="&amp;BE$3,CLAVE_TC,$A219)+SUMIFS(SALIDAS_COMB,FECHA_COMB,"&gt;="&amp;BE$2,FECHA_COMB,"&lt;="&amp;BE$3,CLAVE_COMB,$A219)+SUMIFS(SALIDAS_DES,FECHA_DESGLOSEN,"&gt;="&amp;BE$2,FECHA_DESGLOSEN,"&lt;="&amp;BE$3,CLAVE_DESGLOSE,$A219)</f>
        <v>0</v>
      </c>
      <c r="BF219" s="13">
        <f>SUMIFS(SALIDAS_BIT,FECHA_BIT,"&gt;="&amp;BF$2,FECHA_BIT,"&lt;="&amp;BF$3,CLAVE_BIT,$A219)+SUMIFS(SALIDAS_BOV1,FECHA_BOV1,"&gt;="&amp;BF$2,FECHA_BOV1,"&lt;="&amp;BF$3,CLAVE_BOV1,$A219)+SUMIFS(SALIDAS_BOV2,FECHA_BOV2,"&gt;="&amp;BF$2,FECHA_BOV2,"&lt;="&amp;BF$3,CLAVE_BOV2,$A219)+SUMIFS(SALIDAS_BOV3,FECHA_BOV3,"&gt;="&amp;BF$2,FECHA_BOV3,"&lt;="&amp;BF$3,CLAVE_BOV3,$A219)+SUMIFS(SALIDAS_TC,FECHA_TC,"&gt;="&amp;BF$2,FECHA_TC,"&lt;="&amp;BF$3,CLAVE_TC,$A219)+SUMIFS(SALIDAS_COMB,FECHA_COMB,"&gt;="&amp;BF$2,FECHA_COMB,"&lt;="&amp;BF$3,CLAVE_COMB,$A219)+SUMIFS(SALIDAS_DES,FECHA_DESGLOSEN,"&gt;="&amp;BF$2,FECHA_DESGLOSEN,"&lt;="&amp;BF$3,CLAVE_DESGLOSE,$A219)</f>
        <v>0</v>
      </c>
      <c r="BG219" s="13">
        <f>SUMIFS(SALIDAS_BIT,FECHA_BIT,"&gt;="&amp;BG$2,FECHA_BIT,"&lt;="&amp;BG$3,CLAVE_BIT,$A219)+SUMIFS(SALIDAS_BOV1,FECHA_BOV1,"&gt;="&amp;BG$2,FECHA_BOV1,"&lt;="&amp;BG$3,CLAVE_BOV1,$A219)+SUMIFS(SALIDAS_BOV2,FECHA_BOV2,"&gt;="&amp;BG$2,FECHA_BOV2,"&lt;="&amp;BG$3,CLAVE_BOV2,$A219)+SUMIFS(SALIDAS_BOV3,FECHA_BOV3,"&gt;="&amp;BG$2,FECHA_BOV3,"&lt;="&amp;BG$3,CLAVE_BOV3,$A219)+SUMIFS(SALIDAS_TC,FECHA_TC,"&gt;="&amp;BG$2,FECHA_TC,"&lt;="&amp;BG$3,CLAVE_TC,$A219)+SUMIFS(SALIDAS_COMB,FECHA_COMB,"&gt;="&amp;BG$2,FECHA_COMB,"&lt;="&amp;BG$3,CLAVE_COMB,$A219)+SUMIFS(SALIDAS_DES,FECHA_DESGLOSEN,"&gt;="&amp;BG$2,FECHA_DESGLOSEN,"&lt;="&amp;BG$3,CLAVE_DESGLOSE,$A219)</f>
        <v>0</v>
      </c>
      <c r="BH219" s="13">
        <f>SUMIFS(SALIDAS_BIT,FECHA_BIT,"&gt;="&amp;BH$2,FECHA_BIT,"&lt;="&amp;BH$3,CLAVE_BIT,$A219)+SUMIFS(SALIDAS_BOV1,FECHA_BOV1,"&gt;="&amp;BH$2,FECHA_BOV1,"&lt;="&amp;BH$3,CLAVE_BOV1,$A219)+SUMIFS(SALIDAS_BOV2,FECHA_BOV2,"&gt;="&amp;BH$2,FECHA_BOV2,"&lt;="&amp;BH$3,CLAVE_BOV2,$A219)+SUMIFS(SALIDAS_BOV3,FECHA_BOV3,"&gt;="&amp;BH$2,FECHA_BOV3,"&lt;="&amp;BH$3,CLAVE_BOV3,$A219)+SUMIFS(SALIDAS_TC,FECHA_TC,"&gt;="&amp;BH$2,FECHA_TC,"&lt;="&amp;BH$3,CLAVE_TC,$A219)+SUMIFS(SALIDAS_COMB,FECHA_COMB,"&gt;="&amp;BH$2,FECHA_COMB,"&lt;="&amp;BH$3,CLAVE_COMB,$A219)+SUMIFS(SALIDAS_DES,FECHA_DESGLOSEN,"&gt;="&amp;BH$2,FECHA_DESGLOSEN,"&lt;="&amp;BH$3,CLAVE_DESGLOSE,$A219)</f>
        <v>0</v>
      </c>
      <c r="BI219" s="13">
        <f t="shared" si="311"/>
        <v>0</v>
      </c>
      <c r="BJ219" s="68">
        <f t="shared" si="364"/>
        <v>0</v>
      </c>
      <c r="BK219" s="268">
        <f t="shared" si="365"/>
        <v>0</v>
      </c>
      <c r="BL219" s="13">
        <f t="shared" si="366"/>
        <v>0</v>
      </c>
      <c r="BM219" s="13">
        <f>SUMIFS(SALIDAS_BIT,FECHA_BIT,"&gt;="&amp;BM$2,FECHA_BIT,"&lt;="&amp;BM$3,CLAVE_BIT,$A219)+SUMIFS(SALIDAS_BOV1,FECHA_BOV1,"&gt;="&amp;BM$2,FECHA_BOV1,"&lt;="&amp;BM$3,CLAVE_BOV1,$A219)+SUMIFS(SALIDAS_BOV2,FECHA_BOV2,"&gt;="&amp;BM$2,FECHA_BOV2,"&lt;="&amp;BM$3,CLAVE_BOV2,$A219)+SUMIFS(SALIDAS_BOV3,FECHA_BOV3,"&gt;="&amp;BM$2,FECHA_BOV3,"&lt;="&amp;BM$3,CLAVE_BOV3,$A219)+SUMIFS(SALIDAS_TC,FECHA_TC,"&gt;="&amp;BM$2,FECHA_TC,"&lt;="&amp;BM$3,CLAVE_TC,$A219)+SUMIFS(SALIDAS_COMB,FECHA_COMB,"&gt;="&amp;BM$2,FECHA_COMB,"&lt;="&amp;BM$3,CLAVE_COMB,$A219)+SUMIFS(SALIDAS_DES,FECHA_DESGLOSEN,"&gt;="&amp;BM$2,FECHA_DESGLOSEN,"&lt;="&amp;BM$3,CLAVE_DESGLOSE,$A219)</f>
        <v>0</v>
      </c>
      <c r="BN219" s="13">
        <f>SUMIFS(SALIDAS_BIT,FECHA_BIT,"&gt;="&amp;BN$2,FECHA_BIT,"&lt;="&amp;BN$3,CLAVE_BIT,$A219)+SUMIFS(SALIDAS_BOV1,FECHA_BOV1,"&gt;="&amp;BN$2,FECHA_BOV1,"&lt;="&amp;BN$3,CLAVE_BOV1,$A219)+SUMIFS(SALIDAS_BOV2,FECHA_BOV2,"&gt;="&amp;BN$2,FECHA_BOV2,"&lt;="&amp;BN$3,CLAVE_BOV2,$A219)+SUMIFS(SALIDAS_BOV3,FECHA_BOV3,"&gt;="&amp;BN$2,FECHA_BOV3,"&lt;="&amp;BN$3,CLAVE_BOV3,$A219)+SUMIFS(SALIDAS_TC,FECHA_TC,"&gt;="&amp;BN$2,FECHA_TC,"&lt;="&amp;BN$3,CLAVE_TC,$A219)+SUMIFS(SALIDAS_COMB,FECHA_COMB,"&gt;="&amp;BN$2,FECHA_COMB,"&lt;="&amp;BN$3,CLAVE_COMB,$A219)+SUMIFS(SALIDAS_DES,FECHA_DESGLOSEN,"&gt;="&amp;BN$2,FECHA_DESGLOSEN,"&lt;="&amp;BN$3,CLAVE_DESGLOSE,$A219)</f>
        <v>0</v>
      </c>
      <c r="BO219" s="13">
        <f>SUMIFS(SALIDAS_BIT,FECHA_BIT,"&gt;="&amp;BO$2,FECHA_BIT,"&lt;="&amp;BO$3,CLAVE_BIT,$A219)+SUMIFS(SALIDAS_BOV1,FECHA_BOV1,"&gt;="&amp;BO$2,FECHA_BOV1,"&lt;="&amp;BO$3,CLAVE_BOV1,$A219)+SUMIFS(SALIDAS_BOV2,FECHA_BOV2,"&gt;="&amp;BO$2,FECHA_BOV2,"&lt;="&amp;BO$3,CLAVE_BOV2,$A219)+SUMIFS(SALIDAS_BOV3,FECHA_BOV3,"&gt;="&amp;BO$2,FECHA_BOV3,"&lt;="&amp;BO$3,CLAVE_BOV3,$A219)+SUMIFS(SALIDAS_TC,FECHA_TC,"&gt;="&amp;BO$2,FECHA_TC,"&lt;="&amp;BO$3,CLAVE_TC,$A219)+SUMIFS(SALIDAS_COMB,FECHA_COMB,"&gt;="&amp;BO$2,FECHA_COMB,"&lt;="&amp;BO$3,CLAVE_COMB,$A219)+SUMIFS(SALIDAS_DES,FECHA_DESGLOSEN,"&gt;="&amp;BO$2,FECHA_DESGLOSEN,"&lt;="&amp;BO$3,CLAVE_DESGLOSE,$A219)</f>
        <v>0</v>
      </c>
      <c r="BP219" s="13">
        <f>SUMIFS(SALIDAS_BIT,FECHA_BIT,"&gt;="&amp;BP$2,FECHA_BIT,"&lt;="&amp;BP$3,CLAVE_BIT,$A219)+SUMIFS(SALIDAS_BOV1,FECHA_BOV1,"&gt;="&amp;BP$2,FECHA_BOV1,"&lt;="&amp;BP$3,CLAVE_BOV1,$A219)+SUMIFS(SALIDAS_BOV2,FECHA_BOV2,"&gt;="&amp;BP$2,FECHA_BOV2,"&lt;="&amp;BP$3,CLAVE_BOV2,$A219)+SUMIFS(SALIDAS_BOV3,FECHA_BOV3,"&gt;="&amp;BP$2,FECHA_BOV3,"&lt;="&amp;BP$3,CLAVE_BOV3,$A219)+SUMIFS(SALIDAS_TC,FECHA_TC,"&gt;="&amp;BP$2,FECHA_TC,"&lt;="&amp;BP$3,CLAVE_TC,$A219)+SUMIFS(SALIDAS_COMB,FECHA_COMB,"&gt;="&amp;BP$2,FECHA_COMB,"&lt;="&amp;BP$3,CLAVE_COMB,$A219)+SUMIFS(SALIDAS_DES,FECHA_DESGLOSEN,"&gt;="&amp;BP$2,FECHA_DESGLOSEN,"&lt;="&amp;BP$3,CLAVE_DESGLOSE,$A219)</f>
        <v>0</v>
      </c>
      <c r="BQ219" s="13">
        <f>SUMIFS(SALIDAS_BIT,FECHA_BIT,"&gt;="&amp;BQ$2,FECHA_BIT,"&lt;="&amp;BQ$3,CLAVE_BIT,$A219)+SUMIFS(SALIDAS_BOV1,FECHA_BOV1,"&gt;="&amp;BQ$2,FECHA_BOV1,"&lt;="&amp;BQ$3,CLAVE_BOV1,$A219)+SUMIFS(SALIDAS_BOV2,FECHA_BOV2,"&gt;="&amp;BQ$2,FECHA_BOV2,"&lt;="&amp;BQ$3,CLAVE_BOV2,$A219)+SUMIFS(SALIDAS_BOV3,FECHA_BOV3,"&gt;="&amp;BQ$2,FECHA_BOV3,"&lt;="&amp;BQ$3,CLAVE_BOV3,$A219)+SUMIFS(SALIDAS_TC,FECHA_TC,"&gt;="&amp;BQ$2,FECHA_TC,"&lt;="&amp;BQ$3,CLAVE_TC,$A219)+SUMIFS(SALIDAS_COMB,FECHA_COMB,"&gt;="&amp;BQ$2,FECHA_COMB,"&lt;="&amp;BQ$3,CLAVE_COMB,$A219)+SUMIFS(SALIDAS_DES,FECHA_DESGLOSEN,"&gt;="&amp;BQ$2,FECHA_DESGLOSEN,"&lt;="&amp;BQ$3,CLAVE_DESGLOSE,$A219)</f>
        <v>0</v>
      </c>
      <c r="BR219" s="13">
        <f t="shared" si="396"/>
        <v>0</v>
      </c>
      <c r="BS219" s="68">
        <f t="shared" si="367"/>
        <v>0</v>
      </c>
      <c r="BT219" s="268">
        <f t="shared" si="368"/>
        <v>0</v>
      </c>
      <c r="BU219" s="13">
        <f t="shared" si="369"/>
        <v>0</v>
      </c>
      <c r="BV219" s="13">
        <f t="shared" si="389"/>
        <v>0</v>
      </c>
      <c r="BW219" s="13">
        <f t="shared" si="389"/>
        <v>0</v>
      </c>
      <c r="BX219" s="13">
        <f t="shared" si="389"/>
        <v>0</v>
      </c>
      <c r="BY219" s="13">
        <f t="shared" si="389"/>
        <v>0</v>
      </c>
      <c r="BZ219" s="13">
        <f t="shared" si="397"/>
        <v>0</v>
      </c>
      <c r="CA219" s="68">
        <f t="shared" si="370"/>
        <v>0</v>
      </c>
      <c r="CB219" s="268">
        <f t="shared" si="371"/>
        <v>0</v>
      </c>
      <c r="CC219" s="13">
        <f t="shared" si="372"/>
        <v>0</v>
      </c>
      <c r="CD219" s="13">
        <f t="shared" si="390"/>
        <v>0</v>
      </c>
      <c r="CE219" s="13">
        <f t="shared" si="390"/>
        <v>0</v>
      </c>
      <c r="CF219" s="13">
        <f t="shared" si="390"/>
        <v>0</v>
      </c>
      <c r="CG219" s="13">
        <f t="shared" si="390"/>
        <v>0</v>
      </c>
      <c r="CH219" s="13">
        <f t="shared" si="398"/>
        <v>0</v>
      </c>
      <c r="CI219" s="68">
        <f t="shared" si="373"/>
        <v>0</v>
      </c>
      <c r="CJ219" s="268">
        <f t="shared" si="374"/>
        <v>0</v>
      </c>
      <c r="CK219" s="13">
        <f t="shared" si="375"/>
        <v>0</v>
      </c>
      <c r="CL219" s="13">
        <f t="shared" si="312"/>
        <v>0</v>
      </c>
      <c r="CM219" s="13">
        <f t="shared" si="312"/>
        <v>0</v>
      </c>
      <c r="CN219" s="13">
        <f t="shared" si="312"/>
        <v>0</v>
      </c>
      <c r="CO219" s="13">
        <f t="shared" si="312"/>
        <v>0</v>
      </c>
      <c r="CP219" s="13">
        <f t="shared" si="312"/>
        <v>0</v>
      </c>
      <c r="CQ219" s="13">
        <f t="shared" si="399"/>
        <v>0</v>
      </c>
      <c r="CR219" s="68">
        <f t="shared" si="376"/>
        <v>0</v>
      </c>
      <c r="CS219" s="268">
        <f t="shared" si="377"/>
        <v>0</v>
      </c>
      <c r="CT219" s="68">
        <f t="shared" si="350"/>
        <v>0</v>
      </c>
      <c r="CU219" s="13">
        <f>SUMIFS(SALIDAS_BIT,FECHA_BIT,"&gt;="&amp;CU$2,FECHA_BIT,"&lt;="&amp;CU$3,CLAVE_BIT,$A219)+SUMIFS(SALIDAS_BOV1,FECHA_BOV1,"&gt;="&amp;CU$2,FECHA_BOV1,"&lt;="&amp;CU$3,CLAVE_BOV1,$A219)+SUMIFS(SALIDAS_BOV2,FECHA_BOV2,"&gt;="&amp;CU$2,FECHA_BOV2,"&lt;="&amp;CU$3,CLAVE_BOV2,$A219)+SUMIFS(SALIDAS_BOV3,FECHA_BOV3,"&gt;="&amp;CU$2,FECHA_BOV3,"&lt;="&amp;CU$3,CLAVE_BOV3,$A219)+SUMIFS(SALIDAS_TC,FECHA_TC,"&gt;="&amp;CU$2,FECHA_TC,"&lt;="&amp;CU$3,CLAVE_TC,$A219)+SUMIFS(SALIDAS_COMB,FECHA_COMB,"&gt;="&amp;CU$2,FECHA_COMB,"&lt;="&amp;CU$3,CLAVE_COMB,$A219)+SUMIFS(SALIDAS_DES,FECHA_DESGLOSEN,"&gt;="&amp;CU$2,FECHA_DESGLOSEN,"&lt;="&amp;CU$3,CLAVE_DESGLOSE,$A219)</f>
        <v>0</v>
      </c>
      <c r="CV219" s="13">
        <f>SUMIFS(SALIDAS_BIT,FECHA_BIT,"&gt;="&amp;CV$2,FECHA_BIT,"&lt;="&amp;CV$3,CLAVE_BIT,$A219)+SUMIFS(SALIDAS_BOV1,FECHA_BOV1,"&gt;="&amp;CV$2,FECHA_BOV1,"&lt;="&amp;CV$3,CLAVE_BOV1,$A219)+SUMIFS(SALIDAS_BOV2,FECHA_BOV2,"&gt;="&amp;CV$2,FECHA_BOV2,"&lt;="&amp;CV$3,CLAVE_BOV2,$A219)+SUMIFS(SALIDAS_BOV3,FECHA_BOV3,"&gt;="&amp;CV$2,FECHA_BOV3,"&lt;="&amp;CV$3,CLAVE_BOV3,$A219)+SUMIFS(SALIDAS_TC,FECHA_TC,"&gt;="&amp;CV$2,FECHA_TC,"&lt;="&amp;CV$3,CLAVE_TC,$A219)+SUMIFS(SALIDAS_COMB,FECHA_COMB,"&gt;="&amp;CV$2,FECHA_COMB,"&lt;="&amp;CV$3,CLAVE_COMB,$A219)+SUMIFS(SALIDAS_DES,FECHA_DESGLOSEN,"&gt;="&amp;CV$2,FECHA_DESGLOSEN,"&lt;="&amp;CV$3,CLAVE_DESGLOSE,$A219)</f>
        <v>0</v>
      </c>
      <c r="CW219" s="13">
        <f>SUMIFS(SALIDAS_BIT,FECHA_BIT,"&gt;="&amp;CW$2,FECHA_BIT,"&lt;="&amp;CW$3,CLAVE_BIT,$A219)+SUMIFS(SALIDAS_BOV1,FECHA_BOV1,"&gt;="&amp;CW$2,FECHA_BOV1,"&lt;="&amp;CW$3,CLAVE_BOV1,$A219)+SUMIFS(SALIDAS_BOV2,FECHA_BOV2,"&gt;="&amp;CW$2,FECHA_BOV2,"&lt;="&amp;CW$3,CLAVE_BOV2,$A219)+SUMIFS(SALIDAS_BOV3,FECHA_BOV3,"&gt;="&amp;CW$2,FECHA_BOV3,"&lt;="&amp;CW$3,CLAVE_BOV3,$A219)+SUMIFS(SALIDAS_TC,FECHA_TC,"&gt;="&amp;CW$2,FECHA_TC,"&lt;="&amp;CW$3,CLAVE_TC,$A219)+SUMIFS(SALIDAS_COMB,FECHA_COMB,"&gt;="&amp;CW$2,FECHA_COMB,"&lt;="&amp;CW$3,CLAVE_COMB,$A219)+SUMIFS(SALIDAS_DES,FECHA_DESGLOSEN,"&gt;="&amp;CW$2,FECHA_DESGLOSEN,"&lt;="&amp;CW$3,CLAVE_DESGLOSE,$A219)</f>
        <v>0</v>
      </c>
      <c r="CX219" s="13">
        <f>SUMIFS(SALIDAS_BIT,FECHA_BIT,"&gt;="&amp;CX$2,FECHA_BIT,"&lt;="&amp;CX$3,CLAVE_BIT,$A219)+SUMIFS(SALIDAS_BOV1,FECHA_BOV1,"&gt;="&amp;CX$2,FECHA_BOV1,"&lt;="&amp;CX$3,CLAVE_BOV1,$A219)+SUMIFS(SALIDAS_BOV2,FECHA_BOV2,"&gt;="&amp;CX$2,FECHA_BOV2,"&lt;="&amp;CX$3,CLAVE_BOV2,$A219)+SUMIFS(SALIDAS_BOV3,FECHA_BOV3,"&gt;="&amp;CX$2,FECHA_BOV3,"&lt;="&amp;CX$3,CLAVE_BOV3,$A219)+SUMIFS(SALIDAS_TC,FECHA_TC,"&gt;="&amp;CX$2,FECHA_TC,"&lt;="&amp;CX$3,CLAVE_TC,$A219)+SUMIFS(SALIDAS_COMB,FECHA_COMB,"&gt;="&amp;CX$2,FECHA_COMB,"&lt;="&amp;CX$3,CLAVE_COMB,$A219)+SUMIFS(SALIDAS_DES,FECHA_DESGLOSEN,"&gt;="&amp;CX$2,FECHA_DESGLOSEN,"&lt;="&amp;CX$3,CLAVE_DESGLOSE,$A219)</f>
        <v>0</v>
      </c>
      <c r="CY219" s="13">
        <f>SUMIFS(SALIDAS_BIT,FECHA_BIT,"&gt;="&amp;CY$2,FECHA_BIT,"&lt;="&amp;CY$3,CLAVE_BIT,$A219)+SUMIFS(SALIDAS_BOV1,FECHA_BOV1,"&gt;="&amp;CY$2,FECHA_BOV1,"&lt;="&amp;CY$3,CLAVE_BOV1,$A219)+SUMIFS(SALIDAS_BOV2,FECHA_BOV2,"&gt;="&amp;CY$2,FECHA_BOV2,"&lt;="&amp;CY$3,CLAVE_BOV2,$A219)+SUMIFS(SALIDAS_BOV3,FECHA_BOV3,"&gt;="&amp;CY$2,FECHA_BOV3,"&lt;="&amp;CY$3,CLAVE_BOV3,$A219)+SUMIFS(SALIDAS_TC,FECHA_TC,"&gt;="&amp;CY$2,FECHA_TC,"&lt;="&amp;CY$3,CLAVE_TC,$A219)+SUMIFS(SALIDAS_COMB,FECHA_COMB,"&gt;="&amp;CY$2,FECHA_COMB,"&lt;="&amp;CY$3,CLAVE_COMB,$A219)+SUMIFS(SALIDAS_DES,FECHA_DESGLOSEN,"&gt;="&amp;CY$2,FECHA_DESGLOSEN,"&lt;="&amp;CY$3,CLAVE_DESGLOSE,$A219)</f>
        <v>0</v>
      </c>
      <c r="CZ219" s="68">
        <f t="shared" si="378"/>
        <v>0</v>
      </c>
      <c r="DB219" s="17">
        <f>F219+N219+W219+AE219+AM219+AV219+BD219+BL219+BU219+CC219+CK219</f>
        <v>29625</v>
      </c>
      <c r="DC219" s="17">
        <f>K219+T219+AB219+AJ219+AS219+BA219+BI219+BR219+BZ219+CH219+CQ219</f>
        <v>19101.37</v>
      </c>
    </row>
    <row r="220" spans="1:107" hidden="1">
      <c r="A220" s="12" t="str">
        <f t="shared" si="351"/>
        <v>DESGMDIRECCION</v>
      </c>
      <c r="B220" s="12">
        <v>222</v>
      </c>
      <c r="C220" t="s">
        <v>41</v>
      </c>
      <c r="D220" s="12" t="s">
        <v>176</v>
      </c>
      <c r="E220" s="12" t="s">
        <v>42</v>
      </c>
      <c r="F220" s="259">
        <f t="shared" si="344"/>
        <v>0</v>
      </c>
      <c r="G220" s="13">
        <f t="shared" si="391"/>
        <v>0</v>
      </c>
      <c r="H220" s="13">
        <f t="shared" si="391"/>
        <v>0</v>
      </c>
      <c r="I220" s="13">
        <f t="shared" si="391"/>
        <v>0</v>
      </c>
      <c r="J220" s="13">
        <f t="shared" si="391"/>
        <v>0</v>
      </c>
      <c r="K220" s="13">
        <f t="shared" si="391"/>
        <v>0</v>
      </c>
      <c r="L220" s="68">
        <f t="shared" si="352"/>
        <v>0</v>
      </c>
      <c r="M220" s="268">
        <f t="shared" si="353"/>
        <v>0</v>
      </c>
      <c r="N220" s="13">
        <f t="shared" si="345"/>
        <v>52150</v>
      </c>
      <c r="O220" s="13">
        <f t="shared" si="392"/>
        <v>0</v>
      </c>
      <c r="P220" s="13">
        <f t="shared" si="392"/>
        <v>0</v>
      </c>
      <c r="Q220" s="13">
        <f t="shared" si="392"/>
        <v>0</v>
      </c>
      <c r="R220" s="13">
        <f t="shared" si="392"/>
        <v>0</v>
      </c>
      <c r="S220" s="13">
        <f t="shared" si="392"/>
        <v>0</v>
      </c>
      <c r="T220" s="13">
        <f t="shared" si="392"/>
        <v>0</v>
      </c>
      <c r="U220" s="68">
        <f t="shared" si="354"/>
        <v>52150</v>
      </c>
      <c r="V220" s="268">
        <f t="shared" si="355"/>
        <v>0</v>
      </c>
      <c r="W220" s="13">
        <f t="shared" si="346"/>
        <v>0</v>
      </c>
      <c r="X220" s="13">
        <f t="shared" si="393"/>
        <v>204567.89</v>
      </c>
      <c r="Y220" s="13">
        <f t="shared" si="393"/>
        <v>0</v>
      </c>
      <c r="Z220" s="13">
        <f t="shared" si="393"/>
        <v>0</v>
      </c>
      <c r="AA220" s="13">
        <f t="shared" si="393"/>
        <v>17800</v>
      </c>
      <c r="AB220" s="13">
        <f t="shared" si="393"/>
        <v>222367.89</v>
      </c>
      <c r="AC220" s="68">
        <f t="shared" si="356"/>
        <v>-222367.89</v>
      </c>
      <c r="AD220" s="268">
        <f t="shared" si="357"/>
        <v>0</v>
      </c>
      <c r="AE220" s="13">
        <f t="shared" si="347"/>
        <v>0</v>
      </c>
      <c r="AF220" s="13">
        <f t="shared" si="394"/>
        <v>0</v>
      </c>
      <c r="AG220" s="13">
        <f t="shared" si="394"/>
        <v>0</v>
      </c>
      <c r="AH220" s="13">
        <f t="shared" si="394"/>
        <v>24870</v>
      </c>
      <c r="AI220" s="13">
        <f t="shared" si="394"/>
        <v>0</v>
      </c>
      <c r="AJ220" s="13">
        <f t="shared" si="394"/>
        <v>24870</v>
      </c>
      <c r="AK220" s="68">
        <f t="shared" si="358"/>
        <v>-24870</v>
      </c>
      <c r="AL220" s="268">
        <f t="shared" si="359"/>
        <v>0</v>
      </c>
      <c r="AM220" s="13">
        <f t="shared" si="348"/>
        <v>0</v>
      </c>
      <c r="AN220" s="13">
        <f t="shared" si="395"/>
        <v>0</v>
      </c>
      <c r="AO220" s="13">
        <f t="shared" si="395"/>
        <v>0</v>
      </c>
      <c r="AP220" s="13">
        <f t="shared" si="395"/>
        <v>0</v>
      </c>
      <c r="AQ220" s="13">
        <f t="shared" si="395"/>
        <v>0</v>
      </c>
      <c r="AR220" s="13">
        <f t="shared" si="395"/>
        <v>0</v>
      </c>
      <c r="AS220" s="13">
        <f t="shared" si="395"/>
        <v>0</v>
      </c>
      <c r="AT220" s="68">
        <f>AM220-AS220</f>
        <v>0</v>
      </c>
      <c r="AU220" s="268">
        <f t="shared" si="360"/>
        <v>0</v>
      </c>
      <c r="AV220" s="13">
        <f t="shared" si="349"/>
        <v>0</v>
      </c>
      <c r="AW220" s="13">
        <f t="shared" si="323"/>
        <v>0</v>
      </c>
      <c r="AX220" s="13">
        <f t="shared" si="323"/>
        <v>0</v>
      </c>
      <c r="AY220" s="13">
        <f t="shared" si="323"/>
        <v>0</v>
      </c>
      <c r="AZ220" s="13">
        <f t="shared" si="323"/>
        <v>0</v>
      </c>
      <c r="BA220" s="13">
        <f t="shared" si="379"/>
        <v>0</v>
      </c>
      <c r="BB220" s="68">
        <f t="shared" si="361"/>
        <v>0</v>
      </c>
      <c r="BC220" s="268">
        <f t="shared" si="362"/>
        <v>0</v>
      </c>
      <c r="BD220" s="13">
        <f t="shared" si="363"/>
        <v>0</v>
      </c>
      <c r="BE220" s="13">
        <f>SUMIFS(SALIDAS_BIT,FECHA_BIT,"&gt;="&amp;BE$2,FECHA_BIT,"&lt;="&amp;BE$3,CLAVE_BIT,$A220)+SUMIFS(SALIDAS_BOV1,FECHA_BOV1,"&gt;="&amp;BE$2,FECHA_BOV1,"&lt;="&amp;BE$3,CLAVE_BOV1,$A220)+SUMIFS(SALIDAS_BOV2,FECHA_BOV2,"&gt;="&amp;BE$2,FECHA_BOV2,"&lt;="&amp;BE$3,CLAVE_BOV2,$A220)+SUMIFS(SALIDAS_BOV3,FECHA_BOV3,"&gt;="&amp;BE$2,FECHA_BOV3,"&lt;="&amp;BE$3,CLAVE_BOV3,$A220)+SUMIFS(SALIDAS_TC,FECHA_TC,"&gt;="&amp;BE$2,FECHA_TC,"&lt;="&amp;BE$3,CLAVE_TC,$A220)+SUMIFS(SALIDAS_COMB,FECHA_COMB,"&gt;="&amp;BE$2,FECHA_COMB,"&lt;="&amp;BE$3,CLAVE_COMB,$A220)+SUMIFS(SALIDAS_DES,FECHA_DESGLOSEN,"&gt;="&amp;BE$2,FECHA_DESGLOSEN,"&lt;="&amp;BE$3,CLAVE_DESGLOSE,$A220)</f>
        <v>0</v>
      </c>
      <c r="BF220" s="13">
        <f>SUMIFS(SALIDAS_BIT,FECHA_BIT,"&gt;="&amp;BF$2,FECHA_BIT,"&lt;="&amp;BF$3,CLAVE_BIT,$A220)+SUMIFS(SALIDAS_BOV1,FECHA_BOV1,"&gt;="&amp;BF$2,FECHA_BOV1,"&lt;="&amp;BF$3,CLAVE_BOV1,$A220)+SUMIFS(SALIDAS_BOV2,FECHA_BOV2,"&gt;="&amp;BF$2,FECHA_BOV2,"&lt;="&amp;BF$3,CLAVE_BOV2,$A220)+SUMIFS(SALIDAS_BOV3,FECHA_BOV3,"&gt;="&amp;BF$2,FECHA_BOV3,"&lt;="&amp;BF$3,CLAVE_BOV3,$A220)+SUMIFS(SALIDAS_TC,FECHA_TC,"&gt;="&amp;BF$2,FECHA_TC,"&lt;="&amp;BF$3,CLAVE_TC,$A220)+SUMIFS(SALIDAS_COMB,FECHA_COMB,"&gt;="&amp;BF$2,FECHA_COMB,"&lt;="&amp;BF$3,CLAVE_COMB,$A220)+SUMIFS(SALIDAS_DES,FECHA_DESGLOSEN,"&gt;="&amp;BF$2,FECHA_DESGLOSEN,"&lt;="&amp;BF$3,CLAVE_DESGLOSE,$A220)</f>
        <v>0</v>
      </c>
      <c r="BG220" s="13">
        <f>SUMIFS(SALIDAS_BIT,FECHA_BIT,"&gt;="&amp;BG$2,FECHA_BIT,"&lt;="&amp;BG$3,CLAVE_BIT,$A220)+SUMIFS(SALIDAS_BOV1,FECHA_BOV1,"&gt;="&amp;BG$2,FECHA_BOV1,"&lt;="&amp;BG$3,CLAVE_BOV1,$A220)+SUMIFS(SALIDAS_BOV2,FECHA_BOV2,"&gt;="&amp;BG$2,FECHA_BOV2,"&lt;="&amp;BG$3,CLAVE_BOV2,$A220)+SUMIFS(SALIDAS_BOV3,FECHA_BOV3,"&gt;="&amp;BG$2,FECHA_BOV3,"&lt;="&amp;BG$3,CLAVE_BOV3,$A220)+SUMIFS(SALIDAS_TC,FECHA_TC,"&gt;="&amp;BG$2,FECHA_TC,"&lt;="&amp;BG$3,CLAVE_TC,$A220)+SUMIFS(SALIDAS_COMB,FECHA_COMB,"&gt;="&amp;BG$2,FECHA_COMB,"&lt;="&amp;BG$3,CLAVE_COMB,$A220)+SUMIFS(SALIDAS_DES,FECHA_DESGLOSEN,"&gt;="&amp;BG$2,FECHA_DESGLOSEN,"&lt;="&amp;BG$3,CLAVE_DESGLOSE,$A220)</f>
        <v>0</v>
      </c>
      <c r="BH220" s="13">
        <f>SUMIFS(SALIDAS_BIT,FECHA_BIT,"&gt;="&amp;BH$2,FECHA_BIT,"&lt;="&amp;BH$3,CLAVE_BIT,$A220)+SUMIFS(SALIDAS_BOV1,FECHA_BOV1,"&gt;="&amp;BH$2,FECHA_BOV1,"&lt;="&amp;BH$3,CLAVE_BOV1,$A220)+SUMIFS(SALIDAS_BOV2,FECHA_BOV2,"&gt;="&amp;BH$2,FECHA_BOV2,"&lt;="&amp;BH$3,CLAVE_BOV2,$A220)+SUMIFS(SALIDAS_BOV3,FECHA_BOV3,"&gt;="&amp;BH$2,FECHA_BOV3,"&lt;="&amp;BH$3,CLAVE_BOV3,$A220)+SUMIFS(SALIDAS_TC,FECHA_TC,"&gt;="&amp;BH$2,FECHA_TC,"&lt;="&amp;BH$3,CLAVE_TC,$A220)+SUMIFS(SALIDAS_COMB,FECHA_COMB,"&gt;="&amp;BH$2,FECHA_COMB,"&lt;="&amp;BH$3,CLAVE_COMB,$A220)+SUMIFS(SALIDAS_DES,FECHA_DESGLOSEN,"&gt;="&amp;BH$2,FECHA_DESGLOSEN,"&lt;="&amp;BH$3,CLAVE_DESGLOSE,$A220)</f>
        <v>0</v>
      </c>
      <c r="BI220" s="13">
        <f t="shared" si="311"/>
        <v>0</v>
      </c>
      <c r="BJ220" s="68">
        <f t="shared" si="364"/>
        <v>0</v>
      </c>
      <c r="BK220" s="268">
        <f t="shared" si="365"/>
        <v>0</v>
      </c>
      <c r="BL220" s="13">
        <f t="shared" si="366"/>
        <v>0</v>
      </c>
      <c r="BM220" s="13">
        <f>SUMIFS(SALIDAS_BIT,FECHA_BIT,"&gt;="&amp;BM$2,FECHA_BIT,"&lt;="&amp;BM$3,CLAVE_BIT,$A220)+SUMIFS(SALIDAS_BOV1,FECHA_BOV1,"&gt;="&amp;BM$2,FECHA_BOV1,"&lt;="&amp;BM$3,CLAVE_BOV1,$A220)+SUMIFS(SALIDAS_BOV2,FECHA_BOV2,"&gt;="&amp;BM$2,FECHA_BOV2,"&lt;="&amp;BM$3,CLAVE_BOV2,$A220)+SUMIFS(SALIDAS_BOV3,FECHA_BOV3,"&gt;="&amp;BM$2,FECHA_BOV3,"&lt;="&amp;BM$3,CLAVE_BOV3,$A220)+SUMIFS(SALIDAS_TC,FECHA_TC,"&gt;="&amp;BM$2,FECHA_TC,"&lt;="&amp;BM$3,CLAVE_TC,$A220)+SUMIFS(SALIDAS_COMB,FECHA_COMB,"&gt;="&amp;BM$2,FECHA_COMB,"&lt;="&amp;BM$3,CLAVE_COMB,$A220)+SUMIFS(SALIDAS_DES,FECHA_DESGLOSEN,"&gt;="&amp;BM$2,FECHA_DESGLOSEN,"&lt;="&amp;BM$3,CLAVE_DESGLOSE,$A220)</f>
        <v>0</v>
      </c>
      <c r="BN220" s="13">
        <f>SUMIFS(SALIDAS_BIT,FECHA_BIT,"&gt;="&amp;BN$2,FECHA_BIT,"&lt;="&amp;BN$3,CLAVE_BIT,$A220)+SUMIFS(SALIDAS_BOV1,FECHA_BOV1,"&gt;="&amp;BN$2,FECHA_BOV1,"&lt;="&amp;BN$3,CLAVE_BOV1,$A220)+SUMIFS(SALIDAS_BOV2,FECHA_BOV2,"&gt;="&amp;BN$2,FECHA_BOV2,"&lt;="&amp;BN$3,CLAVE_BOV2,$A220)+SUMIFS(SALIDAS_BOV3,FECHA_BOV3,"&gt;="&amp;BN$2,FECHA_BOV3,"&lt;="&amp;BN$3,CLAVE_BOV3,$A220)+SUMIFS(SALIDAS_TC,FECHA_TC,"&gt;="&amp;BN$2,FECHA_TC,"&lt;="&amp;BN$3,CLAVE_TC,$A220)+SUMIFS(SALIDAS_COMB,FECHA_COMB,"&gt;="&amp;BN$2,FECHA_COMB,"&lt;="&amp;BN$3,CLAVE_COMB,$A220)+SUMIFS(SALIDAS_DES,FECHA_DESGLOSEN,"&gt;="&amp;BN$2,FECHA_DESGLOSEN,"&lt;="&amp;BN$3,CLAVE_DESGLOSE,$A220)</f>
        <v>0</v>
      </c>
      <c r="BO220" s="13">
        <f>SUMIFS(SALIDAS_BIT,FECHA_BIT,"&gt;="&amp;BO$2,FECHA_BIT,"&lt;="&amp;BO$3,CLAVE_BIT,$A220)+SUMIFS(SALIDAS_BOV1,FECHA_BOV1,"&gt;="&amp;BO$2,FECHA_BOV1,"&lt;="&amp;BO$3,CLAVE_BOV1,$A220)+SUMIFS(SALIDAS_BOV2,FECHA_BOV2,"&gt;="&amp;BO$2,FECHA_BOV2,"&lt;="&amp;BO$3,CLAVE_BOV2,$A220)+SUMIFS(SALIDAS_BOV3,FECHA_BOV3,"&gt;="&amp;BO$2,FECHA_BOV3,"&lt;="&amp;BO$3,CLAVE_BOV3,$A220)+SUMIFS(SALIDAS_TC,FECHA_TC,"&gt;="&amp;BO$2,FECHA_TC,"&lt;="&amp;BO$3,CLAVE_TC,$A220)+SUMIFS(SALIDAS_COMB,FECHA_COMB,"&gt;="&amp;BO$2,FECHA_COMB,"&lt;="&amp;BO$3,CLAVE_COMB,$A220)+SUMIFS(SALIDAS_DES,FECHA_DESGLOSEN,"&gt;="&amp;BO$2,FECHA_DESGLOSEN,"&lt;="&amp;BO$3,CLAVE_DESGLOSE,$A220)</f>
        <v>0</v>
      </c>
      <c r="BP220" s="13">
        <f>SUMIFS(SALIDAS_BIT,FECHA_BIT,"&gt;="&amp;BP$2,FECHA_BIT,"&lt;="&amp;BP$3,CLAVE_BIT,$A220)+SUMIFS(SALIDAS_BOV1,FECHA_BOV1,"&gt;="&amp;BP$2,FECHA_BOV1,"&lt;="&amp;BP$3,CLAVE_BOV1,$A220)+SUMIFS(SALIDAS_BOV2,FECHA_BOV2,"&gt;="&amp;BP$2,FECHA_BOV2,"&lt;="&amp;BP$3,CLAVE_BOV2,$A220)+SUMIFS(SALIDAS_BOV3,FECHA_BOV3,"&gt;="&amp;BP$2,FECHA_BOV3,"&lt;="&amp;BP$3,CLAVE_BOV3,$A220)+SUMIFS(SALIDAS_TC,FECHA_TC,"&gt;="&amp;BP$2,FECHA_TC,"&lt;="&amp;BP$3,CLAVE_TC,$A220)+SUMIFS(SALIDAS_COMB,FECHA_COMB,"&gt;="&amp;BP$2,FECHA_COMB,"&lt;="&amp;BP$3,CLAVE_COMB,$A220)+SUMIFS(SALIDAS_DES,FECHA_DESGLOSEN,"&gt;="&amp;BP$2,FECHA_DESGLOSEN,"&lt;="&amp;BP$3,CLAVE_DESGLOSE,$A220)</f>
        <v>0</v>
      </c>
      <c r="BQ220" s="13">
        <f>SUMIFS(SALIDAS_BIT,FECHA_BIT,"&gt;="&amp;BQ$2,FECHA_BIT,"&lt;="&amp;BQ$3,CLAVE_BIT,$A220)+SUMIFS(SALIDAS_BOV1,FECHA_BOV1,"&gt;="&amp;BQ$2,FECHA_BOV1,"&lt;="&amp;BQ$3,CLAVE_BOV1,$A220)+SUMIFS(SALIDAS_BOV2,FECHA_BOV2,"&gt;="&amp;BQ$2,FECHA_BOV2,"&lt;="&amp;BQ$3,CLAVE_BOV2,$A220)+SUMIFS(SALIDAS_BOV3,FECHA_BOV3,"&gt;="&amp;BQ$2,FECHA_BOV3,"&lt;="&amp;BQ$3,CLAVE_BOV3,$A220)+SUMIFS(SALIDAS_TC,FECHA_TC,"&gt;="&amp;BQ$2,FECHA_TC,"&lt;="&amp;BQ$3,CLAVE_TC,$A220)+SUMIFS(SALIDAS_COMB,FECHA_COMB,"&gt;="&amp;BQ$2,FECHA_COMB,"&lt;="&amp;BQ$3,CLAVE_COMB,$A220)+SUMIFS(SALIDAS_DES,FECHA_DESGLOSEN,"&gt;="&amp;BQ$2,FECHA_DESGLOSEN,"&lt;="&amp;BQ$3,CLAVE_DESGLOSE,$A220)</f>
        <v>0</v>
      </c>
      <c r="BR220" s="13">
        <f t="shared" si="396"/>
        <v>0</v>
      </c>
      <c r="BS220" s="68">
        <f t="shared" si="367"/>
        <v>0</v>
      </c>
      <c r="BT220" s="268">
        <f t="shared" si="368"/>
        <v>0</v>
      </c>
      <c r="BU220" s="13">
        <f t="shared" si="369"/>
        <v>0</v>
      </c>
      <c r="BV220" s="13">
        <f t="shared" si="389"/>
        <v>0</v>
      </c>
      <c r="BW220" s="13">
        <f t="shared" si="389"/>
        <v>0</v>
      </c>
      <c r="BX220" s="13">
        <f t="shared" si="389"/>
        <v>0</v>
      </c>
      <c r="BY220" s="13">
        <f t="shared" si="389"/>
        <v>0</v>
      </c>
      <c r="BZ220" s="13">
        <f t="shared" si="397"/>
        <v>0</v>
      </c>
      <c r="CA220" s="68">
        <f t="shared" si="370"/>
        <v>0</v>
      </c>
      <c r="CB220" s="268">
        <f t="shared" si="371"/>
        <v>0</v>
      </c>
      <c r="CC220" s="13">
        <f t="shared" si="372"/>
        <v>0</v>
      </c>
      <c r="CD220" s="13">
        <f t="shared" si="390"/>
        <v>0</v>
      </c>
      <c r="CE220" s="13">
        <f t="shared" si="390"/>
        <v>0</v>
      </c>
      <c r="CF220" s="13">
        <f t="shared" si="390"/>
        <v>0</v>
      </c>
      <c r="CG220" s="13">
        <f t="shared" si="390"/>
        <v>0</v>
      </c>
      <c r="CH220" s="13">
        <f t="shared" si="398"/>
        <v>0</v>
      </c>
      <c r="CI220" s="68">
        <f t="shared" si="373"/>
        <v>0</v>
      </c>
      <c r="CJ220" s="268">
        <f t="shared" si="374"/>
        <v>0</v>
      </c>
      <c r="CK220" s="13">
        <f t="shared" si="375"/>
        <v>0</v>
      </c>
      <c r="CL220" s="13">
        <f t="shared" si="312"/>
        <v>0</v>
      </c>
      <c r="CM220" s="13">
        <f t="shared" si="312"/>
        <v>0</v>
      </c>
      <c r="CN220" s="13">
        <f t="shared" si="312"/>
        <v>0</v>
      </c>
      <c r="CO220" s="13">
        <f t="shared" si="312"/>
        <v>0</v>
      </c>
      <c r="CP220" s="13">
        <f t="shared" si="312"/>
        <v>0</v>
      </c>
      <c r="CQ220" s="13">
        <f t="shared" si="399"/>
        <v>0</v>
      </c>
      <c r="CR220" s="68">
        <f t="shared" si="376"/>
        <v>0</v>
      </c>
      <c r="CS220" s="268">
        <f t="shared" si="377"/>
        <v>0</v>
      </c>
      <c r="CT220" s="68">
        <f t="shared" si="350"/>
        <v>24000</v>
      </c>
      <c r="CU220" s="13">
        <f>SUMIFS(SALIDAS_BIT,FECHA_BIT,"&gt;="&amp;CU$2,FECHA_BIT,"&lt;="&amp;CU$3,CLAVE_BIT,$A220)+SUMIFS(SALIDAS_BOV1,FECHA_BOV1,"&gt;="&amp;CU$2,FECHA_BOV1,"&lt;="&amp;CU$3,CLAVE_BOV1,$A220)+SUMIFS(SALIDAS_BOV2,FECHA_BOV2,"&gt;="&amp;CU$2,FECHA_BOV2,"&lt;="&amp;CU$3,CLAVE_BOV2,$A220)+SUMIFS(SALIDAS_BOV3,FECHA_BOV3,"&gt;="&amp;CU$2,FECHA_BOV3,"&lt;="&amp;CU$3,CLAVE_BOV3,$A220)+SUMIFS(SALIDAS_TC,FECHA_TC,"&gt;="&amp;CU$2,FECHA_TC,"&lt;="&amp;CU$3,CLAVE_TC,$A220)+SUMIFS(SALIDAS_COMB,FECHA_COMB,"&gt;="&amp;CU$2,FECHA_COMB,"&lt;="&amp;CU$3,CLAVE_COMB,$A220)+SUMIFS(SALIDAS_DES,FECHA_DESGLOSEN,"&gt;="&amp;CU$2,FECHA_DESGLOSEN,"&lt;="&amp;CU$3,CLAVE_DESGLOSE,$A220)</f>
        <v>0</v>
      </c>
      <c r="CV220" s="13">
        <f>SUMIFS(SALIDAS_BIT,FECHA_BIT,"&gt;="&amp;CV$2,FECHA_BIT,"&lt;="&amp;CV$3,CLAVE_BIT,$A220)+SUMIFS(SALIDAS_BOV1,FECHA_BOV1,"&gt;="&amp;CV$2,FECHA_BOV1,"&lt;="&amp;CV$3,CLAVE_BOV1,$A220)+SUMIFS(SALIDAS_BOV2,FECHA_BOV2,"&gt;="&amp;CV$2,FECHA_BOV2,"&lt;="&amp;CV$3,CLAVE_BOV2,$A220)+SUMIFS(SALIDAS_BOV3,FECHA_BOV3,"&gt;="&amp;CV$2,FECHA_BOV3,"&lt;="&amp;CV$3,CLAVE_BOV3,$A220)+SUMIFS(SALIDAS_TC,FECHA_TC,"&gt;="&amp;CV$2,FECHA_TC,"&lt;="&amp;CV$3,CLAVE_TC,$A220)+SUMIFS(SALIDAS_COMB,FECHA_COMB,"&gt;="&amp;CV$2,FECHA_COMB,"&lt;="&amp;CV$3,CLAVE_COMB,$A220)+SUMIFS(SALIDAS_DES,FECHA_DESGLOSEN,"&gt;="&amp;CV$2,FECHA_DESGLOSEN,"&lt;="&amp;CV$3,CLAVE_DESGLOSE,$A220)</f>
        <v>0</v>
      </c>
      <c r="CW220" s="13">
        <f>SUMIFS(SALIDAS_BIT,FECHA_BIT,"&gt;="&amp;CW$2,FECHA_BIT,"&lt;="&amp;CW$3,CLAVE_BIT,$A220)+SUMIFS(SALIDAS_BOV1,FECHA_BOV1,"&gt;="&amp;CW$2,FECHA_BOV1,"&lt;="&amp;CW$3,CLAVE_BOV1,$A220)+SUMIFS(SALIDAS_BOV2,FECHA_BOV2,"&gt;="&amp;CW$2,FECHA_BOV2,"&lt;="&amp;CW$3,CLAVE_BOV2,$A220)+SUMIFS(SALIDAS_BOV3,FECHA_BOV3,"&gt;="&amp;CW$2,FECHA_BOV3,"&lt;="&amp;CW$3,CLAVE_BOV3,$A220)+SUMIFS(SALIDAS_TC,FECHA_TC,"&gt;="&amp;CW$2,FECHA_TC,"&lt;="&amp;CW$3,CLAVE_TC,$A220)+SUMIFS(SALIDAS_COMB,FECHA_COMB,"&gt;="&amp;CW$2,FECHA_COMB,"&lt;="&amp;CW$3,CLAVE_COMB,$A220)+SUMIFS(SALIDAS_DES,FECHA_DESGLOSEN,"&gt;="&amp;CW$2,FECHA_DESGLOSEN,"&lt;="&amp;CW$3,CLAVE_DESGLOSE,$A220)</f>
        <v>0</v>
      </c>
      <c r="CX220" s="13">
        <f>SUMIFS(SALIDAS_BIT,FECHA_BIT,"&gt;="&amp;CX$2,FECHA_BIT,"&lt;="&amp;CX$3,CLAVE_BIT,$A220)+SUMIFS(SALIDAS_BOV1,FECHA_BOV1,"&gt;="&amp;CX$2,FECHA_BOV1,"&lt;="&amp;CX$3,CLAVE_BOV1,$A220)+SUMIFS(SALIDAS_BOV2,FECHA_BOV2,"&gt;="&amp;CX$2,FECHA_BOV2,"&lt;="&amp;CX$3,CLAVE_BOV2,$A220)+SUMIFS(SALIDAS_BOV3,FECHA_BOV3,"&gt;="&amp;CX$2,FECHA_BOV3,"&lt;="&amp;CX$3,CLAVE_BOV3,$A220)+SUMIFS(SALIDAS_TC,FECHA_TC,"&gt;="&amp;CX$2,FECHA_TC,"&lt;="&amp;CX$3,CLAVE_TC,$A220)+SUMIFS(SALIDAS_COMB,FECHA_COMB,"&gt;="&amp;CX$2,FECHA_COMB,"&lt;="&amp;CX$3,CLAVE_COMB,$A220)+SUMIFS(SALIDAS_DES,FECHA_DESGLOSEN,"&gt;="&amp;CX$2,FECHA_DESGLOSEN,"&lt;="&amp;CX$3,CLAVE_DESGLOSE,$A220)</f>
        <v>0</v>
      </c>
      <c r="CY220" s="13">
        <f>SUMIFS(SALIDAS_BIT,FECHA_BIT,"&gt;="&amp;CY$2,FECHA_BIT,"&lt;="&amp;CY$3,CLAVE_BIT,$A220)+SUMIFS(SALIDAS_BOV1,FECHA_BOV1,"&gt;="&amp;CY$2,FECHA_BOV1,"&lt;="&amp;CY$3,CLAVE_BOV1,$A220)+SUMIFS(SALIDAS_BOV2,FECHA_BOV2,"&gt;="&amp;CY$2,FECHA_BOV2,"&lt;="&amp;CY$3,CLAVE_BOV2,$A220)+SUMIFS(SALIDAS_BOV3,FECHA_BOV3,"&gt;="&amp;CY$2,FECHA_BOV3,"&lt;="&amp;CY$3,CLAVE_BOV3,$A220)+SUMIFS(SALIDAS_TC,FECHA_TC,"&gt;="&amp;CY$2,FECHA_TC,"&lt;="&amp;CY$3,CLAVE_TC,$A220)+SUMIFS(SALIDAS_COMB,FECHA_COMB,"&gt;="&amp;CY$2,FECHA_COMB,"&lt;="&amp;CY$3,CLAVE_COMB,$A220)+SUMIFS(SALIDAS_DES,FECHA_DESGLOSEN,"&gt;="&amp;CY$2,FECHA_DESGLOSEN,"&lt;="&amp;CY$3,CLAVE_DESGLOSE,$A220)</f>
        <v>0</v>
      </c>
      <c r="CZ220" s="68">
        <f t="shared" si="378"/>
        <v>24000</v>
      </c>
      <c r="DB220" s="17">
        <f>F220+N220+W220+AE220+AM220+AV220+BD220+BL220+BU220+CC220+CK220</f>
        <v>52150</v>
      </c>
      <c r="DC220" s="17">
        <f>K220+T220+AB220+AJ220+AS220+BA220+BI220+BR220+BZ220+CH220+CQ220</f>
        <v>247237.89</v>
      </c>
    </row>
    <row r="221" spans="1:107" hidden="1">
      <c r="A221" s="12" t="str">
        <f t="shared" si="351"/>
        <v>HRINSUMOSHR</v>
      </c>
      <c r="B221" s="12">
        <v>223</v>
      </c>
      <c r="C221" t="s">
        <v>29</v>
      </c>
      <c r="D221" s="12" t="s">
        <v>133</v>
      </c>
      <c r="E221" s="12" t="s">
        <v>29</v>
      </c>
      <c r="F221" s="259">
        <f t="shared" si="344"/>
        <v>4000</v>
      </c>
      <c r="G221" s="13">
        <f t="shared" si="391"/>
        <v>620</v>
      </c>
      <c r="H221" s="13">
        <f t="shared" si="391"/>
        <v>406</v>
      </c>
      <c r="I221" s="13">
        <f t="shared" si="391"/>
        <v>809</v>
      </c>
      <c r="J221" s="13">
        <f t="shared" si="391"/>
        <v>180</v>
      </c>
      <c r="K221" s="13">
        <f t="shared" si="391"/>
        <v>2015</v>
      </c>
      <c r="L221" s="68">
        <f t="shared" si="352"/>
        <v>1985</v>
      </c>
      <c r="M221" s="268">
        <f t="shared" si="353"/>
        <v>0.50375000000000003</v>
      </c>
      <c r="N221" s="13">
        <f t="shared" si="345"/>
        <v>6000</v>
      </c>
      <c r="O221" s="13">
        <f t="shared" si="392"/>
        <v>558</v>
      </c>
      <c r="P221" s="13">
        <f t="shared" si="392"/>
        <v>60</v>
      </c>
      <c r="Q221" s="13">
        <f t="shared" si="392"/>
        <v>69</v>
      </c>
      <c r="R221" s="13">
        <f t="shared" si="392"/>
        <v>1505</v>
      </c>
      <c r="S221" s="13">
        <f t="shared" si="392"/>
        <v>0</v>
      </c>
      <c r="T221" s="13">
        <f t="shared" si="392"/>
        <v>2192</v>
      </c>
      <c r="U221" s="68">
        <f t="shared" si="354"/>
        <v>3808</v>
      </c>
      <c r="V221" s="268">
        <f t="shared" si="355"/>
        <v>0.36533333333333334</v>
      </c>
      <c r="W221" s="13">
        <f t="shared" si="346"/>
        <v>6000</v>
      </c>
      <c r="X221" s="13">
        <f t="shared" si="393"/>
        <v>60</v>
      </c>
      <c r="Y221" s="13">
        <f t="shared" si="393"/>
        <v>15</v>
      </c>
      <c r="Z221" s="13">
        <f t="shared" si="393"/>
        <v>11370</v>
      </c>
      <c r="AA221" s="13">
        <f t="shared" si="393"/>
        <v>0</v>
      </c>
      <c r="AB221" s="13">
        <f t="shared" si="393"/>
        <v>11445</v>
      </c>
      <c r="AC221" s="68">
        <f t="shared" si="356"/>
        <v>-5445</v>
      </c>
      <c r="AD221" s="268">
        <f t="shared" si="357"/>
        <v>1.9075</v>
      </c>
      <c r="AE221" s="13">
        <f t="shared" si="347"/>
        <v>14000</v>
      </c>
      <c r="AF221" s="13">
        <f t="shared" si="394"/>
        <v>89</v>
      </c>
      <c r="AG221" s="13">
        <f t="shared" si="394"/>
        <v>0</v>
      </c>
      <c r="AH221" s="13">
        <f t="shared" si="394"/>
        <v>64</v>
      </c>
      <c r="AI221" s="13">
        <f t="shared" si="394"/>
        <v>64</v>
      </c>
      <c r="AJ221" s="13">
        <f t="shared" si="394"/>
        <v>217</v>
      </c>
      <c r="AK221" s="68">
        <f t="shared" si="358"/>
        <v>13783</v>
      </c>
      <c r="AL221" s="268">
        <f t="shared" si="359"/>
        <v>1.55E-2</v>
      </c>
      <c r="AM221" s="13">
        <f t="shared" si="348"/>
        <v>8000</v>
      </c>
      <c r="AN221" s="13">
        <f t="shared" si="395"/>
        <v>1303</v>
      </c>
      <c r="AO221" s="13">
        <f t="shared" si="395"/>
        <v>64</v>
      </c>
      <c r="AP221" s="13">
        <f t="shared" si="395"/>
        <v>119</v>
      </c>
      <c r="AQ221" s="13">
        <f t="shared" si="395"/>
        <v>2339</v>
      </c>
      <c r="AR221" s="13">
        <f t="shared" si="395"/>
        <v>577</v>
      </c>
      <c r="AS221" s="13">
        <f t="shared" si="395"/>
        <v>4402</v>
      </c>
      <c r="AT221" s="68">
        <f>AM221-AS221</f>
        <v>3598</v>
      </c>
      <c r="AU221" s="268">
        <f t="shared" si="360"/>
        <v>0.55025000000000002</v>
      </c>
      <c r="AV221" s="13">
        <f t="shared" si="349"/>
        <v>4000</v>
      </c>
      <c r="AW221" s="13">
        <f t="shared" si="323"/>
        <v>621</v>
      </c>
      <c r="AX221" s="13">
        <f t="shared" si="323"/>
        <v>309</v>
      </c>
      <c r="AY221" s="13">
        <f t="shared" si="323"/>
        <v>119</v>
      </c>
      <c r="AZ221" s="13">
        <f t="shared" si="323"/>
        <v>0</v>
      </c>
      <c r="BA221" s="13">
        <f t="shared" si="379"/>
        <v>1049</v>
      </c>
      <c r="BB221" s="68">
        <f t="shared" si="361"/>
        <v>2951</v>
      </c>
      <c r="BC221" s="268">
        <f t="shared" si="362"/>
        <v>0.26224999999999998</v>
      </c>
      <c r="BD221" s="13">
        <f t="shared" si="363"/>
        <v>10000</v>
      </c>
      <c r="BE221" s="13">
        <f>SUMIFS(SALIDAS_BIT,FECHA_BIT,"&gt;="&amp;BE$2,FECHA_BIT,"&lt;="&amp;BE$3,CLAVE_BIT,$A221)+SUMIFS(SALIDAS_BOV1,FECHA_BOV1,"&gt;="&amp;BE$2,FECHA_BOV1,"&lt;="&amp;BE$3,CLAVE_BOV1,$A221)+SUMIFS(SALIDAS_BOV2,FECHA_BOV2,"&gt;="&amp;BE$2,FECHA_BOV2,"&lt;="&amp;BE$3,CLAVE_BOV2,$A221)+SUMIFS(SALIDAS_BOV3,FECHA_BOV3,"&gt;="&amp;BE$2,FECHA_BOV3,"&lt;="&amp;BE$3,CLAVE_BOV3,$A221)+SUMIFS(SALIDAS_TC,FECHA_TC,"&gt;="&amp;BE$2,FECHA_TC,"&lt;="&amp;BE$3,CLAVE_TC,$A221)+SUMIFS(SALIDAS_COMB,FECHA_COMB,"&gt;="&amp;BE$2,FECHA_COMB,"&lt;="&amp;BE$3,CLAVE_COMB,$A221)+SUMIFS(SALIDAS_DES,FECHA_DESGLOSEN,"&gt;="&amp;BE$2,FECHA_DESGLOSEN,"&lt;="&amp;BE$3,CLAVE_DESGLOSE,$A221)</f>
        <v>119</v>
      </c>
      <c r="BF221" s="13">
        <f>SUMIFS(SALIDAS_BIT,FECHA_BIT,"&gt;="&amp;BF$2,FECHA_BIT,"&lt;="&amp;BF$3,CLAVE_BIT,$A221)+SUMIFS(SALIDAS_BOV1,FECHA_BOV1,"&gt;="&amp;BF$2,FECHA_BOV1,"&lt;="&amp;BF$3,CLAVE_BOV1,$A221)+SUMIFS(SALIDAS_BOV2,FECHA_BOV2,"&gt;="&amp;BF$2,FECHA_BOV2,"&lt;="&amp;BF$3,CLAVE_BOV2,$A221)+SUMIFS(SALIDAS_BOV3,FECHA_BOV3,"&gt;="&amp;BF$2,FECHA_BOV3,"&lt;="&amp;BF$3,CLAVE_BOV3,$A221)+SUMIFS(SALIDAS_TC,FECHA_TC,"&gt;="&amp;BF$2,FECHA_TC,"&lt;="&amp;BF$3,CLAVE_TC,$A221)+SUMIFS(SALIDAS_COMB,FECHA_COMB,"&gt;="&amp;BF$2,FECHA_COMB,"&lt;="&amp;BF$3,CLAVE_COMB,$A221)+SUMIFS(SALIDAS_DES,FECHA_DESGLOSEN,"&gt;="&amp;BF$2,FECHA_DESGLOSEN,"&lt;="&amp;BF$3,CLAVE_DESGLOSE,$A221)</f>
        <v>315</v>
      </c>
      <c r="BG221" s="13">
        <f>SUMIFS(SALIDAS_BIT,FECHA_BIT,"&gt;="&amp;BG$2,FECHA_BIT,"&lt;="&amp;BG$3,CLAVE_BIT,$A221)+SUMIFS(SALIDAS_BOV1,FECHA_BOV1,"&gt;="&amp;BG$2,FECHA_BOV1,"&lt;="&amp;BG$3,CLAVE_BOV1,$A221)+SUMIFS(SALIDAS_BOV2,FECHA_BOV2,"&gt;="&amp;BG$2,FECHA_BOV2,"&lt;="&amp;BG$3,CLAVE_BOV2,$A221)+SUMIFS(SALIDAS_BOV3,FECHA_BOV3,"&gt;="&amp;BG$2,FECHA_BOV3,"&lt;="&amp;BG$3,CLAVE_BOV3,$A221)+SUMIFS(SALIDAS_TC,FECHA_TC,"&gt;="&amp;BG$2,FECHA_TC,"&lt;="&amp;BG$3,CLAVE_TC,$A221)+SUMIFS(SALIDAS_COMB,FECHA_COMB,"&gt;="&amp;BG$2,FECHA_COMB,"&lt;="&amp;BG$3,CLAVE_COMB,$A221)+SUMIFS(SALIDAS_DES,FECHA_DESGLOSEN,"&gt;="&amp;BG$2,FECHA_DESGLOSEN,"&lt;="&amp;BG$3,CLAVE_DESGLOSE,$A221)</f>
        <v>0</v>
      </c>
      <c r="BH221" s="13">
        <f>SUMIFS(SALIDAS_BIT,FECHA_BIT,"&gt;="&amp;BH$2,FECHA_BIT,"&lt;="&amp;BH$3,CLAVE_BIT,$A221)+SUMIFS(SALIDAS_BOV1,FECHA_BOV1,"&gt;="&amp;BH$2,FECHA_BOV1,"&lt;="&amp;BH$3,CLAVE_BOV1,$A221)+SUMIFS(SALIDAS_BOV2,FECHA_BOV2,"&gt;="&amp;BH$2,FECHA_BOV2,"&lt;="&amp;BH$3,CLAVE_BOV2,$A221)+SUMIFS(SALIDAS_BOV3,FECHA_BOV3,"&gt;="&amp;BH$2,FECHA_BOV3,"&lt;="&amp;BH$3,CLAVE_BOV3,$A221)+SUMIFS(SALIDAS_TC,FECHA_TC,"&gt;="&amp;BH$2,FECHA_TC,"&lt;="&amp;BH$3,CLAVE_TC,$A221)+SUMIFS(SALIDAS_COMB,FECHA_COMB,"&gt;="&amp;BH$2,FECHA_COMB,"&lt;="&amp;BH$3,CLAVE_COMB,$A221)+SUMIFS(SALIDAS_DES,FECHA_DESGLOSEN,"&gt;="&amp;BH$2,FECHA_DESGLOSEN,"&lt;="&amp;BH$3,CLAVE_DESGLOSE,$A221)</f>
        <v>2775</v>
      </c>
      <c r="BI221" s="13">
        <f t="shared" si="311"/>
        <v>3209</v>
      </c>
      <c r="BJ221" s="68">
        <f t="shared" si="364"/>
        <v>6791</v>
      </c>
      <c r="BK221" s="268">
        <f t="shared" si="365"/>
        <v>0.32090000000000002</v>
      </c>
      <c r="BL221" s="13">
        <f t="shared" si="366"/>
        <v>6000</v>
      </c>
      <c r="BM221" s="13">
        <f>SUMIFS(SALIDAS_BIT,FECHA_BIT,"&gt;="&amp;BM$2,FECHA_BIT,"&lt;="&amp;BM$3,CLAVE_BIT,$A221)+SUMIFS(SALIDAS_BOV1,FECHA_BOV1,"&gt;="&amp;BM$2,FECHA_BOV1,"&lt;="&amp;BM$3,CLAVE_BOV1,$A221)+SUMIFS(SALIDAS_BOV2,FECHA_BOV2,"&gt;="&amp;BM$2,FECHA_BOV2,"&lt;="&amp;BM$3,CLAVE_BOV2,$A221)+SUMIFS(SALIDAS_BOV3,FECHA_BOV3,"&gt;="&amp;BM$2,FECHA_BOV3,"&lt;="&amp;BM$3,CLAVE_BOV3,$A221)+SUMIFS(SALIDAS_TC,FECHA_TC,"&gt;="&amp;BM$2,FECHA_TC,"&lt;="&amp;BM$3,CLAVE_TC,$A221)+SUMIFS(SALIDAS_COMB,FECHA_COMB,"&gt;="&amp;BM$2,FECHA_COMB,"&lt;="&amp;BM$3,CLAVE_COMB,$A221)+SUMIFS(SALIDAS_DES,FECHA_DESGLOSEN,"&gt;="&amp;BM$2,FECHA_DESGLOSEN,"&lt;="&amp;BM$3,CLAVE_DESGLOSE,$A221)</f>
        <v>94</v>
      </c>
      <c r="BN221" s="13">
        <f>SUMIFS(SALIDAS_BIT,FECHA_BIT,"&gt;="&amp;BN$2,FECHA_BIT,"&lt;="&amp;BN$3,CLAVE_BIT,$A221)+SUMIFS(SALIDAS_BOV1,FECHA_BOV1,"&gt;="&amp;BN$2,FECHA_BOV1,"&lt;="&amp;BN$3,CLAVE_BOV1,$A221)+SUMIFS(SALIDAS_BOV2,FECHA_BOV2,"&gt;="&amp;BN$2,FECHA_BOV2,"&lt;="&amp;BN$3,CLAVE_BOV2,$A221)+SUMIFS(SALIDAS_BOV3,FECHA_BOV3,"&gt;="&amp;BN$2,FECHA_BOV3,"&lt;="&amp;BN$3,CLAVE_BOV3,$A221)+SUMIFS(SALIDAS_TC,FECHA_TC,"&gt;="&amp;BN$2,FECHA_TC,"&lt;="&amp;BN$3,CLAVE_TC,$A221)+SUMIFS(SALIDAS_COMB,FECHA_COMB,"&gt;="&amp;BN$2,FECHA_COMB,"&lt;="&amp;BN$3,CLAVE_COMB,$A221)+SUMIFS(SALIDAS_DES,FECHA_DESGLOSEN,"&gt;="&amp;BN$2,FECHA_DESGLOSEN,"&lt;="&amp;BN$3,CLAVE_DESGLOSE,$A221)</f>
        <v>271</v>
      </c>
      <c r="BO221" s="13">
        <f>SUMIFS(SALIDAS_BIT,FECHA_BIT,"&gt;="&amp;BO$2,FECHA_BIT,"&lt;="&amp;BO$3,CLAVE_BIT,$A221)+SUMIFS(SALIDAS_BOV1,FECHA_BOV1,"&gt;="&amp;BO$2,FECHA_BOV1,"&lt;="&amp;BO$3,CLAVE_BOV1,$A221)+SUMIFS(SALIDAS_BOV2,FECHA_BOV2,"&gt;="&amp;BO$2,FECHA_BOV2,"&lt;="&amp;BO$3,CLAVE_BOV2,$A221)+SUMIFS(SALIDAS_BOV3,FECHA_BOV3,"&gt;="&amp;BO$2,FECHA_BOV3,"&lt;="&amp;BO$3,CLAVE_BOV3,$A221)+SUMIFS(SALIDAS_TC,FECHA_TC,"&gt;="&amp;BO$2,FECHA_TC,"&lt;="&amp;BO$3,CLAVE_TC,$A221)+SUMIFS(SALIDAS_COMB,FECHA_COMB,"&gt;="&amp;BO$2,FECHA_COMB,"&lt;="&amp;BO$3,CLAVE_COMB,$A221)+SUMIFS(SALIDAS_DES,FECHA_DESGLOSEN,"&gt;="&amp;BO$2,FECHA_DESGLOSEN,"&lt;="&amp;BO$3,CLAVE_DESGLOSE,$A221)</f>
        <v>464</v>
      </c>
      <c r="BP221" s="13">
        <f>SUMIFS(SALIDAS_BIT,FECHA_BIT,"&gt;="&amp;BP$2,FECHA_BIT,"&lt;="&amp;BP$3,CLAVE_BIT,$A221)+SUMIFS(SALIDAS_BOV1,FECHA_BOV1,"&gt;="&amp;BP$2,FECHA_BOV1,"&lt;="&amp;BP$3,CLAVE_BOV1,$A221)+SUMIFS(SALIDAS_BOV2,FECHA_BOV2,"&gt;="&amp;BP$2,FECHA_BOV2,"&lt;="&amp;BP$3,CLAVE_BOV2,$A221)+SUMIFS(SALIDAS_BOV3,FECHA_BOV3,"&gt;="&amp;BP$2,FECHA_BOV3,"&lt;="&amp;BP$3,CLAVE_BOV3,$A221)+SUMIFS(SALIDAS_TC,FECHA_TC,"&gt;="&amp;BP$2,FECHA_TC,"&lt;="&amp;BP$3,CLAVE_TC,$A221)+SUMIFS(SALIDAS_COMB,FECHA_COMB,"&gt;="&amp;BP$2,FECHA_COMB,"&lt;="&amp;BP$3,CLAVE_COMB,$A221)+SUMIFS(SALIDAS_DES,FECHA_DESGLOSEN,"&gt;="&amp;BP$2,FECHA_DESGLOSEN,"&lt;="&amp;BP$3,CLAVE_DESGLOSE,$A221)</f>
        <v>162</v>
      </c>
      <c r="BQ221" s="13">
        <f>SUMIFS(SALIDAS_BIT,FECHA_BIT,"&gt;="&amp;BQ$2,FECHA_BIT,"&lt;="&amp;BQ$3,CLAVE_BIT,$A221)+SUMIFS(SALIDAS_BOV1,FECHA_BOV1,"&gt;="&amp;BQ$2,FECHA_BOV1,"&lt;="&amp;BQ$3,CLAVE_BOV1,$A221)+SUMIFS(SALIDAS_BOV2,FECHA_BOV2,"&gt;="&amp;BQ$2,FECHA_BOV2,"&lt;="&amp;BQ$3,CLAVE_BOV2,$A221)+SUMIFS(SALIDAS_BOV3,FECHA_BOV3,"&gt;="&amp;BQ$2,FECHA_BOV3,"&lt;="&amp;BQ$3,CLAVE_BOV3,$A221)+SUMIFS(SALIDAS_TC,FECHA_TC,"&gt;="&amp;BQ$2,FECHA_TC,"&lt;="&amp;BQ$3,CLAVE_TC,$A221)+SUMIFS(SALIDAS_COMB,FECHA_COMB,"&gt;="&amp;BQ$2,FECHA_COMB,"&lt;="&amp;BQ$3,CLAVE_COMB,$A221)+SUMIFS(SALIDAS_DES,FECHA_DESGLOSEN,"&gt;="&amp;BQ$2,FECHA_DESGLOSEN,"&lt;="&amp;BQ$3,CLAVE_DESGLOSE,$A221)</f>
        <v>544</v>
      </c>
      <c r="BR221" s="13">
        <f t="shared" si="396"/>
        <v>1535</v>
      </c>
      <c r="BS221" s="68">
        <f t="shared" si="367"/>
        <v>4465</v>
      </c>
      <c r="BT221" s="268">
        <f t="shared" si="368"/>
        <v>0.25583333333333336</v>
      </c>
      <c r="BU221" s="13">
        <f t="shared" si="369"/>
        <v>12000</v>
      </c>
      <c r="BV221" s="13">
        <f t="shared" si="389"/>
        <v>724</v>
      </c>
      <c r="BW221" s="13">
        <f t="shared" si="389"/>
        <v>261</v>
      </c>
      <c r="BX221" s="13">
        <f t="shared" si="389"/>
        <v>66</v>
      </c>
      <c r="BY221" s="13">
        <f t="shared" si="389"/>
        <v>382</v>
      </c>
      <c r="BZ221" s="13">
        <f t="shared" si="397"/>
        <v>1433</v>
      </c>
      <c r="CA221" s="68">
        <f t="shared" si="370"/>
        <v>10567</v>
      </c>
      <c r="CB221" s="268">
        <f t="shared" si="371"/>
        <v>0.11941666666666667</v>
      </c>
      <c r="CC221" s="13">
        <f t="shared" si="372"/>
        <v>12000</v>
      </c>
      <c r="CD221" s="13">
        <f t="shared" si="390"/>
        <v>2766</v>
      </c>
      <c r="CE221" s="13">
        <f t="shared" si="390"/>
        <v>7205</v>
      </c>
      <c r="CF221" s="13">
        <f t="shared" si="390"/>
        <v>170</v>
      </c>
      <c r="CG221" s="13">
        <f t="shared" si="390"/>
        <v>8349</v>
      </c>
      <c r="CH221" s="13">
        <f t="shared" si="398"/>
        <v>18490</v>
      </c>
      <c r="CI221" s="68">
        <f t="shared" si="373"/>
        <v>-6490</v>
      </c>
      <c r="CJ221" s="268">
        <f t="shared" si="374"/>
        <v>1.5408333333333333</v>
      </c>
      <c r="CK221" s="13">
        <f t="shared" si="375"/>
        <v>8000</v>
      </c>
      <c r="CL221" s="13">
        <f t="shared" si="312"/>
        <v>4172</v>
      </c>
      <c r="CM221" s="13">
        <f t="shared" si="312"/>
        <v>5532</v>
      </c>
      <c r="CN221" s="13">
        <f t="shared" si="312"/>
        <v>6188.98</v>
      </c>
      <c r="CO221" s="13">
        <f t="shared" si="312"/>
        <v>3709</v>
      </c>
      <c r="CP221" s="13">
        <f t="shared" si="312"/>
        <v>479</v>
      </c>
      <c r="CQ221" s="13">
        <f t="shared" si="399"/>
        <v>20080.98</v>
      </c>
      <c r="CR221" s="68">
        <f t="shared" si="376"/>
        <v>-12080.98</v>
      </c>
      <c r="CS221" s="268">
        <f t="shared" si="377"/>
        <v>2.5101225</v>
      </c>
      <c r="CT221" s="68">
        <f t="shared" si="350"/>
        <v>5600</v>
      </c>
      <c r="CU221" s="13">
        <f>SUMIFS(SALIDAS_BIT,FECHA_BIT,"&gt;="&amp;CU$2,FECHA_BIT,"&lt;="&amp;CU$3,CLAVE_BIT,$A221)+SUMIFS(SALIDAS_BOV1,FECHA_BOV1,"&gt;="&amp;CU$2,FECHA_BOV1,"&lt;="&amp;CU$3,CLAVE_BOV1,$A221)+SUMIFS(SALIDAS_BOV2,FECHA_BOV2,"&gt;="&amp;CU$2,FECHA_BOV2,"&lt;="&amp;CU$3,CLAVE_BOV2,$A221)+SUMIFS(SALIDAS_BOV3,FECHA_BOV3,"&gt;="&amp;CU$2,FECHA_BOV3,"&lt;="&amp;CU$3,CLAVE_BOV3,$A221)+SUMIFS(SALIDAS_TC,FECHA_TC,"&gt;="&amp;CU$2,FECHA_TC,"&lt;="&amp;CU$3,CLAVE_TC,$A221)+SUMIFS(SALIDAS_COMB,FECHA_COMB,"&gt;="&amp;CU$2,FECHA_COMB,"&lt;="&amp;CU$3,CLAVE_COMB,$A221)+SUMIFS(SALIDAS_DES,FECHA_DESGLOSEN,"&gt;="&amp;CU$2,FECHA_DESGLOSEN,"&lt;="&amp;CU$3,CLAVE_DESGLOSE,$A221)</f>
        <v>1154</v>
      </c>
      <c r="CV221" s="13">
        <f>SUMIFS(SALIDAS_BIT,FECHA_BIT,"&gt;="&amp;CV$2,FECHA_BIT,"&lt;="&amp;CV$3,CLAVE_BIT,$A221)+SUMIFS(SALIDAS_BOV1,FECHA_BOV1,"&gt;="&amp;CV$2,FECHA_BOV1,"&lt;="&amp;CV$3,CLAVE_BOV1,$A221)+SUMIFS(SALIDAS_BOV2,FECHA_BOV2,"&gt;="&amp;CV$2,FECHA_BOV2,"&lt;="&amp;CV$3,CLAVE_BOV2,$A221)+SUMIFS(SALIDAS_BOV3,FECHA_BOV3,"&gt;="&amp;CV$2,FECHA_BOV3,"&lt;="&amp;CV$3,CLAVE_BOV3,$A221)+SUMIFS(SALIDAS_TC,FECHA_TC,"&gt;="&amp;CV$2,FECHA_TC,"&lt;="&amp;CV$3,CLAVE_TC,$A221)+SUMIFS(SALIDAS_COMB,FECHA_COMB,"&gt;="&amp;CV$2,FECHA_COMB,"&lt;="&amp;CV$3,CLAVE_COMB,$A221)+SUMIFS(SALIDAS_DES,FECHA_DESGLOSEN,"&gt;="&amp;CV$2,FECHA_DESGLOSEN,"&lt;="&amp;CV$3,CLAVE_DESGLOSE,$A221)</f>
        <v>66</v>
      </c>
      <c r="CW221" s="13">
        <f>SUMIFS(SALIDAS_BIT,FECHA_BIT,"&gt;="&amp;CW$2,FECHA_BIT,"&lt;="&amp;CW$3,CLAVE_BIT,$A221)+SUMIFS(SALIDAS_BOV1,FECHA_BOV1,"&gt;="&amp;CW$2,FECHA_BOV1,"&lt;="&amp;CW$3,CLAVE_BOV1,$A221)+SUMIFS(SALIDAS_BOV2,FECHA_BOV2,"&gt;="&amp;CW$2,FECHA_BOV2,"&lt;="&amp;CW$3,CLAVE_BOV2,$A221)+SUMIFS(SALIDAS_BOV3,FECHA_BOV3,"&gt;="&amp;CW$2,FECHA_BOV3,"&lt;="&amp;CW$3,CLAVE_BOV3,$A221)+SUMIFS(SALIDAS_TC,FECHA_TC,"&gt;="&amp;CW$2,FECHA_TC,"&lt;="&amp;CW$3,CLAVE_TC,$A221)+SUMIFS(SALIDAS_COMB,FECHA_COMB,"&gt;="&amp;CW$2,FECHA_COMB,"&lt;="&amp;CW$3,CLAVE_COMB,$A221)+SUMIFS(SALIDAS_DES,FECHA_DESGLOSEN,"&gt;="&amp;CW$2,FECHA_DESGLOSEN,"&lt;="&amp;CW$3,CLAVE_DESGLOSE,$A221)</f>
        <v>0</v>
      </c>
      <c r="CX221" s="13">
        <f>SUMIFS(SALIDAS_BIT,FECHA_BIT,"&gt;="&amp;CX$2,FECHA_BIT,"&lt;="&amp;CX$3,CLAVE_BIT,$A221)+SUMIFS(SALIDAS_BOV1,FECHA_BOV1,"&gt;="&amp;CX$2,FECHA_BOV1,"&lt;="&amp;CX$3,CLAVE_BOV1,$A221)+SUMIFS(SALIDAS_BOV2,FECHA_BOV2,"&gt;="&amp;CX$2,FECHA_BOV2,"&lt;="&amp;CX$3,CLAVE_BOV2,$A221)+SUMIFS(SALIDAS_BOV3,FECHA_BOV3,"&gt;="&amp;CX$2,FECHA_BOV3,"&lt;="&amp;CX$3,CLAVE_BOV3,$A221)+SUMIFS(SALIDAS_TC,FECHA_TC,"&gt;="&amp;CX$2,FECHA_TC,"&lt;="&amp;CX$3,CLAVE_TC,$A221)+SUMIFS(SALIDAS_COMB,FECHA_COMB,"&gt;="&amp;CX$2,FECHA_COMB,"&lt;="&amp;CX$3,CLAVE_COMB,$A221)+SUMIFS(SALIDAS_DES,FECHA_DESGLOSEN,"&gt;="&amp;CX$2,FECHA_DESGLOSEN,"&lt;="&amp;CX$3,CLAVE_DESGLOSE,$A221)</f>
        <v>253</v>
      </c>
      <c r="CY221" s="13">
        <f>SUMIFS(SALIDAS_BIT,FECHA_BIT,"&gt;="&amp;CY$2,FECHA_BIT,"&lt;="&amp;CY$3,CLAVE_BIT,$A221)+SUMIFS(SALIDAS_BOV1,FECHA_BOV1,"&gt;="&amp;CY$2,FECHA_BOV1,"&lt;="&amp;CY$3,CLAVE_BOV1,$A221)+SUMIFS(SALIDAS_BOV2,FECHA_BOV2,"&gt;="&amp;CY$2,FECHA_BOV2,"&lt;="&amp;CY$3,CLAVE_BOV2,$A221)+SUMIFS(SALIDAS_BOV3,FECHA_BOV3,"&gt;="&amp;CY$2,FECHA_BOV3,"&lt;="&amp;CY$3,CLAVE_BOV3,$A221)+SUMIFS(SALIDAS_TC,FECHA_TC,"&gt;="&amp;CY$2,FECHA_TC,"&lt;="&amp;CY$3,CLAVE_TC,$A221)+SUMIFS(SALIDAS_COMB,FECHA_COMB,"&gt;="&amp;CY$2,FECHA_COMB,"&lt;="&amp;CY$3,CLAVE_COMB,$A221)+SUMIFS(SALIDAS_DES,FECHA_DESGLOSEN,"&gt;="&amp;CY$2,FECHA_DESGLOSEN,"&lt;="&amp;CY$3,CLAVE_DESGLOSE,$A221)</f>
        <v>1473</v>
      </c>
      <c r="CZ221" s="68">
        <f t="shared" si="378"/>
        <v>4127</v>
      </c>
      <c r="DB221" s="17">
        <f>F221+N221+W221+AE221+AM221+AV221+BD221+BL221+BU221+CC221+CK221</f>
        <v>90000</v>
      </c>
      <c r="DC221" s="17">
        <f>K221+T221+AB221+AJ221+AS221+BA221+BI221+BR221+BZ221+CH221+CQ221</f>
        <v>66067.98</v>
      </c>
    </row>
    <row r="222" spans="1:107" hidden="1">
      <c r="A222" s="12" t="str">
        <f t="shared" si="351"/>
        <v>CAPINSUMOSCAPRICHOS</v>
      </c>
      <c r="B222" s="12">
        <v>224</v>
      </c>
      <c r="C222" t="s">
        <v>31</v>
      </c>
      <c r="D222" s="12" t="s">
        <v>133</v>
      </c>
      <c r="E222" s="12" t="s">
        <v>33</v>
      </c>
      <c r="F222" s="259">
        <f t="shared" si="344"/>
        <v>2913</v>
      </c>
      <c r="G222" s="13">
        <f t="shared" si="391"/>
        <v>180</v>
      </c>
      <c r="H222" s="13">
        <f t="shared" si="391"/>
        <v>775</v>
      </c>
      <c r="I222" s="13">
        <f t="shared" si="391"/>
        <v>766</v>
      </c>
      <c r="J222" s="13">
        <f t="shared" si="391"/>
        <v>4320</v>
      </c>
      <c r="K222" s="13">
        <f t="shared" si="391"/>
        <v>6041</v>
      </c>
      <c r="L222" s="68">
        <f t="shared" si="352"/>
        <v>-3128</v>
      </c>
      <c r="M222" s="268">
        <f t="shared" si="353"/>
        <v>2.0738070717473396</v>
      </c>
      <c r="N222" s="13">
        <f t="shared" si="345"/>
        <v>481</v>
      </c>
      <c r="O222" s="13">
        <f t="shared" si="392"/>
        <v>265</v>
      </c>
      <c r="P222" s="13">
        <f t="shared" si="392"/>
        <v>172</v>
      </c>
      <c r="Q222" s="13">
        <f t="shared" si="392"/>
        <v>0</v>
      </c>
      <c r="R222" s="13">
        <f t="shared" si="392"/>
        <v>16867.5</v>
      </c>
      <c r="S222" s="13">
        <f t="shared" si="392"/>
        <v>36</v>
      </c>
      <c r="T222" s="13">
        <f t="shared" si="392"/>
        <v>17340.5</v>
      </c>
      <c r="U222" s="68">
        <f t="shared" si="354"/>
        <v>-16859.5</v>
      </c>
      <c r="V222" s="268">
        <f t="shared" si="355"/>
        <v>36.050935550935549</v>
      </c>
      <c r="W222" s="13">
        <f t="shared" si="346"/>
        <v>89</v>
      </c>
      <c r="X222" s="13">
        <f t="shared" si="393"/>
        <v>448</v>
      </c>
      <c r="Y222" s="13">
        <f t="shared" si="393"/>
        <v>74.97</v>
      </c>
      <c r="Z222" s="13">
        <f t="shared" si="393"/>
        <v>1322.39</v>
      </c>
      <c r="AA222" s="13">
        <f t="shared" si="393"/>
        <v>240.9</v>
      </c>
      <c r="AB222" s="13">
        <f t="shared" si="393"/>
        <v>2086.2599999999998</v>
      </c>
      <c r="AC222" s="68">
        <f t="shared" si="356"/>
        <v>-1997.2599999999998</v>
      </c>
      <c r="AD222" s="268">
        <f t="shared" si="357"/>
        <v>23.441123595505616</v>
      </c>
      <c r="AE222" s="13">
        <f t="shared" si="347"/>
        <v>2677</v>
      </c>
      <c r="AF222" s="13">
        <f t="shared" si="394"/>
        <v>970</v>
      </c>
      <c r="AG222" s="13">
        <f t="shared" si="394"/>
        <v>36</v>
      </c>
      <c r="AH222" s="13">
        <f t="shared" si="394"/>
        <v>285</v>
      </c>
      <c r="AI222" s="13">
        <f t="shared" si="394"/>
        <v>2329.04</v>
      </c>
      <c r="AJ222" s="13">
        <f t="shared" si="394"/>
        <v>3620.04</v>
      </c>
      <c r="AK222" s="68">
        <f t="shared" si="358"/>
        <v>-943.04</v>
      </c>
      <c r="AL222" s="268">
        <f t="shared" si="359"/>
        <v>1.3522749346283152</v>
      </c>
      <c r="AM222" s="13">
        <f t="shared" si="348"/>
        <v>14420</v>
      </c>
      <c r="AN222" s="13">
        <f t="shared" si="395"/>
        <v>1949.64</v>
      </c>
      <c r="AO222" s="13">
        <f t="shared" si="395"/>
        <v>803</v>
      </c>
      <c r="AP222" s="13">
        <f t="shared" si="395"/>
        <v>1209</v>
      </c>
      <c r="AQ222" s="13">
        <f t="shared" si="395"/>
        <v>97</v>
      </c>
      <c r="AR222" s="13">
        <f t="shared" si="395"/>
        <v>434</v>
      </c>
      <c r="AS222" s="13">
        <f t="shared" si="395"/>
        <v>4492.6400000000003</v>
      </c>
      <c r="AT222" s="68">
        <f>AM222-AS222</f>
        <v>9927.36</v>
      </c>
      <c r="AU222" s="268">
        <f t="shared" si="360"/>
        <v>0.31155617198335644</v>
      </c>
      <c r="AV222" s="13">
        <f t="shared" si="349"/>
        <v>5294</v>
      </c>
      <c r="AW222" s="13">
        <f t="shared" si="323"/>
        <v>609</v>
      </c>
      <c r="AX222" s="13">
        <f t="shared" si="323"/>
        <v>177</v>
      </c>
      <c r="AY222" s="13">
        <f t="shared" si="323"/>
        <v>111</v>
      </c>
      <c r="AZ222" s="13">
        <f t="shared" si="323"/>
        <v>230</v>
      </c>
      <c r="BA222" s="13">
        <f t="shared" si="379"/>
        <v>1127</v>
      </c>
      <c r="BB222" s="68">
        <f t="shared" si="361"/>
        <v>4167</v>
      </c>
      <c r="BC222" s="268">
        <f t="shared" si="362"/>
        <v>0.21288250850018889</v>
      </c>
      <c r="BD222" s="13">
        <f t="shared" si="363"/>
        <v>0</v>
      </c>
      <c r="BE222" s="13">
        <f>SUMIFS(SALIDAS_BIT,FECHA_BIT,"&gt;="&amp;BE$2,FECHA_BIT,"&lt;="&amp;BE$3,CLAVE_BIT,$A222)+SUMIFS(SALIDAS_BOV1,FECHA_BOV1,"&gt;="&amp;BE$2,FECHA_BOV1,"&lt;="&amp;BE$3,CLAVE_BOV1,$A222)+SUMIFS(SALIDAS_BOV2,FECHA_BOV2,"&gt;="&amp;BE$2,FECHA_BOV2,"&lt;="&amp;BE$3,CLAVE_BOV2,$A222)+SUMIFS(SALIDAS_BOV3,FECHA_BOV3,"&gt;="&amp;BE$2,FECHA_BOV3,"&lt;="&amp;BE$3,CLAVE_BOV3,$A222)+SUMIFS(SALIDAS_TC,FECHA_TC,"&gt;="&amp;BE$2,FECHA_TC,"&lt;="&amp;BE$3,CLAVE_TC,$A222)+SUMIFS(SALIDAS_COMB,FECHA_COMB,"&gt;="&amp;BE$2,FECHA_COMB,"&lt;="&amp;BE$3,CLAVE_COMB,$A222)+SUMIFS(SALIDAS_DES,FECHA_DESGLOSEN,"&gt;="&amp;BE$2,FECHA_DESGLOSEN,"&lt;="&amp;BE$3,CLAVE_DESGLOSE,$A222)</f>
        <v>3334</v>
      </c>
      <c r="BF222" s="13">
        <f>SUMIFS(SALIDAS_BIT,FECHA_BIT,"&gt;="&amp;BF$2,FECHA_BIT,"&lt;="&amp;BF$3,CLAVE_BIT,$A222)+SUMIFS(SALIDAS_BOV1,FECHA_BOV1,"&gt;="&amp;BF$2,FECHA_BOV1,"&lt;="&amp;BF$3,CLAVE_BOV1,$A222)+SUMIFS(SALIDAS_BOV2,FECHA_BOV2,"&gt;="&amp;BF$2,FECHA_BOV2,"&lt;="&amp;BF$3,CLAVE_BOV2,$A222)+SUMIFS(SALIDAS_BOV3,FECHA_BOV3,"&gt;="&amp;BF$2,FECHA_BOV3,"&lt;="&amp;BF$3,CLAVE_BOV3,$A222)+SUMIFS(SALIDAS_TC,FECHA_TC,"&gt;="&amp;BF$2,FECHA_TC,"&lt;="&amp;BF$3,CLAVE_TC,$A222)+SUMIFS(SALIDAS_COMB,FECHA_COMB,"&gt;="&amp;BF$2,FECHA_COMB,"&lt;="&amp;BF$3,CLAVE_COMB,$A222)+SUMIFS(SALIDAS_DES,FECHA_DESGLOSEN,"&gt;="&amp;BF$2,FECHA_DESGLOSEN,"&lt;="&amp;BF$3,CLAVE_DESGLOSE,$A222)</f>
        <v>569</v>
      </c>
      <c r="BG222" s="13">
        <f>SUMIFS(SALIDAS_BIT,FECHA_BIT,"&gt;="&amp;BG$2,FECHA_BIT,"&lt;="&amp;BG$3,CLAVE_BIT,$A222)+SUMIFS(SALIDAS_BOV1,FECHA_BOV1,"&gt;="&amp;BG$2,FECHA_BOV1,"&lt;="&amp;BG$3,CLAVE_BOV1,$A222)+SUMIFS(SALIDAS_BOV2,FECHA_BOV2,"&gt;="&amp;BG$2,FECHA_BOV2,"&lt;="&amp;BG$3,CLAVE_BOV2,$A222)+SUMIFS(SALIDAS_BOV3,FECHA_BOV3,"&gt;="&amp;BG$2,FECHA_BOV3,"&lt;="&amp;BG$3,CLAVE_BOV3,$A222)+SUMIFS(SALIDAS_TC,FECHA_TC,"&gt;="&amp;BG$2,FECHA_TC,"&lt;="&amp;BG$3,CLAVE_TC,$A222)+SUMIFS(SALIDAS_COMB,FECHA_COMB,"&gt;="&amp;BG$2,FECHA_COMB,"&lt;="&amp;BG$3,CLAVE_COMB,$A222)+SUMIFS(SALIDAS_DES,FECHA_DESGLOSEN,"&gt;="&amp;BG$2,FECHA_DESGLOSEN,"&lt;="&amp;BG$3,CLAVE_DESGLOSE,$A222)</f>
        <v>671</v>
      </c>
      <c r="BH222" s="13">
        <f>SUMIFS(SALIDAS_BIT,FECHA_BIT,"&gt;="&amp;BH$2,FECHA_BIT,"&lt;="&amp;BH$3,CLAVE_BIT,$A222)+SUMIFS(SALIDAS_BOV1,FECHA_BOV1,"&gt;="&amp;BH$2,FECHA_BOV1,"&lt;="&amp;BH$3,CLAVE_BOV1,$A222)+SUMIFS(SALIDAS_BOV2,FECHA_BOV2,"&gt;="&amp;BH$2,FECHA_BOV2,"&lt;="&amp;BH$3,CLAVE_BOV2,$A222)+SUMIFS(SALIDAS_BOV3,FECHA_BOV3,"&gt;="&amp;BH$2,FECHA_BOV3,"&lt;="&amp;BH$3,CLAVE_BOV3,$A222)+SUMIFS(SALIDAS_TC,FECHA_TC,"&gt;="&amp;BH$2,FECHA_TC,"&lt;="&amp;BH$3,CLAVE_TC,$A222)+SUMIFS(SALIDAS_COMB,FECHA_COMB,"&gt;="&amp;BH$2,FECHA_COMB,"&lt;="&amp;BH$3,CLAVE_COMB,$A222)+SUMIFS(SALIDAS_DES,FECHA_DESGLOSEN,"&gt;="&amp;BH$2,FECHA_DESGLOSEN,"&lt;="&amp;BH$3,CLAVE_DESGLOSE,$A222)</f>
        <v>8351.4599999999991</v>
      </c>
      <c r="BI222" s="13">
        <f t="shared" si="311"/>
        <v>12925.46</v>
      </c>
      <c r="BJ222" s="68">
        <f t="shared" si="364"/>
        <v>-12925.46</v>
      </c>
      <c r="BK222" s="268">
        <f t="shared" si="365"/>
        <v>0</v>
      </c>
      <c r="BL222" s="13">
        <f t="shared" si="366"/>
        <v>3979</v>
      </c>
      <c r="BM222" s="13">
        <f>SUMIFS(SALIDAS_BIT,FECHA_BIT,"&gt;="&amp;BM$2,FECHA_BIT,"&lt;="&amp;BM$3,CLAVE_BIT,$A222)+SUMIFS(SALIDAS_BOV1,FECHA_BOV1,"&gt;="&amp;BM$2,FECHA_BOV1,"&lt;="&amp;BM$3,CLAVE_BOV1,$A222)+SUMIFS(SALIDAS_BOV2,FECHA_BOV2,"&gt;="&amp;BM$2,FECHA_BOV2,"&lt;="&amp;BM$3,CLAVE_BOV2,$A222)+SUMIFS(SALIDAS_BOV3,FECHA_BOV3,"&gt;="&amp;BM$2,FECHA_BOV3,"&lt;="&amp;BM$3,CLAVE_BOV3,$A222)+SUMIFS(SALIDAS_TC,FECHA_TC,"&gt;="&amp;BM$2,FECHA_TC,"&lt;="&amp;BM$3,CLAVE_TC,$A222)+SUMIFS(SALIDAS_COMB,FECHA_COMB,"&gt;="&amp;BM$2,FECHA_COMB,"&lt;="&amp;BM$3,CLAVE_COMB,$A222)+SUMIFS(SALIDAS_DES,FECHA_DESGLOSEN,"&gt;="&amp;BM$2,FECHA_DESGLOSEN,"&lt;="&amp;BM$3,CLAVE_DESGLOSE,$A222)</f>
        <v>603</v>
      </c>
      <c r="BN222" s="13">
        <f>SUMIFS(SALIDAS_BIT,FECHA_BIT,"&gt;="&amp;BN$2,FECHA_BIT,"&lt;="&amp;BN$3,CLAVE_BIT,$A222)+SUMIFS(SALIDAS_BOV1,FECHA_BOV1,"&gt;="&amp;BN$2,FECHA_BOV1,"&lt;="&amp;BN$3,CLAVE_BOV1,$A222)+SUMIFS(SALIDAS_BOV2,FECHA_BOV2,"&gt;="&amp;BN$2,FECHA_BOV2,"&lt;="&amp;BN$3,CLAVE_BOV2,$A222)+SUMIFS(SALIDAS_BOV3,FECHA_BOV3,"&gt;="&amp;BN$2,FECHA_BOV3,"&lt;="&amp;BN$3,CLAVE_BOV3,$A222)+SUMIFS(SALIDAS_TC,FECHA_TC,"&gt;="&amp;BN$2,FECHA_TC,"&lt;="&amp;BN$3,CLAVE_TC,$A222)+SUMIFS(SALIDAS_COMB,FECHA_COMB,"&gt;="&amp;BN$2,FECHA_COMB,"&lt;="&amp;BN$3,CLAVE_COMB,$A222)+SUMIFS(SALIDAS_DES,FECHA_DESGLOSEN,"&gt;="&amp;BN$2,FECHA_DESGLOSEN,"&lt;="&amp;BN$3,CLAVE_DESGLOSE,$A222)</f>
        <v>200</v>
      </c>
      <c r="BO222" s="13">
        <f>SUMIFS(SALIDAS_BIT,FECHA_BIT,"&gt;="&amp;BO$2,FECHA_BIT,"&lt;="&amp;BO$3,CLAVE_BIT,$A222)+SUMIFS(SALIDAS_BOV1,FECHA_BOV1,"&gt;="&amp;BO$2,FECHA_BOV1,"&lt;="&amp;BO$3,CLAVE_BOV1,$A222)+SUMIFS(SALIDAS_BOV2,FECHA_BOV2,"&gt;="&amp;BO$2,FECHA_BOV2,"&lt;="&amp;BO$3,CLAVE_BOV2,$A222)+SUMIFS(SALIDAS_BOV3,FECHA_BOV3,"&gt;="&amp;BO$2,FECHA_BOV3,"&lt;="&amp;BO$3,CLAVE_BOV3,$A222)+SUMIFS(SALIDAS_TC,FECHA_TC,"&gt;="&amp;BO$2,FECHA_TC,"&lt;="&amp;BO$3,CLAVE_TC,$A222)+SUMIFS(SALIDAS_COMB,FECHA_COMB,"&gt;="&amp;BO$2,FECHA_COMB,"&lt;="&amp;BO$3,CLAVE_COMB,$A222)+SUMIFS(SALIDAS_DES,FECHA_DESGLOSEN,"&gt;="&amp;BO$2,FECHA_DESGLOSEN,"&lt;="&amp;BO$3,CLAVE_DESGLOSE,$A222)</f>
        <v>446</v>
      </c>
      <c r="BP222" s="13">
        <f>SUMIFS(SALIDAS_BIT,FECHA_BIT,"&gt;="&amp;BP$2,FECHA_BIT,"&lt;="&amp;BP$3,CLAVE_BIT,$A222)+SUMIFS(SALIDAS_BOV1,FECHA_BOV1,"&gt;="&amp;BP$2,FECHA_BOV1,"&lt;="&amp;BP$3,CLAVE_BOV1,$A222)+SUMIFS(SALIDAS_BOV2,FECHA_BOV2,"&gt;="&amp;BP$2,FECHA_BOV2,"&lt;="&amp;BP$3,CLAVE_BOV2,$A222)+SUMIFS(SALIDAS_BOV3,FECHA_BOV3,"&gt;="&amp;BP$2,FECHA_BOV3,"&lt;="&amp;BP$3,CLAVE_BOV3,$A222)+SUMIFS(SALIDAS_TC,FECHA_TC,"&gt;="&amp;BP$2,FECHA_TC,"&lt;="&amp;BP$3,CLAVE_TC,$A222)+SUMIFS(SALIDAS_COMB,FECHA_COMB,"&gt;="&amp;BP$2,FECHA_COMB,"&lt;="&amp;BP$3,CLAVE_COMB,$A222)+SUMIFS(SALIDAS_DES,FECHA_DESGLOSEN,"&gt;="&amp;BP$2,FECHA_DESGLOSEN,"&lt;="&amp;BP$3,CLAVE_DESGLOSE,$A222)</f>
        <v>420</v>
      </c>
      <c r="BQ222" s="13">
        <f>SUMIFS(SALIDAS_BIT,FECHA_BIT,"&gt;="&amp;BQ$2,FECHA_BIT,"&lt;="&amp;BQ$3,CLAVE_BIT,$A222)+SUMIFS(SALIDAS_BOV1,FECHA_BOV1,"&gt;="&amp;BQ$2,FECHA_BOV1,"&lt;="&amp;BQ$3,CLAVE_BOV1,$A222)+SUMIFS(SALIDAS_BOV2,FECHA_BOV2,"&gt;="&amp;BQ$2,FECHA_BOV2,"&lt;="&amp;BQ$3,CLAVE_BOV2,$A222)+SUMIFS(SALIDAS_BOV3,FECHA_BOV3,"&gt;="&amp;BQ$2,FECHA_BOV3,"&lt;="&amp;BQ$3,CLAVE_BOV3,$A222)+SUMIFS(SALIDAS_TC,FECHA_TC,"&gt;="&amp;BQ$2,FECHA_TC,"&lt;="&amp;BQ$3,CLAVE_TC,$A222)+SUMIFS(SALIDAS_COMB,FECHA_COMB,"&gt;="&amp;BQ$2,FECHA_COMB,"&lt;="&amp;BQ$3,CLAVE_COMB,$A222)+SUMIFS(SALIDAS_DES,FECHA_DESGLOSEN,"&gt;="&amp;BQ$2,FECHA_DESGLOSEN,"&lt;="&amp;BQ$3,CLAVE_DESGLOSE,$A222)</f>
        <v>165</v>
      </c>
      <c r="BR222" s="13">
        <f t="shared" si="396"/>
        <v>1834</v>
      </c>
      <c r="BS222" s="68">
        <f t="shared" si="367"/>
        <v>2145</v>
      </c>
      <c r="BT222" s="268">
        <f t="shared" si="368"/>
        <v>0.46091982910278967</v>
      </c>
      <c r="BU222" s="13">
        <f t="shared" si="369"/>
        <v>0</v>
      </c>
      <c r="BV222" s="13">
        <f t="shared" si="389"/>
        <v>692</v>
      </c>
      <c r="BW222" s="13">
        <f t="shared" si="389"/>
        <v>454.9</v>
      </c>
      <c r="BX222" s="13">
        <f t="shared" si="389"/>
        <v>928.32</v>
      </c>
      <c r="BY222" s="13">
        <f t="shared" si="389"/>
        <v>5105</v>
      </c>
      <c r="BZ222" s="13">
        <f t="shared" si="397"/>
        <v>7180.22</v>
      </c>
      <c r="CA222" s="68">
        <f t="shared" si="370"/>
        <v>-7180.22</v>
      </c>
      <c r="CB222" s="268">
        <f t="shared" si="371"/>
        <v>0</v>
      </c>
      <c r="CC222" s="13">
        <f t="shared" si="372"/>
        <v>0</v>
      </c>
      <c r="CD222" s="13">
        <f t="shared" si="390"/>
        <v>1365.64</v>
      </c>
      <c r="CE222" s="13">
        <f t="shared" si="390"/>
        <v>21570</v>
      </c>
      <c r="CF222" s="13">
        <f t="shared" si="390"/>
        <v>557</v>
      </c>
      <c r="CG222" s="13">
        <f t="shared" si="390"/>
        <v>7500</v>
      </c>
      <c r="CH222" s="13">
        <f t="shared" si="398"/>
        <v>30992.639999999999</v>
      </c>
      <c r="CI222" s="68">
        <f t="shared" si="373"/>
        <v>-30992.639999999999</v>
      </c>
      <c r="CJ222" s="268">
        <f t="shared" si="374"/>
        <v>0</v>
      </c>
      <c r="CK222" s="13">
        <f t="shared" si="375"/>
        <v>5000</v>
      </c>
      <c r="CL222" s="13">
        <f t="shared" si="312"/>
        <v>604</v>
      </c>
      <c r="CM222" s="13">
        <f t="shared" si="312"/>
        <v>617.99</v>
      </c>
      <c r="CN222" s="13">
        <f t="shared" si="312"/>
        <v>645</v>
      </c>
      <c r="CO222" s="13">
        <f t="shared" si="312"/>
        <v>339</v>
      </c>
      <c r="CP222" s="13">
        <f t="shared" si="312"/>
        <v>710</v>
      </c>
      <c r="CQ222" s="13">
        <f t="shared" si="399"/>
        <v>2915.99</v>
      </c>
      <c r="CR222" s="68">
        <f t="shared" si="376"/>
        <v>2084.0100000000002</v>
      </c>
      <c r="CS222" s="268">
        <f t="shared" si="377"/>
        <v>0.58319799999999999</v>
      </c>
      <c r="CT222" s="68">
        <f t="shared" si="350"/>
        <v>5000</v>
      </c>
      <c r="CU222" s="13">
        <f>SUMIFS(SALIDAS_BIT,FECHA_BIT,"&gt;="&amp;CU$2,FECHA_BIT,"&lt;="&amp;CU$3,CLAVE_BIT,$A222)+SUMIFS(SALIDAS_BOV1,FECHA_BOV1,"&gt;="&amp;CU$2,FECHA_BOV1,"&lt;="&amp;CU$3,CLAVE_BOV1,$A222)+SUMIFS(SALIDAS_BOV2,FECHA_BOV2,"&gt;="&amp;CU$2,FECHA_BOV2,"&lt;="&amp;CU$3,CLAVE_BOV2,$A222)+SUMIFS(SALIDAS_BOV3,FECHA_BOV3,"&gt;="&amp;CU$2,FECHA_BOV3,"&lt;="&amp;CU$3,CLAVE_BOV3,$A222)+SUMIFS(SALIDAS_TC,FECHA_TC,"&gt;="&amp;CU$2,FECHA_TC,"&lt;="&amp;CU$3,CLAVE_TC,$A222)+SUMIFS(SALIDAS_COMB,FECHA_COMB,"&gt;="&amp;CU$2,FECHA_COMB,"&lt;="&amp;CU$3,CLAVE_COMB,$A222)+SUMIFS(SALIDAS_DES,FECHA_DESGLOSEN,"&gt;="&amp;CU$2,FECHA_DESGLOSEN,"&lt;="&amp;CU$3,CLAVE_DESGLOSE,$A222)</f>
        <v>506</v>
      </c>
      <c r="CV222" s="13">
        <f>SUMIFS(SALIDAS_BIT,FECHA_BIT,"&gt;="&amp;CV$2,FECHA_BIT,"&lt;="&amp;CV$3,CLAVE_BIT,$A222)+SUMIFS(SALIDAS_BOV1,FECHA_BOV1,"&gt;="&amp;CV$2,FECHA_BOV1,"&lt;="&amp;CV$3,CLAVE_BOV1,$A222)+SUMIFS(SALIDAS_BOV2,FECHA_BOV2,"&gt;="&amp;CV$2,FECHA_BOV2,"&lt;="&amp;CV$3,CLAVE_BOV2,$A222)+SUMIFS(SALIDAS_BOV3,FECHA_BOV3,"&gt;="&amp;CV$2,FECHA_BOV3,"&lt;="&amp;CV$3,CLAVE_BOV3,$A222)+SUMIFS(SALIDAS_TC,FECHA_TC,"&gt;="&amp;CV$2,FECHA_TC,"&lt;="&amp;CV$3,CLAVE_TC,$A222)+SUMIFS(SALIDAS_COMB,FECHA_COMB,"&gt;="&amp;CV$2,FECHA_COMB,"&lt;="&amp;CV$3,CLAVE_COMB,$A222)+SUMIFS(SALIDAS_DES,FECHA_DESGLOSEN,"&gt;="&amp;CV$2,FECHA_DESGLOSEN,"&lt;="&amp;CV$3,CLAVE_DESGLOSE,$A222)</f>
        <v>721</v>
      </c>
      <c r="CW222" s="13">
        <f>SUMIFS(SALIDAS_BIT,FECHA_BIT,"&gt;="&amp;CW$2,FECHA_BIT,"&lt;="&amp;CW$3,CLAVE_BIT,$A222)+SUMIFS(SALIDAS_BOV1,FECHA_BOV1,"&gt;="&amp;CW$2,FECHA_BOV1,"&lt;="&amp;CW$3,CLAVE_BOV1,$A222)+SUMIFS(SALIDAS_BOV2,FECHA_BOV2,"&gt;="&amp;CW$2,FECHA_BOV2,"&lt;="&amp;CW$3,CLAVE_BOV2,$A222)+SUMIFS(SALIDAS_BOV3,FECHA_BOV3,"&gt;="&amp;CW$2,FECHA_BOV3,"&lt;="&amp;CW$3,CLAVE_BOV3,$A222)+SUMIFS(SALIDAS_TC,FECHA_TC,"&gt;="&amp;CW$2,FECHA_TC,"&lt;="&amp;CW$3,CLAVE_TC,$A222)+SUMIFS(SALIDAS_COMB,FECHA_COMB,"&gt;="&amp;CW$2,FECHA_COMB,"&lt;="&amp;CW$3,CLAVE_COMB,$A222)+SUMIFS(SALIDAS_DES,FECHA_DESGLOSEN,"&gt;="&amp;CW$2,FECHA_DESGLOSEN,"&lt;="&amp;CW$3,CLAVE_DESGLOSE,$A222)</f>
        <v>1121</v>
      </c>
      <c r="CX222" s="13">
        <f>SUMIFS(SALIDAS_BIT,FECHA_BIT,"&gt;="&amp;CX$2,FECHA_BIT,"&lt;="&amp;CX$3,CLAVE_BIT,$A222)+SUMIFS(SALIDAS_BOV1,FECHA_BOV1,"&gt;="&amp;CX$2,FECHA_BOV1,"&lt;="&amp;CX$3,CLAVE_BOV1,$A222)+SUMIFS(SALIDAS_BOV2,FECHA_BOV2,"&gt;="&amp;CX$2,FECHA_BOV2,"&lt;="&amp;CX$3,CLAVE_BOV2,$A222)+SUMIFS(SALIDAS_BOV3,FECHA_BOV3,"&gt;="&amp;CX$2,FECHA_BOV3,"&lt;="&amp;CX$3,CLAVE_BOV3,$A222)+SUMIFS(SALIDAS_TC,FECHA_TC,"&gt;="&amp;CX$2,FECHA_TC,"&lt;="&amp;CX$3,CLAVE_TC,$A222)+SUMIFS(SALIDAS_COMB,FECHA_COMB,"&gt;="&amp;CX$2,FECHA_COMB,"&lt;="&amp;CX$3,CLAVE_COMB,$A222)+SUMIFS(SALIDAS_DES,FECHA_DESGLOSEN,"&gt;="&amp;CX$2,FECHA_DESGLOSEN,"&lt;="&amp;CX$3,CLAVE_DESGLOSE,$A222)</f>
        <v>412</v>
      </c>
      <c r="CY222" s="13">
        <f>SUMIFS(SALIDAS_BIT,FECHA_BIT,"&gt;="&amp;CY$2,FECHA_BIT,"&lt;="&amp;CY$3,CLAVE_BIT,$A222)+SUMIFS(SALIDAS_BOV1,FECHA_BOV1,"&gt;="&amp;CY$2,FECHA_BOV1,"&lt;="&amp;CY$3,CLAVE_BOV1,$A222)+SUMIFS(SALIDAS_BOV2,FECHA_BOV2,"&gt;="&amp;CY$2,FECHA_BOV2,"&lt;="&amp;CY$3,CLAVE_BOV2,$A222)+SUMIFS(SALIDAS_BOV3,FECHA_BOV3,"&gt;="&amp;CY$2,FECHA_BOV3,"&lt;="&amp;CY$3,CLAVE_BOV3,$A222)+SUMIFS(SALIDAS_TC,FECHA_TC,"&gt;="&amp;CY$2,FECHA_TC,"&lt;="&amp;CY$3,CLAVE_TC,$A222)+SUMIFS(SALIDAS_COMB,FECHA_COMB,"&gt;="&amp;CY$2,FECHA_COMB,"&lt;="&amp;CY$3,CLAVE_COMB,$A222)+SUMIFS(SALIDAS_DES,FECHA_DESGLOSEN,"&gt;="&amp;CY$2,FECHA_DESGLOSEN,"&lt;="&amp;CY$3,CLAVE_DESGLOSE,$A222)</f>
        <v>2760</v>
      </c>
      <c r="CZ222" s="68">
        <f t="shared" si="378"/>
        <v>2240</v>
      </c>
      <c r="DB222" s="17">
        <f>F222+N222+W222+AE222+AM222+AV222+BD222+BL222+BU222+CC222+CK222</f>
        <v>34853</v>
      </c>
      <c r="DC222" s="17">
        <f>K222+T222+AB222+AJ222+AS222+BA222+BI222+BR222+BZ222+CH222+CQ222</f>
        <v>90555.750000000015</v>
      </c>
    </row>
    <row r="223" spans="1:107" hidden="1">
      <c r="A223" s="12" t="str">
        <f t="shared" si="351"/>
        <v>CAPINSUMOSE6</v>
      </c>
      <c r="B223" s="12">
        <v>225</v>
      </c>
      <c r="C223" t="s">
        <v>31</v>
      </c>
      <c r="D223" s="12" t="s">
        <v>133</v>
      </c>
      <c r="E223" s="12" t="s">
        <v>112</v>
      </c>
      <c r="F223" s="259">
        <f t="shared" si="344"/>
        <v>0</v>
      </c>
      <c r="G223" s="13">
        <f t="shared" si="391"/>
        <v>0</v>
      </c>
      <c r="H223" s="13">
        <f t="shared" si="391"/>
        <v>0</v>
      </c>
      <c r="I223" s="13">
        <f t="shared" si="391"/>
        <v>0</v>
      </c>
      <c r="J223" s="13">
        <f t="shared" si="391"/>
        <v>0</v>
      </c>
      <c r="K223" s="13">
        <f t="shared" si="391"/>
        <v>0</v>
      </c>
      <c r="L223" s="68">
        <f t="shared" si="352"/>
        <v>0</v>
      </c>
      <c r="M223" s="268">
        <f t="shared" si="353"/>
        <v>0</v>
      </c>
      <c r="N223" s="13">
        <f t="shared" si="345"/>
        <v>4705</v>
      </c>
      <c r="O223" s="13">
        <f t="shared" si="392"/>
        <v>0</v>
      </c>
      <c r="P223" s="13">
        <f t="shared" si="392"/>
        <v>0</v>
      </c>
      <c r="Q223" s="13">
        <f t="shared" si="392"/>
        <v>0</v>
      </c>
      <c r="R223" s="13">
        <f t="shared" si="392"/>
        <v>0</v>
      </c>
      <c r="S223" s="13">
        <f t="shared" si="392"/>
        <v>0</v>
      </c>
      <c r="T223" s="13">
        <f t="shared" si="392"/>
        <v>0</v>
      </c>
      <c r="U223" s="68">
        <f t="shared" si="354"/>
        <v>4705</v>
      </c>
      <c r="V223" s="268">
        <f t="shared" si="355"/>
        <v>0</v>
      </c>
      <c r="W223" s="13">
        <f t="shared" si="346"/>
        <v>100</v>
      </c>
      <c r="X223" s="13">
        <f t="shared" si="393"/>
        <v>0</v>
      </c>
      <c r="Y223" s="13">
        <f t="shared" si="393"/>
        <v>0</v>
      </c>
      <c r="Z223" s="13">
        <f t="shared" si="393"/>
        <v>0</v>
      </c>
      <c r="AA223" s="13">
        <f t="shared" si="393"/>
        <v>0</v>
      </c>
      <c r="AB223" s="13">
        <f t="shared" si="393"/>
        <v>0</v>
      </c>
      <c r="AC223" s="68">
        <f t="shared" si="356"/>
        <v>100</v>
      </c>
      <c r="AD223" s="268">
        <f t="shared" si="357"/>
        <v>0</v>
      </c>
      <c r="AE223" s="13">
        <f t="shared" si="347"/>
        <v>174</v>
      </c>
      <c r="AF223" s="13">
        <f t="shared" si="394"/>
        <v>0</v>
      </c>
      <c r="AG223" s="13">
        <f t="shared" si="394"/>
        <v>0</v>
      </c>
      <c r="AH223" s="13">
        <f t="shared" si="394"/>
        <v>0</v>
      </c>
      <c r="AI223" s="13">
        <f t="shared" si="394"/>
        <v>0</v>
      </c>
      <c r="AJ223" s="13">
        <f t="shared" si="394"/>
        <v>0</v>
      </c>
      <c r="AK223" s="68">
        <f t="shared" si="358"/>
        <v>174</v>
      </c>
      <c r="AL223" s="268">
        <f t="shared" si="359"/>
        <v>0</v>
      </c>
      <c r="AM223" s="13">
        <f t="shared" si="348"/>
        <v>431</v>
      </c>
      <c r="AN223" s="13">
        <f t="shared" si="395"/>
        <v>0</v>
      </c>
      <c r="AO223" s="13">
        <f t="shared" si="395"/>
        <v>0</v>
      </c>
      <c r="AP223" s="13">
        <f t="shared" si="395"/>
        <v>0</v>
      </c>
      <c r="AQ223" s="13">
        <f t="shared" si="395"/>
        <v>0</v>
      </c>
      <c r="AR223" s="13">
        <f t="shared" si="395"/>
        <v>0</v>
      </c>
      <c r="AS223" s="13">
        <f t="shared" si="395"/>
        <v>0</v>
      </c>
      <c r="AT223" s="68">
        <f>AM223-AS223</f>
        <v>431</v>
      </c>
      <c r="AU223" s="268">
        <f t="shared" si="360"/>
        <v>0</v>
      </c>
      <c r="AV223" s="13">
        <f t="shared" si="349"/>
        <v>352</v>
      </c>
      <c r="AW223" s="13">
        <f t="shared" si="323"/>
        <v>0</v>
      </c>
      <c r="AX223" s="13">
        <f t="shared" si="323"/>
        <v>0</v>
      </c>
      <c r="AY223" s="13">
        <f t="shared" si="323"/>
        <v>0</v>
      </c>
      <c r="AZ223" s="13">
        <f t="shared" si="323"/>
        <v>0</v>
      </c>
      <c r="BA223" s="13">
        <f t="shared" si="379"/>
        <v>0</v>
      </c>
      <c r="BB223" s="68">
        <f t="shared" si="361"/>
        <v>352</v>
      </c>
      <c r="BC223" s="268">
        <f t="shared" si="362"/>
        <v>0</v>
      </c>
      <c r="BD223" s="13">
        <f t="shared" si="363"/>
        <v>361</v>
      </c>
      <c r="BE223" s="13">
        <f>SUMIFS(SALIDAS_BIT,FECHA_BIT,"&gt;="&amp;BE$2,FECHA_BIT,"&lt;="&amp;BE$3,CLAVE_BIT,$A223)+SUMIFS(SALIDAS_BOV1,FECHA_BOV1,"&gt;="&amp;BE$2,FECHA_BOV1,"&lt;="&amp;BE$3,CLAVE_BOV1,$A223)+SUMIFS(SALIDAS_BOV2,FECHA_BOV2,"&gt;="&amp;BE$2,FECHA_BOV2,"&lt;="&amp;BE$3,CLAVE_BOV2,$A223)+SUMIFS(SALIDAS_BOV3,FECHA_BOV3,"&gt;="&amp;BE$2,FECHA_BOV3,"&lt;="&amp;BE$3,CLAVE_BOV3,$A223)+SUMIFS(SALIDAS_TC,FECHA_TC,"&gt;="&amp;BE$2,FECHA_TC,"&lt;="&amp;BE$3,CLAVE_TC,$A223)+SUMIFS(SALIDAS_COMB,FECHA_COMB,"&gt;="&amp;BE$2,FECHA_COMB,"&lt;="&amp;BE$3,CLAVE_COMB,$A223)+SUMIFS(SALIDAS_DES,FECHA_DESGLOSEN,"&gt;="&amp;BE$2,FECHA_DESGLOSEN,"&lt;="&amp;BE$3,CLAVE_DESGLOSE,$A223)</f>
        <v>0</v>
      </c>
      <c r="BF223" s="13">
        <f>SUMIFS(SALIDAS_BIT,FECHA_BIT,"&gt;="&amp;BF$2,FECHA_BIT,"&lt;="&amp;BF$3,CLAVE_BIT,$A223)+SUMIFS(SALIDAS_BOV1,FECHA_BOV1,"&gt;="&amp;BF$2,FECHA_BOV1,"&lt;="&amp;BF$3,CLAVE_BOV1,$A223)+SUMIFS(SALIDAS_BOV2,FECHA_BOV2,"&gt;="&amp;BF$2,FECHA_BOV2,"&lt;="&amp;BF$3,CLAVE_BOV2,$A223)+SUMIFS(SALIDAS_BOV3,FECHA_BOV3,"&gt;="&amp;BF$2,FECHA_BOV3,"&lt;="&amp;BF$3,CLAVE_BOV3,$A223)+SUMIFS(SALIDAS_TC,FECHA_TC,"&gt;="&amp;BF$2,FECHA_TC,"&lt;="&amp;BF$3,CLAVE_TC,$A223)+SUMIFS(SALIDAS_COMB,FECHA_COMB,"&gt;="&amp;BF$2,FECHA_COMB,"&lt;="&amp;BF$3,CLAVE_COMB,$A223)+SUMIFS(SALIDAS_DES,FECHA_DESGLOSEN,"&gt;="&amp;BF$2,FECHA_DESGLOSEN,"&lt;="&amp;BF$3,CLAVE_DESGLOSE,$A223)</f>
        <v>0</v>
      </c>
      <c r="BG223" s="13">
        <f>SUMIFS(SALIDAS_BIT,FECHA_BIT,"&gt;="&amp;BG$2,FECHA_BIT,"&lt;="&amp;BG$3,CLAVE_BIT,$A223)+SUMIFS(SALIDAS_BOV1,FECHA_BOV1,"&gt;="&amp;BG$2,FECHA_BOV1,"&lt;="&amp;BG$3,CLAVE_BOV1,$A223)+SUMIFS(SALIDAS_BOV2,FECHA_BOV2,"&gt;="&amp;BG$2,FECHA_BOV2,"&lt;="&amp;BG$3,CLAVE_BOV2,$A223)+SUMIFS(SALIDAS_BOV3,FECHA_BOV3,"&gt;="&amp;BG$2,FECHA_BOV3,"&lt;="&amp;BG$3,CLAVE_BOV3,$A223)+SUMIFS(SALIDAS_TC,FECHA_TC,"&gt;="&amp;BG$2,FECHA_TC,"&lt;="&amp;BG$3,CLAVE_TC,$A223)+SUMIFS(SALIDAS_COMB,FECHA_COMB,"&gt;="&amp;BG$2,FECHA_COMB,"&lt;="&amp;BG$3,CLAVE_COMB,$A223)+SUMIFS(SALIDAS_DES,FECHA_DESGLOSEN,"&gt;="&amp;BG$2,FECHA_DESGLOSEN,"&lt;="&amp;BG$3,CLAVE_DESGLOSE,$A223)</f>
        <v>0</v>
      </c>
      <c r="BH223" s="13">
        <f>SUMIFS(SALIDAS_BIT,FECHA_BIT,"&gt;="&amp;BH$2,FECHA_BIT,"&lt;="&amp;BH$3,CLAVE_BIT,$A223)+SUMIFS(SALIDAS_BOV1,FECHA_BOV1,"&gt;="&amp;BH$2,FECHA_BOV1,"&lt;="&amp;BH$3,CLAVE_BOV1,$A223)+SUMIFS(SALIDAS_BOV2,FECHA_BOV2,"&gt;="&amp;BH$2,FECHA_BOV2,"&lt;="&amp;BH$3,CLAVE_BOV2,$A223)+SUMIFS(SALIDAS_BOV3,FECHA_BOV3,"&gt;="&amp;BH$2,FECHA_BOV3,"&lt;="&amp;BH$3,CLAVE_BOV3,$A223)+SUMIFS(SALIDAS_TC,FECHA_TC,"&gt;="&amp;BH$2,FECHA_TC,"&lt;="&amp;BH$3,CLAVE_TC,$A223)+SUMIFS(SALIDAS_COMB,FECHA_COMB,"&gt;="&amp;BH$2,FECHA_COMB,"&lt;="&amp;BH$3,CLAVE_COMB,$A223)+SUMIFS(SALIDAS_DES,FECHA_DESGLOSEN,"&gt;="&amp;BH$2,FECHA_DESGLOSEN,"&lt;="&amp;BH$3,CLAVE_DESGLOSE,$A223)</f>
        <v>0</v>
      </c>
      <c r="BI223" s="13">
        <f t="shared" si="311"/>
        <v>0</v>
      </c>
      <c r="BJ223" s="68">
        <f t="shared" si="364"/>
        <v>361</v>
      </c>
      <c r="BK223" s="268">
        <f t="shared" si="365"/>
        <v>0</v>
      </c>
      <c r="BL223" s="13">
        <f t="shared" si="366"/>
        <v>0</v>
      </c>
      <c r="BM223" s="13">
        <f>SUMIFS(SALIDAS_BIT,FECHA_BIT,"&gt;="&amp;BM$2,FECHA_BIT,"&lt;="&amp;BM$3,CLAVE_BIT,$A223)+SUMIFS(SALIDAS_BOV1,FECHA_BOV1,"&gt;="&amp;BM$2,FECHA_BOV1,"&lt;="&amp;BM$3,CLAVE_BOV1,$A223)+SUMIFS(SALIDAS_BOV2,FECHA_BOV2,"&gt;="&amp;BM$2,FECHA_BOV2,"&lt;="&amp;BM$3,CLAVE_BOV2,$A223)+SUMIFS(SALIDAS_BOV3,FECHA_BOV3,"&gt;="&amp;BM$2,FECHA_BOV3,"&lt;="&amp;BM$3,CLAVE_BOV3,$A223)+SUMIFS(SALIDAS_TC,FECHA_TC,"&gt;="&amp;BM$2,FECHA_TC,"&lt;="&amp;BM$3,CLAVE_TC,$A223)+SUMIFS(SALIDAS_COMB,FECHA_COMB,"&gt;="&amp;BM$2,FECHA_COMB,"&lt;="&amp;BM$3,CLAVE_COMB,$A223)+SUMIFS(SALIDAS_DES,FECHA_DESGLOSEN,"&gt;="&amp;BM$2,FECHA_DESGLOSEN,"&lt;="&amp;BM$3,CLAVE_DESGLOSE,$A223)</f>
        <v>0</v>
      </c>
      <c r="BN223" s="13">
        <f>SUMIFS(SALIDAS_BIT,FECHA_BIT,"&gt;="&amp;BN$2,FECHA_BIT,"&lt;="&amp;BN$3,CLAVE_BIT,$A223)+SUMIFS(SALIDAS_BOV1,FECHA_BOV1,"&gt;="&amp;BN$2,FECHA_BOV1,"&lt;="&amp;BN$3,CLAVE_BOV1,$A223)+SUMIFS(SALIDAS_BOV2,FECHA_BOV2,"&gt;="&amp;BN$2,FECHA_BOV2,"&lt;="&amp;BN$3,CLAVE_BOV2,$A223)+SUMIFS(SALIDAS_BOV3,FECHA_BOV3,"&gt;="&amp;BN$2,FECHA_BOV3,"&lt;="&amp;BN$3,CLAVE_BOV3,$A223)+SUMIFS(SALIDAS_TC,FECHA_TC,"&gt;="&amp;BN$2,FECHA_TC,"&lt;="&amp;BN$3,CLAVE_TC,$A223)+SUMIFS(SALIDAS_COMB,FECHA_COMB,"&gt;="&amp;BN$2,FECHA_COMB,"&lt;="&amp;BN$3,CLAVE_COMB,$A223)+SUMIFS(SALIDAS_DES,FECHA_DESGLOSEN,"&gt;="&amp;BN$2,FECHA_DESGLOSEN,"&lt;="&amp;BN$3,CLAVE_DESGLOSE,$A223)</f>
        <v>0</v>
      </c>
      <c r="BO223" s="13">
        <f>SUMIFS(SALIDAS_BIT,FECHA_BIT,"&gt;="&amp;BO$2,FECHA_BIT,"&lt;="&amp;BO$3,CLAVE_BIT,$A223)+SUMIFS(SALIDAS_BOV1,FECHA_BOV1,"&gt;="&amp;BO$2,FECHA_BOV1,"&lt;="&amp;BO$3,CLAVE_BOV1,$A223)+SUMIFS(SALIDAS_BOV2,FECHA_BOV2,"&gt;="&amp;BO$2,FECHA_BOV2,"&lt;="&amp;BO$3,CLAVE_BOV2,$A223)+SUMIFS(SALIDAS_BOV3,FECHA_BOV3,"&gt;="&amp;BO$2,FECHA_BOV3,"&lt;="&amp;BO$3,CLAVE_BOV3,$A223)+SUMIFS(SALIDAS_TC,FECHA_TC,"&gt;="&amp;BO$2,FECHA_TC,"&lt;="&amp;BO$3,CLAVE_TC,$A223)+SUMIFS(SALIDAS_COMB,FECHA_COMB,"&gt;="&amp;BO$2,FECHA_COMB,"&lt;="&amp;BO$3,CLAVE_COMB,$A223)+SUMIFS(SALIDAS_DES,FECHA_DESGLOSEN,"&gt;="&amp;BO$2,FECHA_DESGLOSEN,"&lt;="&amp;BO$3,CLAVE_DESGLOSE,$A223)</f>
        <v>0</v>
      </c>
      <c r="BP223" s="13">
        <f>SUMIFS(SALIDAS_BIT,FECHA_BIT,"&gt;="&amp;BP$2,FECHA_BIT,"&lt;="&amp;BP$3,CLAVE_BIT,$A223)+SUMIFS(SALIDAS_BOV1,FECHA_BOV1,"&gt;="&amp;BP$2,FECHA_BOV1,"&lt;="&amp;BP$3,CLAVE_BOV1,$A223)+SUMIFS(SALIDAS_BOV2,FECHA_BOV2,"&gt;="&amp;BP$2,FECHA_BOV2,"&lt;="&amp;BP$3,CLAVE_BOV2,$A223)+SUMIFS(SALIDAS_BOV3,FECHA_BOV3,"&gt;="&amp;BP$2,FECHA_BOV3,"&lt;="&amp;BP$3,CLAVE_BOV3,$A223)+SUMIFS(SALIDAS_TC,FECHA_TC,"&gt;="&amp;BP$2,FECHA_TC,"&lt;="&amp;BP$3,CLAVE_TC,$A223)+SUMIFS(SALIDAS_COMB,FECHA_COMB,"&gt;="&amp;BP$2,FECHA_COMB,"&lt;="&amp;BP$3,CLAVE_COMB,$A223)+SUMIFS(SALIDAS_DES,FECHA_DESGLOSEN,"&gt;="&amp;BP$2,FECHA_DESGLOSEN,"&lt;="&amp;BP$3,CLAVE_DESGLOSE,$A223)</f>
        <v>0</v>
      </c>
      <c r="BQ223" s="13">
        <f>SUMIFS(SALIDAS_BIT,FECHA_BIT,"&gt;="&amp;BQ$2,FECHA_BIT,"&lt;="&amp;BQ$3,CLAVE_BIT,$A223)+SUMIFS(SALIDAS_BOV1,FECHA_BOV1,"&gt;="&amp;BQ$2,FECHA_BOV1,"&lt;="&amp;BQ$3,CLAVE_BOV1,$A223)+SUMIFS(SALIDAS_BOV2,FECHA_BOV2,"&gt;="&amp;BQ$2,FECHA_BOV2,"&lt;="&amp;BQ$3,CLAVE_BOV2,$A223)+SUMIFS(SALIDAS_BOV3,FECHA_BOV3,"&gt;="&amp;BQ$2,FECHA_BOV3,"&lt;="&amp;BQ$3,CLAVE_BOV3,$A223)+SUMIFS(SALIDAS_TC,FECHA_TC,"&gt;="&amp;BQ$2,FECHA_TC,"&lt;="&amp;BQ$3,CLAVE_TC,$A223)+SUMIFS(SALIDAS_COMB,FECHA_COMB,"&gt;="&amp;BQ$2,FECHA_COMB,"&lt;="&amp;BQ$3,CLAVE_COMB,$A223)+SUMIFS(SALIDAS_DES,FECHA_DESGLOSEN,"&gt;="&amp;BQ$2,FECHA_DESGLOSEN,"&lt;="&amp;BQ$3,CLAVE_DESGLOSE,$A223)</f>
        <v>0</v>
      </c>
      <c r="BR223" s="13">
        <f t="shared" si="396"/>
        <v>0</v>
      </c>
      <c r="BS223" s="68">
        <f t="shared" si="367"/>
        <v>0</v>
      </c>
      <c r="BT223" s="268">
        <f t="shared" si="368"/>
        <v>0</v>
      </c>
      <c r="BU223" s="13">
        <f t="shared" si="369"/>
        <v>500</v>
      </c>
      <c r="BV223" s="13">
        <f t="shared" si="389"/>
        <v>0</v>
      </c>
      <c r="BW223" s="13">
        <f t="shared" si="389"/>
        <v>0</v>
      </c>
      <c r="BX223" s="13">
        <f t="shared" si="389"/>
        <v>0</v>
      </c>
      <c r="BY223" s="13">
        <f t="shared" si="389"/>
        <v>0</v>
      </c>
      <c r="BZ223" s="13">
        <f t="shared" si="397"/>
        <v>0</v>
      </c>
      <c r="CA223" s="68">
        <f t="shared" si="370"/>
        <v>500</v>
      </c>
      <c r="CB223" s="268">
        <f t="shared" si="371"/>
        <v>0</v>
      </c>
      <c r="CC223" s="13">
        <f t="shared" si="372"/>
        <v>1000</v>
      </c>
      <c r="CD223" s="13">
        <f t="shared" si="390"/>
        <v>0</v>
      </c>
      <c r="CE223" s="13">
        <f t="shared" si="390"/>
        <v>800</v>
      </c>
      <c r="CF223" s="13">
        <f t="shared" si="390"/>
        <v>0</v>
      </c>
      <c r="CG223" s="13">
        <f t="shared" si="390"/>
        <v>0</v>
      </c>
      <c r="CH223" s="13">
        <f t="shared" si="398"/>
        <v>800</v>
      </c>
      <c r="CI223" s="68">
        <f t="shared" si="373"/>
        <v>200</v>
      </c>
      <c r="CJ223" s="268">
        <f t="shared" si="374"/>
        <v>0.8</v>
      </c>
      <c r="CK223" s="13">
        <f t="shared" si="375"/>
        <v>1000</v>
      </c>
      <c r="CL223" s="13">
        <f t="shared" si="312"/>
        <v>0</v>
      </c>
      <c r="CM223" s="13">
        <f t="shared" si="312"/>
        <v>0</v>
      </c>
      <c r="CN223" s="13">
        <f t="shared" si="312"/>
        <v>0</v>
      </c>
      <c r="CO223" s="13">
        <f t="shared" si="312"/>
        <v>294</v>
      </c>
      <c r="CP223" s="13">
        <f t="shared" si="312"/>
        <v>0</v>
      </c>
      <c r="CQ223" s="13">
        <f t="shared" si="399"/>
        <v>294</v>
      </c>
      <c r="CR223" s="68">
        <f t="shared" si="376"/>
        <v>706</v>
      </c>
      <c r="CS223" s="268">
        <f t="shared" si="377"/>
        <v>0.29399999999999998</v>
      </c>
      <c r="CT223" s="68">
        <f t="shared" si="350"/>
        <v>0</v>
      </c>
      <c r="CU223" s="13">
        <f>SUMIFS(SALIDAS_BIT,FECHA_BIT,"&gt;="&amp;CU$2,FECHA_BIT,"&lt;="&amp;CU$3,CLAVE_BIT,$A223)+SUMIFS(SALIDAS_BOV1,FECHA_BOV1,"&gt;="&amp;CU$2,FECHA_BOV1,"&lt;="&amp;CU$3,CLAVE_BOV1,$A223)+SUMIFS(SALIDAS_BOV2,FECHA_BOV2,"&gt;="&amp;CU$2,FECHA_BOV2,"&lt;="&amp;CU$3,CLAVE_BOV2,$A223)+SUMIFS(SALIDAS_BOV3,FECHA_BOV3,"&gt;="&amp;CU$2,FECHA_BOV3,"&lt;="&amp;CU$3,CLAVE_BOV3,$A223)+SUMIFS(SALIDAS_TC,FECHA_TC,"&gt;="&amp;CU$2,FECHA_TC,"&lt;="&amp;CU$3,CLAVE_TC,$A223)+SUMIFS(SALIDAS_COMB,FECHA_COMB,"&gt;="&amp;CU$2,FECHA_COMB,"&lt;="&amp;CU$3,CLAVE_COMB,$A223)+SUMIFS(SALIDAS_DES,FECHA_DESGLOSEN,"&gt;="&amp;CU$2,FECHA_DESGLOSEN,"&lt;="&amp;CU$3,CLAVE_DESGLOSE,$A223)</f>
        <v>0</v>
      </c>
      <c r="CV223" s="13">
        <f>SUMIFS(SALIDAS_BIT,FECHA_BIT,"&gt;="&amp;CV$2,FECHA_BIT,"&lt;="&amp;CV$3,CLAVE_BIT,$A223)+SUMIFS(SALIDAS_BOV1,FECHA_BOV1,"&gt;="&amp;CV$2,FECHA_BOV1,"&lt;="&amp;CV$3,CLAVE_BOV1,$A223)+SUMIFS(SALIDAS_BOV2,FECHA_BOV2,"&gt;="&amp;CV$2,FECHA_BOV2,"&lt;="&amp;CV$3,CLAVE_BOV2,$A223)+SUMIFS(SALIDAS_BOV3,FECHA_BOV3,"&gt;="&amp;CV$2,FECHA_BOV3,"&lt;="&amp;CV$3,CLAVE_BOV3,$A223)+SUMIFS(SALIDAS_TC,FECHA_TC,"&gt;="&amp;CV$2,FECHA_TC,"&lt;="&amp;CV$3,CLAVE_TC,$A223)+SUMIFS(SALIDAS_COMB,FECHA_COMB,"&gt;="&amp;CV$2,FECHA_COMB,"&lt;="&amp;CV$3,CLAVE_COMB,$A223)+SUMIFS(SALIDAS_DES,FECHA_DESGLOSEN,"&gt;="&amp;CV$2,FECHA_DESGLOSEN,"&lt;="&amp;CV$3,CLAVE_DESGLOSE,$A223)</f>
        <v>0</v>
      </c>
      <c r="CW223" s="13">
        <f>SUMIFS(SALIDAS_BIT,FECHA_BIT,"&gt;="&amp;CW$2,FECHA_BIT,"&lt;="&amp;CW$3,CLAVE_BIT,$A223)+SUMIFS(SALIDAS_BOV1,FECHA_BOV1,"&gt;="&amp;CW$2,FECHA_BOV1,"&lt;="&amp;CW$3,CLAVE_BOV1,$A223)+SUMIFS(SALIDAS_BOV2,FECHA_BOV2,"&gt;="&amp;CW$2,FECHA_BOV2,"&lt;="&amp;CW$3,CLAVE_BOV2,$A223)+SUMIFS(SALIDAS_BOV3,FECHA_BOV3,"&gt;="&amp;CW$2,FECHA_BOV3,"&lt;="&amp;CW$3,CLAVE_BOV3,$A223)+SUMIFS(SALIDAS_TC,FECHA_TC,"&gt;="&amp;CW$2,FECHA_TC,"&lt;="&amp;CW$3,CLAVE_TC,$A223)+SUMIFS(SALIDAS_COMB,FECHA_COMB,"&gt;="&amp;CW$2,FECHA_COMB,"&lt;="&amp;CW$3,CLAVE_COMB,$A223)+SUMIFS(SALIDAS_DES,FECHA_DESGLOSEN,"&gt;="&amp;CW$2,FECHA_DESGLOSEN,"&lt;="&amp;CW$3,CLAVE_DESGLOSE,$A223)</f>
        <v>0</v>
      </c>
      <c r="CX223" s="13">
        <f>SUMIFS(SALIDAS_BIT,FECHA_BIT,"&gt;="&amp;CX$2,FECHA_BIT,"&lt;="&amp;CX$3,CLAVE_BIT,$A223)+SUMIFS(SALIDAS_BOV1,FECHA_BOV1,"&gt;="&amp;CX$2,FECHA_BOV1,"&lt;="&amp;CX$3,CLAVE_BOV1,$A223)+SUMIFS(SALIDAS_BOV2,FECHA_BOV2,"&gt;="&amp;CX$2,FECHA_BOV2,"&lt;="&amp;CX$3,CLAVE_BOV2,$A223)+SUMIFS(SALIDAS_BOV3,FECHA_BOV3,"&gt;="&amp;CX$2,FECHA_BOV3,"&lt;="&amp;CX$3,CLAVE_BOV3,$A223)+SUMIFS(SALIDAS_TC,FECHA_TC,"&gt;="&amp;CX$2,FECHA_TC,"&lt;="&amp;CX$3,CLAVE_TC,$A223)+SUMIFS(SALIDAS_COMB,FECHA_COMB,"&gt;="&amp;CX$2,FECHA_COMB,"&lt;="&amp;CX$3,CLAVE_COMB,$A223)+SUMIFS(SALIDAS_DES,FECHA_DESGLOSEN,"&gt;="&amp;CX$2,FECHA_DESGLOSEN,"&lt;="&amp;CX$3,CLAVE_DESGLOSE,$A223)</f>
        <v>0</v>
      </c>
      <c r="CY223" s="13">
        <f>SUMIFS(SALIDAS_BIT,FECHA_BIT,"&gt;="&amp;CY$2,FECHA_BIT,"&lt;="&amp;CY$3,CLAVE_BIT,$A223)+SUMIFS(SALIDAS_BOV1,FECHA_BOV1,"&gt;="&amp;CY$2,FECHA_BOV1,"&lt;="&amp;CY$3,CLAVE_BOV1,$A223)+SUMIFS(SALIDAS_BOV2,FECHA_BOV2,"&gt;="&amp;CY$2,FECHA_BOV2,"&lt;="&amp;CY$3,CLAVE_BOV2,$A223)+SUMIFS(SALIDAS_BOV3,FECHA_BOV3,"&gt;="&amp;CY$2,FECHA_BOV3,"&lt;="&amp;CY$3,CLAVE_BOV3,$A223)+SUMIFS(SALIDAS_TC,FECHA_TC,"&gt;="&amp;CY$2,FECHA_TC,"&lt;="&amp;CY$3,CLAVE_TC,$A223)+SUMIFS(SALIDAS_COMB,FECHA_COMB,"&gt;="&amp;CY$2,FECHA_COMB,"&lt;="&amp;CY$3,CLAVE_COMB,$A223)+SUMIFS(SALIDAS_DES,FECHA_DESGLOSEN,"&gt;="&amp;CY$2,FECHA_DESGLOSEN,"&lt;="&amp;CY$3,CLAVE_DESGLOSE,$A223)</f>
        <v>0</v>
      </c>
      <c r="CZ223" s="68">
        <f t="shared" si="378"/>
        <v>0</v>
      </c>
      <c r="DB223" s="17">
        <f>F223+N223+W223+AE223+AM223+AV223+BD223+BL223+BU223+CC223+CK223</f>
        <v>8623</v>
      </c>
      <c r="DC223" s="17">
        <f>K223+T223+AB223+AJ223+AS223+BA223+BI223+BR223+BZ223+CH223+CQ223</f>
        <v>1094</v>
      </c>
    </row>
    <row r="224" spans="1:107" hidden="1">
      <c r="A224" s="12" t="str">
        <f t="shared" si="351"/>
        <v>SERVICIOSINSUMOSCEDIS</v>
      </c>
      <c r="B224" s="12">
        <v>226</v>
      </c>
      <c r="C224" t="s">
        <v>21</v>
      </c>
      <c r="D224" s="12" t="s">
        <v>133</v>
      </c>
      <c r="E224" s="12" t="s">
        <v>28</v>
      </c>
      <c r="F224" s="259">
        <f t="shared" si="344"/>
        <v>0</v>
      </c>
      <c r="G224" s="13">
        <f t="shared" si="391"/>
        <v>0</v>
      </c>
      <c r="H224" s="13">
        <f t="shared" si="391"/>
        <v>0</v>
      </c>
      <c r="I224" s="13">
        <f t="shared" si="391"/>
        <v>13374.8</v>
      </c>
      <c r="J224" s="13">
        <f t="shared" si="391"/>
        <v>0</v>
      </c>
      <c r="K224" s="13">
        <f t="shared" si="391"/>
        <v>13374.8</v>
      </c>
      <c r="L224" s="68">
        <f t="shared" si="352"/>
        <v>-13374.8</v>
      </c>
      <c r="M224" s="268">
        <f t="shared" si="353"/>
        <v>0</v>
      </c>
      <c r="N224" s="13">
        <f t="shared" si="345"/>
        <v>0</v>
      </c>
      <c r="O224" s="13">
        <f t="shared" si="392"/>
        <v>0</v>
      </c>
      <c r="P224" s="13">
        <f t="shared" si="392"/>
        <v>0</v>
      </c>
      <c r="Q224" s="13">
        <f t="shared" si="392"/>
        <v>0</v>
      </c>
      <c r="R224" s="13">
        <f t="shared" si="392"/>
        <v>0</v>
      </c>
      <c r="S224" s="13">
        <f t="shared" si="392"/>
        <v>0</v>
      </c>
      <c r="T224" s="13">
        <f t="shared" si="392"/>
        <v>0</v>
      </c>
      <c r="U224" s="68">
        <f t="shared" si="354"/>
        <v>0</v>
      </c>
      <c r="V224" s="268">
        <f t="shared" si="355"/>
        <v>0</v>
      </c>
      <c r="W224" s="13">
        <f t="shared" si="346"/>
        <v>0</v>
      </c>
      <c r="X224" s="13">
        <f t="shared" si="393"/>
        <v>0</v>
      </c>
      <c r="Y224" s="13">
        <f t="shared" si="393"/>
        <v>0</v>
      </c>
      <c r="Z224" s="13">
        <f t="shared" si="393"/>
        <v>0</v>
      </c>
      <c r="AA224" s="13">
        <f t="shared" si="393"/>
        <v>0</v>
      </c>
      <c r="AB224" s="13">
        <f t="shared" si="393"/>
        <v>0</v>
      </c>
      <c r="AC224" s="68">
        <f t="shared" si="356"/>
        <v>0</v>
      </c>
      <c r="AD224" s="268">
        <f t="shared" si="357"/>
        <v>0</v>
      </c>
      <c r="AE224" s="13">
        <f t="shared" si="347"/>
        <v>0</v>
      </c>
      <c r="AF224" s="13">
        <f t="shared" si="394"/>
        <v>0</v>
      </c>
      <c r="AG224" s="13">
        <f t="shared" si="394"/>
        <v>4176</v>
      </c>
      <c r="AH224" s="13">
        <f t="shared" si="394"/>
        <v>0</v>
      </c>
      <c r="AI224" s="13">
        <f t="shared" si="394"/>
        <v>0</v>
      </c>
      <c r="AJ224" s="13">
        <f t="shared" si="394"/>
        <v>4176</v>
      </c>
      <c r="AK224" s="68">
        <f t="shared" si="358"/>
        <v>-4176</v>
      </c>
      <c r="AL224" s="268">
        <f t="shared" si="359"/>
        <v>0</v>
      </c>
      <c r="AM224" s="13">
        <f t="shared" si="348"/>
        <v>15000</v>
      </c>
      <c r="AN224" s="13">
        <f t="shared" si="395"/>
        <v>0</v>
      </c>
      <c r="AO224" s="13">
        <f t="shared" si="395"/>
        <v>2324</v>
      </c>
      <c r="AP224" s="13">
        <f t="shared" si="395"/>
        <v>14964.93</v>
      </c>
      <c r="AQ224" s="13">
        <f t="shared" si="395"/>
        <v>0</v>
      </c>
      <c r="AR224" s="13">
        <f t="shared" si="395"/>
        <v>0</v>
      </c>
      <c r="AS224" s="13">
        <f t="shared" si="395"/>
        <v>17288.93</v>
      </c>
      <c r="AT224" s="68">
        <f>AM224-AS224</f>
        <v>-2288.9300000000003</v>
      </c>
      <c r="AU224" s="268">
        <f t="shared" si="360"/>
        <v>1.1525953333333334</v>
      </c>
      <c r="AV224" s="13">
        <f t="shared" si="349"/>
        <v>0</v>
      </c>
      <c r="AW224" s="13">
        <f t="shared" si="323"/>
        <v>0</v>
      </c>
      <c r="AX224" s="13">
        <f t="shared" si="323"/>
        <v>0</v>
      </c>
      <c r="AY224" s="13">
        <f t="shared" si="323"/>
        <v>0</v>
      </c>
      <c r="AZ224" s="13">
        <f t="shared" si="323"/>
        <v>0</v>
      </c>
      <c r="BA224" s="13">
        <f t="shared" si="379"/>
        <v>0</v>
      </c>
      <c r="BB224" s="68">
        <f t="shared" si="361"/>
        <v>0</v>
      </c>
      <c r="BC224" s="268">
        <f t="shared" si="362"/>
        <v>0</v>
      </c>
      <c r="BD224" s="13">
        <f t="shared" si="363"/>
        <v>0</v>
      </c>
      <c r="BE224" s="13">
        <f>SUMIFS(SALIDAS_BIT,FECHA_BIT,"&gt;="&amp;BE$2,FECHA_BIT,"&lt;="&amp;BE$3,CLAVE_BIT,$A224)+SUMIFS(SALIDAS_BOV1,FECHA_BOV1,"&gt;="&amp;BE$2,FECHA_BOV1,"&lt;="&amp;BE$3,CLAVE_BOV1,$A224)+SUMIFS(SALIDAS_BOV2,FECHA_BOV2,"&gt;="&amp;BE$2,FECHA_BOV2,"&lt;="&amp;BE$3,CLAVE_BOV2,$A224)+SUMIFS(SALIDAS_BOV3,FECHA_BOV3,"&gt;="&amp;BE$2,FECHA_BOV3,"&lt;="&amp;BE$3,CLAVE_BOV3,$A224)+SUMIFS(SALIDAS_TC,FECHA_TC,"&gt;="&amp;BE$2,FECHA_TC,"&lt;="&amp;BE$3,CLAVE_TC,$A224)+SUMIFS(SALIDAS_COMB,FECHA_COMB,"&gt;="&amp;BE$2,FECHA_COMB,"&lt;="&amp;BE$3,CLAVE_COMB,$A224)+SUMIFS(SALIDAS_DES,FECHA_DESGLOSEN,"&gt;="&amp;BE$2,FECHA_DESGLOSEN,"&lt;="&amp;BE$3,CLAVE_DESGLOSE,$A224)</f>
        <v>0</v>
      </c>
      <c r="BF224" s="13">
        <f>SUMIFS(SALIDAS_BIT,FECHA_BIT,"&gt;="&amp;BF$2,FECHA_BIT,"&lt;="&amp;BF$3,CLAVE_BIT,$A224)+SUMIFS(SALIDAS_BOV1,FECHA_BOV1,"&gt;="&amp;BF$2,FECHA_BOV1,"&lt;="&amp;BF$3,CLAVE_BOV1,$A224)+SUMIFS(SALIDAS_BOV2,FECHA_BOV2,"&gt;="&amp;BF$2,FECHA_BOV2,"&lt;="&amp;BF$3,CLAVE_BOV2,$A224)+SUMIFS(SALIDAS_BOV3,FECHA_BOV3,"&gt;="&amp;BF$2,FECHA_BOV3,"&lt;="&amp;BF$3,CLAVE_BOV3,$A224)+SUMIFS(SALIDAS_TC,FECHA_TC,"&gt;="&amp;BF$2,FECHA_TC,"&lt;="&amp;BF$3,CLAVE_TC,$A224)+SUMIFS(SALIDAS_COMB,FECHA_COMB,"&gt;="&amp;BF$2,FECHA_COMB,"&lt;="&amp;BF$3,CLAVE_COMB,$A224)+SUMIFS(SALIDAS_DES,FECHA_DESGLOSEN,"&gt;="&amp;BF$2,FECHA_DESGLOSEN,"&lt;="&amp;BF$3,CLAVE_DESGLOSE,$A224)</f>
        <v>6148</v>
      </c>
      <c r="BG224" s="13">
        <f>SUMIFS(SALIDAS_BIT,FECHA_BIT,"&gt;="&amp;BG$2,FECHA_BIT,"&lt;="&amp;BG$3,CLAVE_BIT,$A224)+SUMIFS(SALIDAS_BOV1,FECHA_BOV1,"&gt;="&amp;BG$2,FECHA_BOV1,"&lt;="&amp;BG$3,CLAVE_BOV1,$A224)+SUMIFS(SALIDAS_BOV2,FECHA_BOV2,"&gt;="&amp;BG$2,FECHA_BOV2,"&lt;="&amp;BG$3,CLAVE_BOV2,$A224)+SUMIFS(SALIDAS_BOV3,FECHA_BOV3,"&gt;="&amp;BG$2,FECHA_BOV3,"&lt;="&amp;BG$3,CLAVE_BOV3,$A224)+SUMIFS(SALIDAS_TC,FECHA_TC,"&gt;="&amp;BG$2,FECHA_TC,"&lt;="&amp;BG$3,CLAVE_TC,$A224)+SUMIFS(SALIDAS_COMB,FECHA_COMB,"&gt;="&amp;BG$2,FECHA_COMB,"&lt;="&amp;BG$3,CLAVE_COMB,$A224)+SUMIFS(SALIDAS_DES,FECHA_DESGLOSEN,"&gt;="&amp;BG$2,FECHA_DESGLOSEN,"&lt;="&amp;BG$3,CLAVE_DESGLOSE,$A224)</f>
        <v>0</v>
      </c>
      <c r="BH224" s="13">
        <f>SUMIFS(SALIDAS_BIT,FECHA_BIT,"&gt;="&amp;BH$2,FECHA_BIT,"&lt;="&amp;BH$3,CLAVE_BIT,$A224)+SUMIFS(SALIDAS_BOV1,FECHA_BOV1,"&gt;="&amp;BH$2,FECHA_BOV1,"&lt;="&amp;BH$3,CLAVE_BOV1,$A224)+SUMIFS(SALIDAS_BOV2,FECHA_BOV2,"&gt;="&amp;BH$2,FECHA_BOV2,"&lt;="&amp;BH$3,CLAVE_BOV2,$A224)+SUMIFS(SALIDAS_BOV3,FECHA_BOV3,"&gt;="&amp;BH$2,FECHA_BOV3,"&lt;="&amp;BH$3,CLAVE_BOV3,$A224)+SUMIFS(SALIDAS_TC,FECHA_TC,"&gt;="&amp;BH$2,FECHA_TC,"&lt;="&amp;BH$3,CLAVE_TC,$A224)+SUMIFS(SALIDAS_COMB,FECHA_COMB,"&gt;="&amp;BH$2,FECHA_COMB,"&lt;="&amp;BH$3,CLAVE_COMB,$A224)+SUMIFS(SALIDAS_DES,FECHA_DESGLOSEN,"&gt;="&amp;BH$2,FECHA_DESGLOSEN,"&lt;="&amp;BH$3,CLAVE_DESGLOSE,$A224)</f>
        <v>0</v>
      </c>
      <c r="BI224" s="13">
        <f t="shared" si="311"/>
        <v>6148</v>
      </c>
      <c r="BJ224" s="68">
        <f t="shared" si="364"/>
        <v>-6148</v>
      </c>
      <c r="BK224" s="268">
        <f t="shared" si="365"/>
        <v>0</v>
      </c>
      <c r="BL224" s="13">
        <f t="shared" si="366"/>
        <v>0</v>
      </c>
      <c r="BM224" s="13">
        <f>SUMIFS(SALIDAS_BIT,FECHA_BIT,"&gt;="&amp;BM$2,FECHA_BIT,"&lt;="&amp;BM$3,CLAVE_BIT,$A224)+SUMIFS(SALIDAS_BOV1,FECHA_BOV1,"&gt;="&amp;BM$2,FECHA_BOV1,"&lt;="&amp;BM$3,CLAVE_BOV1,$A224)+SUMIFS(SALIDAS_BOV2,FECHA_BOV2,"&gt;="&amp;BM$2,FECHA_BOV2,"&lt;="&amp;BM$3,CLAVE_BOV2,$A224)+SUMIFS(SALIDAS_BOV3,FECHA_BOV3,"&gt;="&amp;BM$2,FECHA_BOV3,"&lt;="&amp;BM$3,CLAVE_BOV3,$A224)+SUMIFS(SALIDAS_TC,FECHA_TC,"&gt;="&amp;BM$2,FECHA_TC,"&lt;="&amp;BM$3,CLAVE_TC,$A224)+SUMIFS(SALIDAS_COMB,FECHA_COMB,"&gt;="&amp;BM$2,FECHA_COMB,"&lt;="&amp;BM$3,CLAVE_COMB,$A224)+SUMIFS(SALIDAS_DES,FECHA_DESGLOSEN,"&gt;="&amp;BM$2,FECHA_DESGLOSEN,"&lt;="&amp;BM$3,CLAVE_DESGLOSE,$A224)</f>
        <v>0</v>
      </c>
      <c r="BN224" s="13">
        <f>SUMIFS(SALIDAS_BIT,FECHA_BIT,"&gt;="&amp;BN$2,FECHA_BIT,"&lt;="&amp;BN$3,CLAVE_BIT,$A224)+SUMIFS(SALIDAS_BOV1,FECHA_BOV1,"&gt;="&amp;BN$2,FECHA_BOV1,"&lt;="&amp;BN$3,CLAVE_BOV1,$A224)+SUMIFS(SALIDAS_BOV2,FECHA_BOV2,"&gt;="&amp;BN$2,FECHA_BOV2,"&lt;="&amp;BN$3,CLAVE_BOV2,$A224)+SUMIFS(SALIDAS_BOV3,FECHA_BOV3,"&gt;="&amp;BN$2,FECHA_BOV3,"&lt;="&amp;BN$3,CLAVE_BOV3,$A224)+SUMIFS(SALIDAS_TC,FECHA_TC,"&gt;="&amp;BN$2,FECHA_TC,"&lt;="&amp;BN$3,CLAVE_TC,$A224)+SUMIFS(SALIDAS_COMB,FECHA_COMB,"&gt;="&amp;BN$2,FECHA_COMB,"&lt;="&amp;BN$3,CLAVE_COMB,$A224)+SUMIFS(SALIDAS_DES,FECHA_DESGLOSEN,"&gt;="&amp;BN$2,FECHA_DESGLOSEN,"&lt;="&amp;BN$3,CLAVE_DESGLOSE,$A224)</f>
        <v>1300</v>
      </c>
      <c r="BO224" s="13">
        <f>SUMIFS(SALIDAS_BIT,FECHA_BIT,"&gt;="&amp;BO$2,FECHA_BIT,"&lt;="&amp;BO$3,CLAVE_BIT,$A224)+SUMIFS(SALIDAS_BOV1,FECHA_BOV1,"&gt;="&amp;BO$2,FECHA_BOV1,"&lt;="&amp;BO$3,CLAVE_BOV1,$A224)+SUMIFS(SALIDAS_BOV2,FECHA_BOV2,"&gt;="&amp;BO$2,FECHA_BOV2,"&lt;="&amp;BO$3,CLAVE_BOV2,$A224)+SUMIFS(SALIDAS_BOV3,FECHA_BOV3,"&gt;="&amp;BO$2,FECHA_BOV3,"&lt;="&amp;BO$3,CLAVE_BOV3,$A224)+SUMIFS(SALIDAS_TC,FECHA_TC,"&gt;="&amp;BO$2,FECHA_TC,"&lt;="&amp;BO$3,CLAVE_TC,$A224)+SUMIFS(SALIDAS_COMB,FECHA_COMB,"&gt;="&amp;BO$2,FECHA_COMB,"&lt;="&amp;BO$3,CLAVE_COMB,$A224)+SUMIFS(SALIDAS_DES,FECHA_DESGLOSEN,"&gt;="&amp;BO$2,FECHA_DESGLOSEN,"&lt;="&amp;BO$3,CLAVE_DESGLOSE,$A224)</f>
        <v>0</v>
      </c>
      <c r="BP224" s="13">
        <f>SUMIFS(SALIDAS_BIT,FECHA_BIT,"&gt;="&amp;BP$2,FECHA_BIT,"&lt;="&amp;BP$3,CLAVE_BIT,$A224)+SUMIFS(SALIDAS_BOV1,FECHA_BOV1,"&gt;="&amp;BP$2,FECHA_BOV1,"&lt;="&amp;BP$3,CLAVE_BOV1,$A224)+SUMIFS(SALIDAS_BOV2,FECHA_BOV2,"&gt;="&amp;BP$2,FECHA_BOV2,"&lt;="&amp;BP$3,CLAVE_BOV2,$A224)+SUMIFS(SALIDAS_BOV3,FECHA_BOV3,"&gt;="&amp;BP$2,FECHA_BOV3,"&lt;="&amp;BP$3,CLAVE_BOV3,$A224)+SUMIFS(SALIDAS_TC,FECHA_TC,"&gt;="&amp;BP$2,FECHA_TC,"&lt;="&amp;BP$3,CLAVE_TC,$A224)+SUMIFS(SALIDAS_COMB,FECHA_COMB,"&gt;="&amp;BP$2,FECHA_COMB,"&lt;="&amp;BP$3,CLAVE_COMB,$A224)+SUMIFS(SALIDAS_DES,FECHA_DESGLOSEN,"&gt;="&amp;BP$2,FECHA_DESGLOSEN,"&lt;="&amp;BP$3,CLAVE_DESGLOSE,$A224)</f>
        <v>1700</v>
      </c>
      <c r="BQ224" s="13">
        <f>SUMIFS(SALIDAS_BIT,FECHA_BIT,"&gt;="&amp;BQ$2,FECHA_BIT,"&lt;="&amp;BQ$3,CLAVE_BIT,$A224)+SUMIFS(SALIDAS_BOV1,FECHA_BOV1,"&gt;="&amp;BQ$2,FECHA_BOV1,"&lt;="&amp;BQ$3,CLAVE_BOV1,$A224)+SUMIFS(SALIDAS_BOV2,FECHA_BOV2,"&gt;="&amp;BQ$2,FECHA_BOV2,"&lt;="&amp;BQ$3,CLAVE_BOV2,$A224)+SUMIFS(SALIDAS_BOV3,FECHA_BOV3,"&gt;="&amp;BQ$2,FECHA_BOV3,"&lt;="&amp;BQ$3,CLAVE_BOV3,$A224)+SUMIFS(SALIDAS_TC,FECHA_TC,"&gt;="&amp;BQ$2,FECHA_TC,"&lt;="&amp;BQ$3,CLAVE_TC,$A224)+SUMIFS(SALIDAS_COMB,FECHA_COMB,"&gt;="&amp;BQ$2,FECHA_COMB,"&lt;="&amp;BQ$3,CLAVE_COMB,$A224)+SUMIFS(SALIDAS_DES,FECHA_DESGLOSEN,"&gt;="&amp;BQ$2,FECHA_DESGLOSEN,"&lt;="&amp;BQ$3,CLAVE_DESGLOSE,$A224)</f>
        <v>0</v>
      </c>
      <c r="BR224" s="13">
        <f t="shared" si="396"/>
        <v>3000</v>
      </c>
      <c r="BS224" s="68">
        <f t="shared" si="367"/>
        <v>-3000</v>
      </c>
      <c r="BT224" s="268">
        <f t="shared" si="368"/>
        <v>0</v>
      </c>
      <c r="BU224" s="13">
        <f t="shared" si="369"/>
        <v>0</v>
      </c>
      <c r="BV224" s="13">
        <f t="shared" si="389"/>
        <v>0</v>
      </c>
      <c r="BW224" s="13">
        <f t="shared" si="389"/>
        <v>0</v>
      </c>
      <c r="BX224" s="13">
        <f t="shared" si="389"/>
        <v>0</v>
      </c>
      <c r="BY224" s="13">
        <f t="shared" si="389"/>
        <v>186</v>
      </c>
      <c r="BZ224" s="13">
        <f t="shared" si="397"/>
        <v>186</v>
      </c>
      <c r="CA224" s="68">
        <f t="shared" si="370"/>
        <v>-186</v>
      </c>
      <c r="CB224" s="268">
        <f t="shared" si="371"/>
        <v>0</v>
      </c>
      <c r="CC224" s="13">
        <f t="shared" si="372"/>
        <v>0</v>
      </c>
      <c r="CD224" s="13">
        <f t="shared" si="390"/>
        <v>2425</v>
      </c>
      <c r="CE224" s="13">
        <f t="shared" si="390"/>
        <v>0</v>
      </c>
      <c r="CF224" s="13">
        <f t="shared" si="390"/>
        <v>8268</v>
      </c>
      <c r="CG224" s="13">
        <f t="shared" si="390"/>
        <v>0</v>
      </c>
      <c r="CH224" s="13">
        <f t="shared" si="398"/>
        <v>10693</v>
      </c>
      <c r="CI224" s="68">
        <f t="shared" si="373"/>
        <v>-10693</v>
      </c>
      <c r="CJ224" s="268">
        <f t="shared" si="374"/>
        <v>0</v>
      </c>
      <c r="CK224" s="13">
        <f t="shared" si="375"/>
        <v>0</v>
      </c>
      <c r="CL224" s="13">
        <f t="shared" si="312"/>
        <v>2192.4</v>
      </c>
      <c r="CM224" s="13">
        <f t="shared" si="312"/>
        <v>0</v>
      </c>
      <c r="CN224" s="13">
        <f t="shared" si="312"/>
        <v>3021.8</v>
      </c>
      <c r="CO224" s="13">
        <f t="shared" si="312"/>
        <v>0</v>
      </c>
      <c r="CP224" s="13">
        <f t="shared" si="312"/>
        <v>0</v>
      </c>
      <c r="CQ224" s="13">
        <f t="shared" si="399"/>
        <v>5214.2000000000007</v>
      </c>
      <c r="CR224" s="68">
        <f t="shared" si="376"/>
        <v>-5214.2000000000007</v>
      </c>
      <c r="CS224" s="268">
        <f t="shared" si="377"/>
        <v>0</v>
      </c>
      <c r="CT224" s="68">
        <f t="shared" si="350"/>
        <v>0</v>
      </c>
      <c r="CU224" s="13">
        <f>SUMIFS(SALIDAS_BIT,FECHA_BIT,"&gt;="&amp;CU$2,FECHA_BIT,"&lt;="&amp;CU$3,CLAVE_BIT,$A224)+SUMIFS(SALIDAS_BOV1,FECHA_BOV1,"&gt;="&amp;CU$2,FECHA_BOV1,"&lt;="&amp;CU$3,CLAVE_BOV1,$A224)+SUMIFS(SALIDAS_BOV2,FECHA_BOV2,"&gt;="&amp;CU$2,FECHA_BOV2,"&lt;="&amp;CU$3,CLAVE_BOV2,$A224)+SUMIFS(SALIDAS_BOV3,FECHA_BOV3,"&gt;="&amp;CU$2,FECHA_BOV3,"&lt;="&amp;CU$3,CLAVE_BOV3,$A224)+SUMIFS(SALIDAS_TC,FECHA_TC,"&gt;="&amp;CU$2,FECHA_TC,"&lt;="&amp;CU$3,CLAVE_TC,$A224)+SUMIFS(SALIDAS_COMB,FECHA_COMB,"&gt;="&amp;CU$2,FECHA_COMB,"&lt;="&amp;CU$3,CLAVE_COMB,$A224)+SUMIFS(SALIDAS_DES,FECHA_DESGLOSEN,"&gt;="&amp;CU$2,FECHA_DESGLOSEN,"&lt;="&amp;CU$3,CLAVE_DESGLOSE,$A224)</f>
        <v>0</v>
      </c>
      <c r="CV224" s="13">
        <f>SUMIFS(SALIDAS_BIT,FECHA_BIT,"&gt;="&amp;CV$2,FECHA_BIT,"&lt;="&amp;CV$3,CLAVE_BIT,$A224)+SUMIFS(SALIDAS_BOV1,FECHA_BOV1,"&gt;="&amp;CV$2,FECHA_BOV1,"&lt;="&amp;CV$3,CLAVE_BOV1,$A224)+SUMIFS(SALIDAS_BOV2,FECHA_BOV2,"&gt;="&amp;CV$2,FECHA_BOV2,"&lt;="&amp;CV$3,CLAVE_BOV2,$A224)+SUMIFS(SALIDAS_BOV3,FECHA_BOV3,"&gt;="&amp;CV$2,FECHA_BOV3,"&lt;="&amp;CV$3,CLAVE_BOV3,$A224)+SUMIFS(SALIDAS_TC,FECHA_TC,"&gt;="&amp;CV$2,FECHA_TC,"&lt;="&amp;CV$3,CLAVE_TC,$A224)+SUMIFS(SALIDAS_COMB,FECHA_COMB,"&gt;="&amp;CV$2,FECHA_COMB,"&lt;="&amp;CV$3,CLAVE_COMB,$A224)+SUMIFS(SALIDAS_DES,FECHA_DESGLOSEN,"&gt;="&amp;CV$2,FECHA_DESGLOSEN,"&lt;="&amp;CV$3,CLAVE_DESGLOSE,$A224)</f>
        <v>0</v>
      </c>
      <c r="CW224" s="13">
        <f>SUMIFS(SALIDAS_BIT,FECHA_BIT,"&gt;="&amp;CW$2,FECHA_BIT,"&lt;="&amp;CW$3,CLAVE_BIT,$A224)+SUMIFS(SALIDAS_BOV1,FECHA_BOV1,"&gt;="&amp;CW$2,FECHA_BOV1,"&lt;="&amp;CW$3,CLAVE_BOV1,$A224)+SUMIFS(SALIDAS_BOV2,FECHA_BOV2,"&gt;="&amp;CW$2,FECHA_BOV2,"&lt;="&amp;CW$3,CLAVE_BOV2,$A224)+SUMIFS(SALIDAS_BOV3,FECHA_BOV3,"&gt;="&amp;CW$2,FECHA_BOV3,"&lt;="&amp;CW$3,CLAVE_BOV3,$A224)+SUMIFS(SALIDAS_TC,FECHA_TC,"&gt;="&amp;CW$2,FECHA_TC,"&lt;="&amp;CW$3,CLAVE_TC,$A224)+SUMIFS(SALIDAS_COMB,FECHA_COMB,"&gt;="&amp;CW$2,FECHA_COMB,"&lt;="&amp;CW$3,CLAVE_COMB,$A224)+SUMIFS(SALIDAS_DES,FECHA_DESGLOSEN,"&gt;="&amp;CW$2,FECHA_DESGLOSEN,"&lt;="&amp;CW$3,CLAVE_DESGLOSE,$A224)</f>
        <v>0</v>
      </c>
      <c r="CX224" s="13">
        <f>SUMIFS(SALIDAS_BIT,FECHA_BIT,"&gt;="&amp;CX$2,FECHA_BIT,"&lt;="&amp;CX$3,CLAVE_BIT,$A224)+SUMIFS(SALIDAS_BOV1,FECHA_BOV1,"&gt;="&amp;CX$2,FECHA_BOV1,"&lt;="&amp;CX$3,CLAVE_BOV1,$A224)+SUMIFS(SALIDAS_BOV2,FECHA_BOV2,"&gt;="&amp;CX$2,FECHA_BOV2,"&lt;="&amp;CX$3,CLAVE_BOV2,$A224)+SUMIFS(SALIDAS_BOV3,FECHA_BOV3,"&gt;="&amp;CX$2,FECHA_BOV3,"&lt;="&amp;CX$3,CLAVE_BOV3,$A224)+SUMIFS(SALIDAS_TC,FECHA_TC,"&gt;="&amp;CX$2,FECHA_TC,"&lt;="&amp;CX$3,CLAVE_TC,$A224)+SUMIFS(SALIDAS_COMB,FECHA_COMB,"&gt;="&amp;CX$2,FECHA_COMB,"&lt;="&amp;CX$3,CLAVE_COMB,$A224)+SUMIFS(SALIDAS_DES,FECHA_DESGLOSEN,"&gt;="&amp;CX$2,FECHA_DESGLOSEN,"&lt;="&amp;CX$3,CLAVE_DESGLOSE,$A224)</f>
        <v>0</v>
      </c>
      <c r="CY224" s="13">
        <f>SUMIFS(SALIDAS_BIT,FECHA_BIT,"&gt;="&amp;CY$2,FECHA_BIT,"&lt;="&amp;CY$3,CLAVE_BIT,$A224)+SUMIFS(SALIDAS_BOV1,FECHA_BOV1,"&gt;="&amp;CY$2,FECHA_BOV1,"&lt;="&amp;CY$3,CLAVE_BOV1,$A224)+SUMIFS(SALIDAS_BOV2,FECHA_BOV2,"&gt;="&amp;CY$2,FECHA_BOV2,"&lt;="&amp;CY$3,CLAVE_BOV2,$A224)+SUMIFS(SALIDAS_BOV3,FECHA_BOV3,"&gt;="&amp;CY$2,FECHA_BOV3,"&lt;="&amp;CY$3,CLAVE_BOV3,$A224)+SUMIFS(SALIDAS_TC,FECHA_TC,"&gt;="&amp;CY$2,FECHA_TC,"&lt;="&amp;CY$3,CLAVE_TC,$A224)+SUMIFS(SALIDAS_COMB,FECHA_COMB,"&gt;="&amp;CY$2,FECHA_COMB,"&lt;="&amp;CY$3,CLAVE_COMB,$A224)+SUMIFS(SALIDAS_DES,FECHA_DESGLOSEN,"&gt;="&amp;CY$2,FECHA_DESGLOSEN,"&lt;="&amp;CY$3,CLAVE_DESGLOSE,$A224)</f>
        <v>0</v>
      </c>
      <c r="CZ224" s="68">
        <f t="shared" si="378"/>
        <v>0</v>
      </c>
      <c r="DB224" s="17">
        <f>F224+N224+W224+AE224+AM224+AV224+BD224+BL224+BU224+CC224+CK224</f>
        <v>15000</v>
      </c>
      <c r="DC224" s="17">
        <f>K224+T224+AB224+AJ224+AS224+BA224+BI224+BR224+BZ224+CH224+CQ224</f>
        <v>60080.929999999993</v>
      </c>
    </row>
    <row r="225" spans="1:107" hidden="1">
      <c r="A225" s="12" t="str">
        <f t="shared" si="351"/>
        <v>SERVICIOSINSUMOSMARKET MAX</v>
      </c>
      <c r="B225" s="12">
        <v>227</v>
      </c>
      <c r="C225" t="s">
        <v>21</v>
      </c>
      <c r="D225" s="12" t="s">
        <v>133</v>
      </c>
      <c r="E225" s="12" t="s">
        <v>46</v>
      </c>
      <c r="F225" s="259">
        <f t="shared" si="344"/>
        <v>4000</v>
      </c>
      <c r="G225" s="13">
        <f t="shared" si="391"/>
        <v>0</v>
      </c>
      <c r="H225" s="13">
        <f t="shared" si="391"/>
        <v>0</v>
      </c>
      <c r="I225" s="13">
        <f t="shared" si="391"/>
        <v>0</v>
      </c>
      <c r="J225" s="13">
        <f t="shared" si="391"/>
        <v>0</v>
      </c>
      <c r="K225" s="13">
        <f t="shared" si="391"/>
        <v>0</v>
      </c>
      <c r="L225" s="68">
        <f t="shared" si="352"/>
        <v>4000</v>
      </c>
      <c r="M225" s="268">
        <f t="shared" si="353"/>
        <v>0</v>
      </c>
      <c r="N225" s="13">
        <f t="shared" si="345"/>
        <v>4000</v>
      </c>
      <c r="O225" s="13">
        <f t="shared" si="392"/>
        <v>0</v>
      </c>
      <c r="P225" s="13">
        <f t="shared" si="392"/>
        <v>0</v>
      </c>
      <c r="Q225" s="13">
        <f t="shared" si="392"/>
        <v>0</v>
      </c>
      <c r="R225" s="13">
        <f t="shared" si="392"/>
        <v>0</v>
      </c>
      <c r="S225" s="13">
        <f t="shared" si="392"/>
        <v>0</v>
      </c>
      <c r="T225" s="13">
        <f t="shared" si="392"/>
        <v>0</v>
      </c>
      <c r="U225" s="68">
        <f t="shared" si="354"/>
        <v>4000</v>
      </c>
      <c r="V225" s="268">
        <f t="shared" si="355"/>
        <v>0</v>
      </c>
      <c r="W225" s="13">
        <f t="shared" si="346"/>
        <v>4000</v>
      </c>
      <c r="X225" s="13">
        <f t="shared" si="393"/>
        <v>0</v>
      </c>
      <c r="Y225" s="13">
        <f t="shared" si="393"/>
        <v>0</v>
      </c>
      <c r="Z225" s="13">
        <f t="shared" si="393"/>
        <v>0</v>
      </c>
      <c r="AA225" s="13">
        <f t="shared" si="393"/>
        <v>0</v>
      </c>
      <c r="AB225" s="13">
        <f t="shared" si="393"/>
        <v>0</v>
      </c>
      <c r="AC225" s="68">
        <f t="shared" si="356"/>
        <v>4000</v>
      </c>
      <c r="AD225" s="268">
        <f t="shared" si="357"/>
        <v>0</v>
      </c>
      <c r="AE225" s="13">
        <f t="shared" si="347"/>
        <v>4000</v>
      </c>
      <c r="AF225" s="13">
        <f t="shared" si="394"/>
        <v>0</v>
      </c>
      <c r="AG225" s="13">
        <f t="shared" si="394"/>
        <v>0</v>
      </c>
      <c r="AH225" s="13">
        <f t="shared" si="394"/>
        <v>0</v>
      </c>
      <c r="AI225" s="13">
        <f t="shared" si="394"/>
        <v>0</v>
      </c>
      <c r="AJ225" s="13">
        <f t="shared" si="394"/>
        <v>0</v>
      </c>
      <c r="AK225" s="68">
        <f t="shared" si="358"/>
        <v>4000</v>
      </c>
      <c r="AL225" s="268">
        <f t="shared" si="359"/>
        <v>0</v>
      </c>
      <c r="AM225" s="13">
        <f t="shared" si="348"/>
        <v>4000</v>
      </c>
      <c r="AN225" s="13">
        <f t="shared" si="395"/>
        <v>0</v>
      </c>
      <c r="AO225" s="13">
        <f t="shared" si="395"/>
        <v>0</v>
      </c>
      <c r="AP225" s="13">
        <f t="shared" si="395"/>
        <v>0</v>
      </c>
      <c r="AQ225" s="13">
        <f t="shared" si="395"/>
        <v>0</v>
      </c>
      <c r="AR225" s="13">
        <f t="shared" si="395"/>
        <v>0</v>
      </c>
      <c r="AS225" s="13">
        <f t="shared" si="395"/>
        <v>0</v>
      </c>
      <c r="AT225" s="68">
        <f>AM225-AS225</f>
        <v>4000</v>
      </c>
      <c r="AU225" s="268">
        <f t="shared" si="360"/>
        <v>0</v>
      </c>
      <c r="AV225" s="13">
        <f t="shared" si="349"/>
        <v>4000</v>
      </c>
      <c r="AW225" s="13">
        <f t="shared" si="323"/>
        <v>0</v>
      </c>
      <c r="AX225" s="13">
        <f t="shared" si="323"/>
        <v>0</v>
      </c>
      <c r="AY225" s="13">
        <f t="shared" si="323"/>
        <v>0</v>
      </c>
      <c r="AZ225" s="13">
        <f t="shared" si="323"/>
        <v>0</v>
      </c>
      <c r="BA225" s="13">
        <f t="shared" si="379"/>
        <v>0</v>
      </c>
      <c r="BB225" s="68">
        <f t="shared" si="361"/>
        <v>4000</v>
      </c>
      <c r="BC225" s="268">
        <f t="shared" si="362"/>
        <v>0</v>
      </c>
      <c r="BD225" s="13">
        <f t="shared" si="363"/>
        <v>4000</v>
      </c>
      <c r="BE225" s="13">
        <f>SUMIFS(SALIDAS_BIT,FECHA_BIT,"&gt;="&amp;BE$2,FECHA_BIT,"&lt;="&amp;BE$3,CLAVE_BIT,$A225)+SUMIFS(SALIDAS_BOV1,FECHA_BOV1,"&gt;="&amp;BE$2,FECHA_BOV1,"&lt;="&amp;BE$3,CLAVE_BOV1,$A225)+SUMIFS(SALIDAS_BOV2,FECHA_BOV2,"&gt;="&amp;BE$2,FECHA_BOV2,"&lt;="&amp;BE$3,CLAVE_BOV2,$A225)+SUMIFS(SALIDAS_BOV3,FECHA_BOV3,"&gt;="&amp;BE$2,FECHA_BOV3,"&lt;="&amp;BE$3,CLAVE_BOV3,$A225)+SUMIFS(SALIDAS_TC,FECHA_TC,"&gt;="&amp;BE$2,FECHA_TC,"&lt;="&amp;BE$3,CLAVE_TC,$A225)+SUMIFS(SALIDAS_COMB,FECHA_COMB,"&gt;="&amp;BE$2,FECHA_COMB,"&lt;="&amp;BE$3,CLAVE_COMB,$A225)+SUMIFS(SALIDAS_DES,FECHA_DESGLOSEN,"&gt;="&amp;BE$2,FECHA_DESGLOSEN,"&lt;="&amp;BE$3,CLAVE_DESGLOSE,$A225)</f>
        <v>0</v>
      </c>
      <c r="BF225" s="13">
        <f>SUMIFS(SALIDAS_BIT,FECHA_BIT,"&gt;="&amp;BF$2,FECHA_BIT,"&lt;="&amp;BF$3,CLAVE_BIT,$A225)+SUMIFS(SALIDAS_BOV1,FECHA_BOV1,"&gt;="&amp;BF$2,FECHA_BOV1,"&lt;="&amp;BF$3,CLAVE_BOV1,$A225)+SUMIFS(SALIDAS_BOV2,FECHA_BOV2,"&gt;="&amp;BF$2,FECHA_BOV2,"&lt;="&amp;BF$3,CLAVE_BOV2,$A225)+SUMIFS(SALIDAS_BOV3,FECHA_BOV3,"&gt;="&amp;BF$2,FECHA_BOV3,"&lt;="&amp;BF$3,CLAVE_BOV3,$A225)+SUMIFS(SALIDAS_TC,FECHA_TC,"&gt;="&amp;BF$2,FECHA_TC,"&lt;="&amp;BF$3,CLAVE_TC,$A225)+SUMIFS(SALIDAS_COMB,FECHA_COMB,"&gt;="&amp;BF$2,FECHA_COMB,"&lt;="&amp;BF$3,CLAVE_COMB,$A225)+SUMIFS(SALIDAS_DES,FECHA_DESGLOSEN,"&gt;="&amp;BF$2,FECHA_DESGLOSEN,"&lt;="&amp;BF$3,CLAVE_DESGLOSE,$A225)</f>
        <v>0</v>
      </c>
      <c r="BG225" s="13">
        <f>SUMIFS(SALIDAS_BIT,FECHA_BIT,"&gt;="&amp;BG$2,FECHA_BIT,"&lt;="&amp;BG$3,CLAVE_BIT,$A225)+SUMIFS(SALIDAS_BOV1,FECHA_BOV1,"&gt;="&amp;BG$2,FECHA_BOV1,"&lt;="&amp;BG$3,CLAVE_BOV1,$A225)+SUMIFS(SALIDAS_BOV2,FECHA_BOV2,"&gt;="&amp;BG$2,FECHA_BOV2,"&lt;="&amp;BG$3,CLAVE_BOV2,$A225)+SUMIFS(SALIDAS_BOV3,FECHA_BOV3,"&gt;="&amp;BG$2,FECHA_BOV3,"&lt;="&amp;BG$3,CLAVE_BOV3,$A225)+SUMIFS(SALIDAS_TC,FECHA_TC,"&gt;="&amp;BG$2,FECHA_TC,"&lt;="&amp;BG$3,CLAVE_TC,$A225)+SUMIFS(SALIDAS_COMB,FECHA_COMB,"&gt;="&amp;BG$2,FECHA_COMB,"&lt;="&amp;BG$3,CLAVE_COMB,$A225)+SUMIFS(SALIDAS_DES,FECHA_DESGLOSEN,"&gt;="&amp;BG$2,FECHA_DESGLOSEN,"&lt;="&amp;BG$3,CLAVE_DESGLOSE,$A225)</f>
        <v>0</v>
      </c>
      <c r="BH225" s="13">
        <f>SUMIFS(SALIDAS_BIT,FECHA_BIT,"&gt;="&amp;BH$2,FECHA_BIT,"&lt;="&amp;BH$3,CLAVE_BIT,$A225)+SUMIFS(SALIDAS_BOV1,FECHA_BOV1,"&gt;="&amp;BH$2,FECHA_BOV1,"&lt;="&amp;BH$3,CLAVE_BOV1,$A225)+SUMIFS(SALIDAS_BOV2,FECHA_BOV2,"&gt;="&amp;BH$2,FECHA_BOV2,"&lt;="&amp;BH$3,CLAVE_BOV2,$A225)+SUMIFS(SALIDAS_BOV3,FECHA_BOV3,"&gt;="&amp;BH$2,FECHA_BOV3,"&lt;="&amp;BH$3,CLAVE_BOV3,$A225)+SUMIFS(SALIDAS_TC,FECHA_TC,"&gt;="&amp;BH$2,FECHA_TC,"&lt;="&amp;BH$3,CLAVE_TC,$A225)+SUMIFS(SALIDAS_COMB,FECHA_COMB,"&gt;="&amp;BH$2,FECHA_COMB,"&lt;="&amp;BH$3,CLAVE_COMB,$A225)+SUMIFS(SALIDAS_DES,FECHA_DESGLOSEN,"&gt;="&amp;BH$2,FECHA_DESGLOSEN,"&lt;="&amp;BH$3,CLAVE_DESGLOSE,$A225)</f>
        <v>0</v>
      </c>
      <c r="BI225" s="13">
        <f t="shared" si="311"/>
        <v>0</v>
      </c>
      <c r="BJ225" s="68">
        <f t="shared" si="364"/>
        <v>4000</v>
      </c>
      <c r="BK225" s="268">
        <f t="shared" si="365"/>
        <v>0</v>
      </c>
      <c r="BL225" s="13">
        <f t="shared" si="366"/>
        <v>4000</v>
      </c>
      <c r="BM225" s="13">
        <f>SUMIFS(SALIDAS_BIT,FECHA_BIT,"&gt;="&amp;BM$2,FECHA_BIT,"&lt;="&amp;BM$3,CLAVE_BIT,$A225)+SUMIFS(SALIDAS_BOV1,FECHA_BOV1,"&gt;="&amp;BM$2,FECHA_BOV1,"&lt;="&amp;BM$3,CLAVE_BOV1,$A225)+SUMIFS(SALIDAS_BOV2,FECHA_BOV2,"&gt;="&amp;BM$2,FECHA_BOV2,"&lt;="&amp;BM$3,CLAVE_BOV2,$A225)+SUMIFS(SALIDAS_BOV3,FECHA_BOV3,"&gt;="&amp;BM$2,FECHA_BOV3,"&lt;="&amp;BM$3,CLAVE_BOV3,$A225)+SUMIFS(SALIDAS_TC,FECHA_TC,"&gt;="&amp;BM$2,FECHA_TC,"&lt;="&amp;BM$3,CLAVE_TC,$A225)+SUMIFS(SALIDAS_COMB,FECHA_COMB,"&gt;="&amp;BM$2,FECHA_COMB,"&lt;="&amp;BM$3,CLAVE_COMB,$A225)+SUMIFS(SALIDAS_DES,FECHA_DESGLOSEN,"&gt;="&amp;BM$2,FECHA_DESGLOSEN,"&lt;="&amp;BM$3,CLAVE_DESGLOSE,$A225)</f>
        <v>0</v>
      </c>
      <c r="BN225" s="13">
        <f>SUMIFS(SALIDAS_BIT,FECHA_BIT,"&gt;="&amp;BN$2,FECHA_BIT,"&lt;="&amp;BN$3,CLAVE_BIT,$A225)+SUMIFS(SALIDAS_BOV1,FECHA_BOV1,"&gt;="&amp;BN$2,FECHA_BOV1,"&lt;="&amp;BN$3,CLAVE_BOV1,$A225)+SUMIFS(SALIDAS_BOV2,FECHA_BOV2,"&gt;="&amp;BN$2,FECHA_BOV2,"&lt;="&amp;BN$3,CLAVE_BOV2,$A225)+SUMIFS(SALIDAS_BOV3,FECHA_BOV3,"&gt;="&amp;BN$2,FECHA_BOV3,"&lt;="&amp;BN$3,CLAVE_BOV3,$A225)+SUMIFS(SALIDAS_TC,FECHA_TC,"&gt;="&amp;BN$2,FECHA_TC,"&lt;="&amp;BN$3,CLAVE_TC,$A225)+SUMIFS(SALIDAS_COMB,FECHA_COMB,"&gt;="&amp;BN$2,FECHA_COMB,"&lt;="&amp;BN$3,CLAVE_COMB,$A225)+SUMIFS(SALIDAS_DES,FECHA_DESGLOSEN,"&gt;="&amp;BN$2,FECHA_DESGLOSEN,"&lt;="&amp;BN$3,CLAVE_DESGLOSE,$A225)</f>
        <v>0</v>
      </c>
      <c r="BO225" s="13">
        <f>SUMIFS(SALIDAS_BIT,FECHA_BIT,"&gt;="&amp;BO$2,FECHA_BIT,"&lt;="&amp;BO$3,CLAVE_BIT,$A225)+SUMIFS(SALIDAS_BOV1,FECHA_BOV1,"&gt;="&amp;BO$2,FECHA_BOV1,"&lt;="&amp;BO$3,CLAVE_BOV1,$A225)+SUMIFS(SALIDAS_BOV2,FECHA_BOV2,"&gt;="&amp;BO$2,FECHA_BOV2,"&lt;="&amp;BO$3,CLAVE_BOV2,$A225)+SUMIFS(SALIDAS_BOV3,FECHA_BOV3,"&gt;="&amp;BO$2,FECHA_BOV3,"&lt;="&amp;BO$3,CLAVE_BOV3,$A225)+SUMIFS(SALIDAS_TC,FECHA_TC,"&gt;="&amp;BO$2,FECHA_TC,"&lt;="&amp;BO$3,CLAVE_TC,$A225)+SUMIFS(SALIDAS_COMB,FECHA_COMB,"&gt;="&amp;BO$2,FECHA_COMB,"&lt;="&amp;BO$3,CLAVE_COMB,$A225)+SUMIFS(SALIDAS_DES,FECHA_DESGLOSEN,"&gt;="&amp;BO$2,FECHA_DESGLOSEN,"&lt;="&amp;BO$3,CLAVE_DESGLOSE,$A225)</f>
        <v>0</v>
      </c>
      <c r="BP225" s="13">
        <f>SUMIFS(SALIDAS_BIT,FECHA_BIT,"&gt;="&amp;BP$2,FECHA_BIT,"&lt;="&amp;BP$3,CLAVE_BIT,$A225)+SUMIFS(SALIDAS_BOV1,FECHA_BOV1,"&gt;="&amp;BP$2,FECHA_BOV1,"&lt;="&amp;BP$3,CLAVE_BOV1,$A225)+SUMIFS(SALIDAS_BOV2,FECHA_BOV2,"&gt;="&amp;BP$2,FECHA_BOV2,"&lt;="&amp;BP$3,CLAVE_BOV2,$A225)+SUMIFS(SALIDAS_BOV3,FECHA_BOV3,"&gt;="&amp;BP$2,FECHA_BOV3,"&lt;="&amp;BP$3,CLAVE_BOV3,$A225)+SUMIFS(SALIDAS_TC,FECHA_TC,"&gt;="&amp;BP$2,FECHA_TC,"&lt;="&amp;BP$3,CLAVE_TC,$A225)+SUMIFS(SALIDAS_COMB,FECHA_COMB,"&gt;="&amp;BP$2,FECHA_COMB,"&lt;="&amp;BP$3,CLAVE_COMB,$A225)+SUMIFS(SALIDAS_DES,FECHA_DESGLOSEN,"&gt;="&amp;BP$2,FECHA_DESGLOSEN,"&lt;="&amp;BP$3,CLAVE_DESGLOSE,$A225)</f>
        <v>0</v>
      </c>
      <c r="BQ225" s="13">
        <f>SUMIFS(SALIDAS_BIT,FECHA_BIT,"&gt;="&amp;BQ$2,FECHA_BIT,"&lt;="&amp;BQ$3,CLAVE_BIT,$A225)+SUMIFS(SALIDAS_BOV1,FECHA_BOV1,"&gt;="&amp;BQ$2,FECHA_BOV1,"&lt;="&amp;BQ$3,CLAVE_BOV1,$A225)+SUMIFS(SALIDAS_BOV2,FECHA_BOV2,"&gt;="&amp;BQ$2,FECHA_BOV2,"&lt;="&amp;BQ$3,CLAVE_BOV2,$A225)+SUMIFS(SALIDAS_BOV3,FECHA_BOV3,"&gt;="&amp;BQ$2,FECHA_BOV3,"&lt;="&amp;BQ$3,CLAVE_BOV3,$A225)+SUMIFS(SALIDAS_TC,FECHA_TC,"&gt;="&amp;BQ$2,FECHA_TC,"&lt;="&amp;BQ$3,CLAVE_TC,$A225)+SUMIFS(SALIDAS_COMB,FECHA_COMB,"&gt;="&amp;BQ$2,FECHA_COMB,"&lt;="&amp;BQ$3,CLAVE_COMB,$A225)+SUMIFS(SALIDAS_DES,FECHA_DESGLOSEN,"&gt;="&amp;BQ$2,FECHA_DESGLOSEN,"&lt;="&amp;BQ$3,CLAVE_DESGLOSE,$A225)</f>
        <v>0</v>
      </c>
      <c r="BR225" s="13">
        <f t="shared" si="396"/>
        <v>0</v>
      </c>
      <c r="BS225" s="68">
        <f t="shared" si="367"/>
        <v>4000</v>
      </c>
      <c r="BT225" s="268">
        <f t="shared" si="368"/>
        <v>0</v>
      </c>
      <c r="BU225" s="13">
        <f t="shared" si="369"/>
        <v>4000</v>
      </c>
      <c r="BV225" s="13">
        <f t="shared" si="389"/>
        <v>0</v>
      </c>
      <c r="BW225" s="13">
        <f t="shared" si="389"/>
        <v>0</v>
      </c>
      <c r="BX225" s="13">
        <f t="shared" si="389"/>
        <v>0</v>
      </c>
      <c r="BY225" s="13">
        <f t="shared" si="389"/>
        <v>0</v>
      </c>
      <c r="BZ225" s="13">
        <f t="shared" si="397"/>
        <v>0</v>
      </c>
      <c r="CA225" s="68">
        <f t="shared" si="370"/>
        <v>4000</v>
      </c>
      <c r="CB225" s="268">
        <f t="shared" si="371"/>
        <v>0</v>
      </c>
      <c r="CC225" s="13">
        <f t="shared" si="372"/>
        <v>4000</v>
      </c>
      <c r="CD225" s="13">
        <f t="shared" si="390"/>
        <v>0</v>
      </c>
      <c r="CE225" s="13">
        <f t="shared" si="390"/>
        <v>0</v>
      </c>
      <c r="CF225" s="13">
        <f t="shared" si="390"/>
        <v>0</v>
      </c>
      <c r="CG225" s="13">
        <f t="shared" si="390"/>
        <v>0</v>
      </c>
      <c r="CH225" s="13">
        <f t="shared" si="398"/>
        <v>0</v>
      </c>
      <c r="CI225" s="68">
        <f t="shared" si="373"/>
        <v>4000</v>
      </c>
      <c r="CJ225" s="268">
        <f t="shared" si="374"/>
        <v>0</v>
      </c>
      <c r="CK225" s="13">
        <f t="shared" si="375"/>
        <v>4000</v>
      </c>
      <c r="CL225" s="13">
        <f t="shared" si="312"/>
        <v>0</v>
      </c>
      <c r="CM225" s="13">
        <f t="shared" si="312"/>
        <v>0</v>
      </c>
      <c r="CN225" s="13">
        <f t="shared" si="312"/>
        <v>0</v>
      </c>
      <c r="CO225" s="13">
        <f t="shared" si="312"/>
        <v>0</v>
      </c>
      <c r="CP225" s="13">
        <f t="shared" si="312"/>
        <v>0</v>
      </c>
      <c r="CQ225" s="13">
        <f t="shared" si="399"/>
        <v>0</v>
      </c>
      <c r="CR225" s="68">
        <f t="shared" si="376"/>
        <v>4000</v>
      </c>
      <c r="CS225" s="268">
        <f t="shared" si="377"/>
        <v>0</v>
      </c>
      <c r="CT225" s="68">
        <f t="shared" si="350"/>
        <v>0</v>
      </c>
      <c r="CU225" s="13">
        <f>SUMIFS(SALIDAS_BIT,FECHA_BIT,"&gt;="&amp;CU$2,FECHA_BIT,"&lt;="&amp;CU$3,CLAVE_BIT,$A225)+SUMIFS(SALIDAS_BOV1,FECHA_BOV1,"&gt;="&amp;CU$2,FECHA_BOV1,"&lt;="&amp;CU$3,CLAVE_BOV1,$A225)+SUMIFS(SALIDAS_BOV2,FECHA_BOV2,"&gt;="&amp;CU$2,FECHA_BOV2,"&lt;="&amp;CU$3,CLAVE_BOV2,$A225)+SUMIFS(SALIDAS_BOV3,FECHA_BOV3,"&gt;="&amp;CU$2,FECHA_BOV3,"&lt;="&amp;CU$3,CLAVE_BOV3,$A225)+SUMIFS(SALIDAS_TC,FECHA_TC,"&gt;="&amp;CU$2,FECHA_TC,"&lt;="&amp;CU$3,CLAVE_TC,$A225)+SUMIFS(SALIDAS_COMB,FECHA_COMB,"&gt;="&amp;CU$2,FECHA_COMB,"&lt;="&amp;CU$3,CLAVE_COMB,$A225)+SUMIFS(SALIDAS_DES,FECHA_DESGLOSEN,"&gt;="&amp;CU$2,FECHA_DESGLOSEN,"&lt;="&amp;CU$3,CLAVE_DESGLOSE,$A225)</f>
        <v>0</v>
      </c>
      <c r="CV225" s="13">
        <f>SUMIFS(SALIDAS_BIT,FECHA_BIT,"&gt;="&amp;CV$2,FECHA_BIT,"&lt;="&amp;CV$3,CLAVE_BIT,$A225)+SUMIFS(SALIDAS_BOV1,FECHA_BOV1,"&gt;="&amp;CV$2,FECHA_BOV1,"&lt;="&amp;CV$3,CLAVE_BOV1,$A225)+SUMIFS(SALIDAS_BOV2,FECHA_BOV2,"&gt;="&amp;CV$2,FECHA_BOV2,"&lt;="&amp;CV$3,CLAVE_BOV2,$A225)+SUMIFS(SALIDAS_BOV3,FECHA_BOV3,"&gt;="&amp;CV$2,FECHA_BOV3,"&lt;="&amp;CV$3,CLAVE_BOV3,$A225)+SUMIFS(SALIDAS_TC,FECHA_TC,"&gt;="&amp;CV$2,FECHA_TC,"&lt;="&amp;CV$3,CLAVE_TC,$A225)+SUMIFS(SALIDAS_COMB,FECHA_COMB,"&gt;="&amp;CV$2,FECHA_COMB,"&lt;="&amp;CV$3,CLAVE_COMB,$A225)+SUMIFS(SALIDAS_DES,FECHA_DESGLOSEN,"&gt;="&amp;CV$2,FECHA_DESGLOSEN,"&lt;="&amp;CV$3,CLAVE_DESGLOSE,$A225)</f>
        <v>0</v>
      </c>
      <c r="CW225" s="13">
        <f>SUMIFS(SALIDAS_BIT,FECHA_BIT,"&gt;="&amp;CW$2,FECHA_BIT,"&lt;="&amp;CW$3,CLAVE_BIT,$A225)+SUMIFS(SALIDAS_BOV1,FECHA_BOV1,"&gt;="&amp;CW$2,FECHA_BOV1,"&lt;="&amp;CW$3,CLAVE_BOV1,$A225)+SUMIFS(SALIDAS_BOV2,FECHA_BOV2,"&gt;="&amp;CW$2,FECHA_BOV2,"&lt;="&amp;CW$3,CLAVE_BOV2,$A225)+SUMIFS(SALIDAS_BOV3,FECHA_BOV3,"&gt;="&amp;CW$2,FECHA_BOV3,"&lt;="&amp;CW$3,CLAVE_BOV3,$A225)+SUMIFS(SALIDAS_TC,FECHA_TC,"&gt;="&amp;CW$2,FECHA_TC,"&lt;="&amp;CW$3,CLAVE_TC,$A225)+SUMIFS(SALIDAS_COMB,FECHA_COMB,"&gt;="&amp;CW$2,FECHA_COMB,"&lt;="&amp;CW$3,CLAVE_COMB,$A225)+SUMIFS(SALIDAS_DES,FECHA_DESGLOSEN,"&gt;="&amp;CW$2,FECHA_DESGLOSEN,"&lt;="&amp;CW$3,CLAVE_DESGLOSE,$A225)</f>
        <v>0</v>
      </c>
      <c r="CX225" s="13">
        <f>SUMIFS(SALIDAS_BIT,FECHA_BIT,"&gt;="&amp;CX$2,FECHA_BIT,"&lt;="&amp;CX$3,CLAVE_BIT,$A225)+SUMIFS(SALIDAS_BOV1,FECHA_BOV1,"&gt;="&amp;CX$2,FECHA_BOV1,"&lt;="&amp;CX$3,CLAVE_BOV1,$A225)+SUMIFS(SALIDAS_BOV2,FECHA_BOV2,"&gt;="&amp;CX$2,FECHA_BOV2,"&lt;="&amp;CX$3,CLAVE_BOV2,$A225)+SUMIFS(SALIDAS_BOV3,FECHA_BOV3,"&gt;="&amp;CX$2,FECHA_BOV3,"&lt;="&amp;CX$3,CLAVE_BOV3,$A225)+SUMIFS(SALIDAS_TC,FECHA_TC,"&gt;="&amp;CX$2,FECHA_TC,"&lt;="&amp;CX$3,CLAVE_TC,$A225)+SUMIFS(SALIDAS_COMB,FECHA_COMB,"&gt;="&amp;CX$2,FECHA_COMB,"&lt;="&amp;CX$3,CLAVE_COMB,$A225)+SUMIFS(SALIDAS_DES,FECHA_DESGLOSEN,"&gt;="&amp;CX$2,FECHA_DESGLOSEN,"&lt;="&amp;CX$3,CLAVE_DESGLOSE,$A225)</f>
        <v>0</v>
      </c>
      <c r="CY225" s="13">
        <f>SUMIFS(SALIDAS_BIT,FECHA_BIT,"&gt;="&amp;CY$2,FECHA_BIT,"&lt;="&amp;CY$3,CLAVE_BIT,$A225)+SUMIFS(SALIDAS_BOV1,FECHA_BOV1,"&gt;="&amp;CY$2,FECHA_BOV1,"&lt;="&amp;CY$3,CLAVE_BOV1,$A225)+SUMIFS(SALIDAS_BOV2,FECHA_BOV2,"&gt;="&amp;CY$2,FECHA_BOV2,"&lt;="&amp;CY$3,CLAVE_BOV2,$A225)+SUMIFS(SALIDAS_BOV3,FECHA_BOV3,"&gt;="&amp;CY$2,FECHA_BOV3,"&lt;="&amp;CY$3,CLAVE_BOV3,$A225)+SUMIFS(SALIDAS_TC,FECHA_TC,"&gt;="&amp;CY$2,FECHA_TC,"&lt;="&amp;CY$3,CLAVE_TC,$A225)+SUMIFS(SALIDAS_COMB,FECHA_COMB,"&gt;="&amp;CY$2,FECHA_COMB,"&lt;="&amp;CY$3,CLAVE_COMB,$A225)+SUMIFS(SALIDAS_DES,FECHA_DESGLOSEN,"&gt;="&amp;CY$2,FECHA_DESGLOSEN,"&lt;="&amp;CY$3,CLAVE_DESGLOSE,$A225)</f>
        <v>0</v>
      </c>
      <c r="CZ225" s="68">
        <f t="shared" si="378"/>
        <v>0</v>
      </c>
      <c r="DB225" s="17">
        <f>F225+N225+W225+AE225+AM225+AV225+BD225+BL225+BU225+CC225+CK225</f>
        <v>44000</v>
      </c>
      <c r="DC225" s="17">
        <f>K225+T225+AB225+AJ225+AS225+BA225+BI225+BR225+BZ225+CH225+CQ225</f>
        <v>0</v>
      </c>
    </row>
    <row r="226" spans="1:107" hidden="1">
      <c r="A226" s="12" t="str">
        <f t="shared" si="351"/>
        <v>SERVICIOSINSUMOSINVENTARIOS</v>
      </c>
      <c r="B226" s="12">
        <v>228</v>
      </c>
      <c r="C226" t="s">
        <v>21</v>
      </c>
      <c r="D226" s="12" t="s">
        <v>133</v>
      </c>
      <c r="E226" s="12" t="s">
        <v>34</v>
      </c>
      <c r="F226" s="259">
        <f t="shared" si="344"/>
        <v>0</v>
      </c>
      <c r="G226" s="13">
        <f t="shared" si="391"/>
        <v>0</v>
      </c>
      <c r="H226" s="13">
        <f t="shared" si="391"/>
        <v>0</v>
      </c>
      <c r="I226" s="13">
        <f t="shared" si="391"/>
        <v>0</v>
      </c>
      <c r="J226" s="13">
        <f t="shared" si="391"/>
        <v>0</v>
      </c>
      <c r="K226" s="13">
        <f t="shared" si="391"/>
        <v>0</v>
      </c>
      <c r="L226" s="68">
        <f t="shared" si="352"/>
        <v>0</v>
      </c>
      <c r="M226" s="268">
        <f t="shared" si="353"/>
        <v>0</v>
      </c>
      <c r="N226" s="13">
        <f t="shared" si="345"/>
        <v>0</v>
      </c>
      <c r="O226" s="13">
        <f t="shared" si="392"/>
        <v>0</v>
      </c>
      <c r="P226" s="13">
        <f t="shared" si="392"/>
        <v>0</v>
      </c>
      <c r="Q226" s="13">
        <f t="shared" si="392"/>
        <v>0</v>
      </c>
      <c r="R226" s="13">
        <f t="shared" si="392"/>
        <v>0</v>
      </c>
      <c r="S226" s="13">
        <f t="shared" si="392"/>
        <v>0</v>
      </c>
      <c r="T226" s="13">
        <f t="shared" si="392"/>
        <v>0</v>
      </c>
      <c r="U226" s="68">
        <f t="shared" si="354"/>
        <v>0</v>
      </c>
      <c r="V226" s="268">
        <f t="shared" si="355"/>
        <v>0</v>
      </c>
      <c r="W226" s="13">
        <f t="shared" si="346"/>
        <v>0</v>
      </c>
      <c r="X226" s="13">
        <f t="shared" si="393"/>
        <v>0</v>
      </c>
      <c r="Y226" s="13">
        <f t="shared" si="393"/>
        <v>0</v>
      </c>
      <c r="Z226" s="13">
        <f t="shared" si="393"/>
        <v>0</v>
      </c>
      <c r="AA226" s="13">
        <f t="shared" si="393"/>
        <v>0</v>
      </c>
      <c r="AB226" s="13">
        <f t="shared" si="393"/>
        <v>0</v>
      </c>
      <c r="AC226" s="68">
        <f t="shared" si="356"/>
        <v>0</v>
      </c>
      <c r="AD226" s="268">
        <f t="shared" si="357"/>
        <v>0</v>
      </c>
      <c r="AE226" s="13">
        <f t="shared" si="347"/>
        <v>0</v>
      </c>
      <c r="AF226" s="13">
        <f t="shared" si="394"/>
        <v>0</v>
      </c>
      <c r="AG226" s="13">
        <f t="shared" si="394"/>
        <v>0</v>
      </c>
      <c r="AH226" s="13">
        <f t="shared" si="394"/>
        <v>0</v>
      </c>
      <c r="AI226" s="13">
        <f t="shared" si="394"/>
        <v>0</v>
      </c>
      <c r="AJ226" s="13">
        <f t="shared" si="394"/>
        <v>0</v>
      </c>
      <c r="AK226" s="68">
        <f t="shared" si="358"/>
        <v>0</v>
      </c>
      <c r="AL226" s="268">
        <f t="shared" si="359"/>
        <v>0</v>
      </c>
      <c r="AM226" s="13">
        <f t="shared" si="348"/>
        <v>0</v>
      </c>
      <c r="AN226" s="13">
        <f t="shared" si="395"/>
        <v>0</v>
      </c>
      <c r="AO226" s="13">
        <f t="shared" si="395"/>
        <v>0</v>
      </c>
      <c r="AP226" s="13">
        <f t="shared" si="395"/>
        <v>0</v>
      </c>
      <c r="AQ226" s="13">
        <f t="shared" si="395"/>
        <v>0</v>
      </c>
      <c r="AR226" s="13">
        <f t="shared" si="395"/>
        <v>0</v>
      </c>
      <c r="AS226" s="13">
        <f t="shared" si="395"/>
        <v>0</v>
      </c>
      <c r="AT226" s="68">
        <f>AM226-AS226</f>
        <v>0</v>
      </c>
      <c r="AU226" s="268">
        <f t="shared" si="360"/>
        <v>0</v>
      </c>
      <c r="AV226" s="13">
        <f t="shared" si="349"/>
        <v>0</v>
      </c>
      <c r="AW226" s="13">
        <f t="shared" si="323"/>
        <v>0</v>
      </c>
      <c r="AX226" s="13">
        <f t="shared" si="323"/>
        <v>0</v>
      </c>
      <c r="AY226" s="13">
        <f t="shared" si="323"/>
        <v>0</v>
      </c>
      <c r="AZ226" s="13">
        <f t="shared" si="323"/>
        <v>0</v>
      </c>
      <c r="BA226" s="13">
        <f t="shared" si="379"/>
        <v>0</v>
      </c>
      <c r="BB226" s="68">
        <f t="shared" si="361"/>
        <v>0</v>
      </c>
      <c r="BC226" s="268">
        <f t="shared" si="362"/>
        <v>0</v>
      </c>
      <c r="BD226" s="13">
        <f t="shared" si="363"/>
        <v>0</v>
      </c>
      <c r="BE226" s="13">
        <f>SUMIFS(SALIDAS_BIT,FECHA_BIT,"&gt;="&amp;BE$2,FECHA_BIT,"&lt;="&amp;BE$3,CLAVE_BIT,$A226)+SUMIFS(SALIDAS_BOV1,FECHA_BOV1,"&gt;="&amp;BE$2,FECHA_BOV1,"&lt;="&amp;BE$3,CLAVE_BOV1,$A226)+SUMIFS(SALIDAS_BOV2,FECHA_BOV2,"&gt;="&amp;BE$2,FECHA_BOV2,"&lt;="&amp;BE$3,CLAVE_BOV2,$A226)+SUMIFS(SALIDAS_BOV3,FECHA_BOV3,"&gt;="&amp;BE$2,FECHA_BOV3,"&lt;="&amp;BE$3,CLAVE_BOV3,$A226)+SUMIFS(SALIDAS_TC,FECHA_TC,"&gt;="&amp;BE$2,FECHA_TC,"&lt;="&amp;BE$3,CLAVE_TC,$A226)+SUMIFS(SALIDAS_COMB,FECHA_COMB,"&gt;="&amp;BE$2,FECHA_COMB,"&lt;="&amp;BE$3,CLAVE_COMB,$A226)+SUMIFS(SALIDAS_DES,FECHA_DESGLOSEN,"&gt;="&amp;BE$2,FECHA_DESGLOSEN,"&lt;="&amp;BE$3,CLAVE_DESGLOSE,$A226)</f>
        <v>0</v>
      </c>
      <c r="BF226" s="13">
        <f>SUMIFS(SALIDAS_BIT,FECHA_BIT,"&gt;="&amp;BF$2,FECHA_BIT,"&lt;="&amp;BF$3,CLAVE_BIT,$A226)+SUMIFS(SALIDAS_BOV1,FECHA_BOV1,"&gt;="&amp;BF$2,FECHA_BOV1,"&lt;="&amp;BF$3,CLAVE_BOV1,$A226)+SUMIFS(SALIDAS_BOV2,FECHA_BOV2,"&gt;="&amp;BF$2,FECHA_BOV2,"&lt;="&amp;BF$3,CLAVE_BOV2,$A226)+SUMIFS(SALIDAS_BOV3,FECHA_BOV3,"&gt;="&amp;BF$2,FECHA_BOV3,"&lt;="&amp;BF$3,CLAVE_BOV3,$A226)+SUMIFS(SALIDAS_TC,FECHA_TC,"&gt;="&amp;BF$2,FECHA_TC,"&lt;="&amp;BF$3,CLAVE_TC,$A226)+SUMIFS(SALIDAS_COMB,FECHA_COMB,"&gt;="&amp;BF$2,FECHA_COMB,"&lt;="&amp;BF$3,CLAVE_COMB,$A226)+SUMIFS(SALIDAS_DES,FECHA_DESGLOSEN,"&gt;="&amp;BF$2,FECHA_DESGLOSEN,"&lt;="&amp;BF$3,CLAVE_DESGLOSE,$A226)</f>
        <v>0</v>
      </c>
      <c r="BG226" s="13">
        <f>SUMIFS(SALIDAS_BIT,FECHA_BIT,"&gt;="&amp;BG$2,FECHA_BIT,"&lt;="&amp;BG$3,CLAVE_BIT,$A226)+SUMIFS(SALIDAS_BOV1,FECHA_BOV1,"&gt;="&amp;BG$2,FECHA_BOV1,"&lt;="&amp;BG$3,CLAVE_BOV1,$A226)+SUMIFS(SALIDAS_BOV2,FECHA_BOV2,"&gt;="&amp;BG$2,FECHA_BOV2,"&lt;="&amp;BG$3,CLAVE_BOV2,$A226)+SUMIFS(SALIDAS_BOV3,FECHA_BOV3,"&gt;="&amp;BG$2,FECHA_BOV3,"&lt;="&amp;BG$3,CLAVE_BOV3,$A226)+SUMIFS(SALIDAS_TC,FECHA_TC,"&gt;="&amp;BG$2,FECHA_TC,"&lt;="&amp;BG$3,CLAVE_TC,$A226)+SUMIFS(SALIDAS_COMB,FECHA_COMB,"&gt;="&amp;BG$2,FECHA_COMB,"&lt;="&amp;BG$3,CLAVE_COMB,$A226)+SUMIFS(SALIDAS_DES,FECHA_DESGLOSEN,"&gt;="&amp;BG$2,FECHA_DESGLOSEN,"&lt;="&amp;BG$3,CLAVE_DESGLOSE,$A226)</f>
        <v>0</v>
      </c>
      <c r="BH226" s="13">
        <f>SUMIFS(SALIDAS_BIT,FECHA_BIT,"&gt;="&amp;BH$2,FECHA_BIT,"&lt;="&amp;BH$3,CLAVE_BIT,$A226)+SUMIFS(SALIDAS_BOV1,FECHA_BOV1,"&gt;="&amp;BH$2,FECHA_BOV1,"&lt;="&amp;BH$3,CLAVE_BOV1,$A226)+SUMIFS(SALIDAS_BOV2,FECHA_BOV2,"&gt;="&amp;BH$2,FECHA_BOV2,"&lt;="&amp;BH$3,CLAVE_BOV2,$A226)+SUMIFS(SALIDAS_BOV3,FECHA_BOV3,"&gt;="&amp;BH$2,FECHA_BOV3,"&lt;="&amp;BH$3,CLAVE_BOV3,$A226)+SUMIFS(SALIDAS_TC,FECHA_TC,"&gt;="&amp;BH$2,FECHA_TC,"&lt;="&amp;BH$3,CLAVE_TC,$A226)+SUMIFS(SALIDAS_COMB,FECHA_COMB,"&gt;="&amp;BH$2,FECHA_COMB,"&lt;="&amp;BH$3,CLAVE_COMB,$A226)+SUMIFS(SALIDAS_DES,FECHA_DESGLOSEN,"&gt;="&amp;BH$2,FECHA_DESGLOSEN,"&lt;="&amp;BH$3,CLAVE_DESGLOSE,$A226)</f>
        <v>0</v>
      </c>
      <c r="BI226" s="13">
        <f t="shared" si="311"/>
        <v>0</v>
      </c>
      <c r="BJ226" s="68">
        <f t="shared" si="364"/>
        <v>0</v>
      </c>
      <c r="BK226" s="268">
        <f t="shared" si="365"/>
        <v>0</v>
      </c>
      <c r="BL226" s="13">
        <f t="shared" si="366"/>
        <v>0</v>
      </c>
      <c r="BM226" s="13">
        <f>SUMIFS(SALIDAS_BIT,FECHA_BIT,"&gt;="&amp;BM$2,FECHA_BIT,"&lt;="&amp;BM$3,CLAVE_BIT,$A226)+SUMIFS(SALIDAS_BOV1,FECHA_BOV1,"&gt;="&amp;BM$2,FECHA_BOV1,"&lt;="&amp;BM$3,CLAVE_BOV1,$A226)+SUMIFS(SALIDAS_BOV2,FECHA_BOV2,"&gt;="&amp;BM$2,FECHA_BOV2,"&lt;="&amp;BM$3,CLAVE_BOV2,$A226)+SUMIFS(SALIDAS_BOV3,FECHA_BOV3,"&gt;="&amp;BM$2,FECHA_BOV3,"&lt;="&amp;BM$3,CLAVE_BOV3,$A226)+SUMIFS(SALIDAS_TC,FECHA_TC,"&gt;="&amp;BM$2,FECHA_TC,"&lt;="&amp;BM$3,CLAVE_TC,$A226)+SUMIFS(SALIDAS_COMB,FECHA_COMB,"&gt;="&amp;BM$2,FECHA_COMB,"&lt;="&amp;BM$3,CLAVE_COMB,$A226)+SUMIFS(SALIDAS_DES,FECHA_DESGLOSEN,"&gt;="&amp;BM$2,FECHA_DESGLOSEN,"&lt;="&amp;BM$3,CLAVE_DESGLOSE,$A226)</f>
        <v>0</v>
      </c>
      <c r="BN226" s="13">
        <f>SUMIFS(SALIDAS_BIT,FECHA_BIT,"&gt;="&amp;BN$2,FECHA_BIT,"&lt;="&amp;BN$3,CLAVE_BIT,$A226)+SUMIFS(SALIDAS_BOV1,FECHA_BOV1,"&gt;="&amp;BN$2,FECHA_BOV1,"&lt;="&amp;BN$3,CLAVE_BOV1,$A226)+SUMIFS(SALIDAS_BOV2,FECHA_BOV2,"&gt;="&amp;BN$2,FECHA_BOV2,"&lt;="&amp;BN$3,CLAVE_BOV2,$A226)+SUMIFS(SALIDAS_BOV3,FECHA_BOV3,"&gt;="&amp;BN$2,FECHA_BOV3,"&lt;="&amp;BN$3,CLAVE_BOV3,$A226)+SUMIFS(SALIDAS_TC,FECHA_TC,"&gt;="&amp;BN$2,FECHA_TC,"&lt;="&amp;BN$3,CLAVE_TC,$A226)+SUMIFS(SALIDAS_COMB,FECHA_COMB,"&gt;="&amp;BN$2,FECHA_COMB,"&lt;="&amp;BN$3,CLAVE_COMB,$A226)+SUMIFS(SALIDAS_DES,FECHA_DESGLOSEN,"&gt;="&amp;BN$2,FECHA_DESGLOSEN,"&lt;="&amp;BN$3,CLAVE_DESGLOSE,$A226)</f>
        <v>0</v>
      </c>
      <c r="BO226" s="13">
        <f>SUMIFS(SALIDAS_BIT,FECHA_BIT,"&gt;="&amp;BO$2,FECHA_BIT,"&lt;="&amp;BO$3,CLAVE_BIT,$A226)+SUMIFS(SALIDAS_BOV1,FECHA_BOV1,"&gt;="&amp;BO$2,FECHA_BOV1,"&lt;="&amp;BO$3,CLAVE_BOV1,$A226)+SUMIFS(SALIDAS_BOV2,FECHA_BOV2,"&gt;="&amp;BO$2,FECHA_BOV2,"&lt;="&amp;BO$3,CLAVE_BOV2,$A226)+SUMIFS(SALIDAS_BOV3,FECHA_BOV3,"&gt;="&amp;BO$2,FECHA_BOV3,"&lt;="&amp;BO$3,CLAVE_BOV3,$A226)+SUMIFS(SALIDAS_TC,FECHA_TC,"&gt;="&amp;BO$2,FECHA_TC,"&lt;="&amp;BO$3,CLAVE_TC,$A226)+SUMIFS(SALIDAS_COMB,FECHA_COMB,"&gt;="&amp;BO$2,FECHA_COMB,"&lt;="&amp;BO$3,CLAVE_COMB,$A226)+SUMIFS(SALIDAS_DES,FECHA_DESGLOSEN,"&gt;="&amp;BO$2,FECHA_DESGLOSEN,"&lt;="&amp;BO$3,CLAVE_DESGLOSE,$A226)</f>
        <v>0</v>
      </c>
      <c r="BP226" s="13">
        <f>SUMIFS(SALIDAS_BIT,FECHA_BIT,"&gt;="&amp;BP$2,FECHA_BIT,"&lt;="&amp;BP$3,CLAVE_BIT,$A226)+SUMIFS(SALIDAS_BOV1,FECHA_BOV1,"&gt;="&amp;BP$2,FECHA_BOV1,"&lt;="&amp;BP$3,CLAVE_BOV1,$A226)+SUMIFS(SALIDAS_BOV2,FECHA_BOV2,"&gt;="&amp;BP$2,FECHA_BOV2,"&lt;="&amp;BP$3,CLAVE_BOV2,$A226)+SUMIFS(SALIDAS_BOV3,FECHA_BOV3,"&gt;="&amp;BP$2,FECHA_BOV3,"&lt;="&amp;BP$3,CLAVE_BOV3,$A226)+SUMIFS(SALIDAS_TC,FECHA_TC,"&gt;="&amp;BP$2,FECHA_TC,"&lt;="&amp;BP$3,CLAVE_TC,$A226)+SUMIFS(SALIDAS_COMB,FECHA_COMB,"&gt;="&amp;BP$2,FECHA_COMB,"&lt;="&amp;BP$3,CLAVE_COMB,$A226)+SUMIFS(SALIDAS_DES,FECHA_DESGLOSEN,"&gt;="&amp;BP$2,FECHA_DESGLOSEN,"&lt;="&amp;BP$3,CLAVE_DESGLOSE,$A226)</f>
        <v>0</v>
      </c>
      <c r="BQ226" s="13">
        <f>SUMIFS(SALIDAS_BIT,FECHA_BIT,"&gt;="&amp;BQ$2,FECHA_BIT,"&lt;="&amp;BQ$3,CLAVE_BIT,$A226)+SUMIFS(SALIDAS_BOV1,FECHA_BOV1,"&gt;="&amp;BQ$2,FECHA_BOV1,"&lt;="&amp;BQ$3,CLAVE_BOV1,$A226)+SUMIFS(SALIDAS_BOV2,FECHA_BOV2,"&gt;="&amp;BQ$2,FECHA_BOV2,"&lt;="&amp;BQ$3,CLAVE_BOV2,$A226)+SUMIFS(SALIDAS_BOV3,FECHA_BOV3,"&gt;="&amp;BQ$2,FECHA_BOV3,"&lt;="&amp;BQ$3,CLAVE_BOV3,$A226)+SUMIFS(SALIDAS_TC,FECHA_TC,"&gt;="&amp;BQ$2,FECHA_TC,"&lt;="&amp;BQ$3,CLAVE_TC,$A226)+SUMIFS(SALIDAS_COMB,FECHA_COMB,"&gt;="&amp;BQ$2,FECHA_COMB,"&lt;="&amp;BQ$3,CLAVE_COMB,$A226)+SUMIFS(SALIDAS_DES,FECHA_DESGLOSEN,"&gt;="&amp;BQ$2,FECHA_DESGLOSEN,"&lt;="&amp;BQ$3,CLAVE_DESGLOSE,$A226)</f>
        <v>0</v>
      </c>
      <c r="BR226" s="13">
        <f t="shared" si="396"/>
        <v>0</v>
      </c>
      <c r="BS226" s="68">
        <f t="shared" si="367"/>
        <v>0</v>
      </c>
      <c r="BT226" s="268">
        <f t="shared" si="368"/>
        <v>0</v>
      </c>
      <c r="BU226" s="13">
        <f t="shared" si="369"/>
        <v>0</v>
      </c>
      <c r="BV226" s="13">
        <f t="shared" si="389"/>
        <v>0</v>
      </c>
      <c r="BW226" s="13">
        <f t="shared" si="389"/>
        <v>0</v>
      </c>
      <c r="BX226" s="13">
        <f t="shared" si="389"/>
        <v>0</v>
      </c>
      <c r="BY226" s="13">
        <f t="shared" si="389"/>
        <v>0</v>
      </c>
      <c r="BZ226" s="13">
        <f t="shared" si="397"/>
        <v>0</v>
      </c>
      <c r="CA226" s="68">
        <f t="shared" si="370"/>
        <v>0</v>
      </c>
      <c r="CB226" s="268">
        <f t="shared" si="371"/>
        <v>0</v>
      </c>
      <c r="CC226" s="13">
        <f t="shared" si="372"/>
        <v>0</v>
      </c>
      <c r="CD226" s="13">
        <f t="shared" si="390"/>
        <v>0</v>
      </c>
      <c r="CE226" s="13">
        <f t="shared" si="390"/>
        <v>0</v>
      </c>
      <c r="CF226" s="13">
        <f t="shared" si="390"/>
        <v>0</v>
      </c>
      <c r="CG226" s="13">
        <f t="shared" si="390"/>
        <v>0</v>
      </c>
      <c r="CH226" s="13">
        <f t="shared" si="398"/>
        <v>0</v>
      </c>
      <c r="CI226" s="68">
        <f t="shared" si="373"/>
        <v>0</v>
      </c>
      <c r="CJ226" s="268">
        <f t="shared" si="374"/>
        <v>0</v>
      </c>
      <c r="CK226" s="13">
        <f t="shared" si="375"/>
        <v>0</v>
      </c>
      <c r="CL226" s="13">
        <f t="shared" ref="CL226:CP276" si="400">SUMIFS(SALIDAS_BIT,FECHA_BIT,"&gt;="&amp;CL$2,FECHA_BIT,"&lt;="&amp;CL$3,CLAVE_BIT,$A226)+SUMIFS(SALIDAS_BOV1,FECHA_BOV1,"&gt;="&amp;CL$2,FECHA_BOV1,"&lt;="&amp;CL$3,CLAVE_BOV1,$A226)+SUMIFS(SALIDAS_BOV2,FECHA_BOV2,"&gt;="&amp;CL$2,FECHA_BOV2,"&lt;="&amp;CL$3,CLAVE_BOV2,$A226)+SUMIFS(SALIDAS_BOV3,FECHA_BOV3,"&gt;="&amp;CL$2,FECHA_BOV3,"&lt;="&amp;CL$3,CLAVE_BOV3,$A226)+SUMIFS(SALIDAS_TC,FECHA_TC,"&gt;="&amp;CL$2,FECHA_TC,"&lt;="&amp;CL$3,CLAVE_TC,$A226)+SUMIFS(SALIDAS_COMB,FECHA_COMB,"&gt;="&amp;CL$2,FECHA_COMB,"&lt;="&amp;CL$3,CLAVE_COMB,$A226)+SUMIFS(SALIDAS_DES,FECHA_DESGLOSEN,"&gt;="&amp;CL$2,FECHA_DESGLOSEN,"&lt;="&amp;CL$3,CLAVE_DESGLOSE,$A226)</f>
        <v>0</v>
      </c>
      <c r="CM226" s="13">
        <f t="shared" si="400"/>
        <v>0</v>
      </c>
      <c r="CN226" s="13">
        <f t="shared" si="400"/>
        <v>0</v>
      </c>
      <c r="CO226" s="13">
        <f t="shared" si="400"/>
        <v>0</v>
      </c>
      <c r="CP226" s="13">
        <f t="shared" si="400"/>
        <v>0</v>
      </c>
      <c r="CQ226" s="13">
        <f t="shared" si="399"/>
        <v>0</v>
      </c>
      <c r="CR226" s="68">
        <f t="shared" si="376"/>
        <v>0</v>
      </c>
      <c r="CS226" s="268">
        <f t="shared" si="377"/>
        <v>0</v>
      </c>
      <c r="CT226" s="68">
        <f t="shared" si="350"/>
        <v>0</v>
      </c>
      <c r="CU226" s="13">
        <f>SUMIFS(SALIDAS_BIT,FECHA_BIT,"&gt;="&amp;CU$2,FECHA_BIT,"&lt;="&amp;CU$3,CLAVE_BIT,$A226)+SUMIFS(SALIDAS_BOV1,FECHA_BOV1,"&gt;="&amp;CU$2,FECHA_BOV1,"&lt;="&amp;CU$3,CLAVE_BOV1,$A226)+SUMIFS(SALIDAS_BOV2,FECHA_BOV2,"&gt;="&amp;CU$2,FECHA_BOV2,"&lt;="&amp;CU$3,CLAVE_BOV2,$A226)+SUMIFS(SALIDAS_BOV3,FECHA_BOV3,"&gt;="&amp;CU$2,FECHA_BOV3,"&lt;="&amp;CU$3,CLAVE_BOV3,$A226)+SUMIFS(SALIDAS_TC,FECHA_TC,"&gt;="&amp;CU$2,FECHA_TC,"&lt;="&amp;CU$3,CLAVE_TC,$A226)+SUMIFS(SALIDAS_COMB,FECHA_COMB,"&gt;="&amp;CU$2,FECHA_COMB,"&lt;="&amp;CU$3,CLAVE_COMB,$A226)+SUMIFS(SALIDAS_DES,FECHA_DESGLOSEN,"&gt;="&amp;CU$2,FECHA_DESGLOSEN,"&lt;="&amp;CU$3,CLAVE_DESGLOSE,$A226)</f>
        <v>0</v>
      </c>
      <c r="CV226" s="13">
        <f>SUMIFS(SALIDAS_BIT,FECHA_BIT,"&gt;="&amp;CV$2,FECHA_BIT,"&lt;="&amp;CV$3,CLAVE_BIT,$A226)+SUMIFS(SALIDAS_BOV1,FECHA_BOV1,"&gt;="&amp;CV$2,FECHA_BOV1,"&lt;="&amp;CV$3,CLAVE_BOV1,$A226)+SUMIFS(SALIDAS_BOV2,FECHA_BOV2,"&gt;="&amp;CV$2,FECHA_BOV2,"&lt;="&amp;CV$3,CLAVE_BOV2,$A226)+SUMIFS(SALIDAS_BOV3,FECHA_BOV3,"&gt;="&amp;CV$2,FECHA_BOV3,"&lt;="&amp;CV$3,CLAVE_BOV3,$A226)+SUMIFS(SALIDAS_TC,FECHA_TC,"&gt;="&amp;CV$2,FECHA_TC,"&lt;="&amp;CV$3,CLAVE_TC,$A226)+SUMIFS(SALIDAS_COMB,FECHA_COMB,"&gt;="&amp;CV$2,FECHA_COMB,"&lt;="&amp;CV$3,CLAVE_COMB,$A226)+SUMIFS(SALIDAS_DES,FECHA_DESGLOSEN,"&gt;="&amp;CV$2,FECHA_DESGLOSEN,"&lt;="&amp;CV$3,CLAVE_DESGLOSE,$A226)</f>
        <v>0</v>
      </c>
      <c r="CW226" s="13">
        <f>SUMIFS(SALIDAS_BIT,FECHA_BIT,"&gt;="&amp;CW$2,FECHA_BIT,"&lt;="&amp;CW$3,CLAVE_BIT,$A226)+SUMIFS(SALIDAS_BOV1,FECHA_BOV1,"&gt;="&amp;CW$2,FECHA_BOV1,"&lt;="&amp;CW$3,CLAVE_BOV1,$A226)+SUMIFS(SALIDAS_BOV2,FECHA_BOV2,"&gt;="&amp;CW$2,FECHA_BOV2,"&lt;="&amp;CW$3,CLAVE_BOV2,$A226)+SUMIFS(SALIDAS_BOV3,FECHA_BOV3,"&gt;="&amp;CW$2,FECHA_BOV3,"&lt;="&amp;CW$3,CLAVE_BOV3,$A226)+SUMIFS(SALIDAS_TC,FECHA_TC,"&gt;="&amp;CW$2,FECHA_TC,"&lt;="&amp;CW$3,CLAVE_TC,$A226)+SUMIFS(SALIDAS_COMB,FECHA_COMB,"&gt;="&amp;CW$2,FECHA_COMB,"&lt;="&amp;CW$3,CLAVE_COMB,$A226)+SUMIFS(SALIDAS_DES,FECHA_DESGLOSEN,"&gt;="&amp;CW$2,FECHA_DESGLOSEN,"&lt;="&amp;CW$3,CLAVE_DESGLOSE,$A226)</f>
        <v>0</v>
      </c>
      <c r="CX226" s="13">
        <f>SUMIFS(SALIDAS_BIT,FECHA_BIT,"&gt;="&amp;CX$2,FECHA_BIT,"&lt;="&amp;CX$3,CLAVE_BIT,$A226)+SUMIFS(SALIDAS_BOV1,FECHA_BOV1,"&gt;="&amp;CX$2,FECHA_BOV1,"&lt;="&amp;CX$3,CLAVE_BOV1,$A226)+SUMIFS(SALIDAS_BOV2,FECHA_BOV2,"&gt;="&amp;CX$2,FECHA_BOV2,"&lt;="&amp;CX$3,CLAVE_BOV2,$A226)+SUMIFS(SALIDAS_BOV3,FECHA_BOV3,"&gt;="&amp;CX$2,FECHA_BOV3,"&lt;="&amp;CX$3,CLAVE_BOV3,$A226)+SUMIFS(SALIDAS_TC,FECHA_TC,"&gt;="&amp;CX$2,FECHA_TC,"&lt;="&amp;CX$3,CLAVE_TC,$A226)+SUMIFS(SALIDAS_COMB,FECHA_COMB,"&gt;="&amp;CX$2,FECHA_COMB,"&lt;="&amp;CX$3,CLAVE_COMB,$A226)+SUMIFS(SALIDAS_DES,FECHA_DESGLOSEN,"&gt;="&amp;CX$2,FECHA_DESGLOSEN,"&lt;="&amp;CX$3,CLAVE_DESGLOSE,$A226)</f>
        <v>0</v>
      </c>
      <c r="CY226" s="13">
        <f>SUMIFS(SALIDAS_BIT,FECHA_BIT,"&gt;="&amp;CY$2,FECHA_BIT,"&lt;="&amp;CY$3,CLAVE_BIT,$A226)+SUMIFS(SALIDAS_BOV1,FECHA_BOV1,"&gt;="&amp;CY$2,FECHA_BOV1,"&lt;="&amp;CY$3,CLAVE_BOV1,$A226)+SUMIFS(SALIDAS_BOV2,FECHA_BOV2,"&gt;="&amp;CY$2,FECHA_BOV2,"&lt;="&amp;CY$3,CLAVE_BOV2,$A226)+SUMIFS(SALIDAS_BOV3,FECHA_BOV3,"&gt;="&amp;CY$2,FECHA_BOV3,"&lt;="&amp;CY$3,CLAVE_BOV3,$A226)+SUMIFS(SALIDAS_TC,FECHA_TC,"&gt;="&amp;CY$2,FECHA_TC,"&lt;="&amp;CY$3,CLAVE_TC,$A226)+SUMIFS(SALIDAS_COMB,FECHA_COMB,"&gt;="&amp;CY$2,FECHA_COMB,"&lt;="&amp;CY$3,CLAVE_COMB,$A226)+SUMIFS(SALIDAS_DES,FECHA_DESGLOSEN,"&gt;="&amp;CY$2,FECHA_DESGLOSEN,"&lt;="&amp;CY$3,CLAVE_DESGLOSE,$A226)</f>
        <v>0</v>
      </c>
      <c r="CZ226" s="68">
        <f t="shared" si="378"/>
        <v>0</v>
      </c>
      <c r="DB226" s="17">
        <f>F226+N226+W226+AE226+AM226+AV226+BD226+BL226+BU226+CC226+CK226</f>
        <v>0</v>
      </c>
      <c r="DC226" s="17">
        <f>K226+T226+AB226+AJ226+AS226+BA226+BI226+BR226+BZ226+CH226+CQ226</f>
        <v>0</v>
      </c>
    </row>
    <row r="227" spans="1:107" hidden="1">
      <c r="A227" s="12" t="str">
        <f t="shared" si="351"/>
        <v>SERVICIOSINSUMOSCADENA DE SUMINISTROS</v>
      </c>
      <c r="B227" s="12">
        <v>229</v>
      </c>
      <c r="C227" t="s">
        <v>21</v>
      </c>
      <c r="D227" s="12" t="s">
        <v>133</v>
      </c>
      <c r="E227" s="12" t="s">
        <v>134</v>
      </c>
      <c r="F227" s="259">
        <f t="shared" si="344"/>
        <v>40000</v>
      </c>
      <c r="G227" s="13">
        <f t="shared" ref="G227:K236" si="401">SUMIFS(SALIDAS_BIT,FECHA_BIT,"&gt;="&amp;G$2,FECHA_BIT,"&lt;="&amp;G$3,CLAVE_BIT,$A227)+SUMIFS(SALIDAS_BOV1,FECHA_BOV1,"&gt;="&amp;G$2,FECHA_BOV1,"&lt;="&amp;G$3,CLAVE_BOV1,$A227)+SUMIFS(SALIDAS_BOV2,FECHA_BOV2,"&gt;="&amp;G$2,FECHA_BOV2,"&lt;="&amp;G$3,CLAVE_BOV2,$A227)+SUMIFS(SALIDAS_BOV3,FECHA_BOV3,"&gt;="&amp;G$2,FECHA_BOV3,"&lt;="&amp;G$3,CLAVE_BOV3,$A227)+SUMIFS(SALIDAS_TC,FECHA_TC,"&gt;="&amp;G$2,FECHA_TC,"&lt;="&amp;G$3,CLAVE_TC,$A227)+SUMIFS(SALIDAS_COMB,FECHA_COMB,"&gt;="&amp;G$2,FECHA_COMB,"&lt;="&amp;G$3,CLAVE_COMB,$A227)+SUMIFS(SALIDAS_DES,FECHA_DESGLOSEN,"&gt;="&amp;G$2,FECHA_DESGLOSEN,"&lt;="&amp;G$3,CLAVE_DESGLOSE,$A227)</f>
        <v>0</v>
      </c>
      <c r="H227" s="13">
        <f t="shared" si="401"/>
        <v>0</v>
      </c>
      <c r="I227" s="13">
        <f t="shared" si="401"/>
        <v>30150.54</v>
      </c>
      <c r="J227" s="13">
        <f t="shared" si="401"/>
        <v>4817</v>
      </c>
      <c r="K227" s="13">
        <f t="shared" si="401"/>
        <v>34967.54</v>
      </c>
      <c r="L227" s="68">
        <f t="shared" si="352"/>
        <v>5032.4599999999991</v>
      </c>
      <c r="M227" s="268">
        <f t="shared" si="353"/>
        <v>0.87418850000000003</v>
      </c>
      <c r="N227" s="13">
        <f t="shared" si="345"/>
        <v>40000</v>
      </c>
      <c r="O227" s="13">
        <f t="shared" ref="O227:T236" si="402">SUMIFS(SALIDAS_BIT,FECHA_BIT,"&gt;="&amp;O$2,FECHA_BIT,"&lt;="&amp;O$3,CLAVE_BIT,$A227)+SUMIFS(SALIDAS_BOV1,FECHA_BOV1,"&gt;="&amp;O$2,FECHA_BOV1,"&lt;="&amp;O$3,CLAVE_BOV1,$A227)+SUMIFS(SALIDAS_BOV2,FECHA_BOV2,"&gt;="&amp;O$2,FECHA_BOV2,"&lt;="&amp;O$3,CLAVE_BOV2,$A227)+SUMIFS(SALIDAS_BOV3,FECHA_BOV3,"&gt;="&amp;O$2,FECHA_BOV3,"&lt;="&amp;O$3,CLAVE_BOV3,$A227)+SUMIFS(SALIDAS_TC,FECHA_TC,"&gt;="&amp;O$2,FECHA_TC,"&lt;="&amp;O$3,CLAVE_TC,$A227)+SUMIFS(SALIDAS_COMB,FECHA_COMB,"&gt;="&amp;O$2,FECHA_COMB,"&lt;="&amp;O$3,CLAVE_COMB,$A227)+SUMIFS(SALIDAS_DES,FECHA_DESGLOSEN,"&gt;="&amp;O$2,FECHA_DESGLOSEN,"&lt;="&amp;O$3,CLAVE_DESGLOSE,$A227)</f>
        <v>6016.35</v>
      </c>
      <c r="P227" s="13">
        <f t="shared" si="402"/>
        <v>19723.2</v>
      </c>
      <c r="Q227" s="13">
        <f t="shared" si="402"/>
        <v>5846.32</v>
      </c>
      <c r="R227" s="13">
        <f t="shared" si="402"/>
        <v>7656</v>
      </c>
      <c r="S227" s="13">
        <f t="shared" si="402"/>
        <v>0</v>
      </c>
      <c r="T227" s="13">
        <f t="shared" si="402"/>
        <v>39241.870000000003</v>
      </c>
      <c r="U227" s="68">
        <f t="shared" si="354"/>
        <v>758.12999999999738</v>
      </c>
      <c r="V227" s="268">
        <f t="shared" si="355"/>
        <v>0.98104675000000008</v>
      </c>
      <c r="W227" s="13">
        <f t="shared" si="346"/>
        <v>40000</v>
      </c>
      <c r="X227" s="13">
        <f t="shared" ref="X227:AB236" si="403">SUMIFS(SALIDAS_BIT,FECHA_BIT,"&gt;="&amp;X$2,FECHA_BIT,"&lt;="&amp;X$3,CLAVE_BIT,$A227)+SUMIFS(SALIDAS_BOV1,FECHA_BOV1,"&gt;="&amp;X$2,FECHA_BOV1,"&lt;="&amp;X$3,CLAVE_BOV1,$A227)+SUMIFS(SALIDAS_BOV2,FECHA_BOV2,"&gt;="&amp;X$2,FECHA_BOV2,"&lt;="&amp;X$3,CLAVE_BOV2,$A227)+SUMIFS(SALIDAS_BOV3,FECHA_BOV3,"&gt;="&amp;X$2,FECHA_BOV3,"&lt;="&amp;X$3,CLAVE_BOV3,$A227)+SUMIFS(SALIDAS_TC,FECHA_TC,"&gt;="&amp;X$2,FECHA_TC,"&lt;="&amp;X$3,CLAVE_TC,$A227)+SUMIFS(SALIDAS_COMB,FECHA_COMB,"&gt;="&amp;X$2,FECHA_COMB,"&lt;="&amp;X$3,CLAVE_COMB,$A227)+SUMIFS(SALIDAS_DES,FECHA_DESGLOSEN,"&gt;="&amp;X$2,FECHA_DESGLOSEN,"&lt;="&amp;X$3,CLAVE_DESGLOSE,$A227)</f>
        <v>10592.25</v>
      </c>
      <c r="Y227" s="13">
        <f t="shared" si="403"/>
        <v>20298.830000000002</v>
      </c>
      <c r="Z227" s="13">
        <f t="shared" si="403"/>
        <v>12900.36</v>
      </c>
      <c r="AA227" s="13">
        <f t="shared" si="403"/>
        <v>0</v>
      </c>
      <c r="AB227" s="13">
        <f t="shared" si="403"/>
        <v>43791.44</v>
      </c>
      <c r="AC227" s="68">
        <f t="shared" si="356"/>
        <v>-3791.4400000000023</v>
      </c>
      <c r="AD227" s="268">
        <f t="shared" si="357"/>
        <v>1.094786</v>
      </c>
      <c r="AE227" s="13">
        <f t="shared" si="347"/>
        <v>40000</v>
      </c>
      <c r="AF227" s="13">
        <f t="shared" ref="AF227:AJ236" si="404">SUMIFS(SALIDAS_BIT,FECHA_BIT,"&gt;="&amp;AF$2,FECHA_BIT,"&lt;="&amp;AF$3,CLAVE_BIT,$A227)+SUMIFS(SALIDAS_BOV1,FECHA_BOV1,"&gt;="&amp;AF$2,FECHA_BOV1,"&lt;="&amp;AF$3,CLAVE_BOV1,$A227)+SUMIFS(SALIDAS_BOV2,FECHA_BOV2,"&gt;="&amp;AF$2,FECHA_BOV2,"&lt;="&amp;AF$3,CLAVE_BOV2,$A227)+SUMIFS(SALIDAS_BOV3,FECHA_BOV3,"&gt;="&amp;AF$2,FECHA_BOV3,"&lt;="&amp;AF$3,CLAVE_BOV3,$A227)+SUMIFS(SALIDAS_TC,FECHA_TC,"&gt;="&amp;AF$2,FECHA_TC,"&lt;="&amp;AF$3,CLAVE_TC,$A227)+SUMIFS(SALIDAS_COMB,FECHA_COMB,"&gt;="&amp;AF$2,FECHA_COMB,"&lt;="&amp;AF$3,CLAVE_COMB,$A227)+SUMIFS(SALIDAS_DES,FECHA_DESGLOSEN,"&gt;="&amp;AF$2,FECHA_DESGLOSEN,"&lt;="&amp;AF$3,CLAVE_DESGLOSE,$A227)</f>
        <v>36409.54</v>
      </c>
      <c r="AG227" s="13">
        <f t="shared" si="404"/>
        <v>2158.6999999999998</v>
      </c>
      <c r="AH227" s="13">
        <f t="shared" si="404"/>
        <v>0</v>
      </c>
      <c r="AI227" s="13">
        <f t="shared" si="404"/>
        <v>22644</v>
      </c>
      <c r="AJ227" s="13">
        <f t="shared" si="404"/>
        <v>61212.24</v>
      </c>
      <c r="AK227" s="68">
        <f t="shared" si="358"/>
        <v>-21212.239999999998</v>
      </c>
      <c r="AL227" s="268">
        <f t="shared" si="359"/>
        <v>1.5303059999999999</v>
      </c>
      <c r="AM227" s="13">
        <f t="shared" si="348"/>
        <v>40000</v>
      </c>
      <c r="AN227" s="13">
        <f t="shared" ref="AN227:AS236" si="405">SUMIFS(SALIDAS_BIT,FECHA_BIT,"&gt;="&amp;AN$2,FECHA_BIT,"&lt;="&amp;AN$3,CLAVE_BIT,$A227)+SUMIFS(SALIDAS_BOV1,FECHA_BOV1,"&gt;="&amp;AN$2,FECHA_BOV1,"&lt;="&amp;AN$3,CLAVE_BOV1,$A227)+SUMIFS(SALIDAS_BOV2,FECHA_BOV2,"&gt;="&amp;AN$2,FECHA_BOV2,"&lt;="&amp;AN$3,CLAVE_BOV2,$A227)+SUMIFS(SALIDAS_BOV3,FECHA_BOV3,"&gt;="&amp;AN$2,FECHA_BOV3,"&lt;="&amp;AN$3,CLAVE_BOV3,$A227)+SUMIFS(SALIDAS_TC,FECHA_TC,"&gt;="&amp;AN$2,FECHA_TC,"&lt;="&amp;AN$3,CLAVE_TC,$A227)+SUMIFS(SALIDAS_COMB,FECHA_COMB,"&gt;="&amp;AN$2,FECHA_COMB,"&lt;="&amp;AN$3,CLAVE_COMB,$A227)+SUMIFS(SALIDAS_DES,FECHA_DESGLOSEN,"&gt;="&amp;AN$2,FECHA_DESGLOSEN,"&lt;="&amp;AN$3,CLAVE_DESGLOSE,$A227)</f>
        <v>19236.02</v>
      </c>
      <c r="AO227" s="13">
        <f t="shared" si="405"/>
        <v>15585.6</v>
      </c>
      <c r="AP227" s="13">
        <f t="shared" si="405"/>
        <v>35361.78</v>
      </c>
      <c r="AQ227" s="13">
        <f t="shared" si="405"/>
        <v>10590.8</v>
      </c>
      <c r="AR227" s="13">
        <f t="shared" si="405"/>
        <v>1508.14</v>
      </c>
      <c r="AS227" s="13">
        <f t="shared" si="405"/>
        <v>82282.34</v>
      </c>
      <c r="AT227" s="68">
        <f>AM227-AS227</f>
        <v>-42282.34</v>
      </c>
      <c r="AU227" s="268">
        <f t="shared" si="360"/>
        <v>2.0570585000000001</v>
      </c>
      <c r="AV227" s="13">
        <f t="shared" si="349"/>
        <v>40000</v>
      </c>
      <c r="AW227" s="13">
        <f t="shared" si="323"/>
        <v>0</v>
      </c>
      <c r="AX227" s="13">
        <f t="shared" si="323"/>
        <v>5055.95</v>
      </c>
      <c r="AY227" s="13">
        <f t="shared" si="323"/>
        <v>0</v>
      </c>
      <c r="AZ227" s="13">
        <f t="shared" si="323"/>
        <v>64498.06</v>
      </c>
      <c r="BA227" s="13">
        <f t="shared" si="379"/>
        <v>69554.009999999995</v>
      </c>
      <c r="BB227" s="68">
        <f t="shared" si="361"/>
        <v>-29554.009999999995</v>
      </c>
      <c r="BC227" s="268">
        <f t="shared" si="362"/>
        <v>1.7388502499999998</v>
      </c>
      <c r="BD227" s="13">
        <f t="shared" si="363"/>
        <v>40000</v>
      </c>
      <c r="BE227" s="13">
        <f>SUMIFS(SALIDAS_BIT,FECHA_BIT,"&gt;="&amp;BE$2,FECHA_BIT,"&lt;="&amp;BE$3,CLAVE_BIT,$A227)+SUMIFS(SALIDAS_BOV1,FECHA_BOV1,"&gt;="&amp;BE$2,FECHA_BOV1,"&lt;="&amp;BE$3,CLAVE_BOV1,$A227)+SUMIFS(SALIDAS_BOV2,FECHA_BOV2,"&gt;="&amp;BE$2,FECHA_BOV2,"&lt;="&amp;BE$3,CLAVE_BOV2,$A227)+SUMIFS(SALIDAS_BOV3,FECHA_BOV3,"&gt;="&amp;BE$2,FECHA_BOV3,"&lt;="&amp;BE$3,CLAVE_BOV3,$A227)+SUMIFS(SALIDAS_TC,FECHA_TC,"&gt;="&amp;BE$2,FECHA_TC,"&lt;="&amp;BE$3,CLAVE_TC,$A227)+SUMIFS(SALIDAS_COMB,FECHA_COMB,"&gt;="&amp;BE$2,FECHA_COMB,"&lt;="&amp;BE$3,CLAVE_COMB,$A227)+SUMIFS(SALIDAS_DES,FECHA_DESGLOSEN,"&gt;="&amp;BE$2,FECHA_DESGLOSEN,"&lt;="&amp;BE$3,CLAVE_DESGLOSE,$A227)</f>
        <v>26999.360000000001</v>
      </c>
      <c r="BF227" s="13">
        <f>SUMIFS(SALIDAS_BIT,FECHA_BIT,"&gt;="&amp;BF$2,FECHA_BIT,"&lt;="&amp;BF$3,CLAVE_BIT,$A227)+SUMIFS(SALIDAS_BOV1,FECHA_BOV1,"&gt;="&amp;BF$2,FECHA_BOV1,"&lt;="&amp;BF$3,CLAVE_BOV1,$A227)+SUMIFS(SALIDAS_BOV2,FECHA_BOV2,"&gt;="&amp;BF$2,FECHA_BOV2,"&lt;="&amp;BF$3,CLAVE_BOV2,$A227)+SUMIFS(SALIDAS_BOV3,FECHA_BOV3,"&gt;="&amp;BF$2,FECHA_BOV3,"&lt;="&amp;BF$3,CLAVE_BOV3,$A227)+SUMIFS(SALIDAS_TC,FECHA_TC,"&gt;="&amp;BF$2,FECHA_TC,"&lt;="&amp;BF$3,CLAVE_TC,$A227)+SUMIFS(SALIDAS_COMB,FECHA_COMB,"&gt;="&amp;BF$2,FECHA_COMB,"&lt;="&amp;BF$3,CLAVE_COMB,$A227)+SUMIFS(SALIDAS_DES,FECHA_DESGLOSEN,"&gt;="&amp;BF$2,FECHA_DESGLOSEN,"&lt;="&amp;BF$3,CLAVE_DESGLOSE,$A227)</f>
        <v>7776.64</v>
      </c>
      <c r="BG227" s="13">
        <f>SUMIFS(SALIDAS_BIT,FECHA_BIT,"&gt;="&amp;BG$2,FECHA_BIT,"&lt;="&amp;BG$3,CLAVE_BIT,$A227)+SUMIFS(SALIDAS_BOV1,FECHA_BOV1,"&gt;="&amp;BG$2,FECHA_BOV1,"&lt;="&amp;BG$3,CLAVE_BOV1,$A227)+SUMIFS(SALIDAS_BOV2,FECHA_BOV2,"&gt;="&amp;BG$2,FECHA_BOV2,"&lt;="&amp;BG$3,CLAVE_BOV2,$A227)+SUMIFS(SALIDAS_BOV3,FECHA_BOV3,"&gt;="&amp;BG$2,FECHA_BOV3,"&lt;="&amp;BG$3,CLAVE_BOV3,$A227)+SUMIFS(SALIDAS_TC,FECHA_TC,"&gt;="&amp;BG$2,FECHA_TC,"&lt;="&amp;BG$3,CLAVE_TC,$A227)+SUMIFS(SALIDAS_COMB,FECHA_COMB,"&gt;="&amp;BG$2,FECHA_COMB,"&lt;="&amp;BG$3,CLAVE_COMB,$A227)+SUMIFS(SALIDAS_DES,FECHA_DESGLOSEN,"&gt;="&amp;BG$2,FECHA_DESGLOSEN,"&lt;="&amp;BG$3,CLAVE_DESGLOSE,$A227)</f>
        <v>4525</v>
      </c>
      <c r="BH227" s="13">
        <f>SUMIFS(SALIDAS_BIT,FECHA_BIT,"&gt;="&amp;BH$2,FECHA_BIT,"&lt;="&amp;BH$3,CLAVE_BIT,$A227)+SUMIFS(SALIDAS_BOV1,FECHA_BOV1,"&gt;="&amp;BH$2,FECHA_BOV1,"&lt;="&amp;BH$3,CLAVE_BOV1,$A227)+SUMIFS(SALIDAS_BOV2,FECHA_BOV2,"&gt;="&amp;BH$2,FECHA_BOV2,"&lt;="&amp;BH$3,CLAVE_BOV2,$A227)+SUMIFS(SALIDAS_BOV3,FECHA_BOV3,"&gt;="&amp;BH$2,FECHA_BOV3,"&lt;="&amp;BH$3,CLAVE_BOV3,$A227)+SUMIFS(SALIDAS_TC,FECHA_TC,"&gt;="&amp;BH$2,FECHA_TC,"&lt;="&amp;BH$3,CLAVE_TC,$A227)+SUMIFS(SALIDAS_COMB,FECHA_COMB,"&gt;="&amp;BH$2,FECHA_COMB,"&lt;="&amp;BH$3,CLAVE_COMB,$A227)+SUMIFS(SALIDAS_DES,FECHA_DESGLOSEN,"&gt;="&amp;BH$2,FECHA_DESGLOSEN,"&lt;="&amp;BH$3,CLAVE_DESGLOSE,$A227)</f>
        <v>10627.83</v>
      </c>
      <c r="BI227" s="13">
        <f t="shared" si="311"/>
        <v>49928.829999999994</v>
      </c>
      <c r="BJ227" s="68">
        <f t="shared" si="364"/>
        <v>-9928.8299999999945</v>
      </c>
      <c r="BK227" s="268">
        <f t="shared" si="365"/>
        <v>1.2482207499999998</v>
      </c>
      <c r="BL227" s="13">
        <f t="shared" si="366"/>
        <v>40000</v>
      </c>
      <c r="BM227" s="13">
        <f>SUMIFS(SALIDAS_BIT,FECHA_BIT,"&gt;="&amp;BM$2,FECHA_BIT,"&lt;="&amp;BM$3,CLAVE_BIT,$A227)+SUMIFS(SALIDAS_BOV1,FECHA_BOV1,"&gt;="&amp;BM$2,FECHA_BOV1,"&lt;="&amp;BM$3,CLAVE_BOV1,$A227)+SUMIFS(SALIDAS_BOV2,FECHA_BOV2,"&gt;="&amp;BM$2,FECHA_BOV2,"&lt;="&amp;BM$3,CLAVE_BOV2,$A227)+SUMIFS(SALIDAS_BOV3,FECHA_BOV3,"&gt;="&amp;BM$2,FECHA_BOV3,"&lt;="&amp;BM$3,CLAVE_BOV3,$A227)+SUMIFS(SALIDAS_TC,FECHA_TC,"&gt;="&amp;BM$2,FECHA_TC,"&lt;="&amp;BM$3,CLAVE_TC,$A227)+SUMIFS(SALIDAS_COMB,FECHA_COMB,"&gt;="&amp;BM$2,FECHA_COMB,"&lt;="&amp;BM$3,CLAVE_COMB,$A227)+SUMIFS(SALIDAS_DES,FECHA_DESGLOSEN,"&gt;="&amp;BM$2,FECHA_DESGLOSEN,"&lt;="&amp;BM$3,CLAVE_DESGLOSE,$A227)</f>
        <v>0</v>
      </c>
      <c r="BN227" s="13">
        <f>SUMIFS(SALIDAS_BIT,FECHA_BIT,"&gt;="&amp;BN$2,FECHA_BIT,"&lt;="&amp;BN$3,CLAVE_BIT,$A227)+SUMIFS(SALIDAS_BOV1,FECHA_BOV1,"&gt;="&amp;BN$2,FECHA_BOV1,"&lt;="&amp;BN$3,CLAVE_BOV1,$A227)+SUMIFS(SALIDAS_BOV2,FECHA_BOV2,"&gt;="&amp;BN$2,FECHA_BOV2,"&lt;="&amp;BN$3,CLAVE_BOV2,$A227)+SUMIFS(SALIDAS_BOV3,FECHA_BOV3,"&gt;="&amp;BN$2,FECHA_BOV3,"&lt;="&amp;BN$3,CLAVE_BOV3,$A227)+SUMIFS(SALIDAS_TC,FECHA_TC,"&gt;="&amp;BN$2,FECHA_TC,"&lt;="&amp;BN$3,CLAVE_TC,$A227)+SUMIFS(SALIDAS_COMB,FECHA_COMB,"&gt;="&amp;BN$2,FECHA_COMB,"&lt;="&amp;BN$3,CLAVE_COMB,$A227)+SUMIFS(SALIDAS_DES,FECHA_DESGLOSEN,"&gt;="&amp;BN$2,FECHA_DESGLOSEN,"&lt;="&amp;BN$3,CLAVE_DESGLOSE,$A227)</f>
        <v>7244.2</v>
      </c>
      <c r="BO227" s="13">
        <f>SUMIFS(SALIDAS_BIT,FECHA_BIT,"&gt;="&amp;BO$2,FECHA_BIT,"&lt;="&amp;BO$3,CLAVE_BIT,$A227)+SUMIFS(SALIDAS_BOV1,FECHA_BOV1,"&gt;="&amp;BO$2,FECHA_BOV1,"&lt;="&amp;BO$3,CLAVE_BOV1,$A227)+SUMIFS(SALIDAS_BOV2,FECHA_BOV2,"&gt;="&amp;BO$2,FECHA_BOV2,"&lt;="&amp;BO$3,CLAVE_BOV2,$A227)+SUMIFS(SALIDAS_BOV3,FECHA_BOV3,"&gt;="&amp;BO$2,FECHA_BOV3,"&lt;="&amp;BO$3,CLAVE_BOV3,$A227)+SUMIFS(SALIDAS_TC,FECHA_TC,"&gt;="&amp;BO$2,FECHA_TC,"&lt;="&amp;BO$3,CLAVE_TC,$A227)+SUMIFS(SALIDAS_COMB,FECHA_COMB,"&gt;="&amp;BO$2,FECHA_COMB,"&lt;="&amp;BO$3,CLAVE_COMB,$A227)+SUMIFS(SALIDAS_DES,FECHA_DESGLOSEN,"&gt;="&amp;BO$2,FECHA_DESGLOSEN,"&lt;="&amp;BO$3,CLAVE_DESGLOSE,$A227)</f>
        <v>11616</v>
      </c>
      <c r="BP227" s="13">
        <f>SUMIFS(SALIDAS_BIT,FECHA_BIT,"&gt;="&amp;BP$2,FECHA_BIT,"&lt;="&amp;BP$3,CLAVE_BIT,$A227)+SUMIFS(SALIDAS_BOV1,FECHA_BOV1,"&gt;="&amp;BP$2,FECHA_BOV1,"&lt;="&amp;BP$3,CLAVE_BOV1,$A227)+SUMIFS(SALIDAS_BOV2,FECHA_BOV2,"&gt;="&amp;BP$2,FECHA_BOV2,"&lt;="&amp;BP$3,CLAVE_BOV2,$A227)+SUMIFS(SALIDAS_BOV3,FECHA_BOV3,"&gt;="&amp;BP$2,FECHA_BOV3,"&lt;="&amp;BP$3,CLAVE_BOV3,$A227)+SUMIFS(SALIDAS_TC,FECHA_TC,"&gt;="&amp;BP$2,FECHA_TC,"&lt;="&amp;BP$3,CLAVE_TC,$A227)+SUMIFS(SALIDAS_COMB,FECHA_COMB,"&gt;="&amp;BP$2,FECHA_COMB,"&lt;="&amp;BP$3,CLAVE_COMB,$A227)+SUMIFS(SALIDAS_DES,FECHA_DESGLOSEN,"&gt;="&amp;BP$2,FECHA_DESGLOSEN,"&lt;="&amp;BP$3,CLAVE_DESGLOSE,$A227)</f>
        <v>22446</v>
      </c>
      <c r="BQ227" s="13">
        <f>SUMIFS(SALIDAS_BIT,FECHA_BIT,"&gt;="&amp;BQ$2,FECHA_BIT,"&lt;="&amp;BQ$3,CLAVE_BIT,$A227)+SUMIFS(SALIDAS_BOV1,FECHA_BOV1,"&gt;="&amp;BQ$2,FECHA_BOV1,"&lt;="&amp;BQ$3,CLAVE_BOV1,$A227)+SUMIFS(SALIDAS_BOV2,FECHA_BOV2,"&gt;="&amp;BQ$2,FECHA_BOV2,"&lt;="&amp;BQ$3,CLAVE_BOV2,$A227)+SUMIFS(SALIDAS_BOV3,FECHA_BOV3,"&gt;="&amp;BQ$2,FECHA_BOV3,"&lt;="&amp;BQ$3,CLAVE_BOV3,$A227)+SUMIFS(SALIDAS_TC,FECHA_TC,"&gt;="&amp;BQ$2,FECHA_TC,"&lt;="&amp;BQ$3,CLAVE_TC,$A227)+SUMIFS(SALIDAS_COMB,FECHA_COMB,"&gt;="&amp;BQ$2,FECHA_COMB,"&lt;="&amp;BQ$3,CLAVE_COMB,$A227)+SUMIFS(SALIDAS_DES,FECHA_DESGLOSEN,"&gt;="&amp;BQ$2,FECHA_DESGLOSEN,"&lt;="&amp;BQ$3,CLAVE_DESGLOSE,$A227)</f>
        <v>9883.2000000000007</v>
      </c>
      <c r="BR227" s="13">
        <f t="shared" ref="BR227:BR236" si="406">SUMIFS(SALIDAS_BIT,FECHA_BIT,"&gt;="&amp;BR$2,FECHA_BIT,"&lt;="&amp;BR$3,CLAVE_BIT,$A227)+SUMIFS(SALIDAS_BOV1,FECHA_BOV1,"&gt;="&amp;BR$2,FECHA_BOV1,"&lt;="&amp;BR$3,CLAVE_BOV1,$A227)+SUMIFS(SALIDAS_BOV2,FECHA_BOV2,"&gt;="&amp;BR$2,FECHA_BOV2,"&lt;="&amp;BR$3,CLAVE_BOV2,$A227)+SUMIFS(SALIDAS_BOV3,FECHA_BOV3,"&gt;="&amp;BR$2,FECHA_BOV3,"&lt;="&amp;BR$3,CLAVE_BOV3,$A227)+SUMIFS(SALIDAS_TC,FECHA_TC,"&gt;="&amp;BR$2,FECHA_TC,"&lt;="&amp;BR$3,CLAVE_TC,$A227)+SUMIFS(SALIDAS_COMB,FECHA_COMB,"&gt;="&amp;BR$2,FECHA_COMB,"&lt;="&amp;BR$3,CLAVE_COMB,$A227)+SUMIFS(SALIDAS_DES,FECHA_DESGLOSEN,"&gt;="&amp;BR$2,FECHA_DESGLOSEN,"&lt;="&amp;BR$3,CLAVE_DESGLOSE,$A227)</f>
        <v>51189.399999999994</v>
      </c>
      <c r="BS227" s="68">
        <f t="shared" si="367"/>
        <v>-11189.399999999994</v>
      </c>
      <c r="BT227" s="268">
        <f t="shared" si="368"/>
        <v>1.2797349999999998</v>
      </c>
      <c r="BU227" s="13">
        <f t="shared" si="369"/>
        <v>40000</v>
      </c>
      <c r="BV227" s="13">
        <f t="shared" si="389"/>
        <v>36727.729999999996</v>
      </c>
      <c r="BW227" s="13">
        <f t="shared" si="389"/>
        <v>23328.22</v>
      </c>
      <c r="BX227" s="13">
        <f t="shared" si="389"/>
        <v>0</v>
      </c>
      <c r="BY227" s="13">
        <f t="shared" si="389"/>
        <v>16843.2</v>
      </c>
      <c r="BZ227" s="13">
        <f t="shared" ref="BZ227:BZ236" si="407">SUMIFS(SALIDAS_BIT,FECHA_BIT,"&gt;="&amp;BZ$2,FECHA_BIT,"&lt;="&amp;BZ$3,CLAVE_BIT,$A227)+SUMIFS(SALIDAS_BOV1,FECHA_BOV1,"&gt;="&amp;BZ$2,FECHA_BOV1,"&lt;="&amp;BZ$3,CLAVE_BOV1,$A227)+SUMIFS(SALIDAS_BOV2,FECHA_BOV2,"&gt;="&amp;BZ$2,FECHA_BOV2,"&lt;="&amp;BZ$3,CLAVE_BOV2,$A227)+SUMIFS(SALIDAS_BOV3,FECHA_BOV3,"&gt;="&amp;BZ$2,FECHA_BOV3,"&lt;="&amp;BZ$3,CLAVE_BOV3,$A227)+SUMIFS(SALIDAS_TC,FECHA_TC,"&gt;="&amp;BZ$2,FECHA_TC,"&lt;="&amp;BZ$3,CLAVE_TC,$A227)+SUMIFS(SALIDAS_COMB,FECHA_COMB,"&gt;="&amp;BZ$2,FECHA_COMB,"&lt;="&amp;BZ$3,CLAVE_COMB,$A227)+SUMIFS(SALIDAS_DES,FECHA_DESGLOSEN,"&gt;="&amp;BZ$2,FECHA_DESGLOSEN,"&lt;="&amp;BZ$3,CLAVE_DESGLOSE,$A227)</f>
        <v>76899.149999999994</v>
      </c>
      <c r="CA227" s="68">
        <f t="shared" si="370"/>
        <v>-36899.149999999994</v>
      </c>
      <c r="CB227" s="268">
        <f t="shared" si="371"/>
        <v>1.9224787499999998</v>
      </c>
      <c r="CC227" s="13">
        <f t="shared" si="372"/>
        <v>40000</v>
      </c>
      <c r="CD227" s="13">
        <f t="shared" si="390"/>
        <v>41544.32</v>
      </c>
      <c r="CE227" s="13">
        <f t="shared" si="390"/>
        <v>11407.14</v>
      </c>
      <c r="CF227" s="13">
        <f t="shared" si="390"/>
        <v>0</v>
      </c>
      <c r="CG227" s="13">
        <f t="shared" si="390"/>
        <v>0</v>
      </c>
      <c r="CH227" s="13">
        <f t="shared" ref="CH227:CH236" si="408">SUMIFS(SALIDAS_BIT,FECHA_BIT,"&gt;="&amp;CH$2,FECHA_BIT,"&lt;="&amp;CH$3,CLAVE_BIT,$A227)+SUMIFS(SALIDAS_BOV1,FECHA_BOV1,"&gt;="&amp;CH$2,FECHA_BOV1,"&lt;="&amp;CH$3,CLAVE_BOV1,$A227)+SUMIFS(SALIDAS_BOV2,FECHA_BOV2,"&gt;="&amp;CH$2,FECHA_BOV2,"&lt;="&amp;CH$3,CLAVE_BOV2,$A227)+SUMIFS(SALIDAS_BOV3,FECHA_BOV3,"&gt;="&amp;CH$2,FECHA_BOV3,"&lt;="&amp;CH$3,CLAVE_BOV3,$A227)+SUMIFS(SALIDAS_TC,FECHA_TC,"&gt;="&amp;CH$2,FECHA_TC,"&lt;="&amp;CH$3,CLAVE_TC,$A227)+SUMIFS(SALIDAS_COMB,FECHA_COMB,"&gt;="&amp;CH$2,FECHA_COMB,"&lt;="&amp;CH$3,CLAVE_COMB,$A227)+SUMIFS(SALIDAS_DES,FECHA_DESGLOSEN,"&gt;="&amp;CH$2,FECHA_DESGLOSEN,"&lt;="&amp;CH$3,CLAVE_DESGLOSE,$A227)</f>
        <v>52951.46</v>
      </c>
      <c r="CI227" s="68">
        <f t="shared" si="373"/>
        <v>-12951.46</v>
      </c>
      <c r="CJ227" s="268">
        <f t="shared" si="374"/>
        <v>1.3237865</v>
      </c>
      <c r="CK227" s="13">
        <f t="shared" si="375"/>
        <v>40000</v>
      </c>
      <c r="CL227" s="13">
        <f t="shared" si="400"/>
        <v>8368.2099999999991</v>
      </c>
      <c r="CM227" s="13">
        <f t="shared" si="400"/>
        <v>35048.6</v>
      </c>
      <c r="CN227" s="13">
        <f t="shared" si="400"/>
        <v>31329.360000000001</v>
      </c>
      <c r="CO227" s="13">
        <f t="shared" si="400"/>
        <v>0</v>
      </c>
      <c r="CP227" s="13">
        <f t="shared" si="400"/>
        <v>119387.25</v>
      </c>
      <c r="CQ227" s="13">
        <f t="shared" ref="CQ227:CQ236" si="409">SUMIFS(SALIDAS_BIT,FECHA_BIT,"&gt;="&amp;CQ$2,FECHA_BIT,"&lt;="&amp;CQ$3,CLAVE_BIT,$A227)+SUMIFS(SALIDAS_BOV1,FECHA_BOV1,"&gt;="&amp;CQ$2,FECHA_BOV1,"&lt;="&amp;CQ$3,CLAVE_BOV1,$A227)+SUMIFS(SALIDAS_BOV2,FECHA_BOV2,"&gt;="&amp;CQ$2,FECHA_BOV2,"&lt;="&amp;CQ$3,CLAVE_BOV2,$A227)+SUMIFS(SALIDAS_BOV3,FECHA_BOV3,"&gt;="&amp;CQ$2,FECHA_BOV3,"&lt;="&amp;CQ$3,CLAVE_BOV3,$A227)+SUMIFS(SALIDAS_TC,FECHA_TC,"&gt;="&amp;CQ$2,FECHA_TC,"&lt;="&amp;CQ$3,CLAVE_TC,$A227)+SUMIFS(SALIDAS_COMB,FECHA_COMB,"&gt;="&amp;CQ$2,FECHA_COMB,"&lt;="&amp;CQ$3,CLAVE_COMB,$A227)+SUMIFS(SALIDAS_DES,FECHA_DESGLOSEN,"&gt;="&amp;CQ$2,FECHA_DESGLOSEN,"&lt;="&amp;CQ$3,CLAVE_DESGLOSE,$A227)</f>
        <v>194133.41999999998</v>
      </c>
      <c r="CR227" s="68">
        <f t="shared" si="376"/>
        <v>-154133.41999999998</v>
      </c>
      <c r="CS227" s="268">
        <f t="shared" si="377"/>
        <v>4.8533355</v>
      </c>
      <c r="CT227" s="68">
        <f t="shared" si="350"/>
        <v>40000</v>
      </c>
      <c r="CU227" s="13">
        <f>SUMIFS(SALIDAS_BIT,FECHA_BIT,"&gt;="&amp;CU$2,FECHA_BIT,"&lt;="&amp;CU$3,CLAVE_BIT,$A227)+SUMIFS(SALIDAS_BOV1,FECHA_BOV1,"&gt;="&amp;CU$2,FECHA_BOV1,"&lt;="&amp;CU$3,CLAVE_BOV1,$A227)+SUMIFS(SALIDAS_BOV2,FECHA_BOV2,"&gt;="&amp;CU$2,FECHA_BOV2,"&lt;="&amp;CU$3,CLAVE_BOV2,$A227)+SUMIFS(SALIDAS_BOV3,FECHA_BOV3,"&gt;="&amp;CU$2,FECHA_BOV3,"&lt;="&amp;CU$3,CLAVE_BOV3,$A227)+SUMIFS(SALIDAS_TC,FECHA_TC,"&gt;="&amp;CU$2,FECHA_TC,"&lt;="&amp;CU$3,CLAVE_TC,$A227)+SUMIFS(SALIDAS_COMB,FECHA_COMB,"&gt;="&amp;CU$2,FECHA_COMB,"&lt;="&amp;CU$3,CLAVE_COMB,$A227)+SUMIFS(SALIDAS_DES,FECHA_DESGLOSEN,"&gt;="&amp;CU$2,FECHA_DESGLOSEN,"&lt;="&amp;CU$3,CLAVE_DESGLOSE,$A227)</f>
        <v>0</v>
      </c>
      <c r="CV227" s="13">
        <f>SUMIFS(SALIDAS_BIT,FECHA_BIT,"&gt;="&amp;CV$2,FECHA_BIT,"&lt;="&amp;CV$3,CLAVE_BIT,$A227)+SUMIFS(SALIDAS_BOV1,FECHA_BOV1,"&gt;="&amp;CV$2,FECHA_BOV1,"&lt;="&amp;CV$3,CLAVE_BOV1,$A227)+SUMIFS(SALIDAS_BOV2,FECHA_BOV2,"&gt;="&amp;CV$2,FECHA_BOV2,"&lt;="&amp;CV$3,CLAVE_BOV2,$A227)+SUMIFS(SALIDAS_BOV3,FECHA_BOV3,"&gt;="&amp;CV$2,FECHA_BOV3,"&lt;="&amp;CV$3,CLAVE_BOV3,$A227)+SUMIFS(SALIDAS_TC,FECHA_TC,"&gt;="&amp;CV$2,FECHA_TC,"&lt;="&amp;CV$3,CLAVE_TC,$A227)+SUMIFS(SALIDAS_COMB,FECHA_COMB,"&gt;="&amp;CV$2,FECHA_COMB,"&lt;="&amp;CV$3,CLAVE_COMB,$A227)+SUMIFS(SALIDAS_DES,FECHA_DESGLOSEN,"&gt;="&amp;CV$2,FECHA_DESGLOSEN,"&lt;="&amp;CV$3,CLAVE_DESGLOSE,$A227)</f>
        <v>0</v>
      </c>
      <c r="CW227" s="13">
        <f>SUMIFS(SALIDAS_BIT,FECHA_BIT,"&gt;="&amp;CW$2,FECHA_BIT,"&lt;="&amp;CW$3,CLAVE_BIT,$A227)+SUMIFS(SALIDAS_BOV1,FECHA_BOV1,"&gt;="&amp;CW$2,FECHA_BOV1,"&lt;="&amp;CW$3,CLAVE_BOV1,$A227)+SUMIFS(SALIDAS_BOV2,FECHA_BOV2,"&gt;="&amp;CW$2,FECHA_BOV2,"&lt;="&amp;CW$3,CLAVE_BOV2,$A227)+SUMIFS(SALIDAS_BOV3,FECHA_BOV3,"&gt;="&amp;CW$2,FECHA_BOV3,"&lt;="&amp;CW$3,CLAVE_BOV3,$A227)+SUMIFS(SALIDAS_TC,FECHA_TC,"&gt;="&amp;CW$2,FECHA_TC,"&lt;="&amp;CW$3,CLAVE_TC,$A227)+SUMIFS(SALIDAS_COMB,FECHA_COMB,"&gt;="&amp;CW$2,FECHA_COMB,"&lt;="&amp;CW$3,CLAVE_COMB,$A227)+SUMIFS(SALIDAS_DES,FECHA_DESGLOSEN,"&gt;="&amp;CW$2,FECHA_DESGLOSEN,"&lt;="&amp;CW$3,CLAVE_DESGLOSE,$A227)</f>
        <v>10874.83</v>
      </c>
      <c r="CX227" s="13">
        <f>SUMIFS(SALIDAS_BIT,FECHA_BIT,"&gt;="&amp;CX$2,FECHA_BIT,"&lt;="&amp;CX$3,CLAVE_BIT,$A227)+SUMIFS(SALIDAS_BOV1,FECHA_BOV1,"&gt;="&amp;CX$2,FECHA_BOV1,"&lt;="&amp;CX$3,CLAVE_BOV1,$A227)+SUMIFS(SALIDAS_BOV2,FECHA_BOV2,"&gt;="&amp;CX$2,FECHA_BOV2,"&lt;="&amp;CX$3,CLAVE_BOV2,$A227)+SUMIFS(SALIDAS_BOV3,FECHA_BOV3,"&gt;="&amp;CX$2,FECHA_BOV3,"&lt;="&amp;CX$3,CLAVE_BOV3,$A227)+SUMIFS(SALIDAS_TC,FECHA_TC,"&gt;="&amp;CX$2,FECHA_TC,"&lt;="&amp;CX$3,CLAVE_TC,$A227)+SUMIFS(SALIDAS_COMB,FECHA_COMB,"&gt;="&amp;CX$2,FECHA_COMB,"&lt;="&amp;CX$3,CLAVE_COMB,$A227)+SUMIFS(SALIDAS_DES,FECHA_DESGLOSEN,"&gt;="&amp;CX$2,FECHA_DESGLOSEN,"&lt;="&amp;CX$3,CLAVE_DESGLOSE,$A227)</f>
        <v>0</v>
      </c>
      <c r="CY227" s="13">
        <f>SUMIFS(SALIDAS_BIT,FECHA_BIT,"&gt;="&amp;CY$2,FECHA_BIT,"&lt;="&amp;CY$3,CLAVE_BIT,$A227)+SUMIFS(SALIDAS_BOV1,FECHA_BOV1,"&gt;="&amp;CY$2,FECHA_BOV1,"&lt;="&amp;CY$3,CLAVE_BOV1,$A227)+SUMIFS(SALIDAS_BOV2,FECHA_BOV2,"&gt;="&amp;CY$2,FECHA_BOV2,"&lt;="&amp;CY$3,CLAVE_BOV2,$A227)+SUMIFS(SALIDAS_BOV3,FECHA_BOV3,"&gt;="&amp;CY$2,FECHA_BOV3,"&lt;="&amp;CY$3,CLAVE_BOV3,$A227)+SUMIFS(SALIDAS_TC,FECHA_TC,"&gt;="&amp;CY$2,FECHA_TC,"&lt;="&amp;CY$3,CLAVE_TC,$A227)+SUMIFS(SALIDAS_COMB,FECHA_COMB,"&gt;="&amp;CY$2,FECHA_COMB,"&lt;="&amp;CY$3,CLAVE_COMB,$A227)+SUMIFS(SALIDAS_DES,FECHA_DESGLOSEN,"&gt;="&amp;CY$2,FECHA_DESGLOSEN,"&lt;="&amp;CY$3,CLAVE_DESGLOSE,$A227)</f>
        <v>10874.83</v>
      </c>
      <c r="CZ227" s="68">
        <f t="shared" si="378"/>
        <v>29125.17</v>
      </c>
      <c r="DB227" s="17">
        <f>F227+N227+W227+AE227+AM227+AV227+BD227+BL227+BU227+CC227+CK227</f>
        <v>440000</v>
      </c>
      <c r="DC227" s="17">
        <f>K227+T227+AB227+AJ227+AS227+BA227+BI227+BR227+BZ227+CH227+CQ227</f>
        <v>756151.7</v>
      </c>
    </row>
    <row r="228" spans="1:107" hidden="1">
      <c r="A228" s="12" t="str">
        <f t="shared" si="351"/>
        <v>SERVICIOSINSUMOSSISTEMAS</v>
      </c>
      <c r="B228" s="12">
        <v>230</v>
      </c>
      <c r="C228" t="s">
        <v>21</v>
      </c>
      <c r="D228" s="12" t="s">
        <v>133</v>
      </c>
      <c r="E228" s="12" t="s">
        <v>36</v>
      </c>
      <c r="F228" s="259">
        <f t="shared" si="344"/>
        <v>4346</v>
      </c>
      <c r="G228" s="13">
        <f t="shared" si="401"/>
        <v>0</v>
      </c>
      <c r="H228" s="13">
        <f t="shared" si="401"/>
        <v>0</v>
      </c>
      <c r="I228" s="13">
        <f t="shared" si="401"/>
        <v>0</v>
      </c>
      <c r="J228" s="13">
        <f t="shared" si="401"/>
        <v>7391.52</v>
      </c>
      <c r="K228" s="13">
        <f t="shared" si="401"/>
        <v>7391.52</v>
      </c>
      <c r="L228" s="68">
        <f t="shared" si="352"/>
        <v>-3045.5200000000004</v>
      </c>
      <c r="M228" s="268">
        <f t="shared" si="353"/>
        <v>1.7007639208467558</v>
      </c>
      <c r="N228" s="13">
        <f t="shared" si="345"/>
        <v>0</v>
      </c>
      <c r="O228" s="13">
        <f t="shared" si="402"/>
        <v>0</v>
      </c>
      <c r="P228" s="13">
        <f t="shared" si="402"/>
        <v>0</v>
      </c>
      <c r="Q228" s="13">
        <f t="shared" si="402"/>
        <v>0</v>
      </c>
      <c r="R228" s="13">
        <f t="shared" si="402"/>
        <v>0</v>
      </c>
      <c r="S228" s="13">
        <f t="shared" si="402"/>
        <v>10975.68</v>
      </c>
      <c r="T228" s="13">
        <f t="shared" si="402"/>
        <v>10975.68</v>
      </c>
      <c r="U228" s="68">
        <f t="shared" si="354"/>
        <v>-10975.68</v>
      </c>
      <c r="V228" s="268">
        <f t="shared" si="355"/>
        <v>0</v>
      </c>
      <c r="W228" s="13">
        <f t="shared" si="346"/>
        <v>3736</v>
      </c>
      <c r="X228" s="13">
        <f t="shared" si="403"/>
        <v>0</v>
      </c>
      <c r="Y228" s="13">
        <f t="shared" si="403"/>
        <v>3712</v>
      </c>
      <c r="Z228" s="13">
        <f t="shared" si="403"/>
        <v>0</v>
      </c>
      <c r="AA228" s="13">
        <f t="shared" si="403"/>
        <v>1222.48</v>
      </c>
      <c r="AB228" s="13">
        <f t="shared" si="403"/>
        <v>4934.4799999999996</v>
      </c>
      <c r="AC228" s="68">
        <f t="shared" si="356"/>
        <v>-1198.4799999999996</v>
      </c>
      <c r="AD228" s="268">
        <f t="shared" si="357"/>
        <v>1.3207922912205565</v>
      </c>
      <c r="AE228" s="13">
        <f t="shared" si="347"/>
        <v>362</v>
      </c>
      <c r="AF228" s="13">
        <f t="shared" si="404"/>
        <v>3750</v>
      </c>
      <c r="AG228" s="13">
        <f t="shared" si="404"/>
        <v>0</v>
      </c>
      <c r="AH228" s="13">
        <f t="shared" si="404"/>
        <v>16843.2</v>
      </c>
      <c r="AI228" s="13">
        <f t="shared" si="404"/>
        <v>0</v>
      </c>
      <c r="AJ228" s="13">
        <f t="shared" si="404"/>
        <v>20593.2</v>
      </c>
      <c r="AK228" s="68">
        <f t="shared" si="358"/>
        <v>-20231.2</v>
      </c>
      <c r="AL228" s="268">
        <f t="shared" si="359"/>
        <v>56.887292817679558</v>
      </c>
      <c r="AM228" s="13">
        <f t="shared" si="348"/>
        <v>15761</v>
      </c>
      <c r="AN228" s="13">
        <f t="shared" si="405"/>
        <v>9309.16</v>
      </c>
      <c r="AO228" s="13">
        <f t="shared" si="405"/>
        <v>0</v>
      </c>
      <c r="AP228" s="13">
        <f t="shared" si="405"/>
        <v>0</v>
      </c>
      <c r="AQ228" s="13">
        <f t="shared" si="405"/>
        <v>0</v>
      </c>
      <c r="AR228" s="13">
        <f t="shared" si="405"/>
        <v>0</v>
      </c>
      <c r="AS228" s="13">
        <f t="shared" si="405"/>
        <v>9309.16</v>
      </c>
      <c r="AT228" s="68">
        <f>AM228-AS228</f>
        <v>6451.84</v>
      </c>
      <c r="AU228" s="268">
        <f t="shared" si="360"/>
        <v>0.59064526362540448</v>
      </c>
      <c r="AV228" s="13">
        <f t="shared" si="349"/>
        <v>6172</v>
      </c>
      <c r="AW228" s="13">
        <f t="shared" si="323"/>
        <v>0</v>
      </c>
      <c r="AX228" s="13">
        <f t="shared" si="323"/>
        <v>0</v>
      </c>
      <c r="AY228" s="13">
        <f t="shared" si="323"/>
        <v>0</v>
      </c>
      <c r="AZ228" s="13">
        <f t="shared" si="323"/>
        <v>0</v>
      </c>
      <c r="BA228" s="13">
        <f t="shared" si="379"/>
        <v>0</v>
      </c>
      <c r="BB228" s="68">
        <f t="shared" si="361"/>
        <v>6172</v>
      </c>
      <c r="BC228" s="268">
        <f t="shared" si="362"/>
        <v>0</v>
      </c>
      <c r="BD228" s="13">
        <f t="shared" si="363"/>
        <v>0</v>
      </c>
      <c r="BE228" s="13">
        <f>SUMIFS(SALIDAS_BIT,FECHA_BIT,"&gt;="&amp;BE$2,FECHA_BIT,"&lt;="&amp;BE$3,CLAVE_BIT,$A228)+SUMIFS(SALIDAS_BOV1,FECHA_BOV1,"&gt;="&amp;BE$2,FECHA_BOV1,"&lt;="&amp;BE$3,CLAVE_BOV1,$A228)+SUMIFS(SALIDAS_BOV2,FECHA_BOV2,"&gt;="&amp;BE$2,FECHA_BOV2,"&lt;="&amp;BE$3,CLAVE_BOV2,$A228)+SUMIFS(SALIDAS_BOV3,FECHA_BOV3,"&gt;="&amp;BE$2,FECHA_BOV3,"&lt;="&amp;BE$3,CLAVE_BOV3,$A228)+SUMIFS(SALIDAS_TC,FECHA_TC,"&gt;="&amp;BE$2,FECHA_TC,"&lt;="&amp;BE$3,CLAVE_TC,$A228)+SUMIFS(SALIDAS_COMB,FECHA_COMB,"&gt;="&amp;BE$2,FECHA_COMB,"&lt;="&amp;BE$3,CLAVE_COMB,$A228)+SUMIFS(SALIDAS_DES,FECHA_DESGLOSEN,"&gt;="&amp;BE$2,FECHA_DESGLOSEN,"&lt;="&amp;BE$3,CLAVE_DESGLOSE,$A228)</f>
        <v>0</v>
      </c>
      <c r="BF228" s="13">
        <f>SUMIFS(SALIDAS_BIT,FECHA_BIT,"&gt;="&amp;BF$2,FECHA_BIT,"&lt;="&amp;BF$3,CLAVE_BIT,$A228)+SUMIFS(SALIDAS_BOV1,FECHA_BOV1,"&gt;="&amp;BF$2,FECHA_BOV1,"&lt;="&amp;BF$3,CLAVE_BOV1,$A228)+SUMIFS(SALIDAS_BOV2,FECHA_BOV2,"&gt;="&amp;BF$2,FECHA_BOV2,"&lt;="&amp;BF$3,CLAVE_BOV2,$A228)+SUMIFS(SALIDAS_BOV3,FECHA_BOV3,"&gt;="&amp;BF$2,FECHA_BOV3,"&lt;="&amp;BF$3,CLAVE_BOV3,$A228)+SUMIFS(SALIDAS_TC,FECHA_TC,"&gt;="&amp;BF$2,FECHA_TC,"&lt;="&amp;BF$3,CLAVE_TC,$A228)+SUMIFS(SALIDAS_COMB,FECHA_COMB,"&gt;="&amp;BF$2,FECHA_COMB,"&lt;="&amp;BF$3,CLAVE_COMB,$A228)+SUMIFS(SALIDAS_DES,FECHA_DESGLOSEN,"&gt;="&amp;BF$2,FECHA_DESGLOSEN,"&lt;="&amp;BF$3,CLAVE_DESGLOSE,$A228)</f>
        <v>0</v>
      </c>
      <c r="BG228" s="13">
        <f>SUMIFS(SALIDAS_BIT,FECHA_BIT,"&gt;="&amp;BG$2,FECHA_BIT,"&lt;="&amp;BG$3,CLAVE_BIT,$A228)+SUMIFS(SALIDAS_BOV1,FECHA_BOV1,"&gt;="&amp;BG$2,FECHA_BOV1,"&lt;="&amp;BG$3,CLAVE_BOV1,$A228)+SUMIFS(SALIDAS_BOV2,FECHA_BOV2,"&gt;="&amp;BG$2,FECHA_BOV2,"&lt;="&amp;BG$3,CLAVE_BOV2,$A228)+SUMIFS(SALIDAS_BOV3,FECHA_BOV3,"&gt;="&amp;BG$2,FECHA_BOV3,"&lt;="&amp;BG$3,CLAVE_BOV3,$A228)+SUMIFS(SALIDAS_TC,FECHA_TC,"&gt;="&amp;BG$2,FECHA_TC,"&lt;="&amp;BG$3,CLAVE_TC,$A228)+SUMIFS(SALIDAS_COMB,FECHA_COMB,"&gt;="&amp;BG$2,FECHA_COMB,"&lt;="&amp;BG$3,CLAVE_COMB,$A228)+SUMIFS(SALIDAS_DES,FECHA_DESGLOSEN,"&gt;="&amp;BG$2,FECHA_DESGLOSEN,"&lt;="&amp;BG$3,CLAVE_DESGLOSE,$A228)</f>
        <v>0</v>
      </c>
      <c r="BH228" s="13">
        <f>SUMIFS(SALIDAS_BIT,FECHA_BIT,"&gt;="&amp;BH$2,FECHA_BIT,"&lt;="&amp;BH$3,CLAVE_BIT,$A228)+SUMIFS(SALIDAS_BOV1,FECHA_BOV1,"&gt;="&amp;BH$2,FECHA_BOV1,"&lt;="&amp;BH$3,CLAVE_BOV1,$A228)+SUMIFS(SALIDAS_BOV2,FECHA_BOV2,"&gt;="&amp;BH$2,FECHA_BOV2,"&lt;="&amp;BH$3,CLAVE_BOV2,$A228)+SUMIFS(SALIDAS_BOV3,FECHA_BOV3,"&gt;="&amp;BH$2,FECHA_BOV3,"&lt;="&amp;BH$3,CLAVE_BOV3,$A228)+SUMIFS(SALIDAS_TC,FECHA_TC,"&gt;="&amp;BH$2,FECHA_TC,"&lt;="&amp;BH$3,CLAVE_TC,$A228)+SUMIFS(SALIDAS_COMB,FECHA_COMB,"&gt;="&amp;BH$2,FECHA_COMB,"&lt;="&amp;BH$3,CLAVE_COMB,$A228)+SUMIFS(SALIDAS_DES,FECHA_DESGLOSEN,"&gt;="&amp;BH$2,FECHA_DESGLOSEN,"&lt;="&amp;BH$3,CLAVE_DESGLOSE,$A228)</f>
        <v>0</v>
      </c>
      <c r="BI228" s="13">
        <f t="shared" si="311"/>
        <v>0</v>
      </c>
      <c r="BJ228" s="68">
        <f t="shared" si="364"/>
        <v>0</v>
      </c>
      <c r="BK228" s="268">
        <f t="shared" si="365"/>
        <v>0</v>
      </c>
      <c r="BL228" s="13">
        <f t="shared" si="366"/>
        <v>700</v>
      </c>
      <c r="BM228" s="13">
        <f>SUMIFS(SALIDAS_BIT,FECHA_BIT,"&gt;="&amp;BM$2,FECHA_BIT,"&lt;="&amp;BM$3,CLAVE_BIT,$A228)+SUMIFS(SALIDAS_BOV1,FECHA_BOV1,"&gt;="&amp;BM$2,FECHA_BOV1,"&lt;="&amp;BM$3,CLAVE_BOV1,$A228)+SUMIFS(SALIDAS_BOV2,FECHA_BOV2,"&gt;="&amp;BM$2,FECHA_BOV2,"&lt;="&amp;BM$3,CLAVE_BOV2,$A228)+SUMIFS(SALIDAS_BOV3,FECHA_BOV3,"&gt;="&amp;BM$2,FECHA_BOV3,"&lt;="&amp;BM$3,CLAVE_BOV3,$A228)+SUMIFS(SALIDAS_TC,FECHA_TC,"&gt;="&amp;BM$2,FECHA_TC,"&lt;="&amp;BM$3,CLAVE_TC,$A228)+SUMIFS(SALIDAS_COMB,FECHA_COMB,"&gt;="&amp;BM$2,FECHA_COMB,"&lt;="&amp;BM$3,CLAVE_COMB,$A228)+SUMIFS(SALIDAS_DES,FECHA_DESGLOSEN,"&gt;="&amp;BM$2,FECHA_DESGLOSEN,"&lt;="&amp;BM$3,CLAVE_DESGLOSE,$A228)</f>
        <v>0</v>
      </c>
      <c r="BN228" s="13">
        <f>SUMIFS(SALIDAS_BIT,FECHA_BIT,"&gt;="&amp;BN$2,FECHA_BIT,"&lt;="&amp;BN$3,CLAVE_BIT,$A228)+SUMIFS(SALIDAS_BOV1,FECHA_BOV1,"&gt;="&amp;BN$2,FECHA_BOV1,"&lt;="&amp;BN$3,CLAVE_BOV1,$A228)+SUMIFS(SALIDAS_BOV2,FECHA_BOV2,"&gt;="&amp;BN$2,FECHA_BOV2,"&lt;="&amp;BN$3,CLAVE_BOV2,$A228)+SUMIFS(SALIDAS_BOV3,FECHA_BOV3,"&gt;="&amp;BN$2,FECHA_BOV3,"&lt;="&amp;BN$3,CLAVE_BOV3,$A228)+SUMIFS(SALIDAS_TC,FECHA_TC,"&gt;="&amp;BN$2,FECHA_TC,"&lt;="&amp;BN$3,CLAVE_TC,$A228)+SUMIFS(SALIDAS_COMB,FECHA_COMB,"&gt;="&amp;BN$2,FECHA_COMB,"&lt;="&amp;BN$3,CLAVE_COMB,$A228)+SUMIFS(SALIDAS_DES,FECHA_DESGLOSEN,"&gt;="&amp;BN$2,FECHA_DESGLOSEN,"&lt;="&amp;BN$3,CLAVE_DESGLOSE,$A228)</f>
        <v>0</v>
      </c>
      <c r="BO228" s="13">
        <f>SUMIFS(SALIDAS_BIT,FECHA_BIT,"&gt;="&amp;BO$2,FECHA_BIT,"&lt;="&amp;BO$3,CLAVE_BIT,$A228)+SUMIFS(SALIDAS_BOV1,FECHA_BOV1,"&gt;="&amp;BO$2,FECHA_BOV1,"&lt;="&amp;BO$3,CLAVE_BOV1,$A228)+SUMIFS(SALIDAS_BOV2,FECHA_BOV2,"&gt;="&amp;BO$2,FECHA_BOV2,"&lt;="&amp;BO$3,CLAVE_BOV2,$A228)+SUMIFS(SALIDAS_BOV3,FECHA_BOV3,"&gt;="&amp;BO$2,FECHA_BOV3,"&lt;="&amp;BO$3,CLAVE_BOV3,$A228)+SUMIFS(SALIDAS_TC,FECHA_TC,"&gt;="&amp;BO$2,FECHA_TC,"&lt;="&amp;BO$3,CLAVE_TC,$A228)+SUMIFS(SALIDAS_COMB,FECHA_COMB,"&gt;="&amp;BO$2,FECHA_COMB,"&lt;="&amp;BO$3,CLAVE_COMB,$A228)+SUMIFS(SALIDAS_DES,FECHA_DESGLOSEN,"&gt;="&amp;BO$2,FECHA_DESGLOSEN,"&lt;="&amp;BO$3,CLAVE_DESGLOSE,$A228)</f>
        <v>0</v>
      </c>
      <c r="BP228" s="13">
        <f>SUMIFS(SALIDAS_BIT,FECHA_BIT,"&gt;="&amp;BP$2,FECHA_BIT,"&lt;="&amp;BP$3,CLAVE_BIT,$A228)+SUMIFS(SALIDAS_BOV1,FECHA_BOV1,"&gt;="&amp;BP$2,FECHA_BOV1,"&lt;="&amp;BP$3,CLAVE_BOV1,$A228)+SUMIFS(SALIDAS_BOV2,FECHA_BOV2,"&gt;="&amp;BP$2,FECHA_BOV2,"&lt;="&amp;BP$3,CLAVE_BOV2,$A228)+SUMIFS(SALIDAS_BOV3,FECHA_BOV3,"&gt;="&amp;BP$2,FECHA_BOV3,"&lt;="&amp;BP$3,CLAVE_BOV3,$A228)+SUMIFS(SALIDAS_TC,FECHA_TC,"&gt;="&amp;BP$2,FECHA_TC,"&lt;="&amp;BP$3,CLAVE_TC,$A228)+SUMIFS(SALIDAS_COMB,FECHA_COMB,"&gt;="&amp;BP$2,FECHA_COMB,"&lt;="&amp;BP$3,CLAVE_COMB,$A228)+SUMIFS(SALIDAS_DES,FECHA_DESGLOSEN,"&gt;="&amp;BP$2,FECHA_DESGLOSEN,"&lt;="&amp;BP$3,CLAVE_DESGLOSE,$A228)</f>
        <v>1728.4</v>
      </c>
      <c r="BQ228" s="13">
        <f>SUMIFS(SALIDAS_BIT,FECHA_BIT,"&gt;="&amp;BQ$2,FECHA_BIT,"&lt;="&amp;BQ$3,CLAVE_BIT,$A228)+SUMIFS(SALIDAS_BOV1,FECHA_BOV1,"&gt;="&amp;BQ$2,FECHA_BOV1,"&lt;="&amp;BQ$3,CLAVE_BOV1,$A228)+SUMIFS(SALIDAS_BOV2,FECHA_BOV2,"&gt;="&amp;BQ$2,FECHA_BOV2,"&lt;="&amp;BQ$3,CLAVE_BOV2,$A228)+SUMIFS(SALIDAS_BOV3,FECHA_BOV3,"&gt;="&amp;BQ$2,FECHA_BOV3,"&lt;="&amp;BQ$3,CLAVE_BOV3,$A228)+SUMIFS(SALIDAS_TC,FECHA_TC,"&gt;="&amp;BQ$2,FECHA_TC,"&lt;="&amp;BQ$3,CLAVE_TC,$A228)+SUMIFS(SALIDAS_COMB,FECHA_COMB,"&gt;="&amp;BQ$2,FECHA_COMB,"&lt;="&amp;BQ$3,CLAVE_COMB,$A228)+SUMIFS(SALIDAS_DES,FECHA_DESGLOSEN,"&gt;="&amp;BQ$2,FECHA_DESGLOSEN,"&lt;="&amp;BQ$3,CLAVE_DESGLOSE,$A228)</f>
        <v>0</v>
      </c>
      <c r="BR228" s="13">
        <f t="shared" si="406"/>
        <v>1728.4</v>
      </c>
      <c r="BS228" s="68">
        <f t="shared" si="367"/>
        <v>-1028.4000000000001</v>
      </c>
      <c r="BT228" s="268">
        <f t="shared" si="368"/>
        <v>2.4691428571428573</v>
      </c>
      <c r="BU228" s="13">
        <f t="shared" si="369"/>
        <v>19500</v>
      </c>
      <c r="BV228" s="13">
        <f t="shared" si="389"/>
        <v>0</v>
      </c>
      <c r="BW228" s="13">
        <f t="shared" si="389"/>
        <v>0</v>
      </c>
      <c r="BX228" s="13">
        <f t="shared" si="389"/>
        <v>0</v>
      </c>
      <c r="BY228" s="13">
        <f t="shared" si="389"/>
        <v>3944</v>
      </c>
      <c r="BZ228" s="13">
        <f t="shared" si="407"/>
        <v>3944</v>
      </c>
      <c r="CA228" s="68">
        <f t="shared" si="370"/>
        <v>15556</v>
      </c>
      <c r="CB228" s="268">
        <f t="shared" si="371"/>
        <v>0.20225641025641025</v>
      </c>
      <c r="CC228" s="13">
        <f t="shared" si="372"/>
        <v>0</v>
      </c>
      <c r="CD228" s="13">
        <f t="shared" si="390"/>
        <v>0</v>
      </c>
      <c r="CE228" s="13">
        <f t="shared" si="390"/>
        <v>0</v>
      </c>
      <c r="CF228" s="13">
        <f t="shared" si="390"/>
        <v>0</v>
      </c>
      <c r="CG228" s="13">
        <f t="shared" si="390"/>
        <v>10440</v>
      </c>
      <c r="CH228" s="13">
        <f t="shared" si="408"/>
        <v>10440</v>
      </c>
      <c r="CI228" s="68">
        <f t="shared" si="373"/>
        <v>-10440</v>
      </c>
      <c r="CJ228" s="268">
        <f t="shared" si="374"/>
        <v>0</v>
      </c>
      <c r="CK228" s="13">
        <f t="shared" si="375"/>
        <v>0</v>
      </c>
      <c r="CL228" s="13">
        <f t="shared" si="400"/>
        <v>0</v>
      </c>
      <c r="CM228" s="13">
        <f t="shared" si="400"/>
        <v>14360</v>
      </c>
      <c r="CN228" s="13">
        <f t="shared" si="400"/>
        <v>5543.64</v>
      </c>
      <c r="CO228" s="13">
        <f t="shared" si="400"/>
        <v>0</v>
      </c>
      <c r="CP228" s="13">
        <f t="shared" si="400"/>
        <v>0</v>
      </c>
      <c r="CQ228" s="13">
        <f t="shared" si="409"/>
        <v>19903.64</v>
      </c>
      <c r="CR228" s="68">
        <f t="shared" si="376"/>
        <v>-19903.64</v>
      </c>
      <c r="CS228" s="268">
        <f t="shared" si="377"/>
        <v>0</v>
      </c>
      <c r="CT228" s="68">
        <f t="shared" si="350"/>
        <v>8000</v>
      </c>
      <c r="CU228" s="13">
        <f>SUMIFS(SALIDAS_BIT,FECHA_BIT,"&gt;="&amp;CU$2,FECHA_BIT,"&lt;="&amp;CU$3,CLAVE_BIT,$A228)+SUMIFS(SALIDAS_BOV1,FECHA_BOV1,"&gt;="&amp;CU$2,FECHA_BOV1,"&lt;="&amp;CU$3,CLAVE_BOV1,$A228)+SUMIFS(SALIDAS_BOV2,FECHA_BOV2,"&gt;="&amp;CU$2,FECHA_BOV2,"&lt;="&amp;CU$3,CLAVE_BOV2,$A228)+SUMIFS(SALIDAS_BOV3,FECHA_BOV3,"&gt;="&amp;CU$2,FECHA_BOV3,"&lt;="&amp;CU$3,CLAVE_BOV3,$A228)+SUMIFS(SALIDAS_TC,FECHA_TC,"&gt;="&amp;CU$2,FECHA_TC,"&lt;="&amp;CU$3,CLAVE_TC,$A228)+SUMIFS(SALIDAS_COMB,FECHA_COMB,"&gt;="&amp;CU$2,FECHA_COMB,"&lt;="&amp;CU$3,CLAVE_COMB,$A228)+SUMIFS(SALIDAS_DES,FECHA_DESGLOSEN,"&gt;="&amp;CU$2,FECHA_DESGLOSEN,"&lt;="&amp;CU$3,CLAVE_DESGLOSE,$A228)</f>
        <v>0</v>
      </c>
      <c r="CV228" s="13">
        <f>SUMIFS(SALIDAS_BIT,FECHA_BIT,"&gt;="&amp;CV$2,FECHA_BIT,"&lt;="&amp;CV$3,CLAVE_BIT,$A228)+SUMIFS(SALIDAS_BOV1,FECHA_BOV1,"&gt;="&amp;CV$2,FECHA_BOV1,"&lt;="&amp;CV$3,CLAVE_BOV1,$A228)+SUMIFS(SALIDAS_BOV2,FECHA_BOV2,"&gt;="&amp;CV$2,FECHA_BOV2,"&lt;="&amp;CV$3,CLAVE_BOV2,$A228)+SUMIFS(SALIDAS_BOV3,FECHA_BOV3,"&gt;="&amp;CV$2,FECHA_BOV3,"&lt;="&amp;CV$3,CLAVE_BOV3,$A228)+SUMIFS(SALIDAS_TC,FECHA_TC,"&gt;="&amp;CV$2,FECHA_TC,"&lt;="&amp;CV$3,CLAVE_TC,$A228)+SUMIFS(SALIDAS_COMB,FECHA_COMB,"&gt;="&amp;CV$2,FECHA_COMB,"&lt;="&amp;CV$3,CLAVE_COMB,$A228)+SUMIFS(SALIDAS_DES,FECHA_DESGLOSEN,"&gt;="&amp;CV$2,FECHA_DESGLOSEN,"&lt;="&amp;CV$3,CLAVE_DESGLOSE,$A228)</f>
        <v>0</v>
      </c>
      <c r="CW228" s="13">
        <f>SUMIFS(SALIDAS_BIT,FECHA_BIT,"&gt;="&amp;CW$2,FECHA_BIT,"&lt;="&amp;CW$3,CLAVE_BIT,$A228)+SUMIFS(SALIDAS_BOV1,FECHA_BOV1,"&gt;="&amp;CW$2,FECHA_BOV1,"&lt;="&amp;CW$3,CLAVE_BOV1,$A228)+SUMIFS(SALIDAS_BOV2,FECHA_BOV2,"&gt;="&amp;CW$2,FECHA_BOV2,"&lt;="&amp;CW$3,CLAVE_BOV2,$A228)+SUMIFS(SALIDAS_BOV3,FECHA_BOV3,"&gt;="&amp;CW$2,FECHA_BOV3,"&lt;="&amp;CW$3,CLAVE_BOV3,$A228)+SUMIFS(SALIDAS_TC,FECHA_TC,"&gt;="&amp;CW$2,FECHA_TC,"&lt;="&amp;CW$3,CLAVE_TC,$A228)+SUMIFS(SALIDAS_COMB,FECHA_COMB,"&gt;="&amp;CW$2,FECHA_COMB,"&lt;="&amp;CW$3,CLAVE_COMB,$A228)+SUMIFS(SALIDAS_DES,FECHA_DESGLOSEN,"&gt;="&amp;CW$2,FECHA_DESGLOSEN,"&lt;="&amp;CW$3,CLAVE_DESGLOSE,$A228)</f>
        <v>0</v>
      </c>
      <c r="CX228" s="13">
        <f>SUMIFS(SALIDAS_BIT,FECHA_BIT,"&gt;="&amp;CX$2,FECHA_BIT,"&lt;="&amp;CX$3,CLAVE_BIT,$A228)+SUMIFS(SALIDAS_BOV1,FECHA_BOV1,"&gt;="&amp;CX$2,FECHA_BOV1,"&lt;="&amp;CX$3,CLAVE_BOV1,$A228)+SUMIFS(SALIDAS_BOV2,FECHA_BOV2,"&gt;="&amp;CX$2,FECHA_BOV2,"&lt;="&amp;CX$3,CLAVE_BOV2,$A228)+SUMIFS(SALIDAS_BOV3,FECHA_BOV3,"&gt;="&amp;CX$2,FECHA_BOV3,"&lt;="&amp;CX$3,CLAVE_BOV3,$A228)+SUMIFS(SALIDAS_TC,FECHA_TC,"&gt;="&amp;CX$2,FECHA_TC,"&lt;="&amp;CX$3,CLAVE_TC,$A228)+SUMIFS(SALIDAS_COMB,FECHA_COMB,"&gt;="&amp;CX$2,FECHA_COMB,"&lt;="&amp;CX$3,CLAVE_COMB,$A228)+SUMIFS(SALIDAS_DES,FECHA_DESGLOSEN,"&gt;="&amp;CX$2,FECHA_DESGLOSEN,"&lt;="&amp;CX$3,CLAVE_DESGLOSE,$A228)</f>
        <v>0</v>
      </c>
      <c r="CY228" s="13">
        <f>SUMIFS(SALIDAS_BIT,FECHA_BIT,"&gt;="&amp;CY$2,FECHA_BIT,"&lt;="&amp;CY$3,CLAVE_BIT,$A228)+SUMIFS(SALIDAS_BOV1,FECHA_BOV1,"&gt;="&amp;CY$2,FECHA_BOV1,"&lt;="&amp;CY$3,CLAVE_BOV1,$A228)+SUMIFS(SALIDAS_BOV2,FECHA_BOV2,"&gt;="&amp;CY$2,FECHA_BOV2,"&lt;="&amp;CY$3,CLAVE_BOV2,$A228)+SUMIFS(SALIDAS_BOV3,FECHA_BOV3,"&gt;="&amp;CY$2,FECHA_BOV3,"&lt;="&amp;CY$3,CLAVE_BOV3,$A228)+SUMIFS(SALIDAS_TC,FECHA_TC,"&gt;="&amp;CY$2,FECHA_TC,"&lt;="&amp;CY$3,CLAVE_TC,$A228)+SUMIFS(SALIDAS_COMB,FECHA_COMB,"&gt;="&amp;CY$2,FECHA_COMB,"&lt;="&amp;CY$3,CLAVE_COMB,$A228)+SUMIFS(SALIDAS_DES,FECHA_DESGLOSEN,"&gt;="&amp;CY$2,FECHA_DESGLOSEN,"&lt;="&amp;CY$3,CLAVE_DESGLOSE,$A228)</f>
        <v>0</v>
      </c>
      <c r="CZ228" s="68">
        <f t="shared" si="378"/>
        <v>8000</v>
      </c>
      <c r="DB228" s="17">
        <f>F228+N228+W228+AE228+AM228+AV228+BD228+BL228+BU228+CC228+CK228</f>
        <v>50577</v>
      </c>
      <c r="DC228" s="17">
        <f>K228+T228+AB228+AJ228+AS228+BA228+BI228+BR228+BZ228+CH228+CQ228</f>
        <v>89220.08</v>
      </c>
    </row>
    <row r="229" spans="1:107" hidden="1">
      <c r="A229" s="12" t="str">
        <f t="shared" si="351"/>
        <v>SGEINSUMOSGESTION EMPRESARIAL</v>
      </c>
      <c r="B229" s="12">
        <v>231</v>
      </c>
      <c r="C229" t="s">
        <v>39</v>
      </c>
      <c r="D229" s="12" t="s">
        <v>133</v>
      </c>
      <c r="E229" s="12" t="s">
        <v>40</v>
      </c>
      <c r="F229" s="259">
        <f t="shared" si="344"/>
        <v>0</v>
      </c>
      <c r="G229" s="13">
        <f t="shared" si="401"/>
        <v>0</v>
      </c>
      <c r="H229" s="13">
        <f t="shared" si="401"/>
        <v>0</v>
      </c>
      <c r="I229" s="13">
        <f t="shared" si="401"/>
        <v>0</v>
      </c>
      <c r="J229" s="13">
        <f t="shared" si="401"/>
        <v>90</v>
      </c>
      <c r="K229" s="13">
        <f t="shared" si="401"/>
        <v>90</v>
      </c>
      <c r="L229" s="68">
        <f t="shared" si="352"/>
        <v>-90</v>
      </c>
      <c r="M229" s="268">
        <f t="shared" si="353"/>
        <v>0</v>
      </c>
      <c r="N229" s="13">
        <f t="shared" si="345"/>
        <v>0</v>
      </c>
      <c r="O229" s="13">
        <f t="shared" si="402"/>
        <v>0</v>
      </c>
      <c r="P229" s="13">
        <f t="shared" si="402"/>
        <v>0</v>
      </c>
      <c r="Q229" s="13">
        <f t="shared" si="402"/>
        <v>0</v>
      </c>
      <c r="R229" s="13">
        <f t="shared" si="402"/>
        <v>0</v>
      </c>
      <c r="S229" s="13">
        <f t="shared" si="402"/>
        <v>0</v>
      </c>
      <c r="T229" s="13">
        <f t="shared" si="402"/>
        <v>0</v>
      </c>
      <c r="U229" s="68">
        <f t="shared" si="354"/>
        <v>0</v>
      </c>
      <c r="V229" s="268">
        <f t="shared" si="355"/>
        <v>0</v>
      </c>
      <c r="W229" s="13">
        <f t="shared" si="346"/>
        <v>11000</v>
      </c>
      <c r="X229" s="13">
        <f t="shared" si="403"/>
        <v>11214</v>
      </c>
      <c r="Y229" s="13">
        <f t="shared" si="403"/>
        <v>0</v>
      </c>
      <c r="Z229" s="13">
        <f t="shared" si="403"/>
        <v>0</v>
      </c>
      <c r="AA229" s="13">
        <f t="shared" si="403"/>
        <v>0</v>
      </c>
      <c r="AB229" s="13">
        <f t="shared" si="403"/>
        <v>11214</v>
      </c>
      <c r="AC229" s="68">
        <f t="shared" si="356"/>
        <v>-214</v>
      </c>
      <c r="AD229" s="268">
        <f t="shared" si="357"/>
        <v>1.0194545454545454</v>
      </c>
      <c r="AE229" s="13">
        <f t="shared" si="347"/>
        <v>0</v>
      </c>
      <c r="AF229" s="13">
        <f t="shared" si="404"/>
        <v>0</v>
      </c>
      <c r="AG229" s="13">
        <f t="shared" si="404"/>
        <v>0</v>
      </c>
      <c r="AH229" s="13">
        <f t="shared" si="404"/>
        <v>0</v>
      </c>
      <c r="AI229" s="13">
        <f t="shared" si="404"/>
        <v>0</v>
      </c>
      <c r="AJ229" s="13">
        <f t="shared" si="404"/>
        <v>0</v>
      </c>
      <c r="AK229" s="68">
        <f t="shared" si="358"/>
        <v>0</v>
      </c>
      <c r="AL229" s="268">
        <f t="shared" si="359"/>
        <v>0</v>
      </c>
      <c r="AM229" s="13">
        <f t="shared" si="348"/>
        <v>11000</v>
      </c>
      <c r="AN229" s="13">
        <f t="shared" si="405"/>
        <v>0</v>
      </c>
      <c r="AO229" s="13">
        <f t="shared" si="405"/>
        <v>0</v>
      </c>
      <c r="AP229" s="13">
        <f t="shared" si="405"/>
        <v>0</v>
      </c>
      <c r="AQ229" s="13">
        <f t="shared" si="405"/>
        <v>0</v>
      </c>
      <c r="AR229" s="13">
        <f t="shared" si="405"/>
        <v>10914</v>
      </c>
      <c r="AS229" s="13">
        <f t="shared" si="405"/>
        <v>10914</v>
      </c>
      <c r="AT229" s="68">
        <f>AM229-AS229</f>
        <v>86</v>
      </c>
      <c r="AU229" s="268">
        <f t="shared" si="360"/>
        <v>0.99218181818181816</v>
      </c>
      <c r="AV229" s="13">
        <f t="shared" si="349"/>
        <v>0</v>
      </c>
      <c r="AW229" s="13">
        <f t="shared" si="323"/>
        <v>0</v>
      </c>
      <c r="AX229" s="13">
        <f t="shared" si="323"/>
        <v>0</v>
      </c>
      <c r="AY229" s="13">
        <f t="shared" si="323"/>
        <v>0</v>
      </c>
      <c r="AZ229" s="13">
        <f t="shared" si="323"/>
        <v>0</v>
      </c>
      <c r="BA229" s="13">
        <f t="shared" si="379"/>
        <v>0</v>
      </c>
      <c r="BB229" s="68">
        <f t="shared" si="361"/>
        <v>0</v>
      </c>
      <c r="BC229" s="268">
        <f t="shared" si="362"/>
        <v>0</v>
      </c>
      <c r="BD229" s="13">
        <f t="shared" si="363"/>
        <v>0</v>
      </c>
      <c r="BE229" s="13">
        <f>SUMIFS(SALIDAS_BIT,FECHA_BIT,"&gt;="&amp;BE$2,FECHA_BIT,"&lt;="&amp;BE$3,CLAVE_BIT,$A229)+SUMIFS(SALIDAS_BOV1,FECHA_BOV1,"&gt;="&amp;BE$2,FECHA_BOV1,"&lt;="&amp;BE$3,CLAVE_BOV1,$A229)+SUMIFS(SALIDAS_BOV2,FECHA_BOV2,"&gt;="&amp;BE$2,FECHA_BOV2,"&lt;="&amp;BE$3,CLAVE_BOV2,$A229)+SUMIFS(SALIDAS_BOV3,FECHA_BOV3,"&gt;="&amp;BE$2,FECHA_BOV3,"&lt;="&amp;BE$3,CLAVE_BOV3,$A229)+SUMIFS(SALIDAS_TC,FECHA_TC,"&gt;="&amp;BE$2,FECHA_TC,"&lt;="&amp;BE$3,CLAVE_TC,$A229)+SUMIFS(SALIDAS_COMB,FECHA_COMB,"&gt;="&amp;BE$2,FECHA_COMB,"&lt;="&amp;BE$3,CLAVE_COMB,$A229)+SUMIFS(SALIDAS_DES,FECHA_DESGLOSEN,"&gt;="&amp;BE$2,FECHA_DESGLOSEN,"&lt;="&amp;BE$3,CLAVE_DESGLOSE,$A229)</f>
        <v>0</v>
      </c>
      <c r="BF229" s="13">
        <f>SUMIFS(SALIDAS_BIT,FECHA_BIT,"&gt;="&amp;BF$2,FECHA_BIT,"&lt;="&amp;BF$3,CLAVE_BIT,$A229)+SUMIFS(SALIDAS_BOV1,FECHA_BOV1,"&gt;="&amp;BF$2,FECHA_BOV1,"&lt;="&amp;BF$3,CLAVE_BOV1,$A229)+SUMIFS(SALIDAS_BOV2,FECHA_BOV2,"&gt;="&amp;BF$2,FECHA_BOV2,"&lt;="&amp;BF$3,CLAVE_BOV2,$A229)+SUMIFS(SALIDAS_BOV3,FECHA_BOV3,"&gt;="&amp;BF$2,FECHA_BOV3,"&lt;="&amp;BF$3,CLAVE_BOV3,$A229)+SUMIFS(SALIDAS_TC,FECHA_TC,"&gt;="&amp;BF$2,FECHA_TC,"&lt;="&amp;BF$3,CLAVE_TC,$A229)+SUMIFS(SALIDAS_COMB,FECHA_COMB,"&gt;="&amp;BF$2,FECHA_COMB,"&lt;="&amp;BF$3,CLAVE_COMB,$A229)+SUMIFS(SALIDAS_DES,FECHA_DESGLOSEN,"&gt;="&amp;BF$2,FECHA_DESGLOSEN,"&lt;="&amp;BF$3,CLAVE_DESGLOSE,$A229)</f>
        <v>0</v>
      </c>
      <c r="BG229" s="13">
        <f>SUMIFS(SALIDAS_BIT,FECHA_BIT,"&gt;="&amp;BG$2,FECHA_BIT,"&lt;="&amp;BG$3,CLAVE_BIT,$A229)+SUMIFS(SALIDAS_BOV1,FECHA_BOV1,"&gt;="&amp;BG$2,FECHA_BOV1,"&lt;="&amp;BG$3,CLAVE_BOV1,$A229)+SUMIFS(SALIDAS_BOV2,FECHA_BOV2,"&gt;="&amp;BG$2,FECHA_BOV2,"&lt;="&amp;BG$3,CLAVE_BOV2,$A229)+SUMIFS(SALIDAS_BOV3,FECHA_BOV3,"&gt;="&amp;BG$2,FECHA_BOV3,"&lt;="&amp;BG$3,CLAVE_BOV3,$A229)+SUMIFS(SALIDAS_TC,FECHA_TC,"&gt;="&amp;BG$2,FECHA_TC,"&lt;="&amp;BG$3,CLAVE_TC,$A229)+SUMIFS(SALIDAS_COMB,FECHA_COMB,"&gt;="&amp;BG$2,FECHA_COMB,"&lt;="&amp;BG$3,CLAVE_COMB,$A229)+SUMIFS(SALIDAS_DES,FECHA_DESGLOSEN,"&gt;="&amp;BG$2,FECHA_DESGLOSEN,"&lt;="&amp;BG$3,CLAVE_DESGLOSE,$A229)</f>
        <v>0</v>
      </c>
      <c r="BH229" s="13">
        <f>SUMIFS(SALIDAS_BIT,FECHA_BIT,"&gt;="&amp;BH$2,FECHA_BIT,"&lt;="&amp;BH$3,CLAVE_BIT,$A229)+SUMIFS(SALIDAS_BOV1,FECHA_BOV1,"&gt;="&amp;BH$2,FECHA_BOV1,"&lt;="&amp;BH$3,CLAVE_BOV1,$A229)+SUMIFS(SALIDAS_BOV2,FECHA_BOV2,"&gt;="&amp;BH$2,FECHA_BOV2,"&lt;="&amp;BH$3,CLAVE_BOV2,$A229)+SUMIFS(SALIDAS_BOV3,FECHA_BOV3,"&gt;="&amp;BH$2,FECHA_BOV3,"&lt;="&amp;BH$3,CLAVE_BOV3,$A229)+SUMIFS(SALIDAS_TC,FECHA_TC,"&gt;="&amp;BH$2,FECHA_TC,"&lt;="&amp;BH$3,CLAVE_TC,$A229)+SUMIFS(SALIDAS_COMB,FECHA_COMB,"&gt;="&amp;BH$2,FECHA_COMB,"&lt;="&amp;BH$3,CLAVE_COMB,$A229)+SUMIFS(SALIDAS_DES,FECHA_DESGLOSEN,"&gt;="&amp;BH$2,FECHA_DESGLOSEN,"&lt;="&amp;BH$3,CLAVE_DESGLOSE,$A229)</f>
        <v>0</v>
      </c>
      <c r="BI229" s="13">
        <f t="shared" si="311"/>
        <v>0</v>
      </c>
      <c r="BJ229" s="68">
        <f t="shared" si="364"/>
        <v>0</v>
      </c>
      <c r="BK229" s="268">
        <f t="shared" si="365"/>
        <v>0</v>
      </c>
      <c r="BL229" s="13">
        <f t="shared" si="366"/>
        <v>0</v>
      </c>
      <c r="BM229" s="13">
        <f>SUMIFS(SALIDAS_BIT,FECHA_BIT,"&gt;="&amp;BM$2,FECHA_BIT,"&lt;="&amp;BM$3,CLAVE_BIT,$A229)+SUMIFS(SALIDAS_BOV1,FECHA_BOV1,"&gt;="&amp;BM$2,FECHA_BOV1,"&lt;="&amp;BM$3,CLAVE_BOV1,$A229)+SUMIFS(SALIDAS_BOV2,FECHA_BOV2,"&gt;="&amp;BM$2,FECHA_BOV2,"&lt;="&amp;BM$3,CLAVE_BOV2,$A229)+SUMIFS(SALIDAS_BOV3,FECHA_BOV3,"&gt;="&amp;BM$2,FECHA_BOV3,"&lt;="&amp;BM$3,CLAVE_BOV3,$A229)+SUMIFS(SALIDAS_TC,FECHA_TC,"&gt;="&amp;BM$2,FECHA_TC,"&lt;="&amp;BM$3,CLAVE_TC,$A229)+SUMIFS(SALIDAS_COMB,FECHA_COMB,"&gt;="&amp;BM$2,FECHA_COMB,"&lt;="&amp;BM$3,CLAVE_COMB,$A229)+SUMIFS(SALIDAS_DES,FECHA_DESGLOSEN,"&gt;="&amp;BM$2,FECHA_DESGLOSEN,"&lt;="&amp;BM$3,CLAVE_DESGLOSE,$A229)</f>
        <v>0</v>
      </c>
      <c r="BN229" s="13">
        <f>SUMIFS(SALIDAS_BIT,FECHA_BIT,"&gt;="&amp;BN$2,FECHA_BIT,"&lt;="&amp;BN$3,CLAVE_BIT,$A229)+SUMIFS(SALIDAS_BOV1,FECHA_BOV1,"&gt;="&amp;BN$2,FECHA_BOV1,"&lt;="&amp;BN$3,CLAVE_BOV1,$A229)+SUMIFS(SALIDAS_BOV2,FECHA_BOV2,"&gt;="&amp;BN$2,FECHA_BOV2,"&lt;="&amp;BN$3,CLAVE_BOV2,$A229)+SUMIFS(SALIDAS_BOV3,FECHA_BOV3,"&gt;="&amp;BN$2,FECHA_BOV3,"&lt;="&amp;BN$3,CLAVE_BOV3,$A229)+SUMIFS(SALIDAS_TC,FECHA_TC,"&gt;="&amp;BN$2,FECHA_TC,"&lt;="&amp;BN$3,CLAVE_TC,$A229)+SUMIFS(SALIDAS_COMB,FECHA_COMB,"&gt;="&amp;BN$2,FECHA_COMB,"&lt;="&amp;BN$3,CLAVE_COMB,$A229)+SUMIFS(SALIDAS_DES,FECHA_DESGLOSEN,"&gt;="&amp;BN$2,FECHA_DESGLOSEN,"&lt;="&amp;BN$3,CLAVE_DESGLOSE,$A229)</f>
        <v>0</v>
      </c>
      <c r="BO229" s="13">
        <f>SUMIFS(SALIDAS_BIT,FECHA_BIT,"&gt;="&amp;BO$2,FECHA_BIT,"&lt;="&amp;BO$3,CLAVE_BIT,$A229)+SUMIFS(SALIDAS_BOV1,FECHA_BOV1,"&gt;="&amp;BO$2,FECHA_BOV1,"&lt;="&amp;BO$3,CLAVE_BOV1,$A229)+SUMIFS(SALIDAS_BOV2,FECHA_BOV2,"&gt;="&amp;BO$2,FECHA_BOV2,"&lt;="&amp;BO$3,CLAVE_BOV2,$A229)+SUMIFS(SALIDAS_BOV3,FECHA_BOV3,"&gt;="&amp;BO$2,FECHA_BOV3,"&lt;="&amp;BO$3,CLAVE_BOV3,$A229)+SUMIFS(SALIDAS_TC,FECHA_TC,"&gt;="&amp;BO$2,FECHA_TC,"&lt;="&amp;BO$3,CLAVE_TC,$A229)+SUMIFS(SALIDAS_COMB,FECHA_COMB,"&gt;="&amp;BO$2,FECHA_COMB,"&lt;="&amp;BO$3,CLAVE_COMB,$A229)+SUMIFS(SALIDAS_DES,FECHA_DESGLOSEN,"&gt;="&amp;BO$2,FECHA_DESGLOSEN,"&lt;="&amp;BO$3,CLAVE_DESGLOSE,$A229)</f>
        <v>0</v>
      </c>
      <c r="BP229" s="13">
        <f>SUMIFS(SALIDAS_BIT,FECHA_BIT,"&gt;="&amp;BP$2,FECHA_BIT,"&lt;="&amp;BP$3,CLAVE_BIT,$A229)+SUMIFS(SALIDAS_BOV1,FECHA_BOV1,"&gt;="&amp;BP$2,FECHA_BOV1,"&lt;="&amp;BP$3,CLAVE_BOV1,$A229)+SUMIFS(SALIDAS_BOV2,FECHA_BOV2,"&gt;="&amp;BP$2,FECHA_BOV2,"&lt;="&amp;BP$3,CLAVE_BOV2,$A229)+SUMIFS(SALIDAS_BOV3,FECHA_BOV3,"&gt;="&amp;BP$2,FECHA_BOV3,"&lt;="&amp;BP$3,CLAVE_BOV3,$A229)+SUMIFS(SALIDAS_TC,FECHA_TC,"&gt;="&amp;BP$2,FECHA_TC,"&lt;="&amp;BP$3,CLAVE_TC,$A229)+SUMIFS(SALIDAS_COMB,FECHA_COMB,"&gt;="&amp;BP$2,FECHA_COMB,"&lt;="&amp;BP$3,CLAVE_COMB,$A229)+SUMIFS(SALIDAS_DES,FECHA_DESGLOSEN,"&gt;="&amp;BP$2,FECHA_DESGLOSEN,"&lt;="&amp;BP$3,CLAVE_DESGLOSE,$A229)</f>
        <v>0</v>
      </c>
      <c r="BQ229" s="13">
        <f>SUMIFS(SALIDAS_BIT,FECHA_BIT,"&gt;="&amp;BQ$2,FECHA_BIT,"&lt;="&amp;BQ$3,CLAVE_BIT,$A229)+SUMIFS(SALIDAS_BOV1,FECHA_BOV1,"&gt;="&amp;BQ$2,FECHA_BOV1,"&lt;="&amp;BQ$3,CLAVE_BOV1,$A229)+SUMIFS(SALIDAS_BOV2,FECHA_BOV2,"&gt;="&amp;BQ$2,FECHA_BOV2,"&lt;="&amp;BQ$3,CLAVE_BOV2,$A229)+SUMIFS(SALIDAS_BOV3,FECHA_BOV3,"&gt;="&amp;BQ$2,FECHA_BOV3,"&lt;="&amp;BQ$3,CLAVE_BOV3,$A229)+SUMIFS(SALIDAS_TC,FECHA_TC,"&gt;="&amp;BQ$2,FECHA_TC,"&lt;="&amp;BQ$3,CLAVE_TC,$A229)+SUMIFS(SALIDAS_COMB,FECHA_COMB,"&gt;="&amp;BQ$2,FECHA_COMB,"&lt;="&amp;BQ$3,CLAVE_COMB,$A229)+SUMIFS(SALIDAS_DES,FECHA_DESGLOSEN,"&gt;="&amp;BQ$2,FECHA_DESGLOSEN,"&lt;="&amp;BQ$3,CLAVE_DESGLOSE,$A229)</f>
        <v>0</v>
      </c>
      <c r="BR229" s="13">
        <f t="shared" si="406"/>
        <v>0</v>
      </c>
      <c r="BS229" s="68">
        <f t="shared" si="367"/>
        <v>0</v>
      </c>
      <c r="BT229" s="268">
        <f t="shared" si="368"/>
        <v>0</v>
      </c>
      <c r="BU229" s="13">
        <f t="shared" si="369"/>
        <v>11000</v>
      </c>
      <c r="BV229" s="13">
        <f t="shared" si="389"/>
        <v>0</v>
      </c>
      <c r="BW229" s="13">
        <f t="shared" si="389"/>
        <v>10914</v>
      </c>
      <c r="BX229" s="13">
        <f t="shared" si="389"/>
        <v>0</v>
      </c>
      <c r="BY229" s="13">
        <f t="shared" si="389"/>
        <v>0</v>
      </c>
      <c r="BZ229" s="13">
        <f t="shared" si="407"/>
        <v>10914</v>
      </c>
      <c r="CA229" s="68">
        <f t="shared" si="370"/>
        <v>86</v>
      </c>
      <c r="CB229" s="268">
        <f t="shared" si="371"/>
        <v>0.99218181818181816</v>
      </c>
      <c r="CC229" s="13">
        <f t="shared" si="372"/>
        <v>0</v>
      </c>
      <c r="CD229" s="13">
        <f t="shared" si="390"/>
        <v>0</v>
      </c>
      <c r="CE229" s="13">
        <f t="shared" si="390"/>
        <v>0</v>
      </c>
      <c r="CF229" s="13">
        <f t="shared" si="390"/>
        <v>0</v>
      </c>
      <c r="CG229" s="13">
        <f t="shared" si="390"/>
        <v>0</v>
      </c>
      <c r="CH229" s="13">
        <f t="shared" si="408"/>
        <v>0</v>
      </c>
      <c r="CI229" s="68">
        <f t="shared" si="373"/>
        <v>0</v>
      </c>
      <c r="CJ229" s="268">
        <f t="shared" si="374"/>
        <v>0</v>
      </c>
      <c r="CK229" s="13">
        <f t="shared" si="375"/>
        <v>11000</v>
      </c>
      <c r="CL229" s="13">
        <f t="shared" si="400"/>
        <v>0</v>
      </c>
      <c r="CM229" s="13">
        <f t="shared" si="400"/>
        <v>0</v>
      </c>
      <c r="CN229" s="13">
        <f t="shared" si="400"/>
        <v>0</v>
      </c>
      <c r="CO229" s="13">
        <f t="shared" si="400"/>
        <v>0</v>
      </c>
      <c r="CP229" s="13">
        <f t="shared" si="400"/>
        <v>0</v>
      </c>
      <c r="CQ229" s="13">
        <f t="shared" si="409"/>
        <v>0</v>
      </c>
      <c r="CR229" s="68">
        <f t="shared" si="376"/>
        <v>11000</v>
      </c>
      <c r="CS229" s="268">
        <f t="shared" si="377"/>
        <v>0</v>
      </c>
      <c r="CT229" s="68">
        <f t="shared" si="350"/>
        <v>0</v>
      </c>
      <c r="CU229" s="13">
        <f>SUMIFS(SALIDAS_BIT,FECHA_BIT,"&gt;="&amp;CU$2,FECHA_BIT,"&lt;="&amp;CU$3,CLAVE_BIT,$A229)+SUMIFS(SALIDAS_BOV1,FECHA_BOV1,"&gt;="&amp;CU$2,FECHA_BOV1,"&lt;="&amp;CU$3,CLAVE_BOV1,$A229)+SUMIFS(SALIDAS_BOV2,FECHA_BOV2,"&gt;="&amp;CU$2,FECHA_BOV2,"&lt;="&amp;CU$3,CLAVE_BOV2,$A229)+SUMIFS(SALIDAS_BOV3,FECHA_BOV3,"&gt;="&amp;CU$2,FECHA_BOV3,"&lt;="&amp;CU$3,CLAVE_BOV3,$A229)+SUMIFS(SALIDAS_TC,FECHA_TC,"&gt;="&amp;CU$2,FECHA_TC,"&lt;="&amp;CU$3,CLAVE_TC,$A229)+SUMIFS(SALIDAS_COMB,FECHA_COMB,"&gt;="&amp;CU$2,FECHA_COMB,"&lt;="&amp;CU$3,CLAVE_COMB,$A229)+SUMIFS(SALIDAS_DES,FECHA_DESGLOSEN,"&gt;="&amp;CU$2,FECHA_DESGLOSEN,"&lt;="&amp;CU$3,CLAVE_DESGLOSE,$A229)</f>
        <v>10914</v>
      </c>
      <c r="CV229" s="13">
        <f>SUMIFS(SALIDAS_BIT,FECHA_BIT,"&gt;="&amp;CV$2,FECHA_BIT,"&lt;="&amp;CV$3,CLAVE_BIT,$A229)+SUMIFS(SALIDAS_BOV1,FECHA_BOV1,"&gt;="&amp;CV$2,FECHA_BOV1,"&lt;="&amp;CV$3,CLAVE_BOV1,$A229)+SUMIFS(SALIDAS_BOV2,FECHA_BOV2,"&gt;="&amp;CV$2,FECHA_BOV2,"&lt;="&amp;CV$3,CLAVE_BOV2,$A229)+SUMIFS(SALIDAS_BOV3,FECHA_BOV3,"&gt;="&amp;CV$2,FECHA_BOV3,"&lt;="&amp;CV$3,CLAVE_BOV3,$A229)+SUMIFS(SALIDAS_TC,FECHA_TC,"&gt;="&amp;CV$2,FECHA_TC,"&lt;="&amp;CV$3,CLAVE_TC,$A229)+SUMIFS(SALIDAS_COMB,FECHA_COMB,"&gt;="&amp;CV$2,FECHA_COMB,"&lt;="&amp;CV$3,CLAVE_COMB,$A229)+SUMIFS(SALIDAS_DES,FECHA_DESGLOSEN,"&gt;="&amp;CV$2,FECHA_DESGLOSEN,"&lt;="&amp;CV$3,CLAVE_DESGLOSE,$A229)</f>
        <v>0</v>
      </c>
      <c r="CW229" s="13">
        <f>SUMIFS(SALIDAS_BIT,FECHA_BIT,"&gt;="&amp;CW$2,FECHA_BIT,"&lt;="&amp;CW$3,CLAVE_BIT,$A229)+SUMIFS(SALIDAS_BOV1,FECHA_BOV1,"&gt;="&amp;CW$2,FECHA_BOV1,"&lt;="&amp;CW$3,CLAVE_BOV1,$A229)+SUMIFS(SALIDAS_BOV2,FECHA_BOV2,"&gt;="&amp;CW$2,FECHA_BOV2,"&lt;="&amp;CW$3,CLAVE_BOV2,$A229)+SUMIFS(SALIDAS_BOV3,FECHA_BOV3,"&gt;="&amp;CW$2,FECHA_BOV3,"&lt;="&amp;CW$3,CLAVE_BOV3,$A229)+SUMIFS(SALIDAS_TC,FECHA_TC,"&gt;="&amp;CW$2,FECHA_TC,"&lt;="&amp;CW$3,CLAVE_TC,$A229)+SUMIFS(SALIDAS_COMB,FECHA_COMB,"&gt;="&amp;CW$2,FECHA_COMB,"&lt;="&amp;CW$3,CLAVE_COMB,$A229)+SUMIFS(SALIDAS_DES,FECHA_DESGLOSEN,"&gt;="&amp;CW$2,FECHA_DESGLOSEN,"&lt;="&amp;CW$3,CLAVE_DESGLOSE,$A229)</f>
        <v>0</v>
      </c>
      <c r="CX229" s="13">
        <f>SUMIFS(SALIDAS_BIT,FECHA_BIT,"&gt;="&amp;CX$2,FECHA_BIT,"&lt;="&amp;CX$3,CLAVE_BIT,$A229)+SUMIFS(SALIDAS_BOV1,FECHA_BOV1,"&gt;="&amp;CX$2,FECHA_BOV1,"&lt;="&amp;CX$3,CLAVE_BOV1,$A229)+SUMIFS(SALIDAS_BOV2,FECHA_BOV2,"&gt;="&amp;CX$2,FECHA_BOV2,"&lt;="&amp;CX$3,CLAVE_BOV2,$A229)+SUMIFS(SALIDAS_BOV3,FECHA_BOV3,"&gt;="&amp;CX$2,FECHA_BOV3,"&lt;="&amp;CX$3,CLAVE_BOV3,$A229)+SUMIFS(SALIDAS_TC,FECHA_TC,"&gt;="&amp;CX$2,FECHA_TC,"&lt;="&amp;CX$3,CLAVE_TC,$A229)+SUMIFS(SALIDAS_COMB,FECHA_COMB,"&gt;="&amp;CX$2,FECHA_COMB,"&lt;="&amp;CX$3,CLAVE_COMB,$A229)+SUMIFS(SALIDAS_DES,FECHA_DESGLOSEN,"&gt;="&amp;CX$2,FECHA_DESGLOSEN,"&lt;="&amp;CX$3,CLAVE_DESGLOSE,$A229)</f>
        <v>0</v>
      </c>
      <c r="CY229" s="13">
        <f>SUMIFS(SALIDAS_BIT,FECHA_BIT,"&gt;="&amp;CY$2,FECHA_BIT,"&lt;="&amp;CY$3,CLAVE_BIT,$A229)+SUMIFS(SALIDAS_BOV1,FECHA_BOV1,"&gt;="&amp;CY$2,FECHA_BOV1,"&lt;="&amp;CY$3,CLAVE_BOV1,$A229)+SUMIFS(SALIDAS_BOV2,FECHA_BOV2,"&gt;="&amp;CY$2,FECHA_BOV2,"&lt;="&amp;CY$3,CLAVE_BOV2,$A229)+SUMIFS(SALIDAS_BOV3,FECHA_BOV3,"&gt;="&amp;CY$2,FECHA_BOV3,"&lt;="&amp;CY$3,CLAVE_BOV3,$A229)+SUMIFS(SALIDAS_TC,FECHA_TC,"&gt;="&amp;CY$2,FECHA_TC,"&lt;="&amp;CY$3,CLAVE_TC,$A229)+SUMIFS(SALIDAS_COMB,FECHA_COMB,"&gt;="&amp;CY$2,FECHA_COMB,"&lt;="&amp;CY$3,CLAVE_COMB,$A229)+SUMIFS(SALIDAS_DES,FECHA_DESGLOSEN,"&gt;="&amp;CY$2,FECHA_DESGLOSEN,"&lt;="&amp;CY$3,CLAVE_DESGLOSE,$A229)</f>
        <v>10914</v>
      </c>
      <c r="CZ229" s="68">
        <f t="shared" si="378"/>
        <v>-10914</v>
      </c>
      <c r="DB229" s="17">
        <f>F229+N229+W229+AE229+AM229+AV229+BD229+BL229+BU229+CC229+CK229</f>
        <v>44000</v>
      </c>
      <c r="DC229" s="17">
        <f>K229+T229+AB229+AJ229+AS229+BA229+BI229+BR229+BZ229+CH229+CQ229</f>
        <v>33132</v>
      </c>
    </row>
    <row r="230" spans="1:107" hidden="1">
      <c r="A230" s="12" t="str">
        <f t="shared" si="351"/>
        <v>FINANZASINSUMOSFINANZAS</v>
      </c>
      <c r="B230" s="482">
        <v>232</v>
      </c>
      <c r="C230" t="s">
        <v>23</v>
      </c>
      <c r="D230" s="12" t="s">
        <v>133</v>
      </c>
      <c r="E230" s="12" t="s">
        <v>23</v>
      </c>
      <c r="F230" s="259">
        <f t="shared" si="344"/>
        <v>800</v>
      </c>
      <c r="G230" s="13">
        <f t="shared" si="401"/>
        <v>0</v>
      </c>
      <c r="H230" s="13">
        <f t="shared" si="401"/>
        <v>872</v>
      </c>
      <c r="I230" s="13">
        <f t="shared" si="401"/>
        <v>40</v>
      </c>
      <c r="J230" s="13">
        <f t="shared" si="401"/>
        <v>0</v>
      </c>
      <c r="K230" s="13">
        <f t="shared" si="401"/>
        <v>912</v>
      </c>
      <c r="L230" s="68">
        <f t="shared" si="352"/>
        <v>-112</v>
      </c>
      <c r="M230" s="268">
        <f t="shared" si="353"/>
        <v>1.1399999999999999</v>
      </c>
      <c r="N230" s="13">
        <f t="shared" si="345"/>
        <v>800</v>
      </c>
      <c r="O230" s="13">
        <f t="shared" si="402"/>
        <v>0</v>
      </c>
      <c r="P230" s="13">
        <f t="shared" si="402"/>
        <v>0</v>
      </c>
      <c r="Q230" s="13">
        <f t="shared" si="402"/>
        <v>0</v>
      </c>
      <c r="R230" s="13">
        <f t="shared" si="402"/>
        <v>492</v>
      </c>
      <c r="S230" s="13">
        <f t="shared" si="402"/>
        <v>0</v>
      </c>
      <c r="T230" s="13">
        <f t="shared" si="402"/>
        <v>492</v>
      </c>
      <c r="U230" s="68">
        <f t="shared" si="354"/>
        <v>308</v>
      </c>
      <c r="V230" s="268">
        <f t="shared" si="355"/>
        <v>0.61499999999999999</v>
      </c>
      <c r="W230" s="13">
        <f t="shared" si="346"/>
        <v>800</v>
      </c>
      <c r="X230" s="13">
        <f t="shared" si="403"/>
        <v>0</v>
      </c>
      <c r="Y230" s="13">
        <f t="shared" si="403"/>
        <v>1339</v>
      </c>
      <c r="Z230" s="13">
        <f t="shared" si="403"/>
        <v>84</v>
      </c>
      <c r="AA230" s="13">
        <f t="shared" si="403"/>
        <v>0</v>
      </c>
      <c r="AB230" s="13">
        <f t="shared" si="403"/>
        <v>1423</v>
      </c>
      <c r="AC230" s="68">
        <f t="shared" si="356"/>
        <v>-623</v>
      </c>
      <c r="AD230" s="268">
        <f t="shared" si="357"/>
        <v>1.7787500000000001</v>
      </c>
      <c r="AE230" s="13">
        <f t="shared" si="347"/>
        <v>800</v>
      </c>
      <c r="AF230" s="13">
        <f t="shared" si="404"/>
        <v>965</v>
      </c>
      <c r="AG230" s="13">
        <f t="shared" si="404"/>
        <v>37</v>
      </c>
      <c r="AH230" s="13">
        <f t="shared" si="404"/>
        <v>0</v>
      </c>
      <c r="AI230" s="13">
        <f t="shared" si="404"/>
        <v>2500</v>
      </c>
      <c r="AJ230" s="13">
        <f t="shared" si="404"/>
        <v>3502</v>
      </c>
      <c r="AK230" s="68">
        <f t="shared" si="358"/>
        <v>-2702</v>
      </c>
      <c r="AL230" s="268">
        <f t="shared" si="359"/>
        <v>4.3775000000000004</v>
      </c>
      <c r="AM230" s="13">
        <f t="shared" si="348"/>
        <v>800</v>
      </c>
      <c r="AN230" s="13">
        <f t="shared" si="405"/>
        <v>1120</v>
      </c>
      <c r="AO230" s="13">
        <f t="shared" si="405"/>
        <v>0</v>
      </c>
      <c r="AP230" s="13">
        <f t="shared" si="405"/>
        <v>0</v>
      </c>
      <c r="AQ230" s="13">
        <f t="shared" si="405"/>
        <v>2500</v>
      </c>
      <c r="AR230" s="13">
        <f t="shared" si="405"/>
        <v>578</v>
      </c>
      <c r="AS230" s="13">
        <f t="shared" si="405"/>
        <v>4198</v>
      </c>
      <c r="AT230" s="68">
        <f>AM230-AS230</f>
        <v>-3398</v>
      </c>
      <c r="AU230" s="268">
        <f t="shared" si="360"/>
        <v>5.2474999999999996</v>
      </c>
      <c r="AV230" s="13">
        <f t="shared" si="349"/>
        <v>800</v>
      </c>
      <c r="AW230" s="13">
        <f t="shared" si="323"/>
        <v>410</v>
      </c>
      <c r="AX230" s="13">
        <f t="shared" si="323"/>
        <v>0</v>
      </c>
      <c r="AY230" s="13">
        <f t="shared" si="323"/>
        <v>1000</v>
      </c>
      <c r="AZ230" s="13">
        <f t="shared" si="323"/>
        <v>0</v>
      </c>
      <c r="BA230" s="13">
        <f t="shared" si="379"/>
        <v>1410</v>
      </c>
      <c r="BB230" s="68">
        <f t="shared" si="361"/>
        <v>-610</v>
      </c>
      <c r="BC230" s="268">
        <f t="shared" si="362"/>
        <v>1.7625</v>
      </c>
      <c r="BD230" s="13">
        <f t="shared" si="363"/>
        <v>800</v>
      </c>
      <c r="BE230" s="13">
        <f>SUMIFS(SALIDAS_BIT,FECHA_BIT,"&gt;="&amp;BE$2,FECHA_BIT,"&lt;="&amp;BE$3,CLAVE_BIT,$A230)+SUMIFS(SALIDAS_BOV1,FECHA_BOV1,"&gt;="&amp;BE$2,FECHA_BOV1,"&lt;="&amp;BE$3,CLAVE_BOV1,$A230)+SUMIFS(SALIDAS_BOV2,FECHA_BOV2,"&gt;="&amp;BE$2,FECHA_BOV2,"&lt;="&amp;BE$3,CLAVE_BOV2,$A230)+SUMIFS(SALIDAS_BOV3,FECHA_BOV3,"&gt;="&amp;BE$2,FECHA_BOV3,"&lt;="&amp;BE$3,CLAVE_BOV3,$A230)+SUMIFS(SALIDAS_TC,FECHA_TC,"&gt;="&amp;BE$2,FECHA_TC,"&lt;="&amp;BE$3,CLAVE_TC,$A230)+SUMIFS(SALIDAS_COMB,FECHA_COMB,"&gt;="&amp;BE$2,FECHA_COMB,"&lt;="&amp;BE$3,CLAVE_COMB,$A230)+SUMIFS(SALIDAS_DES,FECHA_DESGLOSEN,"&gt;="&amp;BE$2,FECHA_DESGLOSEN,"&lt;="&amp;BE$3,CLAVE_DESGLOSE,$A230)</f>
        <v>79</v>
      </c>
      <c r="BF230" s="13">
        <f>SUMIFS(SALIDAS_BIT,FECHA_BIT,"&gt;="&amp;BF$2,FECHA_BIT,"&lt;="&amp;BF$3,CLAVE_BIT,$A230)+SUMIFS(SALIDAS_BOV1,FECHA_BOV1,"&gt;="&amp;BF$2,FECHA_BOV1,"&lt;="&amp;BF$3,CLAVE_BOV1,$A230)+SUMIFS(SALIDAS_BOV2,FECHA_BOV2,"&gt;="&amp;BF$2,FECHA_BOV2,"&lt;="&amp;BF$3,CLAVE_BOV2,$A230)+SUMIFS(SALIDAS_BOV3,FECHA_BOV3,"&gt;="&amp;BF$2,FECHA_BOV3,"&lt;="&amp;BF$3,CLAVE_BOV3,$A230)+SUMIFS(SALIDAS_TC,FECHA_TC,"&gt;="&amp;BF$2,FECHA_TC,"&lt;="&amp;BF$3,CLAVE_TC,$A230)+SUMIFS(SALIDAS_COMB,FECHA_COMB,"&gt;="&amp;BF$2,FECHA_COMB,"&lt;="&amp;BF$3,CLAVE_COMB,$A230)+SUMIFS(SALIDAS_DES,FECHA_DESGLOSEN,"&gt;="&amp;BF$2,FECHA_DESGLOSEN,"&lt;="&amp;BF$3,CLAVE_DESGLOSE,$A230)</f>
        <v>1890</v>
      </c>
      <c r="BG230" s="13">
        <f>SUMIFS(SALIDAS_BIT,FECHA_BIT,"&gt;="&amp;BG$2,FECHA_BIT,"&lt;="&amp;BG$3,CLAVE_BIT,$A230)+SUMIFS(SALIDAS_BOV1,FECHA_BOV1,"&gt;="&amp;BG$2,FECHA_BOV1,"&lt;="&amp;BG$3,CLAVE_BOV1,$A230)+SUMIFS(SALIDAS_BOV2,FECHA_BOV2,"&gt;="&amp;BG$2,FECHA_BOV2,"&lt;="&amp;BG$3,CLAVE_BOV2,$A230)+SUMIFS(SALIDAS_BOV3,FECHA_BOV3,"&gt;="&amp;BG$2,FECHA_BOV3,"&lt;="&amp;BG$3,CLAVE_BOV3,$A230)+SUMIFS(SALIDAS_TC,FECHA_TC,"&gt;="&amp;BG$2,FECHA_TC,"&lt;="&amp;BG$3,CLAVE_TC,$A230)+SUMIFS(SALIDAS_COMB,FECHA_COMB,"&gt;="&amp;BG$2,FECHA_COMB,"&lt;="&amp;BG$3,CLAVE_COMB,$A230)+SUMIFS(SALIDAS_DES,FECHA_DESGLOSEN,"&gt;="&amp;BG$2,FECHA_DESGLOSEN,"&lt;="&amp;BG$3,CLAVE_DESGLOSE,$A230)</f>
        <v>0</v>
      </c>
      <c r="BH230" s="13">
        <f>SUMIFS(SALIDAS_BIT,FECHA_BIT,"&gt;="&amp;BH$2,FECHA_BIT,"&lt;="&amp;BH$3,CLAVE_BIT,$A230)+SUMIFS(SALIDAS_BOV1,FECHA_BOV1,"&gt;="&amp;BH$2,FECHA_BOV1,"&lt;="&amp;BH$3,CLAVE_BOV1,$A230)+SUMIFS(SALIDAS_BOV2,FECHA_BOV2,"&gt;="&amp;BH$2,FECHA_BOV2,"&lt;="&amp;BH$3,CLAVE_BOV2,$A230)+SUMIFS(SALIDAS_BOV3,FECHA_BOV3,"&gt;="&amp;BH$2,FECHA_BOV3,"&lt;="&amp;BH$3,CLAVE_BOV3,$A230)+SUMIFS(SALIDAS_TC,FECHA_TC,"&gt;="&amp;BH$2,FECHA_TC,"&lt;="&amp;BH$3,CLAVE_TC,$A230)+SUMIFS(SALIDAS_COMB,FECHA_COMB,"&gt;="&amp;BH$2,FECHA_COMB,"&lt;="&amp;BH$3,CLAVE_COMB,$A230)+SUMIFS(SALIDAS_DES,FECHA_DESGLOSEN,"&gt;="&amp;BH$2,FECHA_DESGLOSEN,"&lt;="&amp;BH$3,CLAVE_DESGLOSE,$A230)</f>
        <v>116</v>
      </c>
      <c r="BI230" s="13">
        <f t="shared" si="311"/>
        <v>2085</v>
      </c>
      <c r="BJ230" s="68">
        <f t="shared" si="364"/>
        <v>-1285</v>
      </c>
      <c r="BK230" s="268">
        <f t="shared" si="365"/>
        <v>2.6062500000000002</v>
      </c>
      <c r="BL230" s="13">
        <f t="shared" si="366"/>
        <v>800</v>
      </c>
      <c r="BM230" s="13">
        <f>SUMIFS(SALIDAS_BIT,FECHA_BIT,"&gt;="&amp;BM$2,FECHA_BIT,"&lt;="&amp;BM$3,CLAVE_BIT,$A230)+SUMIFS(SALIDAS_BOV1,FECHA_BOV1,"&gt;="&amp;BM$2,FECHA_BOV1,"&lt;="&amp;BM$3,CLAVE_BOV1,$A230)+SUMIFS(SALIDAS_BOV2,FECHA_BOV2,"&gt;="&amp;BM$2,FECHA_BOV2,"&lt;="&amp;BM$3,CLAVE_BOV2,$A230)+SUMIFS(SALIDAS_BOV3,FECHA_BOV3,"&gt;="&amp;BM$2,FECHA_BOV3,"&lt;="&amp;BM$3,CLAVE_BOV3,$A230)+SUMIFS(SALIDAS_TC,FECHA_TC,"&gt;="&amp;BM$2,FECHA_TC,"&lt;="&amp;BM$3,CLAVE_TC,$A230)+SUMIFS(SALIDAS_COMB,FECHA_COMB,"&gt;="&amp;BM$2,FECHA_COMB,"&lt;="&amp;BM$3,CLAVE_COMB,$A230)+SUMIFS(SALIDAS_DES,FECHA_DESGLOSEN,"&gt;="&amp;BM$2,FECHA_DESGLOSEN,"&lt;="&amp;BM$3,CLAVE_DESGLOSE,$A230)</f>
        <v>0</v>
      </c>
      <c r="BN230" s="13">
        <f>SUMIFS(SALIDAS_BIT,FECHA_BIT,"&gt;="&amp;BN$2,FECHA_BIT,"&lt;="&amp;BN$3,CLAVE_BIT,$A230)+SUMIFS(SALIDAS_BOV1,FECHA_BOV1,"&gt;="&amp;BN$2,FECHA_BOV1,"&lt;="&amp;BN$3,CLAVE_BOV1,$A230)+SUMIFS(SALIDAS_BOV2,FECHA_BOV2,"&gt;="&amp;BN$2,FECHA_BOV2,"&lt;="&amp;BN$3,CLAVE_BOV2,$A230)+SUMIFS(SALIDAS_BOV3,FECHA_BOV3,"&gt;="&amp;BN$2,FECHA_BOV3,"&lt;="&amp;BN$3,CLAVE_BOV3,$A230)+SUMIFS(SALIDAS_TC,FECHA_TC,"&gt;="&amp;BN$2,FECHA_TC,"&lt;="&amp;BN$3,CLAVE_TC,$A230)+SUMIFS(SALIDAS_COMB,FECHA_COMB,"&gt;="&amp;BN$2,FECHA_COMB,"&lt;="&amp;BN$3,CLAVE_COMB,$A230)+SUMIFS(SALIDAS_DES,FECHA_DESGLOSEN,"&gt;="&amp;BN$2,FECHA_DESGLOSEN,"&lt;="&amp;BN$3,CLAVE_DESGLOSE,$A230)</f>
        <v>0</v>
      </c>
      <c r="BO230" s="13">
        <f>SUMIFS(SALIDAS_BIT,FECHA_BIT,"&gt;="&amp;BO$2,FECHA_BIT,"&lt;="&amp;BO$3,CLAVE_BIT,$A230)+SUMIFS(SALIDAS_BOV1,FECHA_BOV1,"&gt;="&amp;BO$2,FECHA_BOV1,"&lt;="&amp;BO$3,CLAVE_BOV1,$A230)+SUMIFS(SALIDAS_BOV2,FECHA_BOV2,"&gt;="&amp;BO$2,FECHA_BOV2,"&lt;="&amp;BO$3,CLAVE_BOV2,$A230)+SUMIFS(SALIDAS_BOV3,FECHA_BOV3,"&gt;="&amp;BO$2,FECHA_BOV3,"&lt;="&amp;BO$3,CLAVE_BOV3,$A230)+SUMIFS(SALIDAS_TC,FECHA_TC,"&gt;="&amp;BO$2,FECHA_TC,"&lt;="&amp;BO$3,CLAVE_TC,$A230)+SUMIFS(SALIDAS_COMB,FECHA_COMB,"&gt;="&amp;BO$2,FECHA_COMB,"&lt;="&amp;BO$3,CLAVE_COMB,$A230)+SUMIFS(SALIDAS_DES,FECHA_DESGLOSEN,"&gt;="&amp;BO$2,FECHA_DESGLOSEN,"&lt;="&amp;BO$3,CLAVE_DESGLOSE,$A230)</f>
        <v>511</v>
      </c>
      <c r="BP230" s="13">
        <f>SUMIFS(SALIDAS_BIT,FECHA_BIT,"&gt;="&amp;BP$2,FECHA_BIT,"&lt;="&amp;BP$3,CLAVE_BIT,$A230)+SUMIFS(SALIDAS_BOV1,FECHA_BOV1,"&gt;="&amp;BP$2,FECHA_BOV1,"&lt;="&amp;BP$3,CLAVE_BOV1,$A230)+SUMIFS(SALIDAS_BOV2,FECHA_BOV2,"&gt;="&amp;BP$2,FECHA_BOV2,"&lt;="&amp;BP$3,CLAVE_BOV2,$A230)+SUMIFS(SALIDAS_BOV3,FECHA_BOV3,"&gt;="&amp;BP$2,FECHA_BOV3,"&lt;="&amp;BP$3,CLAVE_BOV3,$A230)+SUMIFS(SALIDAS_TC,FECHA_TC,"&gt;="&amp;BP$2,FECHA_TC,"&lt;="&amp;BP$3,CLAVE_TC,$A230)+SUMIFS(SALIDAS_COMB,FECHA_COMB,"&gt;="&amp;BP$2,FECHA_COMB,"&lt;="&amp;BP$3,CLAVE_COMB,$A230)+SUMIFS(SALIDAS_DES,FECHA_DESGLOSEN,"&gt;="&amp;BP$2,FECHA_DESGLOSEN,"&lt;="&amp;BP$3,CLAVE_DESGLOSE,$A230)</f>
        <v>79</v>
      </c>
      <c r="BQ230" s="13">
        <f>SUMIFS(SALIDAS_BIT,FECHA_BIT,"&gt;="&amp;BQ$2,FECHA_BIT,"&lt;="&amp;BQ$3,CLAVE_BIT,$A230)+SUMIFS(SALIDAS_BOV1,FECHA_BOV1,"&gt;="&amp;BQ$2,FECHA_BOV1,"&lt;="&amp;BQ$3,CLAVE_BOV1,$A230)+SUMIFS(SALIDAS_BOV2,FECHA_BOV2,"&gt;="&amp;BQ$2,FECHA_BOV2,"&lt;="&amp;BQ$3,CLAVE_BOV2,$A230)+SUMIFS(SALIDAS_BOV3,FECHA_BOV3,"&gt;="&amp;BQ$2,FECHA_BOV3,"&lt;="&amp;BQ$3,CLAVE_BOV3,$A230)+SUMIFS(SALIDAS_TC,FECHA_TC,"&gt;="&amp;BQ$2,FECHA_TC,"&lt;="&amp;BQ$3,CLAVE_TC,$A230)+SUMIFS(SALIDAS_COMB,FECHA_COMB,"&gt;="&amp;BQ$2,FECHA_COMB,"&lt;="&amp;BQ$3,CLAVE_COMB,$A230)+SUMIFS(SALIDAS_DES,FECHA_DESGLOSEN,"&gt;="&amp;BQ$2,FECHA_DESGLOSEN,"&lt;="&amp;BQ$3,CLAVE_DESGLOSE,$A230)</f>
        <v>0</v>
      </c>
      <c r="BR230" s="13">
        <f t="shared" si="406"/>
        <v>590</v>
      </c>
      <c r="BS230" s="68">
        <f t="shared" si="367"/>
        <v>210</v>
      </c>
      <c r="BT230" s="268">
        <f t="shared" si="368"/>
        <v>0.73750000000000004</v>
      </c>
      <c r="BU230" s="13">
        <f t="shared" si="369"/>
        <v>800</v>
      </c>
      <c r="BV230" s="13">
        <f t="shared" si="389"/>
        <v>550</v>
      </c>
      <c r="BW230" s="13">
        <f t="shared" si="389"/>
        <v>0</v>
      </c>
      <c r="BX230" s="13">
        <f t="shared" si="389"/>
        <v>116</v>
      </c>
      <c r="BY230" s="13">
        <f t="shared" si="389"/>
        <v>3000</v>
      </c>
      <c r="BZ230" s="13">
        <f t="shared" si="407"/>
        <v>3666</v>
      </c>
      <c r="CA230" s="68">
        <f t="shared" si="370"/>
        <v>-2866</v>
      </c>
      <c r="CB230" s="268">
        <f t="shared" si="371"/>
        <v>4.5824999999999996</v>
      </c>
      <c r="CC230" s="13">
        <f t="shared" si="372"/>
        <v>800</v>
      </c>
      <c r="CD230" s="13">
        <f t="shared" si="390"/>
        <v>699</v>
      </c>
      <c r="CE230" s="13">
        <f t="shared" si="390"/>
        <v>0</v>
      </c>
      <c r="CF230" s="13">
        <f t="shared" si="390"/>
        <v>57</v>
      </c>
      <c r="CG230" s="13">
        <f t="shared" si="390"/>
        <v>0</v>
      </c>
      <c r="CH230" s="13">
        <f t="shared" si="408"/>
        <v>756</v>
      </c>
      <c r="CI230" s="68">
        <f t="shared" si="373"/>
        <v>44</v>
      </c>
      <c r="CJ230" s="268">
        <f t="shared" si="374"/>
        <v>0.94499999999999995</v>
      </c>
      <c r="CK230" s="13">
        <f t="shared" si="375"/>
        <v>800</v>
      </c>
      <c r="CL230" s="13">
        <f t="shared" si="400"/>
        <v>666</v>
      </c>
      <c r="CM230" s="13">
        <f t="shared" si="400"/>
        <v>2366</v>
      </c>
      <c r="CN230" s="13">
        <f t="shared" si="400"/>
        <v>0</v>
      </c>
      <c r="CO230" s="13">
        <f t="shared" si="400"/>
        <v>0</v>
      </c>
      <c r="CP230" s="13">
        <f t="shared" si="400"/>
        <v>0</v>
      </c>
      <c r="CQ230" s="13">
        <f t="shared" si="409"/>
        <v>3032</v>
      </c>
      <c r="CR230" s="68">
        <f t="shared" si="376"/>
        <v>-2232</v>
      </c>
      <c r="CS230" s="268">
        <f t="shared" si="377"/>
        <v>3.79</v>
      </c>
      <c r="CT230" s="68">
        <f t="shared" si="350"/>
        <v>1500</v>
      </c>
      <c r="CU230" s="13">
        <f>SUMIFS(SALIDAS_BIT,FECHA_BIT,"&gt;="&amp;CU$2,FECHA_BIT,"&lt;="&amp;CU$3,CLAVE_BIT,$A230)+SUMIFS(SALIDAS_BOV1,FECHA_BOV1,"&gt;="&amp;CU$2,FECHA_BOV1,"&lt;="&amp;CU$3,CLAVE_BOV1,$A230)+SUMIFS(SALIDAS_BOV2,FECHA_BOV2,"&gt;="&amp;CU$2,FECHA_BOV2,"&lt;="&amp;CU$3,CLAVE_BOV2,$A230)+SUMIFS(SALIDAS_BOV3,FECHA_BOV3,"&gt;="&amp;CU$2,FECHA_BOV3,"&lt;="&amp;CU$3,CLAVE_BOV3,$A230)+SUMIFS(SALIDAS_TC,FECHA_TC,"&gt;="&amp;CU$2,FECHA_TC,"&lt;="&amp;CU$3,CLAVE_TC,$A230)+SUMIFS(SALIDAS_COMB,FECHA_COMB,"&gt;="&amp;CU$2,FECHA_COMB,"&lt;="&amp;CU$3,CLAVE_COMB,$A230)+SUMIFS(SALIDAS_DES,FECHA_DESGLOSEN,"&gt;="&amp;CU$2,FECHA_DESGLOSEN,"&lt;="&amp;CU$3,CLAVE_DESGLOSE,$A230)</f>
        <v>0</v>
      </c>
      <c r="CV230" s="13">
        <f>SUMIFS(SALIDAS_BIT,FECHA_BIT,"&gt;="&amp;CV$2,FECHA_BIT,"&lt;="&amp;CV$3,CLAVE_BIT,$A230)+SUMIFS(SALIDAS_BOV1,FECHA_BOV1,"&gt;="&amp;CV$2,FECHA_BOV1,"&lt;="&amp;CV$3,CLAVE_BOV1,$A230)+SUMIFS(SALIDAS_BOV2,FECHA_BOV2,"&gt;="&amp;CV$2,FECHA_BOV2,"&lt;="&amp;CV$3,CLAVE_BOV2,$A230)+SUMIFS(SALIDAS_BOV3,FECHA_BOV3,"&gt;="&amp;CV$2,FECHA_BOV3,"&lt;="&amp;CV$3,CLAVE_BOV3,$A230)+SUMIFS(SALIDAS_TC,FECHA_TC,"&gt;="&amp;CV$2,FECHA_TC,"&lt;="&amp;CV$3,CLAVE_TC,$A230)+SUMIFS(SALIDAS_COMB,FECHA_COMB,"&gt;="&amp;CV$2,FECHA_COMB,"&lt;="&amp;CV$3,CLAVE_COMB,$A230)+SUMIFS(SALIDAS_DES,FECHA_DESGLOSEN,"&gt;="&amp;CV$2,FECHA_DESGLOSEN,"&lt;="&amp;CV$3,CLAVE_DESGLOSE,$A230)</f>
        <v>0</v>
      </c>
      <c r="CW230" s="13">
        <f>SUMIFS(SALIDAS_BIT,FECHA_BIT,"&gt;="&amp;CW$2,FECHA_BIT,"&lt;="&amp;CW$3,CLAVE_BIT,$A230)+SUMIFS(SALIDAS_BOV1,FECHA_BOV1,"&gt;="&amp;CW$2,FECHA_BOV1,"&lt;="&amp;CW$3,CLAVE_BOV1,$A230)+SUMIFS(SALIDAS_BOV2,FECHA_BOV2,"&gt;="&amp;CW$2,FECHA_BOV2,"&lt;="&amp;CW$3,CLAVE_BOV2,$A230)+SUMIFS(SALIDAS_BOV3,FECHA_BOV3,"&gt;="&amp;CW$2,FECHA_BOV3,"&lt;="&amp;CW$3,CLAVE_BOV3,$A230)+SUMIFS(SALIDAS_TC,FECHA_TC,"&gt;="&amp;CW$2,FECHA_TC,"&lt;="&amp;CW$3,CLAVE_TC,$A230)+SUMIFS(SALIDAS_COMB,FECHA_COMB,"&gt;="&amp;CW$2,FECHA_COMB,"&lt;="&amp;CW$3,CLAVE_COMB,$A230)+SUMIFS(SALIDAS_DES,FECHA_DESGLOSEN,"&gt;="&amp;CW$2,FECHA_DESGLOSEN,"&lt;="&amp;CW$3,CLAVE_DESGLOSE,$A230)</f>
        <v>1500</v>
      </c>
      <c r="CX230" s="13">
        <f>SUMIFS(SALIDAS_BIT,FECHA_BIT,"&gt;="&amp;CX$2,FECHA_BIT,"&lt;="&amp;CX$3,CLAVE_BIT,$A230)+SUMIFS(SALIDAS_BOV1,FECHA_BOV1,"&gt;="&amp;CX$2,FECHA_BOV1,"&lt;="&amp;CX$3,CLAVE_BOV1,$A230)+SUMIFS(SALIDAS_BOV2,FECHA_BOV2,"&gt;="&amp;CX$2,FECHA_BOV2,"&lt;="&amp;CX$3,CLAVE_BOV2,$A230)+SUMIFS(SALIDAS_BOV3,FECHA_BOV3,"&gt;="&amp;CX$2,FECHA_BOV3,"&lt;="&amp;CX$3,CLAVE_BOV3,$A230)+SUMIFS(SALIDAS_TC,FECHA_TC,"&gt;="&amp;CX$2,FECHA_TC,"&lt;="&amp;CX$3,CLAVE_TC,$A230)+SUMIFS(SALIDAS_COMB,FECHA_COMB,"&gt;="&amp;CX$2,FECHA_COMB,"&lt;="&amp;CX$3,CLAVE_COMB,$A230)+SUMIFS(SALIDAS_DES,FECHA_DESGLOSEN,"&gt;="&amp;CX$2,FECHA_DESGLOSEN,"&lt;="&amp;CX$3,CLAVE_DESGLOSE,$A230)</f>
        <v>0</v>
      </c>
      <c r="CY230" s="13">
        <f>SUMIFS(SALIDAS_BIT,FECHA_BIT,"&gt;="&amp;CY$2,FECHA_BIT,"&lt;="&amp;CY$3,CLAVE_BIT,$A230)+SUMIFS(SALIDAS_BOV1,FECHA_BOV1,"&gt;="&amp;CY$2,FECHA_BOV1,"&lt;="&amp;CY$3,CLAVE_BOV1,$A230)+SUMIFS(SALIDAS_BOV2,FECHA_BOV2,"&gt;="&amp;CY$2,FECHA_BOV2,"&lt;="&amp;CY$3,CLAVE_BOV2,$A230)+SUMIFS(SALIDAS_BOV3,FECHA_BOV3,"&gt;="&amp;CY$2,FECHA_BOV3,"&lt;="&amp;CY$3,CLAVE_BOV3,$A230)+SUMIFS(SALIDAS_TC,FECHA_TC,"&gt;="&amp;CY$2,FECHA_TC,"&lt;="&amp;CY$3,CLAVE_TC,$A230)+SUMIFS(SALIDAS_COMB,FECHA_COMB,"&gt;="&amp;CY$2,FECHA_COMB,"&lt;="&amp;CY$3,CLAVE_COMB,$A230)+SUMIFS(SALIDAS_DES,FECHA_DESGLOSEN,"&gt;="&amp;CY$2,FECHA_DESGLOSEN,"&lt;="&amp;CY$3,CLAVE_DESGLOSE,$A230)</f>
        <v>1500</v>
      </c>
      <c r="CZ230" s="68">
        <f t="shared" si="378"/>
        <v>0</v>
      </c>
      <c r="DB230" s="17">
        <f>F230+N230+W230+AE230+AM230+AV230+BD230+BL230+BU230+CC230+CK230</f>
        <v>8800</v>
      </c>
      <c r="DC230" s="17">
        <f>K230+T230+AB230+AJ230+AS230+BA230+BI230+BR230+BZ230+CH230+CQ230</f>
        <v>22066</v>
      </c>
    </row>
    <row r="231" spans="1:107" hidden="1">
      <c r="A231" s="12" t="str">
        <f t="shared" si="351"/>
        <v>SERVICIOSINSUMOSCOFFE</v>
      </c>
      <c r="B231" s="12">
        <v>233</v>
      </c>
      <c r="C231" t="s">
        <v>21</v>
      </c>
      <c r="D231" s="12" t="s">
        <v>133</v>
      </c>
      <c r="E231" s="12" t="s">
        <v>135</v>
      </c>
      <c r="F231" s="259">
        <f t="shared" si="344"/>
        <v>4000</v>
      </c>
      <c r="G231" s="13">
        <f t="shared" si="401"/>
        <v>0</v>
      </c>
      <c r="H231" s="13">
        <f t="shared" si="401"/>
        <v>0</v>
      </c>
      <c r="I231" s="13">
        <f t="shared" si="401"/>
        <v>3865</v>
      </c>
      <c r="J231" s="13">
        <f t="shared" si="401"/>
        <v>3728.7799999999997</v>
      </c>
      <c r="K231" s="13">
        <f t="shared" si="401"/>
        <v>7593.78</v>
      </c>
      <c r="L231" s="68">
        <f t="shared" si="352"/>
        <v>-3593.7799999999997</v>
      </c>
      <c r="M231" s="268">
        <f t="shared" si="353"/>
        <v>1.8984449999999999</v>
      </c>
      <c r="N231" s="13">
        <f t="shared" si="345"/>
        <v>4000</v>
      </c>
      <c r="O231" s="13">
        <f t="shared" si="402"/>
        <v>0</v>
      </c>
      <c r="P231" s="13">
        <f t="shared" si="402"/>
        <v>0</v>
      </c>
      <c r="Q231" s="13">
        <f t="shared" si="402"/>
        <v>2500</v>
      </c>
      <c r="R231" s="13">
        <f t="shared" si="402"/>
        <v>4026.41</v>
      </c>
      <c r="S231" s="13">
        <f t="shared" si="402"/>
        <v>0</v>
      </c>
      <c r="T231" s="13">
        <f t="shared" si="402"/>
        <v>6526.41</v>
      </c>
      <c r="U231" s="68">
        <f t="shared" si="354"/>
        <v>-2526.41</v>
      </c>
      <c r="V231" s="268">
        <f t="shared" si="355"/>
        <v>1.6316025000000001</v>
      </c>
      <c r="W231" s="13">
        <f t="shared" si="346"/>
        <v>4000</v>
      </c>
      <c r="X231" s="13">
        <f t="shared" si="403"/>
        <v>0</v>
      </c>
      <c r="Y231" s="13">
        <f t="shared" si="403"/>
        <v>1100</v>
      </c>
      <c r="Z231" s="13">
        <f t="shared" si="403"/>
        <v>0</v>
      </c>
      <c r="AA231" s="13">
        <f t="shared" si="403"/>
        <v>2500</v>
      </c>
      <c r="AB231" s="13">
        <f t="shared" si="403"/>
        <v>3600</v>
      </c>
      <c r="AC231" s="68">
        <f t="shared" si="356"/>
        <v>400</v>
      </c>
      <c r="AD231" s="268">
        <f t="shared" si="357"/>
        <v>0.9</v>
      </c>
      <c r="AE231" s="13">
        <f t="shared" si="347"/>
        <v>4000</v>
      </c>
      <c r="AF231" s="13">
        <f t="shared" si="404"/>
        <v>2725</v>
      </c>
      <c r="AG231" s="13">
        <f t="shared" si="404"/>
        <v>0</v>
      </c>
      <c r="AH231" s="13">
        <f t="shared" si="404"/>
        <v>0</v>
      </c>
      <c r="AI231" s="13">
        <f t="shared" si="404"/>
        <v>2000</v>
      </c>
      <c r="AJ231" s="13">
        <f t="shared" si="404"/>
        <v>4725</v>
      </c>
      <c r="AK231" s="68">
        <f t="shared" si="358"/>
        <v>-725</v>
      </c>
      <c r="AL231" s="268">
        <f t="shared" si="359"/>
        <v>1.1812499999999999</v>
      </c>
      <c r="AM231" s="13">
        <f t="shared" si="348"/>
        <v>4000</v>
      </c>
      <c r="AN231" s="13">
        <f t="shared" si="405"/>
        <v>0</v>
      </c>
      <c r="AO231" s="13">
        <f t="shared" si="405"/>
        <v>0</v>
      </c>
      <c r="AP231" s="13">
        <f t="shared" si="405"/>
        <v>0</v>
      </c>
      <c r="AQ231" s="13">
        <f t="shared" si="405"/>
        <v>0</v>
      </c>
      <c r="AR231" s="13">
        <f t="shared" si="405"/>
        <v>0</v>
      </c>
      <c r="AS231" s="13">
        <f t="shared" si="405"/>
        <v>0</v>
      </c>
      <c r="AT231" s="68">
        <f>AM231-AS231</f>
        <v>4000</v>
      </c>
      <c r="AU231" s="268">
        <f t="shared" si="360"/>
        <v>0</v>
      </c>
      <c r="AV231" s="13">
        <f t="shared" si="349"/>
        <v>4000</v>
      </c>
      <c r="AW231" s="13">
        <f t="shared" si="323"/>
        <v>2500</v>
      </c>
      <c r="AX231" s="13">
        <f t="shared" si="323"/>
        <v>1200</v>
      </c>
      <c r="AY231" s="13">
        <f t="shared" si="323"/>
        <v>0</v>
      </c>
      <c r="AZ231" s="13">
        <f t="shared" si="323"/>
        <v>1197</v>
      </c>
      <c r="BA231" s="13">
        <f t="shared" si="379"/>
        <v>4897</v>
      </c>
      <c r="BB231" s="68">
        <f t="shared" si="361"/>
        <v>-897</v>
      </c>
      <c r="BC231" s="268">
        <f t="shared" si="362"/>
        <v>1.2242500000000001</v>
      </c>
      <c r="BD231" s="13">
        <f t="shared" si="363"/>
        <v>4000</v>
      </c>
      <c r="BE231" s="13">
        <f>SUMIFS(SALIDAS_BIT,FECHA_BIT,"&gt;="&amp;BE$2,FECHA_BIT,"&lt;="&amp;BE$3,CLAVE_BIT,$A231)+SUMIFS(SALIDAS_BOV1,FECHA_BOV1,"&gt;="&amp;BE$2,FECHA_BOV1,"&lt;="&amp;BE$3,CLAVE_BOV1,$A231)+SUMIFS(SALIDAS_BOV2,FECHA_BOV2,"&gt;="&amp;BE$2,FECHA_BOV2,"&lt;="&amp;BE$3,CLAVE_BOV2,$A231)+SUMIFS(SALIDAS_BOV3,FECHA_BOV3,"&gt;="&amp;BE$2,FECHA_BOV3,"&lt;="&amp;BE$3,CLAVE_BOV3,$A231)+SUMIFS(SALIDAS_TC,FECHA_TC,"&gt;="&amp;BE$2,FECHA_TC,"&lt;="&amp;BE$3,CLAVE_TC,$A231)+SUMIFS(SALIDAS_COMB,FECHA_COMB,"&gt;="&amp;BE$2,FECHA_COMB,"&lt;="&amp;BE$3,CLAVE_COMB,$A231)+SUMIFS(SALIDAS_DES,FECHA_DESGLOSEN,"&gt;="&amp;BE$2,FECHA_DESGLOSEN,"&lt;="&amp;BE$3,CLAVE_DESGLOSE,$A231)</f>
        <v>0</v>
      </c>
      <c r="BF231" s="13">
        <f>SUMIFS(SALIDAS_BIT,FECHA_BIT,"&gt;="&amp;BF$2,FECHA_BIT,"&lt;="&amp;BF$3,CLAVE_BIT,$A231)+SUMIFS(SALIDAS_BOV1,FECHA_BOV1,"&gt;="&amp;BF$2,FECHA_BOV1,"&lt;="&amp;BF$3,CLAVE_BOV1,$A231)+SUMIFS(SALIDAS_BOV2,FECHA_BOV2,"&gt;="&amp;BF$2,FECHA_BOV2,"&lt;="&amp;BF$3,CLAVE_BOV2,$A231)+SUMIFS(SALIDAS_BOV3,FECHA_BOV3,"&gt;="&amp;BF$2,FECHA_BOV3,"&lt;="&amp;BF$3,CLAVE_BOV3,$A231)+SUMIFS(SALIDAS_TC,FECHA_TC,"&gt;="&amp;BF$2,FECHA_TC,"&lt;="&amp;BF$3,CLAVE_TC,$A231)+SUMIFS(SALIDAS_COMB,FECHA_COMB,"&gt;="&amp;BF$2,FECHA_COMB,"&lt;="&amp;BF$3,CLAVE_COMB,$A231)+SUMIFS(SALIDAS_DES,FECHA_DESGLOSEN,"&gt;="&amp;BF$2,FECHA_DESGLOSEN,"&lt;="&amp;BF$3,CLAVE_DESGLOSE,$A231)</f>
        <v>2500</v>
      </c>
      <c r="BG231" s="13">
        <f>SUMIFS(SALIDAS_BIT,FECHA_BIT,"&gt;="&amp;BG$2,FECHA_BIT,"&lt;="&amp;BG$3,CLAVE_BIT,$A231)+SUMIFS(SALIDAS_BOV1,FECHA_BOV1,"&gt;="&amp;BG$2,FECHA_BOV1,"&lt;="&amp;BG$3,CLAVE_BOV1,$A231)+SUMIFS(SALIDAS_BOV2,FECHA_BOV2,"&gt;="&amp;BG$2,FECHA_BOV2,"&lt;="&amp;BG$3,CLAVE_BOV2,$A231)+SUMIFS(SALIDAS_BOV3,FECHA_BOV3,"&gt;="&amp;BG$2,FECHA_BOV3,"&lt;="&amp;BG$3,CLAVE_BOV3,$A231)+SUMIFS(SALIDAS_TC,FECHA_TC,"&gt;="&amp;BG$2,FECHA_TC,"&lt;="&amp;BG$3,CLAVE_TC,$A231)+SUMIFS(SALIDAS_COMB,FECHA_COMB,"&gt;="&amp;BG$2,FECHA_COMB,"&lt;="&amp;BG$3,CLAVE_COMB,$A231)+SUMIFS(SALIDAS_DES,FECHA_DESGLOSEN,"&gt;="&amp;BG$2,FECHA_DESGLOSEN,"&lt;="&amp;BG$3,CLAVE_DESGLOSE,$A231)</f>
        <v>0</v>
      </c>
      <c r="BH231" s="13">
        <f>SUMIFS(SALIDAS_BIT,FECHA_BIT,"&gt;="&amp;BH$2,FECHA_BIT,"&lt;="&amp;BH$3,CLAVE_BIT,$A231)+SUMIFS(SALIDAS_BOV1,FECHA_BOV1,"&gt;="&amp;BH$2,FECHA_BOV1,"&lt;="&amp;BH$3,CLAVE_BOV1,$A231)+SUMIFS(SALIDAS_BOV2,FECHA_BOV2,"&gt;="&amp;BH$2,FECHA_BOV2,"&lt;="&amp;BH$3,CLAVE_BOV2,$A231)+SUMIFS(SALIDAS_BOV3,FECHA_BOV3,"&gt;="&amp;BH$2,FECHA_BOV3,"&lt;="&amp;BH$3,CLAVE_BOV3,$A231)+SUMIFS(SALIDAS_TC,FECHA_TC,"&gt;="&amp;BH$2,FECHA_TC,"&lt;="&amp;BH$3,CLAVE_TC,$A231)+SUMIFS(SALIDAS_COMB,FECHA_COMB,"&gt;="&amp;BH$2,FECHA_COMB,"&lt;="&amp;BH$3,CLAVE_COMB,$A231)+SUMIFS(SALIDAS_DES,FECHA_DESGLOSEN,"&gt;="&amp;BH$2,FECHA_DESGLOSEN,"&lt;="&amp;BH$3,CLAVE_DESGLOSE,$A231)</f>
        <v>0</v>
      </c>
      <c r="BI231" s="13">
        <f t="shared" si="311"/>
        <v>2500</v>
      </c>
      <c r="BJ231" s="68">
        <f t="shared" si="364"/>
        <v>1500</v>
      </c>
      <c r="BK231" s="268">
        <f t="shared" si="365"/>
        <v>0.625</v>
      </c>
      <c r="BL231" s="13">
        <f t="shared" si="366"/>
        <v>4000</v>
      </c>
      <c r="BM231" s="13">
        <f>SUMIFS(SALIDAS_BIT,FECHA_BIT,"&gt;="&amp;BM$2,FECHA_BIT,"&lt;="&amp;BM$3,CLAVE_BIT,$A231)+SUMIFS(SALIDAS_BOV1,FECHA_BOV1,"&gt;="&amp;BM$2,FECHA_BOV1,"&lt;="&amp;BM$3,CLAVE_BOV1,$A231)+SUMIFS(SALIDAS_BOV2,FECHA_BOV2,"&gt;="&amp;BM$2,FECHA_BOV2,"&lt;="&amp;BM$3,CLAVE_BOV2,$A231)+SUMIFS(SALIDAS_BOV3,FECHA_BOV3,"&gt;="&amp;BM$2,FECHA_BOV3,"&lt;="&amp;BM$3,CLAVE_BOV3,$A231)+SUMIFS(SALIDAS_TC,FECHA_TC,"&gt;="&amp;BM$2,FECHA_TC,"&lt;="&amp;BM$3,CLAVE_TC,$A231)+SUMIFS(SALIDAS_COMB,FECHA_COMB,"&gt;="&amp;BM$2,FECHA_COMB,"&lt;="&amp;BM$3,CLAVE_COMB,$A231)+SUMIFS(SALIDAS_DES,FECHA_DESGLOSEN,"&gt;="&amp;BM$2,FECHA_DESGLOSEN,"&lt;="&amp;BM$3,CLAVE_DESGLOSE,$A231)</f>
        <v>0</v>
      </c>
      <c r="BN231" s="13">
        <f>SUMIFS(SALIDAS_BIT,FECHA_BIT,"&gt;="&amp;BN$2,FECHA_BIT,"&lt;="&amp;BN$3,CLAVE_BIT,$A231)+SUMIFS(SALIDAS_BOV1,FECHA_BOV1,"&gt;="&amp;BN$2,FECHA_BOV1,"&lt;="&amp;BN$3,CLAVE_BOV1,$A231)+SUMIFS(SALIDAS_BOV2,FECHA_BOV2,"&gt;="&amp;BN$2,FECHA_BOV2,"&lt;="&amp;BN$3,CLAVE_BOV2,$A231)+SUMIFS(SALIDAS_BOV3,FECHA_BOV3,"&gt;="&amp;BN$2,FECHA_BOV3,"&lt;="&amp;BN$3,CLAVE_BOV3,$A231)+SUMIFS(SALIDAS_TC,FECHA_TC,"&gt;="&amp;BN$2,FECHA_TC,"&lt;="&amp;BN$3,CLAVE_TC,$A231)+SUMIFS(SALIDAS_COMB,FECHA_COMB,"&gt;="&amp;BN$2,FECHA_COMB,"&lt;="&amp;BN$3,CLAVE_COMB,$A231)+SUMIFS(SALIDAS_DES,FECHA_DESGLOSEN,"&gt;="&amp;BN$2,FECHA_DESGLOSEN,"&lt;="&amp;BN$3,CLAVE_DESGLOSE,$A231)</f>
        <v>0</v>
      </c>
      <c r="BO231" s="13">
        <f>SUMIFS(SALIDAS_BIT,FECHA_BIT,"&gt;="&amp;BO$2,FECHA_BIT,"&lt;="&amp;BO$3,CLAVE_BIT,$A231)+SUMIFS(SALIDAS_BOV1,FECHA_BOV1,"&gt;="&amp;BO$2,FECHA_BOV1,"&lt;="&amp;BO$3,CLAVE_BOV1,$A231)+SUMIFS(SALIDAS_BOV2,FECHA_BOV2,"&gt;="&amp;BO$2,FECHA_BOV2,"&lt;="&amp;BO$3,CLAVE_BOV2,$A231)+SUMIFS(SALIDAS_BOV3,FECHA_BOV3,"&gt;="&amp;BO$2,FECHA_BOV3,"&lt;="&amp;BO$3,CLAVE_BOV3,$A231)+SUMIFS(SALIDAS_TC,FECHA_TC,"&gt;="&amp;BO$2,FECHA_TC,"&lt;="&amp;BO$3,CLAVE_TC,$A231)+SUMIFS(SALIDAS_COMB,FECHA_COMB,"&gt;="&amp;BO$2,FECHA_COMB,"&lt;="&amp;BO$3,CLAVE_COMB,$A231)+SUMIFS(SALIDAS_DES,FECHA_DESGLOSEN,"&gt;="&amp;BO$2,FECHA_DESGLOSEN,"&lt;="&amp;BO$3,CLAVE_DESGLOSE,$A231)</f>
        <v>2500</v>
      </c>
      <c r="BP231" s="13">
        <f>SUMIFS(SALIDAS_BIT,FECHA_BIT,"&gt;="&amp;BP$2,FECHA_BIT,"&lt;="&amp;BP$3,CLAVE_BIT,$A231)+SUMIFS(SALIDAS_BOV1,FECHA_BOV1,"&gt;="&amp;BP$2,FECHA_BOV1,"&lt;="&amp;BP$3,CLAVE_BOV1,$A231)+SUMIFS(SALIDAS_BOV2,FECHA_BOV2,"&gt;="&amp;BP$2,FECHA_BOV2,"&lt;="&amp;BP$3,CLAVE_BOV2,$A231)+SUMIFS(SALIDAS_BOV3,FECHA_BOV3,"&gt;="&amp;BP$2,FECHA_BOV3,"&lt;="&amp;BP$3,CLAVE_BOV3,$A231)+SUMIFS(SALIDAS_TC,FECHA_TC,"&gt;="&amp;BP$2,FECHA_TC,"&lt;="&amp;BP$3,CLAVE_TC,$A231)+SUMIFS(SALIDAS_COMB,FECHA_COMB,"&gt;="&amp;BP$2,FECHA_COMB,"&lt;="&amp;BP$3,CLAVE_COMB,$A231)+SUMIFS(SALIDAS_DES,FECHA_DESGLOSEN,"&gt;="&amp;BP$2,FECHA_DESGLOSEN,"&lt;="&amp;BP$3,CLAVE_DESGLOSE,$A231)</f>
        <v>0</v>
      </c>
      <c r="BQ231" s="13">
        <f>SUMIFS(SALIDAS_BIT,FECHA_BIT,"&gt;="&amp;BQ$2,FECHA_BIT,"&lt;="&amp;BQ$3,CLAVE_BIT,$A231)+SUMIFS(SALIDAS_BOV1,FECHA_BOV1,"&gt;="&amp;BQ$2,FECHA_BOV1,"&lt;="&amp;BQ$3,CLAVE_BOV1,$A231)+SUMIFS(SALIDAS_BOV2,FECHA_BOV2,"&gt;="&amp;BQ$2,FECHA_BOV2,"&lt;="&amp;BQ$3,CLAVE_BOV2,$A231)+SUMIFS(SALIDAS_BOV3,FECHA_BOV3,"&gt;="&amp;BQ$2,FECHA_BOV3,"&lt;="&amp;BQ$3,CLAVE_BOV3,$A231)+SUMIFS(SALIDAS_TC,FECHA_TC,"&gt;="&amp;BQ$2,FECHA_TC,"&lt;="&amp;BQ$3,CLAVE_TC,$A231)+SUMIFS(SALIDAS_COMB,FECHA_COMB,"&gt;="&amp;BQ$2,FECHA_COMB,"&lt;="&amp;BQ$3,CLAVE_COMB,$A231)+SUMIFS(SALIDAS_DES,FECHA_DESGLOSEN,"&gt;="&amp;BQ$2,FECHA_DESGLOSEN,"&lt;="&amp;BQ$3,CLAVE_DESGLOSE,$A231)</f>
        <v>0</v>
      </c>
      <c r="BR231" s="13">
        <f t="shared" si="406"/>
        <v>2500</v>
      </c>
      <c r="BS231" s="68">
        <f t="shared" si="367"/>
        <v>1500</v>
      </c>
      <c r="BT231" s="268">
        <f t="shared" si="368"/>
        <v>0.625</v>
      </c>
      <c r="BU231" s="13">
        <f t="shared" si="369"/>
        <v>4000</v>
      </c>
      <c r="BV231" s="13">
        <f t="shared" si="389"/>
        <v>1600</v>
      </c>
      <c r="BW231" s="13">
        <f t="shared" si="389"/>
        <v>0</v>
      </c>
      <c r="BX231" s="13">
        <f t="shared" si="389"/>
        <v>2500</v>
      </c>
      <c r="BY231" s="13">
        <f t="shared" si="389"/>
        <v>0</v>
      </c>
      <c r="BZ231" s="13">
        <f t="shared" si="407"/>
        <v>4100</v>
      </c>
      <c r="CA231" s="68">
        <f t="shared" si="370"/>
        <v>-100</v>
      </c>
      <c r="CB231" s="268">
        <f t="shared" si="371"/>
        <v>1.0249999999999999</v>
      </c>
      <c r="CC231" s="13">
        <f t="shared" si="372"/>
        <v>5500</v>
      </c>
      <c r="CD231" s="13">
        <f t="shared" si="390"/>
        <v>2500</v>
      </c>
      <c r="CE231" s="13">
        <f t="shared" si="390"/>
        <v>500</v>
      </c>
      <c r="CF231" s="13">
        <f t="shared" si="390"/>
        <v>1750</v>
      </c>
      <c r="CG231" s="13">
        <f t="shared" si="390"/>
        <v>0</v>
      </c>
      <c r="CH231" s="13">
        <f t="shared" si="408"/>
        <v>4750</v>
      </c>
      <c r="CI231" s="68">
        <f t="shared" si="373"/>
        <v>750</v>
      </c>
      <c r="CJ231" s="268">
        <f t="shared" si="374"/>
        <v>0.86363636363636365</v>
      </c>
      <c r="CK231" s="13">
        <f t="shared" si="375"/>
        <v>5500</v>
      </c>
      <c r="CL231" s="13">
        <f t="shared" si="400"/>
        <v>0</v>
      </c>
      <c r="CM231" s="13">
        <f t="shared" si="400"/>
        <v>3784.84</v>
      </c>
      <c r="CN231" s="13">
        <f t="shared" si="400"/>
        <v>0</v>
      </c>
      <c r="CO231" s="13">
        <f t="shared" si="400"/>
        <v>384.65</v>
      </c>
      <c r="CP231" s="13">
        <f t="shared" si="400"/>
        <v>0</v>
      </c>
      <c r="CQ231" s="13">
        <f t="shared" si="409"/>
        <v>4169.49</v>
      </c>
      <c r="CR231" s="68">
        <f t="shared" si="376"/>
        <v>1330.5100000000002</v>
      </c>
      <c r="CS231" s="268">
        <f t="shared" si="377"/>
        <v>0.75808909090909082</v>
      </c>
      <c r="CT231" s="68">
        <f t="shared" si="350"/>
        <v>4750</v>
      </c>
      <c r="CU231" s="13">
        <f>SUMIFS(SALIDAS_BIT,FECHA_BIT,"&gt;="&amp;CU$2,FECHA_BIT,"&lt;="&amp;CU$3,CLAVE_BIT,$A231)+SUMIFS(SALIDAS_BOV1,FECHA_BOV1,"&gt;="&amp;CU$2,FECHA_BOV1,"&lt;="&amp;CU$3,CLAVE_BOV1,$A231)+SUMIFS(SALIDAS_BOV2,FECHA_BOV2,"&gt;="&amp;CU$2,FECHA_BOV2,"&lt;="&amp;CU$3,CLAVE_BOV2,$A231)+SUMIFS(SALIDAS_BOV3,FECHA_BOV3,"&gt;="&amp;CU$2,FECHA_BOV3,"&lt;="&amp;CU$3,CLAVE_BOV3,$A231)+SUMIFS(SALIDAS_TC,FECHA_TC,"&gt;="&amp;CU$2,FECHA_TC,"&lt;="&amp;CU$3,CLAVE_TC,$A231)+SUMIFS(SALIDAS_COMB,FECHA_COMB,"&gt;="&amp;CU$2,FECHA_COMB,"&lt;="&amp;CU$3,CLAVE_COMB,$A231)+SUMIFS(SALIDAS_DES,FECHA_DESGLOSEN,"&gt;="&amp;CU$2,FECHA_DESGLOSEN,"&lt;="&amp;CU$3,CLAVE_DESGLOSE,$A231)</f>
        <v>2500</v>
      </c>
      <c r="CV231" s="13">
        <f>SUMIFS(SALIDAS_BIT,FECHA_BIT,"&gt;="&amp;CV$2,FECHA_BIT,"&lt;="&amp;CV$3,CLAVE_BIT,$A231)+SUMIFS(SALIDAS_BOV1,FECHA_BOV1,"&gt;="&amp;CV$2,FECHA_BOV1,"&lt;="&amp;CV$3,CLAVE_BOV1,$A231)+SUMIFS(SALIDAS_BOV2,FECHA_BOV2,"&gt;="&amp;CV$2,FECHA_BOV2,"&lt;="&amp;CV$3,CLAVE_BOV2,$A231)+SUMIFS(SALIDAS_BOV3,FECHA_BOV3,"&gt;="&amp;CV$2,FECHA_BOV3,"&lt;="&amp;CV$3,CLAVE_BOV3,$A231)+SUMIFS(SALIDAS_TC,FECHA_TC,"&gt;="&amp;CV$2,FECHA_TC,"&lt;="&amp;CV$3,CLAVE_TC,$A231)+SUMIFS(SALIDAS_COMB,FECHA_COMB,"&gt;="&amp;CV$2,FECHA_COMB,"&lt;="&amp;CV$3,CLAVE_COMB,$A231)+SUMIFS(SALIDAS_DES,FECHA_DESGLOSEN,"&gt;="&amp;CV$2,FECHA_DESGLOSEN,"&lt;="&amp;CV$3,CLAVE_DESGLOSE,$A231)</f>
        <v>1750</v>
      </c>
      <c r="CW231" s="13">
        <f>SUMIFS(SALIDAS_BIT,FECHA_BIT,"&gt;="&amp;CW$2,FECHA_BIT,"&lt;="&amp;CW$3,CLAVE_BIT,$A231)+SUMIFS(SALIDAS_BOV1,FECHA_BOV1,"&gt;="&amp;CW$2,FECHA_BOV1,"&lt;="&amp;CW$3,CLAVE_BOV1,$A231)+SUMIFS(SALIDAS_BOV2,FECHA_BOV2,"&gt;="&amp;CW$2,FECHA_BOV2,"&lt;="&amp;CW$3,CLAVE_BOV2,$A231)+SUMIFS(SALIDAS_BOV3,FECHA_BOV3,"&gt;="&amp;CW$2,FECHA_BOV3,"&lt;="&amp;CW$3,CLAVE_BOV3,$A231)+SUMIFS(SALIDAS_TC,FECHA_TC,"&gt;="&amp;CW$2,FECHA_TC,"&lt;="&amp;CW$3,CLAVE_TC,$A231)+SUMIFS(SALIDAS_COMB,FECHA_COMB,"&gt;="&amp;CW$2,FECHA_COMB,"&lt;="&amp;CW$3,CLAVE_COMB,$A231)+SUMIFS(SALIDAS_DES,FECHA_DESGLOSEN,"&gt;="&amp;CW$2,FECHA_DESGLOSEN,"&lt;="&amp;CW$3,CLAVE_DESGLOSE,$A231)</f>
        <v>2000</v>
      </c>
      <c r="CX231" s="13">
        <f>SUMIFS(SALIDAS_BIT,FECHA_BIT,"&gt;="&amp;CX$2,FECHA_BIT,"&lt;="&amp;CX$3,CLAVE_BIT,$A231)+SUMIFS(SALIDAS_BOV1,FECHA_BOV1,"&gt;="&amp;CX$2,FECHA_BOV1,"&lt;="&amp;CX$3,CLAVE_BOV1,$A231)+SUMIFS(SALIDAS_BOV2,FECHA_BOV2,"&gt;="&amp;CX$2,FECHA_BOV2,"&lt;="&amp;CX$3,CLAVE_BOV2,$A231)+SUMIFS(SALIDAS_BOV3,FECHA_BOV3,"&gt;="&amp;CX$2,FECHA_BOV3,"&lt;="&amp;CX$3,CLAVE_BOV3,$A231)+SUMIFS(SALIDAS_TC,FECHA_TC,"&gt;="&amp;CX$2,FECHA_TC,"&lt;="&amp;CX$3,CLAVE_TC,$A231)+SUMIFS(SALIDAS_COMB,FECHA_COMB,"&gt;="&amp;CX$2,FECHA_COMB,"&lt;="&amp;CX$3,CLAVE_COMB,$A231)+SUMIFS(SALIDAS_DES,FECHA_DESGLOSEN,"&gt;="&amp;CX$2,FECHA_DESGLOSEN,"&lt;="&amp;CX$3,CLAVE_DESGLOSE,$A231)</f>
        <v>2111.48</v>
      </c>
      <c r="CY231" s="13">
        <f>SUMIFS(SALIDAS_BIT,FECHA_BIT,"&gt;="&amp;CY$2,FECHA_BIT,"&lt;="&amp;CY$3,CLAVE_BIT,$A231)+SUMIFS(SALIDAS_BOV1,FECHA_BOV1,"&gt;="&amp;CY$2,FECHA_BOV1,"&lt;="&amp;CY$3,CLAVE_BOV1,$A231)+SUMIFS(SALIDAS_BOV2,FECHA_BOV2,"&gt;="&amp;CY$2,FECHA_BOV2,"&lt;="&amp;CY$3,CLAVE_BOV2,$A231)+SUMIFS(SALIDAS_BOV3,FECHA_BOV3,"&gt;="&amp;CY$2,FECHA_BOV3,"&lt;="&amp;CY$3,CLAVE_BOV3,$A231)+SUMIFS(SALIDAS_TC,FECHA_TC,"&gt;="&amp;CY$2,FECHA_TC,"&lt;="&amp;CY$3,CLAVE_TC,$A231)+SUMIFS(SALIDAS_COMB,FECHA_COMB,"&gt;="&amp;CY$2,FECHA_COMB,"&lt;="&amp;CY$3,CLAVE_COMB,$A231)+SUMIFS(SALIDAS_DES,FECHA_DESGLOSEN,"&gt;="&amp;CY$2,FECHA_DESGLOSEN,"&lt;="&amp;CY$3,CLAVE_DESGLOSE,$A231)</f>
        <v>8361.48</v>
      </c>
      <c r="CZ231" s="68">
        <f t="shared" si="378"/>
        <v>-3611.4799999999996</v>
      </c>
      <c r="DB231" s="17">
        <f>F231+N231+W231+AE231+AM231+AV231+BD231+BL231+BU231+CC231+CK231</f>
        <v>47000</v>
      </c>
      <c r="DC231" s="17">
        <f>K231+T231+AB231+AJ231+AS231+BA231+BI231+BR231+BZ231+CH231+CQ231</f>
        <v>45361.68</v>
      </c>
    </row>
    <row r="232" spans="1:107" hidden="1">
      <c r="A232" s="12" t="str">
        <f t="shared" si="351"/>
        <v>HRUBERHR</v>
      </c>
      <c r="B232" s="12">
        <v>234</v>
      </c>
      <c r="C232" t="s">
        <v>29</v>
      </c>
      <c r="D232" s="12" t="s">
        <v>189</v>
      </c>
      <c r="E232" s="12" t="s">
        <v>29</v>
      </c>
      <c r="F232" s="259">
        <f t="shared" si="344"/>
        <v>6000</v>
      </c>
      <c r="G232" s="13">
        <f t="shared" si="401"/>
        <v>1468</v>
      </c>
      <c r="H232" s="13">
        <f t="shared" si="401"/>
        <v>852</v>
      </c>
      <c r="I232" s="13">
        <f t="shared" si="401"/>
        <v>1172</v>
      </c>
      <c r="J232" s="13">
        <f t="shared" si="401"/>
        <v>2540</v>
      </c>
      <c r="K232" s="13">
        <f t="shared" si="401"/>
        <v>6032</v>
      </c>
      <c r="L232" s="68">
        <f t="shared" si="352"/>
        <v>-32</v>
      </c>
      <c r="M232" s="268">
        <f t="shared" si="353"/>
        <v>1.0053333333333334</v>
      </c>
      <c r="N232" s="13">
        <f t="shared" si="345"/>
        <v>6000</v>
      </c>
      <c r="O232" s="13">
        <f t="shared" si="402"/>
        <v>2557</v>
      </c>
      <c r="P232" s="13">
        <f t="shared" si="402"/>
        <v>3654</v>
      </c>
      <c r="Q232" s="13">
        <f t="shared" si="402"/>
        <v>1658</v>
      </c>
      <c r="R232" s="13">
        <f t="shared" si="402"/>
        <v>1919</v>
      </c>
      <c r="S232" s="13">
        <f t="shared" si="402"/>
        <v>1251</v>
      </c>
      <c r="T232" s="13">
        <f t="shared" si="402"/>
        <v>11039</v>
      </c>
      <c r="U232" s="68">
        <f t="shared" si="354"/>
        <v>-5039</v>
      </c>
      <c r="V232" s="268">
        <f t="shared" si="355"/>
        <v>1.8398333333333334</v>
      </c>
      <c r="W232" s="13">
        <f t="shared" si="346"/>
        <v>8000</v>
      </c>
      <c r="X232" s="13">
        <f t="shared" si="403"/>
        <v>1892</v>
      </c>
      <c r="Y232" s="13">
        <f t="shared" si="403"/>
        <v>160</v>
      </c>
      <c r="Z232" s="13">
        <f t="shared" si="403"/>
        <v>3002</v>
      </c>
      <c r="AA232" s="13">
        <f t="shared" si="403"/>
        <v>878</v>
      </c>
      <c r="AB232" s="13">
        <f t="shared" si="403"/>
        <v>5932</v>
      </c>
      <c r="AC232" s="68">
        <f t="shared" si="356"/>
        <v>2068</v>
      </c>
      <c r="AD232" s="268">
        <f t="shared" si="357"/>
        <v>0.74150000000000005</v>
      </c>
      <c r="AE232" s="13">
        <f t="shared" si="347"/>
        <v>8000</v>
      </c>
      <c r="AF232" s="13">
        <f t="shared" si="404"/>
        <v>2242</v>
      </c>
      <c r="AG232" s="13">
        <f t="shared" si="404"/>
        <v>2191</v>
      </c>
      <c r="AH232" s="13">
        <f t="shared" si="404"/>
        <v>2797</v>
      </c>
      <c r="AI232" s="13">
        <f t="shared" si="404"/>
        <v>2914</v>
      </c>
      <c r="AJ232" s="13">
        <f t="shared" si="404"/>
        <v>10144</v>
      </c>
      <c r="AK232" s="68">
        <f t="shared" si="358"/>
        <v>-2144</v>
      </c>
      <c r="AL232" s="268">
        <f t="shared" si="359"/>
        <v>1.268</v>
      </c>
      <c r="AM232" s="13">
        <f t="shared" si="348"/>
        <v>8000</v>
      </c>
      <c r="AN232" s="13">
        <f t="shared" si="405"/>
        <v>1874</v>
      </c>
      <c r="AO232" s="13">
        <f t="shared" si="405"/>
        <v>3730</v>
      </c>
      <c r="AP232" s="13">
        <f t="shared" si="405"/>
        <v>4667</v>
      </c>
      <c r="AQ232" s="13">
        <f t="shared" si="405"/>
        <v>4299.7666666666664</v>
      </c>
      <c r="AR232" s="13">
        <f t="shared" si="405"/>
        <v>1288</v>
      </c>
      <c r="AS232" s="13">
        <f t="shared" si="405"/>
        <v>15858.766666666666</v>
      </c>
      <c r="AT232" s="68">
        <f>AM232-AS232</f>
        <v>-7858.7666666666664</v>
      </c>
      <c r="AU232" s="268">
        <f t="shared" si="360"/>
        <v>1.9823458333333333</v>
      </c>
      <c r="AV232" s="13">
        <f t="shared" si="349"/>
        <v>6000</v>
      </c>
      <c r="AW232" s="13">
        <f t="shared" si="323"/>
        <v>1400</v>
      </c>
      <c r="AX232" s="13">
        <f t="shared" si="323"/>
        <v>1261</v>
      </c>
      <c r="AY232" s="13">
        <f t="shared" si="323"/>
        <v>2395</v>
      </c>
      <c r="AZ232" s="13">
        <f t="shared" si="323"/>
        <v>973</v>
      </c>
      <c r="BA232" s="13">
        <f t="shared" si="379"/>
        <v>6029</v>
      </c>
      <c r="BB232" s="68">
        <f t="shared" si="361"/>
        <v>-29</v>
      </c>
      <c r="BC232" s="268">
        <f t="shared" si="362"/>
        <v>1.0048333333333332</v>
      </c>
      <c r="BD232" s="13">
        <f t="shared" si="363"/>
        <v>12000</v>
      </c>
      <c r="BE232" s="13">
        <f>SUMIFS(SALIDAS_BIT,FECHA_BIT,"&gt;="&amp;BE$2,FECHA_BIT,"&lt;="&amp;BE$3,CLAVE_BIT,$A232)+SUMIFS(SALIDAS_BOV1,FECHA_BOV1,"&gt;="&amp;BE$2,FECHA_BOV1,"&lt;="&amp;BE$3,CLAVE_BOV1,$A232)+SUMIFS(SALIDAS_BOV2,FECHA_BOV2,"&gt;="&amp;BE$2,FECHA_BOV2,"&lt;="&amp;BE$3,CLAVE_BOV2,$A232)+SUMIFS(SALIDAS_BOV3,FECHA_BOV3,"&gt;="&amp;BE$2,FECHA_BOV3,"&lt;="&amp;BE$3,CLAVE_BOV3,$A232)+SUMIFS(SALIDAS_TC,FECHA_TC,"&gt;="&amp;BE$2,FECHA_TC,"&lt;="&amp;BE$3,CLAVE_TC,$A232)+SUMIFS(SALIDAS_COMB,FECHA_COMB,"&gt;="&amp;BE$2,FECHA_COMB,"&lt;="&amp;BE$3,CLAVE_COMB,$A232)+SUMIFS(SALIDAS_DES,FECHA_DESGLOSEN,"&gt;="&amp;BE$2,FECHA_DESGLOSEN,"&lt;="&amp;BE$3,CLAVE_DESGLOSE,$A232)</f>
        <v>417</v>
      </c>
      <c r="BF232" s="13">
        <f>SUMIFS(SALIDAS_BIT,FECHA_BIT,"&gt;="&amp;BF$2,FECHA_BIT,"&lt;="&amp;BF$3,CLAVE_BIT,$A232)+SUMIFS(SALIDAS_BOV1,FECHA_BOV1,"&gt;="&amp;BF$2,FECHA_BOV1,"&lt;="&amp;BF$3,CLAVE_BOV1,$A232)+SUMIFS(SALIDAS_BOV2,FECHA_BOV2,"&gt;="&amp;BF$2,FECHA_BOV2,"&lt;="&amp;BF$3,CLAVE_BOV2,$A232)+SUMIFS(SALIDAS_BOV3,FECHA_BOV3,"&gt;="&amp;BF$2,FECHA_BOV3,"&lt;="&amp;BF$3,CLAVE_BOV3,$A232)+SUMIFS(SALIDAS_TC,FECHA_TC,"&gt;="&amp;BF$2,FECHA_TC,"&lt;="&amp;BF$3,CLAVE_TC,$A232)+SUMIFS(SALIDAS_COMB,FECHA_COMB,"&gt;="&amp;BF$2,FECHA_COMB,"&lt;="&amp;BF$3,CLAVE_COMB,$A232)+SUMIFS(SALIDAS_DES,FECHA_DESGLOSEN,"&gt;="&amp;BF$2,FECHA_DESGLOSEN,"&lt;="&amp;BF$3,CLAVE_DESGLOSE,$A232)</f>
        <v>697</v>
      </c>
      <c r="BG232" s="13">
        <f>SUMIFS(SALIDAS_BIT,FECHA_BIT,"&gt;="&amp;BG$2,FECHA_BIT,"&lt;="&amp;BG$3,CLAVE_BIT,$A232)+SUMIFS(SALIDAS_BOV1,FECHA_BOV1,"&gt;="&amp;BG$2,FECHA_BOV1,"&lt;="&amp;BG$3,CLAVE_BOV1,$A232)+SUMIFS(SALIDAS_BOV2,FECHA_BOV2,"&gt;="&amp;BG$2,FECHA_BOV2,"&lt;="&amp;BG$3,CLAVE_BOV2,$A232)+SUMIFS(SALIDAS_BOV3,FECHA_BOV3,"&gt;="&amp;BG$2,FECHA_BOV3,"&lt;="&amp;BG$3,CLAVE_BOV3,$A232)+SUMIFS(SALIDAS_TC,FECHA_TC,"&gt;="&amp;BG$2,FECHA_TC,"&lt;="&amp;BG$3,CLAVE_TC,$A232)+SUMIFS(SALIDAS_COMB,FECHA_COMB,"&gt;="&amp;BG$2,FECHA_COMB,"&lt;="&amp;BG$3,CLAVE_COMB,$A232)+SUMIFS(SALIDAS_DES,FECHA_DESGLOSEN,"&gt;="&amp;BG$2,FECHA_DESGLOSEN,"&lt;="&amp;BG$3,CLAVE_DESGLOSE,$A232)</f>
        <v>583</v>
      </c>
      <c r="BH232" s="13">
        <f>SUMIFS(SALIDAS_BIT,FECHA_BIT,"&gt;="&amp;BH$2,FECHA_BIT,"&lt;="&amp;BH$3,CLAVE_BIT,$A232)+SUMIFS(SALIDAS_BOV1,FECHA_BOV1,"&gt;="&amp;BH$2,FECHA_BOV1,"&lt;="&amp;BH$3,CLAVE_BOV1,$A232)+SUMIFS(SALIDAS_BOV2,FECHA_BOV2,"&gt;="&amp;BH$2,FECHA_BOV2,"&lt;="&amp;BH$3,CLAVE_BOV2,$A232)+SUMIFS(SALIDAS_BOV3,FECHA_BOV3,"&gt;="&amp;BH$2,FECHA_BOV3,"&lt;="&amp;BH$3,CLAVE_BOV3,$A232)+SUMIFS(SALIDAS_TC,FECHA_TC,"&gt;="&amp;BH$2,FECHA_TC,"&lt;="&amp;BH$3,CLAVE_TC,$A232)+SUMIFS(SALIDAS_COMB,FECHA_COMB,"&gt;="&amp;BH$2,FECHA_COMB,"&lt;="&amp;BH$3,CLAVE_COMB,$A232)+SUMIFS(SALIDAS_DES,FECHA_DESGLOSEN,"&gt;="&amp;BH$2,FECHA_DESGLOSEN,"&lt;="&amp;BH$3,CLAVE_DESGLOSE,$A232)</f>
        <v>523</v>
      </c>
      <c r="BI232" s="13">
        <f t="shared" si="311"/>
        <v>2220</v>
      </c>
      <c r="BJ232" s="68">
        <f t="shared" si="364"/>
        <v>9780</v>
      </c>
      <c r="BK232" s="268">
        <f t="shared" si="365"/>
        <v>0.185</v>
      </c>
      <c r="BL232" s="13">
        <f t="shared" si="366"/>
        <v>12000</v>
      </c>
      <c r="BM232" s="13">
        <f>SUMIFS(SALIDAS_BIT,FECHA_BIT,"&gt;="&amp;BM$2,FECHA_BIT,"&lt;="&amp;BM$3,CLAVE_BIT,$A232)+SUMIFS(SALIDAS_BOV1,FECHA_BOV1,"&gt;="&amp;BM$2,FECHA_BOV1,"&lt;="&amp;BM$3,CLAVE_BOV1,$A232)+SUMIFS(SALIDAS_BOV2,FECHA_BOV2,"&gt;="&amp;BM$2,FECHA_BOV2,"&lt;="&amp;BM$3,CLAVE_BOV2,$A232)+SUMIFS(SALIDAS_BOV3,FECHA_BOV3,"&gt;="&amp;BM$2,FECHA_BOV3,"&lt;="&amp;BM$3,CLAVE_BOV3,$A232)+SUMIFS(SALIDAS_TC,FECHA_TC,"&gt;="&amp;BM$2,FECHA_TC,"&lt;="&amp;BM$3,CLAVE_TC,$A232)+SUMIFS(SALIDAS_COMB,FECHA_COMB,"&gt;="&amp;BM$2,FECHA_COMB,"&lt;="&amp;BM$3,CLAVE_COMB,$A232)+SUMIFS(SALIDAS_DES,FECHA_DESGLOSEN,"&gt;="&amp;BM$2,FECHA_DESGLOSEN,"&lt;="&amp;BM$3,CLAVE_DESGLOSE,$A232)</f>
        <v>2318</v>
      </c>
      <c r="BN232" s="13">
        <f>SUMIFS(SALIDAS_BIT,FECHA_BIT,"&gt;="&amp;BN$2,FECHA_BIT,"&lt;="&amp;BN$3,CLAVE_BIT,$A232)+SUMIFS(SALIDAS_BOV1,FECHA_BOV1,"&gt;="&amp;BN$2,FECHA_BOV1,"&lt;="&amp;BN$3,CLAVE_BOV1,$A232)+SUMIFS(SALIDAS_BOV2,FECHA_BOV2,"&gt;="&amp;BN$2,FECHA_BOV2,"&lt;="&amp;BN$3,CLAVE_BOV2,$A232)+SUMIFS(SALIDAS_BOV3,FECHA_BOV3,"&gt;="&amp;BN$2,FECHA_BOV3,"&lt;="&amp;BN$3,CLAVE_BOV3,$A232)+SUMIFS(SALIDAS_TC,FECHA_TC,"&gt;="&amp;BN$2,FECHA_TC,"&lt;="&amp;BN$3,CLAVE_TC,$A232)+SUMIFS(SALIDAS_COMB,FECHA_COMB,"&gt;="&amp;BN$2,FECHA_COMB,"&lt;="&amp;BN$3,CLAVE_COMB,$A232)+SUMIFS(SALIDAS_DES,FECHA_DESGLOSEN,"&gt;="&amp;BN$2,FECHA_DESGLOSEN,"&lt;="&amp;BN$3,CLAVE_DESGLOSE,$A232)</f>
        <v>1641</v>
      </c>
      <c r="BO232" s="13">
        <f>SUMIFS(SALIDAS_BIT,FECHA_BIT,"&gt;="&amp;BO$2,FECHA_BIT,"&lt;="&amp;BO$3,CLAVE_BIT,$A232)+SUMIFS(SALIDAS_BOV1,FECHA_BOV1,"&gt;="&amp;BO$2,FECHA_BOV1,"&lt;="&amp;BO$3,CLAVE_BOV1,$A232)+SUMIFS(SALIDAS_BOV2,FECHA_BOV2,"&gt;="&amp;BO$2,FECHA_BOV2,"&lt;="&amp;BO$3,CLAVE_BOV2,$A232)+SUMIFS(SALIDAS_BOV3,FECHA_BOV3,"&gt;="&amp;BO$2,FECHA_BOV3,"&lt;="&amp;BO$3,CLAVE_BOV3,$A232)+SUMIFS(SALIDAS_TC,FECHA_TC,"&gt;="&amp;BO$2,FECHA_TC,"&lt;="&amp;BO$3,CLAVE_TC,$A232)+SUMIFS(SALIDAS_COMB,FECHA_COMB,"&gt;="&amp;BO$2,FECHA_COMB,"&lt;="&amp;BO$3,CLAVE_COMB,$A232)+SUMIFS(SALIDAS_DES,FECHA_DESGLOSEN,"&gt;="&amp;BO$2,FECHA_DESGLOSEN,"&lt;="&amp;BO$3,CLAVE_DESGLOSE,$A232)</f>
        <v>420</v>
      </c>
      <c r="BP232" s="13">
        <f>SUMIFS(SALIDAS_BIT,FECHA_BIT,"&gt;="&amp;BP$2,FECHA_BIT,"&lt;="&amp;BP$3,CLAVE_BIT,$A232)+SUMIFS(SALIDAS_BOV1,FECHA_BOV1,"&gt;="&amp;BP$2,FECHA_BOV1,"&lt;="&amp;BP$3,CLAVE_BOV1,$A232)+SUMIFS(SALIDAS_BOV2,FECHA_BOV2,"&gt;="&amp;BP$2,FECHA_BOV2,"&lt;="&amp;BP$3,CLAVE_BOV2,$A232)+SUMIFS(SALIDAS_BOV3,FECHA_BOV3,"&gt;="&amp;BP$2,FECHA_BOV3,"&lt;="&amp;BP$3,CLAVE_BOV3,$A232)+SUMIFS(SALIDAS_TC,FECHA_TC,"&gt;="&amp;BP$2,FECHA_TC,"&lt;="&amp;BP$3,CLAVE_TC,$A232)+SUMIFS(SALIDAS_COMB,FECHA_COMB,"&gt;="&amp;BP$2,FECHA_COMB,"&lt;="&amp;BP$3,CLAVE_COMB,$A232)+SUMIFS(SALIDAS_DES,FECHA_DESGLOSEN,"&gt;="&amp;BP$2,FECHA_DESGLOSEN,"&lt;="&amp;BP$3,CLAVE_DESGLOSE,$A232)</f>
        <v>295</v>
      </c>
      <c r="BQ232" s="13">
        <f>SUMIFS(SALIDAS_BIT,FECHA_BIT,"&gt;="&amp;BQ$2,FECHA_BIT,"&lt;="&amp;BQ$3,CLAVE_BIT,$A232)+SUMIFS(SALIDAS_BOV1,FECHA_BOV1,"&gt;="&amp;BQ$2,FECHA_BOV1,"&lt;="&amp;BQ$3,CLAVE_BOV1,$A232)+SUMIFS(SALIDAS_BOV2,FECHA_BOV2,"&gt;="&amp;BQ$2,FECHA_BOV2,"&lt;="&amp;BQ$3,CLAVE_BOV2,$A232)+SUMIFS(SALIDAS_BOV3,FECHA_BOV3,"&gt;="&amp;BQ$2,FECHA_BOV3,"&lt;="&amp;BQ$3,CLAVE_BOV3,$A232)+SUMIFS(SALIDAS_TC,FECHA_TC,"&gt;="&amp;BQ$2,FECHA_TC,"&lt;="&amp;BQ$3,CLAVE_TC,$A232)+SUMIFS(SALIDAS_COMB,FECHA_COMB,"&gt;="&amp;BQ$2,FECHA_COMB,"&lt;="&amp;BQ$3,CLAVE_COMB,$A232)+SUMIFS(SALIDAS_DES,FECHA_DESGLOSEN,"&gt;="&amp;BQ$2,FECHA_DESGLOSEN,"&lt;="&amp;BQ$3,CLAVE_DESGLOSE,$A232)</f>
        <v>90</v>
      </c>
      <c r="BR232" s="13">
        <f t="shared" si="406"/>
        <v>4764</v>
      </c>
      <c r="BS232" s="68">
        <f t="shared" si="367"/>
        <v>7236</v>
      </c>
      <c r="BT232" s="268">
        <f t="shared" si="368"/>
        <v>0.39700000000000002</v>
      </c>
      <c r="BU232" s="13">
        <f t="shared" si="369"/>
        <v>12000</v>
      </c>
      <c r="BV232" s="13">
        <f t="shared" si="389"/>
        <v>713</v>
      </c>
      <c r="BW232" s="13">
        <f t="shared" si="389"/>
        <v>2724</v>
      </c>
      <c r="BX232" s="13">
        <f t="shared" si="389"/>
        <v>1838</v>
      </c>
      <c r="BY232" s="13">
        <f t="shared" si="389"/>
        <v>4370</v>
      </c>
      <c r="BZ232" s="13">
        <f t="shared" si="407"/>
        <v>9645</v>
      </c>
      <c r="CA232" s="68">
        <f t="shared" si="370"/>
        <v>2355</v>
      </c>
      <c r="CB232" s="268">
        <f t="shared" si="371"/>
        <v>0.80374999999999996</v>
      </c>
      <c r="CC232" s="13">
        <f t="shared" si="372"/>
        <v>15000</v>
      </c>
      <c r="CD232" s="13">
        <f t="shared" si="390"/>
        <v>3678</v>
      </c>
      <c r="CE232" s="13">
        <f t="shared" si="390"/>
        <v>3859</v>
      </c>
      <c r="CF232" s="13">
        <f t="shared" si="390"/>
        <v>10261</v>
      </c>
      <c r="CG232" s="13">
        <f t="shared" si="390"/>
        <v>3267</v>
      </c>
      <c r="CH232" s="13">
        <f t="shared" si="408"/>
        <v>21065</v>
      </c>
      <c r="CI232" s="68">
        <f t="shared" si="373"/>
        <v>-6065</v>
      </c>
      <c r="CJ232" s="268">
        <f t="shared" si="374"/>
        <v>1.4043333333333334</v>
      </c>
      <c r="CK232" s="13">
        <f t="shared" si="375"/>
        <v>15000</v>
      </c>
      <c r="CL232" s="13">
        <f t="shared" si="400"/>
        <v>8063</v>
      </c>
      <c r="CM232" s="13">
        <f t="shared" si="400"/>
        <v>11094</v>
      </c>
      <c r="CN232" s="13">
        <f t="shared" si="400"/>
        <v>27016</v>
      </c>
      <c r="CO232" s="13">
        <f t="shared" si="400"/>
        <v>29724.799999999999</v>
      </c>
      <c r="CP232" s="13">
        <f t="shared" si="400"/>
        <v>560</v>
      </c>
      <c r="CQ232" s="13">
        <f t="shared" si="409"/>
        <v>76457.8</v>
      </c>
      <c r="CR232" s="68">
        <f t="shared" si="376"/>
        <v>-61457.8</v>
      </c>
      <c r="CS232" s="268">
        <f t="shared" si="377"/>
        <v>5.0971866666666665</v>
      </c>
      <c r="CT232" s="68">
        <f t="shared" si="350"/>
        <v>0</v>
      </c>
      <c r="CU232" s="13">
        <f>SUMIFS(SALIDAS_BIT,FECHA_BIT,"&gt;="&amp;CU$2,FECHA_BIT,"&lt;="&amp;CU$3,CLAVE_BIT,$A232)+SUMIFS(SALIDAS_BOV1,FECHA_BOV1,"&gt;="&amp;CU$2,FECHA_BOV1,"&lt;="&amp;CU$3,CLAVE_BOV1,$A232)+SUMIFS(SALIDAS_BOV2,FECHA_BOV2,"&gt;="&amp;CU$2,FECHA_BOV2,"&lt;="&amp;CU$3,CLAVE_BOV2,$A232)+SUMIFS(SALIDAS_BOV3,FECHA_BOV3,"&gt;="&amp;CU$2,FECHA_BOV3,"&lt;="&amp;CU$3,CLAVE_BOV3,$A232)+SUMIFS(SALIDAS_TC,FECHA_TC,"&gt;="&amp;CU$2,FECHA_TC,"&lt;="&amp;CU$3,CLAVE_TC,$A232)+SUMIFS(SALIDAS_COMB,FECHA_COMB,"&gt;="&amp;CU$2,FECHA_COMB,"&lt;="&amp;CU$3,CLAVE_COMB,$A232)+SUMIFS(SALIDAS_DES,FECHA_DESGLOSEN,"&gt;="&amp;CU$2,FECHA_DESGLOSEN,"&lt;="&amp;CU$3,CLAVE_DESGLOSE,$A232)</f>
        <v>1596</v>
      </c>
      <c r="CV232" s="13">
        <f>SUMIFS(SALIDAS_BIT,FECHA_BIT,"&gt;="&amp;CV$2,FECHA_BIT,"&lt;="&amp;CV$3,CLAVE_BIT,$A232)+SUMIFS(SALIDAS_BOV1,FECHA_BOV1,"&gt;="&amp;CV$2,FECHA_BOV1,"&lt;="&amp;CV$3,CLAVE_BOV1,$A232)+SUMIFS(SALIDAS_BOV2,FECHA_BOV2,"&gt;="&amp;CV$2,FECHA_BOV2,"&lt;="&amp;CV$3,CLAVE_BOV2,$A232)+SUMIFS(SALIDAS_BOV3,FECHA_BOV3,"&gt;="&amp;CV$2,FECHA_BOV3,"&lt;="&amp;CV$3,CLAVE_BOV3,$A232)+SUMIFS(SALIDAS_TC,FECHA_TC,"&gt;="&amp;CV$2,FECHA_TC,"&lt;="&amp;CV$3,CLAVE_TC,$A232)+SUMIFS(SALIDAS_COMB,FECHA_COMB,"&gt;="&amp;CV$2,FECHA_COMB,"&lt;="&amp;CV$3,CLAVE_COMB,$A232)+SUMIFS(SALIDAS_DES,FECHA_DESGLOSEN,"&gt;="&amp;CV$2,FECHA_DESGLOSEN,"&lt;="&amp;CV$3,CLAVE_DESGLOSE,$A232)</f>
        <v>886</v>
      </c>
      <c r="CW232" s="13">
        <f>SUMIFS(SALIDAS_BIT,FECHA_BIT,"&gt;="&amp;CW$2,FECHA_BIT,"&lt;="&amp;CW$3,CLAVE_BIT,$A232)+SUMIFS(SALIDAS_BOV1,FECHA_BOV1,"&gt;="&amp;CW$2,FECHA_BOV1,"&lt;="&amp;CW$3,CLAVE_BOV1,$A232)+SUMIFS(SALIDAS_BOV2,FECHA_BOV2,"&gt;="&amp;CW$2,FECHA_BOV2,"&lt;="&amp;CW$3,CLAVE_BOV2,$A232)+SUMIFS(SALIDAS_BOV3,FECHA_BOV3,"&gt;="&amp;CW$2,FECHA_BOV3,"&lt;="&amp;CW$3,CLAVE_BOV3,$A232)+SUMIFS(SALIDAS_TC,FECHA_TC,"&gt;="&amp;CW$2,FECHA_TC,"&lt;="&amp;CW$3,CLAVE_TC,$A232)+SUMIFS(SALIDAS_COMB,FECHA_COMB,"&gt;="&amp;CW$2,FECHA_COMB,"&lt;="&amp;CW$3,CLAVE_COMB,$A232)+SUMIFS(SALIDAS_DES,FECHA_DESGLOSEN,"&gt;="&amp;CW$2,FECHA_DESGLOSEN,"&lt;="&amp;CW$3,CLAVE_DESGLOSE,$A232)</f>
        <v>1707</v>
      </c>
      <c r="CX232" s="13">
        <f>SUMIFS(SALIDAS_BIT,FECHA_BIT,"&gt;="&amp;CX$2,FECHA_BIT,"&lt;="&amp;CX$3,CLAVE_BIT,$A232)+SUMIFS(SALIDAS_BOV1,FECHA_BOV1,"&gt;="&amp;CX$2,FECHA_BOV1,"&lt;="&amp;CX$3,CLAVE_BOV1,$A232)+SUMIFS(SALIDAS_BOV2,FECHA_BOV2,"&gt;="&amp;CX$2,FECHA_BOV2,"&lt;="&amp;CX$3,CLAVE_BOV2,$A232)+SUMIFS(SALIDAS_BOV3,FECHA_BOV3,"&gt;="&amp;CX$2,FECHA_BOV3,"&lt;="&amp;CX$3,CLAVE_BOV3,$A232)+SUMIFS(SALIDAS_TC,FECHA_TC,"&gt;="&amp;CX$2,FECHA_TC,"&lt;="&amp;CX$3,CLAVE_TC,$A232)+SUMIFS(SALIDAS_COMB,FECHA_COMB,"&gt;="&amp;CX$2,FECHA_COMB,"&lt;="&amp;CX$3,CLAVE_COMB,$A232)+SUMIFS(SALIDAS_DES,FECHA_DESGLOSEN,"&gt;="&amp;CX$2,FECHA_DESGLOSEN,"&lt;="&amp;CX$3,CLAVE_DESGLOSE,$A232)</f>
        <v>1905</v>
      </c>
      <c r="CY232" s="13">
        <f>SUMIFS(SALIDAS_BIT,FECHA_BIT,"&gt;="&amp;CY$2,FECHA_BIT,"&lt;="&amp;CY$3,CLAVE_BIT,$A232)+SUMIFS(SALIDAS_BOV1,FECHA_BOV1,"&gt;="&amp;CY$2,FECHA_BOV1,"&lt;="&amp;CY$3,CLAVE_BOV1,$A232)+SUMIFS(SALIDAS_BOV2,FECHA_BOV2,"&gt;="&amp;CY$2,FECHA_BOV2,"&lt;="&amp;CY$3,CLAVE_BOV2,$A232)+SUMIFS(SALIDAS_BOV3,FECHA_BOV3,"&gt;="&amp;CY$2,FECHA_BOV3,"&lt;="&amp;CY$3,CLAVE_BOV3,$A232)+SUMIFS(SALIDAS_TC,FECHA_TC,"&gt;="&amp;CY$2,FECHA_TC,"&lt;="&amp;CY$3,CLAVE_TC,$A232)+SUMIFS(SALIDAS_COMB,FECHA_COMB,"&gt;="&amp;CY$2,FECHA_COMB,"&lt;="&amp;CY$3,CLAVE_COMB,$A232)+SUMIFS(SALIDAS_DES,FECHA_DESGLOSEN,"&gt;="&amp;CY$2,FECHA_DESGLOSEN,"&lt;="&amp;CY$3,CLAVE_DESGLOSE,$A232)</f>
        <v>6094</v>
      </c>
      <c r="CZ232" s="68">
        <f t="shared" si="378"/>
        <v>-6094</v>
      </c>
      <c r="DB232" s="17">
        <f>F232+N232+W232+AE232+AM232+AV232+BD232+BL232+BU232+CC232+CK232</f>
        <v>108000</v>
      </c>
      <c r="DC232" s="17">
        <f>K232+T232+AB232+AJ232+AS232+BA232+BI232+BR232+BZ232+CH232+CQ232</f>
        <v>169186.56666666665</v>
      </c>
    </row>
    <row r="233" spans="1:107" hidden="1">
      <c r="A233" s="12" t="str">
        <f t="shared" si="351"/>
        <v>CAPUBERCAP</v>
      </c>
      <c r="B233" s="12">
        <v>235</v>
      </c>
      <c r="C233" t="s">
        <v>31</v>
      </c>
      <c r="D233" t="s">
        <v>189</v>
      </c>
      <c r="E233" t="s">
        <v>31</v>
      </c>
      <c r="F233" s="259">
        <f t="shared" si="344"/>
        <v>12836</v>
      </c>
      <c r="G233" s="13">
        <f t="shared" si="401"/>
        <v>4539</v>
      </c>
      <c r="H233" s="13">
        <f t="shared" si="401"/>
        <v>5373</v>
      </c>
      <c r="I233" s="13">
        <f t="shared" si="401"/>
        <v>4520</v>
      </c>
      <c r="J233" s="13">
        <f t="shared" si="401"/>
        <v>2540</v>
      </c>
      <c r="K233" s="13">
        <f t="shared" si="401"/>
        <v>16972</v>
      </c>
      <c r="L233" s="68">
        <f t="shared" si="352"/>
        <v>-4136</v>
      </c>
      <c r="M233" s="268">
        <f t="shared" si="353"/>
        <v>1.3222187597382362</v>
      </c>
      <c r="N233" s="13">
        <f t="shared" si="345"/>
        <v>17289</v>
      </c>
      <c r="O233" s="13">
        <f t="shared" si="402"/>
        <v>5448</v>
      </c>
      <c r="P233" s="13">
        <f t="shared" si="402"/>
        <v>3903</v>
      </c>
      <c r="Q233" s="13">
        <f t="shared" si="402"/>
        <v>4129</v>
      </c>
      <c r="R233" s="13">
        <f t="shared" si="402"/>
        <v>4455</v>
      </c>
      <c r="S233" s="13">
        <f t="shared" si="402"/>
        <v>4248</v>
      </c>
      <c r="T233" s="13">
        <f t="shared" si="402"/>
        <v>22183</v>
      </c>
      <c r="U233" s="68">
        <f t="shared" si="354"/>
        <v>-4894</v>
      </c>
      <c r="V233" s="268">
        <f t="shared" si="355"/>
        <v>1.2830701602174792</v>
      </c>
      <c r="W233" s="13">
        <f t="shared" si="346"/>
        <v>15083</v>
      </c>
      <c r="X233" s="13">
        <f t="shared" si="403"/>
        <v>4181</v>
      </c>
      <c r="Y233" s="13">
        <f t="shared" si="403"/>
        <v>2263</v>
      </c>
      <c r="Z233" s="13">
        <f t="shared" si="403"/>
        <v>4590</v>
      </c>
      <c r="AA233" s="13">
        <f t="shared" si="403"/>
        <v>3773</v>
      </c>
      <c r="AB233" s="13">
        <f t="shared" si="403"/>
        <v>14807</v>
      </c>
      <c r="AC233" s="68">
        <f t="shared" si="356"/>
        <v>276</v>
      </c>
      <c r="AD233" s="268">
        <f t="shared" si="357"/>
        <v>0.98170125306636613</v>
      </c>
      <c r="AE233" s="13">
        <f t="shared" si="347"/>
        <v>11536</v>
      </c>
      <c r="AF233" s="13">
        <f t="shared" si="404"/>
        <v>3428</v>
      </c>
      <c r="AG233" s="13">
        <f t="shared" si="404"/>
        <v>4658</v>
      </c>
      <c r="AH233" s="13">
        <f t="shared" si="404"/>
        <v>4391.5</v>
      </c>
      <c r="AI233" s="13">
        <f t="shared" si="404"/>
        <v>5672</v>
      </c>
      <c r="AJ233" s="13">
        <f t="shared" si="404"/>
        <v>18149.5</v>
      </c>
      <c r="AK233" s="68">
        <f t="shared" si="358"/>
        <v>-6613.5</v>
      </c>
      <c r="AL233" s="268">
        <f t="shared" si="359"/>
        <v>1.5732923023578362</v>
      </c>
      <c r="AM233" s="13">
        <f t="shared" si="348"/>
        <v>10130</v>
      </c>
      <c r="AN233" s="13">
        <f t="shared" si="405"/>
        <v>3663</v>
      </c>
      <c r="AO233" s="13">
        <f t="shared" si="405"/>
        <v>4714</v>
      </c>
      <c r="AP233" s="13">
        <f t="shared" si="405"/>
        <v>5460</v>
      </c>
      <c r="AQ233" s="13">
        <f t="shared" si="405"/>
        <v>3153</v>
      </c>
      <c r="AR233" s="13">
        <f t="shared" si="405"/>
        <v>5832</v>
      </c>
      <c r="AS233" s="13">
        <f t="shared" si="405"/>
        <v>22822</v>
      </c>
      <c r="AT233" s="68">
        <f>AM233-AS233</f>
        <v>-12692</v>
      </c>
      <c r="AU233" s="268">
        <f t="shared" si="360"/>
        <v>2.2529121421520237</v>
      </c>
      <c r="AV233" s="13">
        <f t="shared" si="349"/>
        <v>12171</v>
      </c>
      <c r="AW233" s="13">
        <f t="shared" si="323"/>
        <v>4538</v>
      </c>
      <c r="AX233" s="13">
        <f t="shared" si="323"/>
        <v>4295</v>
      </c>
      <c r="AY233" s="13">
        <f t="shared" si="323"/>
        <v>2278</v>
      </c>
      <c r="AZ233" s="13">
        <f t="shared" si="323"/>
        <v>2685</v>
      </c>
      <c r="BA233" s="13">
        <f t="shared" si="379"/>
        <v>13796</v>
      </c>
      <c r="BB233" s="68">
        <f t="shared" si="361"/>
        <v>-1625</v>
      </c>
      <c r="BC233" s="268">
        <f t="shared" si="362"/>
        <v>1.1335140908717443</v>
      </c>
      <c r="BD233" s="13">
        <f t="shared" si="363"/>
        <v>15413</v>
      </c>
      <c r="BE233" s="13">
        <f>SUMIFS(SALIDAS_BIT,FECHA_BIT,"&gt;="&amp;BE$2,FECHA_BIT,"&lt;="&amp;BE$3,CLAVE_BIT,$A233)+SUMIFS(SALIDAS_BOV1,FECHA_BOV1,"&gt;="&amp;BE$2,FECHA_BOV1,"&lt;="&amp;BE$3,CLAVE_BOV1,$A233)+SUMIFS(SALIDAS_BOV2,FECHA_BOV2,"&gt;="&amp;BE$2,FECHA_BOV2,"&lt;="&amp;BE$3,CLAVE_BOV2,$A233)+SUMIFS(SALIDAS_BOV3,FECHA_BOV3,"&gt;="&amp;BE$2,FECHA_BOV3,"&lt;="&amp;BE$3,CLAVE_BOV3,$A233)+SUMIFS(SALIDAS_TC,FECHA_TC,"&gt;="&amp;BE$2,FECHA_TC,"&lt;="&amp;BE$3,CLAVE_TC,$A233)+SUMIFS(SALIDAS_COMB,FECHA_COMB,"&gt;="&amp;BE$2,FECHA_COMB,"&lt;="&amp;BE$3,CLAVE_COMB,$A233)+SUMIFS(SALIDAS_DES,FECHA_DESGLOSEN,"&gt;="&amp;BE$2,FECHA_DESGLOSEN,"&lt;="&amp;BE$3,CLAVE_DESGLOSE,$A233)</f>
        <v>3721</v>
      </c>
      <c r="BF233" s="13">
        <f>SUMIFS(SALIDAS_BIT,FECHA_BIT,"&gt;="&amp;BF$2,FECHA_BIT,"&lt;="&amp;BF$3,CLAVE_BIT,$A233)+SUMIFS(SALIDAS_BOV1,FECHA_BOV1,"&gt;="&amp;BF$2,FECHA_BOV1,"&lt;="&amp;BF$3,CLAVE_BOV1,$A233)+SUMIFS(SALIDAS_BOV2,FECHA_BOV2,"&gt;="&amp;BF$2,FECHA_BOV2,"&lt;="&amp;BF$3,CLAVE_BOV2,$A233)+SUMIFS(SALIDAS_BOV3,FECHA_BOV3,"&gt;="&amp;BF$2,FECHA_BOV3,"&lt;="&amp;BF$3,CLAVE_BOV3,$A233)+SUMIFS(SALIDAS_TC,FECHA_TC,"&gt;="&amp;BF$2,FECHA_TC,"&lt;="&amp;BF$3,CLAVE_TC,$A233)+SUMIFS(SALIDAS_COMB,FECHA_COMB,"&gt;="&amp;BF$2,FECHA_COMB,"&lt;="&amp;BF$3,CLAVE_COMB,$A233)+SUMIFS(SALIDAS_DES,FECHA_DESGLOSEN,"&gt;="&amp;BF$2,FECHA_DESGLOSEN,"&lt;="&amp;BF$3,CLAVE_DESGLOSE,$A233)</f>
        <v>2895</v>
      </c>
      <c r="BG233" s="13">
        <f>SUMIFS(SALIDAS_BIT,FECHA_BIT,"&gt;="&amp;BG$2,FECHA_BIT,"&lt;="&amp;BG$3,CLAVE_BIT,$A233)+SUMIFS(SALIDAS_BOV1,FECHA_BOV1,"&gt;="&amp;BG$2,FECHA_BOV1,"&lt;="&amp;BG$3,CLAVE_BOV1,$A233)+SUMIFS(SALIDAS_BOV2,FECHA_BOV2,"&gt;="&amp;BG$2,FECHA_BOV2,"&lt;="&amp;BG$3,CLAVE_BOV2,$A233)+SUMIFS(SALIDAS_BOV3,FECHA_BOV3,"&gt;="&amp;BG$2,FECHA_BOV3,"&lt;="&amp;BG$3,CLAVE_BOV3,$A233)+SUMIFS(SALIDAS_TC,FECHA_TC,"&gt;="&amp;BG$2,FECHA_TC,"&lt;="&amp;BG$3,CLAVE_TC,$A233)+SUMIFS(SALIDAS_COMB,FECHA_COMB,"&gt;="&amp;BG$2,FECHA_COMB,"&lt;="&amp;BG$3,CLAVE_COMB,$A233)+SUMIFS(SALIDAS_DES,FECHA_DESGLOSEN,"&gt;="&amp;BG$2,FECHA_DESGLOSEN,"&lt;="&amp;BG$3,CLAVE_DESGLOSE,$A233)</f>
        <v>2523</v>
      </c>
      <c r="BH233" s="13">
        <f>SUMIFS(SALIDAS_BIT,FECHA_BIT,"&gt;="&amp;BH$2,FECHA_BIT,"&lt;="&amp;BH$3,CLAVE_BIT,$A233)+SUMIFS(SALIDAS_BOV1,FECHA_BOV1,"&gt;="&amp;BH$2,FECHA_BOV1,"&lt;="&amp;BH$3,CLAVE_BOV1,$A233)+SUMIFS(SALIDAS_BOV2,FECHA_BOV2,"&gt;="&amp;BH$2,FECHA_BOV2,"&lt;="&amp;BH$3,CLAVE_BOV2,$A233)+SUMIFS(SALIDAS_BOV3,FECHA_BOV3,"&gt;="&amp;BH$2,FECHA_BOV3,"&lt;="&amp;BH$3,CLAVE_BOV3,$A233)+SUMIFS(SALIDAS_TC,FECHA_TC,"&gt;="&amp;BH$2,FECHA_TC,"&lt;="&amp;BH$3,CLAVE_TC,$A233)+SUMIFS(SALIDAS_COMB,FECHA_COMB,"&gt;="&amp;BH$2,FECHA_COMB,"&lt;="&amp;BH$3,CLAVE_COMB,$A233)+SUMIFS(SALIDAS_DES,FECHA_DESGLOSEN,"&gt;="&amp;BH$2,FECHA_DESGLOSEN,"&lt;="&amp;BH$3,CLAVE_DESGLOSE,$A233)</f>
        <v>1971</v>
      </c>
      <c r="BI233" s="13">
        <f t="shared" si="311"/>
        <v>11110</v>
      </c>
      <c r="BJ233" s="68">
        <f t="shared" si="364"/>
        <v>4303</v>
      </c>
      <c r="BK233" s="268">
        <f t="shared" si="365"/>
        <v>0.72082008693959643</v>
      </c>
      <c r="BL233" s="13">
        <f t="shared" si="366"/>
        <v>17328</v>
      </c>
      <c r="BM233" s="13">
        <f>SUMIFS(SALIDAS_BIT,FECHA_BIT,"&gt;="&amp;BM$2,FECHA_BIT,"&lt;="&amp;BM$3,CLAVE_BIT,$A233)+SUMIFS(SALIDAS_BOV1,FECHA_BOV1,"&gt;="&amp;BM$2,FECHA_BOV1,"&lt;="&amp;BM$3,CLAVE_BOV1,$A233)+SUMIFS(SALIDAS_BOV2,FECHA_BOV2,"&gt;="&amp;BM$2,FECHA_BOV2,"&lt;="&amp;BM$3,CLAVE_BOV2,$A233)+SUMIFS(SALIDAS_BOV3,FECHA_BOV3,"&gt;="&amp;BM$2,FECHA_BOV3,"&lt;="&amp;BM$3,CLAVE_BOV3,$A233)+SUMIFS(SALIDAS_TC,FECHA_TC,"&gt;="&amp;BM$2,FECHA_TC,"&lt;="&amp;BM$3,CLAVE_TC,$A233)+SUMIFS(SALIDAS_COMB,FECHA_COMB,"&gt;="&amp;BM$2,FECHA_COMB,"&lt;="&amp;BM$3,CLAVE_COMB,$A233)+SUMIFS(SALIDAS_DES,FECHA_DESGLOSEN,"&gt;="&amp;BM$2,FECHA_DESGLOSEN,"&lt;="&amp;BM$3,CLAVE_DESGLOSE,$A233)</f>
        <v>1365</v>
      </c>
      <c r="BN233" s="13">
        <f>SUMIFS(SALIDAS_BIT,FECHA_BIT,"&gt;="&amp;BN$2,FECHA_BIT,"&lt;="&amp;BN$3,CLAVE_BIT,$A233)+SUMIFS(SALIDAS_BOV1,FECHA_BOV1,"&gt;="&amp;BN$2,FECHA_BOV1,"&lt;="&amp;BN$3,CLAVE_BOV1,$A233)+SUMIFS(SALIDAS_BOV2,FECHA_BOV2,"&gt;="&amp;BN$2,FECHA_BOV2,"&lt;="&amp;BN$3,CLAVE_BOV2,$A233)+SUMIFS(SALIDAS_BOV3,FECHA_BOV3,"&gt;="&amp;BN$2,FECHA_BOV3,"&lt;="&amp;BN$3,CLAVE_BOV3,$A233)+SUMIFS(SALIDAS_TC,FECHA_TC,"&gt;="&amp;BN$2,FECHA_TC,"&lt;="&amp;BN$3,CLAVE_TC,$A233)+SUMIFS(SALIDAS_COMB,FECHA_COMB,"&gt;="&amp;BN$2,FECHA_COMB,"&lt;="&amp;BN$3,CLAVE_COMB,$A233)+SUMIFS(SALIDAS_DES,FECHA_DESGLOSEN,"&gt;="&amp;BN$2,FECHA_DESGLOSEN,"&lt;="&amp;BN$3,CLAVE_DESGLOSE,$A233)</f>
        <v>1754</v>
      </c>
      <c r="BO233" s="13">
        <f>SUMIFS(SALIDAS_BIT,FECHA_BIT,"&gt;="&amp;BO$2,FECHA_BIT,"&lt;="&amp;BO$3,CLAVE_BIT,$A233)+SUMIFS(SALIDAS_BOV1,FECHA_BOV1,"&gt;="&amp;BO$2,FECHA_BOV1,"&lt;="&amp;BO$3,CLAVE_BOV1,$A233)+SUMIFS(SALIDAS_BOV2,FECHA_BOV2,"&gt;="&amp;BO$2,FECHA_BOV2,"&lt;="&amp;BO$3,CLAVE_BOV2,$A233)+SUMIFS(SALIDAS_BOV3,FECHA_BOV3,"&gt;="&amp;BO$2,FECHA_BOV3,"&lt;="&amp;BO$3,CLAVE_BOV3,$A233)+SUMIFS(SALIDAS_TC,FECHA_TC,"&gt;="&amp;BO$2,FECHA_TC,"&lt;="&amp;BO$3,CLAVE_TC,$A233)+SUMIFS(SALIDAS_COMB,FECHA_COMB,"&gt;="&amp;BO$2,FECHA_COMB,"&lt;="&amp;BO$3,CLAVE_COMB,$A233)+SUMIFS(SALIDAS_DES,FECHA_DESGLOSEN,"&gt;="&amp;BO$2,FECHA_DESGLOSEN,"&lt;="&amp;BO$3,CLAVE_DESGLOSE,$A233)</f>
        <v>2553</v>
      </c>
      <c r="BP233" s="13">
        <f>SUMIFS(SALIDAS_BIT,FECHA_BIT,"&gt;="&amp;BP$2,FECHA_BIT,"&lt;="&amp;BP$3,CLAVE_BIT,$A233)+SUMIFS(SALIDAS_BOV1,FECHA_BOV1,"&gt;="&amp;BP$2,FECHA_BOV1,"&lt;="&amp;BP$3,CLAVE_BOV1,$A233)+SUMIFS(SALIDAS_BOV2,FECHA_BOV2,"&gt;="&amp;BP$2,FECHA_BOV2,"&lt;="&amp;BP$3,CLAVE_BOV2,$A233)+SUMIFS(SALIDAS_BOV3,FECHA_BOV3,"&gt;="&amp;BP$2,FECHA_BOV3,"&lt;="&amp;BP$3,CLAVE_BOV3,$A233)+SUMIFS(SALIDAS_TC,FECHA_TC,"&gt;="&amp;BP$2,FECHA_TC,"&lt;="&amp;BP$3,CLAVE_TC,$A233)+SUMIFS(SALIDAS_COMB,FECHA_COMB,"&gt;="&amp;BP$2,FECHA_COMB,"&lt;="&amp;BP$3,CLAVE_COMB,$A233)+SUMIFS(SALIDAS_DES,FECHA_DESGLOSEN,"&gt;="&amp;BP$2,FECHA_DESGLOSEN,"&lt;="&amp;BP$3,CLAVE_DESGLOSE,$A233)</f>
        <v>2502</v>
      </c>
      <c r="BQ233" s="13">
        <f>SUMIFS(SALIDAS_BIT,FECHA_BIT,"&gt;="&amp;BQ$2,FECHA_BIT,"&lt;="&amp;BQ$3,CLAVE_BIT,$A233)+SUMIFS(SALIDAS_BOV1,FECHA_BOV1,"&gt;="&amp;BQ$2,FECHA_BOV1,"&lt;="&amp;BQ$3,CLAVE_BOV1,$A233)+SUMIFS(SALIDAS_BOV2,FECHA_BOV2,"&gt;="&amp;BQ$2,FECHA_BOV2,"&lt;="&amp;BQ$3,CLAVE_BOV2,$A233)+SUMIFS(SALIDAS_BOV3,FECHA_BOV3,"&gt;="&amp;BQ$2,FECHA_BOV3,"&lt;="&amp;BQ$3,CLAVE_BOV3,$A233)+SUMIFS(SALIDAS_TC,FECHA_TC,"&gt;="&amp;BQ$2,FECHA_TC,"&lt;="&amp;BQ$3,CLAVE_TC,$A233)+SUMIFS(SALIDAS_COMB,FECHA_COMB,"&gt;="&amp;BQ$2,FECHA_COMB,"&lt;="&amp;BQ$3,CLAVE_COMB,$A233)+SUMIFS(SALIDAS_DES,FECHA_DESGLOSEN,"&gt;="&amp;BQ$2,FECHA_DESGLOSEN,"&lt;="&amp;BQ$3,CLAVE_DESGLOSE,$A233)</f>
        <v>3133</v>
      </c>
      <c r="BR233" s="13">
        <f t="shared" si="406"/>
        <v>11307</v>
      </c>
      <c r="BS233" s="68">
        <f t="shared" si="367"/>
        <v>6021</v>
      </c>
      <c r="BT233" s="268">
        <f t="shared" si="368"/>
        <v>0.65252770083102496</v>
      </c>
      <c r="BU233" s="13">
        <f t="shared" si="369"/>
        <v>16000</v>
      </c>
      <c r="BV233" s="13">
        <f t="shared" si="389"/>
        <v>2397</v>
      </c>
      <c r="BW233" s="13">
        <f t="shared" si="389"/>
        <v>2249</v>
      </c>
      <c r="BX233" s="13">
        <f t="shared" si="389"/>
        <v>2364</v>
      </c>
      <c r="BY233" s="13">
        <f t="shared" si="389"/>
        <v>4170</v>
      </c>
      <c r="BZ233" s="13">
        <f t="shared" si="407"/>
        <v>11180</v>
      </c>
      <c r="CA233" s="68">
        <f t="shared" si="370"/>
        <v>4820</v>
      </c>
      <c r="CB233" s="268">
        <f t="shared" si="371"/>
        <v>0.69874999999999998</v>
      </c>
      <c r="CC233" s="13">
        <f t="shared" si="372"/>
        <v>16000</v>
      </c>
      <c r="CD233" s="13">
        <f t="shared" si="390"/>
        <v>2401</v>
      </c>
      <c r="CE233" s="13">
        <f t="shared" si="390"/>
        <v>1971</v>
      </c>
      <c r="CF233" s="13">
        <f t="shared" si="390"/>
        <v>1690</v>
      </c>
      <c r="CG233" s="13">
        <f t="shared" si="390"/>
        <v>2909</v>
      </c>
      <c r="CH233" s="13">
        <f t="shared" si="408"/>
        <v>8971</v>
      </c>
      <c r="CI233" s="68">
        <f t="shared" si="373"/>
        <v>7029</v>
      </c>
      <c r="CJ233" s="268">
        <f t="shared" si="374"/>
        <v>0.56068750000000001</v>
      </c>
      <c r="CK233" s="13">
        <f t="shared" si="375"/>
        <v>20000</v>
      </c>
      <c r="CL233" s="13">
        <f t="shared" si="400"/>
        <v>3191</v>
      </c>
      <c r="CM233" s="13">
        <f t="shared" si="400"/>
        <v>5366</v>
      </c>
      <c r="CN233" s="13">
        <f t="shared" si="400"/>
        <v>10702</v>
      </c>
      <c r="CO233" s="13">
        <f t="shared" si="400"/>
        <v>14260</v>
      </c>
      <c r="CP233" s="13">
        <f t="shared" si="400"/>
        <v>5707</v>
      </c>
      <c r="CQ233" s="13">
        <f t="shared" si="409"/>
        <v>39226</v>
      </c>
      <c r="CR233" s="68">
        <f t="shared" si="376"/>
        <v>-19226</v>
      </c>
      <c r="CS233" s="268">
        <f t="shared" si="377"/>
        <v>1.9613</v>
      </c>
      <c r="CT233" s="68">
        <f t="shared" si="350"/>
        <v>2000</v>
      </c>
      <c r="CU233" s="13">
        <f>SUMIFS(SALIDAS_BIT,FECHA_BIT,"&gt;="&amp;CU$2,FECHA_BIT,"&lt;="&amp;CU$3,CLAVE_BIT,$A233)+SUMIFS(SALIDAS_BOV1,FECHA_BOV1,"&gt;="&amp;CU$2,FECHA_BOV1,"&lt;="&amp;CU$3,CLAVE_BOV1,$A233)+SUMIFS(SALIDAS_BOV2,FECHA_BOV2,"&gt;="&amp;CU$2,FECHA_BOV2,"&lt;="&amp;CU$3,CLAVE_BOV2,$A233)+SUMIFS(SALIDAS_BOV3,FECHA_BOV3,"&gt;="&amp;CU$2,FECHA_BOV3,"&lt;="&amp;CU$3,CLAVE_BOV3,$A233)+SUMIFS(SALIDAS_TC,FECHA_TC,"&gt;="&amp;CU$2,FECHA_TC,"&lt;="&amp;CU$3,CLAVE_TC,$A233)+SUMIFS(SALIDAS_COMB,FECHA_COMB,"&gt;="&amp;CU$2,FECHA_COMB,"&lt;="&amp;CU$3,CLAVE_COMB,$A233)+SUMIFS(SALIDAS_DES,FECHA_DESGLOSEN,"&gt;="&amp;CU$2,FECHA_DESGLOSEN,"&lt;="&amp;CU$3,CLAVE_DESGLOSE,$A233)</f>
        <v>4341</v>
      </c>
      <c r="CV233" s="13">
        <f>SUMIFS(SALIDAS_BIT,FECHA_BIT,"&gt;="&amp;CV$2,FECHA_BIT,"&lt;="&amp;CV$3,CLAVE_BIT,$A233)+SUMIFS(SALIDAS_BOV1,FECHA_BOV1,"&gt;="&amp;CV$2,FECHA_BOV1,"&lt;="&amp;CV$3,CLAVE_BOV1,$A233)+SUMIFS(SALIDAS_BOV2,FECHA_BOV2,"&gt;="&amp;CV$2,FECHA_BOV2,"&lt;="&amp;CV$3,CLAVE_BOV2,$A233)+SUMIFS(SALIDAS_BOV3,FECHA_BOV3,"&gt;="&amp;CV$2,FECHA_BOV3,"&lt;="&amp;CV$3,CLAVE_BOV3,$A233)+SUMIFS(SALIDAS_TC,FECHA_TC,"&gt;="&amp;CV$2,FECHA_TC,"&lt;="&amp;CV$3,CLAVE_TC,$A233)+SUMIFS(SALIDAS_COMB,FECHA_COMB,"&gt;="&amp;CV$2,FECHA_COMB,"&lt;="&amp;CV$3,CLAVE_COMB,$A233)+SUMIFS(SALIDAS_DES,FECHA_DESGLOSEN,"&gt;="&amp;CV$2,FECHA_DESGLOSEN,"&lt;="&amp;CV$3,CLAVE_DESGLOSE,$A233)</f>
        <v>2883</v>
      </c>
      <c r="CW233" s="13">
        <f>SUMIFS(SALIDAS_BIT,FECHA_BIT,"&gt;="&amp;CW$2,FECHA_BIT,"&lt;="&amp;CW$3,CLAVE_BIT,$A233)+SUMIFS(SALIDAS_BOV1,FECHA_BOV1,"&gt;="&amp;CW$2,FECHA_BOV1,"&lt;="&amp;CW$3,CLAVE_BOV1,$A233)+SUMIFS(SALIDAS_BOV2,FECHA_BOV2,"&gt;="&amp;CW$2,FECHA_BOV2,"&lt;="&amp;CW$3,CLAVE_BOV2,$A233)+SUMIFS(SALIDAS_BOV3,FECHA_BOV3,"&gt;="&amp;CW$2,FECHA_BOV3,"&lt;="&amp;CW$3,CLAVE_BOV3,$A233)+SUMIFS(SALIDAS_TC,FECHA_TC,"&gt;="&amp;CW$2,FECHA_TC,"&lt;="&amp;CW$3,CLAVE_TC,$A233)+SUMIFS(SALIDAS_COMB,FECHA_COMB,"&gt;="&amp;CW$2,FECHA_COMB,"&lt;="&amp;CW$3,CLAVE_COMB,$A233)+SUMIFS(SALIDAS_DES,FECHA_DESGLOSEN,"&gt;="&amp;CW$2,FECHA_DESGLOSEN,"&lt;="&amp;CW$3,CLAVE_DESGLOSE,$A233)</f>
        <v>3870</v>
      </c>
      <c r="CX233" s="13">
        <f>SUMIFS(SALIDAS_BIT,FECHA_BIT,"&gt;="&amp;CX$2,FECHA_BIT,"&lt;="&amp;CX$3,CLAVE_BIT,$A233)+SUMIFS(SALIDAS_BOV1,FECHA_BOV1,"&gt;="&amp;CX$2,FECHA_BOV1,"&lt;="&amp;CX$3,CLAVE_BOV1,$A233)+SUMIFS(SALIDAS_BOV2,FECHA_BOV2,"&gt;="&amp;CX$2,FECHA_BOV2,"&lt;="&amp;CX$3,CLAVE_BOV2,$A233)+SUMIFS(SALIDAS_BOV3,FECHA_BOV3,"&gt;="&amp;CX$2,FECHA_BOV3,"&lt;="&amp;CX$3,CLAVE_BOV3,$A233)+SUMIFS(SALIDAS_TC,FECHA_TC,"&gt;="&amp;CX$2,FECHA_TC,"&lt;="&amp;CX$3,CLAVE_TC,$A233)+SUMIFS(SALIDAS_COMB,FECHA_COMB,"&gt;="&amp;CX$2,FECHA_COMB,"&lt;="&amp;CX$3,CLAVE_COMB,$A233)+SUMIFS(SALIDAS_DES,FECHA_DESGLOSEN,"&gt;="&amp;CX$2,FECHA_DESGLOSEN,"&lt;="&amp;CX$3,CLAVE_DESGLOSE,$A233)</f>
        <v>3993</v>
      </c>
      <c r="CY233" s="13">
        <f>SUMIFS(SALIDAS_BIT,FECHA_BIT,"&gt;="&amp;CY$2,FECHA_BIT,"&lt;="&amp;CY$3,CLAVE_BIT,$A233)+SUMIFS(SALIDAS_BOV1,FECHA_BOV1,"&gt;="&amp;CY$2,FECHA_BOV1,"&lt;="&amp;CY$3,CLAVE_BOV1,$A233)+SUMIFS(SALIDAS_BOV2,FECHA_BOV2,"&gt;="&amp;CY$2,FECHA_BOV2,"&lt;="&amp;CY$3,CLAVE_BOV2,$A233)+SUMIFS(SALIDAS_BOV3,FECHA_BOV3,"&gt;="&amp;CY$2,FECHA_BOV3,"&lt;="&amp;CY$3,CLAVE_BOV3,$A233)+SUMIFS(SALIDAS_TC,FECHA_TC,"&gt;="&amp;CY$2,FECHA_TC,"&lt;="&amp;CY$3,CLAVE_TC,$A233)+SUMIFS(SALIDAS_COMB,FECHA_COMB,"&gt;="&amp;CY$2,FECHA_COMB,"&lt;="&amp;CY$3,CLAVE_COMB,$A233)+SUMIFS(SALIDAS_DES,FECHA_DESGLOSEN,"&gt;="&amp;CY$2,FECHA_DESGLOSEN,"&lt;="&amp;CY$3,CLAVE_DESGLOSE,$A233)</f>
        <v>15087</v>
      </c>
      <c r="CZ233" s="68">
        <f t="shared" si="378"/>
        <v>-13087</v>
      </c>
      <c r="DB233" s="17">
        <f>F233+N233+W233+AE233+AM233+AV233+BD233+BL233+BU233+CC233+CK233</f>
        <v>163786</v>
      </c>
      <c r="DC233" s="17">
        <f>K233+T233+AB233+AJ233+AS233+BA233+BI233+BR233+BZ233+CH233+CQ233</f>
        <v>190523.5</v>
      </c>
    </row>
    <row r="234" spans="1:107" hidden="1">
      <c r="A234" s="12" t="str">
        <f t="shared" si="351"/>
        <v>FINANZASSEGUROEDIFICIO</v>
      </c>
      <c r="B234" s="12">
        <v>236</v>
      </c>
      <c r="C234" t="s">
        <v>23</v>
      </c>
      <c r="D234" t="s">
        <v>173</v>
      </c>
      <c r="E234" t="s">
        <v>174</v>
      </c>
      <c r="F234" s="259">
        <f t="shared" si="344"/>
        <v>0</v>
      </c>
      <c r="G234" s="13">
        <f t="shared" si="401"/>
        <v>0</v>
      </c>
      <c r="H234" s="13">
        <f t="shared" si="401"/>
        <v>0</v>
      </c>
      <c r="I234" s="13">
        <f t="shared" si="401"/>
        <v>0</v>
      </c>
      <c r="J234" s="13">
        <f t="shared" si="401"/>
        <v>0</v>
      </c>
      <c r="K234" s="13">
        <f t="shared" si="401"/>
        <v>0</v>
      </c>
      <c r="L234" s="68">
        <f t="shared" si="352"/>
        <v>0</v>
      </c>
      <c r="M234" s="268">
        <f t="shared" si="353"/>
        <v>0</v>
      </c>
      <c r="N234" s="13">
        <f t="shared" si="345"/>
        <v>0</v>
      </c>
      <c r="O234" s="13">
        <f t="shared" si="402"/>
        <v>0</v>
      </c>
      <c r="P234" s="13">
        <f t="shared" si="402"/>
        <v>0</v>
      </c>
      <c r="Q234" s="13">
        <f t="shared" si="402"/>
        <v>0</v>
      </c>
      <c r="R234" s="13">
        <f t="shared" si="402"/>
        <v>0</v>
      </c>
      <c r="S234" s="13">
        <f t="shared" si="402"/>
        <v>0</v>
      </c>
      <c r="T234" s="13">
        <f t="shared" si="402"/>
        <v>0</v>
      </c>
      <c r="U234" s="68">
        <f t="shared" si="354"/>
        <v>0</v>
      </c>
      <c r="V234" s="268">
        <f t="shared" si="355"/>
        <v>0</v>
      </c>
      <c r="W234" s="13">
        <f t="shared" si="346"/>
        <v>25000</v>
      </c>
      <c r="X234" s="13">
        <f t="shared" si="403"/>
        <v>0</v>
      </c>
      <c r="Y234" s="13">
        <f t="shared" si="403"/>
        <v>0</v>
      </c>
      <c r="Z234" s="13">
        <f t="shared" si="403"/>
        <v>0</v>
      </c>
      <c r="AA234" s="13">
        <f t="shared" si="403"/>
        <v>0</v>
      </c>
      <c r="AB234" s="13">
        <f t="shared" si="403"/>
        <v>0</v>
      </c>
      <c r="AC234" s="68">
        <f t="shared" si="356"/>
        <v>25000</v>
      </c>
      <c r="AD234" s="268">
        <f t="shared" si="357"/>
        <v>0</v>
      </c>
      <c r="AE234" s="13">
        <f t="shared" si="347"/>
        <v>0</v>
      </c>
      <c r="AF234" s="13">
        <f t="shared" si="404"/>
        <v>22131.95</v>
      </c>
      <c r="AG234" s="13">
        <f t="shared" si="404"/>
        <v>0</v>
      </c>
      <c r="AH234" s="13">
        <f t="shared" si="404"/>
        <v>0</v>
      </c>
      <c r="AI234" s="13">
        <f t="shared" si="404"/>
        <v>0</v>
      </c>
      <c r="AJ234" s="13">
        <f t="shared" si="404"/>
        <v>22131.95</v>
      </c>
      <c r="AK234" s="68">
        <f t="shared" si="358"/>
        <v>-22131.95</v>
      </c>
      <c r="AL234" s="268">
        <f t="shared" si="359"/>
        <v>0</v>
      </c>
      <c r="AM234" s="13">
        <f t="shared" si="348"/>
        <v>0</v>
      </c>
      <c r="AN234" s="13">
        <f t="shared" si="405"/>
        <v>0</v>
      </c>
      <c r="AO234" s="13">
        <f t="shared" si="405"/>
        <v>0</v>
      </c>
      <c r="AP234" s="13">
        <f t="shared" si="405"/>
        <v>0</v>
      </c>
      <c r="AQ234" s="13">
        <f t="shared" si="405"/>
        <v>0</v>
      </c>
      <c r="AR234" s="13">
        <f t="shared" si="405"/>
        <v>0</v>
      </c>
      <c r="AS234" s="13">
        <f t="shared" si="405"/>
        <v>0</v>
      </c>
      <c r="AT234" s="68">
        <f>AM234-AS234</f>
        <v>0</v>
      </c>
      <c r="AU234" s="268">
        <f t="shared" si="360"/>
        <v>0</v>
      </c>
      <c r="AV234" s="13">
        <f t="shared" si="349"/>
        <v>25000</v>
      </c>
      <c r="AW234" s="13">
        <f t="shared" si="323"/>
        <v>0</v>
      </c>
      <c r="AX234" s="13">
        <f t="shared" si="323"/>
        <v>0</v>
      </c>
      <c r="AY234" s="13">
        <f t="shared" si="323"/>
        <v>0</v>
      </c>
      <c r="AZ234" s="13">
        <f t="shared" si="323"/>
        <v>0</v>
      </c>
      <c r="BA234" s="13">
        <f t="shared" si="379"/>
        <v>0</v>
      </c>
      <c r="BB234" s="68">
        <f t="shared" si="361"/>
        <v>25000</v>
      </c>
      <c r="BC234" s="268">
        <f t="shared" si="362"/>
        <v>0</v>
      </c>
      <c r="BD234" s="13">
        <f t="shared" si="363"/>
        <v>0</v>
      </c>
      <c r="BE234" s="13">
        <f>SUMIFS(SALIDAS_BIT,FECHA_BIT,"&gt;="&amp;BE$2,FECHA_BIT,"&lt;="&amp;BE$3,CLAVE_BIT,$A234)+SUMIFS(SALIDAS_BOV1,FECHA_BOV1,"&gt;="&amp;BE$2,FECHA_BOV1,"&lt;="&amp;BE$3,CLAVE_BOV1,$A234)+SUMIFS(SALIDAS_BOV2,FECHA_BOV2,"&gt;="&amp;BE$2,FECHA_BOV2,"&lt;="&amp;BE$3,CLAVE_BOV2,$A234)+SUMIFS(SALIDAS_BOV3,FECHA_BOV3,"&gt;="&amp;BE$2,FECHA_BOV3,"&lt;="&amp;BE$3,CLAVE_BOV3,$A234)+SUMIFS(SALIDAS_TC,FECHA_TC,"&gt;="&amp;BE$2,FECHA_TC,"&lt;="&amp;BE$3,CLAVE_TC,$A234)+SUMIFS(SALIDAS_COMB,FECHA_COMB,"&gt;="&amp;BE$2,FECHA_COMB,"&lt;="&amp;BE$3,CLAVE_COMB,$A234)+SUMIFS(SALIDAS_DES,FECHA_DESGLOSEN,"&gt;="&amp;BE$2,FECHA_DESGLOSEN,"&lt;="&amp;BE$3,CLAVE_DESGLOSE,$A234)</f>
        <v>0</v>
      </c>
      <c r="BF234" s="13">
        <f>SUMIFS(SALIDAS_BIT,FECHA_BIT,"&gt;="&amp;BF$2,FECHA_BIT,"&lt;="&amp;BF$3,CLAVE_BIT,$A234)+SUMIFS(SALIDAS_BOV1,FECHA_BOV1,"&gt;="&amp;BF$2,FECHA_BOV1,"&lt;="&amp;BF$3,CLAVE_BOV1,$A234)+SUMIFS(SALIDAS_BOV2,FECHA_BOV2,"&gt;="&amp;BF$2,FECHA_BOV2,"&lt;="&amp;BF$3,CLAVE_BOV2,$A234)+SUMIFS(SALIDAS_BOV3,FECHA_BOV3,"&gt;="&amp;BF$2,FECHA_BOV3,"&lt;="&amp;BF$3,CLAVE_BOV3,$A234)+SUMIFS(SALIDAS_TC,FECHA_TC,"&gt;="&amp;BF$2,FECHA_TC,"&lt;="&amp;BF$3,CLAVE_TC,$A234)+SUMIFS(SALIDAS_COMB,FECHA_COMB,"&gt;="&amp;BF$2,FECHA_COMB,"&lt;="&amp;BF$3,CLAVE_COMB,$A234)+SUMIFS(SALIDAS_DES,FECHA_DESGLOSEN,"&gt;="&amp;BF$2,FECHA_DESGLOSEN,"&lt;="&amp;BF$3,CLAVE_DESGLOSE,$A234)</f>
        <v>0</v>
      </c>
      <c r="BG234" s="13">
        <f>SUMIFS(SALIDAS_BIT,FECHA_BIT,"&gt;="&amp;BG$2,FECHA_BIT,"&lt;="&amp;BG$3,CLAVE_BIT,$A234)+SUMIFS(SALIDAS_BOV1,FECHA_BOV1,"&gt;="&amp;BG$2,FECHA_BOV1,"&lt;="&amp;BG$3,CLAVE_BOV1,$A234)+SUMIFS(SALIDAS_BOV2,FECHA_BOV2,"&gt;="&amp;BG$2,FECHA_BOV2,"&lt;="&amp;BG$3,CLAVE_BOV2,$A234)+SUMIFS(SALIDAS_BOV3,FECHA_BOV3,"&gt;="&amp;BG$2,FECHA_BOV3,"&lt;="&amp;BG$3,CLAVE_BOV3,$A234)+SUMIFS(SALIDAS_TC,FECHA_TC,"&gt;="&amp;BG$2,FECHA_TC,"&lt;="&amp;BG$3,CLAVE_TC,$A234)+SUMIFS(SALIDAS_COMB,FECHA_COMB,"&gt;="&amp;BG$2,FECHA_COMB,"&lt;="&amp;BG$3,CLAVE_COMB,$A234)+SUMIFS(SALIDAS_DES,FECHA_DESGLOSEN,"&gt;="&amp;BG$2,FECHA_DESGLOSEN,"&lt;="&amp;BG$3,CLAVE_DESGLOSE,$A234)</f>
        <v>0</v>
      </c>
      <c r="BH234" s="13">
        <f>SUMIFS(SALIDAS_BIT,FECHA_BIT,"&gt;="&amp;BH$2,FECHA_BIT,"&lt;="&amp;BH$3,CLAVE_BIT,$A234)+SUMIFS(SALIDAS_BOV1,FECHA_BOV1,"&gt;="&amp;BH$2,FECHA_BOV1,"&lt;="&amp;BH$3,CLAVE_BOV1,$A234)+SUMIFS(SALIDAS_BOV2,FECHA_BOV2,"&gt;="&amp;BH$2,FECHA_BOV2,"&lt;="&amp;BH$3,CLAVE_BOV2,$A234)+SUMIFS(SALIDAS_BOV3,FECHA_BOV3,"&gt;="&amp;BH$2,FECHA_BOV3,"&lt;="&amp;BH$3,CLAVE_BOV3,$A234)+SUMIFS(SALIDAS_TC,FECHA_TC,"&gt;="&amp;BH$2,FECHA_TC,"&lt;="&amp;BH$3,CLAVE_TC,$A234)+SUMIFS(SALIDAS_COMB,FECHA_COMB,"&gt;="&amp;BH$2,FECHA_COMB,"&lt;="&amp;BH$3,CLAVE_COMB,$A234)+SUMIFS(SALIDAS_DES,FECHA_DESGLOSEN,"&gt;="&amp;BH$2,FECHA_DESGLOSEN,"&lt;="&amp;BH$3,CLAVE_DESGLOSE,$A234)</f>
        <v>0</v>
      </c>
      <c r="BI234" s="13">
        <f t="shared" si="311"/>
        <v>0</v>
      </c>
      <c r="BJ234" s="68">
        <f t="shared" si="364"/>
        <v>0</v>
      </c>
      <c r="BK234" s="268">
        <f t="shared" si="365"/>
        <v>0</v>
      </c>
      <c r="BL234" s="13">
        <f t="shared" si="366"/>
        <v>0</v>
      </c>
      <c r="BM234" s="13">
        <f>SUMIFS(SALIDAS_BIT,FECHA_BIT,"&gt;="&amp;BM$2,FECHA_BIT,"&lt;="&amp;BM$3,CLAVE_BIT,$A234)+SUMIFS(SALIDAS_BOV1,FECHA_BOV1,"&gt;="&amp;BM$2,FECHA_BOV1,"&lt;="&amp;BM$3,CLAVE_BOV1,$A234)+SUMIFS(SALIDAS_BOV2,FECHA_BOV2,"&gt;="&amp;BM$2,FECHA_BOV2,"&lt;="&amp;BM$3,CLAVE_BOV2,$A234)+SUMIFS(SALIDAS_BOV3,FECHA_BOV3,"&gt;="&amp;BM$2,FECHA_BOV3,"&lt;="&amp;BM$3,CLAVE_BOV3,$A234)+SUMIFS(SALIDAS_TC,FECHA_TC,"&gt;="&amp;BM$2,FECHA_TC,"&lt;="&amp;BM$3,CLAVE_TC,$A234)+SUMIFS(SALIDAS_COMB,FECHA_COMB,"&gt;="&amp;BM$2,FECHA_COMB,"&lt;="&amp;BM$3,CLAVE_COMB,$A234)+SUMIFS(SALIDAS_DES,FECHA_DESGLOSEN,"&gt;="&amp;BM$2,FECHA_DESGLOSEN,"&lt;="&amp;BM$3,CLAVE_DESGLOSE,$A234)</f>
        <v>0</v>
      </c>
      <c r="BN234" s="13">
        <f>SUMIFS(SALIDAS_BIT,FECHA_BIT,"&gt;="&amp;BN$2,FECHA_BIT,"&lt;="&amp;BN$3,CLAVE_BIT,$A234)+SUMIFS(SALIDAS_BOV1,FECHA_BOV1,"&gt;="&amp;BN$2,FECHA_BOV1,"&lt;="&amp;BN$3,CLAVE_BOV1,$A234)+SUMIFS(SALIDAS_BOV2,FECHA_BOV2,"&gt;="&amp;BN$2,FECHA_BOV2,"&lt;="&amp;BN$3,CLAVE_BOV2,$A234)+SUMIFS(SALIDAS_BOV3,FECHA_BOV3,"&gt;="&amp;BN$2,FECHA_BOV3,"&lt;="&amp;BN$3,CLAVE_BOV3,$A234)+SUMIFS(SALIDAS_TC,FECHA_TC,"&gt;="&amp;BN$2,FECHA_TC,"&lt;="&amp;BN$3,CLAVE_TC,$A234)+SUMIFS(SALIDAS_COMB,FECHA_COMB,"&gt;="&amp;BN$2,FECHA_COMB,"&lt;="&amp;BN$3,CLAVE_COMB,$A234)+SUMIFS(SALIDAS_DES,FECHA_DESGLOSEN,"&gt;="&amp;BN$2,FECHA_DESGLOSEN,"&lt;="&amp;BN$3,CLAVE_DESGLOSE,$A234)</f>
        <v>0</v>
      </c>
      <c r="BO234" s="13">
        <f>SUMIFS(SALIDAS_BIT,FECHA_BIT,"&gt;="&amp;BO$2,FECHA_BIT,"&lt;="&amp;BO$3,CLAVE_BIT,$A234)+SUMIFS(SALIDAS_BOV1,FECHA_BOV1,"&gt;="&amp;BO$2,FECHA_BOV1,"&lt;="&amp;BO$3,CLAVE_BOV1,$A234)+SUMIFS(SALIDAS_BOV2,FECHA_BOV2,"&gt;="&amp;BO$2,FECHA_BOV2,"&lt;="&amp;BO$3,CLAVE_BOV2,$A234)+SUMIFS(SALIDAS_BOV3,FECHA_BOV3,"&gt;="&amp;BO$2,FECHA_BOV3,"&lt;="&amp;BO$3,CLAVE_BOV3,$A234)+SUMIFS(SALIDAS_TC,FECHA_TC,"&gt;="&amp;BO$2,FECHA_TC,"&lt;="&amp;BO$3,CLAVE_TC,$A234)+SUMIFS(SALIDAS_COMB,FECHA_COMB,"&gt;="&amp;BO$2,FECHA_COMB,"&lt;="&amp;BO$3,CLAVE_COMB,$A234)+SUMIFS(SALIDAS_DES,FECHA_DESGLOSEN,"&gt;="&amp;BO$2,FECHA_DESGLOSEN,"&lt;="&amp;BO$3,CLAVE_DESGLOSE,$A234)</f>
        <v>0</v>
      </c>
      <c r="BP234" s="13">
        <f>SUMIFS(SALIDAS_BIT,FECHA_BIT,"&gt;="&amp;BP$2,FECHA_BIT,"&lt;="&amp;BP$3,CLAVE_BIT,$A234)+SUMIFS(SALIDAS_BOV1,FECHA_BOV1,"&gt;="&amp;BP$2,FECHA_BOV1,"&lt;="&amp;BP$3,CLAVE_BOV1,$A234)+SUMIFS(SALIDAS_BOV2,FECHA_BOV2,"&gt;="&amp;BP$2,FECHA_BOV2,"&lt;="&amp;BP$3,CLAVE_BOV2,$A234)+SUMIFS(SALIDAS_BOV3,FECHA_BOV3,"&gt;="&amp;BP$2,FECHA_BOV3,"&lt;="&amp;BP$3,CLAVE_BOV3,$A234)+SUMIFS(SALIDAS_TC,FECHA_TC,"&gt;="&amp;BP$2,FECHA_TC,"&lt;="&amp;BP$3,CLAVE_TC,$A234)+SUMIFS(SALIDAS_COMB,FECHA_COMB,"&gt;="&amp;BP$2,FECHA_COMB,"&lt;="&amp;BP$3,CLAVE_COMB,$A234)+SUMIFS(SALIDAS_DES,FECHA_DESGLOSEN,"&gt;="&amp;BP$2,FECHA_DESGLOSEN,"&lt;="&amp;BP$3,CLAVE_DESGLOSE,$A234)</f>
        <v>0</v>
      </c>
      <c r="BQ234" s="13">
        <f>SUMIFS(SALIDAS_BIT,FECHA_BIT,"&gt;="&amp;BQ$2,FECHA_BIT,"&lt;="&amp;BQ$3,CLAVE_BIT,$A234)+SUMIFS(SALIDAS_BOV1,FECHA_BOV1,"&gt;="&amp;BQ$2,FECHA_BOV1,"&lt;="&amp;BQ$3,CLAVE_BOV1,$A234)+SUMIFS(SALIDAS_BOV2,FECHA_BOV2,"&gt;="&amp;BQ$2,FECHA_BOV2,"&lt;="&amp;BQ$3,CLAVE_BOV2,$A234)+SUMIFS(SALIDAS_BOV3,FECHA_BOV3,"&gt;="&amp;BQ$2,FECHA_BOV3,"&lt;="&amp;BQ$3,CLAVE_BOV3,$A234)+SUMIFS(SALIDAS_TC,FECHA_TC,"&gt;="&amp;BQ$2,FECHA_TC,"&lt;="&amp;BQ$3,CLAVE_TC,$A234)+SUMIFS(SALIDAS_COMB,FECHA_COMB,"&gt;="&amp;BQ$2,FECHA_COMB,"&lt;="&amp;BQ$3,CLAVE_COMB,$A234)+SUMIFS(SALIDAS_DES,FECHA_DESGLOSEN,"&gt;="&amp;BQ$2,FECHA_DESGLOSEN,"&lt;="&amp;BQ$3,CLAVE_DESGLOSE,$A234)</f>
        <v>0</v>
      </c>
      <c r="BR234" s="13">
        <f t="shared" si="406"/>
        <v>0</v>
      </c>
      <c r="BS234" s="68">
        <f t="shared" si="367"/>
        <v>0</v>
      </c>
      <c r="BT234" s="268">
        <f t="shared" si="368"/>
        <v>0</v>
      </c>
      <c r="BU234" s="13">
        <f t="shared" si="369"/>
        <v>25000</v>
      </c>
      <c r="BV234" s="13">
        <f t="shared" si="389"/>
        <v>0</v>
      </c>
      <c r="BW234" s="13">
        <f t="shared" si="389"/>
        <v>67724.600000000006</v>
      </c>
      <c r="BX234" s="13">
        <f t="shared" si="389"/>
        <v>0</v>
      </c>
      <c r="BY234" s="13">
        <f t="shared" si="389"/>
        <v>0</v>
      </c>
      <c r="BZ234" s="13">
        <f t="shared" si="407"/>
        <v>67724.600000000006</v>
      </c>
      <c r="CA234" s="68">
        <f t="shared" si="370"/>
        <v>-42724.600000000006</v>
      </c>
      <c r="CB234" s="268">
        <f t="shared" si="371"/>
        <v>2.7089840000000001</v>
      </c>
      <c r="CC234" s="13">
        <f t="shared" si="372"/>
        <v>0</v>
      </c>
      <c r="CD234" s="13">
        <f t="shared" si="390"/>
        <v>0</v>
      </c>
      <c r="CE234" s="13">
        <f t="shared" si="390"/>
        <v>0</v>
      </c>
      <c r="CF234" s="13">
        <f t="shared" si="390"/>
        <v>0</v>
      </c>
      <c r="CG234" s="13">
        <f t="shared" si="390"/>
        <v>66509.039999999994</v>
      </c>
      <c r="CH234" s="13">
        <f t="shared" si="408"/>
        <v>66509.039999999994</v>
      </c>
      <c r="CI234" s="68">
        <f t="shared" si="373"/>
        <v>-66509.039999999994</v>
      </c>
      <c r="CJ234" s="268">
        <f t="shared" si="374"/>
        <v>0</v>
      </c>
      <c r="CK234" s="13">
        <f t="shared" si="375"/>
        <v>0</v>
      </c>
      <c r="CL234" s="13">
        <f t="shared" si="400"/>
        <v>0</v>
      </c>
      <c r="CM234" s="13">
        <f t="shared" si="400"/>
        <v>0</v>
      </c>
      <c r="CN234" s="13">
        <f t="shared" si="400"/>
        <v>0</v>
      </c>
      <c r="CO234" s="13">
        <f t="shared" si="400"/>
        <v>0</v>
      </c>
      <c r="CP234" s="13">
        <f t="shared" si="400"/>
        <v>0</v>
      </c>
      <c r="CQ234" s="13">
        <f t="shared" si="409"/>
        <v>0</v>
      </c>
      <c r="CR234" s="68">
        <f t="shared" si="376"/>
        <v>0</v>
      </c>
      <c r="CS234" s="268">
        <f t="shared" si="377"/>
        <v>0</v>
      </c>
      <c r="CT234" s="68">
        <f t="shared" si="350"/>
        <v>0</v>
      </c>
      <c r="CU234" s="13">
        <f>SUMIFS(SALIDAS_BIT,FECHA_BIT,"&gt;="&amp;CU$2,FECHA_BIT,"&lt;="&amp;CU$3,CLAVE_BIT,$A234)+SUMIFS(SALIDAS_BOV1,FECHA_BOV1,"&gt;="&amp;CU$2,FECHA_BOV1,"&lt;="&amp;CU$3,CLAVE_BOV1,$A234)+SUMIFS(SALIDAS_BOV2,FECHA_BOV2,"&gt;="&amp;CU$2,FECHA_BOV2,"&lt;="&amp;CU$3,CLAVE_BOV2,$A234)+SUMIFS(SALIDAS_BOV3,FECHA_BOV3,"&gt;="&amp;CU$2,FECHA_BOV3,"&lt;="&amp;CU$3,CLAVE_BOV3,$A234)+SUMIFS(SALIDAS_TC,FECHA_TC,"&gt;="&amp;CU$2,FECHA_TC,"&lt;="&amp;CU$3,CLAVE_TC,$A234)+SUMIFS(SALIDAS_COMB,FECHA_COMB,"&gt;="&amp;CU$2,FECHA_COMB,"&lt;="&amp;CU$3,CLAVE_COMB,$A234)+SUMIFS(SALIDAS_DES,FECHA_DESGLOSEN,"&gt;="&amp;CU$2,FECHA_DESGLOSEN,"&lt;="&amp;CU$3,CLAVE_DESGLOSE,$A234)</f>
        <v>0</v>
      </c>
      <c r="CV234" s="13">
        <f>SUMIFS(SALIDAS_BIT,FECHA_BIT,"&gt;="&amp;CV$2,FECHA_BIT,"&lt;="&amp;CV$3,CLAVE_BIT,$A234)+SUMIFS(SALIDAS_BOV1,FECHA_BOV1,"&gt;="&amp;CV$2,FECHA_BOV1,"&lt;="&amp;CV$3,CLAVE_BOV1,$A234)+SUMIFS(SALIDAS_BOV2,FECHA_BOV2,"&gt;="&amp;CV$2,FECHA_BOV2,"&lt;="&amp;CV$3,CLAVE_BOV2,$A234)+SUMIFS(SALIDAS_BOV3,FECHA_BOV3,"&gt;="&amp;CV$2,FECHA_BOV3,"&lt;="&amp;CV$3,CLAVE_BOV3,$A234)+SUMIFS(SALIDAS_TC,FECHA_TC,"&gt;="&amp;CV$2,FECHA_TC,"&lt;="&amp;CV$3,CLAVE_TC,$A234)+SUMIFS(SALIDAS_COMB,FECHA_COMB,"&gt;="&amp;CV$2,FECHA_COMB,"&lt;="&amp;CV$3,CLAVE_COMB,$A234)+SUMIFS(SALIDAS_DES,FECHA_DESGLOSEN,"&gt;="&amp;CV$2,FECHA_DESGLOSEN,"&lt;="&amp;CV$3,CLAVE_DESGLOSE,$A234)</f>
        <v>0</v>
      </c>
      <c r="CW234" s="13">
        <f>SUMIFS(SALIDAS_BIT,FECHA_BIT,"&gt;="&amp;CW$2,FECHA_BIT,"&lt;="&amp;CW$3,CLAVE_BIT,$A234)+SUMIFS(SALIDAS_BOV1,FECHA_BOV1,"&gt;="&amp;CW$2,FECHA_BOV1,"&lt;="&amp;CW$3,CLAVE_BOV1,$A234)+SUMIFS(SALIDAS_BOV2,FECHA_BOV2,"&gt;="&amp;CW$2,FECHA_BOV2,"&lt;="&amp;CW$3,CLAVE_BOV2,$A234)+SUMIFS(SALIDAS_BOV3,FECHA_BOV3,"&gt;="&amp;CW$2,FECHA_BOV3,"&lt;="&amp;CW$3,CLAVE_BOV3,$A234)+SUMIFS(SALIDAS_TC,FECHA_TC,"&gt;="&amp;CW$2,FECHA_TC,"&lt;="&amp;CW$3,CLAVE_TC,$A234)+SUMIFS(SALIDAS_COMB,FECHA_COMB,"&gt;="&amp;CW$2,FECHA_COMB,"&lt;="&amp;CW$3,CLAVE_COMB,$A234)+SUMIFS(SALIDAS_DES,FECHA_DESGLOSEN,"&gt;="&amp;CW$2,FECHA_DESGLOSEN,"&lt;="&amp;CW$3,CLAVE_DESGLOSE,$A234)</f>
        <v>0</v>
      </c>
      <c r="CX234" s="13">
        <f>SUMIFS(SALIDAS_BIT,FECHA_BIT,"&gt;="&amp;CX$2,FECHA_BIT,"&lt;="&amp;CX$3,CLAVE_BIT,$A234)+SUMIFS(SALIDAS_BOV1,FECHA_BOV1,"&gt;="&amp;CX$2,FECHA_BOV1,"&lt;="&amp;CX$3,CLAVE_BOV1,$A234)+SUMIFS(SALIDAS_BOV2,FECHA_BOV2,"&gt;="&amp;CX$2,FECHA_BOV2,"&lt;="&amp;CX$3,CLAVE_BOV2,$A234)+SUMIFS(SALIDAS_BOV3,FECHA_BOV3,"&gt;="&amp;CX$2,FECHA_BOV3,"&lt;="&amp;CX$3,CLAVE_BOV3,$A234)+SUMIFS(SALIDAS_TC,FECHA_TC,"&gt;="&amp;CX$2,FECHA_TC,"&lt;="&amp;CX$3,CLAVE_TC,$A234)+SUMIFS(SALIDAS_COMB,FECHA_COMB,"&gt;="&amp;CX$2,FECHA_COMB,"&lt;="&amp;CX$3,CLAVE_COMB,$A234)+SUMIFS(SALIDAS_DES,FECHA_DESGLOSEN,"&gt;="&amp;CX$2,FECHA_DESGLOSEN,"&lt;="&amp;CX$3,CLAVE_DESGLOSE,$A234)</f>
        <v>0</v>
      </c>
      <c r="CY234" s="13">
        <f>SUMIFS(SALIDAS_BIT,FECHA_BIT,"&gt;="&amp;CY$2,FECHA_BIT,"&lt;="&amp;CY$3,CLAVE_BIT,$A234)+SUMIFS(SALIDAS_BOV1,FECHA_BOV1,"&gt;="&amp;CY$2,FECHA_BOV1,"&lt;="&amp;CY$3,CLAVE_BOV1,$A234)+SUMIFS(SALIDAS_BOV2,FECHA_BOV2,"&gt;="&amp;CY$2,FECHA_BOV2,"&lt;="&amp;CY$3,CLAVE_BOV2,$A234)+SUMIFS(SALIDAS_BOV3,FECHA_BOV3,"&gt;="&amp;CY$2,FECHA_BOV3,"&lt;="&amp;CY$3,CLAVE_BOV3,$A234)+SUMIFS(SALIDAS_TC,FECHA_TC,"&gt;="&amp;CY$2,FECHA_TC,"&lt;="&amp;CY$3,CLAVE_TC,$A234)+SUMIFS(SALIDAS_COMB,FECHA_COMB,"&gt;="&amp;CY$2,FECHA_COMB,"&lt;="&amp;CY$3,CLAVE_COMB,$A234)+SUMIFS(SALIDAS_DES,FECHA_DESGLOSEN,"&gt;="&amp;CY$2,FECHA_DESGLOSEN,"&lt;="&amp;CY$3,CLAVE_DESGLOSE,$A234)</f>
        <v>0</v>
      </c>
      <c r="CZ234" s="68">
        <f t="shared" si="378"/>
        <v>0</v>
      </c>
      <c r="DB234" s="17">
        <f>F234+N234+W234+AE234+AM234+AV234+BD234+BL234+BU234+CC234+CK234</f>
        <v>75000</v>
      </c>
      <c r="DC234" s="17">
        <f>K234+T234+AB234+AJ234+AS234+BA234+BI234+BR234+BZ234+CH234+CQ234</f>
        <v>156365.59</v>
      </c>
    </row>
    <row r="235" spans="1:107" hidden="1">
      <c r="A235" s="12" t="str">
        <f t="shared" si="351"/>
        <v>FINANZASSEGUROEQ. DE TRANSPORTE</v>
      </c>
      <c r="B235" s="12">
        <v>237</v>
      </c>
      <c r="C235" t="s">
        <v>23</v>
      </c>
      <c r="D235" t="s">
        <v>173</v>
      </c>
      <c r="E235" t="s">
        <v>175</v>
      </c>
      <c r="F235" s="259">
        <f t="shared" si="344"/>
        <v>40000</v>
      </c>
      <c r="G235" s="13">
        <f t="shared" si="401"/>
        <v>0</v>
      </c>
      <c r="H235" s="13">
        <f t="shared" si="401"/>
        <v>42766</v>
      </c>
      <c r="I235" s="13">
        <f t="shared" si="401"/>
        <v>5657</v>
      </c>
      <c r="J235" s="13">
        <f t="shared" si="401"/>
        <v>0</v>
      </c>
      <c r="K235" s="13">
        <f t="shared" si="401"/>
        <v>48423</v>
      </c>
      <c r="L235" s="68">
        <f t="shared" si="352"/>
        <v>-8423</v>
      </c>
      <c r="M235" s="268">
        <f t="shared" si="353"/>
        <v>1.210575</v>
      </c>
      <c r="N235" s="13">
        <f t="shared" si="345"/>
        <v>10000</v>
      </c>
      <c r="O235" s="13">
        <f t="shared" si="402"/>
        <v>0</v>
      </c>
      <c r="P235" s="13">
        <f t="shared" si="402"/>
        <v>9706</v>
      </c>
      <c r="Q235" s="13">
        <f t="shared" si="402"/>
        <v>0</v>
      </c>
      <c r="R235" s="13">
        <f t="shared" si="402"/>
        <v>0</v>
      </c>
      <c r="S235" s="13">
        <f t="shared" si="402"/>
        <v>0</v>
      </c>
      <c r="T235" s="13">
        <f t="shared" si="402"/>
        <v>9706</v>
      </c>
      <c r="U235" s="68">
        <f t="shared" si="354"/>
        <v>294</v>
      </c>
      <c r="V235" s="268">
        <f t="shared" si="355"/>
        <v>0.97060000000000002</v>
      </c>
      <c r="W235" s="13">
        <f t="shared" si="346"/>
        <v>0</v>
      </c>
      <c r="X235" s="13">
        <f t="shared" si="403"/>
        <v>0</v>
      </c>
      <c r="Y235" s="13">
        <f t="shared" si="403"/>
        <v>0</v>
      </c>
      <c r="Z235" s="13">
        <f t="shared" si="403"/>
        <v>0</v>
      </c>
      <c r="AA235" s="13">
        <f t="shared" si="403"/>
        <v>0</v>
      </c>
      <c r="AB235" s="13">
        <f t="shared" si="403"/>
        <v>0</v>
      </c>
      <c r="AC235" s="68">
        <f t="shared" si="356"/>
        <v>0</v>
      </c>
      <c r="AD235" s="268">
        <f t="shared" si="357"/>
        <v>0</v>
      </c>
      <c r="AE235" s="13">
        <f t="shared" si="347"/>
        <v>25000</v>
      </c>
      <c r="AF235" s="13">
        <f t="shared" si="404"/>
        <v>0</v>
      </c>
      <c r="AG235" s="13">
        <f t="shared" si="404"/>
        <v>0</v>
      </c>
      <c r="AH235" s="13">
        <f t="shared" si="404"/>
        <v>8871.76</v>
      </c>
      <c r="AI235" s="13">
        <f t="shared" si="404"/>
        <v>0</v>
      </c>
      <c r="AJ235" s="13">
        <f t="shared" si="404"/>
        <v>8871.76</v>
      </c>
      <c r="AK235" s="68">
        <f t="shared" si="358"/>
        <v>16128.24</v>
      </c>
      <c r="AL235" s="268">
        <f t="shared" si="359"/>
        <v>0.35487040000000003</v>
      </c>
      <c r="AM235" s="13">
        <f t="shared" si="348"/>
        <v>0</v>
      </c>
      <c r="AN235" s="13">
        <f t="shared" si="405"/>
        <v>0</v>
      </c>
      <c r="AO235" s="13">
        <f t="shared" si="405"/>
        <v>0</v>
      </c>
      <c r="AP235" s="13">
        <f t="shared" si="405"/>
        <v>0</v>
      </c>
      <c r="AQ235" s="13">
        <f t="shared" si="405"/>
        <v>0</v>
      </c>
      <c r="AR235" s="13">
        <f t="shared" si="405"/>
        <v>4749</v>
      </c>
      <c r="AS235" s="13">
        <f t="shared" si="405"/>
        <v>4749</v>
      </c>
      <c r="AT235" s="68">
        <f>AM235-AS235</f>
        <v>-4749</v>
      </c>
      <c r="AU235" s="268">
        <f t="shared" si="360"/>
        <v>0</v>
      </c>
      <c r="AV235" s="13">
        <f t="shared" si="349"/>
        <v>56000</v>
      </c>
      <c r="AW235" s="13">
        <f t="shared" si="323"/>
        <v>61891</v>
      </c>
      <c r="AX235" s="13">
        <f t="shared" si="323"/>
        <v>0</v>
      </c>
      <c r="AY235" s="13">
        <f t="shared" si="323"/>
        <v>0</v>
      </c>
      <c r="AZ235" s="13">
        <f t="shared" si="323"/>
        <v>0</v>
      </c>
      <c r="BA235" s="13">
        <f t="shared" si="379"/>
        <v>61891</v>
      </c>
      <c r="BB235" s="68">
        <f t="shared" si="361"/>
        <v>-5891</v>
      </c>
      <c r="BC235" s="268">
        <f t="shared" si="362"/>
        <v>1.1051964285714286</v>
      </c>
      <c r="BD235" s="13">
        <f t="shared" si="363"/>
        <v>0</v>
      </c>
      <c r="BE235" s="13">
        <f>SUMIFS(SALIDAS_BIT,FECHA_BIT,"&gt;="&amp;BE$2,FECHA_BIT,"&lt;="&amp;BE$3,CLAVE_BIT,$A235)+SUMIFS(SALIDAS_BOV1,FECHA_BOV1,"&gt;="&amp;BE$2,FECHA_BOV1,"&lt;="&amp;BE$3,CLAVE_BOV1,$A235)+SUMIFS(SALIDAS_BOV2,FECHA_BOV2,"&gt;="&amp;BE$2,FECHA_BOV2,"&lt;="&amp;BE$3,CLAVE_BOV2,$A235)+SUMIFS(SALIDAS_BOV3,FECHA_BOV3,"&gt;="&amp;BE$2,FECHA_BOV3,"&lt;="&amp;BE$3,CLAVE_BOV3,$A235)+SUMIFS(SALIDAS_TC,FECHA_TC,"&gt;="&amp;BE$2,FECHA_TC,"&lt;="&amp;BE$3,CLAVE_TC,$A235)+SUMIFS(SALIDAS_COMB,FECHA_COMB,"&gt;="&amp;BE$2,FECHA_COMB,"&lt;="&amp;BE$3,CLAVE_COMB,$A235)+SUMIFS(SALIDAS_DES,FECHA_DESGLOSEN,"&gt;="&amp;BE$2,FECHA_DESGLOSEN,"&lt;="&amp;BE$3,CLAVE_DESGLOSE,$A235)</f>
        <v>0</v>
      </c>
      <c r="BF235" s="13">
        <f>SUMIFS(SALIDAS_BIT,FECHA_BIT,"&gt;="&amp;BF$2,FECHA_BIT,"&lt;="&amp;BF$3,CLAVE_BIT,$A235)+SUMIFS(SALIDAS_BOV1,FECHA_BOV1,"&gt;="&amp;BF$2,FECHA_BOV1,"&lt;="&amp;BF$3,CLAVE_BOV1,$A235)+SUMIFS(SALIDAS_BOV2,FECHA_BOV2,"&gt;="&amp;BF$2,FECHA_BOV2,"&lt;="&amp;BF$3,CLAVE_BOV2,$A235)+SUMIFS(SALIDAS_BOV3,FECHA_BOV3,"&gt;="&amp;BF$2,FECHA_BOV3,"&lt;="&amp;BF$3,CLAVE_BOV3,$A235)+SUMIFS(SALIDAS_TC,FECHA_TC,"&gt;="&amp;BF$2,FECHA_TC,"&lt;="&amp;BF$3,CLAVE_TC,$A235)+SUMIFS(SALIDAS_COMB,FECHA_COMB,"&gt;="&amp;BF$2,FECHA_COMB,"&lt;="&amp;BF$3,CLAVE_COMB,$A235)+SUMIFS(SALIDAS_DES,FECHA_DESGLOSEN,"&gt;="&amp;BF$2,FECHA_DESGLOSEN,"&lt;="&amp;BF$3,CLAVE_DESGLOSE,$A235)</f>
        <v>0</v>
      </c>
      <c r="BG235" s="13">
        <f>SUMIFS(SALIDAS_BIT,FECHA_BIT,"&gt;="&amp;BG$2,FECHA_BIT,"&lt;="&amp;BG$3,CLAVE_BIT,$A235)+SUMIFS(SALIDAS_BOV1,FECHA_BOV1,"&gt;="&amp;BG$2,FECHA_BOV1,"&lt;="&amp;BG$3,CLAVE_BOV1,$A235)+SUMIFS(SALIDAS_BOV2,FECHA_BOV2,"&gt;="&amp;BG$2,FECHA_BOV2,"&lt;="&amp;BG$3,CLAVE_BOV2,$A235)+SUMIFS(SALIDAS_BOV3,FECHA_BOV3,"&gt;="&amp;BG$2,FECHA_BOV3,"&lt;="&amp;BG$3,CLAVE_BOV3,$A235)+SUMIFS(SALIDAS_TC,FECHA_TC,"&gt;="&amp;BG$2,FECHA_TC,"&lt;="&amp;BG$3,CLAVE_TC,$A235)+SUMIFS(SALIDAS_COMB,FECHA_COMB,"&gt;="&amp;BG$2,FECHA_COMB,"&lt;="&amp;BG$3,CLAVE_COMB,$A235)+SUMIFS(SALIDAS_DES,FECHA_DESGLOSEN,"&gt;="&amp;BG$2,FECHA_DESGLOSEN,"&lt;="&amp;BG$3,CLAVE_DESGLOSE,$A235)</f>
        <v>0</v>
      </c>
      <c r="BH235" s="13">
        <f>SUMIFS(SALIDAS_BIT,FECHA_BIT,"&gt;="&amp;BH$2,FECHA_BIT,"&lt;="&amp;BH$3,CLAVE_BIT,$A235)+SUMIFS(SALIDAS_BOV1,FECHA_BOV1,"&gt;="&amp;BH$2,FECHA_BOV1,"&lt;="&amp;BH$3,CLAVE_BOV1,$A235)+SUMIFS(SALIDAS_BOV2,FECHA_BOV2,"&gt;="&amp;BH$2,FECHA_BOV2,"&lt;="&amp;BH$3,CLAVE_BOV2,$A235)+SUMIFS(SALIDAS_BOV3,FECHA_BOV3,"&gt;="&amp;BH$2,FECHA_BOV3,"&lt;="&amp;BH$3,CLAVE_BOV3,$A235)+SUMIFS(SALIDAS_TC,FECHA_TC,"&gt;="&amp;BH$2,FECHA_TC,"&lt;="&amp;BH$3,CLAVE_TC,$A235)+SUMIFS(SALIDAS_COMB,FECHA_COMB,"&gt;="&amp;BH$2,FECHA_COMB,"&lt;="&amp;BH$3,CLAVE_COMB,$A235)+SUMIFS(SALIDAS_DES,FECHA_DESGLOSEN,"&gt;="&amp;BH$2,FECHA_DESGLOSEN,"&lt;="&amp;BH$3,CLAVE_DESGLOSE,$A235)</f>
        <v>5657</v>
      </c>
      <c r="BI235" s="13">
        <f t="shared" si="311"/>
        <v>5657</v>
      </c>
      <c r="BJ235" s="68">
        <f t="shared" si="364"/>
        <v>-5657</v>
      </c>
      <c r="BK235" s="268">
        <f t="shared" si="365"/>
        <v>0</v>
      </c>
      <c r="BL235" s="13">
        <f t="shared" si="366"/>
        <v>0</v>
      </c>
      <c r="BM235" s="13">
        <f>SUMIFS(SALIDAS_BIT,FECHA_BIT,"&gt;="&amp;BM$2,FECHA_BIT,"&lt;="&amp;BM$3,CLAVE_BIT,$A235)+SUMIFS(SALIDAS_BOV1,FECHA_BOV1,"&gt;="&amp;BM$2,FECHA_BOV1,"&lt;="&amp;BM$3,CLAVE_BOV1,$A235)+SUMIFS(SALIDAS_BOV2,FECHA_BOV2,"&gt;="&amp;BM$2,FECHA_BOV2,"&lt;="&amp;BM$3,CLAVE_BOV2,$A235)+SUMIFS(SALIDAS_BOV3,FECHA_BOV3,"&gt;="&amp;BM$2,FECHA_BOV3,"&lt;="&amp;BM$3,CLAVE_BOV3,$A235)+SUMIFS(SALIDAS_TC,FECHA_TC,"&gt;="&amp;BM$2,FECHA_TC,"&lt;="&amp;BM$3,CLAVE_TC,$A235)+SUMIFS(SALIDAS_COMB,FECHA_COMB,"&gt;="&amp;BM$2,FECHA_COMB,"&lt;="&amp;BM$3,CLAVE_COMB,$A235)+SUMIFS(SALIDAS_DES,FECHA_DESGLOSEN,"&gt;="&amp;BM$2,FECHA_DESGLOSEN,"&lt;="&amp;BM$3,CLAVE_DESGLOSE,$A235)</f>
        <v>0</v>
      </c>
      <c r="BN235" s="13">
        <f>SUMIFS(SALIDAS_BIT,FECHA_BIT,"&gt;="&amp;BN$2,FECHA_BIT,"&lt;="&amp;BN$3,CLAVE_BIT,$A235)+SUMIFS(SALIDAS_BOV1,FECHA_BOV1,"&gt;="&amp;BN$2,FECHA_BOV1,"&lt;="&amp;BN$3,CLAVE_BOV1,$A235)+SUMIFS(SALIDAS_BOV2,FECHA_BOV2,"&gt;="&amp;BN$2,FECHA_BOV2,"&lt;="&amp;BN$3,CLAVE_BOV2,$A235)+SUMIFS(SALIDAS_BOV3,FECHA_BOV3,"&gt;="&amp;BN$2,FECHA_BOV3,"&lt;="&amp;BN$3,CLAVE_BOV3,$A235)+SUMIFS(SALIDAS_TC,FECHA_TC,"&gt;="&amp;BN$2,FECHA_TC,"&lt;="&amp;BN$3,CLAVE_TC,$A235)+SUMIFS(SALIDAS_COMB,FECHA_COMB,"&gt;="&amp;BN$2,FECHA_COMB,"&lt;="&amp;BN$3,CLAVE_COMB,$A235)+SUMIFS(SALIDAS_DES,FECHA_DESGLOSEN,"&gt;="&amp;BN$2,FECHA_DESGLOSEN,"&lt;="&amp;BN$3,CLAVE_DESGLOSE,$A235)</f>
        <v>0</v>
      </c>
      <c r="BO235" s="13">
        <f>SUMIFS(SALIDAS_BIT,FECHA_BIT,"&gt;="&amp;BO$2,FECHA_BIT,"&lt;="&amp;BO$3,CLAVE_BIT,$A235)+SUMIFS(SALIDAS_BOV1,FECHA_BOV1,"&gt;="&amp;BO$2,FECHA_BOV1,"&lt;="&amp;BO$3,CLAVE_BOV1,$A235)+SUMIFS(SALIDAS_BOV2,FECHA_BOV2,"&gt;="&amp;BO$2,FECHA_BOV2,"&lt;="&amp;BO$3,CLAVE_BOV2,$A235)+SUMIFS(SALIDAS_BOV3,FECHA_BOV3,"&gt;="&amp;BO$2,FECHA_BOV3,"&lt;="&amp;BO$3,CLAVE_BOV3,$A235)+SUMIFS(SALIDAS_TC,FECHA_TC,"&gt;="&amp;BO$2,FECHA_TC,"&lt;="&amp;BO$3,CLAVE_TC,$A235)+SUMIFS(SALIDAS_COMB,FECHA_COMB,"&gt;="&amp;BO$2,FECHA_COMB,"&lt;="&amp;BO$3,CLAVE_COMB,$A235)+SUMIFS(SALIDAS_DES,FECHA_DESGLOSEN,"&gt;="&amp;BO$2,FECHA_DESGLOSEN,"&lt;="&amp;BO$3,CLAVE_DESGLOSE,$A235)</f>
        <v>0</v>
      </c>
      <c r="BP235" s="13">
        <f>SUMIFS(SALIDAS_BIT,FECHA_BIT,"&gt;="&amp;BP$2,FECHA_BIT,"&lt;="&amp;BP$3,CLAVE_BIT,$A235)+SUMIFS(SALIDAS_BOV1,FECHA_BOV1,"&gt;="&amp;BP$2,FECHA_BOV1,"&lt;="&amp;BP$3,CLAVE_BOV1,$A235)+SUMIFS(SALIDAS_BOV2,FECHA_BOV2,"&gt;="&amp;BP$2,FECHA_BOV2,"&lt;="&amp;BP$3,CLAVE_BOV2,$A235)+SUMIFS(SALIDAS_BOV3,FECHA_BOV3,"&gt;="&amp;BP$2,FECHA_BOV3,"&lt;="&amp;BP$3,CLAVE_BOV3,$A235)+SUMIFS(SALIDAS_TC,FECHA_TC,"&gt;="&amp;BP$2,FECHA_TC,"&lt;="&amp;BP$3,CLAVE_TC,$A235)+SUMIFS(SALIDAS_COMB,FECHA_COMB,"&gt;="&amp;BP$2,FECHA_COMB,"&lt;="&amp;BP$3,CLAVE_COMB,$A235)+SUMIFS(SALIDAS_DES,FECHA_DESGLOSEN,"&gt;="&amp;BP$2,FECHA_DESGLOSEN,"&lt;="&amp;BP$3,CLAVE_DESGLOSE,$A235)</f>
        <v>0</v>
      </c>
      <c r="BQ235" s="13">
        <f>SUMIFS(SALIDAS_BIT,FECHA_BIT,"&gt;="&amp;BQ$2,FECHA_BIT,"&lt;="&amp;BQ$3,CLAVE_BIT,$A235)+SUMIFS(SALIDAS_BOV1,FECHA_BOV1,"&gt;="&amp;BQ$2,FECHA_BOV1,"&lt;="&amp;BQ$3,CLAVE_BOV1,$A235)+SUMIFS(SALIDAS_BOV2,FECHA_BOV2,"&gt;="&amp;BQ$2,FECHA_BOV2,"&lt;="&amp;BQ$3,CLAVE_BOV2,$A235)+SUMIFS(SALIDAS_BOV3,FECHA_BOV3,"&gt;="&amp;BQ$2,FECHA_BOV3,"&lt;="&amp;BQ$3,CLAVE_BOV3,$A235)+SUMIFS(SALIDAS_TC,FECHA_TC,"&gt;="&amp;BQ$2,FECHA_TC,"&lt;="&amp;BQ$3,CLAVE_TC,$A235)+SUMIFS(SALIDAS_COMB,FECHA_COMB,"&gt;="&amp;BQ$2,FECHA_COMB,"&lt;="&amp;BQ$3,CLAVE_COMB,$A235)+SUMIFS(SALIDAS_DES,FECHA_DESGLOSEN,"&gt;="&amp;BQ$2,FECHA_DESGLOSEN,"&lt;="&amp;BQ$3,CLAVE_DESGLOSE,$A235)</f>
        <v>0</v>
      </c>
      <c r="BR235" s="13">
        <f t="shared" si="406"/>
        <v>0</v>
      </c>
      <c r="BS235" s="68">
        <f t="shared" si="367"/>
        <v>0</v>
      </c>
      <c r="BT235" s="268">
        <f t="shared" si="368"/>
        <v>0</v>
      </c>
      <c r="BU235" s="13">
        <f t="shared" si="369"/>
        <v>20000</v>
      </c>
      <c r="BV235" s="13">
        <f t="shared" si="389"/>
        <v>0</v>
      </c>
      <c r="BW235" s="13">
        <f t="shared" si="389"/>
        <v>9237</v>
      </c>
      <c r="BX235" s="13">
        <f t="shared" si="389"/>
        <v>0</v>
      </c>
      <c r="BY235" s="13">
        <f t="shared" si="389"/>
        <v>4246.16</v>
      </c>
      <c r="BZ235" s="13">
        <f t="shared" si="407"/>
        <v>13483.16</v>
      </c>
      <c r="CA235" s="68">
        <f t="shared" si="370"/>
        <v>6516.84</v>
      </c>
      <c r="CB235" s="268">
        <f t="shared" si="371"/>
        <v>0.67415800000000004</v>
      </c>
      <c r="CC235" s="13">
        <f t="shared" si="372"/>
        <v>27000</v>
      </c>
      <c r="CD235" s="13">
        <f t="shared" si="390"/>
        <v>0</v>
      </c>
      <c r="CE235" s="13">
        <f t="shared" si="390"/>
        <v>16632.27</v>
      </c>
      <c r="CF235" s="13">
        <f t="shared" si="390"/>
        <v>0</v>
      </c>
      <c r="CG235" s="13">
        <f t="shared" si="390"/>
        <v>0</v>
      </c>
      <c r="CH235" s="13">
        <f t="shared" si="408"/>
        <v>16632.27</v>
      </c>
      <c r="CI235" s="68">
        <f t="shared" si="373"/>
        <v>10367.73</v>
      </c>
      <c r="CJ235" s="268">
        <f t="shared" si="374"/>
        <v>0.61601000000000006</v>
      </c>
      <c r="CK235" s="13">
        <f t="shared" si="375"/>
        <v>0</v>
      </c>
      <c r="CL235" s="13">
        <f t="shared" si="400"/>
        <v>5500</v>
      </c>
      <c r="CM235" s="13">
        <f t="shared" si="400"/>
        <v>0</v>
      </c>
      <c r="CN235" s="13">
        <f t="shared" si="400"/>
        <v>0</v>
      </c>
      <c r="CO235" s="13">
        <f t="shared" si="400"/>
        <v>0</v>
      </c>
      <c r="CP235" s="13">
        <f t="shared" si="400"/>
        <v>0</v>
      </c>
      <c r="CQ235" s="13">
        <f t="shared" si="409"/>
        <v>5500</v>
      </c>
      <c r="CR235" s="68">
        <f t="shared" si="376"/>
        <v>-5500</v>
      </c>
      <c r="CS235" s="268">
        <f t="shared" si="377"/>
        <v>0</v>
      </c>
      <c r="CT235" s="68">
        <f t="shared" si="350"/>
        <v>0</v>
      </c>
      <c r="CU235" s="13">
        <f>SUMIFS(SALIDAS_BIT,FECHA_BIT,"&gt;="&amp;CU$2,FECHA_BIT,"&lt;="&amp;CU$3,CLAVE_BIT,$A235)+SUMIFS(SALIDAS_BOV1,FECHA_BOV1,"&gt;="&amp;CU$2,FECHA_BOV1,"&lt;="&amp;CU$3,CLAVE_BOV1,$A235)+SUMIFS(SALIDAS_BOV2,FECHA_BOV2,"&gt;="&amp;CU$2,FECHA_BOV2,"&lt;="&amp;CU$3,CLAVE_BOV2,$A235)+SUMIFS(SALIDAS_BOV3,FECHA_BOV3,"&gt;="&amp;CU$2,FECHA_BOV3,"&lt;="&amp;CU$3,CLAVE_BOV3,$A235)+SUMIFS(SALIDAS_TC,FECHA_TC,"&gt;="&amp;CU$2,FECHA_TC,"&lt;="&amp;CU$3,CLAVE_TC,$A235)+SUMIFS(SALIDAS_COMB,FECHA_COMB,"&gt;="&amp;CU$2,FECHA_COMB,"&lt;="&amp;CU$3,CLAVE_COMB,$A235)+SUMIFS(SALIDAS_DES,FECHA_DESGLOSEN,"&gt;="&amp;CU$2,FECHA_DESGLOSEN,"&lt;="&amp;CU$3,CLAVE_DESGLOSE,$A235)</f>
        <v>0</v>
      </c>
      <c r="CV235" s="13">
        <f>SUMIFS(SALIDAS_BIT,FECHA_BIT,"&gt;="&amp;CV$2,FECHA_BIT,"&lt;="&amp;CV$3,CLAVE_BIT,$A235)+SUMIFS(SALIDAS_BOV1,FECHA_BOV1,"&gt;="&amp;CV$2,FECHA_BOV1,"&lt;="&amp;CV$3,CLAVE_BOV1,$A235)+SUMIFS(SALIDAS_BOV2,FECHA_BOV2,"&gt;="&amp;CV$2,FECHA_BOV2,"&lt;="&amp;CV$3,CLAVE_BOV2,$A235)+SUMIFS(SALIDAS_BOV3,FECHA_BOV3,"&gt;="&amp;CV$2,FECHA_BOV3,"&lt;="&amp;CV$3,CLAVE_BOV3,$A235)+SUMIFS(SALIDAS_TC,FECHA_TC,"&gt;="&amp;CV$2,FECHA_TC,"&lt;="&amp;CV$3,CLAVE_TC,$A235)+SUMIFS(SALIDAS_COMB,FECHA_COMB,"&gt;="&amp;CV$2,FECHA_COMB,"&lt;="&amp;CV$3,CLAVE_COMB,$A235)+SUMIFS(SALIDAS_DES,FECHA_DESGLOSEN,"&gt;="&amp;CV$2,FECHA_DESGLOSEN,"&lt;="&amp;CV$3,CLAVE_DESGLOSE,$A235)</f>
        <v>36468</v>
      </c>
      <c r="CW235" s="13">
        <f>SUMIFS(SALIDAS_BIT,FECHA_BIT,"&gt;="&amp;CW$2,FECHA_BIT,"&lt;="&amp;CW$3,CLAVE_BIT,$A235)+SUMIFS(SALIDAS_BOV1,FECHA_BOV1,"&gt;="&amp;CW$2,FECHA_BOV1,"&lt;="&amp;CW$3,CLAVE_BOV1,$A235)+SUMIFS(SALIDAS_BOV2,FECHA_BOV2,"&gt;="&amp;CW$2,FECHA_BOV2,"&lt;="&amp;CW$3,CLAVE_BOV2,$A235)+SUMIFS(SALIDAS_BOV3,FECHA_BOV3,"&gt;="&amp;CW$2,FECHA_BOV3,"&lt;="&amp;CW$3,CLAVE_BOV3,$A235)+SUMIFS(SALIDAS_TC,FECHA_TC,"&gt;="&amp;CW$2,FECHA_TC,"&lt;="&amp;CW$3,CLAVE_TC,$A235)+SUMIFS(SALIDAS_COMB,FECHA_COMB,"&gt;="&amp;CW$2,FECHA_COMB,"&lt;="&amp;CW$3,CLAVE_COMB,$A235)+SUMIFS(SALIDAS_DES,FECHA_DESGLOSEN,"&gt;="&amp;CW$2,FECHA_DESGLOSEN,"&lt;="&amp;CW$3,CLAVE_DESGLOSE,$A235)</f>
        <v>0</v>
      </c>
      <c r="CX235" s="13">
        <f>SUMIFS(SALIDAS_BIT,FECHA_BIT,"&gt;="&amp;CX$2,FECHA_BIT,"&lt;="&amp;CX$3,CLAVE_BIT,$A235)+SUMIFS(SALIDAS_BOV1,FECHA_BOV1,"&gt;="&amp;CX$2,FECHA_BOV1,"&lt;="&amp;CX$3,CLAVE_BOV1,$A235)+SUMIFS(SALIDAS_BOV2,FECHA_BOV2,"&gt;="&amp;CX$2,FECHA_BOV2,"&lt;="&amp;CX$3,CLAVE_BOV2,$A235)+SUMIFS(SALIDAS_BOV3,FECHA_BOV3,"&gt;="&amp;CX$2,FECHA_BOV3,"&lt;="&amp;CX$3,CLAVE_BOV3,$A235)+SUMIFS(SALIDAS_TC,FECHA_TC,"&gt;="&amp;CX$2,FECHA_TC,"&lt;="&amp;CX$3,CLAVE_TC,$A235)+SUMIFS(SALIDAS_COMB,FECHA_COMB,"&gt;="&amp;CX$2,FECHA_COMB,"&lt;="&amp;CX$3,CLAVE_COMB,$A235)+SUMIFS(SALIDAS_DES,FECHA_DESGLOSEN,"&gt;="&amp;CX$2,FECHA_DESGLOSEN,"&lt;="&amp;CX$3,CLAVE_DESGLOSE,$A235)</f>
        <v>0</v>
      </c>
      <c r="CY235" s="13">
        <f>SUMIFS(SALIDAS_BIT,FECHA_BIT,"&gt;="&amp;CY$2,FECHA_BIT,"&lt;="&amp;CY$3,CLAVE_BIT,$A235)+SUMIFS(SALIDAS_BOV1,FECHA_BOV1,"&gt;="&amp;CY$2,FECHA_BOV1,"&lt;="&amp;CY$3,CLAVE_BOV1,$A235)+SUMIFS(SALIDAS_BOV2,FECHA_BOV2,"&gt;="&amp;CY$2,FECHA_BOV2,"&lt;="&amp;CY$3,CLAVE_BOV2,$A235)+SUMIFS(SALIDAS_BOV3,FECHA_BOV3,"&gt;="&amp;CY$2,FECHA_BOV3,"&lt;="&amp;CY$3,CLAVE_BOV3,$A235)+SUMIFS(SALIDAS_TC,FECHA_TC,"&gt;="&amp;CY$2,FECHA_TC,"&lt;="&amp;CY$3,CLAVE_TC,$A235)+SUMIFS(SALIDAS_COMB,FECHA_COMB,"&gt;="&amp;CY$2,FECHA_COMB,"&lt;="&amp;CY$3,CLAVE_COMB,$A235)+SUMIFS(SALIDAS_DES,FECHA_DESGLOSEN,"&gt;="&amp;CY$2,FECHA_DESGLOSEN,"&lt;="&amp;CY$3,CLAVE_DESGLOSE,$A235)</f>
        <v>36468</v>
      </c>
      <c r="CZ235" s="68">
        <f t="shared" si="378"/>
        <v>-36468</v>
      </c>
      <c r="DB235" s="17">
        <f>F235+N235+W235+AE235+AM235+AV235+BD235+BL235+BU235+CC235+CK235</f>
        <v>178000</v>
      </c>
      <c r="DC235" s="17">
        <f>K235+T235+AB235+AJ235+AS235+BA235+BI235+BR235+BZ235+CH235+CQ235</f>
        <v>174913.19</v>
      </c>
    </row>
    <row r="236" spans="1:107" hidden="1">
      <c r="A236" s="12" t="str">
        <f t="shared" si="351"/>
        <v>HRMTTO EQ DE TRANSPORTEHR</v>
      </c>
      <c r="B236" s="12">
        <v>238</v>
      </c>
      <c r="C236" t="s">
        <v>29</v>
      </c>
      <c r="D236" t="s">
        <v>144</v>
      </c>
      <c r="E236" t="s">
        <v>29</v>
      </c>
      <c r="F236" s="259">
        <f t="shared" si="344"/>
        <v>0</v>
      </c>
      <c r="G236" s="13">
        <f t="shared" si="401"/>
        <v>0</v>
      </c>
      <c r="H236" s="13">
        <f t="shared" si="401"/>
        <v>0</v>
      </c>
      <c r="I236" s="13">
        <f t="shared" si="401"/>
        <v>0</v>
      </c>
      <c r="J236" s="13">
        <f t="shared" si="401"/>
        <v>0</v>
      </c>
      <c r="K236" s="13">
        <f t="shared" si="401"/>
        <v>0</v>
      </c>
      <c r="L236" s="68">
        <f t="shared" si="352"/>
        <v>0</v>
      </c>
      <c r="M236" s="268">
        <f t="shared" si="353"/>
        <v>0</v>
      </c>
      <c r="N236" s="13">
        <f t="shared" si="345"/>
        <v>0</v>
      </c>
      <c r="O236" s="13">
        <f t="shared" si="402"/>
        <v>0</v>
      </c>
      <c r="P236" s="13">
        <f t="shared" si="402"/>
        <v>0</v>
      </c>
      <c r="Q236" s="13">
        <f t="shared" si="402"/>
        <v>0</v>
      </c>
      <c r="R236" s="13">
        <f t="shared" si="402"/>
        <v>0</v>
      </c>
      <c r="S236" s="13">
        <f t="shared" si="402"/>
        <v>0</v>
      </c>
      <c r="T236" s="13">
        <f t="shared" si="402"/>
        <v>0</v>
      </c>
      <c r="U236" s="68">
        <f t="shared" si="354"/>
        <v>0</v>
      </c>
      <c r="V236" s="268">
        <f t="shared" si="355"/>
        <v>0</v>
      </c>
      <c r="W236" s="13">
        <f t="shared" si="346"/>
        <v>18800</v>
      </c>
      <c r="X236" s="13">
        <f t="shared" si="403"/>
        <v>5684</v>
      </c>
      <c r="Y236" s="13">
        <f t="shared" si="403"/>
        <v>0</v>
      </c>
      <c r="Z236" s="13">
        <f t="shared" si="403"/>
        <v>0</v>
      </c>
      <c r="AA236" s="13">
        <f t="shared" si="403"/>
        <v>0</v>
      </c>
      <c r="AB236" s="13">
        <f t="shared" si="403"/>
        <v>5684</v>
      </c>
      <c r="AC236" s="68">
        <f t="shared" si="356"/>
        <v>13116</v>
      </c>
      <c r="AD236" s="268">
        <f t="shared" si="357"/>
        <v>0.30234042553191487</v>
      </c>
      <c r="AE236" s="13">
        <f t="shared" si="347"/>
        <v>0</v>
      </c>
      <c r="AF236" s="13">
        <f t="shared" si="404"/>
        <v>0</v>
      </c>
      <c r="AG236" s="13">
        <f t="shared" si="404"/>
        <v>0</v>
      </c>
      <c r="AH236" s="13">
        <f t="shared" si="404"/>
        <v>0</v>
      </c>
      <c r="AI236" s="13">
        <f t="shared" si="404"/>
        <v>0</v>
      </c>
      <c r="AJ236" s="13">
        <f t="shared" si="404"/>
        <v>0</v>
      </c>
      <c r="AK236" s="68">
        <f t="shared" si="358"/>
        <v>0</v>
      </c>
      <c r="AL236" s="268">
        <f t="shared" si="359"/>
        <v>0</v>
      </c>
      <c r="AM236" s="13">
        <f t="shared" si="348"/>
        <v>0</v>
      </c>
      <c r="AN236" s="13">
        <f t="shared" si="405"/>
        <v>0</v>
      </c>
      <c r="AO236" s="13">
        <f t="shared" si="405"/>
        <v>3654</v>
      </c>
      <c r="AP236" s="13">
        <f t="shared" si="405"/>
        <v>0</v>
      </c>
      <c r="AQ236" s="13">
        <f t="shared" si="405"/>
        <v>0</v>
      </c>
      <c r="AR236" s="13">
        <f t="shared" si="405"/>
        <v>0</v>
      </c>
      <c r="AS236" s="13">
        <f t="shared" si="405"/>
        <v>3654</v>
      </c>
      <c r="AT236" s="68">
        <f>AM236-AS236</f>
        <v>-3654</v>
      </c>
      <c r="AU236" s="268">
        <f t="shared" si="360"/>
        <v>0</v>
      </c>
      <c r="AV236" s="13">
        <f t="shared" si="349"/>
        <v>18800</v>
      </c>
      <c r="AW236" s="13">
        <f t="shared" si="323"/>
        <v>0</v>
      </c>
      <c r="AX236" s="13">
        <f t="shared" si="323"/>
        <v>0</v>
      </c>
      <c r="AY236" s="13">
        <f t="shared" si="323"/>
        <v>0</v>
      </c>
      <c r="AZ236" s="13">
        <f t="shared" si="323"/>
        <v>2450</v>
      </c>
      <c r="BA236" s="13">
        <f t="shared" si="379"/>
        <v>2450</v>
      </c>
      <c r="BB236" s="68">
        <f t="shared" si="361"/>
        <v>16350</v>
      </c>
      <c r="BC236" s="268">
        <f t="shared" si="362"/>
        <v>0.13031914893617022</v>
      </c>
      <c r="BD236" s="13">
        <f t="shared" si="363"/>
        <v>0</v>
      </c>
      <c r="BE236" s="13">
        <f>SUMIFS(SALIDAS_BIT,FECHA_BIT,"&gt;="&amp;BE$2,FECHA_BIT,"&lt;="&amp;BE$3,CLAVE_BIT,$A236)+SUMIFS(SALIDAS_BOV1,FECHA_BOV1,"&gt;="&amp;BE$2,FECHA_BOV1,"&lt;="&amp;BE$3,CLAVE_BOV1,$A236)+SUMIFS(SALIDAS_BOV2,FECHA_BOV2,"&gt;="&amp;BE$2,FECHA_BOV2,"&lt;="&amp;BE$3,CLAVE_BOV2,$A236)+SUMIFS(SALIDAS_BOV3,FECHA_BOV3,"&gt;="&amp;BE$2,FECHA_BOV3,"&lt;="&amp;BE$3,CLAVE_BOV3,$A236)+SUMIFS(SALIDAS_TC,FECHA_TC,"&gt;="&amp;BE$2,FECHA_TC,"&lt;="&amp;BE$3,CLAVE_TC,$A236)+SUMIFS(SALIDAS_COMB,FECHA_COMB,"&gt;="&amp;BE$2,FECHA_COMB,"&lt;="&amp;BE$3,CLAVE_COMB,$A236)+SUMIFS(SALIDAS_DES,FECHA_DESGLOSEN,"&gt;="&amp;BE$2,FECHA_DESGLOSEN,"&lt;="&amp;BE$3,CLAVE_DESGLOSE,$A236)</f>
        <v>0</v>
      </c>
      <c r="BF236" s="13">
        <f>SUMIFS(SALIDAS_BIT,FECHA_BIT,"&gt;="&amp;BF$2,FECHA_BIT,"&lt;="&amp;BF$3,CLAVE_BIT,$A236)+SUMIFS(SALIDAS_BOV1,FECHA_BOV1,"&gt;="&amp;BF$2,FECHA_BOV1,"&lt;="&amp;BF$3,CLAVE_BOV1,$A236)+SUMIFS(SALIDAS_BOV2,FECHA_BOV2,"&gt;="&amp;BF$2,FECHA_BOV2,"&lt;="&amp;BF$3,CLAVE_BOV2,$A236)+SUMIFS(SALIDAS_BOV3,FECHA_BOV3,"&gt;="&amp;BF$2,FECHA_BOV3,"&lt;="&amp;BF$3,CLAVE_BOV3,$A236)+SUMIFS(SALIDAS_TC,FECHA_TC,"&gt;="&amp;BF$2,FECHA_TC,"&lt;="&amp;BF$3,CLAVE_TC,$A236)+SUMIFS(SALIDAS_COMB,FECHA_COMB,"&gt;="&amp;BF$2,FECHA_COMB,"&lt;="&amp;BF$3,CLAVE_COMB,$A236)+SUMIFS(SALIDAS_DES,FECHA_DESGLOSEN,"&gt;="&amp;BF$2,FECHA_DESGLOSEN,"&lt;="&amp;BF$3,CLAVE_DESGLOSE,$A236)</f>
        <v>0</v>
      </c>
      <c r="BG236" s="13">
        <f>SUMIFS(SALIDAS_BIT,FECHA_BIT,"&gt;="&amp;BG$2,FECHA_BIT,"&lt;="&amp;BG$3,CLAVE_BIT,$A236)+SUMIFS(SALIDAS_BOV1,FECHA_BOV1,"&gt;="&amp;BG$2,FECHA_BOV1,"&lt;="&amp;BG$3,CLAVE_BOV1,$A236)+SUMIFS(SALIDAS_BOV2,FECHA_BOV2,"&gt;="&amp;BG$2,FECHA_BOV2,"&lt;="&amp;BG$3,CLAVE_BOV2,$A236)+SUMIFS(SALIDAS_BOV3,FECHA_BOV3,"&gt;="&amp;BG$2,FECHA_BOV3,"&lt;="&amp;BG$3,CLAVE_BOV3,$A236)+SUMIFS(SALIDAS_TC,FECHA_TC,"&gt;="&amp;BG$2,FECHA_TC,"&lt;="&amp;BG$3,CLAVE_TC,$A236)+SUMIFS(SALIDAS_COMB,FECHA_COMB,"&gt;="&amp;BG$2,FECHA_COMB,"&lt;="&amp;BG$3,CLAVE_COMB,$A236)+SUMIFS(SALIDAS_DES,FECHA_DESGLOSEN,"&gt;="&amp;BG$2,FECHA_DESGLOSEN,"&lt;="&amp;BG$3,CLAVE_DESGLOSE,$A236)</f>
        <v>0</v>
      </c>
      <c r="BH236" s="13">
        <f>SUMIFS(SALIDAS_BIT,FECHA_BIT,"&gt;="&amp;BH$2,FECHA_BIT,"&lt;="&amp;BH$3,CLAVE_BIT,$A236)+SUMIFS(SALIDAS_BOV1,FECHA_BOV1,"&gt;="&amp;BH$2,FECHA_BOV1,"&lt;="&amp;BH$3,CLAVE_BOV1,$A236)+SUMIFS(SALIDAS_BOV2,FECHA_BOV2,"&gt;="&amp;BH$2,FECHA_BOV2,"&lt;="&amp;BH$3,CLAVE_BOV2,$A236)+SUMIFS(SALIDAS_BOV3,FECHA_BOV3,"&gt;="&amp;BH$2,FECHA_BOV3,"&lt;="&amp;BH$3,CLAVE_BOV3,$A236)+SUMIFS(SALIDAS_TC,FECHA_TC,"&gt;="&amp;BH$2,FECHA_TC,"&lt;="&amp;BH$3,CLAVE_TC,$A236)+SUMIFS(SALIDAS_COMB,FECHA_COMB,"&gt;="&amp;BH$2,FECHA_COMB,"&lt;="&amp;BH$3,CLAVE_COMB,$A236)+SUMIFS(SALIDAS_DES,FECHA_DESGLOSEN,"&gt;="&amp;BH$2,FECHA_DESGLOSEN,"&lt;="&amp;BH$3,CLAVE_DESGLOSE,$A236)</f>
        <v>0</v>
      </c>
      <c r="BI236" s="13">
        <f t="shared" si="311"/>
        <v>0</v>
      </c>
      <c r="BJ236" s="68">
        <f t="shared" si="364"/>
        <v>0</v>
      </c>
      <c r="BK236" s="268">
        <f t="shared" si="365"/>
        <v>0</v>
      </c>
      <c r="BL236" s="13">
        <f t="shared" si="366"/>
        <v>0</v>
      </c>
      <c r="BM236" s="13">
        <f>SUMIFS(SALIDAS_BIT,FECHA_BIT,"&gt;="&amp;BM$2,FECHA_BIT,"&lt;="&amp;BM$3,CLAVE_BIT,$A236)+SUMIFS(SALIDAS_BOV1,FECHA_BOV1,"&gt;="&amp;BM$2,FECHA_BOV1,"&lt;="&amp;BM$3,CLAVE_BOV1,$A236)+SUMIFS(SALIDAS_BOV2,FECHA_BOV2,"&gt;="&amp;BM$2,FECHA_BOV2,"&lt;="&amp;BM$3,CLAVE_BOV2,$A236)+SUMIFS(SALIDAS_BOV3,FECHA_BOV3,"&gt;="&amp;BM$2,FECHA_BOV3,"&lt;="&amp;BM$3,CLAVE_BOV3,$A236)+SUMIFS(SALIDAS_TC,FECHA_TC,"&gt;="&amp;BM$2,FECHA_TC,"&lt;="&amp;BM$3,CLAVE_TC,$A236)+SUMIFS(SALIDAS_COMB,FECHA_COMB,"&gt;="&amp;BM$2,FECHA_COMB,"&lt;="&amp;BM$3,CLAVE_COMB,$A236)+SUMIFS(SALIDAS_DES,FECHA_DESGLOSEN,"&gt;="&amp;BM$2,FECHA_DESGLOSEN,"&lt;="&amp;BM$3,CLAVE_DESGLOSE,$A236)</f>
        <v>0</v>
      </c>
      <c r="BN236" s="13">
        <f>SUMIFS(SALIDAS_BIT,FECHA_BIT,"&gt;="&amp;BN$2,FECHA_BIT,"&lt;="&amp;BN$3,CLAVE_BIT,$A236)+SUMIFS(SALIDAS_BOV1,FECHA_BOV1,"&gt;="&amp;BN$2,FECHA_BOV1,"&lt;="&amp;BN$3,CLAVE_BOV1,$A236)+SUMIFS(SALIDAS_BOV2,FECHA_BOV2,"&gt;="&amp;BN$2,FECHA_BOV2,"&lt;="&amp;BN$3,CLAVE_BOV2,$A236)+SUMIFS(SALIDAS_BOV3,FECHA_BOV3,"&gt;="&amp;BN$2,FECHA_BOV3,"&lt;="&amp;BN$3,CLAVE_BOV3,$A236)+SUMIFS(SALIDAS_TC,FECHA_TC,"&gt;="&amp;BN$2,FECHA_TC,"&lt;="&amp;BN$3,CLAVE_TC,$A236)+SUMIFS(SALIDAS_COMB,FECHA_COMB,"&gt;="&amp;BN$2,FECHA_COMB,"&lt;="&amp;BN$3,CLAVE_COMB,$A236)+SUMIFS(SALIDAS_DES,FECHA_DESGLOSEN,"&gt;="&amp;BN$2,FECHA_DESGLOSEN,"&lt;="&amp;BN$3,CLAVE_DESGLOSE,$A236)</f>
        <v>0</v>
      </c>
      <c r="BO236" s="13">
        <f>SUMIFS(SALIDAS_BIT,FECHA_BIT,"&gt;="&amp;BO$2,FECHA_BIT,"&lt;="&amp;BO$3,CLAVE_BIT,$A236)+SUMIFS(SALIDAS_BOV1,FECHA_BOV1,"&gt;="&amp;BO$2,FECHA_BOV1,"&lt;="&amp;BO$3,CLAVE_BOV1,$A236)+SUMIFS(SALIDAS_BOV2,FECHA_BOV2,"&gt;="&amp;BO$2,FECHA_BOV2,"&lt;="&amp;BO$3,CLAVE_BOV2,$A236)+SUMIFS(SALIDAS_BOV3,FECHA_BOV3,"&gt;="&amp;BO$2,FECHA_BOV3,"&lt;="&amp;BO$3,CLAVE_BOV3,$A236)+SUMIFS(SALIDAS_TC,FECHA_TC,"&gt;="&amp;BO$2,FECHA_TC,"&lt;="&amp;BO$3,CLAVE_TC,$A236)+SUMIFS(SALIDAS_COMB,FECHA_COMB,"&gt;="&amp;BO$2,FECHA_COMB,"&lt;="&amp;BO$3,CLAVE_COMB,$A236)+SUMIFS(SALIDAS_DES,FECHA_DESGLOSEN,"&gt;="&amp;BO$2,FECHA_DESGLOSEN,"&lt;="&amp;BO$3,CLAVE_DESGLOSE,$A236)</f>
        <v>0</v>
      </c>
      <c r="BP236" s="13">
        <f>SUMIFS(SALIDAS_BIT,FECHA_BIT,"&gt;="&amp;BP$2,FECHA_BIT,"&lt;="&amp;BP$3,CLAVE_BIT,$A236)+SUMIFS(SALIDAS_BOV1,FECHA_BOV1,"&gt;="&amp;BP$2,FECHA_BOV1,"&lt;="&amp;BP$3,CLAVE_BOV1,$A236)+SUMIFS(SALIDAS_BOV2,FECHA_BOV2,"&gt;="&amp;BP$2,FECHA_BOV2,"&lt;="&amp;BP$3,CLAVE_BOV2,$A236)+SUMIFS(SALIDAS_BOV3,FECHA_BOV3,"&gt;="&amp;BP$2,FECHA_BOV3,"&lt;="&amp;BP$3,CLAVE_BOV3,$A236)+SUMIFS(SALIDAS_TC,FECHA_TC,"&gt;="&amp;BP$2,FECHA_TC,"&lt;="&amp;BP$3,CLAVE_TC,$A236)+SUMIFS(SALIDAS_COMB,FECHA_COMB,"&gt;="&amp;BP$2,FECHA_COMB,"&lt;="&amp;BP$3,CLAVE_COMB,$A236)+SUMIFS(SALIDAS_DES,FECHA_DESGLOSEN,"&gt;="&amp;BP$2,FECHA_DESGLOSEN,"&lt;="&amp;BP$3,CLAVE_DESGLOSE,$A236)</f>
        <v>3248</v>
      </c>
      <c r="BQ236" s="13">
        <f>SUMIFS(SALIDAS_BIT,FECHA_BIT,"&gt;="&amp;BQ$2,FECHA_BIT,"&lt;="&amp;BQ$3,CLAVE_BIT,$A236)+SUMIFS(SALIDAS_BOV1,FECHA_BOV1,"&gt;="&amp;BQ$2,FECHA_BOV1,"&lt;="&amp;BQ$3,CLAVE_BOV1,$A236)+SUMIFS(SALIDAS_BOV2,FECHA_BOV2,"&gt;="&amp;BQ$2,FECHA_BOV2,"&lt;="&amp;BQ$3,CLAVE_BOV2,$A236)+SUMIFS(SALIDAS_BOV3,FECHA_BOV3,"&gt;="&amp;BQ$2,FECHA_BOV3,"&lt;="&amp;BQ$3,CLAVE_BOV3,$A236)+SUMIFS(SALIDAS_TC,FECHA_TC,"&gt;="&amp;BQ$2,FECHA_TC,"&lt;="&amp;BQ$3,CLAVE_TC,$A236)+SUMIFS(SALIDAS_COMB,FECHA_COMB,"&gt;="&amp;BQ$2,FECHA_COMB,"&lt;="&amp;BQ$3,CLAVE_COMB,$A236)+SUMIFS(SALIDAS_DES,FECHA_DESGLOSEN,"&gt;="&amp;BQ$2,FECHA_DESGLOSEN,"&lt;="&amp;BQ$3,CLAVE_DESGLOSE,$A236)</f>
        <v>0</v>
      </c>
      <c r="BR236" s="13">
        <f t="shared" si="406"/>
        <v>3248</v>
      </c>
      <c r="BS236" s="68">
        <f t="shared" si="367"/>
        <v>-3248</v>
      </c>
      <c r="BT236" s="268">
        <f t="shared" si="368"/>
        <v>0</v>
      </c>
      <c r="BU236" s="13">
        <f t="shared" si="369"/>
        <v>30000</v>
      </c>
      <c r="BV236" s="13">
        <f t="shared" si="389"/>
        <v>2900</v>
      </c>
      <c r="BW236" s="13">
        <f t="shared" si="389"/>
        <v>0</v>
      </c>
      <c r="BX236" s="13">
        <f t="shared" si="389"/>
        <v>0</v>
      </c>
      <c r="BY236" s="13">
        <f t="shared" si="389"/>
        <v>0</v>
      </c>
      <c r="BZ236" s="13">
        <f t="shared" si="407"/>
        <v>2900</v>
      </c>
      <c r="CA236" s="68">
        <f t="shared" si="370"/>
        <v>27100</v>
      </c>
      <c r="CB236" s="268">
        <f t="shared" si="371"/>
        <v>9.6666666666666665E-2</v>
      </c>
      <c r="CC236" s="13">
        <f t="shared" si="372"/>
        <v>0</v>
      </c>
      <c r="CD236" s="13">
        <f t="shared" si="390"/>
        <v>0</v>
      </c>
      <c r="CE236" s="13">
        <f t="shared" si="390"/>
        <v>0</v>
      </c>
      <c r="CF236" s="13">
        <f t="shared" si="390"/>
        <v>0</v>
      </c>
      <c r="CG236" s="13">
        <f t="shared" si="390"/>
        <v>0</v>
      </c>
      <c r="CH236" s="13">
        <f t="shared" si="408"/>
        <v>0</v>
      </c>
      <c r="CI236" s="68">
        <f t="shared" si="373"/>
        <v>0</v>
      </c>
      <c r="CJ236" s="268">
        <f t="shared" si="374"/>
        <v>0</v>
      </c>
      <c r="CK236" s="13">
        <f t="shared" si="375"/>
        <v>0</v>
      </c>
      <c r="CL236" s="13">
        <f t="shared" si="400"/>
        <v>0</v>
      </c>
      <c r="CM236" s="13">
        <f t="shared" si="400"/>
        <v>0</v>
      </c>
      <c r="CN236" s="13">
        <f t="shared" si="400"/>
        <v>0</v>
      </c>
      <c r="CO236" s="13">
        <f t="shared" si="400"/>
        <v>0</v>
      </c>
      <c r="CP236" s="13">
        <f t="shared" si="400"/>
        <v>0</v>
      </c>
      <c r="CQ236" s="13">
        <f t="shared" si="409"/>
        <v>0</v>
      </c>
      <c r="CR236" s="68">
        <f t="shared" si="376"/>
        <v>0</v>
      </c>
      <c r="CS236" s="268">
        <f t="shared" si="377"/>
        <v>0</v>
      </c>
      <c r="CT236" s="68">
        <f t="shared" si="350"/>
        <v>0</v>
      </c>
      <c r="CU236" s="13">
        <f>SUMIFS(SALIDAS_BIT,FECHA_BIT,"&gt;="&amp;CU$2,FECHA_BIT,"&lt;="&amp;CU$3,CLAVE_BIT,$A236)+SUMIFS(SALIDAS_BOV1,FECHA_BOV1,"&gt;="&amp;CU$2,FECHA_BOV1,"&lt;="&amp;CU$3,CLAVE_BOV1,$A236)+SUMIFS(SALIDAS_BOV2,FECHA_BOV2,"&gt;="&amp;CU$2,FECHA_BOV2,"&lt;="&amp;CU$3,CLAVE_BOV2,$A236)+SUMIFS(SALIDAS_BOV3,FECHA_BOV3,"&gt;="&amp;CU$2,FECHA_BOV3,"&lt;="&amp;CU$3,CLAVE_BOV3,$A236)+SUMIFS(SALIDAS_TC,FECHA_TC,"&gt;="&amp;CU$2,FECHA_TC,"&lt;="&amp;CU$3,CLAVE_TC,$A236)+SUMIFS(SALIDAS_COMB,FECHA_COMB,"&gt;="&amp;CU$2,FECHA_COMB,"&lt;="&amp;CU$3,CLAVE_COMB,$A236)+SUMIFS(SALIDAS_DES,FECHA_DESGLOSEN,"&gt;="&amp;CU$2,FECHA_DESGLOSEN,"&lt;="&amp;CU$3,CLAVE_DESGLOSE,$A236)</f>
        <v>3364</v>
      </c>
      <c r="CV236" s="13">
        <f>SUMIFS(SALIDAS_BIT,FECHA_BIT,"&gt;="&amp;CV$2,FECHA_BIT,"&lt;="&amp;CV$3,CLAVE_BIT,$A236)+SUMIFS(SALIDAS_BOV1,FECHA_BOV1,"&gt;="&amp;CV$2,FECHA_BOV1,"&lt;="&amp;CV$3,CLAVE_BOV1,$A236)+SUMIFS(SALIDAS_BOV2,FECHA_BOV2,"&gt;="&amp;CV$2,FECHA_BOV2,"&lt;="&amp;CV$3,CLAVE_BOV2,$A236)+SUMIFS(SALIDAS_BOV3,FECHA_BOV3,"&gt;="&amp;CV$2,FECHA_BOV3,"&lt;="&amp;CV$3,CLAVE_BOV3,$A236)+SUMIFS(SALIDAS_TC,FECHA_TC,"&gt;="&amp;CV$2,FECHA_TC,"&lt;="&amp;CV$3,CLAVE_TC,$A236)+SUMIFS(SALIDAS_COMB,FECHA_COMB,"&gt;="&amp;CV$2,FECHA_COMB,"&lt;="&amp;CV$3,CLAVE_COMB,$A236)+SUMIFS(SALIDAS_DES,FECHA_DESGLOSEN,"&gt;="&amp;CV$2,FECHA_DESGLOSEN,"&lt;="&amp;CV$3,CLAVE_DESGLOSE,$A236)</f>
        <v>0</v>
      </c>
      <c r="CW236" s="13">
        <f>SUMIFS(SALIDAS_BIT,FECHA_BIT,"&gt;="&amp;CW$2,FECHA_BIT,"&lt;="&amp;CW$3,CLAVE_BIT,$A236)+SUMIFS(SALIDAS_BOV1,FECHA_BOV1,"&gt;="&amp;CW$2,FECHA_BOV1,"&lt;="&amp;CW$3,CLAVE_BOV1,$A236)+SUMIFS(SALIDAS_BOV2,FECHA_BOV2,"&gt;="&amp;CW$2,FECHA_BOV2,"&lt;="&amp;CW$3,CLAVE_BOV2,$A236)+SUMIFS(SALIDAS_BOV3,FECHA_BOV3,"&gt;="&amp;CW$2,FECHA_BOV3,"&lt;="&amp;CW$3,CLAVE_BOV3,$A236)+SUMIFS(SALIDAS_TC,FECHA_TC,"&gt;="&amp;CW$2,FECHA_TC,"&lt;="&amp;CW$3,CLAVE_TC,$A236)+SUMIFS(SALIDAS_COMB,FECHA_COMB,"&gt;="&amp;CW$2,FECHA_COMB,"&lt;="&amp;CW$3,CLAVE_COMB,$A236)+SUMIFS(SALIDAS_DES,FECHA_DESGLOSEN,"&gt;="&amp;CW$2,FECHA_DESGLOSEN,"&lt;="&amp;CW$3,CLAVE_DESGLOSE,$A236)</f>
        <v>0</v>
      </c>
      <c r="CX236" s="13">
        <f>SUMIFS(SALIDAS_BIT,FECHA_BIT,"&gt;="&amp;CX$2,FECHA_BIT,"&lt;="&amp;CX$3,CLAVE_BIT,$A236)+SUMIFS(SALIDAS_BOV1,FECHA_BOV1,"&gt;="&amp;CX$2,FECHA_BOV1,"&lt;="&amp;CX$3,CLAVE_BOV1,$A236)+SUMIFS(SALIDAS_BOV2,FECHA_BOV2,"&gt;="&amp;CX$2,FECHA_BOV2,"&lt;="&amp;CX$3,CLAVE_BOV2,$A236)+SUMIFS(SALIDAS_BOV3,FECHA_BOV3,"&gt;="&amp;CX$2,FECHA_BOV3,"&lt;="&amp;CX$3,CLAVE_BOV3,$A236)+SUMIFS(SALIDAS_TC,FECHA_TC,"&gt;="&amp;CX$2,FECHA_TC,"&lt;="&amp;CX$3,CLAVE_TC,$A236)+SUMIFS(SALIDAS_COMB,FECHA_COMB,"&gt;="&amp;CX$2,FECHA_COMB,"&lt;="&amp;CX$3,CLAVE_COMB,$A236)+SUMIFS(SALIDAS_DES,FECHA_DESGLOSEN,"&gt;="&amp;CX$2,FECHA_DESGLOSEN,"&lt;="&amp;CX$3,CLAVE_DESGLOSE,$A236)</f>
        <v>0</v>
      </c>
      <c r="CY236" s="13">
        <f>SUMIFS(SALIDAS_BIT,FECHA_BIT,"&gt;="&amp;CY$2,FECHA_BIT,"&lt;="&amp;CY$3,CLAVE_BIT,$A236)+SUMIFS(SALIDAS_BOV1,FECHA_BOV1,"&gt;="&amp;CY$2,FECHA_BOV1,"&lt;="&amp;CY$3,CLAVE_BOV1,$A236)+SUMIFS(SALIDAS_BOV2,FECHA_BOV2,"&gt;="&amp;CY$2,FECHA_BOV2,"&lt;="&amp;CY$3,CLAVE_BOV2,$A236)+SUMIFS(SALIDAS_BOV3,FECHA_BOV3,"&gt;="&amp;CY$2,FECHA_BOV3,"&lt;="&amp;CY$3,CLAVE_BOV3,$A236)+SUMIFS(SALIDAS_TC,FECHA_TC,"&gt;="&amp;CY$2,FECHA_TC,"&lt;="&amp;CY$3,CLAVE_TC,$A236)+SUMIFS(SALIDAS_COMB,FECHA_COMB,"&gt;="&amp;CY$2,FECHA_COMB,"&lt;="&amp;CY$3,CLAVE_COMB,$A236)+SUMIFS(SALIDAS_DES,FECHA_DESGLOSEN,"&gt;="&amp;CY$2,FECHA_DESGLOSEN,"&lt;="&amp;CY$3,CLAVE_DESGLOSE,$A236)</f>
        <v>3364</v>
      </c>
      <c r="CZ236" s="68">
        <f t="shared" si="378"/>
        <v>-3364</v>
      </c>
      <c r="DB236" s="17">
        <f>F236+N236+W236+AE236+AM236+AV236+BD236+BL236+BU236+CC236+CK236</f>
        <v>67600</v>
      </c>
      <c r="DC236" s="17">
        <f>K236+T236+AB236+AJ236+AS236+BA236+BI236+BR236+BZ236+CH236+CQ236</f>
        <v>17936</v>
      </c>
    </row>
    <row r="237" spans="1:107" hidden="1">
      <c r="A237" s="12" t="str">
        <f t="shared" si="351"/>
        <v>CAPMTTO EQ DE TRANSPORTECAPRICHOS</v>
      </c>
      <c r="B237" s="12">
        <v>239</v>
      </c>
      <c r="C237" t="s">
        <v>31</v>
      </c>
      <c r="D237" t="s">
        <v>144</v>
      </c>
      <c r="E237" s="12" t="s">
        <v>33</v>
      </c>
      <c r="F237" s="259">
        <f t="shared" si="344"/>
        <v>0</v>
      </c>
      <c r="G237" s="13">
        <f t="shared" ref="G237:K246" si="410">SUMIFS(SALIDAS_BIT,FECHA_BIT,"&gt;="&amp;G$2,FECHA_BIT,"&lt;="&amp;G$3,CLAVE_BIT,$A237)+SUMIFS(SALIDAS_BOV1,FECHA_BOV1,"&gt;="&amp;G$2,FECHA_BOV1,"&lt;="&amp;G$3,CLAVE_BOV1,$A237)+SUMIFS(SALIDAS_BOV2,FECHA_BOV2,"&gt;="&amp;G$2,FECHA_BOV2,"&lt;="&amp;G$3,CLAVE_BOV2,$A237)+SUMIFS(SALIDAS_BOV3,FECHA_BOV3,"&gt;="&amp;G$2,FECHA_BOV3,"&lt;="&amp;G$3,CLAVE_BOV3,$A237)+SUMIFS(SALIDAS_TC,FECHA_TC,"&gt;="&amp;G$2,FECHA_TC,"&lt;="&amp;G$3,CLAVE_TC,$A237)+SUMIFS(SALIDAS_COMB,FECHA_COMB,"&gt;="&amp;G$2,FECHA_COMB,"&lt;="&amp;G$3,CLAVE_COMB,$A237)+SUMIFS(SALIDAS_DES,FECHA_DESGLOSEN,"&gt;="&amp;G$2,FECHA_DESGLOSEN,"&lt;="&amp;G$3,CLAVE_DESGLOSE,$A237)</f>
        <v>0</v>
      </c>
      <c r="H237" s="13">
        <f t="shared" si="410"/>
        <v>0</v>
      </c>
      <c r="I237" s="13">
        <f t="shared" si="410"/>
        <v>0</v>
      </c>
      <c r="J237" s="13">
        <f t="shared" si="410"/>
        <v>0</v>
      </c>
      <c r="K237" s="13">
        <f t="shared" si="410"/>
        <v>0</v>
      </c>
      <c r="L237" s="68">
        <f t="shared" si="352"/>
        <v>0</v>
      </c>
      <c r="M237" s="268">
        <f t="shared" si="353"/>
        <v>0</v>
      </c>
      <c r="N237" s="13">
        <f t="shared" si="345"/>
        <v>0</v>
      </c>
      <c r="O237" s="13">
        <f t="shared" ref="O237:T246" si="411">SUMIFS(SALIDAS_BIT,FECHA_BIT,"&gt;="&amp;O$2,FECHA_BIT,"&lt;="&amp;O$3,CLAVE_BIT,$A237)+SUMIFS(SALIDAS_BOV1,FECHA_BOV1,"&gt;="&amp;O$2,FECHA_BOV1,"&lt;="&amp;O$3,CLAVE_BOV1,$A237)+SUMIFS(SALIDAS_BOV2,FECHA_BOV2,"&gt;="&amp;O$2,FECHA_BOV2,"&lt;="&amp;O$3,CLAVE_BOV2,$A237)+SUMIFS(SALIDAS_BOV3,FECHA_BOV3,"&gt;="&amp;O$2,FECHA_BOV3,"&lt;="&amp;O$3,CLAVE_BOV3,$A237)+SUMIFS(SALIDAS_TC,FECHA_TC,"&gt;="&amp;O$2,FECHA_TC,"&lt;="&amp;O$3,CLAVE_TC,$A237)+SUMIFS(SALIDAS_COMB,FECHA_COMB,"&gt;="&amp;O$2,FECHA_COMB,"&lt;="&amp;O$3,CLAVE_COMB,$A237)+SUMIFS(SALIDAS_DES,FECHA_DESGLOSEN,"&gt;="&amp;O$2,FECHA_DESGLOSEN,"&lt;="&amp;O$3,CLAVE_DESGLOSE,$A237)</f>
        <v>0</v>
      </c>
      <c r="P237" s="13">
        <f t="shared" si="411"/>
        <v>0</v>
      </c>
      <c r="Q237" s="13">
        <f t="shared" si="411"/>
        <v>0</v>
      </c>
      <c r="R237" s="13">
        <f t="shared" si="411"/>
        <v>4819.5</v>
      </c>
      <c r="S237" s="13">
        <f t="shared" si="411"/>
        <v>0</v>
      </c>
      <c r="T237" s="13">
        <f t="shared" si="411"/>
        <v>4819.5</v>
      </c>
      <c r="U237" s="68">
        <f t="shared" si="354"/>
        <v>-4819.5</v>
      </c>
      <c r="V237" s="268">
        <f t="shared" si="355"/>
        <v>0</v>
      </c>
      <c r="W237" s="13">
        <f t="shared" si="346"/>
        <v>0</v>
      </c>
      <c r="X237" s="13">
        <f t="shared" ref="X237:AB246" si="412">SUMIFS(SALIDAS_BIT,FECHA_BIT,"&gt;="&amp;X$2,FECHA_BIT,"&lt;="&amp;X$3,CLAVE_BIT,$A237)+SUMIFS(SALIDAS_BOV1,FECHA_BOV1,"&gt;="&amp;X$2,FECHA_BOV1,"&lt;="&amp;X$3,CLAVE_BOV1,$A237)+SUMIFS(SALIDAS_BOV2,FECHA_BOV2,"&gt;="&amp;X$2,FECHA_BOV2,"&lt;="&amp;X$3,CLAVE_BOV2,$A237)+SUMIFS(SALIDAS_BOV3,FECHA_BOV3,"&gt;="&amp;X$2,FECHA_BOV3,"&lt;="&amp;X$3,CLAVE_BOV3,$A237)+SUMIFS(SALIDAS_TC,FECHA_TC,"&gt;="&amp;X$2,FECHA_TC,"&lt;="&amp;X$3,CLAVE_TC,$A237)+SUMIFS(SALIDAS_COMB,FECHA_COMB,"&gt;="&amp;X$2,FECHA_COMB,"&lt;="&amp;X$3,CLAVE_COMB,$A237)+SUMIFS(SALIDAS_DES,FECHA_DESGLOSEN,"&gt;="&amp;X$2,FECHA_DESGLOSEN,"&lt;="&amp;X$3,CLAVE_DESGLOSE,$A237)</f>
        <v>0</v>
      </c>
      <c r="Y237" s="13">
        <f t="shared" si="412"/>
        <v>0</v>
      </c>
      <c r="Z237" s="13">
        <f t="shared" si="412"/>
        <v>1900</v>
      </c>
      <c r="AA237" s="13">
        <f t="shared" si="412"/>
        <v>0</v>
      </c>
      <c r="AB237" s="13">
        <f t="shared" si="412"/>
        <v>1900</v>
      </c>
      <c r="AC237" s="68">
        <f t="shared" si="356"/>
        <v>-1900</v>
      </c>
      <c r="AD237" s="268">
        <f t="shared" si="357"/>
        <v>0</v>
      </c>
      <c r="AE237" s="13">
        <f t="shared" si="347"/>
        <v>0</v>
      </c>
      <c r="AF237" s="13">
        <f t="shared" ref="AF237:AJ246" si="413">SUMIFS(SALIDAS_BIT,FECHA_BIT,"&gt;="&amp;AF$2,FECHA_BIT,"&lt;="&amp;AF$3,CLAVE_BIT,$A237)+SUMIFS(SALIDAS_BOV1,FECHA_BOV1,"&gt;="&amp;AF$2,FECHA_BOV1,"&lt;="&amp;AF$3,CLAVE_BOV1,$A237)+SUMIFS(SALIDAS_BOV2,FECHA_BOV2,"&gt;="&amp;AF$2,FECHA_BOV2,"&lt;="&amp;AF$3,CLAVE_BOV2,$A237)+SUMIFS(SALIDAS_BOV3,FECHA_BOV3,"&gt;="&amp;AF$2,FECHA_BOV3,"&lt;="&amp;AF$3,CLAVE_BOV3,$A237)+SUMIFS(SALIDAS_TC,FECHA_TC,"&gt;="&amp;AF$2,FECHA_TC,"&lt;="&amp;AF$3,CLAVE_TC,$A237)+SUMIFS(SALIDAS_COMB,FECHA_COMB,"&gt;="&amp;AF$2,FECHA_COMB,"&lt;="&amp;AF$3,CLAVE_COMB,$A237)+SUMIFS(SALIDAS_DES,FECHA_DESGLOSEN,"&gt;="&amp;AF$2,FECHA_DESGLOSEN,"&lt;="&amp;AF$3,CLAVE_DESGLOSE,$A237)</f>
        <v>6403.2</v>
      </c>
      <c r="AG237" s="13">
        <f t="shared" si="413"/>
        <v>2850</v>
      </c>
      <c r="AH237" s="13">
        <f t="shared" si="413"/>
        <v>0</v>
      </c>
      <c r="AI237" s="13">
        <f t="shared" si="413"/>
        <v>0</v>
      </c>
      <c r="AJ237" s="13">
        <f t="shared" si="413"/>
        <v>9253.2000000000007</v>
      </c>
      <c r="AK237" s="68">
        <f t="shared" si="358"/>
        <v>-9253.2000000000007</v>
      </c>
      <c r="AL237" s="268">
        <f t="shared" si="359"/>
        <v>0</v>
      </c>
      <c r="AM237" s="13">
        <f t="shared" si="348"/>
        <v>6985</v>
      </c>
      <c r="AN237" s="13">
        <f t="shared" ref="AN237:AS246" si="414">SUMIFS(SALIDAS_BIT,FECHA_BIT,"&gt;="&amp;AN$2,FECHA_BIT,"&lt;="&amp;AN$3,CLAVE_BIT,$A237)+SUMIFS(SALIDAS_BOV1,FECHA_BOV1,"&gt;="&amp;AN$2,FECHA_BOV1,"&lt;="&amp;AN$3,CLAVE_BOV1,$A237)+SUMIFS(SALIDAS_BOV2,FECHA_BOV2,"&gt;="&amp;AN$2,FECHA_BOV2,"&lt;="&amp;AN$3,CLAVE_BOV2,$A237)+SUMIFS(SALIDAS_BOV3,FECHA_BOV3,"&gt;="&amp;AN$2,FECHA_BOV3,"&lt;="&amp;AN$3,CLAVE_BOV3,$A237)+SUMIFS(SALIDAS_TC,FECHA_TC,"&gt;="&amp;AN$2,FECHA_TC,"&lt;="&amp;AN$3,CLAVE_TC,$A237)+SUMIFS(SALIDAS_COMB,FECHA_COMB,"&gt;="&amp;AN$2,FECHA_COMB,"&lt;="&amp;AN$3,CLAVE_COMB,$A237)+SUMIFS(SALIDAS_DES,FECHA_DESGLOSEN,"&gt;="&amp;AN$2,FECHA_DESGLOSEN,"&lt;="&amp;AN$3,CLAVE_DESGLOSE,$A237)</f>
        <v>2720</v>
      </c>
      <c r="AO237" s="13">
        <f t="shared" si="414"/>
        <v>0</v>
      </c>
      <c r="AP237" s="13">
        <f t="shared" si="414"/>
        <v>0</v>
      </c>
      <c r="AQ237" s="13">
        <f t="shared" si="414"/>
        <v>0</v>
      </c>
      <c r="AR237" s="13">
        <f t="shared" si="414"/>
        <v>0</v>
      </c>
      <c r="AS237" s="13">
        <f t="shared" si="414"/>
        <v>2720</v>
      </c>
      <c r="AT237" s="68">
        <f>AM237-AS237</f>
        <v>4265</v>
      </c>
      <c r="AU237" s="268">
        <f t="shared" si="360"/>
        <v>0.38940586972083036</v>
      </c>
      <c r="AV237" s="13">
        <f t="shared" si="349"/>
        <v>2920</v>
      </c>
      <c r="AW237" s="13">
        <f t="shared" si="323"/>
        <v>0</v>
      </c>
      <c r="AX237" s="13">
        <f t="shared" si="323"/>
        <v>3132</v>
      </c>
      <c r="AY237" s="13">
        <f t="shared" si="323"/>
        <v>0</v>
      </c>
      <c r="AZ237" s="13">
        <f t="shared" si="323"/>
        <v>0</v>
      </c>
      <c r="BA237" s="13">
        <f t="shared" si="379"/>
        <v>3132</v>
      </c>
      <c r="BB237" s="68">
        <f t="shared" si="361"/>
        <v>-212</v>
      </c>
      <c r="BC237" s="268">
        <f t="shared" si="362"/>
        <v>1.0726027397260274</v>
      </c>
      <c r="BD237" s="13">
        <f t="shared" si="363"/>
        <v>4280</v>
      </c>
      <c r="BE237" s="13">
        <f>SUMIFS(SALIDAS_BIT,FECHA_BIT,"&gt;="&amp;BE$2,FECHA_BIT,"&lt;="&amp;BE$3,CLAVE_BIT,$A237)+SUMIFS(SALIDAS_BOV1,FECHA_BOV1,"&gt;="&amp;BE$2,FECHA_BOV1,"&lt;="&amp;BE$3,CLAVE_BOV1,$A237)+SUMIFS(SALIDAS_BOV2,FECHA_BOV2,"&gt;="&amp;BE$2,FECHA_BOV2,"&lt;="&amp;BE$3,CLAVE_BOV2,$A237)+SUMIFS(SALIDAS_BOV3,FECHA_BOV3,"&gt;="&amp;BE$2,FECHA_BOV3,"&lt;="&amp;BE$3,CLAVE_BOV3,$A237)+SUMIFS(SALIDAS_TC,FECHA_TC,"&gt;="&amp;BE$2,FECHA_TC,"&lt;="&amp;BE$3,CLAVE_TC,$A237)+SUMIFS(SALIDAS_COMB,FECHA_COMB,"&gt;="&amp;BE$2,FECHA_COMB,"&lt;="&amp;BE$3,CLAVE_COMB,$A237)+SUMIFS(SALIDAS_DES,FECHA_DESGLOSEN,"&gt;="&amp;BE$2,FECHA_DESGLOSEN,"&lt;="&amp;BE$3,CLAVE_DESGLOSE,$A237)</f>
        <v>0</v>
      </c>
      <c r="BF237" s="13">
        <f>SUMIFS(SALIDAS_BIT,FECHA_BIT,"&gt;="&amp;BF$2,FECHA_BIT,"&lt;="&amp;BF$3,CLAVE_BIT,$A237)+SUMIFS(SALIDAS_BOV1,FECHA_BOV1,"&gt;="&amp;BF$2,FECHA_BOV1,"&lt;="&amp;BF$3,CLAVE_BOV1,$A237)+SUMIFS(SALIDAS_BOV2,FECHA_BOV2,"&gt;="&amp;BF$2,FECHA_BOV2,"&lt;="&amp;BF$3,CLAVE_BOV2,$A237)+SUMIFS(SALIDAS_BOV3,FECHA_BOV3,"&gt;="&amp;BF$2,FECHA_BOV3,"&lt;="&amp;BF$3,CLAVE_BOV3,$A237)+SUMIFS(SALIDAS_TC,FECHA_TC,"&gt;="&amp;BF$2,FECHA_TC,"&lt;="&amp;BF$3,CLAVE_TC,$A237)+SUMIFS(SALIDAS_COMB,FECHA_COMB,"&gt;="&amp;BF$2,FECHA_COMB,"&lt;="&amp;BF$3,CLAVE_COMB,$A237)+SUMIFS(SALIDAS_DES,FECHA_DESGLOSEN,"&gt;="&amp;BF$2,FECHA_DESGLOSEN,"&lt;="&amp;BF$3,CLAVE_DESGLOSE,$A237)</f>
        <v>0</v>
      </c>
      <c r="BG237" s="13">
        <f>SUMIFS(SALIDAS_BIT,FECHA_BIT,"&gt;="&amp;BG$2,FECHA_BIT,"&lt;="&amp;BG$3,CLAVE_BIT,$A237)+SUMIFS(SALIDAS_BOV1,FECHA_BOV1,"&gt;="&amp;BG$2,FECHA_BOV1,"&lt;="&amp;BG$3,CLAVE_BOV1,$A237)+SUMIFS(SALIDAS_BOV2,FECHA_BOV2,"&gt;="&amp;BG$2,FECHA_BOV2,"&lt;="&amp;BG$3,CLAVE_BOV2,$A237)+SUMIFS(SALIDAS_BOV3,FECHA_BOV3,"&gt;="&amp;BG$2,FECHA_BOV3,"&lt;="&amp;BG$3,CLAVE_BOV3,$A237)+SUMIFS(SALIDAS_TC,FECHA_TC,"&gt;="&amp;BG$2,FECHA_TC,"&lt;="&amp;BG$3,CLAVE_TC,$A237)+SUMIFS(SALIDAS_COMB,FECHA_COMB,"&gt;="&amp;BG$2,FECHA_COMB,"&lt;="&amp;BG$3,CLAVE_COMB,$A237)+SUMIFS(SALIDAS_DES,FECHA_DESGLOSEN,"&gt;="&amp;BG$2,FECHA_DESGLOSEN,"&lt;="&amp;BG$3,CLAVE_DESGLOSE,$A237)</f>
        <v>4016.25</v>
      </c>
      <c r="BH237" s="13">
        <f>SUMIFS(SALIDAS_BIT,FECHA_BIT,"&gt;="&amp;BH$2,FECHA_BIT,"&lt;="&amp;BH$3,CLAVE_BIT,$A237)+SUMIFS(SALIDAS_BOV1,FECHA_BOV1,"&gt;="&amp;BH$2,FECHA_BOV1,"&lt;="&amp;BH$3,CLAVE_BOV1,$A237)+SUMIFS(SALIDAS_BOV2,FECHA_BOV2,"&gt;="&amp;BH$2,FECHA_BOV2,"&lt;="&amp;BH$3,CLAVE_BOV2,$A237)+SUMIFS(SALIDAS_BOV3,FECHA_BOV3,"&gt;="&amp;BH$2,FECHA_BOV3,"&lt;="&amp;BH$3,CLAVE_BOV3,$A237)+SUMIFS(SALIDAS_TC,FECHA_TC,"&gt;="&amp;BH$2,FECHA_TC,"&lt;="&amp;BH$3,CLAVE_TC,$A237)+SUMIFS(SALIDAS_COMB,FECHA_COMB,"&gt;="&amp;BH$2,FECHA_COMB,"&lt;="&amp;BH$3,CLAVE_COMB,$A237)+SUMIFS(SALIDAS_DES,FECHA_DESGLOSEN,"&gt;="&amp;BH$2,FECHA_DESGLOSEN,"&lt;="&amp;BH$3,CLAVE_DESGLOSE,$A237)</f>
        <v>0</v>
      </c>
      <c r="BI237" s="13">
        <f t="shared" si="311"/>
        <v>4016.25</v>
      </c>
      <c r="BJ237" s="68">
        <f t="shared" si="364"/>
        <v>263.75</v>
      </c>
      <c r="BK237" s="268">
        <f t="shared" si="365"/>
        <v>0.93837616822429903</v>
      </c>
      <c r="BL237" s="13">
        <f t="shared" si="366"/>
        <v>4303</v>
      </c>
      <c r="BM237" s="13">
        <f>SUMIFS(SALIDAS_BIT,FECHA_BIT,"&gt;="&amp;BM$2,FECHA_BIT,"&lt;="&amp;BM$3,CLAVE_BIT,$A237)+SUMIFS(SALIDAS_BOV1,FECHA_BOV1,"&gt;="&amp;BM$2,FECHA_BOV1,"&lt;="&amp;BM$3,CLAVE_BOV1,$A237)+SUMIFS(SALIDAS_BOV2,FECHA_BOV2,"&gt;="&amp;BM$2,FECHA_BOV2,"&lt;="&amp;BM$3,CLAVE_BOV2,$A237)+SUMIFS(SALIDAS_BOV3,FECHA_BOV3,"&gt;="&amp;BM$2,FECHA_BOV3,"&lt;="&amp;BM$3,CLAVE_BOV3,$A237)+SUMIFS(SALIDAS_TC,FECHA_TC,"&gt;="&amp;BM$2,FECHA_TC,"&lt;="&amp;BM$3,CLAVE_TC,$A237)+SUMIFS(SALIDAS_COMB,FECHA_COMB,"&gt;="&amp;BM$2,FECHA_COMB,"&lt;="&amp;BM$3,CLAVE_COMB,$A237)+SUMIFS(SALIDAS_DES,FECHA_DESGLOSEN,"&gt;="&amp;BM$2,FECHA_DESGLOSEN,"&lt;="&amp;BM$3,CLAVE_DESGLOSE,$A237)</f>
        <v>3145</v>
      </c>
      <c r="BN237" s="13">
        <f>SUMIFS(SALIDAS_BIT,FECHA_BIT,"&gt;="&amp;BN$2,FECHA_BIT,"&lt;="&amp;BN$3,CLAVE_BIT,$A237)+SUMIFS(SALIDAS_BOV1,FECHA_BOV1,"&gt;="&amp;BN$2,FECHA_BOV1,"&lt;="&amp;BN$3,CLAVE_BOV1,$A237)+SUMIFS(SALIDAS_BOV2,FECHA_BOV2,"&gt;="&amp;BN$2,FECHA_BOV2,"&lt;="&amp;BN$3,CLAVE_BOV2,$A237)+SUMIFS(SALIDAS_BOV3,FECHA_BOV3,"&gt;="&amp;BN$2,FECHA_BOV3,"&lt;="&amp;BN$3,CLAVE_BOV3,$A237)+SUMIFS(SALIDAS_TC,FECHA_TC,"&gt;="&amp;BN$2,FECHA_TC,"&lt;="&amp;BN$3,CLAVE_TC,$A237)+SUMIFS(SALIDAS_COMB,FECHA_COMB,"&gt;="&amp;BN$2,FECHA_COMB,"&lt;="&amp;BN$3,CLAVE_COMB,$A237)+SUMIFS(SALIDAS_DES,FECHA_DESGLOSEN,"&gt;="&amp;BN$2,FECHA_DESGLOSEN,"&lt;="&amp;BN$3,CLAVE_DESGLOSE,$A237)</f>
        <v>0</v>
      </c>
      <c r="BO237" s="13">
        <f>SUMIFS(SALIDAS_BIT,FECHA_BIT,"&gt;="&amp;BO$2,FECHA_BIT,"&lt;="&amp;BO$3,CLAVE_BIT,$A237)+SUMIFS(SALIDAS_BOV1,FECHA_BOV1,"&gt;="&amp;BO$2,FECHA_BOV1,"&lt;="&amp;BO$3,CLAVE_BOV1,$A237)+SUMIFS(SALIDAS_BOV2,FECHA_BOV2,"&gt;="&amp;BO$2,FECHA_BOV2,"&lt;="&amp;BO$3,CLAVE_BOV2,$A237)+SUMIFS(SALIDAS_BOV3,FECHA_BOV3,"&gt;="&amp;BO$2,FECHA_BOV3,"&lt;="&amp;BO$3,CLAVE_BOV3,$A237)+SUMIFS(SALIDAS_TC,FECHA_TC,"&gt;="&amp;BO$2,FECHA_TC,"&lt;="&amp;BO$3,CLAVE_TC,$A237)+SUMIFS(SALIDAS_COMB,FECHA_COMB,"&gt;="&amp;BO$2,FECHA_COMB,"&lt;="&amp;BO$3,CLAVE_COMB,$A237)+SUMIFS(SALIDAS_DES,FECHA_DESGLOSEN,"&gt;="&amp;BO$2,FECHA_DESGLOSEN,"&lt;="&amp;BO$3,CLAVE_DESGLOSE,$A237)</f>
        <v>0</v>
      </c>
      <c r="BP237" s="13">
        <f>SUMIFS(SALIDAS_BIT,FECHA_BIT,"&gt;="&amp;BP$2,FECHA_BIT,"&lt;="&amp;BP$3,CLAVE_BIT,$A237)+SUMIFS(SALIDAS_BOV1,FECHA_BOV1,"&gt;="&amp;BP$2,FECHA_BOV1,"&lt;="&amp;BP$3,CLAVE_BOV1,$A237)+SUMIFS(SALIDAS_BOV2,FECHA_BOV2,"&gt;="&amp;BP$2,FECHA_BOV2,"&lt;="&amp;BP$3,CLAVE_BOV2,$A237)+SUMIFS(SALIDAS_BOV3,FECHA_BOV3,"&gt;="&amp;BP$2,FECHA_BOV3,"&lt;="&amp;BP$3,CLAVE_BOV3,$A237)+SUMIFS(SALIDAS_TC,FECHA_TC,"&gt;="&amp;BP$2,FECHA_TC,"&lt;="&amp;BP$3,CLAVE_TC,$A237)+SUMIFS(SALIDAS_COMB,FECHA_COMB,"&gt;="&amp;BP$2,FECHA_COMB,"&lt;="&amp;BP$3,CLAVE_COMB,$A237)+SUMIFS(SALIDAS_DES,FECHA_DESGLOSEN,"&gt;="&amp;BP$2,FECHA_DESGLOSEN,"&lt;="&amp;BP$3,CLAVE_DESGLOSE,$A237)</f>
        <v>0</v>
      </c>
      <c r="BQ237" s="13">
        <f>SUMIFS(SALIDAS_BIT,FECHA_BIT,"&gt;="&amp;BQ$2,FECHA_BIT,"&lt;="&amp;BQ$3,CLAVE_BIT,$A237)+SUMIFS(SALIDAS_BOV1,FECHA_BOV1,"&gt;="&amp;BQ$2,FECHA_BOV1,"&lt;="&amp;BQ$3,CLAVE_BOV1,$A237)+SUMIFS(SALIDAS_BOV2,FECHA_BOV2,"&gt;="&amp;BQ$2,FECHA_BOV2,"&lt;="&amp;BQ$3,CLAVE_BOV2,$A237)+SUMIFS(SALIDAS_BOV3,FECHA_BOV3,"&gt;="&amp;BQ$2,FECHA_BOV3,"&lt;="&amp;BQ$3,CLAVE_BOV3,$A237)+SUMIFS(SALIDAS_TC,FECHA_TC,"&gt;="&amp;BQ$2,FECHA_TC,"&lt;="&amp;BQ$3,CLAVE_TC,$A237)+SUMIFS(SALIDAS_COMB,FECHA_COMB,"&gt;="&amp;BQ$2,FECHA_COMB,"&lt;="&amp;BQ$3,CLAVE_COMB,$A237)+SUMIFS(SALIDAS_DES,FECHA_DESGLOSEN,"&gt;="&amp;BQ$2,FECHA_DESGLOSEN,"&lt;="&amp;BQ$3,CLAVE_DESGLOSE,$A237)</f>
        <v>0</v>
      </c>
      <c r="BR237" s="13">
        <f t="shared" ref="BR237:BR246" si="415">SUMIFS(SALIDAS_BIT,FECHA_BIT,"&gt;="&amp;BR$2,FECHA_BIT,"&lt;="&amp;BR$3,CLAVE_BIT,$A237)+SUMIFS(SALIDAS_BOV1,FECHA_BOV1,"&gt;="&amp;BR$2,FECHA_BOV1,"&lt;="&amp;BR$3,CLAVE_BOV1,$A237)+SUMIFS(SALIDAS_BOV2,FECHA_BOV2,"&gt;="&amp;BR$2,FECHA_BOV2,"&lt;="&amp;BR$3,CLAVE_BOV2,$A237)+SUMIFS(SALIDAS_BOV3,FECHA_BOV3,"&gt;="&amp;BR$2,FECHA_BOV3,"&lt;="&amp;BR$3,CLAVE_BOV3,$A237)+SUMIFS(SALIDAS_TC,FECHA_TC,"&gt;="&amp;BR$2,FECHA_TC,"&lt;="&amp;BR$3,CLAVE_TC,$A237)+SUMIFS(SALIDAS_COMB,FECHA_COMB,"&gt;="&amp;BR$2,FECHA_COMB,"&lt;="&amp;BR$3,CLAVE_COMB,$A237)+SUMIFS(SALIDAS_DES,FECHA_DESGLOSEN,"&gt;="&amp;BR$2,FECHA_DESGLOSEN,"&lt;="&amp;BR$3,CLAVE_DESGLOSE,$A237)</f>
        <v>3145</v>
      </c>
      <c r="BS237" s="68">
        <f t="shared" si="367"/>
        <v>1158</v>
      </c>
      <c r="BT237" s="268">
        <f t="shared" si="368"/>
        <v>0.73088542877062512</v>
      </c>
      <c r="BU237" s="13">
        <f t="shared" si="369"/>
        <v>3900</v>
      </c>
      <c r="BV237" s="13">
        <f t="shared" si="389"/>
        <v>0</v>
      </c>
      <c r="BW237" s="13">
        <f t="shared" si="389"/>
        <v>0</v>
      </c>
      <c r="BX237" s="13">
        <f t="shared" si="389"/>
        <v>0</v>
      </c>
      <c r="BY237" s="13">
        <f t="shared" si="389"/>
        <v>3132</v>
      </c>
      <c r="BZ237" s="13">
        <f t="shared" ref="BZ237:BZ246" si="416">SUMIFS(SALIDAS_BIT,FECHA_BIT,"&gt;="&amp;BZ$2,FECHA_BIT,"&lt;="&amp;BZ$3,CLAVE_BIT,$A237)+SUMIFS(SALIDAS_BOV1,FECHA_BOV1,"&gt;="&amp;BZ$2,FECHA_BOV1,"&lt;="&amp;BZ$3,CLAVE_BOV1,$A237)+SUMIFS(SALIDAS_BOV2,FECHA_BOV2,"&gt;="&amp;BZ$2,FECHA_BOV2,"&lt;="&amp;BZ$3,CLAVE_BOV2,$A237)+SUMIFS(SALIDAS_BOV3,FECHA_BOV3,"&gt;="&amp;BZ$2,FECHA_BOV3,"&lt;="&amp;BZ$3,CLAVE_BOV3,$A237)+SUMIFS(SALIDAS_TC,FECHA_TC,"&gt;="&amp;BZ$2,FECHA_TC,"&lt;="&amp;BZ$3,CLAVE_TC,$A237)+SUMIFS(SALIDAS_COMB,FECHA_COMB,"&gt;="&amp;BZ$2,FECHA_COMB,"&lt;="&amp;BZ$3,CLAVE_COMB,$A237)+SUMIFS(SALIDAS_DES,FECHA_DESGLOSEN,"&gt;="&amp;BZ$2,FECHA_DESGLOSEN,"&lt;="&amp;BZ$3,CLAVE_DESGLOSE,$A237)</f>
        <v>3132</v>
      </c>
      <c r="CA237" s="68">
        <f t="shared" si="370"/>
        <v>768</v>
      </c>
      <c r="CB237" s="268">
        <f t="shared" si="371"/>
        <v>0.80307692307692302</v>
      </c>
      <c r="CC237" s="13">
        <f t="shared" si="372"/>
        <v>0</v>
      </c>
      <c r="CD237" s="13">
        <f t="shared" si="390"/>
        <v>0</v>
      </c>
      <c r="CE237" s="13">
        <f t="shared" si="390"/>
        <v>2136</v>
      </c>
      <c r="CF237" s="13">
        <f t="shared" si="390"/>
        <v>0</v>
      </c>
      <c r="CG237" s="13">
        <f t="shared" si="390"/>
        <v>0</v>
      </c>
      <c r="CH237" s="13">
        <f t="shared" ref="CH237:CH246" si="417">SUMIFS(SALIDAS_BIT,FECHA_BIT,"&gt;="&amp;CH$2,FECHA_BIT,"&lt;="&amp;CH$3,CLAVE_BIT,$A237)+SUMIFS(SALIDAS_BOV1,FECHA_BOV1,"&gt;="&amp;CH$2,FECHA_BOV1,"&lt;="&amp;CH$3,CLAVE_BOV1,$A237)+SUMIFS(SALIDAS_BOV2,FECHA_BOV2,"&gt;="&amp;CH$2,FECHA_BOV2,"&lt;="&amp;CH$3,CLAVE_BOV2,$A237)+SUMIFS(SALIDAS_BOV3,FECHA_BOV3,"&gt;="&amp;CH$2,FECHA_BOV3,"&lt;="&amp;CH$3,CLAVE_BOV3,$A237)+SUMIFS(SALIDAS_TC,FECHA_TC,"&gt;="&amp;CH$2,FECHA_TC,"&lt;="&amp;CH$3,CLAVE_TC,$A237)+SUMIFS(SALIDAS_COMB,FECHA_COMB,"&gt;="&amp;CH$2,FECHA_COMB,"&lt;="&amp;CH$3,CLAVE_COMB,$A237)+SUMIFS(SALIDAS_DES,FECHA_DESGLOSEN,"&gt;="&amp;CH$2,FECHA_DESGLOSEN,"&lt;="&amp;CH$3,CLAVE_DESGLOSE,$A237)</f>
        <v>2136</v>
      </c>
      <c r="CI237" s="68">
        <f t="shared" si="373"/>
        <v>-2136</v>
      </c>
      <c r="CJ237" s="268">
        <f t="shared" si="374"/>
        <v>0</v>
      </c>
      <c r="CK237" s="13">
        <f t="shared" si="375"/>
        <v>8900</v>
      </c>
      <c r="CL237" s="13">
        <f t="shared" si="400"/>
        <v>0</v>
      </c>
      <c r="CM237" s="13">
        <f t="shared" si="400"/>
        <v>0</v>
      </c>
      <c r="CN237" s="13">
        <f t="shared" si="400"/>
        <v>0</v>
      </c>
      <c r="CO237" s="13">
        <f t="shared" si="400"/>
        <v>0</v>
      </c>
      <c r="CP237" s="13">
        <f t="shared" si="400"/>
        <v>0</v>
      </c>
      <c r="CQ237" s="13">
        <f t="shared" ref="CQ237:CQ246" si="418">SUMIFS(SALIDAS_BIT,FECHA_BIT,"&gt;="&amp;CQ$2,FECHA_BIT,"&lt;="&amp;CQ$3,CLAVE_BIT,$A237)+SUMIFS(SALIDAS_BOV1,FECHA_BOV1,"&gt;="&amp;CQ$2,FECHA_BOV1,"&lt;="&amp;CQ$3,CLAVE_BOV1,$A237)+SUMIFS(SALIDAS_BOV2,FECHA_BOV2,"&gt;="&amp;CQ$2,FECHA_BOV2,"&lt;="&amp;CQ$3,CLAVE_BOV2,$A237)+SUMIFS(SALIDAS_BOV3,FECHA_BOV3,"&gt;="&amp;CQ$2,FECHA_BOV3,"&lt;="&amp;CQ$3,CLAVE_BOV3,$A237)+SUMIFS(SALIDAS_TC,FECHA_TC,"&gt;="&amp;CQ$2,FECHA_TC,"&lt;="&amp;CQ$3,CLAVE_TC,$A237)+SUMIFS(SALIDAS_COMB,FECHA_COMB,"&gt;="&amp;CQ$2,FECHA_COMB,"&lt;="&amp;CQ$3,CLAVE_COMB,$A237)+SUMIFS(SALIDAS_DES,FECHA_DESGLOSEN,"&gt;="&amp;CQ$2,FECHA_DESGLOSEN,"&lt;="&amp;CQ$3,CLAVE_DESGLOSE,$A237)</f>
        <v>0</v>
      </c>
      <c r="CR237" s="68">
        <f t="shared" si="376"/>
        <v>8900</v>
      </c>
      <c r="CS237" s="268">
        <f t="shared" si="377"/>
        <v>0</v>
      </c>
      <c r="CT237" s="68">
        <f t="shared" si="350"/>
        <v>4000</v>
      </c>
      <c r="CU237" s="13">
        <f>SUMIFS(SALIDAS_BIT,FECHA_BIT,"&gt;="&amp;CU$2,FECHA_BIT,"&lt;="&amp;CU$3,CLAVE_BIT,$A237)+SUMIFS(SALIDAS_BOV1,FECHA_BOV1,"&gt;="&amp;CU$2,FECHA_BOV1,"&lt;="&amp;CU$3,CLAVE_BOV1,$A237)+SUMIFS(SALIDAS_BOV2,FECHA_BOV2,"&gt;="&amp;CU$2,FECHA_BOV2,"&lt;="&amp;CU$3,CLAVE_BOV2,$A237)+SUMIFS(SALIDAS_BOV3,FECHA_BOV3,"&gt;="&amp;CU$2,FECHA_BOV3,"&lt;="&amp;CU$3,CLAVE_BOV3,$A237)+SUMIFS(SALIDAS_TC,FECHA_TC,"&gt;="&amp;CU$2,FECHA_TC,"&lt;="&amp;CU$3,CLAVE_TC,$A237)+SUMIFS(SALIDAS_COMB,FECHA_COMB,"&gt;="&amp;CU$2,FECHA_COMB,"&lt;="&amp;CU$3,CLAVE_COMB,$A237)+SUMIFS(SALIDAS_DES,FECHA_DESGLOSEN,"&gt;="&amp;CU$2,FECHA_DESGLOSEN,"&lt;="&amp;CU$3,CLAVE_DESGLOSE,$A237)</f>
        <v>3132</v>
      </c>
      <c r="CV237" s="13">
        <f>SUMIFS(SALIDAS_BIT,FECHA_BIT,"&gt;="&amp;CV$2,FECHA_BIT,"&lt;="&amp;CV$3,CLAVE_BIT,$A237)+SUMIFS(SALIDAS_BOV1,FECHA_BOV1,"&gt;="&amp;CV$2,FECHA_BOV1,"&lt;="&amp;CV$3,CLAVE_BOV1,$A237)+SUMIFS(SALIDAS_BOV2,FECHA_BOV2,"&gt;="&amp;CV$2,FECHA_BOV2,"&lt;="&amp;CV$3,CLAVE_BOV2,$A237)+SUMIFS(SALIDAS_BOV3,FECHA_BOV3,"&gt;="&amp;CV$2,FECHA_BOV3,"&lt;="&amp;CV$3,CLAVE_BOV3,$A237)+SUMIFS(SALIDAS_TC,FECHA_TC,"&gt;="&amp;CV$2,FECHA_TC,"&lt;="&amp;CV$3,CLAVE_TC,$A237)+SUMIFS(SALIDAS_COMB,FECHA_COMB,"&gt;="&amp;CV$2,FECHA_COMB,"&lt;="&amp;CV$3,CLAVE_COMB,$A237)+SUMIFS(SALIDAS_DES,FECHA_DESGLOSEN,"&gt;="&amp;CV$2,FECHA_DESGLOSEN,"&lt;="&amp;CV$3,CLAVE_DESGLOSE,$A237)</f>
        <v>0</v>
      </c>
      <c r="CW237" s="13">
        <f>SUMIFS(SALIDAS_BIT,FECHA_BIT,"&gt;="&amp;CW$2,FECHA_BIT,"&lt;="&amp;CW$3,CLAVE_BIT,$A237)+SUMIFS(SALIDAS_BOV1,FECHA_BOV1,"&gt;="&amp;CW$2,FECHA_BOV1,"&lt;="&amp;CW$3,CLAVE_BOV1,$A237)+SUMIFS(SALIDAS_BOV2,FECHA_BOV2,"&gt;="&amp;CW$2,FECHA_BOV2,"&lt;="&amp;CW$3,CLAVE_BOV2,$A237)+SUMIFS(SALIDAS_BOV3,FECHA_BOV3,"&gt;="&amp;CW$2,FECHA_BOV3,"&lt;="&amp;CW$3,CLAVE_BOV3,$A237)+SUMIFS(SALIDAS_TC,FECHA_TC,"&gt;="&amp;CW$2,FECHA_TC,"&lt;="&amp;CW$3,CLAVE_TC,$A237)+SUMIFS(SALIDAS_COMB,FECHA_COMB,"&gt;="&amp;CW$2,FECHA_COMB,"&lt;="&amp;CW$3,CLAVE_COMB,$A237)+SUMIFS(SALIDAS_DES,FECHA_DESGLOSEN,"&gt;="&amp;CW$2,FECHA_DESGLOSEN,"&lt;="&amp;CW$3,CLAVE_DESGLOSE,$A237)</f>
        <v>0</v>
      </c>
      <c r="CX237" s="13">
        <f>SUMIFS(SALIDAS_BIT,FECHA_BIT,"&gt;="&amp;CX$2,FECHA_BIT,"&lt;="&amp;CX$3,CLAVE_BIT,$A237)+SUMIFS(SALIDAS_BOV1,FECHA_BOV1,"&gt;="&amp;CX$2,FECHA_BOV1,"&lt;="&amp;CX$3,CLAVE_BOV1,$A237)+SUMIFS(SALIDAS_BOV2,FECHA_BOV2,"&gt;="&amp;CX$2,FECHA_BOV2,"&lt;="&amp;CX$3,CLAVE_BOV2,$A237)+SUMIFS(SALIDAS_BOV3,FECHA_BOV3,"&gt;="&amp;CX$2,FECHA_BOV3,"&lt;="&amp;CX$3,CLAVE_BOV3,$A237)+SUMIFS(SALIDAS_TC,FECHA_TC,"&gt;="&amp;CX$2,FECHA_TC,"&lt;="&amp;CX$3,CLAVE_TC,$A237)+SUMIFS(SALIDAS_COMB,FECHA_COMB,"&gt;="&amp;CX$2,FECHA_COMB,"&lt;="&amp;CX$3,CLAVE_COMB,$A237)+SUMIFS(SALIDAS_DES,FECHA_DESGLOSEN,"&gt;="&amp;CX$2,FECHA_DESGLOSEN,"&lt;="&amp;CX$3,CLAVE_DESGLOSE,$A237)</f>
        <v>0</v>
      </c>
      <c r="CY237" s="13">
        <f>SUMIFS(SALIDAS_BIT,FECHA_BIT,"&gt;="&amp;CY$2,FECHA_BIT,"&lt;="&amp;CY$3,CLAVE_BIT,$A237)+SUMIFS(SALIDAS_BOV1,FECHA_BOV1,"&gt;="&amp;CY$2,FECHA_BOV1,"&lt;="&amp;CY$3,CLAVE_BOV1,$A237)+SUMIFS(SALIDAS_BOV2,FECHA_BOV2,"&gt;="&amp;CY$2,FECHA_BOV2,"&lt;="&amp;CY$3,CLAVE_BOV2,$A237)+SUMIFS(SALIDAS_BOV3,FECHA_BOV3,"&gt;="&amp;CY$2,FECHA_BOV3,"&lt;="&amp;CY$3,CLAVE_BOV3,$A237)+SUMIFS(SALIDAS_TC,FECHA_TC,"&gt;="&amp;CY$2,FECHA_TC,"&lt;="&amp;CY$3,CLAVE_TC,$A237)+SUMIFS(SALIDAS_COMB,FECHA_COMB,"&gt;="&amp;CY$2,FECHA_COMB,"&lt;="&amp;CY$3,CLAVE_COMB,$A237)+SUMIFS(SALIDAS_DES,FECHA_DESGLOSEN,"&gt;="&amp;CY$2,FECHA_DESGLOSEN,"&lt;="&amp;CY$3,CLAVE_DESGLOSE,$A237)</f>
        <v>3132</v>
      </c>
      <c r="CZ237" s="68">
        <f t="shared" si="378"/>
        <v>868</v>
      </c>
      <c r="DB237" s="17">
        <f>F237+N237+W237+AE237+AM237+AV237+BD237+BL237+BU237+CC237+CK237</f>
        <v>31288</v>
      </c>
      <c r="DC237" s="17">
        <f>K237+T237+AB237+AJ237+AS237+BA237+BI237+BR237+BZ237+CH237+CQ237</f>
        <v>34253.949999999997</v>
      </c>
    </row>
    <row r="238" spans="1:107" hidden="1">
      <c r="A238" s="12" t="str">
        <f t="shared" si="351"/>
        <v>SERVICIOSMTTO EQ DE TRANSPORTECEDIS</v>
      </c>
      <c r="B238">
        <v>240</v>
      </c>
      <c r="C238" t="s">
        <v>21</v>
      </c>
      <c r="D238" t="s">
        <v>144</v>
      </c>
      <c r="E238" t="s">
        <v>28</v>
      </c>
      <c r="F238" s="259">
        <f t="shared" si="344"/>
        <v>7000</v>
      </c>
      <c r="G238" s="13">
        <f t="shared" si="410"/>
        <v>10297.5</v>
      </c>
      <c r="H238" s="13">
        <f t="shared" si="410"/>
        <v>4476</v>
      </c>
      <c r="I238" s="13">
        <f t="shared" si="410"/>
        <v>3300</v>
      </c>
      <c r="J238" s="13">
        <f t="shared" si="410"/>
        <v>4724.1400000000003</v>
      </c>
      <c r="K238" s="13">
        <f t="shared" si="410"/>
        <v>22797.64</v>
      </c>
      <c r="L238" s="68">
        <f t="shared" si="352"/>
        <v>-15797.64</v>
      </c>
      <c r="M238" s="268">
        <f t="shared" si="353"/>
        <v>3.2568057142857141</v>
      </c>
      <c r="N238" s="13">
        <f t="shared" si="345"/>
        <v>7000</v>
      </c>
      <c r="O238" s="13">
        <f t="shared" si="411"/>
        <v>10000</v>
      </c>
      <c r="P238" s="13">
        <f t="shared" si="411"/>
        <v>4750</v>
      </c>
      <c r="Q238" s="13">
        <f t="shared" si="411"/>
        <v>4000</v>
      </c>
      <c r="R238" s="13">
        <f t="shared" si="411"/>
        <v>6024.09</v>
      </c>
      <c r="S238" s="13">
        <f t="shared" si="411"/>
        <v>7766</v>
      </c>
      <c r="T238" s="13">
        <f t="shared" si="411"/>
        <v>32540.09</v>
      </c>
      <c r="U238" s="68">
        <f t="shared" si="354"/>
        <v>-25540.09</v>
      </c>
      <c r="V238" s="268">
        <f t="shared" si="355"/>
        <v>4.6485842857142856</v>
      </c>
      <c r="W238" s="13">
        <f t="shared" si="346"/>
        <v>7000</v>
      </c>
      <c r="X238" s="13">
        <f t="shared" si="412"/>
        <v>7505</v>
      </c>
      <c r="Y238" s="13">
        <f t="shared" si="412"/>
        <v>0</v>
      </c>
      <c r="Z238" s="13">
        <f t="shared" si="412"/>
        <v>7805</v>
      </c>
      <c r="AA238" s="13">
        <f t="shared" si="412"/>
        <v>0</v>
      </c>
      <c r="AB238" s="13">
        <f t="shared" si="412"/>
        <v>15310</v>
      </c>
      <c r="AC238" s="68">
        <f t="shared" si="356"/>
        <v>-8310</v>
      </c>
      <c r="AD238" s="268">
        <f t="shared" si="357"/>
        <v>2.1871428571428573</v>
      </c>
      <c r="AE238" s="13">
        <f t="shared" si="347"/>
        <v>7000</v>
      </c>
      <c r="AF238" s="13">
        <f t="shared" si="413"/>
        <v>12832</v>
      </c>
      <c r="AG238" s="13">
        <f t="shared" si="413"/>
        <v>0</v>
      </c>
      <c r="AH238" s="13">
        <f t="shared" si="413"/>
        <v>3300</v>
      </c>
      <c r="AI238" s="13">
        <f t="shared" si="413"/>
        <v>425</v>
      </c>
      <c r="AJ238" s="13">
        <f t="shared" si="413"/>
        <v>16557</v>
      </c>
      <c r="AK238" s="68">
        <f t="shared" si="358"/>
        <v>-9557</v>
      </c>
      <c r="AL238" s="268">
        <f t="shared" si="359"/>
        <v>2.3652857142857142</v>
      </c>
      <c r="AM238" s="13">
        <f t="shared" si="348"/>
        <v>7000</v>
      </c>
      <c r="AN238" s="13">
        <f t="shared" si="414"/>
        <v>0</v>
      </c>
      <c r="AO238" s="13">
        <f t="shared" si="414"/>
        <v>9200</v>
      </c>
      <c r="AP238" s="13">
        <f t="shared" si="414"/>
        <v>0</v>
      </c>
      <c r="AQ238" s="13">
        <f t="shared" si="414"/>
        <v>16163</v>
      </c>
      <c r="AR238" s="13">
        <f t="shared" si="414"/>
        <v>980</v>
      </c>
      <c r="AS238" s="13">
        <f t="shared" si="414"/>
        <v>26343</v>
      </c>
      <c r="AT238" s="68">
        <f>AM238-AS238</f>
        <v>-19343</v>
      </c>
      <c r="AU238" s="268">
        <f t="shared" si="360"/>
        <v>3.7632857142857143</v>
      </c>
      <c r="AV238" s="13">
        <f t="shared" si="349"/>
        <v>7000</v>
      </c>
      <c r="AW238" s="13">
        <f t="shared" si="323"/>
        <v>40747.97</v>
      </c>
      <c r="AX238" s="13">
        <f t="shared" si="323"/>
        <v>2200</v>
      </c>
      <c r="AY238" s="13">
        <f t="shared" si="323"/>
        <v>7621</v>
      </c>
      <c r="AZ238" s="13">
        <f t="shared" si="323"/>
        <v>0</v>
      </c>
      <c r="BA238" s="13">
        <f t="shared" si="379"/>
        <v>50568.97</v>
      </c>
      <c r="BB238" s="68">
        <f t="shared" si="361"/>
        <v>-43568.97</v>
      </c>
      <c r="BC238" s="268">
        <f t="shared" si="362"/>
        <v>7.224138571428572</v>
      </c>
      <c r="BD238" s="13">
        <f t="shared" si="363"/>
        <v>7000</v>
      </c>
      <c r="BE238" s="13">
        <f>SUMIFS(SALIDAS_BIT,FECHA_BIT,"&gt;="&amp;BE$2,FECHA_BIT,"&lt;="&amp;BE$3,CLAVE_BIT,$A238)+SUMIFS(SALIDAS_BOV1,FECHA_BOV1,"&gt;="&amp;BE$2,FECHA_BOV1,"&lt;="&amp;BE$3,CLAVE_BOV1,$A238)+SUMIFS(SALIDAS_BOV2,FECHA_BOV2,"&gt;="&amp;BE$2,FECHA_BOV2,"&lt;="&amp;BE$3,CLAVE_BOV2,$A238)+SUMIFS(SALIDAS_BOV3,FECHA_BOV3,"&gt;="&amp;BE$2,FECHA_BOV3,"&lt;="&amp;BE$3,CLAVE_BOV3,$A238)+SUMIFS(SALIDAS_TC,FECHA_TC,"&gt;="&amp;BE$2,FECHA_TC,"&lt;="&amp;BE$3,CLAVE_TC,$A238)+SUMIFS(SALIDAS_COMB,FECHA_COMB,"&gt;="&amp;BE$2,FECHA_COMB,"&lt;="&amp;BE$3,CLAVE_COMB,$A238)+SUMIFS(SALIDAS_DES,FECHA_DESGLOSEN,"&gt;="&amp;BE$2,FECHA_DESGLOSEN,"&lt;="&amp;BE$3,CLAVE_DESGLOSE,$A238)</f>
        <v>0</v>
      </c>
      <c r="BF238" s="13">
        <f>SUMIFS(SALIDAS_BIT,FECHA_BIT,"&gt;="&amp;BF$2,FECHA_BIT,"&lt;="&amp;BF$3,CLAVE_BIT,$A238)+SUMIFS(SALIDAS_BOV1,FECHA_BOV1,"&gt;="&amp;BF$2,FECHA_BOV1,"&lt;="&amp;BF$3,CLAVE_BOV1,$A238)+SUMIFS(SALIDAS_BOV2,FECHA_BOV2,"&gt;="&amp;BF$2,FECHA_BOV2,"&lt;="&amp;BF$3,CLAVE_BOV2,$A238)+SUMIFS(SALIDAS_BOV3,FECHA_BOV3,"&gt;="&amp;BF$2,FECHA_BOV3,"&lt;="&amp;BF$3,CLAVE_BOV3,$A238)+SUMIFS(SALIDAS_TC,FECHA_TC,"&gt;="&amp;BF$2,FECHA_TC,"&lt;="&amp;BF$3,CLAVE_TC,$A238)+SUMIFS(SALIDAS_COMB,FECHA_COMB,"&gt;="&amp;BF$2,FECHA_COMB,"&lt;="&amp;BF$3,CLAVE_COMB,$A238)+SUMIFS(SALIDAS_DES,FECHA_DESGLOSEN,"&gt;="&amp;BF$2,FECHA_DESGLOSEN,"&lt;="&amp;BF$3,CLAVE_DESGLOSE,$A238)</f>
        <v>2450</v>
      </c>
      <c r="BG238" s="13">
        <f>SUMIFS(SALIDAS_BIT,FECHA_BIT,"&gt;="&amp;BG$2,FECHA_BIT,"&lt;="&amp;BG$3,CLAVE_BIT,$A238)+SUMIFS(SALIDAS_BOV1,FECHA_BOV1,"&gt;="&amp;BG$2,FECHA_BOV1,"&lt;="&amp;BG$3,CLAVE_BOV1,$A238)+SUMIFS(SALIDAS_BOV2,FECHA_BOV2,"&gt;="&amp;BG$2,FECHA_BOV2,"&lt;="&amp;BG$3,CLAVE_BOV2,$A238)+SUMIFS(SALIDAS_BOV3,FECHA_BOV3,"&gt;="&amp;BG$2,FECHA_BOV3,"&lt;="&amp;BG$3,CLAVE_BOV3,$A238)+SUMIFS(SALIDAS_TC,FECHA_TC,"&gt;="&amp;BG$2,FECHA_TC,"&lt;="&amp;BG$3,CLAVE_TC,$A238)+SUMIFS(SALIDAS_COMB,FECHA_COMB,"&gt;="&amp;BG$2,FECHA_COMB,"&lt;="&amp;BG$3,CLAVE_COMB,$A238)+SUMIFS(SALIDAS_DES,FECHA_DESGLOSEN,"&gt;="&amp;BG$2,FECHA_DESGLOSEN,"&lt;="&amp;BG$3,CLAVE_DESGLOSE,$A238)</f>
        <v>5000</v>
      </c>
      <c r="BH238" s="13">
        <f>SUMIFS(SALIDAS_BIT,FECHA_BIT,"&gt;="&amp;BH$2,FECHA_BIT,"&lt;="&amp;BH$3,CLAVE_BIT,$A238)+SUMIFS(SALIDAS_BOV1,FECHA_BOV1,"&gt;="&amp;BH$2,FECHA_BOV1,"&lt;="&amp;BH$3,CLAVE_BOV1,$A238)+SUMIFS(SALIDAS_BOV2,FECHA_BOV2,"&gt;="&amp;BH$2,FECHA_BOV2,"&lt;="&amp;BH$3,CLAVE_BOV2,$A238)+SUMIFS(SALIDAS_BOV3,FECHA_BOV3,"&gt;="&amp;BH$2,FECHA_BOV3,"&lt;="&amp;BH$3,CLAVE_BOV3,$A238)+SUMIFS(SALIDAS_TC,FECHA_TC,"&gt;="&amp;BH$2,FECHA_TC,"&lt;="&amp;BH$3,CLAVE_TC,$A238)+SUMIFS(SALIDAS_COMB,FECHA_COMB,"&gt;="&amp;BH$2,FECHA_COMB,"&lt;="&amp;BH$3,CLAVE_COMB,$A238)+SUMIFS(SALIDAS_DES,FECHA_DESGLOSEN,"&gt;="&amp;BH$2,FECHA_DESGLOSEN,"&lt;="&amp;BH$3,CLAVE_DESGLOSE,$A238)</f>
        <v>6072.95</v>
      </c>
      <c r="BI238" s="13">
        <f t="shared" ref="BI238:BI301" si="419">SUMIFS(SALIDAS_BIT,FECHA_BIT,"&gt;="&amp;BI$2,FECHA_BIT,"&lt;="&amp;BI$3,CLAVE_BIT,$A238)+SUMIFS(SALIDAS_BOV1,FECHA_BOV1,"&gt;="&amp;BI$2,FECHA_BOV1,"&lt;="&amp;BI$3,CLAVE_BOV1,$A238)+SUMIFS(SALIDAS_BOV2,FECHA_BOV2,"&gt;="&amp;BI$2,FECHA_BOV2,"&lt;="&amp;BI$3,CLAVE_BOV2,$A238)+SUMIFS(SALIDAS_BOV3,FECHA_BOV3,"&gt;="&amp;BI$2,FECHA_BOV3,"&lt;="&amp;BI$3,CLAVE_BOV3,$A238)+SUMIFS(SALIDAS_TC,FECHA_TC,"&gt;="&amp;BI$2,FECHA_TC,"&lt;="&amp;BI$3,CLAVE_TC,$A238)+SUMIFS(SALIDAS_COMB,FECHA_COMB,"&gt;="&amp;BI$2,FECHA_COMB,"&lt;="&amp;BI$3,CLAVE_COMB,$A238)+SUMIFS(SALIDAS_DES,FECHA_DESGLOSEN,"&gt;="&amp;BI$2,FECHA_DESGLOSEN,"&lt;="&amp;BI$3,CLAVE_DESGLOSE,$A238)</f>
        <v>13522.95</v>
      </c>
      <c r="BJ238" s="68">
        <f t="shared" si="364"/>
        <v>-6522.9500000000007</v>
      </c>
      <c r="BK238" s="268">
        <f t="shared" si="365"/>
        <v>1.9318500000000001</v>
      </c>
      <c r="BL238" s="13">
        <f t="shared" si="366"/>
        <v>7000</v>
      </c>
      <c r="BM238" s="13">
        <f>SUMIFS(SALIDAS_BIT,FECHA_BIT,"&gt;="&amp;BM$2,FECHA_BIT,"&lt;="&amp;BM$3,CLAVE_BIT,$A238)+SUMIFS(SALIDAS_BOV1,FECHA_BOV1,"&gt;="&amp;BM$2,FECHA_BOV1,"&lt;="&amp;BM$3,CLAVE_BOV1,$A238)+SUMIFS(SALIDAS_BOV2,FECHA_BOV2,"&gt;="&amp;BM$2,FECHA_BOV2,"&lt;="&amp;BM$3,CLAVE_BOV2,$A238)+SUMIFS(SALIDAS_BOV3,FECHA_BOV3,"&gt;="&amp;BM$2,FECHA_BOV3,"&lt;="&amp;BM$3,CLAVE_BOV3,$A238)+SUMIFS(SALIDAS_TC,FECHA_TC,"&gt;="&amp;BM$2,FECHA_TC,"&lt;="&amp;BM$3,CLAVE_TC,$A238)+SUMIFS(SALIDAS_COMB,FECHA_COMB,"&gt;="&amp;BM$2,FECHA_COMB,"&lt;="&amp;BM$3,CLAVE_COMB,$A238)+SUMIFS(SALIDAS_DES,FECHA_DESGLOSEN,"&gt;="&amp;BM$2,FECHA_DESGLOSEN,"&lt;="&amp;BM$3,CLAVE_DESGLOSE,$A238)</f>
        <v>500</v>
      </c>
      <c r="BN238" s="13">
        <f>SUMIFS(SALIDAS_BIT,FECHA_BIT,"&gt;="&amp;BN$2,FECHA_BIT,"&lt;="&amp;BN$3,CLAVE_BIT,$A238)+SUMIFS(SALIDAS_BOV1,FECHA_BOV1,"&gt;="&amp;BN$2,FECHA_BOV1,"&lt;="&amp;BN$3,CLAVE_BOV1,$A238)+SUMIFS(SALIDAS_BOV2,FECHA_BOV2,"&gt;="&amp;BN$2,FECHA_BOV2,"&lt;="&amp;BN$3,CLAVE_BOV2,$A238)+SUMIFS(SALIDAS_BOV3,FECHA_BOV3,"&gt;="&amp;BN$2,FECHA_BOV3,"&lt;="&amp;BN$3,CLAVE_BOV3,$A238)+SUMIFS(SALIDAS_TC,FECHA_TC,"&gt;="&amp;BN$2,FECHA_TC,"&lt;="&amp;BN$3,CLAVE_TC,$A238)+SUMIFS(SALIDAS_COMB,FECHA_COMB,"&gt;="&amp;BN$2,FECHA_COMB,"&lt;="&amp;BN$3,CLAVE_COMB,$A238)+SUMIFS(SALIDAS_DES,FECHA_DESGLOSEN,"&gt;="&amp;BN$2,FECHA_DESGLOSEN,"&lt;="&amp;BN$3,CLAVE_DESGLOSE,$A238)</f>
        <v>4158.8999999999996</v>
      </c>
      <c r="BO238" s="13">
        <f>SUMIFS(SALIDAS_BIT,FECHA_BIT,"&gt;="&amp;BO$2,FECHA_BIT,"&lt;="&amp;BO$3,CLAVE_BIT,$A238)+SUMIFS(SALIDAS_BOV1,FECHA_BOV1,"&gt;="&amp;BO$2,FECHA_BOV1,"&lt;="&amp;BO$3,CLAVE_BOV1,$A238)+SUMIFS(SALIDAS_BOV2,FECHA_BOV2,"&gt;="&amp;BO$2,FECHA_BOV2,"&lt;="&amp;BO$3,CLAVE_BOV2,$A238)+SUMIFS(SALIDAS_BOV3,FECHA_BOV3,"&gt;="&amp;BO$2,FECHA_BOV3,"&lt;="&amp;BO$3,CLAVE_BOV3,$A238)+SUMIFS(SALIDAS_TC,FECHA_TC,"&gt;="&amp;BO$2,FECHA_TC,"&lt;="&amp;BO$3,CLAVE_TC,$A238)+SUMIFS(SALIDAS_COMB,FECHA_COMB,"&gt;="&amp;BO$2,FECHA_COMB,"&lt;="&amp;BO$3,CLAVE_COMB,$A238)+SUMIFS(SALIDAS_DES,FECHA_DESGLOSEN,"&gt;="&amp;BO$2,FECHA_DESGLOSEN,"&lt;="&amp;BO$3,CLAVE_DESGLOSE,$A238)</f>
        <v>5104</v>
      </c>
      <c r="BP238" s="13">
        <f>SUMIFS(SALIDAS_BIT,FECHA_BIT,"&gt;="&amp;BP$2,FECHA_BIT,"&lt;="&amp;BP$3,CLAVE_BIT,$A238)+SUMIFS(SALIDAS_BOV1,FECHA_BOV1,"&gt;="&amp;BP$2,FECHA_BOV1,"&lt;="&amp;BP$3,CLAVE_BOV1,$A238)+SUMIFS(SALIDAS_BOV2,FECHA_BOV2,"&gt;="&amp;BP$2,FECHA_BOV2,"&lt;="&amp;BP$3,CLAVE_BOV2,$A238)+SUMIFS(SALIDAS_BOV3,FECHA_BOV3,"&gt;="&amp;BP$2,FECHA_BOV3,"&lt;="&amp;BP$3,CLAVE_BOV3,$A238)+SUMIFS(SALIDAS_TC,FECHA_TC,"&gt;="&amp;BP$2,FECHA_TC,"&lt;="&amp;BP$3,CLAVE_TC,$A238)+SUMIFS(SALIDAS_COMB,FECHA_COMB,"&gt;="&amp;BP$2,FECHA_COMB,"&lt;="&amp;BP$3,CLAVE_COMB,$A238)+SUMIFS(SALIDAS_DES,FECHA_DESGLOSEN,"&gt;="&amp;BP$2,FECHA_DESGLOSEN,"&lt;="&amp;BP$3,CLAVE_DESGLOSE,$A238)</f>
        <v>0</v>
      </c>
      <c r="BQ238" s="13">
        <f>SUMIFS(SALIDAS_BIT,FECHA_BIT,"&gt;="&amp;BQ$2,FECHA_BIT,"&lt;="&amp;BQ$3,CLAVE_BIT,$A238)+SUMIFS(SALIDAS_BOV1,FECHA_BOV1,"&gt;="&amp;BQ$2,FECHA_BOV1,"&lt;="&amp;BQ$3,CLAVE_BOV1,$A238)+SUMIFS(SALIDAS_BOV2,FECHA_BOV2,"&gt;="&amp;BQ$2,FECHA_BOV2,"&lt;="&amp;BQ$3,CLAVE_BOV2,$A238)+SUMIFS(SALIDAS_BOV3,FECHA_BOV3,"&gt;="&amp;BQ$2,FECHA_BOV3,"&lt;="&amp;BQ$3,CLAVE_BOV3,$A238)+SUMIFS(SALIDAS_TC,FECHA_TC,"&gt;="&amp;BQ$2,FECHA_TC,"&lt;="&amp;BQ$3,CLAVE_TC,$A238)+SUMIFS(SALIDAS_COMB,FECHA_COMB,"&gt;="&amp;BQ$2,FECHA_COMB,"&lt;="&amp;BQ$3,CLAVE_COMB,$A238)+SUMIFS(SALIDAS_DES,FECHA_DESGLOSEN,"&gt;="&amp;BQ$2,FECHA_DESGLOSEN,"&lt;="&amp;BQ$3,CLAVE_DESGLOSE,$A238)</f>
        <v>0</v>
      </c>
      <c r="BR238" s="13">
        <f t="shared" si="415"/>
        <v>9762.9</v>
      </c>
      <c r="BS238" s="68">
        <f t="shared" si="367"/>
        <v>-2762.8999999999996</v>
      </c>
      <c r="BT238" s="268">
        <f t="shared" si="368"/>
        <v>1.3947000000000001</v>
      </c>
      <c r="BU238" s="13">
        <f t="shared" si="369"/>
        <v>7000</v>
      </c>
      <c r="BV238" s="13">
        <f t="shared" si="389"/>
        <v>0</v>
      </c>
      <c r="BW238" s="13">
        <f t="shared" si="389"/>
        <v>50200</v>
      </c>
      <c r="BX238" s="13">
        <f t="shared" si="389"/>
        <v>6287</v>
      </c>
      <c r="BY238" s="13">
        <f t="shared" si="389"/>
        <v>12222.05</v>
      </c>
      <c r="BZ238" s="13">
        <f t="shared" si="416"/>
        <v>68709.05</v>
      </c>
      <c r="CA238" s="68">
        <f t="shared" si="370"/>
        <v>-61709.05</v>
      </c>
      <c r="CB238" s="268">
        <f t="shared" si="371"/>
        <v>9.8155785714285724</v>
      </c>
      <c r="CC238" s="13">
        <f t="shared" si="372"/>
        <v>7000</v>
      </c>
      <c r="CD238" s="13">
        <f t="shared" si="390"/>
        <v>7228.33</v>
      </c>
      <c r="CE238" s="13">
        <f t="shared" si="390"/>
        <v>12434.02</v>
      </c>
      <c r="CF238" s="13">
        <f t="shared" si="390"/>
        <v>0</v>
      </c>
      <c r="CG238" s="13">
        <f t="shared" si="390"/>
        <v>5903.99</v>
      </c>
      <c r="CH238" s="13">
        <f t="shared" si="417"/>
        <v>25566.34</v>
      </c>
      <c r="CI238" s="68">
        <f t="shared" si="373"/>
        <v>-18566.34</v>
      </c>
      <c r="CJ238" s="268">
        <f t="shared" si="374"/>
        <v>3.6523342857142858</v>
      </c>
      <c r="CK238" s="13">
        <f t="shared" si="375"/>
        <v>7000</v>
      </c>
      <c r="CL238" s="13">
        <f t="shared" si="400"/>
        <v>0</v>
      </c>
      <c r="CM238" s="13">
        <f t="shared" si="400"/>
        <v>35966.44</v>
      </c>
      <c r="CN238" s="13">
        <f t="shared" si="400"/>
        <v>11000</v>
      </c>
      <c r="CO238" s="13">
        <f t="shared" si="400"/>
        <v>4182</v>
      </c>
      <c r="CP238" s="13">
        <f t="shared" si="400"/>
        <v>0</v>
      </c>
      <c r="CQ238" s="13">
        <f t="shared" si="418"/>
        <v>51148.44</v>
      </c>
      <c r="CR238" s="68">
        <f t="shared" si="376"/>
        <v>-44148.44</v>
      </c>
      <c r="CS238" s="268">
        <f t="shared" si="377"/>
        <v>7.3069200000000007</v>
      </c>
      <c r="CT238" s="68">
        <f t="shared" si="350"/>
        <v>10000</v>
      </c>
      <c r="CU238" s="13">
        <f>SUMIFS(SALIDAS_BIT,FECHA_BIT,"&gt;="&amp;CU$2,FECHA_BIT,"&lt;="&amp;CU$3,CLAVE_BIT,$A238)+SUMIFS(SALIDAS_BOV1,FECHA_BOV1,"&gt;="&amp;CU$2,FECHA_BOV1,"&lt;="&amp;CU$3,CLAVE_BOV1,$A238)+SUMIFS(SALIDAS_BOV2,FECHA_BOV2,"&gt;="&amp;CU$2,FECHA_BOV2,"&lt;="&amp;CU$3,CLAVE_BOV2,$A238)+SUMIFS(SALIDAS_BOV3,FECHA_BOV3,"&gt;="&amp;CU$2,FECHA_BOV3,"&lt;="&amp;CU$3,CLAVE_BOV3,$A238)+SUMIFS(SALIDAS_TC,FECHA_TC,"&gt;="&amp;CU$2,FECHA_TC,"&lt;="&amp;CU$3,CLAVE_TC,$A238)+SUMIFS(SALIDAS_COMB,FECHA_COMB,"&gt;="&amp;CU$2,FECHA_COMB,"&lt;="&amp;CU$3,CLAVE_COMB,$A238)+SUMIFS(SALIDAS_DES,FECHA_DESGLOSEN,"&gt;="&amp;CU$2,FECHA_DESGLOSEN,"&lt;="&amp;CU$3,CLAVE_DESGLOSE,$A238)</f>
        <v>0</v>
      </c>
      <c r="CV238" s="13">
        <f>SUMIFS(SALIDAS_BIT,FECHA_BIT,"&gt;="&amp;CV$2,FECHA_BIT,"&lt;="&amp;CV$3,CLAVE_BIT,$A238)+SUMIFS(SALIDAS_BOV1,FECHA_BOV1,"&gt;="&amp;CV$2,FECHA_BOV1,"&lt;="&amp;CV$3,CLAVE_BOV1,$A238)+SUMIFS(SALIDAS_BOV2,FECHA_BOV2,"&gt;="&amp;CV$2,FECHA_BOV2,"&lt;="&amp;CV$3,CLAVE_BOV2,$A238)+SUMIFS(SALIDAS_BOV3,FECHA_BOV3,"&gt;="&amp;CV$2,FECHA_BOV3,"&lt;="&amp;CV$3,CLAVE_BOV3,$A238)+SUMIFS(SALIDAS_TC,FECHA_TC,"&gt;="&amp;CV$2,FECHA_TC,"&lt;="&amp;CV$3,CLAVE_TC,$A238)+SUMIFS(SALIDAS_COMB,FECHA_COMB,"&gt;="&amp;CV$2,FECHA_COMB,"&lt;="&amp;CV$3,CLAVE_COMB,$A238)+SUMIFS(SALIDAS_DES,FECHA_DESGLOSEN,"&gt;="&amp;CV$2,FECHA_DESGLOSEN,"&lt;="&amp;CV$3,CLAVE_DESGLOSE,$A238)</f>
        <v>4649.42</v>
      </c>
      <c r="CW238" s="13">
        <f>SUMIFS(SALIDAS_BIT,FECHA_BIT,"&gt;="&amp;CW$2,FECHA_BIT,"&lt;="&amp;CW$3,CLAVE_BIT,$A238)+SUMIFS(SALIDAS_BOV1,FECHA_BOV1,"&gt;="&amp;CW$2,FECHA_BOV1,"&lt;="&amp;CW$3,CLAVE_BOV1,$A238)+SUMIFS(SALIDAS_BOV2,FECHA_BOV2,"&gt;="&amp;CW$2,FECHA_BOV2,"&lt;="&amp;CW$3,CLAVE_BOV2,$A238)+SUMIFS(SALIDAS_BOV3,FECHA_BOV3,"&gt;="&amp;CW$2,FECHA_BOV3,"&lt;="&amp;CW$3,CLAVE_BOV3,$A238)+SUMIFS(SALIDAS_TC,FECHA_TC,"&gt;="&amp;CW$2,FECHA_TC,"&lt;="&amp;CW$3,CLAVE_TC,$A238)+SUMIFS(SALIDAS_COMB,FECHA_COMB,"&gt;="&amp;CW$2,FECHA_COMB,"&lt;="&amp;CW$3,CLAVE_COMB,$A238)+SUMIFS(SALIDAS_DES,FECHA_DESGLOSEN,"&gt;="&amp;CW$2,FECHA_DESGLOSEN,"&lt;="&amp;CW$3,CLAVE_DESGLOSE,$A238)</f>
        <v>11126.5</v>
      </c>
      <c r="CX238" s="13">
        <f>SUMIFS(SALIDAS_BIT,FECHA_BIT,"&gt;="&amp;CX$2,FECHA_BIT,"&lt;="&amp;CX$3,CLAVE_BIT,$A238)+SUMIFS(SALIDAS_BOV1,FECHA_BOV1,"&gt;="&amp;CX$2,FECHA_BOV1,"&lt;="&amp;CX$3,CLAVE_BOV1,$A238)+SUMIFS(SALIDAS_BOV2,FECHA_BOV2,"&gt;="&amp;CX$2,FECHA_BOV2,"&lt;="&amp;CX$3,CLAVE_BOV2,$A238)+SUMIFS(SALIDAS_BOV3,FECHA_BOV3,"&gt;="&amp;CX$2,FECHA_BOV3,"&lt;="&amp;CX$3,CLAVE_BOV3,$A238)+SUMIFS(SALIDAS_TC,FECHA_TC,"&gt;="&amp;CX$2,FECHA_TC,"&lt;="&amp;CX$3,CLAVE_TC,$A238)+SUMIFS(SALIDAS_COMB,FECHA_COMB,"&gt;="&amp;CX$2,FECHA_COMB,"&lt;="&amp;CX$3,CLAVE_COMB,$A238)+SUMIFS(SALIDAS_DES,FECHA_DESGLOSEN,"&gt;="&amp;CX$2,FECHA_DESGLOSEN,"&lt;="&amp;CX$3,CLAVE_DESGLOSE,$A238)</f>
        <v>0</v>
      </c>
      <c r="CY238" s="13">
        <f>SUMIFS(SALIDAS_BIT,FECHA_BIT,"&gt;="&amp;CY$2,FECHA_BIT,"&lt;="&amp;CY$3,CLAVE_BIT,$A238)+SUMIFS(SALIDAS_BOV1,FECHA_BOV1,"&gt;="&amp;CY$2,FECHA_BOV1,"&lt;="&amp;CY$3,CLAVE_BOV1,$A238)+SUMIFS(SALIDAS_BOV2,FECHA_BOV2,"&gt;="&amp;CY$2,FECHA_BOV2,"&lt;="&amp;CY$3,CLAVE_BOV2,$A238)+SUMIFS(SALIDAS_BOV3,FECHA_BOV3,"&gt;="&amp;CY$2,FECHA_BOV3,"&lt;="&amp;CY$3,CLAVE_BOV3,$A238)+SUMIFS(SALIDAS_TC,FECHA_TC,"&gt;="&amp;CY$2,FECHA_TC,"&lt;="&amp;CY$3,CLAVE_TC,$A238)+SUMIFS(SALIDAS_COMB,FECHA_COMB,"&gt;="&amp;CY$2,FECHA_COMB,"&lt;="&amp;CY$3,CLAVE_COMB,$A238)+SUMIFS(SALIDAS_DES,FECHA_DESGLOSEN,"&gt;="&amp;CY$2,FECHA_DESGLOSEN,"&lt;="&amp;CY$3,CLAVE_DESGLOSE,$A238)</f>
        <v>15775.92</v>
      </c>
      <c r="CZ238" s="68">
        <f t="shared" si="378"/>
        <v>-5775.92</v>
      </c>
      <c r="DB238" s="17">
        <f>F238+N238+W238+AE238+AM238+AV238+BD238+BL238+BU238+CC238+CK238</f>
        <v>77000</v>
      </c>
      <c r="DC238" s="17">
        <f>K238+T238+AB238+AJ238+AS238+BA238+BI238+BR238+BZ238+CH238+CQ238</f>
        <v>332826.38000000006</v>
      </c>
    </row>
    <row r="239" spans="1:107" hidden="1">
      <c r="A239" s="12" t="str">
        <f t="shared" si="351"/>
        <v>SERVICIOSMTTO EQ DE TRANSPORTESERVICIOS</v>
      </c>
      <c r="B239">
        <v>241</v>
      </c>
      <c r="C239" t="s">
        <v>21</v>
      </c>
      <c r="D239" t="s">
        <v>144</v>
      </c>
      <c r="E239" t="s">
        <v>21</v>
      </c>
      <c r="F239" s="259">
        <f t="shared" si="344"/>
        <v>0</v>
      </c>
      <c r="G239" s="13">
        <f t="shared" si="410"/>
        <v>6430</v>
      </c>
      <c r="H239" s="13">
        <f t="shared" si="410"/>
        <v>0</v>
      </c>
      <c r="I239" s="13">
        <f t="shared" si="410"/>
        <v>0</v>
      </c>
      <c r="J239" s="13">
        <f t="shared" si="410"/>
        <v>0</v>
      </c>
      <c r="K239" s="13">
        <f t="shared" si="410"/>
        <v>6430</v>
      </c>
      <c r="L239" s="68">
        <f t="shared" si="352"/>
        <v>-6430</v>
      </c>
      <c r="M239" s="268">
        <f t="shared" si="353"/>
        <v>0</v>
      </c>
      <c r="N239" s="13">
        <f t="shared" si="345"/>
        <v>18000</v>
      </c>
      <c r="O239" s="13">
        <f t="shared" si="411"/>
        <v>0</v>
      </c>
      <c r="P239" s="13">
        <f t="shared" si="411"/>
        <v>0</v>
      </c>
      <c r="Q239" s="13">
        <f t="shared" si="411"/>
        <v>0</v>
      </c>
      <c r="R239" s="13">
        <f t="shared" si="411"/>
        <v>7460</v>
      </c>
      <c r="S239" s="13">
        <f t="shared" si="411"/>
        <v>7460</v>
      </c>
      <c r="T239" s="13">
        <f t="shared" si="411"/>
        <v>14920</v>
      </c>
      <c r="U239" s="68">
        <f t="shared" si="354"/>
        <v>3080</v>
      </c>
      <c r="V239" s="268">
        <f t="shared" si="355"/>
        <v>0.8288888888888889</v>
      </c>
      <c r="W239" s="13">
        <f t="shared" si="346"/>
        <v>0</v>
      </c>
      <c r="X239" s="13">
        <f t="shared" si="412"/>
        <v>7460</v>
      </c>
      <c r="Y239" s="13">
        <f t="shared" si="412"/>
        <v>0</v>
      </c>
      <c r="Z239" s="13">
        <f t="shared" si="412"/>
        <v>0</v>
      </c>
      <c r="AA239" s="13">
        <f t="shared" si="412"/>
        <v>0</v>
      </c>
      <c r="AB239" s="13">
        <f t="shared" si="412"/>
        <v>7460</v>
      </c>
      <c r="AC239" s="68">
        <f t="shared" si="356"/>
        <v>-7460</v>
      </c>
      <c r="AD239" s="268">
        <f t="shared" si="357"/>
        <v>0</v>
      </c>
      <c r="AE239" s="13">
        <f t="shared" si="347"/>
        <v>18000</v>
      </c>
      <c r="AF239" s="13">
        <f t="shared" si="413"/>
        <v>0</v>
      </c>
      <c r="AG239" s="13">
        <f t="shared" si="413"/>
        <v>0</v>
      </c>
      <c r="AH239" s="13">
        <f t="shared" si="413"/>
        <v>0</v>
      </c>
      <c r="AI239" s="13">
        <f t="shared" si="413"/>
        <v>0</v>
      </c>
      <c r="AJ239" s="13">
        <f t="shared" si="413"/>
        <v>0</v>
      </c>
      <c r="AK239" s="68">
        <f t="shared" si="358"/>
        <v>18000</v>
      </c>
      <c r="AL239" s="268">
        <f t="shared" si="359"/>
        <v>0</v>
      </c>
      <c r="AM239" s="13">
        <f t="shared" si="348"/>
        <v>0</v>
      </c>
      <c r="AN239" s="13">
        <f t="shared" si="414"/>
        <v>1700</v>
      </c>
      <c r="AO239" s="13">
        <f t="shared" si="414"/>
        <v>0</v>
      </c>
      <c r="AP239" s="13">
        <f t="shared" si="414"/>
        <v>150</v>
      </c>
      <c r="AQ239" s="13">
        <f t="shared" si="414"/>
        <v>0</v>
      </c>
      <c r="AR239" s="13">
        <f t="shared" si="414"/>
        <v>0</v>
      </c>
      <c r="AS239" s="13">
        <f t="shared" si="414"/>
        <v>1850</v>
      </c>
      <c r="AT239" s="68">
        <f>AM239-AS239</f>
        <v>-1850</v>
      </c>
      <c r="AU239" s="268">
        <f t="shared" si="360"/>
        <v>0</v>
      </c>
      <c r="AV239" s="13">
        <f t="shared" si="349"/>
        <v>25000</v>
      </c>
      <c r="AW239" s="13">
        <f t="shared" si="323"/>
        <v>0</v>
      </c>
      <c r="AX239" s="13">
        <f t="shared" si="323"/>
        <v>0</v>
      </c>
      <c r="AY239" s="13">
        <f t="shared" si="323"/>
        <v>0</v>
      </c>
      <c r="AZ239" s="13">
        <f t="shared" si="323"/>
        <v>4002</v>
      </c>
      <c r="BA239" s="13">
        <f t="shared" si="379"/>
        <v>4002</v>
      </c>
      <c r="BB239" s="68">
        <f t="shared" si="361"/>
        <v>20998</v>
      </c>
      <c r="BC239" s="268">
        <f t="shared" si="362"/>
        <v>0.16008</v>
      </c>
      <c r="BD239" s="13">
        <f t="shared" si="363"/>
        <v>0</v>
      </c>
      <c r="BE239" s="13">
        <f>SUMIFS(SALIDAS_BIT,FECHA_BIT,"&gt;="&amp;BE$2,FECHA_BIT,"&lt;="&amp;BE$3,CLAVE_BIT,$A239)+SUMIFS(SALIDAS_BOV1,FECHA_BOV1,"&gt;="&amp;BE$2,FECHA_BOV1,"&lt;="&amp;BE$3,CLAVE_BOV1,$A239)+SUMIFS(SALIDAS_BOV2,FECHA_BOV2,"&gt;="&amp;BE$2,FECHA_BOV2,"&lt;="&amp;BE$3,CLAVE_BOV2,$A239)+SUMIFS(SALIDAS_BOV3,FECHA_BOV3,"&gt;="&amp;BE$2,FECHA_BOV3,"&lt;="&amp;BE$3,CLAVE_BOV3,$A239)+SUMIFS(SALIDAS_TC,FECHA_TC,"&gt;="&amp;BE$2,FECHA_TC,"&lt;="&amp;BE$3,CLAVE_TC,$A239)+SUMIFS(SALIDAS_COMB,FECHA_COMB,"&gt;="&amp;BE$2,FECHA_COMB,"&lt;="&amp;BE$3,CLAVE_COMB,$A239)+SUMIFS(SALIDAS_DES,FECHA_DESGLOSEN,"&gt;="&amp;BE$2,FECHA_DESGLOSEN,"&lt;="&amp;BE$3,CLAVE_DESGLOSE,$A239)</f>
        <v>0</v>
      </c>
      <c r="BF239" s="13">
        <f>SUMIFS(SALIDAS_BIT,FECHA_BIT,"&gt;="&amp;BF$2,FECHA_BIT,"&lt;="&amp;BF$3,CLAVE_BIT,$A239)+SUMIFS(SALIDAS_BOV1,FECHA_BOV1,"&gt;="&amp;BF$2,FECHA_BOV1,"&lt;="&amp;BF$3,CLAVE_BOV1,$A239)+SUMIFS(SALIDAS_BOV2,FECHA_BOV2,"&gt;="&amp;BF$2,FECHA_BOV2,"&lt;="&amp;BF$3,CLAVE_BOV2,$A239)+SUMIFS(SALIDAS_BOV3,FECHA_BOV3,"&gt;="&amp;BF$2,FECHA_BOV3,"&lt;="&amp;BF$3,CLAVE_BOV3,$A239)+SUMIFS(SALIDAS_TC,FECHA_TC,"&gt;="&amp;BF$2,FECHA_TC,"&lt;="&amp;BF$3,CLAVE_TC,$A239)+SUMIFS(SALIDAS_COMB,FECHA_COMB,"&gt;="&amp;BF$2,FECHA_COMB,"&lt;="&amp;BF$3,CLAVE_COMB,$A239)+SUMIFS(SALIDAS_DES,FECHA_DESGLOSEN,"&gt;="&amp;BF$2,FECHA_DESGLOSEN,"&lt;="&amp;BF$3,CLAVE_DESGLOSE,$A239)</f>
        <v>0</v>
      </c>
      <c r="BG239" s="13">
        <f>SUMIFS(SALIDAS_BIT,FECHA_BIT,"&gt;="&amp;BG$2,FECHA_BIT,"&lt;="&amp;BG$3,CLAVE_BIT,$A239)+SUMIFS(SALIDAS_BOV1,FECHA_BOV1,"&gt;="&amp;BG$2,FECHA_BOV1,"&lt;="&amp;BG$3,CLAVE_BOV1,$A239)+SUMIFS(SALIDAS_BOV2,FECHA_BOV2,"&gt;="&amp;BG$2,FECHA_BOV2,"&lt;="&amp;BG$3,CLAVE_BOV2,$A239)+SUMIFS(SALIDAS_BOV3,FECHA_BOV3,"&gt;="&amp;BG$2,FECHA_BOV3,"&lt;="&amp;BG$3,CLAVE_BOV3,$A239)+SUMIFS(SALIDAS_TC,FECHA_TC,"&gt;="&amp;BG$2,FECHA_TC,"&lt;="&amp;BG$3,CLAVE_TC,$A239)+SUMIFS(SALIDAS_COMB,FECHA_COMB,"&gt;="&amp;BG$2,FECHA_COMB,"&lt;="&amp;BG$3,CLAVE_COMB,$A239)+SUMIFS(SALIDAS_DES,FECHA_DESGLOSEN,"&gt;="&amp;BG$2,FECHA_DESGLOSEN,"&lt;="&amp;BG$3,CLAVE_DESGLOSE,$A239)</f>
        <v>0</v>
      </c>
      <c r="BH239" s="13">
        <f>SUMIFS(SALIDAS_BIT,FECHA_BIT,"&gt;="&amp;BH$2,FECHA_BIT,"&lt;="&amp;BH$3,CLAVE_BIT,$A239)+SUMIFS(SALIDAS_BOV1,FECHA_BOV1,"&gt;="&amp;BH$2,FECHA_BOV1,"&lt;="&amp;BH$3,CLAVE_BOV1,$A239)+SUMIFS(SALIDAS_BOV2,FECHA_BOV2,"&gt;="&amp;BH$2,FECHA_BOV2,"&lt;="&amp;BH$3,CLAVE_BOV2,$A239)+SUMIFS(SALIDAS_BOV3,FECHA_BOV3,"&gt;="&amp;BH$2,FECHA_BOV3,"&lt;="&amp;BH$3,CLAVE_BOV3,$A239)+SUMIFS(SALIDAS_TC,FECHA_TC,"&gt;="&amp;BH$2,FECHA_TC,"&lt;="&amp;BH$3,CLAVE_TC,$A239)+SUMIFS(SALIDAS_COMB,FECHA_COMB,"&gt;="&amp;BH$2,FECHA_COMB,"&lt;="&amp;BH$3,CLAVE_COMB,$A239)+SUMIFS(SALIDAS_DES,FECHA_DESGLOSEN,"&gt;="&amp;BH$2,FECHA_DESGLOSEN,"&lt;="&amp;BH$3,CLAVE_DESGLOSE,$A239)</f>
        <v>0</v>
      </c>
      <c r="BI239" s="13">
        <f t="shared" si="419"/>
        <v>0</v>
      </c>
      <c r="BJ239" s="68">
        <f t="shared" si="364"/>
        <v>0</v>
      </c>
      <c r="BK239" s="268">
        <f t="shared" si="365"/>
        <v>0</v>
      </c>
      <c r="BL239" s="13">
        <f t="shared" si="366"/>
        <v>1800</v>
      </c>
      <c r="BM239" s="13">
        <f>SUMIFS(SALIDAS_BIT,FECHA_BIT,"&gt;="&amp;BM$2,FECHA_BIT,"&lt;="&amp;BM$3,CLAVE_BIT,$A239)+SUMIFS(SALIDAS_BOV1,FECHA_BOV1,"&gt;="&amp;BM$2,FECHA_BOV1,"&lt;="&amp;BM$3,CLAVE_BOV1,$A239)+SUMIFS(SALIDAS_BOV2,FECHA_BOV2,"&gt;="&amp;BM$2,FECHA_BOV2,"&lt;="&amp;BM$3,CLAVE_BOV2,$A239)+SUMIFS(SALIDAS_BOV3,FECHA_BOV3,"&gt;="&amp;BM$2,FECHA_BOV3,"&lt;="&amp;BM$3,CLAVE_BOV3,$A239)+SUMIFS(SALIDAS_TC,FECHA_TC,"&gt;="&amp;BM$2,FECHA_TC,"&lt;="&amp;BM$3,CLAVE_TC,$A239)+SUMIFS(SALIDAS_COMB,FECHA_COMB,"&gt;="&amp;BM$2,FECHA_COMB,"&lt;="&amp;BM$3,CLAVE_COMB,$A239)+SUMIFS(SALIDAS_DES,FECHA_DESGLOSEN,"&gt;="&amp;BM$2,FECHA_DESGLOSEN,"&lt;="&amp;BM$3,CLAVE_DESGLOSE,$A239)</f>
        <v>0</v>
      </c>
      <c r="BN239" s="13">
        <f>SUMIFS(SALIDAS_BIT,FECHA_BIT,"&gt;="&amp;BN$2,FECHA_BIT,"&lt;="&amp;BN$3,CLAVE_BIT,$A239)+SUMIFS(SALIDAS_BOV1,FECHA_BOV1,"&gt;="&amp;BN$2,FECHA_BOV1,"&lt;="&amp;BN$3,CLAVE_BOV1,$A239)+SUMIFS(SALIDAS_BOV2,FECHA_BOV2,"&gt;="&amp;BN$2,FECHA_BOV2,"&lt;="&amp;BN$3,CLAVE_BOV2,$A239)+SUMIFS(SALIDAS_BOV3,FECHA_BOV3,"&gt;="&amp;BN$2,FECHA_BOV3,"&lt;="&amp;BN$3,CLAVE_BOV3,$A239)+SUMIFS(SALIDAS_TC,FECHA_TC,"&gt;="&amp;BN$2,FECHA_TC,"&lt;="&amp;BN$3,CLAVE_TC,$A239)+SUMIFS(SALIDAS_COMB,FECHA_COMB,"&gt;="&amp;BN$2,FECHA_COMB,"&lt;="&amp;BN$3,CLAVE_COMB,$A239)+SUMIFS(SALIDAS_DES,FECHA_DESGLOSEN,"&gt;="&amp;BN$2,FECHA_DESGLOSEN,"&lt;="&amp;BN$3,CLAVE_DESGLOSE,$A239)</f>
        <v>0</v>
      </c>
      <c r="BO239" s="13">
        <f>SUMIFS(SALIDAS_BIT,FECHA_BIT,"&gt;="&amp;BO$2,FECHA_BIT,"&lt;="&amp;BO$3,CLAVE_BIT,$A239)+SUMIFS(SALIDAS_BOV1,FECHA_BOV1,"&gt;="&amp;BO$2,FECHA_BOV1,"&lt;="&amp;BO$3,CLAVE_BOV1,$A239)+SUMIFS(SALIDAS_BOV2,FECHA_BOV2,"&gt;="&amp;BO$2,FECHA_BOV2,"&lt;="&amp;BO$3,CLAVE_BOV2,$A239)+SUMIFS(SALIDAS_BOV3,FECHA_BOV3,"&gt;="&amp;BO$2,FECHA_BOV3,"&lt;="&amp;BO$3,CLAVE_BOV3,$A239)+SUMIFS(SALIDAS_TC,FECHA_TC,"&gt;="&amp;BO$2,FECHA_TC,"&lt;="&amp;BO$3,CLAVE_TC,$A239)+SUMIFS(SALIDAS_COMB,FECHA_COMB,"&gt;="&amp;BO$2,FECHA_COMB,"&lt;="&amp;BO$3,CLAVE_COMB,$A239)+SUMIFS(SALIDAS_DES,FECHA_DESGLOSEN,"&gt;="&amp;BO$2,FECHA_DESGLOSEN,"&lt;="&amp;BO$3,CLAVE_DESGLOSE,$A239)</f>
        <v>0</v>
      </c>
      <c r="BP239" s="13">
        <f>SUMIFS(SALIDAS_BIT,FECHA_BIT,"&gt;="&amp;BP$2,FECHA_BIT,"&lt;="&amp;BP$3,CLAVE_BIT,$A239)+SUMIFS(SALIDAS_BOV1,FECHA_BOV1,"&gt;="&amp;BP$2,FECHA_BOV1,"&lt;="&amp;BP$3,CLAVE_BOV1,$A239)+SUMIFS(SALIDAS_BOV2,FECHA_BOV2,"&gt;="&amp;BP$2,FECHA_BOV2,"&lt;="&amp;BP$3,CLAVE_BOV2,$A239)+SUMIFS(SALIDAS_BOV3,FECHA_BOV3,"&gt;="&amp;BP$2,FECHA_BOV3,"&lt;="&amp;BP$3,CLAVE_BOV3,$A239)+SUMIFS(SALIDAS_TC,FECHA_TC,"&gt;="&amp;BP$2,FECHA_TC,"&lt;="&amp;BP$3,CLAVE_TC,$A239)+SUMIFS(SALIDAS_COMB,FECHA_COMB,"&gt;="&amp;BP$2,FECHA_COMB,"&lt;="&amp;BP$3,CLAVE_COMB,$A239)+SUMIFS(SALIDAS_DES,FECHA_DESGLOSEN,"&gt;="&amp;BP$2,FECHA_DESGLOSEN,"&lt;="&amp;BP$3,CLAVE_DESGLOSE,$A239)</f>
        <v>0</v>
      </c>
      <c r="BQ239" s="13">
        <f>SUMIFS(SALIDAS_BIT,FECHA_BIT,"&gt;="&amp;BQ$2,FECHA_BIT,"&lt;="&amp;BQ$3,CLAVE_BIT,$A239)+SUMIFS(SALIDAS_BOV1,FECHA_BOV1,"&gt;="&amp;BQ$2,FECHA_BOV1,"&lt;="&amp;BQ$3,CLAVE_BOV1,$A239)+SUMIFS(SALIDAS_BOV2,FECHA_BOV2,"&gt;="&amp;BQ$2,FECHA_BOV2,"&lt;="&amp;BQ$3,CLAVE_BOV2,$A239)+SUMIFS(SALIDAS_BOV3,FECHA_BOV3,"&gt;="&amp;BQ$2,FECHA_BOV3,"&lt;="&amp;BQ$3,CLAVE_BOV3,$A239)+SUMIFS(SALIDAS_TC,FECHA_TC,"&gt;="&amp;BQ$2,FECHA_TC,"&lt;="&amp;BQ$3,CLAVE_TC,$A239)+SUMIFS(SALIDAS_COMB,FECHA_COMB,"&gt;="&amp;BQ$2,FECHA_COMB,"&lt;="&amp;BQ$3,CLAVE_COMB,$A239)+SUMIFS(SALIDAS_DES,FECHA_DESGLOSEN,"&gt;="&amp;BQ$2,FECHA_DESGLOSEN,"&lt;="&amp;BQ$3,CLAVE_DESGLOSE,$A239)</f>
        <v>0</v>
      </c>
      <c r="BR239" s="13">
        <f t="shared" si="415"/>
        <v>0</v>
      </c>
      <c r="BS239" s="68">
        <f t="shared" si="367"/>
        <v>1800</v>
      </c>
      <c r="BT239" s="268">
        <f t="shared" si="368"/>
        <v>0</v>
      </c>
      <c r="BU239" s="13">
        <f t="shared" si="369"/>
        <v>0</v>
      </c>
      <c r="BV239" s="13">
        <f t="shared" si="389"/>
        <v>0</v>
      </c>
      <c r="BW239" s="13">
        <f t="shared" si="389"/>
        <v>3364</v>
      </c>
      <c r="BX239" s="13">
        <f t="shared" si="389"/>
        <v>0</v>
      </c>
      <c r="BY239" s="13">
        <f t="shared" si="389"/>
        <v>0</v>
      </c>
      <c r="BZ239" s="13">
        <f t="shared" si="416"/>
        <v>3364</v>
      </c>
      <c r="CA239" s="68">
        <f t="shared" si="370"/>
        <v>-3364</v>
      </c>
      <c r="CB239" s="268">
        <f t="shared" si="371"/>
        <v>0</v>
      </c>
      <c r="CC239" s="13">
        <f t="shared" si="372"/>
        <v>18000</v>
      </c>
      <c r="CD239" s="13">
        <f t="shared" si="390"/>
        <v>0</v>
      </c>
      <c r="CE239" s="13">
        <f t="shared" si="390"/>
        <v>4002</v>
      </c>
      <c r="CF239" s="13">
        <f t="shared" si="390"/>
        <v>0</v>
      </c>
      <c r="CG239" s="13">
        <f t="shared" si="390"/>
        <v>0</v>
      </c>
      <c r="CH239" s="13">
        <f t="shared" si="417"/>
        <v>4002</v>
      </c>
      <c r="CI239" s="68">
        <f t="shared" si="373"/>
        <v>13998</v>
      </c>
      <c r="CJ239" s="268">
        <f t="shared" si="374"/>
        <v>0.22233333333333333</v>
      </c>
      <c r="CK239" s="13">
        <f t="shared" si="375"/>
        <v>0</v>
      </c>
      <c r="CL239" s="13">
        <f t="shared" si="400"/>
        <v>450</v>
      </c>
      <c r="CM239" s="13">
        <f t="shared" si="400"/>
        <v>0</v>
      </c>
      <c r="CN239" s="13">
        <f t="shared" si="400"/>
        <v>0</v>
      </c>
      <c r="CO239" s="13">
        <f t="shared" si="400"/>
        <v>0</v>
      </c>
      <c r="CP239" s="13">
        <f t="shared" si="400"/>
        <v>0</v>
      </c>
      <c r="CQ239" s="13">
        <f t="shared" si="418"/>
        <v>450</v>
      </c>
      <c r="CR239" s="68">
        <f t="shared" si="376"/>
        <v>-450</v>
      </c>
      <c r="CS239" s="268">
        <f t="shared" si="377"/>
        <v>0</v>
      </c>
      <c r="CT239" s="68">
        <f t="shared" si="350"/>
        <v>12000</v>
      </c>
      <c r="CU239" s="13">
        <f>SUMIFS(SALIDAS_BIT,FECHA_BIT,"&gt;="&amp;CU$2,FECHA_BIT,"&lt;="&amp;CU$3,CLAVE_BIT,$A239)+SUMIFS(SALIDAS_BOV1,FECHA_BOV1,"&gt;="&amp;CU$2,FECHA_BOV1,"&lt;="&amp;CU$3,CLAVE_BOV1,$A239)+SUMIFS(SALIDAS_BOV2,FECHA_BOV2,"&gt;="&amp;CU$2,FECHA_BOV2,"&lt;="&amp;CU$3,CLAVE_BOV2,$A239)+SUMIFS(SALIDAS_BOV3,FECHA_BOV3,"&gt;="&amp;CU$2,FECHA_BOV3,"&lt;="&amp;CU$3,CLAVE_BOV3,$A239)+SUMIFS(SALIDAS_TC,FECHA_TC,"&gt;="&amp;CU$2,FECHA_TC,"&lt;="&amp;CU$3,CLAVE_TC,$A239)+SUMIFS(SALIDAS_COMB,FECHA_COMB,"&gt;="&amp;CU$2,FECHA_COMB,"&lt;="&amp;CU$3,CLAVE_COMB,$A239)+SUMIFS(SALIDAS_DES,FECHA_DESGLOSEN,"&gt;="&amp;CU$2,FECHA_DESGLOSEN,"&lt;="&amp;CU$3,CLAVE_DESGLOSE,$A239)</f>
        <v>0</v>
      </c>
      <c r="CV239" s="13">
        <f>SUMIFS(SALIDAS_BIT,FECHA_BIT,"&gt;="&amp;CV$2,FECHA_BIT,"&lt;="&amp;CV$3,CLAVE_BIT,$A239)+SUMIFS(SALIDAS_BOV1,FECHA_BOV1,"&gt;="&amp;CV$2,FECHA_BOV1,"&lt;="&amp;CV$3,CLAVE_BOV1,$A239)+SUMIFS(SALIDAS_BOV2,FECHA_BOV2,"&gt;="&amp;CV$2,FECHA_BOV2,"&lt;="&amp;CV$3,CLAVE_BOV2,$A239)+SUMIFS(SALIDAS_BOV3,FECHA_BOV3,"&gt;="&amp;CV$2,FECHA_BOV3,"&lt;="&amp;CV$3,CLAVE_BOV3,$A239)+SUMIFS(SALIDAS_TC,FECHA_TC,"&gt;="&amp;CV$2,FECHA_TC,"&lt;="&amp;CV$3,CLAVE_TC,$A239)+SUMIFS(SALIDAS_COMB,FECHA_COMB,"&gt;="&amp;CV$2,FECHA_COMB,"&lt;="&amp;CV$3,CLAVE_COMB,$A239)+SUMIFS(SALIDAS_DES,FECHA_DESGLOSEN,"&gt;="&amp;CV$2,FECHA_DESGLOSEN,"&lt;="&amp;CV$3,CLAVE_DESGLOSE,$A239)</f>
        <v>0</v>
      </c>
      <c r="CW239" s="13">
        <f>SUMIFS(SALIDAS_BIT,FECHA_BIT,"&gt;="&amp;CW$2,FECHA_BIT,"&lt;="&amp;CW$3,CLAVE_BIT,$A239)+SUMIFS(SALIDAS_BOV1,FECHA_BOV1,"&gt;="&amp;CW$2,FECHA_BOV1,"&lt;="&amp;CW$3,CLAVE_BOV1,$A239)+SUMIFS(SALIDAS_BOV2,FECHA_BOV2,"&gt;="&amp;CW$2,FECHA_BOV2,"&lt;="&amp;CW$3,CLAVE_BOV2,$A239)+SUMIFS(SALIDAS_BOV3,FECHA_BOV3,"&gt;="&amp;CW$2,FECHA_BOV3,"&lt;="&amp;CW$3,CLAVE_BOV3,$A239)+SUMIFS(SALIDAS_TC,FECHA_TC,"&gt;="&amp;CW$2,FECHA_TC,"&lt;="&amp;CW$3,CLAVE_TC,$A239)+SUMIFS(SALIDAS_COMB,FECHA_COMB,"&gt;="&amp;CW$2,FECHA_COMB,"&lt;="&amp;CW$3,CLAVE_COMB,$A239)+SUMIFS(SALIDAS_DES,FECHA_DESGLOSEN,"&gt;="&amp;CW$2,FECHA_DESGLOSEN,"&lt;="&amp;CW$3,CLAVE_DESGLOSE,$A239)</f>
        <v>0</v>
      </c>
      <c r="CX239" s="13">
        <f>SUMIFS(SALIDAS_BIT,FECHA_BIT,"&gt;="&amp;CX$2,FECHA_BIT,"&lt;="&amp;CX$3,CLAVE_BIT,$A239)+SUMIFS(SALIDAS_BOV1,FECHA_BOV1,"&gt;="&amp;CX$2,FECHA_BOV1,"&lt;="&amp;CX$3,CLAVE_BOV1,$A239)+SUMIFS(SALIDAS_BOV2,FECHA_BOV2,"&gt;="&amp;CX$2,FECHA_BOV2,"&lt;="&amp;CX$3,CLAVE_BOV2,$A239)+SUMIFS(SALIDAS_BOV3,FECHA_BOV3,"&gt;="&amp;CX$2,FECHA_BOV3,"&lt;="&amp;CX$3,CLAVE_BOV3,$A239)+SUMIFS(SALIDAS_TC,FECHA_TC,"&gt;="&amp;CX$2,FECHA_TC,"&lt;="&amp;CX$3,CLAVE_TC,$A239)+SUMIFS(SALIDAS_COMB,FECHA_COMB,"&gt;="&amp;CX$2,FECHA_COMB,"&lt;="&amp;CX$3,CLAVE_COMB,$A239)+SUMIFS(SALIDAS_DES,FECHA_DESGLOSEN,"&gt;="&amp;CX$2,FECHA_DESGLOSEN,"&lt;="&amp;CX$3,CLAVE_DESGLOSE,$A239)</f>
        <v>0</v>
      </c>
      <c r="CY239" s="13">
        <f>SUMIFS(SALIDAS_BIT,FECHA_BIT,"&gt;="&amp;CY$2,FECHA_BIT,"&lt;="&amp;CY$3,CLAVE_BIT,$A239)+SUMIFS(SALIDAS_BOV1,FECHA_BOV1,"&gt;="&amp;CY$2,FECHA_BOV1,"&lt;="&amp;CY$3,CLAVE_BOV1,$A239)+SUMIFS(SALIDAS_BOV2,FECHA_BOV2,"&gt;="&amp;CY$2,FECHA_BOV2,"&lt;="&amp;CY$3,CLAVE_BOV2,$A239)+SUMIFS(SALIDAS_BOV3,FECHA_BOV3,"&gt;="&amp;CY$2,FECHA_BOV3,"&lt;="&amp;CY$3,CLAVE_BOV3,$A239)+SUMIFS(SALIDAS_TC,FECHA_TC,"&gt;="&amp;CY$2,FECHA_TC,"&lt;="&amp;CY$3,CLAVE_TC,$A239)+SUMIFS(SALIDAS_COMB,FECHA_COMB,"&gt;="&amp;CY$2,FECHA_COMB,"&lt;="&amp;CY$3,CLAVE_COMB,$A239)+SUMIFS(SALIDAS_DES,FECHA_DESGLOSEN,"&gt;="&amp;CY$2,FECHA_DESGLOSEN,"&lt;="&amp;CY$3,CLAVE_DESGLOSE,$A239)</f>
        <v>0</v>
      </c>
      <c r="CZ239" s="68">
        <f t="shared" si="378"/>
        <v>12000</v>
      </c>
      <c r="DB239" s="17">
        <f>F239+N239+W239+AE239+AM239+AV239+BD239+BL239+BU239+CC239+CK239</f>
        <v>80800</v>
      </c>
      <c r="DC239" s="17">
        <f>K239+T239+AB239+AJ239+AS239+BA239+BI239+BR239+BZ239+CH239+CQ239</f>
        <v>42478</v>
      </c>
    </row>
    <row r="240" spans="1:107" hidden="1">
      <c r="A240" s="12" t="str">
        <f t="shared" si="351"/>
        <v>FINANZASMTTO EQ DE TRANSPORTECONTABILIDAD</v>
      </c>
      <c r="B240" s="483">
        <v>242</v>
      </c>
      <c r="C240" t="s">
        <v>23</v>
      </c>
      <c r="D240" t="s">
        <v>144</v>
      </c>
      <c r="E240" t="s">
        <v>37</v>
      </c>
      <c r="F240" s="259">
        <f t="shared" si="344"/>
        <v>0</v>
      </c>
      <c r="G240" s="13">
        <f t="shared" si="410"/>
        <v>0</v>
      </c>
      <c r="H240" s="13">
        <f t="shared" si="410"/>
        <v>0</v>
      </c>
      <c r="I240" s="13">
        <f t="shared" si="410"/>
        <v>0</v>
      </c>
      <c r="J240" s="13">
        <f t="shared" si="410"/>
        <v>0</v>
      </c>
      <c r="K240" s="13">
        <f t="shared" si="410"/>
        <v>0</v>
      </c>
      <c r="L240" s="68">
        <f t="shared" si="352"/>
        <v>0</v>
      </c>
      <c r="M240" s="268">
        <f t="shared" si="353"/>
        <v>0</v>
      </c>
      <c r="N240" s="13">
        <f t="shared" si="345"/>
        <v>0</v>
      </c>
      <c r="O240" s="13">
        <f t="shared" si="411"/>
        <v>0</v>
      </c>
      <c r="P240" s="13">
        <f t="shared" si="411"/>
        <v>0</v>
      </c>
      <c r="Q240" s="13">
        <f t="shared" si="411"/>
        <v>0</v>
      </c>
      <c r="R240" s="13">
        <f t="shared" si="411"/>
        <v>0</v>
      </c>
      <c r="S240" s="13">
        <f t="shared" si="411"/>
        <v>0</v>
      </c>
      <c r="T240" s="13">
        <f t="shared" si="411"/>
        <v>0</v>
      </c>
      <c r="U240" s="68">
        <f t="shared" si="354"/>
        <v>0</v>
      </c>
      <c r="V240" s="268">
        <f t="shared" si="355"/>
        <v>0</v>
      </c>
      <c r="W240" s="13">
        <f t="shared" si="346"/>
        <v>0</v>
      </c>
      <c r="X240" s="13">
        <f t="shared" si="412"/>
        <v>0</v>
      </c>
      <c r="Y240" s="13">
        <f t="shared" si="412"/>
        <v>0</v>
      </c>
      <c r="Z240" s="13">
        <f t="shared" si="412"/>
        <v>0</v>
      </c>
      <c r="AA240" s="13">
        <f t="shared" si="412"/>
        <v>0</v>
      </c>
      <c r="AB240" s="13">
        <f t="shared" si="412"/>
        <v>0</v>
      </c>
      <c r="AC240" s="68">
        <f t="shared" si="356"/>
        <v>0</v>
      </c>
      <c r="AD240" s="268">
        <f t="shared" si="357"/>
        <v>0</v>
      </c>
      <c r="AE240" s="13">
        <f t="shared" si="347"/>
        <v>0</v>
      </c>
      <c r="AF240" s="13">
        <f t="shared" si="413"/>
        <v>0</v>
      </c>
      <c r="AG240" s="13">
        <f t="shared" si="413"/>
        <v>0</v>
      </c>
      <c r="AH240" s="13">
        <f t="shared" si="413"/>
        <v>0</v>
      </c>
      <c r="AI240" s="13">
        <f t="shared" si="413"/>
        <v>0</v>
      </c>
      <c r="AJ240" s="13">
        <f t="shared" si="413"/>
        <v>0</v>
      </c>
      <c r="AK240" s="68">
        <f t="shared" si="358"/>
        <v>0</v>
      </c>
      <c r="AL240" s="268">
        <f t="shared" si="359"/>
        <v>0</v>
      </c>
      <c r="AM240" s="13">
        <f t="shared" si="348"/>
        <v>0</v>
      </c>
      <c r="AN240" s="13">
        <f t="shared" si="414"/>
        <v>0</v>
      </c>
      <c r="AO240" s="13">
        <f t="shared" si="414"/>
        <v>0</v>
      </c>
      <c r="AP240" s="13">
        <f t="shared" si="414"/>
        <v>0</v>
      </c>
      <c r="AQ240" s="13">
        <f t="shared" si="414"/>
        <v>0</v>
      </c>
      <c r="AR240" s="13">
        <f t="shared" si="414"/>
        <v>0</v>
      </c>
      <c r="AS240" s="13">
        <f t="shared" si="414"/>
        <v>0</v>
      </c>
      <c r="AT240" s="68">
        <f>AM240-AS240</f>
        <v>0</v>
      </c>
      <c r="AU240" s="268">
        <f t="shared" si="360"/>
        <v>0</v>
      </c>
      <c r="AV240" s="13">
        <f t="shared" si="349"/>
        <v>0</v>
      </c>
      <c r="AW240" s="13">
        <f t="shared" si="323"/>
        <v>0</v>
      </c>
      <c r="AX240" s="13">
        <f t="shared" si="323"/>
        <v>0</v>
      </c>
      <c r="AY240" s="13">
        <f t="shared" si="323"/>
        <v>0</v>
      </c>
      <c r="AZ240" s="13">
        <f t="shared" si="323"/>
        <v>0</v>
      </c>
      <c r="BA240" s="13">
        <f t="shared" si="379"/>
        <v>0</v>
      </c>
      <c r="BB240" s="68">
        <f t="shared" si="361"/>
        <v>0</v>
      </c>
      <c r="BC240" s="268">
        <f t="shared" si="362"/>
        <v>0</v>
      </c>
      <c r="BD240" s="13">
        <f t="shared" si="363"/>
        <v>0</v>
      </c>
      <c r="BE240" s="13">
        <f>SUMIFS(SALIDAS_BIT,FECHA_BIT,"&gt;="&amp;BE$2,FECHA_BIT,"&lt;="&amp;BE$3,CLAVE_BIT,$A240)+SUMIFS(SALIDAS_BOV1,FECHA_BOV1,"&gt;="&amp;BE$2,FECHA_BOV1,"&lt;="&amp;BE$3,CLAVE_BOV1,$A240)+SUMIFS(SALIDAS_BOV2,FECHA_BOV2,"&gt;="&amp;BE$2,FECHA_BOV2,"&lt;="&amp;BE$3,CLAVE_BOV2,$A240)+SUMIFS(SALIDAS_BOV3,FECHA_BOV3,"&gt;="&amp;BE$2,FECHA_BOV3,"&lt;="&amp;BE$3,CLAVE_BOV3,$A240)+SUMIFS(SALIDAS_TC,FECHA_TC,"&gt;="&amp;BE$2,FECHA_TC,"&lt;="&amp;BE$3,CLAVE_TC,$A240)+SUMIFS(SALIDAS_COMB,FECHA_COMB,"&gt;="&amp;BE$2,FECHA_COMB,"&lt;="&amp;BE$3,CLAVE_COMB,$A240)+SUMIFS(SALIDAS_DES,FECHA_DESGLOSEN,"&gt;="&amp;BE$2,FECHA_DESGLOSEN,"&lt;="&amp;BE$3,CLAVE_DESGLOSE,$A240)</f>
        <v>0</v>
      </c>
      <c r="BF240" s="13">
        <f>SUMIFS(SALIDAS_BIT,FECHA_BIT,"&gt;="&amp;BF$2,FECHA_BIT,"&lt;="&amp;BF$3,CLAVE_BIT,$A240)+SUMIFS(SALIDAS_BOV1,FECHA_BOV1,"&gt;="&amp;BF$2,FECHA_BOV1,"&lt;="&amp;BF$3,CLAVE_BOV1,$A240)+SUMIFS(SALIDAS_BOV2,FECHA_BOV2,"&gt;="&amp;BF$2,FECHA_BOV2,"&lt;="&amp;BF$3,CLAVE_BOV2,$A240)+SUMIFS(SALIDAS_BOV3,FECHA_BOV3,"&gt;="&amp;BF$2,FECHA_BOV3,"&lt;="&amp;BF$3,CLAVE_BOV3,$A240)+SUMIFS(SALIDAS_TC,FECHA_TC,"&gt;="&amp;BF$2,FECHA_TC,"&lt;="&amp;BF$3,CLAVE_TC,$A240)+SUMIFS(SALIDAS_COMB,FECHA_COMB,"&gt;="&amp;BF$2,FECHA_COMB,"&lt;="&amp;BF$3,CLAVE_COMB,$A240)+SUMIFS(SALIDAS_DES,FECHA_DESGLOSEN,"&gt;="&amp;BF$2,FECHA_DESGLOSEN,"&lt;="&amp;BF$3,CLAVE_DESGLOSE,$A240)</f>
        <v>0</v>
      </c>
      <c r="BG240" s="13">
        <f>SUMIFS(SALIDAS_BIT,FECHA_BIT,"&gt;="&amp;BG$2,FECHA_BIT,"&lt;="&amp;BG$3,CLAVE_BIT,$A240)+SUMIFS(SALIDAS_BOV1,FECHA_BOV1,"&gt;="&amp;BG$2,FECHA_BOV1,"&lt;="&amp;BG$3,CLAVE_BOV1,$A240)+SUMIFS(SALIDAS_BOV2,FECHA_BOV2,"&gt;="&amp;BG$2,FECHA_BOV2,"&lt;="&amp;BG$3,CLAVE_BOV2,$A240)+SUMIFS(SALIDAS_BOV3,FECHA_BOV3,"&gt;="&amp;BG$2,FECHA_BOV3,"&lt;="&amp;BG$3,CLAVE_BOV3,$A240)+SUMIFS(SALIDAS_TC,FECHA_TC,"&gt;="&amp;BG$2,FECHA_TC,"&lt;="&amp;BG$3,CLAVE_TC,$A240)+SUMIFS(SALIDAS_COMB,FECHA_COMB,"&gt;="&amp;BG$2,FECHA_COMB,"&lt;="&amp;BG$3,CLAVE_COMB,$A240)+SUMIFS(SALIDAS_DES,FECHA_DESGLOSEN,"&gt;="&amp;BG$2,FECHA_DESGLOSEN,"&lt;="&amp;BG$3,CLAVE_DESGLOSE,$A240)</f>
        <v>0</v>
      </c>
      <c r="BH240" s="13">
        <f>SUMIFS(SALIDAS_BIT,FECHA_BIT,"&gt;="&amp;BH$2,FECHA_BIT,"&lt;="&amp;BH$3,CLAVE_BIT,$A240)+SUMIFS(SALIDAS_BOV1,FECHA_BOV1,"&gt;="&amp;BH$2,FECHA_BOV1,"&lt;="&amp;BH$3,CLAVE_BOV1,$A240)+SUMIFS(SALIDAS_BOV2,FECHA_BOV2,"&gt;="&amp;BH$2,FECHA_BOV2,"&lt;="&amp;BH$3,CLAVE_BOV2,$A240)+SUMIFS(SALIDAS_BOV3,FECHA_BOV3,"&gt;="&amp;BH$2,FECHA_BOV3,"&lt;="&amp;BH$3,CLAVE_BOV3,$A240)+SUMIFS(SALIDAS_TC,FECHA_TC,"&gt;="&amp;BH$2,FECHA_TC,"&lt;="&amp;BH$3,CLAVE_TC,$A240)+SUMIFS(SALIDAS_COMB,FECHA_COMB,"&gt;="&amp;BH$2,FECHA_COMB,"&lt;="&amp;BH$3,CLAVE_COMB,$A240)+SUMIFS(SALIDAS_DES,FECHA_DESGLOSEN,"&gt;="&amp;BH$2,FECHA_DESGLOSEN,"&lt;="&amp;BH$3,CLAVE_DESGLOSE,$A240)</f>
        <v>0</v>
      </c>
      <c r="BI240" s="13">
        <f t="shared" si="419"/>
        <v>0</v>
      </c>
      <c r="BJ240" s="68">
        <f t="shared" si="364"/>
        <v>0</v>
      </c>
      <c r="BK240" s="268">
        <f t="shared" si="365"/>
        <v>0</v>
      </c>
      <c r="BL240" s="13">
        <f t="shared" si="366"/>
        <v>0</v>
      </c>
      <c r="BM240" s="13">
        <f>SUMIFS(SALIDAS_BIT,FECHA_BIT,"&gt;="&amp;BM$2,FECHA_BIT,"&lt;="&amp;BM$3,CLAVE_BIT,$A240)+SUMIFS(SALIDAS_BOV1,FECHA_BOV1,"&gt;="&amp;BM$2,FECHA_BOV1,"&lt;="&amp;BM$3,CLAVE_BOV1,$A240)+SUMIFS(SALIDAS_BOV2,FECHA_BOV2,"&gt;="&amp;BM$2,FECHA_BOV2,"&lt;="&amp;BM$3,CLAVE_BOV2,$A240)+SUMIFS(SALIDAS_BOV3,FECHA_BOV3,"&gt;="&amp;BM$2,FECHA_BOV3,"&lt;="&amp;BM$3,CLAVE_BOV3,$A240)+SUMIFS(SALIDAS_TC,FECHA_TC,"&gt;="&amp;BM$2,FECHA_TC,"&lt;="&amp;BM$3,CLAVE_TC,$A240)+SUMIFS(SALIDAS_COMB,FECHA_COMB,"&gt;="&amp;BM$2,FECHA_COMB,"&lt;="&amp;BM$3,CLAVE_COMB,$A240)+SUMIFS(SALIDAS_DES,FECHA_DESGLOSEN,"&gt;="&amp;BM$2,FECHA_DESGLOSEN,"&lt;="&amp;BM$3,CLAVE_DESGLOSE,$A240)</f>
        <v>0</v>
      </c>
      <c r="BN240" s="13">
        <f>SUMIFS(SALIDAS_BIT,FECHA_BIT,"&gt;="&amp;BN$2,FECHA_BIT,"&lt;="&amp;BN$3,CLAVE_BIT,$A240)+SUMIFS(SALIDAS_BOV1,FECHA_BOV1,"&gt;="&amp;BN$2,FECHA_BOV1,"&lt;="&amp;BN$3,CLAVE_BOV1,$A240)+SUMIFS(SALIDAS_BOV2,FECHA_BOV2,"&gt;="&amp;BN$2,FECHA_BOV2,"&lt;="&amp;BN$3,CLAVE_BOV2,$A240)+SUMIFS(SALIDAS_BOV3,FECHA_BOV3,"&gt;="&amp;BN$2,FECHA_BOV3,"&lt;="&amp;BN$3,CLAVE_BOV3,$A240)+SUMIFS(SALIDAS_TC,FECHA_TC,"&gt;="&amp;BN$2,FECHA_TC,"&lt;="&amp;BN$3,CLAVE_TC,$A240)+SUMIFS(SALIDAS_COMB,FECHA_COMB,"&gt;="&amp;BN$2,FECHA_COMB,"&lt;="&amp;BN$3,CLAVE_COMB,$A240)+SUMIFS(SALIDAS_DES,FECHA_DESGLOSEN,"&gt;="&amp;BN$2,FECHA_DESGLOSEN,"&lt;="&amp;BN$3,CLAVE_DESGLOSE,$A240)</f>
        <v>0</v>
      </c>
      <c r="BO240" s="13">
        <f>SUMIFS(SALIDAS_BIT,FECHA_BIT,"&gt;="&amp;BO$2,FECHA_BIT,"&lt;="&amp;BO$3,CLAVE_BIT,$A240)+SUMIFS(SALIDAS_BOV1,FECHA_BOV1,"&gt;="&amp;BO$2,FECHA_BOV1,"&lt;="&amp;BO$3,CLAVE_BOV1,$A240)+SUMIFS(SALIDAS_BOV2,FECHA_BOV2,"&gt;="&amp;BO$2,FECHA_BOV2,"&lt;="&amp;BO$3,CLAVE_BOV2,$A240)+SUMIFS(SALIDAS_BOV3,FECHA_BOV3,"&gt;="&amp;BO$2,FECHA_BOV3,"&lt;="&amp;BO$3,CLAVE_BOV3,$A240)+SUMIFS(SALIDAS_TC,FECHA_TC,"&gt;="&amp;BO$2,FECHA_TC,"&lt;="&amp;BO$3,CLAVE_TC,$A240)+SUMIFS(SALIDAS_COMB,FECHA_COMB,"&gt;="&amp;BO$2,FECHA_COMB,"&lt;="&amp;BO$3,CLAVE_COMB,$A240)+SUMIFS(SALIDAS_DES,FECHA_DESGLOSEN,"&gt;="&amp;BO$2,FECHA_DESGLOSEN,"&lt;="&amp;BO$3,CLAVE_DESGLOSE,$A240)</f>
        <v>0</v>
      </c>
      <c r="BP240" s="13">
        <f>SUMIFS(SALIDAS_BIT,FECHA_BIT,"&gt;="&amp;BP$2,FECHA_BIT,"&lt;="&amp;BP$3,CLAVE_BIT,$A240)+SUMIFS(SALIDAS_BOV1,FECHA_BOV1,"&gt;="&amp;BP$2,FECHA_BOV1,"&lt;="&amp;BP$3,CLAVE_BOV1,$A240)+SUMIFS(SALIDAS_BOV2,FECHA_BOV2,"&gt;="&amp;BP$2,FECHA_BOV2,"&lt;="&amp;BP$3,CLAVE_BOV2,$A240)+SUMIFS(SALIDAS_BOV3,FECHA_BOV3,"&gt;="&amp;BP$2,FECHA_BOV3,"&lt;="&amp;BP$3,CLAVE_BOV3,$A240)+SUMIFS(SALIDAS_TC,FECHA_TC,"&gt;="&amp;BP$2,FECHA_TC,"&lt;="&amp;BP$3,CLAVE_TC,$A240)+SUMIFS(SALIDAS_COMB,FECHA_COMB,"&gt;="&amp;BP$2,FECHA_COMB,"&lt;="&amp;BP$3,CLAVE_COMB,$A240)+SUMIFS(SALIDAS_DES,FECHA_DESGLOSEN,"&gt;="&amp;BP$2,FECHA_DESGLOSEN,"&lt;="&amp;BP$3,CLAVE_DESGLOSE,$A240)</f>
        <v>0</v>
      </c>
      <c r="BQ240" s="13">
        <f>SUMIFS(SALIDAS_BIT,FECHA_BIT,"&gt;="&amp;BQ$2,FECHA_BIT,"&lt;="&amp;BQ$3,CLAVE_BIT,$A240)+SUMIFS(SALIDAS_BOV1,FECHA_BOV1,"&gt;="&amp;BQ$2,FECHA_BOV1,"&lt;="&amp;BQ$3,CLAVE_BOV1,$A240)+SUMIFS(SALIDAS_BOV2,FECHA_BOV2,"&gt;="&amp;BQ$2,FECHA_BOV2,"&lt;="&amp;BQ$3,CLAVE_BOV2,$A240)+SUMIFS(SALIDAS_BOV3,FECHA_BOV3,"&gt;="&amp;BQ$2,FECHA_BOV3,"&lt;="&amp;BQ$3,CLAVE_BOV3,$A240)+SUMIFS(SALIDAS_TC,FECHA_TC,"&gt;="&amp;BQ$2,FECHA_TC,"&lt;="&amp;BQ$3,CLAVE_TC,$A240)+SUMIFS(SALIDAS_COMB,FECHA_COMB,"&gt;="&amp;BQ$2,FECHA_COMB,"&lt;="&amp;BQ$3,CLAVE_COMB,$A240)+SUMIFS(SALIDAS_DES,FECHA_DESGLOSEN,"&gt;="&amp;BQ$2,FECHA_DESGLOSEN,"&lt;="&amp;BQ$3,CLAVE_DESGLOSE,$A240)</f>
        <v>0</v>
      </c>
      <c r="BR240" s="13">
        <f t="shared" si="415"/>
        <v>0</v>
      </c>
      <c r="BS240" s="68">
        <f t="shared" si="367"/>
        <v>0</v>
      </c>
      <c r="BT240" s="268">
        <f t="shared" si="368"/>
        <v>0</v>
      </c>
      <c r="BU240" s="13">
        <f t="shared" si="369"/>
        <v>0</v>
      </c>
      <c r="BV240" s="13">
        <f t="shared" si="389"/>
        <v>0</v>
      </c>
      <c r="BW240" s="13">
        <f t="shared" si="389"/>
        <v>0</v>
      </c>
      <c r="BX240" s="13">
        <f t="shared" si="389"/>
        <v>0</v>
      </c>
      <c r="BY240" s="13">
        <f t="shared" si="389"/>
        <v>0</v>
      </c>
      <c r="BZ240" s="13">
        <f t="shared" si="416"/>
        <v>0</v>
      </c>
      <c r="CA240" s="68">
        <f t="shared" si="370"/>
        <v>0</v>
      </c>
      <c r="CB240" s="268">
        <f t="shared" si="371"/>
        <v>0</v>
      </c>
      <c r="CC240" s="13">
        <f t="shared" si="372"/>
        <v>0</v>
      </c>
      <c r="CD240" s="13">
        <f t="shared" si="390"/>
        <v>0</v>
      </c>
      <c r="CE240" s="13">
        <f t="shared" si="390"/>
        <v>0</v>
      </c>
      <c r="CF240" s="13">
        <f t="shared" si="390"/>
        <v>0</v>
      </c>
      <c r="CG240" s="13">
        <f t="shared" si="390"/>
        <v>0</v>
      </c>
      <c r="CH240" s="13">
        <f t="shared" si="417"/>
        <v>0</v>
      </c>
      <c r="CI240" s="68">
        <f t="shared" si="373"/>
        <v>0</v>
      </c>
      <c r="CJ240" s="268">
        <f t="shared" si="374"/>
        <v>0</v>
      </c>
      <c r="CK240" s="13">
        <f t="shared" si="375"/>
        <v>5000</v>
      </c>
      <c r="CL240" s="13">
        <f t="shared" si="400"/>
        <v>0</v>
      </c>
      <c r="CM240" s="13">
        <f t="shared" si="400"/>
        <v>0</v>
      </c>
      <c r="CN240" s="13">
        <f t="shared" si="400"/>
        <v>0</v>
      </c>
      <c r="CO240" s="13">
        <f t="shared" si="400"/>
        <v>0</v>
      </c>
      <c r="CP240" s="13">
        <f t="shared" si="400"/>
        <v>0</v>
      </c>
      <c r="CQ240" s="13">
        <f t="shared" si="418"/>
        <v>0</v>
      </c>
      <c r="CR240" s="68">
        <f t="shared" si="376"/>
        <v>5000</v>
      </c>
      <c r="CS240" s="268">
        <f t="shared" si="377"/>
        <v>0</v>
      </c>
      <c r="CT240" s="68">
        <f t="shared" si="350"/>
        <v>0</v>
      </c>
      <c r="CU240" s="13">
        <f>SUMIFS(SALIDAS_BIT,FECHA_BIT,"&gt;="&amp;CU$2,FECHA_BIT,"&lt;="&amp;CU$3,CLAVE_BIT,$A240)+SUMIFS(SALIDAS_BOV1,FECHA_BOV1,"&gt;="&amp;CU$2,FECHA_BOV1,"&lt;="&amp;CU$3,CLAVE_BOV1,$A240)+SUMIFS(SALIDAS_BOV2,FECHA_BOV2,"&gt;="&amp;CU$2,FECHA_BOV2,"&lt;="&amp;CU$3,CLAVE_BOV2,$A240)+SUMIFS(SALIDAS_BOV3,FECHA_BOV3,"&gt;="&amp;CU$2,FECHA_BOV3,"&lt;="&amp;CU$3,CLAVE_BOV3,$A240)+SUMIFS(SALIDAS_TC,FECHA_TC,"&gt;="&amp;CU$2,FECHA_TC,"&lt;="&amp;CU$3,CLAVE_TC,$A240)+SUMIFS(SALIDAS_COMB,FECHA_COMB,"&gt;="&amp;CU$2,FECHA_COMB,"&lt;="&amp;CU$3,CLAVE_COMB,$A240)+SUMIFS(SALIDAS_DES,FECHA_DESGLOSEN,"&gt;="&amp;CU$2,FECHA_DESGLOSEN,"&lt;="&amp;CU$3,CLAVE_DESGLOSE,$A240)</f>
        <v>0</v>
      </c>
      <c r="CV240" s="13">
        <f>SUMIFS(SALIDAS_BIT,FECHA_BIT,"&gt;="&amp;CV$2,FECHA_BIT,"&lt;="&amp;CV$3,CLAVE_BIT,$A240)+SUMIFS(SALIDAS_BOV1,FECHA_BOV1,"&gt;="&amp;CV$2,FECHA_BOV1,"&lt;="&amp;CV$3,CLAVE_BOV1,$A240)+SUMIFS(SALIDAS_BOV2,FECHA_BOV2,"&gt;="&amp;CV$2,FECHA_BOV2,"&lt;="&amp;CV$3,CLAVE_BOV2,$A240)+SUMIFS(SALIDAS_BOV3,FECHA_BOV3,"&gt;="&amp;CV$2,FECHA_BOV3,"&lt;="&amp;CV$3,CLAVE_BOV3,$A240)+SUMIFS(SALIDAS_TC,FECHA_TC,"&gt;="&amp;CV$2,FECHA_TC,"&lt;="&amp;CV$3,CLAVE_TC,$A240)+SUMIFS(SALIDAS_COMB,FECHA_COMB,"&gt;="&amp;CV$2,FECHA_COMB,"&lt;="&amp;CV$3,CLAVE_COMB,$A240)+SUMIFS(SALIDAS_DES,FECHA_DESGLOSEN,"&gt;="&amp;CV$2,FECHA_DESGLOSEN,"&lt;="&amp;CV$3,CLAVE_DESGLOSE,$A240)</f>
        <v>0</v>
      </c>
      <c r="CW240" s="13">
        <f>SUMIFS(SALIDAS_BIT,FECHA_BIT,"&gt;="&amp;CW$2,FECHA_BIT,"&lt;="&amp;CW$3,CLAVE_BIT,$A240)+SUMIFS(SALIDAS_BOV1,FECHA_BOV1,"&gt;="&amp;CW$2,FECHA_BOV1,"&lt;="&amp;CW$3,CLAVE_BOV1,$A240)+SUMIFS(SALIDAS_BOV2,FECHA_BOV2,"&gt;="&amp;CW$2,FECHA_BOV2,"&lt;="&amp;CW$3,CLAVE_BOV2,$A240)+SUMIFS(SALIDAS_BOV3,FECHA_BOV3,"&gt;="&amp;CW$2,FECHA_BOV3,"&lt;="&amp;CW$3,CLAVE_BOV3,$A240)+SUMIFS(SALIDAS_TC,FECHA_TC,"&gt;="&amp;CW$2,FECHA_TC,"&lt;="&amp;CW$3,CLAVE_TC,$A240)+SUMIFS(SALIDAS_COMB,FECHA_COMB,"&gt;="&amp;CW$2,FECHA_COMB,"&lt;="&amp;CW$3,CLAVE_COMB,$A240)+SUMIFS(SALIDAS_DES,FECHA_DESGLOSEN,"&gt;="&amp;CW$2,FECHA_DESGLOSEN,"&lt;="&amp;CW$3,CLAVE_DESGLOSE,$A240)</f>
        <v>0</v>
      </c>
      <c r="CX240" s="13">
        <f>SUMIFS(SALIDAS_BIT,FECHA_BIT,"&gt;="&amp;CX$2,FECHA_BIT,"&lt;="&amp;CX$3,CLAVE_BIT,$A240)+SUMIFS(SALIDAS_BOV1,FECHA_BOV1,"&gt;="&amp;CX$2,FECHA_BOV1,"&lt;="&amp;CX$3,CLAVE_BOV1,$A240)+SUMIFS(SALIDAS_BOV2,FECHA_BOV2,"&gt;="&amp;CX$2,FECHA_BOV2,"&lt;="&amp;CX$3,CLAVE_BOV2,$A240)+SUMIFS(SALIDAS_BOV3,FECHA_BOV3,"&gt;="&amp;CX$2,FECHA_BOV3,"&lt;="&amp;CX$3,CLAVE_BOV3,$A240)+SUMIFS(SALIDAS_TC,FECHA_TC,"&gt;="&amp;CX$2,FECHA_TC,"&lt;="&amp;CX$3,CLAVE_TC,$A240)+SUMIFS(SALIDAS_COMB,FECHA_COMB,"&gt;="&amp;CX$2,FECHA_COMB,"&lt;="&amp;CX$3,CLAVE_COMB,$A240)+SUMIFS(SALIDAS_DES,FECHA_DESGLOSEN,"&gt;="&amp;CX$2,FECHA_DESGLOSEN,"&lt;="&amp;CX$3,CLAVE_DESGLOSE,$A240)</f>
        <v>0</v>
      </c>
      <c r="CY240" s="13">
        <f>SUMIFS(SALIDAS_BIT,FECHA_BIT,"&gt;="&amp;CY$2,FECHA_BIT,"&lt;="&amp;CY$3,CLAVE_BIT,$A240)+SUMIFS(SALIDAS_BOV1,FECHA_BOV1,"&gt;="&amp;CY$2,FECHA_BOV1,"&lt;="&amp;CY$3,CLAVE_BOV1,$A240)+SUMIFS(SALIDAS_BOV2,FECHA_BOV2,"&gt;="&amp;CY$2,FECHA_BOV2,"&lt;="&amp;CY$3,CLAVE_BOV2,$A240)+SUMIFS(SALIDAS_BOV3,FECHA_BOV3,"&gt;="&amp;CY$2,FECHA_BOV3,"&lt;="&amp;CY$3,CLAVE_BOV3,$A240)+SUMIFS(SALIDAS_TC,FECHA_TC,"&gt;="&amp;CY$2,FECHA_TC,"&lt;="&amp;CY$3,CLAVE_TC,$A240)+SUMIFS(SALIDAS_COMB,FECHA_COMB,"&gt;="&amp;CY$2,FECHA_COMB,"&lt;="&amp;CY$3,CLAVE_COMB,$A240)+SUMIFS(SALIDAS_DES,FECHA_DESGLOSEN,"&gt;="&amp;CY$2,FECHA_DESGLOSEN,"&lt;="&amp;CY$3,CLAVE_DESGLOSE,$A240)</f>
        <v>0</v>
      </c>
      <c r="CZ240" s="68">
        <f t="shared" si="378"/>
        <v>0</v>
      </c>
      <c r="DB240" s="17">
        <f>F240+N240+W240+AE240+AM240+AV240+BD240+BL240+BU240+CC240+CK240</f>
        <v>5000</v>
      </c>
      <c r="DC240" s="17">
        <f>K240+T240+AB240+AJ240+AS240+BA240+BI240+BR240+BZ240+CH240+CQ240</f>
        <v>0</v>
      </c>
    </row>
    <row r="241" spans="1:107" hidden="1">
      <c r="A241" s="12" t="str">
        <f t="shared" si="351"/>
        <v>FINANZASMTTO EQ DE TRANSPORTETESORERIA</v>
      </c>
      <c r="B241" s="483">
        <v>243</v>
      </c>
      <c r="C241" t="s">
        <v>23</v>
      </c>
      <c r="D241" t="s">
        <v>144</v>
      </c>
      <c r="E241" t="s">
        <v>38</v>
      </c>
      <c r="F241" s="259">
        <f t="shared" si="344"/>
        <v>0</v>
      </c>
      <c r="G241" s="13">
        <f t="shared" si="410"/>
        <v>0</v>
      </c>
      <c r="H241" s="13">
        <f t="shared" si="410"/>
        <v>0</v>
      </c>
      <c r="I241" s="13">
        <f t="shared" si="410"/>
        <v>0</v>
      </c>
      <c r="J241" s="13">
        <f t="shared" si="410"/>
        <v>8032.5</v>
      </c>
      <c r="K241" s="13">
        <f t="shared" si="410"/>
        <v>8032.5</v>
      </c>
      <c r="L241" s="68">
        <f t="shared" si="352"/>
        <v>-8032.5</v>
      </c>
      <c r="M241" s="268">
        <f t="shared" si="353"/>
        <v>0</v>
      </c>
      <c r="N241" s="13">
        <f t="shared" si="345"/>
        <v>10416</v>
      </c>
      <c r="O241" s="13">
        <f t="shared" si="411"/>
        <v>0</v>
      </c>
      <c r="P241" s="13">
        <f t="shared" si="411"/>
        <v>4690</v>
      </c>
      <c r="Q241" s="13">
        <f t="shared" si="411"/>
        <v>0</v>
      </c>
      <c r="R241" s="13">
        <f t="shared" si="411"/>
        <v>0</v>
      </c>
      <c r="S241" s="13">
        <f t="shared" si="411"/>
        <v>0</v>
      </c>
      <c r="T241" s="13">
        <f t="shared" si="411"/>
        <v>4690</v>
      </c>
      <c r="U241" s="68">
        <f t="shared" si="354"/>
        <v>5726</v>
      </c>
      <c r="V241" s="268">
        <f t="shared" si="355"/>
        <v>0.45026881720430106</v>
      </c>
      <c r="W241" s="13">
        <f t="shared" si="346"/>
        <v>0</v>
      </c>
      <c r="X241" s="13">
        <f t="shared" si="412"/>
        <v>0</v>
      </c>
      <c r="Y241" s="13">
        <f t="shared" si="412"/>
        <v>2500</v>
      </c>
      <c r="Z241" s="13">
        <f t="shared" si="412"/>
        <v>0</v>
      </c>
      <c r="AA241" s="13">
        <f t="shared" si="412"/>
        <v>0</v>
      </c>
      <c r="AB241" s="13">
        <f t="shared" si="412"/>
        <v>2500</v>
      </c>
      <c r="AC241" s="68">
        <f t="shared" si="356"/>
        <v>-2500</v>
      </c>
      <c r="AD241" s="268">
        <f t="shared" si="357"/>
        <v>0</v>
      </c>
      <c r="AE241" s="13">
        <f t="shared" si="347"/>
        <v>2845</v>
      </c>
      <c r="AF241" s="13">
        <f t="shared" si="413"/>
        <v>0</v>
      </c>
      <c r="AG241" s="13">
        <f t="shared" si="413"/>
        <v>679</v>
      </c>
      <c r="AH241" s="13">
        <f t="shared" si="413"/>
        <v>3297.75</v>
      </c>
      <c r="AI241" s="13">
        <f t="shared" si="413"/>
        <v>2000</v>
      </c>
      <c r="AJ241" s="13">
        <f t="shared" si="413"/>
        <v>5976.75</v>
      </c>
      <c r="AK241" s="68">
        <f t="shared" si="358"/>
        <v>-3131.75</v>
      </c>
      <c r="AL241" s="268">
        <f t="shared" si="359"/>
        <v>2.1007908611599295</v>
      </c>
      <c r="AM241" s="13">
        <f t="shared" si="348"/>
        <v>3480</v>
      </c>
      <c r="AN241" s="13">
        <f t="shared" si="414"/>
        <v>0</v>
      </c>
      <c r="AO241" s="13">
        <f t="shared" si="414"/>
        <v>0</v>
      </c>
      <c r="AP241" s="13">
        <f t="shared" si="414"/>
        <v>4721</v>
      </c>
      <c r="AQ241" s="13">
        <f t="shared" si="414"/>
        <v>0</v>
      </c>
      <c r="AR241" s="13">
        <f t="shared" si="414"/>
        <v>357</v>
      </c>
      <c r="AS241" s="13">
        <f t="shared" si="414"/>
        <v>5078</v>
      </c>
      <c r="AT241" s="68">
        <f>AM241-AS241</f>
        <v>-1598</v>
      </c>
      <c r="AU241" s="268">
        <f t="shared" si="360"/>
        <v>1.4591954022988505</v>
      </c>
      <c r="AV241" s="13">
        <f t="shared" si="349"/>
        <v>0</v>
      </c>
      <c r="AW241" s="13">
        <f t="shared" si="323"/>
        <v>0</v>
      </c>
      <c r="AX241" s="13">
        <f t="shared" si="323"/>
        <v>0</v>
      </c>
      <c r="AY241" s="13">
        <f t="shared" si="323"/>
        <v>0</v>
      </c>
      <c r="AZ241" s="13">
        <f t="shared" si="323"/>
        <v>6770</v>
      </c>
      <c r="BA241" s="13">
        <f t="shared" si="379"/>
        <v>6770</v>
      </c>
      <c r="BB241" s="68">
        <f t="shared" si="361"/>
        <v>-6770</v>
      </c>
      <c r="BC241" s="268">
        <f t="shared" si="362"/>
        <v>0</v>
      </c>
      <c r="BD241" s="13">
        <f t="shared" si="363"/>
        <v>6030</v>
      </c>
      <c r="BE241" s="13">
        <f>SUMIFS(SALIDAS_BIT,FECHA_BIT,"&gt;="&amp;BE$2,FECHA_BIT,"&lt;="&amp;BE$3,CLAVE_BIT,$A241)+SUMIFS(SALIDAS_BOV1,FECHA_BOV1,"&gt;="&amp;BE$2,FECHA_BOV1,"&lt;="&amp;BE$3,CLAVE_BOV1,$A241)+SUMIFS(SALIDAS_BOV2,FECHA_BOV2,"&gt;="&amp;BE$2,FECHA_BOV2,"&lt;="&amp;BE$3,CLAVE_BOV2,$A241)+SUMIFS(SALIDAS_BOV3,FECHA_BOV3,"&gt;="&amp;BE$2,FECHA_BOV3,"&lt;="&amp;BE$3,CLAVE_BOV3,$A241)+SUMIFS(SALIDAS_TC,FECHA_TC,"&gt;="&amp;BE$2,FECHA_TC,"&lt;="&amp;BE$3,CLAVE_TC,$A241)+SUMIFS(SALIDAS_COMB,FECHA_COMB,"&gt;="&amp;BE$2,FECHA_COMB,"&lt;="&amp;BE$3,CLAVE_COMB,$A241)+SUMIFS(SALIDAS_DES,FECHA_DESGLOSEN,"&gt;="&amp;BE$2,FECHA_DESGLOSEN,"&lt;="&amp;BE$3,CLAVE_DESGLOSE,$A241)</f>
        <v>0</v>
      </c>
      <c r="BF241" s="13">
        <f>SUMIFS(SALIDAS_BIT,FECHA_BIT,"&gt;="&amp;BF$2,FECHA_BIT,"&lt;="&amp;BF$3,CLAVE_BIT,$A241)+SUMIFS(SALIDAS_BOV1,FECHA_BOV1,"&gt;="&amp;BF$2,FECHA_BOV1,"&lt;="&amp;BF$3,CLAVE_BOV1,$A241)+SUMIFS(SALIDAS_BOV2,FECHA_BOV2,"&gt;="&amp;BF$2,FECHA_BOV2,"&lt;="&amp;BF$3,CLAVE_BOV2,$A241)+SUMIFS(SALIDAS_BOV3,FECHA_BOV3,"&gt;="&amp;BF$2,FECHA_BOV3,"&lt;="&amp;BF$3,CLAVE_BOV3,$A241)+SUMIFS(SALIDAS_TC,FECHA_TC,"&gt;="&amp;BF$2,FECHA_TC,"&lt;="&amp;BF$3,CLAVE_TC,$A241)+SUMIFS(SALIDAS_COMB,FECHA_COMB,"&gt;="&amp;BF$2,FECHA_COMB,"&lt;="&amp;BF$3,CLAVE_COMB,$A241)+SUMIFS(SALIDAS_DES,FECHA_DESGLOSEN,"&gt;="&amp;BF$2,FECHA_DESGLOSEN,"&lt;="&amp;BF$3,CLAVE_DESGLOSE,$A241)</f>
        <v>0</v>
      </c>
      <c r="BG241" s="13">
        <f>SUMIFS(SALIDAS_BIT,FECHA_BIT,"&gt;="&amp;BG$2,FECHA_BIT,"&lt;="&amp;BG$3,CLAVE_BIT,$A241)+SUMIFS(SALIDAS_BOV1,FECHA_BOV1,"&gt;="&amp;BG$2,FECHA_BOV1,"&lt;="&amp;BG$3,CLAVE_BOV1,$A241)+SUMIFS(SALIDAS_BOV2,FECHA_BOV2,"&gt;="&amp;BG$2,FECHA_BOV2,"&lt;="&amp;BG$3,CLAVE_BOV2,$A241)+SUMIFS(SALIDAS_BOV3,FECHA_BOV3,"&gt;="&amp;BG$2,FECHA_BOV3,"&lt;="&amp;BG$3,CLAVE_BOV3,$A241)+SUMIFS(SALIDAS_TC,FECHA_TC,"&gt;="&amp;BG$2,FECHA_TC,"&lt;="&amp;BG$3,CLAVE_TC,$A241)+SUMIFS(SALIDAS_COMB,FECHA_COMB,"&gt;="&amp;BG$2,FECHA_COMB,"&lt;="&amp;BG$3,CLAVE_COMB,$A241)+SUMIFS(SALIDAS_DES,FECHA_DESGLOSEN,"&gt;="&amp;BG$2,FECHA_DESGLOSEN,"&lt;="&amp;BG$3,CLAVE_DESGLOSE,$A241)</f>
        <v>1200</v>
      </c>
      <c r="BH241" s="13">
        <f>SUMIFS(SALIDAS_BIT,FECHA_BIT,"&gt;="&amp;BH$2,FECHA_BIT,"&lt;="&amp;BH$3,CLAVE_BIT,$A241)+SUMIFS(SALIDAS_BOV1,FECHA_BOV1,"&gt;="&amp;BH$2,FECHA_BOV1,"&lt;="&amp;BH$3,CLAVE_BOV1,$A241)+SUMIFS(SALIDAS_BOV2,FECHA_BOV2,"&gt;="&amp;BH$2,FECHA_BOV2,"&lt;="&amp;BH$3,CLAVE_BOV2,$A241)+SUMIFS(SALIDAS_BOV3,FECHA_BOV3,"&gt;="&amp;BH$2,FECHA_BOV3,"&lt;="&amp;BH$3,CLAVE_BOV3,$A241)+SUMIFS(SALIDAS_TC,FECHA_TC,"&gt;="&amp;BH$2,FECHA_TC,"&lt;="&amp;BH$3,CLAVE_TC,$A241)+SUMIFS(SALIDAS_COMB,FECHA_COMB,"&gt;="&amp;BH$2,FECHA_COMB,"&lt;="&amp;BH$3,CLAVE_COMB,$A241)+SUMIFS(SALIDAS_DES,FECHA_DESGLOSEN,"&gt;="&amp;BH$2,FECHA_DESGLOSEN,"&lt;="&amp;BH$3,CLAVE_DESGLOSE,$A241)</f>
        <v>9460</v>
      </c>
      <c r="BI241" s="13">
        <f t="shared" si="419"/>
        <v>10660</v>
      </c>
      <c r="BJ241" s="68">
        <f t="shared" si="364"/>
        <v>-4630</v>
      </c>
      <c r="BK241" s="268">
        <f t="shared" si="365"/>
        <v>1.7678275290215588</v>
      </c>
      <c r="BL241" s="13">
        <f t="shared" si="366"/>
        <v>0</v>
      </c>
      <c r="BM241" s="13">
        <f>SUMIFS(SALIDAS_BIT,FECHA_BIT,"&gt;="&amp;BM$2,FECHA_BIT,"&lt;="&amp;BM$3,CLAVE_BIT,$A241)+SUMIFS(SALIDAS_BOV1,FECHA_BOV1,"&gt;="&amp;BM$2,FECHA_BOV1,"&lt;="&amp;BM$3,CLAVE_BOV1,$A241)+SUMIFS(SALIDAS_BOV2,FECHA_BOV2,"&gt;="&amp;BM$2,FECHA_BOV2,"&lt;="&amp;BM$3,CLAVE_BOV2,$A241)+SUMIFS(SALIDAS_BOV3,FECHA_BOV3,"&gt;="&amp;BM$2,FECHA_BOV3,"&lt;="&amp;BM$3,CLAVE_BOV3,$A241)+SUMIFS(SALIDAS_TC,FECHA_TC,"&gt;="&amp;BM$2,FECHA_TC,"&lt;="&amp;BM$3,CLAVE_TC,$A241)+SUMIFS(SALIDAS_COMB,FECHA_COMB,"&gt;="&amp;BM$2,FECHA_COMB,"&lt;="&amp;BM$3,CLAVE_COMB,$A241)+SUMIFS(SALIDAS_DES,FECHA_DESGLOSEN,"&gt;="&amp;BM$2,FECHA_DESGLOSEN,"&lt;="&amp;BM$3,CLAVE_DESGLOSE,$A241)</f>
        <v>0</v>
      </c>
      <c r="BN241" s="13">
        <f>SUMIFS(SALIDAS_BIT,FECHA_BIT,"&gt;="&amp;BN$2,FECHA_BIT,"&lt;="&amp;BN$3,CLAVE_BIT,$A241)+SUMIFS(SALIDAS_BOV1,FECHA_BOV1,"&gt;="&amp;BN$2,FECHA_BOV1,"&lt;="&amp;BN$3,CLAVE_BOV1,$A241)+SUMIFS(SALIDAS_BOV2,FECHA_BOV2,"&gt;="&amp;BN$2,FECHA_BOV2,"&lt;="&amp;BN$3,CLAVE_BOV2,$A241)+SUMIFS(SALIDAS_BOV3,FECHA_BOV3,"&gt;="&amp;BN$2,FECHA_BOV3,"&lt;="&amp;BN$3,CLAVE_BOV3,$A241)+SUMIFS(SALIDAS_TC,FECHA_TC,"&gt;="&amp;BN$2,FECHA_TC,"&lt;="&amp;BN$3,CLAVE_TC,$A241)+SUMIFS(SALIDAS_COMB,FECHA_COMB,"&gt;="&amp;BN$2,FECHA_COMB,"&lt;="&amp;BN$3,CLAVE_COMB,$A241)+SUMIFS(SALIDAS_DES,FECHA_DESGLOSEN,"&gt;="&amp;BN$2,FECHA_DESGLOSEN,"&lt;="&amp;BN$3,CLAVE_DESGLOSE,$A241)</f>
        <v>0</v>
      </c>
      <c r="BO241" s="13">
        <f>SUMIFS(SALIDAS_BIT,FECHA_BIT,"&gt;="&amp;BO$2,FECHA_BIT,"&lt;="&amp;BO$3,CLAVE_BIT,$A241)+SUMIFS(SALIDAS_BOV1,FECHA_BOV1,"&gt;="&amp;BO$2,FECHA_BOV1,"&lt;="&amp;BO$3,CLAVE_BOV1,$A241)+SUMIFS(SALIDAS_BOV2,FECHA_BOV2,"&gt;="&amp;BO$2,FECHA_BOV2,"&lt;="&amp;BO$3,CLAVE_BOV2,$A241)+SUMIFS(SALIDAS_BOV3,FECHA_BOV3,"&gt;="&amp;BO$2,FECHA_BOV3,"&lt;="&amp;BO$3,CLAVE_BOV3,$A241)+SUMIFS(SALIDAS_TC,FECHA_TC,"&gt;="&amp;BO$2,FECHA_TC,"&lt;="&amp;BO$3,CLAVE_TC,$A241)+SUMIFS(SALIDAS_COMB,FECHA_COMB,"&gt;="&amp;BO$2,FECHA_COMB,"&lt;="&amp;BO$3,CLAVE_COMB,$A241)+SUMIFS(SALIDAS_DES,FECHA_DESGLOSEN,"&gt;="&amp;BO$2,FECHA_DESGLOSEN,"&lt;="&amp;BO$3,CLAVE_DESGLOSE,$A241)</f>
        <v>0</v>
      </c>
      <c r="BP241" s="13">
        <f>SUMIFS(SALIDAS_BIT,FECHA_BIT,"&gt;="&amp;BP$2,FECHA_BIT,"&lt;="&amp;BP$3,CLAVE_BIT,$A241)+SUMIFS(SALIDAS_BOV1,FECHA_BOV1,"&gt;="&amp;BP$2,FECHA_BOV1,"&lt;="&amp;BP$3,CLAVE_BOV1,$A241)+SUMIFS(SALIDAS_BOV2,FECHA_BOV2,"&gt;="&amp;BP$2,FECHA_BOV2,"&lt;="&amp;BP$3,CLAVE_BOV2,$A241)+SUMIFS(SALIDAS_BOV3,FECHA_BOV3,"&gt;="&amp;BP$2,FECHA_BOV3,"&lt;="&amp;BP$3,CLAVE_BOV3,$A241)+SUMIFS(SALIDAS_TC,FECHA_TC,"&gt;="&amp;BP$2,FECHA_TC,"&lt;="&amp;BP$3,CLAVE_TC,$A241)+SUMIFS(SALIDAS_COMB,FECHA_COMB,"&gt;="&amp;BP$2,FECHA_COMB,"&lt;="&amp;BP$3,CLAVE_COMB,$A241)+SUMIFS(SALIDAS_DES,FECHA_DESGLOSEN,"&gt;="&amp;BP$2,FECHA_DESGLOSEN,"&lt;="&amp;BP$3,CLAVE_DESGLOSE,$A241)</f>
        <v>0</v>
      </c>
      <c r="BQ241" s="13">
        <f>SUMIFS(SALIDAS_BIT,FECHA_BIT,"&gt;="&amp;BQ$2,FECHA_BIT,"&lt;="&amp;BQ$3,CLAVE_BIT,$A241)+SUMIFS(SALIDAS_BOV1,FECHA_BOV1,"&gt;="&amp;BQ$2,FECHA_BOV1,"&lt;="&amp;BQ$3,CLAVE_BOV1,$A241)+SUMIFS(SALIDAS_BOV2,FECHA_BOV2,"&gt;="&amp;BQ$2,FECHA_BOV2,"&lt;="&amp;BQ$3,CLAVE_BOV2,$A241)+SUMIFS(SALIDAS_BOV3,FECHA_BOV3,"&gt;="&amp;BQ$2,FECHA_BOV3,"&lt;="&amp;BQ$3,CLAVE_BOV3,$A241)+SUMIFS(SALIDAS_TC,FECHA_TC,"&gt;="&amp;BQ$2,FECHA_TC,"&lt;="&amp;BQ$3,CLAVE_TC,$A241)+SUMIFS(SALIDAS_COMB,FECHA_COMB,"&gt;="&amp;BQ$2,FECHA_COMB,"&lt;="&amp;BQ$3,CLAVE_COMB,$A241)+SUMIFS(SALIDAS_DES,FECHA_DESGLOSEN,"&gt;="&amp;BQ$2,FECHA_DESGLOSEN,"&lt;="&amp;BQ$3,CLAVE_DESGLOSE,$A241)</f>
        <v>0</v>
      </c>
      <c r="BR241" s="13">
        <f t="shared" si="415"/>
        <v>0</v>
      </c>
      <c r="BS241" s="68">
        <f t="shared" si="367"/>
        <v>0</v>
      </c>
      <c r="BT241" s="268">
        <f t="shared" si="368"/>
        <v>0</v>
      </c>
      <c r="BU241" s="13">
        <f t="shared" si="369"/>
        <v>0</v>
      </c>
      <c r="BV241" s="13">
        <f t="shared" si="389"/>
        <v>0</v>
      </c>
      <c r="BW241" s="13">
        <f t="shared" si="389"/>
        <v>0</v>
      </c>
      <c r="BX241" s="13">
        <f t="shared" si="389"/>
        <v>0</v>
      </c>
      <c r="BY241" s="13">
        <f t="shared" si="389"/>
        <v>0</v>
      </c>
      <c r="BZ241" s="13">
        <f t="shared" si="416"/>
        <v>0</v>
      </c>
      <c r="CA241" s="68">
        <f t="shared" si="370"/>
        <v>0</v>
      </c>
      <c r="CB241" s="268">
        <f t="shared" si="371"/>
        <v>0</v>
      </c>
      <c r="CC241" s="13">
        <f t="shared" si="372"/>
        <v>0</v>
      </c>
      <c r="CD241" s="13">
        <f t="shared" si="390"/>
        <v>0</v>
      </c>
      <c r="CE241" s="13">
        <f t="shared" si="390"/>
        <v>0</v>
      </c>
      <c r="CF241" s="13">
        <f t="shared" si="390"/>
        <v>0</v>
      </c>
      <c r="CG241" s="13">
        <f t="shared" si="390"/>
        <v>0</v>
      </c>
      <c r="CH241" s="13">
        <f t="shared" si="417"/>
        <v>0</v>
      </c>
      <c r="CI241" s="68">
        <f t="shared" si="373"/>
        <v>0</v>
      </c>
      <c r="CJ241" s="268">
        <f t="shared" si="374"/>
        <v>0</v>
      </c>
      <c r="CK241" s="13">
        <f t="shared" si="375"/>
        <v>10000</v>
      </c>
      <c r="CL241" s="13">
        <f t="shared" si="400"/>
        <v>0</v>
      </c>
      <c r="CM241" s="13">
        <f t="shared" si="400"/>
        <v>0</v>
      </c>
      <c r="CN241" s="13">
        <f t="shared" si="400"/>
        <v>0</v>
      </c>
      <c r="CO241" s="13">
        <f t="shared" si="400"/>
        <v>0</v>
      </c>
      <c r="CP241" s="13">
        <f t="shared" si="400"/>
        <v>0</v>
      </c>
      <c r="CQ241" s="13">
        <f t="shared" si="418"/>
        <v>0</v>
      </c>
      <c r="CR241" s="68">
        <f t="shared" si="376"/>
        <v>10000</v>
      </c>
      <c r="CS241" s="268">
        <f t="shared" si="377"/>
        <v>0</v>
      </c>
      <c r="CT241" s="68">
        <f t="shared" si="350"/>
        <v>0</v>
      </c>
      <c r="CU241" s="13">
        <f>SUMIFS(SALIDAS_BIT,FECHA_BIT,"&gt;="&amp;CU$2,FECHA_BIT,"&lt;="&amp;CU$3,CLAVE_BIT,$A241)+SUMIFS(SALIDAS_BOV1,FECHA_BOV1,"&gt;="&amp;CU$2,FECHA_BOV1,"&lt;="&amp;CU$3,CLAVE_BOV1,$A241)+SUMIFS(SALIDAS_BOV2,FECHA_BOV2,"&gt;="&amp;CU$2,FECHA_BOV2,"&lt;="&amp;CU$3,CLAVE_BOV2,$A241)+SUMIFS(SALIDAS_BOV3,FECHA_BOV3,"&gt;="&amp;CU$2,FECHA_BOV3,"&lt;="&amp;CU$3,CLAVE_BOV3,$A241)+SUMIFS(SALIDAS_TC,FECHA_TC,"&gt;="&amp;CU$2,FECHA_TC,"&lt;="&amp;CU$3,CLAVE_TC,$A241)+SUMIFS(SALIDAS_COMB,FECHA_COMB,"&gt;="&amp;CU$2,FECHA_COMB,"&lt;="&amp;CU$3,CLAVE_COMB,$A241)+SUMIFS(SALIDAS_DES,FECHA_DESGLOSEN,"&gt;="&amp;CU$2,FECHA_DESGLOSEN,"&lt;="&amp;CU$3,CLAVE_DESGLOSE,$A241)</f>
        <v>0</v>
      </c>
      <c r="CV241" s="13">
        <f>SUMIFS(SALIDAS_BIT,FECHA_BIT,"&gt;="&amp;CV$2,FECHA_BIT,"&lt;="&amp;CV$3,CLAVE_BIT,$A241)+SUMIFS(SALIDAS_BOV1,FECHA_BOV1,"&gt;="&amp;CV$2,FECHA_BOV1,"&lt;="&amp;CV$3,CLAVE_BOV1,$A241)+SUMIFS(SALIDAS_BOV2,FECHA_BOV2,"&gt;="&amp;CV$2,FECHA_BOV2,"&lt;="&amp;CV$3,CLAVE_BOV2,$A241)+SUMIFS(SALIDAS_BOV3,FECHA_BOV3,"&gt;="&amp;CV$2,FECHA_BOV3,"&lt;="&amp;CV$3,CLAVE_BOV3,$A241)+SUMIFS(SALIDAS_TC,FECHA_TC,"&gt;="&amp;CV$2,FECHA_TC,"&lt;="&amp;CV$3,CLAVE_TC,$A241)+SUMIFS(SALIDAS_COMB,FECHA_COMB,"&gt;="&amp;CV$2,FECHA_COMB,"&lt;="&amp;CV$3,CLAVE_COMB,$A241)+SUMIFS(SALIDAS_DES,FECHA_DESGLOSEN,"&gt;="&amp;CV$2,FECHA_DESGLOSEN,"&lt;="&amp;CV$3,CLAVE_DESGLOSE,$A241)</f>
        <v>0</v>
      </c>
      <c r="CW241" s="13">
        <f>SUMIFS(SALIDAS_BIT,FECHA_BIT,"&gt;="&amp;CW$2,FECHA_BIT,"&lt;="&amp;CW$3,CLAVE_BIT,$A241)+SUMIFS(SALIDAS_BOV1,FECHA_BOV1,"&gt;="&amp;CW$2,FECHA_BOV1,"&lt;="&amp;CW$3,CLAVE_BOV1,$A241)+SUMIFS(SALIDAS_BOV2,FECHA_BOV2,"&gt;="&amp;CW$2,FECHA_BOV2,"&lt;="&amp;CW$3,CLAVE_BOV2,$A241)+SUMIFS(SALIDAS_BOV3,FECHA_BOV3,"&gt;="&amp;CW$2,FECHA_BOV3,"&lt;="&amp;CW$3,CLAVE_BOV3,$A241)+SUMIFS(SALIDAS_TC,FECHA_TC,"&gt;="&amp;CW$2,FECHA_TC,"&lt;="&amp;CW$3,CLAVE_TC,$A241)+SUMIFS(SALIDAS_COMB,FECHA_COMB,"&gt;="&amp;CW$2,FECHA_COMB,"&lt;="&amp;CW$3,CLAVE_COMB,$A241)+SUMIFS(SALIDAS_DES,FECHA_DESGLOSEN,"&gt;="&amp;CW$2,FECHA_DESGLOSEN,"&lt;="&amp;CW$3,CLAVE_DESGLOSE,$A241)</f>
        <v>0</v>
      </c>
      <c r="CX241" s="13">
        <f>SUMIFS(SALIDAS_BIT,FECHA_BIT,"&gt;="&amp;CX$2,FECHA_BIT,"&lt;="&amp;CX$3,CLAVE_BIT,$A241)+SUMIFS(SALIDAS_BOV1,FECHA_BOV1,"&gt;="&amp;CX$2,FECHA_BOV1,"&lt;="&amp;CX$3,CLAVE_BOV1,$A241)+SUMIFS(SALIDAS_BOV2,FECHA_BOV2,"&gt;="&amp;CX$2,FECHA_BOV2,"&lt;="&amp;CX$3,CLAVE_BOV2,$A241)+SUMIFS(SALIDAS_BOV3,FECHA_BOV3,"&gt;="&amp;CX$2,FECHA_BOV3,"&lt;="&amp;CX$3,CLAVE_BOV3,$A241)+SUMIFS(SALIDAS_TC,FECHA_TC,"&gt;="&amp;CX$2,FECHA_TC,"&lt;="&amp;CX$3,CLAVE_TC,$A241)+SUMIFS(SALIDAS_COMB,FECHA_COMB,"&gt;="&amp;CX$2,FECHA_COMB,"&lt;="&amp;CX$3,CLAVE_COMB,$A241)+SUMIFS(SALIDAS_DES,FECHA_DESGLOSEN,"&gt;="&amp;CX$2,FECHA_DESGLOSEN,"&lt;="&amp;CX$3,CLAVE_DESGLOSE,$A241)</f>
        <v>0</v>
      </c>
      <c r="CY241" s="13">
        <f>SUMIFS(SALIDAS_BIT,FECHA_BIT,"&gt;="&amp;CY$2,FECHA_BIT,"&lt;="&amp;CY$3,CLAVE_BIT,$A241)+SUMIFS(SALIDAS_BOV1,FECHA_BOV1,"&gt;="&amp;CY$2,FECHA_BOV1,"&lt;="&amp;CY$3,CLAVE_BOV1,$A241)+SUMIFS(SALIDAS_BOV2,FECHA_BOV2,"&gt;="&amp;CY$2,FECHA_BOV2,"&lt;="&amp;CY$3,CLAVE_BOV2,$A241)+SUMIFS(SALIDAS_BOV3,FECHA_BOV3,"&gt;="&amp;CY$2,FECHA_BOV3,"&lt;="&amp;CY$3,CLAVE_BOV3,$A241)+SUMIFS(SALIDAS_TC,FECHA_TC,"&gt;="&amp;CY$2,FECHA_TC,"&lt;="&amp;CY$3,CLAVE_TC,$A241)+SUMIFS(SALIDAS_COMB,FECHA_COMB,"&gt;="&amp;CY$2,FECHA_COMB,"&lt;="&amp;CY$3,CLAVE_COMB,$A241)+SUMIFS(SALIDAS_DES,FECHA_DESGLOSEN,"&gt;="&amp;CY$2,FECHA_DESGLOSEN,"&lt;="&amp;CY$3,CLAVE_DESGLOSE,$A241)</f>
        <v>0</v>
      </c>
      <c r="CZ241" s="68">
        <f t="shared" si="378"/>
        <v>0</v>
      </c>
      <c r="DB241" s="17">
        <f>F241+N241+W241+AE241+AM241+AV241+BD241+BL241+BU241+CC241+CK241</f>
        <v>32771</v>
      </c>
      <c r="DC241" s="17">
        <f>K241+T241+AB241+AJ241+AS241+BA241+BI241+BR241+BZ241+CH241+CQ241</f>
        <v>43707.25</v>
      </c>
    </row>
    <row r="242" spans="1:107" ht="14.25" hidden="1" customHeight="1">
      <c r="A242" s="12" t="str">
        <f t="shared" si="351"/>
        <v>FINANZASMTTO EQ DE TRANSPORTEFINANZAS</v>
      </c>
      <c r="B242" s="483">
        <v>244</v>
      </c>
      <c r="C242" t="s">
        <v>23</v>
      </c>
      <c r="D242" t="s">
        <v>144</v>
      </c>
      <c r="E242" t="s">
        <v>23</v>
      </c>
      <c r="F242" s="259">
        <f t="shared" si="344"/>
        <v>0</v>
      </c>
      <c r="G242" s="13">
        <f t="shared" si="410"/>
        <v>0</v>
      </c>
      <c r="H242" s="13">
        <f t="shared" si="410"/>
        <v>0</v>
      </c>
      <c r="I242" s="13">
        <f t="shared" si="410"/>
        <v>0</v>
      </c>
      <c r="J242" s="13">
        <f t="shared" si="410"/>
        <v>0</v>
      </c>
      <c r="K242" s="13">
        <f t="shared" si="410"/>
        <v>0</v>
      </c>
      <c r="L242" s="68">
        <f t="shared" si="352"/>
        <v>0</v>
      </c>
      <c r="M242" s="268">
        <f t="shared" si="353"/>
        <v>0</v>
      </c>
      <c r="N242" s="13">
        <f t="shared" si="345"/>
        <v>6000</v>
      </c>
      <c r="O242" s="13">
        <f t="shared" si="411"/>
        <v>0</v>
      </c>
      <c r="P242" s="13">
        <f t="shared" si="411"/>
        <v>0</v>
      </c>
      <c r="Q242" s="13">
        <f t="shared" si="411"/>
        <v>0</v>
      </c>
      <c r="R242" s="13">
        <f t="shared" si="411"/>
        <v>0</v>
      </c>
      <c r="S242" s="13">
        <f t="shared" si="411"/>
        <v>0</v>
      </c>
      <c r="T242" s="13">
        <f t="shared" si="411"/>
        <v>0</v>
      </c>
      <c r="U242" s="68">
        <f t="shared" si="354"/>
        <v>6000</v>
      </c>
      <c r="V242" s="268">
        <f t="shared" si="355"/>
        <v>0</v>
      </c>
      <c r="W242" s="13">
        <f t="shared" si="346"/>
        <v>5000</v>
      </c>
      <c r="X242" s="13">
        <f t="shared" si="412"/>
        <v>0</v>
      </c>
      <c r="Y242" s="13">
        <f t="shared" si="412"/>
        <v>0</v>
      </c>
      <c r="Z242" s="13">
        <f t="shared" si="412"/>
        <v>0</v>
      </c>
      <c r="AA242" s="13">
        <f t="shared" si="412"/>
        <v>650</v>
      </c>
      <c r="AB242" s="13">
        <f t="shared" si="412"/>
        <v>650</v>
      </c>
      <c r="AC242" s="68">
        <f t="shared" si="356"/>
        <v>4350</v>
      </c>
      <c r="AD242" s="268">
        <f t="shared" si="357"/>
        <v>0.13</v>
      </c>
      <c r="AE242" s="13">
        <f t="shared" si="347"/>
        <v>6000</v>
      </c>
      <c r="AF242" s="13">
        <f t="shared" si="413"/>
        <v>0</v>
      </c>
      <c r="AG242" s="13">
        <f t="shared" si="413"/>
        <v>0</v>
      </c>
      <c r="AH242" s="13">
        <f t="shared" si="413"/>
        <v>0</v>
      </c>
      <c r="AI242" s="13">
        <f t="shared" si="413"/>
        <v>0</v>
      </c>
      <c r="AJ242" s="13">
        <f t="shared" si="413"/>
        <v>0</v>
      </c>
      <c r="AK242" s="68">
        <f t="shared" si="358"/>
        <v>6000</v>
      </c>
      <c r="AL242" s="268">
        <f t="shared" si="359"/>
        <v>0</v>
      </c>
      <c r="AM242" s="13">
        <f t="shared" si="348"/>
        <v>10000</v>
      </c>
      <c r="AN242" s="13">
        <f t="shared" si="414"/>
        <v>0</v>
      </c>
      <c r="AO242" s="13">
        <f t="shared" si="414"/>
        <v>0</v>
      </c>
      <c r="AP242" s="13">
        <f t="shared" si="414"/>
        <v>0</v>
      </c>
      <c r="AQ242" s="13">
        <f t="shared" si="414"/>
        <v>0</v>
      </c>
      <c r="AR242" s="13">
        <f t="shared" si="414"/>
        <v>0</v>
      </c>
      <c r="AS242" s="13">
        <f t="shared" si="414"/>
        <v>0</v>
      </c>
      <c r="AT242" s="68">
        <f>AM242-AS242</f>
        <v>10000</v>
      </c>
      <c r="AU242" s="268">
        <f t="shared" si="360"/>
        <v>0</v>
      </c>
      <c r="AV242" s="13">
        <f t="shared" si="349"/>
        <v>11000</v>
      </c>
      <c r="AW242" s="13">
        <f t="shared" si="323"/>
        <v>0</v>
      </c>
      <c r="AX242" s="13">
        <f t="shared" si="323"/>
        <v>0</v>
      </c>
      <c r="AY242" s="13">
        <f t="shared" si="323"/>
        <v>0</v>
      </c>
      <c r="AZ242" s="13">
        <f t="shared" si="323"/>
        <v>3200</v>
      </c>
      <c r="BA242" s="13">
        <f t="shared" si="379"/>
        <v>3200</v>
      </c>
      <c r="BB242" s="68">
        <f t="shared" si="361"/>
        <v>7800</v>
      </c>
      <c r="BC242" s="268">
        <f t="shared" si="362"/>
        <v>0.29090909090909089</v>
      </c>
      <c r="BD242" s="13">
        <f t="shared" si="363"/>
        <v>10000</v>
      </c>
      <c r="BE242" s="13">
        <f>SUMIFS(SALIDAS_BIT,FECHA_BIT,"&gt;="&amp;BE$2,FECHA_BIT,"&lt;="&amp;BE$3,CLAVE_BIT,$A242)+SUMIFS(SALIDAS_BOV1,FECHA_BOV1,"&gt;="&amp;BE$2,FECHA_BOV1,"&lt;="&amp;BE$3,CLAVE_BOV1,$A242)+SUMIFS(SALIDAS_BOV2,FECHA_BOV2,"&gt;="&amp;BE$2,FECHA_BOV2,"&lt;="&amp;BE$3,CLAVE_BOV2,$A242)+SUMIFS(SALIDAS_BOV3,FECHA_BOV3,"&gt;="&amp;BE$2,FECHA_BOV3,"&lt;="&amp;BE$3,CLAVE_BOV3,$A242)+SUMIFS(SALIDAS_TC,FECHA_TC,"&gt;="&amp;BE$2,FECHA_TC,"&lt;="&amp;BE$3,CLAVE_TC,$A242)+SUMIFS(SALIDAS_COMB,FECHA_COMB,"&gt;="&amp;BE$2,FECHA_COMB,"&lt;="&amp;BE$3,CLAVE_COMB,$A242)+SUMIFS(SALIDAS_DES,FECHA_DESGLOSEN,"&gt;="&amp;BE$2,FECHA_DESGLOSEN,"&lt;="&amp;BE$3,CLAVE_DESGLOSE,$A242)</f>
        <v>0</v>
      </c>
      <c r="BF242" s="13">
        <f>SUMIFS(SALIDAS_BIT,FECHA_BIT,"&gt;="&amp;BF$2,FECHA_BIT,"&lt;="&amp;BF$3,CLAVE_BIT,$A242)+SUMIFS(SALIDAS_BOV1,FECHA_BOV1,"&gt;="&amp;BF$2,FECHA_BOV1,"&lt;="&amp;BF$3,CLAVE_BOV1,$A242)+SUMIFS(SALIDAS_BOV2,FECHA_BOV2,"&gt;="&amp;BF$2,FECHA_BOV2,"&lt;="&amp;BF$3,CLAVE_BOV2,$A242)+SUMIFS(SALIDAS_BOV3,FECHA_BOV3,"&gt;="&amp;BF$2,FECHA_BOV3,"&lt;="&amp;BF$3,CLAVE_BOV3,$A242)+SUMIFS(SALIDAS_TC,FECHA_TC,"&gt;="&amp;BF$2,FECHA_TC,"&lt;="&amp;BF$3,CLAVE_TC,$A242)+SUMIFS(SALIDAS_COMB,FECHA_COMB,"&gt;="&amp;BF$2,FECHA_COMB,"&lt;="&amp;BF$3,CLAVE_COMB,$A242)+SUMIFS(SALIDAS_DES,FECHA_DESGLOSEN,"&gt;="&amp;BF$2,FECHA_DESGLOSEN,"&lt;="&amp;BF$3,CLAVE_DESGLOSE,$A242)</f>
        <v>0</v>
      </c>
      <c r="BG242" s="13">
        <f>SUMIFS(SALIDAS_BIT,FECHA_BIT,"&gt;="&amp;BG$2,FECHA_BIT,"&lt;="&amp;BG$3,CLAVE_BIT,$A242)+SUMIFS(SALIDAS_BOV1,FECHA_BOV1,"&gt;="&amp;BG$2,FECHA_BOV1,"&lt;="&amp;BG$3,CLAVE_BOV1,$A242)+SUMIFS(SALIDAS_BOV2,FECHA_BOV2,"&gt;="&amp;BG$2,FECHA_BOV2,"&lt;="&amp;BG$3,CLAVE_BOV2,$A242)+SUMIFS(SALIDAS_BOV3,FECHA_BOV3,"&gt;="&amp;BG$2,FECHA_BOV3,"&lt;="&amp;BG$3,CLAVE_BOV3,$A242)+SUMIFS(SALIDAS_TC,FECHA_TC,"&gt;="&amp;BG$2,FECHA_TC,"&lt;="&amp;BG$3,CLAVE_TC,$A242)+SUMIFS(SALIDAS_COMB,FECHA_COMB,"&gt;="&amp;BG$2,FECHA_COMB,"&lt;="&amp;BG$3,CLAVE_COMB,$A242)+SUMIFS(SALIDAS_DES,FECHA_DESGLOSEN,"&gt;="&amp;BG$2,FECHA_DESGLOSEN,"&lt;="&amp;BG$3,CLAVE_DESGLOSE,$A242)</f>
        <v>0</v>
      </c>
      <c r="BH242" s="13">
        <f>SUMIFS(SALIDAS_BIT,FECHA_BIT,"&gt;="&amp;BH$2,FECHA_BIT,"&lt;="&amp;BH$3,CLAVE_BIT,$A242)+SUMIFS(SALIDAS_BOV1,FECHA_BOV1,"&gt;="&amp;BH$2,FECHA_BOV1,"&lt;="&amp;BH$3,CLAVE_BOV1,$A242)+SUMIFS(SALIDAS_BOV2,FECHA_BOV2,"&gt;="&amp;BH$2,FECHA_BOV2,"&lt;="&amp;BH$3,CLAVE_BOV2,$A242)+SUMIFS(SALIDAS_BOV3,FECHA_BOV3,"&gt;="&amp;BH$2,FECHA_BOV3,"&lt;="&amp;BH$3,CLAVE_BOV3,$A242)+SUMIFS(SALIDAS_TC,FECHA_TC,"&gt;="&amp;BH$2,FECHA_TC,"&lt;="&amp;BH$3,CLAVE_TC,$A242)+SUMIFS(SALIDAS_COMB,FECHA_COMB,"&gt;="&amp;BH$2,FECHA_COMB,"&lt;="&amp;BH$3,CLAVE_COMB,$A242)+SUMIFS(SALIDAS_DES,FECHA_DESGLOSEN,"&gt;="&amp;BH$2,FECHA_DESGLOSEN,"&lt;="&amp;BH$3,CLAVE_DESGLOSE,$A242)</f>
        <v>0</v>
      </c>
      <c r="BI242" s="13">
        <f t="shared" si="419"/>
        <v>0</v>
      </c>
      <c r="BJ242" s="68">
        <f t="shared" si="364"/>
        <v>10000</v>
      </c>
      <c r="BK242" s="268">
        <f t="shared" si="365"/>
        <v>0</v>
      </c>
      <c r="BL242" s="13">
        <f t="shared" si="366"/>
        <v>6000</v>
      </c>
      <c r="BM242" s="13">
        <f>SUMIFS(SALIDAS_BIT,FECHA_BIT,"&gt;="&amp;BM$2,FECHA_BIT,"&lt;="&amp;BM$3,CLAVE_BIT,$A242)+SUMIFS(SALIDAS_BOV1,FECHA_BOV1,"&gt;="&amp;BM$2,FECHA_BOV1,"&lt;="&amp;BM$3,CLAVE_BOV1,$A242)+SUMIFS(SALIDAS_BOV2,FECHA_BOV2,"&gt;="&amp;BM$2,FECHA_BOV2,"&lt;="&amp;BM$3,CLAVE_BOV2,$A242)+SUMIFS(SALIDAS_BOV3,FECHA_BOV3,"&gt;="&amp;BM$2,FECHA_BOV3,"&lt;="&amp;BM$3,CLAVE_BOV3,$A242)+SUMIFS(SALIDAS_TC,FECHA_TC,"&gt;="&amp;BM$2,FECHA_TC,"&lt;="&amp;BM$3,CLAVE_TC,$A242)+SUMIFS(SALIDAS_COMB,FECHA_COMB,"&gt;="&amp;BM$2,FECHA_COMB,"&lt;="&amp;BM$3,CLAVE_COMB,$A242)+SUMIFS(SALIDAS_DES,FECHA_DESGLOSEN,"&gt;="&amp;BM$2,FECHA_DESGLOSEN,"&lt;="&amp;BM$3,CLAVE_DESGLOSE,$A242)</f>
        <v>0</v>
      </c>
      <c r="BN242" s="13">
        <f>SUMIFS(SALIDAS_BIT,FECHA_BIT,"&gt;="&amp;BN$2,FECHA_BIT,"&lt;="&amp;BN$3,CLAVE_BIT,$A242)+SUMIFS(SALIDAS_BOV1,FECHA_BOV1,"&gt;="&amp;BN$2,FECHA_BOV1,"&lt;="&amp;BN$3,CLAVE_BOV1,$A242)+SUMIFS(SALIDAS_BOV2,FECHA_BOV2,"&gt;="&amp;BN$2,FECHA_BOV2,"&lt;="&amp;BN$3,CLAVE_BOV2,$A242)+SUMIFS(SALIDAS_BOV3,FECHA_BOV3,"&gt;="&amp;BN$2,FECHA_BOV3,"&lt;="&amp;BN$3,CLAVE_BOV3,$A242)+SUMIFS(SALIDAS_TC,FECHA_TC,"&gt;="&amp;BN$2,FECHA_TC,"&lt;="&amp;BN$3,CLAVE_TC,$A242)+SUMIFS(SALIDAS_COMB,FECHA_COMB,"&gt;="&amp;BN$2,FECHA_COMB,"&lt;="&amp;BN$3,CLAVE_COMB,$A242)+SUMIFS(SALIDAS_DES,FECHA_DESGLOSEN,"&gt;="&amp;BN$2,FECHA_DESGLOSEN,"&lt;="&amp;BN$3,CLAVE_DESGLOSE,$A242)</f>
        <v>7888</v>
      </c>
      <c r="BO242" s="13">
        <f>SUMIFS(SALIDAS_BIT,FECHA_BIT,"&gt;="&amp;BO$2,FECHA_BIT,"&lt;="&amp;BO$3,CLAVE_BIT,$A242)+SUMIFS(SALIDAS_BOV1,FECHA_BOV1,"&gt;="&amp;BO$2,FECHA_BOV1,"&lt;="&amp;BO$3,CLAVE_BOV1,$A242)+SUMIFS(SALIDAS_BOV2,FECHA_BOV2,"&gt;="&amp;BO$2,FECHA_BOV2,"&lt;="&amp;BO$3,CLAVE_BOV2,$A242)+SUMIFS(SALIDAS_BOV3,FECHA_BOV3,"&gt;="&amp;BO$2,FECHA_BOV3,"&lt;="&amp;BO$3,CLAVE_BOV3,$A242)+SUMIFS(SALIDAS_TC,FECHA_TC,"&gt;="&amp;BO$2,FECHA_TC,"&lt;="&amp;BO$3,CLAVE_TC,$A242)+SUMIFS(SALIDAS_COMB,FECHA_COMB,"&gt;="&amp;BO$2,FECHA_COMB,"&lt;="&amp;BO$3,CLAVE_COMB,$A242)+SUMIFS(SALIDAS_DES,FECHA_DESGLOSEN,"&gt;="&amp;BO$2,FECHA_DESGLOSEN,"&lt;="&amp;BO$3,CLAVE_DESGLOSE,$A242)</f>
        <v>0</v>
      </c>
      <c r="BP242" s="13">
        <f>SUMIFS(SALIDAS_BIT,FECHA_BIT,"&gt;="&amp;BP$2,FECHA_BIT,"&lt;="&amp;BP$3,CLAVE_BIT,$A242)+SUMIFS(SALIDAS_BOV1,FECHA_BOV1,"&gt;="&amp;BP$2,FECHA_BOV1,"&lt;="&amp;BP$3,CLAVE_BOV1,$A242)+SUMIFS(SALIDAS_BOV2,FECHA_BOV2,"&gt;="&amp;BP$2,FECHA_BOV2,"&lt;="&amp;BP$3,CLAVE_BOV2,$A242)+SUMIFS(SALIDAS_BOV3,FECHA_BOV3,"&gt;="&amp;BP$2,FECHA_BOV3,"&lt;="&amp;BP$3,CLAVE_BOV3,$A242)+SUMIFS(SALIDAS_TC,FECHA_TC,"&gt;="&amp;BP$2,FECHA_TC,"&lt;="&amp;BP$3,CLAVE_TC,$A242)+SUMIFS(SALIDAS_COMB,FECHA_COMB,"&gt;="&amp;BP$2,FECHA_COMB,"&lt;="&amp;BP$3,CLAVE_COMB,$A242)+SUMIFS(SALIDAS_DES,FECHA_DESGLOSEN,"&gt;="&amp;BP$2,FECHA_DESGLOSEN,"&lt;="&amp;BP$3,CLAVE_DESGLOSE,$A242)</f>
        <v>5579.24</v>
      </c>
      <c r="BQ242" s="13">
        <f>SUMIFS(SALIDAS_BIT,FECHA_BIT,"&gt;="&amp;BQ$2,FECHA_BIT,"&lt;="&amp;BQ$3,CLAVE_BIT,$A242)+SUMIFS(SALIDAS_BOV1,FECHA_BOV1,"&gt;="&amp;BQ$2,FECHA_BOV1,"&lt;="&amp;BQ$3,CLAVE_BOV1,$A242)+SUMIFS(SALIDAS_BOV2,FECHA_BOV2,"&gt;="&amp;BQ$2,FECHA_BOV2,"&lt;="&amp;BQ$3,CLAVE_BOV2,$A242)+SUMIFS(SALIDAS_BOV3,FECHA_BOV3,"&gt;="&amp;BQ$2,FECHA_BOV3,"&lt;="&amp;BQ$3,CLAVE_BOV3,$A242)+SUMIFS(SALIDAS_TC,FECHA_TC,"&gt;="&amp;BQ$2,FECHA_TC,"&lt;="&amp;BQ$3,CLAVE_TC,$A242)+SUMIFS(SALIDAS_COMB,FECHA_COMB,"&gt;="&amp;BQ$2,FECHA_COMB,"&lt;="&amp;BQ$3,CLAVE_COMB,$A242)+SUMIFS(SALIDAS_DES,FECHA_DESGLOSEN,"&gt;="&amp;BQ$2,FECHA_DESGLOSEN,"&lt;="&amp;BQ$3,CLAVE_DESGLOSE,$A242)</f>
        <v>0</v>
      </c>
      <c r="BR242" s="13">
        <f t="shared" si="415"/>
        <v>13467.24</v>
      </c>
      <c r="BS242" s="68">
        <f t="shared" si="367"/>
        <v>-7467.24</v>
      </c>
      <c r="BT242" s="268">
        <f t="shared" si="368"/>
        <v>2.2445399999999998</v>
      </c>
      <c r="BU242" s="13">
        <f t="shared" si="369"/>
        <v>5000</v>
      </c>
      <c r="BV242" s="13">
        <f t="shared" si="389"/>
        <v>0</v>
      </c>
      <c r="BW242" s="13">
        <f t="shared" si="389"/>
        <v>0</v>
      </c>
      <c r="BX242" s="13">
        <f t="shared" si="389"/>
        <v>0</v>
      </c>
      <c r="BY242" s="13">
        <f t="shared" si="389"/>
        <v>0</v>
      </c>
      <c r="BZ242" s="13">
        <f t="shared" si="416"/>
        <v>0</v>
      </c>
      <c r="CA242" s="68">
        <f t="shared" si="370"/>
        <v>5000</v>
      </c>
      <c r="CB242" s="268">
        <f t="shared" si="371"/>
        <v>0</v>
      </c>
      <c r="CC242" s="13">
        <f t="shared" si="372"/>
        <v>6000</v>
      </c>
      <c r="CD242" s="13">
        <f t="shared" si="390"/>
        <v>0</v>
      </c>
      <c r="CE242" s="13">
        <f t="shared" si="390"/>
        <v>0</v>
      </c>
      <c r="CF242" s="13">
        <f t="shared" si="390"/>
        <v>0</v>
      </c>
      <c r="CG242" s="13">
        <f t="shared" si="390"/>
        <v>0</v>
      </c>
      <c r="CH242" s="13">
        <f t="shared" si="417"/>
        <v>0</v>
      </c>
      <c r="CI242" s="68">
        <f t="shared" si="373"/>
        <v>6000</v>
      </c>
      <c r="CJ242" s="268">
        <f t="shared" si="374"/>
        <v>0</v>
      </c>
      <c r="CK242" s="13">
        <f t="shared" si="375"/>
        <v>10000</v>
      </c>
      <c r="CL242" s="13">
        <f t="shared" si="400"/>
        <v>0</v>
      </c>
      <c r="CM242" s="13">
        <f t="shared" si="400"/>
        <v>0</v>
      </c>
      <c r="CN242" s="13">
        <f t="shared" si="400"/>
        <v>0</v>
      </c>
      <c r="CO242" s="13">
        <f t="shared" si="400"/>
        <v>4028</v>
      </c>
      <c r="CP242" s="13">
        <f t="shared" si="400"/>
        <v>0</v>
      </c>
      <c r="CQ242" s="13">
        <f t="shared" si="418"/>
        <v>4028</v>
      </c>
      <c r="CR242" s="68">
        <f t="shared" si="376"/>
        <v>5972</v>
      </c>
      <c r="CS242" s="268">
        <f t="shared" si="377"/>
        <v>0.40279999999999999</v>
      </c>
      <c r="CT242" s="68">
        <f t="shared" si="350"/>
        <v>0</v>
      </c>
      <c r="CU242" s="13">
        <f>SUMIFS(SALIDAS_BIT,FECHA_BIT,"&gt;="&amp;CU$2,FECHA_BIT,"&lt;="&amp;CU$3,CLAVE_BIT,$A242)+SUMIFS(SALIDAS_BOV1,FECHA_BOV1,"&gt;="&amp;CU$2,FECHA_BOV1,"&lt;="&amp;CU$3,CLAVE_BOV1,$A242)+SUMIFS(SALIDAS_BOV2,FECHA_BOV2,"&gt;="&amp;CU$2,FECHA_BOV2,"&lt;="&amp;CU$3,CLAVE_BOV2,$A242)+SUMIFS(SALIDAS_BOV3,FECHA_BOV3,"&gt;="&amp;CU$2,FECHA_BOV3,"&lt;="&amp;CU$3,CLAVE_BOV3,$A242)+SUMIFS(SALIDAS_TC,FECHA_TC,"&gt;="&amp;CU$2,FECHA_TC,"&lt;="&amp;CU$3,CLAVE_TC,$A242)+SUMIFS(SALIDAS_COMB,FECHA_COMB,"&gt;="&amp;CU$2,FECHA_COMB,"&lt;="&amp;CU$3,CLAVE_COMB,$A242)+SUMIFS(SALIDAS_DES,FECHA_DESGLOSEN,"&gt;="&amp;CU$2,FECHA_DESGLOSEN,"&lt;="&amp;CU$3,CLAVE_DESGLOSE,$A242)</f>
        <v>0</v>
      </c>
      <c r="CV242" s="13">
        <f>SUMIFS(SALIDAS_BIT,FECHA_BIT,"&gt;="&amp;CV$2,FECHA_BIT,"&lt;="&amp;CV$3,CLAVE_BIT,$A242)+SUMIFS(SALIDAS_BOV1,FECHA_BOV1,"&gt;="&amp;CV$2,FECHA_BOV1,"&lt;="&amp;CV$3,CLAVE_BOV1,$A242)+SUMIFS(SALIDAS_BOV2,FECHA_BOV2,"&gt;="&amp;CV$2,FECHA_BOV2,"&lt;="&amp;CV$3,CLAVE_BOV2,$A242)+SUMIFS(SALIDAS_BOV3,FECHA_BOV3,"&gt;="&amp;CV$2,FECHA_BOV3,"&lt;="&amp;CV$3,CLAVE_BOV3,$A242)+SUMIFS(SALIDAS_TC,FECHA_TC,"&gt;="&amp;CV$2,FECHA_TC,"&lt;="&amp;CV$3,CLAVE_TC,$A242)+SUMIFS(SALIDAS_COMB,FECHA_COMB,"&gt;="&amp;CV$2,FECHA_COMB,"&lt;="&amp;CV$3,CLAVE_COMB,$A242)+SUMIFS(SALIDAS_DES,FECHA_DESGLOSEN,"&gt;="&amp;CV$2,FECHA_DESGLOSEN,"&lt;="&amp;CV$3,CLAVE_DESGLOSE,$A242)</f>
        <v>0</v>
      </c>
      <c r="CW242" s="13">
        <f>SUMIFS(SALIDAS_BIT,FECHA_BIT,"&gt;="&amp;CW$2,FECHA_BIT,"&lt;="&amp;CW$3,CLAVE_BIT,$A242)+SUMIFS(SALIDAS_BOV1,FECHA_BOV1,"&gt;="&amp;CW$2,FECHA_BOV1,"&lt;="&amp;CW$3,CLAVE_BOV1,$A242)+SUMIFS(SALIDAS_BOV2,FECHA_BOV2,"&gt;="&amp;CW$2,FECHA_BOV2,"&lt;="&amp;CW$3,CLAVE_BOV2,$A242)+SUMIFS(SALIDAS_BOV3,FECHA_BOV3,"&gt;="&amp;CW$2,FECHA_BOV3,"&lt;="&amp;CW$3,CLAVE_BOV3,$A242)+SUMIFS(SALIDAS_TC,FECHA_TC,"&gt;="&amp;CW$2,FECHA_TC,"&lt;="&amp;CW$3,CLAVE_TC,$A242)+SUMIFS(SALIDAS_COMB,FECHA_COMB,"&gt;="&amp;CW$2,FECHA_COMB,"&lt;="&amp;CW$3,CLAVE_COMB,$A242)+SUMIFS(SALIDAS_DES,FECHA_DESGLOSEN,"&gt;="&amp;CW$2,FECHA_DESGLOSEN,"&lt;="&amp;CW$3,CLAVE_DESGLOSE,$A242)</f>
        <v>0</v>
      </c>
      <c r="CX242" s="13">
        <f>SUMIFS(SALIDAS_BIT,FECHA_BIT,"&gt;="&amp;CX$2,FECHA_BIT,"&lt;="&amp;CX$3,CLAVE_BIT,$A242)+SUMIFS(SALIDAS_BOV1,FECHA_BOV1,"&gt;="&amp;CX$2,FECHA_BOV1,"&lt;="&amp;CX$3,CLAVE_BOV1,$A242)+SUMIFS(SALIDAS_BOV2,FECHA_BOV2,"&gt;="&amp;CX$2,FECHA_BOV2,"&lt;="&amp;CX$3,CLAVE_BOV2,$A242)+SUMIFS(SALIDAS_BOV3,FECHA_BOV3,"&gt;="&amp;CX$2,FECHA_BOV3,"&lt;="&amp;CX$3,CLAVE_BOV3,$A242)+SUMIFS(SALIDAS_TC,FECHA_TC,"&gt;="&amp;CX$2,FECHA_TC,"&lt;="&amp;CX$3,CLAVE_TC,$A242)+SUMIFS(SALIDAS_COMB,FECHA_COMB,"&gt;="&amp;CX$2,FECHA_COMB,"&lt;="&amp;CX$3,CLAVE_COMB,$A242)+SUMIFS(SALIDAS_DES,FECHA_DESGLOSEN,"&gt;="&amp;CX$2,FECHA_DESGLOSEN,"&lt;="&amp;CX$3,CLAVE_DESGLOSE,$A242)</f>
        <v>0</v>
      </c>
      <c r="CY242" s="13">
        <f>SUMIFS(SALIDAS_BIT,FECHA_BIT,"&gt;="&amp;CY$2,FECHA_BIT,"&lt;="&amp;CY$3,CLAVE_BIT,$A242)+SUMIFS(SALIDAS_BOV1,FECHA_BOV1,"&gt;="&amp;CY$2,FECHA_BOV1,"&lt;="&amp;CY$3,CLAVE_BOV1,$A242)+SUMIFS(SALIDAS_BOV2,FECHA_BOV2,"&gt;="&amp;CY$2,FECHA_BOV2,"&lt;="&amp;CY$3,CLAVE_BOV2,$A242)+SUMIFS(SALIDAS_BOV3,FECHA_BOV3,"&gt;="&amp;CY$2,FECHA_BOV3,"&lt;="&amp;CY$3,CLAVE_BOV3,$A242)+SUMIFS(SALIDAS_TC,FECHA_TC,"&gt;="&amp;CY$2,FECHA_TC,"&lt;="&amp;CY$3,CLAVE_TC,$A242)+SUMIFS(SALIDAS_COMB,FECHA_COMB,"&gt;="&amp;CY$2,FECHA_COMB,"&lt;="&amp;CY$3,CLAVE_COMB,$A242)+SUMIFS(SALIDAS_DES,FECHA_DESGLOSEN,"&gt;="&amp;CY$2,FECHA_DESGLOSEN,"&lt;="&amp;CY$3,CLAVE_DESGLOSE,$A242)</f>
        <v>0</v>
      </c>
      <c r="CZ242" s="68">
        <f t="shared" si="378"/>
        <v>0</v>
      </c>
      <c r="DB242" s="17">
        <f>F242+N242+W242+AE242+AM242+AV242+BD242+BL242+BU242+CC242+CK242</f>
        <v>75000</v>
      </c>
      <c r="DC242" s="17">
        <f>K242+T242+AB242+AJ242+AS242+BA242+BI242+BR242+BZ242+CH242+CQ242</f>
        <v>21345.239999999998</v>
      </c>
    </row>
    <row r="243" spans="1:107" hidden="1">
      <c r="A243" s="12" t="str">
        <f t="shared" si="351"/>
        <v>DEMTTO EQ DE TRANSPORTEDIRECCION</v>
      </c>
      <c r="B243">
        <v>245</v>
      </c>
      <c r="C243" t="s">
        <v>41</v>
      </c>
      <c r="D243" t="s">
        <v>144</v>
      </c>
      <c r="E243" t="s">
        <v>42</v>
      </c>
      <c r="F243" s="259">
        <f t="shared" si="344"/>
        <v>0</v>
      </c>
      <c r="G243" s="13">
        <f t="shared" si="410"/>
        <v>0</v>
      </c>
      <c r="H243" s="13">
        <f t="shared" si="410"/>
        <v>0</v>
      </c>
      <c r="I243" s="13">
        <f t="shared" si="410"/>
        <v>0</v>
      </c>
      <c r="J243" s="13">
        <f t="shared" si="410"/>
        <v>508</v>
      </c>
      <c r="K243" s="13">
        <f t="shared" si="410"/>
        <v>508</v>
      </c>
      <c r="L243" s="68">
        <f t="shared" si="352"/>
        <v>-508</v>
      </c>
      <c r="M243" s="268">
        <f t="shared" si="353"/>
        <v>0</v>
      </c>
      <c r="N243" s="13">
        <f t="shared" si="345"/>
        <v>1715</v>
      </c>
      <c r="O243" s="13">
        <f t="shared" si="411"/>
        <v>0</v>
      </c>
      <c r="P243" s="13">
        <f t="shared" si="411"/>
        <v>0</v>
      </c>
      <c r="Q243" s="13">
        <f t="shared" si="411"/>
        <v>0</v>
      </c>
      <c r="R243" s="13">
        <f t="shared" si="411"/>
        <v>0</v>
      </c>
      <c r="S243" s="13">
        <f t="shared" si="411"/>
        <v>0</v>
      </c>
      <c r="T243" s="13">
        <f t="shared" si="411"/>
        <v>0</v>
      </c>
      <c r="U243" s="68">
        <f t="shared" si="354"/>
        <v>1715</v>
      </c>
      <c r="V243" s="268">
        <f t="shared" si="355"/>
        <v>0</v>
      </c>
      <c r="W243" s="13">
        <f t="shared" si="346"/>
        <v>0</v>
      </c>
      <c r="X243" s="13">
        <f t="shared" si="412"/>
        <v>0</v>
      </c>
      <c r="Y243" s="13">
        <f t="shared" si="412"/>
        <v>0</v>
      </c>
      <c r="Z243" s="13">
        <f t="shared" si="412"/>
        <v>11436.3</v>
      </c>
      <c r="AA243" s="13">
        <f t="shared" si="412"/>
        <v>0</v>
      </c>
      <c r="AB243" s="13">
        <f t="shared" si="412"/>
        <v>11436.3</v>
      </c>
      <c r="AC243" s="68">
        <f t="shared" si="356"/>
        <v>-11436.3</v>
      </c>
      <c r="AD243" s="268">
        <f t="shared" si="357"/>
        <v>0</v>
      </c>
      <c r="AE243" s="13">
        <f t="shared" si="347"/>
        <v>0</v>
      </c>
      <c r="AF243" s="13">
        <f t="shared" si="413"/>
        <v>0</v>
      </c>
      <c r="AG243" s="13">
        <f t="shared" si="413"/>
        <v>0</v>
      </c>
      <c r="AH243" s="13">
        <f t="shared" si="413"/>
        <v>0</v>
      </c>
      <c r="AI243" s="13">
        <f t="shared" si="413"/>
        <v>0</v>
      </c>
      <c r="AJ243" s="13">
        <f t="shared" si="413"/>
        <v>0</v>
      </c>
      <c r="AK243" s="68">
        <f t="shared" si="358"/>
        <v>0</v>
      </c>
      <c r="AL243" s="268">
        <f t="shared" si="359"/>
        <v>0</v>
      </c>
      <c r="AM243" s="13">
        <f t="shared" si="348"/>
        <v>0</v>
      </c>
      <c r="AN243" s="13">
        <f t="shared" si="414"/>
        <v>0</v>
      </c>
      <c r="AO243" s="13">
        <f t="shared" si="414"/>
        <v>0</v>
      </c>
      <c r="AP243" s="13">
        <f t="shared" si="414"/>
        <v>765.6</v>
      </c>
      <c r="AQ243" s="13">
        <f t="shared" si="414"/>
        <v>0</v>
      </c>
      <c r="AR243" s="13">
        <f t="shared" si="414"/>
        <v>0</v>
      </c>
      <c r="AS243" s="13">
        <f t="shared" si="414"/>
        <v>765.6</v>
      </c>
      <c r="AT243" s="68">
        <f>AM243-AS243</f>
        <v>-765.6</v>
      </c>
      <c r="AU243" s="268">
        <f t="shared" si="360"/>
        <v>0</v>
      </c>
      <c r="AV243" s="13">
        <f t="shared" si="349"/>
        <v>0</v>
      </c>
      <c r="AW243" s="13">
        <f t="shared" si="323"/>
        <v>0</v>
      </c>
      <c r="AX243" s="13">
        <f t="shared" si="323"/>
        <v>0</v>
      </c>
      <c r="AY243" s="13">
        <f t="shared" si="323"/>
        <v>0</v>
      </c>
      <c r="AZ243" s="13">
        <f t="shared" ref="AZ243" si="420">SUMIFS(SALIDAS_BIT,FECHA_BIT,"&gt;="&amp;AZ$2,FECHA_BIT,"&lt;="&amp;AZ$3,CLAVE_BIT,$A243)+SUMIFS(SALIDAS_BOV1,FECHA_BOV1,"&gt;="&amp;AZ$2,FECHA_BOV1,"&lt;="&amp;AZ$3,CLAVE_BOV1,$A243)+SUMIFS(SALIDAS_BOV2,FECHA_BOV2,"&gt;="&amp;AZ$2,FECHA_BOV2,"&lt;="&amp;AZ$3,CLAVE_BOV2,$A243)+SUMIFS(SALIDAS_BOV3,FECHA_BOV3,"&gt;="&amp;AZ$2,FECHA_BOV3,"&lt;="&amp;AZ$3,CLAVE_BOV3,$A243)+SUMIFS(SALIDAS_TC,FECHA_TC,"&gt;="&amp;AZ$2,FECHA_TC,"&lt;="&amp;AZ$3,CLAVE_TC,$A243)+SUMIFS(SALIDAS_COMB,FECHA_COMB,"&gt;="&amp;AZ$2,FECHA_COMB,"&lt;="&amp;AZ$3,CLAVE_COMB,$A243)+SUMIFS(SALIDAS_DES,FECHA_DESGLOSEN,"&gt;="&amp;AZ$2,FECHA_DESGLOSEN,"&lt;="&amp;AZ$3,CLAVE_DESGLOSE,$A243)</f>
        <v>0</v>
      </c>
      <c r="BA243" s="13">
        <f t="shared" si="379"/>
        <v>0</v>
      </c>
      <c r="BB243" s="68">
        <f t="shared" si="361"/>
        <v>0</v>
      </c>
      <c r="BC243" s="268">
        <f t="shared" si="362"/>
        <v>0</v>
      </c>
      <c r="BD243" s="13">
        <f t="shared" si="363"/>
        <v>0</v>
      </c>
      <c r="BE243" s="13">
        <f>SUMIFS(SALIDAS_BIT,FECHA_BIT,"&gt;="&amp;BE$2,FECHA_BIT,"&lt;="&amp;BE$3,CLAVE_BIT,$A243)+SUMIFS(SALIDAS_BOV1,FECHA_BOV1,"&gt;="&amp;BE$2,FECHA_BOV1,"&lt;="&amp;BE$3,CLAVE_BOV1,$A243)+SUMIFS(SALIDAS_BOV2,FECHA_BOV2,"&gt;="&amp;BE$2,FECHA_BOV2,"&lt;="&amp;BE$3,CLAVE_BOV2,$A243)+SUMIFS(SALIDAS_BOV3,FECHA_BOV3,"&gt;="&amp;BE$2,FECHA_BOV3,"&lt;="&amp;BE$3,CLAVE_BOV3,$A243)+SUMIFS(SALIDAS_TC,FECHA_TC,"&gt;="&amp;BE$2,FECHA_TC,"&lt;="&amp;BE$3,CLAVE_TC,$A243)+SUMIFS(SALIDAS_COMB,FECHA_COMB,"&gt;="&amp;BE$2,FECHA_COMB,"&lt;="&amp;BE$3,CLAVE_COMB,$A243)+SUMIFS(SALIDAS_DES,FECHA_DESGLOSEN,"&gt;="&amp;BE$2,FECHA_DESGLOSEN,"&lt;="&amp;BE$3,CLAVE_DESGLOSE,$A243)</f>
        <v>0</v>
      </c>
      <c r="BF243" s="13">
        <f>SUMIFS(SALIDAS_BIT,FECHA_BIT,"&gt;="&amp;BF$2,FECHA_BIT,"&lt;="&amp;BF$3,CLAVE_BIT,$A243)+SUMIFS(SALIDAS_BOV1,FECHA_BOV1,"&gt;="&amp;BF$2,FECHA_BOV1,"&lt;="&amp;BF$3,CLAVE_BOV1,$A243)+SUMIFS(SALIDAS_BOV2,FECHA_BOV2,"&gt;="&amp;BF$2,FECHA_BOV2,"&lt;="&amp;BF$3,CLAVE_BOV2,$A243)+SUMIFS(SALIDAS_BOV3,FECHA_BOV3,"&gt;="&amp;BF$2,FECHA_BOV3,"&lt;="&amp;BF$3,CLAVE_BOV3,$A243)+SUMIFS(SALIDAS_TC,FECHA_TC,"&gt;="&amp;BF$2,FECHA_TC,"&lt;="&amp;BF$3,CLAVE_TC,$A243)+SUMIFS(SALIDAS_COMB,FECHA_COMB,"&gt;="&amp;BF$2,FECHA_COMB,"&lt;="&amp;BF$3,CLAVE_COMB,$A243)+SUMIFS(SALIDAS_DES,FECHA_DESGLOSEN,"&gt;="&amp;BF$2,FECHA_DESGLOSEN,"&lt;="&amp;BF$3,CLAVE_DESGLOSE,$A243)</f>
        <v>0</v>
      </c>
      <c r="BG243" s="13">
        <f>SUMIFS(SALIDAS_BIT,FECHA_BIT,"&gt;="&amp;BG$2,FECHA_BIT,"&lt;="&amp;BG$3,CLAVE_BIT,$A243)+SUMIFS(SALIDAS_BOV1,FECHA_BOV1,"&gt;="&amp;BG$2,FECHA_BOV1,"&lt;="&amp;BG$3,CLAVE_BOV1,$A243)+SUMIFS(SALIDAS_BOV2,FECHA_BOV2,"&gt;="&amp;BG$2,FECHA_BOV2,"&lt;="&amp;BG$3,CLAVE_BOV2,$A243)+SUMIFS(SALIDAS_BOV3,FECHA_BOV3,"&gt;="&amp;BG$2,FECHA_BOV3,"&lt;="&amp;BG$3,CLAVE_BOV3,$A243)+SUMIFS(SALIDAS_TC,FECHA_TC,"&gt;="&amp;BG$2,FECHA_TC,"&lt;="&amp;BG$3,CLAVE_TC,$A243)+SUMIFS(SALIDAS_COMB,FECHA_COMB,"&gt;="&amp;BG$2,FECHA_COMB,"&lt;="&amp;BG$3,CLAVE_COMB,$A243)+SUMIFS(SALIDAS_DES,FECHA_DESGLOSEN,"&gt;="&amp;BG$2,FECHA_DESGLOSEN,"&lt;="&amp;BG$3,CLAVE_DESGLOSE,$A243)</f>
        <v>0</v>
      </c>
      <c r="BH243" s="13">
        <f>SUMIFS(SALIDAS_BIT,FECHA_BIT,"&gt;="&amp;BH$2,FECHA_BIT,"&lt;="&amp;BH$3,CLAVE_BIT,$A243)+SUMIFS(SALIDAS_BOV1,FECHA_BOV1,"&gt;="&amp;BH$2,FECHA_BOV1,"&lt;="&amp;BH$3,CLAVE_BOV1,$A243)+SUMIFS(SALIDAS_BOV2,FECHA_BOV2,"&gt;="&amp;BH$2,FECHA_BOV2,"&lt;="&amp;BH$3,CLAVE_BOV2,$A243)+SUMIFS(SALIDAS_BOV3,FECHA_BOV3,"&gt;="&amp;BH$2,FECHA_BOV3,"&lt;="&amp;BH$3,CLAVE_BOV3,$A243)+SUMIFS(SALIDAS_TC,FECHA_TC,"&gt;="&amp;BH$2,FECHA_TC,"&lt;="&amp;BH$3,CLAVE_TC,$A243)+SUMIFS(SALIDAS_COMB,FECHA_COMB,"&gt;="&amp;BH$2,FECHA_COMB,"&lt;="&amp;BH$3,CLAVE_COMB,$A243)+SUMIFS(SALIDAS_DES,FECHA_DESGLOSEN,"&gt;="&amp;BH$2,FECHA_DESGLOSEN,"&lt;="&amp;BH$3,CLAVE_DESGLOSE,$A243)</f>
        <v>0</v>
      </c>
      <c r="BI243" s="13">
        <f t="shared" si="419"/>
        <v>0</v>
      </c>
      <c r="BJ243" s="68">
        <f t="shared" si="364"/>
        <v>0</v>
      </c>
      <c r="BK243" s="268">
        <f t="shared" si="365"/>
        <v>0</v>
      </c>
      <c r="BL243" s="13">
        <f t="shared" si="366"/>
        <v>0</v>
      </c>
      <c r="BM243" s="13">
        <f>SUMIFS(SALIDAS_BIT,FECHA_BIT,"&gt;="&amp;BM$2,FECHA_BIT,"&lt;="&amp;BM$3,CLAVE_BIT,$A243)+SUMIFS(SALIDAS_BOV1,FECHA_BOV1,"&gt;="&amp;BM$2,FECHA_BOV1,"&lt;="&amp;BM$3,CLAVE_BOV1,$A243)+SUMIFS(SALIDAS_BOV2,FECHA_BOV2,"&gt;="&amp;BM$2,FECHA_BOV2,"&lt;="&amp;BM$3,CLAVE_BOV2,$A243)+SUMIFS(SALIDAS_BOV3,FECHA_BOV3,"&gt;="&amp;BM$2,FECHA_BOV3,"&lt;="&amp;BM$3,CLAVE_BOV3,$A243)+SUMIFS(SALIDAS_TC,FECHA_TC,"&gt;="&amp;BM$2,FECHA_TC,"&lt;="&amp;BM$3,CLAVE_TC,$A243)+SUMIFS(SALIDAS_COMB,FECHA_COMB,"&gt;="&amp;BM$2,FECHA_COMB,"&lt;="&amp;BM$3,CLAVE_COMB,$A243)+SUMIFS(SALIDAS_DES,FECHA_DESGLOSEN,"&gt;="&amp;BM$2,FECHA_DESGLOSEN,"&lt;="&amp;BM$3,CLAVE_DESGLOSE,$A243)</f>
        <v>0</v>
      </c>
      <c r="BN243" s="13">
        <f>SUMIFS(SALIDAS_BIT,FECHA_BIT,"&gt;="&amp;BN$2,FECHA_BIT,"&lt;="&amp;BN$3,CLAVE_BIT,$A243)+SUMIFS(SALIDAS_BOV1,FECHA_BOV1,"&gt;="&amp;BN$2,FECHA_BOV1,"&lt;="&amp;BN$3,CLAVE_BOV1,$A243)+SUMIFS(SALIDAS_BOV2,FECHA_BOV2,"&gt;="&amp;BN$2,FECHA_BOV2,"&lt;="&amp;BN$3,CLAVE_BOV2,$A243)+SUMIFS(SALIDAS_BOV3,FECHA_BOV3,"&gt;="&amp;BN$2,FECHA_BOV3,"&lt;="&amp;BN$3,CLAVE_BOV3,$A243)+SUMIFS(SALIDAS_TC,FECHA_TC,"&gt;="&amp;BN$2,FECHA_TC,"&lt;="&amp;BN$3,CLAVE_TC,$A243)+SUMIFS(SALIDAS_COMB,FECHA_COMB,"&gt;="&amp;BN$2,FECHA_COMB,"&lt;="&amp;BN$3,CLAVE_COMB,$A243)+SUMIFS(SALIDAS_DES,FECHA_DESGLOSEN,"&gt;="&amp;BN$2,FECHA_DESGLOSEN,"&lt;="&amp;BN$3,CLAVE_DESGLOSE,$A243)</f>
        <v>4083.2</v>
      </c>
      <c r="BO243" s="13">
        <f>SUMIFS(SALIDAS_BIT,FECHA_BIT,"&gt;="&amp;BO$2,FECHA_BIT,"&lt;="&amp;BO$3,CLAVE_BIT,$A243)+SUMIFS(SALIDAS_BOV1,FECHA_BOV1,"&gt;="&amp;BO$2,FECHA_BOV1,"&lt;="&amp;BO$3,CLAVE_BOV1,$A243)+SUMIFS(SALIDAS_BOV2,FECHA_BOV2,"&gt;="&amp;BO$2,FECHA_BOV2,"&lt;="&amp;BO$3,CLAVE_BOV2,$A243)+SUMIFS(SALIDAS_BOV3,FECHA_BOV3,"&gt;="&amp;BO$2,FECHA_BOV3,"&lt;="&amp;BO$3,CLAVE_BOV3,$A243)+SUMIFS(SALIDAS_TC,FECHA_TC,"&gt;="&amp;BO$2,FECHA_TC,"&lt;="&amp;BO$3,CLAVE_TC,$A243)+SUMIFS(SALIDAS_COMB,FECHA_COMB,"&gt;="&amp;BO$2,FECHA_COMB,"&lt;="&amp;BO$3,CLAVE_COMB,$A243)+SUMIFS(SALIDAS_DES,FECHA_DESGLOSEN,"&gt;="&amp;BO$2,FECHA_DESGLOSEN,"&lt;="&amp;BO$3,CLAVE_DESGLOSE,$A243)</f>
        <v>0</v>
      </c>
      <c r="BP243" s="13">
        <f>SUMIFS(SALIDAS_BIT,FECHA_BIT,"&gt;="&amp;BP$2,FECHA_BIT,"&lt;="&amp;BP$3,CLAVE_BIT,$A243)+SUMIFS(SALIDAS_BOV1,FECHA_BOV1,"&gt;="&amp;BP$2,FECHA_BOV1,"&lt;="&amp;BP$3,CLAVE_BOV1,$A243)+SUMIFS(SALIDAS_BOV2,FECHA_BOV2,"&gt;="&amp;BP$2,FECHA_BOV2,"&lt;="&amp;BP$3,CLAVE_BOV2,$A243)+SUMIFS(SALIDAS_BOV3,FECHA_BOV3,"&gt;="&amp;BP$2,FECHA_BOV3,"&lt;="&amp;BP$3,CLAVE_BOV3,$A243)+SUMIFS(SALIDAS_TC,FECHA_TC,"&gt;="&amp;BP$2,FECHA_TC,"&lt;="&amp;BP$3,CLAVE_TC,$A243)+SUMIFS(SALIDAS_COMB,FECHA_COMB,"&gt;="&amp;BP$2,FECHA_COMB,"&lt;="&amp;BP$3,CLAVE_COMB,$A243)+SUMIFS(SALIDAS_DES,FECHA_DESGLOSEN,"&gt;="&amp;BP$2,FECHA_DESGLOSEN,"&lt;="&amp;BP$3,CLAVE_DESGLOSE,$A243)</f>
        <v>0</v>
      </c>
      <c r="BQ243" s="13">
        <f>SUMIFS(SALIDAS_BIT,FECHA_BIT,"&gt;="&amp;BQ$2,FECHA_BIT,"&lt;="&amp;BQ$3,CLAVE_BIT,$A243)+SUMIFS(SALIDAS_BOV1,FECHA_BOV1,"&gt;="&amp;BQ$2,FECHA_BOV1,"&lt;="&amp;BQ$3,CLAVE_BOV1,$A243)+SUMIFS(SALIDAS_BOV2,FECHA_BOV2,"&gt;="&amp;BQ$2,FECHA_BOV2,"&lt;="&amp;BQ$3,CLAVE_BOV2,$A243)+SUMIFS(SALIDAS_BOV3,FECHA_BOV3,"&gt;="&amp;BQ$2,FECHA_BOV3,"&lt;="&amp;BQ$3,CLAVE_BOV3,$A243)+SUMIFS(SALIDAS_TC,FECHA_TC,"&gt;="&amp;BQ$2,FECHA_TC,"&lt;="&amp;BQ$3,CLAVE_TC,$A243)+SUMIFS(SALIDAS_COMB,FECHA_COMB,"&gt;="&amp;BQ$2,FECHA_COMB,"&lt;="&amp;BQ$3,CLAVE_COMB,$A243)+SUMIFS(SALIDAS_DES,FECHA_DESGLOSEN,"&gt;="&amp;BQ$2,FECHA_DESGLOSEN,"&lt;="&amp;BQ$3,CLAVE_DESGLOSE,$A243)</f>
        <v>0</v>
      </c>
      <c r="BR243" s="13">
        <f t="shared" si="415"/>
        <v>4083.2</v>
      </c>
      <c r="BS243" s="68">
        <f t="shared" si="367"/>
        <v>-4083.2</v>
      </c>
      <c r="BT243" s="268">
        <f t="shared" si="368"/>
        <v>0</v>
      </c>
      <c r="BU243" s="13">
        <f t="shared" si="369"/>
        <v>2500</v>
      </c>
      <c r="BV243" s="13">
        <f t="shared" si="389"/>
        <v>0</v>
      </c>
      <c r="BW243" s="13">
        <f t="shared" si="389"/>
        <v>0</v>
      </c>
      <c r="BX243" s="13">
        <f t="shared" si="389"/>
        <v>0</v>
      </c>
      <c r="BY243" s="13">
        <f t="shared" si="389"/>
        <v>0</v>
      </c>
      <c r="BZ243" s="13">
        <f t="shared" si="416"/>
        <v>0</v>
      </c>
      <c r="CA243" s="68">
        <f t="shared" si="370"/>
        <v>2500</v>
      </c>
      <c r="CB243" s="268">
        <f t="shared" si="371"/>
        <v>0</v>
      </c>
      <c r="CC243" s="13">
        <f t="shared" si="372"/>
        <v>0</v>
      </c>
      <c r="CD243" s="13">
        <f t="shared" si="390"/>
        <v>0</v>
      </c>
      <c r="CE243" s="13">
        <f t="shared" si="390"/>
        <v>0</v>
      </c>
      <c r="CF243" s="13">
        <f t="shared" si="390"/>
        <v>800</v>
      </c>
      <c r="CG243" s="13">
        <f t="shared" si="390"/>
        <v>0</v>
      </c>
      <c r="CH243" s="13">
        <f t="shared" si="417"/>
        <v>800</v>
      </c>
      <c r="CI243" s="68">
        <f t="shared" si="373"/>
        <v>-800</v>
      </c>
      <c r="CJ243" s="268">
        <f t="shared" si="374"/>
        <v>0</v>
      </c>
      <c r="CK243" s="13">
        <f t="shared" si="375"/>
        <v>0</v>
      </c>
      <c r="CL243" s="13">
        <f t="shared" si="400"/>
        <v>0</v>
      </c>
      <c r="CM243" s="13">
        <f t="shared" si="400"/>
        <v>0</v>
      </c>
      <c r="CN243" s="13">
        <f t="shared" si="400"/>
        <v>0</v>
      </c>
      <c r="CO243" s="13">
        <f t="shared" si="400"/>
        <v>0</v>
      </c>
      <c r="CP243" s="13">
        <f t="shared" si="400"/>
        <v>0</v>
      </c>
      <c r="CQ243" s="13">
        <f t="shared" si="418"/>
        <v>0</v>
      </c>
      <c r="CR243" s="68">
        <f t="shared" si="376"/>
        <v>0</v>
      </c>
      <c r="CS243" s="268">
        <f t="shared" si="377"/>
        <v>0</v>
      </c>
      <c r="CT243" s="68">
        <f t="shared" si="350"/>
        <v>0</v>
      </c>
      <c r="CU243" s="13">
        <f>SUMIFS(SALIDAS_BIT,FECHA_BIT,"&gt;="&amp;CU$2,FECHA_BIT,"&lt;="&amp;CU$3,CLAVE_BIT,$A243)+SUMIFS(SALIDAS_BOV1,FECHA_BOV1,"&gt;="&amp;CU$2,FECHA_BOV1,"&lt;="&amp;CU$3,CLAVE_BOV1,$A243)+SUMIFS(SALIDAS_BOV2,FECHA_BOV2,"&gt;="&amp;CU$2,FECHA_BOV2,"&lt;="&amp;CU$3,CLAVE_BOV2,$A243)+SUMIFS(SALIDAS_BOV3,FECHA_BOV3,"&gt;="&amp;CU$2,FECHA_BOV3,"&lt;="&amp;CU$3,CLAVE_BOV3,$A243)+SUMIFS(SALIDAS_TC,FECHA_TC,"&gt;="&amp;CU$2,FECHA_TC,"&lt;="&amp;CU$3,CLAVE_TC,$A243)+SUMIFS(SALIDAS_COMB,FECHA_COMB,"&gt;="&amp;CU$2,FECHA_COMB,"&lt;="&amp;CU$3,CLAVE_COMB,$A243)+SUMIFS(SALIDAS_DES,FECHA_DESGLOSEN,"&gt;="&amp;CU$2,FECHA_DESGLOSEN,"&lt;="&amp;CU$3,CLAVE_DESGLOSE,$A243)</f>
        <v>0</v>
      </c>
      <c r="CV243" s="13">
        <f>SUMIFS(SALIDAS_BIT,FECHA_BIT,"&gt;="&amp;CV$2,FECHA_BIT,"&lt;="&amp;CV$3,CLAVE_BIT,$A243)+SUMIFS(SALIDAS_BOV1,FECHA_BOV1,"&gt;="&amp;CV$2,FECHA_BOV1,"&lt;="&amp;CV$3,CLAVE_BOV1,$A243)+SUMIFS(SALIDAS_BOV2,FECHA_BOV2,"&gt;="&amp;CV$2,FECHA_BOV2,"&lt;="&amp;CV$3,CLAVE_BOV2,$A243)+SUMIFS(SALIDAS_BOV3,FECHA_BOV3,"&gt;="&amp;CV$2,FECHA_BOV3,"&lt;="&amp;CV$3,CLAVE_BOV3,$A243)+SUMIFS(SALIDAS_TC,FECHA_TC,"&gt;="&amp;CV$2,FECHA_TC,"&lt;="&amp;CV$3,CLAVE_TC,$A243)+SUMIFS(SALIDAS_COMB,FECHA_COMB,"&gt;="&amp;CV$2,FECHA_COMB,"&lt;="&amp;CV$3,CLAVE_COMB,$A243)+SUMIFS(SALIDAS_DES,FECHA_DESGLOSEN,"&gt;="&amp;CV$2,FECHA_DESGLOSEN,"&lt;="&amp;CV$3,CLAVE_DESGLOSE,$A243)</f>
        <v>0</v>
      </c>
      <c r="CW243" s="13">
        <f>SUMIFS(SALIDAS_BIT,FECHA_BIT,"&gt;="&amp;CW$2,FECHA_BIT,"&lt;="&amp;CW$3,CLAVE_BIT,$A243)+SUMIFS(SALIDAS_BOV1,FECHA_BOV1,"&gt;="&amp;CW$2,FECHA_BOV1,"&lt;="&amp;CW$3,CLAVE_BOV1,$A243)+SUMIFS(SALIDAS_BOV2,FECHA_BOV2,"&gt;="&amp;CW$2,FECHA_BOV2,"&lt;="&amp;CW$3,CLAVE_BOV2,$A243)+SUMIFS(SALIDAS_BOV3,FECHA_BOV3,"&gt;="&amp;CW$2,FECHA_BOV3,"&lt;="&amp;CW$3,CLAVE_BOV3,$A243)+SUMIFS(SALIDAS_TC,FECHA_TC,"&gt;="&amp;CW$2,FECHA_TC,"&lt;="&amp;CW$3,CLAVE_TC,$A243)+SUMIFS(SALIDAS_COMB,FECHA_COMB,"&gt;="&amp;CW$2,FECHA_COMB,"&lt;="&amp;CW$3,CLAVE_COMB,$A243)+SUMIFS(SALIDAS_DES,FECHA_DESGLOSEN,"&gt;="&amp;CW$2,FECHA_DESGLOSEN,"&lt;="&amp;CW$3,CLAVE_DESGLOSE,$A243)</f>
        <v>0</v>
      </c>
      <c r="CX243" s="13">
        <f>SUMIFS(SALIDAS_BIT,FECHA_BIT,"&gt;="&amp;CX$2,FECHA_BIT,"&lt;="&amp;CX$3,CLAVE_BIT,$A243)+SUMIFS(SALIDAS_BOV1,FECHA_BOV1,"&gt;="&amp;CX$2,FECHA_BOV1,"&lt;="&amp;CX$3,CLAVE_BOV1,$A243)+SUMIFS(SALIDAS_BOV2,FECHA_BOV2,"&gt;="&amp;CX$2,FECHA_BOV2,"&lt;="&amp;CX$3,CLAVE_BOV2,$A243)+SUMIFS(SALIDAS_BOV3,FECHA_BOV3,"&gt;="&amp;CX$2,FECHA_BOV3,"&lt;="&amp;CX$3,CLAVE_BOV3,$A243)+SUMIFS(SALIDAS_TC,FECHA_TC,"&gt;="&amp;CX$2,FECHA_TC,"&lt;="&amp;CX$3,CLAVE_TC,$A243)+SUMIFS(SALIDAS_COMB,FECHA_COMB,"&gt;="&amp;CX$2,FECHA_COMB,"&lt;="&amp;CX$3,CLAVE_COMB,$A243)+SUMIFS(SALIDAS_DES,FECHA_DESGLOSEN,"&gt;="&amp;CX$2,FECHA_DESGLOSEN,"&lt;="&amp;CX$3,CLAVE_DESGLOSE,$A243)</f>
        <v>0</v>
      </c>
      <c r="CY243" s="13">
        <f>SUMIFS(SALIDAS_BIT,FECHA_BIT,"&gt;="&amp;CY$2,FECHA_BIT,"&lt;="&amp;CY$3,CLAVE_BIT,$A243)+SUMIFS(SALIDAS_BOV1,FECHA_BOV1,"&gt;="&amp;CY$2,FECHA_BOV1,"&lt;="&amp;CY$3,CLAVE_BOV1,$A243)+SUMIFS(SALIDAS_BOV2,FECHA_BOV2,"&gt;="&amp;CY$2,FECHA_BOV2,"&lt;="&amp;CY$3,CLAVE_BOV2,$A243)+SUMIFS(SALIDAS_BOV3,FECHA_BOV3,"&gt;="&amp;CY$2,FECHA_BOV3,"&lt;="&amp;CY$3,CLAVE_BOV3,$A243)+SUMIFS(SALIDAS_TC,FECHA_TC,"&gt;="&amp;CY$2,FECHA_TC,"&lt;="&amp;CY$3,CLAVE_TC,$A243)+SUMIFS(SALIDAS_COMB,FECHA_COMB,"&gt;="&amp;CY$2,FECHA_COMB,"&lt;="&amp;CY$3,CLAVE_COMB,$A243)+SUMIFS(SALIDAS_DES,FECHA_DESGLOSEN,"&gt;="&amp;CY$2,FECHA_DESGLOSEN,"&lt;="&amp;CY$3,CLAVE_DESGLOSE,$A243)</f>
        <v>0</v>
      </c>
      <c r="CZ243" s="68">
        <f t="shared" si="378"/>
        <v>0</v>
      </c>
      <c r="DB243" s="17">
        <f>F243+N243+W243+AE243+AM243+AV243+BD243+BL243+BU243+CC243+CK243</f>
        <v>4215</v>
      </c>
      <c r="DC243" s="17">
        <f>K243+T243+AB243+AJ243+AS243+BA243+BI243+BR243+BZ243+CH243+CQ243</f>
        <v>17593.099999999999</v>
      </c>
    </row>
    <row r="244" spans="1:107" hidden="1">
      <c r="A244" s="12" t="str">
        <f t="shared" si="351"/>
        <v>SERVICIOSMTTO EQ DE COMPUTOMTTO EQ DE COMPUTO</v>
      </c>
      <c r="B244">
        <v>246</v>
      </c>
      <c r="C244" t="s">
        <v>21</v>
      </c>
      <c r="D244" t="s">
        <v>143</v>
      </c>
      <c r="E244" t="s">
        <v>143</v>
      </c>
      <c r="F244" s="259">
        <f t="shared" si="344"/>
        <v>1400</v>
      </c>
      <c r="G244" s="13">
        <f t="shared" si="410"/>
        <v>0</v>
      </c>
      <c r="H244" s="13">
        <f t="shared" si="410"/>
        <v>0</v>
      </c>
      <c r="I244" s="13">
        <f t="shared" si="410"/>
        <v>0</v>
      </c>
      <c r="J244" s="13">
        <f t="shared" si="410"/>
        <v>0</v>
      </c>
      <c r="K244" s="13">
        <f t="shared" si="410"/>
        <v>0</v>
      </c>
      <c r="L244" s="68">
        <f t="shared" si="352"/>
        <v>1400</v>
      </c>
      <c r="M244" s="268">
        <f t="shared" si="353"/>
        <v>0</v>
      </c>
      <c r="N244" s="13">
        <f t="shared" si="345"/>
        <v>6693</v>
      </c>
      <c r="O244" s="13">
        <f t="shared" si="411"/>
        <v>522</v>
      </c>
      <c r="P244" s="13">
        <f t="shared" si="411"/>
        <v>1914</v>
      </c>
      <c r="Q244" s="13">
        <f t="shared" si="411"/>
        <v>0</v>
      </c>
      <c r="R244" s="13">
        <f t="shared" si="411"/>
        <v>0</v>
      </c>
      <c r="S244" s="13">
        <f t="shared" si="411"/>
        <v>0</v>
      </c>
      <c r="T244" s="13">
        <f t="shared" si="411"/>
        <v>2436</v>
      </c>
      <c r="U244" s="68">
        <f t="shared" si="354"/>
        <v>4257</v>
      </c>
      <c r="V244" s="268">
        <f t="shared" si="355"/>
        <v>0.36396234872254596</v>
      </c>
      <c r="W244" s="13">
        <f t="shared" si="346"/>
        <v>3389</v>
      </c>
      <c r="X244" s="13">
        <f t="shared" si="412"/>
        <v>0</v>
      </c>
      <c r="Y244" s="13">
        <f t="shared" si="412"/>
        <v>0</v>
      </c>
      <c r="Z244" s="13">
        <f t="shared" si="412"/>
        <v>0</v>
      </c>
      <c r="AA244" s="13">
        <f t="shared" si="412"/>
        <v>9270.7199999999993</v>
      </c>
      <c r="AB244" s="13">
        <f t="shared" si="412"/>
        <v>9270.7199999999993</v>
      </c>
      <c r="AC244" s="68">
        <f t="shared" si="356"/>
        <v>-5881.7199999999993</v>
      </c>
      <c r="AD244" s="268">
        <f t="shared" si="357"/>
        <v>2.7355326054883444</v>
      </c>
      <c r="AE244" s="13">
        <f t="shared" si="347"/>
        <v>9368</v>
      </c>
      <c r="AF244" s="13">
        <f t="shared" si="413"/>
        <v>0</v>
      </c>
      <c r="AG244" s="13">
        <f t="shared" si="413"/>
        <v>0</v>
      </c>
      <c r="AH244" s="13">
        <f t="shared" si="413"/>
        <v>0</v>
      </c>
      <c r="AI244" s="13">
        <f t="shared" si="413"/>
        <v>1040</v>
      </c>
      <c r="AJ244" s="13">
        <f t="shared" si="413"/>
        <v>1040</v>
      </c>
      <c r="AK244" s="68">
        <f t="shared" si="358"/>
        <v>8328</v>
      </c>
      <c r="AL244" s="268">
        <f t="shared" si="359"/>
        <v>0.11101622544833475</v>
      </c>
      <c r="AM244" s="13">
        <f t="shared" si="348"/>
        <v>4814</v>
      </c>
      <c r="AN244" s="13">
        <f t="shared" si="414"/>
        <v>0</v>
      </c>
      <c r="AO244" s="13">
        <f t="shared" si="414"/>
        <v>0</v>
      </c>
      <c r="AP244" s="13">
        <f t="shared" si="414"/>
        <v>0</v>
      </c>
      <c r="AQ244" s="13">
        <f t="shared" si="414"/>
        <v>0</v>
      </c>
      <c r="AR244" s="13">
        <f t="shared" si="414"/>
        <v>0</v>
      </c>
      <c r="AS244" s="13">
        <f t="shared" si="414"/>
        <v>0</v>
      </c>
      <c r="AT244" s="68">
        <f>AM244-AS244</f>
        <v>4814</v>
      </c>
      <c r="AU244" s="268">
        <f t="shared" si="360"/>
        <v>0</v>
      </c>
      <c r="AV244" s="13">
        <f t="shared" si="349"/>
        <v>1561</v>
      </c>
      <c r="AW244" s="13">
        <f t="shared" ref="AW244:AZ307" si="421">SUMIFS(SALIDAS_BIT,FECHA_BIT,"&gt;="&amp;AW$2,FECHA_BIT,"&lt;="&amp;AW$3,CLAVE_BIT,$A244)+SUMIFS(SALIDAS_BOV1,FECHA_BOV1,"&gt;="&amp;AW$2,FECHA_BOV1,"&lt;="&amp;AW$3,CLAVE_BOV1,$A244)+SUMIFS(SALIDAS_BOV2,FECHA_BOV2,"&gt;="&amp;AW$2,FECHA_BOV2,"&lt;="&amp;AW$3,CLAVE_BOV2,$A244)+SUMIFS(SALIDAS_BOV3,FECHA_BOV3,"&gt;="&amp;AW$2,FECHA_BOV3,"&lt;="&amp;AW$3,CLAVE_BOV3,$A244)+SUMIFS(SALIDAS_TC,FECHA_TC,"&gt;="&amp;AW$2,FECHA_TC,"&lt;="&amp;AW$3,CLAVE_TC,$A244)+SUMIFS(SALIDAS_COMB,FECHA_COMB,"&gt;="&amp;AW$2,FECHA_COMB,"&lt;="&amp;AW$3,CLAVE_COMB,$A244)+SUMIFS(SALIDAS_DES,FECHA_DESGLOSEN,"&gt;="&amp;AW$2,FECHA_DESGLOSEN,"&lt;="&amp;AW$3,CLAVE_DESGLOSE,$A244)</f>
        <v>0</v>
      </c>
      <c r="AX244" s="13">
        <f t="shared" si="421"/>
        <v>0</v>
      </c>
      <c r="AY244" s="13">
        <f t="shared" si="421"/>
        <v>0</v>
      </c>
      <c r="AZ244" s="13">
        <f t="shared" si="421"/>
        <v>0</v>
      </c>
      <c r="BA244" s="13">
        <f t="shared" si="379"/>
        <v>0</v>
      </c>
      <c r="BB244" s="68">
        <f t="shared" si="361"/>
        <v>1561</v>
      </c>
      <c r="BC244" s="268">
        <f t="shared" si="362"/>
        <v>0</v>
      </c>
      <c r="BD244" s="13">
        <f t="shared" si="363"/>
        <v>980</v>
      </c>
      <c r="BE244" s="13">
        <f>SUMIFS(SALIDAS_BIT,FECHA_BIT,"&gt;="&amp;BE$2,FECHA_BIT,"&lt;="&amp;BE$3,CLAVE_BIT,$A244)+SUMIFS(SALIDAS_BOV1,FECHA_BOV1,"&gt;="&amp;BE$2,FECHA_BOV1,"&lt;="&amp;BE$3,CLAVE_BOV1,$A244)+SUMIFS(SALIDAS_BOV2,FECHA_BOV2,"&gt;="&amp;BE$2,FECHA_BOV2,"&lt;="&amp;BE$3,CLAVE_BOV2,$A244)+SUMIFS(SALIDAS_BOV3,FECHA_BOV3,"&gt;="&amp;BE$2,FECHA_BOV3,"&lt;="&amp;BE$3,CLAVE_BOV3,$A244)+SUMIFS(SALIDAS_TC,FECHA_TC,"&gt;="&amp;BE$2,FECHA_TC,"&lt;="&amp;BE$3,CLAVE_TC,$A244)+SUMIFS(SALIDAS_COMB,FECHA_COMB,"&gt;="&amp;BE$2,FECHA_COMB,"&lt;="&amp;BE$3,CLAVE_COMB,$A244)+SUMIFS(SALIDAS_DES,FECHA_DESGLOSEN,"&gt;="&amp;BE$2,FECHA_DESGLOSEN,"&lt;="&amp;BE$3,CLAVE_DESGLOSE,$A244)</f>
        <v>0</v>
      </c>
      <c r="BF244" s="13">
        <f>SUMIFS(SALIDAS_BIT,FECHA_BIT,"&gt;="&amp;BF$2,FECHA_BIT,"&lt;="&amp;BF$3,CLAVE_BIT,$A244)+SUMIFS(SALIDAS_BOV1,FECHA_BOV1,"&gt;="&amp;BF$2,FECHA_BOV1,"&lt;="&amp;BF$3,CLAVE_BOV1,$A244)+SUMIFS(SALIDAS_BOV2,FECHA_BOV2,"&gt;="&amp;BF$2,FECHA_BOV2,"&lt;="&amp;BF$3,CLAVE_BOV2,$A244)+SUMIFS(SALIDAS_BOV3,FECHA_BOV3,"&gt;="&amp;BF$2,FECHA_BOV3,"&lt;="&amp;BF$3,CLAVE_BOV3,$A244)+SUMIFS(SALIDAS_TC,FECHA_TC,"&gt;="&amp;BF$2,FECHA_TC,"&lt;="&amp;BF$3,CLAVE_TC,$A244)+SUMIFS(SALIDAS_COMB,FECHA_COMB,"&gt;="&amp;BF$2,FECHA_COMB,"&lt;="&amp;BF$3,CLAVE_COMB,$A244)+SUMIFS(SALIDAS_DES,FECHA_DESGLOSEN,"&gt;="&amp;BF$2,FECHA_DESGLOSEN,"&lt;="&amp;BF$3,CLAVE_DESGLOSE,$A244)</f>
        <v>0</v>
      </c>
      <c r="BG244" s="13">
        <f>SUMIFS(SALIDAS_BIT,FECHA_BIT,"&gt;="&amp;BG$2,FECHA_BIT,"&lt;="&amp;BG$3,CLAVE_BIT,$A244)+SUMIFS(SALIDAS_BOV1,FECHA_BOV1,"&gt;="&amp;BG$2,FECHA_BOV1,"&lt;="&amp;BG$3,CLAVE_BOV1,$A244)+SUMIFS(SALIDAS_BOV2,FECHA_BOV2,"&gt;="&amp;BG$2,FECHA_BOV2,"&lt;="&amp;BG$3,CLAVE_BOV2,$A244)+SUMIFS(SALIDAS_BOV3,FECHA_BOV3,"&gt;="&amp;BG$2,FECHA_BOV3,"&lt;="&amp;BG$3,CLAVE_BOV3,$A244)+SUMIFS(SALIDAS_TC,FECHA_TC,"&gt;="&amp;BG$2,FECHA_TC,"&lt;="&amp;BG$3,CLAVE_TC,$A244)+SUMIFS(SALIDAS_COMB,FECHA_COMB,"&gt;="&amp;BG$2,FECHA_COMB,"&lt;="&amp;BG$3,CLAVE_COMB,$A244)+SUMIFS(SALIDAS_DES,FECHA_DESGLOSEN,"&gt;="&amp;BG$2,FECHA_DESGLOSEN,"&lt;="&amp;BG$3,CLAVE_DESGLOSE,$A244)</f>
        <v>0</v>
      </c>
      <c r="BH244" s="13">
        <f>SUMIFS(SALIDAS_BIT,FECHA_BIT,"&gt;="&amp;BH$2,FECHA_BIT,"&lt;="&amp;BH$3,CLAVE_BIT,$A244)+SUMIFS(SALIDAS_BOV1,FECHA_BOV1,"&gt;="&amp;BH$2,FECHA_BOV1,"&lt;="&amp;BH$3,CLAVE_BOV1,$A244)+SUMIFS(SALIDAS_BOV2,FECHA_BOV2,"&gt;="&amp;BH$2,FECHA_BOV2,"&lt;="&amp;BH$3,CLAVE_BOV2,$A244)+SUMIFS(SALIDAS_BOV3,FECHA_BOV3,"&gt;="&amp;BH$2,FECHA_BOV3,"&lt;="&amp;BH$3,CLAVE_BOV3,$A244)+SUMIFS(SALIDAS_TC,FECHA_TC,"&gt;="&amp;BH$2,FECHA_TC,"&lt;="&amp;BH$3,CLAVE_TC,$A244)+SUMIFS(SALIDAS_COMB,FECHA_COMB,"&gt;="&amp;BH$2,FECHA_COMB,"&lt;="&amp;BH$3,CLAVE_COMB,$A244)+SUMIFS(SALIDAS_DES,FECHA_DESGLOSEN,"&gt;="&amp;BH$2,FECHA_DESGLOSEN,"&lt;="&amp;BH$3,CLAVE_DESGLOSE,$A244)</f>
        <v>0</v>
      </c>
      <c r="BI244" s="13">
        <f t="shared" si="419"/>
        <v>0</v>
      </c>
      <c r="BJ244" s="68">
        <f t="shared" si="364"/>
        <v>980</v>
      </c>
      <c r="BK244" s="268">
        <f t="shared" si="365"/>
        <v>0</v>
      </c>
      <c r="BL244" s="13">
        <f t="shared" si="366"/>
        <v>27243</v>
      </c>
      <c r="BM244" s="13">
        <f>SUMIFS(SALIDAS_BIT,FECHA_BIT,"&gt;="&amp;BM$2,FECHA_BIT,"&lt;="&amp;BM$3,CLAVE_BIT,$A244)+SUMIFS(SALIDAS_BOV1,FECHA_BOV1,"&gt;="&amp;BM$2,FECHA_BOV1,"&lt;="&amp;BM$3,CLAVE_BOV1,$A244)+SUMIFS(SALIDAS_BOV2,FECHA_BOV2,"&gt;="&amp;BM$2,FECHA_BOV2,"&lt;="&amp;BM$3,CLAVE_BOV2,$A244)+SUMIFS(SALIDAS_BOV3,FECHA_BOV3,"&gt;="&amp;BM$2,FECHA_BOV3,"&lt;="&amp;BM$3,CLAVE_BOV3,$A244)+SUMIFS(SALIDAS_TC,FECHA_TC,"&gt;="&amp;BM$2,FECHA_TC,"&lt;="&amp;BM$3,CLAVE_TC,$A244)+SUMIFS(SALIDAS_COMB,FECHA_COMB,"&gt;="&amp;BM$2,FECHA_COMB,"&lt;="&amp;BM$3,CLAVE_COMB,$A244)+SUMIFS(SALIDAS_DES,FECHA_DESGLOSEN,"&gt;="&amp;BM$2,FECHA_DESGLOSEN,"&lt;="&amp;BM$3,CLAVE_DESGLOSE,$A244)</f>
        <v>0</v>
      </c>
      <c r="BN244" s="13">
        <f>SUMIFS(SALIDAS_BIT,FECHA_BIT,"&gt;="&amp;BN$2,FECHA_BIT,"&lt;="&amp;BN$3,CLAVE_BIT,$A244)+SUMIFS(SALIDAS_BOV1,FECHA_BOV1,"&gt;="&amp;BN$2,FECHA_BOV1,"&lt;="&amp;BN$3,CLAVE_BOV1,$A244)+SUMIFS(SALIDAS_BOV2,FECHA_BOV2,"&gt;="&amp;BN$2,FECHA_BOV2,"&lt;="&amp;BN$3,CLAVE_BOV2,$A244)+SUMIFS(SALIDAS_BOV3,FECHA_BOV3,"&gt;="&amp;BN$2,FECHA_BOV3,"&lt;="&amp;BN$3,CLAVE_BOV3,$A244)+SUMIFS(SALIDAS_TC,FECHA_TC,"&gt;="&amp;BN$2,FECHA_TC,"&lt;="&amp;BN$3,CLAVE_TC,$A244)+SUMIFS(SALIDAS_COMB,FECHA_COMB,"&gt;="&amp;BN$2,FECHA_COMB,"&lt;="&amp;BN$3,CLAVE_COMB,$A244)+SUMIFS(SALIDAS_DES,FECHA_DESGLOSEN,"&gt;="&amp;BN$2,FECHA_DESGLOSEN,"&lt;="&amp;BN$3,CLAVE_DESGLOSE,$A244)</f>
        <v>10951.98</v>
      </c>
      <c r="BO244" s="13">
        <f>SUMIFS(SALIDAS_BIT,FECHA_BIT,"&gt;="&amp;BO$2,FECHA_BIT,"&lt;="&amp;BO$3,CLAVE_BIT,$A244)+SUMIFS(SALIDAS_BOV1,FECHA_BOV1,"&gt;="&amp;BO$2,FECHA_BOV1,"&lt;="&amp;BO$3,CLAVE_BOV1,$A244)+SUMIFS(SALIDAS_BOV2,FECHA_BOV2,"&gt;="&amp;BO$2,FECHA_BOV2,"&lt;="&amp;BO$3,CLAVE_BOV2,$A244)+SUMIFS(SALIDAS_BOV3,FECHA_BOV3,"&gt;="&amp;BO$2,FECHA_BOV3,"&lt;="&amp;BO$3,CLAVE_BOV3,$A244)+SUMIFS(SALIDAS_TC,FECHA_TC,"&gt;="&amp;BO$2,FECHA_TC,"&lt;="&amp;BO$3,CLAVE_TC,$A244)+SUMIFS(SALIDAS_COMB,FECHA_COMB,"&gt;="&amp;BO$2,FECHA_COMB,"&lt;="&amp;BO$3,CLAVE_COMB,$A244)+SUMIFS(SALIDAS_DES,FECHA_DESGLOSEN,"&gt;="&amp;BO$2,FECHA_DESGLOSEN,"&lt;="&amp;BO$3,CLAVE_DESGLOSE,$A244)</f>
        <v>0</v>
      </c>
      <c r="BP244" s="13">
        <f>SUMIFS(SALIDAS_BIT,FECHA_BIT,"&gt;="&amp;BP$2,FECHA_BIT,"&lt;="&amp;BP$3,CLAVE_BIT,$A244)+SUMIFS(SALIDAS_BOV1,FECHA_BOV1,"&gt;="&amp;BP$2,FECHA_BOV1,"&lt;="&amp;BP$3,CLAVE_BOV1,$A244)+SUMIFS(SALIDAS_BOV2,FECHA_BOV2,"&gt;="&amp;BP$2,FECHA_BOV2,"&lt;="&amp;BP$3,CLAVE_BOV2,$A244)+SUMIFS(SALIDAS_BOV3,FECHA_BOV3,"&gt;="&amp;BP$2,FECHA_BOV3,"&lt;="&amp;BP$3,CLAVE_BOV3,$A244)+SUMIFS(SALIDAS_TC,FECHA_TC,"&gt;="&amp;BP$2,FECHA_TC,"&lt;="&amp;BP$3,CLAVE_TC,$A244)+SUMIFS(SALIDAS_COMB,FECHA_COMB,"&gt;="&amp;BP$2,FECHA_COMB,"&lt;="&amp;BP$3,CLAVE_COMB,$A244)+SUMIFS(SALIDAS_DES,FECHA_DESGLOSEN,"&gt;="&amp;BP$2,FECHA_DESGLOSEN,"&lt;="&amp;BP$3,CLAVE_DESGLOSE,$A244)</f>
        <v>0</v>
      </c>
      <c r="BQ244" s="13">
        <f>SUMIFS(SALIDAS_BIT,FECHA_BIT,"&gt;="&amp;BQ$2,FECHA_BIT,"&lt;="&amp;BQ$3,CLAVE_BIT,$A244)+SUMIFS(SALIDAS_BOV1,FECHA_BOV1,"&gt;="&amp;BQ$2,FECHA_BOV1,"&lt;="&amp;BQ$3,CLAVE_BOV1,$A244)+SUMIFS(SALIDAS_BOV2,FECHA_BOV2,"&gt;="&amp;BQ$2,FECHA_BOV2,"&lt;="&amp;BQ$3,CLAVE_BOV2,$A244)+SUMIFS(SALIDAS_BOV3,FECHA_BOV3,"&gt;="&amp;BQ$2,FECHA_BOV3,"&lt;="&amp;BQ$3,CLAVE_BOV3,$A244)+SUMIFS(SALIDAS_TC,FECHA_TC,"&gt;="&amp;BQ$2,FECHA_TC,"&lt;="&amp;BQ$3,CLAVE_TC,$A244)+SUMIFS(SALIDAS_COMB,FECHA_COMB,"&gt;="&amp;BQ$2,FECHA_COMB,"&lt;="&amp;BQ$3,CLAVE_COMB,$A244)+SUMIFS(SALIDAS_DES,FECHA_DESGLOSEN,"&gt;="&amp;BQ$2,FECHA_DESGLOSEN,"&lt;="&amp;BQ$3,CLAVE_DESGLOSE,$A244)</f>
        <v>0</v>
      </c>
      <c r="BR244" s="13">
        <f t="shared" si="415"/>
        <v>10951.98</v>
      </c>
      <c r="BS244" s="68">
        <f t="shared" si="367"/>
        <v>16291.02</v>
      </c>
      <c r="BT244" s="268">
        <f t="shared" si="368"/>
        <v>0.40201079176302168</v>
      </c>
      <c r="BU244" s="13">
        <f t="shared" si="369"/>
        <v>4500</v>
      </c>
      <c r="BV244" s="13">
        <f t="shared" si="389"/>
        <v>0</v>
      </c>
      <c r="BW244" s="13">
        <f t="shared" si="389"/>
        <v>0</v>
      </c>
      <c r="BX244" s="13">
        <f t="shared" si="389"/>
        <v>1334</v>
      </c>
      <c r="BY244" s="13">
        <f t="shared" si="389"/>
        <v>0</v>
      </c>
      <c r="BZ244" s="13">
        <f t="shared" si="416"/>
        <v>1334</v>
      </c>
      <c r="CA244" s="68">
        <f t="shared" si="370"/>
        <v>3166</v>
      </c>
      <c r="CB244" s="268">
        <f t="shared" si="371"/>
        <v>0.29644444444444445</v>
      </c>
      <c r="CC244" s="13">
        <f t="shared" si="372"/>
        <v>4500</v>
      </c>
      <c r="CD244" s="13">
        <f t="shared" si="390"/>
        <v>979</v>
      </c>
      <c r="CE244" s="13">
        <f t="shared" si="390"/>
        <v>0</v>
      </c>
      <c r="CF244" s="13">
        <f t="shared" si="390"/>
        <v>0</v>
      </c>
      <c r="CG244" s="13">
        <f t="shared" si="390"/>
        <v>0</v>
      </c>
      <c r="CH244" s="13">
        <f t="shared" si="417"/>
        <v>979</v>
      </c>
      <c r="CI244" s="68">
        <f t="shared" si="373"/>
        <v>3521</v>
      </c>
      <c r="CJ244" s="268">
        <f t="shared" si="374"/>
        <v>0.21755555555555556</v>
      </c>
      <c r="CK244" s="13">
        <f t="shared" si="375"/>
        <v>4500</v>
      </c>
      <c r="CL244" s="13">
        <f t="shared" si="400"/>
        <v>2192</v>
      </c>
      <c r="CM244" s="13">
        <f t="shared" si="400"/>
        <v>0</v>
      </c>
      <c r="CN244" s="13">
        <f t="shared" si="400"/>
        <v>0</v>
      </c>
      <c r="CO244" s="13">
        <f t="shared" si="400"/>
        <v>0</v>
      </c>
      <c r="CP244" s="13">
        <f t="shared" si="400"/>
        <v>0</v>
      </c>
      <c r="CQ244" s="13">
        <f t="shared" si="418"/>
        <v>2192</v>
      </c>
      <c r="CR244" s="68">
        <f t="shared" si="376"/>
        <v>2308</v>
      </c>
      <c r="CS244" s="268">
        <f t="shared" si="377"/>
        <v>0.48711111111111111</v>
      </c>
      <c r="CT244" s="68">
        <f t="shared" si="350"/>
        <v>1000</v>
      </c>
      <c r="CU244" s="13">
        <f>SUMIFS(SALIDAS_BIT,FECHA_BIT,"&gt;="&amp;CU$2,FECHA_BIT,"&lt;="&amp;CU$3,CLAVE_BIT,$A244)+SUMIFS(SALIDAS_BOV1,FECHA_BOV1,"&gt;="&amp;CU$2,FECHA_BOV1,"&lt;="&amp;CU$3,CLAVE_BOV1,$A244)+SUMIFS(SALIDAS_BOV2,FECHA_BOV2,"&gt;="&amp;CU$2,FECHA_BOV2,"&lt;="&amp;CU$3,CLAVE_BOV2,$A244)+SUMIFS(SALIDAS_BOV3,FECHA_BOV3,"&gt;="&amp;CU$2,FECHA_BOV3,"&lt;="&amp;CU$3,CLAVE_BOV3,$A244)+SUMIFS(SALIDAS_TC,FECHA_TC,"&gt;="&amp;CU$2,FECHA_TC,"&lt;="&amp;CU$3,CLAVE_TC,$A244)+SUMIFS(SALIDAS_COMB,FECHA_COMB,"&gt;="&amp;CU$2,FECHA_COMB,"&lt;="&amp;CU$3,CLAVE_COMB,$A244)+SUMIFS(SALIDAS_DES,FECHA_DESGLOSEN,"&gt;="&amp;CU$2,FECHA_DESGLOSEN,"&lt;="&amp;CU$3,CLAVE_DESGLOSE,$A244)</f>
        <v>0</v>
      </c>
      <c r="CV244" s="13">
        <f>SUMIFS(SALIDAS_BIT,FECHA_BIT,"&gt;="&amp;CV$2,FECHA_BIT,"&lt;="&amp;CV$3,CLAVE_BIT,$A244)+SUMIFS(SALIDAS_BOV1,FECHA_BOV1,"&gt;="&amp;CV$2,FECHA_BOV1,"&lt;="&amp;CV$3,CLAVE_BOV1,$A244)+SUMIFS(SALIDAS_BOV2,FECHA_BOV2,"&gt;="&amp;CV$2,FECHA_BOV2,"&lt;="&amp;CV$3,CLAVE_BOV2,$A244)+SUMIFS(SALIDAS_BOV3,FECHA_BOV3,"&gt;="&amp;CV$2,FECHA_BOV3,"&lt;="&amp;CV$3,CLAVE_BOV3,$A244)+SUMIFS(SALIDAS_TC,FECHA_TC,"&gt;="&amp;CV$2,FECHA_TC,"&lt;="&amp;CV$3,CLAVE_TC,$A244)+SUMIFS(SALIDAS_COMB,FECHA_COMB,"&gt;="&amp;CV$2,FECHA_COMB,"&lt;="&amp;CV$3,CLAVE_COMB,$A244)+SUMIFS(SALIDAS_DES,FECHA_DESGLOSEN,"&gt;="&amp;CV$2,FECHA_DESGLOSEN,"&lt;="&amp;CV$3,CLAVE_DESGLOSE,$A244)</f>
        <v>812</v>
      </c>
      <c r="CW244" s="13">
        <f>SUMIFS(SALIDAS_BIT,FECHA_BIT,"&gt;="&amp;CW$2,FECHA_BIT,"&lt;="&amp;CW$3,CLAVE_BIT,$A244)+SUMIFS(SALIDAS_BOV1,FECHA_BOV1,"&gt;="&amp;CW$2,FECHA_BOV1,"&lt;="&amp;CW$3,CLAVE_BOV1,$A244)+SUMIFS(SALIDAS_BOV2,FECHA_BOV2,"&gt;="&amp;CW$2,FECHA_BOV2,"&lt;="&amp;CW$3,CLAVE_BOV2,$A244)+SUMIFS(SALIDAS_BOV3,FECHA_BOV3,"&gt;="&amp;CW$2,FECHA_BOV3,"&lt;="&amp;CW$3,CLAVE_BOV3,$A244)+SUMIFS(SALIDAS_TC,FECHA_TC,"&gt;="&amp;CW$2,FECHA_TC,"&lt;="&amp;CW$3,CLAVE_TC,$A244)+SUMIFS(SALIDAS_COMB,FECHA_COMB,"&gt;="&amp;CW$2,FECHA_COMB,"&lt;="&amp;CW$3,CLAVE_COMB,$A244)+SUMIFS(SALIDAS_DES,FECHA_DESGLOSEN,"&gt;="&amp;CW$2,FECHA_DESGLOSEN,"&lt;="&amp;CW$3,CLAVE_DESGLOSE,$A244)</f>
        <v>0</v>
      </c>
      <c r="CX244" s="13">
        <f>SUMIFS(SALIDAS_BIT,FECHA_BIT,"&gt;="&amp;CX$2,FECHA_BIT,"&lt;="&amp;CX$3,CLAVE_BIT,$A244)+SUMIFS(SALIDAS_BOV1,FECHA_BOV1,"&gt;="&amp;CX$2,FECHA_BOV1,"&lt;="&amp;CX$3,CLAVE_BOV1,$A244)+SUMIFS(SALIDAS_BOV2,FECHA_BOV2,"&gt;="&amp;CX$2,FECHA_BOV2,"&lt;="&amp;CX$3,CLAVE_BOV2,$A244)+SUMIFS(SALIDAS_BOV3,FECHA_BOV3,"&gt;="&amp;CX$2,FECHA_BOV3,"&lt;="&amp;CX$3,CLAVE_BOV3,$A244)+SUMIFS(SALIDAS_TC,FECHA_TC,"&gt;="&amp;CX$2,FECHA_TC,"&lt;="&amp;CX$3,CLAVE_TC,$A244)+SUMIFS(SALIDAS_COMB,FECHA_COMB,"&gt;="&amp;CX$2,FECHA_COMB,"&lt;="&amp;CX$3,CLAVE_COMB,$A244)+SUMIFS(SALIDAS_DES,FECHA_DESGLOSEN,"&gt;="&amp;CX$2,FECHA_DESGLOSEN,"&lt;="&amp;CX$3,CLAVE_DESGLOSE,$A244)</f>
        <v>0</v>
      </c>
      <c r="CY244" s="13">
        <f>SUMIFS(SALIDAS_BIT,FECHA_BIT,"&gt;="&amp;CY$2,FECHA_BIT,"&lt;="&amp;CY$3,CLAVE_BIT,$A244)+SUMIFS(SALIDAS_BOV1,FECHA_BOV1,"&gt;="&amp;CY$2,FECHA_BOV1,"&lt;="&amp;CY$3,CLAVE_BOV1,$A244)+SUMIFS(SALIDAS_BOV2,FECHA_BOV2,"&gt;="&amp;CY$2,FECHA_BOV2,"&lt;="&amp;CY$3,CLAVE_BOV2,$A244)+SUMIFS(SALIDAS_BOV3,FECHA_BOV3,"&gt;="&amp;CY$2,FECHA_BOV3,"&lt;="&amp;CY$3,CLAVE_BOV3,$A244)+SUMIFS(SALIDAS_TC,FECHA_TC,"&gt;="&amp;CY$2,FECHA_TC,"&lt;="&amp;CY$3,CLAVE_TC,$A244)+SUMIFS(SALIDAS_COMB,FECHA_COMB,"&gt;="&amp;CY$2,FECHA_COMB,"&lt;="&amp;CY$3,CLAVE_COMB,$A244)+SUMIFS(SALIDAS_DES,FECHA_DESGLOSEN,"&gt;="&amp;CY$2,FECHA_DESGLOSEN,"&lt;="&amp;CY$3,CLAVE_DESGLOSE,$A244)</f>
        <v>812</v>
      </c>
      <c r="CZ244" s="68">
        <f t="shared" si="378"/>
        <v>188</v>
      </c>
      <c r="DB244" s="17">
        <f>F244+N244+W244+AE244+AM244+AV244+BD244+BL244+BU244+CC244+CK244</f>
        <v>68948</v>
      </c>
      <c r="DC244" s="17">
        <f>K244+T244+AB244+AJ244+AS244+BA244+BI244+BR244+BZ244+CH244+CQ244</f>
        <v>28203.699999999997</v>
      </c>
    </row>
    <row r="245" spans="1:107" hidden="1">
      <c r="A245" s="12" t="str">
        <f t="shared" si="351"/>
        <v>SERVICIOSPAQUETERIACEDIS (E6)</v>
      </c>
      <c r="B245">
        <v>247</v>
      </c>
      <c r="C245" t="s">
        <v>21</v>
      </c>
      <c r="D245" t="s">
        <v>160</v>
      </c>
      <c r="E245" t="s">
        <v>161</v>
      </c>
      <c r="F245" s="259">
        <f t="shared" si="344"/>
        <v>5000</v>
      </c>
      <c r="G245" s="13">
        <f t="shared" si="410"/>
        <v>2149.3000000000002</v>
      </c>
      <c r="H245" s="13">
        <f t="shared" si="410"/>
        <v>2496.92</v>
      </c>
      <c r="I245" s="13">
        <f t="shared" si="410"/>
        <v>0</v>
      </c>
      <c r="J245" s="13">
        <f t="shared" si="410"/>
        <v>4102.96</v>
      </c>
      <c r="K245" s="13">
        <f t="shared" si="410"/>
        <v>8749.18</v>
      </c>
      <c r="L245" s="68">
        <f t="shared" si="352"/>
        <v>-3749.1800000000003</v>
      </c>
      <c r="M245" s="268">
        <f t="shared" si="353"/>
        <v>1.7498360000000002</v>
      </c>
      <c r="N245" s="13">
        <f t="shared" si="345"/>
        <v>5000</v>
      </c>
      <c r="O245" s="13">
        <f t="shared" si="411"/>
        <v>2365.7600000000002</v>
      </c>
      <c r="P245" s="13">
        <f t="shared" si="411"/>
        <v>1889.01</v>
      </c>
      <c r="Q245" s="13">
        <f t="shared" si="411"/>
        <v>2794.93</v>
      </c>
      <c r="R245" s="13">
        <f t="shared" si="411"/>
        <v>2922.9</v>
      </c>
      <c r="S245" s="13">
        <f t="shared" si="411"/>
        <v>1969.43</v>
      </c>
      <c r="T245" s="13">
        <f t="shared" si="411"/>
        <v>11942.03</v>
      </c>
      <c r="U245" s="68">
        <f t="shared" si="354"/>
        <v>-6942.0300000000007</v>
      </c>
      <c r="V245" s="268">
        <f t="shared" si="355"/>
        <v>2.3884060000000003</v>
      </c>
      <c r="W245" s="13">
        <f t="shared" si="346"/>
        <v>5000</v>
      </c>
      <c r="X245" s="13">
        <f t="shared" si="412"/>
        <v>2203.4900000000002</v>
      </c>
      <c r="Y245" s="13">
        <f t="shared" si="412"/>
        <v>1974</v>
      </c>
      <c r="Z245" s="13">
        <f t="shared" si="412"/>
        <v>2587.98</v>
      </c>
      <c r="AA245" s="13">
        <f t="shared" si="412"/>
        <v>3572.59</v>
      </c>
      <c r="AB245" s="13">
        <f t="shared" si="412"/>
        <v>10338.06</v>
      </c>
      <c r="AC245" s="68">
        <f t="shared" si="356"/>
        <v>-5338.0599999999995</v>
      </c>
      <c r="AD245" s="268">
        <f t="shared" si="357"/>
        <v>2.067612</v>
      </c>
      <c r="AE245" s="13">
        <f t="shared" si="347"/>
        <v>5000</v>
      </c>
      <c r="AF245" s="13">
        <f t="shared" si="413"/>
        <v>1074.92</v>
      </c>
      <c r="AG245" s="13">
        <f t="shared" si="413"/>
        <v>4790.12</v>
      </c>
      <c r="AH245" s="13">
        <f t="shared" si="413"/>
        <v>2901.09</v>
      </c>
      <c r="AI245" s="13">
        <f t="shared" si="413"/>
        <v>0</v>
      </c>
      <c r="AJ245" s="13">
        <f t="shared" si="413"/>
        <v>8766.130000000001</v>
      </c>
      <c r="AK245" s="68">
        <f t="shared" si="358"/>
        <v>-3766.130000000001</v>
      </c>
      <c r="AL245" s="268">
        <f t="shared" si="359"/>
        <v>1.7532260000000002</v>
      </c>
      <c r="AM245" s="13">
        <f t="shared" si="348"/>
        <v>5000</v>
      </c>
      <c r="AN245" s="13">
        <f t="shared" si="414"/>
        <v>2142.54</v>
      </c>
      <c r="AO245" s="13">
        <f t="shared" si="414"/>
        <v>2017.97</v>
      </c>
      <c r="AP245" s="13">
        <f t="shared" si="414"/>
        <v>2279.4699999999998</v>
      </c>
      <c r="AQ245" s="13">
        <f t="shared" si="414"/>
        <v>2498.19</v>
      </c>
      <c r="AR245" s="13">
        <f t="shared" si="414"/>
        <v>0</v>
      </c>
      <c r="AS245" s="13">
        <f t="shared" si="414"/>
        <v>8938.17</v>
      </c>
      <c r="AT245" s="68">
        <f>AM245-AS245</f>
        <v>-3938.17</v>
      </c>
      <c r="AU245" s="268">
        <f t="shared" si="360"/>
        <v>1.7876339999999999</v>
      </c>
      <c r="AV245" s="13">
        <f t="shared" si="349"/>
        <v>5000</v>
      </c>
      <c r="AW245" s="13">
        <f t="shared" si="421"/>
        <v>3069.78</v>
      </c>
      <c r="AX245" s="13">
        <f t="shared" si="421"/>
        <v>2260.08</v>
      </c>
      <c r="AY245" s="13">
        <f t="shared" si="421"/>
        <v>2057.6799999999998</v>
      </c>
      <c r="AZ245" s="13">
        <f t="shared" si="421"/>
        <v>1697.23</v>
      </c>
      <c r="BA245" s="13">
        <f t="shared" si="379"/>
        <v>9084.77</v>
      </c>
      <c r="BB245" s="68">
        <f t="shared" si="361"/>
        <v>-4084.7700000000004</v>
      </c>
      <c r="BC245" s="268">
        <f t="shared" si="362"/>
        <v>1.8169540000000002</v>
      </c>
      <c r="BD245" s="13">
        <f t="shared" si="363"/>
        <v>5000</v>
      </c>
      <c r="BE245" s="13">
        <f>SUMIFS(SALIDAS_BIT,FECHA_BIT,"&gt;="&amp;BE$2,FECHA_BIT,"&lt;="&amp;BE$3,CLAVE_BIT,$A245)+SUMIFS(SALIDAS_BOV1,FECHA_BOV1,"&gt;="&amp;BE$2,FECHA_BOV1,"&lt;="&amp;BE$3,CLAVE_BOV1,$A245)+SUMIFS(SALIDAS_BOV2,FECHA_BOV2,"&gt;="&amp;BE$2,FECHA_BOV2,"&lt;="&amp;BE$3,CLAVE_BOV2,$A245)+SUMIFS(SALIDAS_BOV3,FECHA_BOV3,"&gt;="&amp;BE$2,FECHA_BOV3,"&lt;="&amp;BE$3,CLAVE_BOV3,$A245)+SUMIFS(SALIDAS_TC,FECHA_TC,"&gt;="&amp;BE$2,FECHA_TC,"&lt;="&amp;BE$3,CLAVE_TC,$A245)+SUMIFS(SALIDAS_COMB,FECHA_COMB,"&gt;="&amp;BE$2,FECHA_COMB,"&lt;="&amp;BE$3,CLAVE_COMB,$A245)+SUMIFS(SALIDAS_DES,FECHA_DESGLOSEN,"&gt;="&amp;BE$2,FECHA_DESGLOSEN,"&lt;="&amp;BE$3,CLAVE_DESGLOSE,$A245)</f>
        <v>1873.33</v>
      </c>
      <c r="BF245" s="13">
        <f>SUMIFS(SALIDAS_BIT,FECHA_BIT,"&gt;="&amp;BF$2,FECHA_BIT,"&lt;="&amp;BF$3,CLAVE_BIT,$A245)+SUMIFS(SALIDAS_BOV1,FECHA_BOV1,"&gt;="&amp;BF$2,FECHA_BOV1,"&lt;="&amp;BF$3,CLAVE_BOV1,$A245)+SUMIFS(SALIDAS_BOV2,FECHA_BOV2,"&gt;="&amp;BF$2,FECHA_BOV2,"&lt;="&amp;BF$3,CLAVE_BOV2,$A245)+SUMIFS(SALIDAS_BOV3,FECHA_BOV3,"&gt;="&amp;BF$2,FECHA_BOV3,"&lt;="&amp;BF$3,CLAVE_BOV3,$A245)+SUMIFS(SALIDAS_TC,FECHA_TC,"&gt;="&amp;BF$2,FECHA_TC,"&lt;="&amp;BF$3,CLAVE_TC,$A245)+SUMIFS(SALIDAS_COMB,FECHA_COMB,"&gt;="&amp;BF$2,FECHA_COMB,"&lt;="&amp;BF$3,CLAVE_COMB,$A245)+SUMIFS(SALIDAS_DES,FECHA_DESGLOSEN,"&gt;="&amp;BF$2,FECHA_DESGLOSEN,"&lt;="&amp;BF$3,CLAVE_DESGLOSE,$A245)</f>
        <v>1450.45</v>
      </c>
      <c r="BG245" s="13">
        <f>SUMIFS(SALIDAS_BIT,FECHA_BIT,"&gt;="&amp;BG$2,FECHA_BIT,"&lt;="&amp;BG$3,CLAVE_BIT,$A245)+SUMIFS(SALIDAS_BOV1,FECHA_BOV1,"&gt;="&amp;BG$2,FECHA_BOV1,"&lt;="&amp;BG$3,CLAVE_BOV1,$A245)+SUMIFS(SALIDAS_BOV2,FECHA_BOV2,"&gt;="&amp;BG$2,FECHA_BOV2,"&lt;="&amp;BG$3,CLAVE_BOV2,$A245)+SUMIFS(SALIDAS_BOV3,FECHA_BOV3,"&gt;="&amp;BG$2,FECHA_BOV3,"&lt;="&amp;BG$3,CLAVE_BOV3,$A245)+SUMIFS(SALIDAS_TC,FECHA_TC,"&gt;="&amp;BG$2,FECHA_TC,"&lt;="&amp;BG$3,CLAVE_TC,$A245)+SUMIFS(SALIDAS_COMB,FECHA_COMB,"&gt;="&amp;BG$2,FECHA_COMB,"&lt;="&amp;BG$3,CLAVE_COMB,$A245)+SUMIFS(SALIDAS_DES,FECHA_DESGLOSEN,"&gt;="&amp;BG$2,FECHA_DESGLOSEN,"&lt;="&amp;BG$3,CLAVE_DESGLOSE,$A245)</f>
        <v>2223.2600000000002</v>
      </c>
      <c r="BH245" s="13">
        <f>SUMIFS(SALIDAS_BIT,FECHA_BIT,"&gt;="&amp;BH$2,FECHA_BIT,"&lt;="&amp;BH$3,CLAVE_BIT,$A245)+SUMIFS(SALIDAS_BOV1,FECHA_BOV1,"&gt;="&amp;BH$2,FECHA_BOV1,"&lt;="&amp;BH$3,CLAVE_BOV1,$A245)+SUMIFS(SALIDAS_BOV2,FECHA_BOV2,"&gt;="&amp;BH$2,FECHA_BOV2,"&lt;="&amp;BH$3,CLAVE_BOV2,$A245)+SUMIFS(SALIDAS_BOV3,FECHA_BOV3,"&gt;="&amp;BH$2,FECHA_BOV3,"&lt;="&amp;BH$3,CLAVE_BOV3,$A245)+SUMIFS(SALIDAS_TC,FECHA_TC,"&gt;="&amp;BH$2,FECHA_TC,"&lt;="&amp;BH$3,CLAVE_TC,$A245)+SUMIFS(SALIDAS_COMB,FECHA_COMB,"&gt;="&amp;BH$2,FECHA_COMB,"&lt;="&amp;BH$3,CLAVE_COMB,$A245)+SUMIFS(SALIDAS_DES,FECHA_DESGLOSEN,"&gt;="&amp;BH$2,FECHA_DESGLOSEN,"&lt;="&amp;BH$3,CLAVE_DESGLOSE,$A245)</f>
        <v>2563.34</v>
      </c>
      <c r="BI245" s="13">
        <f t="shared" si="419"/>
        <v>8110.38</v>
      </c>
      <c r="BJ245" s="68">
        <f t="shared" si="364"/>
        <v>-3110.38</v>
      </c>
      <c r="BK245" s="268">
        <f t="shared" si="365"/>
        <v>1.6220760000000001</v>
      </c>
      <c r="BL245" s="13">
        <f t="shared" si="366"/>
        <v>5000</v>
      </c>
      <c r="BM245" s="13">
        <f>SUMIFS(SALIDAS_BIT,FECHA_BIT,"&gt;="&amp;BM$2,FECHA_BIT,"&lt;="&amp;BM$3,CLAVE_BIT,$A245)+SUMIFS(SALIDAS_BOV1,FECHA_BOV1,"&gt;="&amp;BM$2,FECHA_BOV1,"&lt;="&amp;BM$3,CLAVE_BOV1,$A245)+SUMIFS(SALIDAS_BOV2,FECHA_BOV2,"&gt;="&amp;BM$2,FECHA_BOV2,"&lt;="&amp;BM$3,CLAVE_BOV2,$A245)+SUMIFS(SALIDAS_BOV3,FECHA_BOV3,"&gt;="&amp;BM$2,FECHA_BOV3,"&lt;="&amp;BM$3,CLAVE_BOV3,$A245)+SUMIFS(SALIDAS_TC,FECHA_TC,"&gt;="&amp;BM$2,FECHA_TC,"&lt;="&amp;BM$3,CLAVE_TC,$A245)+SUMIFS(SALIDAS_COMB,FECHA_COMB,"&gt;="&amp;BM$2,FECHA_COMB,"&lt;="&amp;BM$3,CLAVE_COMB,$A245)+SUMIFS(SALIDAS_DES,FECHA_DESGLOSEN,"&gt;="&amp;BM$2,FECHA_DESGLOSEN,"&lt;="&amp;BM$3,CLAVE_DESGLOSE,$A245)</f>
        <v>2408.31</v>
      </c>
      <c r="BN245" s="13">
        <f>SUMIFS(SALIDAS_BIT,FECHA_BIT,"&gt;="&amp;BN$2,FECHA_BIT,"&lt;="&amp;BN$3,CLAVE_BIT,$A245)+SUMIFS(SALIDAS_BOV1,FECHA_BOV1,"&gt;="&amp;BN$2,FECHA_BOV1,"&lt;="&amp;BN$3,CLAVE_BOV1,$A245)+SUMIFS(SALIDAS_BOV2,FECHA_BOV2,"&gt;="&amp;BN$2,FECHA_BOV2,"&lt;="&amp;BN$3,CLAVE_BOV2,$A245)+SUMIFS(SALIDAS_BOV3,FECHA_BOV3,"&gt;="&amp;BN$2,FECHA_BOV3,"&lt;="&amp;BN$3,CLAVE_BOV3,$A245)+SUMIFS(SALIDAS_TC,FECHA_TC,"&gt;="&amp;BN$2,FECHA_TC,"&lt;="&amp;BN$3,CLAVE_TC,$A245)+SUMIFS(SALIDAS_COMB,FECHA_COMB,"&gt;="&amp;BN$2,FECHA_COMB,"&lt;="&amp;BN$3,CLAVE_COMB,$A245)+SUMIFS(SALIDAS_DES,FECHA_DESGLOSEN,"&gt;="&amp;BN$2,FECHA_DESGLOSEN,"&lt;="&amp;BN$3,CLAVE_DESGLOSE,$A245)</f>
        <v>0</v>
      </c>
      <c r="BO245" s="13">
        <f>SUMIFS(SALIDAS_BIT,FECHA_BIT,"&gt;="&amp;BO$2,FECHA_BIT,"&lt;="&amp;BO$3,CLAVE_BIT,$A245)+SUMIFS(SALIDAS_BOV1,FECHA_BOV1,"&gt;="&amp;BO$2,FECHA_BOV1,"&lt;="&amp;BO$3,CLAVE_BOV1,$A245)+SUMIFS(SALIDAS_BOV2,FECHA_BOV2,"&gt;="&amp;BO$2,FECHA_BOV2,"&lt;="&amp;BO$3,CLAVE_BOV2,$A245)+SUMIFS(SALIDAS_BOV3,FECHA_BOV3,"&gt;="&amp;BO$2,FECHA_BOV3,"&lt;="&amp;BO$3,CLAVE_BOV3,$A245)+SUMIFS(SALIDAS_TC,FECHA_TC,"&gt;="&amp;BO$2,FECHA_TC,"&lt;="&amp;BO$3,CLAVE_TC,$A245)+SUMIFS(SALIDAS_COMB,FECHA_COMB,"&gt;="&amp;BO$2,FECHA_COMB,"&lt;="&amp;BO$3,CLAVE_COMB,$A245)+SUMIFS(SALIDAS_DES,FECHA_DESGLOSEN,"&gt;="&amp;BO$2,FECHA_DESGLOSEN,"&lt;="&amp;BO$3,CLAVE_DESGLOSE,$A245)</f>
        <v>3879.41</v>
      </c>
      <c r="BP245" s="13">
        <f>SUMIFS(SALIDAS_BIT,FECHA_BIT,"&gt;="&amp;BP$2,FECHA_BIT,"&lt;="&amp;BP$3,CLAVE_BIT,$A245)+SUMIFS(SALIDAS_BOV1,FECHA_BOV1,"&gt;="&amp;BP$2,FECHA_BOV1,"&lt;="&amp;BP$3,CLAVE_BOV1,$A245)+SUMIFS(SALIDAS_BOV2,FECHA_BOV2,"&gt;="&amp;BP$2,FECHA_BOV2,"&lt;="&amp;BP$3,CLAVE_BOV2,$A245)+SUMIFS(SALIDAS_BOV3,FECHA_BOV3,"&gt;="&amp;BP$2,FECHA_BOV3,"&lt;="&amp;BP$3,CLAVE_BOV3,$A245)+SUMIFS(SALIDAS_TC,FECHA_TC,"&gt;="&amp;BP$2,FECHA_TC,"&lt;="&amp;BP$3,CLAVE_TC,$A245)+SUMIFS(SALIDAS_COMB,FECHA_COMB,"&gt;="&amp;BP$2,FECHA_COMB,"&lt;="&amp;BP$3,CLAVE_COMB,$A245)+SUMIFS(SALIDAS_DES,FECHA_DESGLOSEN,"&gt;="&amp;BP$2,FECHA_DESGLOSEN,"&lt;="&amp;BP$3,CLAVE_DESGLOSE,$A245)</f>
        <v>2395.06</v>
      </c>
      <c r="BQ245" s="13">
        <f>SUMIFS(SALIDAS_BIT,FECHA_BIT,"&gt;="&amp;BQ$2,FECHA_BIT,"&lt;="&amp;BQ$3,CLAVE_BIT,$A245)+SUMIFS(SALIDAS_BOV1,FECHA_BOV1,"&gt;="&amp;BQ$2,FECHA_BOV1,"&lt;="&amp;BQ$3,CLAVE_BOV1,$A245)+SUMIFS(SALIDAS_BOV2,FECHA_BOV2,"&gt;="&amp;BQ$2,FECHA_BOV2,"&lt;="&amp;BQ$3,CLAVE_BOV2,$A245)+SUMIFS(SALIDAS_BOV3,FECHA_BOV3,"&gt;="&amp;BQ$2,FECHA_BOV3,"&lt;="&amp;BQ$3,CLAVE_BOV3,$A245)+SUMIFS(SALIDAS_TC,FECHA_TC,"&gt;="&amp;BQ$2,FECHA_TC,"&lt;="&amp;BQ$3,CLAVE_TC,$A245)+SUMIFS(SALIDAS_COMB,FECHA_COMB,"&gt;="&amp;BQ$2,FECHA_COMB,"&lt;="&amp;BQ$3,CLAVE_COMB,$A245)+SUMIFS(SALIDAS_DES,FECHA_DESGLOSEN,"&gt;="&amp;BQ$2,FECHA_DESGLOSEN,"&lt;="&amp;BQ$3,CLAVE_DESGLOSE,$A245)</f>
        <v>3587.91</v>
      </c>
      <c r="BR245" s="13">
        <f t="shared" si="415"/>
        <v>12270.689999999999</v>
      </c>
      <c r="BS245" s="68">
        <f t="shared" si="367"/>
        <v>-7270.6899999999987</v>
      </c>
      <c r="BT245" s="268">
        <f t="shared" si="368"/>
        <v>2.4541379999999999</v>
      </c>
      <c r="BU245" s="13">
        <f t="shared" si="369"/>
        <v>5000</v>
      </c>
      <c r="BV245" s="13">
        <f t="shared" si="389"/>
        <v>1688</v>
      </c>
      <c r="BW245" s="13">
        <f t="shared" si="389"/>
        <v>702.38</v>
      </c>
      <c r="BX245" s="13">
        <f t="shared" si="389"/>
        <v>2631.21</v>
      </c>
      <c r="BY245" s="13">
        <f t="shared" si="389"/>
        <v>1480.7</v>
      </c>
      <c r="BZ245" s="13">
        <f t="shared" si="416"/>
        <v>6502.29</v>
      </c>
      <c r="CA245" s="68">
        <f t="shared" si="370"/>
        <v>-1502.29</v>
      </c>
      <c r="CB245" s="268">
        <f t="shared" si="371"/>
        <v>1.3004579999999999</v>
      </c>
      <c r="CC245" s="13">
        <f t="shared" si="372"/>
        <v>5000</v>
      </c>
      <c r="CD245" s="13">
        <f t="shared" si="390"/>
        <v>7712.88</v>
      </c>
      <c r="CE245" s="13">
        <f t="shared" si="390"/>
        <v>1833.92</v>
      </c>
      <c r="CF245" s="13">
        <f t="shared" si="390"/>
        <v>2445.65</v>
      </c>
      <c r="CG245" s="13">
        <f t="shared" si="390"/>
        <v>2188.42</v>
      </c>
      <c r="CH245" s="13">
        <f t="shared" si="417"/>
        <v>14180.869999999999</v>
      </c>
      <c r="CI245" s="68">
        <f t="shared" si="373"/>
        <v>-9180.869999999999</v>
      </c>
      <c r="CJ245" s="268">
        <f t="shared" si="374"/>
        <v>2.8361739999999998</v>
      </c>
      <c r="CK245" s="13">
        <f t="shared" si="375"/>
        <v>5000</v>
      </c>
      <c r="CL245" s="13">
        <f t="shared" si="400"/>
        <v>6210.04</v>
      </c>
      <c r="CM245" s="13">
        <f t="shared" si="400"/>
        <v>971.46</v>
      </c>
      <c r="CN245" s="13">
        <f t="shared" si="400"/>
        <v>2779.92</v>
      </c>
      <c r="CO245" s="13">
        <f t="shared" si="400"/>
        <v>0</v>
      </c>
      <c r="CP245" s="13">
        <f t="shared" si="400"/>
        <v>0</v>
      </c>
      <c r="CQ245" s="13">
        <f t="shared" si="418"/>
        <v>9961.42</v>
      </c>
      <c r="CR245" s="68">
        <f t="shared" si="376"/>
        <v>-4961.42</v>
      </c>
      <c r="CS245" s="268">
        <f t="shared" si="377"/>
        <v>1.9922839999999999</v>
      </c>
      <c r="CT245" s="68">
        <f t="shared" si="350"/>
        <v>10000</v>
      </c>
      <c r="CU245" s="13">
        <f>SUMIFS(SALIDAS_BIT,FECHA_BIT,"&gt;="&amp;CU$2,FECHA_BIT,"&lt;="&amp;CU$3,CLAVE_BIT,$A245)+SUMIFS(SALIDAS_BOV1,FECHA_BOV1,"&gt;="&amp;CU$2,FECHA_BOV1,"&lt;="&amp;CU$3,CLAVE_BOV1,$A245)+SUMIFS(SALIDAS_BOV2,FECHA_BOV2,"&gt;="&amp;CU$2,FECHA_BOV2,"&lt;="&amp;CU$3,CLAVE_BOV2,$A245)+SUMIFS(SALIDAS_BOV3,FECHA_BOV3,"&gt;="&amp;CU$2,FECHA_BOV3,"&lt;="&amp;CU$3,CLAVE_BOV3,$A245)+SUMIFS(SALIDAS_TC,FECHA_TC,"&gt;="&amp;CU$2,FECHA_TC,"&lt;="&amp;CU$3,CLAVE_TC,$A245)+SUMIFS(SALIDAS_COMB,FECHA_COMB,"&gt;="&amp;CU$2,FECHA_COMB,"&lt;="&amp;CU$3,CLAVE_COMB,$A245)+SUMIFS(SALIDAS_DES,FECHA_DESGLOSEN,"&gt;="&amp;CU$2,FECHA_DESGLOSEN,"&lt;="&amp;CU$3,CLAVE_DESGLOSE,$A245)</f>
        <v>0</v>
      </c>
      <c r="CV245" s="13">
        <f>SUMIFS(SALIDAS_BIT,FECHA_BIT,"&gt;="&amp;CV$2,FECHA_BIT,"&lt;="&amp;CV$3,CLAVE_BIT,$A245)+SUMIFS(SALIDAS_BOV1,FECHA_BOV1,"&gt;="&amp;CV$2,FECHA_BOV1,"&lt;="&amp;CV$3,CLAVE_BOV1,$A245)+SUMIFS(SALIDAS_BOV2,FECHA_BOV2,"&gt;="&amp;CV$2,FECHA_BOV2,"&lt;="&amp;CV$3,CLAVE_BOV2,$A245)+SUMIFS(SALIDAS_BOV3,FECHA_BOV3,"&gt;="&amp;CV$2,FECHA_BOV3,"&lt;="&amp;CV$3,CLAVE_BOV3,$A245)+SUMIFS(SALIDAS_TC,FECHA_TC,"&gt;="&amp;CV$2,FECHA_TC,"&lt;="&amp;CV$3,CLAVE_TC,$A245)+SUMIFS(SALIDAS_COMB,FECHA_COMB,"&gt;="&amp;CV$2,FECHA_COMB,"&lt;="&amp;CV$3,CLAVE_COMB,$A245)+SUMIFS(SALIDAS_DES,FECHA_DESGLOSEN,"&gt;="&amp;CV$2,FECHA_DESGLOSEN,"&lt;="&amp;CV$3,CLAVE_DESGLOSE,$A245)</f>
        <v>1629.03</v>
      </c>
      <c r="CW245" s="13">
        <f>SUMIFS(SALIDAS_BIT,FECHA_BIT,"&gt;="&amp;CW$2,FECHA_BIT,"&lt;="&amp;CW$3,CLAVE_BIT,$A245)+SUMIFS(SALIDAS_BOV1,FECHA_BOV1,"&gt;="&amp;CW$2,FECHA_BOV1,"&lt;="&amp;CW$3,CLAVE_BOV1,$A245)+SUMIFS(SALIDAS_BOV2,FECHA_BOV2,"&gt;="&amp;CW$2,FECHA_BOV2,"&lt;="&amp;CW$3,CLAVE_BOV2,$A245)+SUMIFS(SALIDAS_BOV3,FECHA_BOV3,"&gt;="&amp;CW$2,FECHA_BOV3,"&lt;="&amp;CW$3,CLAVE_BOV3,$A245)+SUMIFS(SALIDAS_TC,FECHA_TC,"&gt;="&amp;CW$2,FECHA_TC,"&lt;="&amp;CW$3,CLAVE_TC,$A245)+SUMIFS(SALIDAS_COMB,FECHA_COMB,"&gt;="&amp;CW$2,FECHA_COMB,"&lt;="&amp;CW$3,CLAVE_COMB,$A245)+SUMIFS(SALIDAS_DES,FECHA_DESGLOSEN,"&gt;="&amp;CW$2,FECHA_DESGLOSEN,"&lt;="&amp;CW$3,CLAVE_DESGLOSE,$A245)</f>
        <v>4485.38</v>
      </c>
      <c r="CX245" s="13">
        <f>SUMIFS(SALIDAS_BIT,FECHA_BIT,"&gt;="&amp;CX$2,FECHA_BIT,"&lt;="&amp;CX$3,CLAVE_BIT,$A245)+SUMIFS(SALIDAS_BOV1,FECHA_BOV1,"&gt;="&amp;CX$2,FECHA_BOV1,"&lt;="&amp;CX$3,CLAVE_BOV1,$A245)+SUMIFS(SALIDAS_BOV2,FECHA_BOV2,"&gt;="&amp;CX$2,FECHA_BOV2,"&lt;="&amp;CX$3,CLAVE_BOV2,$A245)+SUMIFS(SALIDAS_BOV3,FECHA_BOV3,"&gt;="&amp;CX$2,FECHA_BOV3,"&lt;="&amp;CX$3,CLAVE_BOV3,$A245)+SUMIFS(SALIDAS_TC,FECHA_TC,"&gt;="&amp;CX$2,FECHA_TC,"&lt;="&amp;CX$3,CLAVE_TC,$A245)+SUMIFS(SALIDAS_COMB,FECHA_COMB,"&gt;="&amp;CX$2,FECHA_COMB,"&lt;="&amp;CX$3,CLAVE_COMB,$A245)+SUMIFS(SALIDAS_DES,FECHA_DESGLOSEN,"&gt;="&amp;CX$2,FECHA_DESGLOSEN,"&lt;="&amp;CX$3,CLAVE_DESGLOSE,$A245)</f>
        <v>0</v>
      </c>
      <c r="CY245" s="13">
        <f>SUMIFS(SALIDAS_BIT,FECHA_BIT,"&gt;="&amp;CY$2,FECHA_BIT,"&lt;="&amp;CY$3,CLAVE_BIT,$A245)+SUMIFS(SALIDAS_BOV1,FECHA_BOV1,"&gt;="&amp;CY$2,FECHA_BOV1,"&lt;="&amp;CY$3,CLAVE_BOV1,$A245)+SUMIFS(SALIDAS_BOV2,FECHA_BOV2,"&gt;="&amp;CY$2,FECHA_BOV2,"&lt;="&amp;CY$3,CLAVE_BOV2,$A245)+SUMIFS(SALIDAS_BOV3,FECHA_BOV3,"&gt;="&amp;CY$2,FECHA_BOV3,"&lt;="&amp;CY$3,CLAVE_BOV3,$A245)+SUMIFS(SALIDAS_TC,FECHA_TC,"&gt;="&amp;CY$2,FECHA_TC,"&lt;="&amp;CY$3,CLAVE_TC,$A245)+SUMIFS(SALIDAS_COMB,FECHA_COMB,"&gt;="&amp;CY$2,FECHA_COMB,"&lt;="&amp;CY$3,CLAVE_COMB,$A245)+SUMIFS(SALIDAS_DES,FECHA_DESGLOSEN,"&gt;="&amp;CY$2,FECHA_DESGLOSEN,"&lt;="&amp;CY$3,CLAVE_DESGLOSE,$A245)</f>
        <v>6114.41</v>
      </c>
      <c r="CZ245" s="68">
        <f t="shared" si="378"/>
        <v>3885.59</v>
      </c>
      <c r="DB245" s="17">
        <f>F245+N245+W245+AE245+AM245+AV245+BD245+BL245+BU245+CC245+CK245</f>
        <v>55000</v>
      </c>
      <c r="DC245" s="17">
        <f>K245+T245+AB245+AJ245+AS245+BA245+BI245+BR245+BZ245+CH245+CQ245</f>
        <v>108843.98999999999</v>
      </c>
    </row>
    <row r="246" spans="1:107" hidden="1">
      <c r="A246" s="12" t="str">
        <f t="shared" si="351"/>
        <v>SERVICIOSPAQUETERIACT INTERNACIONAL</v>
      </c>
      <c r="B246">
        <v>248</v>
      </c>
      <c r="C246" t="s">
        <v>21</v>
      </c>
      <c r="D246" t="s">
        <v>160</v>
      </c>
      <c r="E246" t="s">
        <v>162</v>
      </c>
      <c r="F246" s="259">
        <f t="shared" si="344"/>
        <v>240</v>
      </c>
      <c r="G246" s="13">
        <f t="shared" si="410"/>
        <v>280</v>
      </c>
      <c r="H246" s="13">
        <f t="shared" si="410"/>
        <v>140</v>
      </c>
      <c r="I246" s="13">
        <f t="shared" si="410"/>
        <v>140</v>
      </c>
      <c r="J246" s="13">
        <f t="shared" si="410"/>
        <v>0</v>
      </c>
      <c r="K246" s="13">
        <f t="shared" si="410"/>
        <v>560</v>
      </c>
      <c r="L246" s="68">
        <f t="shared" si="352"/>
        <v>-320</v>
      </c>
      <c r="M246" s="268">
        <f t="shared" si="353"/>
        <v>2.3333333333333335</v>
      </c>
      <c r="N246" s="13">
        <f t="shared" si="345"/>
        <v>240</v>
      </c>
      <c r="O246" s="13">
        <f t="shared" si="411"/>
        <v>0</v>
      </c>
      <c r="P246" s="13">
        <f t="shared" si="411"/>
        <v>0</v>
      </c>
      <c r="Q246" s="13">
        <f t="shared" si="411"/>
        <v>0</v>
      </c>
      <c r="R246" s="13">
        <f t="shared" si="411"/>
        <v>0</v>
      </c>
      <c r="S246" s="13">
        <f t="shared" si="411"/>
        <v>0</v>
      </c>
      <c r="T246" s="13">
        <f t="shared" si="411"/>
        <v>0</v>
      </c>
      <c r="U246" s="68">
        <f t="shared" si="354"/>
        <v>240</v>
      </c>
      <c r="V246" s="268">
        <f t="shared" si="355"/>
        <v>0</v>
      </c>
      <c r="W246" s="13">
        <f t="shared" si="346"/>
        <v>240</v>
      </c>
      <c r="X246" s="13">
        <f t="shared" si="412"/>
        <v>0</v>
      </c>
      <c r="Y246" s="13">
        <f t="shared" si="412"/>
        <v>0</v>
      </c>
      <c r="Z246" s="13">
        <f t="shared" si="412"/>
        <v>0</v>
      </c>
      <c r="AA246" s="13">
        <f t="shared" si="412"/>
        <v>0</v>
      </c>
      <c r="AB246" s="13">
        <f t="shared" si="412"/>
        <v>0</v>
      </c>
      <c r="AC246" s="68">
        <f t="shared" si="356"/>
        <v>240</v>
      </c>
      <c r="AD246" s="268">
        <f t="shared" si="357"/>
        <v>0</v>
      </c>
      <c r="AE246" s="13">
        <f t="shared" si="347"/>
        <v>240</v>
      </c>
      <c r="AF246" s="13">
        <f t="shared" si="413"/>
        <v>0</v>
      </c>
      <c r="AG246" s="13">
        <f t="shared" si="413"/>
        <v>0</v>
      </c>
      <c r="AH246" s="13">
        <f t="shared" si="413"/>
        <v>0</v>
      </c>
      <c r="AI246" s="13">
        <f t="shared" si="413"/>
        <v>0</v>
      </c>
      <c r="AJ246" s="13">
        <f t="shared" si="413"/>
        <v>0</v>
      </c>
      <c r="AK246" s="68">
        <f t="shared" si="358"/>
        <v>240</v>
      </c>
      <c r="AL246" s="268">
        <f t="shared" si="359"/>
        <v>0</v>
      </c>
      <c r="AM246" s="13">
        <f t="shared" si="348"/>
        <v>240</v>
      </c>
      <c r="AN246" s="13">
        <f t="shared" si="414"/>
        <v>160</v>
      </c>
      <c r="AO246" s="13">
        <f t="shared" si="414"/>
        <v>140</v>
      </c>
      <c r="AP246" s="13">
        <f t="shared" si="414"/>
        <v>160</v>
      </c>
      <c r="AQ246" s="13">
        <f t="shared" si="414"/>
        <v>0</v>
      </c>
      <c r="AR246" s="13">
        <f t="shared" si="414"/>
        <v>0</v>
      </c>
      <c r="AS246" s="13">
        <f t="shared" si="414"/>
        <v>460</v>
      </c>
      <c r="AT246" s="68">
        <f>AM246-AS246</f>
        <v>-220</v>
      </c>
      <c r="AU246" s="268">
        <f t="shared" si="360"/>
        <v>1.9166666666666667</v>
      </c>
      <c r="AV246" s="13">
        <f t="shared" si="349"/>
        <v>240</v>
      </c>
      <c r="AW246" s="13">
        <f t="shared" si="421"/>
        <v>140</v>
      </c>
      <c r="AX246" s="13">
        <f t="shared" si="421"/>
        <v>0</v>
      </c>
      <c r="AY246" s="13">
        <f t="shared" si="421"/>
        <v>140</v>
      </c>
      <c r="AZ246" s="13">
        <f t="shared" si="421"/>
        <v>150</v>
      </c>
      <c r="BA246" s="13">
        <f t="shared" si="379"/>
        <v>430</v>
      </c>
      <c r="BB246" s="68">
        <f t="shared" si="361"/>
        <v>-190</v>
      </c>
      <c r="BC246" s="268">
        <f t="shared" si="362"/>
        <v>1.7916666666666667</v>
      </c>
      <c r="BD246" s="13">
        <f t="shared" si="363"/>
        <v>240</v>
      </c>
      <c r="BE246" s="13">
        <f>SUMIFS(SALIDAS_BIT,FECHA_BIT,"&gt;="&amp;BE$2,FECHA_BIT,"&lt;="&amp;BE$3,CLAVE_BIT,$A246)+SUMIFS(SALIDAS_BOV1,FECHA_BOV1,"&gt;="&amp;BE$2,FECHA_BOV1,"&lt;="&amp;BE$3,CLAVE_BOV1,$A246)+SUMIFS(SALIDAS_BOV2,FECHA_BOV2,"&gt;="&amp;BE$2,FECHA_BOV2,"&lt;="&amp;BE$3,CLAVE_BOV2,$A246)+SUMIFS(SALIDAS_BOV3,FECHA_BOV3,"&gt;="&amp;BE$2,FECHA_BOV3,"&lt;="&amp;BE$3,CLAVE_BOV3,$A246)+SUMIFS(SALIDAS_TC,FECHA_TC,"&gt;="&amp;BE$2,FECHA_TC,"&lt;="&amp;BE$3,CLAVE_TC,$A246)+SUMIFS(SALIDAS_COMB,FECHA_COMB,"&gt;="&amp;BE$2,FECHA_COMB,"&lt;="&amp;BE$3,CLAVE_COMB,$A246)+SUMIFS(SALIDAS_DES,FECHA_DESGLOSEN,"&gt;="&amp;BE$2,FECHA_DESGLOSEN,"&lt;="&amp;BE$3,CLAVE_DESGLOSE,$A246)</f>
        <v>0</v>
      </c>
      <c r="BF246" s="13">
        <f>SUMIFS(SALIDAS_BIT,FECHA_BIT,"&gt;="&amp;BF$2,FECHA_BIT,"&lt;="&amp;BF$3,CLAVE_BIT,$A246)+SUMIFS(SALIDAS_BOV1,FECHA_BOV1,"&gt;="&amp;BF$2,FECHA_BOV1,"&lt;="&amp;BF$3,CLAVE_BOV1,$A246)+SUMIFS(SALIDAS_BOV2,FECHA_BOV2,"&gt;="&amp;BF$2,FECHA_BOV2,"&lt;="&amp;BF$3,CLAVE_BOV2,$A246)+SUMIFS(SALIDAS_BOV3,FECHA_BOV3,"&gt;="&amp;BF$2,FECHA_BOV3,"&lt;="&amp;BF$3,CLAVE_BOV3,$A246)+SUMIFS(SALIDAS_TC,FECHA_TC,"&gt;="&amp;BF$2,FECHA_TC,"&lt;="&amp;BF$3,CLAVE_TC,$A246)+SUMIFS(SALIDAS_COMB,FECHA_COMB,"&gt;="&amp;BF$2,FECHA_COMB,"&lt;="&amp;BF$3,CLAVE_COMB,$A246)+SUMIFS(SALIDAS_DES,FECHA_DESGLOSEN,"&gt;="&amp;BF$2,FECHA_DESGLOSEN,"&lt;="&amp;BF$3,CLAVE_DESGLOSE,$A246)</f>
        <v>0</v>
      </c>
      <c r="BG246" s="13">
        <f>SUMIFS(SALIDAS_BIT,FECHA_BIT,"&gt;="&amp;BG$2,FECHA_BIT,"&lt;="&amp;BG$3,CLAVE_BIT,$A246)+SUMIFS(SALIDAS_BOV1,FECHA_BOV1,"&gt;="&amp;BG$2,FECHA_BOV1,"&lt;="&amp;BG$3,CLAVE_BOV1,$A246)+SUMIFS(SALIDAS_BOV2,FECHA_BOV2,"&gt;="&amp;BG$2,FECHA_BOV2,"&lt;="&amp;BG$3,CLAVE_BOV2,$A246)+SUMIFS(SALIDAS_BOV3,FECHA_BOV3,"&gt;="&amp;BG$2,FECHA_BOV3,"&lt;="&amp;BG$3,CLAVE_BOV3,$A246)+SUMIFS(SALIDAS_TC,FECHA_TC,"&gt;="&amp;BG$2,FECHA_TC,"&lt;="&amp;BG$3,CLAVE_TC,$A246)+SUMIFS(SALIDAS_COMB,FECHA_COMB,"&gt;="&amp;BG$2,FECHA_COMB,"&lt;="&amp;BG$3,CLAVE_COMB,$A246)+SUMIFS(SALIDAS_DES,FECHA_DESGLOSEN,"&gt;="&amp;BG$2,FECHA_DESGLOSEN,"&lt;="&amp;BG$3,CLAVE_DESGLOSE,$A246)</f>
        <v>0</v>
      </c>
      <c r="BH246" s="13">
        <f>SUMIFS(SALIDAS_BIT,FECHA_BIT,"&gt;="&amp;BH$2,FECHA_BIT,"&lt;="&amp;BH$3,CLAVE_BIT,$A246)+SUMIFS(SALIDAS_BOV1,FECHA_BOV1,"&gt;="&amp;BH$2,FECHA_BOV1,"&lt;="&amp;BH$3,CLAVE_BOV1,$A246)+SUMIFS(SALIDAS_BOV2,FECHA_BOV2,"&gt;="&amp;BH$2,FECHA_BOV2,"&lt;="&amp;BH$3,CLAVE_BOV2,$A246)+SUMIFS(SALIDAS_BOV3,FECHA_BOV3,"&gt;="&amp;BH$2,FECHA_BOV3,"&lt;="&amp;BH$3,CLAVE_BOV3,$A246)+SUMIFS(SALIDAS_TC,FECHA_TC,"&gt;="&amp;BH$2,FECHA_TC,"&lt;="&amp;BH$3,CLAVE_TC,$A246)+SUMIFS(SALIDAS_COMB,FECHA_COMB,"&gt;="&amp;BH$2,FECHA_COMB,"&lt;="&amp;BH$3,CLAVE_COMB,$A246)+SUMIFS(SALIDAS_DES,FECHA_DESGLOSEN,"&gt;="&amp;BH$2,FECHA_DESGLOSEN,"&lt;="&amp;BH$3,CLAVE_DESGLOSE,$A246)</f>
        <v>140</v>
      </c>
      <c r="BI246" s="13">
        <f t="shared" si="419"/>
        <v>140</v>
      </c>
      <c r="BJ246" s="68">
        <f t="shared" si="364"/>
        <v>100</v>
      </c>
      <c r="BK246" s="268">
        <f t="shared" si="365"/>
        <v>0.58333333333333337</v>
      </c>
      <c r="BL246" s="13">
        <f t="shared" si="366"/>
        <v>240</v>
      </c>
      <c r="BM246" s="13">
        <f>SUMIFS(SALIDAS_BIT,FECHA_BIT,"&gt;="&amp;BM$2,FECHA_BIT,"&lt;="&amp;BM$3,CLAVE_BIT,$A246)+SUMIFS(SALIDAS_BOV1,FECHA_BOV1,"&gt;="&amp;BM$2,FECHA_BOV1,"&lt;="&amp;BM$3,CLAVE_BOV1,$A246)+SUMIFS(SALIDAS_BOV2,FECHA_BOV2,"&gt;="&amp;BM$2,FECHA_BOV2,"&lt;="&amp;BM$3,CLAVE_BOV2,$A246)+SUMIFS(SALIDAS_BOV3,FECHA_BOV3,"&gt;="&amp;BM$2,FECHA_BOV3,"&lt;="&amp;BM$3,CLAVE_BOV3,$A246)+SUMIFS(SALIDAS_TC,FECHA_TC,"&gt;="&amp;BM$2,FECHA_TC,"&lt;="&amp;BM$3,CLAVE_TC,$A246)+SUMIFS(SALIDAS_COMB,FECHA_COMB,"&gt;="&amp;BM$2,FECHA_COMB,"&lt;="&amp;BM$3,CLAVE_COMB,$A246)+SUMIFS(SALIDAS_DES,FECHA_DESGLOSEN,"&gt;="&amp;BM$2,FECHA_DESGLOSEN,"&lt;="&amp;BM$3,CLAVE_DESGLOSE,$A246)</f>
        <v>0</v>
      </c>
      <c r="BN246" s="13">
        <f>SUMIFS(SALIDAS_BIT,FECHA_BIT,"&gt;="&amp;BN$2,FECHA_BIT,"&lt;="&amp;BN$3,CLAVE_BIT,$A246)+SUMIFS(SALIDAS_BOV1,FECHA_BOV1,"&gt;="&amp;BN$2,FECHA_BOV1,"&lt;="&amp;BN$3,CLAVE_BOV1,$A246)+SUMIFS(SALIDAS_BOV2,FECHA_BOV2,"&gt;="&amp;BN$2,FECHA_BOV2,"&lt;="&amp;BN$3,CLAVE_BOV2,$A246)+SUMIFS(SALIDAS_BOV3,FECHA_BOV3,"&gt;="&amp;BN$2,FECHA_BOV3,"&lt;="&amp;BN$3,CLAVE_BOV3,$A246)+SUMIFS(SALIDAS_TC,FECHA_TC,"&gt;="&amp;BN$2,FECHA_TC,"&lt;="&amp;BN$3,CLAVE_TC,$A246)+SUMIFS(SALIDAS_COMB,FECHA_COMB,"&gt;="&amp;BN$2,FECHA_COMB,"&lt;="&amp;BN$3,CLAVE_COMB,$A246)+SUMIFS(SALIDAS_DES,FECHA_DESGLOSEN,"&gt;="&amp;BN$2,FECHA_DESGLOSEN,"&lt;="&amp;BN$3,CLAVE_DESGLOSE,$A246)</f>
        <v>0</v>
      </c>
      <c r="BO246" s="13">
        <f>SUMIFS(SALIDAS_BIT,FECHA_BIT,"&gt;="&amp;BO$2,FECHA_BIT,"&lt;="&amp;BO$3,CLAVE_BIT,$A246)+SUMIFS(SALIDAS_BOV1,FECHA_BOV1,"&gt;="&amp;BO$2,FECHA_BOV1,"&lt;="&amp;BO$3,CLAVE_BOV1,$A246)+SUMIFS(SALIDAS_BOV2,FECHA_BOV2,"&gt;="&amp;BO$2,FECHA_BOV2,"&lt;="&amp;BO$3,CLAVE_BOV2,$A246)+SUMIFS(SALIDAS_BOV3,FECHA_BOV3,"&gt;="&amp;BO$2,FECHA_BOV3,"&lt;="&amp;BO$3,CLAVE_BOV3,$A246)+SUMIFS(SALIDAS_TC,FECHA_TC,"&gt;="&amp;BO$2,FECHA_TC,"&lt;="&amp;BO$3,CLAVE_TC,$A246)+SUMIFS(SALIDAS_COMB,FECHA_COMB,"&gt;="&amp;BO$2,FECHA_COMB,"&lt;="&amp;BO$3,CLAVE_COMB,$A246)+SUMIFS(SALIDAS_DES,FECHA_DESGLOSEN,"&gt;="&amp;BO$2,FECHA_DESGLOSEN,"&lt;="&amp;BO$3,CLAVE_DESGLOSE,$A246)</f>
        <v>0</v>
      </c>
      <c r="BP246" s="13">
        <f>SUMIFS(SALIDAS_BIT,FECHA_BIT,"&gt;="&amp;BP$2,FECHA_BIT,"&lt;="&amp;BP$3,CLAVE_BIT,$A246)+SUMIFS(SALIDAS_BOV1,FECHA_BOV1,"&gt;="&amp;BP$2,FECHA_BOV1,"&lt;="&amp;BP$3,CLAVE_BOV1,$A246)+SUMIFS(SALIDAS_BOV2,FECHA_BOV2,"&gt;="&amp;BP$2,FECHA_BOV2,"&lt;="&amp;BP$3,CLAVE_BOV2,$A246)+SUMIFS(SALIDAS_BOV3,FECHA_BOV3,"&gt;="&amp;BP$2,FECHA_BOV3,"&lt;="&amp;BP$3,CLAVE_BOV3,$A246)+SUMIFS(SALIDAS_TC,FECHA_TC,"&gt;="&amp;BP$2,FECHA_TC,"&lt;="&amp;BP$3,CLAVE_TC,$A246)+SUMIFS(SALIDAS_COMB,FECHA_COMB,"&gt;="&amp;BP$2,FECHA_COMB,"&lt;="&amp;BP$3,CLAVE_COMB,$A246)+SUMIFS(SALIDAS_DES,FECHA_DESGLOSEN,"&gt;="&amp;BP$2,FECHA_DESGLOSEN,"&lt;="&amp;BP$3,CLAVE_DESGLOSE,$A246)</f>
        <v>140</v>
      </c>
      <c r="BQ246" s="13">
        <f>SUMIFS(SALIDAS_BIT,FECHA_BIT,"&gt;="&amp;BQ$2,FECHA_BIT,"&lt;="&amp;BQ$3,CLAVE_BIT,$A246)+SUMIFS(SALIDAS_BOV1,FECHA_BOV1,"&gt;="&amp;BQ$2,FECHA_BOV1,"&lt;="&amp;BQ$3,CLAVE_BOV1,$A246)+SUMIFS(SALIDAS_BOV2,FECHA_BOV2,"&gt;="&amp;BQ$2,FECHA_BOV2,"&lt;="&amp;BQ$3,CLAVE_BOV2,$A246)+SUMIFS(SALIDAS_BOV3,FECHA_BOV3,"&gt;="&amp;BQ$2,FECHA_BOV3,"&lt;="&amp;BQ$3,CLAVE_BOV3,$A246)+SUMIFS(SALIDAS_TC,FECHA_TC,"&gt;="&amp;BQ$2,FECHA_TC,"&lt;="&amp;BQ$3,CLAVE_TC,$A246)+SUMIFS(SALIDAS_COMB,FECHA_COMB,"&gt;="&amp;BQ$2,FECHA_COMB,"&lt;="&amp;BQ$3,CLAVE_COMB,$A246)+SUMIFS(SALIDAS_DES,FECHA_DESGLOSEN,"&gt;="&amp;BQ$2,FECHA_DESGLOSEN,"&lt;="&amp;BQ$3,CLAVE_DESGLOSE,$A246)</f>
        <v>450</v>
      </c>
      <c r="BR246" s="13">
        <f t="shared" si="415"/>
        <v>590</v>
      </c>
      <c r="BS246" s="68">
        <f t="shared" si="367"/>
        <v>-350</v>
      </c>
      <c r="BT246" s="268">
        <f t="shared" si="368"/>
        <v>2.4583333333333335</v>
      </c>
      <c r="BU246" s="13">
        <f t="shared" si="369"/>
        <v>240</v>
      </c>
      <c r="BV246" s="13">
        <f t="shared" si="389"/>
        <v>0</v>
      </c>
      <c r="BW246" s="13">
        <f t="shared" si="389"/>
        <v>560</v>
      </c>
      <c r="BX246" s="13">
        <f t="shared" si="389"/>
        <v>140</v>
      </c>
      <c r="BY246" s="13">
        <f t="shared" si="389"/>
        <v>0</v>
      </c>
      <c r="BZ246" s="13">
        <f t="shared" si="416"/>
        <v>700</v>
      </c>
      <c r="CA246" s="68">
        <f t="shared" si="370"/>
        <v>-460</v>
      </c>
      <c r="CB246" s="268">
        <f t="shared" si="371"/>
        <v>2.9166666666666665</v>
      </c>
      <c r="CC246" s="13">
        <f t="shared" si="372"/>
        <v>240</v>
      </c>
      <c r="CD246" s="13">
        <f t="shared" si="390"/>
        <v>0</v>
      </c>
      <c r="CE246" s="13">
        <f t="shared" si="390"/>
        <v>0</v>
      </c>
      <c r="CF246" s="13">
        <f t="shared" si="390"/>
        <v>0</v>
      </c>
      <c r="CG246" s="13">
        <f t="shared" si="390"/>
        <v>0</v>
      </c>
      <c r="CH246" s="13">
        <f t="shared" si="417"/>
        <v>0</v>
      </c>
      <c r="CI246" s="68">
        <f t="shared" si="373"/>
        <v>240</v>
      </c>
      <c r="CJ246" s="268">
        <f t="shared" si="374"/>
        <v>0</v>
      </c>
      <c r="CK246" s="13">
        <f t="shared" si="375"/>
        <v>240</v>
      </c>
      <c r="CL246" s="13">
        <f t="shared" si="400"/>
        <v>0</v>
      </c>
      <c r="CM246" s="13">
        <f t="shared" si="400"/>
        <v>0</v>
      </c>
      <c r="CN246" s="13">
        <f t="shared" si="400"/>
        <v>0</v>
      </c>
      <c r="CO246" s="13">
        <f t="shared" si="400"/>
        <v>0</v>
      </c>
      <c r="CP246" s="13">
        <f t="shared" si="400"/>
        <v>0</v>
      </c>
      <c r="CQ246" s="13">
        <f t="shared" si="418"/>
        <v>0</v>
      </c>
      <c r="CR246" s="68">
        <f t="shared" si="376"/>
        <v>240</v>
      </c>
      <c r="CS246" s="268">
        <f t="shared" si="377"/>
        <v>0</v>
      </c>
      <c r="CT246" s="68">
        <f t="shared" si="350"/>
        <v>0</v>
      </c>
      <c r="CU246" s="13">
        <f>SUMIFS(SALIDAS_BIT,FECHA_BIT,"&gt;="&amp;CU$2,FECHA_BIT,"&lt;="&amp;CU$3,CLAVE_BIT,$A246)+SUMIFS(SALIDAS_BOV1,FECHA_BOV1,"&gt;="&amp;CU$2,FECHA_BOV1,"&lt;="&amp;CU$3,CLAVE_BOV1,$A246)+SUMIFS(SALIDAS_BOV2,FECHA_BOV2,"&gt;="&amp;CU$2,FECHA_BOV2,"&lt;="&amp;CU$3,CLAVE_BOV2,$A246)+SUMIFS(SALIDAS_BOV3,FECHA_BOV3,"&gt;="&amp;CU$2,FECHA_BOV3,"&lt;="&amp;CU$3,CLAVE_BOV3,$A246)+SUMIFS(SALIDAS_TC,FECHA_TC,"&gt;="&amp;CU$2,FECHA_TC,"&lt;="&amp;CU$3,CLAVE_TC,$A246)+SUMIFS(SALIDAS_COMB,FECHA_COMB,"&gt;="&amp;CU$2,FECHA_COMB,"&lt;="&amp;CU$3,CLAVE_COMB,$A246)+SUMIFS(SALIDAS_DES,FECHA_DESGLOSEN,"&gt;="&amp;CU$2,FECHA_DESGLOSEN,"&lt;="&amp;CU$3,CLAVE_DESGLOSE,$A246)</f>
        <v>0</v>
      </c>
      <c r="CV246" s="13">
        <f>SUMIFS(SALIDAS_BIT,FECHA_BIT,"&gt;="&amp;CV$2,FECHA_BIT,"&lt;="&amp;CV$3,CLAVE_BIT,$A246)+SUMIFS(SALIDAS_BOV1,FECHA_BOV1,"&gt;="&amp;CV$2,FECHA_BOV1,"&lt;="&amp;CV$3,CLAVE_BOV1,$A246)+SUMIFS(SALIDAS_BOV2,FECHA_BOV2,"&gt;="&amp;CV$2,FECHA_BOV2,"&lt;="&amp;CV$3,CLAVE_BOV2,$A246)+SUMIFS(SALIDAS_BOV3,FECHA_BOV3,"&gt;="&amp;CV$2,FECHA_BOV3,"&lt;="&amp;CV$3,CLAVE_BOV3,$A246)+SUMIFS(SALIDAS_TC,FECHA_TC,"&gt;="&amp;CV$2,FECHA_TC,"&lt;="&amp;CV$3,CLAVE_TC,$A246)+SUMIFS(SALIDAS_COMB,FECHA_COMB,"&gt;="&amp;CV$2,FECHA_COMB,"&lt;="&amp;CV$3,CLAVE_COMB,$A246)+SUMIFS(SALIDAS_DES,FECHA_DESGLOSEN,"&gt;="&amp;CV$2,FECHA_DESGLOSEN,"&lt;="&amp;CV$3,CLAVE_DESGLOSE,$A246)</f>
        <v>140</v>
      </c>
      <c r="CW246" s="13">
        <f>SUMIFS(SALIDAS_BIT,FECHA_BIT,"&gt;="&amp;CW$2,FECHA_BIT,"&lt;="&amp;CW$3,CLAVE_BIT,$A246)+SUMIFS(SALIDAS_BOV1,FECHA_BOV1,"&gt;="&amp;CW$2,FECHA_BOV1,"&lt;="&amp;CW$3,CLAVE_BOV1,$A246)+SUMIFS(SALIDAS_BOV2,FECHA_BOV2,"&gt;="&amp;CW$2,FECHA_BOV2,"&lt;="&amp;CW$3,CLAVE_BOV2,$A246)+SUMIFS(SALIDAS_BOV3,FECHA_BOV3,"&gt;="&amp;CW$2,FECHA_BOV3,"&lt;="&amp;CW$3,CLAVE_BOV3,$A246)+SUMIFS(SALIDAS_TC,FECHA_TC,"&gt;="&amp;CW$2,FECHA_TC,"&lt;="&amp;CW$3,CLAVE_TC,$A246)+SUMIFS(SALIDAS_COMB,FECHA_COMB,"&gt;="&amp;CW$2,FECHA_COMB,"&lt;="&amp;CW$3,CLAVE_COMB,$A246)+SUMIFS(SALIDAS_DES,FECHA_DESGLOSEN,"&gt;="&amp;CW$2,FECHA_DESGLOSEN,"&lt;="&amp;CW$3,CLAVE_DESGLOSE,$A246)</f>
        <v>0</v>
      </c>
      <c r="CX246" s="13">
        <f>SUMIFS(SALIDAS_BIT,FECHA_BIT,"&gt;="&amp;CX$2,FECHA_BIT,"&lt;="&amp;CX$3,CLAVE_BIT,$A246)+SUMIFS(SALIDAS_BOV1,FECHA_BOV1,"&gt;="&amp;CX$2,FECHA_BOV1,"&lt;="&amp;CX$3,CLAVE_BOV1,$A246)+SUMIFS(SALIDAS_BOV2,FECHA_BOV2,"&gt;="&amp;CX$2,FECHA_BOV2,"&lt;="&amp;CX$3,CLAVE_BOV2,$A246)+SUMIFS(SALIDAS_BOV3,FECHA_BOV3,"&gt;="&amp;CX$2,FECHA_BOV3,"&lt;="&amp;CX$3,CLAVE_BOV3,$A246)+SUMIFS(SALIDAS_TC,FECHA_TC,"&gt;="&amp;CX$2,FECHA_TC,"&lt;="&amp;CX$3,CLAVE_TC,$A246)+SUMIFS(SALIDAS_COMB,FECHA_COMB,"&gt;="&amp;CX$2,FECHA_COMB,"&lt;="&amp;CX$3,CLAVE_COMB,$A246)+SUMIFS(SALIDAS_DES,FECHA_DESGLOSEN,"&gt;="&amp;CX$2,FECHA_DESGLOSEN,"&lt;="&amp;CX$3,CLAVE_DESGLOSE,$A246)</f>
        <v>0</v>
      </c>
      <c r="CY246" s="13">
        <f>SUMIFS(SALIDAS_BIT,FECHA_BIT,"&gt;="&amp;CY$2,FECHA_BIT,"&lt;="&amp;CY$3,CLAVE_BIT,$A246)+SUMIFS(SALIDAS_BOV1,FECHA_BOV1,"&gt;="&amp;CY$2,FECHA_BOV1,"&lt;="&amp;CY$3,CLAVE_BOV1,$A246)+SUMIFS(SALIDAS_BOV2,FECHA_BOV2,"&gt;="&amp;CY$2,FECHA_BOV2,"&lt;="&amp;CY$3,CLAVE_BOV2,$A246)+SUMIFS(SALIDAS_BOV3,FECHA_BOV3,"&gt;="&amp;CY$2,FECHA_BOV3,"&lt;="&amp;CY$3,CLAVE_BOV3,$A246)+SUMIFS(SALIDAS_TC,FECHA_TC,"&gt;="&amp;CY$2,FECHA_TC,"&lt;="&amp;CY$3,CLAVE_TC,$A246)+SUMIFS(SALIDAS_COMB,FECHA_COMB,"&gt;="&amp;CY$2,FECHA_COMB,"&lt;="&amp;CY$3,CLAVE_COMB,$A246)+SUMIFS(SALIDAS_DES,FECHA_DESGLOSEN,"&gt;="&amp;CY$2,FECHA_DESGLOSEN,"&lt;="&amp;CY$3,CLAVE_DESGLOSE,$A246)</f>
        <v>140</v>
      </c>
      <c r="CZ246" s="68">
        <f t="shared" si="378"/>
        <v>-140</v>
      </c>
      <c r="DB246" s="17">
        <f>F246+N246+W246+AE246+AM246+AV246+BD246+BL246+BU246+CC246+CK246</f>
        <v>2640</v>
      </c>
      <c r="DC246" s="17">
        <f>K246+T246+AB246+AJ246+AS246+BA246+BI246+BR246+BZ246+CH246+CQ246</f>
        <v>2880</v>
      </c>
    </row>
    <row r="247" spans="1:107" hidden="1">
      <c r="A247" s="12" t="str">
        <f t="shared" si="351"/>
        <v>FINANZASCURSOS Y CAPACITACIONESCONTABILIDAD</v>
      </c>
      <c r="B247" s="483">
        <v>249</v>
      </c>
      <c r="C247" t="s">
        <v>23</v>
      </c>
      <c r="D247" t="s">
        <v>85</v>
      </c>
      <c r="E247" t="s">
        <v>37</v>
      </c>
      <c r="F247" s="259">
        <f t="shared" si="344"/>
        <v>1102</v>
      </c>
      <c r="G247" s="13">
        <f t="shared" ref="G247:K256" si="422">SUMIFS(SALIDAS_BIT,FECHA_BIT,"&gt;="&amp;G$2,FECHA_BIT,"&lt;="&amp;G$3,CLAVE_BIT,$A247)+SUMIFS(SALIDAS_BOV1,FECHA_BOV1,"&gt;="&amp;G$2,FECHA_BOV1,"&lt;="&amp;G$3,CLAVE_BOV1,$A247)+SUMIFS(SALIDAS_BOV2,FECHA_BOV2,"&gt;="&amp;G$2,FECHA_BOV2,"&lt;="&amp;G$3,CLAVE_BOV2,$A247)+SUMIFS(SALIDAS_BOV3,FECHA_BOV3,"&gt;="&amp;G$2,FECHA_BOV3,"&lt;="&amp;G$3,CLAVE_BOV3,$A247)+SUMIFS(SALIDAS_TC,FECHA_TC,"&gt;="&amp;G$2,FECHA_TC,"&lt;="&amp;G$3,CLAVE_TC,$A247)+SUMIFS(SALIDAS_COMB,FECHA_COMB,"&gt;="&amp;G$2,FECHA_COMB,"&lt;="&amp;G$3,CLAVE_COMB,$A247)+SUMIFS(SALIDAS_DES,FECHA_DESGLOSEN,"&gt;="&amp;G$2,FECHA_DESGLOSEN,"&lt;="&amp;G$3,CLAVE_DESGLOSE,$A247)</f>
        <v>0</v>
      </c>
      <c r="H247" s="13">
        <f t="shared" si="422"/>
        <v>0</v>
      </c>
      <c r="I247" s="13">
        <f t="shared" si="422"/>
        <v>0</v>
      </c>
      <c r="J247" s="13">
        <f t="shared" si="422"/>
        <v>0</v>
      </c>
      <c r="K247" s="13">
        <f t="shared" si="422"/>
        <v>0</v>
      </c>
      <c r="L247" s="68">
        <f t="shared" si="352"/>
        <v>1102</v>
      </c>
      <c r="M247" s="268">
        <f t="shared" si="353"/>
        <v>0</v>
      </c>
      <c r="N247" s="13">
        <f t="shared" si="345"/>
        <v>0</v>
      </c>
      <c r="O247" s="13">
        <f t="shared" ref="O247:T256" si="423">SUMIFS(SALIDAS_BIT,FECHA_BIT,"&gt;="&amp;O$2,FECHA_BIT,"&lt;="&amp;O$3,CLAVE_BIT,$A247)+SUMIFS(SALIDAS_BOV1,FECHA_BOV1,"&gt;="&amp;O$2,FECHA_BOV1,"&lt;="&amp;O$3,CLAVE_BOV1,$A247)+SUMIFS(SALIDAS_BOV2,FECHA_BOV2,"&gt;="&amp;O$2,FECHA_BOV2,"&lt;="&amp;O$3,CLAVE_BOV2,$A247)+SUMIFS(SALIDAS_BOV3,FECHA_BOV3,"&gt;="&amp;O$2,FECHA_BOV3,"&lt;="&amp;O$3,CLAVE_BOV3,$A247)+SUMIFS(SALIDAS_TC,FECHA_TC,"&gt;="&amp;O$2,FECHA_TC,"&lt;="&amp;O$3,CLAVE_TC,$A247)+SUMIFS(SALIDAS_COMB,FECHA_COMB,"&gt;="&amp;O$2,FECHA_COMB,"&lt;="&amp;O$3,CLAVE_COMB,$A247)+SUMIFS(SALIDAS_DES,FECHA_DESGLOSEN,"&gt;="&amp;O$2,FECHA_DESGLOSEN,"&lt;="&amp;O$3,CLAVE_DESGLOSE,$A247)</f>
        <v>0</v>
      </c>
      <c r="P247" s="13">
        <f t="shared" si="423"/>
        <v>0</v>
      </c>
      <c r="Q247" s="13">
        <f t="shared" si="423"/>
        <v>0</v>
      </c>
      <c r="R247" s="13">
        <f t="shared" si="423"/>
        <v>0</v>
      </c>
      <c r="S247" s="13">
        <f t="shared" si="423"/>
        <v>0</v>
      </c>
      <c r="T247" s="13">
        <f t="shared" si="423"/>
        <v>0</v>
      </c>
      <c r="U247" s="68">
        <f t="shared" si="354"/>
        <v>0</v>
      </c>
      <c r="V247" s="268">
        <f t="shared" si="355"/>
        <v>0</v>
      </c>
      <c r="W247" s="13">
        <f t="shared" si="346"/>
        <v>0</v>
      </c>
      <c r="X247" s="13">
        <f t="shared" ref="X247:AB256" si="424">SUMIFS(SALIDAS_BIT,FECHA_BIT,"&gt;="&amp;X$2,FECHA_BIT,"&lt;="&amp;X$3,CLAVE_BIT,$A247)+SUMIFS(SALIDAS_BOV1,FECHA_BOV1,"&gt;="&amp;X$2,FECHA_BOV1,"&lt;="&amp;X$3,CLAVE_BOV1,$A247)+SUMIFS(SALIDAS_BOV2,FECHA_BOV2,"&gt;="&amp;X$2,FECHA_BOV2,"&lt;="&amp;X$3,CLAVE_BOV2,$A247)+SUMIFS(SALIDAS_BOV3,FECHA_BOV3,"&gt;="&amp;X$2,FECHA_BOV3,"&lt;="&amp;X$3,CLAVE_BOV3,$A247)+SUMIFS(SALIDAS_TC,FECHA_TC,"&gt;="&amp;X$2,FECHA_TC,"&lt;="&amp;X$3,CLAVE_TC,$A247)+SUMIFS(SALIDAS_COMB,FECHA_COMB,"&gt;="&amp;X$2,FECHA_COMB,"&lt;="&amp;X$3,CLAVE_COMB,$A247)+SUMIFS(SALIDAS_DES,FECHA_DESGLOSEN,"&gt;="&amp;X$2,FECHA_DESGLOSEN,"&lt;="&amp;X$3,CLAVE_DESGLOSE,$A247)</f>
        <v>0</v>
      </c>
      <c r="Y247" s="13">
        <f t="shared" si="424"/>
        <v>0</v>
      </c>
      <c r="Z247" s="13">
        <f t="shared" si="424"/>
        <v>0</v>
      </c>
      <c r="AA247" s="13">
        <f t="shared" si="424"/>
        <v>0</v>
      </c>
      <c r="AB247" s="13">
        <f t="shared" si="424"/>
        <v>0</v>
      </c>
      <c r="AC247" s="68">
        <f t="shared" si="356"/>
        <v>0</v>
      </c>
      <c r="AD247" s="268">
        <f t="shared" si="357"/>
        <v>0</v>
      </c>
      <c r="AE247" s="13">
        <f t="shared" si="347"/>
        <v>0</v>
      </c>
      <c r="AF247" s="13">
        <f t="shared" ref="AF247:AJ256" si="425">SUMIFS(SALIDAS_BIT,FECHA_BIT,"&gt;="&amp;AF$2,FECHA_BIT,"&lt;="&amp;AF$3,CLAVE_BIT,$A247)+SUMIFS(SALIDAS_BOV1,FECHA_BOV1,"&gt;="&amp;AF$2,FECHA_BOV1,"&lt;="&amp;AF$3,CLAVE_BOV1,$A247)+SUMIFS(SALIDAS_BOV2,FECHA_BOV2,"&gt;="&amp;AF$2,FECHA_BOV2,"&lt;="&amp;AF$3,CLAVE_BOV2,$A247)+SUMIFS(SALIDAS_BOV3,FECHA_BOV3,"&gt;="&amp;AF$2,FECHA_BOV3,"&lt;="&amp;AF$3,CLAVE_BOV3,$A247)+SUMIFS(SALIDAS_TC,FECHA_TC,"&gt;="&amp;AF$2,FECHA_TC,"&lt;="&amp;AF$3,CLAVE_TC,$A247)+SUMIFS(SALIDAS_COMB,FECHA_COMB,"&gt;="&amp;AF$2,FECHA_COMB,"&lt;="&amp;AF$3,CLAVE_COMB,$A247)+SUMIFS(SALIDAS_DES,FECHA_DESGLOSEN,"&gt;="&amp;AF$2,FECHA_DESGLOSEN,"&lt;="&amp;AF$3,CLAVE_DESGLOSE,$A247)</f>
        <v>0</v>
      </c>
      <c r="AG247" s="13">
        <f t="shared" si="425"/>
        <v>0</v>
      </c>
      <c r="AH247" s="13">
        <f t="shared" si="425"/>
        <v>0</v>
      </c>
      <c r="AI247" s="13">
        <f t="shared" si="425"/>
        <v>0</v>
      </c>
      <c r="AJ247" s="13">
        <f t="shared" si="425"/>
        <v>0</v>
      </c>
      <c r="AK247" s="68">
        <f t="shared" si="358"/>
        <v>0</v>
      </c>
      <c r="AL247" s="268">
        <f t="shared" si="359"/>
        <v>0</v>
      </c>
      <c r="AM247" s="13">
        <f t="shared" si="348"/>
        <v>0</v>
      </c>
      <c r="AN247" s="13">
        <f t="shared" ref="AN247:AS256" si="426">SUMIFS(SALIDAS_BIT,FECHA_BIT,"&gt;="&amp;AN$2,FECHA_BIT,"&lt;="&amp;AN$3,CLAVE_BIT,$A247)+SUMIFS(SALIDAS_BOV1,FECHA_BOV1,"&gt;="&amp;AN$2,FECHA_BOV1,"&lt;="&amp;AN$3,CLAVE_BOV1,$A247)+SUMIFS(SALIDAS_BOV2,FECHA_BOV2,"&gt;="&amp;AN$2,FECHA_BOV2,"&lt;="&amp;AN$3,CLAVE_BOV2,$A247)+SUMIFS(SALIDAS_BOV3,FECHA_BOV3,"&gt;="&amp;AN$2,FECHA_BOV3,"&lt;="&amp;AN$3,CLAVE_BOV3,$A247)+SUMIFS(SALIDAS_TC,FECHA_TC,"&gt;="&amp;AN$2,FECHA_TC,"&lt;="&amp;AN$3,CLAVE_TC,$A247)+SUMIFS(SALIDAS_COMB,FECHA_COMB,"&gt;="&amp;AN$2,FECHA_COMB,"&lt;="&amp;AN$3,CLAVE_COMB,$A247)+SUMIFS(SALIDAS_DES,FECHA_DESGLOSEN,"&gt;="&amp;AN$2,FECHA_DESGLOSEN,"&lt;="&amp;AN$3,CLAVE_DESGLOSE,$A247)</f>
        <v>0</v>
      </c>
      <c r="AO247" s="13">
        <f t="shared" si="426"/>
        <v>0</v>
      </c>
      <c r="AP247" s="13">
        <f t="shared" si="426"/>
        <v>0</v>
      </c>
      <c r="AQ247" s="13">
        <f t="shared" si="426"/>
        <v>0</v>
      </c>
      <c r="AR247" s="13">
        <f t="shared" si="426"/>
        <v>0</v>
      </c>
      <c r="AS247" s="13">
        <f t="shared" si="426"/>
        <v>0</v>
      </c>
      <c r="AT247" s="68">
        <f>AM247-AS247</f>
        <v>0</v>
      </c>
      <c r="AU247" s="268">
        <f t="shared" si="360"/>
        <v>0</v>
      </c>
      <c r="AV247" s="13">
        <f t="shared" si="349"/>
        <v>0</v>
      </c>
      <c r="AW247" s="13">
        <f t="shared" si="421"/>
        <v>0</v>
      </c>
      <c r="AX247" s="13">
        <f t="shared" si="421"/>
        <v>0</v>
      </c>
      <c r="AY247" s="13">
        <f t="shared" si="421"/>
        <v>0</v>
      </c>
      <c r="AZ247" s="13">
        <f t="shared" si="421"/>
        <v>0</v>
      </c>
      <c r="BA247" s="13">
        <f t="shared" si="379"/>
        <v>0</v>
      </c>
      <c r="BB247" s="68">
        <f t="shared" si="361"/>
        <v>0</v>
      </c>
      <c r="BC247" s="268">
        <f t="shared" si="362"/>
        <v>0</v>
      </c>
      <c r="BD247" s="13">
        <f t="shared" si="363"/>
        <v>0</v>
      </c>
      <c r="BE247" s="13">
        <f>SUMIFS(SALIDAS_BIT,FECHA_BIT,"&gt;="&amp;BE$2,FECHA_BIT,"&lt;="&amp;BE$3,CLAVE_BIT,$A247)+SUMIFS(SALIDAS_BOV1,FECHA_BOV1,"&gt;="&amp;BE$2,FECHA_BOV1,"&lt;="&amp;BE$3,CLAVE_BOV1,$A247)+SUMIFS(SALIDAS_BOV2,FECHA_BOV2,"&gt;="&amp;BE$2,FECHA_BOV2,"&lt;="&amp;BE$3,CLAVE_BOV2,$A247)+SUMIFS(SALIDAS_BOV3,FECHA_BOV3,"&gt;="&amp;BE$2,FECHA_BOV3,"&lt;="&amp;BE$3,CLAVE_BOV3,$A247)+SUMIFS(SALIDAS_TC,FECHA_TC,"&gt;="&amp;BE$2,FECHA_TC,"&lt;="&amp;BE$3,CLAVE_TC,$A247)+SUMIFS(SALIDAS_COMB,FECHA_COMB,"&gt;="&amp;BE$2,FECHA_COMB,"&lt;="&amp;BE$3,CLAVE_COMB,$A247)+SUMIFS(SALIDAS_DES,FECHA_DESGLOSEN,"&gt;="&amp;BE$2,FECHA_DESGLOSEN,"&lt;="&amp;BE$3,CLAVE_DESGLOSE,$A247)</f>
        <v>1000</v>
      </c>
      <c r="BF247" s="13">
        <f>SUMIFS(SALIDAS_BIT,FECHA_BIT,"&gt;="&amp;BF$2,FECHA_BIT,"&lt;="&amp;BF$3,CLAVE_BIT,$A247)+SUMIFS(SALIDAS_BOV1,FECHA_BOV1,"&gt;="&amp;BF$2,FECHA_BOV1,"&lt;="&amp;BF$3,CLAVE_BOV1,$A247)+SUMIFS(SALIDAS_BOV2,FECHA_BOV2,"&gt;="&amp;BF$2,FECHA_BOV2,"&lt;="&amp;BF$3,CLAVE_BOV2,$A247)+SUMIFS(SALIDAS_BOV3,FECHA_BOV3,"&gt;="&amp;BF$2,FECHA_BOV3,"&lt;="&amp;BF$3,CLAVE_BOV3,$A247)+SUMIFS(SALIDAS_TC,FECHA_TC,"&gt;="&amp;BF$2,FECHA_TC,"&lt;="&amp;BF$3,CLAVE_TC,$A247)+SUMIFS(SALIDAS_COMB,FECHA_COMB,"&gt;="&amp;BF$2,FECHA_COMB,"&lt;="&amp;BF$3,CLAVE_COMB,$A247)+SUMIFS(SALIDAS_DES,FECHA_DESGLOSEN,"&gt;="&amp;BF$2,FECHA_DESGLOSEN,"&lt;="&amp;BF$3,CLAVE_DESGLOSE,$A247)</f>
        <v>0</v>
      </c>
      <c r="BG247" s="13">
        <f>SUMIFS(SALIDAS_BIT,FECHA_BIT,"&gt;="&amp;BG$2,FECHA_BIT,"&lt;="&amp;BG$3,CLAVE_BIT,$A247)+SUMIFS(SALIDAS_BOV1,FECHA_BOV1,"&gt;="&amp;BG$2,FECHA_BOV1,"&lt;="&amp;BG$3,CLAVE_BOV1,$A247)+SUMIFS(SALIDAS_BOV2,FECHA_BOV2,"&gt;="&amp;BG$2,FECHA_BOV2,"&lt;="&amp;BG$3,CLAVE_BOV2,$A247)+SUMIFS(SALIDAS_BOV3,FECHA_BOV3,"&gt;="&amp;BG$2,FECHA_BOV3,"&lt;="&amp;BG$3,CLAVE_BOV3,$A247)+SUMIFS(SALIDAS_TC,FECHA_TC,"&gt;="&amp;BG$2,FECHA_TC,"&lt;="&amp;BG$3,CLAVE_TC,$A247)+SUMIFS(SALIDAS_COMB,FECHA_COMB,"&gt;="&amp;BG$2,FECHA_COMB,"&lt;="&amp;BG$3,CLAVE_COMB,$A247)+SUMIFS(SALIDAS_DES,FECHA_DESGLOSEN,"&gt;="&amp;BG$2,FECHA_DESGLOSEN,"&lt;="&amp;BG$3,CLAVE_DESGLOSE,$A247)</f>
        <v>0</v>
      </c>
      <c r="BH247" s="13">
        <f>SUMIFS(SALIDAS_BIT,FECHA_BIT,"&gt;="&amp;BH$2,FECHA_BIT,"&lt;="&amp;BH$3,CLAVE_BIT,$A247)+SUMIFS(SALIDAS_BOV1,FECHA_BOV1,"&gt;="&amp;BH$2,FECHA_BOV1,"&lt;="&amp;BH$3,CLAVE_BOV1,$A247)+SUMIFS(SALIDAS_BOV2,FECHA_BOV2,"&gt;="&amp;BH$2,FECHA_BOV2,"&lt;="&amp;BH$3,CLAVE_BOV2,$A247)+SUMIFS(SALIDAS_BOV3,FECHA_BOV3,"&gt;="&amp;BH$2,FECHA_BOV3,"&lt;="&amp;BH$3,CLAVE_BOV3,$A247)+SUMIFS(SALIDAS_TC,FECHA_TC,"&gt;="&amp;BH$2,FECHA_TC,"&lt;="&amp;BH$3,CLAVE_TC,$A247)+SUMIFS(SALIDAS_COMB,FECHA_COMB,"&gt;="&amp;BH$2,FECHA_COMB,"&lt;="&amp;BH$3,CLAVE_COMB,$A247)+SUMIFS(SALIDAS_DES,FECHA_DESGLOSEN,"&gt;="&amp;BH$2,FECHA_DESGLOSEN,"&lt;="&amp;BH$3,CLAVE_DESGLOSE,$A247)</f>
        <v>0</v>
      </c>
      <c r="BI247" s="13">
        <f t="shared" si="419"/>
        <v>1000</v>
      </c>
      <c r="BJ247" s="68">
        <f t="shared" si="364"/>
        <v>-1000</v>
      </c>
      <c r="BK247" s="268">
        <f t="shared" si="365"/>
        <v>0</v>
      </c>
      <c r="BL247" s="13">
        <f t="shared" si="366"/>
        <v>0</v>
      </c>
      <c r="BM247" s="13">
        <f>SUMIFS(SALIDAS_BIT,FECHA_BIT,"&gt;="&amp;BM$2,FECHA_BIT,"&lt;="&amp;BM$3,CLAVE_BIT,$A247)+SUMIFS(SALIDAS_BOV1,FECHA_BOV1,"&gt;="&amp;BM$2,FECHA_BOV1,"&lt;="&amp;BM$3,CLAVE_BOV1,$A247)+SUMIFS(SALIDAS_BOV2,FECHA_BOV2,"&gt;="&amp;BM$2,FECHA_BOV2,"&lt;="&amp;BM$3,CLAVE_BOV2,$A247)+SUMIFS(SALIDAS_BOV3,FECHA_BOV3,"&gt;="&amp;BM$2,FECHA_BOV3,"&lt;="&amp;BM$3,CLAVE_BOV3,$A247)+SUMIFS(SALIDAS_TC,FECHA_TC,"&gt;="&amp;BM$2,FECHA_TC,"&lt;="&amp;BM$3,CLAVE_TC,$A247)+SUMIFS(SALIDAS_COMB,FECHA_COMB,"&gt;="&amp;BM$2,FECHA_COMB,"&lt;="&amp;BM$3,CLAVE_COMB,$A247)+SUMIFS(SALIDAS_DES,FECHA_DESGLOSEN,"&gt;="&amp;BM$2,FECHA_DESGLOSEN,"&lt;="&amp;BM$3,CLAVE_DESGLOSE,$A247)</f>
        <v>0</v>
      </c>
      <c r="BN247" s="13">
        <f>SUMIFS(SALIDAS_BIT,FECHA_BIT,"&gt;="&amp;BN$2,FECHA_BIT,"&lt;="&amp;BN$3,CLAVE_BIT,$A247)+SUMIFS(SALIDAS_BOV1,FECHA_BOV1,"&gt;="&amp;BN$2,FECHA_BOV1,"&lt;="&amp;BN$3,CLAVE_BOV1,$A247)+SUMIFS(SALIDAS_BOV2,FECHA_BOV2,"&gt;="&amp;BN$2,FECHA_BOV2,"&lt;="&amp;BN$3,CLAVE_BOV2,$A247)+SUMIFS(SALIDAS_BOV3,FECHA_BOV3,"&gt;="&amp;BN$2,FECHA_BOV3,"&lt;="&amp;BN$3,CLAVE_BOV3,$A247)+SUMIFS(SALIDAS_TC,FECHA_TC,"&gt;="&amp;BN$2,FECHA_TC,"&lt;="&amp;BN$3,CLAVE_TC,$A247)+SUMIFS(SALIDAS_COMB,FECHA_COMB,"&gt;="&amp;BN$2,FECHA_COMB,"&lt;="&amp;BN$3,CLAVE_COMB,$A247)+SUMIFS(SALIDAS_DES,FECHA_DESGLOSEN,"&gt;="&amp;BN$2,FECHA_DESGLOSEN,"&lt;="&amp;BN$3,CLAVE_DESGLOSE,$A247)</f>
        <v>0</v>
      </c>
      <c r="BO247" s="13">
        <f>SUMIFS(SALIDAS_BIT,FECHA_BIT,"&gt;="&amp;BO$2,FECHA_BIT,"&lt;="&amp;BO$3,CLAVE_BIT,$A247)+SUMIFS(SALIDAS_BOV1,FECHA_BOV1,"&gt;="&amp;BO$2,FECHA_BOV1,"&lt;="&amp;BO$3,CLAVE_BOV1,$A247)+SUMIFS(SALIDAS_BOV2,FECHA_BOV2,"&gt;="&amp;BO$2,FECHA_BOV2,"&lt;="&amp;BO$3,CLAVE_BOV2,$A247)+SUMIFS(SALIDAS_BOV3,FECHA_BOV3,"&gt;="&amp;BO$2,FECHA_BOV3,"&lt;="&amp;BO$3,CLAVE_BOV3,$A247)+SUMIFS(SALIDAS_TC,FECHA_TC,"&gt;="&amp;BO$2,FECHA_TC,"&lt;="&amp;BO$3,CLAVE_TC,$A247)+SUMIFS(SALIDAS_COMB,FECHA_COMB,"&gt;="&amp;BO$2,FECHA_COMB,"&lt;="&amp;BO$3,CLAVE_COMB,$A247)+SUMIFS(SALIDAS_DES,FECHA_DESGLOSEN,"&gt;="&amp;BO$2,FECHA_DESGLOSEN,"&lt;="&amp;BO$3,CLAVE_DESGLOSE,$A247)</f>
        <v>0</v>
      </c>
      <c r="BP247" s="13">
        <f>SUMIFS(SALIDAS_BIT,FECHA_BIT,"&gt;="&amp;BP$2,FECHA_BIT,"&lt;="&amp;BP$3,CLAVE_BIT,$A247)+SUMIFS(SALIDAS_BOV1,FECHA_BOV1,"&gt;="&amp;BP$2,FECHA_BOV1,"&lt;="&amp;BP$3,CLAVE_BOV1,$A247)+SUMIFS(SALIDAS_BOV2,FECHA_BOV2,"&gt;="&amp;BP$2,FECHA_BOV2,"&lt;="&amp;BP$3,CLAVE_BOV2,$A247)+SUMIFS(SALIDAS_BOV3,FECHA_BOV3,"&gt;="&amp;BP$2,FECHA_BOV3,"&lt;="&amp;BP$3,CLAVE_BOV3,$A247)+SUMIFS(SALIDAS_TC,FECHA_TC,"&gt;="&amp;BP$2,FECHA_TC,"&lt;="&amp;BP$3,CLAVE_TC,$A247)+SUMIFS(SALIDAS_COMB,FECHA_COMB,"&gt;="&amp;BP$2,FECHA_COMB,"&lt;="&amp;BP$3,CLAVE_COMB,$A247)+SUMIFS(SALIDAS_DES,FECHA_DESGLOSEN,"&gt;="&amp;BP$2,FECHA_DESGLOSEN,"&lt;="&amp;BP$3,CLAVE_DESGLOSE,$A247)</f>
        <v>0</v>
      </c>
      <c r="BQ247" s="13">
        <f>SUMIFS(SALIDAS_BIT,FECHA_BIT,"&gt;="&amp;BQ$2,FECHA_BIT,"&lt;="&amp;BQ$3,CLAVE_BIT,$A247)+SUMIFS(SALIDAS_BOV1,FECHA_BOV1,"&gt;="&amp;BQ$2,FECHA_BOV1,"&lt;="&amp;BQ$3,CLAVE_BOV1,$A247)+SUMIFS(SALIDAS_BOV2,FECHA_BOV2,"&gt;="&amp;BQ$2,FECHA_BOV2,"&lt;="&amp;BQ$3,CLAVE_BOV2,$A247)+SUMIFS(SALIDAS_BOV3,FECHA_BOV3,"&gt;="&amp;BQ$2,FECHA_BOV3,"&lt;="&amp;BQ$3,CLAVE_BOV3,$A247)+SUMIFS(SALIDAS_TC,FECHA_TC,"&gt;="&amp;BQ$2,FECHA_TC,"&lt;="&amp;BQ$3,CLAVE_TC,$A247)+SUMIFS(SALIDAS_COMB,FECHA_COMB,"&gt;="&amp;BQ$2,FECHA_COMB,"&lt;="&amp;BQ$3,CLAVE_COMB,$A247)+SUMIFS(SALIDAS_DES,FECHA_DESGLOSEN,"&gt;="&amp;BQ$2,FECHA_DESGLOSEN,"&lt;="&amp;BQ$3,CLAVE_DESGLOSE,$A247)</f>
        <v>0</v>
      </c>
      <c r="BR247" s="13">
        <f t="shared" ref="BR247:BR256" si="427">SUMIFS(SALIDAS_BIT,FECHA_BIT,"&gt;="&amp;BR$2,FECHA_BIT,"&lt;="&amp;BR$3,CLAVE_BIT,$A247)+SUMIFS(SALIDAS_BOV1,FECHA_BOV1,"&gt;="&amp;BR$2,FECHA_BOV1,"&lt;="&amp;BR$3,CLAVE_BOV1,$A247)+SUMIFS(SALIDAS_BOV2,FECHA_BOV2,"&gt;="&amp;BR$2,FECHA_BOV2,"&lt;="&amp;BR$3,CLAVE_BOV2,$A247)+SUMIFS(SALIDAS_BOV3,FECHA_BOV3,"&gt;="&amp;BR$2,FECHA_BOV3,"&lt;="&amp;BR$3,CLAVE_BOV3,$A247)+SUMIFS(SALIDAS_TC,FECHA_TC,"&gt;="&amp;BR$2,FECHA_TC,"&lt;="&amp;BR$3,CLAVE_TC,$A247)+SUMIFS(SALIDAS_COMB,FECHA_COMB,"&gt;="&amp;BR$2,FECHA_COMB,"&lt;="&amp;BR$3,CLAVE_COMB,$A247)+SUMIFS(SALIDAS_DES,FECHA_DESGLOSEN,"&gt;="&amp;BR$2,FECHA_DESGLOSEN,"&lt;="&amp;BR$3,CLAVE_DESGLOSE,$A247)</f>
        <v>0</v>
      </c>
      <c r="BS247" s="68">
        <f t="shared" si="367"/>
        <v>0</v>
      </c>
      <c r="BT247" s="268">
        <f t="shared" si="368"/>
        <v>0</v>
      </c>
      <c r="BU247" s="13">
        <f t="shared" si="369"/>
        <v>0</v>
      </c>
      <c r="BV247" s="13">
        <f t="shared" si="389"/>
        <v>0</v>
      </c>
      <c r="BW247" s="13">
        <f t="shared" si="389"/>
        <v>0</v>
      </c>
      <c r="BX247" s="13">
        <f t="shared" si="389"/>
        <v>0</v>
      </c>
      <c r="BY247" s="13">
        <f t="shared" si="389"/>
        <v>0</v>
      </c>
      <c r="BZ247" s="13">
        <f t="shared" ref="BZ247:BZ256" si="428">SUMIFS(SALIDAS_BIT,FECHA_BIT,"&gt;="&amp;BZ$2,FECHA_BIT,"&lt;="&amp;BZ$3,CLAVE_BIT,$A247)+SUMIFS(SALIDAS_BOV1,FECHA_BOV1,"&gt;="&amp;BZ$2,FECHA_BOV1,"&lt;="&amp;BZ$3,CLAVE_BOV1,$A247)+SUMIFS(SALIDAS_BOV2,FECHA_BOV2,"&gt;="&amp;BZ$2,FECHA_BOV2,"&lt;="&amp;BZ$3,CLAVE_BOV2,$A247)+SUMIFS(SALIDAS_BOV3,FECHA_BOV3,"&gt;="&amp;BZ$2,FECHA_BOV3,"&lt;="&amp;BZ$3,CLAVE_BOV3,$A247)+SUMIFS(SALIDAS_TC,FECHA_TC,"&gt;="&amp;BZ$2,FECHA_TC,"&lt;="&amp;BZ$3,CLAVE_TC,$A247)+SUMIFS(SALIDAS_COMB,FECHA_COMB,"&gt;="&amp;BZ$2,FECHA_COMB,"&lt;="&amp;BZ$3,CLAVE_COMB,$A247)+SUMIFS(SALIDAS_DES,FECHA_DESGLOSEN,"&gt;="&amp;BZ$2,FECHA_DESGLOSEN,"&lt;="&amp;BZ$3,CLAVE_DESGLOSE,$A247)</f>
        <v>0</v>
      </c>
      <c r="CA247" s="68">
        <f t="shared" si="370"/>
        <v>0</v>
      </c>
      <c r="CB247" s="268">
        <f t="shared" si="371"/>
        <v>0</v>
      </c>
      <c r="CC247" s="13">
        <f t="shared" si="372"/>
        <v>0</v>
      </c>
      <c r="CD247" s="13">
        <f t="shared" si="390"/>
        <v>0</v>
      </c>
      <c r="CE247" s="13">
        <f t="shared" si="390"/>
        <v>0</v>
      </c>
      <c r="CF247" s="13">
        <f t="shared" si="390"/>
        <v>0</v>
      </c>
      <c r="CG247" s="13">
        <f t="shared" si="390"/>
        <v>0</v>
      </c>
      <c r="CH247" s="13">
        <f t="shared" ref="CH247:CH256" si="429">SUMIFS(SALIDAS_BIT,FECHA_BIT,"&gt;="&amp;CH$2,FECHA_BIT,"&lt;="&amp;CH$3,CLAVE_BIT,$A247)+SUMIFS(SALIDAS_BOV1,FECHA_BOV1,"&gt;="&amp;CH$2,FECHA_BOV1,"&lt;="&amp;CH$3,CLAVE_BOV1,$A247)+SUMIFS(SALIDAS_BOV2,FECHA_BOV2,"&gt;="&amp;CH$2,FECHA_BOV2,"&lt;="&amp;CH$3,CLAVE_BOV2,$A247)+SUMIFS(SALIDAS_BOV3,FECHA_BOV3,"&gt;="&amp;CH$2,FECHA_BOV3,"&lt;="&amp;CH$3,CLAVE_BOV3,$A247)+SUMIFS(SALIDAS_TC,FECHA_TC,"&gt;="&amp;CH$2,FECHA_TC,"&lt;="&amp;CH$3,CLAVE_TC,$A247)+SUMIFS(SALIDAS_COMB,FECHA_COMB,"&gt;="&amp;CH$2,FECHA_COMB,"&lt;="&amp;CH$3,CLAVE_COMB,$A247)+SUMIFS(SALIDAS_DES,FECHA_DESGLOSEN,"&gt;="&amp;CH$2,FECHA_DESGLOSEN,"&lt;="&amp;CH$3,CLAVE_DESGLOSE,$A247)</f>
        <v>0</v>
      </c>
      <c r="CI247" s="68">
        <f t="shared" si="373"/>
        <v>0</v>
      </c>
      <c r="CJ247" s="268">
        <f t="shared" si="374"/>
        <v>0</v>
      </c>
      <c r="CK247" s="13">
        <f t="shared" si="375"/>
        <v>18898</v>
      </c>
      <c r="CL247" s="13">
        <f t="shared" si="400"/>
        <v>0</v>
      </c>
      <c r="CM247" s="13">
        <f t="shared" si="400"/>
        <v>0</v>
      </c>
      <c r="CN247" s="13">
        <f t="shared" si="400"/>
        <v>0</v>
      </c>
      <c r="CO247" s="13">
        <f t="shared" si="400"/>
        <v>0</v>
      </c>
      <c r="CP247" s="13">
        <f t="shared" si="400"/>
        <v>0</v>
      </c>
      <c r="CQ247" s="13">
        <f t="shared" ref="CQ247:CQ256" si="430">SUMIFS(SALIDAS_BIT,FECHA_BIT,"&gt;="&amp;CQ$2,FECHA_BIT,"&lt;="&amp;CQ$3,CLAVE_BIT,$A247)+SUMIFS(SALIDAS_BOV1,FECHA_BOV1,"&gt;="&amp;CQ$2,FECHA_BOV1,"&lt;="&amp;CQ$3,CLAVE_BOV1,$A247)+SUMIFS(SALIDAS_BOV2,FECHA_BOV2,"&gt;="&amp;CQ$2,FECHA_BOV2,"&lt;="&amp;CQ$3,CLAVE_BOV2,$A247)+SUMIFS(SALIDAS_BOV3,FECHA_BOV3,"&gt;="&amp;CQ$2,FECHA_BOV3,"&lt;="&amp;CQ$3,CLAVE_BOV3,$A247)+SUMIFS(SALIDAS_TC,FECHA_TC,"&gt;="&amp;CQ$2,FECHA_TC,"&lt;="&amp;CQ$3,CLAVE_TC,$A247)+SUMIFS(SALIDAS_COMB,FECHA_COMB,"&gt;="&amp;CQ$2,FECHA_COMB,"&lt;="&amp;CQ$3,CLAVE_COMB,$A247)+SUMIFS(SALIDAS_DES,FECHA_DESGLOSEN,"&gt;="&amp;CQ$2,FECHA_DESGLOSEN,"&lt;="&amp;CQ$3,CLAVE_DESGLOSE,$A247)</f>
        <v>0</v>
      </c>
      <c r="CR247" s="68">
        <f t="shared" si="376"/>
        <v>18898</v>
      </c>
      <c r="CS247" s="268">
        <f t="shared" si="377"/>
        <v>0</v>
      </c>
      <c r="CT247" s="68">
        <f t="shared" si="350"/>
        <v>2500</v>
      </c>
      <c r="CU247" s="13">
        <f>SUMIFS(SALIDAS_BIT,FECHA_BIT,"&gt;="&amp;CU$2,FECHA_BIT,"&lt;="&amp;CU$3,CLAVE_BIT,$A247)+SUMIFS(SALIDAS_BOV1,FECHA_BOV1,"&gt;="&amp;CU$2,FECHA_BOV1,"&lt;="&amp;CU$3,CLAVE_BOV1,$A247)+SUMIFS(SALIDAS_BOV2,FECHA_BOV2,"&gt;="&amp;CU$2,FECHA_BOV2,"&lt;="&amp;CU$3,CLAVE_BOV2,$A247)+SUMIFS(SALIDAS_BOV3,FECHA_BOV3,"&gt;="&amp;CU$2,FECHA_BOV3,"&lt;="&amp;CU$3,CLAVE_BOV3,$A247)+SUMIFS(SALIDAS_TC,FECHA_TC,"&gt;="&amp;CU$2,FECHA_TC,"&lt;="&amp;CU$3,CLAVE_TC,$A247)+SUMIFS(SALIDAS_COMB,FECHA_COMB,"&gt;="&amp;CU$2,FECHA_COMB,"&lt;="&amp;CU$3,CLAVE_COMB,$A247)+SUMIFS(SALIDAS_DES,FECHA_DESGLOSEN,"&gt;="&amp;CU$2,FECHA_DESGLOSEN,"&lt;="&amp;CU$3,CLAVE_DESGLOSE,$A247)</f>
        <v>0</v>
      </c>
      <c r="CV247" s="13">
        <f>SUMIFS(SALIDAS_BIT,FECHA_BIT,"&gt;="&amp;CV$2,FECHA_BIT,"&lt;="&amp;CV$3,CLAVE_BIT,$A247)+SUMIFS(SALIDAS_BOV1,FECHA_BOV1,"&gt;="&amp;CV$2,FECHA_BOV1,"&lt;="&amp;CV$3,CLAVE_BOV1,$A247)+SUMIFS(SALIDAS_BOV2,FECHA_BOV2,"&gt;="&amp;CV$2,FECHA_BOV2,"&lt;="&amp;CV$3,CLAVE_BOV2,$A247)+SUMIFS(SALIDAS_BOV3,FECHA_BOV3,"&gt;="&amp;CV$2,FECHA_BOV3,"&lt;="&amp;CV$3,CLAVE_BOV3,$A247)+SUMIFS(SALIDAS_TC,FECHA_TC,"&gt;="&amp;CV$2,FECHA_TC,"&lt;="&amp;CV$3,CLAVE_TC,$A247)+SUMIFS(SALIDAS_COMB,FECHA_COMB,"&gt;="&amp;CV$2,FECHA_COMB,"&lt;="&amp;CV$3,CLAVE_COMB,$A247)+SUMIFS(SALIDAS_DES,FECHA_DESGLOSEN,"&gt;="&amp;CV$2,FECHA_DESGLOSEN,"&lt;="&amp;CV$3,CLAVE_DESGLOSE,$A247)</f>
        <v>0</v>
      </c>
      <c r="CW247" s="13">
        <f>SUMIFS(SALIDAS_BIT,FECHA_BIT,"&gt;="&amp;CW$2,FECHA_BIT,"&lt;="&amp;CW$3,CLAVE_BIT,$A247)+SUMIFS(SALIDAS_BOV1,FECHA_BOV1,"&gt;="&amp;CW$2,FECHA_BOV1,"&lt;="&amp;CW$3,CLAVE_BOV1,$A247)+SUMIFS(SALIDAS_BOV2,FECHA_BOV2,"&gt;="&amp;CW$2,FECHA_BOV2,"&lt;="&amp;CW$3,CLAVE_BOV2,$A247)+SUMIFS(SALIDAS_BOV3,FECHA_BOV3,"&gt;="&amp;CW$2,FECHA_BOV3,"&lt;="&amp;CW$3,CLAVE_BOV3,$A247)+SUMIFS(SALIDAS_TC,FECHA_TC,"&gt;="&amp;CW$2,FECHA_TC,"&lt;="&amp;CW$3,CLAVE_TC,$A247)+SUMIFS(SALIDAS_COMB,FECHA_COMB,"&gt;="&amp;CW$2,FECHA_COMB,"&lt;="&amp;CW$3,CLAVE_COMB,$A247)+SUMIFS(SALIDAS_DES,FECHA_DESGLOSEN,"&gt;="&amp;CW$2,FECHA_DESGLOSEN,"&lt;="&amp;CW$3,CLAVE_DESGLOSE,$A247)</f>
        <v>0</v>
      </c>
      <c r="CX247" s="13">
        <f>SUMIFS(SALIDAS_BIT,FECHA_BIT,"&gt;="&amp;CX$2,FECHA_BIT,"&lt;="&amp;CX$3,CLAVE_BIT,$A247)+SUMIFS(SALIDAS_BOV1,FECHA_BOV1,"&gt;="&amp;CX$2,FECHA_BOV1,"&lt;="&amp;CX$3,CLAVE_BOV1,$A247)+SUMIFS(SALIDAS_BOV2,FECHA_BOV2,"&gt;="&amp;CX$2,FECHA_BOV2,"&lt;="&amp;CX$3,CLAVE_BOV2,$A247)+SUMIFS(SALIDAS_BOV3,FECHA_BOV3,"&gt;="&amp;CX$2,FECHA_BOV3,"&lt;="&amp;CX$3,CLAVE_BOV3,$A247)+SUMIFS(SALIDAS_TC,FECHA_TC,"&gt;="&amp;CX$2,FECHA_TC,"&lt;="&amp;CX$3,CLAVE_TC,$A247)+SUMIFS(SALIDAS_COMB,FECHA_COMB,"&gt;="&amp;CX$2,FECHA_COMB,"&lt;="&amp;CX$3,CLAVE_COMB,$A247)+SUMIFS(SALIDAS_DES,FECHA_DESGLOSEN,"&gt;="&amp;CX$2,FECHA_DESGLOSEN,"&lt;="&amp;CX$3,CLAVE_DESGLOSE,$A247)</f>
        <v>0</v>
      </c>
      <c r="CY247" s="13">
        <f>SUMIFS(SALIDAS_BIT,FECHA_BIT,"&gt;="&amp;CY$2,FECHA_BIT,"&lt;="&amp;CY$3,CLAVE_BIT,$A247)+SUMIFS(SALIDAS_BOV1,FECHA_BOV1,"&gt;="&amp;CY$2,FECHA_BOV1,"&lt;="&amp;CY$3,CLAVE_BOV1,$A247)+SUMIFS(SALIDAS_BOV2,FECHA_BOV2,"&gt;="&amp;CY$2,FECHA_BOV2,"&lt;="&amp;CY$3,CLAVE_BOV2,$A247)+SUMIFS(SALIDAS_BOV3,FECHA_BOV3,"&gt;="&amp;CY$2,FECHA_BOV3,"&lt;="&amp;CY$3,CLAVE_BOV3,$A247)+SUMIFS(SALIDAS_TC,FECHA_TC,"&gt;="&amp;CY$2,FECHA_TC,"&lt;="&amp;CY$3,CLAVE_TC,$A247)+SUMIFS(SALIDAS_COMB,FECHA_COMB,"&gt;="&amp;CY$2,FECHA_COMB,"&lt;="&amp;CY$3,CLAVE_COMB,$A247)+SUMIFS(SALIDAS_DES,FECHA_DESGLOSEN,"&gt;="&amp;CY$2,FECHA_DESGLOSEN,"&lt;="&amp;CY$3,CLAVE_DESGLOSE,$A247)</f>
        <v>0</v>
      </c>
      <c r="CZ247" s="68">
        <f t="shared" si="378"/>
        <v>2500</v>
      </c>
      <c r="DB247" s="17">
        <f>F247+N247+W247+AE247+AM247+AV247+BD247+BL247+BU247+CC247+CK247</f>
        <v>20000</v>
      </c>
      <c r="DC247" s="17">
        <f>K247+T247+AB247+AJ247+AS247+BA247+BI247+BR247+BZ247+CH247+CQ247</f>
        <v>1000</v>
      </c>
    </row>
    <row r="248" spans="1:107" hidden="1">
      <c r="A248" s="12" t="str">
        <f t="shared" si="351"/>
        <v>FINANZASHONORARIOSRECURSOS HUMANOS</v>
      </c>
      <c r="B248" s="483">
        <v>250</v>
      </c>
      <c r="C248" t="s">
        <v>23</v>
      </c>
      <c r="D248" t="s">
        <v>124</v>
      </c>
      <c r="E248" t="s">
        <v>125</v>
      </c>
      <c r="F248" s="259">
        <f t="shared" si="344"/>
        <v>0</v>
      </c>
      <c r="G248" s="13">
        <f t="shared" si="422"/>
        <v>0</v>
      </c>
      <c r="H248" s="13">
        <f t="shared" si="422"/>
        <v>0</v>
      </c>
      <c r="I248" s="13">
        <f t="shared" si="422"/>
        <v>0</v>
      </c>
      <c r="J248" s="13">
        <f t="shared" si="422"/>
        <v>0</v>
      </c>
      <c r="K248" s="13">
        <f t="shared" si="422"/>
        <v>0</v>
      </c>
      <c r="L248" s="68">
        <f t="shared" si="352"/>
        <v>0</v>
      </c>
      <c r="M248" s="268">
        <f t="shared" si="353"/>
        <v>0</v>
      </c>
      <c r="N248" s="13">
        <f t="shared" si="345"/>
        <v>0</v>
      </c>
      <c r="O248" s="13">
        <f t="shared" si="423"/>
        <v>0</v>
      </c>
      <c r="P248" s="13">
        <f t="shared" si="423"/>
        <v>0</v>
      </c>
      <c r="Q248" s="13">
        <f t="shared" si="423"/>
        <v>0</v>
      </c>
      <c r="R248" s="13">
        <f t="shared" si="423"/>
        <v>0</v>
      </c>
      <c r="S248" s="13">
        <f t="shared" si="423"/>
        <v>0</v>
      </c>
      <c r="T248" s="13">
        <f t="shared" si="423"/>
        <v>0</v>
      </c>
      <c r="U248" s="68">
        <f t="shared" si="354"/>
        <v>0</v>
      </c>
      <c r="V248" s="268">
        <f t="shared" si="355"/>
        <v>0</v>
      </c>
      <c r="W248" s="13">
        <f t="shared" si="346"/>
        <v>0</v>
      </c>
      <c r="X248" s="13">
        <f t="shared" si="424"/>
        <v>0</v>
      </c>
      <c r="Y248" s="13">
        <f t="shared" si="424"/>
        <v>0</v>
      </c>
      <c r="Z248" s="13">
        <f t="shared" si="424"/>
        <v>0</v>
      </c>
      <c r="AA248" s="13">
        <f t="shared" si="424"/>
        <v>0</v>
      </c>
      <c r="AB248" s="13">
        <f t="shared" si="424"/>
        <v>0</v>
      </c>
      <c r="AC248" s="68">
        <f t="shared" si="356"/>
        <v>0</v>
      </c>
      <c r="AD248" s="268">
        <f t="shared" si="357"/>
        <v>0</v>
      </c>
      <c r="AE248" s="13">
        <f t="shared" si="347"/>
        <v>0</v>
      </c>
      <c r="AF248" s="13">
        <f t="shared" si="425"/>
        <v>0</v>
      </c>
      <c r="AG248" s="13">
        <f t="shared" si="425"/>
        <v>0</v>
      </c>
      <c r="AH248" s="13">
        <f t="shared" si="425"/>
        <v>0</v>
      </c>
      <c r="AI248" s="13">
        <f t="shared" si="425"/>
        <v>0</v>
      </c>
      <c r="AJ248" s="13">
        <f t="shared" si="425"/>
        <v>0</v>
      </c>
      <c r="AK248" s="68">
        <f t="shared" si="358"/>
        <v>0</v>
      </c>
      <c r="AL248" s="268">
        <f t="shared" si="359"/>
        <v>0</v>
      </c>
      <c r="AM248" s="13">
        <f t="shared" si="348"/>
        <v>0</v>
      </c>
      <c r="AN248" s="13">
        <f t="shared" si="426"/>
        <v>0</v>
      </c>
      <c r="AO248" s="13">
        <f t="shared" si="426"/>
        <v>0</v>
      </c>
      <c r="AP248" s="13">
        <f t="shared" si="426"/>
        <v>0</v>
      </c>
      <c r="AQ248" s="13">
        <f t="shared" si="426"/>
        <v>0</v>
      </c>
      <c r="AR248" s="13">
        <f t="shared" si="426"/>
        <v>0</v>
      </c>
      <c r="AS248" s="13">
        <f t="shared" si="426"/>
        <v>0</v>
      </c>
      <c r="AT248" s="68">
        <f>AM248-AS248</f>
        <v>0</v>
      </c>
      <c r="AU248" s="268">
        <f t="shared" si="360"/>
        <v>0</v>
      </c>
      <c r="AV248" s="13">
        <f t="shared" si="349"/>
        <v>0</v>
      </c>
      <c r="AW248" s="13">
        <f t="shared" si="421"/>
        <v>0</v>
      </c>
      <c r="AX248" s="13">
        <f t="shared" si="421"/>
        <v>0</v>
      </c>
      <c r="AY248" s="13">
        <f t="shared" si="421"/>
        <v>0</v>
      </c>
      <c r="AZ248" s="13">
        <f t="shared" si="421"/>
        <v>0</v>
      </c>
      <c r="BA248" s="13">
        <f t="shared" si="379"/>
        <v>0</v>
      </c>
      <c r="BB248" s="68">
        <f t="shared" si="361"/>
        <v>0</v>
      </c>
      <c r="BC248" s="268">
        <f t="shared" si="362"/>
        <v>0</v>
      </c>
      <c r="BD248" s="13">
        <f t="shared" si="363"/>
        <v>0</v>
      </c>
      <c r="BE248" s="13">
        <f>SUMIFS(SALIDAS_BIT,FECHA_BIT,"&gt;="&amp;BE$2,FECHA_BIT,"&lt;="&amp;BE$3,CLAVE_BIT,$A248)+SUMIFS(SALIDAS_BOV1,FECHA_BOV1,"&gt;="&amp;BE$2,FECHA_BOV1,"&lt;="&amp;BE$3,CLAVE_BOV1,$A248)+SUMIFS(SALIDAS_BOV2,FECHA_BOV2,"&gt;="&amp;BE$2,FECHA_BOV2,"&lt;="&amp;BE$3,CLAVE_BOV2,$A248)+SUMIFS(SALIDAS_BOV3,FECHA_BOV3,"&gt;="&amp;BE$2,FECHA_BOV3,"&lt;="&amp;BE$3,CLAVE_BOV3,$A248)+SUMIFS(SALIDAS_TC,FECHA_TC,"&gt;="&amp;BE$2,FECHA_TC,"&lt;="&amp;BE$3,CLAVE_TC,$A248)+SUMIFS(SALIDAS_COMB,FECHA_COMB,"&gt;="&amp;BE$2,FECHA_COMB,"&lt;="&amp;BE$3,CLAVE_COMB,$A248)+SUMIFS(SALIDAS_DES,FECHA_DESGLOSEN,"&gt;="&amp;BE$2,FECHA_DESGLOSEN,"&lt;="&amp;BE$3,CLAVE_DESGLOSE,$A248)</f>
        <v>0</v>
      </c>
      <c r="BF248" s="13">
        <f>SUMIFS(SALIDAS_BIT,FECHA_BIT,"&gt;="&amp;BF$2,FECHA_BIT,"&lt;="&amp;BF$3,CLAVE_BIT,$A248)+SUMIFS(SALIDAS_BOV1,FECHA_BOV1,"&gt;="&amp;BF$2,FECHA_BOV1,"&lt;="&amp;BF$3,CLAVE_BOV1,$A248)+SUMIFS(SALIDAS_BOV2,FECHA_BOV2,"&gt;="&amp;BF$2,FECHA_BOV2,"&lt;="&amp;BF$3,CLAVE_BOV2,$A248)+SUMIFS(SALIDAS_BOV3,FECHA_BOV3,"&gt;="&amp;BF$2,FECHA_BOV3,"&lt;="&amp;BF$3,CLAVE_BOV3,$A248)+SUMIFS(SALIDAS_TC,FECHA_TC,"&gt;="&amp;BF$2,FECHA_TC,"&lt;="&amp;BF$3,CLAVE_TC,$A248)+SUMIFS(SALIDAS_COMB,FECHA_COMB,"&gt;="&amp;BF$2,FECHA_COMB,"&lt;="&amp;BF$3,CLAVE_COMB,$A248)+SUMIFS(SALIDAS_DES,FECHA_DESGLOSEN,"&gt;="&amp;BF$2,FECHA_DESGLOSEN,"&lt;="&amp;BF$3,CLAVE_DESGLOSE,$A248)</f>
        <v>0</v>
      </c>
      <c r="BG248" s="13">
        <f>SUMIFS(SALIDAS_BIT,FECHA_BIT,"&gt;="&amp;BG$2,FECHA_BIT,"&lt;="&amp;BG$3,CLAVE_BIT,$A248)+SUMIFS(SALIDAS_BOV1,FECHA_BOV1,"&gt;="&amp;BG$2,FECHA_BOV1,"&lt;="&amp;BG$3,CLAVE_BOV1,$A248)+SUMIFS(SALIDAS_BOV2,FECHA_BOV2,"&gt;="&amp;BG$2,FECHA_BOV2,"&lt;="&amp;BG$3,CLAVE_BOV2,$A248)+SUMIFS(SALIDAS_BOV3,FECHA_BOV3,"&gt;="&amp;BG$2,FECHA_BOV3,"&lt;="&amp;BG$3,CLAVE_BOV3,$A248)+SUMIFS(SALIDAS_TC,FECHA_TC,"&gt;="&amp;BG$2,FECHA_TC,"&lt;="&amp;BG$3,CLAVE_TC,$A248)+SUMIFS(SALIDAS_COMB,FECHA_COMB,"&gt;="&amp;BG$2,FECHA_COMB,"&lt;="&amp;BG$3,CLAVE_COMB,$A248)+SUMIFS(SALIDAS_DES,FECHA_DESGLOSEN,"&gt;="&amp;BG$2,FECHA_DESGLOSEN,"&lt;="&amp;BG$3,CLAVE_DESGLOSE,$A248)</f>
        <v>0</v>
      </c>
      <c r="BH248" s="13">
        <f>SUMIFS(SALIDAS_BIT,FECHA_BIT,"&gt;="&amp;BH$2,FECHA_BIT,"&lt;="&amp;BH$3,CLAVE_BIT,$A248)+SUMIFS(SALIDAS_BOV1,FECHA_BOV1,"&gt;="&amp;BH$2,FECHA_BOV1,"&lt;="&amp;BH$3,CLAVE_BOV1,$A248)+SUMIFS(SALIDAS_BOV2,FECHA_BOV2,"&gt;="&amp;BH$2,FECHA_BOV2,"&lt;="&amp;BH$3,CLAVE_BOV2,$A248)+SUMIFS(SALIDAS_BOV3,FECHA_BOV3,"&gt;="&amp;BH$2,FECHA_BOV3,"&lt;="&amp;BH$3,CLAVE_BOV3,$A248)+SUMIFS(SALIDAS_TC,FECHA_TC,"&gt;="&amp;BH$2,FECHA_TC,"&lt;="&amp;BH$3,CLAVE_TC,$A248)+SUMIFS(SALIDAS_COMB,FECHA_COMB,"&gt;="&amp;BH$2,FECHA_COMB,"&lt;="&amp;BH$3,CLAVE_COMB,$A248)+SUMIFS(SALIDAS_DES,FECHA_DESGLOSEN,"&gt;="&amp;BH$2,FECHA_DESGLOSEN,"&lt;="&amp;BH$3,CLAVE_DESGLOSE,$A248)</f>
        <v>0</v>
      </c>
      <c r="BI248" s="13">
        <f t="shared" si="419"/>
        <v>0</v>
      </c>
      <c r="BJ248" s="68">
        <f t="shared" si="364"/>
        <v>0</v>
      </c>
      <c r="BK248" s="268">
        <f t="shared" si="365"/>
        <v>0</v>
      </c>
      <c r="BL248" s="13">
        <f t="shared" si="366"/>
        <v>0</v>
      </c>
      <c r="BM248" s="13">
        <f>SUMIFS(SALIDAS_BIT,FECHA_BIT,"&gt;="&amp;BM$2,FECHA_BIT,"&lt;="&amp;BM$3,CLAVE_BIT,$A248)+SUMIFS(SALIDAS_BOV1,FECHA_BOV1,"&gt;="&amp;BM$2,FECHA_BOV1,"&lt;="&amp;BM$3,CLAVE_BOV1,$A248)+SUMIFS(SALIDAS_BOV2,FECHA_BOV2,"&gt;="&amp;BM$2,FECHA_BOV2,"&lt;="&amp;BM$3,CLAVE_BOV2,$A248)+SUMIFS(SALIDAS_BOV3,FECHA_BOV3,"&gt;="&amp;BM$2,FECHA_BOV3,"&lt;="&amp;BM$3,CLAVE_BOV3,$A248)+SUMIFS(SALIDAS_TC,FECHA_TC,"&gt;="&amp;BM$2,FECHA_TC,"&lt;="&amp;BM$3,CLAVE_TC,$A248)+SUMIFS(SALIDAS_COMB,FECHA_COMB,"&gt;="&amp;BM$2,FECHA_COMB,"&lt;="&amp;BM$3,CLAVE_COMB,$A248)+SUMIFS(SALIDAS_DES,FECHA_DESGLOSEN,"&gt;="&amp;BM$2,FECHA_DESGLOSEN,"&lt;="&amp;BM$3,CLAVE_DESGLOSE,$A248)</f>
        <v>0</v>
      </c>
      <c r="BN248" s="13">
        <f>SUMIFS(SALIDAS_BIT,FECHA_BIT,"&gt;="&amp;BN$2,FECHA_BIT,"&lt;="&amp;BN$3,CLAVE_BIT,$A248)+SUMIFS(SALIDAS_BOV1,FECHA_BOV1,"&gt;="&amp;BN$2,FECHA_BOV1,"&lt;="&amp;BN$3,CLAVE_BOV1,$A248)+SUMIFS(SALIDAS_BOV2,FECHA_BOV2,"&gt;="&amp;BN$2,FECHA_BOV2,"&lt;="&amp;BN$3,CLAVE_BOV2,$A248)+SUMIFS(SALIDAS_BOV3,FECHA_BOV3,"&gt;="&amp;BN$2,FECHA_BOV3,"&lt;="&amp;BN$3,CLAVE_BOV3,$A248)+SUMIFS(SALIDAS_TC,FECHA_TC,"&gt;="&amp;BN$2,FECHA_TC,"&lt;="&amp;BN$3,CLAVE_TC,$A248)+SUMIFS(SALIDAS_COMB,FECHA_COMB,"&gt;="&amp;BN$2,FECHA_COMB,"&lt;="&amp;BN$3,CLAVE_COMB,$A248)+SUMIFS(SALIDAS_DES,FECHA_DESGLOSEN,"&gt;="&amp;BN$2,FECHA_DESGLOSEN,"&lt;="&amp;BN$3,CLAVE_DESGLOSE,$A248)</f>
        <v>0</v>
      </c>
      <c r="BO248" s="13">
        <f>SUMIFS(SALIDAS_BIT,FECHA_BIT,"&gt;="&amp;BO$2,FECHA_BIT,"&lt;="&amp;BO$3,CLAVE_BIT,$A248)+SUMIFS(SALIDAS_BOV1,FECHA_BOV1,"&gt;="&amp;BO$2,FECHA_BOV1,"&lt;="&amp;BO$3,CLAVE_BOV1,$A248)+SUMIFS(SALIDAS_BOV2,FECHA_BOV2,"&gt;="&amp;BO$2,FECHA_BOV2,"&lt;="&amp;BO$3,CLAVE_BOV2,$A248)+SUMIFS(SALIDAS_BOV3,FECHA_BOV3,"&gt;="&amp;BO$2,FECHA_BOV3,"&lt;="&amp;BO$3,CLAVE_BOV3,$A248)+SUMIFS(SALIDAS_TC,FECHA_TC,"&gt;="&amp;BO$2,FECHA_TC,"&lt;="&amp;BO$3,CLAVE_TC,$A248)+SUMIFS(SALIDAS_COMB,FECHA_COMB,"&gt;="&amp;BO$2,FECHA_COMB,"&lt;="&amp;BO$3,CLAVE_COMB,$A248)+SUMIFS(SALIDAS_DES,FECHA_DESGLOSEN,"&gt;="&amp;BO$2,FECHA_DESGLOSEN,"&lt;="&amp;BO$3,CLAVE_DESGLOSE,$A248)</f>
        <v>0</v>
      </c>
      <c r="BP248" s="13">
        <f>SUMIFS(SALIDAS_BIT,FECHA_BIT,"&gt;="&amp;BP$2,FECHA_BIT,"&lt;="&amp;BP$3,CLAVE_BIT,$A248)+SUMIFS(SALIDAS_BOV1,FECHA_BOV1,"&gt;="&amp;BP$2,FECHA_BOV1,"&lt;="&amp;BP$3,CLAVE_BOV1,$A248)+SUMIFS(SALIDAS_BOV2,FECHA_BOV2,"&gt;="&amp;BP$2,FECHA_BOV2,"&lt;="&amp;BP$3,CLAVE_BOV2,$A248)+SUMIFS(SALIDAS_BOV3,FECHA_BOV3,"&gt;="&amp;BP$2,FECHA_BOV3,"&lt;="&amp;BP$3,CLAVE_BOV3,$A248)+SUMIFS(SALIDAS_TC,FECHA_TC,"&gt;="&amp;BP$2,FECHA_TC,"&lt;="&amp;BP$3,CLAVE_TC,$A248)+SUMIFS(SALIDAS_COMB,FECHA_COMB,"&gt;="&amp;BP$2,FECHA_COMB,"&lt;="&amp;BP$3,CLAVE_COMB,$A248)+SUMIFS(SALIDAS_DES,FECHA_DESGLOSEN,"&gt;="&amp;BP$2,FECHA_DESGLOSEN,"&lt;="&amp;BP$3,CLAVE_DESGLOSE,$A248)</f>
        <v>0</v>
      </c>
      <c r="BQ248" s="13">
        <f>SUMIFS(SALIDAS_BIT,FECHA_BIT,"&gt;="&amp;BQ$2,FECHA_BIT,"&lt;="&amp;BQ$3,CLAVE_BIT,$A248)+SUMIFS(SALIDAS_BOV1,FECHA_BOV1,"&gt;="&amp;BQ$2,FECHA_BOV1,"&lt;="&amp;BQ$3,CLAVE_BOV1,$A248)+SUMIFS(SALIDAS_BOV2,FECHA_BOV2,"&gt;="&amp;BQ$2,FECHA_BOV2,"&lt;="&amp;BQ$3,CLAVE_BOV2,$A248)+SUMIFS(SALIDAS_BOV3,FECHA_BOV3,"&gt;="&amp;BQ$2,FECHA_BOV3,"&lt;="&amp;BQ$3,CLAVE_BOV3,$A248)+SUMIFS(SALIDAS_TC,FECHA_TC,"&gt;="&amp;BQ$2,FECHA_TC,"&lt;="&amp;BQ$3,CLAVE_TC,$A248)+SUMIFS(SALIDAS_COMB,FECHA_COMB,"&gt;="&amp;BQ$2,FECHA_COMB,"&lt;="&amp;BQ$3,CLAVE_COMB,$A248)+SUMIFS(SALIDAS_DES,FECHA_DESGLOSEN,"&gt;="&amp;BQ$2,FECHA_DESGLOSEN,"&lt;="&amp;BQ$3,CLAVE_DESGLOSE,$A248)</f>
        <v>0</v>
      </c>
      <c r="BR248" s="13">
        <f t="shared" si="427"/>
        <v>0</v>
      </c>
      <c r="BS248" s="68">
        <f t="shared" si="367"/>
        <v>0</v>
      </c>
      <c r="BT248" s="268">
        <f t="shared" si="368"/>
        <v>0</v>
      </c>
      <c r="BU248" s="13">
        <f t="shared" si="369"/>
        <v>0</v>
      </c>
      <c r="BV248" s="13">
        <f t="shared" si="389"/>
        <v>0</v>
      </c>
      <c r="BW248" s="13">
        <f t="shared" si="389"/>
        <v>0</v>
      </c>
      <c r="BX248" s="13">
        <f t="shared" si="389"/>
        <v>0</v>
      </c>
      <c r="BY248" s="13">
        <f t="shared" si="389"/>
        <v>0</v>
      </c>
      <c r="BZ248" s="13">
        <f t="shared" si="428"/>
        <v>0</v>
      </c>
      <c r="CA248" s="68">
        <f t="shared" si="370"/>
        <v>0</v>
      </c>
      <c r="CB248" s="268">
        <f t="shared" si="371"/>
        <v>0</v>
      </c>
      <c r="CC248" s="13">
        <f t="shared" si="372"/>
        <v>0</v>
      </c>
      <c r="CD248" s="13">
        <f t="shared" si="390"/>
        <v>0</v>
      </c>
      <c r="CE248" s="13">
        <f t="shared" si="390"/>
        <v>0</v>
      </c>
      <c r="CF248" s="13">
        <f t="shared" si="390"/>
        <v>0</v>
      </c>
      <c r="CG248" s="13">
        <f t="shared" si="390"/>
        <v>0</v>
      </c>
      <c r="CH248" s="13">
        <f t="shared" si="429"/>
        <v>0</v>
      </c>
      <c r="CI248" s="68">
        <f t="shared" si="373"/>
        <v>0</v>
      </c>
      <c r="CJ248" s="268">
        <f t="shared" si="374"/>
        <v>0</v>
      </c>
      <c r="CK248" s="13">
        <f t="shared" si="375"/>
        <v>120000</v>
      </c>
      <c r="CL248" s="13">
        <f t="shared" si="400"/>
        <v>0</v>
      </c>
      <c r="CM248" s="13">
        <f t="shared" si="400"/>
        <v>132000</v>
      </c>
      <c r="CN248" s="13">
        <f t="shared" si="400"/>
        <v>0</v>
      </c>
      <c r="CO248" s="13">
        <f t="shared" si="400"/>
        <v>0</v>
      </c>
      <c r="CP248" s="13">
        <f t="shared" si="400"/>
        <v>0</v>
      </c>
      <c r="CQ248" s="13">
        <f t="shared" si="430"/>
        <v>132000</v>
      </c>
      <c r="CR248" s="68">
        <f t="shared" si="376"/>
        <v>-12000</v>
      </c>
      <c r="CS248" s="268">
        <f t="shared" si="377"/>
        <v>1.1000000000000001</v>
      </c>
      <c r="CT248" s="68">
        <f t="shared" si="350"/>
        <v>0</v>
      </c>
      <c r="CU248" s="13">
        <f>SUMIFS(SALIDAS_BIT,FECHA_BIT,"&gt;="&amp;CU$2,FECHA_BIT,"&lt;="&amp;CU$3,CLAVE_BIT,$A248)+SUMIFS(SALIDAS_BOV1,FECHA_BOV1,"&gt;="&amp;CU$2,FECHA_BOV1,"&lt;="&amp;CU$3,CLAVE_BOV1,$A248)+SUMIFS(SALIDAS_BOV2,FECHA_BOV2,"&gt;="&amp;CU$2,FECHA_BOV2,"&lt;="&amp;CU$3,CLAVE_BOV2,$A248)+SUMIFS(SALIDAS_BOV3,FECHA_BOV3,"&gt;="&amp;CU$2,FECHA_BOV3,"&lt;="&amp;CU$3,CLAVE_BOV3,$A248)+SUMIFS(SALIDAS_TC,FECHA_TC,"&gt;="&amp;CU$2,FECHA_TC,"&lt;="&amp;CU$3,CLAVE_TC,$A248)+SUMIFS(SALIDAS_COMB,FECHA_COMB,"&gt;="&amp;CU$2,FECHA_COMB,"&lt;="&amp;CU$3,CLAVE_COMB,$A248)+SUMIFS(SALIDAS_DES,FECHA_DESGLOSEN,"&gt;="&amp;CU$2,FECHA_DESGLOSEN,"&lt;="&amp;CU$3,CLAVE_DESGLOSE,$A248)</f>
        <v>0</v>
      </c>
      <c r="CV248" s="13">
        <f>SUMIFS(SALIDAS_BIT,FECHA_BIT,"&gt;="&amp;CV$2,FECHA_BIT,"&lt;="&amp;CV$3,CLAVE_BIT,$A248)+SUMIFS(SALIDAS_BOV1,FECHA_BOV1,"&gt;="&amp;CV$2,FECHA_BOV1,"&lt;="&amp;CV$3,CLAVE_BOV1,$A248)+SUMIFS(SALIDAS_BOV2,FECHA_BOV2,"&gt;="&amp;CV$2,FECHA_BOV2,"&lt;="&amp;CV$3,CLAVE_BOV2,$A248)+SUMIFS(SALIDAS_BOV3,FECHA_BOV3,"&gt;="&amp;CV$2,FECHA_BOV3,"&lt;="&amp;CV$3,CLAVE_BOV3,$A248)+SUMIFS(SALIDAS_TC,FECHA_TC,"&gt;="&amp;CV$2,FECHA_TC,"&lt;="&amp;CV$3,CLAVE_TC,$A248)+SUMIFS(SALIDAS_COMB,FECHA_COMB,"&gt;="&amp;CV$2,FECHA_COMB,"&lt;="&amp;CV$3,CLAVE_COMB,$A248)+SUMIFS(SALIDAS_DES,FECHA_DESGLOSEN,"&gt;="&amp;CV$2,FECHA_DESGLOSEN,"&lt;="&amp;CV$3,CLAVE_DESGLOSE,$A248)</f>
        <v>0</v>
      </c>
      <c r="CW248" s="13">
        <f>SUMIFS(SALIDAS_BIT,FECHA_BIT,"&gt;="&amp;CW$2,FECHA_BIT,"&lt;="&amp;CW$3,CLAVE_BIT,$A248)+SUMIFS(SALIDAS_BOV1,FECHA_BOV1,"&gt;="&amp;CW$2,FECHA_BOV1,"&lt;="&amp;CW$3,CLAVE_BOV1,$A248)+SUMIFS(SALIDAS_BOV2,FECHA_BOV2,"&gt;="&amp;CW$2,FECHA_BOV2,"&lt;="&amp;CW$3,CLAVE_BOV2,$A248)+SUMIFS(SALIDAS_BOV3,FECHA_BOV3,"&gt;="&amp;CW$2,FECHA_BOV3,"&lt;="&amp;CW$3,CLAVE_BOV3,$A248)+SUMIFS(SALIDAS_TC,FECHA_TC,"&gt;="&amp;CW$2,FECHA_TC,"&lt;="&amp;CW$3,CLAVE_TC,$A248)+SUMIFS(SALIDAS_COMB,FECHA_COMB,"&gt;="&amp;CW$2,FECHA_COMB,"&lt;="&amp;CW$3,CLAVE_COMB,$A248)+SUMIFS(SALIDAS_DES,FECHA_DESGLOSEN,"&gt;="&amp;CW$2,FECHA_DESGLOSEN,"&lt;="&amp;CW$3,CLAVE_DESGLOSE,$A248)</f>
        <v>0</v>
      </c>
      <c r="CX248" s="13">
        <f>SUMIFS(SALIDAS_BIT,FECHA_BIT,"&gt;="&amp;CX$2,FECHA_BIT,"&lt;="&amp;CX$3,CLAVE_BIT,$A248)+SUMIFS(SALIDAS_BOV1,FECHA_BOV1,"&gt;="&amp;CX$2,FECHA_BOV1,"&lt;="&amp;CX$3,CLAVE_BOV1,$A248)+SUMIFS(SALIDAS_BOV2,FECHA_BOV2,"&gt;="&amp;CX$2,FECHA_BOV2,"&lt;="&amp;CX$3,CLAVE_BOV2,$A248)+SUMIFS(SALIDAS_BOV3,FECHA_BOV3,"&gt;="&amp;CX$2,FECHA_BOV3,"&lt;="&amp;CX$3,CLAVE_BOV3,$A248)+SUMIFS(SALIDAS_TC,FECHA_TC,"&gt;="&amp;CX$2,FECHA_TC,"&lt;="&amp;CX$3,CLAVE_TC,$A248)+SUMIFS(SALIDAS_COMB,FECHA_COMB,"&gt;="&amp;CX$2,FECHA_COMB,"&lt;="&amp;CX$3,CLAVE_COMB,$A248)+SUMIFS(SALIDAS_DES,FECHA_DESGLOSEN,"&gt;="&amp;CX$2,FECHA_DESGLOSEN,"&lt;="&amp;CX$3,CLAVE_DESGLOSE,$A248)</f>
        <v>0</v>
      </c>
      <c r="CY248" s="13">
        <f>SUMIFS(SALIDAS_BIT,FECHA_BIT,"&gt;="&amp;CY$2,FECHA_BIT,"&lt;="&amp;CY$3,CLAVE_BIT,$A248)+SUMIFS(SALIDAS_BOV1,FECHA_BOV1,"&gt;="&amp;CY$2,FECHA_BOV1,"&lt;="&amp;CY$3,CLAVE_BOV1,$A248)+SUMIFS(SALIDAS_BOV2,FECHA_BOV2,"&gt;="&amp;CY$2,FECHA_BOV2,"&lt;="&amp;CY$3,CLAVE_BOV2,$A248)+SUMIFS(SALIDAS_BOV3,FECHA_BOV3,"&gt;="&amp;CY$2,FECHA_BOV3,"&lt;="&amp;CY$3,CLAVE_BOV3,$A248)+SUMIFS(SALIDAS_TC,FECHA_TC,"&gt;="&amp;CY$2,FECHA_TC,"&lt;="&amp;CY$3,CLAVE_TC,$A248)+SUMIFS(SALIDAS_COMB,FECHA_COMB,"&gt;="&amp;CY$2,FECHA_COMB,"&lt;="&amp;CY$3,CLAVE_COMB,$A248)+SUMIFS(SALIDAS_DES,FECHA_DESGLOSEN,"&gt;="&amp;CY$2,FECHA_DESGLOSEN,"&lt;="&amp;CY$3,CLAVE_DESGLOSE,$A248)</f>
        <v>0</v>
      </c>
      <c r="CZ248" s="68">
        <f t="shared" si="378"/>
        <v>0</v>
      </c>
      <c r="DB248" s="17">
        <f>F248+N248+W248+AE248+AM248+AV248+BD248+BL248+BU248+CC248+CK248</f>
        <v>120000</v>
      </c>
      <c r="DC248" s="17">
        <f>K248+T248+AB248+AJ248+AS248+BA248+BI248+BR248+BZ248+CH248+CQ248</f>
        <v>132000</v>
      </c>
    </row>
    <row r="249" spans="1:107" hidden="1">
      <c r="A249" s="12" t="str">
        <f t="shared" si="351"/>
        <v>FINANZASHONORARIOSFINANZAS</v>
      </c>
      <c r="B249" s="483">
        <v>251</v>
      </c>
      <c r="C249" t="s">
        <v>23</v>
      </c>
      <c r="D249" t="s">
        <v>124</v>
      </c>
      <c r="E249" t="s">
        <v>23</v>
      </c>
      <c r="F249" s="259">
        <f t="shared" si="344"/>
        <v>10000</v>
      </c>
      <c r="G249" s="13">
        <f t="shared" si="422"/>
        <v>0</v>
      </c>
      <c r="H249" s="13">
        <f t="shared" si="422"/>
        <v>0</v>
      </c>
      <c r="I249" s="13">
        <f t="shared" si="422"/>
        <v>0</v>
      </c>
      <c r="J249" s="13">
        <f t="shared" si="422"/>
        <v>0</v>
      </c>
      <c r="K249" s="13">
        <f t="shared" si="422"/>
        <v>0</v>
      </c>
      <c r="L249" s="68">
        <f t="shared" si="352"/>
        <v>10000</v>
      </c>
      <c r="M249" s="268">
        <f t="shared" si="353"/>
        <v>0</v>
      </c>
      <c r="N249" s="13">
        <f t="shared" si="345"/>
        <v>10000</v>
      </c>
      <c r="O249" s="13">
        <f t="shared" si="423"/>
        <v>0</v>
      </c>
      <c r="P249" s="13">
        <f t="shared" si="423"/>
        <v>0</v>
      </c>
      <c r="Q249" s="13">
        <f t="shared" si="423"/>
        <v>0</v>
      </c>
      <c r="R249" s="13">
        <f t="shared" si="423"/>
        <v>10000</v>
      </c>
      <c r="S249" s="13">
        <f t="shared" si="423"/>
        <v>0</v>
      </c>
      <c r="T249" s="13">
        <f t="shared" si="423"/>
        <v>10000</v>
      </c>
      <c r="U249" s="68">
        <f t="shared" si="354"/>
        <v>0</v>
      </c>
      <c r="V249" s="268">
        <f t="shared" si="355"/>
        <v>1</v>
      </c>
      <c r="W249" s="13">
        <f t="shared" si="346"/>
        <v>10000</v>
      </c>
      <c r="X249" s="13">
        <f t="shared" si="424"/>
        <v>0</v>
      </c>
      <c r="Y249" s="13">
        <f t="shared" si="424"/>
        <v>0</v>
      </c>
      <c r="Z249" s="13">
        <f t="shared" si="424"/>
        <v>0</v>
      </c>
      <c r="AA249" s="13">
        <f t="shared" si="424"/>
        <v>0</v>
      </c>
      <c r="AB249" s="13">
        <f t="shared" si="424"/>
        <v>0</v>
      </c>
      <c r="AC249" s="68">
        <f t="shared" si="356"/>
        <v>10000</v>
      </c>
      <c r="AD249" s="268">
        <f t="shared" si="357"/>
        <v>0</v>
      </c>
      <c r="AE249" s="13">
        <f t="shared" si="347"/>
        <v>10000</v>
      </c>
      <c r="AF249" s="13">
        <f t="shared" si="425"/>
        <v>0</v>
      </c>
      <c r="AG249" s="13">
        <f t="shared" si="425"/>
        <v>0</v>
      </c>
      <c r="AH249" s="13">
        <f t="shared" si="425"/>
        <v>0</v>
      </c>
      <c r="AI249" s="13">
        <f t="shared" si="425"/>
        <v>0</v>
      </c>
      <c r="AJ249" s="13">
        <f t="shared" si="425"/>
        <v>0</v>
      </c>
      <c r="AK249" s="68">
        <f t="shared" si="358"/>
        <v>10000</v>
      </c>
      <c r="AL249" s="268">
        <f t="shared" si="359"/>
        <v>0</v>
      </c>
      <c r="AM249" s="13">
        <f t="shared" si="348"/>
        <v>10000</v>
      </c>
      <c r="AN249" s="13">
        <f t="shared" si="426"/>
        <v>0</v>
      </c>
      <c r="AO249" s="13">
        <f t="shared" si="426"/>
        <v>0</v>
      </c>
      <c r="AP249" s="13">
        <f t="shared" si="426"/>
        <v>0</v>
      </c>
      <c r="AQ249" s="13">
        <f t="shared" si="426"/>
        <v>0</v>
      </c>
      <c r="AR249" s="13">
        <f t="shared" si="426"/>
        <v>0</v>
      </c>
      <c r="AS249" s="13">
        <f t="shared" si="426"/>
        <v>0</v>
      </c>
      <c r="AT249" s="68">
        <f>AM249-AS249</f>
        <v>10000</v>
      </c>
      <c r="AU249" s="268">
        <f t="shared" si="360"/>
        <v>0</v>
      </c>
      <c r="AV249" s="13">
        <f t="shared" si="349"/>
        <v>10000</v>
      </c>
      <c r="AW249" s="13">
        <f t="shared" si="421"/>
        <v>0</v>
      </c>
      <c r="AX249" s="13">
        <f t="shared" si="421"/>
        <v>0</v>
      </c>
      <c r="AY249" s="13">
        <f t="shared" si="421"/>
        <v>0</v>
      </c>
      <c r="AZ249" s="13">
        <f t="shared" si="421"/>
        <v>0</v>
      </c>
      <c r="BA249" s="13">
        <f t="shared" si="379"/>
        <v>0</v>
      </c>
      <c r="BB249" s="68">
        <f t="shared" si="361"/>
        <v>10000</v>
      </c>
      <c r="BC249" s="268">
        <f t="shared" si="362"/>
        <v>0</v>
      </c>
      <c r="BD249" s="13">
        <f t="shared" si="363"/>
        <v>10000</v>
      </c>
      <c r="BE249" s="13">
        <f>SUMIFS(SALIDAS_BIT,FECHA_BIT,"&gt;="&amp;BE$2,FECHA_BIT,"&lt;="&amp;BE$3,CLAVE_BIT,$A249)+SUMIFS(SALIDAS_BOV1,FECHA_BOV1,"&gt;="&amp;BE$2,FECHA_BOV1,"&lt;="&amp;BE$3,CLAVE_BOV1,$A249)+SUMIFS(SALIDAS_BOV2,FECHA_BOV2,"&gt;="&amp;BE$2,FECHA_BOV2,"&lt;="&amp;BE$3,CLAVE_BOV2,$A249)+SUMIFS(SALIDAS_BOV3,FECHA_BOV3,"&gt;="&amp;BE$2,FECHA_BOV3,"&lt;="&amp;BE$3,CLAVE_BOV3,$A249)+SUMIFS(SALIDAS_TC,FECHA_TC,"&gt;="&amp;BE$2,FECHA_TC,"&lt;="&amp;BE$3,CLAVE_TC,$A249)+SUMIFS(SALIDAS_COMB,FECHA_COMB,"&gt;="&amp;BE$2,FECHA_COMB,"&lt;="&amp;BE$3,CLAVE_COMB,$A249)+SUMIFS(SALIDAS_DES,FECHA_DESGLOSEN,"&gt;="&amp;BE$2,FECHA_DESGLOSEN,"&lt;="&amp;BE$3,CLAVE_DESGLOSE,$A249)</f>
        <v>0</v>
      </c>
      <c r="BF249" s="13">
        <f>SUMIFS(SALIDAS_BIT,FECHA_BIT,"&gt;="&amp;BF$2,FECHA_BIT,"&lt;="&amp;BF$3,CLAVE_BIT,$A249)+SUMIFS(SALIDAS_BOV1,FECHA_BOV1,"&gt;="&amp;BF$2,FECHA_BOV1,"&lt;="&amp;BF$3,CLAVE_BOV1,$A249)+SUMIFS(SALIDAS_BOV2,FECHA_BOV2,"&gt;="&amp;BF$2,FECHA_BOV2,"&lt;="&amp;BF$3,CLAVE_BOV2,$A249)+SUMIFS(SALIDAS_BOV3,FECHA_BOV3,"&gt;="&amp;BF$2,FECHA_BOV3,"&lt;="&amp;BF$3,CLAVE_BOV3,$A249)+SUMIFS(SALIDAS_TC,FECHA_TC,"&gt;="&amp;BF$2,FECHA_TC,"&lt;="&amp;BF$3,CLAVE_TC,$A249)+SUMIFS(SALIDAS_COMB,FECHA_COMB,"&gt;="&amp;BF$2,FECHA_COMB,"&lt;="&amp;BF$3,CLAVE_COMB,$A249)+SUMIFS(SALIDAS_DES,FECHA_DESGLOSEN,"&gt;="&amp;BF$2,FECHA_DESGLOSEN,"&lt;="&amp;BF$3,CLAVE_DESGLOSE,$A249)</f>
        <v>0</v>
      </c>
      <c r="BG249" s="13">
        <f>SUMIFS(SALIDAS_BIT,FECHA_BIT,"&gt;="&amp;BG$2,FECHA_BIT,"&lt;="&amp;BG$3,CLAVE_BIT,$A249)+SUMIFS(SALIDAS_BOV1,FECHA_BOV1,"&gt;="&amp;BG$2,FECHA_BOV1,"&lt;="&amp;BG$3,CLAVE_BOV1,$A249)+SUMIFS(SALIDAS_BOV2,FECHA_BOV2,"&gt;="&amp;BG$2,FECHA_BOV2,"&lt;="&amp;BG$3,CLAVE_BOV2,$A249)+SUMIFS(SALIDAS_BOV3,FECHA_BOV3,"&gt;="&amp;BG$2,FECHA_BOV3,"&lt;="&amp;BG$3,CLAVE_BOV3,$A249)+SUMIFS(SALIDAS_TC,FECHA_TC,"&gt;="&amp;BG$2,FECHA_TC,"&lt;="&amp;BG$3,CLAVE_TC,$A249)+SUMIFS(SALIDAS_COMB,FECHA_COMB,"&gt;="&amp;BG$2,FECHA_COMB,"&lt;="&amp;BG$3,CLAVE_COMB,$A249)+SUMIFS(SALIDAS_DES,FECHA_DESGLOSEN,"&gt;="&amp;BG$2,FECHA_DESGLOSEN,"&lt;="&amp;BG$3,CLAVE_DESGLOSE,$A249)</f>
        <v>0</v>
      </c>
      <c r="BH249" s="13">
        <f>SUMIFS(SALIDAS_BIT,FECHA_BIT,"&gt;="&amp;BH$2,FECHA_BIT,"&lt;="&amp;BH$3,CLAVE_BIT,$A249)+SUMIFS(SALIDAS_BOV1,FECHA_BOV1,"&gt;="&amp;BH$2,FECHA_BOV1,"&lt;="&amp;BH$3,CLAVE_BOV1,$A249)+SUMIFS(SALIDAS_BOV2,FECHA_BOV2,"&gt;="&amp;BH$2,FECHA_BOV2,"&lt;="&amp;BH$3,CLAVE_BOV2,$A249)+SUMIFS(SALIDAS_BOV3,FECHA_BOV3,"&gt;="&amp;BH$2,FECHA_BOV3,"&lt;="&amp;BH$3,CLAVE_BOV3,$A249)+SUMIFS(SALIDAS_TC,FECHA_TC,"&gt;="&amp;BH$2,FECHA_TC,"&lt;="&amp;BH$3,CLAVE_TC,$A249)+SUMIFS(SALIDAS_COMB,FECHA_COMB,"&gt;="&amp;BH$2,FECHA_COMB,"&lt;="&amp;BH$3,CLAVE_COMB,$A249)+SUMIFS(SALIDAS_DES,FECHA_DESGLOSEN,"&gt;="&amp;BH$2,FECHA_DESGLOSEN,"&lt;="&amp;BH$3,CLAVE_DESGLOSE,$A249)</f>
        <v>0</v>
      </c>
      <c r="BI249" s="13">
        <f t="shared" si="419"/>
        <v>0</v>
      </c>
      <c r="BJ249" s="68">
        <f t="shared" si="364"/>
        <v>10000</v>
      </c>
      <c r="BK249" s="268">
        <f t="shared" si="365"/>
        <v>0</v>
      </c>
      <c r="BL249" s="13">
        <f t="shared" si="366"/>
        <v>10000</v>
      </c>
      <c r="BM249" s="13">
        <f>SUMIFS(SALIDAS_BIT,FECHA_BIT,"&gt;="&amp;BM$2,FECHA_BIT,"&lt;="&amp;BM$3,CLAVE_BIT,$A249)+SUMIFS(SALIDAS_BOV1,FECHA_BOV1,"&gt;="&amp;BM$2,FECHA_BOV1,"&lt;="&amp;BM$3,CLAVE_BOV1,$A249)+SUMIFS(SALIDAS_BOV2,FECHA_BOV2,"&gt;="&amp;BM$2,FECHA_BOV2,"&lt;="&amp;BM$3,CLAVE_BOV2,$A249)+SUMIFS(SALIDAS_BOV3,FECHA_BOV3,"&gt;="&amp;BM$2,FECHA_BOV3,"&lt;="&amp;BM$3,CLAVE_BOV3,$A249)+SUMIFS(SALIDAS_TC,FECHA_TC,"&gt;="&amp;BM$2,FECHA_TC,"&lt;="&amp;BM$3,CLAVE_TC,$A249)+SUMIFS(SALIDAS_COMB,FECHA_COMB,"&gt;="&amp;BM$2,FECHA_COMB,"&lt;="&amp;BM$3,CLAVE_COMB,$A249)+SUMIFS(SALIDAS_DES,FECHA_DESGLOSEN,"&gt;="&amp;BM$2,FECHA_DESGLOSEN,"&lt;="&amp;BM$3,CLAVE_DESGLOSE,$A249)</f>
        <v>0</v>
      </c>
      <c r="BN249" s="13">
        <f>SUMIFS(SALIDAS_BIT,FECHA_BIT,"&gt;="&amp;BN$2,FECHA_BIT,"&lt;="&amp;BN$3,CLAVE_BIT,$A249)+SUMIFS(SALIDAS_BOV1,FECHA_BOV1,"&gt;="&amp;BN$2,FECHA_BOV1,"&lt;="&amp;BN$3,CLAVE_BOV1,$A249)+SUMIFS(SALIDAS_BOV2,FECHA_BOV2,"&gt;="&amp;BN$2,FECHA_BOV2,"&lt;="&amp;BN$3,CLAVE_BOV2,$A249)+SUMIFS(SALIDAS_BOV3,FECHA_BOV3,"&gt;="&amp;BN$2,FECHA_BOV3,"&lt;="&amp;BN$3,CLAVE_BOV3,$A249)+SUMIFS(SALIDAS_TC,FECHA_TC,"&gt;="&amp;BN$2,FECHA_TC,"&lt;="&amp;BN$3,CLAVE_TC,$A249)+SUMIFS(SALIDAS_COMB,FECHA_COMB,"&gt;="&amp;BN$2,FECHA_COMB,"&lt;="&amp;BN$3,CLAVE_COMB,$A249)+SUMIFS(SALIDAS_DES,FECHA_DESGLOSEN,"&gt;="&amp;BN$2,FECHA_DESGLOSEN,"&lt;="&amp;BN$3,CLAVE_DESGLOSE,$A249)</f>
        <v>0</v>
      </c>
      <c r="BO249" s="13">
        <f>SUMIFS(SALIDAS_BIT,FECHA_BIT,"&gt;="&amp;BO$2,FECHA_BIT,"&lt;="&amp;BO$3,CLAVE_BIT,$A249)+SUMIFS(SALIDAS_BOV1,FECHA_BOV1,"&gt;="&amp;BO$2,FECHA_BOV1,"&lt;="&amp;BO$3,CLAVE_BOV1,$A249)+SUMIFS(SALIDAS_BOV2,FECHA_BOV2,"&gt;="&amp;BO$2,FECHA_BOV2,"&lt;="&amp;BO$3,CLAVE_BOV2,$A249)+SUMIFS(SALIDAS_BOV3,FECHA_BOV3,"&gt;="&amp;BO$2,FECHA_BOV3,"&lt;="&amp;BO$3,CLAVE_BOV3,$A249)+SUMIFS(SALIDAS_TC,FECHA_TC,"&gt;="&amp;BO$2,FECHA_TC,"&lt;="&amp;BO$3,CLAVE_TC,$A249)+SUMIFS(SALIDAS_COMB,FECHA_COMB,"&gt;="&amp;BO$2,FECHA_COMB,"&lt;="&amp;BO$3,CLAVE_COMB,$A249)+SUMIFS(SALIDAS_DES,FECHA_DESGLOSEN,"&gt;="&amp;BO$2,FECHA_DESGLOSEN,"&lt;="&amp;BO$3,CLAVE_DESGLOSE,$A249)</f>
        <v>0</v>
      </c>
      <c r="BP249" s="13">
        <f>SUMIFS(SALIDAS_BIT,FECHA_BIT,"&gt;="&amp;BP$2,FECHA_BIT,"&lt;="&amp;BP$3,CLAVE_BIT,$A249)+SUMIFS(SALIDAS_BOV1,FECHA_BOV1,"&gt;="&amp;BP$2,FECHA_BOV1,"&lt;="&amp;BP$3,CLAVE_BOV1,$A249)+SUMIFS(SALIDAS_BOV2,FECHA_BOV2,"&gt;="&amp;BP$2,FECHA_BOV2,"&lt;="&amp;BP$3,CLAVE_BOV2,$A249)+SUMIFS(SALIDAS_BOV3,FECHA_BOV3,"&gt;="&amp;BP$2,FECHA_BOV3,"&lt;="&amp;BP$3,CLAVE_BOV3,$A249)+SUMIFS(SALIDAS_TC,FECHA_TC,"&gt;="&amp;BP$2,FECHA_TC,"&lt;="&amp;BP$3,CLAVE_TC,$A249)+SUMIFS(SALIDAS_COMB,FECHA_COMB,"&gt;="&amp;BP$2,FECHA_COMB,"&lt;="&amp;BP$3,CLAVE_COMB,$A249)+SUMIFS(SALIDAS_DES,FECHA_DESGLOSEN,"&gt;="&amp;BP$2,FECHA_DESGLOSEN,"&lt;="&amp;BP$3,CLAVE_DESGLOSE,$A249)</f>
        <v>0</v>
      </c>
      <c r="BQ249" s="13">
        <f>SUMIFS(SALIDAS_BIT,FECHA_BIT,"&gt;="&amp;BQ$2,FECHA_BIT,"&lt;="&amp;BQ$3,CLAVE_BIT,$A249)+SUMIFS(SALIDAS_BOV1,FECHA_BOV1,"&gt;="&amp;BQ$2,FECHA_BOV1,"&lt;="&amp;BQ$3,CLAVE_BOV1,$A249)+SUMIFS(SALIDAS_BOV2,FECHA_BOV2,"&gt;="&amp;BQ$2,FECHA_BOV2,"&lt;="&amp;BQ$3,CLAVE_BOV2,$A249)+SUMIFS(SALIDAS_BOV3,FECHA_BOV3,"&gt;="&amp;BQ$2,FECHA_BOV3,"&lt;="&amp;BQ$3,CLAVE_BOV3,$A249)+SUMIFS(SALIDAS_TC,FECHA_TC,"&gt;="&amp;BQ$2,FECHA_TC,"&lt;="&amp;BQ$3,CLAVE_TC,$A249)+SUMIFS(SALIDAS_COMB,FECHA_COMB,"&gt;="&amp;BQ$2,FECHA_COMB,"&lt;="&amp;BQ$3,CLAVE_COMB,$A249)+SUMIFS(SALIDAS_DES,FECHA_DESGLOSEN,"&gt;="&amp;BQ$2,FECHA_DESGLOSEN,"&lt;="&amp;BQ$3,CLAVE_DESGLOSE,$A249)</f>
        <v>0</v>
      </c>
      <c r="BR249" s="13">
        <f t="shared" si="427"/>
        <v>0</v>
      </c>
      <c r="BS249" s="68">
        <f t="shared" si="367"/>
        <v>10000</v>
      </c>
      <c r="BT249" s="268">
        <f t="shared" si="368"/>
        <v>0</v>
      </c>
      <c r="BU249" s="13">
        <f t="shared" si="369"/>
        <v>10000</v>
      </c>
      <c r="BV249" s="13">
        <f t="shared" si="389"/>
        <v>0</v>
      </c>
      <c r="BW249" s="13">
        <f t="shared" si="389"/>
        <v>0</v>
      </c>
      <c r="BX249" s="13">
        <f t="shared" si="389"/>
        <v>0</v>
      </c>
      <c r="BY249" s="13">
        <f t="shared" si="389"/>
        <v>0</v>
      </c>
      <c r="BZ249" s="13">
        <f t="shared" si="428"/>
        <v>0</v>
      </c>
      <c r="CA249" s="68">
        <f t="shared" si="370"/>
        <v>10000</v>
      </c>
      <c r="CB249" s="268">
        <f t="shared" si="371"/>
        <v>0</v>
      </c>
      <c r="CC249" s="13">
        <f t="shared" si="372"/>
        <v>10000</v>
      </c>
      <c r="CD249" s="13">
        <f t="shared" si="390"/>
        <v>0</v>
      </c>
      <c r="CE249" s="13">
        <f t="shared" si="390"/>
        <v>0</v>
      </c>
      <c r="CF249" s="13">
        <f t="shared" si="390"/>
        <v>0</v>
      </c>
      <c r="CG249" s="13">
        <f t="shared" si="390"/>
        <v>0</v>
      </c>
      <c r="CH249" s="13">
        <f t="shared" si="429"/>
        <v>0</v>
      </c>
      <c r="CI249" s="68">
        <f t="shared" si="373"/>
        <v>10000</v>
      </c>
      <c r="CJ249" s="268">
        <f t="shared" si="374"/>
        <v>0</v>
      </c>
      <c r="CK249" s="13">
        <f t="shared" si="375"/>
        <v>10000</v>
      </c>
      <c r="CL249" s="13">
        <f t="shared" si="400"/>
        <v>0</v>
      </c>
      <c r="CM249" s="13">
        <f t="shared" si="400"/>
        <v>6400</v>
      </c>
      <c r="CN249" s="13">
        <f t="shared" si="400"/>
        <v>0</v>
      </c>
      <c r="CO249" s="13">
        <f t="shared" si="400"/>
        <v>0</v>
      </c>
      <c r="CP249" s="13">
        <f t="shared" si="400"/>
        <v>0</v>
      </c>
      <c r="CQ249" s="13">
        <f t="shared" si="430"/>
        <v>6400</v>
      </c>
      <c r="CR249" s="68">
        <f t="shared" si="376"/>
        <v>3600</v>
      </c>
      <c r="CS249" s="268">
        <f t="shared" si="377"/>
        <v>0.64</v>
      </c>
      <c r="CT249" s="68">
        <f t="shared" si="350"/>
        <v>0</v>
      </c>
      <c r="CU249" s="13">
        <f>SUMIFS(SALIDAS_BIT,FECHA_BIT,"&gt;="&amp;CU$2,FECHA_BIT,"&lt;="&amp;CU$3,CLAVE_BIT,$A249)+SUMIFS(SALIDAS_BOV1,FECHA_BOV1,"&gt;="&amp;CU$2,FECHA_BOV1,"&lt;="&amp;CU$3,CLAVE_BOV1,$A249)+SUMIFS(SALIDAS_BOV2,FECHA_BOV2,"&gt;="&amp;CU$2,FECHA_BOV2,"&lt;="&amp;CU$3,CLAVE_BOV2,$A249)+SUMIFS(SALIDAS_BOV3,FECHA_BOV3,"&gt;="&amp;CU$2,FECHA_BOV3,"&lt;="&amp;CU$3,CLAVE_BOV3,$A249)+SUMIFS(SALIDAS_TC,FECHA_TC,"&gt;="&amp;CU$2,FECHA_TC,"&lt;="&amp;CU$3,CLAVE_TC,$A249)+SUMIFS(SALIDAS_COMB,FECHA_COMB,"&gt;="&amp;CU$2,FECHA_COMB,"&lt;="&amp;CU$3,CLAVE_COMB,$A249)+SUMIFS(SALIDAS_DES,FECHA_DESGLOSEN,"&gt;="&amp;CU$2,FECHA_DESGLOSEN,"&lt;="&amp;CU$3,CLAVE_DESGLOSE,$A249)</f>
        <v>0</v>
      </c>
      <c r="CV249" s="13">
        <f>SUMIFS(SALIDAS_BIT,FECHA_BIT,"&gt;="&amp;CV$2,FECHA_BIT,"&lt;="&amp;CV$3,CLAVE_BIT,$A249)+SUMIFS(SALIDAS_BOV1,FECHA_BOV1,"&gt;="&amp;CV$2,FECHA_BOV1,"&lt;="&amp;CV$3,CLAVE_BOV1,$A249)+SUMIFS(SALIDAS_BOV2,FECHA_BOV2,"&gt;="&amp;CV$2,FECHA_BOV2,"&lt;="&amp;CV$3,CLAVE_BOV2,$A249)+SUMIFS(SALIDAS_BOV3,FECHA_BOV3,"&gt;="&amp;CV$2,FECHA_BOV3,"&lt;="&amp;CV$3,CLAVE_BOV3,$A249)+SUMIFS(SALIDAS_TC,FECHA_TC,"&gt;="&amp;CV$2,FECHA_TC,"&lt;="&amp;CV$3,CLAVE_TC,$A249)+SUMIFS(SALIDAS_COMB,FECHA_COMB,"&gt;="&amp;CV$2,FECHA_COMB,"&lt;="&amp;CV$3,CLAVE_COMB,$A249)+SUMIFS(SALIDAS_DES,FECHA_DESGLOSEN,"&gt;="&amp;CV$2,FECHA_DESGLOSEN,"&lt;="&amp;CV$3,CLAVE_DESGLOSE,$A249)</f>
        <v>0</v>
      </c>
      <c r="CW249" s="13">
        <f>SUMIFS(SALIDAS_BIT,FECHA_BIT,"&gt;="&amp;CW$2,FECHA_BIT,"&lt;="&amp;CW$3,CLAVE_BIT,$A249)+SUMIFS(SALIDAS_BOV1,FECHA_BOV1,"&gt;="&amp;CW$2,FECHA_BOV1,"&lt;="&amp;CW$3,CLAVE_BOV1,$A249)+SUMIFS(SALIDAS_BOV2,FECHA_BOV2,"&gt;="&amp;CW$2,FECHA_BOV2,"&lt;="&amp;CW$3,CLAVE_BOV2,$A249)+SUMIFS(SALIDAS_BOV3,FECHA_BOV3,"&gt;="&amp;CW$2,FECHA_BOV3,"&lt;="&amp;CW$3,CLAVE_BOV3,$A249)+SUMIFS(SALIDAS_TC,FECHA_TC,"&gt;="&amp;CW$2,FECHA_TC,"&lt;="&amp;CW$3,CLAVE_TC,$A249)+SUMIFS(SALIDAS_COMB,FECHA_COMB,"&gt;="&amp;CW$2,FECHA_COMB,"&lt;="&amp;CW$3,CLAVE_COMB,$A249)+SUMIFS(SALIDAS_DES,FECHA_DESGLOSEN,"&gt;="&amp;CW$2,FECHA_DESGLOSEN,"&lt;="&amp;CW$3,CLAVE_DESGLOSE,$A249)</f>
        <v>0</v>
      </c>
      <c r="CX249" s="13">
        <f>SUMIFS(SALIDAS_BIT,FECHA_BIT,"&gt;="&amp;CX$2,FECHA_BIT,"&lt;="&amp;CX$3,CLAVE_BIT,$A249)+SUMIFS(SALIDAS_BOV1,FECHA_BOV1,"&gt;="&amp;CX$2,FECHA_BOV1,"&lt;="&amp;CX$3,CLAVE_BOV1,$A249)+SUMIFS(SALIDAS_BOV2,FECHA_BOV2,"&gt;="&amp;CX$2,FECHA_BOV2,"&lt;="&amp;CX$3,CLAVE_BOV2,$A249)+SUMIFS(SALIDAS_BOV3,FECHA_BOV3,"&gt;="&amp;CX$2,FECHA_BOV3,"&lt;="&amp;CX$3,CLAVE_BOV3,$A249)+SUMIFS(SALIDAS_TC,FECHA_TC,"&gt;="&amp;CX$2,FECHA_TC,"&lt;="&amp;CX$3,CLAVE_TC,$A249)+SUMIFS(SALIDAS_COMB,FECHA_COMB,"&gt;="&amp;CX$2,FECHA_COMB,"&lt;="&amp;CX$3,CLAVE_COMB,$A249)+SUMIFS(SALIDAS_DES,FECHA_DESGLOSEN,"&gt;="&amp;CX$2,FECHA_DESGLOSEN,"&lt;="&amp;CX$3,CLAVE_DESGLOSE,$A249)</f>
        <v>0</v>
      </c>
      <c r="CY249" s="13">
        <f>SUMIFS(SALIDAS_BIT,FECHA_BIT,"&gt;="&amp;CY$2,FECHA_BIT,"&lt;="&amp;CY$3,CLAVE_BIT,$A249)+SUMIFS(SALIDAS_BOV1,FECHA_BOV1,"&gt;="&amp;CY$2,FECHA_BOV1,"&lt;="&amp;CY$3,CLAVE_BOV1,$A249)+SUMIFS(SALIDAS_BOV2,FECHA_BOV2,"&gt;="&amp;CY$2,FECHA_BOV2,"&lt;="&amp;CY$3,CLAVE_BOV2,$A249)+SUMIFS(SALIDAS_BOV3,FECHA_BOV3,"&gt;="&amp;CY$2,FECHA_BOV3,"&lt;="&amp;CY$3,CLAVE_BOV3,$A249)+SUMIFS(SALIDAS_TC,FECHA_TC,"&gt;="&amp;CY$2,FECHA_TC,"&lt;="&amp;CY$3,CLAVE_TC,$A249)+SUMIFS(SALIDAS_COMB,FECHA_COMB,"&gt;="&amp;CY$2,FECHA_COMB,"&lt;="&amp;CY$3,CLAVE_COMB,$A249)+SUMIFS(SALIDAS_DES,FECHA_DESGLOSEN,"&gt;="&amp;CY$2,FECHA_DESGLOSEN,"&lt;="&amp;CY$3,CLAVE_DESGLOSE,$A249)</f>
        <v>0</v>
      </c>
      <c r="CZ249" s="68">
        <f t="shared" si="378"/>
        <v>0</v>
      </c>
      <c r="DB249" s="17">
        <f>F249+N249+W249+AE249+AM249+AV249+BD249+BL249+BU249+CC249+CK249</f>
        <v>110000</v>
      </c>
      <c r="DC249" s="17">
        <f>K249+T249+AB249+AJ249+AS249+BA249+BI249+BR249+BZ249+CH249+CQ249</f>
        <v>16400</v>
      </c>
    </row>
    <row r="250" spans="1:107" hidden="1">
      <c r="A250" s="12" t="str">
        <f t="shared" si="351"/>
        <v>FINANZASHONORARIOSLEGAL</v>
      </c>
      <c r="B250" s="483">
        <v>252</v>
      </c>
      <c r="C250" t="s">
        <v>23</v>
      </c>
      <c r="D250" t="s">
        <v>124</v>
      </c>
      <c r="E250" t="s">
        <v>126</v>
      </c>
      <c r="F250" s="259">
        <f t="shared" si="344"/>
        <v>0</v>
      </c>
      <c r="G250" s="13">
        <f t="shared" si="422"/>
        <v>0</v>
      </c>
      <c r="H250" s="13">
        <f t="shared" si="422"/>
        <v>0</v>
      </c>
      <c r="I250" s="13">
        <f t="shared" si="422"/>
        <v>0</v>
      </c>
      <c r="J250" s="13">
        <f t="shared" si="422"/>
        <v>0</v>
      </c>
      <c r="K250" s="13">
        <f t="shared" si="422"/>
        <v>0</v>
      </c>
      <c r="L250" s="68">
        <f t="shared" si="352"/>
        <v>0</v>
      </c>
      <c r="M250" s="268">
        <f t="shared" si="353"/>
        <v>0</v>
      </c>
      <c r="N250" s="13">
        <f t="shared" si="345"/>
        <v>0</v>
      </c>
      <c r="O250" s="13">
        <f t="shared" si="423"/>
        <v>0</v>
      </c>
      <c r="P250" s="13">
        <f t="shared" si="423"/>
        <v>0</v>
      </c>
      <c r="Q250" s="13">
        <f t="shared" si="423"/>
        <v>0</v>
      </c>
      <c r="R250" s="13">
        <f t="shared" si="423"/>
        <v>0</v>
      </c>
      <c r="S250" s="13">
        <f t="shared" si="423"/>
        <v>0</v>
      </c>
      <c r="T250" s="13">
        <f t="shared" si="423"/>
        <v>0</v>
      </c>
      <c r="U250" s="68">
        <f t="shared" si="354"/>
        <v>0</v>
      </c>
      <c r="V250" s="268">
        <f t="shared" si="355"/>
        <v>0</v>
      </c>
      <c r="W250" s="13">
        <f t="shared" si="346"/>
        <v>0</v>
      </c>
      <c r="X250" s="13">
        <f t="shared" si="424"/>
        <v>0</v>
      </c>
      <c r="Y250" s="13">
        <f t="shared" si="424"/>
        <v>0</v>
      </c>
      <c r="Z250" s="13">
        <f t="shared" si="424"/>
        <v>0</v>
      </c>
      <c r="AA250" s="13">
        <f t="shared" si="424"/>
        <v>0</v>
      </c>
      <c r="AB250" s="13">
        <f t="shared" si="424"/>
        <v>0</v>
      </c>
      <c r="AC250" s="68">
        <f t="shared" si="356"/>
        <v>0</v>
      </c>
      <c r="AD250" s="268">
        <f t="shared" si="357"/>
        <v>0</v>
      </c>
      <c r="AE250" s="13">
        <f t="shared" si="347"/>
        <v>0</v>
      </c>
      <c r="AF250" s="13">
        <f t="shared" si="425"/>
        <v>0</v>
      </c>
      <c r="AG250" s="13">
        <f t="shared" si="425"/>
        <v>0</v>
      </c>
      <c r="AH250" s="13">
        <f t="shared" si="425"/>
        <v>0</v>
      </c>
      <c r="AI250" s="13">
        <f t="shared" si="425"/>
        <v>0</v>
      </c>
      <c r="AJ250" s="13">
        <f t="shared" si="425"/>
        <v>0</v>
      </c>
      <c r="AK250" s="68">
        <f t="shared" si="358"/>
        <v>0</v>
      </c>
      <c r="AL250" s="268">
        <f t="shared" si="359"/>
        <v>0</v>
      </c>
      <c r="AM250" s="13">
        <f t="shared" si="348"/>
        <v>0</v>
      </c>
      <c r="AN250" s="13">
        <f t="shared" si="426"/>
        <v>0</v>
      </c>
      <c r="AO250" s="13">
        <f t="shared" si="426"/>
        <v>0</v>
      </c>
      <c r="AP250" s="13">
        <f t="shared" si="426"/>
        <v>0</v>
      </c>
      <c r="AQ250" s="13">
        <f t="shared" si="426"/>
        <v>0</v>
      </c>
      <c r="AR250" s="13">
        <f t="shared" si="426"/>
        <v>0</v>
      </c>
      <c r="AS250" s="13">
        <f t="shared" si="426"/>
        <v>0</v>
      </c>
      <c r="AT250" s="68">
        <f>AM250-AS250</f>
        <v>0</v>
      </c>
      <c r="AU250" s="268">
        <f t="shared" si="360"/>
        <v>0</v>
      </c>
      <c r="AV250" s="13">
        <f t="shared" si="349"/>
        <v>0</v>
      </c>
      <c r="AW250" s="13">
        <f t="shared" si="421"/>
        <v>0</v>
      </c>
      <c r="AX250" s="13">
        <f t="shared" si="421"/>
        <v>0</v>
      </c>
      <c r="AY250" s="13">
        <f t="shared" si="421"/>
        <v>0</v>
      </c>
      <c r="AZ250" s="13">
        <f t="shared" si="421"/>
        <v>0</v>
      </c>
      <c r="BA250" s="13">
        <f t="shared" si="379"/>
        <v>0</v>
      </c>
      <c r="BB250" s="68">
        <f t="shared" si="361"/>
        <v>0</v>
      </c>
      <c r="BC250" s="268">
        <f t="shared" si="362"/>
        <v>0</v>
      </c>
      <c r="BD250" s="13">
        <f t="shared" si="363"/>
        <v>0</v>
      </c>
      <c r="BE250" s="13">
        <f>SUMIFS(SALIDAS_BIT,FECHA_BIT,"&gt;="&amp;BE$2,FECHA_BIT,"&lt;="&amp;BE$3,CLAVE_BIT,$A250)+SUMIFS(SALIDAS_BOV1,FECHA_BOV1,"&gt;="&amp;BE$2,FECHA_BOV1,"&lt;="&amp;BE$3,CLAVE_BOV1,$A250)+SUMIFS(SALIDAS_BOV2,FECHA_BOV2,"&gt;="&amp;BE$2,FECHA_BOV2,"&lt;="&amp;BE$3,CLAVE_BOV2,$A250)+SUMIFS(SALIDAS_BOV3,FECHA_BOV3,"&gt;="&amp;BE$2,FECHA_BOV3,"&lt;="&amp;BE$3,CLAVE_BOV3,$A250)+SUMIFS(SALIDAS_TC,FECHA_TC,"&gt;="&amp;BE$2,FECHA_TC,"&lt;="&amp;BE$3,CLAVE_TC,$A250)+SUMIFS(SALIDAS_COMB,FECHA_COMB,"&gt;="&amp;BE$2,FECHA_COMB,"&lt;="&amp;BE$3,CLAVE_COMB,$A250)+SUMIFS(SALIDAS_DES,FECHA_DESGLOSEN,"&gt;="&amp;BE$2,FECHA_DESGLOSEN,"&lt;="&amp;BE$3,CLAVE_DESGLOSE,$A250)</f>
        <v>0</v>
      </c>
      <c r="BF250" s="13">
        <f>SUMIFS(SALIDAS_BIT,FECHA_BIT,"&gt;="&amp;BF$2,FECHA_BIT,"&lt;="&amp;BF$3,CLAVE_BIT,$A250)+SUMIFS(SALIDAS_BOV1,FECHA_BOV1,"&gt;="&amp;BF$2,FECHA_BOV1,"&lt;="&amp;BF$3,CLAVE_BOV1,$A250)+SUMIFS(SALIDAS_BOV2,FECHA_BOV2,"&gt;="&amp;BF$2,FECHA_BOV2,"&lt;="&amp;BF$3,CLAVE_BOV2,$A250)+SUMIFS(SALIDAS_BOV3,FECHA_BOV3,"&gt;="&amp;BF$2,FECHA_BOV3,"&lt;="&amp;BF$3,CLAVE_BOV3,$A250)+SUMIFS(SALIDAS_TC,FECHA_TC,"&gt;="&amp;BF$2,FECHA_TC,"&lt;="&amp;BF$3,CLAVE_TC,$A250)+SUMIFS(SALIDAS_COMB,FECHA_COMB,"&gt;="&amp;BF$2,FECHA_COMB,"&lt;="&amp;BF$3,CLAVE_COMB,$A250)+SUMIFS(SALIDAS_DES,FECHA_DESGLOSEN,"&gt;="&amp;BF$2,FECHA_DESGLOSEN,"&lt;="&amp;BF$3,CLAVE_DESGLOSE,$A250)</f>
        <v>0</v>
      </c>
      <c r="BG250" s="13">
        <f>SUMIFS(SALIDAS_BIT,FECHA_BIT,"&gt;="&amp;BG$2,FECHA_BIT,"&lt;="&amp;BG$3,CLAVE_BIT,$A250)+SUMIFS(SALIDAS_BOV1,FECHA_BOV1,"&gt;="&amp;BG$2,FECHA_BOV1,"&lt;="&amp;BG$3,CLAVE_BOV1,$A250)+SUMIFS(SALIDAS_BOV2,FECHA_BOV2,"&gt;="&amp;BG$2,FECHA_BOV2,"&lt;="&amp;BG$3,CLAVE_BOV2,$A250)+SUMIFS(SALIDAS_BOV3,FECHA_BOV3,"&gt;="&amp;BG$2,FECHA_BOV3,"&lt;="&amp;BG$3,CLAVE_BOV3,$A250)+SUMIFS(SALIDAS_TC,FECHA_TC,"&gt;="&amp;BG$2,FECHA_TC,"&lt;="&amp;BG$3,CLAVE_TC,$A250)+SUMIFS(SALIDAS_COMB,FECHA_COMB,"&gt;="&amp;BG$2,FECHA_COMB,"&lt;="&amp;BG$3,CLAVE_COMB,$A250)+SUMIFS(SALIDAS_DES,FECHA_DESGLOSEN,"&gt;="&amp;BG$2,FECHA_DESGLOSEN,"&lt;="&amp;BG$3,CLAVE_DESGLOSE,$A250)</f>
        <v>0</v>
      </c>
      <c r="BH250" s="13">
        <f>SUMIFS(SALIDAS_BIT,FECHA_BIT,"&gt;="&amp;BH$2,FECHA_BIT,"&lt;="&amp;BH$3,CLAVE_BIT,$A250)+SUMIFS(SALIDAS_BOV1,FECHA_BOV1,"&gt;="&amp;BH$2,FECHA_BOV1,"&lt;="&amp;BH$3,CLAVE_BOV1,$A250)+SUMIFS(SALIDAS_BOV2,FECHA_BOV2,"&gt;="&amp;BH$2,FECHA_BOV2,"&lt;="&amp;BH$3,CLAVE_BOV2,$A250)+SUMIFS(SALIDAS_BOV3,FECHA_BOV3,"&gt;="&amp;BH$2,FECHA_BOV3,"&lt;="&amp;BH$3,CLAVE_BOV3,$A250)+SUMIFS(SALIDAS_TC,FECHA_TC,"&gt;="&amp;BH$2,FECHA_TC,"&lt;="&amp;BH$3,CLAVE_TC,$A250)+SUMIFS(SALIDAS_COMB,FECHA_COMB,"&gt;="&amp;BH$2,FECHA_COMB,"&lt;="&amp;BH$3,CLAVE_COMB,$A250)+SUMIFS(SALIDAS_DES,FECHA_DESGLOSEN,"&gt;="&amp;BH$2,FECHA_DESGLOSEN,"&lt;="&amp;BH$3,CLAVE_DESGLOSE,$A250)</f>
        <v>0</v>
      </c>
      <c r="BI250" s="13">
        <f t="shared" si="419"/>
        <v>0</v>
      </c>
      <c r="BJ250" s="68">
        <f t="shared" si="364"/>
        <v>0</v>
      </c>
      <c r="BK250" s="268">
        <f t="shared" si="365"/>
        <v>0</v>
      </c>
      <c r="BL250" s="13">
        <f t="shared" si="366"/>
        <v>0</v>
      </c>
      <c r="BM250" s="13">
        <f>SUMIFS(SALIDAS_BIT,FECHA_BIT,"&gt;="&amp;BM$2,FECHA_BIT,"&lt;="&amp;BM$3,CLAVE_BIT,$A250)+SUMIFS(SALIDAS_BOV1,FECHA_BOV1,"&gt;="&amp;BM$2,FECHA_BOV1,"&lt;="&amp;BM$3,CLAVE_BOV1,$A250)+SUMIFS(SALIDAS_BOV2,FECHA_BOV2,"&gt;="&amp;BM$2,FECHA_BOV2,"&lt;="&amp;BM$3,CLAVE_BOV2,$A250)+SUMIFS(SALIDAS_BOV3,FECHA_BOV3,"&gt;="&amp;BM$2,FECHA_BOV3,"&lt;="&amp;BM$3,CLAVE_BOV3,$A250)+SUMIFS(SALIDAS_TC,FECHA_TC,"&gt;="&amp;BM$2,FECHA_TC,"&lt;="&amp;BM$3,CLAVE_TC,$A250)+SUMIFS(SALIDAS_COMB,FECHA_COMB,"&gt;="&amp;BM$2,FECHA_COMB,"&lt;="&amp;BM$3,CLAVE_COMB,$A250)+SUMIFS(SALIDAS_DES,FECHA_DESGLOSEN,"&gt;="&amp;BM$2,FECHA_DESGLOSEN,"&lt;="&amp;BM$3,CLAVE_DESGLOSE,$A250)</f>
        <v>0</v>
      </c>
      <c r="BN250" s="13">
        <f>SUMIFS(SALIDAS_BIT,FECHA_BIT,"&gt;="&amp;BN$2,FECHA_BIT,"&lt;="&amp;BN$3,CLAVE_BIT,$A250)+SUMIFS(SALIDAS_BOV1,FECHA_BOV1,"&gt;="&amp;BN$2,FECHA_BOV1,"&lt;="&amp;BN$3,CLAVE_BOV1,$A250)+SUMIFS(SALIDAS_BOV2,FECHA_BOV2,"&gt;="&amp;BN$2,FECHA_BOV2,"&lt;="&amp;BN$3,CLAVE_BOV2,$A250)+SUMIFS(SALIDAS_BOV3,FECHA_BOV3,"&gt;="&amp;BN$2,FECHA_BOV3,"&lt;="&amp;BN$3,CLAVE_BOV3,$A250)+SUMIFS(SALIDAS_TC,FECHA_TC,"&gt;="&amp;BN$2,FECHA_TC,"&lt;="&amp;BN$3,CLAVE_TC,$A250)+SUMIFS(SALIDAS_COMB,FECHA_COMB,"&gt;="&amp;BN$2,FECHA_COMB,"&lt;="&amp;BN$3,CLAVE_COMB,$A250)+SUMIFS(SALIDAS_DES,FECHA_DESGLOSEN,"&gt;="&amp;BN$2,FECHA_DESGLOSEN,"&lt;="&amp;BN$3,CLAVE_DESGLOSE,$A250)</f>
        <v>0</v>
      </c>
      <c r="BO250" s="13">
        <f>SUMIFS(SALIDAS_BIT,FECHA_BIT,"&gt;="&amp;BO$2,FECHA_BIT,"&lt;="&amp;BO$3,CLAVE_BIT,$A250)+SUMIFS(SALIDAS_BOV1,FECHA_BOV1,"&gt;="&amp;BO$2,FECHA_BOV1,"&lt;="&amp;BO$3,CLAVE_BOV1,$A250)+SUMIFS(SALIDAS_BOV2,FECHA_BOV2,"&gt;="&amp;BO$2,FECHA_BOV2,"&lt;="&amp;BO$3,CLAVE_BOV2,$A250)+SUMIFS(SALIDAS_BOV3,FECHA_BOV3,"&gt;="&amp;BO$2,FECHA_BOV3,"&lt;="&amp;BO$3,CLAVE_BOV3,$A250)+SUMIFS(SALIDAS_TC,FECHA_TC,"&gt;="&amp;BO$2,FECHA_TC,"&lt;="&amp;BO$3,CLAVE_TC,$A250)+SUMIFS(SALIDAS_COMB,FECHA_COMB,"&gt;="&amp;BO$2,FECHA_COMB,"&lt;="&amp;BO$3,CLAVE_COMB,$A250)+SUMIFS(SALIDAS_DES,FECHA_DESGLOSEN,"&gt;="&amp;BO$2,FECHA_DESGLOSEN,"&lt;="&amp;BO$3,CLAVE_DESGLOSE,$A250)</f>
        <v>0</v>
      </c>
      <c r="BP250" s="13">
        <f>SUMIFS(SALIDAS_BIT,FECHA_BIT,"&gt;="&amp;BP$2,FECHA_BIT,"&lt;="&amp;BP$3,CLAVE_BIT,$A250)+SUMIFS(SALIDAS_BOV1,FECHA_BOV1,"&gt;="&amp;BP$2,FECHA_BOV1,"&lt;="&amp;BP$3,CLAVE_BOV1,$A250)+SUMIFS(SALIDAS_BOV2,FECHA_BOV2,"&gt;="&amp;BP$2,FECHA_BOV2,"&lt;="&amp;BP$3,CLAVE_BOV2,$A250)+SUMIFS(SALIDAS_BOV3,FECHA_BOV3,"&gt;="&amp;BP$2,FECHA_BOV3,"&lt;="&amp;BP$3,CLAVE_BOV3,$A250)+SUMIFS(SALIDAS_TC,FECHA_TC,"&gt;="&amp;BP$2,FECHA_TC,"&lt;="&amp;BP$3,CLAVE_TC,$A250)+SUMIFS(SALIDAS_COMB,FECHA_COMB,"&gt;="&amp;BP$2,FECHA_COMB,"&lt;="&amp;BP$3,CLAVE_COMB,$A250)+SUMIFS(SALIDAS_DES,FECHA_DESGLOSEN,"&gt;="&amp;BP$2,FECHA_DESGLOSEN,"&lt;="&amp;BP$3,CLAVE_DESGLOSE,$A250)</f>
        <v>0</v>
      </c>
      <c r="BQ250" s="13">
        <f>SUMIFS(SALIDAS_BIT,FECHA_BIT,"&gt;="&amp;BQ$2,FECHA_BIT,"&lt;="&amp;BQ$3,CLAVE_BIT,$A250)+SUMIFS(SALIDAS_BOV1,FECHA_BOV1,"&gt;="&amp;BQ$2,FECHA_BOV1,"&lt;="&amp;BQ$3,CLAVE_BOV1,$A250)+SUMIFS(SALIDAS_BOV2,FECHA_BOV2,"&gt;="&amp;BQ$2,FECHA_BOV2,"&lt;="&amp;BQ$3,CLAVE_BOV2,$A250)+SUMIFS(SALIDAS_BOV3,FECHA_BOV3,"&gt;="&amp;BQ$2,FECHA_BOV3,"&lt;="&amp;BQ$3,CLAVE_BOV3,$A250)+SUMIFS(SALIDAS_TC,FECHA_TC,"&gt;="&amp;BQ$2,FECHA_TC,"&lt;="&amp;BQ$3,CLAVE_TC,$A250)+SUMIFS(SALIDAS_COMB,FECHA_COMB,"&gt;="&amp;BQ$2,FECHA_COMB,"&lt;="&amp;BQ$3,CLAVE_COMB,$A250)+SUMIFS(SALIDAS_DES,FECHA_DESGLOSEN,"&gt;="&amp;BQ$2,FECHA_DESGLOSEN,"&lt;="&amp;BQ$3,CLAVE_DESGLOSE,$A250)</f>
        <v>0</v>
      </c>
      <c r="BR250" s="13">
        <f t="shared" si="427"/>
        <v>0</v>
      </c>
      <c r="BS250" s="68">
        <f t="shared" si="367"/>
        <v>0</v>
      </c>
      <c r="BT250" s="268">
        <f t="shared" si="368"/>
        <v>0</v>
      </c>
      <c r="BU250" s="13">
        <f t="shared" si="369"/>
        <v>0</v>
      </c>
      <c r="BV250" s="13">
        <f t="shared" si="389"/>
        <v>0</v>
      </c>
      <c r="BW250" s="13">
        <f t="shared" si="389"/>
        <v>0</v>
      </c>
      <c r="BX250" s="13">
        <f t="shared" si="389"/>
        <v>0</v>
      </c>
      <c r="BY250" s="13">
        <f t="shared" si="389"/>
        <v>0</v>
      </c>
      <c r="BZ250" s="13">
        <f t="shared" si="428"/>
        <v>0</v>
      </c>
      <c r="CA250" s="68">
        <f t="shared" si="370"/>
        <v>0</v>
      </c>
      <c r="CB250" s="268">
        <f t="shared" si="371"/>
        <v>0</v>
      </c>
      <c r="CC250" s="13">
        <f t="shared" si="372"/>
        <v>0</v>
      </c>
      <c r="CD250" s="13">
        <f t="shared" si="390"/>
        <v>0</v>
      </c>
      <c r="CE250" s="13">
        <f t="shared" si="390"/>
        <v>0</v>
      </c>
      <c r="CF250" s="13">
        <f t="shared" si="390"/>
        <v>0</v>
      </c>
      <c r="CG250" s="13">
        <f t="shared" si="390"/>
        <v>0</v>
      </c>
      <c r="CH250" s="13">
        <f t="shared" si="429"/>
        <v>0</v>
      </c>
      <c r="CI250" s="68">
        <f t="shared" si="373"/>
        <v>0</v>
      </c>
      <c r="CJ250" s="268">
        <f t="shared" si="374"/>
        <v>0</v>
      </c>
      <c r="CK250" s="13">
        <f t="shared" si="375"/>
        <v>360000</v>
      </c>
      <c r="CL250" s="13">
        <f t="shared" si="400"/>
        <v>0</v>
      </c>
      <c r="CM250" s="13">
        <f t="shared" si="400"/>
        <v>0</v>
      </c>
      <c r="CN250" s="13">
        <f t="shared" si="400"/>
        <v>0</v>
      </c>
      <c r="CO250" s="13">
        <f t="shared" si="400"/>
        <v>360000</v>
      </c>
      <c r="CP250" s="13">
        <f t="shared" si="400"/>
        <v>0</v>
      </c>
      <c r="CQ250" s="13">
        <f t="shared" si="430"/>
        <v>360000</v>
      </c>
      <c r="CR250" s="68">
        <f t="shared" si="376"/>
        <v>0</v>
      </c>
      <c r="CS250" s="268">
        <f t="shared" si="377"/>
        <v>1</v>
      </c>
      <c r="CT250" s="68">
        <f t="shared" si="350"/>
        <v>0</v>
      </c>
      <c r="CU250" s="13">
        <f>SUMIFS(SALIDAS_BIT,FECHA_BIT,"&gt;="&amp;CU$2,FECHA_BIT,"&lt;="&amp;CU$3,CLAVE_BIT,$A250)+SUMIFS(SALIDAS_BOV1,FECHA_BOV1,"&gt;="&amp;CU$2,FECHA_BOV1,"&lt;="&amp;CU$3,CLAVE_BOV1,$A250)+SUMIFS(SALIDAS_BOV2,FECHA_BOV2,"&gt;="&amp;CU$2,FECHA_BOV2,"&lt;="&amp;CU$3,CLAVE_BOV2,$A250)+SUMIFS(SALIDAS_BOV3,FECHA_BOV3,"&gt;="&amp;CU$2,FECHA_BOV3,"&lt;="&amp;CU$3,CLAVE_BOV3,$A250)+SUMIFS(SALIDAS_TC,FECHA_TC,"&gt;="&amp;CU$2,FECHA_TC,"&lt;="&amp;CU$3,CLAVE_TC,$A250)+SUMIFS(SALIDAS_COMB,FECHA_COMB,"&gt;="&amp;CU$2,FECHA_COMB,"&lt;="&amp;CU$3,CLAVE_COMB,$A250)+SUMIFS(SALIDAS_DES,FECHA_DESGLOSEN,"&gt;="&amp;CU$2,FECHA_DESGLOSEN,"&lt;="&amp;CU$3,CLAVE_DESGLOSE,$A250)</f>
        <v>0</v>
      </c>
      <c r="CV250" s="13">
        <f>SUMIFS(SALIDAS_BIT,FECHA_BIT,"&gt;="&amp;CV$2,FECHA_BIT,"&lt;="&amp;CV$3,CLAVE_BIT,$A250)+SUMIFS(SALIDAS_BOV1,FECHA_BOV1,"&gt;="&amp;CV$2,FECHA_BOV1,"&lt;="&amp;CV$3,CLAVE_BOV1,$A250)+SUMIFS(SALIDAS_BOV2,FECHA_BOV2,"&gt;="&amp;CV$2,FECHA_BOV2,"&lt;="&amp;CV$3,CLAVE_BOV2,$A250)+SUMIFS(SALIDAS_BOV3,FECHA_BOV3,"&gt;="&amp;CV$2,FECHA_BOV3,"&lt;="&amp;CV$3,CLAVE_BOV3,$A250)+SUMIFS(SALIDAS_TC,FECHA_TC,"&gt;="&amp;CV$2,FECHA_TC,"&lt;="&amp;CV$3,CLAVE_TC,$A250)+SUMIFS(SALIDAS_COMB,FECHA_COMB,"&gt;="&amp;CV$2,FECHA_COMB,"&lt;="&amp;CV$3,CLAVE_COMB,$A250)+SUMIFS(SALIDAS_DES,FECHA_DESGLOSEN,"&gt;="&amp;CV$2,FECHA_DESGLOSEN,"&lt;="&amp;CV$3,CLAVE_DESGLOSE,$A250)</f>
        <v>0</v>
      </c>
      <c r="CW250" s="13">
        <f>SUMIFS(SALIDAS_BIT,FECHA_BIT,"&gt;="&amp;CW$2,FECHA_BIT,"&lt;="&amp;CW$3,CLAVE_BIT,$A250)+SUMIFS(SALIDAS_BOV1,FECHA_BOV1,"&gt;="&amp;CW$2,FECHA_BOV1,"&lt;="&amp;CW$3,CLAVE_BOV1,$A250)+SUMIFS(SALIDAS_BOV2,FECHA_BOV2,"&gt;="&amp;CW$2,FECHA_BOV2,"&lt;="&amp;CW$3,CLAVE_BOV2,$A250)+SUMIFS(SALIDAS_BOV3,FECHA_BOV3,"&gt;="&amp;CW$2,FECHA_BOV3,"&lt;="&amp;CW$3,CLAVE_BOV3,$A250)+SUMIFS(SALIDAS_TC,FECHA_TC,"&gt;="&amp;CW$2,FECHA_TC,"&lt;="&amp;CW$3,CLAVE_TC,$A250)+SUMIFS(SALIDAS_COMB,FECHA_COMB,"&gt;="&amp;CW$2,FECHA_COMB,"&lt;="&amp;CW$3,CLAVE_COMB,$A250)+SUMIFS(SALIDAS_DES,FECHA_DESGLOSEN,"&gt;="&amp;CW$2,FECHA_DESGLOSEN,"&lt;="&amp;CW$3,CLAVE_DESGLOSE,$A250)</f>
        <v>0</v>
      </c>
      <c r="CX250" s="13">
        <f>SUMIFS(SALIDAS_BIT,FECHA_BIT,"&gt;="&amp;CX$2,FECHA_BIT,"&lt;="&amp;CX$3,CLAVE_BIT,$A250)+SUMIFS(SALIDAS_BOV1,FECHA_BOV1,"&gt;="&amp;CX$2,FECHA_BOV1,"&lt;="&amp;CX$3,CLAVE_BOV1,$A250)+SUMIFS(SALIDAS_BOV2,FECHA_BOV2,"&gt;="&amp;CX$2,FECHA_BOV2,"&lt;="&amp;CX$3,CLAVE_BOV2,$A250)+SUMIFS(SALIDAS_BOV3,FECHA_BOV3,"&gt;="&amp;CX$2,FECHA_BOV3,"&lt;="&amp;CX$3,CLAVE_BOV3,$A250)+SUMIFS(SALIDAS_TC,FECHA_TC,"&gt;="&amp;CX$2,FECHA_TC,"&lt;="&amp;CX$3,CLAVE_TC,$A250)+SUMIFS(SALIDAS_COMB,FECHA_COMB,"&gt;="&amp;CX$2,FECHA_COMB,"&lt;="&amp;CX$3,CLAVE_COMB,$A250)+SUMIFS(SALIDAS_DES,FECHA_DESGLOSEN,"&gt;="&amp;CX$2,FECHA_DESGLOSEN,"&lt;="&amp;CX$3,CLAVE_DESGLOSE,$A250)</f>
        <v>0</v>
      </c>
      <c r="CY250" s="13">
        <f>SUMIFS(SALIDAS_BIT,FECHA_BIT,"&gt;="&amp;CY$2,FECHA_BIT,"&lt;="&amp;CY$3,CLAVE_BIT,$A250)+SUMIFS(SALIDAS_BOV1,FECHA_BOV1,"&gt;="&amp;CY$2,FECHA_BOV1,"&lt;="&amp;CY$3,CLAVE_BOV1,$A250)+SUMIFS(SALIDAS_BOV2,FECHA_BOV2,"&gt;="&amp;CY$2,FECHA_BOV2,"&lt;="&amp;CY$3,CLAVE_BOV2,$A250)+SUMIFS(SALIDAS_BOV3,FECHA_BOV3,"&gt;="&amp;CY$2,FECHA_BOV3,"&lt;="&amp;CY$3,CLAVE_BOV3,$A250)+SUMIFS(SALIDAS_TC,FECHA_TC,"&gt;="&amp;CY$2,FECHA_TC,"&lt;="&amp;CY$3,CLAVE_TC,$A250)+SUMIFS(SALIDAS_COMB,FECHA_COMB,"&gt;="&amp;CY$2,FECHA_COMB,"&lt;="&amp;CY$3,CLAVE_COMB,$A250)+SUMIFS(SALIDAS_DES,FECHA_DESGLOSEN,"&gt;="&amp;CY$2,FECHA_DESGLOSEN,"&lt;="&amp;CY$3,CLAVE_DESGLOSE,$A250)</f>
        <v>0</v>
      </c>
      <c r="CZ250" s="68">
        <f t="shared" si="378"/>
        <v>0</v>
      </c>
      <c r="DB250" s="17">
        <f>F250+N250+W250+AE250+AM250+AV250+BD250+BL250+BU250+CC250+CK250</f>
        <v>360000</v>
      </c>
      <c r="DC250" s="17">
        <f>K250+T250+AB250+AJ250+AS250+BA250+BI250+BR250+BZ250+CH250+CQ250</f>
        <v>360000</v>
      </c>
    </row>
    <row r="251" spans="1:107" hidden="1">
      <c r="A251" s="12" t="str">
        <f t="shared" si="351"/>
        <v>SGECUOTAS Y SUSCRIPCIONESOFFICE 365(DE)</v>
      </c>
      <c r="B251">
        <v>253</v>
      </c>
      <c r="C251" t="s">
        <v>39</v>
      </c>
      <c r="D251" t="s">
        <v>51</v>
      </c>
      <c r="E251" t="s">
        <v>52</v>
      </c>
      <c r="F251" s="259">
        <f t="shared" si="344"/>
        <v>0</v>
      </c>
      <c r="G251" s="13">
        <f t="shared" si="422"/>
        <v>0</v>
      </c>
      <c r="H251" s="13">
        <f t="shared" si="422"/>
        <v>0</v>
      </c>
      <c r="I251" s="13">
        <f t="shared" si="422"/>
        <v>0</v>
      </c>
      <c r="J251" s="13">
        <f t="shared" si="422"/>
        <v>0</v>
      </c>
      <c r="K251" s="13">
        <f t="shared" si="422"/>
        <v>0</v>
      </c>
      <c r="L251" s="68">
        <f t="shared" si="352"/>
        <v>0</v>
      </c>
      <c r="M251" s="268">
        <f t="shared" si="353"/>
        <v>0</v>
      </c>
      <c r="N251" s="13">
        <f t="shared" si="345"/>
        <v>0</v>
      </c>
      <c r="O251" s="13">
        <f t="shared" si="423"/>
        <v>0</v>
      </c>
      <c r="P251" s="13">
        <f t="shared" si="423"/>
        <v>0</v>
      </c>
      <c r="Q251" s="13">
        <f t="shared" si="423"/>
        <v>0</v>
      </c>
      <c r="R251" s="13">
        <f t="shared" si="423"/>
        <v>0</v>
      </c>
      <c r="S251" s="13">
        <f t="shared" si="423"/>
        <v>0</v>
      </c>
      <c r="T251" s="13">
        <f t="shared" si="423"/>
        <v>0</v>
      </c>
      <c r="U251" s="68">
        <f t="shared" si="354"/>
        <v>0</v>
      </c>
      <c r="V251" s="268">
        <f t="shared" si="355"/>
        <v>0</v>
      </c>
      <c r="W251" s="13">
        <f t="shared" si="346"/>
        <v>0</v>
      </c>
      <c r="X251" s="13">
        <f t="shared" si="424"/>
        <v>0</v>
      </c>
      <c r="Y251" s="13">
        <f t="shared" si="424"/>
        <v>0</v>
      </c>
      <c r="Z251" s="13">
        <f t="shared" si="424"/>
        <v>0</v>
      </c>
      <c r="AA251" s="13">
        <f t="shared" si="424"/>
        <v>0</v>
      </c>
      <c r="AB251" s="13">
        <f t="shared" si="424"/>
        <v>0</v>
      </c>
      <c r="AC251" s="68">
        <f t="shared" si="356"/>
        <v>0</v>
      </c>
      <c r="AD251" s="268">
        <f t="shared" si="357"/>
        <v>0</v>
      </c>
      <c r="AE251" s="13">
        <f t="shared" si="347"/>
        <v>0</v>
      </c>
      <c r="AF251" s="13">
        <f t="shared" si="425"/>
        <v>0</v>
      </c>
      <c r="AG251" s="13">
        <f t="shared" si="425"/>
        <v>0</v>
      </c>
      <c r="AH251" s="13">
        <f t="shared" si="425"/>
        <v>0</v>
      </c>
      <c r="AI251" s="13">
        <f t="shared" si="425"/>
        <v>0</v>
      </c>
      <c r="AJ251" s="13">
        <f t="shared" si="425"/>
        <v>0</v>
      </c>
      <c r="AK251" s="68">
        <f t="shared" si="358"/>
        <v>0</v>
      </c>
      <c r="AL251" s="268">
        <f t="shared" si="359"/>
        <v>0</v>
      </c>
      <c r="AM251" s="13">
        <f t="shared" si="348"/>
        <v>0</v>
      </c>
      <c r="AN251" s="13">
        <f t="shared" si="426"/>
        <v>0</v>
      </c>
      <c r="AO251" s="13">
        <f t="shared" si="426"/>
        <v>0</v>
      </c>
      <c r="AP251" s="13">
        <f t="shared" si="426"/>
        <v>0</v>
      </c>
      <c r="AQ251" s="13">
        <f t="shared" si="426"/>
        <v>200.41</v>
      </c>
      <c r="AR251" s="13">
        <f t="shared" si="426"/>
        <v>0</v>
      </c>
      <c r="AS251" s="13">
        <f t="shared" si="426"/>
        <v>200.41</v>
      </c>
      <c r="AT251" s="68">
        <f>AM251-AS251</f>
        <v>-200.41</v>
      </c>
      <c r="AU251" s="268">
        <f t="shared" si="360"/>
        <v>0</v>
      </c>
      <c r="AV251" s="13">
        <f t="shared" si="349"/>
        <v>0</v>
      </c>
      <c r="AW251" s="13">
        <f t="shared" si="421"/>
        <v>0</v>
      </c>
      <c r="AX251" s="13">
        <f t="shared" si="421"/>
        <v>0</v>
      </c>
      <c r="AY251" s="13">
        <f t="shared" si="421"/>
        <v>0</v>
      </c>
      <c r="AZ251" s="13">
        <f t="shared" si="421"/>
        <v>0</v>
      </c>
      <c r="BA251" s="13">
        <f t="shared" si="379"/>
        <v>0</v>
      </c>
      <c r="BB251" s="68">
        <f t="shared" si="361"/>
        <v>0</v>
      </c>
      <c r="BC251" s="268">
        <f t="shared" si="362"/>
        <v>0</v>
      </c>
      <c r="BD251" s="13">
        <f t="shared" si="363"/>
        <v>0</v>
      </c>
      <c r="BE251" s="13">
        <f>SUMIFS(SALIDAS_BIT,FECHA_BIT,"&gt;="&amp;BE$2,FECHA_BIT,"&lt;="&amp;BE$3,CLAVE_BIT,$A251)+SUMIFS(SALIDAS_BOV1,FECHA_BOV1,"&gt;="&amp;BE$2,FECHA_BOV1,"&lt;="&amp;BE$3,CLAVE_BOV1,$A251)+SUMIFS(SALIDAS_BOV2,FECHA_BOV2,"&gt;="&amp;BE$2,FECHA_BOV2,"&lt;="&amp;BE$3,CLAVE_BOV2,$A251)+SUMIFS(SALIDAS_BOV3,FECHA_BOV3,"&gt;="&amp;BE$2,FECHA_BOV3,"&lt;="&amp;BE$3,CLAVE_BOV3,$A251)+SUMIFS(SALIDAS_TC,FECHA_TC,"&gt;="&amp;BE$2,FECHA_TC,"&lt;="&amp;BE$3,CLAVE_TC,$A251)+SUMIFS(SALIDAS_COMB,FECHA_COMB,"&gt;="&amp;BE$2,FECHA_COMB,"&lt;="&amp;BE$3,CLAVE_COMB,$A251)+SUMIFS(SALIDAS_DES,FECHA_DESGLOSEN,"&gt;="&amp;BE$2,FECHA_DESGLOSEN,"&lt;="&amp;BE$3,CLAVE_DESGLOSE,$A251)</f>
        <v>0</v>
      </c>
      <c r="BF251" s="13">
        <f>SUMIFS(SALIDAS_BIT,FECHA_BIT,"&gt;="&amp;BF$2,FECHA_BIT,"&lt;="&amp;BF$3,CLAVE_BIT,$A251)+SUMIFS(SALIDAS_BOV1,FECHA_BOV1,"&gt;="&amp;BF$2,FECHA_BOV1,"&lt;="&amp;BF$3,CLAVE_BOV1,$A251)+SUMIFS(SALIDAS_BOV2,FECHA_BOV2,"&gt;="&amp;BF$2,FECHA_BOV2,"&lt;="&amp;BF$3,CLAVE_BOV2,$A251)+SUMIFS(SALIDAS_BOV3,FECHA_BOV3,"&gt;="&amp;BF$2,FECHA_BOV3,"&lt;="&amp;BF$3,CLAVE_BOV3,$A251)+SUMIFS(SALIDAS_TC,FECHA_TC,"&gt;="&amp;BF$2,FECHA_TC,"&lt;="&amp;BF$3,CLAVE_TC,$A251)+SUMIFS(SALIDAS_COMB,FECHA_COMB,"&gt;="&amp;BF$2,FECHA_COMB,"&lt;="&amp;BF$3,CLAVE_COMB,$A251)+SUMIFS(SALIDAS_DES,FECHA_DESGLOSEN,"&gt;="&amp;BF$2,FECHA_DESGLOSEN,"&lt;="&amp;BF$3,CLAVE_DESGLOSE,$A251)</f>
        <v>0</v>
      </c>
      <c r="BG251" s="13">
        <f>SUMIFS(SALIDAS_BIT,FECHA_BIT,"&gt;="&amp;BG$2,FECHA_BIT,"&lt;="&amp;BG$3,CLAVE_BIT,$A251)+SUMIFS(SALIDAS_BOV1,FECHA_BOV1,"&gt;="&amp;BG$2,FECHA_BOV1,"&lt;="&amp;BG$3,CLAVE_BOV1,$A251)+SUMIFS(SALIDAS_BOV2,FECHA_BOV2,"&gt;="&amp;BG$2,FECHA_BOV2,"&lt;="&amp;BG$3,CLAVE_BOV2,$A251)+SUMIFS(SALIDAS_BOV3,FECHA_BOV3,"&gt;="&amp;BG$2,FECHA_BOV3,"&lt;="&amp;BG$3,CLAVE_BOV3,$A251)+SUMIFS(SALIDAS_TC,FECHA_TC,"&gt;="&amp;BG$2,FECHA_TC,"&lt;="&amp;BG$3,CLAVE_TC,$A251)+SUMIFS(SALIDAS_COMB,FECHA_COMB,"&gt;="&amp;BG$2,FECHA_COMB,"&lt;="&amp;BG$3,CLAVE_COMB,$A251)+SUMIFS(SALIDAS_DES,FECHA_DESGLOSEN,"&gt;="&amp;BG$2,FECHA_DESGLOSEN,"&lt;="&amp;BG$3,CLAVE_DESGLOSE,$A251)</f>
        <v>0</v>
      </c>
      <c r="BH251" s="13">
        <f>SUMIFS(SALIDAS_BIT,FECHA_BIT,"&gt;="&amp;BH$2,FECHA_BIT,"&lt;="&amp;BH$3,CLAVE_BIT,$A251)+SUMIFS(SALIDAS_BOV1,FECHA_BOV1,"&gt;="&amp;BH$2,FECHA_BOV1,"&lt;="&amp;BH$3,CLAVE_BOV1,$A251)+SUMIFS(SALIDAS_BOV2,FECHA_BOV2,"&gt;="&amp;BH$2,FECHA_BOV2,"&lt;="&amp;BH$3,CLAVE_BOV2,$A251)+SUMIFS(SALIDAS_BOV3,FECHA_BOV3,"&gt;="&amp;BH$2,FECHA_BOV3,"&lt;="&amp;BH$3,CLAVE_BOV3,$A251)+SUMIFS(SALIDAS_TC,FECHA_TC,"&gt;="&amp;BH$2,FECHA_TC,"&lt;="&amp;BH$3,CLAVE_TC,$A251)+SUMIFS(SALIDAS_COMB,FECHA_COMB,"&gt;="&amp;BH$2,FECHA_COMB,"&lt;="&amp;BH$3,CLAVE_COMB,$A251)+SUMIFS(SALIDAS_DES,FECHA_DESGLOSEN,"&gt;="&amp;BH$2,FECHA_DESGLOSEN,"&lt;="&amp;BH$3,CLAVE_DESGLOSE,$A251)</f>
        <v>0</v>
      </c>
      <c r="BI251" s="13">
        <f t="shared" si="419"/>
        <v>0</v>
      </c>
      <c r="BJ251" s="68">
        <f t="shared" si="364"/>
        <v>0</v>
      </c>
      <c r="BK251" s="268">
        <f t="shared" si="365"/>
        <v>0</v>
      </c>
      <c r="BL251" s="13">
        <f t="shared" si="366"/>
        <v>0</v>
      </c>
      <c r="BM251" s="13">
        <f>SUMIFS(SALIDAS_BIT,FECHA_BIT,"&gt;="&amp;BM$2,FECHA_BIT,"&lt;="&amp;BM$3,CLAVE_BIT,$A251)+SUMIFS(SALIDAS_BOV1,FECHA_BOV1,"&gt;="&amp;BM$2,FECHA_BOV1,"&lt;="&amp;BM$3,CLAVE_BOV1,$A251)+SUMIFS(SALIDAS_BOV2,FECHA_BOV2,"&gt;="&amp;BM$2,FECHA_BOV2,"&lt;="&amp;BM$3,CLAVE_BOV2,$A251)+SUMIFS(SALIDAS_BOV3,FECHA_BOV3,"&gt;="&amp;BM$2,FECHA_BOV3,"&lt;="&amp;BM$3,CLAVE_BOV3,$A251)+SUMIFS(SALIDAS_TC,FECHA_TC,"&gt;="&amp;BM$2,FECHA_TC,"&lt;="&amp;BM$3,CLAVE_TC,$A251)+SUMIFS(SALIDAS_COMB,FECHA_COMB,"&gt;="&amp;BM$2,FECHA_COMB,"&lt;="&amp;BM$3,CLAVE_COMB,$A251)+SUMIFS(SALIDAS_DES,FECHA_DESGLOSEN,"&gt;="&amp;BM$2,FECHA_DESGLOSEN,"&lt;="&amp;BM$3,CLAVE_DESGLOSE,$A251)</f>
        <v>0</v>
      </c>
      <c r="BN251" s="13">
        <f>SUMIFS(SALIDAS_BIT,FECHA_BIT,"&gt;="&amp;BN$2,FECHA_BIT,"&lt;="&amp;BN$3,CLAVE_BIT,$A251)+SUMIFS(SALIDAS_BOV1,FECHA_BOV1,"&gt;="&amp;BN$2,FECHA_BOV1,"&lt;="&amp;BN$3,CLAVE_BOV1,$A251)+SUMIFS(SALIDAS_BOV2,FECHA_BOV2,"&gt;="&amp;BN$2,FECHA_BOV2,"&lt;="&amp;BN$3,CLAVE_BOV2,$A251)+SUMIFS(SALIDAS_BOV3,FECHA_BOV3,"&gt;="&amp;BN$2,FECHA_BOV3,"&lt;="&amp;BN$3,CLAVE_BOV3,$A251)+SUMIFS(SALIDAS_TC,FECHA_TC,"&gt;="&amp;BN$2,FECHA_TC,"&lt;="&amp;BN$3,CLAVE_TC,$A251)+SUMIFS(SALIDAS_COMB,FECHA_COMB,"&gt;="&amp;BN$2,FECHA_COMB,"&lt;="&amp;BN$3,CLAVE_COMB,$A251)+SUMIFS(SALIDAS_DES,FECHA_DESGLOSEN,"&gt;="&amp;BN$2,FECHA_DESGLOSEN,"&lt;="&amp;BN$3,CLAVE_DESGLOSE,$A251)</f>
        <v>0</v>
      </c>
      <c r="BO251" s="13">
        <f>SUMIFS(SALIDAS_BIT,FECHA_BIT,"&gt;="&amp;BO$2,FECHA_BIT,"&lt;="&amp;BO$3,CLAVE_BIT,$A251)+SUMIFS(SALIDAS_BOV1,FECHA_BOV1,"&gt;="&amp;BO$2,FECHA_BOV1,"&lt;="&amp;BO$3,CLAVE_BOV1,$A251)+SUMIFS(SALIDAS_BOV2,FECHA_BOV2,"&gt;="&amp;BO$2,FECHA_BOV2,"&lt;="&amp;BO$3,CLAVE_BOV2,$A251)+SUMIFS(SALIDAS_BOV3,FECHA_BOV3,"&gt;="&amp;BO$2,FECHA_BOV3,"&lt;="&amp;BO$3,CLAVE_BOV3,$A251)+SUMIFS(SALIDAS_TC,FECHA_TC,"&gt;="&amp;BO$2,FECHA_TC,"&lt;="&amp;BO$3,CLAVE_TC,$A251)+SUMIFS(SALIDAS_COMB,FECHA_COMB,"&gt;="&amp;BO$2,FECHA_COMB,"&lt;="&amp;BO$3,CLAVE_COMB,$A251)+SUMIFS(SALIDAS_DES,FECHA_DESGLOSEN,"&gt;="&amp;BO$2,FECHA_DESGLOSEN,"&lt;="&amp;BO$3,CLAVE_DESGLOSE,$A251)</f>
        <v>0</v>
      </c>
      <c r="BP251" s="13">
        <f>SUMIFS(SALIDAS_BIT,FECHA_BIT,"&gt;="&amp;BP$2,FECHA_BIT,"&lt;="&amp;BP$3,CLAVE_BIT,$A251)+SUMIFS(SALIDAS_BOV1,FECHA_BOV1,"&gt;="&amp;BP$2,FECHA_BOV1,"&lt;="&amp;BP$3,CLAVE_BOV1,$A251)+SUMIFS(SALIDAS_BOV2,FECHA_BOV2,"&gt;="&amp;BP$2,FECHA_BOV2,"&lt;="&amp;BP$3,CLAVE_BOV2,$A251)+SUMIFS(SALIDAS_BOV3,FECHA_BOV3,"&gt;="&amp;BP$2,FECHA_BOV3,"&lt;="&amp;BP$3,CLAVE_BOV3,$A251)+SUMIFS(SALIDAS_TC,FECHA_TC,"&gt;="&amp;BP$2,FECHA_TC,"&lt;="&amp;BP$3,CLAVE_TC,$A251)+SUMIFS(SALIDAS_COMB,FECHA_COMB,"&gt;="&amp;BP$2,FECHA_COMB,"&lt;="&amp;BP$3,CLAVE_COMB,$A251)+SUMIFS(SALIDAS_DES,FECHA_DESGLOSEN,"&gt;="&amp;BP$2,FECHA_DESGLOSEN,"&lt;="&amp;BP$3,CLAVE_DESGLOSE,$A251)</f>
        <v>0</v>
      </c>
      <c r="BQ251" s="13">
        <f>SUMIFS(SALIDAS_BIT,FECHA_BIT,"&gt;="&amp;BQ$2,FECHA_BIT,"&lt;="&amp;BQ$3,CLAVE_BIT,$A251)+SUMIFS(SALIDAS_BOV1,FECHA_BOV1,"&gt;="&amp;BQ$2,FECHA_BOV1,"&lt;="&amp;BQ$3,CLAVE_BOV1,$A251)+SUMIFS(SALIDAS_BOV2,FECHA_BOV2,"&gt;="&amp;BQ$2,FECHA_BOV2,"&lt;="&amp;BQ$3,CLAVE_BOV2,$A251)+SUMIFS(SALIDAS_BOV3,FECHA_BOV3,"&gt;="&amp;BQ$2,FECHA_BOV3,"&lt;="&amp;BQ$3,CLAVE_BOV3,$A251)+SUMIFS(SALIDAS_TC,FECHA_TC,"&gt;="&amp;BQ$2,FECHA_TC,"&lt;="&amp;BQ$3,CLAVE_TC,$A251)+SUMIFS(SALIDAS_COMB,FECHA_COMB,"&gt;="&amp;BQ$2,FECHA_COMB,"&lt;="&amp;BQ$3,CLAVE_COMB,$A251)+SUMIFS(SALIDAS_DES,FECHA_DESGLOSEN,"&gt;="&amp;BQ$2,FECHA_DESGLOSEN,"&lt;="&amp;BQ$3,CLAVE_DESGLOSE,$A251)</f>
        <v>0</v>
      </c>
      <c r="BR251" s="13">
        <f t="shared" si="427"/>
        <v>0</v>
      </c>
      <c r="BS251" s="68">
        <f t="shared" si="367"/>
        <v>0</v>
      </c>
      <c r="BT251" s="268">
        <f t="shared" si="368"/>
        <v>0</v>
      </c>
      <c r="BU251" s="13">
        <f t="shared" si="369"/>
        <v>0</v>
      </c>
      <c r="BV251" s="13">
        <f t="shared" si="389"/>
        <v>0</v>
      </c>
      <c r="BW251" s="13">
        <f t="shared" si="389"/>
        <v>0</v>
      </c>
      <c r="BX251" s="13">
        <f t="shared" si="389"/>
        <v>0</v>
      </c>
      <c r="BY251" s="13">
        <f t="shared" si="389"/>
        <v>0</v>
      </c>
      <c r="BZ251" s="13">
        <f t="shared" si="428"/>
        <v>0</v>
      </c>
      <c r="CA251" s="68">
        <f t="shared" si="370"/>
        <v>0</v>
      </c>
      <c r="CB251" s="268">
        <f t="shared" si="371"/>
        <v>0</v>
      </c>
      <c r="CC251" s="13">
        <f t="shared" si="372"/>
        <v>1800</v>
      </c>
      <c r="CD251" s="13">
        <f t="shared" si="390"/>
        <v>0</v>
      </c>
      <c r="CE251" s="13">
        <f t="shared" si="390"/>
        <v>0</v>
      </c>
      <c r="CF251" s="13">
        <f t="shared" si="390"/>
        <v>0</v>
      </c>
      <c r="CG251" s="13">
        <f t="shared" si="390"/>
        <v>0</v>
      </c>
      <c r="CH251" s="13">
        <f t="shared" si="429"/>
        <v>0</v>
      </c>
      <c r="CI251" s="68">
        <f t="shared" si="373"/>
        <v>1800</v>
      </c>
      <c r="CJ251" s="268">
        <f t="shared" si="374"/>
        <v>0</v>
      </c>
      <c r="CK251" s="13">
        <f t="shared" si="375"/>
        <v>0</v>
      </c>
      <c r="CL251" s="13">
        <f t="shared" si="400"/>
        <v>0</v>
      </c>
      <c r="CM251" s="13">
        <f t="shared" si="400"/>
        <v>0</v>
      </c>
      <c r="CN251" s="13">
        <f t="shared" si="400"/>
        <v>0</v>
      </c>
      <c r="CO251" s="13">
        <f t="shared" si="400"/>
        <v>0</v>
      </c>
      <c r="CP251" s="13">
        <f t="shared" si="400"/>
        <v>0</v>
      </c>
      <c r="CQ251" s="13">
        <f t="shared" si="430"/>
        <v>0</v>
      </c>
      <c r="CR251" s="68">
        <f t="shared" si="376"/>
        <v>0</v>
      </c>
      <c r="CS251" s="268">
        <f t="shared" si="377"/>
        <v>0</v>
      </c>
      <c r="CT251" s="68">
        <f t="shared" si="350"/>
        <v>0</v>
      </c>
      <c r="CU251" s="13">
        <f>SUMIFS(SALIDAS_BIT,FECHA_BIT,"&gt;="&amp;CU$2,FECHA_BIT,"&lt;="&amp;CU$3,CLAVE_BIT,$A251)+SUMIFS(SALIDAS_BOV1,FECHA_BOV1,"&gt;="&amp;CU$2,FECHA_BOV1,"&lt;="&amp;CU$3,CLAVE_BOV1,$A251)+SUMIFS(SALIDAS_BOV2,FECHA_BOV2,"&gt;="&amp;CU$2,FECHA_BOV2,"&lt;="&amp;CU$3,CLAVE_BOV2,$A251)+SUMIFS(SALIDAS_BOV3,FECHA_BOV3,"&gt;="&amp;CU$2,FECHA_BOV3,"&lt;="&amp;CU$3,CLAVE_BOV3,$A251)+SUMIFS(SALIDAS_TC,FECHA_TC,"&gt;="&amp;CU$2,FECHA_TC,"&lt;="&amp;CU$3,CLAVE_TC,$A251)+SUMIFS(SALIDAS_COMB,FECHA_COMB,"&gt;="&amp;CU$2,FECHA_COMB,"&lt;="&amp;CU$3,CLAVE_COMB,$A251)+SUMIFS(SALIDAS_DES,FECHA_DESGLOSEN,"&gt;="&amp;CU$2,FECHA_DESGLOSEN,"&lt;="&amp;CU$3,CLAVE_DESGLOSE,$A251)</f>
        <v>0</v>
      </c>
      <c r="CV251" s="13">
        <f>SUMIFS(SALIDAS_BIT,FECHA_BIT,"&gt;="&amp;CV$2,FECHA_BIT,"&lt;="&amp;CV$3,CLAVE_BIT,$A251)+SUMIFS(SALIDAS_BOV1,FECHA_BOV1,"&gt;="&amp;CV$2,FECHA_BOV1,"&lt;="&amp;CV$3,CLAVE_BOV1,$A251)+SUMIFS(SALIDAS_BOV2,FECHA_BOV2,"&gt;="&amp;CV$2,FECHA_BOV2,"&lt;="&amp;CV$3,CLAVE_BOV2,$A251)+SUMIFS(SALIDAS_BOV3,FECHA_BOV3,"&gt;="&amp;CV$2,FECHA_BOV3,"&lt;="&amp;CV$3,CLAVE_BOV3,$A251)+SUMIFS(SALIDAS_TC,FECHA_TC,"&gt;="&amp;CV$2,FECHA_TC,"&lt;="&amp;CV$3,CLAVE_TC,$A251)+SUMIFS(SALIDAS_COMB,FECHA_COMB,"&gt;="&amp;CV$2,FECHA_COMB,"&lt;="&amp;CV$3,CLAVE_COMB,$A251)+SUMIFS(SALIDAS_DES,FECHA_DESGLOSEN,"&gt;="&amp;CV$2,FECHA_DESGLOSEN,"&lt;="&amp;CV$3,CLAVE_DESGLOSE,$A251)</f>
        <v>0</v>
      </c>
      <c r="CW251" s="13">
        <f>SUMIFS(SALIDAS_BIT,FECHA_BIT,"&gt;="&amp;CW$2,FECHA_BIT,"&lt;="&amp;CW$3,CLAVE_BIT,$A251)+SUMIFS(SALIDAS_BOV1,FECHA_BOV1,"&gt;="&amp;CW$2,FECHA_BOV1,"&lt;="&amp;CW$3,CLAVE_BOV1,$A251)+SUMIFS(SALIDAS_BOV2,FECHA_BOV2,"&gt;="&amp;CW$2,FECHA_BOV2,"&lt;="&amp;CW$3,CLAVE_BOV2,$A251)+SUMIFS(SALIDAS_BOV3,FECHA_BOV3,"&gt;="&amp;CW$2,FECHA_BOV3,"&lt;="&amp;CW$3,CLAVE_BOV3,$A251)+SUMIFS(SALIDAS_TC,FECHA_TC,"&gt;="&amp;CW$2,FECHA_TC,"&lt;="&amp;CW$3,CLAVE_TC,$A251)+SUMIFS(SALIDAS_COMB,FECHA_COMB,"&gt;="&amp;CW$2,FECHA_COMB,"&lt;="&amp;CW$3,CLAVE_COMB,$A251)+SUMIFS(SALIDAS_DES,FECHA_DESGLOSEN,"&gt;="&amp;CW$2,FECHA_DESGLOSEN,"&lt;="&amp;CW$3,CLAVE_DESGLOSE,$A251)</f>
        <v>0</v>
      </c>
      <c r="CX251" s="13">
        <f>SUMIFS(SALIDAS_BIT,FECHA_BIT,"&gt;="&amp;CX$2,FECHA_BIT,"&lt;="&amp;CX$3,CLAVE_BIT,$A251)+SUMIFS(SALIDAS_BOV1,FECHA_BOV1,"&gt;="&amp;CX$2,FECHA_BOV1,"&lt;="&amp;CX$3,CLAVE_BOV1,$A251)+SUMIFS(SALIDAS_BOV2,FECHA_BOV2,"&gt;="&amp;CX$2,FECHA_BOV2,"&lt;="&amp;CX$3,CLAVE_BOV2,$A251)+SUMIFS(SALIDAS_BOV3,FECHA_BOV3,"&gt;="&amp;CX$2,FECHA_BOV3,"&lt;="&amp;CX$3,CLAVE_BOV3,$A251)+SUMIFS(SALIDAS_TC,FECHA_TC,"&gt;="&amp;CX$2,FECHA_TC,"&lt;="&amp;CX$3,CLAVE_TC,$A251)+SUMIFS(SALIDAS_COMB,FECHA_COMB,"&gt;="&amp;CX$2,FECHA_COMB,"&lt;="&amp;CX$3,CLAVE_COMB,$A251)+SUMIFS(SALIDAS_DES,FECHA_DESGLOSEN,"&gt;="&amp;CX$2,FECHA_DESGLOSEN,"&lt;="&amp;CX$3,CLAVE_DESGLOSE,$A251)</f>
        <v>0</v>
      </c>
      <c r="CY251" s="13">
        <f>SUMIFS(SALIDAS_BIT,FECHA_BIT,"&gt;="&amp;CY$2,FECHA_BIT,"&lt;="&amp;CY$3,CLAVE_BIT,$A251)+SUMIFS(SALIDAS_BOV1,FECHA_BOV1,"&gt;="&amp;CY$2,FECHA_BOV1,"&lt;="&amp;CY$3,CLAVE_BOV1,$A251)+SUMIFS(SALIDAS_BOV2,FECHA_BOV2,"&gt;="&amp;CY$2,FECHA_BOV2,"&lt;="&amp;CY$3,CLAVE_BOV2,$A251)+SUMIFS(SALIDAS_BOV3,FECHA_BOV3,"&gt;="&amp;CY$2,FECHA_BOV3,"&lt;="&amp;CY$3,CLAVE_BOV3,$A251)+SUMIFS(SALIDAS_TC,FECHA_TC,"&gt;="&amp;CY$2,FECHA_TC,"&lt;="&amp;CY$3,CLAVE_TC,$A251)+SUMIFS(SALIDAS_COMB,FECHA_COMB,"&gt;="&amp;CY$2,FECHA_COMB,"&lt;="&amp;CY$3,CLAVE_COMB,$A251)+SUMIFS(SALIDAS_DES,FECHA_DESGLOSEN,"&gt;="&amp;CY$2,FECHA_DESGLOSEN,"&lt;="&amp;CY$3,CLAVE_DESGLOSE,$A251)</f>
        <v>0</v>
      </c>
      <c r="CZ251" s="68">
        <f t="shared" si="378"/>
        <v>0</v>
      </c>
      <c r="DB251" s="17">
        <f>F251+N251+W251+AE251+AM251+AV251+BD251+BL251+BU251+CC251+CK251</f>
        <v>1800</v>
      </c>
      <c r="DC251" s="17">
        <f>K251+T251+AB251+AJ251+AS251+BA251+BI251+BR251+BZ251+CH251+CQ251</f>
        <v>200.41</v>
      </c>
    </row>
    <row r="252" spans="1:107" hidden="1">
      <c r="A252" s="12" t="str">
        <f t="shared" si="351"/>
        <v>SGECUOTAS Y SUSCRIPCIONESOFFICE 365(C1)</v>
      </c>
      <c r="B252">
        <v>254</v>
      </c>
      <c r="C252" t="s">
        <v>39</v>
      </c>
      <c r="D252" t="s">
        <v>51</v>
      </c>
      <c r="E252" t="s">
        <v>53</v>
      </c>
      <c r="F252" s="259">
        <f t="shared" si="344"/>
        <v>0</v>
      </c>
      <c r="G252" s="13">
        <f t="shared" si="422"/>
        <v>0</v>
      </c>
      <c r="H252" s="13">
        <f t="shared" si="422"/>
        <v>0</v>
      </c>
      <c r="I252" s="13">
        <f t="shared" si="422"/>
        <v>0</v>
      </c>
      <c r="J252" s="13">
        <f t="shared" si="422"/>
        <v>211.93</v>
      </c>
      <c r="K252" s="13">
        <f t="shared" si="422"/>
        <v>211.93</v>
      </c>
      <c r="L252" s="68">
        <f t="shared" si="352"/>
        <v>-211.93</v>
      </c>
      <c r="M252" s="268">
        <f t="shared" si="353"/>
        <v>0</v>
      </c>
      <c r="N252" s="13">
        <f t="shared" si="345"/>
        <v>0</v>
      </c>
      <c r="O252" s="13">
        <f t="shared" si="423"/>
        <v>0</v>
      </c>
      <c r="P252" s="13">
        <f t="shared" si="423"/>
        <v>0</v>
      </c>
      <c r="Q252" s="13">
        <f t="shared" si="423"/>
        <v>0</v>
      </c>
      <c r="R252" s="13">
        <f t="shared" si="423"/>
        <v>0</v>
      </c>
      <c r="S252" s="13">
        <f t="shared" si="423"/>
        <v>0</v>
      </c>
      <c r="T252" s="13">
        <f t="shared" si="423"/>
        <v>0</v>
      </c>
      <c r="U252" s="68">
        <f t="shared" si="354"/>
        <v>0</v>
      </c>
      <c r="V252" s="268">
        <f t="shared" si="355"/>
        <v>0</v>
      </c>
      <c r="W252" s="13">
        <f t="shared" si="346"/>
        <v>1800</v>
      </c>
      <c r="X252" s="13">
        <f t="shared" si="424"/>
        <v>0</v>
      </c>
      <c r="Y252" s="13">
        <f t="shared" si="424"/>
        <v>0</v>
      </c>
      <c r="Z252" s="13">
        <f t="shared" si="424"/>
        <v>0</v>
      </c>
      <c r="AA252" s="13">
        <f t="shared" si="424"/>
        <v>2299</v>
      </c>
      <c r="AB252" s="13">
        <f t="shared" si="424"/>
        <v>2299</v>
      </c>
      <c r="AC252" s="68">
        <f t="shared" si="356"/>
        <v>-499</v>
      </c>
      <c r="AD252" s="268">
        <f t="shared" si="357"/>
        <v>1.2772222222222223</v>
      </c>
      <c r="AE252" s="13">
        <f t="shared" si="347"/>
        <v>0</v>
      </c>
      <c r="AF252" s="13">
        <f t="shared" si="425"/>
        <v>0</v>
      </c>
      <c r="AG252" s="13">
        <f t="shared" si="425"/>
        <v>0</v>
      </c>
      <c r="AH252" s="13">
        <f t="shared" si="425"/>
        <v>0</v>
      </c>
      <c r="AI252" s="13">
        <f t="shared" si="425"/>
        <v>205.13</v>
      </c>
      <c r="AJ252" s="13">
        <f t="shared" si="425"/>
        <v>205.13</v>
      </c>
      <c r="AK252" s="68">
        <f t="shared" si="358"/>
        <v>-205.13</v>
      </c>
      <c r="AL252" s="268">
        <f t="shared" si="359"/>
        <v>0</v>
      </c>
      <c r="AM252" s="13">
        <f t="shared" si="348"/>
        <v>0</v>
      </c>
      <c r="AN252" s="13">
        <f t="shared" si="426"/>
        <v>0</v>
      </c>
      <c r="AO252" s="13">
        <f t="shared" si="426"/>
        <v>0</v>
      </c>
      <c r="AP252" s="13">
        <f t="shared" si="426"/>
        <v>0</v>
      </c>
      <c r="AQ252" s="13">
        <f t="shared" si="426"/>
        <v>0</v>
      </c>
      <c r="AR252" s="13">
        <f t="shared" si="426"/>
        <v>0</v>
      </c>
      <c r="AS252" s="13">
        <f t="shared" si="426"/>
        <v>0</v>
      </c>
      <c r="AT252" s="68">
        <f>AM252-AS252</f>
        <v>0</v>
      </c>
      <c r="AU252" s="268">
        <f t="shared" si="360"/>
        <v>0</v>
      </c>
      <c r="AV252" s="13">
        <f t="shared" si="349"/>
        <v>0</v>
      </c>
      <c r="AW252" s="13">
        <f t="shared" si="421"/>
        <v>0</v>
      </c>
      <c r="AX252" s="13">
        <f t="shared" si="421"/>
        <v>0</v>
      </c>
      <c r="AY252" s="13">
        <f t="shared" si="421"/>
        <v>0</v>
      </c>
      <c r="AZ252" s="13">
        <f t="shared" si="421"/>
        <v>594.17000000000007</v>
      </c>
      <c r="BA252" s="13">
        <f t="shared" si="379"/>
        <v>594.17000000000007</v>
      </c>
      <c r="BB252" s="68">
        <f t="shared" si="361"/>
        <v>-594.17000000000007</v>
      </c>
      <c r="BC252" s="268">
        <f t="shared" si="362"/>
        <v>0</v>
      </c>
      <c r="BD252" s="13">
        <f t="shared" si="363"/>
        <v>0</v>
      </c>
      <c r="BE252" s="13">
        <f>SUMIFS(SALIDAS_BIT,FECHA_BIT,"&gt;="&amp;BE$2,FECHA_BIT,"&lt;="&amp;BE$3,CLAVE_BIT,$A252)+SUMIFS(SALIDAS_BOV1,FECHA_BOV1,"&gt;="&amp;BE$2,FECHA_BOV1,"&lt;="&amp;BE$3,CLAVE_BOV1,$A252)+SUMIFS(SALIDAS_BOV2,FECHA_BOV2,"&gt;="&amp;BE$2,FECHA_BOV2,"&lt;="&amp;BE$3,CLAVE_BOV2,$A252)+SUMIFS(SALIDAS_BOV3,FECHA_BOV3,"&gt;="&amp;BE$2,FECHA_BOV3,"&lt;="&amp;BE$3,CLAVE_BOV3,$A252)+SUMIFS(SALIDAS_TC,FECHA_TC,"&gt;="&amp;BE$2,FECHA_TC,"&lt;="&amp;BE$3,CLAVE_TC,$A252)+SUMIFS(SALIDAS_COMB,FECHA_COMB,"&gt;="&amp;BE$2,FECHA_COMB,"&lt;="&amp;BE$3,CLAVE_COMB,$A252)+SUMIFS(SALIDAS_DES,FECHA_DESGLOSEN,"&gt;="&amp;BE$2,FECHA_DESGLOSEN,"&lt;="&amp;BE$3,CLAVE_DESGLOSE,$A252)</f>
        <v>0</v>
      </c>
      <c r="BF252" s="13">
        <f>SUMIFS(SALIDAS_BIT,FECHA_BIT,"&gt;="&amp;BF$2,FECHA_BIT,"&lt;="&amp;BF$3,CLAVE_BIT,$A252)+SUMIFS(SALIDAS_BOV1,FECHA_BOV1,"&gt;="&amp;BF$2,FECHA_BOV1,"&lt;="&amp;BF$3,CLAVE_BOV1,$A252)+SUMIFS(SALIDAS_BOV2,FECHA_BOV2,"&gt;="&amp;BF$2,FECHA_BOV2,"&lt;="&amp;BF$3,CLAVE_BOV2,$A252)+SUMIFS(SALIDAS_BOV3,FECHA_BOV3,"&gt;="&amp;BF$2,FECHA_BOV3,"&lt;="&amp;BF$3,CLAVE_BOV3,$A252)+SUMIFS(SALIDAS_TC,FECHA_TC,"&gt;="&amp;BF$2,FECHA_TC,"&lt;="&amp;BF$3,CLAVE_TC,$A252)+SUMIFS(SALIDAS_COMB,FECHA_COMB,"&gt;="&amp;BF$2,FECHA_COMB,"&lt;="&amp;BF$3,CLAVE_COMB,$A252)+SUMIFS(SALIDAS_DES,FECHA_DESGLOSEN,"&gt;="&amp;BF$2,FECHA_DESGLOSEN,"&lt;="&amp;BF$3,CLAVE_DESGLOSE,$A252)</f>
        <v>0</v>
      </c>
      <c r="BG252" s="13">
        <f>SUMIFS(SALIDAS_BIT,FECHA_BIT,"&gt;="&amp;BG$2,FECHA_BIT,"&lt;="&amp;BG$3,CLAVE_BIT,$A252)+SUMIFS(SALIDAS_BOV1,FECHA_BOV1,"&gt;="&amp;BG$2,FECHA_BOV1,"&lt;="&amp;BG$3,CLAVE_BOV1,$A252)+SUMIFS(SALIDAS_BOV2,FECHA_BOV2,"&gt;="&amp;BG$2,FECHA_BOV2,"&lt;="&amp;BG$3,CLAVE_BOV2,$A252)+SUMIFS(SALIDAS_BOV3,FECHA_BOV3,"&gt;="&amp;BG$2,FECHA_BOV3,"&lt;="&amp;BG$3,CLAVE_BOV3,$A252)+SUMIFS(SALIDAS_TC,FECHA_TC,"&gt;="&amp;BG$2,FECHA_TC,"&lt;="&amp;BG$3,CLAVE_TC,$A252)+SUMIFS(SALIDAS_COMB,FECHA_COMB,"&gt;="&amp;BG$2,FECHA_COMB,"&lt;="&amp;BG$3,CLAVE_COMB,$A252)+SUMIFS(SALIDAS_DES,FECHA_DESGLOSEN,"&gt;="&amp;BG$2,FECHA_DESGLOSEN,"&lt;="&amp;BG$3,CLAVE_DESGLOSE,$A252)</f>
        <v>0</v>
      </c>
      <c r="BH252" s="13">
        <f>SUMIFS(SALIDAS_BIT,FECHA_BIT,"&gt;="&amp;BH$2,FECHA_BIT,"&lt;="&amp;BH$3,CLAVE_BIT,$A252)+SUMIFS(SALIDAS_BOV1,FECHA_BOV1,"&gt;="&amp;BH$2,FECHA_BOV1,"&lt;="&amp;BH$3,CLAVE_BOV1,$A252)+SUMIFS(SALIDAS_BOV2,FECHA_BOV2,"&gt;="&amp;BH$2,FECHA_BOV2,"&lt;="&amp;BH$3,CLAVE_BOV2,$A252)+SUMIFS(SALIDAS_BOV3,FECHA_BOV3,"&gt;="&amp;BH$2,FECHA_BOV3,"&lt;="&amp;BH$3,CLAVE_BOV3,$A252)+SUMIFS(SALIDAS_TC,FECHA_TC,"&gt;="&amp;BH$2,FECHA_TC,"&lt;="&amp;BH$3,CLAVE_TC,$A252)+SUMIFS(SALIDAS_COMB,FECHA_COMB,"&gt;="&amp;BH$2,FECHA_COMB,"&lt;="&amp;BH$3,CLAVE_COMB,$A252)+SUMIFS(SALIDAS_DES,FECHA_DESGLOSEN,"&gt;="&amp;BH$2,FECHA_DESGLOSEN,"&lt;="&amp;BH$3,CLAVE_DESGLOSE,$A252)</f>
        <v>192.23</v>
      </c>
      <c r="BI252" s="13">
        <f t="shared" si="419"/>
        <v>192.23</v>
      </c>
      <c r="BJ252" s="68">
        <f t="shared" si="364"/>
        <v>-192.23</v>
      </c>
      <c r="BK252" s="268">
        <f t="shared" si="365"/>
        <v>0</v>
      </c>
      <c r="BL252" s="13">
        <f t="shared" si="366"/>
        <v>0</v>
      </c>
      <c r="BM252" s="13">
        <f>SUMIFS(SALIDAS_BIT,FECHA_BIT,"&gt;="&amp;BM$2,FECHA_BIT,"&lt;="&amp;BM$3,CLAVE_BIT,$A252)+SUMIFS(SALIDAS_BOV1,FECHA_BOV1,"&gt;="&amp;BM$2,FECHA_BOV1,"&lt;="&amp;BM$3,CLAVE_BOV1,$A252)+SUMIFS(SALIDAS_BOV2,FECHA_BOV2,"&gt;="&amp;BM$2,FECHA_BOV2,"&lt;="&amp;BM$3,CLAVE_BOV2,$A252)+SUMIFS(SALIDAS_BOV3,FECHA_BOV3,"&gt;="&amp;BM$2,FECHA_BOV3,"&lt;="&amp;BM$3,CLAVE_BOV3,$A252)+SUMIFS(SALIDAS_TC,FECHA_TC,"&gt;="&amp;BM$2,FECHA_TC,"&lt;="&amp;BM$3,CLAVE_TC,$A252)+SUMIFS(SALIDAS_COMB,FECHA_COMB,"&gt;="&amp;BM$2,FECHA_COMB,"&lt;="&amp;BM$3,CLAVE_COMB,$A252)+SUMIFS(SALIDAS_DES,FECHA_DESGLOSEN,"&gt;="&amp;BM$2,FECHA_DESGLOSEN,"&lt;="&amp;BM$3,CLAVE_DESGLOSE,$A252)</f>
        <v>0</v>
      </c>
      <c r="BN252" s="13">
        <f>SUMIFS(SALIDAS_BIT,FECHA_BIT,"&gt;="&amp;BN$2,FECHA_BIT,"&lt;="&amp;BN$3,CLAVE_BIT,$A252)+SUMIFS(SALIDAS_BOV1,FECHA_BOV1,"&gt;="&amp;BN$2,FECHA_BOV1,"&lt;="&amp;BN$3,CLAVE_BOV1,$A252)+SUMIFS(SALIDAS_BOV2,FECHA_BOV2,"&gt;="&amp;BN$2,FECHA_BOV2,"&lt;="&amp;BN$3,CLAVE_BOV2,$A252)+SUMIFS(SALIDAS_BOV3,FECHA_BOV3,"&gt;="&amp;BN$2,FECHA_BOV3,"&lt;="&amp;BN$3,CLAVE_BOV3,$A252)+SUMIFS(SALIDAS_TC,FECHA_TC,"&gt;="&amp;BN$2,FECHA_TC,"&lt;="&amp;BN$3,CLAVE_TC,$A252)+SUMIFS(SALIDAS_COMB,FECHA_COMB,"&gt;="&amp;BN$2,FECHA_COMB,"&lt;="&amp;BN$3,CLAVE_COMB,$A252)+SUMIFS(SALIDAS_DES,FECHA_DESGLOSEN,"&gt;="&amp;BN$2,FECHA_DESGLOSEN,"&lt;="&amp;BN$3,CLAVE_DESGLOSE,$A252)</f>
        <v>0</v>
      </c>
      <c r="BO252" s="13">
        <f>SUMIFS(SALIDAS_BIT,FECHA_BIT,"&gt;="&amp;BO$2,FECHA_BIT,"&lt;="&amp;BO$3,CLAVE_BIT,$A252)+SUMIFS(SALIDAS_BOV1,FECHA_BOV1,"&gt;="&amp;BO$2,FECHA_BOV1,"&lt;="&amp;BO$3,CLAVE_BOV1,$A252)+SUMIFS(SALIDAS_BOV2,FECHA_BOV2,"&gt;="&amp;BO$2,FECHA_BOV2,"&lt;="&amp;BO$3,CLAVE_BOV2,$A252)+SUMIFS(SALIDAS_BOV3,FECHA_BOV3,"&gt;="&amp;BO$2,FECHA_BOV3,"&lt;="&amp;BO$3,CLAVE_BOV3,$A252)+SUMIFS(SALIDAS_TC,FECHA_TC,"&gt;="&amp;BO$2,FECHA_TC,"&lt;="&amp;BO$3,CLAVE_TC,$A252)+SUMIFS(SALIDAS_COMB,FECHA_COMB,"&gt;="&amp;BO$2,FECHA_COMB,"&lt;="&amp;BO$3,CLAVE_COMB,$A252)+SUMIFS(SALIDAS_DES,FECHA_DESGLOSEN,"&gt;="&amp;BO$2,FECHA_DESGLOSEN,"&lt;="&amp;BO$3,CLAVE_DESGLOSE,$A252)</f>
        <v>0</v>
      </c>
      <c r="BP252" s="13">
        <f>SUMIFS(SALIDAS_BIT,FECHA_BIT,"&gt;="&amp;BP$2,FECHA_BIT,"&lt;="&amp;BP$3,CLAVE_BIT,$A252)+SUMIFS(SALIDAS_BOV1,FECHA_BOV1,"&gt;="&amp;BP$2,FECHA_BOV1,"&lt;="&amp;BP$3,CLAVE_BOV1,$A252)+SUMIFS(SALIDAS_BOV2,FECHA_BOV2,"&gt;="&amp;BP$2,FECHA_BOV2,"&lt;="&amp;BP$3,CLAVE_BOV2,$A252)+SUMIFS(SALIDAS_BOV3,FECHA_BOV3,"&gt;="&amp;BP$2,FECHA_BOV3,"&lt;="&amp;BP$3,CLAVE_BOV3,$A252)+SUMIFS(SALIDAS_TC,FECHA_TC,"&gt;="&amp;BP$2,FECHA_TC,"&lt;="&amp;BP$3,CLAVE_TC,$A252)+SUMIFS(SALIDAS_COMB,FECHA_COMB,"&gt;="&amp;BP$2,FECHA_COMB,"&lt;="&amp;BP$3,CLAVE_COMB,$A252)+SUMIFS(SALIDAS_DES,FECHA_DESGLOSEN,"&gt;="&amp;BP$2,FECHA_DESGLOSEN,"&lt;="&amp;BP$3,CLAVE_DESGLOSE,$A252)</f>
        <v>192.35</v>
      </c>
      <c r="BQ252" s="13">
        <f>SUMIFS(SALIDAS_BIT,FECHA_BIT,"&gt;="&amp;BQ$2,FECHA_BIT,"&lt;="&amp;BQ$3,CLAVE_BIT,$A252)+SUMIFS(SALIDAS_BOV1,FECHA_BOV1,"&gt;="&amp;BQ$2,FECHA_BOV1,"&lt;="&amp;BQ$3,CLAVE_BOV1,$A252)+SUMIFS(SALIDAS_BOV2,FECHA_BOV2,"&gt;="&amp;BQ$2,FECHA_BOV2,"&lt;="&amp;BQ$3,CLAVE_BOV2,$A252)+SUMIFS(SALIDAS_BOV3,FECHA_BOV3,"&gt;="&amp;BQ$2,FECHA_BOV3,"&lt;="&amp;BQ$3,CLAVE_BOV3,$A252)+SUMIFS(SALIDAS_TC,FECHA_TC,"&gt;="&amp;BQ$2,FECHA_TC,"&lt;="&amp;BQ$3,CLAVE_TC,$A252)+SUMIFS(SALIDAS_COMB,FECHA_COMB,"&gt;="&amp;BQ$2,FECHA_COMB,"&lt;="&amp;BQ$3,CLAVE_COMB,$A252)+SUMIFS(SALIDAS_DES,FECHA_DESGLOSEN,"&gt;="&amp;BQ$2,FECHA_DESGLOSEN,"&lt;="&amp;BQ$3,CLAVE_DESGLOSE,$A252)</f>
        <v>0</v>
      </c>
      <c r="BR252" s="13">
        <f t="shared" si="427"/>
        <v>192.35</v>
      </c>
      <c r="BS252" s="68">
        <f t="shared" si="367"/>
        <v>-192.35</v>
      </c>
      <c r="BT252" s="268">
        <f t="shared" si="368"/>
        <v>0</v>
      </c>
      <c r="BU252" s="13">
        <f t="shared" si="369"/>
        <v>0</v>
      </c>
      <c r="BV252" s="13">
        <f t="shared" si="389"/>
        <v>0</v>
      </c>
      <c r="BW252" s="13">
        <f t="shared" si="389"/>
        <v>0</v>
      </c>
      <c r="BX252" s="13">
        <f t="shared" si="389"/>
        <v>0</v>
      </c>
      <c r="BY252" s="13">
        <f t="shared" si="389"/>
        <v>188.59</v>
      </c>
      <c r="BZ252" s="13">
        <f t="shared" si="428"/>
        <v>188.59</v>
      </c>
      <c r="CA252" s="68">
        <f t="shared" si="370"/>
        <v>-188.59</v>
      </c>
      <c r="CB252" s="268">
        <f t="shared" si="371"/>
        <v>0</v>
      </c>
      <c r="CC252" s="13">
        <f t="shared" si="372"/>
        <v>0</v>
      </c>
      <c r="CD252" s="13">
        <f t="shared" si="390"/>
        <v>0</v>
      </c>
      <c r="CE252" s="13">
        <f t="shared" si="390"/>
        <v>0</v>
      </c>
      <c r="CF252" s="13">
        <f t="shared" si="390"/>
        <v>0</v>
      </c>
      <c r="CG252" s="13">
        <f t="shared" si="390"/>
        <v>189.08</v>
      </c>
      <c r="CH252" s="13">
        <f t="shared" si="429"/>
        <v>189.08</v>
      </c>
      <c r="CI252" s="68">
        <f t="shared" si="373"/>
        <v>-189.08</v>
      </c>
      <c r="CJ252" s="268">
        <f t="shared" si="374"/>
        <v>0</v>
      </c>
      <c r="CK252" s="13">
        <f t="shared" si="375"/>
        <v>0</v>
      </c>
      <c r="CL252" s="13">
        <f t="shared" si="400"/>
        <v>0</v>
      </c>
      <c r="CM252" s="13">
        <f t="shared" si="400"/>
        <v>0</v>
      </c>
      <c r="CN252" s="13">
        <f t="shared" si="400"/>
        <v>0</v>
      </c>
      <c r="CO252" s="13">
        <f t="shared" si="400"/>
        <v>2299</v>
      </c>
      <c r="CP252" s="13">
        <f t="shared" si="400"/>
        <v>0</v>
      </c>
      <c r="CQ252" s="13">
        <f t="shared" si="430"/>
        <v>2299</v>
      </c>
      <c r="CR252" s="68">
        <f t="shared" si="376"/>
        <v>-2299</v>
      </c>
      <c r="CS252" s="268">
        <f t="shared" si="377"/>
        <v>0</v>
      </c>
      <c r="CT252" s="68">
        <f t="shared" si="350"/>
        <v>0</v>
      </c>
      <c r="CU252" s="13">
        <f>SUMIFS(SALIDAS_BIT,FECHA_BIT,"&gt;="&amp;CU$2,FECHA_BIT,"&lt;="&amp;CU$3,CLAVE_BIT,$A252)+SUMIFS(SALIDAS_BOV1,FECHA_BOV1,"&gt;="&amp;CU$2,FECHA_BOV1,"&lt;="&amp;CU$3,CLAVE_BOV1,$A252)+SUMIFS(SALIDAS_BOV2,FECHA_BOV2,"&gt;="&amp;CU$2,FECHA_BOV2,"&lt;="&amp;CU$3,CLAVE_BOV2,$A252)+SUMIFS(SALIDAS_BOV3,FECHA_BOV3,"&gt;="&amp;CU$2,FECHA_BOV3,"&lt;="&amp;CU$3,CLAVE_BOV3,$A252)+SUMIFS(SALIDAS_TC,FECHA_TC,"&gt;="&amp;CU$2,FECHA_TC,"&lt;="&amp;CU$3,CLAVE_TC,$A252)+SUMIFS(SALIDAS_COMB,FECHA_COMB,"&gt;="&amp;CU$2,FECHA_COMB,"&lt;="&amp;CU$3,CLAVE_COMB,$A252)+SUMIFS(SALIDAS_DES,FECHA_DESGLOSEN,"&gt;="&amp;CU$2,FECHA_DESGLOSEN,"&lt;="&amp;CU$3,CLAVE_DESGLOSE,$A252)</f>
        <v>0</v>
      </c>
      <c r="CV252" s="13">
        <f>SUMIFS(SALIDAS_BIT,FECHA_BIT,"&gt;="&amp;CV$2,FECHA_BIT,"&lt;="&amp;CV$3,CLAVE_BIT,$A252)+SUMIFS(SALIDAS_BOV1,FECHA_BOV1,"&gt;="&amp;CV$2,FECHA_BOV1,"&lt;="&amp;CV$3,CLAVE_BOV1,$A252)+SUMIFS(SALIDAS_BOV2,FECHA_BOV2,"&gt;="&amp;CV$2,FECHA_BOV2,"&lt;="&amp;CV$3,CLAVE_BOV2,$A252)+SUMIFS(SALIDAS_BOV3,FECHA_BOV3,"&gt;="&amp;CV$2,FECHA_BOV3,"&lt;="&amp;CV$3,CLAVE_BOV3,$A252)+SUMIFS(SALIDAS_TC,FECHA_TC,"&gt;="&amp;CV$2,FECHA_TC,"&lt;="&amp;CV$3,CLAVE_TC,$A252)+SUMIFS(SALIDAS_COMB,FECHA_COMB,"&gt;="&amp;CV$2,FECHA_COMB,"&lt;="&amp;CV$3,CLAVE_COMB,$A252)+SUMIFS(SALIDAS_DES,FECHA_DESGLOSEN,"&gt;="&amp;CV$2,FECHA_DESGLOSEN,"&lt;="&amp;CV$3,CLAVE_DESGLOSE,$A252)</f>
        <v>0</v>
      </c>
      <c r="CW252" s="13">
        <f>SUMIFS(SALIDAS_BIT,FECHA_BIT,"&gt;="&amp;CW$2,FECHA_BIT,"&lt;="&amp;CW$3,CLAVE_BIT,$A252)+SUMIFS(SALIDAS_BOV1,FECHA_BOV1,"&gt;="&amp;CW$2,FECHA_BOV1,"&lt;="&amp;CW$3,CLAVE_BOV1,$A252)+SUMIFS(SALIDAS_BOV2,FECHA_BOV2,"&gt;="&amp;CW$2,FECHA_BOV2,"&lt;="&amp;CW$3,CLAVE_BOV2,$A252)+SUMIFS(SALIDAS_BOV3,FECHA_BOV3,"&gt;="&amp;CW$2,FECHA_BOV3,"&lt;="&amp;CW$3,CLAVE_BOV3,$A252)+SUMIFS(SALIDAS_TC,FECHA_TC,"&gt;="&amp;CW$2,FECHA_TC,"&lt;="&amp;CW$3,CLAVE_TC,$A252)+SUMIFS(SALIDAS_COMB,FECHA_COMB,"&gt;="&amp;CW$2,FECHA_COMB,"&lt;="&amp;CW$3,CLAVE_COMB,$A252)+SUMIFS(SALIDAS_DES,FECHA_DESGLOSEN,"&gt;="&amp;CW$2,FECHA_DESGLOSEN,"&lt;="&amp;CW$3,CLAVE_DESGLOSE,$A252)</f>
        <v>0</v>
      </c>
      <c r="CX252" s="13">
        <f>SUMIFS(SALIDAS_BIT,FECHA_BIT,"&gt;="&amp;CX$2,FECHA_BIT,"&lt;="&amp;CX$3,CLAVE_BIT,$A252)+SUMIFS(SALIDAS_BOV1,FECHA_BOV1,"&gt;="&amp;CX$2,FECHA_BOV1,"&lt;="&amp;CX$3,CLAVE_BOV1,$A252)+SUMIFS(SALIDAS_BOV2,FECHA_BOV2,"&gt;="&amp;CX$2,FECHA_BOV2,"&lt;="&amp;CX$3,CLAVE_BOV2,$A252)+SUMIFS(SALIDAS_BOV3,FECHA_BOV3,"&gt;="&amp;CX$2,FECHA_BOV3,"&lt;="&amp;CX$3,CLAVE_BOV3,$A252)+SUMIFS(SALIDAS_TC,FECHA_TC,"&gt;="&amp;CX$2,FECHA_TC,"&lt;="&amp;CX$3,CLAVE_TC,$A252)+SUMIFS(SALIDAS_COMB,FECHA_COMB,"&gt;="&amp;CX$2,FECHA_COMB,"&lt;="&amp;CX$3,CLAVE_COMB,$A252)+SUMIFS(SALIDAS_DES,FECHA_DESGLOSEN,"&gt;="&amp;CX$2,FECHA_DESGLOSEN,"&lt;="&amp;CX$3,CLAVE_DESGLOSE,$A252)</f>
        <v>0</v>
      </c>
      <c r="CY252" s="13">
        <f>SUMIFS(SALIDAS_BIT,FECHA_BIT,"&gt;="&amp;CY$2,FECHA_BIT,"&lt;="&amp;CY$3,CLAVE_BIT,$A252)+SUMIFS(SALIDAS_BOV1,FECHA_BOV1,"&gt;="&amp;CY$2,FECHA_BOV1,"&lt;="&amp;CY$3,CLAVE_BOV1,$A252)+SUMIFS(SALIDAS_BOV2,FECHA_BOV2,"&gt;="&amp;CY$2,FECHA_BOV2,"&lt;="&amp;CY$3,CLAVE_BOV2,$A252)+SUMIFS(SALIDAS_BOV3,FECHA_BOV3,"&gt;="&amp;CY$2,FECHA_BOV3,"&lt;="&amp;CY$3,CLAVE_BOV3,$A252)+SUMIFS(SALIDAS_TC,FECHA_TC,"&gt;="&amp;CY$2,FECHA_TC,"&lt;="&amp;CY$3,CLAVE_TC,$A252)+SUMIFS(SALIDAS_COMB,FECHA_COMB,"&gt;="&amp;CY$2,FECHA_COMB,"&lt;="&amp;CY$3,CLAVE_COMB,$A252)+SUMIFS(SALIDAS_DES,FECHA_DESGLOSEN,"&gt;="&amp;CY$2,FECHA_DESGLOSEN,"&lt;="&amp;CY$3,CLAVE_DESGLOSE,$A252)</f>
        <v>0</v>
      </c>
      <c r="CZ252" s="68">
        <f t="shared" si="378"/>
        <v>0</v>
      </c>
      <c r="DB252" s="17">
        <f>F252+N252+W252+AE252+AM252+AV252+BD252+BL252+BU252+CC252+CK252</f>
        <v>1800</v>
      </c>
      <c r="DC252" s="17">
        <f>K252+T252+AB252+AJ252+AS252+BA252+BI252+BR252+BZ252+CH252+CQ252</f>
        <v>6371.48</v>
      </c>
    </row>
    <row r="253" spans="1:107" hidden="1">
      <c r="A253" s="12" t="str">
        <f t="shared" si="351"/>
        <v>SGECUOTAS Y SUSCRIPCIONESOFFICE 365(GCOMPRAS)</v>
      </c>
      <c r="B253">
        <v>255</v>
      </c>
      <c r="C253" t="s">
        <v>39</v>
      </c>
      <c r="D253" t="s">
        <v>51</v>
      </c>
      <c r="E253" t="s">
        <v>54</v>
      </c>
      <c r="F253" s="259">
        <f t="shared" si="344"/>
        <v>0</v>
      </c>
      <c r="G253" s="13">
        <f t="shared" si="422"/>
        <v>0</v>
      </c>
      <c r="H253" s="13">
        <f t="shared" si="422"/>
        <v>0</v>
      </c>
      <c r="I253" s="13">
        <f t="shared" si="422"/>
        <v>0</v>
      </c>
      <c r="J253" s="13">
        <f t="shared" si="422"/>
        <v>0</v>
      </c>
      <c r="K253" s="13">
        <f t="shared" si="422"/>
        <v>0</v>
      </c>
      <c r="L253" s="68">
        <f t="shared" si="352"/>
        <v>0</v>
      </c>
      <c r="M253" s="268">
        <f t="shared" si="353"/>
        <v>0</v>
      </c>
      <c r="N253" s="13">
        <f t="shared" si="345"/>
        <v>1800</v>
      </c>
      <c r="O253" s="13">
        <f t="shared" si="423"/>
        <v>0</v>
      </c>
      <c r="P253" s="13">
        <f t="shared" si="423"/>
        <v>0</v>
      </c>
      <c r="Q253" s="13">
        <f t="shared" si="423"/>
        <v>0</v>
      </c>
      <c r="R253" s="13">
        <f t="shared" si="423"/>
        <v>208.56</v>
      </c>
      <c r="S253" s="13">
        <f t="shared" si="423"/>
        <v>0</v>
      </c>
      <c r="T253" s="13">
        <f t="shared" si="423"/>
        <v>208.56</v>
      </c>
      <c r="U253" s="68">
        <f t="shared" si="354"/>
        <v>1591.44</v>
      </c>
      <c r="V253" s="268">
        <f t="shared" si="355"/>
        <v>0.11586666666666667</v>
      </c>
      <c r="W253" s="13">
        <f t="shared" si="346"/>
        <v>0</v>
      </c>
      <c r="X253" s="13">
        <f t="shared" si="424"/>
        <v>0</v>
      </c>
      <c r="Y253" s="13">
        <f t="shared" si="424"/>
        <v>0</v>
      </c>
      <c r="Z253" s="13">
        <f t="shared" si="424"/>
        <v>0</v>
      </c>
      <c r="AA253" s="13">
        <f t="shared" si="424"/>
        <v>0</v>
      </c>
      <c r="AB253" s="13">
        <f t="shared" si="424"/>
        <v>0</v>
      </c>
      <c r="AC253" s="68">
        <f t="shared" si="356"/>
        <v>0</v>
      </c>
      <c r="AD253" s="268">
        <f t="shared" si="357"/>
        <v>0</v>
      </c>
      <c r="AE253" s="13">
        <f t="shared" si="347"/>
        <v>0</v>
      </c>
      <c r="AF253" s="13">
        <f t="shared" si="425"/>
        <v>0</v>
      </c>
      <c r="AG253" s="13">
        <f t="shared" si="425"/>
        <v>0</v>
      </c>
      <c r="AH253" s="13">
        <f t="shared" si="425"/>
        <v>0</v>
      </c>
      <c r="AI253" s="13">
        <f t="shared" si="425"/>
        <v>0</v>
      </c>
      <c r="AJ253" s="13">
        <f t="shared" si="425"/>
        <v>0</v>
      </c>
      <c r="AK253" s="68">
        <f t="shared" si="358"/>
        <v>0</v>
      </c>
      <c r="AL253" s="268">
        <f t="shared" si="359"/>
        <v>0</v>
      </c>
      <c r="AM253" s="13">
        <f t="shared" si="348"/>
        <v>0</v>
      </c>
      <c r="AN253" s="13">
        <f t="shared" si="426"/>
        <v>0</v>
      </c>
      <c r="AO253" s="13">
        <f t="shared" si="426"/>
        <v>0</v>
      </c>
      <c r="AP253" s="13">
        <f t="shared" si="426"/>
        <v>0</v>
      </c>
      <c r="AQ253" s="13">
        <f t="shared" si="426"/>
        <v>0</v>
      </c>
      <c r="AR253" s="13">
        <f t="shared" si="426"/>
        <v>0</v>
      </c>
      <c r="AS253" s="13">
        <f t="shared" si="426"/>
        <v>0</v>
      </c>
      <c r="AT253" s="68">
        <f>AM253-AS253</f>
        <v>0</v>
      </c>
      <c r="AU253" s="268">
        <f t="shared" si="360"/>
        <v>0</v>
      </c>
      <c r="AV253" s="13">
        <f t="shared" si="349"/>
        <v>0</v>
      </c>
      <c r="AW253" s="13">
        <f t="shared" si="421"/>
        <v>0</v>
      </c>
      <c r="AX253" s="13">
        <f t="shared" si="421"/>
        <v>0</v>
      </c>
      <c r="AY253" s="13">
        <f t="shared" si="421"/>
        <v>0</v>
      </c>
      <c r="AZ253" s="13">
        <f t="shared" si="421"/>
        <v>0</v>
      </c>
      <c r="BA253" s="13">
        <f t="shared" si="379"/>
        <v>0</v>
      </c>
      <c r="BB253" s="68">
        <f t="shared" si="361"/>
        <v>0</v>
      </c>
      <c r="BC253" s="268">
        <f t="shared" si="362"/>
        <v>0</v>
      </c>
      <c r="BD253" s="13">
        <f t="shared" si="363"/>
        <v>0</v>
      </c>
      <c r="BE253" s="13">
        <f>SUMIFS(SALIDAS_BIT,FECHA_BIT,"&gt;="&amp;BE$2,FECHA_BIT,"&lt;="&amp;BE$3,CLAVE_BIT,$A253)+SUMIFS(SALIDAS_BOV1,FECHA_BOV1,"&gt;="&amp;BE$2,FECHA_BOV1,"&lt;="&amp;BE$3,CLAVE_BOV1,$A253)+SUMIFS(SALIDAS_BOV2,FECHA_BOV2,"&gt;="&amp;BE$2,FECHA_BOV2,"&lt;="&amp;BE$3,CLAVE_BOV2,$A253)+SUMIFS(SALIDAS_BOV3,FECHA_BOV3,"&gt;="&amp;BE$2,FECHA_BOV3,"&lt;="&amp;BE$3,CLAVE_BOV3,$A253)+SUMIFS(SALIDAS_TC,FECHA_TC,"&gt;="&amp;BE$2,FECHA_TC,"&lt;="&amp;BE$3,CLAVE_TC,$A253)+SUMIFS(SALIDAS_COMB,FECHA_COMB,"&gt;="&amp;BE$2,FECHA_COMB,"&lt;="&amp;BE$3,CLAVE_COMB,$A253)+SUMIFS(SALIDAS_DES,FECHA_DESGLOSEN,"&gt;="&amp;BE$2,FECHA_DESGLOSEN,"&lt;="&amp;BE$3,CLAVE_DESGLOSE,$A253)</f>
        <v>0</v>
      </c>
      <c r="BF253" s="13">
        <f>SUMIFS(SALIDAS_BIT,FECHA_BIT,"&gt;="&amp;BF$2,FECHA_BIT,"&lt;="&amp;BF$3,CLAVE_BIT,$A253)+SUMIFS(SALIDAS_BOV1,FECHA_BOV1,"&gt;="&amp;BF$2,FECHA_BOV1,"&lt;="&amp;BF$3,CLAVE_BOV1,$A253)+SUMIFS(SALIDAS_BOV2,FECHA_BOV2,"&gt;="&amp;BF$2,FECHA_BOV2,"&lt;="&amp;BF$3,CLAVE_BOV2,$A253)+SUMIFS(SALIDAS_BOV3,FECHA_BOV3,"&gt;="&amp;BF$2,FECHA_BOV3,"&lt;="&amp;BF$3,CLAVE_BOV3,$A253)+SUMIFS(SALIDAS_TC,FECHA_TC,"&gt;="&amp;BF$2,FECHA_TC,"&lt;="&amp;BF$3,CLAVE_TC,$A253)+SUMIFS(SALIDAS_COMB,FECHA_COMB,"&gt;="&amp;BF$2,FECHA_COMB,"&lt;="&amp;BF$3,CLAVE_COMB,$A253)+SUMIFS(SALIDAS_DES,FECHA_DESGLOSEN,"&gt;="&amp;BF$2,FECHA_DESGLOSEN,"&lt;="&amp;BF$3,CLAVE_DESGLOSE,$A253)</f>
        <v>0</v>
      </c>
      <c r="BG253" s="13">
        <f>SUMIFS(SALIDAS_BIT,FECHA_BIT,"&gt;="&amp;BG$2,FECHA_BIT,"&lt;="&amp;BG$3,CLAVE_BIT,$A253)+SUMIFS(SALIDAS_BOV1,FECHA_BOV1,"&gt;="&amp;BG$2,FECHA_BOV1,"&lt;="&amp;BG$3,CLAVE_BOV1,$A253)+SUMIFS(SALIDAS_BOV2,FECHA_BOV2,"&gt;="&amp;BG$2,FECHA_BOV2,"&lt;="&amp;BG$3,CLAVE_BOV2,$A253)+SUMIFS(SALIDAS_BOV3,FECHA_BOV3,"&gt;="&amp;BG$2,FECHA_BOV3,"&lt;="&amp;BG$3,CLAVE_BOV3,$A253)+SUMIFS(SALIDAS_TC,FECHA_TC,"&gt;="&amp;BG$2,FECHA_TC,"&lt;="&amp;BG$3,CLAVE_TC,$A253)+SUMIFS(SALIDAS_COMB,FECHA_COMB,"&gt;="&amp;BG$2,FECHA_COMB,"&lt;="&amp;BG$3,CLAVE_COMB,$A253)+SUMIFS(SALIDAS_DES,FECHA_DESGLOSEN,"&gt;="&amp;BG$2,FECHA_DESGLOSEN,"&lt;="&amp;BG$3,CLAVE_DESGLOSE,$A253)</f>
        <v>0</v>
      </c>
      <c r="BH253" s="13">
        <f>SUMIFS(SALIDAS_BIT,FECHA_BIT,"&gt;="&amp;BH$2,FECHA_BIT,"&lt;="&amp;BH$3,CLAVE_BIT,$A253)+SUMIFS(SALIDAS_BOV1,FECHA_BOV1,"&gt;="&amp;BH$2,FECHA_BOV1,"&lt;="&amp;BH$3,CLAVE_BOV1,$A253)+SUMIFS(SALIDAS_BOV2,FECHA_BOV2,"&gt;="&amp;BH$2,FECHA_BOV2,"&lt;="&amp;BH$3,CLAVE_BOV2,$A253)+SUMIFS(SALIDAS_BOV3,FECHA_BOV3,"&gt;="&amp;BH$2,FECHA_BOV3,"&lt;="&amp;BH$3,CLAVE_BOV3,$A253)+SUMIFS(SALIDAS_TC,FECHA_TC,"&gt;="&amp;BH$2,FECHA_TC,"&lt;="&amp;BH$3,CLAVE_TC,$A253)+SUMIFS(SALIDAS_COMB,FECHA_COMB,"&gt;="&amp;BH$2,FECHA_COMB,"&lt;="&amp;BH$3,CLAVE_COMB,$A253)+SUMIFS(SALIDAS_DES,FECHA_DESGLOSEN,"&gt;="&amp;BH$2,FECHA_DESGLOSEN,"&lt;="&amp;BH$3,CLAVE_DESGLOSE,$A253)</f>
        <v>0</v>
      </c>
      <c r="BI253" s="13">
        <f t="shared" si="419"/>
        <v>0</v>
      </c>
      <c r="BJ253" s="68">
        <f t="shared" si="364"/>
        <v>0</v>
      </c>
      <c r="BK253" s="268">
        <f t="shared" si="365"/>
        <v>0</v>
      </c>
      <c r="BL253" s="13">
        <f t="shared" si="366"/>
        <v>0</v>
      </c>
      <c r="BM253" s="13">
        <f>SUMIFS(SALIDAS_BIT,FECHA_BIT,"&gt;="&amp;BM$2,FECHA_BIT,"&lt;="&amp;BM$3,CLAVE_BIT,$A253)+SUMIFS(SALIDAS_BOV1,FECHA_BOV1,"&gt;="&amp;BM$2,FECHA_BOV1,"&lt;="&amp;BM$3,CLAVE_BOV1,$A253)+SUMIFS(SALIDAS_BOV2,FECHA_BOV2,"&gt;="&amp;BM$2,FECHA_BOV2,"&lt;="&amp;BM$3,CLAVE_BOV2,$A253)+SUMIFS(SALIDAS_BOV3,FECHA_BOV3,"&gt;="&amp;BM$2,FECHA_BOV3,"&lt;="&amp;BM$3,CLAVE_BOV3,$A253)+SUMIFS(SALIDAS_TC,FECHA_TC,"&gt;="&amp;BM$2,FECHA_TC,"&lt;="&amp;BM$3,CLAVE_TC,$A253)+SUMIFS(SALIDAS_COMB,FECHA_COMB,"&gt;="&amp;BM$2,FECHA_COMB,"&lt;="&amp;BM$3,CLAVE_COMB,$A253)+SUMIFS(SALIDAS_DES,FECHA_DESGLOSEN,"&gt;="&amp;BM$2,FECHA_DESGLOSEN,"&lt;="&amp;BM$3,CLAVE_DESGLOSE,$A253)</f>
        <v>0</v>
      </c>
      <c r="BN253" s="13">
        <f>SUMIFS(SALIDAS_BIT,FECHA_BIT,"&gt;="&amp;BN$2,FECHA_BIT,"&lt;="&amp;BN$3,CLAVE_BIT,$A253)+SUMIFS(SALIDAS_BOV1,FECHA_BOV1,"&gt;="&amp;BN$2,FECHA_BOV1,"&lt;="&amp;BN$3,CLAVE_BOV1,$A253)+SUMIFS(SALIDAS_BOV2,FECHA_BOV2,"&gt;="&amp;BN$2,FECHA_BOV2,"&lt;="&amp;BN$3,CLAVE_BOV2,$A253)+SUMIFS(SALIDAS_BOV3,FECHA_BOV3,"&gt;="&amp;BN$2,FECHA_BOV3,"&lt;="&amp;BN$3,CLAVE_BOV3,$A253)+SUMIFS(SALIDAS_TC,FECHA_TC,"&gt;="&amp;BN$2,FECHA_TC,"&lt;="&amp;BN$3,CLAVE_TC,$A253)+SUMIFS(SALIDAS_COMB,FECHA_COMB,"&gt;="&amp;BN$2,FECHA_COMB,"&lt;="&amp;BN$3,CLAVE_COMB,$A253)+SUMIFS(SALIDAS_DES,FECHA_DESGLOSEN,"&gt;="&amp;BN$2,FECHA_DESGLOSEN,"&lt;="&amp;BN$3,CLAVE_DESGLOSE,$A253)</f>
        <v>0</v>
      </c>
      <c r="BO253" s="13">
        <f>SUMIFS(SALIDAS_BIT,FECHA_BIT,"&gt;="&amp;BO$2,FECHA_BIT,"&lt;="&amp;BO$3,CLAVE_BIT,$A253)+SUMIFS(SALIDAS_BOV1,FECHA_BOV1,"&gt;="&amp;BO$2,FECHA_BOV1,"&lt;="&amp;BO$3,CLAVE_BOV1,$A253)+SUMIFS(SALIDAS_BOV2,FECHA_BOV2,"&gt;="&amp;BO$2,FECHA_BOV2,"&lt;="&amp;BO$3,CLAVE_BOV2,$A253)+SUMIFS(SALIDAS_BOV3,FECHA_BOV3,"&gt;="&amp;BO$2,FECHA_BOV3,"&lt;="&amp;BO$3,CLAVE_BOV3,$A253)+SUMIFS(SALIDAS_TC,FECHA_TC,"&gt;="&amp;BO$2,FECHA_TC,"&lt;="&amp;BO$3,CLAVE_TC,$A253)+SUMIFS(SALIDAS_COMB,FECHA_COMB,"&gt;="&amp;BO$2,FECHA_COMB,"&lt;="&amp;BO$3,CLAVE_COMB,$A253)+SUMIFS(SALIDAS_DES,FECHA_DESGLOSEN,"&gt;="&amp;BO$2,FECHA_DESGLOSEN,"&lt;="&amp;BO$3,CLAVE_DESGLOSE,$A253)</f>
        <v>0</v>
      </c>
      <c r="BP253" s="13">
        <f>SUMIFS(SALIDAS_BIT,FECHA_BIT,"&gt;="&amp;BP$2,FECHA_BIT,"&lt;="&amp;BP$3,CLAVE_BIT,$A253)+SUMIFS(SALIDAS_BOV1,FECHA_BOV1,"&gt;="&amp;BP$2,FECHA_BOV1,"&lt;="&amp;BP$3,CLAVE_BOV1,$A253)+SUMIFS(SALIDAS_BOV2,FECHA_BOV2,"&gt;="&amp;BP$2,FECHA_BOV2,"&lt;="&amp;BP$3,CLAVE_BOV2,$A253)+SUMIFS(SALIDAS_BOV3,FECHA_BOV3,"&gt;="&amp;BP$2,FECHA_BOV3,"&lt;="&amp;BP$3,CLAVE_BOV3,$A253)+SUMIFS(SALIDAS_TC,FECHA_TC,"&gt;="&amp;BP$2,FECHA_TC,"&lt;="&amp;BP$3,CLAVE_TC,$A253)+SUMIFS(SALIDAS_COMB,FECHA_COMB,"&gt;="&amp;BP$2,FECHA_COMB,"&lt;="&amp;BP$3,CLAVE_COMB,$A253)+SUMIFS(SALIDAS_DES,FECHA_DESGLOSEN,"&gt;="&amp;BP$2,FECHA_DESGLOSEN,"&lt;="&amp;BP$3,CLAVE_DESGLOSE,$A253)</f>
        <v>0</v>
      </c>
      <c r="BQ253" s="13">
        <f>SUMIFS(SALIDAS_BIT,FECHA_BIT,"&gt;="&amp;BQ$2,FECHA_BIT,"&lt;="&amp;BQ$3,CLAVE_BIT,$A253)+SUMIFS(SALIDAS_BOV1,FECHA_BOV1,"&gt;="&amp;BQ$2,FECHA_BOV1,"&lt;="&amp;BQ$3,CLAVE_BOV1,$A253)+SUMIFS(SALIDAS_BOV2,FECHA_BOV2,"&gt;="&amp;BQ$2,FECHA_BOV2,"&lt;="&amp;BQ$3,CLAVE_BOV2,$A253)+SUMIFS(SALIDAS_BOV3,FECHA_BOV3,"&gt;="&amp;BQ$2,FECHA_BOV3,"&lt;="&amp;BQ$3,CLAVE_BOV3,$A253)+SUMIFS(SALIDAS_TC,FECHA_TC,"&gt;="&amp;BQ$2,FECHA_TC,"&lt;="&amp;BQ$3,CLAVE_TC,$A253)+SUMIFS(SALIDAS_COMB,FECHA_COMB,"&gt;="&amp;BQ$2,FECHA_COMB,"&lt;="&amp;BQ$3,CLAVE_COMB,$A253)+SUMIFS(SALIDAS_DES,FECHA_DESGLOSEN,"&gt;="&amp;BQ$2,FECHA_DESGLOSEN,"&lt;="&amp;BQ$3,CLAVE_DESGLOSE,$A253)</f>
        <v>0</v>
      </c>
      <c r="BR253" s="13">
        <f t="shared" si="427"/>
        <v>0</v>
      </c>
      <c r="BS253" s="68">
        <f t="shared" si="367"/>
        <v>0</v>
      </c>
      <c r="BT253" s="268">
        <f t="shared" si="368"/>
        <v>0</v>
      </c>
      <c r="BU253" s="13">
        <f t="shared" si="369"/>
        <v>0</v>
      </c>
      <c r="BV253" s="13">
        <f t="shared" si="389"/>
        <v>0</v>
      </c>
      <c r="BW253" s="13">
        <f t="shared" si="389"/>
        <v>0</v>
      </c>
      <c r="BX253" s="13">
        <f t="shared" si="389"/>
        <v>0</v>
      </c>
      <c r="BY253" s="13">
        <f t="shared" si="389"/>
        <v>399.99</v>
      </c>
      <c r="BZ253" s="13">
        <f t="shared" si="428"/>
        <v>399.99</v>
      </c>
      <c r="CA253" s="68">
        <f t="shared" si="370"/>
        <v>-399.99</v>
      </c>
      <c r="CB253" s="268">
        <f t="shared" si="371"/>
        <v>0</v>
      </c>
      <c r="CC253" s="13">
        <f t="shared" si="372"/>
        <v>0</v>
      </c>
      <c r="CD253" s="13">
        <f t="shared" si="390"/>
        <v>0</v>
      </c>
      <c r="CE253" s="13">
        <f t="shared" si="390"/>
        <v>0</v>
      </c>
      <c r="CF253" s="13">
        <f t="shared" si="390"/>
        <v>0</v>
      </c>
      <c r="CG253" s="13">
        <f t="shared" si="390"/>
        <v>0</v>
      </c>
      <c r="CH253" s="13">
        <f t="shared" si="429"/>
        <v>0</v>
      </c>
      <c r="CI253" s="68">
        <f t="shared" si="373"/>
        <v>0</v>
      </c>
      <c r="CJ253" s="268">
        <f t="shared" si="374"/>
        <v>0</v>
      </c>
      <c r="CK253" s="13">
        <f t="shared" si="375"/>
        <v>0</v>
      </c>
      <c r="CL253" s="13">
        <f t="shared" si="400"/>
        <v>0</v>
      </c>
      <c r="CM253" s="13">
        <f t="shared" si="400"/>
        <v>0</v>
      </c>
      <c r="CN253" s="13">
        <f t="shared" si="400"/>
        <v>0</v>
      </c>
      <c r="CO253" s="13">
        <f t="shared" si="400"/>
        <v>0</v>
      </c>
      <c r="CP253" s="13">
        <f t="shared" si="400"/>
        <v>0</v>
      </c>
      <c r="CQ253" s="13">
        <f t="shared" si="430"/>
        <v>0</v>
      </c>
      <c r="CR253" s="68">
        <f t="shared" si="376"/>
        <v>0</v>
      </c>
      <c r="CS253" s="268">
        <f t="shared" si="377"/>
        <v>0</v>
      </c>
      <c r="CT253" s="68">
        <f t="shared" si="350"/>
        <v>0</v>
      </c>
      <c r="CU253" s="13">
        <f>SUMIFS(SALIDAS_BIT,FECHA_BIT,"&gt;="&amp;CU$2,FECHA_BIT,"&lt;="&amp;CU$3,CLAVE_BIT,$A253)+SUMIFS(SALIDAS_BOV1,FECHA_BOV1,"&gt;="&amp;CU$2,FECHA_BOV1,"&lt;="&amp;CU$3,CLAVE_BOV1,$A253)+SUMIFS(SALIDAS_BOV2,FECHA_BOV2,"&gt;="&amp;CU$2,FECHA_BOV2,"&lt;="&amp;CU$3,CLAVE_BOV2,$A253)+SUMIFS(SALIDAS_BOV3,FECHA_BOV3,"&gt;="&amp;CU$2,FECHA_BOV3,"&lt;="&amp;CU$3,CLAVE_BOV3,$A253)+SUMIFS(SALIDAS_TC,FECHA_TC,"&gt;="&amp;CU$2,FECHA_TC,"&lt;="&amp;CU$3,CLAVE_TC,$A253)+SUMIFS(SALIDAS_COMB,FECHA_COMB,"&gt;="&amp;CU$2,FECHA_COMB,"&lt;="&amp;CU$3,CLAVE_COMB,$A253)+SUMIFS(SALIDAS_DES,FECHA_DESGLOSEN,"&gt;="&amp;CU$2,FECHA_DESGLOSEN,"&lt;="&amp;CU$3,CLAVE_DESGLOSE,$A253)</f>
        <v>0</v>
      </c>
      <c r="CV253" s="13">
        <f>SUMIFS(SALIDAS_BIT,FECHA_BIT,"&gt;="&amp;CV$2,FECHA_BIT,"&lt;="&amp;CV$3,CLAVE_BIT,$A253)+SUMIFS(SALIDAS_BOV1,FECHA_BOV1,"&gt;="&amp;CV$2,FECHA_BOV1,"&lt;="&amp;CV$3,CLAVE_BOV1,$A253)+SUMIFS(SALIDAS_BOV2,FECHA_BOV2,"&gt;="&amp;CV$2,FECHA_BOV2,"&lt;="&amp;CV$3,CLAVE_BOV2,$A253)+SUMIFS(SALIDAS_BOV3,FECHA_BOV3,"&gt;="&amp;CV$2,FECHA_BOV3,"&lt;="&amp;CV$3,CLAVE_BOV3,$A253)+SUMIFS(SALIDAS_TC,FECHA_TC,"&gt;="&amp;CV$2,FECHA_TC,"&lt;="&amp;CV$3,CLAVE_TC,$A253)+SUMIFS(SALIDAS_COMB,FECHA_COMB,"&gt;="&amp;CV$2,FECHA_COMB,"&lt;="&amp;CV$3,CLAVE_COMB,$A253)+SUMIFS(SALIDAS_DES,FECHA_DESGLOSEN,"&gt;="&amp;CV$2,FECHA_DESGLOSEN,"&lt;="&amp;CV$3,CLAVE_DESGLOSE,$A253)</f>
        <v>0</v>
      </c>
      <c r="CW253" s="13">
        <f>SUMIFS(SALIDAS_BIT,FECHA_BIT,"&gt;="&amp;CW$2,FECHA_BIT,"&lt;="&amp;CW$3,CLAVE_BIT,$A253)+SUMIFS(SALIDAS_BOV1,FECHA_BOV1,"&gt;="&amp;CW$2,FECHA_BOV1,"&lt;="&amp;CW$3,CLAVE_BOV1,$A253)+SUMIFS(SALIDAS_BOV2,FECHA_BOV2,"&gt;="&amp;CW$2,FECHA_BOV2,"&lt;="&amp;CW$3,CLAVE_BOV2,$A253)+SUMIFS(SALIDAS_BOV3,FECHA_BOV3,"&gt;="&amp;CW$2,FECHA_BOV3,"&lt;="&amp;CW$3,CLAVE_BOV3,$A253)+SUMIFS(SALIDAS_TC,FECHA_TC,"&gt;="&amp;CW$2,FECHA_TC,"&lt;="&amp;CW$3,CLAVE_TC,$A253)+SUMIFS(SALIDAS_COMB,FECHA_COMB,"&gt;="&amp;CW$2,FECHA_COMB,"&lt;="&amp;CW$3,CLAVE_COMB,$A253)+SUMIFS(SALIDAS_DES,FECHA_DESGLOSEN,"&gt;="&amp;CW$2,FECHA_DESGLOSEN,"&lt;="&amp;CW$3,CLAVE_DESGLOSE,$A253)</f>
        <v>0</v>
      </c>
      <c r="CX253" s="13">
        <f>SUMIFS(SALIDAS_BIT,FECHA_BIT,"&gt;="&amp;CX$2,FECHA_BIT,"&lt;="&amp;CX$3,CLAVE_BIT,$A253)+SUMIFS(SALIDAS_BOV1,FECHA_BOV1,"&gt;="&amp;CX$2,FECHA_BOV1,"&lt;="&amp;CX$3,CLAVE_BOV1,$A253)+SUMIFS(SALIDAS_BOV2,FECHA_BOV2,"&gt;="&amp;CX$2,FECHA_BOV2,"&lt;="&amp;CX$3,CLAVE_BOV2,$A253)+SUMIFS(SALIDAS_BOV3,FECHA_BOV3,"&gt;="&amp;CX$2,FECHA_BOV3,"&lt;="&amp;CX$3,CLAVE_BOV3,$A253)+SUMIFS(SALIDAS_TC,FECHA_TC,"&gt;="&amp;CX$2,FECHA_TC,"&lt;="&amp;CX$3,CLAVE_TC,$A253)+SUMIFS(SALIDAS_COMB,FECHA_COMB,"&gt;="&amp;CX$2,FECHA_COMB,"&lt;="&amp;CX$3,CLAVE_COMB,$A253)+SUMIFS(SALIDAS_DES,FECHA_DESGLOSEN,"&gt;="&amp;CX$2,FECHA_DESGLOSEN,"&lt;="&amp;CX$3,CLAVE_DESGLOSE,$A253)</f>
        <v>0</v>
      </c>
      <c r="CY253" s="13">
        <f>SUMIFS(SALIDAS_BIT,FECHA_BIT,"&gt;="&amp;CY$2,FECHA_BIT,"&lt;="&amp;CY$3,CLAVE_BIT,$A253)+SUMIFS(SALIDAS_BOV1,FECHA_BOV1,"&gt;="&amp;CY$2,FECHA_BOV1,"&lt;="&amp;CY$3,CLAVE_BOV1,$A253)+SUMIFS(SALIDAS_BOV2,FECHA_BOV2,"&gt;="&amp;CY$2,FECHA_BOV2,"&lt;="&amp;CY$3,CLAVE_BOV2,$A253)+SUMIFS(SALIDAS_BOV3,FECHA_BOV3,"&gt;="&amp;CY$2,FECHA_BOV3,"&lt;="&amp;CY$3,CLAVE_BOV3,$A253)+SUMIFS(SALIDAS_TC,FECHA_TC,"&gt;="&amp;CY$2,FECHA_TC,"&lt;="&amp;CY$3,CLAVE_TC,$A253)+SUMIFS(SALIDAS_COMB,FECHA_COMB,"&gt;="&amp;CY$2,FECHA_COMB,"&lt;="&amp;CY$3,CLAVE_COMB,$A253)+SUMIFS(SALIDAS_DES,FECHA_DESGLOSEN,"&gt;="&amp;CY$2,FECHA_DESGLOSEN,"&lt;="&amp;CY$3,CLAVE_DESGLOSE,$A253)</f>
        <v>0</v>
      </c>
      <c r="CZ253" s="68">
        <f t="shared" si="378"/>
        <v>0</v>
      </c>
      <c r="DB253" s="17">
        <f>F253+N253+W253+AE253+AM253+AV253+BD253+BL253+BU253+CC253+CK253</f>
        <v>1800</v>
      </c>
      <c r="DC253" s="17">
        <f>K253+T253+AB253+AJ253+AS253+BA253+BI253+BR253+BZ253+CH253+CQ253</f>
        <v>608.54999999999995</v>
      </c>
    </row>
    <row r="254" spans="1:107" hidden="1">
      <c r="A254" s="12" t="str">
        <f t="shared" si="351"/>
        <v>SGECUOTAS Y SUSCRIPCIONESASANA</v>
      </c>
      <c r="B254">
        <v>256</v>
      </c>
      <c r="C254" t="s">
        <v>39</v>
      </c>
      <c r="D254" t="s">
        <v>51</v>
      </c>
      <c r="E254" t="s">
        <v>55</v>
      </c>
      <c r="F254" s="259">
        <f t="shared" si="344"/>
        <v>13000</v>
      </c>
      <c r="G254" s="13">
        <f t="shared" si="422"/>
        <v>0</v>
      </c>
      <c r="H254" s="13">
        <f t="shared" si="422"/>
        <v>0</v>
      </c>
      <c r="I254" s="13">
        <f t="shared" si="422"/>
        <v>0</v>
      </c>
      <c r="J254" s="13">
        <f t="shared" si="422"/>
        <v>0</v>
      </c>
      <c r="K254" s="13">
        <f t="shared" si="422"/>
        <v>0</v>
      </c>
      <c r="L254" s="68">
        <f t="shared" si="352"/>
        <v>13000</v>
      </c>
      <c r="M254" s="268">
        <f t="shared" si="353"/>
        <v>0</v>
      </c>
      <c r="N254" s="13">
        <f t="shared" si="345"/>
        <v>0</v>
      </c>
      <c r="O254" s="13">
        <f t="shared" si="423"/>
        <v>0</v>
      </c>
      <c r="P254" s="13">
        <f t="shared" si="423"/>
        <v>0</v>
      </c>
      <c r="Q254" s="13">
        <f t="shared" si="423"/>
        <v>0</v>
      </c>
      <c r="R254" s="13">
        <f t="shared" si="423"/>
        <v>12631.97</v>
      </c>
      <c r="S254" s="13">
        <f t="shared" si="423"/>
        <v>0</v>
      </c>
      <c r="T254" s="13">
        <f t="shared" si="423"/>
        <v>12631.97</v>
      </c>
      <c r="U254" s="68">
        <f t="shared" si="354"/>
        <v>-12631.97</v>
      </c>
      <c r="V254" s="268">
        <f t="shared" si="355"/>
        <v>0</v>
      </c>
      <c r="W254" s="13">
        <f t="shared" si="346"/>
        <v>0</v>
      </c>
      <c r="X254" s="13">
        <f t="shared" si="424"/>
        <v>0</v>
      </c>
      <c r="Y254" s="13">
        <f t="shared" si="424"/>
        <v>0</v>
      </c>
      <c r="Z254" s="13">
        <f t="shared" si="424"/>
        <v>0</v>
      </c>
      <c r="AA254" s="13">
        <f t="shared" si="424"/>
        <v>0</v>
      </c>
      <c r="AB254" s="13">
        <f t="shared" si="424"/>
        <v>0</v>
      </c>
      <c r="AC254" s="68">
        <f t="shared" si="356"/>
        <v>0</v>
      </c>
      <c r="AD254" s="268">
        <f t="shared" si="357"/>
        <v>0</v>
      </c>
      <c r="AE254" s="13">
        <f t="shared" si="347"/>
        <v>0</v>
      </c>
      <c r="AF254" s="13">
        <f t="shared" si="425"/>
        <v>0</v>
      </c>
      <c r="AG254" s="13">
        <f t="shared" si="425"/>
        <v>0</v>
      </c>
      <c r="AH254" s="13">
        <f t="shared" si="425"/>
        <v>0</v>
      </c>
      <c r="AI254" s="13">
        <f t="shared" si="425"/>
        <v>0</v>
      </c>
      <c r="AJ254" s="13">
        <f t="shared" si="425"/>
        <v>0</v>
      </c>
      <c r="AK254" s="68">
        <f t="shared" si="358"/>
        <v>0</v>
      </c>
      <c r="AL254" s="268">
        <f t="shared" si="359"/>
        <v>0</v>
      </c>
      <c r="AM254" s="13">
        <f t="shared" si="348"/>
        <v>0</v>
      </c>
      <c r="AN254" s="13">
        <f t="shared" si="426"/>
        <v>0</v>
      </c>
      <c r="AO254" s="13">
        <f t="shared" si="426"/>
        <v>0</v>
      </c>
      <c r="AP254" s="13">
        <f t="shared" si="426"/>
        <v>0</v>
      </c>
      <c r="AQ254" s="13">
        <f t="shared" si="426"/>
        <v>0</v>
      </c>
      <c r="AR254" s="13">
        <f t="shared" si="426"/>
        <v>0</v>
      </c>
      <c r="AS254" s="13">
        <f t="shared" si="426"/>
        <v>0</v>
      </c>
      <c r="AT254" s="68">
        <f>AM254-AS254</f>
        <v>0</v>
      </c>
      <c r="AU254" s="268">
        <f t="shared" si="360"/>
        <v>0</v>
      </c>
      <c r="AV254" s="13">
        <f t="shared" si="349"/>
        <v>0</v>
      </c>
      <c r="AW254" s="13">
        <f t="shared" si="421"/>
        <v>0</v>
      </c>
      <c r="AX254" s="13">
        <f t="shared" si="421"/>
        <v>0</v>
      </c>
      <c r="AY254" s="13">
        <f t="shared" si="421"/>
        <v>0</v>
      </c>
      <c r="AZ254" s="13">
        <f t="shared" si="421"/>
        <v>0</v>
      </c>
      <c r="BA254" s="13">
        <f t="shared" si="379"/>
        <v>0</v>
      </c>
      <c r="BB254" s="68">
        <f t="shared" si="361"/>
        <v>0</v>
      </c>
      <c r="BC254" s="268">
        <f t="shared" si="362"/>
        <v>0</v>
      </c>
      <c r="BD254" s="13">
        <f t="shared" si="363"/>
        <v>0</v>
      </c>
      <c r="BE254" s="13">
        <f>SUMIFS(SALIDAS_BIT,FECHA_BIT,"&gt;="&amp;BE$2,FECHA_BIT,"&lt;="&amp;BE$3,CLAVE_BIT,$A254)+SUMIFS(SALIDAS_BOV1,FECHA_BOV1,"&gt;="&amp;BE$2,FECHA_BOV1,"&lt;="&amp;BE$3,CLAVE_BOV1,$A254)+SUMIFS(SALIDAS_BOV2,FECHA_BOV2,"&gt;="&amp;BE$2,FECHA_BOV2,"&lt;="&amp;BE$3,CLAVE_BOV2,$A254)+SUMIFS(SALIDAS_BOV3,FECHA_BOV3,"&gt;="&amp;BE$2,FECHA_BOV3,"&lt;="&amp;BE$3,CLAVE_BOV3,$A254)+SUMIFS(SALIDAS_TC,FECHA_TC,"&gt;="&amp;BE$2,FECHA_TC,"&lt;="&amp;BE$3,CLAVE_TC,$A254)+SUMIFS(SALIDAS_COMB,FECHA_COMB,"&gt;="&amp;BE$2,FECHA_COMB,"&lt;="&amp;BE$3,CLAVE_COMB,$A254)+SUMIFS(SALIDAS_DES,FECHA_DESGLOSEN,"&gt;="&amp;BE$2,FECHA_DESGLOSEN,"&lt;="&amp;BE$3,CLAVE_DESGLOSE,$A254)</f>
        <v>0</v>
      </c>
      <c r="BF254" s="13">
        <f>SUMIFS(SALIDAS_BIT,FECHA_BIT,"&gt;="&amp;BF$2,FECHA_BIT,"&lt;="&amp;BF$3,CLAVE_BIT,$A254)+SUMIFS(SALIDAS_BOV1,FECHA_BOV1,"&gt;="&amp;BF$2,FECHA_BOV1,"&lt;="&amp;BF$3,CLAVE_BOV1,$A254)+SUMIFS(SALIDAS_BOV2,FECHA_BOV2,"&gt;="&amp;BF$2,FECHA_BOV2,"&lt;="&amp;BF$3,CLAVE_BOV2,$A254)+SUMIFS(SALIDAS_BOV3,FECHA_BOV3,"&gt;="&amp;BF$2,FECHA_BOV3,"&lt;="&amp;BF$3,CLAVE_BOV3,$A254)+SUMIFS(SALIDAS_TC,FECHA_TC,"&gt;="&amp;BF$2,FECHA_TC,"&lt;="&amp;BF$3,CLAVE_TC,$A254)+SUMIFS(SALIDAS_COMB,FECHA_COMB,"&gt;="&amp;BF$2,FECHA_COMB,"&lt;="&amp;BF$3,CLAVE_COMB,$A254)+SUMIFS(SALIDAS_DES,FECHA_DESGLOSEN,"&gt;="&amp;BF$2,FECHA_DESGLOSEN,"&lt;="&amp;BF$3,CLAVE_DESGLOSE,$A254)</f>
        <v>0</v>
      </c>
      <c r="BG254" s="13">
        <f>SUMIFS(SALIDAS_BIT,FECHA_BIT,"&gt;="&amp;BG$2,FECHA_BIT,"&lt;="&amp;BG$3,CLAVE_BIT,$A254)+SUMIFS(SALIDAS_BOV1,FECHA_BOV1,"&gt;="&amp;BG$2,FECHA_BOV1,"&lt;="&amp;BG$3,CLAVE_BOV1,$A254)+SUMIFS(SALIDAS_BOV2,FECHA_BOV2,"&gt;="&amp;BG$2,FECHA_BOV2,"&lt;="&amp;BG$3,CLAVE_BOV2,$A254)+SUMIFS(SALIDAS_BOV3,FECHA_BOV3,"&gt;="&amp;BG$2,FECHA_BOV3,"&lt;="&amp;BG$3,CLAVE_BOV3,$A254)+SUMIFS(SALIDAS_TC,FECHA_TC,"&gt;="&amp;BG$2,FECHA_TC,"&lt;="&amp;BG$3,CLAVE_TC,$A254)+SUMIFS(SALIDAS_COMB,FECHA_COMB,"&gt;="&amp;BG$2,FECHA_COMB,"&lt;="&amp;BG$3,CLAVE_COMB,$A254)+SUMIFS(SALIDAS_DES,FECHA_DESGLOSEN,"&gt;="&amp;BG$2,FECHA_DESGLOSEN,"&lt;="&amp;BG$3,CLAVE_DESGLOSE,$A254)</f>
        <v>0</v>
      </c>
      <c r="BH254" s="13">
        <f>SUMIFS(SALIDAS_BIT,FECHA_BIT,"&gt;="&amp;BH$2,FECHA_BIT,"&lt;="&amp;BH$3,CLAVE_BIT,$A254)+SUMIFS(SALIDAS_BOV1,FECHA_BOV1,"&gt;="&amp;BH$2,FECHA_BOV1,"&lt;="&amp;BH$3,CLAVE_BOV1,$A254)+SUMIFS(SALIDAS_BOV2,FECHA_BOV2,"&gt;="&amp;BH$2,FECHA_BOV2,"&lt;="&amp;BH$3,CLAVE_BOV2,$A254)+SUMIFS(SALIDAS_BOV3,FECHA_BOV3,"&gt;="&amp;BH$2,FECHA_BOV3,"&lt;="&amp;BH$3,CLAVE_BOV3,$A254)+SUMIFS(SALIDAS_TC,FECHA_TC,"&gt;="&amp;BH$2,FECHA_TC,"&lt;="&amp;BH$3,CLAVE_TC,$A254)+SUMIFS(SALIDAS_COMB,FECHA_COMB,"&gt;="&amp;BH$2,FECHA_COMB,"&lt;="&amp;BH$3,CLAVE_COMB,$A254)+SUMIFS(SALIDAS_DES,FECHA_DESGLOSEN,"&gt;="&amp;BH$2,FECHA_DESGLOSEN,"&lt;="&amp;BH$3,CLAVE_DESGLOSE,$A254)</f>
        <v>0</v>
      </c>
      <c r="BI254" s="13">
        <f t="shared" si="419"/>
        <v>0</v>
      </c>
      <c r="BJ254" s="68">
        <f t="shared" si="364"/>
        <v>0</v>
      </c>
      <c r="BK254" s="268">
        <f t="shared" si="365"/>
        <v>0</v>
      </c>
      <c r="BL254" s="13">
        <f t="shared" si="366"/>
        <v>0</v>
      </c>
      <c r="BM254" s="13">
        <f>SUMIFS(SALIDAS_BIT,FECHA_BIT,"&gt;="&amp;BM$2,FECHA_BIT,"&lt;="&amp;BM$3,CLAVE_BIT,$A254)+SUMIFS(SALIDAS_BOV1,FECHA_BOV1,"&gt;="&amp;BM$2,FECHA_BOV1,"&lt;="&amp;BM$3,CLAVE_BOV1,$A254)+SUMIFS(SALIDAS_BOV2,FECHA_BOV2,"&gt;="&amp;BM$2,FECHA_BOV2,"&lt;="&amp;BM$3,CLAVE_BOV2,$A254)+SUMIFS(SALIDAS_BOV3,FECHA_BOV3,"&gt;="&amp;BM$2,FECHA_BOV3,"&lt;="&amp;BM$3,CLAVE_BOV3,$A254)+SUMIFS(SALIDAS_TC,FECHA_TC,"&gt;="&amp;BM$2,FECHA_TC,"&lt;="&amp;BM$3,CLAVE_TC,$A254)+SUMIFS(SALIDAS_COMB,FECHA_COMB,"&gt;="&amp;BM$2,FECHA_COMB,"&lt;="&amp;BM$3,CLAVE_COMB,$A254)+SUMIFS(SALIDAS_DES,FECHA_DESGLOSEN,"&gt;="&amp;BM$2,FECHA_DESGLOSEN,"&lt;="&amp;BM$3,CLAVE_DESGLOSE,$A254)</f>
        <v>0</v>
      </c>
      <c r="BN254" s="13">
        <f>SUMIFS(SALIDAS_BIT,FECHA_BIT,"&gt;="&amp;BN$2,FECHA_BIT,"&lt;="&amp;BN$3,CLAVE_BIT,$A254)+SUMIFS(SALIDAS_BOV1,FECHA_BOV1,"&gt;="&amp;BN$2,FECHA_BOV1,"&lt;="&amp;BN$3,CLAVE_BOV1,$A254)+SUMIFS(SALIDAS_BOV2,FECHA_BOV2,"&gt;="&amp;BN$2,FECHA_BOV2,"&lt;="&amp;BN$3,CLAVE_BOV2,$A254)+SUMIFS(SALIDAS_BOV3,FECHA_BOV3,"&gt;="&amp;BN$2,FECHA_BOV3,"&lt;="&amp;BN$3,CLAVE_BOV3,$A254)+SUMIFS(SALIDAS_TC,FECHA_TC,"&gt;="&amp;BN$2,FECHA_TC,"&lt;="&amp;BN$3,CLAVE_TC,$A254)+SUMIFS(SALIDAS_COMB,FECHA_COMB,"&gt;="&amp;BN$2,FECHA_COMB,"&lt;="&amp;BN$3,CLAVE_COMB,$A254)+SUMIFS(SALIDAS_DES,FECHA_DESGLOSEN,"&gt;="&amp;BN$2,FECHA_DESGLOSEN,"&lt;="&amp;BN$3,CLAVE_DESGLOSE,$A254)</f>
        <v>0</v>
      </c>
      <c r="BO254" s="13">
        <f>SUMIFS(SALIDAS_BIT,FECHA_BIT,"&gt;="&amp;BO$2,FECHA_BIT,"&lt;="&amp;BO$3,CLAVE_BIT,$A254)+SUMIFS(SALIDAS_BOV1,FECHA_BOV1,"&gt;="&amp;BO$2,FECHA_BOV1,"&lt;="&amp;BO$3,CLAVE_BOV1,$A254)+SUMIFS(SALIDAS_BOV2,FECHA_BOV2,"&gt;="&amp;BO$2,FECHA_BOV2,"&lt;="&amp;BO$3,CLAVE_BOV2,$A254)+SUMIFS(SALIDAS_BOV3,FECHA_BOV3,"&gt;="&amp;BO$2,FECHA_BOV3,"&lt;="&amp;BO$3,CLAVE_BOV3,$A254)+SUMIFS(SALIDAS_TC,FECHA_TC,"&gt;="&amp;BO$2,FECHA_TC,"&lt;="&amp;BO$3,CLAVE_TC,$A254)+SUMIFS(SALIDAS_COMB,FECHA_COMB,"&gt;="&amp;BO$2,FECHA_COMB,"&lt;="&amp;BO$3,CLAVE_COMB,$A254)+SUMIFS(SALIDAS_DES,FECHA_DESGLOSEN,"&gt;="&amp;BO$2,FECHA_DESGLOSEN,"&lt;="&amp;BO$3,CLAVE_DESGLOSE,$A254)</f>
        <v>0</v>
      </c>
      <c r="BP254" s="13">
        <f>SUMIFS(SALIDAS_BIT,FECHA_BIT,"&gt;="&amp;BP$2,FECHA_BIT,"&lt;="&amp;BP$3,CLAVE_BIT,$A254)+SUMIFS(SALIDAS_BOV1,FECHA_BOV1,"&gt;="&amp;BP$2,FECHA_BOV1,"&lt;="&amp;BP$3,CLAVE_BOV1,$A254)+SUMIFS(SALIDAS_BOV2,FECHA_BOV2,"&gt;="&amp;BP$2,FECHA_BOV2,"&lt;="&amp;BP$3,CLAVE_BOV2,$A254)+SUMIFS(SALIDAS_BOV3,FECHA_BOV3,"&gt;="&amp;BP$2,FECHA_BOV3,"&lt;="&amp;BP$3,CLAVE_BOV3,$A254)+SUMIFS(SALIDAS_TC,FECHA_TC,"&gt;="&amp;BP$2,FECHA_TC,"&lt;="&amp;BP$3,CLAVE_TC,$A254)+SUMIFS(SALIDAS_COMB,FECHA_COMB,"&gt;="&amp;BP$2,FECHA_COMB,"&lt;="&amp;BP$3,CLAVE_COMB,$A254)+SUMIFS(SALIDAS_DES,FECHA_DESGLOSEN,"&gt;="&amp;BP$2,FECHA_DESGLOSEN,"&lt;="&amp;BP$3,CLAVE_DESGLOSE,$A254)</f>
        <v>0</v>
      </c>
      <c r="BQ254" s="13">
        <f>SUMIFS(SALIDAS_BIT,FECHA_BIT,"&gt;="&amp;BQ$2,FECHA_BIT,"&lt;="&amp;BQ$3,CLAVE_BIT,$A254)+SUMIFS(SALIDAS_BOV1,FECHA_BOV1,"&gt;="&amp;BQ$2,FECHA_BOV1,"&lt;="&amp;BQ$3,CLAVE_BOV1,$A254)+SUMIFS(SALIDAS_BOV2,FECHA_BOV2,"&gt;="&amp;BQ$2,FECHA_BOV2,"&lt;="&amp;BQ$3,CLAVE_BOV2,$A254)+SUMIFS(SALIDAS_BOV3,FECHA_BOV3,"&gt;="&amp;BQ$2,FECHA_BOV3,"&lt;="&amp;BQ$3,CLAVE_BOV3,$A254)+SUMIFS(SALIDAS_TC,FECHA_TC,"&gt;="&amp;BQ$2,FECHA_TC,"&lt;="&amp;BQ$3,CLAVE_TC,$A254)+SUMIFS(SALIDAS_COMB,FECHA_COMB,"&gt;="&amp;BQ$2,FECHA_COMB,"&lt;="&amp;BQ$3,CLAVE_COMB,$A254)+SUMIFS(SALIDAS_DES,FECHA_DESGLOSEN,"&gt;="&amp;BQ$2,FECHA_DESGLOSEN,"&lt;="&amp;BQ$3,CLAVE_DESGLOSE,$A254)</f>
        <v>0</v>
      </c>
      <c r="BR254" s="13">
        <f t="shared" si="427"/>
        <v>0</v>
      </c>
      <c r="BS254" s="68">
        <f t="shared" si="367"/>
        <v>0</v>
      </c>
      <c r="BT254" s="268">
        <f t="shared" si="368"/>
        <v>0</v>
      </c>
      <c r="BU254" s="13">
        <f t="shared" si="369"/>
        <v>0</v>
      </c>
      <c r="BV254" s="13">
        <f t="shared" si="389"/>
        <v>0</v>
      </c>
      <c r="BW254" s="13">
        <f t="shared" si="389"/>
        <v>0</v>
      </c>
      <c r="BX254" s="13">
        <f t="shared" si="389"/>
        <v>0</v>
      </c>
      <c r="BY254" s="13">
        <f t="shared" si="389"/>
        <v>0</v>
      </c>
      <c r="BZ254" s="13">
        <f t="shared" si="428"/>
        <v>0</v>
      </c>
      <c r="CA254" s="68">
        <f t="shared" si="370"/>
        <v>0</v>
      </c>
      <c r="CB254" s="268">
        <f t="shared" si="371"/>
        <v>0</v>
      </c>
      <c r="CC254" s="13">
        <f t="shared" si="372"/>
        <v>0</v>
      </c>
      <c r="CD254" s="13">
        <f t="shared" si="390"/>
        <v>0</v>
      </c>
      <c r="CE254" s="13">
        <f t="shared" si="390"/>
        <v>0</v>
      </c>
      <c r="CF254" s="13">
        <f t="shared" si="390"/>
        <v>0</v>
      </c>
      <c r="CG254" s="13">
        <f t="shared" si="390"/>
        <v>0</v>
      </c>
      <c r="CH254" s="13">
        <f t="shared" si="429"/>
        <v>0</v>
      </c>
      <c r="CI254" s="68">
        <f t="shared" si="373"/>
        <v>0</v>
      </c>
      <c r="CJ254" s="268">
        <f t="shared" si="374"/>
        <v>0</v>
      </c>
      <c r="CK254" s="13">
        <f t="shared" si="375"/>
        <v>0</v>
      </c>
      <c r="CL254" s="13">
        <f t="shared" si="400"/>
        <v>0</v>
      </c>
      <c r="CM254" s="13">
        <f t="shared" si="400"/>
        <v>0</v>
      </c>
      <c r="CN254" s="13">
        <f t="shared" si="400"/>
        <v>0</v>
      </c>
      <c r="CO254" s="13">
        <f t="shared" si="400"/>
        <v>0</v>
      </c>
      <c r="CP254" s="13">
        <f t="shared" si="400"/>
        <v>0</v>
      </c>
      <c r="CQ254" s="13">
        <f t="shared" si="430"/>
        <v>0</v>
      </c>
      <c r="CR254" s="68">
        <f t="shared" si="376"/>
        <v>0</v>
      </c>
      <c r="CS254" s="268">
        <f t="shared" si="377"/>
        <v>0</v>
      </c>
      <c r="CT254" s="68">
        <f t="shared" si="350"/>
        <v>0</v>
      </c>
      <c r="CU254" s="13">
        <f>SUMIFS(SALIDAS_BIT,FECHA_BIT,"&gt;="&amp;CU$2,FECHA_BIT,"&lt;="&amp;CU$3,CLAVE_BIT,$A254)+SUMIFS(SALIDAS_BOV1,FECHA_BOV1,"&gt;="&amp;CU$2,FECHA_BOV1,"&lt;="&amp;CU$3,CLAVE_BOV1,$A254)+SUMIFS(SALIDAS_BOV2,FECHA_BOV2,"&gt;="&amp;CU$2,FECHA_BOV2,"&lt;="&amp;CU$3,CLAVE_BOV2,$A254)+SUMIFS(SALIDAS_BOV3,FECHA_BOV3,"&gt;="&amp;CU$2,FECHA_BOV3,"&lt;="&amp;CU$3,CLAVE_BOV3,$A254)+SUMIFS(SALIDAS_TC,FECHA_TC,"&gt;="&amp;CU$2,FECHA_TC,"&lt;="&amp;CU$3,CLAVE_TC,$A254)+SUMIFS(SALIDAS_COMB,FECHA_COMB,"&gt;="&amp;CU$2,FECHA_COMB,"&lt;="&amp;CU$3,CLAVE_COMB,$A254)+SUMIFS(SALIDAS_DES,FECHA_DESGLOSEN,"&gt;="&amp;CU$2,FECHA_DESGLOSEN,"&lt;="&amp;CU$3,CLAVE_DESGLOSE,$A254)</f>
        <v>0</v>
      </c>
      <c r="CV254" s="13">
        <f>SUMIFS(SALIDAS_BIT,FECHA_BIT,"&gt;="&amp;CV$2,FECHA_BIT,"&lt;="&amp;CV$3,CLAVE_BIT,$A254)+SUMIFS(SALIDAS_BOV1,FECHA_BOV1,"&gt;="&amp;CV$2,FECHA_BOV1,"&lt;="&amp;CV$3,CLAVE_BOV1,$A254)+SUMIFS(SALIDAS_BOV2,FECHA_BOV2,"&gt;="&amp;CV$2,FECHA_BOV2,"&lt;="&amp;CV$3,CLAVE_BOV2,$A254)+SUMIFS(SALIDAS_BOV3,FECHA_BOV3,"&gt;="&amp;CV$2,FECHA_BOV3,"&lt;="&amp;CV$3,CLAVE_BOV3,$A254)+SUMIFS(SALIDAS_TC,FECHA_TC,"&gt;="&amp;CV$2,FECHA_TC,"&lt;="&amp;CV$3,CLAVE_TC,$A254)+SUMIFS(SALIDAS_COMB,FECHA_COMB,"&gt;="&amp;CV$2,FECHA_COMB,"&lt;="&amp;CV$3,CLAVE_COMB,$A254)+SUMIFS(SALIDAS_DES,FECHA_DESGLOSEN,"&gt;="&amp;CV$2,FECHA_DESGLOSEN,"&lt;="&amp;CV$3,CLAVE_DESGLOSE,$A254)</f>
        <v>0</v>
      </c>
      <c r="CW254" s="13">
        <f>SUMIFS(SALIDAS_BIT,FECHA_BIT,"&gt;="&amp;CW$2,FECHA_BIT,"&lt;="&amp;CW$3,CLAVE_BIT,$A254)+SUMIFS(SALIDAS_BOV1,FECHA_BOV1,"&gt;="&amp;CW$2,FECHA_BOV1,"&lt;="&amp;CW$3,CLAVE_BOV1,$A254)+SUMIFS(SALIDAS_BOV2,FECHA_BOV2,"&gt;="&amp;CW$2,FECHA_BOV2,"&lt;="&amp;CW$3,CLAVE_BOV2,$A254)+SUMIFS(SALIDAS_BOV3,FECHA_BOV3,"&gt;="&amp;CW$2,FECHA_BOV3,"&lt;="&amp;CW$3,CLAVE_BOV3,$A254)+SUMIFS(SALIDAS_TC,FECHA_TC,"&gt;="&amp;CW$2,FECHA_TC,"&lt;="&amp;CW$3,CLAVE_TC,$A254)+SUMIFS(SALIDAS_COMB,FECHA_COMB,"&gt;="&amp;CW$2,FECHA_COMB,"&lt;="&amp;CW$3,CLAVE_COMB,$A254)+SUMIFS(SALIDAS_DES,FECHA_DESGLOSEN,"&gt;="&amp;CW$2,FECHA_DESGLOSEN,"&lt;="&amp;CW$3,CLAVE_DESGLOSE,$A254)</f>
        <v>0</v>
      </c>
      <c r="CX254" s="13">
        <f>SUMIFS(SALIDAS_BIT,FECHA_BIT,"&gt;="&amp;CX$2,FECHA_BIT,"&lt;="&amp;CX$3,CLAVE_BIT,$A254)+SUMIFS(SALIDAS_BOV1,FECHA_BOV1,"&gt;="&amp;CX$2,FECHA_BOV1,"&lt;="&amp;CX$3,CLAVE_BOV1,$A254)+SUMIFS(SALIDAS_BOV2,FECHA_BOV2,"&gt;="&amp;CX$2,FECHA_BOV2,"&lt;="&amp;CX$3,CLAVE_BOV2,$A254)+SUMIFS(SALIDAS_BOV3,FECHA_BOV3,"&gt;="&amp;CX$2,FECHA_BOV3,"&lt;="&amp;CX$3,CLAVE_BOV3,$A254)+SUMIFS(SALIDAS_TC,FECHA_TC,"&gt;="&amp;CX$2,FECHA_TC,"&lt;="&amp;CX$3,CLAVE_TC,$A254)+SUMIFS(SALIDAS_COMB,FECHA_COMB,"&gt;="&amp;CX$2,FECHA_COMB,"&lt;="&amp;CX$3,CLAVE_COMB,$A254)+SUMIFS(SALIDAS_DES,FECHA_DESGLOSEN,"&gt;="&amp;CX$2,FECHA_DESGLOSEN,"&lt;="&amp;CX$3,CLAVE_DESGLOSE,$A254)</f>
        <v>0</v>
      </c>
      <c r="CY254" s="13">
        <f>SUMIFS(SALIDAS_BIT,FECHA_BIT,"&gt;="&amp;CY$2,FECHA_BIT,"&lt;="&amp;CY$3,CLAVE_BIT,$A254)+SUMIFS(SALIDAS_BOV1,FECHA_BOV1,"&gt;="&amp;CY$2,FECHA_BOV1,"&lt;="&amp;CY$3,CLAVE_BOV1,$A254)+SUMIFS(SALIDAS_BOV2,FECHA_BOV2,"&gt;="&amp;CY$2,FECHA_BOV2,"&lt;="&amp;CY$3,CLAVE_BOV2,$A254)+SUMIFS(SALIDAS_BOV3,FECHA_BOV3,"&gt;="&amp;CY$2,FECHA_BOV3,"&lt;="&amp;CY$3,CLAVE_BOV3,$A254)+SUMIFS(SALIDAS_TC,FECHA_TC,"&gt;="&amp;CY$2,FECHA_TC,"&lt;="&amp;CY$3,CLAVE_TC,$A254)+SUMIFS(SALIDAS_COMB,FECHA_COMB,"&gt;="&amp;CY$2,FECHA_COMB,"&lt;="&amp;CY$3,CLAVE_COMB,$A254)+SUMIFS(SALIDAS_DES,FECHA_DESGLOSEN,"&gt;="&amp;CY$2,FECHA_DESGLOSEN,"&lt;="&amp;CY$3,CLAVE_DESGLOSE,$A254)</f>
        <v>0</v>
      </c>
      <c r="CZ254" s="68">
        <f t="shared" si="378"/>
        <v>0</v>
      </c>
      <c r="DB254" s="17">
        <f>F254+N254+W254+AE254+AM254+AV254+BD254+BL254+BU254+CC254+CK254</f>
        <v>13000</v>
      </c>
      <c r="DC254" s="17">
        <f>K254+T254+AB254+AJ254+AS254+BA254+BI254+BR254+BZ254+CH254+CQ254</f>
        <v>12631.97</v>
      </c>
    </row>
    <row r="255" spans="1:107" hidden="1">
      <c r="A255" s="12" t="str">
        <f t="shared" si="351"/>
        <v>SGECUOTAS Y SUSCRIPCIONESZOOM</v>
      </c>
      <c r="B255">
        <v>257</v>
      </c>
      <c r="C255" t="s">
        <v>39</v>
      </c>
      <c r="D255" t="s">
        <v>51</v>
      </c>
      <c r="E255" t="s">
        <v>56</v>
      </c>
      <c r="F255" s="259">
        <f t="shared" si="344"/>
        <v>2000</v>
      </c>
      <c r="G255" s="13">
        <f t="shared" si="422"/>
        <v>0</v>
      </c>
      <c r="H255" s="13">
        <f t="shared" si="422"/>
        <v>0</v>
      </c>
      <c r="I255" s="13">
        <f t="shared" si="422"/>
        <v>0</v>
      </c>
      <c r="J255" s="13">
        <f t="shared" si="422"/>
        <v>1942.43</v>
      </c>
      <c r="K255" s="13">
        <f t="shared" si="422"/>
        <v>1942.43</v>
      </c>
      <c r="L255" s="68">
        <f t="shared" si="352"/>
        <v>57.569999999999936</v>
      </c>
      <c r="M255" s="268">
        <f t="shared" si="353"/>
        <v>0.97121500000000005</v>
      </c>
      <c r="N255" s="13">
        <f t="shared" si="345"/>
        <v>2000</v>
      </c>
      <c r="O255" s="13">
        <f t="shared" si="423"/>
        <v>0</v>
      </c>
      <c r="P255" s="13">
        <f t="shared" si="423"/>
        <v>0</v>
      </c>
      <c r="Q255" s="13">
        <f t="shared" si="423"/>
        <v>0</v>
      </c>
      <c r="R255" s="13">
        <f t="shared" si="423"/>
        <v>1937.72</v>
      </c>
      <c r="S255" s="13">
        <f t="shared" si="423"/>
        <v>0</v>
      </c>
      <c r="T255" s="13">
        <f t="shared" si="423"/>
        <v>1937.72</v>
      </c>
      <c r="U255" s="68">
        <f t="shared" si="354"/>
        <v>62.279999999999973</v>
      </c>
      <c r="V255" s="268">
        <f t="shared" si="355"/>
        <v>0.96886000000000005</v>
      </c>
      <c r="W255" s="13">
        <f t="shared" si="346"/>
        <v>2000</v>
      </c>
      <c r="X255" s="13">
        <f t="shared" si="424"/>
        <v>0</v>
      </c>
      <c r="Y255" s="13">
        <f t="shared" si="424"/>
        <v>0</v>
      </c>
      <c r="Z255" s="13">
        <f t="shared" si="424"/>
        <v>0</v>
      </c>
      <c r="AA255" s="13">
        <f t="shared" si="424"/>
        <v>1925.48</v>
      </c>
      <c r="AB255" s="13">
        <f t="shared" si="424"/>
        <v>1925.48</v>
      </c>
      <c r="AC255" s="68">
        <f t="shared" si="356"/>
        <v>74.519999999999982</v>
      </c>
      <c r="AD255" s="268">
        <f t="shared" si="357"/>
        <v>0.96274000000000004</v>
      </c>
      <c r="AE255" s="13">
        <f t="shared" si="347"/>
        <v>2000</v>
      </c>
      <c r="AF255" s="13">
        <f t="shared" si="425"/>
        <v>0</v>
      </c>
      <c r="AG255" s="13">
        <f t="shared" si="425"/>
        <v>0</v>
      </c>
      <c r="AH255" s="13">
        <f t="shared" si="425"/>
        <v>0</v>
      </c>
      <c r="AI255" s="13">
        <f t="shared" si="425"/>
        <v>1869.42</v>
      </c>
      <c r="AJ255" s="13">
        <f t="shared" si="425"/>
        <v>1869.42</v>
      </c>
      <c r="AK255" s="68">
        <f t="shared" si="358"/>
        <v>130.57999999999993</v>
      </c>
      <c r="AL255" s="268">
        <f t="shared" si="359"/>
        <v>0.93471000000000004</v>
      </c>
      <c r="AM255" s="13">
        <f t="shared" si="348"/>
        <v>2000</v>
      </c>
      <c r="AN255" s="13">
        <f t="shared" si="426"/>
        <v>0</v>
      </c>
      <c r="AO255" s="13">
        <f t="shared" si="426"/>
        <v>0</v>
      </c>
      <c r="AP255" s="13">
        <f t="shared" si="426"/>
        <v>0</v>
      </c>
      <c r="AQ255" s="13">
        <f t="shared" si="426"/>
        <v>1835.81</v>
      </c>
      <c r="AR255" s="13">
        <f t="shared" si="426"/>
        <v>0</v>
      </c>
      <c r="AS255" s="13">
        <f t="shared" si="426"/>
        <v>1835.81</v>
      </c>
      <c r="AT255" s="68">
        <f>AM255-AS255</f>
        <v>164.19000000000005</v>
      </c>
      <c r="AU255" s="268">
        <f t="shared" si="360"/>
        <v>0.91790499999999997</v>
      </c>
      <c r="AV255" s="13">
        <f t="shared" si="349"/>
        <v>2000</v>
      </c>
      <c r="AW255" s="13">
        <f t="shared" si="421"/>
        <v>0</v>
      </c>
      <c r="AX255" s="13">
        <f t="shared" si="421"/>
        <v>0</v>
      </c>
      <c r="AY255" s="13">
        <f t="shared" si="421"/>
        <v>0</v>
      </c>
      <c r="AZ255" s="13">
        <f t="shared" si="421"/>
        <v>1938.26</v>
      </c>
      <c r="BA255" s="13">
        <f t="shared" si="379"/>
        <v>1938.26</v>
      </c>
      <c r="BB255" s="68">
        <f t="shared" si="361"/>
        <v>61.740000000000009</v>
      </c>
      <c r="BC255" s="268">
        <f t="shared" si="362"/>
        <v>0.96913000000000005</v>
      </c>
      <c r="BD255" s="13">
        <f t="shared" si="363"/>
        <v>2000</v>
      </c>
      <c r="BE255" s="13">
        <f>SUMIFS(SALIDAS_BIT,FECHA_BIT,"&gt;="&amp;BE$2,FECHA_BIT,"&lt;="&amp;BE$3,CLAVE_BIT,$A255)+SUMIFS(SALIDAS_BOV1,FECHA_BOV1,"&gt;="&amp;BE$2,FECHA_BOV1,"&lt;="&amp;BE$3,CLAVE_BOV1,$A255)+SUMIFS(SALIDAS_BOV2,FECHA_BOV2,"&gt;="&amp;BE$2,FECHA_BOV2,"&lt;="&amp;BE$3,CLAVE_BOV2,$A255)+SUMIFS(SALIDAS_BOV3,FECHA_BOV3,"&gt;="&amp;BE$2,FECHA_BOV3,"&lt;="&amp;BE$3,CLAVE_BOV3,$A255)+SUMIFS(SALIDAS_TC,FECHA_TC,"&gt;="&amp;BE$2,FECHA_TC,"&lt;="&amp;BE$3,CLAVE_TC,$A255)+SUMIFS(SALIDAS_COMB,FECHA_COMB,"&gt;="&amp;BE$2,FECHA_COMB,"&lt;="&amp;BE$3,CLAVE_COMB,$A255)+SUMIFS(SALIDAS_DES,FECHA_DESGLOSEN,"&gt;="&amp;BE$2,FECHA_DESGLOSEN,"&lt;="&amp;BE$3,CLAVE_DESGLOSE,$A255)</f>
        <v>0</v>
      </c>
      <c r="BF255" s="13">
        <f>SUMIFS(SALIDAS_BIT,FECHA_BIT,"&gt;="&amp;BF$2,FECHA_BIT,"&lt;="&amp;BF$3,CLAVE_BIT,$A255)+SUMIFS(SALIDAS_BOV1,FECHA_BOV1,"&gt;="&amp;BF$2,FECHA_BOV1,"&lt;="&amp;BF$3,CLAVE_BOV1,$A255)+SUMIFS(SALIDAS_BOV2,FECHA_BOV2,"&gt;="&amp;BF$2,FECHA_BOV2,"&lt;="&amp;BF$3,CLAVE_BOV2,$A255)+SUMIFS(SALIDAS_BOV3,FECHA_BOV3,"&gt;="&amp;BF$2,FECHA_BOV3,"&lt;="&amp;BF$3,CLAVE_BOV3,$A255)+SUMIFS(SALIDAS_TC,FECHA_TC,"&gt;="&amp;BF$2,FECHA_TC,"&lt;="&amp;BF$3,CLAVE_TC,$A255)+SUMIFS(SALIDAS_COMB,FECHA_COMB,"&gt;="&amp;BF$2,FECHA_COMB,"&lt;="&amp;BF$3,CLAVE_COMB,$A255)+SUMIFS(SALIDAS_DES,FECHA_DESGLOSEN,"&gt;="&amp;BF$2,FECHA_DESGLOSEN,"&lt;="&amp;BF$3,CLAVE_DESGLOSE,$A255)</f>
        <v>0</v>
      </c>
      <c r="BG255" s="13">
        <f>SUMIFS(SALIDAS_BIT,FECHA_BIT,"&gt;="&amp;BG$2,FECHA_BIT,"&lt;="&amp;BG$3,CLAVE_BIT,$A255)+SUMIFS(SALIDAS_BOV1,FECHA_BOV1,"&gt;="&amp;BG$2,FECHA_BOV1,"&lt;="&amp;BG$3,CLAVE_BOV1,$A255)+SUMIFS(SALIDAS_BOV2,FECHA_BOV2,"&gt;="&amp;BG$2,FECHA_BOV2,"&lt;="&amp;BG$3,CLAVE_BOV2,$A255)+SUMIFS(SALIDAS_BOV3,FECHA_BOV3,"&gt;="&amp;BG$2,FECHA_BOV3,"&lt;="&amp;BG$3,CLAVE_BOV3,$A255)+SUMIFS(SALIDAS_TC,FECHA_TC,"&gt;="&amp;BG$2,FECHA_TC,"&lt;="&amp;BG$3,CLAVE_TC,$A255)+SUMIFS(SALIDAS_COMB,FECHA_COMB,"&gt;="&amp;BG$2,FECHA_COMB,"&lt;="&amp;BG$3,CLAVE_COMB,$A255)+SUMIFS(SALIDAS_DES,FECHA_DESGLOSEN,"&gt;="&amp;BG$2,FECHA_DESGLOSEN,"&lt;="&amp;BG$3,CLAVE_DESGLOSE,$A255)</f>
        <v>0</v>
      </c>
      <c r="BH255" s="13">
        <f>SUMIFS(SALIDAS_BIT,FECHA_BIT,"&gt;="&amp;BH$2,FECHA_BIT,"&lt;="&amp;BH$3,CLAVE_BIT,$A255)+SUMIFS(SALIDAS_BOV1,FECHA_BOV1,"&gt;="&amp;BH$2,FECHA_BOV1,"&lt;="&amp;BH$3,CLAVE_BOV1,$A255)+SUMIFS(SALIDAS_BOV2,FECHA_BOV2,"&gt;="&amp;BH$2,FECHA_BOV2,"&lt;="&amp;BH$3,CLAVE_BOV2,$A255)+SUMIFS(SALIDAS_BOV3,FECHA_BOV3,"&gt;="&amp;BH$2,FECHA_BOV3,"&lt;="&amp;BH$3,CLAVE_BOV3,$A255)+SUMIFS(SALIDAS_TC,FECHA_TC,"&gt;="&amp;BH$2,FECHA_TC,"&lt;="&amp;BH$3,CLAVE_TC,$A255)+SUMIFS(SALIDAS_COMB,FECHA_COMB,"&gt;="&amp;BH$2,FECHA_COMB,"&lt;="&amp;BH$3,CLAVE_COMB,$A255)+SUMIFS(SALIDAS_DES,FECHA_DESGLOSEN,"&gt;="&amp;BH$2,FECHA_DESGLOSEN,"&lt;="&amp;BH$3,CLAVE_DESGLOSE,$A255)</f>
        <v>1879.64</v>
      </c>
      <c r="BI255" s="13">
        <f t="shared" si="419"/>
        <v>1879.64</v>
      </c>
      <c r="BJ255" s="68">
        <f t="shared" si="364"/>
        <v>120.3599999999999</v>
      </c>
      <c r="BK255" s="268">
        <f t="shared" si="365"/>
        <v>0.9398200000000001</v>
      </c>
      <c r="BL255" s="13">
        <f t="shared" si="366"/>
        <v>2000</v>
      </c>
      <c r="BM255" s="13">
        <f>SUMIFS(SALIDAS_BIT,FECHA_BIT,"&gt;="&amp;BM$2,FECHA_BIT,"&lt;="&amp;BM$3,CLAVE_BIT,$A255)+SUMIFS(SALIDAS_BOV1,FECHA_BOV1,"&gt;="&amp;BM$2,FECHA_BOV1,"&lt;="&amp;BM$3,CLAVE_BOV1,$A255)+SUMIFS(SALIDAS_BOV2,FECHA_BOV2,"&gt;="&amp;BM$2,FECHA_BOV2,"&lt;="&amp;BM$3,CLAVE_BOV2,$A255)+SUMIFS(SALIDAS_BOV3,FECHA_BOV3,"&gt;="&amp;BM$2,FECHA_BOV3,"&lt;="&amp;BM$3,CLAVE_BOV3,$A255)+SUMIFS(SALIDAS_TC,FECHA_TC,"&gt;="&amp;BM$2,FECHA_TC,"&lt;="&amp;BM$3,CLAVE_TC,$A255)+SUMIFS(SALIDAS_COMB,FECHA_COMB,"&gt;="&amp;BM$2,FECHA_COMB,"&lt;="&amp;BM$3,CLAVE_COMB,$A255)+SUMIFS(SALIDAS_DES,FECHA_DESGLOSEN,"&gt;="&amp;BM$2,FECHA_DESGLOSEN,"&lt;="&amp;BM$3,CLAVE_DESGLOSE,$A255)</f>
        <v>0</v>
      </c>
      <c r="BN255" s="13">
        <f>SUMIFS(SALIDAS_BIT,FECHA_BIT,"&gt;="&amp;BN$2,FECHA_BIT,"&lt;="&amp;BN$3,CLAVE_BIT,$A255)+SUMIFS(SALIDAS_BOV1,FECHA_BOV1,"&gt;="&amp;BN$2,FECHA_BOV1,"&lt;="&amp;BN$3,CLAVE_BOV1,$A255)+SUMIFS(SALIDAS_BOV2,FECHA_BOV2,"&gt;="&amp;BN$2,FECHA_BOV2,"&lt;="&amp;BN$3,CLAVE_BOV2,$A255)+SUMIFS(SALIDAS_BOV3,FECHA_BOV3,"&gt;="&amp;BN$2,FECHA_BOV3,"&lt;="&amp;BN$3,CLAVE_BOV3,$A255)+SUMIFS(SALIDAS_TC,FECHA_TC,"&gt;="&amp;BN$2,FECHA_TC,"&lt;="&amp;BN$3,CLAVE_TC,$A255)+SUMIFS(SALIDAS_COMB,FECHA_COMB,"&gt;="&amp;BN$2,FECHA_COMB,"&lt;="&amp;BN$3,CLAVE_COMB,$A255)+SUMIFS(SALIDAS_DES,FECHA_DESGLOSEN,"&gt;="&amp;BN$2,FECHA_DESGLOSEN,"&lt;="&amp;BN$3,CLAVE_DESGLOSE,$A255)</f>
        <v>0</v>
      </c>
      <c r="BO255" s="13">
        <f>SUMIFS(SALIDAS_BIT,FECHA_BIT,"&gt;="&amp;BO$2,FECHA_BIT,"&lt;="&amp;BO$3,CLAVE_BIT,$A255)+SUMIFS(SALIDAS_BOV1,FECHA_BOV1,"&gt;="&amp;BO$2,FECHA_BOV1,"&lt;="&amp;BO$3,CLAVE_BOV1,$A255)+SUMIFS(SALIDAS_BOV2,FECHA_BOV2,"&gt;="&amp;BO$2,FECHA_BOV2,"&lt;="&amp;BO$3,CLAVE_BOV2,$A255)+SUMIFS(SALIDAS_BOV3,FECHA_BOV3,"&gt;="&amp;BO$2,FECHA_BOV3,"&lt;="&amp;BO$3,CLAVE_BOV3,$A255)+SUMIFS(SALIDAS_TC,FECHA_TC,"&gt;="&amp;BO$2,FECHA_TC,"&lt;="&amp;BO$3,CLAVE_TC,$A255)+SUMIFS(SALIDAS_COMB,FECHA_COMB,"&gt;="&amp;BO$2,FECHA_COMB,"&lt;="&amp;BO$3,CLAVE_COMB,$A255)+SUMIFS(SALIDAS_DES,FECHA_DESGLOSEN,"&gt;="&amp;BO$2,FECHA_DESGLOSEN,"&lt;="&amp;BO$3,CLAVE_DESGLOSE,$A255)</f>
        <v>0</v>
      </c>
      <c r="BP255" s="13">
        <f>SUMIFS(SALIDAS_BIT,FECHA_BIT,"&gt;="&amp;BP$2,FECHA_BIT,"&lt;="&amp;BP$3,CLAVE_BIT,$A255)+SUMIFS(SALIDAS_BOV1,FECHA_BOV1,"&gt;="&amp;BP$2,FECHA_BOV1,"&lt;="&amp;BP$3,CLAVE_BOV1,$A255)+SUMIFS(SALIDAS_BOV2,FECHA_BOV2,"&gt;="&amp;BP$2,FECHA_BOV2,"&lt;="&amp;BP$3,CLAVE_BOV2,$A255)+SUMIFS(SALIDAS_BOV3,FECHA_BOV3,"&gt;="&amp;BP$2,FECHA_BOV3,"&lt;="&amp;BP$3,CLAVE_BOV3,$A255)+SUMIFS(SALIDAS_TC,FECHA_TC,"&gt;="&amp;BP$2,FECHA_TC,"&lt;="&amp;BP$3,CLAVE_TC,$A255)+SUMIFS(SALIDAS_COMB,FECHA_COMB,"&gt;="&amp;BP$2,FECHA_COMB,"&lt;="&amp;BP$3,CLAVE_COMB,$A255)+SUMIFS(SALIDAS_DES,FECHA_DESGLOSEN,"&gt;="&amp;BP$2,FECHA_DESGLOSEN,"&lt;="&amp;BP$3,CLAVE_DESGLOSE,$A255)</f>
        <v>1881.82</v>
      </c>
      <c r="BQ255" s="13">
        <f>SUMIFS(SALIDAS_BIT,FECHA_BIT,"&gt;="&amp;BQ$2,FECHA_BIT,"&lt;="&amp;BQ$3,CLAVE_BIT,$A255)+SUMIFS(SALIDAS_BOV1,FECHA_BOV1,"&gt;="&amp;BQ$2,FECHA_BOV1,"&lt;="&amp;BQ$3,CLAVE_BOV1,$A255)+SUMIFS(SALIDAS_BOV2,FECHA_BOV2,"&gt;="&amp;BQ$2,FECHA_BOV2,"&lt;="&amp;BQ$3,CLAVE_BOV2,$A255)+SUMIFS(SALIDAS_BOV3,FECHA_BOV3,"&gt;="&amp;BQ$2,FECHA_BOV3,"&lt;="&amp;BQ$3,CLAVE_BOV3,$A255)+SUMIFS(SALIDAS_TC,FECHA_TC,"&gt;="&amp;BQ$2,FECHA_TC,"&lt;="&amp;BQ$3,CLAVE_TC,$A255)+SUMIFS(SALIDAS_COMB,FECHA_COMB,"&gt;="&amp;BQ$2,FECHA_COMB,"&lt;="&amp;BQ$3,CLAVE_COMB,$A255)+SUMIFS(SALIDAS_DES,FECHA_DESGLOSEN,"&gt;="&amp;BQ$2,FECHA_DESGLOSEN,"&lt;="&amp;BQ$3,CLAVE_DESGLOSE,$A255)</f>
        <v>0</v>
      </c>
      <c r="BR255" s="13">
        <f t="shared" si="427"/>
        <v>1881.82</v>
      </c>
      <c r="BS255" s="68">
        <f t="shared" si="367"/>
        <v>118.18000000000006</v>
      </c>
      <c r="BT255" s="268">
        <f t="shared" si="368"/>
        <v>0.94090999999999991</v>
      </c>
      <c r="BU255" s="13">
        <f t="shared" si="369"/>
        <v>2000</v>
      </c>
      <c r="BV255" s="13">
        <f t="shared" si="389"/>
        <v>0</v>
      </c>
      <c r="BW255" s="13">
        <f t="shared" si="389"/>
        <v>0</v>
      </c>
      <c r="BX255" s="13">
        <f t="shared" si="389"/>
        <v>0</v>
      </c>
      <c r="BY255" s="13">
        <f t="shared" si="389"/>
        <v>1854.32</v>
      </c>
      <c r="BZ255" s="13">
        <f t="shared" si="428"/>
        <v>1854.32</v>
      </c>
      <c r="CA255" s="68">
        <f t="shared" si="370"/>
        <v>145.68000000000006</v>
      </c>
      <c r="CB255" s="268">
        <f t="shared" si="371"/>
        <v>0.92715999999999998</v>
      </c>
      <c r="CC255" s="13">
        <f t="shared" si="372"/>
        <v>2000</v>
      </c>
      <c r="CD255" s="13">
        <f t="shared" si="390"/>
        <v>0</v>
      </c>
      <c r="CE255" s="13">
        <f t="shared" si="390"/>
        <v>0</v>
      </c>
      <c r="CF255" s="13">
        <f t="shared" si="390"/>
        <v>0</v>
      </c>
      <c r="CG255" s="13">
        <f t="shared" si="390"/>
        <v>1892.42</v>
      </c>
      <c r="CH255" s="13">
        <f t="shared" si="429"/>
        <v>1892.42</v>
      </c>
      <c r="CI255" s="68">
        <f t="shared" si="373"/>
        <v>107.57999999999993</v>
      </c>
      <c r="CJ255" s="268">
        <f t="shared" si="374"/>
        <v>0.94621</v>
      </c>
      <c r="CK255" s="13">
        <f t="shared" si="375"/>
        <v>2000</v>
      </c>
      <c r="CL255" s="13">
        <f t="shared" si="400"/>
        <v>0</v>
      </c>
      <c r="CM255" s="13">
        <f t="shared" si="400"/>
        <v>0</v>
      </c>
      <c r="CN255" s="13">
        <f t="shared" si="400"/>
        <v>0</v>
      </c>
      <c r="CO255" s="13">
        <f t="shared" si="400"/>
        <v>1871.86</v>
      </c>
      <c r="CP255" s="13">
        <f t="shared" si="400"/>
        <v>0</v>
      </c>
      <c r="CQ255" s="13">
        <f t="shared" si="430"/>
        <v>1871.86</v>
      </c>
      <c r="CR255" s="68">
        <f t="shared" si="376"/>
        <v>128.1400000000001</v>
      </c>
      <c r="CS255" s="268">
        <f t="shared" si="377"/>
        <v>0.93592999999999993</v>
      </c>
      <c r="CT255" s="68">
        <f t="shared" si="350"/>
        <v>1701</v>
      </c>
      <c r="CU255" s="13">
        <f>SUMIFS(SALIDAS_BIT,FECHA_BIT,"&gt;="&amp;CU$2,FECHA_BIT,"&lt;="&amp;CU$3,CLAVE_BIT,$A255)+SUMIFS(SALIDAS_BOV1,FECHA_BOV1,"&gt;="&amp;CU$2,FECHA_BOV1,"&lt;="&amp;CU$3,CLAVE_BOV1,$A255)+SUMIFS(SALIDAS_BOV2,FECHA_BOV2,"&gt;="&amp;CU$2,FECHA_BOV2,"&lt;="&amp;CU$3,CLAVE_BOV2,$A255)+SUMIFS(SALIDAS_BOV3,FECHA_BOV3,"&gt;="&amp;CU$2,FECHA_BOV3,"&lt;="&amp;CU$3,CLAVE_BOV3,$A255)+SUMIFS(SALIDAS_TC,FECHA_TC,"&gt;="&amp;CU$2,FECHA_TC,"&lt;="&amp;CU$3,CLAVE_TC,$A255)+SUMIFS(SALIDAS_COMB,FECHA_COMB,"&gt;="&amp;CU$2,FECHA_COMB,"&lt;="&amp;CU$3,CLAVE_COMB,$A255)+SUMIFS(SALIDAS_DES,FECHA_DESGLOSEN,"&gt;="&amp;CU$2,FECHA_DESGLOSEN,"&lt;="&amp;CU$3,CLAVE_DESGLOSE,$A255)</f>
        <v>0</v>
      </c>
      <c r="CV255" s="13">
        <f>SUMIFS(SALIDAS_BIT,FECHA_BIT,"&gt;="&amp;CV$2,FECHA_BIT,"&lt;="&amp;CV$3,CLAVE_BIT,$A255)+SUMIFS(SALIDAS_BOV1,FECHA_BOV1,"&gt;="&amp;CV$2,FECHA_BOV1,"&lt;="&amp;CV$3,CLAVE_BOV1,$A255)+SUMIFS(SALIDAS_BOV2,FECHA_BOV2,"&gt;="&amp;CV$2,FECHA_BOV2,"&lt;="&amp;CV$3,CLAVE_BOV2,$A255)+SUMIFS(SALIDAS_BOV3,FECHA_BOV3,"&gt;="&amp;CV$2,FECHA_BOV3,"&lt;="&amp;CV$3,CLAVE_BOV3,$A255)+SUMIFS(SALIDAS_TC,FECHA_TC,"&gt;="&amp;CV$2,FECHA_TC,"&lt;="&amp;CV$3,CLAVE_TC,$A255)+SUMIFS(SALIDAS_COMB,FECHA_COMB,"&gt;="&amp;CV$2,FECHA_COMB,"&lt;="&amp;CV$3,CLAVE_COMB,$A255)+SUMIFS(SALIDAS_DES,FECHA_DESGLOSEN,"&gt;="&amp;CV$2,FECHA_DESGLOSEN,"&lt;="&amp;CV$3,CLAVE_DESGLOSE,$A255)</f>
        <v>0</v>
      </c>
      <c r="CW255" s="13">
        <f>SUMIFS(SALIDAS_BIT,FECHA_BIT,"&gt;="&amp;CW$2,FECHA_BIT,"&lt;="&amp;CW$3,CLAVE_BIT,$A255)+SUMIFS(SALIDAS_BOV1,FECHA_BOV1,"&gt;="&amp;CW$2,FECHA_BOV1,"&lt;="&amp;CW$3,CLAVE_BOV1,$A255)+SUMIFS(SALIDAS_BOV2,FECHA_BOV2,"&gt;="&amp;CW$2,FECHA_BOV2,"&lt;="&amp;CW$3,CLAVE_BOV2,$A255)+SUMIFS(SALIDAS_BOV3,FECHA_BOV3,"&gt;="&amp;CW$2,FECHA_BOV3,"&lt;="&amp;CW$3,CLAVE_BOV3,$A255)+SUMIFS(SALIDAS_TC,FECHA_TC,"&gt;="&amp;CW$2,FECHA_TC,"&lt;="&amp;CW$3,CLAVE_TC,$A255)+SUMIFS(SALIDAS_COMB,FECHA_COMB,"&gt;="&amp;CW$2,FECHA_COMB,"&lt;="&amp;CW$3,CLAVE_COMB,$A255)+SUMIFS(SALIDAS_DES,FECHA_DESGLOSEN,"&gt;="&amp;CW$2,FECHA_DESGLOSEN,"&lt;="&amp;CW$3,CLAVE_DESGLOSE,$A255)</f>
        <v>0</v>
      </c>
      <c r="CX255" s="13">
        <f>SUMIFS(SALIDAS_BIT,FECHA_BIT,"&gt;="&amp;CX$2,FECHA_BIT,"&lt;="&amp;CX$3,CLAVE_BIT,$A255)+SUMIFS(SALIDAS_BOV1,FECHA_BOV1,"&gt;="&amp;CX$2,FECHA_BOV1,"&lt;="&amp;CX$3,CLAVE_BOV1,$A255)+SUMIFS(SALIDAS_BOV2,FECHA_BOV2,"&gt;="&amp;CX$2,FECHA_BOV2,"&lt;="&amp;CX$3,CLAVE_BOV2,$A255)+SUMIFS(SALIDAS_BOV3,FECHA_BOV3,"&gt;="&amp;CX$2,FECHA_BOV3,"&lt;="&amp;CX$3,CLAVE_BOV3,$A255)+SUMIFS(SALIDAS_TC,FECHA_TC,"&gt;="&amp;CX$2,FECHA_TC,"&lt;="&amp;CX$3,CLAVE_TC,$A255)+SUMIFS(SALIDAS_COMB,FECHA_COMB,"&gt;="&amp;CX$2,FECHA_COMB,"&lt;="&amp;CX$3,CLAVE_COMB,$A255)+SUMIFS(SALIDAS_DES,FECHA_DESGLOSEN,"&gt;="&amp;CX$2,FECHA_DESGLOSEN,"&lt;="&amp;CX$3,CLAVE_DESGLOSE,$A255)</f>
        <v>0</v>
      </c>
      <c r="CY255" s="13">
        <f>SUMIFS(SALIDAS_BIT,FECHA_BIT,"&gt;="&amp;CY$2,FECHA_BIT,"&lt;="&amp;CY$3,CLAVE_BIT,$A255)+SUMIFS(SALIDAS_BOV1,FECHA_BOV1,"&gt;="&amp;CY$2,FECHA_BOV1,"&lt;="&amp;CY$3,CLAVE_BOV1,$A255)+SUMIFS(SALIDAS_BOV2,FECHA_BOV2,"&gt;="&amp;CY$2,FECHA_BOV2,"&lt;="&amp;CY$3,CLAVE_BOV2,$A255)+SUMIFS(SALIDAS_BOV3,FECHA_BOV3,"&gt;="&amp;CY$2,FECHA_BOV3,"&lt;="&amp;CY$3,CLAVE_BOV3,$A255)+SUMIFS(SALIDAS_TC,FECHA_TC,"&gt;="&amp;CY$2,FECHA_TC,"&lt;="&amp;CY$3,CLAVE_TC,$A255)+SUMIFS(SALIDAS_COMB,FECHA_COMB,"&gt;="&amp;CY$2,FECHA_COMB,"&lt;="&amp;CY$3,CLAVE_COMB,$A255)+SUMIFS(SALIDAS_DES,FECHA_DESGLOSEN,"&gt;="&amp;CY$2,FECHA_DESGLOSEN,"&lt;="&amp;CY$3,CLAVE_DESGLOSE,$A255)</f>
        <v>0</v>
      </c>
      <c r="CZ255" s="68">
        <f t="shared" si="378"/>
        <v>1701</v>
      </c>
      <c r="DB255" s="17">
        <f>F255+N255+W255+AE255+AM255+AV255+BD255+BL255+BU255+CC255+CK255</f>
        <v>22000</v>
      </c>
      <c r="DC255" s="17">
        <f>K255+T255+AB255+AJ255+AS255+BA255+BI255+BR255+BZ255+CH255+CQ255</f>
        <v>20829.18</v>
      </c>
    </row>
    <row r="256" spans="1:107" hidden="1">
      <c r="A256" s="12" t="str">
        <f t="shared" si="351"/>
        <v>SGECUOTAS Y SUSCRIPCIONESFROGMI</v>
      </c>
      <c r="B256">
        <v>258</v>
      </c>
      <c r="C256" t="s">
        <v>39</v>
      </c>
      <c r="D256" t="s">
        <v>51</v>
      </c>
      <c r="E256" t="s">
        <v>57</v>
      </c>
      <c r="F256" s="259">
        <f t="shared" si="344"/>
        <v>40000</v>
      </c>
      <c r="G256" s="13">
        <f t="shared" si="422"/>
        <v>0</v>
      </c>
      <c r="H256" s="13">
        <f t="shared" si="422"/>
        <v>0</v>
      </c>
      <c r="I256" s="13">
        <f t="shared" si="422"/>
        <v>41120.93</v>
      </c>
      <c r="J256" s="13">
        <f t="shared" si="422"/>
        <v>0</v>
      </c>
      <c r="K256" s="13">
        <f t="shared" si="422"/>
        <v>41120.93</v>
      </c>
      <c r="L256" s="68">
        <f t="shared" si="352"/>
        <v>-1120.9300000000003</v>
      </c>
      <c r="M256" s="268">
        <f t="shared" si="353"/>
        <v>1.0280232499999999</v>
      </c>
      <c r="N256" s="13">
        <f t="shared" si="345"/>
        <v>40000</v>
      </c>
      <c r="O256" s="13">
        <f t="shared" si="423"/>
        <v>0</v>
      </c>
      <c r="P256" s="13">
        <f t="shared" si="423"/>
        <v>0</v>
      </c>
      <c r="Q256" s="13">
        <f t="shared" si="423"/>
        <v>40679.22</v>
      </c>
      <c r="R256" s="13">
        <f t="shared" si="423"/>
        <v>0</v>
      </c>
      <c r="S256" s="13">
        <f t="shared" si="423"/>
        <v>0</v>
      </c>
      <c r="T256" s="13">
        <f t="shared" si="423"/>
        <v>40679.22</v>
      </c>
      <c r="U256" s="68">
        <f t="shared" si="354"/>
        <v>-679.22000000000116</v>
      </c>
      <c r="V256" s="268">
        <f t="shared" si="355"/>
        <v>1.0169805000000001</v>
      </c>
      <c r="W256" s="13">
        <f t="shared" si="346"/>
        <v>40000</v>
      </c>
      <c r="X256" s="13">
        <f t="shared" si="424"/>
        <v>0</v>
      </c>
      <c r="Y256" s="13">
        <f t="shared" si="424"/>
        <v>0</v>
      </c>
      <c r="Z256" s="13">
        <f t="shared" si="424"/>
        <v>39832.43</v>
      </c>
      <c r="AA256" s="13">
        <f t="shared" si="424"/>
        <v>0</v>
      </c>
      <c r="AB256" s="13">
        <f t="shared" si="424"/>
        <v>39832.43</v>
      </c>
      <c r="AC256" s="68">
        <f t="shared" si="356"/>
        <v>167.56999999999971</v>
      </c>
      <c r="AD256" s="268">
        <f t="shared" si="357"/>
        <v>0.99581074999999997</v>
      </c>
      <c r="AE256" s="13">
        <f t="shared" si="347"/>
        <v>40000</v>
      </c>
      <c r="AF256" s="13">
        <f t="shared" si="425"/>
        <v>0</v>
      </c>
      <c r="AG256" s="13">
        <f t="shared" si="425"/>
        <v>0</v>
      </c>
      <c r="AH256" s="13">
        <f t="shared" si="425"/>
        <v>39141.81</v>
      </c>
      <c r="AI256" s="13">
        <f t="shared" si="425"/>
        <v>0</v>
      </c>
      <c r="AJ256" s="13">
        <f t="shared" si="425"/>
        <v>39141.81</v>
      </c>
      <c r="AK256" s="68">
        <f t="shared" si="358"/>
        <v>858.19000000000233</v>
      </c>
      <c r="AL256" s="268">
        <f t="shared" si="359"/>
        <v>0.97854524999999992</v>
      </c>
      <c r="AM256" s="13">
        <f t="shared" si="348"/>
        <v>40000</v>
      </c>
      <c r="AN256" s="13">
        <f t="shared" si="426"/>
        <v>0</v>
      </c>
      <c r="AO256" s="13">
        <f t="shared" si="426"/>
        <v>0</v>
      </c>
      <c r="AP256" s="13">
        <f t="shared" si="426"/>
        <v>38680.339999999997</v>
      </c>
      <c r="AQ256" s="13">
        <f t="shared" si="426"/>
        <v>0</v>
      </c>
      <c r="AR256" s="13">
        <f t="shared" si="426"/>
        <v>0</v>
      </c>
      <c r="AS256" s="13">
        <f t="shared" si="426"/>
        <v>38680.339999999997</v>
      </c>
      <c r="AT256" s="68">
        <f>AM256-AS256</f>
        <v>1319.6600000000035</v>
      </c>
      <c r="AU256" s="268">
        <f t="shared" si="360"/>
        <v>0.96700849999999994</v>
      </c>
      <c r="AV256" s="13">
        <f t="shared" si="349"/>
        <v>40000</v>
      </c>
      <c r="AW256" s="13">
        <f t="shared" si="421"/>
        <v>0</v>
      </c>
      <c r="AX256" s="13">
        <f t="shared" si="421"/>
        <v>0</v>
      </c>
      <c r="AY256" s="13">
        <f t="shared" si="421"/>
        <v>31714.06</v>
      </c>
      <c r="AZ256" s="13">
        <f t="shared" si="421"/>
        <v>0</v>
      </c>
      <c r="BA256" s="13">
        <f t="shared" si="379"/>
        <v>31714.06</v>
      </c>
      <c r="BB256" s="68">
        <f t="shared" si="361"/>
        <v>8285.9399999999987</v>
      </c>
      <c r="BC256" s="268">
        <f t="shared" si="362"/>
        <v>0.79285150000000004</v>
      </c>
      <c r="BD256" s="13">
        <f t="shared" si="363"/>
        <v>40000</v>
      </c>
      <c r="BE256" s="13">
        <f>SUMIFS(SALIDAS_BIT,FECHA_BIT,"&gt;="&amp;BE$2,FECHA_BIT,"&lt;="&amp;BE$3,CLAVE_BIT,$A256)+SUMIFS(SALIDAS_BOV1,FECHA_BOV1,"&gt;="&amp;BE$2,FECHA_BOV1,"&lt;="&amp;BE$3,CLAVE_BOV1,$A256)+SUMIFS(SALIDAS_BOV2,FECHA_BOV2,"&gt;="&amp;BE$2,FECHA_BOV2,"&lt;="&amp;BE$3,CLAVE_BOV2,$A256)+SUMIFS(SALIDAS_BOV3,FECHA_BOV3,"&gt;="&amp;BE$2,FECHA_BOV3,"&lt;="&amp;BE$3,CLAVE_BOV3,$A256)+SUMIFS(SALIDAS_TC,FECHA_TC,"&gt;="&amp;BE$2,FECHA_TC,"&lt;="&amp;BE$3,CLAVE_TC,$A256)+SUMIFS(SALIDAS_COMB,FECHA_COMB,"&gt;="&amp;BE$2,FECHA_COMB,"&lt;="&amp;BE$3,CLAVE_COMB,$A256)+SUMIFS(SALIDAS_DES,FECHA_DESGLOSEN,"&gt;="&amp;BE$2,FECHA_DESGLOSEN,"&lt;="&amp;BE$3,CLAVE_DESGLOSE,$A256)</f>
        <v>0</v>
      </c>
      <c r="BF256" s="13">
        <f>SUMIFS(SALIDAS_BIT,FECHA_BIT,"&gt;="&amp;BF$2,FECHA_BIT,"&lt;="&amp;BF$3,CLAVE_BIT,$A256)+SUMIFS(SALIDAS_BOV1,FECHA_BOV1,"&gt;="&amp;BF$2,FECHA_BOV1,"&lt;="&amp;BF$3,CLAVE_BOV1,$A256)+SUMIFS(SALIDAS_BOV2,FECHA_BOV2,"&gt;="&amp;BF$2,FECHA_BOV2,"&lt;="&amp;BF$3,CLAVE_BOV2,$A256)+SUMIFS(SALIDAS_BOV3,FECHA_BOV3,"&gt;="&amp;BF$2,FECHA_BOV3,"&lt;="&amp;BF$3,CLAVE_BOV3,$A256)+SUMIFS(SALIDAS_TC,FECHA_TC,"&gt;="&amp;BF$2,FECHA_TC,"&lt;="&amp;BF$3,CLAVE_TC,$A256)+SUMIFS(SALIDAS_COMB,FECHA_COMB,"&gt;="&amp;BF$2,FECHA_COMB,"&lt;="&amp;BF$3,CLAVE_COMB,$A256)+SUMIFS(SALIDAS_DES,FECHA_DESGLOSEN,"&gt;="&amp;BF$2,FECHA_DESGLOSEN,"&lt;="&amp;BF$3,CLAVE_DESGLOSE,$A256)</f>
        <v>0</v>
      </c>
      <c r="BG256" s="13">
        <f>SUMIFS(SALIDAS_BIT,FECHA_BIT,"&gt;="&amp;BG$2,FECHA_BIT,"&lt;="&amp;BG$3,CLAVE_BIT,$A256)+SUMIFS(SALIDAS_BOV1,FECHA_BOV1,"&gt;="&amp;BG$2,FECHA_BOV1,"&lt;="&amp;BG$3,CLAVE_BOV1,$A256)+SUMIFS(SALIDAS_BOV2,FECHA_BOV2,"&gt;="&amp;BG$2,FECHA_BOV2,"&lt;="&amp;BG$3,CLAVE_BOV2,$A256)+SUMIFS(SALIDAS_BOV3,FECHA_BOV3,"&gt;="&amp;BG$2,FECHA_BOV3,"&lt;="&amp;BG$3,CLAVE_BOV3,$A256)+SUMIFS(SALIDAS_TC,FECHA_TC,"&gt;="&amp;BG$2,FECHA_TC,"&lt;="&amp;BG$3,CLAVE_TC,$A256)+SUMIFS(SALIDAS_COMB,FECHA_COMB,"&gt;="&amp;BG$2,FECHA_COMB,"&lt;="&amp;BG$3,CLAVE_COMB,$A256)+SUMIFS(SALIDAS_DES,FECHA_DESGLOSEN,"&gt;="&amp;BG$2,FECHA_DESGLOSEN,"&lt;="&amp;BG$3,CLAVE_DESGLOSE,$A256)</f>
        <v>37909.9</v>
      </c>
      <c r="BH256" s="13">
        <f>SUMIFS(SALIDAS_BIT,FECHA_BIT,"&gt;="&amp;BH$2,FECHA_BIT,"&lt;="&amp;BH$3,CLAVE_BIT,$A256)+SUMIFS(SALIDAS_BOV1,FECHA_BOV1,"&gt;="&amp;BH$2,FECHA_BOV1,"&lt;="&amp;BH$3,CLAVE_BOV1,$A256)+SUMIFS(SALIDAS_BOV2,FECHA_BOV2,"&gt;="&amp;BH$2,FECHA_BOV2,"&lt;="&amp;BH$3,CLAVE_BOV2,$A256)+SUMIFS(SALIDAS_BOV3,FECHA_BOV3,"&gt;="&amp;BH$2,FECHA_BOV3,"&lt;="&amp;BH$3,CLAVE_BOV3,$A256)+SUMIFS(SALIDAS_TC,FECHA_TC,"&gt;="&amp;BH$2,FECHA_TC,"&lt;="&amp;BH$3,CLAVE_TC,$A256)+SUMIFS(SALIDAS_COMB,FECHA_COMB,"&gt;="&amp;BH$2,FECHA_COMB,"&lt;="&amp;BH$3,CLAVE_COMB,$A256)+SUMIFS(SALIDAS_DES,FECHA_DESGLOSEN,"&gt;="&amp;BH$2,FECHA_DESGLOSEN,"&lt;="&amp;BH$3,CLAVE_DESGLOSE,$A256)</f>
        <v>0</v>
      </c>
      <c r="BI256" s="13">
        <f t="shared" si="419"/>
        <v>37909.9</v>
      </c>
      <c r="BJ256" s="68">
        <f t="shared" si="364"/>
        <v>2090.0999999999985</v>
      </c>
      <c r="BK256" s="268">
        <f t="shared" si="365"/>
        <v>0.94774750000000008</v>
      </c>
      <c r="BL256" s="13">
        <f t="shared" si="366"/>
        <v>40000</v>
      </c>
      <c r="BM256" s="13">
        <f>SUMIFS(SALIDAS_BIT,FECHA_BIT,"&gt;="&amp;BM$2,FECHA_BIT,"&lt;="&amp;BM$3,CLAVE_BIT,$A256)+SUMIFS(SALIDAS_BOV1,FECHA_BOV1,"&gt;="&amp;BM$2,FECHA_BOV1,"&lt;="&amp;BM$3,CLAVE_BOV1,$A256)+SUMIFS(SALIDAS_BOV2,FECHA_BOV2,"&gt;="&amp;BM$2,FECHA_BOV2,"&lt;="&amp;BM$3,CLAVE_BOV2,$A256)+SUMIFS(SALIDAS_BOV3,FECHA_BOV3,"&gt;="&amp;BM$2,FECHA_BOV3,"&lt;="&amp;BM$3,CLAVE_BOV3,$A256)+SUMIFS(SALIDAS_TC,FECHA_TC,"&gt;="&amp;BM$2,FECHA_TC,"&lt;="&amp;BM$3,CLAVE_TC,$A256)+SUMIFS(SALIDAS_COMB,FECHA_COMB,"&gt;="&amp;BM$2,FECHA_COMB,"&lt;="&amp;BM$3,CLAVE_COMB,$A256)+SUMIFS(SALIDAS_DES,FECHA_DESGLOSEN,"&gt;="&amp;BM$2,FECHA_DESGLOSEN,"&lt;="&amp;BM$3,CLAVE_DESGLOSE,$A256)</f>
        <v>0</v>
      </c>
      <c r="BN256" s="13">
        <f>SUMIFS(SALIDAS_BIT,FECHA_BIT,"&gt;="&amp;BN$2,FECHA_BIT,"&lt;="&amp;BN$3,CLAVE_BIT,$A256)+SUMIFS(SALIDAS_BOV1,FECHA_BOV1,"&gt;="&amp;BN$2,FECHA_BOV1,"&lt;="&amp;BN$3,CLAVE_BOV1,$A256)+SUMIFS(SALIDAS_BOV2,FECHA_BOV2,"&gt;="&amp;BN$2,FECHA_BOV2,"&lt;="&amp;BN$3,CLAVE_BOV2,$A256)+SUMIFS(SALIDAS_BOV3,FECHA_BOV3,"&gt;="&amp;BN$2,FECHA_BOV3,"&lt;="&amp;BN$3,CLAVE_BOV3,$A256)+SUMIFS(SALIDAS_TC,FECHA_TC,"&gt;="&amp;BN$2,FECHA_TC,"&lt;="&amp;BN$3,CLAVE_TC,$A256)+SUMIFS(SALIDAS_COMB,FECHA_COMB,"&gt;="&amp;BN$2,FECHA_COMB,"&lt;="&amp;BN$3,CLAVE_COMB,$A256)+SUMIFS(SALIDAS_DES,FECHA_DESGLOSEN,"&gt;="&amp;BN$2,FECHA_DESGLOSEN,"&lt;="&amp;BN$3,CLAVE_DESGLOSE,$A256)</f>
        <v>0</v>
      </c>
      <c r="BO256" s="13">
        <f>SUMIFS(SALIDAS_BIT,FECHA_BIT,"&gt;="&amp;BO$2,FECHA_BIT,"&lt;="&amp;BO$3,CLAVE_BIT,$A256)+SUMIFS(SALIDAS_BOV1,FECHA_BOV1,"&gt;="&amp;BO$2,FECHA_BOV1,"&lt;="&amp;BO$3,CLAVE_BOV1,$A256)+SUMIFS(SALIDAS_BOV2,FECHA_BOV2,"&gt;="&amp;BO$2,FECHA_BOV2,"&lt;="&amp;BO$3,CLAVE_BOV2,$A256)+SUMIFS(SALIDAS_BOV3,FECHA_BOV3,"&gt;="&amp;BO$2,FECHA_BOV3,"&lt;="&amp;BO$3,CLAVE_BOV3,$A256)+SUMIFS(SALIDAS_TC,FECHA_TC,"&gt;="&amp;BO$2,FECHA_TC,"&lt;="&amp;BO$3,CLAVE_TC,$A256)+SUMIFS(SALIDAS_COMB,FECHA_COMB,"&gt;="&amp;BO$2,FECHA_COMB,"&lt;="&amp;BO$3,CLAVE_COMB,$A256)+SUMIFS(SALIDAS_DES,FECHA_DESGLOSEN,"&gt;="&amp;BO$2,FECHA_DESGLOSEN,"&lt;="&amp;BO$3,CLAVE_DESGLOSE,$A256)</f>
        <v>0</v>
      </c>
      <c r="BP256" s="13">
        <f>SUMIFS(SALIDAS_BIT,FECHA_BIT,"&gt;="&amp;BP$2,FECHA_BIT,"&lt;="&amp;BP$3,CLAVE_BIT,$A256)+SUMIFS(SALIDAS_BOV1,FECHA_BOV1,"&gt;="&amp;BP$2,FECHA_BOV1,"&lt;="&amp;BP$3,CLAVE_BOV1,$A256)+SUMIFS(SALIDAS_BOV2,FECHA_BOV2,"&gt;="&amp;BP$2,FECHA_BOV2,"&lt;="&amp;BP$3,CLAVE_BOV2,$A256)+SUMIFS(SALIDAS_BOV3,FECHA_BOV3,"&gt;="&amp;BP$2,FECHA_BOV3,"&lt;="&amp;BP$3,CLAVE_BOV3,$A256)+SUMIFS(SALIDAS_TC,FECHA_TC,"&gt;="&amp;BP$2,FECHA_TC,"&lt;="&amp;BP$3,CLAVE_TC,$A256)+SUMIFS(SALIDAS_COMB,FECHA_COMB,"&gt;="&amp;BP$2,FECHA_COMB,"&lt;="&amp;BP$3,CLAVE_COMB,$A256)+SUMIFS(SALIDAS_DES,FECHA_DESGLOSEN,"&gt;="&amp;BP$2,FECHA_DESGLOSEN,"&lt;="&amp;BP$3,CLAVE_DESGLOSE,$A256)</f>
        <v>37253.26</v>
      </c>
      <c r="BQ256" s="13">
        <f>SUMIFS(SALIDAS_BIT,FECHA_BIT,"&gt;="&amp;BQ$2,FECHA_BIT,"&lt;="&amp;BQ$3,CLAVE_BIT,$A256)+SUMIFS(SALIDAS_BOV1,FECHA_BOV1,"&gt;="&amp;BQ$2,FECHA_BOV1,"&lt;="&amp;BQ$3,CLAVE_BOV1,$A256)+SUMIFS(SALIDAS_BOV2,FECHA_BOV2,"&gt;="&amp;BQ$2,FECHA_BOV2,"&lt;="&amp;BQ$3,CLAVE_BOV2,$A256)+SUMIFS(SALIDAS_BOV3,FECHA_BOV3,"&gt;="&amp;BQ$2,FECHA_BOV3,"&lt;="&amp;BQ$3,CLAVE_BOV3,$A256)+SUMIFS(SALIDAS_TC,FECHA_TC,"&gt;="&amp;BQ$2,FECHA_TC,"&lt;="&amp;BQ$3,CLAVE_TC,$A256)+SUMIFS(SALIDAS_COMB,FECHA_COMB,"&gt;="&amp;BQ$2,FECHA_COMB,"&lt;="&amp;BQ$3,CLAVE_COMB,$A256)+SUMIFS(SALIDAS_DES,FECHA_DESGLOSEN,"&gt;="&amp;BQ$2,FECHA_DESGLOSEN,"&lt;="&amp;BQ$3,CLAVE_DESGLOSE,$A256)</f>
        <v>0</v>
      </c>
      <c r="BR256" s="13">
        <f t="shared" si="427"/>
        <v>37253.26</v>
      </c>
      <c r="BS256" s="68">
        <f t="shared" si="367"/>
        <v>2746.739999999998</v>
      </c>
      <c r="BT256" s="268">
        <f t="shared" si="368"/>
        <v>0.93133150000000009</v>
      </c>
      <c r="BU256" s="13">
        <f t="shared" si="369"/>
        <v>40000</v>
      </c>
      <c r="BV256" s="13">
        <f t="shared" si="389"/>
        <v>0</v>
      </c>
      <c r="BW256" s="13">
        <f t="shared" si="389"/>
        <v>0</v>
      </c>
      <c r="BX256" s="13">
        <f t="shared" si="389"/>
        <v>34266.71</v>
      </c>
      <c r="BY256" s="13">
        <f t="shared" si="389"/>
        <v>0</v>
      </c>
      <c r="BZ256" s="13">
        <f t="shared" si="428"/>
        <v>34266.71</v>
      </c>
      <c r="CA256" s="68">
        <f t="shared" si="370"/>
        <v>5733.2900000000009</v>
      </c>
      <c r="CB256" s="268">
        <f t="shared" si="371"/>
        <v>0.85666774999999995</v>
      </c>
      <c r="CC256" s="13">
        <f t="shared" si="372"/>
        <v>40000</v>
      </c>
      <c r="CD256" s="13">
        <f t="shared" si="390"/>
        <v>0</v>
      </c>
      <c r="CE256" s="13">
        <f t="shared" si="390"/>
        <v>0</v>
      </c>
      <c r="CF256" s="13">
        <f t="shared" si="390"/>
        <v>0</v>
      </c>
      <c r="CG256" s="13">
        <f t="shared" si="390"/>
        <v>0</v>
      </c>
      <c r="CH256" s="13">
        <f t="shared" si="429"/>
        <v>0</v>
      </c>
      <c r="CI256" s="68">
        <f t="shared" si="373"/>
        <v>40000</v>
      </c>
      <c r="CJ256" s="268">
        <f t="shared" si="374"/>
        <v>0</v>
      </c>
      <c r="CK256" s="13">
        <f t="shared" si="375"/>
        <v>40000</v>
      </c>
      <c r="CL256" s="13">
        <f t="shared" si="400"/>
        <v>0</v>
      </c>
      <c r="CM256" s="13">
        <f t="shared" si="400"/>
        <v>0</v>
      </c>
      <c r="CN256" s="13">
        <f t="shared" si="400"/>
        <v>58139.16</v>
      </c>
      <c r="CO256" s="13">
        <f t="shared" si="400"/>
        <v>0</v>
      </c>
      <c r="CP256" s="13">
        <f t="shared" si="400"/>
        <v>0</v>
      </c>
      <c r="CQ256" s="13">
        <f t="shared" si="430"/>
        <v>58139.16</v>
      </c>
      <c r="CR256" s="68">
        <f t="shared" si="376"/>
        <v>-18139.160000000003</v>
      </c>
      <c r="CS256" s="268">
        <f t="shared" si="377"/>
        <v>1.4534790000000002</v>
      </c>
      <c r="CT256" s="68">
        <f t="shared" si="350"/>
        <v>0</v>
      </c>
      <c r="CU256" s="13">
        <f>SUMIFS(SALIDAS_BIT,FECHA_BIT,"&gt;="&amp;CU$2,FECHA_BIT,"&lt;="&amp;CU$3,CLAVE_BIT,$A256)+SUMIFS(SALIDAS_BOV1,FECHA_BOV1,"&gt;="&amp;CU$2,FECHA_BOV1,"&lt;="&amp;CU$3,CLAVE_BOV1,$A256)+SUMIFS(SALIDAS_BOV2,FECHA_BOV2,"&gt;="&amp;CU$2,FECHA_BOV2,"&lt;="&amp;CU$3,CLAVE_BOV2,$A256)+SUMIFS(SALIDAS_BOV3,FECHA_BOV3,"&gt;="&amp;CU$2,FECHA_BOV3,"&lt;="&amp;CU$3,CLAVE_BOV3,$A256)+SUMIFS(SALIDAS_TC,FECHA_TC,"&gt;="&amp;CU$2,FECHA_TC,"&lt;="&amp;CU$3,CLAVE_TC,$A256)+SUMIFS(SALIDAS_COMB,FECHA_COMB,"&gt;="&amp;CU$2,FECHA_COMB,"&lt;="&amp;CU$3,CLAVE_COMB,$A256)+SUMIFS(SALIDAS_DES,FECHA_DESGLOSEN,"&gt;="&amp;CU$2,FECHA_DESGLOSEN,"&lt;="&amp;CU$3,CLAVE_DESGLOSE,$A256)</f>
        <v>0</v>
      </c>
      <c r="CV256" s="13">
        <f>SUMIFS(SALIDAS_BIT,FECHA_BIT,"&gt;="&amp;CV$2,FECHA_BIT,"&lt;="&amp;CV$3,CLAVE_BIT,$A256)+SUMIFS(SALIDAS_BOV1,FECHA_BOV1,"&gt;="&amp;CV$2,FECHA_BOV1,"&lt;="&amp;CV$3,CLAVE_BOV1,$A256)+SUMIFS(SALIDAS_BOV2,FECHA_BOV2,"&gt;="&amp;CV$2,FECHA_BOV2,"&lt;="&amp;CV$3,CLAVE_BOV2,$A256)+SUMIFS(SALIDAS_BOV3,FECHA_BOV3,"&gt;="&amp;CV$2,FECHA_BOV3,"&lt;="&amp;CV$3,CLAVE_BOV3,$A256)+SUMIFS(SALIDAS_TC,FECHA_TC,"&gt;="&amp;CV$2,FECHA_TC,"&lt;="&amp;CV$3,CLAVE_TC,$A256)+SUMIFS(SALIDAS_COMB,FECHA_COMB,"&gt;="&amp;CV$2,FECHA_COMB,"&lt;="&amp;CV$3,CLAVE_COMB,$A256)+SUMIFS(SALIDAS_DES,FECHA_DESGLOSEN,"&gt;="&amp;CV$2,FECHA_DESGLOSEN,"&lt;="&amp;CV$3,CLAVE_DESGLOSE,$A256)</f>
        <v>0</v>
      </c>
      <c r="CW256" s="13">
        <f>SUMIFS(SALIDAS_BIT,FECHA_BIT,"&gt;="&amp;CW$2,FECHA_BIT,"&lt;="&amp;CW$3,CLAVE_BIT,$A256)+SUMIFS(SALIDAS_BOV1,FECHA_BOV1,"&gt;="&amp;CW$2,FECHA_BOV1,"&lt;="&amp;CW$3,CLAVE_BOV1,$A256)+SUMIFS(SALIDAS_BOV2,FECHA_BOV2,"&gt;="&amp;CW$2,FECHA_BOV2,"&lt;="&amp;CW$3,CLAVE_BOV2,$A256)+SUMIFS(SALIDAS_BOV3,FECHA_BOV3,"&gt;="&amp;CW$2,FECHA_BOV3,"&lt;="&amp;CW$3,CLAVE_BOV3,$A256)+SUMIFS(SALIDAS_TC,FECHA_TC,"&gt;="&amp;CW$2,FECHA_TC,"&lt;="&amp;CW$3,CLAVE_TC,$A256)+SUMIFS(SALIDAS_COMB,FECHA_COMB,"&gt;="&amp;CW$2,FECHA_COMB,"&lt;="&amp;CW$3,CLAVE_COMB,$A256)+SUMIFS(SALIDAS_DES,FECHA_DESGLOSEN,"&gt;="&amp;CW$2,FECHA_DESGLOSEN,"&lt;="&amp;CW$3,CLAVE_DESGLOSE,$A256)</f>
        <v>0</v>
      </c>
      <c r="CX256" s="13">
        <f>SUMIFS(SALIDAS_BIT,FECHA_BIT,"&gt;="&amp;CX$2,FECHA_BIT,"&lt;="&amp;CX$3,CLAVE_BIT,$A256)+SUMIFS(SALIDAS_BOV1,FECHA_BOV1,"&gt;="&amp;CX$2,FECHA_BOV1,"&lt;="&amp;CX$3,CLAVE_BOV1,$A256)+SUMIFS(SALIDAS_BOV2,FECHA_BOV2,"&gt;="&amp;CX$2,FECHA_BOV2,"&lt;="&amp;CX$3,CLAVE_BOV2,$A256)+SUMIFS(SALIDAS_BOV3,FECHA_BOV3,"&gt;="&amp;CX$2,FECHA_BOV3,"&lt;="&amp;CX$3,CLAVE_BOV3,$A256)+SUMIFS(SALIDAS_TC,FECHA_TC,"&gt;="&amp;CX$2,FECHA_TC,"&lt;="&amp;CX$3,CLAVE_TC,$A256)+SUMIFS(SALIDAS_COMB,FECHA_COMB,"&gt;="&amp;CX$2,FECHA_COMB,"&lt;="&amp;CX$3,CLAVE_COMB,$A256)+SUMIFS(SALIDAS_DES,FECHA_DESGLOSEN,"&gt;="&amp;CX$2,FECHA_DESGLOSEN,"&lt;="&amp;CX$3,CLAVE_DESGLOSE,$A256)</f>
        <v>0</v>
      </c>
      <c r="CY256" s="13">
        <f>SUMIFS(SALIDAS_BIT,FECHA_BIT,"&gt;="&amp;CY$2,FECHA_BIT,"&lt;="&amp;CY$3,CLAVE_BIT,$A256)+SUMIFS(SALIDAS_BOV1,FECHA_BOV1,"&gt;="&amp;CY$2,FECHA_BOV1,"&lt;="&amp;CY$3,CLAVE_BOV1,$A256)+SUMIFS(SALIDAS_BOV2,FECHA_BOV2,"&gt;="&amp;CY$2,FECHA_BOV2,"&lt;="&amp;CY$3,CLAVE_BOV2,$A256)+SUMIFS(SALIDAS_BOV3,FECHA_BOV3,"&gt;="&amp;CY$2,FECHA_BOV3,"&lt;="&amp;CY$3,CLAVE_BOV3,$A256)+SUMIFS(SALIDAS_TC,FECHA_TC,"&gt;="&amp;CY$2,FECHA_TC,"&lt;="&amp;CY$3,CLAVE_TC,$A256)+SUMIFS(SALIDAS_COMB,FECHA_COMB,"&gt;="&amp;CY$2,FECHA_COMB,"&lt;="&amp;CY$3,CLAVE_COMB,$A256)+SUMIFS(SALIDAS_DES,FECHA_DESGLOSEN,"&gt;="&amp;CY$2,FECHA_DESGLOSEN,"&lt;="&amp;CY$3,CLAVE_DESGLOSE,$A256)</f>
        <v>0</v>
      </c>
      <c r="CZ256" s="68">
        <f t="shared" si="378"/>
        <v>0</v>
      </c>
      <c r="DB256" s="17">
        <f>F256+N256+W256+AE256+AM256+AV256+BD256+BL256+BU256+CC256+CK256</f>
        <v>440000</v>
      </c>
      <c r="DC256" s="17">
        <f>K256+T256+AB256+AJ256+AS256+BA256+BI256+BR256+BZ256+CH256+CQ256</f>
        <v>398737.82000000007</v>
      </c>
    </row>
    <row r="257" spans="1:107" hidden="1">
      <c r="A257" s="12" t="str">
        <f t="shared" si="351"/>
        <v>SIEMCUOTAS Y SUSCRIPCIONESSIEM</v>
      </c>
      <c r="B257">
        <v>259</v>
      </c>
      <c r="C257" s="229" t="s">
        <v>58</v>
      </c>
      <c r="D257" t="s">
        <v>51</v>
      </c>
      <c r="E257" t="s">
        <v>58</v>
      </c>
      <c r="F257" s="259">
        <f t="shared" si="344"/>
        <v>0</v>
      </c>
      <c r="G257" s="13">
        <f t="shared" ref="G257:K266" si="431">SUMIFS(SALIDAS_BIT,FECHA_BIT,"&gt;="&amp;G$2,FECHA_BIT,"&lt;="&amp;G$3,CLAVE_BIT,$A257)+SUMIFS(SALIDAS_BOV1,FECHA_BOV1,"&gt;="&amp;G$2,FECHA_BOV1,"&lt;="&amp;G$3,CLAVE_BOV1,$A257)+SUMIFS(SALIDAS_BOV2,FECHA_BOV2,"&gt;="&amp;G$2,FECHA_BOV2,"&lt;="&amp;G$3,CLAVE_BOV2,$A257)+SUMIFS(SALIDAS_BOV3,FECHA_BOV3,"&gt;="&amp;G$2,FECHA_BOV3,"&lt;="&amp;G$3,CLAVE_BOV3,$A257)+SUMIFS(SALIDAS_TC,FECHA_TC,"&gt;="&amp;G$2,FECHA_TC,"&lt;="&amp;G$3,CLAVE_TC,$A257)+SUMIFS(SALIDAS_COMB,FECHA_COMB,"&gt;="&amp;G$2,FECHA_COMB,"&lt;="&amp;G$3,CLAVE_COMB,$A257)+SUMIFS(SALIDAS_DES,FECHA_DESGLOSEN,"&gt;="&amp;G$2,FECHA_DESGLOSEN,"&lt;="&amp;G$3,CLAVE_DESGLOSE,$A257)</f>
        <v>0</v>
      </c>
      <c r="H257" s="13">
        <f t="shared" si="431"/>
        <v>0</v>
      </c>
      <c r="I257" s="13">
        <f t="shared" si="431"/>
        <v>0</v>
      </c>
      <c r="J257" s="13">
        <f t="shared" si="431"/>
        <v>0</v>
      </c>
      <c r="K257" s="13">
        <f t="shared" si="431"/>
        <v>0</v>
      </c>
      <c r="L257" s="68">
        <f t="shared" si="352"/>
        <v>0</v>
      </c>
      <c r="M257" s="268">
        <f t="shared" si="353"/>
        <v>0</v>
      </c>
      <c r="N257" s="13">
        <f t="shared" si="345"/>
        <v>0</v>
      </c>
      <c r="O257" s="13">
        <f t="shared" ref="O257:T266" si="432">SUMIFS(SALIDAS_BIT,FECHA_BIT,"&gt;="&amp;O$2,FECHA_BIT,"&lt;="&amp;O$3,CLAVE_BIT,$A257)+SUMIFS(SALIDAS_BOV1,FECHA_BOV1,"&gt;="&amp;O$2,FECHA_BOV1,"&lt;="&amp;O$3,CLAVE_BOV1,$A257)+SUMIFS(SALIDAS_BOV2,FECHA_BOV2,"&gt;="&amp;O$2,FECHA_BOV2,"&lt;="&amp;O$3,CLAVE_BOV2,$A257)+SUMIFS(SALIDAS_BOV3,FECHA_BOV3,"&gt;="&amp;O$2,FECHA_BOV3,"&lt;="&amp;O$3,CLAVE_BOV3,$A257)+SUMIFS(SALIDAS_TC,FECHA_TC,"&gt;="&amp;O$2,FECHA_TC,"&lt;="&amp;O$3,CLAVE_TC,$A257)+SUMIFS(SALIDAS_COMB,FECHA_COMB,"&gt;="&amp;O$2,FECHA_COMB,"&lt;="&amp;O$3,CLAVE_COMB,$A257)+SUMIFS(SALIDAS_DES,FECHA_DESGLOSEN,"&gt;="&amp;O$2,FECHA_DESGLOSEN,"&lt;="&amp;O$3,CLAVE_DESGLOSE,$A257)</f>
        <v>0</v>
      </c>
      <c r="P257" s="13">
        <f t="shared" si="432"/>
        <v>0</v>
      </c>
      <c r="Q257" s="13">
        <f t="shared" si="432"/>
        <v>0</v>
      </c>
      <c r="R257" s="13">
        <f t="shared" si="432"/>
        <v>640</v>
      </c>
      <c r="S257" s="13">
        <f t="shared" si="432"/>
        <v>0</v>
      </c>
      <c r="T257" s="13">
        <f t="shared" si="432"/>
        <v>640</v>
      </c>
      <c r="U257" s="68">
        <f t="shared" si="354"/>
        <v>-640</v>
      </c>
      <c r="V257" s="268">
        <f t="shared" si="355"/>
        <v>0</v>
      </c>
      <c r="W257" s="13">
        <f t="shared" si="346"/>
        <v>0</v>
      </c>
      <c r="X257" s="13">
        <f t="shared" ref="X257:AB266" si="433">SUMIFS(SALIDAS_BIT,FECHA_BIT,"&gt;="&amp;X$2,FECHA_BIT,"&lt;="&amp;X$3,CLAVE_BIT,$A257)+SUMIFS(SALIDAS_BOV1,FECHA_BOV1,"&gt;="&amp;X$2,FECHA_BOV1,"&lt;="&amp;X$3,CLAVE_BOV1,$A257)+SUMIFS(SALIDAS_BOV2,FECHA_BOV2,"&gt;="&amp;X$2,FECHA_BOV2,"&lt;="&amp;X$3,CLAVE_BOV2,$A257)+SUMIFS(SALIDAS_BOV3,FECHA_BOV3,"&gt;="&amp;X$2,FECHA_BOV3,"&lt;="&amp;X$3,CLAVE_BOV3,$A257)+SUMIFS(SALIDAS_TC,FECHA_TC,"&gt;="&amp;X$2,FECHA_TC,"&lt;="&amp;X$3,CLAVE_TC,$A257)+SUMIFS(SALIDAS_COMB,FECHA_COMB,"&gt;="&amp;X$2,FECHA_COMB,"&lt;="&amp;X$3,CLAVE_COMB,$A257)+SUMIFS(SALIDAS_DES,FECHA_DESGLOSEN,"&gt;="&amp;X$2,FECHA_DESGLOSEN,"&lt;="&amp;X$3,CLAVE_DESGLOSE,$A257)</f>
        <v>0</v>
      </c>
      <c r="Y257" s="13">
        <f t="shared" si="433"/>
        <v>0</v>
      </c>
      <c r="Z257" s="13">
        <f t="shared" si="433"/>
        <v>0</v>
      </c>
      <c r="AA257" s="13">
        <f t="shared" si="433"/>
        <v>0</v>
      </c>
      <c r="AB257" s="13">
        <f t="shared" si="433"/>
        <v>0</v>
      </c>
      <c r="AC257" s="68">
        <f t="shared" si="356"/>
        <v>0</v>
      </c>
      <c r="AD257" s="268">
        <f t="shared" si="357"/>
        <v>0</v>
      </c>
      <c r="AE257" s="13">
        <f t="shared" si="347"/>
        <v>0</v>
      </c>
      <c r="AF257" s="13">
        <f t="shared" ref="AF257:AJ266" si="434">SUMIFS(SALIDAS_BIT,FECHA_BIT,"&gt;="&amp;AF$2,FECHA_BIT,"&lt;="&amp;AF$3,CLAVE_BIT,$A257)+SUMIFS(SALIDAS_BOV1,FECHA_BOV1,"&gt;="&amp;AF$2,FECHA_BOV1,"&lt;="&amp;AF$3,CLAVE_BOV1,$A257)+SUMIFS(SALIDAS_BOV2,FECHA_BOV2,"&gt;="&amp;AF$2,FECHA_BOV2,"&lt;="&amp;AF$3,CLAVE_BOV2,$A257)+SUMIFS(SALIDAS_BOV3,FECHA_BOV3,"&gt;="&amp;AF$2,FECHA_BOV3,"&lt;="&amp;AF$3,CLAVE_BOV3,$A257)+SUMIFS(SALIDAS_TC,FECHA_TC,"&gt;="&amp;AF$2,FECHA_TC,"&lt;="&amp;AF$3,CLAVE_TC,$A257)+SUMIFS(SALIDAS_COMB,FECHA_COMB,"&gt;="&amp;AF$2,FECHA_COMB,"&lt;="&amp;AF$3,CLAVE_COMB,$A257)+SUMIFS(SALIDAS_DES,FECHA_DESGLOSEN,"&gt;="&amp;AF$2,FECHA_DESGLOSEN,"&lt;="&amp;AF$3,CLAVE_DESGLOSE,$A257)</f>
        <v>0</v>
      </c>
      <c r="AG257" s="13">
        <f t="shared" si="434"/>
        <v>0</v>
      </c>
      <c r="AH257" s="13">
        <f t="shared" si="434"/>
        <v>0</v>
      </c>
      <c r="AI257" s="13">
        <f t="shared" si="434"/>
        <v>0</v>
      </c>
      <c r="AJ257" s="13">
        <f t="shared" si="434"/>
        <v>0</v>
      </c>
      <c r="AK257" s="68">
        <f t="shared" si="358"/>
        <v>0</v>
      </c>
      <c r="AL257" s="268">
        <f t="shared" si="359"/>
        <v>0</v>
      </c>
      <c r="AM257" s="13">
        <f t="shared" si="348"/>
        <v>0</v>
      </c>
      <c r="AN257" s="13">
        <f t="shared" ref="AN257:AS266" si="435">SUMIFS(SALIDAS_BIT,FECHA_BIT,"&gt;="&amp;AN$2,FECHA_BIT,"&lt;="&amp;AN$3,CLAVE_BIT,$A257)+SUMIFS(SALIDAS_BOV1,FECHA_BOV1,"&gt;="&amp;AN$2,FECHA_BOV1,"&lt;="&amp;AN$3,CLAVE_BOV1,$A257)+SUMIFS(SALIDAS_BOV2,FECHA_BOV2,"&gt;="&amp;AN$2,FECHA_BOV2,"&lt;="&amp;AN$3,CLAVE_BOV2,$A257)+SUMIFS(SALIDAS_BOV3,FECHA_BOV3,"&gt;="&amp;AN$2,FECHA_BOV3,"&lt;="&amp;AN$3,CLAVE_BOV3,$A257)+SUMIFS(SALIDAS_TC,FECHA_TC,"&gt;="&amp;AN$2,FECHA_TC,"&lt;="&amp;AN$3,CLAVE_TC,$A257)+SUMIFS(SALIDAS_COMB,FECHA_COMB,"&gt;="&amp;AN$2,FECHA_COMB,"&lt;="&amp;AN$3,CLAVE_COMB,$A257)+SUMIFS(SALIDAS_DES,FECHA_DESGLOSEN,"&gt;="&amp;AN$2,FECHA_DESGLOSEN,"&lt;="&amp;AN$3,CLAVE_DESGLOSE,$A257)</f>
        <v>0</v>
      </c>
      <c r="AO257" s="13">
        <f t="shared" si="435"/>
        <v>0</v>
      </c>
      <c r="AP257" s="13">
        <f t="shared" si="435"/>
        <v>0</v>
      </c>
      <c r="AQ257" s="13">
        <f t="shared" si="435"/>
        <v>0</v>
      </c>
      <c r="AR257" s="13">
        <f t="shared" si="435"/>
        <v>0</v>
      </c>
      <c r="AS257" s="13">
        <f t="shared" si="435"/>
        <v>0</v>
      </c>
      <c r="AT257" s="68">
        <f>AM257-AS257</f>
        <v>0</v>
      </c>
      <c r="AU257" s="268">
        <f t="shared" si="360"/>
        <v>0</v>
      </c>
      <c r="AV257" s="13">
        <f t="shared" si="349"/>
        <v>2570</v>
      </c>
      <c r="AW257" s="13">
        <f t="shared" si="421"/>
        <v>0</v>
      </c>
      <c r="AX257" s="13">
        <f t="shared" si="421"/>
        <v>0</v>
      </c>
      <c r="AY257" s="13">
        <f t="shared" si="421"/>
        <v>0</v>
      </c>
      <c r="AZ257" s="13">
        <f t="shared" si="421"/>
        <v>0</v>
      </c>
      <c r="BA257" s="13">
        <f t="shared" si="379"/>
        <v>0</v>
      </c>
      <c r="BB257" s="68">
        <f t="shared" si="361"/>
        <v>2570</v>
      </c>
      <c r="BC257" s="268">
        <f t="shared" si="362"/>
        <v>0</v>
      </c>
      <c r="BD257" s="13">
        <f t="shared" si="363"/>
        <v>0</v>
      </c>
      <c r="BE257" s="13">
        <f>SUMIFS(SALIDAS_BIT,FECHA_BIT,"&gt;="&amp;BE$2,FECHA_BIT,"&lt;="&amp;BE$3,CLAVE_BIT,$A257)+SUMIFS(SALIDAS_BOV1,FECHA_BOV1,"&gt;="&amp;BE$2,FECHA_BOV1,"&lt;="&amp;BE$3,CLAVE_BOV1,$A257)+SUMIFS(SALIDAS_BOV2,FECHA_BOV2,"&gt;="&amp;BE$2,FECHA_BOV2,"&lt;="&amp;BE$3,CLAVE_BOV2,$A257)+SUMIFS(SALIDAS_BOV3,FECHA_BOV3,"&gt;="&amp;BE$2,FECHA_BOV3,"&lt;="&amp;BE$3,CLAVE_BOV3,$A257)+SUMIFS(SALIDAS_TC,FECHA_TC,"&gt;="&amp;BE$2,FECHA_TC,"&lt;="&amp;BE$3,CLAVE_TC,$A257)+SUMIFS(SALIDAS_COMB,FECHA_COMB,"&gt;="&amp;BE$2,FECHA_COMB,"&lt;="&amp;BE$3,CLAVE_COMB,$A257)+SUMIFS(SALIDAS_DES,FECHA_DESGLOSEN,"&gt;="&amp;BE$2,FECHA_DESGLOSEN,"&lt;="&amp;BE$3,CLAVE_DESGLOSE,$A257)</f>
        <v>0</v>
      </c>
      <c r="BF257" s="13">
        <f>SUMIFS(SALIDAS_BIT,FECHA_BIT,"&gt;="&amp;BF$2,FECHA_BIT,"&lt;="&amp;BF$3,CLAVE_BIT,$A257)+SUMIFS(SALIDAS_BOV1,FECHA_BOV1,"&gt;="&amp;BF$2,FECHA_BOV1,"&lt;="&amp;BF$3,CLAVE_BOV1,$A257)+SUMIFS(SALIDAS_BOV2,FECHA_BOV2,"&gt;="&amp;BF$2,FECHA_BOV2,"&lt;="&amp;BF$3,CLAVE_BOV2,$A257)+SUMIFS(SALIDAS_BOV3,FECHA_BOV3,"&gt;="&amp;BF$2,FECHA_BOV3,"&lt;="&amp;BF$3,CLAVE_BOV3,$A257)+SUMIFS(SALIDAS_TC,FECHA_TC,"&gt;="&amp;BF$2,FECHA_TC,"&lt;="&amp;BF$3,CLAVE_TC,$A257)+SUMIFS(SALIDAS_COMB,FECHA_COMB,"&gt;="&amp;BF$2,FECHA_COMB,"&lt;="&amp;BF$3,CLAVE_COMB,$A257)+SUMIFS(SALIDAS_DES,FECHA_DESGLOSEN,"&gt;="&amp;BF$2,FECHA_DESGLOSEN,"&lt;="&amp;BF$3,CLAVE_DESGLOSE,$A257)</f>
        <v>0</v>
      </c>
      <c r="BG257" s="13">
        <f>SUMIFS(SALIDAS_BIT,FECHA_BIT,"&gt;="&amp;BG$2,FECHA_BIT,"&lt;="&amp;BG$3,CLAVE_BIT,$A257)+SUMIFS(SALIDAS_BOV1,FECHA_BOV1,"&gt;="&amp;BG$2,FECHA_BOV1,"&lt;="&amp;BG$3,CLAVE_BOV1,$A257)+SUMIFS(SALIDAS_BOV2,FECHA_BOV2,"&gt;="&amp;BG$2,FECHA_BOV2,"&lt;="&amp;BG$3,CLAVE_BOV2,$A257)+SUMIFS(SALIDAS_BOV3,FECHA_BOV3,"&gt;="&amp;BG$2,FECHA_BOV3,"&lt;="&amp;BG$3,CLAVE_BOV3,$A257)+SUMIFS(SALIDAS_TC,FECHA_TC,"&gt;="&amp;BG$2,FECHA_TC,"&lt;="&amp;BG$3,CLAVE_TC,$A257)+SUMIFS(SALIDAS_COMB,FECHA_COMB,"&gt;="&amp;BG$2,FECHA_COMB,"&lt;="&amp;BG$3,CLAVE_COMB,$A257)+SUMIFS(SALIDAS_DES,FECHA_DESGLOSEN,"&gt;="&amp;BG$2,FECHA_DESGLOSEN,"&lt;="&amp;BG$3,CLAVE_DESGLOSE,$A257)</f>
        <v>0</v>
      </c>
      <c r="BH257" s="13">
        <f>SUMIFS(SALIDAS_BIT,FECHA_BIT,"&gt;="&amp;BH$2,FECHA_BIT,"&lt;="&amp;BH$3,CLAVE_BIT,$A257)+SUMIFS(SALIDAS_BOV1,FECHA_BOV1,"&gt;="&amp;BH$2,FECHA_BOV1,"&lt;="&amp;BH$3,CLAVE_BOV1,$A257)+SUMIFS(SALIDAS_BOV2,FECHA_BOV2,"&gt;="&amp;BH$2,FECHA_BOV2,"&lt;="&amp;BH$3,CLAVE_BOV2,$A257)+SUMIFS(SALIDAS_BOV3,FECHA_BOV3,"&gt;="&amp;BH$2,FECHA_BOV3,"&lt;="&amp;BH$3,CLAVE_BOV3,$A257)+SUMIFS(SALIDAS_TC,FECHA_TC,"&gt;="&amp;BH$2,FECHA_TC,"&lt;="&amp;BH$3,CLAVE_TC,$A257)+SUMIFS(SALIDAS_COMB,FECHA_COMB,"&gt;="&amp;BH$2,FECHA_COMB,"&lt;="&amp;BH$3,CLAVE_COMB,$A257)+SUMIFS(SALIDAS_DES,FECHA_DESGLOSEN,"&gt;="&amp;BH$2,FECHA_DESGLOSEN,"&lt;="&amp;BH$3,CLAVE_DESGLOSE,$A257)</f>
        <v>0</v>
      </c>
      <c r="BI257" s="13">
        <f t="shared" si="419"/>
        <v>0</v>
      </c>
      <c r="BJ257" s="68">
        <f t="shared" si="364"/>
        <v>0</v>
      </c>
      <c r="BK257" s="268">
        <f t="shared" si="365"/>
        <v>0</v>
      </c>
      <c r="BL257" s="13">
        <f t="shared" si="366"/>
        <v>0</v>
      </c>
      <c r="BM257" s="13">
        <f>SUMIFS(SALIDAS_BIT,FECHA_BIT,"&gt;="&amp;BM$2,FECHA_BIT,"&lt;="&amp;BM$3,CLAVE_BIT,$A257)+SUMIFS(SALIDAS_BOV1,FECHA_BOV1,"&gt;="&amp;BM$2,FECHA_BOV1,"&lt;="&amp;BM$3,CLAVE_BOV1,$A257)+SUMIFS(SALIDAS_BOV2,FECHA_BOV2,"&gt;="&amp;BM$2,FECHA_BOV2,"&lt;="&amp;BM$3,CLAVE_BOV2,$A257)+SUMIFS(SALIDAS_BOV3,FECHA_BOV3,"&gt;="&amp;BM$2,FECHA_BOV3,"&lt;="&amp;BM$3,CLAVE_BOV3,$A257)+SUMIFS(SALIDAS_TC,FECHA_TC,"&gt;="&amp;BM$2,FECHA_TC,"&lt;="&amp;BM$3,CLAVE_TC,$A257)+SUMIFS(SALIDAS_COMB,FECHA_COMB,"&gt;="&amp;BM$2,FECHA_COMB,"&lt;="&amp;BM$3,CLAVE_COMB,$A257)+SUMIFS(SALIDAS_DES,FECHA_DESGLOSEN,"&gt;="&amp;BM$2,FECHA_DESGLOSEN,"&lt;="&amp;BM$3,CLAVE_DESGLOSE,$A257)</f>
        <v>0</v>
      </c>
      <c r="BN257" s="13">
        <f>SUMIFS(SALIDAS_BIT,FECHA_BIT,"&gt;="&amp;BN$2,FECHA_BIT,"&lt;="&amp;BN$3,CLAVE_BIT,$A257)+SUMIFS(SALIDAS_BOV1,FECHA_BOV1,"&gt;="&amp;BN$2,FECHA_BOV1,"&lt;="&amp;BN$3,CLAVE_BOV1,$A257)+SUMIFS(SALIDAS_BOV2,FECHA_BOV2,"&gt;="&amp;BN$2,FECHA_BOV2,"&lt;="&amp;BN$3,CLAVE_BOV2,$A257)+SUMIFS(SALIDAS_BOV3,FECHA_BOV3,"&gt;="&amp;BN$2,FECHA_BOV3,"&lt;="&amp;BN$3,CLAVE_BOV3,$A257)+SUMIFS(SALIDAS_TC,FECHA_TC,"&gt;="&amp;BN$2,FECHA_TC,"&lt;="&amp;BN$3,CLAVE_TC,$A257)+SUMIFS(SALIDAS_COMB,FECHA_COMB,"&gt;="&amp;BN$2,FECHA_COMB,"&lt;="&amp;BN$3,CLAVE_COMB,$A257)+SUMIFS(SALIDAS_DES,FECHA_DESGLOSEN,"&gt;="&amp;BN$2,FECHA_DESGLOSEN,"&lt;="&amp;BN$3,CLAVE_DESGLOSE,$A257)</f>
        <v>0</v>
      </c>
      <c r="BO257" s="13">
        <f>SUMIFS(SALIDAS_BIT,FECHA_BIT,"&gt;="&amp;BO$2,FECHA_BIT,"&lt;="&amp;BO$3,CLAVE_BIT,$A257)+SUMIFS(SALIDAS_BOV1,FECHA_BOV1,"&gt;="&amp;BO$2,FECHA_BOV1,"&lt;="&amp;BO$3,CLAVE_BOV1,$A257)+SUMIFS(SALIDAS_BOV2,FECHA_BOV2,"&gt;="&amp;BO$2,FECHA_BOV2,"&lt;="&amp;BO$3,CLAVE_BOV2,$A257)+SUMIFS(SALIDAS_BOV3,FECHA_BOV3,"&gt;="&amp;BO$2,FECHA_BOV3,"&lt;="&amp;BO$3,CLAVE_BOV3,$A257)+SUMIFS(SALIDAS_TC,FECHA_TC,"&gt;="&amp;BO$2,FECHA_TC,"&lt;="&amp;BO$3,CLAVE_TC,$A257)+SUMIFS(SALIDAS_COMB,FECHA_COMB,"&gt;="&amp;BO$2,FECHA_COMB,"&lt;="&amp;BO$3,CLAVE_COMB,$A257)+SUMIFS(SALIDAS_DES,FECHA_DESGLOSEN,"&gt;="&amp;BO$2,FECHA_DESGLOSEN,"&lt;="&amp;BO$3,CLAVE_DESGLOSE,$A257)</f>
        <v>0</v>
      </c>
      <c r="BP257" s="13">
        <f>SUMIFS(SALIDAS_BIT,FECHA_BIT,"&gt;="&amp;BP$2,FECHA_BIT,"&lt;="&amp;BP$3,CLAVE_BIT,$A257)+SUMIFS(SALIDAS_BOV1,FECHA_BOV1,"&gt;="&amp;BP$2,FECHA_BOV1,"&lt;="&amp;BP$3,CLAVE_BOV1,$A257)+SUMIFS(SALIDAS_BOV2,FECHA_BOV2,"&gt;="&amp;BP$2,FECHA_BOV2,"&lt;="&amp;BP$3,CLAVE_BOV2,$A257)+SUMIFS(SALIDAS_BOV3,FECHA_BOV3,"&gt;="&amp;BP$2,FECHA_BOV3,"&lt;="&amp;BP$3,CLAVE_BOV3,$A257)+SUMIFS(SALIDAS_TC,FECHA_TC,"&gt;="&amp;BP$2,FECHA_TC,"&lt;="&amp;BP$3,CLAVE_TC,$A257)+SUMIFS(SALIDAS_COMB,FECHA_COMB,"&gt;="&amp;BP$2,FECHA_COMB,"&lt;="&amp;BP$3,CLAVE_COMB,$A257)+SUMIFS(SALIDAS_DES,FECHA_DESGLOSEN,"&gt;="&amp;BP$2,FECHA_DESGLOSEN,"&lt;="&amp;BP$3,CLAVE_DESGLOSE,$A257)</f>
        <v>0</v>
      </c>
      <c r="BQ257" s="13">
        <f>SUMIFS(SALIDAS_BIT,FECHA_BIT,"&gt;="&amp;BQ$2,FECHA_BIT,"&lt;="&amp;BQ$3,CLAVE_BIT,$A257)+SUMIFS(SALIDAS_BOV1,FECHA_BOV1,"&gt;="&amp;BQ$2,FECHA_BOV1,"&lt;="&amp;BQ$3,CLAVE_BOV1,$A257)+SUMIFS(SALIDAS_BOV2,FECHA_BOV2,"&gt;="&amp;BQ$2,FECHA_BOV2,"&lt;="&amp;BQ$3,CLAVE_BOV2,$A257)+SUMIFS(SALIDAS_BOV3,FECHA_BOV3,"&gt;="&amp;BQ$2,FECHA_BOV3,"&lt;="&amp;BQ$3,CLAVE_BOV3,$A257)+SUMIFS(SALIDAS_TC,FECHA_TC,"&gt;="&amp;BQ$2,FECHA_TC,"&lt;="&amp;BQ$3,CLAVE_TC,$A257)+SUMIFS(SALIDAS_COMB,FECHA_COMB,"&gt;="&amp;BQ$2,FECHA_COMB,"&lt;="&amp;BQ$3,CLAVE_COMB,$A257)+SUMIFS(SALIDAS_DES,FECHA_DESGLOSEN,"&gt;="&amp;BQ$2,FECHA_DESGLOSEN,"&lt;="&amp;BQ$3,CLAVE_DESGLOSE,$A257)</f>
        <v>0</v>
      </c>
      <c r="BR257" s="13">
        <f t="shared" ref="BR257:BR266" si="436">SUMIFS(SALIDAS_BIT,FECHA_BIT,"&gt;="&amp;BR$2,FECHA_BIT,"&lt;="&amp;BR$3,CLAVE_BIT,$A257)+SUMIFS(SALIDAS_BOV1,FECHA_BOV1,"&gt;="&amp;BR$2,FECHA_BOV1,"&lt;="&amp;BR$3,CLAVE_BOV1,$A257)+SUMIFS(SALIDAS_BOV2,FECHA_BOV2,"&gt;="&amp;BR$2,FECHA_BOV2,"&lt;="&amp;BR$3,CLAVE_BOV2,$A257)+SUMIFS(SALIDAS_BOV3,FECHA_BOV3,"&gt;="&amp;BR$2,FECHA_BOV3,"&lt;="&amp;BR$3,CLAVE_BOV3,$A257)+SUMIFS(SALIDAS_TC,FECHA_TC,"&gt;="&amp;BR$2,FECHA_TC,"&lt;="&amp;BR$3,CLAVE_TC,$A257)+SUMIFS(SALIDAS_COMB,FECHA_COMB,"&gt;="&amp;BR$2,FECHA_COMB,"&lt;="&amp;BR$3,CLAVE_COMB,$A257)+SUMIFS(SALIDAS_DES,FECHA_DESGLOSEN,"&gt;="&amp;BR$2,FECHA_DESGLOSEN,"&lt;="&amp;BR$3,CLAVE_DESGLOSE,$A257)</f>
        <v>0</v>
      </c>
      <c r="BS257" s="68">
        <f t="shared" si="367"/>
        <v>0</v>
      </c>
      <c r="BT257" s="268">
        <f t="shared" si="368"/>
        <v>0</v>
      </c>
      <c r="BU257" s="13">
        <f t="shared" si="369"/>
        <v>0</v>
      </c>
      <c r="BV257" s="13">
        <f t="shared" si="389"/>
        <v>0</v>
      </c>
      <c r="BW257" s="13">
        <f t="shared" si="389"/>
        <v>0</v>
      </c>
      <c r="BX257" s="13">
        <f t="shared" si="389"/>
        <v>0</v>
      </c>
      <c r="BY257" s="13">
        <f t="shared" si="389"/>
        <v>0</v>
      </c>
      <c r="BZ257" s="13">
        <f t="shared" ref="BZ257:BZ266" si="437">SUMIFS(SALIDAS_BIT,FECHA_BIT,"&gt;="&amp;BZ$2,FECHA_BIT,"&lt;="&amp;BZ$3,CLAVE_BIT,$A257)+SUMIFS(SALIDAS_BOV1,FECHA_BOV1,"&gt;="&amp;BZ$2,FECHA_BOV1,"&lt;="&amp;BZ$3,CLAVE_BOV1,$A257)+SUMIFS(SALIDAS_BOV2,FECHA_BOV2,"&gt;="&amp;BZ$2,FECHA_BOV2,"&lt;="&amp;BZ$3,CLAVE_BOV2,$A257)+SUMIFS(SALIDAS_BOV3,FECHA_BOV3,"&gt;="&amp;BZ$2,FECHA_BOV3,"&lt;="&amp;BZ$3,CLAVE_BOV3,$A257)+SUMIFS(SALIDAS_TC,FECHA_TC,"&gt;="&amp;BZ$2,FECHA_TC,"&lt;="&amp;BZ$3,CLAVE_TC,$A257)+SUMIFS(SALIDAS_COMB,FECHA_COMB,"&gt;="&amp;BZ$2,FECHA_COMB,"&lt;="&amp;BZ$3,CLAVE_COMB,$A257)+SUMIFS(SALIDAS_DES,FECHA_DESGLOSEN,"&gt;="&amp;BZ$2,FECHA_DESGLOSEN,"&lt;="&amp;BZ$3,CLAVE_DESGLOSE,$A257)</f>
        <v>0</v>
      </c>
      <c r="CA257" s="68">
        <f t="shared" si="370"/>
        <v>0</v>
      </c>
      <c r="CB257" s="268">
        <f t="shared" si="371"/>
        <v>0</v>
      </c>
      <c r="CC257" s="13">
        <f t="shared" si="372"/>
        <v>0</v>
      </c>
      <c r="CD257" s="13">
        <f t="shared" si="390"/>
        <v>0</v>
      </c>
      <c r="CE257" s="13">
        <f t="shared" si="390"/>
        <v>0</v>
      </c>
      <c r="CF257" s="13">
        <f t="shared" si="390"/>
        <v>0</v>
      </c>
      <c r="CG257" s="13">
        <f t="shared" si="390"/>
        <v>0</v>
      </c>
      <c r="CH257" s="13">
        <f t="shared" ref="CH257:CH266" si="438">SUMIFS(SALIDAS_BIT,FECHA_BIT,"&gt;="&amp;CH$2,FECHA_BIT,"&lt;="&amp;CH$3,CLAVE_BIT,$A257)+SUMIFS(SALIDAS_BOV1,FECHA_BOV1,"&gt;="&amp;CH$2,FECHA_BOV1,"&lt;="&amp;CH$3,CLAVE_BOV1,$A257)+SUMIFS(SALIDAS_BOV2,FECHA_BOV2,"&gt;="&amp;CH$2,FECHA_BOV2,"&lt;="&amp;CH$3,CLAVE_BOV2,$A257)+SUMIFS(SALIDAS_BOV3,FECHA_BOV3,"&gt;="&amp;CH$2,FECHA_BOV3,"&lt;="&amp;CH$3,CLAVE_BOV3,$A257)+SUMIFS(SALIDAS_TC,FECHA_TC,"&gt;="&amp;CH$2,FECHA_TC,"&lt;="&amp;CH$3,CLAVE_TC,$A257)+SUMIFS(SALIDAS_COMB,FECHA_COMB,"&gt;="&amp;CH$2,FECHA_COMB,"&lt;="&amp;CH$3,CLAVE_COMB,$A257)+SUMIFS(SALIDAS_DES,FECHA_DESGLOSEN,"&gt;="&amp;CH$2,FECHA_DESGLOSEN,"&lt;="&amp;CH$3,CLAVE_DESGLOSE,$A257)</f>
        <v>0</v>
      </c>
      <c r="CI257" s="68">
        <f t="shared" si="373"/>
        <v>0</v>
      </c>
      <c r="CJ257" s="268">
        <f t="shared" si="374"/>
        <v>0</v>
      </c>
      <c r="CK257" s="13">
        <f t="shared" si="375"/>
        <v>0</v>
      </c>
      <c r="CL257" s="13">
        <f t="shared" si="400"/>
        <v>0</v>
      </c>
      <c r="CM257" s="13">
        <f t="shared" si="400"/>
        <v>0</v>
      </c>
      <c r="CN257" s="13">
        <f t="shared" si="400"/>
        <v>0</v>
      </c>
      <c r="CO257" s="13">
        <f t="shared" si="400"/>
        <v>0</v>
      </c>
      <c r="CP257" s="13">
        <f t="shared" si="400"/>
        <v>0</v>
      </c>
      <c r="CQ257" s="13">
        <f t="shared" ref="CQ257:CQ266" si="439">SUMIFS(SALIDAS_BIT,FECHA_BIT,"&gt;="&amp;CQ$2,FECHA_BIT,"&lt;="&amp;CQ$3,CLAVE_BIT,$A257)+SUMIFS(SALIDAS_BOV1,FECHA_BOV1,"&gt;="&amp;CQ$2,FECHA_BOV1,"&lt;="&amp;CQ$3,CLAVE_BOV1,$A257)+SUMIFS(SALIDAS_BOV2,FECHA_BOV2,"&gt;="&amp;CQ$2,FECHA_BOV2,"&lt;="&amp;CQ$3,CLAVE_BOV2,$A257)+SUMIFS(SALIDAS_BOV3,FECHA_BOV3,"&gt;="&amp;CQ$2,FECHA_BOV3,"&lt;="&amp;CQ$3,CLAVE_BOV3,$A257)+SUMIFS(SALIDAS_TC,FECHA_TC,"&gt;="&amp;CQ$2,FECHA_TC,"&lt;="&amp;CQ$3,CLAVE_TC,$A257)+SUMIFS(SALIDAS_COMB,FECHA_COMB,"&gt;="&amp;CQ$2,FECHA_COMB,"&lt;="&amp;CQ$3,CLAVE_COMB,$A257)+SUMIFS(SALIDAS_DES,FECHA_DESGLOSEN,"&gt;="&amp;CQ$2,FECHA_DESGLOSEN,"&lt;="&amp;CQ$3,CLAVE_DESGLOSE,$A257)</f>
        <v>0</v>
      </c>
      <c r="CR257" s="68">
        <f t="shared" si="376"/>
        <v>0</v>
      </c>
      <c r="CS257" s="268">
        <f t="shared" si="377"/>
        <v>0</v>
      </c>
      <c r="CT257" s="68">
        <f t="shared" si="350"/>
        <v>0</v>
      </c>
      <c r="CU257" s="13">
        <f>SUMIFS(SALIDAS_BIT,FECHA_BIT,"&gt;="&amp;CU$2,FECHA_BIT,"&lt;="&amp;CU$3,CLAVE_BIT,$A257)+SUMIFS(SALIDAS_BOV1,FECHA_BOV1,"&gt;="&amp;CU$2,FECHA_BOV1,"&lt;="&amp;CU$3,CLAVE_BOV1,$A257)+SUMIFS(SALIDAS_BOV2,FECHA_BOV2,"&gt;="&amp;CU$2,FECHA_BOV2,"&lt;="&amp;CU$3,CLAVE_BOV2,$A257)+SUMIFS(SALIDAS_BOV3,FECHA_BOV3,"&gt;="&amp;CU$2,FECHA_BOV3,"&lt;="&amp;CU$3,CLAVE_BOV3,$A257)+SUMIFS(SALIDAS_TC,FECHA_TC,"&gt;="&amp;CU$2,FECHA_TC,"&lt;="&amp;CU$3,CLAVE_TC,$A257)+SUMIFS(SALIDAS_COMB,FECHA_COMB,"&gt;="&amp;CU$2,FECHA_COMB,"&lt;="&amp;CU$3,CLAVE_COMB,$A257)+SUMIFS(SALIDAS_DES,FECHA_DESGLOSEN,"&gt;="&amp;CU$2,FECHA_DESGLOSEN,"&lt;="&amp;CU$3,CLAVE_DESGLOSE,$A257)</f>
        <v>0</v>
      </c>
      <c r="CV257" s="13">
        <f>SUMIFS(SALIDAS_BIT,FECHA_BIT,"&gt;="&amp;CV$2,FECHA_BIT,"&lt;="&amp;CV$3,CLAVE_BIT,$A257)+SUMIFS(SALIDAS_BOV1,FECHA_BOV1,"&gt;="&amp;CV$2,FECHA_BOV1,"&lt;="&amp;CV$3,CLAVE_BOV1,$A257)+SUMIFS(SALIDAS_BOV2,FECHA_BOV2,"&gt;="&amp;CV$2,FECHA_BOV2,"&lt;="&amp;CV$3,CLAVE_BOV2,$A257)+SUMIFS(SALIDAS_BOV3,FECHA_BOV3,"&gt;="&amp;CV$2,FECHA_BOV3,"&lt;="&amp;CV$3,CLAVE_BOV3,$A257)+SUMIFS(SALIDAS_TC,FECHA_TC,"&gt;="&amp;CV$2,FECHA_TC,"&lt;="&amp;CV$3,CLAVE_TC,$A257)+SUMIFS(SALIDAS_COMB,FECHA_COMB,"&gt;="&amp;CV$2,FECHA_COMB,"&lt;="&amp;CV$3,CLAVE_COMB,$A257)+SUMIFS(SALIDAS_DES,FECHA_DESGLOSEN,"&gt;="&amp;CV$2,FECHA_DESGLOSEN,"&lt;="&amp;CV$3,CLAVE_DESGLOSE,$A257)</f>
        <v>0</v>
      </c>
      <c r="CW257" s="13">
        <f>SUMIFS(SALIDAS_BIT,FECHA_BIT,"&gt;="&amp;CW$2,FECHA_BIT,"&lt;="&amp;CW$3,CLAVE_BIT,$A257)+SUMIFS(SALIDAS_BOV1,FECHA_BOV1,"&gt;="&amp;CW$2,FECHA_BOV1,"&lt;="&amp;CW$3,CLAVE_BOV1,$A257)+SUMIFS(SALIDAS_BOV2,FECHA_BOV2,"&gt;="&amp;CW$2,FECHA_BOV2,"&lt;="&amp;CW$3,CLAVE_BOV2,$A257)+SUMIFS(SALIDAS_BOV3,FECHA_BOV3,"&gt;="&amp;CW$2,FECHA_BOV3,"&lt;="&amp;CW$3,CLAVE_BOV3,$A257)+SUMIFS(SALIDAS_TC,FECHA_TC,"&gt;="&amp;CW$2,FECHA_TC,"&lt;="&amp;CW$3,CLAVE_TC,$A257)+SUMIFS(SALIDAS_COMB,FECHA_COMB,"&gt;="&amp;CW$2,FECHA_COMB,"&lt;="&amp;CW$3,CLAVE_COMB,$A257)+SUMIFS(SALIDAS_DES,FECHA_DESGLOSEN,"&gt;="&amp;CW$2,FECHA_DESGLOSEN,"&lt;="&amp;CW$3,CLAVE_DESGLOSE,$A257)</f>
        <v>0</v>
      </c>
      <c r="CX257" s="13">
        <f>SUMIFS(SALIDAS_BIT,FECHA_BIT,"&gt;="&amp;CX$2,FECHA_BIT,"&lt;="&amp;CX$3,CLAVE_BIT,$A257)+SUMIFS(SALIDAS_BOV1,FECHA_BOV1,"&gt;="&amp;CX$2,FECHA_BOV1,"&lt;="&amp;CX$3,CLAVE_BOV1,$A257)+SUMIFS(SALIDAS_BOV2,FECHA_BOV2,"&gt;="&amp;CX$2,FECHA_BOV2,"&lt;="&amp;CX$3,CLAVE_BOV2,$A257)+SUMIFS(SALIDAS_BOV3,FECHA_BOV3,"&gt;="&amp;CX$2,FECHA_BOV3,"&lt;="&amp;CX$3,CLAVE_BOV3,$A257)+SUMIFS(SALIDAS_TC,FECHA_TC,"&gt;="&amp;CX$2,FECHA_TC,"&lt;="&amp;CX$3,CLAVE_TC,$A257)+SUMIFS(SALIDAS_COMB,FECHA_COMB,"&gt;="&amp;CX$2,FECHA_COMB,"&lt;="&amp;CX$3,CLAVE_COMB,$A257)+SUMIFS(SALIDAS_DES,FECHA_DESGLOSEN,"&gt;="&amp;CX$2,FECHA_DESGLOSEN,"&lt;="&amp;CX$3,CLAVE_DESGLOSE,$A257)</f>
        <v>0</v>
      </c>
      <c r="CY257" s="13">
        <f>SUMIFS(SALIDAS_BIT,FECHA_BIT,"&gt;="&amp;CY$2,FECHA_BIT,"&lt;="&amp;CY$3,CLAVE_BIT,$A257)+SUMIFS(SALIDAS_BOV1,FECHA_BOV1,"&gt;="&amp;CY$2,FECHA_BOV1,"&lt;="&amp;CY$3,CLAVE_BOV1,$A257)+SUMIFS(SALIDAS_BOV2,FECHA_BOV2,"&gt;="&amp;CY$2,FECHA_BOV2,"&lt;="&amp;CY$3,CLAVE_BOV2,$A257)+SUMIFS(SALIDAS_BOV3,FECHA_BOV3,"&gt;="&amp;CY$2,FECHA_BOV3,"&lt;="&amp;CY$3,CLAVE_BOV3,$A257)+SUMIFS(SALIDAS_TC,FECHA_TC,"&gt;="&amp;CY$2,FECHA_TC,"&lt;="&amp;CY$3,CLAVE_TC,$A257)+SUMIFS(SALIDAS_COMB,FECHA_COMB,"&gt;="&amp;CY$2,FECHA_COMB,"&lt;="&amp;CY$3,CLAVE_COMB,$A257)+SUMIFS(SALIDAS_DES,FECHA_DESGLOSEN,"&gt;="&amp;CY$2,FECHA_DESGLOSEN,"&lt;="&amp;CY$3,CLAVE_DESGLOSE,$A257)</f>
        <v>0</v>
      </c>
      <c r="CZ257" s="68">
        <f t="shared" si="378"/>
        <v>0</v>
      </c>
      <c r="DB257" s="17">
        <f>F257+N257+W257+AE257+AM257+AV257+BD257+BL257+BU257+CC257+CK257</f>
        <v>2570</v>
      </c>
      <c r="DC257" s="17">
        <f>K257+T257+AB257+AJ257+AS257+BA257+BI257+BR257+BZ257+CH257+CQ257</f>
        <v>640</v>
      </c>
    </row>
    <row r="258" spans="1:107" hidden="1">
      <c r="A258" s="12" t="str">
        <f t="shared" si="351"/>
        <v>SGECUOTAS Y SUSCRIPCIONESCHATGPT</v>
      </c>
      <c r="B258">
        <v>260</v>
      </c>
      <c r="C258" t="s">
        <v>39</v>
      </c>
      <c r="D258" t="s">
        <v>51</v>
      </c>
      <c r="E258" t="s">
        <v>59</v>
      </c>
      <c r="F258" s="259">
        <f t="shared" si="344"/>
        <v>3000</v>
      </c>
      <c r="G258" s="13">
        <f t="shared" si="431"/>
        <v>0</v>
      </c>
      <c r="H258" s="13">
        <f t="shared" si="431"/>
        <v>0</v>
      </c>
      <c r="I258" s="13">
        <f t="shared" si="431"/>
        <v>0</v>
      </c>
      <c r="J258" s="13">
        <f t="shared" si="431"/>
        <v>1668.17</v>
      </c>
      <c r="K258" s="13">
        <f t="shared" si="431"/>
        <v>1668.17</v>
      </c>
      <c r="L258" s="68">
        <f t="shared" si="352"/>
        <v>1331.83</v>
      </c>
      <c r="M258" s="268">
        <f t="shared" si="353"/>
        <v>0.55605666666666664</v>
      </c>
      <c r="N258" s="13">
        <f t="shared" si="345"/>
        <v>3000</v>
      </c>
      <c r="O258" s="13">
        <f t="shared" si="432"/>
        <v>0</v>
      </c>
      <c r="P258" s="13">
        <f t="shared" si="432"/>
        <v>0</v>
      </c>
      <c r="Q258" s="13">
        <f t="shared" si="432"/>
        <v>0</v>
      </c>
      <c r="R258" s="13">
        <f t="shared" si="432"/>
        <v>4190.1100000000006</v>
      </c>
      <c r="S258" s="13">
        <f t="shared" si="432"/>
        <v>0</v>
      </c>
      <c r="T258" s="13">
        <f t="shared" si="432"/>
        <v>4190.1100000000006</v>
      </c>
      <c r="U258" s="68">
        <f t="shared" si="354"/>
        <v>-1190.1100000000006</v>
      </c>
      <c r="V258" s="268">
        <f t="shared" si="355"/>
        <v>1.3967033333333336</v>
      </c>
      <c r="W258" s="13">
        <f t="shared" si="346"/>
        <v>3000</v>
      </c>
      <c r="X258" s="13">
        <f t="shared" si="433"/>
        <v>0</v>
      </c>
      <c r="Y258" s="13">
        <f t="shared" si="433"/>
        <v>0</v>
      </c>
      <c r="Z258" s="13">
        <f t="shared" si="433"/>
        <v>0</v>
      </c>
      <c r="AA258" s="13">
        <f t="shared" si="433"/>
        <v>828.02</v>
      </c>
      <c r="AB258" s="13">
        <f t="shared" si="433"/>
        <v>828.02</v>
      </c>
      <c r="AC258" s="68">
        <f t="shared" si="356"/>
        <v>2171.98</v>
      </c>
      <c r="AD258" s="268">
        <f t="shared" si="357"/>
        <v>0.27600666666666668</v>
      </c>
      <c r="AE258" s="13">
        <f t="shared" si="347"/>
        <v>3000</v>
      </c>
      <c r="AF258" s="13">
        <f t="shared" si="434"/>
        <v>0</v>
      </c>
      <c r="AG258" s="13">
        <f t="shared" si="434"/>
        <v>0</v>
      </c>
      <c r="AH258" s="13">
        <f t="shared" si="434"/>
        <v>0</v>
      </c>
      <c r="AI258" s="13">
        <f t="shared" si="434"/>
        <v>2066.7200000000003</v>
      </c>
      <c r="AJ258" s="13">
        <f t="shared" si="434"/>
        <v>2066.7200000000003</v>
      </c>
      <c r="AK258" s="68">
        <f t="shared" si="358"/>
        <v>933.27999999999975</v>
      </c>
      <c r="AL258" s="268">
        <f t="shared" si="359"/>
        <v>0.68890666666666678</v>
      </c>
      <c r="AM258" s="13">
        <f t="shared" si="348"/>
        <v>3000</v>
      </c>
      <c r="AN258" s="13">
        <f t="shared" si="435"/>
        <v>402.81</v>
      </c>
      <c r="AO258" s="13">
        <f t="shared" si="435"/>
        <v>0</v>
      </c>
      <c r="AP258" s="13">
        <f t="shared" si="435"/>
        <v>0</v>
      </c>
      <c r="AQ258" s="13">
        <f t="shared" si="435"/>
        <v>1607.33</v>
      </c>
      <c r="AR258" s="13">
        <f t="shared" si="435"/>
        <v>0</v>
      </c>
      <c r="AS258" s="13">
        <f t="shared" si="435"/>
        <v>2010.1399999999999</v>
      </c>
      <c r="AT258" s="68">
        <f>AM258-AS258</f>
        <v>989.86000000000013</v>
      </c>
      <c r="AU258" s="268">
        <f t="shared" si="360"/>
        <v>0.67004666666666668</v>
      </c>
      <c r="AV258" s="13">
        <f t="shared" si="349"/>
        <v>3000</v>
      </c>
      <c r="AW258" s="13">
        <f t="shared" si="421"/>
        <v>399.19</v>
      </c>
      <c r="AX258" s="13">
        <f t="shared" si="421"/>
        <v>0</v>
      </c>
      <c r="AY258" s="13">
        <f t="shared" si="421"/>
        <v>0</v>
      </c>
      <c r="AZ258" s="13">
        <f t="shared" si="421"/>
        <v>1566.95</v>
      </c>
      <c r="BA258" s="13">
        <f t="shared" si="379"/>
        <v>1966.14</v>
      </c>
      <c r="BB258" s="68">
        <f t="shared" si="361"/>
        <v>1033.8599999999999</v>
      </c>
      <c r="BC258" s="268">
        <f t="shared" si="362"/>
        <v>0.65538000000000007</v>
      </c>
      <c r="BD258" s="13">
        <f t="shared" si="363"/>
        <v>3000</v>
      </c>
      <c r="BE258" s="13">
        <f>SUMIFS(SALIDAS_BIT,FECHA_BIT,"&gt;="&amp;BE$2,FECHA_BIT,"&lt;="&amp;BE$3,CLAVE_BIT,$A258)+SUMIFS(SALIDAS_BOV1,FECHA_BOV1,"&gt;="&amp;BE$2,FECHA_BOV1,"&lt;="&amp;BE$3,CLAVE_BOV1,$A258)+SUMIFS(SALIDAS_BOV2,FECHA_BOV2,"&gt;="&amp;BE$2,FECHA_BOV2,"&lt;="&amp;BE$3,CLAVE_BOV2,$A258)+SUMIFS(SALIDAS_BOV3,FECHA_BOV3,"&gt;="&amp;BE$2,FECHA_BOV3,"&lt;="&amp;BE$3,CLAVE_BOV3,$A258)+SUMIFS(SALIDAS_TC,FECHA_TC,"&gt;="&amp;BE$2,FECHA_TC,"&lt;="&amp;BE$3,CLAVE_TC,$A258)+SUMIFS(SALIDAS_COMB,FECHA_COMB,"&gt;="&amp;BE$2,FECHA_COMB,"&lt;="&amp;BE$3,CLAVE_COMB,$A258)+SUMIFS(SALIDAS_DES,FECHA_DESGLOSEN,"&gt;="&amp;BE$2,FECHA_DESGLOSEN,"&lt;="&amp;BE$3,CLAVE_DESGLOSE,$A258)</f>
        <v>537.75</v>
      </c>
      <c r="BF258" s="13">
        <f>SUMIFS(SALIDAS_BIT,FECHA_BIT,"&gt;="&amp;BF$2,FECHA_BIT,"&lt;="&amp;BF$3,CLAVE_BIT,$A258)+SUMIFS(SALIDAS_BOV1,FECHA_BOV1,"&gt;="&amp;BF$2,FECHA_BOV1,"&lt;="&amp;BF$3,CLAVE_BOV1,$A258)+SUMIFS(SALIDAS_BOV2,FECHA_BOV2,"&gt;="&amp;BF$2,FECHA_BOV2,"&lt;="&amp;BF$3,CLAVE_BOV2,$A258)+SUMIFS(SALIDAS_BOV3,FECHA_BOV3,"&gt;="&amp;BF$2,FECHA_BOV3,"&lt;="&amp;BF$3,CLAVE_BOV3,$A258)+SUMIFS(SALIDAS_TC,FECHA_TC,"&gt;="&amp;BF$2,FECHA_TC,"&lt;="&amp;BF$3,CLAVE_TC,$A258)+SUMIFS(SALIDAS_COMB,FECHA_COMB,"&gt;="&amp;BF$2,FECHA_COMB,"&lt;="&amp;BF$3,CLAVE_COMB,$A258)+SUMIFS(SALIDAS_DES,FECHA_DESGLOSEN,"&gt;="&amp;BF$2,FECHA_DESGLOSEN,"&lt;="&amp;BF$3,CLAVE_DESGLOSE,$A258)</f>
        <v>0</v>
      </c>
      <c r="BG258" s="13">
        <f>SUMIFS(SALIDAS_BIT,FECHA_BIT,"&gt;="&amp;BG$2,FECHA_BIT,"&lt;="&amp;BG$3,CLAVE_BIT,$A258)+SUMIFS(SALIDAS_BOV1,FECHA_BOV1,"&gt;="&amp;BG$2,FECHA_BOV1,"&lt;="&amp;BG$3,CLAVE_BOV1,$A258)+SUMIFS(SALIDAS_BOV2,FECHA_BOV2,"&gt;="&amp;BG$2,FECHA_BOV2,"&lt;="&amp;BG$3,CLAVE_BOV2,$A258)+SUMIFS(SALIDAS_BOV3,FECHA_BOV3,"&gt;="&amp;BG$2,FECHA_BOV3,"&lt;="&amp;BG$3,CLAVE_BOV3,$A258)+SUMIFS(SALIDAS_TC,FECHA_TC,"&gt;="&amp;BG$2,FECHA_TC,"&lt;="&amp;BG$3,CLAVE_TC,$A258)+SUMIFS(SALIDAS_COMB,FECHA_COMB,"&gt;="&amp;BG$2,FECHA_COMB,"&lt;="&amp;BG$3,CLAVE_COMB,$A258)+SUMIFS(SALIDAS_DES,FECHA_DESGLOSEN,"&gt;="&amp;BG$2,FECHA_DESGLOSEN,"&lt;="&amp;BG$3,CLAVE_DESGLOSE,$A258)</f>
        <v>0</v>
      </c>
      <c r="BH258" s="13">
        <f>SUMIFS(SALIDAS_BIT,FECHA_BIT,"&gt;="&amp;BH$2,FECHA_BIT,"&lt;="&amp;BH$3,CLAVE_BIT,$A258)+SUMIFS(SALIDAS_BOV1,FECHA_BOV1,"&gt;="&amp;BH$2,FECHA_BOV1,"&lt;="&amp;BH$3,CLAVE_BOV1,$A258)+SUMIFS(SALIDAS_BOV2,FECHA_BOV2,"&gt;="&amp;BH$2,FECHA_BOV2,"&lt;="&amp;BH$3,CLAVE_BOV2,$A258)+SUMIFS(SALIDAS_BOV3,FECHA_BOV3,"&gt;="&amp;BH$2,FECHA_BOV3,"&lt;="&amp;BH$3,CLAVE_BOV3,$A258)+SUMIFS(SALIDAS_TC,FECHA_TC,"&gt;="&amp;BH$2,FECHA_TC,"&lt;="&amp;BH$3,CLAVE_TC,$A258)+SUMIFS(SALIDAS_COMB,FECHA_COMB,"&gt;="&amp;BH$2,FECHA_COMB,"&lt;="&amp;BH$3,CLAVE_COMB,$A258)+SUMIFS(SALIDAS_DES,FECHA_DESGLOSEN,"&gt;="&amp;BH$2,FECHA_DESGLOSEN,"&lt;="&amp;BH$3,CLAVE_DESGLOSE,$A258)</f>
        <v>1529.3000000000002</v>
      </c>
      <c r="BI258" s="13">
        <f t="shared" si="419"/>
        <v>2067.0500000000002</v>
      </c>
      <c r="BJ258" s="68">
        <f t="shared" si="364"/>
        <v>932.94999999999982</v>
      </c>
      <c r="BK258" s="268">
        <f t="shared" si="365"/>
        <v>0.68901666666666672</v>
      </c>
      <c r="BL258" s="13">
        <f t="shared" si="366"/>
        <v>3000</v>
      </c>
      <c r="BM258" s="13">
        <f>SUMIFS(SALIDAS_BIT,FECHA_BIT,"&gt;="&amp;BM$2,FECHA_BIT,"&lt;="&amp;BM$3,CLAVE_BIT,$A258)+SUMIFS(SALIDAS_BOV1,FECHA_BOV1,"&gt;="&amp;BM$2,FECHA_BOV1,"&lt;="&amp;BM$3,CLAVE_BOV1,$A258)+SUMIFS(SALIDAS_BOV2,FECHA_BOV2,"&gt;="&amp;BM$2,FECHA_BOV2,"&lt;="&amp;BM$3,CLAVE_BOV2,$A258)+SUMIFS(SALIDAS_BOV3,FECHA_BOV3,"&gt;="&amp;BM$2,FECHA_BOV3,"&lt;="&amp;BM$3,CLAVE_BOV3,$A258)+SUMIFS(SALIDAS_TC,FECHA_TC,"&gt;="&amp;BM$2,FECHA_TC,"&lt;="&amp;BM$3,CLAVE_TC,$A258)+SUMIFS(SALIDAS_COMB,FECHA_COMB,"&gt;="&amp;BM$2,FECHA_COMB,"&lt;="&amp;BM$3,CLAVE_COMB,$A258)+SUMIFS(SALIDAS_DES,FECHA_DESGLOSEN,"&gt;="&amp;BM$2,FECHA_DESGLOSEN,"&lt;="&amp;BM$3,CLAVE_DESGLOSE,$A258)</f>
        <v>0</v>
      </c>
      <c r="BN258" s="13">
        <f>SUMIFS(SALIDAS_BIT,FECHA_BIT,"&gt;="&amp;BN$2,FECHA_BIT,"&lt;="&amp;BN$3,CLAVE_BIT,$A258)+SUMIFS(SALIDAS_BOV1,FECHA_BOV1,"&gt;="&amp;BN$2,FECHA_BOV1,"&lt;="&amp;BN$3,CLAVE_BOV1,$A258)+SUMIFS(SALIDAS_BOV2,FECHA_BOV2,"&gt;="&amp;BN$2,FECHA_BOV2,"&lt;="&amp;BN$3,CLAVE_BOV2,$A258)+SUMIFS(SALIDAS_BOV3,FECHA_BOV3,"&gt;="&amp;BN$2,FECHA_BOV3,"&lt;="&amp;BN$3,CLAVE_BOV3,$A258)+SUMIFS(SALIDAS_TC,FECHA_TC,"&gt;="&amp;BN$2,FECHA_TC,"&lt;="&amp;BN$3,CLAVE_TC,$A258)+SUMIFS(SALIDAS_COMB,FECHA_COMB,"&gt;="&amp;BN$2,FECHA_COMB,"&lt;="&amp;BN$3,CLAVE_COMB,$A258)+SUMIFS(SALIDAS_DES,FECHA_DESGLOSEN,"&gt;="&amp;BN$2,FECHA_DESGLOSEN,"&lt;="&amp;BN$3,CLAVE_DESGLOSE,$A258)</f>
        <v>393.12</v>
      </c>
      <c r="BO258" s="13">
        <f>SUMIFS(SALIDAS_BIT,FECHA_BIT,"&gt;="&amp;BO$2,FECHA_BIT,"&lt;="&amp;BO$3,CLAVE_BIT,$A258)+SUMIFS(SALIDAS_BOV1,FECHA_BOV1,"&gt;="&amp;BO$2,FECHA_BOV1,"&lt;="&amp;BO$3,CLAVE_BOV1,$A258)+SUMIFS(SALIDAS_BOV2,FECHA_BOV2,"&gt;="&amp;BO$2,FECHA_BOV2,"&lt;="&amp;BO$3,CLAVE_BOV2,$A258)+SUMIFS(SALIDAS_BOV3,FECHA_BOV3,"&gt;="&amp;BO$2,FECHA_BOV3,"&lt;="&amp;BO$3,CLAVE_BOV3,$A258)+SUMIFS(SALIDAS_TC,FECHA_TC,"&gt;="&amp;BO$2,FECHA_TC,"&lt;="&amp;BO$3,CLAVE_TC,$A258)+SUMIFS(SALIDAS_COMB,FECHA_COMB,"&gt;="&amp;BO$2,FECHA_COMB,"&lt;="&amp;BO$3,CLAVE_COMB,$A258)+SUMIFS(SALIDAS_DES,FECHA_DESGLOSEN,"&gt;="&amp;BO$2,FECHA_DESGLOSEN,"&lt;="&amp;BO$3,CLAVE_DESGLOSE,$A258)</f>
        <v>0</v>
      </c>
      <c r="BP258" s="13">
        <f>SUMIFS(SALIDAS_BIT,FECHA_BIT,"&gt;="&amp;BP$2,FECHA_BIT,"&lt;="&amp;BP$3,CLAVE_BIT,$A258)+SUMIFS(SALIDAS_BOV1,FECHA_BOV1,"&gt;="&amp;BP$2,FECHA_BOV1,"&lt;="&amp;BP$3,CLAVE_BOV1,$A258)+SUMIFS(SALIDAS_BOV2,FECHA_BOV2,"&gt;="&amp;BP$2,FECHA_BOV2,"&lt;="&amp;BP$3,CLAVE_BOV2,$A258)+SUMIFS(SALIDAS_BOV3,FECHA_BOV3,"&gt;="&amp;BP$2,FECHA_BOV3,"&lt;="&amp;BP$3,CLAVE_BOV3,$A258)+SUMIFS(SALIDAS_TC,FECHA_TC,"&gt;="&amp;BP$2,FECHA_TC,"&lt;="&amp;BP$3,CLAVE_TC,$A258)+SUMIFS(SALIDAS_COMB,FECHA_COMB,"&gt;="&amp;BP$2,FECHA_COMB,"&lt;="&amp;BP$3,CLAVE_COMB,$A258)+SUMIFS(SALIDAS_DES,FECHA_DESGLOSEN,"&gt;="&amp;BP$2,FECHA_DESGLOSEN,"&lt;="&amp;BP$3,CLAVE_DESGLOSE,$A258)</f>
        <v>1914.85</v>
      </c>
      <c r="BQ258" s="13">
        <f>SUMIFS(SALIDAS_BIT,FECHA_BIT,"&gt;="&amp;BQ$2,FECHA_BIT,"&lt;="&amp;BQ$3,CLAVE_BIT,$A258)+SUMIFS(SALIDAS_BOV1,FECHA_BOV1,"&gt;="&amp;BQ$2,FECHA_BOV1,"&lt;="&amp;BQ$3,CLAVE_BOV1,$A258)+SUMIFS(SALIDAS_BOV2,FECHA_BOV2,"&gt;="&amp;BQ$2,FECHA_BOV2,"&lt;="&amp;BQ$3,CLAVE_BOV2,$A258)+SUMIFS(SALIDAS_BOV3,FECHA_BOV3,"&gt;="&amp;BQ$2,FECHA_BOV3,"&lt;="&amp;BQ$3,CLAVE_BOV3,$A258)+SUMIFS(SALIDAS_TC,FECHA_TC,"&gt;="&amp;BQ$2,FECHA_TC,"&lt;="&amp;BQ$3,CLAVE_TC,$A258)+SUMIFS(SALIDAS_COMB,FECHA_COMB,"&gt;="&amp;BQ$2,FECHA_COMB,"&lt;="&amp;BQ$3,CLAVE_COMB,$A258)+SUMIFS(SALIDAS_DES,FECHA_DESGLOSEN,"&gt;="&amp;BQ$2,FECHA_DESGLOSEN,"&lt;="&amp;BQ$3,CLAVE_DESGLOSE,$A258)</f>
        <v>0</v>
      </c>
      <c r="BR258" s="13">
        <f t="shared" si="436"/>
        <v>2307.9699999999998</v>
      </c>
      <c r="BS258" s="68">
        <f t="shared" si="367"/>
        <v>692.0300000000002</v>
      </c>
      <c r="BT258" s="268">
        <f t="shared" si="368"/>
        <v>0.76932333333333325</v>
      </c>
      <c r="BU258" s="13">
        <f t="shared" si="369"/>
        <v>3000</v>
      </c>
      <c r="BV258" s="13">
        <f t="shared" si="389"/>
        <v>385.07</v>
      </c>
      <c r="BW258" s="13">
        <f t="shared" si="389"/>
        <v>0</v>
      </c>
      <c r="BX258" s="13">
        <f t="shared" si="389"/>
        <v>0</v>
      </c>
      <c r="BY258" s="13">
        <f t="shared" si="389"/>
        <v>1906.31</v>
      </c>
      <c r="BZ258" s="13">
        <f t="shared" si="437"/>
        <v>2291.38</v>
      </c>
      <c r="CA258" s="68">
        <f t="shared" si="370"/>
        <v>708.61999999999989</v>
      </c>
      <c r="CB258" s="268">
        <f t="shared" si="371"/>
        <v>0.76379333333333332</v>
      </c>
      <c r="CC258" s="13">
        <f t="shared" si="372"/>
        <v>3000</v>
      </c>
      <c r="CD258" s="13">
        <f t="shared" si="390"/>
        <v>385.82</v>
      </c>
      <c r="CE258" s="13">
        <f t="shared" si="390"/>
        <v>0</v>
      </c>
      <c r="CF258" s="13">
        <f t="shared" si="390"/>
        <v>0</v>
      </c>
      <c r="CG258" s="13">
        <f t="shared" si="390"/>
        <v>3326.35</v>
      </c>
      <c r="CH258" s="13">
        <f t="shared" si="438"/>
        <v>3712.1699999999996</v>
      </c>
      <c r="CI258" s="68">
        <f t="shared" si="373"/>
        <v>-712.16999999999962</v>
      </c>
      <c r="CJ258" s="268">
        <f t="shared" si="374"/>
        <v>1.2373899999999998</v>
      </c>
      <c r="CK258" s="13">
        <f t="shared" si="375"/>
        <v>3000</v>
      </c>
      <c r="CL258" s="13">
        <f t="shared" si="400"/>
        <v>0</v>
      </c>
      <c r="CM258" s="13">
        <f t="shared" si="400"/>
        <v>387.32</v>
      </c>
      <c r="CN258" s="13">
        <f t="shared" si="400"/>
        <v>0</v>
      </c>
      <c r="CO258" s="13">
        <f t="shared" si="400"/>
        <v>2252.7799999999997</v>
      </c>
      <c r="CP258" s="13">
        <f t="shared" si="400"/>
        <v>0</v>
      </c>
      <c r="CQ258" s="13">
        <f t="shared" si="439"/>
        <v>2640.1</v>
      </c>
      <c r="CR258" s="68">
        <f t="shared" si="376"/>
        <v>359.90000000000009</v>
      </c>
      <c r="CS258" s="268">
        <f t="shared" si="377"/>
        <v>0.88003333333333333</v>
      </c>
      <c r="CT258" s="68">
        <f t="shared" si="350"/>
        <v>3108</v>
      </c>
      <c r="CU258" s="13">
        <f>SUMIFS(SALIDAS_BIT,FECHA_BIT,"&gt;="&amp;CU$2,FECHA_BIT,"&lt;="&amp;CU$3,CLAVE_BIT,$A258)+SUMIFS(SALIDAS_BOV1,FECHA_BOV1,"&gt;="&amp;CU$2,FECHA_BOV1,"&lt;="&amp;CU$3,CLAVE_BOV1,$A258)+SUMIFS(SALIDAS_BOV2,FECHA_BOV2,"&gt;="&amp;CU$2,FECHA_BOV2,"&lt;="&amp;CU$3,CLAVE_BOV2,$A258)+SUMIFS(SALIDAS_BOV3,FECHA_BOV3,"&gt;="&amp;CU$2,FECHA_BOV3,"&lt;="&amp;CU$3,CLAVE_BOV3,$A258)+SUMIFS(SALIDAS_TC,FECHA_TC,"&gt;="&amp;CU$2,FECHA_TC,"&lt;="&amp;CU$3,CLAVE_TC,$A258)+SUMIFS(SALIDAS_COMB,FECHA_COMB,"&gt;="&amp;CU$2,FECHA_COMB,"&lt;="&amp;CU$3,CLAVE_COMB,$A258)+SUMIFS(SALIDAS_DES,FECHA_DESGLOSEN,"&gt;="&amp;CU$2,FECHA_DESGLOSEN,"&lt;="&amp;CU$3,CLAVE_DESGLOSE,$A258)</f>
        <v>0</v>
      </c>
      <c r="CV258" s="13">
        <f>SUMIFS(SALIDAS_BIT,FECHA_BIT,"&gt;="&amp;CV$2,FECHA_BIT,"&lt;="&amp;CV$3,CLAVE_BIT,$A258)+SUMIFS(SALIDAS_BOV1,FECHA_BOV1,"&gt;="&amp;CV$2,FECHA_BOV1,"&lt;="&amp;CV$3,CLAVE_BOV1,$A258)+SUMIFS(SALIDAS_BOV2,FECHA_BOV2,"&gt;="&amp;CV$2,FECHA_BOV2,"&lt;="&amp;CV$3,CLAVE_BOV2,$A258)+SUMIFS(SALIDAS_BOV3,FECHA_BOV3,"&gt;="&amp;CV$2,FECHA_BOV3,"&lt;="&amp;CV$3,CLAVE_BOV3,$A258)+SUMIFS(SALIDAS_TC,FECHA_TC,"&gt;="&amp;CV$2,FECHA_TC,"&lt;="&amp;CV$3,CLAVE_TC,$A258)+SUMIFS(SALIDAS_COMB,FECHA_COMB,"&gt;="&amp;CV$2,FECHA_COMB,"&lt;="&amp;CV$3,CLAVE_COMB,$A258)+SUMIFS(SALIDAS_DES,FECHA_DESGLOSEN,"&gt;="&amp;CV$2,FECHA_DESGLOSEN,"&lt;="&amp;CV$3,CLAVE_DESGLOSE,$A258)</f>
        <v>0</v>
      </c>
      <c r="CW258" s="13">
        <f>SUMIFS(SALIDAS_BIT,FECHA_BIT,"&gt;="&amp;CW$2,FECHA_BIT,"&lt;="&amp;CW$3,CLAVE_BIT,$A258)+SUMIFS(SALIDAS_BOV1,FECHA_BOV1,"&gt;="&amp;CW$2,FECHA_BOV1,"&lt;="&amp;CW$3,CLAVE_BOV1,$A258)+SUMIFS(SALIDAS_BOV2,FECHA_BOV2,"&gt;="&amp;CW$2,FECHA_BOV2,"&lt;="&amp;CW$3,CLAVE_BOV2,$A258)+SUMIFS(SALIDAS_BOV3,FECHA_BOV3,"&gt;="&amp;CW$2,FECHA_BOV3,"&lt;="&amp;CW$3,CLAVE_BOV3,$A258)+SUMIFS(SALIDAS_TC,FECHA_TC,"&gt;="&amp;CW$2,FECHA_TC,"&lt;="&amp;CW$3,CLAVE_TC,$A258)+SUMIFS(SALIDAS_COMB,FECHA_COMB,"&gt;="&amp;CW$2,FECHA_COMB,"&lt;="&amp;CW$3,CLAVE_COMB,$A258)+SUMIFS(SALIDAS_DES,FECHA_DESGLOSEN,"&gt;="&amp;CW$2,FECHA_DESGLOSEN,"&lt;="&amp;CW$3,CLAVE_DESGLOSE,$A258)</f>
        <v>0</v>
      </c>
      <c r="CX258" s="13">
        <f>SUMIFS(SALIDAS_BIT,FECHA_BIT,"&gt;="&amp;CX$2,FECHA_BIT,"&lt;="&amp;CX$3,CLAVE_BIT,$A258)+SUMIFS(SALIDAS_BOV1,FECHA_BOV1,"&gt;="&amp;CX$2,FECHA_BOV1,"&lt;="&amp;CX$3,CLAVE_BOV1,$A258)+SUMIFS(SALIDAS_BOV2,FECHA_BOV2,"&gt;="&amp;CX$2,FECHA_BOV2,"&lt;="&amp;CX$3,CLAVE_BOV2,$A258)+SUMIFS(SALIDAS_BOV3,FECHA_BOV3,"&gt;="&amp;CX$2,FECHA_BOV3,"&lt;="&amp;CX$3,CLAVE_BOV3,$A258)+SUMIFS(SALIDAS_TC,FECHA_TC,"&gt;="&amp;CX$2,FECHA_TC,"&lt;="&amp;CX$3,CLAVE_TC,$A258)+SUMIFS(SALIDAS_COMB,FECHA_COMB,"&gt;="&amp;CX$2,FECHA_COMB,"&lt;="&amp;CX$3,CLAVE_COMB,$A258)+SUMIFS(SALIDAS_DES,FECHA_DESGLOSEN,"&gt;="&amp;CX$2,FECHA_DESGLOSEN,"&lt;="&amp;CX$3,CLAVE_DESGLOSE,$A258)</f>
        <v>1520.97</v>
      </c>
      <c r="CY258" s="13">
        <f>SUMIFS(SALIDAS_BIT,FECHA_BIT,"&gt;="&amp;CY$2,FECHA_BIT,"&lt;="&amp;CY$3,CLAVE_BIT,$A258)+SUMIFS(SALIDAS_BOV1,FECHA_BOV1,"&gt;="&amp;CY$2,FECHA_BOV1,"&lt;="&amp;CY$3,CLAVE_BOV1,$A258)+SUMIFS(SALIDAS_BOV2,FECHA_BOV2,"&gt;="&amp;CY$2,FECHA_BOV2,"&lt;="&amp;CY$3,CLAVE_BOV2,$A258)+SUMIFS(SALIDAS_BOV3,FECHA_BOV3,"&gt;="&amp;CY$2,FECHA_BOV3,"&lt;="&amp;CY$3,CLAVE_BOV3,$A258)+SUMIFS(SALIDAS_TC,FECHA_TC,"&gt;="&amp;CY$2,FECHA_TC,"&lt;="&amp;CY$3,CLAVE_TC,$A258)+SUMIFS(SALIDAS_COMB,FECHA_COMB,"&gt;="&amp;CY$2,FECHA_COMB,"&lt;="&amp;CY$3,CLAVE_COMB,$A258)+SUMIFS(SALIDAS_DES,FECHA_DESGLOSEN,"&gt;="&amp;CY$2,FECHA_DESGLOSEN,"&lt;="&amp;CY$3,CLAVE_DESGLOSE,$A258)</f>
        <v>1520.97</v>
      </c>
      <c r="CZ258" s="68">
        <f t="shared" si="378"/>
        <v>1587.03</v>
      </c>
      <c r="DB258" s="17">
        <f>F258+N258+W258+AE258+AM258+AV258+BD258+BL258+BU258+CC258+CK258</f>
        <v>33000</v>
      </c>
      <c r="DC258" s="17">
        <f>K258+T258+AB258+AJ258+AS258+BA258+BI258+BR258+BZ258+CH258+CQ258</f>
        <v>25747.969999999998</v>
      </c>
    </row>
    <row r="259" spans="1:107" hidden="1">
      <c r="A259" s="12" t="str">
        <f t="shared" si="351"/>
        <v>SGECUOTAS Y SUSCRIPCIONESCANVA</v>
      </c>
      <c r="B259">
        <v>261</v>
      </c>
      <c r="C259" t="s">
        <v>39</v>
      </c>
      <c r="D259" t="s">
        <v>51</v>
      </c>
      <c r="E259" t="s">
        <v>60</v>
      </c>
      <c r="F259" s="259">
        <f t="shared" si="344"/>
        <v>150</v>
      </c>
      <c r="G259" s="13">
        <f t="shared" si="431"/>
        <v>0</v>
      </c>
      <c r="H259" s="13">
        <f t="shared" si="431"/>
        <v>0</v>
      </c>
      <c r="I259" s="13">
        <f t="shared" si="431"/>
        <v>0</v>
      </c>
      <c r="J259" s="13">
        <f t="shared" si="431"/>
        <v>75</v>
      </c>
      <c r="K259" s="13">
        <f t="shared" si="431"/>
        <v>75</v>
      </c>
      <c r="L259" s="68">
        <f t="shared" si="352"/>
        <v>75</v>
      </c>
      <c r="M259" s="268">
        <f t="shared" si="353"/>
        <v>0.5</v>
      </c>
      <c r="N259" s="13">
        <f t="shared" si="345"/>
        <v>1400</v>
      </c>
      <c r="O259" s="13">
        <f t="shared" si="432"/>
        <v>298</v>
      </c>
      <c r="P259" s="13">
        <f t="shared" si="432"/>
        <v>0</v>
      </c>
      <c r="Q259" s="13">
        <f t="shared" si="432"/>
        <v>0</v>
      </c>
      <c r="R259" s="13">
        <f t="shared" si="432"/>
        <v>0</v>
      </c>
      <c r="S259" s="13">
        <f t="shared" si="432"/>
        <v>0</v>
      </c>
      <c r="T259" s="13">
        <f t="shared" si="432"/>
        <v>298</v>
      </c>
      <c r="U259" s="68">
        <f t="shared" si="354"/>
        <v>1102</v>
      </c>
      <c r="V259" s="268">
        <f t="shared" si="355"/>
        <v>0.21285714285714286</v>
      </c>
      <c r="W259" s="13">
        <f t="shared" si="346"/>
        <v>2600</v>
      </c>
      <c r="X259" s="13">
        <f t="shared" si="433"/>
        <v>1358</v>
      </c>
      <c r="Y259" s="13">
        <f t="shared" si="433"/>
        <v>0</v>
      </c>
      <c r="Z259" s="13">
        <f t="shared" si="433"/>
        <v>0</v>
      </c>
      <c r="AA259" s="13">
        <f t="shared" si="433"/>
        <v>225</v>
      </c>
      <c r="AB259" s="13">
        <f t="shared" si="433"/>
        <v>1583</v>
      </c>
      <c r="AC259" s="68">
        <f t="shared" si="356"/>
        <v>1017</v>
      </c>
      <c r="AD259" s="268">
        <f t="shared" si="357"/>
        <v>0.60884615384615381</v>
      </c>
      <c r="AE259" s="13">
        <f t="shared" si="347"/>
        <v>150</v>
      </c>
      <c r="AF259" s="13">
        <f t="shared" si="434"/>
        <v>1358</v>
      </c>
      <c r="AG259" s="13">
        <f t="shared" si="434"/>
        <v>0</v>
      </c>
      <c r="AH259" s="13">
        <f t="shared" si="434"/>
        <v>0</v>
      </c>
      <c r="AI259" s="13">
        <f t="shared" si="434"/>
        <v>1359</v>
      </c>
      <c r="AJ259" s="13">
        <f t="shared" si="434"/>
        <v>2717</v>
      </c>
      <c r="AK259" s="68">
        <f t="shared" si="358"/>
        <v>-2567</v>
      </c>
      <c r="AL259" s="268">
        <f t="shared" si="359"/>
        <v>18.113333333333333</v>
      </c>
      <c r="AM259" s="13">
        <f t="shared" si="348"/>
        <v>150</v>
      </c>
      <c r="AN259" s="13">
        <f t="shared" si="435"/>
        <v>0</v>
      </c>
      <c r="AO259" s="13">
        <f t="shared" si="435"/>
        <v>0</v>
      </c>
      <c r="AP259" s="13">
        <f t="shared" si="435"/>
        <v>0</v>
      </c>
      <c r="AQ259" s="13">
        <f t="shared" si="435"/>
        <v>0</v>
      </c>
      <c r="AR259" s="13">
        <f t="shared" si="435"/>
        <v>0</v>
      </c>
      <c r="AS259" s="13">
        <f t="shared" si="435"/>
        <v>0</v>
      </c>
      <c r="AT259" s="68">
        <f>AM259-AS259</f>
        <v>150</v>
      </c>
      <c r="AU259" s="268">
        <f t="shared" si="360"/>
        <v>0</v>
      </c>
      <c r="AV259" s="13">
        <f t="shared" si="349"/>
        <v>150</v>
      </c>
      <c r="AW259" s="13">
        <f t="shared" si="421"/>
        <v>0</v>
      </c>
      <c r="AX259" s="13">
        <f t="shared" si="421"/>
        <v>0</v>
      </c>
      <c r="AY259" s="13">
        <f t="shared" si="421"/>
        <v>0</v>
      </c>
      <c r="AZ259" s="13">
        <f t="shared" si="421"/>
        <v>0</v>
      </c>
      <c r="BA259" s="13">
        <f t="shared" si="379"/>
        <v>0</v>
      </c>
      <c r="BB259" s="68">
        <f t="shared" si="361"/>
        <v>150</v>
      </c>
      <c r="BC259" s="268">
        <f t="shared" si="362"/>
        <v>0</v>
      </c>
      <c r="BD259" s="13">
        <f t="shared" si="363"/>
        <v>150</v>
      </c>
      <c r="BE259" s="13">
        <f>SUMIFS(SALIDAS_BIT,FECHA_BIT,"&gt;="&amp;BE$2,FECHA_BIT,"&lt;="&amp;BE$3,CLAVE_BIT,$A259)+SUMIFS(SALIDAS_BOV1,FECHA_BOV1,"&gt;="&amp;BE$2,FECHA_BOV1,"&lt;="&amp;BE$3,CLAVE_BOV1,$A259)+SUMIFS(SALIDAS_BOV2,FECHA_BOV2,"&gt;="&amp;BE$2,FECHA_BOV2,"&lt;="&amp;BE$3,CLAVE_BOV2,$A259)+SUMIFS(SALIDAS_BOV3,FECHA_BOV3,"&gt;="&amp;BE$2,FECHA_BOV3,"&lt;="&amp;BE$3,CLAVE_BOV3,$A259)+SUMIFS(SALIDAS_TC,FECHA_TC,"&gt;="&amp;BE$2,FECHA_TC,"&lt;="&amp;BE$3,CLAVE_TC,$A259)+SUMIFS(SALIDAS_COMB,FECHA_COMB,"&gt;="&amp;BE$2,FECHA_COMB,"&lt;="&amp;BE$3,CLAVE_COMB,$A259)+SUMIFS(SALIDAS_DES,FECHA_DESGLOSEN,"&gt;="&amp;BE$2,FECHA_DESGLOSEN,"&lt;="&amp;BE$3,CLAVE_DESGLOSE,$A259)</f>
        <v>0</v>
      </c>
      <c r="BF259" s="13">
        <f>SUMIFS(SALIDAS_BIT,FECHA_BIT,"&gt;="&amp;BF$2,FECHA_BIT,"&lt;="&amp;BF$3,CLAVE_BIT,$A259)+SUMIFS(SALIDAS_BOV1,FECHA_BOV1,"&gt;="&amp;BF$2,FECHA_BOV1,"&lt;="&amp;BF$3,CLAVE_BOV1,$A259)+SUMIFS(SALIDAS_BOV2,FECHA_BOV2,"&gt;="&amp;BF$2,FECHA_BOV2,"&lt;="&amp;BF$3,CLAVE_BOV2,$A259)+SUMIFS(SALIDAS_BOV3,FECHA_BOV3,"&gt;="&amp;BF$2,FECHA_BOV3,"&lt;="&amp;BF$3,CLAVE_BOV3,$A259)+SUMIFS(SALIDAS_TC,FECHA_TC,"&gt;="&amp;BF$2,FECHA_TC,"&lt;="&amp;BF$3,CLAVE_TC,$A259)+SUMIFS(SALIDAS_COMB,FECHA_COMB,"&gt;="&amp;BF$2,FECHA_COMB,"&lt;="&amp;BF$3,CLAVE_COMB,$A259)+SUMIFS(SALIDAS_DES,FECHA_DESGLOSEN,"&gt;="&amp;BF$2,FECHA_DESGLOSEN,"&lt;="&amp;BF$3,CLAVE_DESGLOSE,$A259)</f>
        <v>0</v>
      </c>
      <c r="BG259" s="13">
        <f>SUMIFS(SALIDAS_BIT,FECHA_BIT,"&gt;="&amp;BG$2,FECHA_BIT,"&lt;="&amp;BG$3,CLAVE_BIT,$A259)+SUMIFS(SALIDAS_BOV1,FECHA_BOV1,"&gt;="&amp;BG$2,FECHA_BOV1,"&lt;="&amp;BG$3,CLAVE_BOV1,$A259)+SUMIFS(SALIDAS_BOV2,FECHA_BOV2,"&gt;="&amp;BG$2,FECHA_BOV2,"&lt;="&amp;BG$3,CLAVE_BOV2,$A259)+SUMIFS(SALIDAS_BOV3,FECHA_BOV3,"&gt;="&amp;BG$2,FECHA_BOV3,"&lt;="&amp;BG$3,CLAVE_BOV3,$A259)+SUMIFS(SALIDAS_TC,FECHA_TC,"&gt;="&amp;BG$2,FECHA_TC,"&lt;="&amp;BG$3,CLAVE_TC,$A259)+SUMIFS(SALIDAS_COMB,FECHA_COMB,"&gt;="&amp;BG$2,FECHA_COMB,"&lt;="&amp;BG$3,CLAVE_COMB,$A259)+SUMIFS(SALIDAS_DES,FECHA_DESGLOSEN,"&gt;="&amp;BG$2,FECHA_DESGLOSEN,"&lt;="&amp;BG$3,CLAVE_DESGLOSE,$A259)</f>
        <v>0</v>
      </c>
      <c r="BH259" s="13">
        <f>SUMIFS(SALIDAS_BIT,FECHA_BIT,"&gt;="&amp;BH$2,FECHA_BIT,"&lt;="&amp;BH$3,CLAVE_BIT,$A259)+SUMIFS(SALIDAS_BOV1,FECHA_BOV1,"&gt;="&amp;BH$2,FECHA_BOV1,"&lt;="&amp;BH$3,CLAVE_BOV1,$A259)+SUMIFS(SALIDAS_BOV2,FECHA_BOV2,"&gt;="&amp;BH$2,FECHA_BOV2,"&lt;="&amp;BH$3,CLAVE_BOV2,$A259)+SUMIFS(SALIDAS_BOV3,FECHA_BOV3,"&gt;="&amp;BH$2,FECHA_BOV3,"&lt;="&amp;BH$3,CLAVE_BOV3,$A259)+SUMIFS(SALIDAS_TC,FECHA_TC,"&gt;="&amp;BH$2,FECHA_TC,"&lt;="&amp;BH$3,CLAVE_TC,$A259)+SUMIFS(SALIDAS_COMB,FECHA_COMB,"&gt;="&amp;BH$2,FECHA_COMB,"&lt;="&amp;BH$3,CLAVE_COMB,$A259)+SUMIFS(SALIDAS_DES,FECHA_DESGLOSEN,"&gt;="&amp;BH$2,FECHA_DESGLOSEN,"&lt;="&amp;BH$3,CLAVE_DESGLOSE,$A259)</f>
        <v>0</v>
      </c>
      <c r="BI259" s="13">
        <f t="shared" si="419"/>
        <v>0</v>
      </c>
      <c r="BJ259" s="68">
        <f t="shared" si="364"/>
        <v>150</v>
      </c>
      <c r="BK259" s="268">
        <f t="shared" si="365"/>
        <v>0</v>
      </c>
      <c r="BL259" s="13">
        <f t="shared" si="366"/>
        <v>150</v>
      </c>
      <c r="BM259" s="13">
        <f>SUMIFS(SALIDAS_BIT,FECHA_BIT,"&gt;="&amp;BM$2,FECHA_BIT,"&lt;="&amp;BM$3,CLAVE_BIT,$A259)+SUMIFS(SALIDAS_BOV1,FECHA_BOV1,"&gt;="&amp;BM$2,FECHA_BOV1,"&lt;="&amp;BM$3,CLAVE_BOV1,$A259)+SUMIFS(SALIDAS_BOV2,FECHA_BOV2,"&gt;="&amp;BM$2,FECHA_BOV2,"&lt;="&amp;BM$3,CLAVE_BOV2,$A259)+SUMIFS(SALIDAS_BOV3,FECHA_BOV3,"&gt;="&amp;BM$2,FECHA_BOV3,"&lt;="&amp;BM$3,CLAVE_BOV3,$A259)+SUMIFS(SALIDAS_TC,FECHA_TC,"&gt;="&amp;BM$2,FECHA_TC,"&lt;="&amp;BM$3,CLAVE_TC,$A259)+SUMIFS(SALIDAS_COMB,FECHA_COMB,"&gt;="&amp;BM$2,FECHA_COMB,"&lt;="&amp;BM$3,CLAVE_COMB,$A259)+SUMIFS(SALIDAS_DES,FECHA_DESGLOSEN,"&gt;="&amp;BM$2,FECHA_DESGLOSEN,"&lt;="&amp;BM$3,CLAVE_DESGLOSE,$A259)</f>
        <v>0</v>
      </c>
      <c r="BN259" s="13">
        <f>SUMIFS(SALIDAS_BIT,FECHA_BIT,"&gt;="&amp;BN$2,FECHA_BIT,"&lt;="&amp;BN$3,CLAVE_BIT,$A259)+SUMIFS(SALIDAS_BOV1,FECHA_BOV1,"&gt;="&amp;BN$2,FECHA_BOV1,"&lt;="&amp;BN$3,CLAVE_BOV1,$A259)+SUMIFS(SALIDAS_BOV2,FECHA_BOV2,"&gt;="&amp;BN$2,FECHA_BOV2,"&lt;="&amp;BN$3,CLAVE_BOV2,$A259)+SUMIFS(SALIDAS_BOV3,FECHA_BOV3,"&gt;="&amp;BN$2,FECHA_BOV3,"&lt;="&amp;BN$3,CLAVE_BOV3,$A259)+SUMIFS(SALIDAS_TC,FECHA_TC,"&gt;="&amp;BN$2,FECHA_TC,"&lt;="&amp;BN$3,CLAVE_TC,$A259)+SUMIFS(SALIDAS_COMB,FECHA_COMB,"&gt;="&amp;BN$2,FECHA_COMB,"&lt;="&amp;BN$3,CLAVE_COMB,$A259)+SUMIFS(SALIDAS_DES,FECHA_DESGLOSEN,"&gt;="&amp;BN$2,FECHA_DESGLOSEN,"&lt;="&amp;BN$3,CLAVE_DESGLOSE,$A259)</f>
        <v>149</v>
      </c>
      <c r="BO259" s="13">
        <f>SUMIFS(SALIDAS_BIT,FECHA_BIT,"&gt;="&amp;BO$2,FECHA_BIT,"&lt;="&amp;BO$3,CLAVE_BIT,$A259)+SUMIFS(SALIDAS_BOV1,FECHA_BOV1,"&gt;="&amp;BO$2,FECHA_BOV1,"&lt;="&amp;BO$3,CLAVE_BOV1,$A259)+SUMIFS(SALIDAS_BOV2,FECHA_BOV2,"&gt;="&amp;BO$2,FECHA_BOV2,"&lt;="&amp;BO$3,CLAVE_BOV2,$A259)+SUMIFS(SALIDAS_BOV3,FECHA_BOV3,"&gt;="&amp;BO$2,FECHA_BOV3,"&lt;="&amp;BO$3,CLAVE_BOV3,$A259)+SUMIFS(SALIDAS_TC,FECHA_TC,"&gt;="&amp;BO$2,FECHA_TC,"&lt;="&amp;BO$3,CLAVE_TC,$A259)+SUMIFS(SALIDAS_COMB,FECHA_COMB,"&gt;="&amp;BO$2,FECHA_COMB,"&lt;="&amp;BO$3,CLAVE_COMB,$A259)+SUMIFS(SALIDAS_DES,FECHA_DESGLOSEN,"&gt;="&amp;BO$2,FECHA_DESGLOSEN,"&lt;="&amp;BO$3,CLAVE_DESGLOSE,$A259)</f>
        <v>0</v>
      </c>
      <c r="BP259" s="13">
        <f>SUMIFS(SALIDAS_BIT,FECHA_BIT,"&gt;="&amp;BP$2,FECHA_BIT,"&lt;="&amp;BP$3,CLAVE_BIT,$A259)+SUMIFS(SALIDAS_BOV1,FECHA_BOV1,"&gt;="&amp;BP$2,FECHA_BOV1,"&lt;="&amp;BP$3,CLAVE_BOV1,$A259)+SUMIFS(SALIDAS_BOV2,FECHA_BOV2,"&gt;="&amp;BP$2,FECHA_BOV2,"&lt;="&amp;BP$3,CLAVE_BOV2,$A259)+SUMIFS(SALIDAS_BOV3,FECHA_BOV3,"&gt;="&amp;BP$2,FECHA_BOV3,"&lt;="&amp;BP$3,CLAVE_BOV3,$A259)+SUMIFS(SALIDAS_TC,FECHA_TC,"&gt;="&amp;BP$2,FECHA_TC,"&lt;="&amp;BP$3,CLAVE_TC,$A259)+SUMIFS(SALIDAS_COMB,FECHA_COMB,"&gt;="&amp;BP$2,FECHA_COMB,"&lt;="&amp;BP$3,CLAVE_COMB,$A259)+SUMIFS(SALIDAS_DES,FECHA_DESGLOSEN,"&gt;="&amp;BP$2,FECHA_DESGLOSEN,"&lt;="&amp;BP$3,CLAVE_DESGLOSE,$A259)</f>
        <v>0</v>
      </c>
      <c r="BQ259" s="13">
        <f>SUMIFS(SALIDAS_BIT,FECHA_BIT,"&gt;="&amp;BQ$2,FECHA_BIT,"&lt;="&amp;BQ$3,CLAVE_BIT,$A259)+SUMIFS(SALIDAS_BOV1,FECHA_BOV1,"&gt;="&amp;BQ$2,FECHA_BOV1,"&lt;="&amp;BQ$3,CLAVE_BOV1,$A259)+SUMIFS(SALIDAS_BOV2,FECHA_BOV2,"&gt;="&amp;BQ$2,FECHA_BOV2,"&lt;="&amp;BQ$3,CLAVE_BOV2,$A259)+SUMIFS(SALIDAS_BOV3,FECHA_BOV3,"&gt;="&amp;BQ$2,FECHA_BOV3,"&lt;="&amp;BQ$3,CLAVE_BOV3,$A259)+SUMIFS(SALIDAS_TC,FECHA_TC,"&gt;="&amp;BQ$2,FECHA_TC,"&lt;="&amp;BQ$3,CLAVE_TC,$A259)+SUMIFS(SALIDAS_COMB,FECHA_COMB,"&gt;="&amp;BQ$2,FECHA_COMB,"&lt;="&amp;BQ$3,CLAVE_COMB,$A259)+SUMIFS(SALIDAS_DES,FECHA_DESGLOSEN,"&gt;="&amp;BQ$2,FECHA_DESGLOSEN,"&lt;="&amp;BQ$3,CLAVE_DESGLOSE,$A259)</f>
        <v>0</v>
      </c>
      <c r="BR259" s="13">
        <f t="shared" si="436"/>
        <v>149</v>
      </c>
      <c r="BS259" s="68">
        <f t="shared" si="367"/>
        <v>1</v>
      </c>
      <c r="BT259" s="268">
        <f t="shared" si="368"/>
        <v>0.99333333333333329</v>
      </c>
      <c r="BU259" s="13">
        <f t="shared" si="369"/>
        <v>150</v>
      </c>
      <c r="BV259" s="13">
        <f t="shared" si="389"/>
        <v>0</v>
      </c>
      <c r="BW259" s="13">
        <f t="shared" si="389"/>
        <v>0</v>
      </c>
      <c r="BX259" s="13">
        <f t="shared" si="389"/>
        <v>0</v>
      </c>
      <c r="BY259" s="13">
        <f t="shared" si="389"/>
        <v>0</v>
      </c>
      <c r="BZ259" s="13">
        <f t="shared" si="437"/>
        <v>0</v>
      </c>
      <c r="CA259" s="68">
        <f t="shared" si="370"/>
        <v>150</v>
      </c>
      <c r="CB259" s="268">
        <f t="shared" si="371"/>
        <v>0</v>
      </c>
      <c r="CC259" s="13">
        <f t="shared" si="372"/>
        <v>150</v>
      </c>
      <c r="CD259" s="13">
        <f t="shared" si="390"/>
        <v>149</v>
      </c>
      <c r="CE259" s="13">
        <f t="shared" si="390"/>
        <v>0</v>
      </c>
      <c r="CF259" s="13">
        <f t="shared" si="390"/>
        <v>0</v>
      </c>
      <c r="CG259" s="13">
        <f t="shared" si="390"/>
        <v>0</v>
      </c>
      <c r="CH259" s="13">
        <f t="shared" si="438"/>
        <v>149</v>
      </c>
      <c r="CI259" s="68">
        <f t="shared" si="373"/>
        <v>1</v>
      </c>
      <c r="CJ259" s="268">
        <f t="shared" si="374"/>
        <v>0.99333333333333329</v>
      </c>
      <c r="CK259" s="13">
        <f t="shared" si="375"/>
        <v>150</v>
      </c>
      <c r="CL259" s="13">
        <f t="shared" si="400"/>
        <v>0</v>
      </c>
      <c r="CM259" s="13">
        <f t="shared" si="400"/>
        <v>0</v>
      </c>
      <c r="CN259" s="13">
        <f t="shared" si="400"/>
        <v>0</v>
      </c>
      <c r="CO259" s="13">
        <f t="shared" si="400"/>
        <v>59</v>
      </c>
      <c r="CP259" s="13">
        <f t="shared" si="400"/>
        <v>0</v>
      </c>
      <c r="CQ259" s="13">
        <f t="shared" si="439"/>
        <v>59</v>
      </c>
      <c r="CR259" s="68">
        <f t="shared" si="376"/>
        <v>91</v>
      </c>
      <c r="CS259" s="268">
        <f t="shared" si="377"/>
        <v>0.39333333333333331</v>
      </c>
      <c r="CT259" s="68">
        <f t="shared" si="350"/>
        <v>149</v>
      </c>
      <c r="CU259" s="13">
        <f>SUMIFS(SALIDAS_BIT,FECHA_BIT,"&gt;="&amp;CU$2,FECHA_BIT,"&lt;="&amp;CU$3,CLAVE_BIT,$A259)+SUMIFS(SALIDAS_BOV1,FECHA_BOV1,"&gt;="&amp;CU$2,FECHA_BOV1,"&lt;="&amp;CU$3,CLAVE_BOV1,$A259)+SUMIFS(SALIDAS_BOV2,FECHA_BOV2,"&gt;="&amp;CU$2,FECHA_BOV2,"&lt;="&amp;CU$3,CLAVE_BOV2,$A259)+SUMIFS(SALIDAS_BOV3,FECHA_BOV3,"&gt;="&amp;CU$2,FECHA_BOV3,"&lt;="&amp;CU$3,CLAVE_BOV3,$A259)+SUMIFS(SALIDAS_TC,FECHA_TC,"&gt;="&amp;CU$2,FECHA_TC,"&lt;="&amp;CU$3,CLAVE_TC,$A259)+SUMIFS(SALIDAS_COMB,FECHA_COMB,"&gt;="&amp;CU$2,FECHA_COMB,"&lt;="&amp;CU$3,CLAVE_COMB,$A259)+SUMIFS(SALIDAS_DES,FECHA_DESGLOSEN,"&gt;="&amp;CU$2,FECHA_DESGLOSEN,"&lt;="&amp;CU$3,CLAVE_DESGLOSE,$A259)</f>
        <v>0</v>
      </c>
      <c r="CV259" s="13">
        <f>SUMIFS(SALIDAS_BIT,FECHA_BIT,"&gt;="&amp;CV$2,FECHA_BIT,"&lt;="&amp;CV$3,CLAVE_BIT,$A259)+SUMIFS(SALIDAS_BOV1,FECHA_BOV1,"&gt;="&amp;CV$2,FECHA_BOV1,"&lt;="&amp;CV$3,CLAVE_BOV1,$A259)+SUMIFS(SALIDAS_BOV2,FECHA_BOV2,"&gt;="&amp;CV$2,FECHA_BOV2,"&lt;="&amp;CV$3,CLAVE_BOV2,$A259)+SUMIFS(SALIDAS_BOV3,FECHA_BOV3,"&gt;="&amp;CV$2,FECHA_BOV3,"&lt;="&amp;CV$3,CLAVE_BOV3,$A259)+SUMIFS(SALIDAS_TC,FECHA_TC,"&gt;="&amp;CV$2,FECHA_TC,"&lt;="&amp;CV$3,CLAVE_TC,$A259)+SUMIFS(SALIDAS_COMB,FECHA_COMB,"&gt;="&amp;CV$2,FECHA_COMB,"&lt;="&amp;CV$3,CLAVE_COMB,$A259)+SUMIFS(SALIDAS_DES,FECHA_DESGLOSEN,"&gt;="&amp;CV$2,FECHA_DESGLOSEN,"&lt;="&amp;CV$3,CLAVE_DESGLOSE,$A259)</f>
        <v>0</v>
      </c>
      <c r="CW259" s="13">
        <f>SUMIFS(SALIDAS_BIT,FECHA_BIT,"&gt;="&amp;CW$2,FECHA_BIT,"&lt;="&amp;CW$3,CLAVE_BIT,$A259)+SUMIFS(SALIDAS_BOV1,FECHA_BOV1,"&gt;="&amp;CW$2,FECHA_BOV1,"&lt;="&amp;CW$3,CLAVE_BOV1,$A259)+SUMIFS(SALIDAS_BOV2,FECHA_BOV2,"&gt;="&amp;CW$2,FECHA_BOV2,"&lt;="&amp;CW$3,CLAVE_BOV2,$A259)+SUMIFS(SALIDAS_BOV3,FECHA_BOV3,"&gt;="&amp;CW$2,FECHA_BOV3,"&lt;="&amp;CW$3,CLAVE_BOV3,$A259)+SUMIFS(SALIDAS_TC,FECHA_TC,"&gt;="&amp;CW$2,FECHA_TC,"&lt;="&amp;CW$3,CLAVE_TC,$A259)+SUMIFS(SALIDAS_COMB,FECHA_COMB,"&gt;="&amp;CW$2,FECHA_COMB,"&lt;="&amp;CW$3,CLAVE_COMB,$A259)+SUMIFS(SALIDAS_DES,FECHA_DESGLOSEN,"&gt;="&amp;CW$2,FECHA_DESGLOSEN,"&lt;="&amp;CW$3,CLAVE_DESGLOSE,$A259)</f>
        <v>0</v>
      </c>
      <c r="CX259" s="13">
        <f>SUMIFS(SALIDAS_BIT,FECHA_BIT,"&gt;="&amp;CX$2,FECHA_BIT,"&lt;="&amp;CX$3,CLAVE_BIT,$A259)+SUMIFS(SALIDAS_BOV1,FECHA_BOV1,"&gt;="&amp;CX$2,FECHA_BOV1,"&lt;="&amp;CX$3,CLAVE_BOV1,$A259)+SUMIFS(SALIDAS_BOV2,FECHA_BOV2,"&gt;="&amp;CX$2,FECHA_BOV2,"&lt;="&amp;CX$3,CLAVE_BOV2,$A259)+SUMIFS(SALIDAS_BOV3,FECHA_BOV3,"&gt;="&amp;CX$2,FECHA_BOV3,"&lt;="&amp;CX$3,CLAVE_BOV3,$A259)+SUMIFS(SALIDAS_TC,FECHA_TC,"&gt;="&amp;CX$2,FECHA_TC,"&lt;="&amp;CX$3,CLAVE_TC,$A259)+SUMIFS(SALIDAS_COMB,FECHA_COMB,"&gt;="&amp;CX$2,FECHA_COMB,"&lt;="&amp;CX$3,CLAVE_COMB,$A259)+SUMIFS(SALIDAS_DES,FECHA_DESGLOSEN,"&gt;="&amp;CX$2,FECHA_DESGLOSEN,"&lt;="&amp;CX$3,CLAVE_DESGLOSE,$A259)</f>
        <v>300</v>
      </c>
      <c r="CY259" s="13">
        <f>SUMIFS(SALIDAS_BIT,FECHA_BIT,"&gt;="&amp;CY$2,FECHA_BIT,"&lt;="&amp;CY$3,CLAVE_BIT,$A259)+SUMIFS(SALIDAS_BOV1,FECHA_BOV1,"&gt;="&amp;CY$2,FECHA_BOV1,"&lt;="&amp;CY$3,CLAVE_BOV1,$A259)+SUMIFS(SALIDAS_BOV2,FECHA_BOV2,"&gt;="&amp;CY$2,FECHA_BOV2,"&lt;="&amp;CY$3,CLAVE_BOV2,$A259)+SUMIFS(SALIDAS_BOV3,FECHA_BOV3,"&gt;="&amp;CY$2,FECHA_BOV3,"&lt;="&amp;CY$3,CLAVE_BOV3,$A259)+SUMIFS(SALIDAS_TC,FECHA_TC,"&gt;="&amp;CY$2,FECHA_TC,"&lt;="&amp;CY$3,CLAVE_TC,$A259)+SUMIFS(SALIDAS_COMB,FECHA_COMB,"&gt;="&amp;CY$2,FECHA_COMB,"&lt;="&amp;CY$3,CLAVE_COMB,$A259)+SUMIFS(SALIDAS_DES,FECHA_DESGLOSEN,"&gt;="&amp;CY$2,FECHA_DESGLOSEN,"&lt;="&amp;CY$3,CLAVE_DESGLOSE,$A259)</f>
        <v>300</v>
      </c>
      <c r="CZ259" s="68">
        <f t="shared" si="378"/>
        <v>-151</v>
      </c>
      <c r="DB259" s="17">
        <f>F259+N259+W259+AE259+AM259+AV259+BD259+BL259+BU259+CC259+CK259</f>
        <v>5350</v>
      </c>
      <c r="DC259" s="17">
        <f>K259+T259+AB259+AJ259+AS259+BA259+BI259+BR259+BZ259+CH259+CQ259</f>
        <v>5030</v>
      </c>
    </row>
    <row r="260" spans="1:107" hidden="1">
      <c r="A260" s="12" t="str">
        <f t="shared" si="351"/>
        <v>SGECUOTAS Y SUSCRIPCIONESSHUTTER</v>
      </c>
      <c r="B260">
        <v>262</v>
      </c>
      <c r="C260" t="s">
        <v>39</v>
      </c>
      <c r="D260" t="s">
        <v>51</v>
      </c>
      <c r="E260" t="s">
        <v>61</v>
      </c>
      <c r="F260" s="259">
        <f t="shared" si="344"/>
        <v>5000</v>
      </c>
      <c r="G260" s="13">
        <f t="shared" si="431"/>
        <v>0</v>
      </c>
      <c r="H260" s="13">
        <f t="shared" si="431"/>
        <v>0</v>
      </c>
      <c r="I260" s="13">
        <f t="shared" si="431"/>
        <v>0</v>
      </c>
      <c r="J260" s="13">
        <f t="shared" si="431"/>
        <v>0</v>
      </c>
      <c r="K260" s="13">
        <f t="shared" si="431"/>
        <v>0</v>
      </c>
      <c r="L260" s="68">
        <f t="shared" si="352"/>
        <v>5000</v>
      </c>
      <c r="M260" s="268">
        <f t="shared" si="353"/>
        <v>0</v>
      </c>
      <c r="N260" s="13">
        <f t="shared" si="345"/>
        <v>5000</v>
      </c>
      <c r="O260" s="13">
        <f t="shared" si="432"/>
        <v>0</v>
      </c>
      <c r="P260" s="13">
        <f t="shared" si="432"/>
        <v>0</v>
      </c>
      <c r="Q260" s="13">
        <f t="shared" si="432"/>
        <v>0</v>
      </c>
      <c r="R260" s="13">
        <f t="shared" si="432"/>
        <v>0</v>
      </c>
      <c r="S260" s="13">
        <f t="shared" si="432"/>
        <v>0</v>
      </c>
      <c r="T260" s="13">
        <f t="shared" si="432"/>
        <v>0</v>
      </c>
      <c r="U260" s="68">
        <f t="shared" si="354"/>
        <v>5000</v>
      </c>
      <c r="V260" s="268">
        <f t="shared" si="355"/>
        <v>0</v>
      </c>
      <c r="W260" s="13">
        <f t="shared" si="346"/>
        <v>5000</v>
      </c>
      <c r="X260" s="13">
        <f t="shared" si="433"/>
        <v>0</v>
      </c>
      <c r="Y260" s="13">
        <f t="shared" si="433"/>
        <v>0</v>
      </c>
      <c r="Z260" s="13">
        <f t="shared" si="433"/>
        <v>0</v>
      </c>
      <c r="AA260" s="13">
        <f t="shared" si="433"/>
        <v>0</v>
      </c>
      <c r="AB260" s="13">
        <f t="shared" si="433"/>
        <v>0</v>
      </c>
      <c r="AC260" s="68">
        <f t="shared" si="356"/>
        <v>5000</v>
      </c>
      <c r="AD260" s="268">
        <f t="shared" si="357"/>
        <v>0</v>
      </c>
      <c r="AE260" s="13">
        <f t="shared" si="347"/>
        <v>5000</v>
      </c>
      <c r="AF260" s="13">
        <f t="shared" si="434"/>
        <v>0</v>
      </c>
      <c r="AG260" s="13">
        <f t="shared" si="434"/>
        <v>0</v>
      </c>
      <c r="AH260" s="13">
        <f t="shared" si="434"/>
        <v>0</v>
      </c>
      <c r="AI260" s="13">
        <f t="shared" si="434"/>
        <v>0</v>
      </c>
      <c r="AJ260" s="13">
        <f t="shared" si="434"/>
        <v>0</v>
      </c>
      <c r="AK260" s="68">
        <f t="shared" si="358"/>
        <v>5000</v>
      </c>
      <c r="AL260" s="268">
        <f t="shared" si="359"/>
        <v>0</v>
      </c>
      <c r="AM260" s="13">
        <f t="shared" si="348"/>
        <v>5000</v>
      </c>
      <c r="AN260" s="13">
        <f t="shared" si="435"/>
        <v>0</v>
      </c>
      <c r="AO260" s="13">
        <f t="shared" si="435"/>
        <v>0</v>
      </c>
      <c r="AP260" s="13">
        <f t="shared" si="435"/>
        <v>0</v>
      </c>
      <c r="AQ260" s="13">
        <f t="shared" si="435"/>
        <v>0</v>
      </c>
      <c r="AR260" s="13">
        <f t="shared" si="435"/>
        <v>0</v>
      </c>
      <c r="AS260" s="13">
        <f t="shared" si="435"/>
        <v>0</v>
      </c>
      <c r="AT260" s="68">
        <f>AM260-AS260</f>
        <v>5000</v>
      </c>
      <c r="AU260" s="268">
        <f t="shared" si="360"/>
        <v>0</v>
      </c>
      <c r="AV260" s="13">
        <f t="shared" si="349"/>
        <v>5000</v>
      </c>
      <c r="AW260" s="13">
        <f t="shared" si="421"/>
        <v>0</v>
      </c>
      <c r="AX260" s="13">
        <f t="shared" si="421"/>
        <v>0</v>
      </c>
      <c r="AY260" s="13">
        <f t="shared" si="421"/>
        <v>0</v>
      </c>
      <c r="AZ260" s="13">
        <f t="shared" si="421"/>
        <v>0</v>
      </c>
      <c r="BA260" s="13">
        <f t="shared" si="379"/>
        <v>0</v>
      </c>
      <c r="BB260" s="68">
        <f t="shared" si="361"/>
        <v>5000</v>
      </c>
      <c r="BC260" s="268">
        <f t="shared" si="362"/>
        <v>0</v>
      </c>
      <c r="BD260" s="13">
        <f t="shared" si="363"/>
        <v>5000</v>
      </c>
      <c r="BE260" s="13">
        <f>SUMIFS(SALIDAS_BIT,FECHA_BIT,"&gt;="&amp;BE$2,FECHA_BIT,"&lt;="&amp;BE$3,CLAVE_BIT,$A260)+SUMIFS(SALIDAS_BOV1,FECHA_BOV1,"&gt;="&amp;BE$2,FECHA_BOV1,"&lt;="&amp;BE$3,CLAVE_BOV1,$A260)+SUMIFS(SALIDAS_BOV2,FECHA_BOV2,"&gt;="&amp;BE$2,FECHA_BOV2,"&lt;="&amp;BE$3,CLAVE_BOV2,$A260)+SUMIFS(SALIDAS_BOV3,FECHA_BOV3,"&gt;="&amp;BE$2,FECHA_BOV3,"&lt;="&amp;BE$3,CLAVE_BOV3,$A260)+SUMIFS(SALIDAS_TC,FECHA_TC,"&gt;="&amp;BE$2,FECHA_TC,"&lt;="&amp;BE$3,CLAVE_TC,$A260)+SUMIFS(SALIDAS_COMB,FECHA_COMB,"&gt;="&amp;BE$2,FECHA_COMB,"&lt;="&amp;BE$3,CLAVE_COMB,$A260)+SUMIFS(SALIDAS_DES,FECHA_DESGLOSEN,"&gt;="&amp;BE$2,FECHA_DESGLOSEN,"&lt;="&amp;BE$3,CLAVE_DESGLOSE,$A260)</f>
        <v>0</v>
      </c>
      <c r="BF260" s="13">
        <f>SUMIFS(SALIDAS_BIT,FECHA_BIT,"&gt;="&amp;BF$2,FECHA_BIT,"&lt;="&amp;BF$3,CLAVE_BIT,$A260)+SUMIFS(SALIDAS_BOV1,FECHA_BOV1,"&gt;="&amp;BF$2,FECHA_BOV1,"&lt;="&amp;BF$3,CLAVE_BOV1,$A260)+SUMIFS(SALIDAS_BOV2,FECHA_BOV2,"&gt;="&amp;BF$2,FECHA_BOV2,"&lt;="&amp;BF$3,CLAVE_BOV2,$A260)+SUMIFS(SALIDAS_BOV3,FECHA_BOV3,"&gt;="&amp;BF$2,FECHA_BOV3,"&lt;="&amp;BF$3,CLAVE_BOV3,$A260)+SUMIFS(SALIDAS_TC,FECHA_TC,"&gt;="&amp;BF$2,FECHA_TC,"&lt;="&amp;BF$3,CLAVE_TC,$A260)+SUMIFS(SALIDAS_COMB,FECHA_COMB,"&gt;="&amp;BF$2,FECHA_COMB,"&lt;="&amp;BF$3,CLAVE_COMB,$A260)+SUMIFS(SALIDAS_DES,FECHA_DESGLOSEN,"&gt;="&amp;BF$2,FECHA_DESGLOSEN,"&lt;="&amp;BF$3,CLAVE_DESGLOSE,$A260)</f>
        <v>0</v>
      </c>
      <c r="BG260" s="13">
        <f>SUMIFS(SALIDAS_BIT,FECHA_BIT,"&gt;="&amp;BG$2,FECHA_BIT,"&lt;="&amp;BG$3,CLAVE_BIT,$A260)+SUMIFS(SALIDAS_BOV1,FECHA_BOV1,"&gt;="&amp;BG$2,FECHA_BOV1,"&lt;="&amp;BG$3,CLAVE_BOV1,$A260)+SUMIFS(SALIDAS_BOV2,FECHA_BOV2,"&gt;="&amp;BG$2,FECHA_BOV2,"&lt;="&amp;BG$3,CLAVE_BOV2,$A260)+SUMIFS(SALIDAS_BOV3,FECHA_BOV3,"&gt;="&amp;BG$2,FECHA_BOV3,"&lt;="&amp;BG$3,CLAVE_BOV3,$A260)+SUMIFS(SALIDAS_TC,FECHA_TC,"&gt;="&amp;BG$2,FECHA_TC,"&lt;="&amp;BG$3,CLAVE_TC,$A260)+SUMIFS(SALIDAS_COMB,FECHA_COMB,"&gt;="&amp;BG$2,FECHA_COMB,"&lt;="&amp;BG$3,CLAVE_COMB,$A260)+SUMIFS(SALIDAS_DES,FECHA_DESGLOSEN,"&gt;="&amp;BG$2,FECHA_DESGLOSEN,"&lt;="&amp;BG$3,CLAVE_DESGLOSE,$A260)</f>
        <v>0</v>
      </c>
      <c r="BH260" s="13">
        <f>SUMIFS(SALIDAS_BIT,FECHA_BIT,"&gt;="&amp;BH$2,FECHA_BIT,"&lt;="&amp;BH$3,CLAVE_BIT,$A260)+SUMIFS(SALIDAS_BOV1,FECHA_BOV1,"&gt;="&amp;BH$2,FECHA_BOV1,"&lt;="&amp;BH$3,CLAVE_BOV1,$A260)+SUMIFS(SALIDAS_BOV2,FECHA_BOV2,"&gt;="&amp;BH$2,FECHA_BOV2,"&lt;="&amp;BH$3,CLAVE_BOV2,$A260)+SUMIFS(SALIDAS_BOV3,FECHA_BOV3,"&gt;="&amp;BH$2,FECHA_BOV3,"&lt;="&amp;BH$3,CLAVE_BOV3,$A260)+SUMIFS(SALIDAS_TC,FECHA_TC,"&gt;="&amp;BH$2,FECHA_TC,"&lt;="&amp;BH$3,CLAVE_TC,$A260)+SUMIFS(SALIDAS_COMB,FECHA_COMB,"&gt;="&amp;BH$2,FECHA_COMB,"&lt;="&amp;BH$3,CLAVE_COMB,$A260)+SUMIFS(SALIDAS_DES,FECHA_DESGLOSEN,"&gt;="&amp;BH$2,FECHA_DESGLOSEN,"&lt;="&amp;BH$3,CLAVE_DESGLOSE,$A260)</f>
        <v>0</v>
      </c>
      <c r="BI260" s="13">
        <f t="shared" si="419"/>
        <v>0</v>
      </c>
      <c r="BJ260" s="68">
        <f t="shared" si="364"/>
        <v>5000</v>
      </c>
      <c r="BK260" s="268">
        <f t="shared" si="365"/>
        <v>0</v>
      </c>
      <c r="BL260" s="13">
        <f t="shared" si="366"/>
        <v>5000</v>
      </c>
      <c r="BM260" s="13">
        <f>SUMIFS(SALIDAS_BIT,FECHA_BIT,"&gt;="&amp;BM$2,FECHA_BIT,"&lt;="&amp;BM$3,CLAVE_BIT,$A260)+SUMIFS(SALIDAS_BOV1,FECHA_BOV1,"&gt;="&amp;BM$2,FECHA_BOV1,"&lt;="&amp;BM$3,CLAVE_BOV1,$A260)+SUMIFS(SALIDAS_BOV2,FECHA_BOV2,"&gt;="&amp;BM$2,FECHA_BOV2,"&lt;="&amp;BM$3,CLAVE_BOV2,$A260)+SUMIFS(SALIDAS_BOV3,FECHA_BOV3,"&gt;="&amp;BM$2,FECHA_BOV3,"&lt;="&amp;BM$3,CLAVE_BOV3,$A260)+SUMIFS(SALIDAS_TC,FECHA_TC,"&gt;="&amp;BM$2,FECHA_TC,"&lt;="&amp;BM$3,CLAVE_TC,$A260)+SUMIFS(SALIDAS_COMB,FECHA_COMB,"&gt;="&amp;BM$2,FECHA_COMB,"&lt;="&amp;BM$3,CLAVE_COMB,$A260)+SUMIFS(SALIDAS_DES,FECHA_DESGLOSEN,"&gt;="&amp;BM$2,FECHA_DESGLOSEN,"&lt;="&amp;BM$3,CLAVE_DESGLOSE,$A260)</f>
        <v>0</v>
      </c>
      <c r="BN260" s="13">
        <f>SUMIFS(SALIDAS_BIT,FECHA_BIT,"&gt;="&amp;BN$2,FECHA_BIT,"&lt;="&amp;BN$3,CLAVE_BIT,$A260)+SUMIFS(SALIDAS_BOV1,FECHA_BOV1,"&gt;="&amp;BN$2,FECHA_BOV1,"&lt;="&amp;BN$3,CLAVE_BOV1,$A260)+SUMIFS(SALIDAS_BOV2,FECHA_BOV2,"&gt;="&amp;BN$2,FECHA_BOV2,"&lt;="&amp;BN$3,CLAVE_BOV2,$A260)+SUMIFS(SALIDAS_BOV3,FECHA_BOV3,"&gt;="&amp;BN$2,FECHA_BOV3,"&lt;="&amp;BN$3,CLAVE_BOV3,$A260)+SUMIFS(SALIDAS_TC,FECHA_TC,"&gt;="&amp;BN$2,FECHA_TC,"&lt;="&amp;BN$3,CLAVE_TC,$A260)+SUMIFS(SALIDAS_COMB,FECHA_COMB,"&gt;="&amp;BN$2,FECHA_COMB,"&lt;="&amp;BN$3,CLAVE_COMB,$A260)+SUMIFS(SALIDAS_DES,FECHA_DESGLOSEN,"&gt;="&amp;BN$2,FECHA_DESGLOSEN,"&lt;="&amp;BN$3,CLAVE_DESGLOSE,$A260)</f>
        <v>0</v>
      </c>
      <c r="BO260" s="13">
        <f>SUMIFS(SALIDAS_BIT,FECHA_BIT,"&gt;="&amp;BO$2,FECHA_BIT,"&lt;="&amp;BO$3,CLAVE_BIT,$A260)+SUMIFS(SALIDAS_BOV1,FECHA_BOV1,"&gt;="&amp;BO$2,FECHA_BOV1,"&lt;="&amp;BO$3,CLAVE_BOV1,$A260)+SUMIFS(SALIDAS_BOV2,FECHA_BOV2,"&gt;="&amp;BO$2,FECHA_BOV2,"&lt;="&amp;BO$3,CLAVE_BOV2,$A260)+SUMIFS(SALIDAS_BOV3,FECHA_BOV3,"&gt;="&amp;BO$2,FECHA_BOV3,"&lt;="&amp;BO$3,CLAVE_BOV3,$A260)+SUMIFS(SALIDAS_TC,FECHA_TC,"&gt;="&amp;BO$2,FECHA_TC,"&lt;="&amp;BO$3,CLAVE_TC,$A260)+SUMIFS(SALIDAS_COMB,FECHA_COMB,"&gt;="&amp;BO$2,FECHA_COMB,"&lt;="&amp;BO$3,CLAVE_COMB,$A260)+SUMIFS(SALIDAS_DES,FECHA_DESGLOSEN,"&gt;="&amp;BO$2,FECHA_DESGLOSEN,"&lt;="&amp;BO$3,CLAVE_DESGLOSE,$A260)</f>
        <v>0</v>
      </c>
      <c r="BP260" s="13">
        <f>SUMIFS(SALIDAS_BIT,FECHA_BIT,"&gt;="&amp;BP$2,FECHA_BIT,"&lt;="&amp;BP$3,CLAVE_BIT,$A260)+SUMIFS(SALIDAS_BOV1,FECHA_BOV1,"&gt;="&amp;BP$2,FECHA_BOV1,"&lt;="&amp;BP$3,CLAVE_BOV1,$A260)+SUMIFS(SALIDAS_BOV2,FECHA_BOV2,"&gt;="&amp;BP$2,FECHA_BOV2,"&lt;="&amp;BP$3,CLAVE_BOV2,$A260)+SUMIFS(SALIDAS_BOV3,FECHA_BOV3,"&gt;="&amp;BP$2,FECHA_BOV3,"&lt;="&amp;BP$3,CLAVE_BOV3,$A260)+SUMIFS(SALIDAS_TC,FECHA_TC,"&gt;="&amp;BP$2,FECHA_TC,"&lt;="&amp;BP$3,CLAVE_TC,$A260)+SUMIFS(SALIDAS_COMB,FECHA_COMB,"&gt;="&amp;BP$2,FECHA_COMB,"&lt;="&amp;BP$3,CLAVE_COMB,$A260)+SUMIFS(SALIDAS_DES,FECHA_DESGLOSEN,"&gt;="&amp;BP$2,FECHA_DESGLOSEN,"&lt;="&amp;BP$3,CLAVE_DESGLOSE,$A260)</f>
        <v>0</v>
      </c>
      <c r="BQ260" s="13">
        <f>SUMIFS(SALIDAS_BIT,FECHA_BIT,"&gt;="&amp;BQ$2,FECHA_BIT,"&lt;="&amp;BQ$3,CLAVE_BIT,$A260)+SUMIFS(SALIDAS_BOV1,FECHA_BOV1,"&gt;="&amp;BQ$2,FECHA_BOV1,"&lt;="&amp;BQ$3,CLAVE_BOV1,$A260)+SUMIFS(SALIDAS_BOV2,FECHA_BOV2,"&gt;="&amp;BQ$2,FECHA_BOV2,"&lt;="&amp;BQ$3,CLAVE_BOV2,$A260)+SUMIFS(SALIDAS_BOV3,FECHA_BOV3,"&gt;="&amp;BQ$2,FECHA_BOV3,"&lt;="&amp;BQ$3,CLAVE_BOV3,$A260)+SUMIFS(SALIDAS_TC,FECHA_TC,"&gt;="&amp;BQ$2,FECHA_TC,"&lt;="&amp;BQ$3,CLAVE_TC,$A260)+SUMIFS(SALIDAS_COMB,FECHA_COMB,"&gt;="&amp;BQ$2,FECHA_COMB,"&lt;="&amp;BQ$3,CLAVE_COMB,$A260)+SUMIFS(SALIDAS_DES,FECHA_DESGLOSEN,"&gt;="&amp;BQ$2,FECHA_DESGLOSEN,"&lt;="&amp;BQ$3,CLAVE_DESGLOSE,$A260)</f>
        <v>0</v>
      </c>
      <c r="BR260" s="13">
        <f t="shared" si="436"/>
        <v>0</v>
      </c>
      <c r="BS260" s="68">
        <f t="shared" si="367"/>
        <v>5000</v>
      </c>
      <c r="BT260" s="268">
        <f t="shared" si="368"/>
        <v>0</v>
      </c>
      <c r="BU260" s="13">
        <f t="shared" si="369"/>
        <v>5000</v>
      </c>
      <c r="BV260" s="13">
        <f t="shared" si="389"/>
        <v>0</v>
      </c>
      <c r="BW260" s="13">
        <f t="shared" si="389"/>
        <v>0</v>
      </c>
      <c r="BX260" s="13">
        <f t="shared" si="389"/>
        <v>0</v>
      </c>
      <c r="BY260" s="13">
        <f t="shared" si="389"/>
        <v>0</v>
      </c>
      <c r="BZ260" s="13">
        <f t="shared" si="437"/>
        <v>0</v>
      </c>
      <c r="CA260" s="68">
        <f t="shared" si="370"/>
        <v>5000</v>
      </c>
      <c r="CB260" s="268">
        <f t="shared" si="371"/>
        <v>0</v>
      </c>
      <c r="CC260" s="13">
        <f t="shared" si="372"/>
        <v>5000</v>
      </c>
      <c r="CD260" s="13">
        <f t="shared" si="390"/>
        <v>0</v>
      </c>
      <c r="CE260" s="13">
        <f t="shared" si="390"/>
        <v>0</v>
      </c>
      <c r="CF260" s="13">
        <f t="shared" si="390"/>
        <v>0</v>
      </c>
      <c r="CG260" s="13">
        <f t="shared" si="390"/>
        <v>0</v>
      </c>
      <c r="CH260" s="13">
        <f t="shared" si="438"/>
        <v>0</v>
      </c>
      <c r="CI260" s="68">
        <f t="shared" si="373"/>
        <v>5000</v>
      </c>
      <c r="CJ260" s="268">
        <f t="shared" si="374"/>
        <v>0</v>
      </c>
      <c r="CK260" s="13">
        <f t="shared" si="375"/>
        <v>5000</v>
      </c>
      <c r="CL260" s="13">
        <f t="shared" si="400"/>
        <v>0</v>
      </c>
      <c r="CM260" s="13">
        <f t="shared" si="400"/>
        <v>0</v>
      </c>
      <c r="CN260" s="13">
        <f t="shared" si="400"/>
        <v>0</v>
      </c>
      <c r="CO260" s="13">
        <f t="shared" si="400"/>
        <v>0</v>
      </c>
      <c r="CP260" s="13">
        <f t="shared" si="400"/>
        <v>0</v>
      </c>
      <c r="CQ260" s="13">
        <f t="shared" si="439"/>
        <v>0</v>
      </c>
      <c r="CR260" s="68">
        <f t="shared" si="376"/>
        <v>5000</v>
      </c>
      <c r="CS260" s="268">
        <f t="shared" si="377"/>
        <v>0</v>
      </c>
      <c r="CT260" s="68">
        <f t="shared" si="350"/>
        <v>0</v>
      </c>
      <c r="CU260" s="13">
        <f>SUMIFS(SALIDAS_BIT,FECHA_BIT,"&gt;="&amp;CU$2,FECHA_BIT,"&lt;="&amp;CU$3,CLAVE_BIT,$A260)+SUMIFS(SALIDAS_BOV1,FECHA_BOV1,"&gt;="&amp;CU$2,FECHA_BOV1,"&lt;="&amp;CU$3,CLAVE_BOV1,$A260)+SUMIFS(SALIDAS_BOV2,FECHA_BOV2,"&gt;="&amp;CU$2,FECHA_BOV2,"&lt;="&amp;CU$3,CLAVE_BOV2,$A260)+SUMIFS(SALIDAS_BOV3,FECHA_BOV3,"&gt;="&amp;CU$2,FECHA_BOV3,"&lt;="&amp;CU$3,CLAVE_BOV3,$A260)+SUMIFS(SALIDAS_TC,FECHA_TC,"&gt;="&amp;CU$2,FECHA_TC,"&lt;="&amp;CU$3,CLAVE_TC,$A260)+SUMIFS(SALIDAS_COMB,FECHA_COMB,"&gt;="&amp;CU$2,FECHA_COMB,"&lt;="&amp;CU$3,CLAVE_COMB,$A260)+SUMIFS(SALIDAS_DES,FECHA_DESGLOSEN,"&gt;="&amp;CU$2,FECHA_DESGLOSEN,"&lt;="&amp;CU$3,CLAVE_DESGLOSE,$A260)</f>
        <v>0</v>
      </c>
      <c r="CV260" s="13">
        <f>SUMIFS(SALIDAS_BIT,FECHA_BIT,"&gt;="&amp;CV$2,FECHA_BIT,"&lt;="&amp;CV$3,CLAVE_BIT,$A260)+SUMIFS(SALIDAS_BOV1,FECHA_BOV1,"&gt;="&amp;CV$2,FECHA_BOV1,"&lt;="&amp;CV$3,CLAVE_BOV1,$A260)+SUMIFS(SALIDAS_BOV2,FECHA_BOV2,"&gt;="&amp;CV$2,FECHA_BOV2,"&lt;="&amp;CV$3,CLAVE_BOV2,$A260)+SUMIFS(SALIDAS_BOV3,FECHA_BOV3,"&gt;="&amp;CV$2,FECHA_BOV3,"&lt;="&amp;CV$3,CLAVE_BOV3,$A260)+SUMIFS(SALIDAS_TC,FECHA_TC,"&gt;="&amp;CV$2,FECHA_TC,"&lt;="&amp;CV$3,CLAVE_TC,$A260)+SUMIFS(SALIDAS_COMB,FECHA_COMB,"&gt;="&amp;CV$2,FECHA_COMB,"&lt;="&amp;CV$3,CLAVE_COMB,$A260)+SUMIFS(SALIDAS_DES,FECHA_DESGLOSEN,"&gt;="&amp;CV$2,FECHA_DESGLOSEN,"&lt;="&amp;CV$3,CLAVE_DESGLOSE,$A260)</f>
        <v>0</v>
      </c>
      <c r="CW260" s="13">
        <f>SUMIFS(SALIDAS_BIT,FECHA_BIT,"&gt;="&amp;CW$2,FECHA_BIT,"&lt;="&amp;CW$3,CLAVE_BIT,$A260)+SUMIFS(SALIDAS_BOV1,FECHA_BOV1,"&gt;="&amp;CW$2,FECHA_BOV1,"&lt;="&amp;CW$3,CLAVE_BOV1,$A260)+SUMIFS(SALIDAS_BOV2,FECHA_BOV2,"&gt;="&amp;CW$2,FECHA_BOV2,"&lt;="&amp;CW$3,CLAVE_BOV2,$A260)+SUMIFS(SALIDAS_BOV3,FECHA_BOV3,"&gt;="&amp;CW$2,FECHA_BOV3,"&lt;="&amp;CW$3,CLAVE_BOV3,$A260)+SUMIFS(SALIDAS_TC,FECHA_TC,"&gt;="&amp;CW$2,FECHA_TC,"&lt;="&amp;CW$3,CLAVE_TC,$A260)+SUMIFS(SALIDAS_COMB,FECHA_COMB,"&gt;="&amp;CW$2,FECHA_COMB,"&lt;="&amp;CW$3,CLAVE_COMB,$A260)+SUMIFS(SALIDAS_DES,FECHA_DESGLOSEN,"&gt;="&amp;CW$2,FECHA_DESGLOSEN,"&lt;="&amp;CW$3,CLAVE_DESGLOSE,$A260)</f>
        <v>0</v>
      </c>
      <c r="CX260" s="13">
        <f>SUMIFS(SALIDAS_BIT,FECHA_BIT,"&gt;="&amp;CX$2,FECHA_BIT,"&lt;="&amp;CX$3,CLAVE_BIT,$A260)+SUMIFS(SALIDAS_BOV1,FECHA_BOV1,"&gt;="&amp;CX$2,FECHA_BOV1,"&lt;="&amp;CX$3,CLAVE_BOV1,$A260)+SUMIFS(SALIDAS_BOV2,FECHA_BOV2,"&gt;="&amp;CX$2,FECHA_BOV2,"&lt;="&amp;CX$3,CLAVE_BOV2,$A260)+SUMIFS(SALIDAS_BOV3,FECHA_BOV3,"&gt;="&amp;CX$2,FECHA_BOV3,"&lt;="&amp;CX$3,CLAVE_BOV3,$A260)+SUMIFS(SALIDAS_TC,FECHA_TC,"&gt;="&amp;CX$2,FECHA_TC,"&lt;="&amp;CX$3,CLAVE_TC,$A260)+SUMIFS(SALIDAS_COMB,FECHA_COMB,"&gt;="&amp;CX$2,FECHA_COMB,"&lt;="&amp;CX$3,CLAVE_COMB,$A260)+SUMIFS(SALIDAS_DES,FECHA_DESGLOSEN,"&gt;="&amp;CX$2,FECHA_DESGLOSEN,"&lt;="&amp;CX$3,CLAVE_DESGLOSE,$A260)</f>
        <v>0</v>
      </c>
      <c r="CY260" s="13">
        <f>SUMIFS(SALIDAS_BIT,FECHA_BIT,"&gt;="&amp;CY$2,FECHA_BIT,"&lt;="&amp;CY$3,CLAVE_BIT,$A260)+SUMIFS(SALIDAS_BOV1,FECHA_BOV1,"&gt;="&amp;CY$2,FECHA_BOV1,"&lt;="&amp;CY$3,CLAVE_BOV1,$A260)+SUMIFS(SALIDAS_BOV2,FECHA_BOV2,"&gt;="&amp;CY$2,FECHA_BOV2,"&lt;="&amp;CY$3,CLAVE_BOV2,$A260)+SUMIFS(SALIDAS_BOV3,FECHA_BOV3,"&gt;="&amp;CY$2,FECHA_BOV3,"&lt;="&amp;CY$3,CLAVE_BOV3,$A260)+SUMIFS(SALIDAS_TC,FECHA_TC,"&gt;="&amp;CY$2,FECHA_TC,"&lt;="&amp;CY$3,CLAVE_TC,$A260)+SUMIFS(SALIDAS_COMB,FECHA_COMB,"&gt;="&amp;CY$2,FECHA_COMB,"&lt;="&amp;CY$3,CLAVE_COMB,$A260)+SUMIFS(SALIDAS_DES,FECHA_DESGLOSEN,"&gt;="&amp;CY$2,FECHA_DESGLOSEN,"&lt;="&amp;CY$3,CLAVE_DESGLOSE,$A260)</f>
        <v>0</v>
      </c>
      <c r="CZ260" s="68">
        <f t="shared" si="378"/>
        <v>0</v>
      </c>
      <c r="DB260" s="17">
        <f>F260+N260+W260+AE260+AM260+AV260+BD260+BL260+BU260+CC260+CK260</f>
        <v>55000</v>
      </c>
      <c r="DC260" s="17">
        <f>K260+T260+AB260+AJ260+AS260+BA260+BI260+BR260+BZ260+CH260+CQ260</f>
        <v>0</v>
      </c>
    </row>
    <row r="261" spans="1:107" hidden="1">
      <c r="A261" s="12" t="str">
        <f t="shared" si="351"/>
        <v>SERVICIOSCUOTAS Y SUSCRIPCIONESDOMINIOS DE PAGINAS</v>
      </c>
      <c r="B261">
        <v>263</v>
      </c>
      <c r="C261" t="s">
        <v>21</v>
      </c>
      <c r="D261" t="s">
        <v>51</v>
      </c>
      <c r="E261" t="s">
        <v>62</v>
      </c>
      <c r="F261" s="259">
        <f t="shared" si="344"/>
        <v>640</v>
      </c>
      <c r="G261" s="13">
        <f t="shared" si="431"/>
        <v>0</v>
      </c>
      <c r="H261" s="13">
        <f t="shared" si="431"/>
        <v>0</v>
      </c>
      <c r="I261" s="13">
        <f t="shared" si="431"/>
        <v>0</v>
      </c>
      <c r="J261" s="13">
        <f t="shared" si="431"/>
        <v>0</v>
      </c>
      <c r="K261" s="13">
        <f t="shared" si="431"/>
        <v>0</v>
      </c>
      <c r="L261" s="68">
        <f t="shared" si="352"/>
        <v>640</v>
      </c>
      <c r="M261" s="268">
        <f t="shared" si="353"/>
        <v>0</v>
      </c>
      <c r="N261" s="13">
        <f t="shared" si="345"/>
        <v>0</v>
      </c>
      <c r="O261" s="13">
        <f t="shared" si="432"/>
        <v>0</v>
      </c>
      <c r="P261" s="13">
        <f t="shared" si="432"/>
        <v>0</v>
      </c>
      <c r="Q261" s="13">
        <f t="shared" si="432"/>
        <v>0</v>
      </c>
      <c r="R261" s="13">
        <f t="shared" si="432"/>
        <v>1799.97</v>
      </c>
      <c r="S261" s="13">
        <f t="shared" si="432"/>
        <v>0</v>
      </c>
      <c r="T261" s="13">
        <f t="shared" si="432"/>
        <v>1799.97</v>
      </c>
      <c r="U261" s="68">
        <f t="shared" si="354"/>
        <v>-1799.97</v>
      </c>
      <c r="V261" s="268">
        <f t="shared" si="355"/>
        <v>0</v>
      </c>
      <c r="W261" s="13">
        <f t="shared" si="346"/>
        <v>0</v>
      </c>
      <c r="X261" s="13">
        <f t="shared" si="433"/>
        <v>0</v>
      </c>
      <c r="Y261" s="13">
        <f t="shared" si="433"/>
        <v>0</v>
      </c>
      <c r="Z261" s="13">
        <f t="shared" si="433"/>
        <v>0</v>
      </c>
      <c r="AA261" s="13">
        <f t="shared" si="433"/>
        <v>0</v>
      </c>
      <c r="AB261" s="13">
        <f t="shared" si="433"/>
        <v>0</v>
      </c>
      <c r="AC261" s="68">
        <f t="shared" si="356"/>
        <v>0</v>
      </c>
      <c r="AD261" s="268">
        <f t="shared" si="357"/>
        <v>0</v>
      </c>
      <c r="AE261" s="13">
        <f t="shared" si="347"/>
        <v>0</v>
      </c>
      <c r="AF261" s="13">
        <f t="shared" si="434"/>
        <v>0</v>
      </c>
      <c r="AG261" s="13">
        <f t="shared" si="434"/>
        <v>0</v>
      </c>
      <c r="AH261" s="13">
        <f t="shared" si="434"/>
        <v>0</v>
      </c>
      <c r="AI261" s="13">
        <f t="shared" si="434"/>
        <v>0</v>
      </c>
      <c r="AJ261" s="13">
        <f t="shared" si="434"/>
        <v>0</v>
      </c>
      <c r="AK261" s="68">
        <f t="shared" si="358"/>
        <v>0</v>
      </c>
      <c r="AL261" s="268">
        <f t="shared" si="359"/>
        <v>0</v>
      </c>
      <c r="AM261" s="13">
        <f t="shared" si="348"/>
        <v>6000</v>
      </c>
      <c r="AN261" s="13">
        <f t="shared" si="435"/>
        <v>0</v>
      </c>
      <c r="AO261" s="13">
        <f t="shared" si="435"/>
        <v>0</v>
      </c>
      <c r="AP261" s="13">
        <f t="shared" si="435"/>
        <v>0</v>
      </c>
      <c r="AQ261" s="13">
        <f t="shared" si="435"/>
        <v>0</v>
      </c>
      <c r="AR261" s="13">
        <f t="shared" si="435"/>
        <v>0</v>
      </c>
      <c r="AS261" s="13">
        <f t="shared" si="435"/>
        <v>0</v>
      </c>
      <c r="AT261" s="68">
        <f>AM261-AS261</f>
        <v>6000</v>
      </c>
      <c r="AU261" s="268">
        <f t="shared" si="360"/>
        <v>0</v>
      </c>
      <c r="AV261" s="13">
        <f t="shared" si="349"/>
        <v>8352</v>
      </c>
      <c r="AW261" s="13">
        <f t="shared" si="421"/>
        <v>0</v>
      </c>
      <c r="AX261" s="13">
        <f t="shared" si="421"/>
        <v>7795.2</v>
      </c>
      <c r="AY261" s="13">
        <f t="shared" si="421"/>
        <v>1519.6</v>
      </c>
      <c r="AZ261" s="13">
        <f t="shared" si="421"/>
        <v>0</v>
      </c>
      <c r="BA261" s="13">
        <f t="shared" si="379"/>
        <v>9314.7999999999993</v>
      </c>
      <c r="BB261" s="68">
        <f t="shared" si="361"/>
        <v>-962.79999999999927</v>
      </c>
      <c r="BC261" s="268">
        <f t="shared" si="362"/>
        <v>1.1152777777777776</v>
      </c>
      <c r="BD261" s="13">
        <f t="shared" si="363"/>
        <v>0</v>
      </c>
      <c r="BE261" s="13">
        <f>SUMIFS(SALIDAS_BIT,FECHA_BIT,"&gt;="&amp;BE$2,FECHA_BIT,"&lt;="&amp;BE$3,CLAVE_BIT,$A261)+SUMIFS(SALIDAS_BOV1,FECHA_BOV1,"&gt;="&amp;BE$2,FECHA_BOV1,"&lt;="&amp;BE$3,CLAVE_BOV1,$A261)+SUMIFS(SALIDAS_BOV2,FECHA_BOV2,"&gt;="&amp;BE$2,FECHA_BOV2,"&lt;="&amp;BE$3,CLAVE_BOV2,$A261)+SUMIFS(SALIDAS_BOV3,FECHA_BOV3,"&gt;="&amp;BE$2,FECHA_BOV3,"&lt;="&amp;BE$3,CLAVE_BOV3,$A261)+SUMIFS(SALIDAS_TC,FECHA_TC,"&gt;="&amp;BE$2,FECHA_TC,"&lt;="&amp;BE$3,CLAVE_TC,$A261)+SUMIFS(SALIDAS_COMB,FECHA_COMB,"&gt;="&amp;BE$2,FECHA_COMB,"&lt;="&amp;BE$3,CLAVE_COMB,$A261)+SUMIFS(SALIDAS_DES,FECHA_DESGLOSEN,"&gt;="&amp;BE$2,FECHA_DESGLOSEN,"&lt;="&amp;BE$3,CLAVE_DESGLOSE,$A261)</f>
        <v>0</v>
      </c>
      <c r="BF261" s="13">
        <f>SUMIFS(SALIDAS_BIT,FECHA_BIT,"&gt;="&amp;BF$2,FECHA_BIT,"&lt;="&amp;BF$3,CLAVE_BIT,$A261)+SUMIFS(SALIDAS_BOV1,FECHA_BOV1,"&gt;="&amp;BF$2,FECHA_BOV1,"&lt;="&amp;BF$3,CLAVE_BOV1,$A261)+SUMIFS(SALIDAS_BOV2,FECHA_BOV2,"&gt;="&amp;BF$2,FECHA_BOV2,"&lt;="&amp;BF$3,CLAVE_BOV2,$A261)+SUMIFS(SALIDAS_BOV3,FECHA_BOV3,"&gt;="&amp;BF$2,FECHA_BOV3,"&lt;="&amp;BF$3,CLAVE_BOV3,$A261)+SUMIFS(SALIDAS_TC,FECHA_TC,"&gt;="&amp;BF$2,FECHA_TC,"&lt;="&amp;BF$3,CLAVE_TC,$A261)+SUMIFS(SALIDAS_COMB,FECHA_COMB,"&gt;="&amp;BF$2,FECHA_COMB,"&lt;="&amp;BF$3,CLAVE_COMB,$A261)+SUMIFS(SALIDAS_DES,FECHA_DESGLOSEN,"&gt;="&amp;BF$2,FECHA_DESGLOSEN,"&lt;="&amp;BF$3,CLAVE_DESGLOSE,$A261)</f>
        <v>0</v>
      </c>
      <c r="BG261" s="13">
        <f>SUMIFS(SALIDAS_BIT,FECHA_BIT,"&gt;="&amp;BG$2,FECHA_BIT,"&lt;="&amp;BG$3,CLAVE_BIT,$A261)+SUMIFS(SALIDAS_BOV1,FECHA_BOV1,"&gt;="&amp;BG$2,FECHA_BOV1,"&lt;="&amp;BG$3,CLAVE_BOV1,$A261)+SUMIFS(SALIDAS_BOV2,FECHA_BOV2,"&gt;="&amp;BG$2,FECHA_BOV2,"&lt;="&amp;BG$3,CLAVE_BOV2,$A261)+SUMIFS(SALIDAS_BOV3,FECHA_BOV3,"&gt;="&amp;BG$2,FECHA_BOV3,"&lt;="&amp;BG$3,CLAVE_BOV3,$A261)+SUMIFS(SALIDAS_TC,FECHA_TC,"&gt;="&amp;BG$2,FECHA_TC,"&lt;="&amp;BG$3,CLAVE_TC,$A261)+SUMIFS(SALIDAS_COMB,FECHA_COMB,"&gt;="&amp;BG$2,FECHA_COMB,"&lt;="&amp;BG$3,CLAVE_COMB,$A261)+SUMIFS(SALIDAS_DES,FECHA_DESGLOSEN,"&gt;="&amp;BG$2,FECHA_DESGLOSEN,"&lt;="&amp;BG$3,CLAVE_DESGLOSE,$A261)</f>
        <v>0</v>
      </c>
      <c r="BH261" s="13">
        <f>SUMIFS(SALIDAS_BIT,FECHA_BIT,"&gt;="&amp;BH$2,FECHA_BIT,"&lt;="&amp;BH$3,CLAVE_BIT,$A261)+SUMIFS(SALIDAS_BOV1,FECHA_BOV1,"&gt;="&amp;BH$2,FECHA_BOV1,"&lt;="&amp;BH$3,CLAVE_BOV1,$A261)+SUMIFS(SALIDAS_BOV2,FECHA_BOV2,"&gt;="&amp;BH$2,FECHA_BOV2,"&lt;="&amp;BH$3,CLAVE_BOV2,$A261)+SUMIFS(SALIDAS_BOV3,FECHA_BOV3,"&gt;="&amp;BH$2,FECHA_BOV3,"&lt;="&amp;BH$3,CLAVE_BOV3,$A261)+SUMIFS(SALIDAS_TC,FECHA_TC,"&gt;="&amp;BH$2,FECHA_TC,"&lt;="&amp;BH$3,CLAVE_TC,$A261)+SUMIFS(SALIDAS_COMB,FECHA_COMB,"&gt;="&amp;BH$2,FECHA_COMB,"&lt;="&amp;BH$3,CLAVE_COMB,$A261)+SUMIFS(SALIDAS_DES,FECHA_DESGLOSEN,"&gt;="&amp;BH$2,FECHA_DESGLOSEN,"&lt;="&amp;BH$3,CLAVE_DESGLOSE,$A261)</f>
        <v>0</v>
      </c>
      <c r="BI261" s="13">
        <f t="shared" si="419"/>
        <v>0</v>
      </c>
      <c r="BJ261" s="68">
        <f t="shared" si="364"/>
        <v>0</v>
      </c>
      <c r="BK261" s="268">
        <f t="shared" si="365"/>
        <v>0</v>
      </c>
      <c r="BL261" s="13">
        <f t="shared" si="366"/>
        <v>2423</v>
      </c>
      <c r="BM261" s="13">
        <f>SUMIFS(SALIDAS_BIT,FECHA_BIT,"&gt;="&amp;BM$2,FECHA_BIT,"&lt;="&amp;BM$3,CLAVE_BIT,$A261)+SUMIFS(SALIDAS_BOV1,FECHA_BOV1,"&gt;="&amp;BM$2,FECHA_BOV1,"&lt;="&amp;BM$3,CLAVE_BOV1,$A261)+SUMIFS(SALIDAS_BOV2,FECHA_BOV2,"&gt;="&amp;BM$2,FECHA_BOV2,"&lt;="&amp;BM$3,CLAVE_BOV2,$A261)+SUMIFS(SALIDAS_BOV3,FECHA_BOV3,"&gt;="&amp;BM$2,FECHA_BOV3,"&lt;="&amp;BM$3,CLAVE_BOV3,$A261)+SUMIFS(SALIDAS_TC,FECHA_TC,"&gt;="&amp;BM$2,FECHA_TC,"&lt;="&amp;BM$3,CLAVE_TC,$A261)+SUMIFS(SALIDAS_COMB,FECHA_COMB,"&gt;="&amp;BM$2,FECHA_COMB,"&lt;="&amp;BM$3,CLAVE_COMB,$A261)+SUMIFS(SALIDAS_DES,FECHA_DESGLOSEN,"&gt;="&amp;BM$2,FECHA_DESGLOSEN,"&lt;="&amp;BM$3,CLAVE_DESGLOSE,$A261)</f>
        <v>0</v>
      </c>
      <c r="BN261" s="13">
        <f>SUMIFS(SALIDAS_BIT,FECHA_BIT,"&gt;="&amp;BN$2,FECHA_BIT,"&lt;="&amp;BN$3,CLAVE_BIT,$A261)+SUMIFS(SALIDAS_BOV1,FECHA_BOV1,"&gt;="&amp;BN$2,FECHA_BOV1,"&lt;="&amp;BN$3,CLAVE_BOV1,$A261)+SUMIFS(SALIDAS_BOV2,FECHA_BOV2,"&gt;="&amp;BN$2,FECHA_BOV2,"&lt;="&amp;BN$3,CLAVE_BOV2,$A261)+SUMIFS(SALIDAS_BOV3,FECHA_BOV3,"&gt;="&amp;BN$2,FECHA_BOV3,"&lt;="&amp;BN$3,CLAVE_BOV3,$A261)+SUMIFS(SALIDAS_TC,FECHA_TC,"&gt;="&amp;BN$2,FECHA_TC,"&lt;="&amp;BN$3,CLAVE_TC,$A261)+SUMIFS(SALIDAS_COMB,FECHA_COMB,"&gt;="&amp;BN$2,FECHA_COMB,"&lt;="&amp;BN$3,CLAVE_COMB,$A261)+SUMIFS(SALIDAS_DES,FECHA_DESGLOSEN,"&gt;="&amp;BN$2,FECHA_DESGLOSEN,"&lt;="&amp;BN$3,CLAVE_DESGLOSE,$A261)</f>
        <v>0</v>
      </c>
      <c r="BO261" s="13">
        <f>SUMIFS(SALIDAS_BIT,FECHA_BIT,"&gt;="&amp;BO$2,FECHA_BIT,"&lt;="&amp;BO$3,CLAVE_BIT,$A261)+SUMIFS(SALIDAS_BOV1,FECHA_BOV1,"&gt;="&amp;BO$2,FECHA_BOV1,"&lt;="&amp;BO$3,CLAVE_BOV1,$A261)+SUMIFS(SALIDAS_BOV2,FECHA_BOV2,"&gt;="&amp;BO$2,FECHA_BOV2,"&lt;="&amp;BO$3,CLAVE_BOV2,$A261)+SUMIFS(SALIDAS_BOV3,FECHA_BOV3,"&gt;="&amp;BO$2,FECHA_BOV3,"&lt;="&amp;BO$3,CLAVE_BOV3,$A261)+SUMIFS(SALIDAS_TC,FECHA_TC,"&gt;="&amp;BO$2,FECHA_TC,"&lt;="&amp;BO$3,CLAVE_TC,$A261)+SUMIFS(SALIDAS_COMB,FECHA_COMB,"&gt;="&amp;BO$2,FECHA_COMB,"&lt;="&amp;BO$3,CLAVE_COMB,$A261)+SUMIFS(SALIDAS_DES,FECHA_DESGLOSEN,"&gt;="&amp;BO$2,FECHA_DESGLOSEN,"&lt;="&amp;BO$3,CLAVE_DESGLOSE,$A261)</f>
        <v>0</v>
      </c>
      <c r="BP261" s="13">
        <f>SUMIFS(SALIDAS_BIT,FECHA_BIT,"&gt;="&amp;BP$2,FECHA_BIT,"&lt;="&amp;BP$3,CLAVE_BIT,$A261)+SUMIFS(SALIDAS_BOV1,FECHA_BOV1,"&gt;="&amp;BP$2,FECHA_BOV1,"&lt;="&amp;BP$3,CLAVE_BOV1,$A261)+SUMIFS(SALIDAS_BOV2,FECHA_BOV2,"&gt;="&amp;BP$2,FECHA_BOV2,"&lt;="&amp;BP$3,CLAVE_BOV2,$A261)+SUMIFS(SALIDAS_BOV3,FECHA_BOV3,"&gt;="&amp;BP$2,FECHA_BOV3,"&lt;="&amp;BP$3,CLAVE_BOV3,$A261)+SUMIFS(SALIDAS_TC,FECHA_TC,"&gt;="&amp;BP$2,FECHA_TC,"&lt;="&amp;BP$3,CLAVE_TC,$A261)+SUMIFS(SALIDAS_COMB,FECHA_COMB,"&gt;="&amp;BP$2,FECHA_COMB,"&lt;="&amp;BP$3,CLAVE_COMB,$A261)+SUMIFS(SALIDAS_DES,FECHA_DESGLOSEN,"&gt;="&amp;BP$2,FECHA_DESGLOSEN,"&lt;="&amp;BP$3,CLAVE_DESGLOSE,$A261)</f>
        <v>0</v>
      </c>
      <c r="BQ261" s="13">
        <f>SUMIFS(SALIDAS_BIT,FECHA_BIT,"&gt;="&amp;BQ$2,FECHA_BIT,"&lt;="&amp;BQ$3,CLAVE_BIT,$A261)+SUMIFS(SALIDAS_BOV1,FECHA_BOV1,"&gt;="&amp;BQ$2,FECHA_BOV1,"&lt;="&amp;BQ$3,CLAVE_BOV1,$A261)+SUMIFS(SALIDAS_BOV2,FECHA_BOV2,"&gt;="&amp;BQ$2,FECHA_BOV2,"&lt;="&amp;BQ$3,CLAVE_BOV2,$A261)+SUMIFS(SALIDAS_BOV3,FECHA_BOV3,"&gt;="&amp;BQ$2,FECHA_BOV3,"&lt;="&amp;BQ$3,CLAVE_BOV3,$A261)+SUMIFS(SALIDAS_TC,FECHA_TC,"&gt;="&amp;BQ$2,FECHA_TC,"&lt;="&amp;BQ$3,CLAVE_TC,$A261)+SUMIFS(SALIDAS_COMB,FECHA_COMB,"&gt;="&amp;BQ$2,FECHA_COMB,"&lt;="&amp;BQ$3,CLAVE_COMB,$A261)+SUMIFS(SALIDAS_DES,FECHA_DESGLOSEN,"&gt;="&amp;BQ$2,FECHA_DESGLOSEN,"&lt;="&amp;BQ$3,CLAVE_DESGLOSE,$A261)</f>
        <v>0</v>
      </c>
      <c r="BR261" s="13">
        <f t="shared" si="436"/>
        <v>0</v>
      </c>
      <c r="BS261" s="68">
        <f t="shared" si="367"/>
        <v>2423</v>
      </c>
      <c r="BT261" s="268">
        <f t="shared" si="368"/>
        <v>0</v>
      </c>
      <c r="BU261" s="13">
        <f t="shared" si="369"/>
        <v>0</v>
      </c>
      <c r="BV261" s="13">
        <f t="shared" si="389"/>
        <v>0</v>
      </c>
      <c r="BW261" s="13">
        <f t="shared" si="389"/>
        <v>0</v>
      </c>
      <c r="BX261" s="13">
        <f t="shared" si="389"/>
        <v>0</v>
      </c>
      <c r="BY261" s="13">
        <f t="shared" si="389"/>
        <v>0</v>
      </c>
      <c r="BZ261" s="13">
        <f t="shared" si="437"/>
        <v>0</v>
      </c>
      <c r="CA261" s="68">
        <f t="shared" si="370"/>
        <v>0</v>
      </c>
      <c r="CB261" s="268">
        <f t="shared" si="371"/>
        <v>0</v>
      </c>
      <c r="CC261" s="13">
        <f t="shared" si="372"/>
        <v>0</v>
      </c>
      <c r="CD261" s="13">
        <f t="shared" si="390"/>
        <v>0</v>
      </c>
      <c r="CE261" s="13">
        <f t="shared" si="390"/>
        <v>0</v>
      </c>
      <c r="CF261" s="13">
        <f t="shared" si="390"/>
        <v>0</v>
      </c>
      <c r="CG261" s="13">
        <f t="shared" si="390"/>
        <v>0</v>
      </c>
      <c r="CH261" s="13">
        <f t="shared" si="438"/>
        <v>0</v>
      </c>
      <c r="CI261" s="68">
        <f t="shared" si="373"/>
        <v>0</v>
      </c>
      <c r="CJ261" s="268">
        <f t="shared" si="374"/>
        <v>0</v>
      </c>
      <c r="CK261" s="13">
        <f t="shared" si="375"/>
        <v>0</v>
      </c>
      <c r="CL261" s="13">
        <f t="shared" si="400"/>
        <v>0</v>
      </c>
      <c r="CM261" s="13">
        <f t="shared" si="400"/>
        <v>0</v>
      </c>
      <c r="CN261" s="13">
        <f t="shared" si="400"/>
        <v>0</v>
      </c>
      <c r="CO261" s="13">
        <f t="shared" si="400"/>
        <v>0</v>
      </c>
      <c r="CP261" s="13">
        <f t="shared" si="400"/>
        <v>0</v>
      </c>
      <c r="CQ261" s="13">
        <f t="shared" si="439"/>
        <v>0</v>
      </c>
      <c r="CR261" s="68">
        <f t="shared" si="376"/>
        <v>0</v>
      </c>
      <c r="CS261" s="268">
        <f t="shared" si="377"/>
        <v>0</v>
      </c>
      <c r="CT261" s="68">
        <f t="shared" si="350"/>
        <v>560</v>
      </c>
      <c r="CU261" s="13">
        <f>SUMIFS(SALIDAS_BIT,FECHA_BIT,"&gt;="&amp;CU$2,FECHA_BIT,"&lt;="&amp;CU$3,CLAVE_BIT,$A261)+SUMIFS(SALIDAS_BOV1,FECHA_BOV1,"&gt;="&amp;CU$2,FECHA_BOV1,"&lt;="&amp;CU$3,CLAVE_BOV1,$A261)+SUMIFS(SALIDAS_BOV2,FECHA_BOV2,"&gt;="&amp;CU$2,FECHA_BOV2,"&lt;="&amp;CU$3,CLAVE_BOV2,$A261)+SUMIFS(SALIDAS_BOV3,FECHA_BOV3,"&gt;="&amp;CU$2,FECHA_BOV3,"&lt;="&amp;CU$3,CLAVE_BOV3,$A261)+SUMIFS(SALIDAS_TC,FECHA_TC,"&gt;="&amp;CU$2,FECHA_TC,"&lt;="&amp;CU$3,CLAVE_TC,$A261)+SUMIFS(SALIDAS_COMB,FECHA_COMB,"&gt;="&amp;CU$2,FECHA_COMB,"&lt;="&amp;CU$3,CLAVE_COMB,$A261)+SUMIFS(SALIDAS_DES,FECHA_DESGLOSEN,"&gt;="&amp;CU$2,FECHA_DESGLOSEN,"&lt;="&amp;CU$3,CLAVE_DESGLOSE,$A261)</f>
        <v>0</v>
      </c>
      <c r="CV261" s="13">
        <f>SUMIFS(SALIDAS_BIT,FECHA_BIT,"&gt;="&amp;CV$2,FECHA_BIT,"&lt;="&amp;CV$3,CLAVE_BIT,$A261)+SUMIFS(SALIDAS_BOV1,FECHA_BOV1,"&gt;="&amp;CV$2,FECHA_BOV1,"&lt;="&amp;CV$3,CLAVE_BOV1,$A261)+SUMIFS(SALIDAS_BOV2,FECHA_BOV2,"&gt;="&amp;CV$2,FECHA_BOV2,"&lt;="&amp;CV$3,CLAVE_BOV2,$A261)+SUMIFS(SALIDAS_BOV3,FECHA_BOV3,"&gt;="&amp;CV$2,FECHA_BOV3,"&lt;="&amp;CV$3,CLAVE_BOV3,$A261)+SUMIFS(SALIDAS_TC,FECHA_TC,"&gt;="&amp;CV$2,FECHA_TC,"&lt;="&amp;CV$3,CLAVE_TC,$A261)+SUMIFS(SALIDAS_COMB,FECHA_COMB,"&gt;="&amp;CV$2,FECHA_COMB,"&lt;="&amp;CV$3,CLAVE_COMB,$A261)+SUMIFS(SALIDAS_DES,FECHA_DESGLOSEN,"&gt;="&amp;CV$2,FECHA_DESGLOSEN,"&lt;="&amp;CV$3,CLAVE_DESGLOSE,$A261)</f>
        <v>0</v>
      </c>
      <c r="CW261" s="13">
        <f>SUMIFS(SALIDAS_BIT,FECHA_BIT,"&gt;="&amp;CW$2,FECHA_BIT,"&lt;="&amp;CW$3,CLAVE_BIT,$A261)+SUMIFS(SALIDAS_BOV1,FECHA_BOV1,"&gt;="&amp;CW$2,FECHA_BOV1,"&lt;="&amp;CW$3,CLAVE_BOV1,$A261)+SUMIFS(SALIDAS_BOV2,FECHA_BOV2,"&gt;="&amp;CW$2,FECHA_BOV2,"&lt;="&amp;CW$3,CLAVE_BOV2,$A261)+SUMIFS(SALIDAS_BOV3,FECHA_BOV3,"&gt;="&amp;CW$2,FECHA_BOV3,"&lt;="&amp;CW$3,CLAVE_BOV3,$A261)+SUMIFS(SALIDAS_TC,FECHA_TC,"&gt;="&amp;CW$2,FECHA_TC,"&lt;="&amp;CW$3,CLAVE_TC,$A261)+SUMIFS(SALIDAS_COMB,FECHA_COMB,"&gt;="&amp;CW$2,FECHA_COMB,"&lt;="&amp;CW$3,CLAVE_COMB,$A261)+SUMIFS(SALIDAS_DES,FECHA_DESGLOSEN,"&gt;="&amp;CW$2,FECHA_DESGLOSEN,"&lt;="&amp;CW$3,CLAVE_DESGLOSE,$A261)</f>
        <v>0</v>
      </c>
      <c r="CX261" s="13">
        <f>SUMIFS(SALIDAS_BIT,FECHA_BIT,"&gt;="&amp;CX$2,FECHA_BIT,"&lt;="&amp;CX$3,CLAVE_BIT,$A261)+SUMIFS(SALIDAS_BOV1,FECHA_BOV1,"&gt;="&amp;CX$2,FECHA_BOV1,"&lt;="&amp;CX$3,CLAVE_BOV1,$A261)+SUMIFS(SALIDAS_BOV2,FECHA_BOV2,"&gt;="&amp;CX$2,FECHA_BOV2,"&lt;="&amp;CX$3,CLAVE_BOV2,$A261)+SUMIFS(SALIDAS_BOV3,FECHA_BOV3,"&gt;="&amp;CX$2,FECHA_BOV3,"&lt;="&amp;CX$3,CLAVE_BOV3,$A261)+SUMIFS(SALIDAS_TC,FECHA_TC,"&gt;="&amp;CX$2,FECHA_TC,"&lt;="&amp;CX$3,CLAVE_TC,$A261)+SUMIFS(SALIDAS_COMB,FECHA_COMB,"&gt;="&amp;CX$2,FECHA_COMB,"&lt;="&amp;CX$3,CLAVE_COMB,$A261)+SUMIFS(SALIDAS_DES,FECHA_DESGLOSEN,"&gt;="&amp;CX$2,FECHA_DESGLOSEN,"&lt;="&amp;CX$3,CLAVE_DESGLOSE,$A261)</f>
        <v>0</v>
      </c>
      <c r="CY261" s="13">
        <f>SUMIFS(SALIDAS_BIT,FECHA_BIT,"&gt;="&amp;CY$2,FECHA_BIT,"&lt;="&amp;CY$3,CLAVE_BIT,$A261)+SUMIFS(SALIDAS_BOV1,FECHA_BOV1,"&gt;="&amp;CY$2,FECHA_BOV1,"&lt;="&amp;CY$3,CLAVE_BOV1,$A261)+SUMIFS(SALIDAS_BOV2,FECHA_BOV2,"&gt;="&amp;CY$2,FECHA_BOV2,"&lt;="&amp;CY$3,CLAVE_BOV2,$A261)+SUMIFS(SALIDAS_BOV3,FECHA_BOV3,"&gt;="&amp;CY$2,FECHA_BOV3,"&lt;="&amp;CY$3,CLAVE_BOV3,$A261)+SUMIFS(SALIDAS_TC,FECHA_TC,"&gt;="&amp;CY$2,FECHA_TC,"&lt;="&amp;CY$3,CLAVE_TC,$A261)+SUMIFS(SALIDAS_COMB,FECHA_COMB,"&gt;="&amp;CY$2,FECHA_COMB,"&lt;="&amp;CY$3,CLAVE_COMB,$A261)+SUMIFS(SALIDAS_DES,FECHA_DESGLOSEN,"&gt;="&amp;CY$2,FECHA_DESGLOSEN,"&lt;="&amp;CY$3,CLAVE_DESGLOSE,$A261)</f>
        <v>0</v>
      </c>
      <c r="CZ261" s="68">
        <f t="shared" si="378"/>
        <v>560</v>
      </c>
      <c r="DB261" s="17">
        <f>F261+N261+W261+AE261+AM261+AV261+BD261+BL261+BU261+CC261+CK261</f>
        <v>17415</v>
      </c>
      <c r="DC261" s="17">
        <f>K261+T261+AB261+AJ261+AS261+BA261+BI261+BR261+BZ261+CH261+CQ261</f>
        <v>11114.769999999999</v>
      </c>
    </row>
    <row r="262" spans="1:107" hidden="1">
      <c r="A262" s="12" t="str">
        <f t="shared" si="351"/>
        <v>FINANZASCUOTAS Y SUSCRIPCIONESTIMBRES P/FACTURACION</v>
      </c>
      <c r="B262">
        <v>264</v>
      </c>
      <c r="C262" t="s">
        <v>23</v>
      </c>
      <c r="D262" t="s">
        <v>51</v>
      </c>
      <c r="E262" t="s">
        <v>63</v>
      </c>
      <c r="F262" s="259">
        <f t="shared" si="344"/>
        <v>0</v>
      </c>
      <c r="G262" s="13">
        <f t="shared" si="431"/>
        <v>0</v>
      </c>
      <c r="H262" s="13">
        <f t="shared" si="431"/>
        <v>0</v>
      </c>
      <c r="I262" s="13">
        <f t="shared" si="431"/>
        <v>0</v>
      </c>
      <c r="J262" s="13">
        <f t="shared" si="431"/>
        <v>0</v>
      </c>
      <c r="K262" s="13">
        <f t="shared" si="431"/>
        <v>0</v>
      </c>
      <c r="L262" s="68">
        <f t="shared" si="352"/>
        <v>0</v>
      </c>
      <c r="M262" s="268">
        <f t="shared" si="353"/>
        <v>0</v>
      </c>
      <c r="N262" s="13">
        <f t="shared" si="345"/>
        <v>1280</v>
      </c>
      <c r="O262" s="13">
        <f t="shared" si="432"/>
        <v>0</v>
      </c>
      <c r="P262" s="13">
        <f t="shared" si="432"/>
        <v>0</v>
      </c>
      <c r="Q262" s="13">
        <f t="shared" si="432"/>
        <v>0</v>
      </c>
      <c r="R262" s="13">
        <f t="shared" si="432"/>
        <v>0</v>
      </c>
      <c r="S262" s="13">
        <f t="shared" si="432"/>
        <v>0</v>
      </c>
      <c r="T262" s="13">
        <f t="shared" si="432"/>
        <v>0</v>
      </c>
      <c r="U262" s="68">
        <f t="shared" si="354"/>
        <v>1280</v>
      </c>
      <c r="V262" s="268">
        <f t="shared" si="355"/>
        <v>0</v>
      </c>
      <c r="W262" s="13">
        <f t="shared" si="346"/>
        <v>0</v>
      </c>
      <c r="X262" s="13">
        <f t="shared" si="433"/>
        <v>0</v>
      </c>
      <c r="Y262" s="13">
        <f t="shared" si="433"/>
        <v>0</v>
      </c>
      <c r="Z262" s="13">
        <f t="shared" si="433"/>
        <v>0</v>
      </c>
      <c r="AA262" s="13">
        <f t="shared" si="433"/>
        <v>0</v>
      </c>
      <c r="AB262" s="13">
        <f t="shared" si="433"/>
        <v>0</v>
      </c>
      <c r="AC262" s="68">
        <f t="shared" si="356"/>
        <v>0</v>
      </c>
      <c r="AD262" s="268">
        <f t="shared" si="357"/>
        <v>0</v>
      </c>
      <c r="AE262" s="13">
        <f t="shared" si="347"/>
        <v>0</v>
      </c>
      <c r="AF262" s="13">
        <f t="shared" si="434"/>
        <v>0</v>
      </c>
      <c r="AG262" s="13">
        <f t="shared" si="434"/>
        <v>0</v>
      </c>
      <c r="AH262" s="13">
        <f t="shared" si="434"/>
        <v>0</v>
      </c>
      <c r="AI262" s="13">
        <f t="shared" si="434"/>
        <v>0</v>
      </c>
      <c r="AJ262" s="13">
        <f t="shared" si="434"/>
        <v>0</v>
      </c>
      <c r="AK262" s="68">
        <f t="shared" si="358"/>
        <v>0</v>
      </c>
      <c r="AL262" s="268">
        <f t="shared" si="359"/>
        <v>0</v>
      </c>
      <c r="AM262" s="13">
        <f t="shared" si="348"/>
        <v>0</v>
      </c>
      <c r="AN262" s="13">
        <f t="shared" si="435"/>
        <v>0</v>
      </c>
      <c r="AO262" s="13">
        <f t="shared" si="435"/>
        <v>0</v>
      </c>
      <c r="AP262" s="13">
        <f t="shared" si="435"/>
        <v>0</v>
      </c>
      <c r="AQ262" s="13">
        <f t="shared" si="435"/>
        <v>0</v>
      </c>
      <c r="AR262" s="13">
        <f t="shared" si="435"/>
        <v>0</v>
      </c>
      <c r="AS262" s="13">
        <f t="shared" si="435"/>
        <v>0</v>
      </c>
      <c r="AT262" s="68">
        <f>AM262-AS262</f>
        <v>0</v>
      </c>
      <c r="AU262" s="268">
        <f t="shared" si="360"/>
        <v>0</v>
      </c>
      <c r="AV262" s="13">
        <f t="shared" si="349"/>
        <v>4640</v>
      </c>
      <c r="AW262" s="13">
        <f t="shared" si="421"/>
        <v>0</v>
      </c>
      <c r="AX262" s="13">
        <f t="shared" si="421"/>
        <v>0</v>
      </c>
      <c r="AY262" s="13">
        <f t="shared" si="421"/>
        <v>0</v>
      </c>
      <c r="AZ262" s="13">
        <f t="shared" si="421"/>
        <v>0</v>
      </c>
      <c r="BA262" s="13">
        <f t="shared" si="379"/>
        <v>0</v>
      </c>
      <c r="BB262" s="68">
        <f t="shared" si="361"/>
        <v>4640</v>
      </c>
      <c r="BC262" s="268">
        <f t="shared" si="362"/>
        <v>0</v>
      </c>
      <c r="BD262" s="13">
        <f t="shared" si="363"/>
        <v>0</v>
      </c>
      <c r="BE262" s="13">
        <f>SUMIFS(SALIDAS_BIT,FECHA_BIT,"&gt;="&amp;BE$2,FECHA_BIT,"&lt;="&amp;BE$3,CLAVE_BIT,$A262)+SUMIFS(SALIDAS_BOV1,FECHA_BOV1,"&gt;="&amp;BE$2,FECHA_BOV1,"&lt;="&amp;BE$3,CLAVE_BOV1,$A262)+SUMIFS(SALIDAS_BOV2,FECHA_BOV2,"&gt;="&amp;BE$2,FECHA_BOV2,"&lt;="&amp;BE$3,CLAVE_BOV2,$A262)+SUMIFS(SALIDAS_BOV3,FECHA_BOV3,"&gt;="&amp;BE$2,FECHA_BOV3,"&lt;="&amp;BE$3,CLAVE_BOV3,$A262)+SUMIFS(SALIDAS_TC,FECHA_TC,"&gt;="&amp;BE$2,FECHA_TC,"&lt;="&amp;BE$3,CLAVE_TC,$A262)+SUMIFS(SALIDAS_COMB,FECHA_COMB,"&gt;="&amp;BE$2,FECHA_COMB,"&lt;="&amp;BE$3,CLAVE_COMB,$A262)+SUMIFS(SALIDAS_DES,FECHA_DESGLOSEN,"&gt;="&amp;BE$2,FECHA_DESGLOSEN,"&lt;="&amp;BE$3,CLAVE_DESGLOSE,$A262)</f>
        <v>0</v>
      </c>
      <c r="BF262" s="13">
        <f>SUMIFS(SALIDAS_BIT,FECHA_BIT,"&gt;="&amp;BF$2,FECHA_BIT,"&lt;="&amp;BF$3,CLAVE_BIT,$A262)+SUMIFS(SALIDAS_BOV1,FECHA_BOV1,"&gt;="&amp;BF$2,FECHA_BOV1,"&lt;="&amp;BF$3,CLAVE_BOV1,$A262)+SUMIFS(SALIDAS_BOV2,FECHA_BOV2,"&gt;="&amp;BF$2,FECHA_BOV2,"&lt;="&amp;BF$3,CLAVE_BOV2,$A262)+SUMIFS(SALIDAS_BOV3,FECHA_BOV3,"&gt;="&amp;BF$2,FECHA_BOV3,"&lt;="&amp;BF$3,CLAVE_BOV3,$A262)+SUMIFS(SALIDAS_TC,FECHA_TC,"&gt;="&amp;BF$2,FECHA_TC,"&lt;="&amp;BF$3,CLAVE_TC,$A262)+SUMIFS(SALIDAS_COMB,FECHA_COMB,"&gt;="&amp;BF$2,FECHA_COMB,"&lt;="&amp;BF$3,CLAVE_COMB,$A262)+SUMIFS(SALIDAS_DES,FECHA_DESGLOSEN,"&gt;="&amp;BF$2,FECHA_DESGLOSEN,"&lt;="&amp;BF$3,CLAVE_DESGLOSE,$A262)</f>
        <v>0</v>
      </c>
      <c r="BG262" s="13">
        <f>SUMIFS(SALIDAS_BIT,FECHA_BIT,"&gt;="&amp;BG$2,FECHA_BIT,"&lt;="&amp;BG$3,CLAVE_BIT,$A262)+SUMIFS(SALIDAS_BOV1,FECHA_BOV1,"&gt;="&amp;BG$2,FECHA_BOV1,"&lt;="&amp;BG$3,CLAVE_BOV1,$A262)+SUMIFS(SALIDAS_BOV2,FECHA_BOV2,"&gt;="&amp;BG$2,FECHA_BOV2,"&lt;="&amp;BG$3,CLAVE_BOV2,$A262)+SUMIFS(SALIDAS_BOV3,FECHA_BOV3,"&gt;="&amp;BG$2,FECHA_BOV3,"&lt;="&amp;BG$3,CLAVE_BOV3,$A262)+SUMIFS(SALIDAS_TC,FECHA_TC,"&gt;="&amp;BG$2,FECHA_TC,"&lt;="&amp;BG$3,CLAVE_TC,$A262)+SUMIFS(SALIDAS_COMB,FECHA_COMB,"&gt;="&amp;BG$2,FECHA_COMB,"&lt;="&amp;BG$3,CLAVE_COMB,$A262)+SUMIFS(SALIDAS_DES,FECHA_DESGLOSEN,"&gt;="&amp;BG$2,FECHA_DESGLOSEN,"&lt;="&amp;BG$3,CLAVE_DESGLOSE,$A262)</f>
        <v>0</v>
      </c>
      <c r="BH262" s="13">
        <f>SUMIFS(SALIDAS_BIT,FECHA_BIT,"&gt;="&amp;BH$2,FECHA_BIT,"&lt;="&amp;BH$3,CLAVE_BIT,$A262)+SUMIFS(SALIDAS_BOV1,FECHA_BOV1,"&gt;="&amp;BH$2,FECHA_BOV1,"&lt;="&amp;BH$3,CLAVE_BOV1,$A262)+SUMIFS(SALIDAS_BOV2,FECHA_BOV2,"&gt;="&amp;BH$2,FECHA_BOV2,"&lt;="&amp;BH$3,CLAVE_BOV2,$A262)+SUMIFS(SALIDAS_BOV3,FECHA_BOV3,"&gt;="&amp;BH$2,FECHA_BOV3,"&lt;="&amp;BH$3,CLAVE_BOV3,$A262)+SUMIFS(SALIDAS_TC,FECHA_TC,"&gt;="&amp;BH$2,FECHA_TC,"&lt;="&amp;BH$3,CLAVE_TC,$A262)+SUMIFS(SALIDAS_COMB,FECHA_COMB,"&gt;="&amp;BH$2,FECHA_COMB,"&lt;="&amp;BH$3,CLAVE_COMB,$A262)+SUMIFS(SALIDAS_DES,FECHA_DESGLOSEN,"&gt;="&amp;BH$2,FECHA_DESGLOSEN,"&lt;="&amp;BH$3,CLAVE_DESGLOSE,$A262)</f>
        <v>0</v>
      </c>
      <c r="BI262" s="13">
        <f t="shared" si="419"/>
        <v>0</v>
      </c>
      <c r="BJ262" s="68">
        <f t="shared" si="364"/>
        <v>0</v>
      </c>
      <c r="BK262" s="268">
        <f t="shared" si="365"/>
        <v>0</v>
      </c>
      <c r="BL262" s="13">
        <f t="shared" si="366"/>
        <v>0</v>
      </c>
      <c r="BM262" s="13">
        <f>SUMIFS(SALIDAS_BIT,FECHA_BIT,"&gt;="&amp;BM$2,FECHA_BIT,"&lt;="&amp;BM$3,CLAVE_BIT,$A262)+SUMIFS(SALIDAS_BOV1,FECHA_BOV1,"&gt;="&amp;BM$2,FECHA_BOV1,"&lt;="&amp;BM$3,CLAVE_BOV1,$A262)+SUMIFS(SALIDAS_BOV2,FECHA_BOV2,"&gt;="&amp;BM$2,FECHA_BOV2,"&lt;="&amp;BM$3,CLAVE_BOV2,$A262)+SUMIFS(SALIDAS_BOV3,FECHA_BOV3,"&gt;="&amp;BM$2,FECHA_BOV3,"&lt;="&amp;BM$3,CLAVE_BOV3,$A262)+SUMIFS(SALIDAS_TC,FECHA_TC,"&gt;="&amp;BM$2,FECHA_TC,"&lt;="&amp;BM$3,CLAVE_TC,$A262)+SUMIFS(SALIDAS_COMB,FECHA_COMB,"&gt;="&amp;BM$2,FECHA_COMB,"&lt;="&amp;BM$3,CLAVE_COMB,$A262)+SUMIFS(SALIDAS_DES,FECHA_DESGLOSEN,"&gt;="&amp;BM$2,FECHA_DESGLOSEN,"&lt;="&amp;BM$3,CLAVE_DESGLOSE,$A262)</f>
        <v>0</v>
      </c>
      <c r="BN262" s="13">
        <f>SUMIFS(SALIDAS_BIT,FECHA_BIT,"&gt;="&amp;BN$2,FECHA_BIT,"&lt;="&amp;BN$3,CLAVE_BIT,$A262)+SUMIFS(SALIDAS_BOV1,FECHA_BOV1,"&gt;="&amp;BN$2,FECHA_BOV1,"&lt;="&amp;BN$3,CLAVE_BOV1,$A262)+SUMIFS(SALIDAS_BOV2,FECHA_BOV2,"&gt;="&amp;BN$2,FECHA_BOV2,"&lt;="&amp;BN$3,CLAVE_BOV2,$A262)+SUMIFS(SALIDAS_BOV3,FECHA_BOV3,"&gt;="&amp;BN$2,FECHA_BOV3,"&lt;="&amp;BN$3,CLAVE_BOV3,$A262)+SUMIFS(SALIDAS_TC,FECHA_TC,"&gt;="&amp;BN$2,FECHA_TC,"&lt;="&amp;BN$3,CLAVE_TC,$A262)+SUMIFS(SALIDAS_COMB,FECHA_COMB,"&gt;="&amp;BN$2,FECHA_COMB,"&lt;="&amp;BN$3,CLAVE_COMB,$A262)+SUMIFS(SALIDAS_DES,FECHA_DESGLOSEN,"&gt;="&amp;BN$2,FECHA_DESGLOSEN,"&lt;="&amp;BN$3,CLAVE_DESGLOSE,$A262)</f>
        <v>0</v>
      </c>
      <c r="BO262" s="13">
        <f>SUMIFS(SALIDAS_BIT,FECHA_BIT,"&gt;="&amp;BO$2,FECHA_BIT,"&lt;="&amp;BO$3,CLAVE_BIT,$A262)+SUMIFS(SALIDAS_BOV1,FECHA_BOV1,"&gt;="&amp;BO$2,FECHA_BOV1,"&lt;="&amp;BO$3,CLAVE_BOV1,$A262)+SUMIFS(SALIDAS_BOV2,FECHA_BOV2,"&gt;="&amp;BO$2,FECHA_BOV2,"&lt;="&amp;BO$3,CLAVE_BOV2,$A262)+SUMIFS(SALIDAS_BOV3,FECHA_BOV3,"&gt;="&amp;BO$2,FECHA_BOV3,"&lt;="&amp;BO$3,CLAVE_BOV3,$A262)+SUMIFS(SALIDAS_TC,FECHA_TC,"&gt;="&amp;BO$2,FECHA_TC,"&lt;="&amp;BO$3,CLAVE_TC,$A262)+SUMIFS(SALIDAS_COMB,FECHA_COMB,"&gt;="&amp;BO$2,FECHA_COMB,"&lt;="&amp;BO$3,CLAVE_COMB,$A262)+SUMIFS(SALIDAS_DES,FECHA_DESGLOSEN,"&gt;="&amp;BO$2,FECHA_DESGLOSEN,"&lt;="&amp;BO$3,CLAVE_DESGLOSE,$A262)</f>
        <v>0</v>
      </c>
      <c r="BP262" s="13">
        <f>SUMIFS(SALIDAS_BIT,FECHA_BIT,"&gt;="&amp;BP$2,FECHA_BIT,"&lt;="&amp;BP$3,CLAVE_BIT,$A262)+SUMIFS(SALIDAS_BOV1,FECHA_BOV1,"&gt;="&amp;BP$2,FECHA_BOV1,"&lt;="&amp;BP$3,CLAVE_BOV1,$A262)+SUMIFS(SALIDAS_BOV2,FECHA_BOV2,"&gt;="&amp;BP$2,FECHA_BOV2,"&lt;="&amp;BP$3,CLAVE_BOV2,$A262)+SUMIFS(SALIDAS_BOV3,FECHA_BOV3,"&gt;="&amp;BP$2,FECHA_BOV3,"&lt;="&amp;BP$3,CLAVE_BOV3,$A262)+SUMIFS(SALIDAS_TC,FECHA_TC,"&gt;="&amp;BP$2,FECHA_TC,"&lt;="&amp;BP$3,CLAVE_TC,$A262)+SUMIFS(SALIDAS_COMB,FECHA_COMB,"&gt;="&amp;BP$2,FECHA_COMB,"&lt;="&amp;BP$3,CLAVE_COMB,$A262)+SUMIFS(SALIDAS_DES,FECHA_DESGLOSEN,"&gt;="&amp;BP$2,FECHA_DESGLOSEN,"&lt;="&amp;BP$3,CLAVE_DESGLOSE,$A262)</f>
        <v>0</v>
      </c>
      <c r="BQ262" s="13">
        <f>SUMIFS(SALIDAS_BIT,FECHA_BIT,"&gt;="&amp;BQ$2,FECHA_BIT,"&lt;="&amp;BQ$3,CLAVE_BIT,$A262)+SUMIFS(SALIDAS_BOV1,FECHA_BOV1,"&gt;="&amp;BQ$2,FECHA_BOV1,"&lt;="&amp;BQ$3,CLAVE_BOV1,$A262)+SUMIFS(SALIDAS_BOV2,FECHA_BOV2,"&gt;="&amp;BQ$2,FECHA_BOV2,"&lt;="&amp;BQ$3,CLAVE_BOV2,$A262)+SUMIFS(SALIDAS_BOV3,FECHA_BOV3,"&gt;="&amp;BQ$2,FECHA_BOV3,"&lt;="&amp;BQ$3,CLAVE_BOV3,$A262)+SUMIFS(SALIDAS_TC,FECHA_TC,"&gt;="&amp;BQ$2,FECHA_TC,"&lt;="&amp;BQ$3,CLAVE_TC,$A262)+SUMIFS(SALIDAS_COMB,FECHA_COMB,"&gt;="&amp;BQ$2,FECHA_COMB,"&lt;="&amp;BQ$3,CLAVE_COMB,$A262)+SUMIFS(SALIDAS_DES,FECHA_DESGLOSEN,"&gt;="&amp;BQ$2,FECHA_DESGLOSEN,"&lt;="&amp;BQ$3,CLAVE_DESGLOSE,$A262)</f>
        <v>0</v>
      </c>
      <c r="BR262" s="13">
        <f t="shared" si="436"/>
        <v>0</v>
      </c>
      <c r="BS262" s="68">
        <f t="shared" si="367"/>
        <v>0</v>
      </c>
      <c r="BT262" s="268">
        <f t="shared" si="368"/>
        <v>0</v>
      </c>
      <c r="BU262" s="13">
        <f t="shared" si="369"/>
        <v>0</v>
      </c>
      <c r="BV262" s="13">
        <f t="shared" si="389"/>
        <v>0</v>
      </c>
      <c r="BW262" s="13">
        <f t="shared" si="389"/>
        <v>0</v>
      </c>
      <c r="BX262" s="13">
        <f t="shared" si="389"/>
        <v>0</v>
      </c>
      <c r="BY262" s="13">
        <f t="shared" si="389"/>
        <v>4640</v>
      </c>
      <c r="BZ262" s="13">
        <f t="shared" si="437"/>
        <v>4640</v>
      </c>
      <c r="CA262" s="68">
        <f t="shared" si="370"/>
        <v>-4640</v>
      </c>
      <c r="CB262" s="268">
        <f t="shared" si="371"/>
        <v>0</v>
      </c>
      <c r="CC262" s="13">
        <f t="shared" si="372"/>
        <v>0</v>
      </c>
      <c r="CD262" s="13">
        <f t="shared" si="390"/>
        <v>0</v>
      </c>
      <c r="CE262" s="13">
        <f t="shared" si="390"/>
        <v>4640</v>
      </c>
      <c r="CF262" s="13">
        <f t="shared" si="390"/>
        <v>0</v>
      </c>
      <c r="CG262" s="13">
        <f t="shared" si="390"/>
        <v>0</v>
      </c>
      <c r="CH262" s="13">
        <f t="shared" si="438"/>
        <v>4640</v>
      </c>
      <c r="CI262" s="68">
        <f t="shared" si="373"/>
        <v>-4640</v>
      </c>
      <c r="CJ262" s="268">
        <f t="shared" si="374"/>
        <v>0</v>
      </c>
      <c r="CK262" s="13">
        <f t="shared" si="375"/>
        <v>0</v>
      </c>
      <c r="CL262" s="13">
        <f t="shared" si="400"/>
        <v>0</v>
      </c>
      <c r="CM262" s="13">
        <f t="shared" si="400"/>
        <v>0</v>
      </c>
      <c r="CN262" s="13">
        <f t="shared" si="400"/>
        <v>0</v>
      </c>
      <c r="CO262" s="13">
        <f t="shared" si="400"/>
        <v>0</v>
      </c>
      <c r="CP262" s="13">
        <f t="shared" si="400"/>
        <v>0</v>
      </c>
      <c r="CQ262" s="13">
        <f t="shared" si="439"/>
        <v>0</v>
      </c>
      <c r="CR262" s="68">
        <f t="shared" si="376"/>
        <v>0</v>
      </c>
      <c r="CS262" s="268">
        <f t="shared" si="377"/>
        <v>0</v>
      </c>
      <c r="CT262" s="68">
        <f t="shared" si="350"/>
        <v>0</v>
      </c>
      <c r="CU262" s="13">
        <f>SUMIFS(SALIDAS_BIT,FECHA_BIT,"&gt;="&amp;CU$2,FECHA_BIT,"&lt;="&amp;CU$3,CLAVE_BIT,$A262)+SUMIFS(SALIDAS_BOV1,FECHA_BOV1,"&gt;="&amp;CU$2,FECHA_BOV1,"&lt;="&amp;CU$3,CLAVE_BOV1,$A262)+SUMIFS(SALIDAS_BOV2,FECHA_BOV2,"&gt;="&amp;CU$2,FECHA_BOV2,"&lt;="&amp;CU$3,CLAVE_BOV2,$A262)+SUMIFS(SALIDAS_BOV3,FECHA_BOV3,"&gt;="&amp;CU$2,FECHA_BOV3,"&lt;="&amp;CU$3,CLAVE_BOV3,$A262)+SUMIFS(SALIDAS_TC,FECHA_TC,"&gt;="&amp;CU$2,FECHA_TC,"&lt;="&amp;CU$3,CLAVE_TC,$A262)+SUMIFS(SALIDAS_COMB,FECHA_COMB,"&gt;="&amp;CU$2,FECHA_COMB,"&lt;="&amp;CU$3,CLAVE_COMB,$A262)+SUMIFS(SALIDAS_DES,FECHA_DESGLOSEN,"&gt;="&amp;CU$2,FECHA_DESGLOSEN,"&lt;="&amp;CU$3,CLAVE_DESGLOSE,$A262)</f>
        <v>0</v>
      </c>
      <c r="CV262" s="13">
        <f>SUMIFS(SALIDAS_BIT,FECHA_BIT,"&gt;="&amp;CV$2,FECHA_BIT,"&lt;="&amp;CV$3,CLAVE_BIT,$A262)+SUMIFS(SALIDAS_BOV1,FECHA_BOV1,"&gt;="&amp;CV$2,FECHA_BOV1,"&lt;="&amp;CV$3,CLAVE_BOV1,$A262)+SUMIFS(SALIDAS_BOV2,FECHA_BOV2,"&gt;="&amp;CV$2,FECHA_BOV2,"&lt;="&amp;CV$3,CLAVE_BOV2,$A262)+SUMIFS(SALIDAS_BOV3,FECHA_BOV3,"&gt;="&amp;CV$2,FECHA_BOV3,"&lt;="&amp;CV$3,CLAVE_BOV3,$A262)+SUMIFS(SALIDAS_TC,FECHA_TC,"&gt;="&amp;CV$2,FECHA_TC,"&lt;="&amp;CV$3,CLAVE_TC,$A262)+SUMIFS(SALIDAS_COMB,FECHA_COMB,"&gt;="&amp;CV$2,FECHA_COMB,"&lt;="&amp;CV$3,CLAVE_COMB,$A262)+SUMIFS(SALIDAS_DES,FECHA_DESGLOSEN,"&gt;="&amp;CV$2,FECHA_DESGLOSEN,"&lt;="&amp;CV$3,CLAVE_DESGLOSE,$A262)</f>
        <v>0</v>
      </c>
      <c r="CW262" s="13">
        <f>SUMIFS(SALIDAS_BIT,FECHA_BIT,"&gt;="&amp;CW$2,FECHA_BIT,"&lt;="&amp;CW$3,CLAVE_BIT,$A262)+SUMIFS(SALIDAS_BOV1,FECHA_BOV1,"&gt;="&amp;CW$2,FECHA_BOV1,"&lt;="&amp;CW$3,CLAVE_BOV1,$A262)+SUMIFS(SALIDAS_BOV2,FECHA_BOV2,"&gt;="&amp;CW$2,FECHA_BOV2,"&lt;="&amp;CW$3,CLAVE_BOV2,$A262)+SUMIFS(SALIDAS_BOV3,FECHA_BOV3,"&gt;="&amp;CW$2,FECHA_BOV3,"&lt;="&amp;CW$3,CLAVE_BOV3,$A262)+SUMIFS(SALIDAS_TC,FECHA_TC,"&gt;="&amp;CW$2,FECHA_TC,"&lt;="&amp;CW$3,CLAVE_TC,$A262)+SUMIFS(SALIDAS_COMB,FECHA_COMB,"&gt;="&amp;CW$2,FECHA_COMB,"&lt;="&amp;CW$3,CLAVE_COMB,$A262)+SUMIFS(SALIDAS_DES,FECHA_DESGLOSEN,"&gt;="&amp;CW$2,FECHA_DESGLOSEN,"&lt;="&amp;CW$3,CLAVE_DESGLOSE,$A262)</f>
        <v>2691.2000000000003</v>
      </c>
      <c r="CX262" s="13">
        <f>SUMIFS(SALIDAS_BIT,FECHA_BIT,"&gt;="&amp;CX$2,FECHA_BIT,"&lt;="&amp;CX$3,CLAVE_BIT,$A262)+SUMIFS(SALIDAS_BOV1,FECHA_BOV1,"&gt;="&amp;CX$2,FECHA_BOV1,"&lt;="&amp;CX$3,CLAVE_BOV1,$A262)+SUMIFS(SALIDAS_BOV2,FECHA_BOV2,"&gt;="&amp;CX$2,FECHA_BOV2,"&lt;="&amp;CX$3,CLAVE_BOV2,$A262)+SUMIFS(SALIDAS_BOV3,FECHA_BOV3,"&gt;="&amp;CX$2,FECHA_BOV3,"&lt;="&amp;CX$3,CLAVE_BOV3,$A262)+SUMIFS(SALIDAS_TC,FECHA_TC,"&gt;="&amp;CX$2,FECHA_TC,"&lt;="&amp;CX$3,CLAVE_TC,$A262)+SUMIFS(SALIDAS_COMB,FECHA_COMB,"&gt;="&amp;CX$2,FECHA_COMB,"&lt;="&amp;CX$3,CLAVE_COMB,$A262)+SUMIFS(SALIDAS_DES,FECHA_DESGLOSEN,"&gt;="&amp;CX$2,FECHA_DESGLOSEN,"&lt;="&amp;CX$3,CLAVE_DESGLOSE,$A262)</f>
        <v>0</v>
      </c>
      <c r="CY262" s="13">
        <f>SUMIFS(SALIDAS_BIT,FECHA_BIT,"&gt;="&amp;CY$2,FECHA_BIT,"&lt;="&amp;CY$3,CLAVE_BIT,$A262)+SUMIFS(SALIDAS_BOV1,FECHA_BOV1,"&gt;="&amp;CY$2,FECHA_BOV1,"&lt;="&amp;CY$3,CLAVE_BOV1,$A262)+SUMIFS(SALIDAS_BOV2,FECHA_BOV2,"&gt;="&amp;CY$2,FECHA_BOV2,"&lt;="&amp;CY$3,CLAVE_BOV2,$A262)+SUMIFS(SALIDAS_BOV3,FECHA_BOV3,"&gt;="&amp;CY$2,FECHA_BOV3,"&lt;="&amp;CY$3,CLAVE_BOV3,$A262)+SUMIFS(SALIDAS_TC,FECHA_TC,"&gt;="&amp;CY$2,FECHA_TC,"&lt;="&amp;CY$3,CLAVE_TC,$A262)+SUMIFS(SALIDAS_COMB,FECHA_COMB,"&gt;="&amp;CY$2,FECHA_COMB,"&lt;="&amp;CY$3,CLAVE_COMB,$A262)+SUMIFS(SALIDAS_DES,FECHA_DESGLOSEN,"&gt;="&amp;CY$2,FECHA_DESGLOSEN,"&lt;="&amp;CY$3,CLAVE_DESGLOSE,$A262)</f>
        <v>2691.2000000000003</v>
      </c>
      <c r="CZ262" s="68">
        <f t="shared" si="378"/>
        <v>-2691.2000000000003</v>
      </c>
      <c r="DB262" s="17">
        <f>F262+N262+W262+AE262+AM262+AV262+BD262+BL262+BU262+CC262+CK262</f>
        <v>5920</v>
      </c>
      <c r="DC262" s="17">
        <f>K262+T262+AB262+AJ262+AS262+BA262+BI262+BR262+BZ262+CH262+CQ262</f>
        <v>9280</v>
      </c>
    </row>
    <row r="263" spans="1:107" hidden="1">
      <c r="A263" s="12" t="str">
        <f t="shared" si="351"/>
        <v>FINANZASCUOTAS Y SUSCRIPCIONESREVALIDACION</v>
      </c>
      <c r="B263">
        <v>265</v>
      </c>
      <c r="C263" t="s">
        <v>23</v>
      </c>
      <c r="D263" t="s">
        <v>51</v>
      </c>
      <c r="E263" t="s">
        <v>64</v>
      </c>
      <c r="F263" s="259">
        <f t="shared" ref="F263:F301" si="440">VLOOKUP($A263,T_PRESUPUESTO,MATCH(F$6,E_PRESUPUESTO,0),FALSE)</f>
        <v>66500</v>
      </c>
      <c r="G263" s="13">
        <f t="shared" si="431"/>
        <v>4996</v>
      </c>
      <c r="H263" s="13">
        <f t="shared" si="431"/>
        <v>0</v>
      </c>
      <c r="I263" s="13">
        <f t="shared" si="431"/>
        <v>36640</v>
      </c>
      <c r="J263" s="13">
        <f t="shared" si="431"/>
        <v>10513</v>
      </c>
      <c r="K263" s="13">
        <f t="shared" si="431"/>
        <v>52149</v>
      </c>
      <c r="L263" s="68">
        <f t="shared" si="352"/>
        <v>14351</v>
      </c>
      <c r="M263" s="268">
        <f t="shared" si="353"/>
        <v>0.78419548872180456</v>
      </c>
      <c r="N263" s="13">
        <f t="shared" ref="N263:N301" si="441">VLOOKUP($A263,T_PRESUPUESTO,MATCH(N$6,E_PRESUPUESTO,0),FALSE)</f>
        <v>0</v>
      </c>
      <c r="O263" s="13">
        <f t="shared" si="432"/>
        <v>0</v>
      </c>
      <c r="P263" s="13">
        <f t="shared" si="432"/>
        <v>0</v>
      </c>
      <c r="Q263" s="13">
        <f t="shared" si="432"/>
        <v>0</v>
      </c>
      <c r="R263" s="13">
        <f t="shared" si="432"/>
        <v>0</v>
      </c>
      <c r="S263" s="13">
        <f t="shared" si="432"/>
        <v>0</v>
      </c>
      <c r="T263" s="13">
        <f t="shared" si="432"/>
        <v>0</v>
      </c>
      <c r="U263" s="68">
        <f t="shared" si="354"/>
        <v>0</v>
      </c>
      <c r="V263" s="268">
        <f t="shared" si="355"/>
        <v>0</v>
      </c>
      <c r="W263" s="13">
        <f t="shared" ref="W263:W301" si="442">VLOOKUP($A263,T_PRESUPUESTO,MATCH(W$6,E_PRESUPUESTO,0),FALSE)</f>
        <v>0</v>
      </c>
      <c r="X263" s="13">
        <f t="shared" si="433"/>
        <v>0</v>
      </c>
      <c r="Y263" s="13">
        <f t="shared" si="433"/>
        <v>0</v>
      </c>
      <c r="Z263" s="13">
        <f t="shared" si="433"/>
        <v>0</v>
      </c>
      <c r="AA263" s="13">
        <f t="shared" si="433"/>
        <v>0</v>
      </c>
      <c r="AB263" s="13">
        <f t="shared" si="433"/>
        <v>0</v>
      </c>
      <c r="AC263" s="68">
        <f t="shared" si="356"/>
        <v>0</v>
      </c>
      <c r="AD263" s="268">
        <f t="shared" si="357"/>
        <v>0</v>
      </c>
      <c r="AE263" s="13">
        <f t="shared" ref="AE263:AE301" si="443">VLOOKUP($A263,T_PRESUPUESTO,MATCH(AE$6,E_PRESUPUESTO,0),FALSE)</f>
        <v>0</v>
      </c>
      <c r="AF263" s="13">
        <f t="shared" si="434"/>
        <v>0</v>
      </c>
      <c r="AG263" s="13">
        <f t="shared" si="434"/>
        <v>1761</v>
      </c>
      <c r="AH263" s="13">
        <f t="shared" si="434"/>
        <v>0</v>
      </c>
      <c r="AI263" s="13">
        <f t="shared" si="434"/>
        <v>0</v>
      </c>
      <c r="AJ263" s="13">
        <f t="shared" si="434"/>
        <v>1761</v>
      </c>
      <c r="AK263" s="68">
        <f t="shared" si="358"/>
        <v>-1761</v>
      </c>
      <c r="AL263" s="268">
        <f t="shared" si="359"/>
        <v>0</v>
      </c>
      <c r="AM263" s="13">
        <f t="shared" ref="AM263:AM301" si="444">VLOOKUP($A263,T_PRESUPUESTO,MATCH(AM$6,E_PRESUPUESTO,0),FALSE)</f>
        <v>0</v>
      </c>
      <c r="AN263" s="13">
        <f t="shared" si="435"/>
        <v>0</v>
      </c>
      <c r="AO263" s="13">
        <f t="shared" si="435"/>
        <v>0</v>
      </c>
      <c r="AP263" s="13">
        <f t="shared" si="435"/>
        <v>0</v>
      </c>
      <c r="AQ263" s="13">
        <f t="shared" si="435"/>
        <v>0</v>
      </c>
      <c r="AR263" s="13">
        <f t="shared" si="435"/>
        <v>0</v>
      </c>
      <c r="AS263" s="13">
        <f t="shared" si="435"/>
        <v>0</v>
      </c>
      <c r="AT263" s="68">
        <f>AM263-AS263</f>
        <v>0</v>
      </c>
      <c r="AU263" s="268">
        <f t="shared" si="360"/>
        <v>0</v>
      </c>
      <c r="AV263" s="13">
        <f t="shared" ref="AV263:AV301" si="445">VLOOKUP($A263,T_PRESUPUESTO,MATCH(AV$6,E_PRESUPUESTO,0),FALSE)</f>
        <v>0</v>
      </c>
      <c r="AW263" s="13">
        <f t="shared" si="421"/>
        <v>0</v>
      </c>
      <c r="AX263" s="13">
        <f t="shared" si="421"/>
        <v>0</v>
      </c>
      <c r="AY263" s="13">
        <f t="shared" si="421"/>
        <v>0</v>
      </c>
      <c r="AZ263" s="13">
        <f t="shared" si="421"/>
        <v>0</v>
      </c>
      <c r="BA263" s="13">
        <f t="shared" si="379"/>
        <v>0</v>
      </c>
      <c r="BB263" s="68">
        <f t="shared" si="361"/>
        <v>0</v>
      </c>
      <c r="BC263" s="268">
        <f t="shared" si="362"/>
        <v>0</v>
      </c>
      <c r="BD263" s="13">
        <f t="shared" si="363"/>
        <v>0</v>
      </c>
      <c r="BE263" s="13">
        <f>SUMIFS(SALIDAS_BIT,FECHA_BIT,"&gt;="&amp;BE$2,FECHA_BIT,"&lt;="&amp;BE$3,CLAVE_BIT,$A263)+SUMIFS(SALIDAS_BOV1,FECHA_BOV1,"&gt;="&amp;BE$2,FECHA_BOV1,"&lt;="&amp;BE$3,CLAVE_BOV1,$A263)+SUMIFS(SALIDAS_BOV2,FECHA_BOV2,"&gt;="&amp;BE$2,FECHA_BOV2,"&lt;="&amp;BE$3,CLAVE_BOV2,$A263)+SUMIFS(SALIDAS_BOV3,FECHA_BOV3,"&gt;="&amp;BE$2,FECHA_BOV3,"&lt;="&amp;BE$3,CLAVE_BOV3,$A263)+SUMIFS(SALIDAS_TC,FECHA_TC,"&gt;="&amp;BE$2,FECHA_TC,"&lt;="&amp;BE$3,CLAVE_TC,$A263)+SUMIFS(SALIDAS_COMB,FECHA_COMB,"&gt;="&amp;BE$2,FECHA_COMB,"&lt;="&amp;BE$3,CLAVE_COMB,$A263)+SUMIFS(SALIDAS_DES,FECHA_DESGLOSEN,"&gt;="&amp;BE$2,FECHA_DESGLOSEN,"&lt;="&amp;BE$3,CLAVE_DESGLOSE,$A263)</f>
        <v>0</v>
      </c>
      <c r="BF263" s="13">
        <f>SUMIFS(SALIDAS_BIT,FECHA_BIT,"&gt;="&amp;BF$2,FECHA_BIT,"&lt;="&amp;BF$3,CLAVE_BIT,$A263)+SUMIFS(SALIDAS_BOV1,FECHA_BOV1,"&gt;="&amp;BF$2,FECHA_BOV1,"&lt;="&amp;BF$3,CLAVE_BOV1,$A263)+SUMIFS(SALIDAS_BOV2,FECHA_BOV2,"&gt;="&amp;BF$2,FECHA_BOV2,"&lt;="&amp;BF$3,CLAVE_BOV2,$A263)+SUMIFS(SALIDAS_BOV3,FECHA_BOV3,"&gt;="&amp;BF$2,FECHA_BOV3,"&lt;="&amp;BF$3,CLAVE_BOV3,$A263)+SUMIFS(SALIDAS_TC,FECHA_TC,"&gt;="&amp;BF$2,FECHA_TC,"&lt;="&amp;BF$3,CLAVE_TC,$A263)+SUMIFS(SALIDAS_COMB,FECHA_COMB,"&gt;="&amp;BF$2,FECHA_COMB,"&lt;="&amp;BF$3,CLAVE_COMB,$A263)+SUMIFS(SALIDAS_DES,FECHA_DESGLOSEN,"&gt;="&amp;BF$2,FECHA_DESGLOSEN,"&lt;="&amp;BF$3,CLAVE_DESGLOSE,$A263)</f>
        <v>0</v>
      </c>
      <c r="BG263" s="13">
        <f>SUMIFS(SALIDAS_BIT,FECHA_BIT,"&gt;="&amp;BG$2,FECHA_BIT,"&lt;="&amp;BG$3,CLAVE_BIT,$A263)+SUMIFS(SALIDAS_BOV1,FECHA_BOV1,"&gt;="&amp;BG$2,FECHA_BOV1,"&lt;="&amp;BG$3,CLAVE_BOV1,$A263)+SUMIFS(SALIDAS_BOV2,FECHA_BOV2,"&gt;="&amp;BG$2,FECHA_BOV2,"&lt;="&amp;BG$3,CLAVE_BOV2,$A263)+SUMIFS(SALIDAS_BOV3,FECHA_BOV3,"&gt;="&amp;BG$2,FECHA_BOV3,"&lt;="&amp;BG$3,CLAVE_BOV3,$A263)+SUMIFS(SALIDAS_TC,FECHA_TC,"&gt;="&amp;BG$2,FECHA_TC,"&lt;="&amp;BG$3,CLAVE_TC,$A263)+SUMIFS(SALIDAS_COMB,FECHA_COMB,"&gt;="&amp;BG$2,FECHA_COMB,"&lt;="&amp;BG$3,CLAVE_COMB,$A263)+SUMIFS(SALIDAS_DES,FECHA_DESGLOSEN,"&gt;="&amp;BG$2,FECHA_DESGLOSEN,"&lt;="&amp;BG$3,CLAVE_DESGLOSE,$A263)</f>
        <v>0</v>
      </c>
      <c r="BH263" s="13">
        <f>SUMIFS(SALIDAS_BIT,FECHA_BIT,"&gt;="&amp;BH$2,FECHA_BIT,"&lt;="&amp;BH$3,CLAVE_BIT,$A263)+SUMIFS(SALIDAS_BOV1,FECHA_BOV1,"&gt;="&amp;BH$2,FECHA_BOV1,"&lt;="&amp;BH$3,CLAVE_BOV1,$A263)+SUMIFS(SALIDAS_BOV2,FECHA_BOV2,"&gt;="&amp;BH$2,FECHA_BOV2,"&lt;="&amp;BH$3,CLAVE_BOV2,$A263)+SUMIFS(SALIDAS_BOV3,FECHA_BOV3,"&gt;="&amp;BH$2,FECHA_BOV3,"&lt;="&amp;BH$3,CLAVE_BOV3,$A263)+SUMIFS(SALIDAS_TC,FECHA_TC,"&gt;="&amp;BH$2,FECHA_TC,"&lt;="&amp;BH$3,CLAVE_TC,$A263)+SUMIFS(SALIDAS_COMB,FECHA_COMB,"&gt;="&amp;BH$2,FECHA_COMB,"&lt;="&amp;BH$3,CLAVE_COMB,$A263)+SUMIFS(SALIDAS_DES,FECHA_DESGLOSEN,"&gt;="&amp;BH$2,FECHA_DESGLOSEN,"&lt;="&amp;BH$3,CLAVE_DESGLOSE,$A263)</f>
        <v>0</v>
      </c>
      <c r="BI263" s="13">
        <f t="shared" si="419"/>
        <v>0</v>
      </c>
      <c r="BJ263" s="68">
        <f t="shared" si="364"/>
        <v>0</v>
      </c>
      <c r="BK263" s="268">
        <f t="shared" si="365"/>
        <v>0</v>
      </c>
      <c r="BL263" s="13">
        <f t="shared" si="366"/>
        <v>0</v>
      </c>
      <c r="BM263" s="13">
        <f>SUMIFS(SALIDAS_BIT,FECHA_BIT,"&gt;="&amp;BM$2,FECHA_BIT,"&lt;="&amp;BM$3,CLAVE_BIT,$A263)+SUMIFS(SALIDAS_BOV1,FECHA_BOV1,"&gt;="&amp;BM$2,FECHA_BOV1,"&lt;="&amp;BM$3,CLAVE_BOV1,$A263)+SUMIFS(SALIDAS_BOV2,FECHA_BOV2,"&gt;="&amp;BM$2,FECHA_BOV2,"&lt;="&amp;BM$3,CLAVE_BOV2,$A263)+SUMIFS(SALIDAS_BOV3,FECHA_BOV3,"&gt;="&amp;BM$2,FECHA_BOV3,"&lt;="&amp;BM$3,CLAVE_BOV3,$A263)+SUMIFS(SALIDAS_TC,FECHA_TC,"&gt;="&amp;BM$2,FECHA_TC,"&lt;="&amp;BM$3,CLAVE_TC,$A263)+SUMIFS(SALIDAS_COMB,FECHA_COMB,"&gt;="&amp;BM$2,FECHA_COMB,"&lt;="&amp;BM$3,CLAVE_COMB,$A263)+SUMIFS(SALIDAS_DES,FECHA_DESGLOSEN,"&gt;="&amp;BM$2,FECHA_DESGLOSEN,"&lt;="&amp;BM$3,CLAVE_DESGLOSE,$A263)</f>
        <v>0</v>
      </c>
      <c r="BN263" s="13">
        <f>SUMIFS(SALIDAS_BIT,FECHA_BIT,"&gt;="&amp;BN$2,FECHA_BIT,"&lt;="&amp;BN$3,CLAVE_BIT,$A263)+SUMIFS(SALIDAS_BOV1,FECHA_BOV1,"&gt;="&amp;BN$2,FECHA_BOV1,"&lt;="&amp;BN$3,CLAVE_BOV1,$A263)+SUMIFS(SALIDAS_BOV2,FECHA_BOV2,"&gt;="&amp;BN$2,FECHA_BOV2,"&lt;="&amp;BN$3,CLAVE_BOV2,$A263)+SUMIFS(SALIDAS_BOV3,FECHA_BOV3,"&gt;="&amp;BN$2,FECHA_BOV3,"&lt;="&amp;BN$3,CLAVE_BOV3,$A263)+SUMIFS(SALIDAS_TC,FECHA_TC,"&gt;="&amp;BN$2,FECHA_TC,"&lt;="&amp;BN$3,CLAVE_TC,$A263)+SUMIFS(SALIDAS_COMB,FECHA_COMB,"&gt;="&amp;BN$2,FECHA_COMB,"&lt;="&amp;BN$3,CLAVE_COMB,$A263)+SUMIFS(SALIDAS_DES,FECHA_DESGLOSEN,"&gt;="&amp;BN$2,FECHA_DESGLOSEN,"&lt;="&amp;BN$3,CLAVE_DESGLOSE,$A263)</f>
        <v>0</v>
      </c>
      <c r="BO263" s="13">
        <f>SUMIFS(SALIDAS_BIT,FECHA_BIT,"&gt;="&amp;BO$2,FECHA_BIT,"&lt;="&amp;BO$3,CLAVE_BIT,$A263)+SUMIFS(SALIDAS_BOV1,FECHA_BOV1,"&gt;="&amp;BO$2,FECHA_BOV1,"&lt;="&amp;BO$3,CLAVE_BOV1,$A263)+SUMIFS(SALIDAS_BOV2,FECHA_BOV2,"&gt;="&amp;BO$2,FECHA_BOV2,"&lt;="&amp;BO$3,CLAVE_BOV2,$A263)+SUMIFS(SALIDAS_BOV3,FECHA_BOV3,"&gt;="&amp;BO$2,FECHA_BOV3,"&lt;="&amp;BO$3,CLAVE_BOV3,$A263)+SUMIFS(SALIDAS_TC,FECHA_TC,"&gt;="&amp;BO$2,FECHA_TC,"&lt;="&amp;BO$3,CLAVE_TC,$A263)+SUMIFS(SALIDAS_COMB,FECHA_COMB,"&gt;="&amp;BO$2,FECHA_COMB,"&lt;="&amp;BO$3,CLAVE_COMB,$A263)+SUMIFS(SALIDAS_DES,FECHA_DESGLOSEN,"&gt;="&amp;BO$2,FECHA_DESGLOSEN,"&lt;="&amp;BO$3,CLAVE_DESGLOSE,$A263)</f>
        <v>0</v>
      </c>
      <c r="BP263" s="13">
        <f>SUMIFS(SALIDAS_BIT,FECHA_BIT,"&gt;="&amp;BP$2,FECHA_BIT,"&lt;="&amp;BP$3,CLAVE_BIT,$A263)+SUMIFS(SALIDAS_BOV1,FECHA_BOV1,"&gt;="&amp;BP$2,FECHA_BOV1,"&lt;="&amp;BP$3,CLAVE_BOV1,$A263)+SUMIFS(SALIDAS_BOV2,FECHA_BOV2,"&gt;="&amp;BP$2,FECHA_BOV2,"&lt;="&amp;BP$3,CLAVE_BOV2,$A263)+SUMIFS(SALIDAS_BOV3,FECHA_BOV3,"&gt;="&amp;BP$2,FECHA_BOV3,"&lt;="&amp;BP$3,CLAVE_BOV3,$A263)+SUMIFS(SALIDAS_TC,FECHA_TC,"&gt;="&amp;BP$2,FECHA_TC,"&lt;="&amp;BP$3,CLAVE_TC,$A263)+SUMIFS(SALIDAS_COMB,FECHA_COMB,"&gt;="&amp;BP$2,FECHA_COMB,"&lt;="&amp;BP$3,CLAVE_COMB,$A263)+SUMIFS(SALIDAS_DES,FECHA_DESGLOSEN,"&gt;="&amp;BP$2,FECHA_DESGLOSEN,"&lt;="&amp;BP$3,CLAVE_DESGLOSE,$A263)</f>
        <v>0</v>
      </c>
      <c r="BQ263" s="13">
        <f>SUMIFS(SALIDAS_BIT,FECHA_BIT,"&gt;="&amp;BQ$2,FECHA_BIT,"&lt;="&amp;BQ$3,CLAVE_BIT,$A263)+SUMIFS(SALIDAS_BOV1,FECHA_BOV1,"&gt;="&amp;BQ$2,FECHA_BOV1,"&lt;="&amp;BQ$3,CLAVE_BOV1,$A263)+SUMIFS(SALIDAS_BOV2,FECHA_BOV2,"&gt;="&amp;BQ$2,FECHA_BOV2,"&lt;="&amp;BQ$3,CLAVE_BOV2,$A263)+SUMIFS(SALIDAS_BOV3,FECHA_BOV3,"&gt;="&amp;BQ$2,FECHA_BOV3,"&lt;="&amp;BQ$3,CLAVE_BOV3,$A263)+SUMIFS(SALIDAS_TC,FECHA_TC,"&gt;="&amp;BQ$2,FECHA_TC,"&lt;="&amp;BQ$3,CLAVE_TC,$A263)+SUMIFS(SALIDAS_COMB,FECHA_COMB,"&gt;="&amp;BQ$2,FECHA_COMB,"&lt;="&amp;BQ$3,CLAVE_COMB,$A263)+SUMIFS(SALIDAS_DES,FECHA_DESGLOSEN,"&gt;="&amp;BQ$2,FECHA_DESGLOSEN,"&lt;="&amp;BQ$3,CLAVE_DESGLOSE,$A263)</f>
        <v>0</v>
      </c>
      <c r="BR263" s="13">
        <f t="shared" si="436"/>
        <v>0</v>
      </c>
      <c r="BS263" s="68">
        <f t="shared" si="367"/>
        <v>0</v>
      </c>
      <c r="BT263" s="268">
        <f t="shared" si="368"/>
        <v>0</v>
      </c>
      <c r="BU263" s="13">
        <f t="shared" si="369"/>
        <v>0</v>
      </c>
      <c r="BV263" s="13">
        <f t="shared" si="389"/>
        <v>0</v>
      </c>
      <c r="BW263" s="13">
        <f t="shared" si="389"/>
        <v>0</v>
      </c>
      <c r="BX263" s="13">
        <f t="shared" si="389"/>
        <v>0</v>
      </c>
      <c r="BY263" s="13">
        <f t="shared" si="389"/>
        <v>0</v>
      </c>
      <c r="BZ263" s="13">
        <f t="shared" si="437"/>
        <v>0</v>
      </c>
      <c r="CA263" s="68">
        <f t="shared" si="370"/>
        <v>0</v>
      </c>
      <c r="CB263" s="268">
        <f t="shared" si="371"/>
        <v>0</v>
      </c>
      <c r="CC263" s="13">
        <f t="shared" si="372"/>
        <v>0</v>
      </c>
      <c r="CD263" s="13">
        <f t="shared" si="390"/>
        <v>0</v>
      </c>
      <c r="CE263" s="13">
        <f t="shared" si="390"/>
        <v>0</v>
      </c>
      <c r="CF263" s="13">
        <f t="shared" si="390"/>
        <v>70797</v>
      </c>
      <c r="CG263" s="13">
        <f t="shared" si="390"/>
        <v>0</v>
      </c>
      <c r="CH263" s="13">
        <f t="shared" si="438"/>
        <v>70797</v>
      </c>
      <c r="CI263" s="68">
        <f t="shared" si="373"/>
        <v>-70797</v>
      </c>
      <c r="CJ263" s="268">
        <f t="shared" si="374"/>
        <v>0</v>
      </c>
      <c r="CK263" s="13">
        <f t="shared" si="375"/>
        <v>0</v>
      </c>
      <c r="CL263" s="13">
        <f t="shared" si="400"/>
        <v>0</v>
      </c>
      <c r="CM263" s="13">
        <f t="shared" si="400"/>
        <v>0</v>
      </c>
      <c r="CN263" s="13">
        <f t="shared" si="400"/>
        <v>0</v>
      </c>
      <c r="CO263" s="13">
        <f t="shared" si="400"/>
        <v>0</v>
      </c>
      <c r="CP263" s="13">
        <f t="shared" si="400"/>
        <v>0</v>
      </c>
      <c r="CQ263" s="13">
        <f t="shared" si="439"/>
        <v>0</v>
      </c>
      <c r="CR263" s="68">
        <f t="shared" si="376"/>
        <v>0</v>
      </c>
      <c r="CS263" s="268">
        <f t="shared" si="377"/>
        <v>0</v>
      </c>
      <c r="CT263" s="68">
        <f t="shared" ref="CT263:CT326" si="446">VLOOKUP($A263,T_PRESUPUESTO,MATCH(CT$6,E_PRESUPUESTO,0),FALSE)</f>
        <v>0</v>
      </c>
      <c r="CU263" s="13">
        <f>SUMIFS(SALIDAS_BIT,FECHA_BIT,"&gt;="&amp;CU$2,FECHA_BIT,"&lt;="&amp;CU$3,CLAVE_BIT,$A263)+SUMIFS(SALIDAS_BOV1,FECHA_BOV1,"&gt;="&amp;CU$2,FECHA_BOV1,"&lt;="&amp;CU$3,CLAVE_BOV1,$A263)+SUMIFS(SALIDAS_BOV2,FECHA_BOV2,"&gt;="&amp;CU$2,FECHA_BOV2,"&lt;="&amp;CU$3,CLAVE_BOV2,$A263)+SUMIFS(SALIDAS_BOV3,FECHA_BOV3,"&gt;="&amp;CU$2,FECHA_BOV3,"&lt;="&amp;CU$3,CLAVE_BOV3,$A263)+SUMIFS(SALIDAS_TC,FECHA_TC,"&gt;="&amp;CU$2,FECHA_TC,"&lt;="&amp;CU$3,CLAVE_TC,$A263)+SUMIFS(SALIDAS_COMB,FECHA_COMB,"&gt;="&amp;CU$2,FECHA_COMB,"&lt;="&amp;CU$3,CLAVE_COMB,$A263)+SUMIFS(SALIDAS_DES,FECHA_DESGLOSEN,"&gt;="&amp;CU$2,FECHA_DESGLOSEN,"&lt;="&amp;CU$3,CLAVE_DESGLOSE,$A263)</f>
        <v>0</v>
      </c>
      <c r="CV263" s="13">
        <f>SUMIFS(SALIDAS_BIT,FECHA_BIT,"&gt;="&amp;CV$2,FECHA_BIT,"&lt;="&amp;CV$3,CLAVE_BIT,$A263)+SUMIFS(SALIDAS_BOV1,FECHA_BOV1,"&gt;="&amp;CV$2,FECHA_BOV1,"&lt;="&amp;CV$3,CLAVE_BOV1,$A263)+SUMIFS(SALIDAS_BOV2,FECHA_BOV2,"&gt;="&amp;CV$2,FECHA_BOV2,"&lt;="&amp;CV$3,CLAVE_BOV2,$A263)+SUMIFS(SALIDAS_BOV3,FECHA_BOV3,"&gt;="&amp;CV$2,FECHA_BOV3,"&lt;="&amp;CV$3,CLAVE_BOV3,$A263)+SUMIFS(SALIDAS_TC,FECHA_TC,"&gt;="&amp;CV$2,FECHA_TC,"&lt;="&amp;CV$3,CLAVE_TC,$A263)+SUMIFS(SALIDAS_COMB,FECHA_COMB,"&gt;="&amp;CV$2,FECHA_COMB,"&lt;="&amp;CV$3,CLAVE_COMB,$A263)+SUMIFS(SALIDAS_DES,FECHA_DESGLOSEN,"&gt;="&amp;CV$2,FECHA_DESGLOSEN,"&lt;="&amp;CV$3,CLAVE_DESGLOSE,$A263)</f>
        <v>0</v>
      </c>
      <c r="CW263" s="13">
        <f>SUMIFS(SALIDAS_BIT,FECHA_BIT,"&gt;="&amp;CW$2,FECHA_BIT,"&lt;="&amp;CW$3,CLAVE_BIT,$A263)+SUMIFS(SALIDAS_BOV1,FECHA_BOV1,"&gt;="&amp;CW$2,FECHA_BOV1,"&lt;="&amp;CW$3,CLAVE_BOV1,$A263)+SUMIFS(SALIDAS_BOV2,FECHA_BOV2,"&gt;="&amp;CW$2,FECHA_BOV2,"&lt;="&amp;CW$3,CLAVE_BOV2,$A263)+SUMIFS(SALIDAS_BOV3,FECHA_BOV3,"&gt;="&amp;CW$2,FECHA_BOV3,"&lt;="&amp;CW$3,CLAVE_BOV3,$A263)+SUMIFS(SALIDAS_TC,FECHA_TC,"&gt;="&amp;CW$2,FECHA_TC,"&lt;="&amp;CW$3,CLAVE_TC,$A263)+SUMIFS(SALIDAS_COMB,FECHA_COMB,"&gt;="&amp;CW$2,FECHA_COMB,"&lt;="&amp;CW$3,CLAVE_COMB,$A263)+SUMIFS(SALIDAS_DES,FECHA_DESGLOSEN,"&gt;="&amp;CW$2,FECHA_DESGLOSEN,"&lt;="&amp;CW$3,CLAVE_DESGLOSE,$A263)</f>
        <v>0</v>
      </c>
      <c r="CX263" s="13">
        <f>SUMIFS(SALIDAS_BIT,FECHA_BIT,"&gt;="&amp;CX$2,FECHA_BIT,"&lt;="&amp;CX$3,CLAVE_BIT,$A263)+SUMIFS(SALIDAS_BOV1,FECHA_BOV1,"&gt;="&amp;CX$2,FECHA_BOV1,"&lt;="&amp;CX$3,CLAVE_BOV1,$A263)+SUMIFS(SALIDAS_BOV2,FECHA_BOV2,"&gt;="&amp;CX$2,FECHA_BOV2,"&lt;="&amp;CX$3,CLAVE_BOV2,$A263)+SUMIFS(SALIDAS_BOV3,FECHA_BOV3,"&gt;="&amp;CX$2,FECHA_BOV3,"&lt;="&amp;CX$3,CLAVE_BOV3,$A263)+SUMIFS(SALIDAS_TC,FECHA_TC,"&gt;="&amp;CX$2,FECHA_TC,"&lt;="&amp;CX$3,CLAVE_TC,$A263)+SUMIFS(SALIDAS_COMB,FECHA_COMB,"&gt;="&amp;CX$2,FECHA_COMB,"&lt;="&amp;CX$3,CLAVE_COMB,$A263)+SUMIFS(SALIDAS_DES,FECHA_DESGLOSEN,"&gt;="&amp;CX$2,FECHA_DESGLOSEN,"&lt;="&amp;CX$3,CLAVE_DESGLOSE,$A263)</f>
        <v>0</v>
      </c>
      <c r="CY263" s="13">
        <f>SUMIFS(SALIDAS_BIT,FECHA_BIT,"&gt;="&amp;CY$2,FECHA_BIT,"&lt;="&amp;CY$3,CLAVE_BIT,$A263)+SUMIFS(SALIDAS_BOV1,FECHA_BOV1,"&gt;="&amp;CY$2,FECHA_BOV1,"&lt;="&amp;CY$3,CLAVE_BOV1,$A263)+SUMIFS(SALIDAS_BOV2,FECHA_BOV2,"&gt;="&amp;CY$2,FECHA_BOV2,"&lt;="&amp;CY$3,CLAVE_BOV2,$A263)+SUMIFS(SALIDAS_BOV3,FECHA_BOV3,"&gt;="&amp;CY$2,FECHA_BOV3,"&lt;="&amp;CY$3,CLAVE_BOV3,$A263)+SUMIFS(SALIDAS_TC,FECHA_TC,"&gt;="&amp;CY$2,FECHA_TC,"&lt;="&amp;CY$3,CLAVE_TC,$A263)+SUMIFS(SALIDAS_COMB,FECHA_COMB,"&gt;="&amp;CY$2,FECHA_COMB,"&lt;="&amp;CY$3,CLAVE_COMB,$A263)+SUMIFS(SALIDAS_DES,FECHA_DESGLOSEN,"&gt;="&amp;CY$2,FECHA_DESGLOSEN,"&lt;="&amp;CY$3,CLAVE_DESGLOSE,$A263)</f>
        <v>0</v>
      </c>
      <c r="CZ263" s="68">
        <f t="shared" si="378"/>
        <v>0</v>
      </c>
      <c r="DB263" s="17">
        <f>F263+N263+W263+AE263+AM263+AV263+BD263+BL263+BU263+CC263+CK263</f>
        <v>66500</v>
      </c>
      <c r="DC263" s="17">
        <f>K263+T263+AB263+AJ263+AS263+BA263+BI263+BR263+BZ263+CH263+CQ263</f>
        <v>124707</v>
      </c>
    </row>
    <row r="264" spans="1:107" hidden="1">
      <c r="A264" s="12" t="str">
        <f t="shared" ref="A264:A298" si="447">C264&amp;D264&amp;E264</f>
        <v>FINANZASCUOTAS Y SUSCRIPCIONESACTAS</v>
      </c>
      <c r="B264">
        <v>266</v>
      </c>
      <c r="C264" t="s">
        <v>23</v>
      </c>
      <c r="D264" t="s">
        <v>51</v>
      </c>
      <c r="E264" t="s">
        <v>65</v>
      </c>
      <c r="F264" s="259">
        <f t="shared" si="440"/>
        <v>11514</v>
      </c>
      <c r="G264" s="13">
        <f t="shared" si="431"/>
        <v>0</v>
      </c>
      <c r="H264" s="13">
        <f t="shared" si="431"/>
        <v>0</v>
      </c>
      <c r="I264" s="13">
        <f t="shared" si="431"/>
        <v>0</v>
      </c>
      <c r="J264" s="13">
        <f t="shared" si="431"/>
        <v>0</v>
      </c>
      <c r="K264" s="13">
        <f t="shared" si="431"/>
        <v>0</v>
      </c>
      <c r="L264" s="68">
        <f t="shared" ref="L264:L293" si="448">F264-K264</f>
        <v>11514</v>
      </c>
      <c r="M264" s="268">
        <f t="shared" ref="M264:M309" si="449">IFERROR((K264/F264),0)</f>
        <v>0</v>
      </c>
      <c r="N264" s="13">
        <f t="shared" si="441"/>
        <v>0</v>
      </c>
      <c r="O264" s="13">
        <f t="shared" si="432"/>
        <v>0</v>
      </c>
      <c r="P264" s="13">
        <f t="shared" si="432"/>
        <v>0</v>
      </c>
      <c r="Q264" s="13">
        <f t="shared" si="432"/>
        <v>0</v>
      </c>
      <c r="R264" s="13">
        <f t="shared" si="432"/>
        <v>9800</v>
      </c>
      <c r="S264" s="13">
        <f t="shared" si="432"/>
        <v>0</v>
      </c>
      <c r="T264" s="13">
        <f t="shared" si="432"/>
        <v>9800</v>
      </c>
      <c r="U264" s="68">
        <f t="shared" ref="U264:U305" si="450">N264-T264</f>
        <v>-9800</v>
      </c>
      <c r="V264" s="268">
        <f t="shared" ref="V264:V309" si="451">IFERROR((T264/N264),0)</f>
        <v>0</v>
      </c>
      <c r="W264" s="13">
        <f t="shared" si="442"/>
        <v>0</v>
      </c>
      <c r="X264" s="13">
        <f t="shared" si="433"/>
        <v>0</v>
      </c>
      <c r="Y264" s="13">
        <f t="shared" si="433"/>
        <v>0</v>
      </c>
      <c r="Z264" s="13">
        <f t="shared" si="433"/>
        <v>300</v>
      </c>
      <c r="AA264" s="13">
        <f t="shared" si="433"/>
        <v>0</v>
      </c>
      <c r="AB264" s="13">
        <f t="shared" si="433"/>
        <v>300</v>
      </c>
      <c r="AC264" s="68">
        <f t="shared" ref="AC264:AC293" si="452">W264-AB264</f>
        <v>-300</v>
      </c>
      <c r="AD264" s="268">
        <f t="shared" ref="AD264:AD309" si="453">IFERROR((AB264/W264),0)</f>
        <v>0</v>
      </c>
      <c r="AE264" s="13">
        <f t="shared" si="443"/>
        <v>0</v>
      </c>
      <c r="AF264" s="13">
        <f t="shared" si="434"/>
        <v>0</v>
      </c>
      <c r="AG264" s="13">
        <f t="shared" si="434"/>
        <v>0</v>
      </c>
      <c r="AH264" s="13">
        <f t="shared" si="434"/>
        <v>0</v>
      </c>
      <c r="AI264" s="13">
        <f t="shared" si="434"/>
        <v>0</v>
      </c>
      <c r="AJ264" s="13">
        <f t="shared" si="434"/>
        <v>0</v>
      </c>
      <c r="AK264" s="68">
        <f t="shared" ref="AK264:AK293" si="454">AE264-AJ264</f>
        <v>0</v>
      </c>
      <c r="AL264" s="268">
        <f t="shared" ref="AL264:AL309" si="455">IFERROR((AJ264/AE264),0)</f>
        <v>0</v>
      </c>
      <c r="AM264" s="13">
        <f t="shared" si="444"/>
        <v>0</v>
      </c>
      <c r="AN264" s="13">
        <f t="shared" si="435"/>
        <v>0</v>
      </c>
      <c r="AO264" s="13">
        <f t="shared" si="435"/>
        <v>0</v>
      </c>
      <c r="AP264" s="13">
        <f t="shared" si="435"/>
        <v>0</v>
      </c>
      <c r="AQ264" s="13">
        <f t="shared" si="435"/>
        <v>0</v>
      </c>
      <c r="AR264" s="13">
        <f t="shared" si="435"/>
        <v>0</v>
      </c>
      <c r="AS264" s="13">
        <f t="shared" si="435"/>
        <v>0</v>
      </c>
      <c r="AT264" s="68">
        <f>AM264-AS264</f>
        <v>0</v>
      </c>
      <c r="AU264" s="268">
        <f t="shared" ref="AU264:AU309" si="456">IFERROR((AS264/AM264),0)</f>
        <v>0</v>
      </c>
      <c r="AV264" s="13">
        <f t="shared" si="445"/>
        <v>0</v>
      </c>
      <c r="AW264" s="13">
        <f t="shared" si="421"/>
        <v>0</v>
      </c>
      <c r="AX264" s="13">
        <f t="shared" si="421"/>
        <v>0</v>
      </c>
      <c r="AY264" s="13">
        <f t="shared" si="421"/>
        <v>0</v>
      </c>
      <c r="AZ264" s="13">
        <f t="shared" si="421"/>
        <v>0</v>
      </c>
      <c r="BA264" s="13">
        <f t="shared" si="379"/>
        <v>0</v>
      </c>
      <c r="BB264" s="68">
        <f t="shared" ref="BB264:BB293" si="457">AV264-BA264</f>
        <v>0</v>
      </c>
      <c r="BC264" s="268">
        <f t="shared" ref="BC264:BC309" si="458">IFERROR((BA264/AV264),0)</f>
        <v>0</v>
      </c>
      <c r="BD264" s="13">
        <f t="shared" ref="BD264:BD301" si="459">VLOOKUP($A264,T_PRESUPUESTO,MATCH(BD$6,E_PRESUPUESTO,0),FALSE)</f>
        <v>0</v>
      </c>
      <c r="BE264" s="13">
        <f>SUMIFS(SALIDAS_BIT,FECHA_BIT,"&gt;="&amp;BE$2,FECHA_BIT,"&lt;="&amp;BE$3,CLAVE_BIT,$A264)+SUMIFS(SALIDAS_BOV1,FECHA_BOV1,"&gt;="&amp;BE$2,FECHA_BOV1,"&lt;="&amp;BE$3,CLAVE_BOV1,$A264)+SUMIFS(SALIDAS_BOV2,FECHA_BOV2,"&gt;="&amp;BE$2,FECHA_BOV2,"&lt;="&amp;BE$3,CLAVE_BOV2,$A264)+SUMIFS(SALIDAS_BOV3,FECHA_BOV3,"&gt;="&amp;BE$2,FECHA_BOV3,"&lt;="&amp;BE$3,CLAVE_BOV3,$A264)+SUMIFS(SALIDAS_TC,FECHA_TC,"&gt;="&amp;BE$2,FECHA_TC,"&lt;="&amp;BE$3,CLAVE_TC,$A264)+SUMIFS(SALIDAS_COMB,FECHA_COMB,"&gt;="&amp;BE$2,FECHA_COMB,"&lt;="&amp;BE$3,CLAVE_COMB,$A264)+SUMIFS(SALIDAS_DES,FECHA_DESGLOSEN,"&gt;="&amp;BE$2,FECHA_DESGLOSEN,"&lt;="&amp;BE$3,CLAVE_DESGLOSE,$A264)</f>
        <v>0</v>
      </c>
      <c r="BF264" s="13">
        <f>SUMIFS(SALIDAS_BIT,FECHA_BIT,"&gt;="&amp;BF$2,FECHA_BIT,"&lt;="&amp;BF$3,CLAVE_BIT,$A264)+SUMIFS(SALIDAS_BOV1,FECHA_BOV1,"&gt;="&amp;BF$2,FECHA_BOV1,"&lt;="&amp;BF$3,CLAVE_BOV1,$A264)+SUMIFS(SALIDAS_BOV2,FECHA_BOV2,"&gt;="&amp;BF$2,FECHA_BOV2,"&lt;="&amp;BF$3,CLAVE_BOV2,$A264)+SUMIFS(SALIDAS_BOV3,FECHA_BOV3,"&gt;="&amp;BF$2,FECHA_BOV3,"&lt;="&amp;BF$3,CLAVE_BOV3,$A264)+SUMIFS(SALIDAS_TC,FECHA_TC,"&gt;="&amp;BF$2,FECHA_TC,"&lt;="&amp;BF$3,CLAVE_TC,$A264)+SUMIFS(SALIDAS_COMB,FECHA_COMB,"&gt;="&amp;BF$2,FECHA_COMB,"&lt;="&amp;BF$3,CLAVE_COMB,$A264)+SUMIFS(SALIDAS_DES,FECHA_DESGLOSEN,"&gt;="&amp;BF$2,FECHA_DESGLOSEN,"&lt;="&amp;BF$3,CLAVE_DESGLOSE,$A264)</f>
        <v>0</v>
      </c>
      <c r="BG264" s="13">
        <f>SUMIFS(SALIDAS_BIT,FECHA_BIT,"&gt;="&amp;BG$2,FECHA_BIT,"&lt;="&amp;BG$3,CLAVE_BIT,$A264)+SUMIFS(SALIDAS_BOV1,FECHA_BOV1,"&gt;="&amp;BG$2,FECHA_BOV1,"&lt;="&amp;BG$3,CLAVE_BOV1,$A264)+SUMIFS(SALIDAS_BOV2,FECHA_BOV2,"&gt;="&amp;BG$2,FECHA_BOV2,"&lt;="&amp;BG$3,CLAVE_BOV2,$A264)+SUMIFS(SALIDAS_BOV3,FECHA_BOV3,"&gt;="&amp;BG$2,FECHA_BOV3,"&lt;="&amp;BG$3,CLAVE_BOV3,$A264)+SUMIFS(SALIDAS_TC,FECHA_TC,"&gt;="&amp;BG$2,FECHA_TC,"&lt;="&amp;BG$3,CLAVE_TC,$A264)+SUMIFS(SALIDAS_COMB,FECHA_COMB,"&gt;="&amp;BG$2,FECHA_COMB,"&lt;="&amp;BG$3,CLAVE_COMB,$A264)+SUMIFS(SALIDAS_DES,FECHA_DESGLOSEN,"&gt;="&amp;BG$2,FECHA_DESGLOSEN,"&lt;="&amp;BG$3,CLAVE_DESGLOSE,$A264)</f>
        <v>0</v>
      </c>
      <c r="BH264" s="13">
        <f>SUMIFS(SALIDAS_BIT,FECHA_BIT,"&gt;="&amp;BH$2,FECHA_BIT,"&lt;="&amp;BH$3,CLAVE_BIT,$A264)+SUMIFS(SALIDAS_BOV1,FECHA_BOV1,"&gt;="&amp;BH$2,FECHA_BOV1,"&lt;="&amp;BH$3,CLAVE_BOV1,$A264)+SUMIFS(SALIDAS_BOV2,FECHA_BOV2,"&gt;="&amp;BH$2,FECHA_BOV2,"&lt;="&amp;BH$3,CLAVE_BOV2,$A264)+SUMIFS(SALIDAS_BOV3,FECHA_BOV3,"&gt;="&amp;BH$2,FECHA_BOV3,"&lt;="&amp;BH$3,CLAVE_BOV3,$A264)+SUMIFS(SALIDAS_TC,FECHA_TC,"&gt;="&amp;BH$2,FECHA_TC,"&lt;="&amp;BH$3,CLAVE_TC,$A264)+SUMIFS(SALIDAS_COMB,FECHA_COMB,"&gt;="&amp;BH$2,FECHA_COMB,"&lt;="&amp;BH$3,CLAVE_COMB,$A264)+SUMIFS(SALIDAS_DES,FECHA_DESGLOSEN,"&gt;="&amp;BH$2,FECHA_DESGLOSEN,"&lt;="&amp;BH$3,CLAVE_DESGLOSE,$A264)</f>
        <v>0</v>
      </c>
      <c r="BI264" s="13">
        <f t="shared" si="419"/>
        <v>0</v>
      </c>
      <c r="BJ264" s="68">
        <f t="shared" ref="BJ264:BJ293" si="460">BD264-BI264</f>
        <v>0</v>
      </c>
      <c r="BK264" s="268">
        <f t="shared" ref="BK264:BK309" si="461">IFERROR((BI264/BD264),0)</f>
        <v>0</v>
      </c>
      <c r="BL264" s="13">
        <f t="shared" ref="BL264:BL301" si="462">VLOOKUP($A264,T_PRESUPUESTO,MATCH(BL$6,E_PRESUPUESTO,0),FALSE)</f>
        <v>0</v>
      </c>
      <c r="BM264" s="13">
        <f>SUMIFS(SALIDAS_BIT,FECHA_BIT,"&gt;="&amp;BM$2,FECHA_BIT,"&lt;="&amp;BM$3,CLAVE_BIT,$A264)+SUMIFS(SALIDAS_BOV1,FECHA_BOV1,"&gt;="&amp;BM$2,FECHA_BOV1,"&lt;="&amp;BM$3,CLAVE_BOV1,$A264)+SUMIFS(SALIDAS_BOV2,FECHA_BOV2,"&gt;="&amp;BM$2,FECHA_BOV2,"&lt;="&amp;BM$3,CLAVE_BOV2,$A264)+SUMIFS(SALIDAS_BOV3,FECHA_BOV3,"&gt;="&amp;BM$2,FECHA_BOV3,"&lt;="&amp;BM$3,CLAVE_BOV3,$A264)+SUMIFS(SALIDAS_TC,FECHA_TC,"&gt;="&amp;BM$2,FECHA_TC,"&lt;="&amp;BM$3,CLAVE_TC,$A264)+SUMIFS(SALIDAS_COMB,FECHA_COMB,"&gt;="&amp;BM$2,FECHA_COMB,"&lt;="&amp;BM$3,CLAVE_COMB,$A264)+SUMIFS(SALIDAS_DES,FECHA_DESGLOSEN,"&gt;="&amp;BM$2,FECHA_DESGLOSEN,"&lt;="&amp;BM$3,CLAVE_DESGLOSE,$A264)</f>
        <v>0</v>
      </c>
      <c r="BN264" s="13">
        <f>SUMIFS(SALIDAS_BIT,FECHA_BIT,"&gt;="&amp;BN$2,FECHA_BIT,"&lt;="&amp;BN$3,CLAVE_BIT,$A264)+SUMIFS(SALIDAS_BOV1,FECHA_BOV1,"&gt;="&amp;BN$2,FECHA_BOV1,"&lt;="&amp;BN$3,CLAVE_BOV1,$A264)+SUMIFS(SALIDAS_BOV2,FECHA_BOV2,"&gt;="&amp;BN$2,FECHA_BOV2,"&lt;="&amp;BN$3,CLAVE_BOV2,$A264)+SUMIFS(SALIDAS_BOV3,FECHA_BOV3,"&gt;="&amp;BN$2,FECHA_BOV3,"&lt;="&amp;BN$3,CLAVE_BOV3,$A264)+SUMIFS(SALIDAS_TC,FECHA_TC,"&gt;="&amp;BN$2,FECHA_TC,"&lt;="&amp;BN$3,CLAVE_TC,$A264)+SUMIFS(SALIDAS_COMB,FECHA_COMB,"&gt;="&amp;BN$2,FECHA_COMB,"&lt;="&amp;BN$3,CLAVE_COMB,$A264)+SUMIFS(SALIDAS_DES,FECHA_DESGLOSEN,"&gt;="&amp;BN$2,FECHA_DESGLOSEN,"&lt;="&amp;BN$3,CLAVE_DESGLOSE,$A264)</f>
        <v>0</v>
      </c>
      <c r="BO264" s="13">
        <f>SUMIFS(SALIDAS_BIT,FECHA_BIT,"&gt;="&amp;BO$2,FECHA_BIT,"&lt;="&amp;BO$3,CLAVE_BIT,$A264)+SUMIFS(SALIDAS_BOV1,FECHA_BOV1,"&gt;="&amp;BO$2,FECHA_BOV1,"&lt;="&amp;BO$3,CLAVE_BOV1,$A264)+SUMIFS(SALIDAS_BOV2,FECHA_BOV2,"&gt;="&amp;BO$2,FECHA_BOV2,"&lt;="&amp;BO$3,CLAVE_BOV2,$A264)+SUMIFS(SALIDAS_BOV3,FECHA_BOV3,"&gt;="&amp;BO$2,FECHA_BOV3,"&lt;="&amp;BO$3,CLAVE_BOV3,$A264)+SUMIFS(SALIDAS_TC,FECHA_TC,"&gt;="&amp;BO$2,FECHA_TC,"&lt;="&amp;BO$3,CLAVE_TC,$A264)+SUMIFS(SALIDAS_COMB,FECHA_COMB,"&gt;="&amp;BO$2,FECHA_COMB,"&lt;="&amp;BO$3,CLAVE_COMB,$A264)+SUMIFS(SALIDAS_DES,FECHA_DESGLOSEN,"&gt;="&amp;BO$2,FECHA_DESGLOSEN,"&lt;="&amp;BO$3,CLAVE_DESGLOSE,$A264)</f>
        <v>0</v>
      </c>
      <c r="BP264" s="13">
        <f>SUMIFS(SALIDAS_BIT,FECHA_BIT,"&gt;="&amp;BP$2,FECHA_BIT,"&lt;="&amp;BP$3,CLAVE_BIT,$A264)+SUMIFS(SALIDAS_BOV1,FECHA_BOV1,"&gt;="&amp;BP$2,FECHA_BOV1,"&lt;="&amp;BP$3,CLAVE_BOV1,$A264)+SUMIFS(SALIDAS_BOV2,FECHA_BOV2,"&gt;="&amp;BP$2,FECHA_BOV2,"&lt;="&amp;BP$3,CLAVE_BOV2,$A264)+SUMIFS(SALIDAS_BOV3,FECHA_BOV3,"&gt;="&amp;BP$2,FECHA_BOV3,"&lt;="&amp;BP$3,CLAVE_BOV3,$A264)+SUMIFS(SALIDAS_TC,FECHA_TC,"&gt;="&amp;BP$2,FECHA_TC,"&lt;="&amp;BP$3,CLAVE_TC,$A264)+SUMIFS(SALIDAS_COMB,FECHA_COMB,"&gt;="&amp;BP$2,FECHA_COMB,"&lt;="&amp;BP$3,CLAVE_COMB,$A264)+SUMIFS(SALIDAS_DES,FECHA_DESGLOSEN,"&gt;="&amp;BP$2,FECHA_DESGLOSEN,"&lt;="&amp;BP$3,CLAVE_DESGLOSE,$A264)</f>
        <v>0</v>
      </c>
      <c r="BQ264" s="13">
        <f>SUMIFS(SALIDAS_BIT,FECHA_BIT,"&gt;="&amp;BQ$2,FECHA_BIT,"&lt;="&amp;BQ$3,CLAVE_BIT,$A264)+SUMIFS(SALIDAS_BOV1,FECHA_BOV1,"&gt;="&amp;BQ$2,FECHA_BOV1,"&lt;="&amp;BQ$3,CLAVE_BOV1,$A264)+SUMIFS(SALIDAS_BOV2,FECHA_BOV2,"&gt;="&amp;BQ$2,FECHA_BOV2,"&lt;="&amp;BQ$3,CLAVE_BOV2,$A264)+SUMIFS(SALIDAS_BOV3,FECHA_BOV3,"&gt;="&amp;BQ$2,FECHA_BOV3,"&lt;="&amp;BQ$3,CLAVE_BOV3,$A264)+SUMIFS(SALIDAS_TC,FECHA_TC,"&gt;="&amp;BQ$2,FECHA_TC,"&lt;="&amp;BQ$3,CLAVE_TC,$A264)+SUMIFS(SALIDAS_COMB,FECHA_COMB,"&gt;="&amp;BQ$2,FECHA_COMB,"&lt;="&amp;BQ$3,CLAVE_COMB,$A264)+SUMIFS(SALIDAS_DES,FECHA_DESGLOSEN,"&gt;="&amp;BQ$2,FECHA_DESGLOSEN,"&lt;="&amp;BQ$3,CLAVE_DESGLOSE,$A264)</f>
        <v>0</v>
      </c>
      <c r="BR264" s="13">
        <f t="shared" si="436"/>
        <v>0</v>
      </c>
      <c r="BS264" s="68">
        <f t="shared" ref="BS264:BS293" si="463">BL264-BR264</f>
        <v>0</v>
      </c>
      <c r="BT264" s="268">
        <f t="shared" ref="BT264:BT309" si="464">IFERROR((BR264/BL264),0)</f>
        <v>0</v>
      </c>
      <c r="BU264" s="13">
        <f t="shared" ref="BU264:BU301" si="465">VLOOKUP($A264,T_PRESUPUESTO,MATCH(BU$6,E_PRESUPUESTO,0),FALSE)</f>
        <v>0</v>
      </c>
      <c r="BV264" s="13">
        <f t="shared" si="389"/>
        <v>0</v>
      </c>
      <c r="BW264" s="13">
        <f t="shared" si="389"/>
        <v>0</v>
      </c>
      <c r="BX264" s="13">
        <f t="shared" si="389"/>
        <v>0</v>
      </c>
      <c r="BY264" s="13">
        <f t="shared" si="389"/>
        <v>0</v>
      </c>
      <c r="BZ264" s="13">
        <f t="shared" si="437"/>
        <v>0</v>
      </c>
      <c r="CA264" s="68">
        <f t="shared" ref="CA264:CA293" si="466">BU264-BZ264</f>
        <v>0</v>
      </c>
      <c r="CB264" s="268">
        <f t="shared" ref="CB264:CB309" si="467">IFERROR((BZ264/BU264),0)</f>
        <v>0</v>
      </c>
      <c r="CC264" s="13">
        <f t="shared" ref="CC264:CC301" si="468">VLOOKUP($A264,T_PRESUPUESTO,MATCH(CC$6,E_PRESUPUESTO,0),FALSE)</f>
        <v>0</v>
      </c>
      <c r="CD264" s="13">
        <f t="shared" si="390"/>
        <v>0</v>
      </c>
      <c r="CE264" s="13">
        <f t="shared" si="390"/>
        <v>0</v>
      </c>
      <c r="CF264" s="13">
        <f t="shared" si="390"/>
        <v>0</v>
      </c>
      <c r="CG264" s="13">
        <f t="shared" si="390"/>
        <v>0</v>
      </c>
      <c r="CH264" s="13">
        <f t="shared" si="438"/>
        <v>0</v>
      </c>
      <c r="CI264" s="68">
        <f t="shared" ref="CI264:CI293" si="469">CC264-CH264</f>
        <v>0</v>
      </c>
      <c r="CJ264" s="268">
        <f t="shared" ref="CJ264:CJ309" si="470">IFERROR((CH264/CC264),0)</f>
        <v>0</v>
      </c>
      <c r="CK264" s="13">
        <f t="shared" ref="CK264:CK301" si="471">VLOOKUP($A264,T_PRESUPUESTO,MATCH(CK$6,E_PRESUPUESTO,0),FALSE)</f>
        <v>0</v>
      </c>
      <c r="CL264" s="13">
        <f t="shared" si="400"/>
        <v>0</v>
      </c>
      <c r="CM264" s="13">
        <f t="shared" si="400"/>
        <v>0</v>
      </c>
      <c r="CN264" s="13">
        <f t="shared" si="400"/>
        <v>0</v>
      </c>
      <c r="CO264" s="13">
        <f t="shared" si="400"/>
        <v>0</v>
      </c>
      <c r="CP264" s="13">
        <f t="shared" si="400"/>
        <v>0</v>
      </c>
      <c r="CQ264" s="13">
        <f t="shared" si="439"/>
        <v>0</v>
      </c>
      <c r="CR264" s="68">
        <f t="shared" ref="CR264:CR293" si="472">CK264-CQ264</f>
        <v>0</v>
      </c>
      <c r="CS264" s="268">
        <f t="shared" ref="CS264:CS309" si="473">IFERROR((CQ264/CK264),0)</f>
        <v>0</v>
      </c>
      <c r="CT264" s="68">
        <f t="shared" si="446"/>
        <v>0</v>
      </c>
      <c r="CU264" s="13">
        <f>SUMIFS(SALIDAS_BIT,FECHA_BIT,"&gt;="&amp;CU$2,FECHA_BIT,"&lt;="&amp;CU$3,CLAVE_BIT,$A264)+SUMIFS(SALIDAS_BOV1,FECHA_BOV1,"&gt;="&amp;CU$2,FECHA_BOV1,"&lt;="&amp;CU$3,CLAVE_BOV1,$A264)+SUMIFS(SALIDAS_BOV2,FECHA_BOV2,"&gt;="&amp;CU$2,FECHA_BOV2,"&lt;="&amp;CU$3,CLAVE_BOV2,$A264)+SUMIFS(SALIDAS_BOV3,FECHA_BOV3,"&gt;="&amp;CU$2,FECHA_BOV3,"&lt;="&amp;CU$3,CLAVE_BOV3,$A264)+SUMIFS(SALIDAS_TC,FECHA_TC,"&gt;="&amp;CU$2,FECHA_TC,"&lt;="&amp;CU$3,CLAVE_TC,$A264)+SUMIFS(SALIDAS_COMB,FECHA_COMB,"&gt;="&amp;CU$2,FECHA_COMB,"&lt;="&amp;CU$3,CLAVE_COMB,$A264)+SUMIFS(SALIDAS_DES,FECHA_DESGLOSEN,"&gt;="&amp;CU$2,FECHA_DESGLOSEN,"&lt;="&amp;CU$3,CLAVE_DESGLOSE,$A264)</f>
        <v>0</v>
      </c>
      <c r="CV264" s="13">
        <f>SUMIFS(SALIDAS_BIT,FECHA_BIT,"&gt;="&amp;CV$2,FECHA_BIT,"&lt;="&amp;CV$3,CLAVE_BIT,$A264)+SUMIFS(SALIDAS_BOV1,FECHA_BOV1,"&gt;="&amp;CV$2,FECHA_BOV1,"&lt;="&amp;CV$3,CLAVE_BOV1,$A264)+SUMIFS(SALIDAS_BOV2,FECHA_BOV2,"&gt;="&amp;CV$2,FECHA_BOV2,"&lt;="&amp;CV$3,CLAVE_BOV2,$A264)+SUMIFS(SALIDAS_BOV3,FECHA_BOV3,"&gt;="&amp;CV$2,FECHA_BOV3,"&lt;="&amp;CV$3,CLAVE_BOV3,$A264)+SUMIFS(SALIDAS_TC,FECHA_TC,"&gt;="&amp;CV$2,FECHA_TC,"&lt;="&amp;CV$3,CLAVE_TC,$A264)+SUMIFS(SALIDAS_COMB,FECHA_COMB,"&gt;="&amp;CV$2,FECHA_COMB,"&lt;="&amp;CV$3,CLAVE_COMB,$A264)+SUMIFS(SALIDAS_DES,FECHA_DESGLOSEN,"&gt;="&amp;CV$2,FECHA_DESGLOSEN,"&lt;="&amp;CV$3,CLAVE_DESGLOSE,$A264)</f>
        <v>0</v>
      </c>
      <c r="CW264" s="13">
        <f>SUMIFS(SALIDAS_BIT,FECHA_BIT,"&gt;="&amp;CW$2,FECHA_BIT,"&lt;="&amp;CW$3,CLAVE_BIT,$A264)+SUMIFS(SALIDAS_BOV1,FECHA_BOV1,"&gt;="&amp;CW$2,FECHA_BOV1,"&lt;="&amp;CW$3,CLAVE_BOV1,$A264)+SUMIFS(SALIDAS_BOV2,FECHA_BOV2,"&gt;="&amp;CW$2,FECHA_BOV2,"&lt;="&amp;CW$3,CLAVE_BOV2,$A264)+SUMIFS(SALIDAS_BOV3,FECHA_BOV3,"&gt;="&amp;CW$2,FECHA_BOV3,"&lt;="&amp;CW$3,CLAVE_BOV3,$A264)+SUMIFS(SALIDAS_TC,FECHA_TC,"&gt;="&amp;CW$2,FECHA_TC,"&lt;="&amp;CW$3,CLAVE_TC,$A264)+SUMIFS(SALIDAS_COMB,FECHA_COMB,"&gt;="&amp;CW$2,FECHA_COMB,"&lt;="&amp;CW$3,CLAVE_COMB,$A264)+SUMIFS(SALIDAS_DES,FECHA_DESGLOSEN,"&gt;="&amp;CW$2,FECHA_DESGLOSEN,"&lt;="&amp;CW$3,CLAVE_DESGLOSE,$A264)</f>
        <v>0</v>
      </c>
      <c r="CX264" s="13">
        <f>SUMIFS(SALIDAS_BIT,FECHA_BIT,"&gt;="&amp;CX$2,FECHA_BIT,"&lt;="&amp;CX$3,CLAVE_BIT,$A264)+SUMIFS(SALIDAS_BOV1,FECHA_BOV1,"&gt;="&amp;CX$2,FECHA_BOV1,"&lt;="&amp;CX$3,CLAVE_BOV1,$A264)+SUMIFS(SALIDAS_BOV2,FECHA_BOV2,"&gt;="&amp;CX$2,FECHA_BOV2,"&lt;="&amp;CX$3,CLAVE_BOV2,$A264)+SUMIFS(SALIDAS_BOV3,FECHA_BOV3,"&gt;="&amp;CX$2,FECHA_BOV3,"&lt;="&amp;CX$3,CLAVE_BOV3,$A264)+SUMIFS(SALIDAS_TC,FECHA_TC,"&gt;="&amp;CX$2,FECHA_TC,"&lt;="&amp;CX$3,CLAVE_TC,$A264)+SUMIFS(SALIDAS_COMB,FECHA_COMB,"&gt;="&amp;CX$2,FECHA_COMB,"&lt;="&amp;CX$3,CLAVE_COMB,$A264)+SUMIFS(SALIDAS_DES,FECHA_DESGLOSEN,"&gt;="&amp;CX$2,FECHA_DESGLOSEN,"&lt;="&amp;CX$3,CLAVE_DESGLOSE,$A264)</f>
        <v>0</v>
      </c>
      <c r="CY264" s="13">
        <f>SUMIFS(SALIDAS_BIT,FECHA_BIT,"&gt;="&amp;CY$2,FECHA_BIT,"&lt;="&amp;CY$3,CLAVE_BIT,$A264)+SUMIFS(SALIDAS_BOV1,FECHA_BOV1,"&gt;="&amp;CY$2,FECHA_BOV1,"&lt;="&amp;CY$3,CLAVE_BOV1,$A264)+SUMIFS(SALIDAS_BOV2,FECHA_BOV2,"&gt;="&amp;CY$2,FECHA_BOV2,"&lt;="&amp;CY$3,CLAVE_BOV2,$A264)+SUMIFS(SALIDAS_BOV3,FECHA_BOV3,"&gt;="&amp;CY$2,FECHA_BOV3,"&lt;="&amp;CY$3,CLAVE_BOV3,$A264)+SUMIFS(SALIDAS_TC,FECHA_TC,"&gt;="&amp;CY$2,FECHA_TC,"&lt;="&amp;CY$3,CLAVE_TC,$A264)+SUMIFS(SALIDAS_COMB,FECHA_COMB,"&gt;="&amp;CY$2,FECHA_COMB,"&lt;="&amp;CY$3,CLAVE_COMB,$A264)+SUMIFS(SALIDAS_DES,FECHA_DESGLOSEN,"&gt;="&amp;CY$2,FECHA_DESGLOSEN,"&lt;="&amp;CY$3,CLAVE_DESGLOSE,$A264)</f>
        <v>0</v>
      </c>
      <c r="CZ264" s="68">
        <f t="shared" ref="CZ264:CZ327" si="474">CT264-CY264</f>
        <v>0</v>
      </c>
      <c r="DB264" s="17">
        <f>F264+N264+W264+AE264+AM264+AV264+BD264+BL264+BU264+CC264+CK264</f>
        <v>11514</v>
      </c>
      <c r="DC264" s="17">
        <f>K264+T264+AB264+AJ264+AS264+BA264+BI264+BR264+BZ264+CH264+CQ264</f>
        <v>10100</v>
      </c>
    </row>
    <row r="265" spans="1:107" hidden="1">
      <c r="A265" s="12" t="str">
        <f t="shared" si="447"/>
        <v>FINANZASCUOTAS Y SUSCRIPCIONESPREDIALES</v>
      </c>
      <c r="B265">
        <v>267</v>
      </c>
      <c r="C265" t="s">
        <v>23</v>
      </c>
      <c r="D265" t="s">
        <v>51</v>
      </c>
      <c r="E265" t="s">
        <v>66</v>
      </c>
      <c r="F265" s="259">
        <f t="shared" si="440"/>
        <v>0</v>
      </c>
      <c r="G265" s="13">
        <f t="shared" si="431"/>
        <v>0</v>
      </c>
      <c r="H265" s="13">
        <f t="shared" si="431"/>
        <v>0</v>
      </c>
      <c r="I265" s="13">
        <f t="shared" si="431"/>
        <v>0</v>
      </c>
      <c r="J265" s="13">
        <f t="shared" si="431"/>
        <v>0</v>
      </c>
      <c r="K265" s="13">
        <f t="shared" si="431"/>
        <v>0</v>
      </c>
      <c r="L265" s="68">
        <f t="shared" si="448"/>
        <v>0</v>
      </c>
      <c r="M265" s="268">
        <f t="shared" si="449"/>
        <v>0</v>
      </c>
      <c r="N265" s="13">
        <f t="shared" si="441"/>
        <v>0</v>
      </c>
      <c r="O265" s="13">
        <f t="shared" si="432"/>
        <v>0</v>
      </c>
      <c r="P265" s="13">
        <f t="shared" si="432"/>
        <v>0</v>
      </c>
      <c r="Q265" s="13">
        <f t="shared" si="432"/>
        <v>0</v>
      </c>
      <c r="R265" s="13">
        <f t="shared" si="432"/>
        <v>0</v>
      </c>
      <c r="S265" s="13">
        <f t="shared" si="432"/>
        <v>0</v>
      </c>
      <c r="T265" s="13">
        <f t="shared" si="432"/>
        <v>0</v>
      </c>
      <c r="U265" s="68">
        <f t="shared" si="450"/>
        <v>0</v>
      </c>
      <c r="V265" s="268">
        <f t="shared" si="451"/>
        <v>0</v>
      </c>
      <c r="W265" s="13">
        <f t="shared" si="442"/>
        <v>0</v>
      </c>
      <c r="X265" s="13">
        <f t="shared" si="433"/>
        <v>0</v>
      </c>
      <c r="Y265" s="13">
        <f t="shared" si="433"/>
        <v>0</v>
      </c>
      <c r="Z265" s="13">
        <f t="shared" si="433"/>
        <v>0</v>
      </c>
      <c r="AA265" s="13">
        <f t="shared" si="433"/>
        <v>0</v>
      </c>
      <c r="AB265" s="13">
        <f t="shared" si="433"/>
        <v>0</v>
      </c>
      <c r="AC265" s="68">
        <f t="shared" si="452"/>
        <v>0</v>
      </c>
      <c r="AD265" s="268">
        <f t="shared" si="453"/>
        <v>0</v>
      </c>
      <c r="AE265" s="13">
        <f t="shared" si="443"/>
        <v>0</v>
      </c>
      <c r="AF265" s="13">
        <f t="shared" si="434"/>
        <v>0</v>
      </c>
      <c r="AG265" s="13">
        <f t="shared" si="434"/>
        <v>0</v>
      </c>
      <c r="AH265" s="13">
        <f t="shared" si="434"/>
        <v>0</v>
      </c>
      <c r="AI265" s="13">
        <f t="shared" si="434"/>
        <v>0</v>
      </c>
      <c r="AJ265" s="13">
        <f t="shared" si="434"/>
        <v>0</v>
      </c>
      <c r="AK265" s="68">
        <f t="shared" si="454"/>
        <v>0</v>
      </c>
      <c r="AL265" s="268">
        <f t="shared" si="455"/>
        <v>0</v>
      </c>
      <c r="AM265" s="13">
        <f t="shared" si="444"/>
        <v>0</v>
      </c>
      <c r="AN265" s="13">
        <f t="shared" si="435"/>
        <v>0</v>
      </c>
      <c r="AO265" s="13">
        <f t="shared" si="435"/>
        <v>0</v>
      </c>
      <c r="AP265" s="13">
        <f t="shared" si="435"/>
        <v>0</v>
      </c>
      <c r="AQ265" s="13">
        <f t="shared" si="435"/>
        <v>0</v>
      </c>
      <c r="AR265" s="13">
        <f t="shared" si="435"/>
        <v>0</v>
      </c>
      <c r="AS265" s="13">
        <f t="shared" si="435"/>
        <v>0</v>
      </c>
      <c r="AT265" s="68">
        <f>AM265-AS265</f>
        <v>0</v>
      </c>
      <c r="AU265" s="268">
        <f t="shared" si="456"/>
        <v>0</v>
      </c>
      <c r="AV265" s="13">
        <f t="shared" si="445"/>
        <v>0</v>
      </c>
      <c r="AW265" s="13">
        <f t="shared" si="421"/>
        <v>0</v>
      </c>
      <c r="AX265" s="13">
        <f t="shared" si="421"/>
        <v>0</v>
      </c>
      <c r="AY265" s="13">
        <f t="shared" si="421"/>
        <v>0</v>
      </c>
      <c r="AZ265" s="13">
        <f t="shared" si="421"/>
        <v>0</v>
      </c>
      <c r="BA265" s="13">
        <f t="shared" ref="BA265:BA313" si="475">SUMIFS(SALIDAS_BIT,FECHA_BIT,"&gt;="&amp;BA$2,FECHA_BIT,"&lt;="&amp;BA$3,CLAVE_BIT,$A265)+SUMIFS(SALIDAS_BOV1,FECHA_BOV1,"&gt;="&amp;BA$2,FECHA_BOV1,"&lt;="&amp;BA$3,CLAVE_BOV1,$A265)+SUMIFS(SALIDAS_BOV2,FECHA_BOV2,"&gt;="&amp;BA$2,FECHA_BOV2,"&lt;="&amp;BA$3,CLAVE_BOV2,$A265)+SUMIFS(SALIDAS_BOV3,FECHA_BOV3,"&gt;="&amp;BA$2,FECHA_BOV3,"&lt;="&amp;BA$3,CLAVE_BOV3,$A265)+SUMIFS(SALIDAS_TC,FECHA_TC,"&gt;="&amp;BA$2,FECHA_TC,"&lt;="&amp;BA$3,CLAVE_TC,$A265)+SUMIFS(SALIDAS_COMB,FECHA_COMB,"&gt;="&amp;BA$2,FECHA_COMB,"&lt;="&amp;BA$3,CLAVE_COMB,$A265)+SUMIFS(SALIDAS_DES,FECHA_DESGLOSEN,"&gt;="&amp;BA$2,FECHA_DESGLOSEN,"&lt;="&amp;BA$3,CLAVE_DESGLOSE,$A265)</f>
        <v>0</v>
      </c>
      <c r="BB265" s="68">
        <f t="shared" si="457"/>
        <v>0</v>
      </c>
      <c r="BC265" s="268">
        <f t="shared" si="458"/>
        <v>0</v>
      </c>
      <c r="BD265" s="13">
        <f t="shared" si="459"/>
        <v>0</v>
      </c>
      <c r="BE265" s="13">
        <f>SUMIFS(SALIDAS_BIT,FECHA_BIT,"&gt;="&amp;BE$2,FECHA_BIT,"&lt;="&amp;BE$3,CLAVE_BIT,$A265)+SUMIFS(SALIDAS_BOV1,FECHA_BOV1,"&gt;="&amp;BE$2,FECHA_BOV1,"&lt;="&amp;BE$3,CLAVE_BOV1,$A265)+SUMIFS(SALIDAS_BOV2,FECHA_BOV2,"&gt;="&amp;BE$2,FECHA_BOV2,"&lt;="&amp;BE$3,CLAVE_BOV2,$A265)+SUMIFS(SALIDAS_BOV3,FECHA_BOV3,"&gt;="&amp;BE$2,FECHA_BOV3,"&lt;="&amp;BE$3,CLAVE_BOV3,$A265)+SUMIFS(SALIDAS_TC,FECHA_TC,"&gt;="&amp;BE$2,FECHA_TC,"&lt;="&amp;BE$3,CLAVE_TC,$A265)+SUMIFS(SALIDAS_COMB,FECHA_COMB,"&gt;="&amp;BE$2,FECHA_COMB,"&lt;="&amp;BE$3,CLAVE_COMB,$A265)+SUMIFS(SALIDAS_DES,FECHA_DESGLOSEN,"&gt;="&amp;BE$2,FECHA_DESGLOSEN,"&lt;="&amp;BE$3,CLAVE_DESGLOSE,$A265)</f>
        <v>0</v>
      </c>
      <c r="BF265" s="13">
        <f>SUMIFS(SALIDAS_BIT,FECHA_BIT,"&gt;="&amp;BF$2,FECHA_BIT,"&lt;="&amp;BF$3,CLAVE_BIT,$A265)+SUMIFS(SALIDAS_BOV1,FECHA_BOV1,"&gt;="&amp;BF$2,FECHA_BOV1,"&lt;="&amp;BF$3,CLAVE_BOV1,$A265)+SUMIFS(SALIDAS_BOV2,FECHA_BOV2,"&gt;="&amp;BF$2,FECHA_BOV2,"&lt;="&amp;BF$3,CLAVE_BOV2,$A265)+SUMIFS(SALIDAS_BOV3,FECHA_BOV3,"&gt;="&amp;BF$2,FECHA_BOV3,"&lt;="&amp;BF$3,CLAVE_BOV3,$A265)+SUMIFS(SALIDAS_TC,FECHA_TC,"&gt;="&amp;BF$2,FECHA_TC,"&lt;="&amp;BF$3,CLAVE_TC,$A265)+SUMIFS(SALIDAS_COMB,FECHA_COMB,"&gt;="&amp;BF$2,FECHA_COMB,"&lt;="&amp;BF$3,CLAVE_COMB,$A265)+SUMIFS(SALIDAS_DES,FECHA_DESGLOSEN,"&gt;="&amp;BF$2,FECHA_DESGLOSEN,"&lt;="&amp;BF$3,CLAVE_DESGLOSE,$A265)</f>
        <v>0</v>
      </c>
      <c r="BG265" s="13">
        <f>SUMIFS(SALIDAS_BIT,FECHA_BIT,"&gt;="&amp;BG$2,FECHA_BIT,"&lt;="&amp;BG$3,CLAVE_BIT,$A265)+SUMIFS(SALIDAS_BOV1,FECHA_BOV1,"&gt;="&amp;BG$2,FECHA_BOV1,"&lt;="&amp;BG$3,CLAVE_BOV1,$A265)+SUMIFS(SALIDAS_BOV2,FECHA_BOV2,"&gt;="&amp;BG$2,FECHA_BOV2,"&lt;="&amp;BG$3,CLAVE_BOV2,$A265)+SUMIFS(SALIDAS_BOV3,FECHA_BOV3,"&gt;="&amp;BG$2,FECHA_BOV3,"&lt;="&amp;BG$3,CLAVE_BOV3,$A265)+SUMIFS(SALIDAS_TC,FECHA_TC,"&gt;="&amp;BG$2,FECHA_TC,"&lt;="&amp;BG$3,CLAVE_TC,$A265)+SUMIFS(SALIDAS_COMB,FECHA_COMB,"&gt;="&amp;BG$2,FECHA_COMB,"&lt;="&amp;BG$3,CLAVE_COMB,$A265)+SUMIFS(SALIDAS_DES,FECHA_DESGLOSEN,"&gt;="&amp;BG$2,FECHA_DESGLOSEN,"&lt;="&amp;BG$3,CLAVE_DESGLOSE,$A265)</f>
        <v>0</v>
      </c>
      <c r="BH265" s="13">
        <f>SUMIFS(SALIDAS_BIT,FECHA_BIT,"&gt;="&amp;BH$2,FECHA_BIT,"&lt;="&amp;BH$3,CLAVE_BIT,$A265)+SUMIFS(SALIDAS_BOV1,FECHA_BOV1,"&gt;="&amp;BH$2,FECHA_BOV1,"&lt;="&amp;BH$3,CLAVE_BOV1,$A265)+SUMIFS(SALIDAS_BOV2,FECHA_BOV2,"&gt;="&amp;BH$2,FECHA_BOV2,"&lt;="&amp;BH$3,CLAVE_BOV2,$A265)+SUMIFS(SALIDAS_BOV3,FECHA_BOV3,"&gt;="&amp;BH$2,FECHA_BOV3,"&lt;="&amp;BH$3,CLAVE_BOV3,$A265)+SUMIFS(SALIDAS_TC,FECHA_TC,"&gt;="&amp;BH$2,FECHA_TC,"&lt;="&amp;BH$3,CLAVE_TC,$A265)+SUMIFS(SALIDAS_COMB,FECHA_COMB,"&gt;="&amp;BH$2,FECHA_COMB,"&lt;="&amp;BH$3,CLAVE_COMB,$A265)+SUMIFS(SALIDAS_DES,FECHA_DESGLOSEN,"&gt;="&amp;BH$2,FECHA_DESGLOSEN,"&lt;="&amp;BH$3,CLAVE_DESGLOSE,$A265)</f>
        <v>0</v>
      </c>
      <c r="BI265" s="13">
        <f t="shared" si="419"/>
        <v>0</v>
      </c>
      <c r="BJ265" s="68">
        <f t="shared" si="460"/>
        <v>0</v>
      </c>
      <c r="BK265" s="268">
        <f t="shared" si="461"/>
        <v>0</v>
      </c>
      <c r="BL265" s="13">
        <f t="shared" si="462"/>
        <v>0</v>
      </c>
      <c r="BM265" s="13">
        <f>SUMIFS(SALIDAS_BIT,FECHA_BIT,"&gt;="&amp;BM$2,FECHA_BIT,"&lt;="&amp;BM$3,CLAVE_BIT,$A265)+SUMIFS(SALIDAS_BOV1,FECHA_BOV1,"&gt;="&amp;BM$2,FECHA_BOV1,"&lt;="&amp;BM$3,CLAVE_BOV1,$A265)+SUMIFS(SALIDAS_BOV2,FECHA_BOV2,"&gt;="&amp;BM$2,FECHA_BOV2,"&lt;="&amp;BM$3,CLAVE_BOV2,$A265)+SUMIFS(SALIDAS_BOV3,FECHA_BOV3,"&gt;="&amp;BM$2,FECHA_BOV3,"&lt;="&amp;BM$3,CLAVE_BOV3,$A265)+SUMIFS(SALIDAS_TC,FECHA_TC,"&gt;="&amp;BM$2,FECHA_TC,"&lt;="&amp;BM$3,CLAVE_TC,$A265)+SUMIFS(SALIDAS_COMB,FECHA_COMB,"&gt;="&amp;BM$2,FECHA_COMB,"&lt;="&amp;BM$3,CLAVE_COMB,$A265)+SUMIFS(SALIDAS_DES,FECHA_DESGLOSEN,"&gt;="&amp;BM$2,FECHA_DESGLOSEN,"&lt;="&amp;BM$3,CLAVE_DESGLOSE,$A265)</f>
        <v>0</v>
      </c>
      <c r="BN265" s="13">
        <f>SUMIFS(SALIDAS_BIT,FECHA_BIT,"&gt;="&amp;BN$2,FECHA_BIT,"&lt;="&amp;BN$3,CLAVE_BIT,$A265)+SUMIFS(SALIDAS_BOV1,FECHA_BOV1,"&gt;="&amp;BN$2,FECHA_BOV1,"&lt;="&amp;BN$3,CLAVE_BOV1,$A265)+SUMIFS(SALIDAS_BOV2,FECHA_BOV2,"&gt;="&amp;BN$2,FECHA_BOV2,"&lt;="&amp;BN$3,CLAVE_BOV2,$A265)+SUMIFS(SALIDAS_BOV3,FECHA_BOV3,"&gt;="&amp;BN$2,FECHA_BOV3,"&lt;="&amp;BN$3,CLAVE_BOV3,$A265)+SUMIFS(SALIDAS_TC,FECHA_TC,"&gt;="&amp;BN$2,FECHA_TC,"&lt;="&amp;BN$3,CLAVE_TC,$A265)+SUMIFS(SALIDAS_COMB,FECHA_COMB,"&gt;="&amp;BN$2,FECHA_COMB,"&lt;="&amp;BN$3,CLAVE_COMB,$A265)+SUMIFS(SALIDAS_DES,FECHA_DESGLOSEN,"&gt;="&amp;BN$2,FECHA_DESGLOSEN,"&lt;="&amp;BN$3,CLAVE_DESGLOSE,$A265)</f>
        <v>0</v>
      </c>
      <c r="BO265" s="13">
        <f>SUMIFS(SALIDAS_BIT,FECHA_BIT,"&gt;="&amp;BO$2,FECHA_BIT,"&lt;="&amp;BO$3,CLAVE_BIT,$A265)+SUMIFS(SALIDAS_BOV1,FECHA_BOV1,"&gt;="&amp;BO$2,FECHA_BOV1,"&lt;="&amp;BO$3,CLAVE_BOV1,$A265)+SUMIFS(SALIDAS_BOV2,FECHA_BOV2,"&gt;="&amp;BO$2,FECHA_BOV2,"&lt;="&amp;BO$3,CLAVE_BOV2,$A265)+SUMIFS(SALIDAS_BOV3,FECHA_BOV3,"&gt;="&amp;BO$2,FECHA_BOV3,"&lt;="&amp;BO$3,CLAVE_BOV3,$A265)+SUMIFS(SALIDAS_TC,FECHA_TC,"&gt;="&amp;BO$2,FECHA_TC,"&lt;="&amp;BO$3,CLAVE_TC,$A265)+SUMIFS(SALIDAS_COMB,FECHA_COMB,"&gt;="&amp;BO$2,FECHA_COMB,"&lt;="&amp;BO$3,CLAVE_COMB,$A265)+SUMIFS(SALIDAS_DES,FECHA_DESGLOSEN,"&gt;="&amp;BO$2,FECHA_DESGLOSEN,"&lt;="&amp;BO$3,CLAVE_DESGLOSE,$A265)</f>
        <v>0</v>
      </c>
      <c r="BP265" s="13">
        <f>SUMIFS(SALIDAS_BIT,FECHA_BIT,"&gt;="&amp;BP$2,FECHA_BIT,"&lt;="&amp;BP$3,CLAVE_BIT,$A265)+SUMIFS(SALIDAS_BOV1,FECHA_BOV1,"&gt;="&amp;BP$2,FECHA_BOV1,"&lt;="&amp;BP$3,CLAVE_BOV1,$A265)+SUMIFS(SALIDAS_BOV2,FECHA_BOV2,"&gt;="&amp;BP$2,FECHA_BOV2,"&lt;="&amp;BP$3,CLAVE_BOV2,$A265)+SUMIFS(SALIDAS_BOV3,FECHA_BOV3,"&gt;="&amp;BP$2,FECHA_BOV3,"&lt;="&amp;BP$3,CLAVE_BOV3,$A265)+SUMIFS(SALIDAS_TC,FECHA_TC,"&gt;="&amp;BP$2,FECHA_TC,"&lt;="&amp;BP$3,CLAVE_TC,$A265)+SUMIFS(SALIDAS_COMB,FECHA_COMB,"&gt;="&amp;BP$2,FECHA_COMB,"&lt;="&amp;BP$3,CLAVE_COMB,$A265)+SUMIFS(SALIDAS_DES,FECHA_DESGLOSEN,"&gt;="&amp;BP$2,FECHA_DESGLOSEN,"&lt;="&amp;BP$3,CLAVE_DESGLOSE,$A265)</f>
        <v>0</v>
      </c>
      <c r="BQ265" s="13">
        <f>SUMIFS(SALIDAS_BIT,FECHA_BIT,"&gt;="&amp;BQ$2,FECHA_BIT,"&lt;="&amp;BQ$3,CLAVE_BIT,$A265)+SUMIFS(SALIDAS_BOV1,FECHA_BOV1,"&gt;="&amp;BQ$2,FECHA_BOV1,"&lt;="&amp;BQ$3,CLAVE_BOV1,$A265)+SUMIFS(SALIDAS_BOV2,FECHA_BOV2,"&gt;="&amp;BQ$2,FECHA_BOV2,"&lt;="&amp;BQ$3,CLAVE_BOV2,$A265)+SUMIFS(SALIDAS_BOV3,FECHA_BOV3,"&gt;="&amp;BQ$2,FECHA_BOV3,"&lt;="&amp;BQ$3,CLAVE_BOV3,$A265)+SUMIFS(SALIDAS_TC,FECHA_TC,"&gt;="&amp;BQ$2,FECHA_TC,"&lt;="&amp;BQ$3,CLAVE_TC,$A265)+SUMIFS(SALIDAS_COMB,FECHA_COMB,"&gt;="&amp;BQ$2,FECHA_COMB,"&lt;="&amp;BQ$3,CLAVE_COMB,$A265)+SUMIFS(SALIDAS_DES,FECHA_DESGLOSEN,"&gt;="&amp;BQ$2,FECHA_DESGLOSEN,"&lt;="&amp;BQ$3,CLAVE_DESGLOSE,$A265)</f>
        <v>0</v>
      </c>
      <c r="BR265" s="13">
        <f t="shared" si="436"/>
        <v>0</v>
      </c>
      <c r="BS265" s="68">
        <f t="shared" si="463"/>
        <v>0</v>
      </c>
      <c r="BT265" s="268">
        <f t="shared" si="464"/>
        <v>0</v>
      </c>
      <c r="BU265" s="13">
        <f t="shared" si="465"/>
        <v>0</v>
      </c>
      <c r="BV265" s="13">
        <f t="shared" si="389"/>
        <v>0</v>
      </c>
      <c r="BW265" s="13">
        <f t="shared" si="389"/>
        <v>0</v>
      </c>
      <c r="BX265" s="13">
        <f t="shared" si="389"/>
        <v>0</v>
      </c>
      <c r="BY265" s="13">
        <f t="shared" si="389"/>
        <v>0</v>
      </c>
      <c r="BZ265" s="13">
        <f t="shared" si="437"/>
        <v>0</v>
      </c>
      <c r="CA265" s="68">
        <f t="shared" si="466"/>
        <v>0</v>
      </c>
      <c r="CB265" s="268">
        <f t="shared" si="467"/>
        <v>0</v>
      </c>
      <c r="CC265" s="13">
        <f t="shared" si="468"/>
        <v>0</v>
      </c>
      <c r="CD265" s="13">
        <f t="shared" si="390"/>
        <v>0</v>
      </c>
      <c r="CE265" s="13">
        <f t="shared" si="390"/>
        <v>0</v>
      </c>
      <c r="CF265" s="13">
        <f t="shared" si="390"/>
        <v>0</v>
      </c>
      <c r="CG265" s="13">
        <f t="shared" si="390"/>
        <v>0</v>
      </c>
      <c r="CH265" s="13">
        <f t="shared" si="438"/>
        <v>0</v>
      </c>
      <c r="CI265" s="68">
        <f t="shared" si="469"/>
        <v>0</v>
      </c>
      <c r="CJ265" s="268">
        <f t="shared" si="470"/>
        <v>0</v>
      </c>
      <c r="CK265" s="13">
        <f t="shared" si="471"/>
        <v>0</v>
      </c>
      <c r="CL265" s="13">
        <f t="shared" si="400"/>
        <v>0</v>
      </c>
      <c r="CM265" s="13">
        <f t="shared" si="400"/>
        <v>0</v>
      </c>
      <c r="CN265" s="13">
        <f t="shared" si="400"/>
        <v>0</v>
      </c>
      <c r="CO265" s="13">
        <f t="shared" si="400"/>
        <v>0</v>
      </c>
      <c r="CP265" s="13">
        <f t="shared" si="400"/>
        <v>0</v>
      </c>
      <c r="CQ265" s="13">
        <f t="shared" si="439"/>
        <v>0</v>
      </c>
      <c r="CR265" s="68">
        <f t="shared" si="472"/>
        <v>0</v>
      </c>
      <c r="CS265" s="268">
        <f t="shared" si="473"/>
        <v>0</v>
      </c>
      <c r="CT265" s="68">
        <f t="shared" si="446"/>
        <v>0</v>
      </c>
      <c r="CU265" s="13">
        <f>SUMIFS(SALIDAS_BIT,FECHA_BIT,"&gt;="&amp;CU$2,FECHA_BIT,"&lt;="&amp;CU$3,CLAVE_BIT,$A265)+SUMIFS(SALIDAS_BOV1,FECHA_BOV1,"&gt;="&amp;CU$2,FECHA_BOV1,"&lt;="&amp;CU$3,CLAVE_BOV1,$A265)+SUMIFS(SALIDAS_BOV2,FECHA_BOV2,"&gt;="&amp;CU$2,FECHA_BOV2,"&lt;="&amp;CU$3,CLAVE_BOV2,$A265)+SUMIFS(SALIDAS_BOV3,FECHA_BOV3,"&gt;="&amp;CU$2,FECHA_BOV3,"&lt;="&amp;CU$3,CLAVE_BOV3,$A265)+SUMIFS(SALIDAS_TC,FECHA_TC,"&gt;="&amp;CU$2,FECHA_TC,"&lt;="&amp;CU$3,CLAVE_TC,$A265)+SUMIFS(SALIDAS_COMB,FECHA_COMB,"&gt;="&amp;CU$2,FECHA_COMB,"&lt;="&amp;CU$3,CLAVE_COMB,$A265)+SUMIFS(SALIDAS_DES,FECHA_DESGLOSEN,"&gt;="&amp;CU$2,FECHA_DESGLOSEN,"&lt;="&amp;CU$3,CLAVE_DESGLOSE,$A265)</f>
        <v>0</v>
      </c>
      <c r="CV265" s="13">
        <f>SUMIFS(SALIDAS_BIT,FECHA_BIT,"&gt;="&amp;CV$2,FECHA_BIT,"&lt;="&amp;CV$3,CLAVE_BIT,$A265)+SUMIFS(SALIDAS_BOV1,FECHA_BOV1,"&gt;="&amp;CV$2,FECHA_BOV1,"&lt;="&amp;CV$3,CLAVE_BOV1,$A265)+SUMIFS(SALIDAS_BOV2,FECHA_BOV2,"&gt;="&amp;CV$2,FECHA_BOV2,"&lt;="&amp;CV$3,CLAVE_BOV2,$A265)+SUMIFS(SALIDAS_BOV3,FECHA_BOV3,"&gt;="&amp;CV$2,FECHA_BOV3,"&lt;="&amp;CV$3,CLAVE_BOV3,$A265)+SUMIFS(SALIDAS_TC,FECHA_TC,"&gt;="&amp;CV$2,FECHA_TC,"&lt;="&amp;CV$3,CLAVE_TC,$A265)+SUMIFS(SALIDAS_COMB,FECHA_COMB,"&gt;="&amp;CV$2,FECHA_COMB,"&lt;="&amp;CV$3,CLAVE_COMB,$A265)+SUMIFS(SALIDAS_DES,FECHA_DESGLOSEN,"&gt;="&amp;CV$2,FECHA_DESGLOSEN,"&lt;="&amp;CV$3,CLAVE_DESGLOSE,$A265)</f>
        <v>0</v>
      </c>
      <c r="CW265" s="13">
        <f>SUMIFS(SALIDAS_BIT,FECHA_BIT,"&gt;="&amp;CW$2,FECHA_BIT,"&lt;="&amp;CW$3,CLAVE_BIT,$A265)+SUMIFS(SALIDAS_BOV1,FECHA_BOV1,"&gt;="&amp;CW$2,FECHA_BOV1,"&lt;="&amp;CW$3,CLAVE_BOV1,$A265)+SUMIFS(SALIDAS_BOV2,FECHA_BOV2,"&gt;="&amp;CW$2,FECHA_BOV2,"&lt;="&amp;CW$3,CLAVE_BOV2,$A265)+SUMIFS(SALIDAS_BOV3,FECHA_BOV3,"&gt;="&amp;CW$2,FECHA_BOV3,"&lt;="&amp;CW$3,CLAVE_BOV3,$A265)+SUMIFS(SALIDAS_TC,FECHA_TC,"&gt;="&amp;CW$2,FECHA_TC,"&lt;="&amp;CW$3,CLAVE_TC,$A265)+SUMIFS(SALIDAS_COMB,FECHA_COMB,"&gt;="&amp;CW$2,FECHA_COMB,"&lt;="&amp;CW$3,CLAVE_COMB,$A265)+SUMIFS(SALIDAS_DES,FECHA_DESGLOSEN,"&gt;="&amp;CW$2,FECHA_DESGLOSEN,"&lt;="&amp;CW$3,CLAVE_DESGLOSE,$A265)</f>
        <v>0</v>
      </c>
      <c r="CX265" s="13">
        <f>SUMIFS(SALIDAS_BIT,FECHA_BIT,"&gt;="&amp;CX$2,FECHA_BIT,"&lt;="&amp;CX$3,CLAVE_BIT,$A265)+SUMIFS(SALIDAS_BOV1,FECHA_BOV1,"&gt;="&amp;CX$2,FECHA_BOV1,"&lt;="&amp;CX$3,CLAVE_BOV1,$A265)+SUMIFS(SALIDAS_BOV2,FECHA_BOV2,"&gt;="&amp;CX$2,FECHA_BOV2,"&lt;="&amp;CX$3,CLAVE_BOV2,$A265)+SUMIFS(SALIDAS_BOV3,FECHA_BOV3,"&gt;="&amp;CX$2,FECHA_BOV3,"&lt;="&amp;CX$3,CLAVE_BOV3,$A265)+SUMIFS(SALIDAS_TC,FECHA_TC,"&gt;="&amp;CX$2,FECHA_TC,"&lt;="&amp;CX$3,CLAVE_TC,$A265)+SUMIFS(SALIDAS_COMB,FECHA_COMB,"&gt;="&amp;CX$2,FECHA_COMB,"&lt;="&amp;CX$3,CLAVE_COMB,$A265)+SUMIFS(SALIDAS_DES,FECHA_DESGLOSEN,"&gt;="&amp;CX$2,FECHA_DESGLOSEN,"&lt;="&amp;CX$3,CLAVE_DESGLOSE,$A265)</f>
        <v>0</v>
      </c>
      <c r="CY265" s="13">
        <f>SUMIFS(SALIDAS_BIT,FECHA_BIT,"&gt;="&amp;CY$2,FECHA_BIT,"&lt;="&amp;CY$3,CLAVE_BIT,$A265)+SUMIFS(SALIDAS_BOV1,FECHA_BOV1,"&gt;="&amp;CY$2,FECHA_BOV1,"&lt;="&amp;CY$3,CLAVE_BOV1,$A265)+SUMIFS(SALIDAS_BOV2,FECHA_BOV2,"&gt;="&amp;CY$2,FECHA_BOV2,"&lt;="&amp;CY$3,CLAVE_BOV2,$A265)+SUMIFS(SALIDAS_BOV3,FECHA_BOV3,"&gt;="&amp;CY$2,FECHA_BOV3,"&lt;="&amp;CY$3,CLAVE_BOV3,$A265)+SUMIFS(SALIDAS_TC,FECHA_TC,"&gt;="&amp;CY$2,FECHA_TC,"&lt;="&amp;CY$3,CLAVE_TC,$A265)+SUMIFS(SALIDAS_COMB,FECHA_COMB,"&gt;="&amp;CY$2,FECHA_COMB,"&lt;="&amp;CY$3,CLAVE_COMB,$A265)+SUMIFS(SALIDAS_DES,FECHA_DESGLOSEN,"&gt;="&amp;CY$2,FECHA_DESGLOSEN,"&lt;="&amp;CY$3,CLAVE_DESGLOSE,$A265)</f>
        <v>0</v>
      </c>
      <c r="CZ265" s="68">
        <f t="shared" si="474"/>
        <v>0</v>
      </c>
      <c r="DB265" s="17">
        <f>F265+N265+W265+AE265+AM265+AV265+BD265+BL265+BU265+CC265+CK265</f>
        <v>0</v>
      </c>
      <c r="DC265" s="17">
        <f>K265+T265+AB265+AJ265+AS265+BA265+BI265+BR265+BZ265+CH265+CQ265</f>
        <v>0</v>
      </c>
    </row>
    <row r="266" spans="1:107" hidden="1">
      <c r="A266" s="12" t="str">
        <f t="shared" si="447"/>
        <v>FINANZASCUOTAS Y SUSCRIPCIONESCANACO</v>
      </c>
      <c r="B266">
        <v>268</v>
      </c>
      <c r="C266" s="229" t="s">
        <v>23</v>
      </c>
      <c r="D266" t="s">
        <v>51</v>
      </c>
      <c r="E266" t="s">
        <v>67</v>
      </c>
      <c r="F266" s="259">
        <f t="shared" si="440"/>
        <v>0</v>
      </c>
      <c r="G266" s="13">
        <f t="shared" si="431"/>
        <v>0</v>
      </c>
      <c r="H266" s="13">
        <f t="shared" si="431"/>
        <v>0</v>
      </c>
      <c r="I266" s="13">
        <f t="shared" si="431"/>
        <v>0</v>
      </c>
      <c r="J266" s="13">
        <f t="shared" si="431"/>
        <v>0</v>
      </c>
      <c r="K266" s="13">
        <f t="shared" si="431"/>
        <v>0</v>
      </c>
      <c r="L266" s="68">
        <f t="shared" si="448"/>
        <v>0</v>
      </c>
      <c r="M266" s="268">
        <f t="shared" si="449"/>
        <v>0</v>
      </c>
      <c r="N266" s="13">
        <f t="shared" si="441"/>
        <v>0</v>
      </c>
      <c r="O266" s="13">
        <f t="shared" si="432"/>
        <v>0</v>
      </c>
      <c r="P266" s="13">
        <f t="shared" si="432"/>
        <v>0</v>
      </c>
      <c r="Q266" s="13">
        <f t="shared" si="432"/>
        <v>0</v>
      </c>
      <c r="R266" s="13">
        <f t="shared" si="432"/>
        <v>0</v>
      </c>
      <c r="S266" s="13">
        <f t="shared" si="432"/>
        <v>0</v>
      </c>
      <c r="T266" s="13">
        <f t="shared" si="432"/>
        <v>0</v>
      </c>
      <c r="U266" s="68">
        <f t="shared" si="450"/>
        <v>0</v>
      </c>
      <c r="V266" s="268">
        <f t="shared" si="451"/>
        <v>0</v>
      </c>
      <c r="W266" s="13">
        <f t="shared" si="442"/>
        <v>0</v>
      </c>
      <c r="X266" s="13">
        <f t="shared" si="433"/>
        <v>0</v>
      </c>
      <c r="Y266" s="13">
        <f t="shared" si="433"/>
        <v>0</v>
      </c>
      <c r="Z266" s="13">
        <f t="shared" si="433"/>
        <v>0</v>
      </c>
      <c r="AA266" s="13">
        <f t="shared" si="433"/>
        <v>0</v>
      </c>
      <c r="AB266" s="13">
        <f t="shared" si="433"/>
        <v>0</v>
      </c>
      <c r="AC266" s="68">
        <f t="shared" si="452"/>
        <v>0</v>
      </c>
      <c r="AD266" s="268">
        <f t="shared" si="453"/>
        <v>0</v>
      </c>
      <c r="AE266" s="13">
        <f t="shared" si="443"/>
        <v>0</v>
      </c>
      <c r="AF266" s="13">
        <f t="shared" si="434"/>
        <v>650</v>
      </c>
      <c r="AG266" s="13">
        <f t="shared" si="434"/>
        <v>0</v>
      </c>
      <c r="AH266" s="13">
        <f t="shared" si="434"/>
        <v>0</v>
      </c>
      <c r="AI266" s="13">
        <f t="shared" si="434"/>
        <v>0</v>
      </c>
      <c r="AJ266" s="13">
        <f t="shared" si="434"/>
        <v>650</v>
      </c>
      <c r="AK266" s="68">
        <f t="shared" si="454"/>
        <v>-650</v>
      </c>
      <c r="AL266" s="268">
        <f t="shared" si="455"/>
        <v>0</v>
      </c>
      <c r="AM266" s="13">
        <f t="shared" si="444"/>
        <v>0</v>
      </c>
      <c r="AN266" s="13">
        <f t="shared" si="435"/>
        <v>4800</v>
      </c>
      <c r="AO266" s="13">
        <f t="shared" si="435"/>
        <v>0</v>
      </c>
      <c r="AP266" s="13">
        <f t="shared" si="435"/>
        <v>0</v>
      </c>
      <c r="AQ266" s="13">
        <f t="shared" si="435"/>
        <v>0</v>
      </c>
      <c r="AR266" s="13">
        <f t="shared" si="435"/>
        <v>0</v>
      </c>
      <c r="AS266" s="13">
        <f t="shared" si="435"/>
        <v>4800</v>
      </c>
      <c r="AT266" s="68">
        <f>AM266-AS266</f>
        <v>-4800</v>
      </c>
      <c r="AU266" s="268">
        <f t="shared" si="456"/>
        <v>0</v>
      </c>
      <c r="AV266" s="13">
        <f t="shared" si="445"/>
        <v>0</v>
      </c>
      <c r="AW266" s="13">
        <f t="shared" si="421"/>
        <v>0</v>
      </c>
      <c r="AX266" s="13">
        <f t="shared" si="421"/>
        <v>0</v>
      </c>
      <c r="AY266" s="13">
        <f t="shared" si="421"/>
        <v>0</v>
      </c>
      <c r="AZ266" s="13">
        <f t="shared" si="421"/>
        <v>350</v>
      </c>
      <c r="BA266" s="13">
        <f t="shared" si="475"/>
        <v>350</v>
      </c>
      <c r="BB266" s="68">
        <f t="shared" si="457"/>
        <v>-350</v>
      </c>
      <c r="BC266" s="268">
        <f t="shared" si="458"/>
        <v>0</v>
      </c>
      <c r="BD266" s="13">
        <f t="shared" si="459"/>
        <v>0</v>
      </c>
      <c r="BE266" s="13">
        <f>SUMIFS(SALIDAS_BIT,FECHA_BIT,"&gt;="&amp;BE$2,FECHA_BIT,"&lt;="&amp;BE$3,CLAVE_BIT,$A266)+SUMIFS(SALIDAS_BOV1,FECHA_BOV1,"&gt;="&amp;BE$2,FECHA_BOV1,"&lt;="&amp;BE$3,CLAVE_BOV1,$A266)+SUMIFS(SALIDAS_BOV2,FECHA_BOV2,"&gt;="&amp;BE$2,FECHA_BOV2,"&lt;="&amp;BE$3,CLAVE_BOV2,$A266)+SUMIFS(SALIDAS_BOV3,FECHA_BOV3,"&gt;="&amp;BE$2,FECHA_BOV3,"&lt;="&amp;BE$3,CLAVE_BOV3,$A266)+SUMIFS(SALIDAS_TC,FECHA_TC,"&gt;="&amp;BE$2,FECHA_TC,"&lt;="&amp;BE$3,CLAVE_TC,$A266)+SUMIFS(SALIDAS_COMB,FECHA_COMB,"&gt;="&amp;BE$2,FECHA_COMB,"&lt;="&amp;BE$3,CLAVE_COMB,$A266)+SUMIFS(SALIDAS_DES,FECHA_DESGLOSEN,"&gt;="&amp;BE$2,FECHA_DESGLOSEN,"&lt;="&amp;BE$3,CLAVE_DESGLOSE,$A266)</f>
        <v>0</v>
      </c>
      <c r="BF266" s="13">
        <f>SUMIFS(SALIDAS_BIT,FECHA_BIT,"&gt;="&amp;BF$2,FECHA_BIT,"&lt;="&amp;BF$3,CLAVE_BIT,$A266)+SUMIFS(SALIDAS_BOV1,FECHA_BOV1,"&gt;="&amp;BF$2,FECHA_BOV1,"&lt;="&amp;BF$3,CLAVE_BOV1,$A266)+SUMIFS(SALIDAS_BOV2,FECHA_BOV2,"&gt;="&amp;BF$2,FECHA_BOV2,"&lt;="&amp;BF$3,CLAVE_BOV2,$A266)+SUMIFS(SALIDAS_BOV3,FECHA_BOV3,"&gt;="&amp;BF$2,FECHA_BOV3,"&lt;="&amp;BF$3,CLAVE_BOV3,$A266)+SUMIFS(SALIDAS_TC,FECHA_TC,"&gt;="&amp;BF$2,FECHA_TC,"&lt;="&amp;BF$3,CLAVE_TC,$A266)+SUMIFS(SALIDAS_COMB,FECHA_COMB,"&gt;="&amp;BF$2,FECHA_COMB,"&lt;="&amp;BF$3,CLAVE_COMB,$A266)+SUMIFS(SALIDAS_DES,FECHA_DESGLOSEN,"&gt;="&amp;BF$2,FECHA_DESGLOSEN,"&lt;="&amp;BF$3,CLAVE_DESGLOSE,$A266)</f>
        <v>0</v>
      </c>
      <c r="BG266" s="13">
        <f>SUMIFS(SALIDAS_BIT,FECHA_BIT,"&gt;="&amp;BG$2,FECHA_BIT,"&lt;="&amp;BG$3,CLAVE_BIT,$A266)+SUMIFS(SALIDAS_BOV1,FECHA_BOV1,"&gt;="&amp;BG$2,FECHA_BOV1,"&lt;="&amp;BG$3,CLAVE_BOV1,$A266)+SUMIFS(SALIDAS_BOV2,FECHA_BOV2,"&gt;="&amp;BG$2,FECHA_BOV2,"&lt;="&amp;BG$3,CLAVE_BOV2,$A266)+SUMIFS(SALIDAS_BOV3,FECHA_BOV3,"&gt;="&amp;BG$2,FECHA_BOV3,"&lt;="&amp;BG$3,CLAVE_BOV3,$A266)+SUMIFS(SALIDAS_TC,FECHA_TC,"&gt;="&amp;BG$2,FECHA_TC,"&lt;="&amp;BG$3,CLAVE_TC,$A266)+SUMIFS(SALIDAS_COMB,FECHA_COMB,"&gt;="&amp;BG$2,FECHA_COMB,"&lt;="&amp;BG$3,CLAVE_COMB,$A266)+SUMIFS(SALIDAS_DES,FECHA_DESGLOSEN,"&gt;="&amp;BG$2,FECHA_DESGLOSEN,"&lt;="&amp;BG$3,CLAVE_DESGLOSE,$A266)</f>
        <v>0</v>
      </c>
      <c r="BH266" s="13">
        <f>SUMIFS(SALIDAS_BIT,FECHA_BIT,"&gt;="&amp;BH$2,FECHA_BIT,"&lt;="&amp;BH$3,CLAVE_BIT,$A266)+SUMIFS(SALIDAS_BOV1,FECHA_BOV1,"&gt;="&amp;BH$2,FECHA_BOV1,"&lt;="&amp;BH$3,CLAVE_BOV1,$A266)+SUMIFS(SALIDAS_BOV2,FECHA_BOV2,"&gt;="&amp;BH$2,FECHA_BOV2,"&lt;="&amp;BH$3,CLAVE_BOV2,$A266)+SUMIFS(SALIDAS_BOV3,FECHA_BOV3,"&gt;="&amp;BH$2,FECHA_BOV3,"&lt;="&amp;BH$3,CLAVE_BOV3,$A266)+SUMIFS(SALIDAS_TC,FECHA_TC,"&gt;="&amp;BH$2,FECHA_TC,"&lt;="&amp;BH$3,CLAVE_TC,$A266)+SUMIFS(SALIDAS_COMB,FECHA_COMB,"&gt;="&amp;BH$2,FECHA_COMB,"&lt;="&amp;BH$3,CLAVE_COMB,$A266)+SUMIFS(SALIDAS_DES,FECHA_DESGLOSEN,"&gt;="&amp;BH$2,FECHA_DESGLOSEN,"&lt;="&amp;BH$3,CLAVE_DESGLOSE,$A266)</f>
        <v>0</v>
      </c>
      <c r="BI266" s="13">
        <f t="shared" si="419"/>
        <v>0</v>
      </c>
      <c r="BJ266" s="68">
        <f t="shared" si="460"/>
        <v>0</v>
      </c>
      <c r="BK266" s="268">
        <f t="shared" si="461"/>
        <v>0</v>
      </c>
      <c r="BL266" s="13">
        <f t="shared" si="462"/>
        <v>0</v>
      </c>
      <c r="BM266" s="13">
        <f>SUMIFS(SALIDAS_BIT,FECHA_BIT,"&gt;="&amp;BM$2,FECHA_BIT,"&lt;="&amp;BM$3,CLAVE_BIT,$A266)+SUMIFS(SALIDAS_BOV1,FECHA_BOV1,"&gt;="&amp;BM$2,FECHA_BOV1,"&lt;="&amp;BM$3,CLAVE_BOV1,$A266)+SUMIFS(SALIDAS_BOV2,FECHA_BOV2,"&gt;="&amp;BM$2,FECHA_BOV2,"&lt;="&amp;BM$3,CLAVE_BOV2,$A266)+SUMIFS(SALIDAS_BOV3,FECHA_BOV3,"&gt;="&amp;BM$2,FECHA_BOV3,"&lt;="&amp;BM$3,CLAVE_BOV3,$A266)+SUMIFS(SALIDAS_TC,FECHA_TC,"&gt;="&amp;BM$2,FECHA_TC,"&lt;="&amp;BM$3,CLAVE_TC,$A266)+SUMIFS(SALIDAS_COMB,FECHA_COMB,"&gt;="&amp;BM$2,FECHA_COMB,"&lt;="&amp;BM$3,CLAVE_COMB,$A266)+SUMIFS(SALIDAS_DES,FECHA_DESGLOSEN,"&gt;="&amp;BM$2,FECHA_DESGLOSEN,"&lt;="&amp;BM$3,CLAVE_DESGLOSE,$A266)</f>
        <v>640</v>
      </c>
      <c r="BN266" s="13">
        <f>SUMIFS(SALIDAS_BIT,FECHA_BIT,"&gt;="&amp;BN$2,FECHA_BIT,"&lt;="&amp;BN$3,CLAVE_BIT,$A266)+SUMIFS(SALIDAS_BOV1,FECHA_BOV1,"&gt;="&amp;BN$2,FECHA_BOV1,"&lt;="&amp;BN$3,CLAVE_BOV1,$A266)+SUMIFS(SALIDAS_BOV2,FECHA_BOV2,"&gt;="&amp;BN$2,FECHA_BOV2,"&lt;="&amp;BN$3,CLAVE_BOV2,$A266)+SUMIFS(SALIDAS_BOV3,FECHA_BOV3,"&gt;="&amp;BN$2,FECHA_BOV3,"&lt;="&amp;BN$3,CLAVE_BOV3,$A266)+SUMIFS(SALIDAS_TC,FECHA_TC,"&gt;="&amp;BN$2,FECHA_TC,"&lt;="&amp;BN$3,CLAVE_TC,$A266)+SUMIFS(SALIDAS_COMB,FECHA_COMB,"&gt;="&amp;BN$2,FECHA_COMB,"&lt;="&amp;BN$3,CLAVE_COMB,$A266)+SUMIFS(SALIDAS_DES,FECHA_DESGLOSEN,"&gt;="&amp;BN$2,FECHA_DESGLOSEN,"&lt;="&amp;BN$3,CLAVE_DESGLOSE,$A266)</f>
        <v>3480</v>
      </c>
      <c r="BO266" s="13">
        <f>SUMIFS(SALIDAS_BIT,FECHA_BIT,"&gt;="&amp;BO$2,FECHA_BIT,"&lt;="&amp;BO$3,CLAVE_BIT,$A266)+SUMIFS(SALIDAS_BOV1,FECHA_BOV1,"&gt;="&amp;BO$2,FECHA_BOV1,"&lt;="&amp;BO$3,CLAVE_BOV1,$A266)+SUMIFS(SALIDAS_BOV2,FECHA_BOV2,"&gt;="&amp;BO$2,FECHA_BOV2,"&lt;="&amp;BO$3,CLAVE_BOV2,$A266)+SUMIFS(SALIDAS_BOV3,FECHA_BOV3,"&gt;="&amp;BO$2,FECHA_BOV3,"&lt;="&amp;BO$3,CLAVE_BOV3,$A266)+SUMIFS(SALIDAS_TC,FECHA_TC,"&gt;="&amp;BO$2,FECHA_TC,"&lt;="&amp;BO$3,CLAVE_TC,$A266)+SUMIFS(SALIDAS_COMB,FECHA_COMB,"&gt;="&amp;BO$2,FECHA_COMB,"&lt;="&amp;BO$3,CLAVE_COMB,$A266)+SUMIFS(SALIDAS_DES,FECHA_DESGLOSEN,"&gt;="&amp;BO$2,FECHA_DESGLOSEN,"&lt;="&amp;BO$3,CLAVE_DESGLOSE,$A266)</f>
        <v>0</v>
      </c>
      <c r="BP266" s="13">
        <f>SUMIFS(SALIDAS_BIT,FECHA_BIT,"&gt;="&amp;BP$2,FECHA_BIT,"&lt;="&amp;BP$3,CLAVE_BIT,$A266)+SUMIFS(SALIDAS_BOV1,FECHA_BOV1,"&gt;="&amp;BP$2,FECHA_BOV1,"&lt;="&amp;BP$3,CLAVE_BOV1,$A266)+SUMIFS(SALIDAS_BOV2,FECHA_BOV2,"&gt;="&amp;BP$2,FECHA_BOV2,"&lt;="&amp;BP$3,CLAVE_BOV2,$A266)+SUMIFS(SALIDAS_BOV3,FECHA_BOV3,"&gt;="&amp;BP$2,FECHA_BOV3,"&lt;="&amp;BP$3,CLAVE_BOV3,$A266)+SUMIFS(SALIDAS_TC,FECHA_TC,"&gt;="&amp;BP$2,FECHA_TC,"&lt;="&amp;BP$3,CLAVE_TC,$A266)+SUMIFS(SALIDAS_COMB,FECHA_COMB,"&gt;="&amp;BP$2,FECHA_COMB,"&lt;="&amp;BP$3,CLAVE_COMB,$A266)+SUMIFS(SALIDAS_DES,FECHA_DESGLOSEN,"&gt;="&amp;BP$2,FECHA_DESGLOSEN,"&lt;="&amp;BP$3,CLAVE_DESGLOSE,$A266)</f>
        <v>0</v>
      </c>
      <c r="BQ266" s="13">
        <f>SUMIFS(SALIDAS_BIT,FECHA_BIT,"&gt;="&amp;BQ$2,FECHA_BIT,"&lt;="&amp;BQ$3,CLAVE_BIT,$A266)+SUMIFS(SALIDAS_BOV1,FECHA_BOV1,"&gt;="&amp;BQ$2,FECHA_BOV1,"&lt;="&amp;BQ$3,CLAVE_BOV1,$A266)+SUMIFS(SALIDAS_BOV2,FECHA_BOV2,"&gt;="&amp;BQ$2,FECHA_BOV2,"&lt;="&amp;BQ$3,CLAVE_BOV2,$A266)+SUMIFS(SALIDAS_BOV3,FECHA_BOV3,"&gt;="&amp;BQ$2,FECHA_BOV3,"&lt;="&amp;BQ$3,CLAVE_BOV3,$A266)+SUMIFS(SALIDAS_TC,FECHA_TC,"&gt;="&amp;BQ$2,FECHA_TC,"&lt;="&amp;BQ$3,CLAVE_TC,$A266)+SUMIFS(SALIDAS_COMB,FECHA_COMB,"&gt;="&amp;BQ$2,FECHA_COMB,"&lt;="&amp;BQ$3,CLAVE_COMB,$A266)+SUMIFS(SALIDAS_DES,FECHA_DESGLOSEN,"&gt;="&amp;BQ$2,FECHA_DESGLOSEN,"&lt;="&amp;BQ$3,CLAVE_DESGLOSE,$A266)</f>
        <v>0</v>
      </c>
      <c r="BR266" s="13">
        <f t="shared" si="436"/>
        <v>4120</v>
      </c>
      <c r="BS266" s="68">
        <f t="shared" si="463"/>
        <v>-4120</v>
      </c>
      <c r="BT266" s="268">
        <f t="shared" si="464"/>
        <v>0</v>
      </c>
      <c r="BU266" s="13">
        <f t="shared" si="465"/>
        <v>0</v>
      </c>
      <c r="BV266" s="13">
        <f t="shared" si="389"/>
        <v>0</v>
      </c>
      <c r="BW266" s="13">
        <f t="shared" si="389"/>
        <v>0</v>
      </c>
      <c r="BX266" s="13">
        <f t="shared" si="389"/>
        <v>0</v>
      </c>
      <c r="BY266" s="13">
        <f t="shared" si="389"/>
        <v>0</v>
      </c>
      <c r="BZ266" s="13">
        <f t="shared" si="437"/>
        <v>0</v>
      </c>
      <c r="CA266" s="68">
        <f t="shared" si="466"/>
        <v>0</v>
      </c>
      <c r="CB266" s="268">
        <f t="shared" si="467"/>
        <v>0</v>
      </c>
      <c r="CC266" s="13">
        <f t="shared" si="468"/>
        <v>0</v>
      </c>
      <c r="CD266" s="13">
        <f t="shared" si="390"/>
        <v>0</v>
      </c>
      <c r="CE266" s="13">
        <f t="shared" si="390"/>
        <v>0</v>
      </c>
      <c r="CF266" s="13">
        <f t="shared" si="390"/>
        <v>0</v>
      </c>
      <c r="CG266" s="13">
        <f t="shared" si="390"/>
        <v>2560</v>
      </c>
      <c r="CH266" s="13">
        <f t="shared" si="438"/>
        <v>2560</v>
      </c>
      <c r="CI266" s="68">
        <f t="shared" si="469"/>
        <v>-2560</v>
      </c>
      <c r="CJ266" s="268">
        <f t="shared" si="470"/>
        <v>0</v>
      </c>
      <c r="CK266" s="13">
        <f t="shared" si="471"/>
        <v>0</v>
      </c>
      <c r="CL266" s="13">
        <f t="shared" si="400"/>
        <v>640</v>
      </c>
      <c r="CM266" s="13">
        <f t="shared" si="400"/>
        <v>0</v>
      </c>
      <c r="CN266" s="13">
        <f t="shared" si="400"/>
        <v>0</v>
      </c>
      <c r="CO266" s="13">
        <f t="shared" si="400"/>
        <v>0</v>
      </c>
      <c r="CP266" s="13">
        <f t="shared" si="400"/>
        <v>0</v>
      </c>
      <c r="CQ266" s="13">
        <f t="shared" si="439"/>
        <v>640</v>
      </c>
      <c r="CR266" s="68">
        <f t="shared" si="472"/>
        <v>-640</v>
      </c>
      <c r="CS266" s="268">
        <f t="shared" si="473"/>
        <v>0</v>
      </c>
      <c r="CT266" s="68">
        <f t="shared" si="446"/>
        <v>0</v>
      </c>
      <c r="CU266" s="13">
        <f>SUMIFS(SALIDAS_BIT,FECHA_BIT,"&gt;="&amp;CU$2,FECHA_BIT,"&lt;="&amp;CU$3,CLAVE_BIT,$A266)+SUMIFS(SALIDAS_BOV1,FECHA_BOV1,"&gt;="&amp;CU$2,FECHA_BOV1,"&lt;="&amp;CU$3,CLAVE_BOV1,$A266)+SUMIFS(SALIDAS_BOV2,FECHA_BOV2,"&gt;="&amp;CU$2,FECHA_BOV2,"&lt;="&amp;CU$3,CLAVE_BOV2,$A266)+SUMIFS(SALIDAS_BOV3,FECHA_BOV3,"&gt;="&amp;CU$2,FECHA_BOV3,"&lt;="&amp;CU$3,CLAVE_BOV3,$A266)+SUMIFS(SALIDAS_TC,FECHA_TC,"&gt;="&amp;CU$2,FECHA_TC,"&lt;="&amp;CU$3,CLAVE_TC,$A266)+SUMIFS(SALIDAS_COMB,FECHA_COMB,"&gt;="&amp;CU$2,FECHA_COMB,"&lt;="&amp;CU$3,CLAVE_COMB,$A266)+SUMIFS(SALIDAS_DES,FECHA_DESGLOSEN,"&gt;="&amp;CU$2,FECHA_DESGLOSEN,"&lt;="&amp;CU$3,CLAVE_DESGLOSE,$A266)</f>
        <v>0</v>
      </c>
      <c r="CV266" s="13">
        <f>SUMIFS(SALIDAS_BIT,FECHA_BIT,"&gt;="&amp;CV$2,FECHA_BIT,"&lt;="&amp;CV$3,CLAVE_BIT,$A266)+SUMIFS(SALIDAS_BOV1,FECHA_BOV1,"&gt;="&amp;CV$2,FECHA_BOV1,"&lt;="&amp;CV$3,CLAVE_BOV1,$A266)+SUMIFS(SALIDAS_BOV2,FECHA_BOV2,"&gt;="&amp;CV$2,FECHA_BOV2,"&lt;="&amp;CV$3,CLAVE_BOV2,$A266)+SUMIFS(SALIDAS_BOV3,FECHA_BOV3,"&gt;="&amp;CV$2,FECHA_BOV3,"&lt;="&amp;CV$3,CLAVE_BOV3,$A266)+SUMIFS(SALIDAS_TC,FECHA_TC,"&gt;="&amp;CV$2,FECHA_TC,"&lt;="&amp;CV$3,CLAVE_TC,$A266)+SUMIFS(SALIDAS_COMB,FECHA_COMB,"&gt;="&amp;CV$2,FECHA_COMB,"&lt;="&amp;CV$3,CLAVE_COMB,$A266)+SUMIFS(SALIDAS_DES,FECHA_DESGLOSEN,"&gt;="&amp;CV$2,FECHA_DESGLOSEN,"&lt;="&amp;CV$3,CLAVE_DESGLOSE,$A266)</f>
        <v>1920</v>
      </c>
      <c r="CW266" s="13">
        <f>SUMIFS(SALIDAS_BIT,FECHA_BIT,"&gt;="&amp;CW$2,FECHA_BIT,"&lt;="&amp;CW$3,CLAVE_BIT,$A266)+SUMIFS(SALIDAS_BOV1,FECHA_BOV1,"&gt;="&amp;CW$2,FECHA_BOV1,"&lt;="&amp;CW$3,CLAVE_BOV1,$A266)+SUMIFS(SALIDAS_BOV2,FECHA_BOV2,"&gt;="&amp;CW$2,FECHA_BOV2,"&lt;="&amp;CW$3,CLAVE_BOV2,$A266)+SUMIFS(SALIDAS_BOV3,FECHA_BOV3,"&gt;="&amp;CW$2,FECHA_BOV3,"&lt;="&amp;CW$3,CLAVE_BOV3,$A266)+SUMIFS(SALIDAS_TC,FECHA_TC,"&gt;="&amp;CW$2,FECHA_TC,"&lt;="&amp;CW$3,CLAVE_TC,$A266)+SUMIFS(SALIDAS_COMB,FECHA_COMB,"&gt;="&amp;CW$2,FECHA_COMB,"&lt;="&amp;CW$3,CLAVE_COMB,$A266)+SUMIFS(SALIDAS_DES,FECHA_DESGLOSEN,"&gt;="&amp;CW$2,FECHA_DESGLOSEN,"&lt;="&amp;CW$3,CLAVE_DESGLOSE,$A266)</f>
        <v>640</v>
      </c>
      <c r="CX266" s="13">
        <f>SUMIFS(SALIDAS_BIT,FECHA_BIT,"&gt;="&amp;CX$2,FECHA_BIT,"&lt;="&amp;CX$3,CLAVE_BIT,$A266)+SUMIFS(SALIDAS_BOV1,FECHA_BOV1,"&gt;="&amp;CX$2,FECHA_BOV1,"&lt;="&amp;CX$3,CLAVE_BOV1,$A266)+SUMIFS(SALIDAS_BOV2,FECHA_BOV2,"&gt;="&amp;CX$2,FECHA_BOV2,"&lt;="&amp;CX$3,CLAVE_BOV2,$A266)+SUMIFS(SALIDAS_BOV3,FECHA_BOV3,"&gt;="&amp;CX$2,FECHA_BOV3,"&lt;="&amp;CX$3,CLAVE_BOV3,$A266)+SUMIFS(SALIDAS_TC,FECHA_TC,"&gt;="&amp;CX$2,FECHA_TC,"&lt;="&amp;CX$3,CLAVE_TC,$A266)+SUMIFS(SALIDAS_COMB,FECHA_COMB,"&gt;="&amp;CX$2,FECHA_COMB,"&lt;="&amp;CX$3,CLAVE_COMB,$A266)+SUMIFS(SALIDAS_DES,FECHA_DESGLOSEN,"&gt;="&amp;CX$2,FECHA_DESGLOSEN,"&lt;="&amp;CX$3,CLAVE_DESGLOSE,$A266)</f>
        <v>0</v>
      </c>
      <c r="CY266" s="13">
        <f>SUMIFS(SALIDAS_BIT,FECHA_BIT,"&gt;="&amp;CY$2,FECHA_BIT,"&lt;="&amp;CY$3,CLAVE_BIT,$A266)+SUMIFS(SALIDAS_BOV1,FECHA_BOV1,"&gt;="&amp;CY$2,FECHA_BOV1,"&lt;="&amp;CY$3,CLAVE_BOV1,$A266)+SUMIFS(SALIDAS_BOV2,FECHA_BOV2,"&gt;="&amp;CY$2,FECHA_BOV2,"&lt;="&amp;CY$3,CLAVE_BOV2,$A266)+SUMIFS(SALIDAS_BOV3,FECHA_BOV3,"&gt;="&amp;CY$2,FECHA_BOV3,"&lt;="&amp;CY$3,CLAVE_BOV3,$A266)+SUMIFS(SALIDAS_TC,FECHA_TC,"&gt;="&amp;CY$2,FECHA_TC,"&lt;="&amp;CY$3,CLAVE_TC,$A266)+SUMIFS(SALIDAS_COMB,FECHA_COMB,"&gt;="&amp;CY$2,FECHA_COMB,"&lt;="&amp;CY$3,CLAVE_COMB,$A266)+SUMIFS(SALIDAS_DES,FECHA_DESGLOSEN,"&gt;="&amp;CY$2,FECHA_DESGLOSEN,"&lt;="&amp;CY$3,CLAVE_DESGLOSE,$A266)</f>
        <v>2560</v>
      </c>
      <c r="CZ266" s="68">
        <f t="shared" si="474"/>
        <v>-2560</v>
      </c>
      <c r="DB266" s="17">
        <f>F266+N266+W266+AE266+AM266+AV266+BD266+BL266+BU266+CC266+CK266</f>
        <v>0</v>
      </c>
      <c r="DC266" s="17">
        <f>K266+T266+AB266+AJ266+AS266+BA266+BI266+BR266+BZ266+CH266+CQ266</f>
        <v>13120</v>
      </c>
    </row>
    <row r="267" spans="1:107" hidden="1">
      <c r="A267" s="12" t="str">
        <f t="shared" si="447"/>
        <v>HRCUOTAS Y SUSCRIPCIONESESTACIONAMIENTO A1</v>
      </c>
      <c r="B267">
        <v>269</v>
      </c>
      <c r="C267" t="s">
        <v>29</v>
      </c>
      <c r="D267" t="s">
        <v>51</v>
      </c>
      <c r="E267" t="s">
        <v>68</v>
      </c>
      <c r="F267" s="259">
        <f t="shared" si="440"/>
        <v>0</v>
      </c>
      <c r="G267" s="13">
        <f t="shared" ref="G267:K276" si="476">SUMIFS(SALIDAS_BIT,FECHA_BIT,"&gt;="&amp;G$2,FECHA_BIT,"&lt;="&amp;G$3,CLAVE_BIT,$A267)+SUMIFS(SALIDAS_BOV1,FECHA_BOV1,"&gt;="&amp;G$2,FECHA_BOV1,"&lt;="&amp;G$3,CLAVE_BOV1,$A267)+SUMIFS(SALIDAS_BOV2,FECHA_BOV2,"&gt;="&amp;G$2,FECHA_BOV2,"&lt;="&amp;G$3,CLAVE_BOV2,$A267)+SUMIFS(SALIDAS_BOV3,FECHA_BOV3,"&gt;="&amp;G$2,FECHA_BOV3,"&lt;="&amp;G$3,CLAVE_BOV3,$A267)+SUMIFS(SALIDAS_TC,FECHA_TC,"&gt;="&amp;G$2,FECHA_TC,"&lt;="&amp;G$3,CLAVE_TC,$A267)+SUMIFS(SALIDAS_COMB,FECHA_COMB,"&gt;="&amp;G$2,FECHA_COMB,"&lt;="&amp;G$3,CLAVE_COMB,$A267)+SUMIFS(SALIDAS_DES,FECHA_DESGLOSEN,"&gt;="&amp;G$2,FECHA_DESGLOSEN,"&lt;="&amp;G$3,CLAVE_DESGLOSE,$A267)</f>
        <v>0</v>
      </c>
      <c r="H267" s="13">
        <f t="shared" si="476"/>
        <v>0</v>
      </c>
      <c r="I267" s="13">
        <f t="shared" si="476"/>
        <v>0</v>
      </c>
      <c r="J267" s="13">
        <f t="shared" si="476"/>
        <v>0</v>
      </c>
      <c r="K267" s="13">
        <f t="shared" si="476"/>
        <v>0</v>
      </c>
      <c r="L267" s="68">
        <f t="shared" si="448"/>
        <v>0</v>
      </c>
      <c r="M267" s="268">
        <f t="shared" si="449"/>
        <v>0</v>
      </c>
      <c r="N267" s="13">
        <f t="shared" si="441"/>
        <v>0</v>
      </c>
      <c r="O267" s="13">
        <f t="shared" ref="O267:T276" si="477">SUMIFS(SALIDAS_BIT,FECHA_BIT,"&gt;="&amp;O$2,FECHA_BIT,"&lt;="&amp;O$3,CLAVE_BIT,$A267)+SUMIFS(SALIDAS_BOV1,FECHA_BOV1,"&gt;="&amp;O$2,FECHA_BOV1,"&lt;="&amp;O$3,CLAVE_BOV1,$A267)+SUMIFS(SALIDAS_BOV2,FECHA_BOV2,"&gt;="&amp;O$2,FECHA_BOV2,"&lt;="&amp;O$3,CLAVE_BOV2,$A267)+SUMIFS(SALIDAS_BOV3,FECHA_BOV3,"&gt;="&amp;O$2,FECHA_BOV3,"&lt;="&amp;O$3,CLAVE_BOV3,$A267)+SUMIFS(SALIDAS_TC,FECHA_TC,"&gt;="&amp;O$2,FECHA_TC,"&lt;="&amp;O$3,CLAVE_TC,$A267)+SUMIFS(SALIDAS_COMB,FECHA_COMB,"&gt;="&amp;O$2,FECHA_COMB,"&lt;="&amp;O$3,CLAVE_COMB,$A267)+SUMIFS(SALIDAS_DES,FECHA_DESGLOSEN,"&gt;="&amp;O$2,FECHA_DESGLOSEN,"&lt;="&amp;O$3,CLAVE_DESGLOSE,$A267)</f>
        <v>0</v>
      </c>
      <c r="P267" s="13">
        <f t="shared" si="477"/>
        <v>0</v>
      </c>
      <c r="Q267" s="13">
        <f t="shared" si="477"/>
        <v>0</v>
      </c>
      <c r="R267" s="13">
        <f t="shared" si="477"/>
        <v>0</v>
      </c>
      <c r="S267" s="13">
        <f t="shared" si="477"/>
        <v>0</v>
      </c>
      <c r="T267" s="13">
        <f t="shared" si="477"/>
        <v>0</v>
      </c>
      <c r="U267" s="68">
        <f t="shared" si="450"/>
        <v>0</v>
      </c>
      <c r="V267" s="268">
        <f t="shared" si="451"/>
        <v>0</v>
      </c>
      <c r="W267" s="13">
        <f t="shared" si="442"/>
        <v>9800</v>
      </c>
      <c r="X267" s="13">
        <f t="shared" ref="X267:AB276" si="478">SUMIFS(SALIDAS_BIT,FECHA_BIT,"&gt;="&amp;X$2,FECHA_BIT,"&lt;="&amp;X$3,CLAVE_BIT,$A267)+SUMIFS(SALIDAS_BOV1,FECHA_BOV1,"&gt;="&amp;X$2,FECHA_BOV1,"&lt;="&amp;X$3,CLAVE_BOV1,$A267)+SUMIFS(SALIDAS_BOV2,FECHA_BOV2,"&gt;="&amp;X$2,FECHA_BOV2,"&lt;="&amp;X$3,CLAVE_BOV2,$A267)+SUMIFS(SALIDAS_BOV3,FECHA_BOV3,"&gt;="&amp;X$2,FECHA_BOV3,"&lt;="&amp;X$3,CLAVE_BOV3,$A267)+SUMIFS(SALIDAS_TC,FECHA_TC,"&gt;="&amp;X$2,FECHA_TC,"&lt;="&amp;X$3,CLAVE_TC,$A267)+SUMIFS(SALIDAS_COMB,FECHA_COMB,"&gt;="&amp;X$2,FECHA_COMB,"&lt;="&amp;X$3,CLAVE_COMB,$A267)+SUMIFS(SALIDAS_DES,FECHA_DESGLOSEN,"&gt;="&amp;X$2,FECHA_DESGLOSEN,"&lt;="&amp;X$3,CLAVE_DESGLOSE,$A267)</f>
        <v>0</v>
      </c>
      <c r="Y267" s="13">
        <f t="shared" si="478"/>
        <v>0</v>
      </c>
      <c r="Z267" s="13">
        <f t="shared" si="478"/>
        <v>0</v>
      </c>
      <c r="AA267" s="13">
        <f t="shared" si="478"/>
        <v>0</v>
      </c>
      <c r="AB267" s="13">
        <f t="shared" si="478"/>
        <v>0</v>
      </c>
      <c r="AC267" s="68">
        <f t="shared" si="452"/>
        <v>9800</v>
      </c>
      <c r="AD267" s="268">
        <f t="shared" si="453"/>
        <v>0</v>
      </c>
      <c r="AE267" s="13">
        <f t="shared" si="443"/>
        <v>2450</v>
      </c>
      <c r="AF267" s="13">
        <f t="shared" ref="AF267:AJ276" si="479">SUMIFS(SALIDAS_BIT,FECHA_BIT,"&gt;="&amp;AF$2,FECHA_BIT,"&lt;="&amp;AF$3,CLAVE_BIT,$A267)+SUMIFS(SALIDAS_BOV1,FECHA_BOV1,"&gt;="&amp;AF$2,FECHA_BOV1,"&lt;="&amp;AF$3,CLAVE_BOV1,$A267)+SUMIFS(SALIDAS_BOV2,FECHA_BOV2,"&gt;="&amp;AF$2,FECHA_BOV2,"&lt;="&amp;AF$3,CLAVE_BOV2,$A267)+SUMIFS(SALIDAS_BOV3,FECHA_BOV3,"&gt;="&amp;AF$2,FECHA_BOV3,"&lt;="&amp;AF$3,CLAVE_BOV3,$A267)+SUMIFS(SALIDAS_TC,FECHA_TC,"&gt;="&amp;AF$2,FECHA_TC,"&lt;="&amp;AF$3,CLAVE_TC,$A267)+SUMIFS(SALIDAS_COMB,FECHA_COMB,"&gt;="&amp;AF$2,FECHA_COMB,"&lt;="&amp;AF$3,CLAVE_COMB,$A267)+SUMIFS(SALIDAS_DES,FECHA_DESGLOSEN,"&gt;="&amp;AF$2,FECHA_DESGLOSEN,"&lt;="&amp;AF$3,CLAVE_DESGLOSE,$A267)</f>
        <v>0</v>
      </c>
      <c r="AG267" s="13">
        <f t="shared" si="479"/>
        <v>0</v>
      </c>
      <c r="AH267" s="13">
        <f t="shared" si="479"/>
        <v>0</v>
      </c>
      <c r="AI267" s="13">
        <f t="shared" si="479"/>
        <v>0</v>
      </c>
      <c r="AJ267" s="13">
        <f t="shared" si="479"/>
        <v>0</v>
      </c>
      <c r="AK267" s="68">
        <f t="shared" si="454"/>
        <v>2450</v>
      </c>
      <c r="AL267" s="268">
        <f t="shared" si="455"/>
        <v>0</v>
      </c>
      <c r="AM267" s="13">
        <f t="shared" si="444"/>
        <v>4900</v>
      </c>
      <c r="AN267" s="13">
        <f t="shared" ref="AN267:AS276" si="480">SUMIFS(SALIDAS_BIT,FECHA_BIT,"&gt;="&amp;AN$2,FECHA_BIT,"&lt;="&amp;AN$3,CLAVE_BIT,$A267)+SUMIFS(SALIDAS_BOV1,FECHA_BOV1,"&gt;="&amp;AN$2,FECHA_BOV1,"&lt;="&amp;AN$3,CLAVE_BOV1,$A267)+SUMIFS(SALIDAS_BOV2,FECHA_BOV2,"&gt;="&amp;AN$2,FECHA_BOV2,"&lt;="&amp;AN$3,CLAVE_BOV2,$A267)+SUMIFS(SALIDAS_BOV3,FECHA_BOV3,"&gt;="&amp;AN$2,FECHA_BOV3,"&lt;="&amp;AN$3,CLAVE_BOV3,$A267)+SUMIFS(SALIDAS_TC,FECHA_TC,"&gt;="&amp;AN$2,FECHA_TC,"&lt;="&amp;AN$3,CLAVE_TC,$A267)+SUMIFS(SALIDAS_COMB,FECHA_COMB,"&gt;="&amp;AN$2,FECHA_COMB,"&lt;="&amp;AN$3,CLAVE_COMB,$A267)+SUMIFS(SALIDAS_DES,FECHA_DESGLOSEN,"&gt;="&amp;AN$2,FECHA_DESGLOSEN,"&lt;="&amp;AN$3,CLAVE_DESGLOSE,$A267)</f>
        <v>0</v>
      </c>
      <c r="AO267" s="13">
        <f t="shared" si="480"/>
        <v>0</v>
      </c>
      <c r="AP267" s="13">
        <f t="shared" si="480"/>
        <v>0</v>
      </c>
      <c r="AQ267" s="13">
        <f t="shared" si="480"/>
        <v>0</v>
      </c>
      <c r="AR267" s="13">
        <f t="shared" si="480"/>
        <v>0</v>
      </c>
      <c r="AS267" s="13">
        <f t="shared" si="480"/>
        <v>0</v>
      </c>
      <c r="AT267" s="68">
        <f>AM267-AS267</f>
        <v>4900</v>
      </c>
      <c r="AU267" s="268">
        <f t="shared" si="456"/>
        <v>0</v>
      </c>
      <c r="AV267" s="13">
        <f t="shared" si="445"/>
        <v>5298</v>
      </c>
      <c r="AW267" s="13">
        <f t="shared" si="421"/>
        <v>0</v>
      </c>
      <c r="AX267" s="13">
        <f t="shared" si="421"/>
        <v>0</v>
      </c>
      <c r="AY267" s="13">
        <f t="shared" si="421"/>
        <v>0</v>
      </c>
      <c r="AZ267" s="13">
        <f t="shared" si="421"/>
        <v>0</v>
      </c>
      <c r="BA267" s="13">
        <f t="shared" si="475"/>
        <v>0</v>
      </c>
      <c r="BB267" s="68">
        <f t="shared" si="457"/>
        <v>5298</v>
      </c>
      <c r="BC267" s="268">
        <f t="shared" si="458"/>
        <v>0</v>
      </c>
      <c r="BD267" s="13">
        <f t="shared" si="459"/>
        <v>2450</v>
      </c>
      <c r="BE267" s="13">
        <f>SUMIFS(SALIDAS_BIT,FECHA_BIT,"&gt;="&amp;BE$2,FECHA_BIT,"&lt;="&amp;BE$3,CLAVE_BIT,$A267)+SUMIFS(SALIDAS_BOV1,FECHA_BOV1,"&gt;="&amp;BE$2,FECHA_BOV1,"&lt;="&amp;BE$3,CLAVE_BOV1,$A267)+SUMIFS(SALIDAS_BOV2,FECHA_BOV2,"&gt;="&amp;BE$2,FECHA_BOV2,"&lt;="&amp;BE$3,CLAVE_BOV2,$A267)+SUMIFS(SALIDAS_BOV3,FECHA_BOV3,"&gt;="&amp;BE$2,FECHA_BOV3,"&lt;="&amp;BE$3,CLAVE_BOV3,$A267)+SUMIFS(SALIDAS_TC,FECHA_TC,"&gt;="&amp;BE$2,FECHA_TC,"&lt;="&amp;BE$3,CLAVE_TC,$A267)+SUMIFS(SALIDAS_COMB,FECHA_COMB,"&gt;="&amp;BE$2,FECHA_COMB,"&lt;="&amp;BE$3,CLAVE_COMB,$A267)+SUMIFS(SALIDAS_DES,FECHA_DESGLOSEN,"&gt;="&amp;BE$2,FECHA_DESGLOSEN,"&lt;="&amp;BE$3,CLAVE_DESGLOSE,$A267)</f>
        <v>0</v>
      </c>
      <c r="BF267" s="13">
        <f>SUMIFS(SALIDAS_BIT,FECHA_BIT,"&gt;="&amp;BF$2,FECHA_BIT,"&lt;="&amp;BF$3,CLAVE_BIT,$A267)+SUMIFS(SALIDAS_BOV1,FECHA_BOV1,"&gt;="&amp;BF$2,FECHA_BOV1,"&lt;="&amp;BF$3,CLAVE_BOV1,$A267)+SUMIFS(SALIDAS_BOV2,FECHA_BOV2,"&gt;="&amp;BF$2,FECHA_BOV2,"&lt;="&amp;BF$3,CLAVE_BOV2,$A267)+SUMIFS(SALIDAS_BOV3,FECHA_BOV3,"&gt;="&amp;BF$2,FECHA_BOV3,"&lt;="&amp;BF$3,CLAVE_BOV3,$A267)+SUMIFS(SALIDAS_TC,FECHA_TC,"&gt;="&amp;BF$2,FECHA_TC,"&lt;="&amp;BF$3,CLAVE_TC,$A267)+SUMIFS(SALIDAS_COMB,FECHA_COMB,"&gt;="&amp;BF$2,FECHA_COMB,"&lt;="&amp;BF$3,CLAVE_COMB,$A267)+SUMIFS(SALIDAS_DES,FECHA_DESGLOSEN,"&gt;="&amp;BF$2,FECHA_DESGLOSEN,"&lt;="&amp;BF$3,CLAVE_DESGLOSE,$A267)</f>
        <v>0</v>
      </c>
      <c r="BG267" s="13">
        <f>SUMIFS(SALIDAS_BIT,FECHA_BIT,"&gt;="&amp;BG$2,FECHA_BIT,"&lt;="&amp;BG$3,CLAVE_BIT,$A267)+SUMIFS(SALIDAS_BOV1,FECHA_BOV1,"&gt;="&amp;BG$2,FECHA_BOV1,"&lt;="&amp;BG$3,CLAVE_BOV1,$A267)+SUMIFS(SALIDAS_BOV2,FECHA_BOV2,"&gt;="&amp;BG$2,FECHA_BOV2,"&lt;="&amp;BG$3,CLAVE_BOV2,$A267)+SUMIFS(SALIDAS_BOV3,FECHA_BOV3,"&gt;="&amp;BG$2,FECHA_BOV3,"&lt;="&amp;BG$3,CLAVE_BOV3,$A267)+SUMIFS(SALIDAS_TC,FECHA_TC,"&gt;="&amp;BG$2,FECHA_TC,"&lt;="&amp;BG$3,CLAVE_TC,$A267)+SUMIFS(SALIDAS_COMB,FECHA_COMB,"&gt;="&amp;BG$2,FECHA_COMB,"&lt;="&amp;BG$3,CLAVE_COMB,$A267)+SUMIFS(SALIDAS_DES,FECHA_DESGLOSEN,"&gt;="&amp;BG$2,FECHA_DESGLOSEN,"&lt;="&amp;BG$3,CLAVE_DESGLOSE,$A267)</f>
        <v>0</v>
      </c>
      <c r="BH267" s="13">
        <f>SUMIFS(SALIDAS_BIT,FECHA_BIT,"&gt;="&amp;BH$2,FECHA_BIT,"&lt;="&amp;BH$3,CLAVE_BIT,$A267)+SUMIFS(SALIDAS_BOV1,FECHA_BOV1,"&gt;="&amp;BH$2,FECHA_BOV1,"&lt;="&amp;BH$3,CLAVE_BOV1,$A267)+SUMIFS(SALIDAS_BOV2,FECHA_BOV2,"&gt;="&amp;BH$2,FECHA_BOV2,"&lt;="&amp;BH$3,CLAVE_BOV2,$A267)+SUMIFS(SALIDAS_BOV3,FECHA_BOV3,"&gt;="&amp;BH$2,FECHA_BOV3,"&lt;="&amp;BH$3,CLAVE_BOV3,$A267)+SUMIFS(SALIDAS_TC,FECHA_TC,"&gt;="&amp;BH$2,FECHA_TC,"&lt;="&amp;BH$3,CLAVE_TC,$A267)+SUMIFS(SALIDAS_COMB,FECHA_COMB,"&gt;="&amp;BH$2,FECHA_COMB,"&lt;="&amp;BH$3,CLAVE_COMB,$A267)+SUMIFS(SALIDAS_DES,FECHA_DESGLOSEN,"&gt;="&amp;BH$2,FECHA_DESGLOSEN,"&lt;="&amp;BH$3,CLAVE_DESGLOSE,$A267)</f>
        <v>0</v>
      </c>
      <c r="BI267" s="13">
        <f t="shared" si="419"/>
        <v>0</v>
      </c>
      <c r="BJ267" s="68">
        <f t="shared" si="460"/>
        <v>2450</v>
      </c>
      <c r="BK267" s="268">
        <f t="shared" si="461"/>
        <v>0</v>
      </c>
      <c r="BL267" s="13">
        <f t="shared" si="462"/>
        <v>0</v>
      </c>
      <c r="BM267" s="13">
        <f>SUMIFS(SALIDAS_BIT,FECHA_BIT,"&gt;="&amp;BM$2,FECHA_BIT,"&lt;="&amp;BM$3,CLAVE_BIT,$A267)+SUMIFS(SALIDAS_BOV1,FECHA_BOV1,"&gt;="&amp;BM$2,FECHA_BOV1,"&lt;="&amp;BM$3,CLAVE_BOV1,$A267)+SUMIFS(SALIDAS_BOV2,FECHA_BOV2,"&gt;="&amp;BM$2,FECHA_BOV2,"&lt;="&amp;BM$3,CLAVE_BOV2,$A267)+SUMIFS(SALIDAS_BOV3,FECHA_BOV3,"&gt;="&amp;BM$2,FECHA_BOV3,"&lt;="&amp;BM$3,CLAVE_BOV3,$A267)+SUMIFS(SALIDAS_TC,FECHA_TC,"&gt;="&amp;BM$2,FECHA_TC,"&lt;="&amp;BM$3,CLAVE_TC,$A267)+SUMIFS(SALIDAS_COMB,FECHA_COMB,"&gt;="&amp;BM$2,FECHA_COMB,"&lt;="&amp;BM$3,CLAVE_COMB,$A267)+SUMIFS(SALIDAS_DES,FECHA_DESGLOSEN,"&gt;="&amp;BM$2,FECHA_DESGLOSEN,"&lt;="&amp;BM$3,CLAVE_DESGLOSE,$A267)</f>
        <v>0</v>
      </c>
      <c r="BN267" s="13">
        <f>SUMIFS(SALIDAS_BIT,FECHA_BIT,"&gt;="&amp;BN$2,FECHA_BIT,"&lt;="&amp;BN$3,CLAVE_BIT,$A267)+SUMIFS(SALIDAS_BOV1,FECHA_BOV1,"&gt;="&amp;BN$2,FECHA_BOV1,"&lt;="&amp;BN$3,CLAVE_BOV1,$A267)+SUMIFS(SALIDAS_BOV2,FECHA_BOV2,"&gt;="&amp;BN$2,FECHA_BOV2,"&lt;="&amp;BN$3,CLAVE_BOV2,$A267)+SUMIFS(SALIDAS_BOV3,FECHA_BOV3,"&gt;="&amp;BN$2,FECHA_BOV3,"&lt;="&amp;BN$3,CLAVE_BOV3,$A267)+SUMIFS(SALIDAS_TC,FECHA_TC,"&gt;="&amp;BN$2,FECHA_TC,"&lt;="&amp;BN$3,CLAVE_TC,$A267)+SUMIFS(SALIDAS_COMB,FECHA_COMB,"&gt;="&amp;BN$2,FECHA_COMB,"&lt;="&amp;BN$3,CLAVE_COMB,$A267)+SUMIFS(SALIDAS_DES,FECHA_DESGLOSEN,"&gt;="&amp;BN$2,FECHA_DESGLOSEN,"&lt;="&amp;BN$3,CLAVE_DESGLOSE,$A267)</f>
        <v>0</v>
      </c>
      <c r="BO267" s="13">
        <f>SUMIFS(SALIDAS_BIT,FECHA_BIT,"&gt;="&amp;BO$2,FECHA_BIT,"&lt;="&amp;BO$3,CLAVE_BIT,$A267)+SUMIFS(SALIDAS_BOV1,FECHA_BOV1,"&gt;="&amp;BO$2,FECHA_BOV1,"&lt;="&amp;BO$3,CLAVE_BOV1,$A267)+SUMIFS(SALIDAS_BOV2,FECHA_BOV2,"&gt;="&amp;BO$2,FECHA_BOV2,"&lt;="&amp;BO$3,CLAVE_BOV2,$A267)+SUMIFS(SALIDAS_BOV3,FECHA_BOV3,"&gt;="&amp;BO$2,FECHA_BOV3,"&lt;="&amp;BO$3,CLAVE_BOV3,$A267)+SUMIFS(SALIDAS_TC,FECHA_TC,"&gt;="&amp;BO$2,FECHA_TC,"&lt;="&amp;BO$3,CLAVE_TC,$A267)+SUMIFS(SALIDAS_COMB,FECHA_COMB,"&gt;="&amp;BO$2,FECHA_COMB,"&lt;="&amp;BO$3,CLAVE_COMB,$A267)+SUMIFS(SALIDAS_DES,FECHA_DESGLOSEN,"&gt;="&amp;BO$2,FECHA_DESGLOSEN,"&lt;="&amp;BO$3,CLAVE_DESGLOSE,$A267)</f>
        <v>0</v>
      </c>
      <c r="BP267" s="13">
        <f>SUMIFS(SALIDAS_BIT,FECHA_BIT,"&gt;="&amp;BP$2,FECHA_BIT,"&lt;="&amp;BP$3,CLAVE_BIT,$A267)+SUMIFS(SALIDAS_BOV1,FECHA_BOV1,"&gt;="&amp;BP$2,FECHA_BOV1,"&lt;="&amp;BP$3,CLAVE_BOV1,$A267)+SUMIFS(SALIDAS_BOV2,FECHA_BOV2,"&gt;="&amp;BP$2,FECHA_BOV2,"&lt;="&amp;BP$3,CLAVE_BOV2,$A267)+SUMIFS(SALIDAS_BOV3,FECHA_BOV3,"&gt;="&amp;BP$2,FECHA_BOV3,"&lt;="&amp;BP$3,CLAVE_BOV3,$A267)+SUMIFS(SALIDAS_TC,FECHA_TC,"&gt;="&amp;BP$2,FECHA_TC,"&lt;="&amp;BP$3,CLAVE_TC,$A267)+SUMIFS(SALIDAS_COMB,FECHA_COMB,"&gt;="&amp;BP$2,FECHA_COMB,"&lt;="&amp;BP$3,CLAVE_COMB,$A267)+SUMIFS(SALIDAS_DES,FECHA_DESGLOSEN,"&gt;="&amp;BP$2,FECHA_DESGLOSEN,"&lt;="&amp;BP$3,CLAVE_DESGLOSE,$A267)</f>
        <v>0</v>
      </c>
      <c r="BQ267" s="13">
        <f>SUMIFS(SALIDAS_BIT,FECHA_BIT,"&gt;="&amp;BQ$2,FECHA_BIT,"&lt;="&amp;BQ$3,CLAVE_BIT,$A267)+SUMIFS(SALIDAS_BOV1,FECHA_BOV1,"&gt;="&amp;BQ$2,FECHA_BOV1,"&lt;="&amp;BQ$3,CLAVE_BOV1,$A267)+SUMIFS(SALIDAS_BOV2,FECHA_BOV2,"&gt;="&amp;BQ$2,FECHA_BOV2,"&lt;="&amp;BQ$3,CLAVE_BOV2,$A267)+SUMIFS(SALIDAS_BOV3,FECHA_BOV3,"&gt;="&amp;BQ$2,FECHA_BOV3,"&lt;="&amp;BQ$3,CLAVE_BOV3,$A267)+SUMIFS(SALIDAS_TC,FECHA_TC,"&gt;="&amp;BQ$2,FECHA_TC,"&lt;="&amp;BQ$3,CLAVE_TC,$A267)+SUMIFS(SALIDAS_COMB,FECHA_COMB,"&gt;="&amp;BQ$2,FECHA_COMB,"&lt;="&amp;BQ$3,CLAVE_COMB,$A267)+SUMIFS(SALIDAS_DES,FECHA_DESGLOSEN,"&gt;="&amp;BQ$2,FECHA_DESGLOSEN,"&lt;="&amp;BQ$3,CLAVE_DESGLOSE,$A267)</f>
        <v>0</v>
      </c>
      <c r="BR267" s="13">
        <f t="shared" ref="BR267:BR276" si="481">SUMIFS(SALIDAS_BIT,FECHA_BIT,"&gt;="&amp;BR$2,FECHA_BIT,"&lt;="&amp;BR$3,CLAVE_BIT,$A267)+SUMIFS(SALIDAS_BOV1,FECHA_BOV1,"&gt;="&amp;BR$2,FECHA_BOV1,"&lt;="&amp;BR$3,CLAVE_BOV1,$A267)+SUMIFS(SALIDAS_BOV2,FECHA_BOV2,"&gt;="&amp;BR$2,FECHA_BOV2,"&lt;="&amp;BR$3,CLAVE_BOV2,$A267)+SUMIFS(SALIDAS_BOV3,FECHA_BOV3,"&gt;="&amp;BR$2,FECHA_BOV3,"&lt;="&amp;BR$3,CLAVE_BOV3,$A267)+SUMIFS(SALIDAS_TC,FECHA_TC,"&gt;="&amp;BR$2,FECHA_TC,"&lt;="&amp;BR$3,CLAVE_TC,$A267)+SUMIFS(SALIDAS_COMB,FECHA_COMB,"&gt;="&amp;BR$2,FECHA_COMB,"&lt;="&amp;BR$3,CLAVE_COMB,$A267)+SUMIFS(SALIDAS_DES,FECHA_DESGLOSEN,"&gt;="&amp;BR$2,FECHA_DESGLOSEN,"&lt;="&amp;BR$3,CLAVE_DESGLOSE,$A267)</f>
        <v>0</v>
      </c>
      <c r="BS267" s="68">
        <f t="shared" si="463"/>
        <v>0</v>
      </c>
      <c r="BT267" s="268">
        <f t="shared" si="464"/>
        <v>0</v>
      </c>
      <c r="BU267" s="13">
        <f t="shared" si="465"/>
        <v>0</v>
      </c>
      <c r="BV267" s="13">
        <f t="shared" si="389"/>
        <v>0</v>
      </c>
      <c r="BW267" s="13">
        <f t="shared" si="389"/>
        <v>0</v>
      </c>
      <c r="BX267" s="13">
        <f t="shared" si="389"/>
        <v>0</v>
      </c>
      <c r="BY267" s="13">
        <f t="shared" si="389"/>
        <v>0</v>
      </c>
      <c r="BZ267" s="13">
        <f t="shared" ref="BZ267:BZ276" si="482">SUMIFS(SALIDAS_BIT,FECHA_BIT,"&gt;="&amp;BZ$2,FECHA_BIT,"&lt;="&amp;BZ$3,CLAVE_BIT,$A267)+SUMIFS(SALIDAS_BOV1,FECHA_BOV1,"&gt;="&amp;BZ$2,FECHA_BOV1,"&lt;="&amp;BZ$3,CLAVE_BOV1,$A267)+SUMIFS(SALIDAS_BOV2,FECHA_BOV2,"&gt;="&amp;BZ$2,FECHA_BOV2,"&lt;="&amp;BZ$3,CLAVE_BOV2,$A267)+SUMIFS(SALIDAS_BOV3,FECHA_BOV3,"&gt;="&amp;BZ$2,FECHA_BOV3,"&lt;="&amp;BZ$3,CLAVE_BOV3,$A267)+SUMIFS(SALIDAS_TC,FECHA_TC,"&gt;="&amp;BZ$2,FECHA_TC,"&lt;="&amp;BZ$3,CLAVE_TC,$A267)+SUMIFS(SALIDAS_COMB,FECHA_COMB,"&gt;="&amp;BZ$2,FECHA_COMB,"&lt;="&amp;BZ$3,CLAVE_COMB,$A267)+SUMIFS(SALIDAS_DES,FECHA_DESGLOSEN,"&gt;="&amp;BZ$2,FECHA_DESGLOSEN,"&lt;="&amp;BZ$3,CLAVE_DESGLOSE,$A267)</f>
        <v>0</v>
      </c>
      <c r="CA267" s="68">
        <f t="shared" si="466"/>
        <v>0</v>
      </c>
      <c r="CB267" s="268">
        <f t="shared" si="467"/>
        <v>0</v>
      </c>
      <c r="CC267" s="13">
        <f t="shared" si="468"/>
        <v>0</v>
      </c>
      <c r="CD267" s="13">
        <f t="shared" si="390"/>
        <v>0</v>
      </c>
      <c r="CE267" s="13">
        <f t="shared" si="390"/>
        <v>0</v>
      </c>
      <c r="CF267" s="13">
        <f t="shared" si="390"/>
        <v>0</v>
      </c>
      <c r="CG267" s="13">
        <f t="shared" si="390"/>
        <v>0</v>
      </c>
      <c r="CH267" s="13">
        <f t="shared" ref="CH267:CH276" si="483">SUMIFS(SALIDAS_BIT,FECHA_BIT,"&gt;="&amp;CH$2,FECHA_BIT,"&lt;="&amp;CH$3,CLAVE_BIT,$A267)+SUMIFS(SALIDAS_BOV1,FECHA_BOV1,"&gt;="&amp;CH$2,FECHA_BOV1,"&lt;="&amp;CH$3,CLAVE_BOV1,$A267)+SUMIFS(SALIDAS_BOV2,FECHA_BOV2,"&gt;="&amp;CH$2,FECHA_BOV2,"&lt;="&amp;CH$3,CLAVE_BOV2,$A267)+SUMIFS(SALIDAS_BOV3,FECHA_BOV3,"&gt;="&amp;CH$2,FECHA_BOV3,"&lt;="&amp;CH$3,CLAVE_BOV3,$A267)+SUMIFS(SALIDAS_TC,FECHA_TC,"&gt;="&amp;CH$2,FECHA_TC,"&lt;="&amp;CH$3,CLAVE_TC,$A267)+SUMIFS(SALIDAS_COMB,FECHA_COMB,"&gt;="&amp;CH$2,FECHA_COMB,"&lt;="&amp;CH$3,CLAVE_COMB,$A267)+SUMIFS(SALIDAS_DES,FECHA_DESGLOSEN,"&gt;="&amp;CH$2,FECHA_DESGLOSEN,"&lt;="&amp;CH$3,CLAVE_DESGLOSE,$A267)</f>
        <v>0</v>
      </c>
      <c r="CI267" s="68">
        <f t="shared" si="469"/>
        <v>0</v>
      </c>
      <c r="CJ267" s="268">
        <f t="shared" si="470"/>
        <v>0</v>
      </c>
      <c r="CK267" s="13">
        <f t="shared" si="471"/>
        <v>0</v>
      </c>
      <c r="CL267" s="13">
        <f t="shared" si="400"/>
        <v>0</v>
      </c>
      <c r="CM267" s="13">
        <f t="shared" si="400"/>
        <v>0</v>
      </c>
      <c r="CN267" s="13">
        <f t="shared" si="400"/>
        <v>0</v>
      </c>
      <c r="CO267" s="13">
        <f t="shared" si="400"/>
        <v>0</v>
      </c>
      <c r="CP267" s="13">
        <f t="shared" si="400"/>
        <v>0</v>
      </c>
      <c r="CQ267" s="13">
        <f t="shared" ref="CQ267:CQ276" si="484">SUMIFS(SALIDAS_BIT,FECHA_BIT,"&gt;="&amp;CQ$2,FECHA_BIT,"&lt;="&amp;CQ$3,CLAVE_BIT,$A267)+SUMIFS(SALIDAS_BOV1,FECHA_BOV1,"&gt;="&amp;CQ$2,FECHA_BOV1,"&lt;="&amp;CQ$3,CLAVE_BOV1,$A267)+SUMIFS(SALIDAS_BOV2,FECHA_BOV2,"&gt;="&amp;CQ$2,FECHA_BOV2,"&lt;="&amp;CQ$3,CLAVE_BOV2,$A267)+SUMIFS(SALIDAS_BOV3,FECHA_BOV3,"&gt;="&amp;CQ$2,FECHA_BOV3,"&lt;="&amp;CQ$3,CLAVE_BOV3,$A267)+SUMIFS(SALIDAS_TC,FECHA_TC,"&gt;="&amp;CQ$2,FECHA_TC,"&lt;="&amp;CQ$3,CLAVE_TC,$A267)+SUMIFS(SALIDAS_COMB,FECHA_COMB,"&gt;="&amp;CQ$2,FECHA_COMB,"&lt;="&amp;CQ$3,CLAVE_COMB,$A267)+SUMIFS(SALIDAS_DES,FECHA_DESGLOSEN,"&gt;="&amp;CQ$2,FECHA_DESGLOSEN,"&lt;="&amp;CQ$3,CLAVE_DESGLOSE,$A267)</f>
        <v>0</v>
      </c>
      <c r="CR267" s="68">
        <f t="shared" si="472"/>
        <v>0</v>
      </c>
      <c r="CS267" s="268">
        <f t="shared" si="473"/>
        <v>0</v>
      </c>
      <c r="CT267" s="68">
        <f t="shared" si="446"/>
        <v>30000</v>
      </c>
      <c r="CU267" s="13">
        <f>SUMIFS(SALIDAS_BIT,FECHA_BIT,"&gt;="&amp;CU$2,FECHA_BIT,"&lt;="&amp;CU$3,CLAVE_BIT,$A267)+SUMIFS(SALIDAS_BOV1,FECHA_BOV1,"&gt;="&amp;CU$2,FECHA_BOV1,"&lt;="&amp;CU$3,CLAVE_BOV1,$A267)+SUMIFS(SALIDAS_BOV2,FECHA_BOV2,"&gt;="&amp;CU$2,FECHA_BOV2,"&lt;="&amp;CU$3,CLAVE_BOV2,$A267)+SUMIFS(SALIDAS_BOV3,FECHA_BOV3,"&gt;="&amp;CU$2,FECHA_BOV3,"&lt;="&amp;CU$3,CLAVE_BOV3,$A267)+SUMIFS(SALIDAS_TC,FECHA_TC,"&gt;="&amp;CU$2,FECHA_TC,"&lt;="&amp;CU$3,CLAVE_TC,$A267)+SUMIFS(SALIDAS_COMB,FECHA_COMB,"&gt;="&amp;CU$2,FECHA_COMB,"&lt;="&amp;CU$3,CLAVE_COMB,$A267)+SUMIFS(SALIDAS_DES,FECHA_DESGLOSEN,"&gt;="&amp;CU$2,FECHA_DESGLOSEN,"&lt;="&amp;CU$3,CLAVE_DESGLOSE,$A267)</f>
        <v>0</v>
      </c>
      <c r="CV267" s="13">
        <f>SUMIFS(SALIDAS_BIT,FECHA_BIT,"&gt;="&amp;CV$2,FECHA_BIT,"&lt;="&amp;CV$3,CLAVE_BIT,$A267)+SUMIFS(SALIDAS_BOV1,FECHA_BOV1,"&gt;="&amp;CV$2,FECHA_BOV1,"&lt;="&amp;CV$3,CLAVE_BOV1,$A267)+SUMIFS(SALIDAS_BOV2,FECHA_BOV2,"&gt;="&amp;CV$2,FECHA_BOV2,"&lt;="&amp;CV$3,CLAVE_BOV2,$A267)+SUMIFS(SALIDAS_BOV3,FECHA_BOV3,"&gt;="&amp;CV$2,FECHA_BOV3,"&lt;="&amp;CV$3,CLAVE_BOV3,$A267)+SUMIFS(SALIDAS_TC,FECHA_TC,"&gt;="&amp;CV$2,FECHA_TC,"&lt;="&amp;CV$3,CLAVE_TC,$A267)+SUMIFS(SALIDAS_COMB,FECHA_COMB,"&gt;="&amp;CV$2,FECHA_COMB,"&lt;="&amp;CV$3,CLAVE_COMB,$A267)+SUMIFS(SALIDAS_DES,FECHA_DESGLOSEN,"&gt;="&amp;CV$2,FECHA_DESGLOSEN,"&lt;="&amp;CV$3,CLAVE_DESGLOSE,$A267)</f>
        <v>0</v>
      </c>
      <c r="CW267" s="13">
        <f>SUMIFS(SALIDAS_BIT,FECHA_BIT,"&gt;="&amp;CW$2,FECHA_BIT,"&lt;="&amp;CW$3,CLAVE_BIT,$A267)+SUMIFS(SALIDAS_BOV1,FECHA_BOV1,"&gt;="&amp;CW$2,FECHA_BOV1,"&lt;="&amp;CW$3,CLAVE_BOV1,$A267)+SUMIFS(SALIDAS_BOV2,FECHA_BOV2,"&gt;="&amp;CW$2,FECHA_BOV2,"&lt;="&amp;CW$3,CLAVE_BOV2,$A267)+SUMIFS(SALIDAS_BOV3,FECHA_BOV3,"&gt;="&amp;CW$2,FECHA_BOV3,"&lt;="&amp;CW$3,CLAVE_BOV3,$A267)+SUMIFS(SALIDAS_TC,FECHA_TC,"&gt;="&amp;CW$2,FECHA_TC,"&lt;="&amp;CW$3,CLAVE_TC,$A267)+SUMIFS(SALIDAS_COMB,FECHA_COMB,"&gt;="&amp;CW$2,FECHA_COMB,"&lt;="&amp;CW$3,CLAVE_COMB,$A267)+SUMIFS(SALIDAS_DES,FECHA_DESGLOSEN,"&gt;="&amp;CW$2,FECHA_DESGLOSEN,"&lt;="&amp;CW$3,CLAVE_DESGLOSE,$A267)</f>
        <v>0</v>
      </c>
      <c r="CX267" s="13">
        <f>SUMIFS(SALIDAS_BIT,FECHA_BIT,"&gt;="&amp;CX$2,FECHA_BIT,"&lt;="&amp;CX$3,CLAVE_BIT,$A267)+SUMIFS(SALIDAS_BOV1,FECHA_BOV1,"&gt;="&amp;CX$2,FECHA_BOV1,"&lt;="&amp;CX$3,CLAVE_BOV1,$A267)+SUMIFS(SALIDAS_BOV2,FECHA_BOV2,"&gt;="&amp;CX$2,FECHA_BOV2,"&lt;="&amp;CX$3,CLAVE_BOV2,$A267)+SUMIFS(SALIDAS_BOV3,FECHA_BOV3,"&gt;="&amp;CX$2,FECHA_BOV3,"&lt;="&amp;CX$3,CLAVE_BOV3,$A267)+SUMIFS(SALIDAS_TC,FECHA_TC,"&gt;="&amp;CX$2,FECHA_TC,"&lt;="&amp;CX$3,CLAVE_TC,$A267)+SUMIFS(SALIDAS_COMB,FECHA_COMB,"&gt;="&amp;CX$2,FECHA_COMB,"&lt;="&amp;CX$3,CLAVE_COMB,$A267)+SUMIFS(SALIDAS_DES,FECHA_DESGLOSEN,"&gt;="&amp;CX$2,FECHA_DESGLOSEN,"&lt;="&amp;CX$3,CLAVE_DESGLOSE,$A267)</f>
        <v>0</v>
      </c>
      <c r="CY267" s="13">
        <f>SUMIFS(SALIDAS_BIT,FECHA_BIT,"&gt;="&amp;CY$2,FECHA_BIT,"&lt;="&amp;CY$3,CLAVE_BIT,$A267)+SUMIFS(SALIDAS_BOV1,FECHA_BOV1,"&gt;="&amp;CY$2,FECHA_BOV1,"&lt;="&amp;CY$3,CLAVE_BOV1,$A267)+SUMIFS(SALIDAS_BOV2,FECHA_BOV2,"&gt;="&amp;CY$2,FECHA_BOV2,"&lt;="&amp;CY$3,CLAVE_BOV2,$A267)+SUMIFS(SALIDAS_BOV3,FECHA_BOV3,"&gt;="&amp;CY$2,FECHA_BOV3,"&lt;="&amp;CY$3,CLAVE_BOV3,$A267)+SUMIFS(SALIDAS_TC,FECHA_TC,"&gt;="&amp;CY$2,FECHA_TC,"&lt;="&amp;CY$3,CLAVE_TC,$A267)+SUMIFS(SALIDAS_COMB,FECHA_COMB,"&gt;="&amp;CY$2,FECHA_COMB,"&lt;="&amp;CY$3,CLAVE_COMB,$A267)+SUMIFS(SALIDAS_DES,FECHA_DESGLOSEN,"&gt;="&amp;CY$2,FECHA_DESGLOSEN,"&lt;="&amp;CY$3,CLAVE_DESGLOSE,$A267)</f>
        <v>0</v>
      </c>
      <c r="CZ267" s="68">
        <f t="shared" si="474"/>
        <v>30000</v>
      </c>
      <c r="DB267" s="17">
        <f>F267+N267+W267+AE267+AM267+AV267+BD267+BL267+BU267+CC267+CK267</f>
        <v>24898</v>
      </c>
      <c r="DC267" s="17">
        <f>K267+T267+AB267+AJ267+AS267+BA267+BI267+BR267+BZ267+CH267+CQ267</f>
        <v>0</v>
      </c>
    </row>
    <row r="268" spans="1:107" hidden="1">
      <c r="A268" s="12" t="str">
        <f t="shared" si="447"/>
        <v>FINANZASCUOTAS Y SUSCRIPCIONESKOLBEE</v>
      </c>
      <c r="B268">
        <v>270</v>
      </c>
      <c r="C268" t="s">
        <v>23</v>
      </c>
      <c r="D268" t="s">
        <v>51</v>
      </c>
      <c r="E268" t="s">
        <v>69</v>
      </c>
      <c r="F268" s="259">
        <f t="shared" si="440"/>
        <v>0</v>
      </c>
      <c r="G268" s="13">
        <f t="shared" si="476"/>
        <v>1050</v>
      </c>
      <c r="H268" s="13">
        <f t="shared" si="476"/>
        <v>0</v>
      </c>
      <c r="I268" s="13">
        <f t="shared" si="476"/>
        <v>0</v>
      </c>
      <c r="J268" s="13">
        <f t="shared" si="476"/>
        <v>0</v>
      </c>
      <c r="K268" s="13">
        <f t="shared" si="476"/>
        <v>1050</v>
      </c>
      <c r="L268" s="68">
        <f t="shared" si="448"/>
        <v>-1050</v>
      </c>
      <c r="M268" s="268">
        <f t="shared" si="449"/>
        <v>0</v>
      </c>
      <c r="N268" s="13">
        <f t="shared" si="441"/>
        <v>0</v>
      </c>
      <c r="O268" s="13">
        <f t="shared" si="477"/>
        <v>0</v>
      </c>
      <c r="P268" s="13">
        <f t="shared" si="477"/>
        <v>0</v>
      </c>
      <c r="Q268" s="13">
        <f t="shared" si="477"/>
        <v>0</v>
      </c>
      <c r="R268" s="13">
        <f t="shared" si="477"/>
        <v>0</v>
      </c>
      <c r="S268" s="13">
        <f t="shared" si="477"/>
        <v>0</v>
      </c>
      <c r="T268" s="13">
        <f t="shared" si="477"/>
        <v>0</v>
      </c>
      <c r="U268" s="68">
        <f t="shared" si="450"/>
        <v>0</v>
      </c>
      <c r="V268" s="268">
        <f t="shared" si="451"/>
        <v>0</v>
      </c>
      <c r="W268" s="13">
        <f t="shared" si="442"/>
        <v>2700</v>
      </c>
      <c r="X268" s="13">
        <f t="shared" si="478"/>
        <v>0</v>
      </c>
      <c r="Y268" s="13">
        <f t="shared" si="478"/>
        <v>0</v>
      </c>
      <c r="Z268" s="13">
        <f t="shared" si="478"/>
        <v>1050</v>
      </c>
      <c r="AA268" s="13">
        <f t="shared" si="478"/>
        <v>0</v>
      </c>
      <c r="AB268" s="13">
        <f t="shared" si="478"/>
        <v>1050</v>
      </c>
      <c r="AC268" s="68">
        <f t="shared" si="452"/>
        <v>1650</v>
      </c>
      <c r="AD268" s="268">
        <f t="shared" si="453"/>
        <v>0.3888888888888889</v>
      </c>
      <c r="AE268" s="13">
        <f t="shared" si="443"/>
        <v>0</v>
      </c>
      <c r="AF268" s="13">
        <f t="shared" si="479"/>
        <v>0</v>
      </c>
      <c r="AG268" s="13">
        <f t="shared" si="479"/>
        <v>0</v>
      </c>
      <c r="AH268" s="13">
        <f t="shared" si="479"/>
        <v>0</v>
      </c>
      <c r="AI268" s="13">
        <f t="shared" si="479"/>
        <v>0</v>
      </c>
      <c r="AJ268" s="13">
        <f t="shared" si="479"/>
        <v>0</v>
      </c>
      <c r="AK268" s="68">
        <f t="shared" si="454"/>
        <v>0</v>
      </c>
      <c r="AL268" s="268">
        <f t="shared" si="455"/>
        <v>0</v>
      </c>
      <c r="AM268" s="13">
        <f t="shared" si="444"/>
        <v>0</v>
      </c>
      <c r="AN268" s="13">
        <f t="shared" si="480"/>
        <v>0</v>
      </c>
      <c r="AO268" s="13">
        <f t="shared" si="480"/>
        <v>0</v>
      </c>
      <c r="AP268" s="13">
        <f t="shared" si="480"/>
        <v>2100</v>
      </c>
      <c r="AQ268" s="13">
        <f t="shared" si="480"/>
        <v>0</v>
      </c>
      <c r="AR268" s="13">
        <f t="shared" si="480"/>
        <v>0</v>
      </c>
      <c r="AS268" s="13">
        <f t="shared" si="480"/>
        <v>2100</v>
      </c>
      <c r="AT268" s="68">
        <f>AM268-AS268</f>
        <v>-2100</v>
      </c>
      <c r="AU268" s="268">
        <f t="shared" si="456"/>
        <v>0</v>
      </c>
      <c r="AV268" s="13">
        <f t="shared" si="445"/>
        <v>0</v>
      </c>
      <c r="AW268" s="13">
        <f t="shared" si="421"/>
        <v>0</v>
      </c>
      <c r="AX268" s="13">
        <f t="shared" si="421"/>
        <v>0</v>
      </c>
      <c r="AY268" s="13">
        <f t="shared" si="421"/>
        <v>0</v>
      </c>
      <c r="AZ268" s="13">
        <f t="shared" si="421"/>
        <v>0</v>
      </c>
      <c r="BA268" s="13">
        <f t="shared" si="475"/>
        <v>0</v>
      </c>
      <c r="BB268" s="68">
        <f t="shared" si="457"/>
        <v>0</v>
      </c>
      <c r="BC268" s="268">
        <f t="shared" si="458"/>
        <v>0</v>
      </c>
      <c r="BD268" s="13">
        <f t="shared" si="459"/>
        <v>0</v>
      </c>
      <c r="BE268" s="13">
        <f>SUMIFS(SALIDAS_BIT,FECHA_BIT,"&gt;="&amp;BE$2,FECHA_BIT,"&lt;="&amp;BE$3,CLAVE_BIT,$A268)+SUMIFS(SALIDAS_BOV1,FECHA_BOV1,"&gt;="&amp;BE$2,FECHA_BOV1,"&lt;="&amp;BE$3,CLAVE_BOV1,$A268)+SUMIFS(SALIDAS_BOV2,FECHA_BOV2,"&gt;="&amp;BE$2,FECHA_BOV2,"&lt;="&amp;BE$3,CLAVE_BOV2,$A268)+SUMIFS(SALIDAS_BOV3,FECHA_BOV3,"&gt;="&amp;BE$2,FECHA_BOV3,"&lt;="&amp;BE$3,CLAVE_BOV3,$A268)+SUMIFS(SALIDAS_TC,FECHA_TC,"&gt;="&amp;BE$2,FECHA_TC,"&lt;="&amp;BE$3,CLAVE_TC,$A268)+SUMIFS(SALIDAS_COMB,FECHA_COMB,"&gt;="&amp;BE$2,FECHA_COMB,"&lt;="&amp;BE$3,CLAVE_COMB,$A268)+SUMIFS(SALIDAS_DES,FECHA_DESGLOSEN,"&gt;="&amp;BE$2,FECHA_DESGLOSEN,"&lt;="&amp;BE$3,CLAVE_DESGLOSE,$A268)</f>
        <v>0</v>
      </c>
      <c r="BF268" s="13">
        <f>SUMIFS(SALIDAS_BIT,FECHA_BIT,"&gt;="&amp;BF$2,FECHA_BIT,"&lt;="&amp;BF$3,CLAVE_BIT,$A268)+SUMIFS(SALIDAS_BOV1,FECHA_BOV1,"&gt;="&amp;BF$2,FECHA_BOV1,"&lt;="&amp;BF$3,CLAVE_BOV1,$A268)+SUMIFS(SALIDAS_BOV2,FECHA_BOV2,"&gt;="&amp;BF$2,FECHA_BOV2,"&lt;="&amp;BF$3,CLAVE_BOV2,$A268)+SUMIFS(SALIDAS_BOV3,FECHA_BOV3,"&gt;="&amp;BF$2,FECHA_BOV3,"&lt;="&amp;BF$3,CLAVE_BOV3,$A268)+SUMIFS(SALIDAS_TC,FECHA_TC,"&gt;="&amp;BF$2,FECHA_TC,"&lt;="&amp;BF$3,CLAVE_TC,$A268)+SUMIFS(SALIDAS_COMB,FECHA_COMB,"&gt;="&amp;BF$2,FECHA_COMB,"&lt;="&amp;BF$3,CLAVE_COMB,$A268)+SUMIFS(SALIDAS_DES,FECHA_DESGLOSEN,"&gt;="&amp;BF$2,FECHA_DESGLOSEN,"&lt;="&amp;BF$3,CLAVE_DESGLOSE,$A268)</f>
        <v>0</v>
      </c>
      <c r="BG268" s="13">
        <f>SUMIFS(SALIDAS_BIT,FECHA_BIT,"&gt;="&amp;BG$2,FECHA_BIT,"&lt;="&amp;BG$3,CLAVE_BIT,$A268)+SUMIFS(SALIDAS_BOV1,FECHA_BOV1,"&gt;="&amp;BG$2,FECHA_BOV1,"&lt;="&amp;BG$3,CLAVE_BOV1,$A268)+SUMIFS(SALIDAS_BOV2,FECHA_BOV2,"&gt;="&amp;BG$2,FECHA_BOV2,"&lt;="&amp;BG$3,CLAVE_BOV2,$A268)+SUMIFS(SALIDAS_BOV3,FECHA_BOV3,"&gt;="&amp;BG$2,FECHA_BOV3,"&lt;="&amp;BG$3,CLAVE_BOV3,$A268)+SUMIFS(SALIDAS_TC,FECHA_TC,"&gt;="&amp;BG$2,FECHA_TC,"&lt;="&amp;BG$3,CLAVE_TC,$A268)+SUMIFS(SALIDAS_COMB,FECHA_COMB,"&gt;="&amp;BG$2,FECHA_COMB,"&lt;="&amp;BG$3,CLAVE_COMB,$A268)+SUMIFS(SALIDAS_DES,FECHA_DESGLOSEN,"&gt;="&amp;BG$2,FECHA_DESGLOSEN,"&lt;="&amp;BG$3,CLAVE_DESGLOSE,$A268)</f>
        <v>0</v>
      </c>
      <c r="BH268" s="13">
        <f>SUMIFS(SALIDAS_BIT,FECHA_BIT,"&gt;="&amp;BH$2,FECHA_BIT,"&lt;="&amp;BH$3,CLAVE_BIT,$A268)+SUMIFS(SALIDAS_BOV1,FECHA_BOV1,"&gt;="&amp;BH$2,FECHA_BOV1,"&lt;="&amp;BH$3,CLAVE_BOV1,$A268)+SUMIFS(SALIDAS_BOV2,FECHA_BOV2,"&gt;="&amp;BH$2,FECHA_BOV2,"&lt;="&amp;BH$3,CLAVE_BOV2,$A268)+SUMIFS(SALIDAS_BOV3,FECHA_BOV3,"&gt;="&amp;BH$2,FECHA_BOV3,"&lt;="&amp;BH$3,CLAVE_BOV3,$A268)+SUMIFS(SALIDAS_TC,FECHA_TC,"&gt;="&amp;BH$2,FECHA_TC,"&lt;="&amp;BH$3,CLAVE_TC,$A268)+SUMIFS(SALIDAS_COMB,FECHA_COMB,"&gt;="&amp;BH$2,FECHA_COMB,"&lt;="&amp;BH$3,CLAVE_COMB,$A268)+SUMIFS(SALIDAS_DES,FECHA_DESGLOSEN,"&gt;="&amp;BH$2,FECHA_DESGLOSEN,"&lt;="&amp;BH$3,CLAVE_DESGLOSE,$A268)</f>
        <v>0</v>
      </c>
      <c r="BI268" s="13">
        <f t="shared" si="419"/>
        <v>0</v>
      </c>
      <c r="BJ268" s="68">
        <f t="shared" si="460"/>
        <v>0</v>
      </c>
      <c r="BK268" s="268">
        <f t="shared" si="461"/>
        <v>0</v>
      </c>
      <c r="BL268" s="13">
        <f t="shared" si="462"/>
        <v>0</v>
      </c>
      <c r="BM268" s="13">
        <f>SUMIFS(SALIDAS_BIT,FECHA_BIT,"&gt;="&amp;BM$2,FECHA_BIT,"&lt;="&amp;BM$3,CLAVE_BIT,$A268)+SUMIFS(SALIDAS_BOV1,FECHA_BOV1,"&gt;="&amp;BM$2,FECHA_BOV1,"&lt;="&amp;BM$3,CLAVE_BOV1,$A268)+SUMIFS(SALIDAS_BOV2,FECHA_BOV2,"&gt;="&amp;BM$2,FECHA_BOV2,"&lt;="&amp;BM$3,CLAVE_BOV2,$A268)+SUMIFS(SALIDAS_BOV3,FECHA_BOV3,"&gt;="&amp;BM$2,FECHA_BOV3,"&lt;="&amp;BM$3,CLAVE_BOV3,$A268)+SUMIFS(SALIDAS_TC,FECHA_TC,"&gt;="&amp;BM$2,FECHA_TC,"&lt;="&amp;BM$3,CLAVE_TC,$A268)+SUMIFS(SALIDAS_COMB,FECHA_COMB,"&gt;="&amp;BM$2,FECHA_COMB,"&lt;="&amp;BM$3,CLAVE_COMB,$A268)+SUMIFS(SALIDAS_DES,FECHA_DESGLOSEN,"&gt;="&amp;BM$2,FECHA_DESGLOSEN,"&lt;="&amp;BM$3,CLAVE_DESGLOSE,$A268)</f>
        <v>0</v>
      </c>
      <c r="BN268" s="13">
        <f>SUMIFS(SALIDAS_BIT,FECHA_BIT,"&gt;="&amp;BN$2,FECHA_BIT,"&lt;="&amp;BN$3,CLAVE_BIT,$A268)+SUMIFS(SALIDAS_BOV1,FECHA_BOV1,"&gt;="&amp;BN$2,FECHA_BOV1,"&lt;="&amp;BN$3,CLAVE_BOV1,$A268)+SUMIFS(SALIDAS_BOV2,FECHA_BOV2,"&gt;="&amp;BN$2,FECHA_BOV2,"&lt;="&amp;BN$3,CLAVE_BOV2,$A268)+SUMIFS(SALIDAS_BOV3,FECHA_BOV3,"&gt;="&amp;BN$2,FECHA_BOV3,"&lt;="&amp;BN$3,CLAVE_BOV3,$A268)+SUMIFS(SALIDAS_TC,FECHA_TC,"&gt;="&amp;BN$2,FECHA_TC,"&lt;="&amp;BN$3,CLAVE_TC,$A268)+SUMIFS(SALIDAS_COMB,FECHA_COMB,"&gt;="&amp;BN$2,FECHA_COMB,"&lt;="&amp;BN$3,CLAVE_COMB,$A268)+SUMIFS(SALIDAS_DES,FECHA_DESGLOSEN,"&gt;="&amp;BN$2,FECHA_DESGLOSEN,"&lt;="&amp;BN$3,CLAVE_DESGLOSE,$A268)</f>
        <v>0</v>
      </c>
      <c r="BO268" s="13">
        <f>SUMIFS(SALIDAS_BIT,FECHA_BIT,"&gt;="&amp;BO$2,FECHA_BIT,"&lt;="&amp;BO$3,CLAVE_BIT,$A268)+SUMIFS(SALIDAS_BOV1,FECHA_BOV1,"&gt;="&amp;BO$2,FECHA_BOV1,"&lt;="&amp;BO$3,CLAVE_BOV1,$A268)+SUMIFS(SALIDAS_BOV2,FECHA_BOV2,"&gt;="&amp;BO$2,FECHA_BOV2,"&lt;="&amp;BO$3,CLAVE_BOV2,$A268)+SUMIFS(SALIDAS_BOV3,FECHA_BOV3,"&gt;="&amp;BO$2,FECHA_BOV3,"&lt;="&amp;BO$3,CLAVE_BOV3,$A268)+SUMIFS(SALIDAS_TC,FECHA_TC,"&gt;="&amp;BO$2,FECHA_TC,"&lt;="&amp;BO$3,CLAVE_TC,$A268)+SUMIFS(SALIDAS_COMB,FECHA_COMB,"&gt;="&amp;BO$2,FECHA_COMB,"&lt;="&amp;BO$3,CLAVE_COMB,$A268)+SUMIFS(SALIDAS_DES,FECHA_DESGLOSEN,"&gt;="&amp;BO$2,FECHA_DESGLOSEN,"&lt;="&amp;BO$3,CLAVE_DESGLOSE,$A268)</f>
        <v>0</v>
      </c>
      <c r="BP268" s="13">
        <f>SUMIFS(SALIDAS_BIT,FECHA_BIT,"&gt;="&amp;BP$2,FECHA_BIT,"&lt;="&amp;BP$3,CLAVE_BIT,$A268)+SUMIFS(SALIDAS_BOV1,FECHA_BOV1,"&gt;="&amp;BP$2,FECHA_BOV1,"&lt;="&amp;BP$3,CLAVE_BOV1,$A268)+SUMIFS(SALIDAS_BOV2,FECHA_BOV2,"&gt;="&amp;BP$2,FECHA_BOV2,"&lt;="&amp;BP$3,CLAVE_BOV2,$A268)+SUMIFS(SALIDAS_BOV3,FECHA_BOV3,"&gt;="&amp;BP$2,FECHA_BOV3,"&lt;="&amp;BP$3,CLAVE_BOV3,$A268)+SUMIFS(SALIDAS_TC,FECHA_TC,"&gt;="&amp;BP$2,FECHA_TC,"&lt;="&amp;BP$3,CLAVE_TC,$A268)+SUMIFS(SALIDAS_COMB,FECHA_COMB,"&gt;="&amp;BP$2,FECHA_COMB,"&lt;="&amp;BP$3,CLAVE_COMB,$A268)+SUMIFS(SALIDAS_DES,FECHA_DESGLOSEN,"&gt;="&amp;BP$2,FECHA_DESGLOSEN,"&lt;="&amp;BP$3,CLAVE_DESGLOSE,$A268)</f>
        <v>0</v>
      </c>
      <c r="BQ268" s="13">
        <f>SUMIFS(SALIDAS_BIT,FECHA_BIT,"&gt;="&amp;BQ$2,FECHA_BIT,"&lt;="&amp;BQ$3,CLAVE_BIT,$A268)+SUMIFS(SALIDAS_BOV1,FECHA_BOV1,"&gt;="&amp;BQ$2,FECHA_BOV1,"&lt;="&amp;BQ$3,CLAVE_BOV1,$A268)+SUMIFS(SALIDAS_BOV2,FECHA_BOV2,"&gt;="&amp;BQ$2,FECHA_BOV2,"&lt;="&amp;BQ$3,CLAVE_BOV2,$A268)+SUMIFS(SALIDAS_BOV3,FECHA_BOV3,"&gt;="&amp;BQ$2,FECHA_BOV3,"&lt;="&amp;BQ$3,CLAVE_BOV3,$A268)+SUMIFS(SALIDAS_TC,FECHA_TC,"&gt;="&amp;BQ$2,FECHA_TC,"&lt;="&amp;BQ$3,CLAVE_TC,$A268)+SUMIFS(SALIDAS_COMB,FECHA_COMB,"&gt;="&amp;BQ$2,FECHA_COMB,"&lt;="&amp;BQ$3,CLAVE_COMB,$A268)+SUMIFS(SALIDAS_DES,FECHA_DESGLOSEN,"&gt;="&amp;BQ$2,FECHA_DESGLOSEN,"&lt;="&amp;BQ$3,CLAVE_DESGLOSE,$A268)</f>
        <v>0</v>
      </c>
      <c r="BR268" s="13">
        <f t="shared" si="481"/>
        <v>0</v>
      </c>
      <c r="BS268" s="68">
        <f t="shared" si="463"/>
        <v>0</v>
      </c>
      <c r="BT268" s="268">
        <f t="shared" si="464"/>
        <v>0</v>
      </c>
      <c r="BU268" s="13">
        <f t="shared" si="465"/>
        <v>0</v>
      </c>
      <c r="BV268" s="13">
        <f t="shared" si="389"/>
        <v>0</v>
      </c>
      <c r="BW268" s="13">
        <f t="shared" si="389"/>
        <v>0</v>
      </c>
      <c r="BX268" s="13">
        <f t="shared" si="389"/>
        <v>0</v>
      </c>
      <c r="BY268" s="13">
        <f t="shared" si="389"/>
        <v>0</v>
      </c>
      <c r="BZ268" s="13">
        <f t="shared" si="482"/>
        <v>0</v>
      </c>
      <c r="CA268" s="68">
        <f t="shared" si="466"/>
        <v>0</v>
      </c>
      <c r="CB268" s="268">
        <f t="shared" si="467"/>
        <v>0</v>
      </c>
      <c r="CC268" s="13">
        <f t="shared" si="468"/>
        <v>0</v>
      </c>
      <c r="CD268" s="13">
        <f t="shared" si="390"/>
        <v>0</v>
      </c>
      <c r="CE268" s="13">
        <f t="shared" si="390"/>
        <v>0</v>
      </c>
      <c r="CF268" s="13">
        <f t="shared" si="390"/>
        <v>1050</v>
      </c>
      <c r="CG268" s="13">
        <f t="shared" si="390"/>
        <v>1050</v>
      </c>
      <c r="CH268" s="13">
        <f t="shared" si="483"/>
        <v>2100</v>
      </c>
      <c r="CI268" s="68">
        <f t="shared" si="469"/>
        <v>-2100</v>
      </c>
      <c r="CJ268" s="268">
        <f t="shared" si="470"/>
        <v>0</v>
      </c>
      <c r="CK268" s="13">
        <f t="shared" si="471"/>
        <v>0</v>
      </c>
      <c r="CL268" s="13">
        <f t="shared" si="400"/>
        <v>0</v>
      </c>
      <c r="CM268" s="13">
        <f t="shared" si="400"/>
        <v>0</v>
      </c>
      <c r="CN268" s="13">
        <f t="shared" si="400"/>
        <v>0</v>
      </c>
      <c r="CO268" s="13">
        <f t="shared" si="400"/>
        <v>1050</v>
      </c>
      <c r="CP268" s="13">
        <f t="shared" si="400"/>
        <v>0</v>
      </c>
      <c r="CQ268" s="13">
        <f t="shared" si="484"/>
        <v>1050</v>
      </c>
      <c r="CR268" s="68">
        <f t="shared" si="472"/>
        <v>-1050</v>
      </c>
      <c r="CS268" s="268">
        <f t="shared" si="473"/>
        <v>0</v>
      </c>
      <c r="CT268" s="68">
        <f t="shared" si="446"/>
        <v>1050</v>
      </c>
      <c r="CU268" s="13">
        <f>SUMIFS(SALIDAS_BIT,FECHA_BIT,"&gt;="&amp;CU$2,FECHA_BIT,"&lt;="&amp;CU$3,CLAVE_BIT,$A268)+SUMIFS(SALIDAS_BOV1,FECHA_BOV1,"&gt;="&amp;CU$2,FECHA_BOV1,"&lt;="&amp;CU$3,CLAVE_BOV1,$A268)+SUMIFS(SALIDAS_BOV2,FECHA_BOV2,"&gt;="&amp;CU$2,FECHA_BOV2,"&lt;="&amp;CU$3,CLAVE_BOV2,$A268)+SUMIFS(SALIDAS_BOV3,FECHA_BOV3,"&gt;="&amp;CU$2,FECHA_BOV3,"&lt;="&amp;CU$3,CLAVE_BOV3,$A268)+SUMIFS(SALIDAS_TC,FECHA_TC,"&gt;="&amp;CU$2,FECHA_TC,"&lt;="&amp;CU$3,CLAVE_TC,$A268)+SUMIFS(SALIDAS_COMB,FECHA_COMB,"&gt;="&amp;CU$2,FECHA_COMB,"&lt;="&amp;CU$3,CLAVE_COMB,$A268)+SUMIFS(SALIDAS_DES,FECHA_DESGLOSEN,"&gt;="&amp;CU$2,FECHA_DESGLOSEN,"&lt;="&amp;CU$3,CLAVE_DESGLOSE,$A268)</f>
        <v>0</v>
      </c>
      <c r="CV268" s="13">
        <f>SUMIFS(SALIDAS_BIT,FECHA_BIT,"&gt;="&amp;CV$2,FECHA_BIT,"&lt;="&amp;CV$3,CLAVE_BIT,$A268)+SUMIFS(SALIDAS_BOV1,FECHA_BOV1,"&gt;="&amp;CV$2,FECHA_BOV1,"&lt;="&amp;CV$3,CLAVE_BOV1,$A268)+SUMIFS(SALIDAS_BOV2,FECHA_BOV2,"&gt;="&amp;CV$2,FECHA_BOV2,"&lt;="&amp;CV$3,CLAVE_BOV2,$A268)+SUMIFS(SALIDAS_BOV3,FECHA_BOV3,"&gt;="&amp;CV$2,FECHA_BOV3,"&lt;="&amp;CV$3,CLAVE_BOV3,$A268)+SUMIFS(SALIDAS_TC,FECHA_TC,"&gt;="&amp;CV$2,FECHA_TC,"&lt;="&amp;CV$3,CLAVE_TC,$A268)+SUMIFS(SALIDAS_COMB,FECHA_COMB,"&gt;="&amp;CV$2,FECHA_COMB,"&lt;="&amp;CV$3,CLAVE_COMB,$A268)+SUMIFS(SALIDAS_DES,FECHA_DESGLOSEN,"&gt;="&amp;CV$2,FECHA_DESGLOSEN,"&lt;="&amp;CV$3,CLAVE_DESGLOSE,$A268)</f>
        <v>0</v>
      </c>
      <c r="CW268" s="13">
        <f>SUMIFS(SALIDAS_BIT,FECHA_BIT,"&gt;="&amp;CW$2,FECHA_BIT,"&lt;="&amp;CW$3,CLAVE_BIT,$A268)+SUMIFS(SALIDAS_BOV1,FECHA_BOV1,"&gt;="&amp;CW$2,FECHA_BOV1,"&lt;="&amp;CW$3,CLAVE_BOV1,$A268)+SUMIFS(SALIDAS_BOV2,FECHA_BOV2,"&gt;="&amp;CW$2,FECHA_BOV2,"&lt;="&amp;CW$3,CLAVE_BOV2,$A268)+SUMIFS(SALIDAS_BOV3,FECHA_BOV3,"&gt;="&amp;CW$2,FECHA_BOV3,"&lt;="&amp;CW$3,CLAVE_BOV3,$A268)+SUMIFS(SALIDAS_TC,FECHA_TC,"&gt;="&amp;CW$2,FECHA_TC,"&lt;="&amp;CW$3,CLAVE_TC,$A268)+SUMIFS(SALIDAS_COMB,FECHA_COMB,"&gt;="&amp;CW$2,FECHA_COMB,"&lt;="&amp;CW$3,CLAVE_COMB,$A268)+SUMIFS(SALIDAS_DES,FECHA_DESGLOSEN,"&gt;="&amp;CW$2,FECHA_DESGLOSEN,"&lt;="&amp;CW$3,CLAVE_DESGLOSE,$A268)</f>
        <v>0</v>
      </c>
      <c r="CX268" s="13">
        <f>SUMIFS(SALIDAS_BIT,FECHA_BIT,"&gt;="&amp;CX$2,FECHA_BIT,"&lt;="&amp;CX$3,CLAVE_BIT,$A268)+SUMIFS(SALIDAS_BOV1,FECHA_BOV1,"&gt;="&amp;CX$2,FECHA_BOV1,"&lt;="&amp;CX$3,CLAVE_BOV1,$A268)+SUMIFS(SALIDAS_BOV2,FECHA_BOV2,"&gt;="&amp;CX$2,FECHA_BOV2,"&lt;="&amp;CX$3,CLAVE_BOV2,$A268)+SUMIFS(SALIDAS_BOV3,FECHA_BOV3,"&gt;="&amp;CX$2,FECHA_BOV3,"&lt;="&amp;CX$3,CLAVE_BOV3,$A268)+SUMIFS(SALIDAS_TC,FECHA_TC,"&gt;="&amp;CX$2,FECHA_TC,"&lt;="&amp;CX$3,CLAVE_TC,$A268)+SUMIFS(SALIDAS_COMB,FECHA_COMB,"&gt;="&amp;CX$2,FECHA_COMB,"&lt;="&amp;CX$3,CLAVE_COMB,$A268)+SUMIFS(SALIDAS_DES,FECHA_DESGLOSEN,"&gt;="&amp;CX$2,FECHA_DESGLOSEN,"&lt;="&amp;CX$3,CLAVE_DESGLOSE,$A268)</f>
        <v>0</v>
      </c>
      <c r="CY268" s="13">
        <f>SUMIFS(SALIDAS_BIT,FECHA_BIT,"&gt;="&amp;CY$2,FECHA_BIT,"&lt;="&amp;CY$3,CLAVE_BIT,$A268)+SUMIFS(SALIDAS_BOV1,FECHA_BOV1,"&gt;="&amp;CY$2,FECHA_BOV1,"&lt;="&amp;CY$3,CLAVE_BOV1,$A268)+SUMIFS(SALIDAS_BOV2,FECHA_BOV2,"&gt;="&amp;CY$2,FECHA_BOV2,"&lt;="&amp;CY$3,CLAVE_BOV2,$A268)+SUMIFS(SALIDAS_BOV3,FECHA_BOV3,"&gt;="&amp;CY$2,FECHA_BOV3,"&lt;="&amp;CY$3,CLAVE_BOV3,$A268)+SUMIFS(SALIDAS_TC,FECHA_TC,"&gt;="&amp;CY$2,FECHA_TC,"&lt;="&amp;CY$3,CLAVE_TC,$A268)+SUMIFS(SALIDAS_COMB,FECHA_COMB,"&gt;="&amp;CY$2,FECHA_COMB,"&lt;="&amp;CY$3,CLAVE_COMB,$A268)+SUMIFS(SALIDAS_DES,FECHA_DESGLOSEN,"&gt;="&amp;CY$2,FECHA_DESGLOSEN,"&lt;="&amp;CY$3,CLAVE_DESGLOSE,$A268)</f>
        <v>0</v>
      </c>
      <c r="CZ268" s="68">
        <f t="shared" si="474"/>
        <v>1050</v>
      </c>
      <c r="DB268" s="17">
        <f>F268+N268+W268+AE268+AM268+AV268+BD268+BL268+BU268+CC268+CK268</f>
        <v>2700</v>
      </c>
      <c r="DC268" s="17">
        <f>K268+T268+AB268+AJ268+AS268+BA268+BI268+BR268+BZ268+CH268+CQ268</f>
        <v>7350</v>
      </c>
    </row>
    <row r="269" spans="1:107" hidden="1">
      <c r="A269" s="12" t="str">
        <f t="shared" si="447"/>
        <v>SERVICIOSCUOTAS Y SUSCRIPCIONESAPP</v>
      </c>
      <c r="B269">
        <v>271</v>
      </c>
      <c r="C269" t="s">
        <v>21</v>
      </c>
      <c r="D269" t="s">
        <v>51</v>
      </c>
      <c r="E269" t="s">
        <v>70</v>
      </c>
      <c r="F269" s="259">
        <f t="shared" si="440"/>
        <v>0</v>
      </c>
      <c r="G269" s="13">
        <f t="shared" si="476"/>
        <v>0</v>
      </c>
      <c r="H269" s="13">
        <f t="shared" si="476"/>
        <v>0</v>
      </c>
      <c r="I269" s="13">
        <f t="shared" si="476"/>
        <v>0</v>
      </c>
      <c r="J269" s="13">
        <f t="shared" si="476"/>
        <v>2470.08</v>
      </c>
      <c r="K269" s="13">
        <f t="shared" si="476"/>
        <v>2470.08</v>
      </c>
      <c r="L269" s="68">
        <f t="shared" si="448"/>
        <v>-2470.08</v>
      </c>
      <c r="M269" s="268">
        <f t="shared" si="449"/>
        <v>0</v>
      </c>
      <c r="N269" s="13">
        <f t="shared" si="441"/>
        <v>0</v>
      </c>
      <c r="O269" s="13">
        <f t="shared" si="477"/>
        <v>0</v>
      </c>
      <c r="P269" s="13">
        <f t="shared" si="477"/>
        <v>0</v>
      </c>
      <c r="Q269" s="13">
        <f t="shared" si="477"/>
        <v>0</v>
      </c>
      <c r="R269" s="13">
        <f t="shared" si="477"/>
        <v>0</v>
      </c>
      <c r="S269" s="13">
        <f t="shared" si="477"/>
        <v>0</v>
      </c>
      <c r="T269" s="13">
        <f t="shared" si="477"/>
        <v>0</v>
      </c>
      <c r="U269" s="68">
        <f t="shared" si="450"/>
        <v>0</v>
      </c>
      <c r="V269" s="268">
        <f t="shared" si="451"/>
        <v>0</v>
      </c>
      <c r="W269" s="13">
        <f t="shared" si="442"/>
        <v>0</v>
      </c>
      <c r="X269" s="13">
        <f t="shared" si="478"/>
        <v>0</v>
      </c>
      <c r="Y269" s="13">
        <f t="shared" si="478"/>
        <v>0</v>
      </c>
      <c r="Z269" s="13">
        <f t="shared" si="478"/>
        <v>0</v>
      </c>
      <c r="AA269" s="13">
        <f t="shared" si="478"/>
        <v>0</v>
      </c>
      <c r="AB269" s="13">
        <f t="shared" si="478"/>
        <v>0</v>
      </c>
      <c r="AC269" s="68">
        <f t="shared" si="452"/>
        <v>0</v>
      </c>
      <c r="AD269" s="268">
        <f t="shared" si="453"/>
        <v>0</v>
      </c>
      <c r="AE269" s="13">
        <f t="shared" si="443"/>
        <v>0</v>
      </c>
      <c r="AF269" s="13">
        <f t="shared" si="479"/>
        <v>0</v>
      </c>
      <c r="AG269" s="13">
        <f t="shared" si="479"/>
        <v>0</v>
      </c>
      <c r="AH269" s="13">
        <f t="shared" si="479"/>
        <v>0</v>
      </c>
      <c r="AI269" s="13">
        <f t="shared" si="479"/>
        <v>0</v>
      </c>
      <c r="AJ269" s="13">
        <f t="shared" si="479"/>
        <v>0</v>
      </c>
      <c r="AK269" s="68">
        <f t="shared" si="454"/>
        <v>0</v>
      </c>
      <c r="AL269" s="268">
        <f t="shared" si="455"/>
        <v>0</v>
      </c>
      <c r="AM269" s="13">
        <f t="shared" si="444"/>
        <v>1888</v>
      </c>
      <c r="AN269" s="13">
        <f t="shared" si="480"/>
        <v>0</v>
      </c>
      <c r="AO269" s="13">
        <f t="shared" si="480"/>
        <v>0</v>
      </c>
      <c r="AP269" s="13">
        <f t="shared" si="480"/>
        <v>0</v>
      </c>
      <c r="AQ269" s="13">
        <f t="shared" si="480"/>
        <v>0</v>
      </c>
      <c r="AR269" s="13">
        <f t="shared" si="480"/>
        <v>0</v>
      </c>
      <c r="AS269" s="13">
        <f t="shared" si="480"/>
        <v>0</v>
      </c>
      <c r="AT269" s="68">
        <f>AM269-AS269</f>
        <v>1888</v>
      </c>
      <c r="AU269" s="268">
        <f t="shared" si="456"/>
        <v>0</v>
      </c>
      <c r="AV269" s="13">
        <f t="shared" si="445"/>
        <v>0</v>
      </c>
      <c r="AW269" s="13">
        <f t="shared" si="421"/>
        <v>0</v>
      </c>
      <c r="AX269" s="13">
        <f t="shared" si="421"/>
        <v>0</v>
      </c>
      <c r="AY269" s="13">
        <f t="shared" si="421"/>
        <v>0</v>
      </c>
      <c r="AZ269" s="13">
        <f t="shared" si="421"/>
        <v>845.71999999999991</v>
      </c>
      <c r="BA269" s="13">
        <f t="shared" si="475"/>
        <v>845.71999999999991</v>
      </c>
      <c r="BB269" s="68">
        <f t="shared" si="457"/>
        <v>-845.71999999999991</v>
      </c>
      <c r="BC269" s="268">
        <f t="shared" si="458"/>
        <v>0</v>
      </c>
      <c r="BD269" s="13">
        <f t="shared" si="459"/>
        <v>0</v>
      </c>
      <c r="BE269" s="13">
        <f>SUMIFS(SALIDAS_BIT,FECHA_BIT,"&gt;="&amp;BE$2,FECHA_BIT,"&lt;="&amp;BE$3,CLAVE_BIT,$A269)+SUMIFS(SALIDAS_BOV1,FECHA_BOV1,"&gt;="&amp;BE$2,FECHA_BOV1,"&lt;="&amp;BE$3,CLAVE_BOV1,$A269)+SUMIFS(SALIDAS_BOV2,FECHA_BOV2,"&gt;="&amp;BE$2,FECHA_BOV2,"&lt;="&amp;BE$3,CLAVE_BOV2,$A269)+SUMIFS(SALIDAS_BOV3,FECHA_BOV3,"&gt;="&amp;BE$2,FECHA_BOV3,"&lt;="&amp;BE$3,CLAVE_BOV3,$A269)+SUMIFS(SALIDAS_TC,FECHA_TC,"&gt;="&amp;BE$2,FECHA_TC,"&lt;="&amp;BE$3,CLAVE_TC,$A269)+SUMIFS(SALIDAS_COMB,FECHA_COMB,"&gt;="&amp;BE$2,FECHA_COMB,"&lt;="&amp;BE$3,CLAVE_COMB,$A269)+SUMIFS(SALIDAS_DES,FECHA_DESGLOSEN,"&gt;="&amp;BE$2,FECHA_DESGLOSEN,"&lt;="&amp;BE$3,CLAVE_DESGLOSE,$A269)</f>
        <v>0</v>
      </c>
      <c r="BF269" s="13">
        <f>SUMIFS(SALIDAS_BIT,FECHA_BIT,"&gt;="&amp;BF$2,FECHA_BIT,"&lt;="&amp;BF$3,CLAVE_BIT,$A269)+SUMIFS(SALIDAS_BOV1,FECHA_BOV1,"&gt;="&amp;BF$2,FECHA_BOV1,"&lt;="&amp;BF$3,CLAVE_BOV1,$A269)+SUMIFS(SALIDAS_BOV2,FECHA_BOV2,"&gt;="&amp;BF$2,FECHA_BOV2,"&lt;="&amp;BF$3,CLAVE_BOV2,$A269)+SUMIFS(SALIDAS_BOV3,FECHA_BOV3,"&gt;="&amp;BF$2,FECHA_BOV3,"&lt;="&amp;BF$3,CLAVE_BOV3,$A269)+SUMIFS(SALIDAS_TC,FECHA_TC,"&gt;="&amp;BF$2,FECHA_TC,"&lt;="&amp;BF$3,CLAVE_TC,$A269)+SUMIFS(SALIDAS_COMB,FECHA_COMB,"&gt;="&amp;BF$2,FECHA_COMB,"&lt;="&amp;BF$3,CLAVE_COMB,$A269)+SUMIFS(SALIDAS_DES,FECHA_DESGLOSEN,"&gt;="&amp;BF$2,FECHA_DESGLOSEN,"&lt;="&amp;BF$3,CLAVE_DESGLOSE,$A269)</f>
        <v>0</v>
      </c>
      <c r="BG269" s="13">
        <f>SUMIFS(SALIDAS_BIT,FECHA_BIT,"&gt;="&amp;BG$2,FECHA_BIT,"&lt;="&amp;BG$3,CLAVE_BIT,$A269)+SUMIFS(SALIDAS_BOV1,FECHA_BOV1,"&gt;="&amp;BG$2,FECHA_BOV1,"&lt;="&amp;BG$3,CLAVE_BOV1,$A269)+SUMIFS(SALIDAS_BOV2,FECHA_BOV2,"&gt;="&amp;BG$2,FECHA_BOV2,"&lt;="&amp;BG$3,CLAVE_BOV2,$A269)+SUMIFS(SALIDAS_BOV3,FECHA_BOV3,"&gt;="&amp;BG$2,FECHA_BOV3,"&lt;="&amp;BG$3,CLAVE_BOV3,$A269)+SUMIFS(SALIDAS_TC,FECHA_TC,"&gt;="&amp;BG$2,FECHA_TC,"&lt;="&amp;BG$3,CLAVE_TC,$A269)+SUMIFS(SALIDAS_COMB,FECHA_COMB,"&gt;="&amp;BG$2,FECHA_COMB,"&lt;="&amp;BG$3,CLAVE_COMB,$A269)+SUMIFS(SALIDAS_DES,FECHA_DESGLOSEN,"&gt;="&amp;BG$2,FECHA_DESGLOSEN,"&lt;="&amp;BG$3,CLAVE_DESGLOSE,$A269)</f>
        <v>0</v>
      </c>
      <c r="BH269" s="13">
        <f>SUMIFS(SALIDAS_BIT,FECHA_BIT,"&gt;="&amp;BH$2,FECHA_BIT,"&lt;="&amp;BH$3,CLAVE_BIT,$A269)+SUMIFS(SALIDAS_BOV1,FECHA_BOV1,"&gt;="&amp;BH$2,FECHA_BOV1,"&lt;="&amp;BH$3,CLAVE_BOV1,$A269)+SUMIFS(SALIDAS_BOV2,FECHA_BOV2,"&gt;="&amp;BH$2,FECHA_BOV2,"&lt;="&amp;BH$3,CLAVE_BOV2,$A269)+SUMIFS(SALIDAS_BOV3,FECHA_BOV3,"&gt;="&amp;BH$2,FECHA_BOV3,"&lt;="&amp;BH$3,CLAVE_BOV3,$A269)+SUMIFS(SALIDAS_TC,FECHA_TC,"&gt;="&amp;BH$2,FECHA_TC,"&lt;="&amp;BH$3,CLAVE_TC,$A269)+SUMIFS(SALIDAS_COMB,FECHA_COMB,"&gt;="&amp;BH$2,FECHA_COMB,"&lt;="&amp;BH$3,CLAVE_COMB,$A269)+SUMIFS(SALIDAS_DES,FECHA_DESGLOSEN,"&gt;="&amp;BH$2,FECHA_DESGLOSEN,"&lt;="&amp;BH$3,CLAVE_DESGLOSE,$A269)</f>
        <v>0</v>
      </c>
      <c r="BI269" s="13">
        <f t="shared" si="419"/>
        <v>0</v>
      </c>
      <c r="BJ269" s="68">
        <f t="shared" si="460"/>
        <v>0</v>
      </c>
      <c r="BK269" s="268">
        <f t="shared" si="461"/>
        <v>0</v>
      </c>
      <c r="BL269" s="13">
        <f t="shared" si="462"/>
        <v>0</v>
      </c>
      <c r="BM269" s="13">
        <f>SUMIFS(SALIDAS_BIT,FECHA_BIT,"&gt;="&amp;BM$2,FECHA_BIT,"&lt;="&amp;BM$3,CLAVE_BIT,$A269)+SUMIFS(SALIDAS_BOV1,FECHA_BOV1,"&gt;="&amp;BM$2,FECHA_BOV1,"&lt;="&amp;BM$3,CLAVE_BOV1,$A269)+SUMIFS(SALIDAS_BOV2,FECHA_BOV2,"&gt;="&amp;BM$2,FECHA_BOV2,"&lt;="&amp;BM$3,CLAVE_BOV2,$A269)+SUMIFS(SALIDAS_BOV3,FECHA_BOV3,"&gt;="&amp;BM$2,FECHA_BOV3,"&lt;="&amp;BM$3,CLAVE_BOV3,$A269)+SUMIFS(SALIDAS_TC,FECHA_TC,"&gt;="&amp;BM$2,FECHA_TC,"&lt;="&amp;BM$3,CLAVE_TC,$A269)+SUMIFS(SALIDAS_COMB,FECHA_COMB,"&gt;="&amp;BM$2,FECHA_COMB,"&lt;="&amp;BM$3,CLAVE_COMB,$A269)+SUMIFS(SALIDAS_DES,FECHA_DESGLOSEN,"&gt;="&amp;BM$2,FECHA_DESGLOSEN,"&lt;="&amp;BM$3,CLAVE_DESGLOSE,$A269)</f>
        <v>0</v>
      </c>
      <c r="BN269" s="13">
        <f>SUMIFS(SALIDAS_BIT,FECHA_BIT,"&gt;="&amp;BN$2,FECHA_BIT,"&lt;="&amp;BN$3,CLAVE_BIT,$A269)+SUMIFS(SALIDAS_BOV1,FECHA_BOV1,"&gt;="&amp;BN$2,FECHA_BOV1,"&lt;="&amp;BN$3,CLAVE_BOV1,$A269)+SUMIFS(SALIDAS_BOV2,FECHA_BOV2,"&gt;="&amp;BN$2,FECHA_BOV2,"&lt;="&amp;BN$3,CLAVE_BOV2,$A269)+SUMIFS(SALIDAS_BOV3,FECHA_BOV3,"&gt;="&amp;BN$2,FECHA_BOV3,"&lt;="&amp;BN$3,CLAVE_BOV3,$A269)+SUMIFS(SALIDAS_TC,FECHA_TC,"&gt;="&amp;BN$2,FECHA_TC,"&lt;="&amp;BN$3,CLAVE_TC,$A269)+SUMIFS(SALIDAS_COMB,FECHA_COMB,"&gt;="&amp;BN$2,FECHA_COMB,"&lt;="&amp;BN$3,CLAVE_COMB,$A269)+SUMIFS(SALIDAS_DES,FECHA_DESGLOSEN,"&gt;="&amp;BN$2,FECHA_DESGLOSEN,"&lt;="&amp;BN$3,CLAVE_DESGLOSE,$A269)</f>
        <v>199</v>
      </c>
      <c r="BO269" s="13">
        <f>SUMIFS(SALIDAS_BIT,FECHA_BIT,"&gt;="&amp;BO$2,FECHA_BIT,"&lt;="&amp;BO$3,CLAVE_BIT,$A269)+SUMIFS(SALIDAS_BOV1,FECHA_BOV1,"&gt;="&amp;BO$2,FECHA_BOV1,"&lt;="&amp;BO$3,CLAVE_BOV1,$A269)+SUMIFS(SALIDAS_BOV2,FECHA_BOV2,"&gt;="&amp;BO$2,FECHA_BOV2,"&lt;="&amp;BO$3,CLAVE_BOV2,$A269)+SUMIFS(SALIDAS_BOV3,FECHA_BOV3,"&gt;="&amp;BO$2,FECHA_BOV3,"&lt;="&amp;BO$3,CLAVE_BOV3,$A269)+SUMIFS(SALIDAS_TC,FECHA_TC,"&gt;="&amp;BO$2,FECHA_TC,"&lt;="&amp;BO$3,CLAVE_TC,$A269)+SUMIFS(SALIDAS_COMB,FECHA_COMB,"&gt;="&amp;BO$2,FECHA_COMB,"&lt;="&amp;BO$3,CLAVE_COMB,$A269)+SUMIFS(SALIDAS_DES,FECHA_DESGLOSEN,"&gt;="&amp;BO$2,FECHA_DESGLOSEN,"&lt;="&amp;BO$3,CLAVE_DESGLOSE,$A269)</f>
        <v>0</v>
      </c>
      <c r="BP269" s="13">
        <f>SUMIFS(SALIDAS_BIT,FECHA_BIT,"&gt;="&amp;BP$2,FECHA_BIT,"&lt;="&amp;BP$3,CLAVE_BIT,$A269)+SUMIFS(SALIDAS_BOV1,FECHA_BOV1,"&gt;="&amp;BP$2,FECHA_BOV1,"&lt;="&amp;BP$3,CLAVE_BOV1,$A269)+SUMIFS(SALIDAS_BOV2,FECHA_BOV2,"&gt;="&amp;BP$2,FECHA_BOV2,"&lt;="&amp;BP$3,CLAVE_BOV2,$A269)+SUMIFS(SALIDAS_BOV3,FECHA_BOV3,"&gt;="&amp;BP$2,FECHA_BOV3,"&lt;="&amp;BP$3,CLAVE_BOV3,$A269)+SUMIFS(SALIDAS_TC,FECHA_TC,"&gt;="&amp;BP$2,FECHA_TC,"&lt;="&amp;BP$3,CLAVE_TC,$A269)+SUMIFS(SALIDAS_COMB,FECHA_COMB,"&gt;="&amp;BP$2,FECHA_COMB,"&lt;="&amp;BP$3,CLAVE_COMB,$A269)+SUMIFS(SALIDAS_DES,FECHA_DESGLOSEN,"&gt;="&amp;BP$2,FECHA_DESGLOSEN,"&lt;="&amp;BP$3,CLAVE_DESGLOSE,$A269)</f>
        <v>0</v>
      </c>
      <c r="BQ269" s="13">
        <f>SUMIFS(SALIDAS_BIT,FECHA_BIT,"&gt;="&amp;BQ$2,FECHA_BIT,"&lt;="&amp;BQ$3,CLAVE_BIT,$A269)+SUMIFS(SALIDAS_BOV1,FECHA_BOV1,"&gt;="&amp;BQ$2,FECHA_BOV1,"&lt;="&amp;BQ$3,CLAVE_BOV1,$A269)+SUMIFS(SALIDAS_BOV2,FECHA_BOV2,"&gt;="&amp;BQ$2,FECHA_BOV2,"&lt;="&amp;BQ$3,CLAVE_BOV2,$A269)+SUMIFS(SALIDAS_BOV3,FECHA_BOV3,"&gt;="&amp;BQ$2,FECHA_BOV3,"&lt;="&amp;BQ$3,CLAVE_BOV3,$A269)+SUMIFS(SALIDAS_TC,FECHA_TC,"&gt;="&amp;BQ$2,FECHA_TC,"&lt;="&amp;BQ$3,CLAVE_TC,$A269)+SUMIFS(SALIDAS_COMB,FECHA_COMB,"&gt;="&amp;BQ$2,FECHA_COMB,"&lt;="&amp;BQ$3,CLAVE_COMB,$A269)+SUMIFS(SALIDAS_DES,FECHA_DESGLOSEN,"&gt;="&amp;BQ$2,FECHA_DESGLOSEN,"&lt;="&amp;BQ$3,CLAVE_DESGLOSE,$A269)</f>
        <v>0</v>
      </c>
      <c r="BR269" s="13">
        <f t="shared" si="481"/>
        <v>199</v>
      </c>
      <c r="BS269" s="68">
        <f t="shared" si="463"/>
        <v>-199</v>
      </c>
      <c r="BT269" s="268">
        <f t="shared" si="464"/>
        <v>0</v>
      </c>
      <c r="BU269" s="13">
        <f t="shared" si="465"/>
        <v>0</v>
      </c>
      <c r="BV269" s="13">
        <f t="shared" si="389"/>
        <v>348</v>
      </c>
      <c r="BW269" s="13">
        <f t="shared" si="389"/>
        <v>0</v>
      </c>
      <c r="BX269" s="13">
        <f t="shared" si="389"/>
        <v>0</v>
      </c>
      <c r="BY269" s="13">
        <f t="shared" si="389"/>
        <v>0</v>
      </c>
      <c r="BZ269" s="13">
        <f t="shared" si="482"/>
        <v>348</v>
      </c>
      <c r="CA269" s="68">
        <f t="shared" si="466"/>
        <v>-348</v>
      </c>
      <c r="CB269" s="268">
        <f t="shared" si="467"/>
        <v>0</v>
      </c>
      <c r="CC269" s="13">
        <f t="shared" si="468"/>
        <v>0</v>
      </c>
      <c r="CD269" s="13">
        <f t="shared" si="390"/>
        <v>239</v>
      </c>
      <c r="CE269" s="13">
        <f t="shared" si="390"/>
        <v>0</v>
      </c>
      <c r="CF269" s="13">
        <f t="shared" si="390"/>
        <v>0</v>
      </c>
      <c r="CG269" s="13">
        <f t="shared" si="390"/>
        <v>18321.59</v>
      </c>
      <c r="CH269" s="13">
        <f t="shared" si="483"/>
        <v>18560.59</v>
      </c>
      <c r="CI269" s="68">
        <f t="shared" si="469"/>
        <v>-18560.59</v>
      </c>
      <c r="CJ269" s="268">
        <f t="shared" si="470"/>
        <v>0</v>
      </c>
      <c r="CK269" s="13">
        <f t="shared" si="471"/>
        <v>0</v>
      </c>
      <c r="CL269" s="13">
        <f t="shared" si="400"/>
        <v>0</v>
      </c>
      <c r="CM269" s="13">
        <f t="shared" si="400"/>
        <v>149</v>
      </c>
      <c r="CN269" s="13">
        <f t="shared" si="400"/>
        <v>0</v>
      </c>
      <c r="CO269" s="13">
        <f t="shared" si="400"/>
        <v>2829</v>
      </c>
      <c r="CP269" s="13">
        <f t="shared" si="400"/>
        <v>0</v>
      </c>
      <c r="CQ269" s="13">
        <f t="shared" si="484"/>
        <v>2978</v>
      </c>
      <c r="CR269" s="68">
        <f t="shared" si="472"/>
        <v>-2978</v>
      </c>
      <c r="CS269" s="268">
        <f t="shared" si="473"/>
        <v>0</v>
      </c>
      <c r="CT269" s="68">
        <f t="shared" si="446"/>
        <v>0</v>
      </c>
      <c r="CU269" s="13">
        <f>SUMIFS(SALIDAS_BIT,FECHA_BIT,"&gt;="&amp;CU$2,FECHA_BIT,"&lt;="&amp;CU$3,CLAVE_BIT,$A269)+SUMIFS(SALIDAS_BOV1,FECHA_BOV1,"&gt;="&amp;CU$2,FECHA_BOV1,"&lt;="&amp;CU$3,CLAVE_BOV1,$A269)+SUMIFS(SALIDAS_BOV2,FECHA_BOV2,"&gt;="&amp;CU$2,FECHA_BOV2,"&lt;="&amp;CU$3,CLAVE_BOV2,$A269)+SUMIFS(SALIDAS_BOV3,FECHA_BOV3,"&gt;="&amp;CU$2,FECHA_BOV3,"&lt;="&amp;CU$3,CLAVE_BOV3,$A269)+SUMIFS(SALIDAS_TC,FECHA_TC,"&gt;="&amp;CU$2,FECHA_TC,"&lt;="&amp;CU$3,CLAVE_TC,$A269)+SUMIFS(SALIDAS_COMB,FECHA_COMB,"&gt;="&amp;CU$2,FECHA_COMB,"&lt;="&amp;CU$3,CLAVE_COMB,$A269)+SUMIFS(SALIDAS_DES,FECHA_DESGLOSEN,"&gt;="&amp;CU$2,FECHA_DESGLOSEN,"&lt;="&amp;CU$3,CLAVE_DESGLOSE,$A269)</f>
        <v>0</v>
      </c>
      <c r="CV269" s="13">
        <f>SUMIFS(SALIDAS_BIT,FECHA_BIT,"&gt;="&amp;CV$2,FECHA_BIT,"&lt;="&amp;CV$3,CLAVE_BIT,$A269)+SUMIFS(SALIDAS_BOV1,FECHA_BOV1,"&gt;="&amp;CV$2,FECHA_BOV1,"&lt;="&amp;CV$3,CLAVE_BOV1,$A269)+SUMIFS(SALIDAS_BOV2,FECHA_BOV2,"&gt;="&amp;CV$2,FECHA_BOV2,"&lt;="&amp;CV$3,CLAVE_BOV2,$A269)+SUMIFS(SALIDAS_BOV3,FECHA_BOV3,"&gt;="&amp;CV$2,FECHA_BOV3,"&lt;="&amp;CV$3,CLAVE_BOV3,$A269)+SUMIFS(SALIDAS_TC,FECHA_TC,"&gt;="&amp;CV$2,FECHA_TC,"&lt;="&amp;CV$3,CLAVE_TC,$A269)+SUMIFS(SALIDAS_COMB,FECHA_COMB,"&gt;="&amp;CV$2,FECHA_COMB,"&lt;="&amp;CV$3,CLAVE_COMB,$A269)+SUMIFS(SALIDAS_DES,FECHA_DESGLOSEN,"&gt;="&amp;CV$2,FECHA_DESGLOSEN,"&lt;="&amp;CV$3,CLAVE_DESGLOSE,$A269)</f>
        <v>0</v>
      </c>
      <c r="CW269" s="13">
        <f>SUMIFS(SALIDAS_BIT,FECHA_BIT,"&gt;="&amp;CW$2,FECHA_BIT,"&lt;="&amp;CW$3,CLAVE_BIT,$A269)+SUMIFS(SALIDAS_BOV1,FECHA_BOV1,"&gt;="&amp;CW$2,FECHA_BOV1,"&lt;="&amp;CW$3,CLAVE_BOV1,$A269)+SUMIFS(SALIDAS_BOV2,FECHA_BOV2,"&gt;="&amp;CW$2,FECHA_BOV2,"&lt;="&amp;CW$3,CLAVE_BOV2,$A269)+SUMIFS(SALIDAS_BOV3,FECHA_BOV3,"&gt;="&amp;CW$2,FECHA_BOV3,"&lt;="&amp;CW$3,CLAVE_BOV3,$A269)+SUMIFS(SALIDAS_TC,FECHA_TC,"&gt;="&amp;CW$2,FECHA_TC,"&lt;="&amp;CW$3,CLAVE_TC,$A269)+SUMIFS(SALIDAS_COMB,FECHA_COMB,"&gt;="&amp;CW$2,FECHA_COMB,"&lt;="&amp;CW$3,CLAVE_COMB,$A269)+SUMIFS(SALIDAS_DES,FECHA_DESGLOSEN,"&gt;="&amp;CW$2,FECHA_DESGLOSEN,"&lt;="&amp;CW$3,CLAVE_DESGLOSE,$A269)</f>
        <v>0</v>
      </c>
      <c r="CX269" s="13">
        <f>SUMIFS(SALIDAS_BIT,FECHA_BIT,"&gt;="&amp;CX$2,FECHA_BIT,"&lt;="&amp;CX$3,CLAVE_BIT,$A269)+SUMIFS(SALIDAS_BOV1,FECHA_BOV1,"&gt;="&amp;CX$2,FECHA_BOV1,"&lt;="&amp;CX$3,CLAVE_BOV1,$A269)+SUMIFS(SALIDAS_BOV2,FECHA_BOV2,"&gt;="&amp;CX$2,FECHA_BOV2,"&lt;="&amp;CX$3,CLAVE_BOV2,$A269)+SUMIFS(SALIDAS_BOV3,FECHA_BOV3,"&gt;="&amp;CX$2,FECHA_BOV3,"&lt;="&amp;CX$3,CLAVE_BOV3,$A269)+SUMIFS(SALIDAS_TC,FECHA_TC,"&gt;="&amp;CX$2,FECHA_TC,"&lt;="&amp;CX$3,CLAVE_TC,$A269)+SUMIFS(SALIDAS_COMB,FECHA_COMB,"&gt;="&amp;CX$2,FECHA_COMB,"&lt;="&amp;CX$3,CLAVE_COMB,$A269)+SUMIFS(SALIDAS_DES,FECHA_DESGLOSEN,"&gt;="&amp;CX$2,FECHA_DESGLOSEN,"&lt;="&amp;CX$3,CLAVE_DESGLOSE,$A269)</f>
        <v>8727.99</v>
      </c>
      <c r="CY269" s="13">
        <f>SUMIFS(SALIDAS_BIT,FECHA_BIT,"&gt;="&amp;CY$2,FECHA_BIT,"&lt;="&amp;CY$3,CLAVE_BIT,$A269)+SUMIFS(SALIDAS_BOV1,FECHA_BOV1,"&gt;="&amp;CY$2,FECHA_BOV1,"&lt;="&amp;CY$3,CLAVE_BOV1,$A269)+SUMIFS(SALIDAS_BOV2,FECHA_BOV2,"&gt;="&amp;CY$2,FECHA_BOV2,"&lt;="&amp;CY$3,CLAVE_BOV2,$A269)+SUMIFS(SALIDAS_BOV3,FECHA_BOV3,"&gt;="&amp;CY$2,FECHA_BOV3,"&lt;="&amp;CY$3,CLAVE_BOV3,$A269)+SUMIFS(SALIDAS_TC,FECHA_TC,"&gt;="&amp;CY$2,FECHA_TC,"&lt;="&amp;CY$3,CLAVE_TC,$A269)+SUMIFS(SALIDAS_COMB,FECHA_COMB,"&gt;="&amp;CY$2,FECHA_COMB,"&lt;="&amp;CY$3,CLAVE_COMB,$A269)+SUMIFS(SALIDAS_DES,FECHA_DESGLOSEN,"&gt;="&amp;CY$2,FECHA_DESGLOSEN,"&lt;="&amp;CY$3,CLAVE_DESGLOSE,$A269)</f>
        <v>8727.99</v>
      </c>
      <c r="CZ269" s="68">
        <f t="shared" si="474"/>
        <v>-8727.99</v>
      </c>
      <c r="DB269" s="17">
        <f>F269+N269+W269+AE269+AM269+AV269+BD269+BL269+BU269+CC269+CK269</f>
        <v>1888</v>
      </c>
      <c r="DC269" s="17">
        <f>K269+T269+AB269+AJ269+AS269+BA269+BI269+BR269+BZ269+CH269+CQ269</f>
        <v>25401.39</v>
      </c>
    </row>
    <row r="270" spans="1:107" hidden="1">
      <c r="A270" s="12" t="str">
        <f t="shared" si="447"/>
        <v>FINANZASCUOTAS Y SUSCRIPCIONESBITAM</v>
      </c>
      <c r="B270">
        <v>272</v>
      </c>
      <c r="C270" t="s">
        <v>23</v>
      </c>
      <c r="D270" t="s">
        <v>51</v>
      </c>
      <c r="E270" t="s">
        <v>71</v>
      </c>
      <c r="F270" s="259">
        <f t="shared" si="440"/>
        <v>3600</v>
      </c>
      <c r="G270" s="13">
        <f t="shared" si="476"/>
        <v>0</v>
      </c>
      <c r="H270" s="13">
        <f t="shared" si="476"/>
        <v>0</v>
      </c>
      <c r="I270" s="13">
        <f t="shared" si="476"/>
        <v>0</v>
      </c>
      <c r="J270" s="13">
        <f t="shared" si="476"/>
        <v>0</v>
      </c>
      <c r="K270" s="13">
        <f t="shared" si="476"/>
        <v>0</v>
      </c>
      <c r="L270" s="68">
        <f t="shared" si="448"/>
        <v>3600</v>
      </c>
      <c r="M270" s="268">
        <f t="shared" si="449"/>
        <v>0</v>
      </c>
      <c r="N270" s="13">
        <f t="shared" si="441"/>
        <v>3600</v>
      </c>
      <c r="O270" s="13">
        <f t="shared" si="477"/>
        <v>0</v>
      </c>
      <c r="P270" s="13">
        <f t="shared" si="477"/>
        <v>0</v>
      </c>
      <c r="Q270" s="13">
        <f t="shared" si="477"/>
        <v>0</v>
      </c>
      <c r="R270" s="13">
        <f t="shared" si="477"/>
        <v>0</v>
      </c>
      <c r="S270" s="13">
        <f t="shared" si="477"/>
        <v>0</v>
      </c>
      <c r="T270" s="13">
        <f t="shared" si="477"/>
        <v>0</v>
      </c>
      <c r="U270" s="68">
        <f t="shared" si="450"/>
        <v>3600</v>
      </c>
      <c r="V270" s="268">
        <f t="shared" si="451"/>
        <v>0</v>
      </c>
      <c r="W270" s="13">
        <f t="shared" si="442"/>
        <v>3600</v>
      </c>
      <c r="X270" s="13">
        <f t="shared" si="478"/>
        <v>0</v>
      </c>
      <c r="Y270" s="13">
        <f t="shared" si="478"/>
        <v>0</v>
      </c>
      <c r="Z270" s="13">
        <f t="shared" si="478"/>
        <v>0</v>
      </c>
      <c r="AA270" s="13">
        <f t="shared" si="478"/>
        <v>0</v>
      </c>
      <c r="AB270" s="13">
        <f t="shared" si="478"/>
        <v>0</v>
      </c>
      <c r="AC270" s="68">
        <f t="shared" si="452"/>
        <v>3600</v>
      </c>
      <c r="AD270" s="268">
        <f t="shared" si="453"/>
        <v>0</v>
      </c>
      <c r="AE270" s="13">
        <f t="shared" si="443"/>
        <v>3600</v>
      </c>
      <c r="AF270" s="13">
        <f t="shared" si="479"/>
        <v>0</v>
      </c>
      <c r="AG270" s="13">
        <f t="shared" si="479"/>
        <v>0</v>
      </c>
      <c r="AH270" s="13">
        <f t="shared" si="479"/>
        <v>0</v>
      </c>
      <c r="AI270" s="13">
        <f t="shared" si="479"/>
        <v>0</v>
      </c>
      <c r="AJ270" s="13">
        <f t="shared" si="479"/>
        <v>0</v>
      </c>
      <c r="AK270" s="68">
        <f t="shared" si="454"/>
        <v>3600</v>
      </c>
      <c r="AL270" s="268">
        <f t="shared" si="455"/>
        <v>0</v>
      </c>
      <c r="AM270" s="13">
        <f t="shared" si="444"/>
        <v>3600</v>
      </c>
      <c r="AN270" s="13">
        <f t="shared" si="480"/>
        <v>0</v>
      </c>
      <c r="AO270" s="13">
        <f t="shared" si="480"/>
        <v>0</v>
      </c>
      <c r="AP270" s="13">
        <f t="shared" si="480"/>
        <v>0</v>
      </c>
      <c r="AQ270" s="13">
        <f t="shared" si="480"/>
        <v>0</v>
      </c>
      <c r="AR270" s="13">
        <f t="shared" si="480"/>
        <v>0</v>
      </c>
      <c r="AS270" s="13">
        <f t="shared" si="480"/>
        <v>0</v>
      </c>
      <c r="AT270" s="68">
        <f>AM270-AS270</f>
        <v>3600</v>
      </c>
      <c r="AU270" s="268">
        <f t="shared" si="456"/>
        <v>0</v>
      </c>
      <c r="AV270" s="13">
        <f t="shared" si="445"/>
        <v>3600</v>
      </c>
      <c r="AW270" s="13">
        <f t="shared" si="421"/>
        <v>0</v>
      </c>
      <c r="AX270" s="13">
        <f t="shared" si="421"/>
        <v>0</v>
      </c>
      <c r="AY270" s="13">
        <f t="shared" si="421"/>
        <v>0</v>
      </c>
      <c r="AZ270" s="13">
        <f t="shared" si="421"/>
        <v>0</v>
      </c>
      <c r="BA270" s="13">
        <f t="shared" si="475"/>
        <v>0</v>
      </c>
      <c r="BB270" s="68">
        <f t="shared" si="457"/>
        <v>3600</v>
      </c>
      <c r="BC270" s="268">
        <f t="shared" si="458"/>
        <v>0</v>
      </c>
      <c r="BD270" s="13">
        <f t="shared" si="459"/>
        <v>3600</v>
      </c>
      <c r="BE270" s="13">
        <f>SUMIFS(SALIDAS_BIT,FECHA_BIT,"&gt;="&amp;BE$2,FECHA_BIT,"&lt;="&amp;BE$3,CLAVE_BIT,$A270)+SUMIFS(SALIDAS_BOV1,FECHA_BOV1,"&gt;="&amp;BE$2,FECHA_BOV1,"&lt;="&amp;BE$3,CLAVE_BOV1,$A270)+SUMIFS(SALIDAS_BOV2,FECHA_BOV2,"&gt;="&amp;BE$2,FECHA_BOV2,"&lt;="&amp;BE$3,CLAVE_BOV2,$A270)+SUMIFS(SALIDAS_BOV3,FECHA_BOV3,"&gt;="&amp;BE$2,FECHA_BOV3,"&lt;="&amp;BE$3,CLAVE_BOV3,$A270)+SUMIFS(SALIDAS_TC,FECHA_TC,"&gt;="&amp;BE$2,FECHA_TC,"&lt;="&amp;BE$3,CLAVE_TC,$A270)+SUMIFS(SALIDAS_COMB,FECHA_COMB,"&gt;="&amp;BE$2,FECHA_COMB,"&lt;="&amp;BE$3,CLAVE_COMB,$A270)+SUMIFS(SALIDAS_DES,FECHA_DESGLOSEN,"&gt;="&amp;BE$2,FECHA_DESGLOSEN,"&lt;="&amp;BE$3,CLAVE_DESGLOSE,$A270)</f>
        <v>0</v>
      </c>
      <c r="BF270" s="13">
        <f>SUMIFS(SALIDAS_BIT,FECHA_BIT,"&gt;="&amp;BF$2,FECHA_BIT,"&lt;="&amp;BF$3,CLAVE_BIT,$A270)+SUMIFS(SALIDAS_BOV1,FECHA_BOV1,"&gt;="&amp;BF$2,FECHA_BOV1,"&lt;="&amp;BF$3,CLAVE_BOV1,$A270)+SUMIFS(SALIDAS_BOV2,FECHA_BOV2,"&gt;="&amp;BF$2,FECHA_BOV2,"&lt;="&amp;BF$3,CLAVE_BOV2,$A270)+SUMIFS(SALIDAS_BOV3,FECHA_BOV3,"&gt;="&amp;BF$2,FECHA_BOV3,"&lt;="&amp;BF$3,CLAVE_BOV3,$A270)+SUMIFS(SALIDAS_TC,FECHA_TC,"&gt;="&amp;BF$2,FECHA_TC,"&lt;="&amp;BF$3,CLAVE_TC,$A270)+SUMIFS(SALIDAS_COMB,FECHA_COMB,"&gt;="&amp;BF$2,FECHA_COMB,"&lt;="&amp;BF$3,CLAVE_COMB,$A270)+SUMIFS(SALIDAS_DES,FECHA_DESGLOSEN,"&gt;="&amp;BF$2,FECHA_DESGLOSEN,"&lt;="&amp;BF$3,CLAVE_DESGLOSE,$A270)</f>
        <v>0</v>
      </c>
      <c r="BG270" s="13">
        <f>SUMIFS(SALIDAS_BIT,FECHA_BIT,"&gt;="&amp;BG$2,FECHA_BIT,"&lt;="&amp;BG$3,CLAVE_BIT,$A270)+SUMIFS(SALIDAS_BOV1,FECHA_BOV1,"&gt;="&amp;BG$2,FECHA_BOV1,"&lt;="&amp;BG$3,CLAVE_BOV1,$A270)+SUMIFS(SALIDAS_BOV2,FECHA_BOV2,"&gt;="&amp;BG$2,FECHA_BOV2,"&lt;="&amp;BG$3,CLAVE_BOV2,$A270)+SUMIFS(SALIDAS_BOV3,FECHA_BOV3,"&gt;="&amp;BG$2,FECHA_BOV3,"&lt;="&amp;BG$3,CLAVE_BOV3,$A270)+SUMIFS(SALIDAS_TC,FECHA_TC,"&gt;="&amp;BG$2,FECHA_TC,"&lt;="&amp;BG$3,CLAVE_TC,$A270)+SUMIFS(SALIDAS_COMB,FECHA_COMB,"&gt;="&amp;BG$2,FECHA_COMB,"&lt;="&amp;BG$3,CLAVE_COMB,$A270)+SUMIFS(SALIDAS_DES,FECHA_DESGLOSEN,"&gt;="&amp;BG$2,FECHA_DESGLOSEN,"&lt;="&amp;BG$3,CLAVE_DESGLOSE,$A270)</f>
        <v>0</v>
      </c>
      <c r="BH270" s="13">
        <f>SUMIFS(SALIDAS_BIT,FECHA_BIT,"&gt;="&amp;BH$2,FECHA_BIT,"&lt;="&amp;BH$3,CLAVE_BIT,$A270)+SUMIFS(SALIDAS_BOV1,FECHA_BOV1,"&gt;="&amp;BH$2,FECHA_BOV1,"&lt;="&amp;BH$3,CLAVE_BOV1,$A270)+SUMIFS(SALIDAS_BOV2,FECHA_BOV2,"&gt;="&amp;BH$2,FECHA_BOV2,"&lt;="&amp;BH$3,CLAVE_BOV2,$A270)+SUMIFS(SALIDAS_BOV3,FECHA_BOV3,"&gt;="&amp;BH$2,FECHA_BOV3,"&lt;="&amp;BH$3,CLAVE_BOV3,$A270)+SUMIFS(SALIDAS_TC,FECHA_TC,"&gt;="&amp;BH$2,FECHA_TC,"&lt;="&amp;BH$3,CLAVE_TC,$A270)+SUMIFS(SALIDAS_COMB,FECHA_COMB,"&gt;="&amp;BH$2,FECHA_COMB,"&lt;="&amp;BH$3,CLAVE_COMB,$A270)+SUMIFS(SALIDAS_DES,FECHA_DESGLOSEN,"&gt;="&amp;BH$2,FECHA_DESGLOSEN,"&lt;="&amp;BH$3,CLAVE_DESGLOSE,$A270)</f>
        <v>0</v>
      </c>
      <c r="BI270" s="13">
        <f t="shared" si="419"/>
        <v>0</v>
      </c>
      <c r="BJ270" s="68">
        <f t="shared" si="460"/>
        <v>3600</v>
      </c>
      <c r="BK270" s="268">
        <f t="shared" si="461"/>
        <v>0</v>
      </c>
      <c r="BL270" s="13">
        <f t="shared" si="462"/>
        <v>3600</v>
      </c>
      <c r="BM270" s="13">
        <f>SUMIFS(SALIDAS_BIT,FECHA_BIT,"&gt;="&amp;BM$2,FECHA_BIT,"&lt;="&amp;BM$3,CLAVE_BIT,$A270)+SUMIFS(SALIDAS_BOV1,FECHA_BOV1,"&gt;="&amp;BM$2,FECHA_BOV1,"&lt;="&amp;BM$3,CLAVE_BOV1,$A270)+SUMIFS(SALIDAS_BOV2,FECHA_BOV2,"&gt;="&amp;BM$2,FECHA_BOV2,"&lt;="&amp;BM$3,CLAVE_BOV2,$A270)+SUMIFS(SALIDAS_BOV3,FECHA_BOV3,"&gt;="&amp;BM$2,FECHA_BOV3,"&lt;="&amp;BM$3,CLAVE_BOV3,$A270)+SUMIFS(SALIDAS_TC,FECHA_TC,"&gt;="&amp;BM$2,FECHA_TC,"&lt;="&amp;BM$3,CLAVE_TC,$A270)+SUMIFS(SALIDAS_COMB,FECHA_COMB,"&gt;="&amp;BM$2,FECHA_COMB,"&lt;="&amp;BM$3,CLAVE_COMB,$A270)+SUMIFS(SALIDAS_DES,FECHA_DESGLOSEN,"&gt;="&amp;BM$2,FECHA_DESGLOSEN,"&lt;="&amp;BM$3,CLAVE_DESGLOSE,$A270)</f>
        <v>0</v>
      </c>
      <c r="BN270" s="13">
        <f>SUMIFS(SALIDAS_BIT,FECHA_BIT,"&gt;="&amp;BN$2,FECHA_BIT,"&lt;="&amp;BN$3,CLAVE_BIT,$A270)+SUMIFS(SALIDAS_BOV1,FECHA_BOV1,"&gt;="&amp;BN$2,FECHA_BOV1,"&lt;="&amp;BN$3,CLAVE_BOV1,$A270)+SUMIFS(SALIDAS_BOV2,FECHA_BOV2,"&gt;="&amp;BN$2,FECHA_BOV2,"&lt;="&amp;BN$3,CLAVE_BOV2,$A270)+SUMIFS(SALIDAS_BOV3,FECHA_BOV3,"&gt;="&amp;BN$2,FECHA_BOV3,"&lt;="&amp;BN$3,CLAVE_BOV3,$A270)+SUMIFS(SALIDAS_TC,FECHA_TC,"&gt;="&amp;BN$2,FECHA_TC,"&lt;="&amp;BN$3,CLAVE_TC,$A270)+SUMIFS(SALIDAS_COMB,FECHA_COMB,"&gt;="&amp;BN$2,FECHA_COMB,"&lt;="&amp;BN$3,CLAVE_COMB,$A270)+SUMIFS(SALIDAS_DES,FECHA_DESGLOSEN,"&gt;="&amp;BN$2,FECHA_DESGLOSEN,"&lt;="&amp;BN$3,CLAVE_DESGLOSE,$A270)</f>
        <v>0</v>
      </c>
      <c r="BO270" s="13">
        <f>SUMIFS(SALIDAS_BIT,FECHA_BIT,"&gt;="&amp;BO$2,FECHA_BIT,"&lt;="&amp;BO$3,CLAVE_BIT,$A270)+SUMIFS(SALIDAS_BOV1,FECHA_BOV1,"&gt;="&amp;BO$2,FECHA_BOV1,"&lt;="&amp;BO$3,CLAVE_BOV1,$A270)+SUMIFS(SALIDAS_BOV2,FECHA_BOV2,"&gt;="&amp;BO$2,FECHA_BOV2,"&lt;="&amp;BO$3,CLAVE_BOV2,$A270)+SUMIFS(SALIDAS_BOV3,FECHA_BOV3,"&gt;="&amp;BO$2,FECHA_BOV3,"&lt;="&amp;BO$3,CLAVE_BOV3,$A270)+SUMIFS(SALIDAS_TC,FECHA_TC,"&gt;="&amp;BO$2,FECHA_TC,"&lt;="&amp;BO$3,CLAVE_TC,$A270)+SUMIFS(SALIDAS_COMB,FECHA_COMB,"&gt;="&amp;BO$2,FECHA_COMB,"&lt;="&amp;BO$3,CLAVE_COMB,$A270)+SUMIFS(SALIDAS_DES,FECHA_DESGLOSEN,"&gt;="&amp;BO$2,FECHA_DESGLOSEN,"&lt;="&amp;BO$3,CLAVE_DESGLOSE,$A270)</f>
        <v>0</v>
      </c>
      <c r="BP270" s="13">
        <f>SUMIFS(SALIDAS_BIT,FECHA_BIT,"&gt;="&amp;BP$2,FECHA_BIT,"&lt;="&amp;BP$3,CLAVE_BIT,$A270)+SUMIFS(SALIDAS_BOV1,FECHA_BOV1,"&gt;="&amp;BP$2,FECHA_BOV1,"&lt;="&amp;BP$3,CLAVE_BOV1,$A270)+SUMIFS(SALIDAS_BOV2,FECHA_BOV2,"&gt;="&amp;BP$2,FECHA_BOV2,"&lt;="&amp;BP$3,CLAVE_BOV2,$A270)+SUMIFS(SALIDAS_BOV3,FECHA_BOV3,"&gt;="&amp;BP$2,FECHA_BOV3,"&lt;="&amp;BP$3,CLAVE_BOV3,$A270)+SUMIFS(SALIDAS_TC,FECHA_TC,"&gt;="&amp;BP$2,FECHA_TC,"&lt;="&amp;BP$3,CLAVE_TC,$A270)+SUMIFS(SALIDAS_COMB,FECHA_COMB,"&gt;="&amp;BP$2,FECHA_COMB,"&lt;="&amp;BP$3,CLAVE_COMB,$A270)+SUMIFS(SALIDAS_DES,FECHA_DESGLOSEN,"&gt;="&amp;BP$2,FECHA_DESGLOSEN,"&lt;="&amp;BP$3,CLAVE_DESGLOSE,$A270)</f>
        <v>0</v>
      </c>
      <c r="BQ270" s="13">
        <f>SUMIFS(SALIDAS_BIT,FECHA_BIT,"&gt;="&amp;BQ$2,FECHA_BIT,"&lt;="&amp;BQ$3,CLAVE_BIT,$A270)+SUMIFS(SALIDAS_BOV1,FECHA_BOV1,"&gt;="&amp;BQ$2,FECHA_BOV1,"&lt;="&amp;BQ$3,CLAVE_BOV1,$A270)+SUMIFS(SALIDAS_BOV2,FECHA_BOV2,"&gt;="&amp;BQ$2,FECHA_BOV2,"&lt;="&amp;BQ$3,CLAVE_BOV2,$A270)+SUMIFS(SALIDAS_BOV3,FECHA_BOV3,"&gt;="&amp;BQ$2,FECHA_BOV3,"&lt;="&amp;BQ$3,CLAVE_BOV3,$A270)+SUMIFS(SALIDAS_TC,FECHA_TC,"&gt;="&amp;BQ$2,FECHA_TC,"&lt;="&amp;BQ$3,CLAVE_TC,$A270)+SUMIFS(SALIDAS_COMB,FECHA_COMB,"&gt;="&amp;BQ$2,FECHA_COMB,"&lt;="&amp;BQ$3,CLAVE_COMB,$A270)+SUMIFS(SALIDAS_DES,FECHA_DESGLOSEN,"&gt;="&amp;BQ$2,FECHA_DESGLOSEN,"&lt;="&amp;BQ$3,CLAVE_DESGLOSE,$A270)</f>
        <v>0</v>
      </c>
      <c r="BR270" s="13">
        <f t="shared" si="481"/>
        <v>0</v>
      </c>
      <c r="BS270" s="68">
        <f t="shared" si="463"/>
        <v>3600</v>
      </c>
      <c r="BT270" s="268">
        <f t="shared" si="464"/>
        <v>0</v>
      </c>
      <c r="BU270" s="13">
        <f t="shared" si="465"/>
        <v>3600</v>
      </c>
      <c r="BV270" s="13">
        <f t="shared" si="389"/>
        <v>0</v>
      </c>
      <c r="BW270" s="13">
        <f t="shared" si="389"/>
        <v>0</v>
      </c>
      <c r="BX270" s="13">
        <f t="shared" si="389"/>
        <v>0</v>
      </c>
      <c r="BY270" s="13">
        <f t="shared" si="389"/>
        <v>0</v>
      </c>
      <c r="BZ270" s="13">
        <f t="shared" si="482"/>
        <v>0</v>
      </c>
      <c r="CA270" s="68">
        <f t="shared" si="466"/>
        <v>3600</v>
      </c>
      <c r="CB270" s="268">
        <f t="shared" si="467"/>
        <v>0</v>
      </c>
      <c r="CC270" s="13">
        <f t="shared" si="468"/>
        <v>3600</v>
      </c>
      <c r="CD270" s="13">
        <f t="shared" si="390"/>
        <v>0</v>
      </c>
      <c r="CE270" s="13">
        <f t="shared" si="390"/>
        <v>0</v>
      </c>
      <c r="CF270" s="13">
        <f t="shared" si="390"/>
        <v>0</v>
      </c>
      <c r="CG270" s="13">
        <f t="shared" si="390"/>
        <v>8590.9599999999991</v>
      </c>
      <c r="CH270" s="13">
        <f t="shared" si="483"/>
        <v>8590.9599999999991</v>
      </c>
      <c r="CI270" s="68">
        <f t="shared" si="469"/>
        <v>-4990.9599999999991</v>
      </c>
      <c r="CJ270" s="268">
        <f t="shared" si="470"/>
        <v>2.3863777777777777</v>
      </c>
      <c r="CK270" s="13">
        <f t="shared" si="471"/>
        <v>3600</v>
      </c>
      <c r="CL270" s="13">
        <f t="shared" si="400"/>
        <v>0</v>
      </c>
      <c r="CM270" s="13">
        <f t="shared" si="400"/>
        <v>0</v>
      </c>
      <c r="CN270" s="13">
        <f t="shared" si="400"/>
        <v>0</v>
      </c>
      <c r="CO270" s="13">
        <f t="shared" si="400"/>
        <v>0</v>
      </c>
      <c r="CP270" s="13">
        <f t="shared" si="400"/>
        <v>0</v>
      </c>
      <c r="CQ270" s="13">
        <f t="shared" si="484"/>
        <v>0</v>
      </c>
      <c r="CR270" s="68">
        <f t="shared" si="472"/>
        <v>3600</v>
      </c>
      <c r="CS270" s="268">
        <f t="shared" si="473"/>
        <v>0</v>
      </c>
      <c r="CT270" s="68">
        <f t="shared" si="446"/>
        <v>8500</v>
      </c>
      <c r="CU270" s="13">
        <f>SUMIFS(SALIDAS_BIT,FECHA_BIT,"&gt;="&amp;CU$2,FECHA_BIT,"&lt;="&amp;CU$3,CLAVE_BIT,$A270)+SUMIFS(SALIDAS_BOV1,FECHA_BOV1,"&gt;="&amp;CU$2,FECHA_BOV1,"&lt;="&amp;CU$3,CLAVE_BOV1,$A270)+SUMIFS(SALIDAS_BOV2,FECHA_BOV2,"&gt;="&amp;CU$2,FECHA_BOV2,"&lt;="&amp;CU$3,CLAVE_BOV2,$A270)+SUMIFS(SALIDAS_BOV3,FECHA_BOV3,"&gt;="&amp;CU$2,FECHA_BOV3,"&lt;="&amp;CU$3,CLAVE_BOV3,$A270)+SUMIFS(SALIDAS_TC,FECHA_TC,"&gt;="&amp;CU$2,FECHA_TC,"&lt;="&amp;CU$3,CLAVE_TC,$A270)+SUMIFS(SALIDAS_COMB,FECHA_COMB,"&gt;="&amp;CU$2,FECHA_COMB,"&lt;="&amp;CU$3,CLAVE_COMB,$A270)+SUMIFS(SALIDAS_DES,FECHA_DESGLOSEN,"&gt;="&amp;CU$2,FECHA_DESGLOSEN,"&lt;="&amp;CU$3,CLAVE_DESGLOSE,$A270)</f>
        <v>12149.84</v>
      </c>
      <c r="CV270" s="13">
        <f>SUMIFS(SALIDAS_BIT,FECHA_BIT,"&gt;="&amp;CV$2,FECHA_BIT,"&lt;="&amp;CV$3,CLAVE_BIT,$A270)+SUMIFS(SALIDAS_BOV1,FECHA_BOV1,"&gt;="&amp;CV$2,FECHA_BOV1,"&lt;="&amp;CV$3,CLAVE_BOV1,$A270)+SUMIFS(SALIDAS_BOV2,FECHA_BOV2,"&gt;="&amp;CV$2,FECHA_BOV2,"&lt;="&amp;CV$3,CLAVE_BOV2,$A270)+SUMIFS(SALIDAS_BOV3,FECHA_BOV3,"&gt;="&amp;CV$2,FECHA_BOV3,"&lt;="&amp;CV$3,CLAVE_BOV3,$A270)+SUMIFS(SALIDAS_TC,FECHA_TC,"&gt;="&amp;CV$2,FECHA_TC,"&lt;="&amp;CV$3,CLAVE_TC,$A270)+SUMIFS(SALIDAS_COMB,FECHA_COMB,"&gt;="&amp;CV$2,FECHA_COMB,"&lt;="&amp;CV$3,CLAVE_COMB,$A270)+SUMIFS(SALIDAS_DES,FECHA_DESGLOSEN,"&gt;="&amp;CV$2,FECHA_DESGLOSEN,"&lt;="&amp;CV$3,CLAVE_DESGLOSE,$A270)</f>
        <v>0</v>
      </c>
      <c r="CW270" s="13">
        <f>SUMIFS(SALIDAS_BIT,FECHA_BIT,"&gt;="&amp;CW$2,FECHA_BIT,"&lt;="&amp;CW$3,CLAVE_BIT,$A270)+SUMIFS(SALIDAS_BOV1,FECHA_BOV1,"&gt;="&amp;CW$2,FECHA_BOV1,"&lt;="&amp;CW$3,CLAVE_BOV1,$A270)+SUMIFS(SALIDAS_BOV2,FECHA_BOV2,"&gt;="&amp;CW$2,FECHA_BOV2,"&lt;="&amp;CW$3,CLAVE_BOV2,$A270)+SUMIFS(SALIDAS_BOV3,FECHA_BOV3,"&gt;="&amp;CW$2,FECHA_BOV3,"&lt;="&amp;CW$3,CLAVE_BOV3,$A270)+SUMIFS(SALIDAS_TC,FECHA_TC,"&gt;="&amp;CW$2,FECHA_TC,"&lt;="&amp;CW$3,CLAVE_TC,$A270)+SUMIFS(SALIDAS_COMB,FECHA_COMB,"&gt;="&amp;CW$2,FECHA_COMB,"&lt;="&amp;CW$3,CLAVE_COMB,$A270)+SUMIFS(SALIDAS_DES,FECHA_DESGLOSEN,"&gt;="&amp;CW$2,FECHA_DESGLOSEN,"&lt;="&amp;CW$3,CLAVE_DESGLOSE,$A270)</f>
        <v>0</v>
      </c>
      <c r="CX270" s="13">
        <f>SUMIFS(SALIDAS_BIT,FECHA_BIT,"&gt;="&amp;CX$2,FECHA_BIT,"&lt;="&amp;CX$3,CLAVE_BIT,$A270)+SUMIFS(SALIDAS_BOV1,FECHA_BOV1,"&gt;="&amp;CX$2,FECHA_BOV1,"&lt;="&amp;CX$3,CLAVE_BOV1,$A270)+SUMIFS(SALIDAS_BOV2,FECHA_BOV2,"&gt;="&amp;CX$2,FECHA_BOV2,"&lt;="&amp;CX$3,CLAVE_BOV2,$A270)+SUMIFS(SALIDAS_BOV3,FECHA_BOV3,"&gt;="&amp;CX$2,FECHA_BOV3,"&lt;="&amp;CX$3,CLAVE_BOV3,$A270)+SUMIFS(SALIDAS_TC,FECHA_TC,"&gt;="&amp;CX$2,FECHA_TC,"&lt;="&amp;CX$3,CLAVE_TC,$A270)+SUMIFS(SALIDAS_COMB,FECHA_COMB,"&gt;="&amp;CX$2,FECHA_COMB,"&lt;="&amp;CX$3,CLAVE_COMB,$A270)+SUMIFS(SALIDAS_DES,FECHA_DESGLOSEN,"&gt;="&amp;CX$2,FECHA_DESGLOSEN,"&lt;="&amp;CX$3,CLAVE_DESGLOSE,$A270)</f>
        <v>0</v>
      </c>
      <c r="CY270" s="13">
        <f>SUMIFS(SALIDAS_BIT,FECHA_BIT,"&gt;="&amp;CY$2,FECHA_BIT,"&lt;="&amp;CY$3,CLAVE_BIT,$A270)+SUMIFS(SALIDAS_BOV1,FECHA_BOV1,"&gt;="&amp;CY$2,FECHA_BOV1,"&lt;="&amp;CY$3,CLAVE_BOV1,$A270)+SUMIFS(SALIDAS_BOV2,FECHA_BOV2,"&gt;="&amp;CY$2,FECHA_BOV2,"&lt;="&amp;CY$3,CLAVE_BOV2,$A270)+SUMIFS(SALIDAS_BOV3,FECHA_BOV3,"&gt;="&amp;CY$2,FECHA_BOV3,"&lt;="&amp;CY$3,CLAVE_BOV3,$A270)+SUMIFS(SALIDAS_TC,FECHA_TC,"&gt;="&amp;CY$2,FECHA_TC,"&lt;="&amp;CY$3,CLAVE_TC,$A270)+SUMIFS(SALIDAS_COMB,FECHA_COMB,"&gt;="&amp;CY$2,FECHA_COMB,"&lt;="&amp;CY$3,CLAVE_COMB,$A270)+SUMIFS(SALIDAS_DES,FECHA_DESGLOSEN,"&gt;="&amp;CY$2,FECHA_DESGLOSEN,"&lt;="&amp;CY$3,CLAVE_DESGLOSE,$A270)</f>
        <v>12149.84</v>
      </c>
      <c r="CZ270" s="68">
        <f t="shared" si="474"/>
        <v>-3649.84</v>
      </c>
      <c r="DB270" s="17">
        <f>F270+N270+W270+AE270+AM270+AV270+BD270+BL270+BU270+CC270+CK270</f>
        <v>39600</v>
      </c>
      <c r="DC270" s="17">
        <f>K270+T270+AB270+AJ270+AS270+BA270+BI270+BR270+BZ270+CH270+CQ270</f>
        <v>8590.9599999999991</v>
      </c>
    </row>
    <row r="271" spans="1:107">
      <c r="A271" s="12" t="str">
        <f t="shared" si="447"/>
        <v>FINANZASCUOTAS Y SUSCRIPCIONESXMLSAT</v>
      </c>
      <c r="B271">
        <v>273</v>
      </c>
      <c r="C271" t="s">
        <v>23</v>
      </c>
      <c r="D271" t="s">
        <v>51</v>
      </c>
      <c r="E271" t="s">
        <v>72</v>
      </c>
      <c r="F271" s="259">
        <f t="shared" si="440"/>
        <v>0</v>
      </c>
      <c r="G271" s="13">
        <f t="shared" si="476"/>
        <v>0</v>
      </c>
      <c r="H271" s="13">
        <f t="shared" si="476"/>
        <v>0</v>
      </c>
      <c r="I271" s="13">
        <f t="shared" si="476"/>
        <v>0</v>
      </c>
      <c r="J271" s="13">
        <f t="shared" si="476"/>
        <v>0</v>
      </c>
      <c r="K271" s="13">
        <f t="shared" si="476"/>
        <v>0</v>
      </c>
      <c r="L271" s="68">
        <f t="shared" si="448"/>
        <v>0</v>
      </c>
      <c r="M271" s="268">
        <f t="shared" si="449"/>
        <v>0</v>
      </c>
      <c r="N271" s="13">
        <f t="shared" si="441"/>
        <v>0</v>
      </c>
      <c r="O271" s="13">
        <f t="shared" si="477"/>
        <v>0</v>
      </c>
      <c r="P271" s="13">
        <f t="shared" si="477"/>
        <v>0</v>
      </c>
      <c r="Q271" s="13">
        <f t="shared" si="477"/>
        <v>0</v>
      </c>
      <c r="R271" s="13">
        <f t="shared" si="477"/>
        <v>0</v>
      </c>
      <c r="S271" s="13">
        <f t="shared" si="477"/>
        <v>0</v>
      </c>
      <c r="T271" s="13">
        <f t="shared" si="477"/>
        <v>0</v>
      </c>
      <c r="U271" s="68">
        <f t="shared" si="450"/>
        <v>0</v>
      </c>
      <c r="V271" s="268">
        <f t="shared" si="451"/>
        <v>0</v>
      </c>
      <c r="W271" s="13">
        <f t="shared" si="442"/>
        <v>0</v>
      </c>
      <c r="X271" s="13">
        <f t="shared" si="478"/>
        <v>0</v>
      </c>
      <c r="Y271" s="13">
        <f t="shared" si="478"/>
        <v>0</v>
      </c>
      <c r="Z271" s="13">
        <f t="shared" si="478"/>
        <v>0</v>
      </c>
      <c r="AA271" s="13">
        <f t="shared" si="478"/>
        <v>0</v>
      </c>
      <c r="AB271" s="13">
        <f t="shared" si="478"/>
        <v>0</v>
      </c>
      <c r="AC271" s="68">
        <f t="shared" si="452"/>
        <v>0</v>
      </c>
      <c r="AD271" s="268">
        <f t="shared" si="453"/>
        <v>0</v>
      </c>
      <c r="AE271" s="13">
        <f t="shared" si="443"/>
        <v>0</v>
      </c>
      <c r="AF271" s="13">
        <f t="shared" si="479"/>
        <v>0</v>
      </c>
      <c r="AG271" s="13">
        <f t="shared" si="479"/>
        <v>0</v>
      </c>
      <c r="AH271" s="13">
        <f t="shared" si="479"/>
        <v>0</v>
      </c>
      <c r="AI271" s="13">
        <f t="shared" si="479"/>
        <v>0</v>
      </c>
      <c r="AJ271" s="13">
        <f t="shared" si="479"/>
        <v>0</v>
      </c>
      <c r="AK271" s="68">
        <f t="shared" si="454"/>
        <v>0</v>
      </c>
      <c r="AL271" s="268">
        <f t="shared" si="455"/>
        <v>0</v>
      </c>
      <c r="AM271" s="13">
        <f t="shared" si="444"/>
        <v>0</v>
      </c>
      <c r="AN271" s="13">
        <f t="shared" si="480"/>
        <v>0</v>
      </c>
      <c r="AO271" s="13">
        <f t="shared" si="480"/>
        <v>0</v>
      </c>
      <c r="AP271" s="13">
        <f t="shared" si="480"/>
        <v>0</v>
      </c>
      <c r="AQ271" s="13">
        <f t="shared" si="480"/>
        <v>0</v>
      </c>
      <c r="AR271" s="13">
        <f t="shared" si="480"/>
        <v>0</v>
      </c>
      <c r="AS271" s="13">
        <f t="shared" si="480"/>
        <v>0</v>
      </c>
      <c r="AT271" s="68">
        <f>AM271-AS271</f>
        <v>0</v>
      </c>
      <c r="AU271" s="268">
        <f t="shared" si="456"/>
        <v>0</v>
      </c>
      <c r="AV271" s="13">
        <f t="shared" si="445"/>
        <v>0</v>
      </c>
      <c r="AW271" s="13">
        <f t="shared" si="421"/>
        <v>0</v>
      </c>
      <c r="AX271" s="13">
        <f t="shared" si="421"/>
        <v>0</v>
      </c>
      <c r="AY271" s="13">
        <f t="shared" si="421"/>
        <v>0</v>
      </c>
      <c r="AZ271" s="13">
        <f t="shared" si="421"/>
        <v>0</v>
      </c>
      <c r="BA271" s="13">
        <f t="shared" si="475"/>
        <v>0</v>
      </c>
      <c r="BB271" s="68">
        <f t="shared" si="457"/>
        <v>0</v>
      </c>
      <c r="BC271" s="268">
        <f t="shared" si="458"/>
        <v>0</v>
      </c>
      <c r="BD271" s="13">
        <f t="shared" si="459"/>
        <v>0</v>
      </c>
      <c r="BE271" s="13">
        <f>SUMIFS(SALIDAS_BIT,FECHA_BIT,"&gt;="&amp;BE$2,FECHA_BIT,"&lt;="&amp;BE$3,CLAVE_BIT,$A271)+SUMIFS(SALIDAS_BOV1,FECHA_BOV1,"&gt;="&amp;BE$2,FECHA_BOV1,"&lt;="&amp;BE$3,CLAVE_BOV1,$A271)+SUMIFS(SALIDAS_BOV2,FECHA_BOV2,"&gt;="&amp;BE$2,FECHA_BOV2,"&lt;="&amp;BE$3,CLAVE_BOV2,$A271)+SUMIFS(SALIDAS_BOV3,FECHA_BOV3,"&gt;="&amp;BE$2,FECHA_BOV3,"&lt;="&amp;BE$3,CLAVE_BOV3,$A271)+SUMIFS(SALIDAS_TC,FECHA_TC,"&gt;="&amp;BE$2,FECHA_TC,"&lt;="&amp;BE$3,CLAVE_TC,$A271)+SUMIFS(SALIDAS_COMB,FECHA_COMB,"&gt;="&amp;BE$2,FECHA_COMB,"&lt;="&amp;BE$3,CLAVE_COMB,$A271)+SUMIFS(SALIDAS_DES,FECHA_DESGLOSEN,"&gt;="&amp;BE$2,FECHA_DESGLOSEN,"&lt;="&amp;BE$3,CLAVE_DESGLOSE,$A271)</f>
        <v>0</v>
      </c>
      <c r="BF271" s="13">
        <f>SUMIFS(SALIDAS_BIT,FECHA_BIT,"&gt;="&amp;BF$2,FECHA_BIT,"&lt;="&amp;BF$3,CLAVE_BIT,$A271)+SUMIFS(SALIDAS_BOV1,FECHA_BOV1,"&gt;="&amp;BF$2,FECHA_BOV1,"&lt;="&amp;BF$3,CLAVE_BOV1,$A271)+SUMIFS(SALIDAS_BOV2,FECHA_BOV2,"&gt;="&amp;BF$2,FECHA_BOV2,"&lt;="&amp;BF$3,CLAVE_BOV2,$A271)+SUMIFS(SALIDAS_BOV3,FECHA_BOV3,"&gt;="&amp;BF$2,FECHA_BOV3,"&lt;="&amp;BF$3,CLAVE_BOV3,$A271)+SUMIFS(SALIDAS_TC,FECHA_TC,"&gt;="&amp;BF$2,FECHA_TC,"&lt;="&amp;BF$3,CLAVE_TC,$A271)+SUMIFS(SALIDAS_COMB,FECHA_COMB,"&gt;="&amp;BF$2,FECHA_COMB,"&lt;="&amp;BF$3,CLAVE_COMB,$A271)+SUMIFS(SALIDAS_DES,FECHA_DESGLOSEN,"&gt;="&amp;BF$2,FECHA_DESGLOSEN,"&lt;="&amp;BF$3,CLAVE_DESGLOSE,$A271)</f>
        <v>0</v>
      </c>
      <c r="BG271" s="13">
        <f>SUMIFS(SALIDAS_BIT,FECHA_BIT,"&gt;="&amp;BG$2,FECHA_BIT,"&lt;="&amp;BG$3,CLAVE_BIT,$A271)+SUMIFS(SALIDAS_BOV1,FECHA_BOV1,"&gt;="&amp;BG$2,FECHA_BOV1,"&lt;="&amp;BG$3,CLAVE_BOV1,$A271)+SUMIFS(SALIDAS_BOV2,FECHA_BOV2,"&gt;="&amp;BG$2,FECHA_BOV2,"&lt;="&amp;BG$3,CLAVE_BOV2,$A271)+SUMIFS(SALIDAS_BOV3,FECHA_BOV3,"&gt;="&amp;BG$2,FECHA_BOV3,"&lt;="&amp;BG$3,CLAVE_BOV3,$A271)+SUMIFS(SALIDAS_TC,FECHA_TC,"&gt;="&amp;BG$2,FECHA_TC,"&lt;="&amp;BG$3,CLAVE_TC,$A271)+SUMIFS(SALIDAS_COMB,FECHA_COMB,"&gt;="&amp;BG$2,FECHA_COMB,"&lt;="&amp;BG$3,CLAVE_COMB,$A271)+SUMIFS(SALIDAS_DES,FECHA_DESGLOSEN,"&gt;="&amp;BG$2,FECHA_DESGLOSEN,"&lt;="&amp;BG$3,CLAVE_DESGLOSE,$A271)</f>
        <v>0</v>
      </c>
      <c r="BH271" s="13">
        <f>SUMIFS(SALIDAS_BIT,FECHA_BIT,"&gt;="&amp;BH$2,FECHA_BIT,"&lt;="&amp;BH$3,CLAVE_BIT,$A271)+SUMIFS(SALIDAS_BOV1,FECHA_BOV1,"&gt;="&amp;BH$2,FECHA_BOV1,"&lt;="&amp;BH$3,CLAVE_BOV1,$A271)+SUMIFS(SALIDAS_BOV2,FECHA_BOV2,"&gt;="&amp;BH$2,FECHA_BOV2,"&lt;="&amp;BH$3,CLAVE_BOV2,$A271)+SUMIFS(SALIDAS_BOV3,FECHA_BOV3,"&gt;="&amp;BH$2,FECHA_BOV3,"&lt;="&amp;BH$3,CLAVE_BOV3,$A271)+SUMIFS(SALIDAS_TC,FECHA_TC,"&gt;="&amp;BH$2,FECHA_TC,"&lt;="&amp;BH$3,CLAVE_TC,$A271)+SUMIFS(SALIDAS_COMB,FECHA_COMB,"&gt;="&amp;BH$2,FECHA_COMB,"&lt;="&amp;BH$3,CLAVE_COMB,$A271)+SUMIFS(SALIDAS_DES,FECHA_DESGLOSEN,"&gt;="&amp;BH$2,FECHA_DESGLOSEN,"&lt;="&amp;BH$3,CLAVE_DESGLOSE,$A271)</f>
        <v>0</v>
      </c>
      <c r="BI271" s="13">
        <f t="shared" si="419"/>
        <v>0</v>
      </c>
      <c r="BJ271" s="68">
        <f t="shared" si="460"/>
        <v>0</v>
      </c>
      <c r="BK271" s="268">
        <f t="shared" si="461"/>
        <v>0</v>
      </c>
      <c r="BL271" s="13">
        <f t="shared" si="462"/>
        <v>0</v>
      </c>
      <c r="BM271" s="13">
        <f>SUMIFS(SALIDAS_BIT,FECHA_BIT,"&gt;="&amp;BM$2,FECHA_BIT,"&lt;="&amp;BM$3,CLAVE_BIT,$A271)+SUMIFS(SALIDAS_BOV1,FECHA_BOV1,"&gt;="&amp;BM$2,FECHA_BOV1,"&lt;="&amp;BM$3,CLAVE_BOV1,$A271)+SUMIFS(SALIDAS_BOV2,FECHA_BOV2,"&gt;="&amp;BM$2,FECHA_BOV2,"&lt;="&amp;BM$3,CLAVE_BOV2,$A271)+SUMIFS(SALIDAS_BOV3,FECHA_BOV3,"&gt;="&amp;BM$2,FECHA_BOV3,"&lt;="&amp;BM$3,CLAVE_BOV3,$A271)+SUMIFS(SALIDAS_TC,FECHA_TC,"&gt;="&amp;BM$2,FECHA_TC,"&lt;="&amp;BM$3,CLAVE_TC,$A271)+SUMIFS(SALIDAS_COMB,FECHA_COMB,"&gt;="&amp;BM$2,FECHA_COMB,"&lt;="&amp;BM$3,CLAVE_COMB,$A271)+SUMIFS(SALIDAS_DES,FECHA_DESGLOSEN,"&gt;="&amp;BM$2,FECHA_DESGLOSEN,"&lt;="&amp;BM$3,CLAVE_DESGLOSE,$A271)</f>
        <v>0</v>
      </c>
      <c r="BN271" s="13">
        <f>SUMIFS(SALIDAS_BIT,FECHA_BIT,"&gt;="&amp;BN$2,FECHA_BIT,"&lt;="&amp;BN$3,CLAVE_BIT,$A271)+SUMIFS(SALIDAS_BOV1,FECHA_BOV1,"&gt;="&amp;BN$2,FECHA_BOV1,"&lt;="&amp;BN$3,CLAVE_BOV1,$A271)+SUMIFS(SALIDAS_BOV2,FECHA_BOV2,"&gt;="&amp;BN$2,FECHA_BOV2,"&lt;="&amp;BN$3,CLAVE_BOV2,$A271)+SUMIFS(SALIDAS_BOV3,FECHA_BOV3,"&gt;="&amp;BN$2,FECHA_BOV3,"&lt;="&amp;BN$3,CLAVE_BOV3,$A271)+SUMIFS(SALIDAS_TC,FECHA_TC,"&gt;="&amp;BN$2,FECHA_TC,"&lt;="&amp;BN$3,CLAVE_TC,$A271)+SUMIFS(SALIDAS_COMB,FECHA_COMB,"&gt;="&amp;BN$2,FECHA_COMB,"&lt;="&amp;BN$3,CLAVE_COMB,$A271)+SUMIFS(SALIDAS_DES,FECHA_DESGLOSEN,"&gt;="&amp;BN$2,FECHA_DESGLOSEN,"&lt;="&amp;BN$3,CLAVE_DESGLOSE,$A271)</f>
        <v>0</v>
      </c>
      <c r="BO271" s="13">
        <f>SUMIFS(SALIDAS_BIT,FECHA_BIT,"&gt;="&amp;BO$2,FECHA_BIT,"&lt;="&amp;BO$3,CLAVE_BIT,$A271)+SUMIFS(SALIDAS_BOV1,FECHA_BOV1,"&gt;="&amp;BO$2,FECHA_BOV1,"&lt;="&amp;BO$3,CLAVE_BOV1,$A271)+SUMIFS(SALIDAS_BOV2,FECHA_BOV2,"&gt;="&amp;BO$2,FECHA_BOV2,"&lt;="&amp;BO$3,CLAVE_BOV2,$A271)+SUMIFS(SALIDAS_BOV3,FECHA_BOV3,"&gt;="&amp;BO$2,FECHA_BOV3,"&lt;="&amp;BO$3,CLAVE_BOV3,$A271)+SUMIFS(SALIDAS_TC,FECHA_TC,"&gt;="&amp;BO$2,FECHA_TC,"&lt;="&amp;BO$3,CLAVE_TC,$A271)+SUMIFS(SALIDAS_COMB,FECHA_COMB,"&gt;="&amp;BO$2,FECHA_COMB,"&lt;="&amp;BO$3,CLAVE_COMB,$A271)+SUMIFS(SALIDAS_DES,FECHA_DESGLOSEN,"&gt;="&amp;BO$2,FECHA_DESGLOSEN,"&lt;="&amp;BO$3,CLAVE_DESGLOSE,$A271)</f>
        <v>0</v>
      </c>
      <c r="BP271" s="13">
        <f>SUMIFS(SALIDAS_BIT,FECHA_BIT,"&gt;="&amp;BP$2,FECHA_BIT,"&lt;="&amp;BP$3,CLAVE_BIT,$A271)+SUMIFS(SALIDAS_BOV1,FECHA_BOV1,"&gt;="&amp;BP$2,FECHA_BOV1,"&lt;="&amp;BP$3,CLAVE_BOV1,$A271)+SUMIFS(SALIDAS_BOV2,FECHA_BOV2,"&gt;="&amp;BP$2,FECHA_BOV2,"&lt;="&amp;BP$3,CLAVE_BOV2,$A271)+SUMIFS(SALIDAS_BOV3,FECHA_BOV3,"&gt;="&amp;BP$2,FECHA_BOV3,"&lt;="&amp;BP$3,CLAVE_BOV3,$A271)+SUMIFS(SALIDAS_TC,FECHA_TC,"&gt;="&amp;BP$2,FECHA_TC,"&lt;="&amp;BP$3,CLAVE_TC,$A271)+SUMIFS(SALIDAS_COMB,FECHA_COMB,"&gt;="&amp;BP$2,FECHA_COMB,"&lt;="&amp;BP$3,CLAVE_COMB,$A271)+SUMIFS(SALIDAS_DES,FECHA_DESGLOSEN,"&gt;="&amp;BP$2,FECHA_DESGLOSEN,"&lt;="&amp;BP$3,CLAVE_DESGLOSE,$A271)</f>
        <v>0</v>
      </c>
      <c r="BQ271" s="13">
        <f>SUMIFS(SALIDAS_BIT,FECHA_BIT,"&gt;="&amp;BQ$2,FECHA_BIT,"&lt;="&amp;BQ$3,CLAVE_BIT,$A271)+SUMIFS(SALIDAS_BOV1,FECHA_BOV1,"&gt;="&amp;BQ$2,FECHA_BOV1,"&lt;="&amp;BQ$3,CLAVE_BOV1,$A271)+SUMIFS(SALIDAS_BOV2,FECHA_BOV2,"&gt;="&amp;BQ$2,FECHA_BOV2,"&lt;="&amp;BQ$3,CLAVE_BOV2,$A271)+SUMIFS(SALIDAS_BOV3,FECHA_BOV3,"&gt;="&amp;BQ$2,FECHA_BOV3,"&lt;="&amp;BQ$3,CLAVE_BOV3,$A271)+SUMIFS(SALIDAS_TC,FECHA_TC,"&gt;="&amp;BQ$2,FECHA_TC,"&lt;="&amp;BQ$3,CLAVE_TC,$A271)+SUMIFS(SALIDAS_COMB,FECHA_COMB,"&gt;="&amp;BQ$2,FECHA_COMB,"&lt;="&amp;BQ$3,CLAVE_COMB,$A271)+SUMIFS(SALIDAS_DES,FECHA_DESGLOSEN,"&gt;="&amp;BQ$2,FECHA_DESGLOSEN,"&lt;="&amp;BQ$3,CLAVE_DESGLOSE,$A271)</f>
        <v>0</v>
      </c>
      <c r="BR271" s="13">
        <f t="shared" si="481"/>
        <v>0</v>
      </c>
      <c r="BS271" s="68">
        <f t="shared" si="463"/>
        <v>0</v>
      </c>
      <c r="BT271" s="268">
        <f t="shared" si="464"/>
        <v>0</v>
      </c>
      <c r="BU271" s="13">
        <f t="shared" si="465"/>
        <v>0</v>
      </c>
      <c r="BV271" s="13">
        <f t="shared" si="389"/>
        <v>0</v>
      </c>
      <c r="BW271" s="13">
        <f t="shared" si="389"/>
        <v>0</v>
      </c>
      <c r="BX271" s="13">
        <f t="shared" si="389"/>
        <v>0</v>
      </c>
      <c r="BY271" s="13">
        <f t="shared" si="389"/>
        <v>0</v>
      </c>
      <c r="BZ271" s="13">
        <f t="shared" si="482"/>
        <v>0</v>
      </c>
      <c r="CA271" s="68">
        <f t="shared" si="466"/>
        <v>0</v>
      </c>
      <c r="CB271" s="268">
        <f t="shared" si="467"/>
        <v>0</v>
      </c>
      <c r="CC271" s="13">
        <f t="shared" si="468"/>
        <v>0</v>
      </c>
      <c r="CD271" s="13">
        <f t="shared" si="390"/>
        <v>0</v>
      </c>
      <c r="CE271" s="13">
        <f t="shared" si="390"/>
        <v>0</v>
      </c>
      <c r="CF271" s="13">
        <f t="shared" si="390"/>
        <v>0</v>
      </c>
      <c r="CG271" s="13">
        <f t="shared" si="390"/>
        <v>0</v>
      </c>
      <c r="CH271" s="13">
        <f t="shared" si="483"/>
        <v>0</v>
      </c>
      <c r="CI271" s="68">
        <f t="shared" si="469"/>
        <v>0</v>
      </c>
      <c r="CJ271" s="268">
        <f t="shared" si="470"/>
        <v>0</v>
      </c>
      <c r="CK271" s="13">
        <f t="shared" si="471"/>
        <v>5000</v>
      </c>
      <c r="CL271" s="13">
        <f t="shared" si="400"/>
        <v>0</v>
      </c>
      <c r="CM271" s="13">
        <f t="shared" si="400"/>
        <v>0</v>
      </c>
      <c r="CN271" s="13">
        <f t="shared" si="400"/>
        <v>0</v>
      </c>
      <c r="CO271" s="13">
        <f t="shared" si="400"/>
        <v>0</v>
      </c>
      <c r="CP271" s="13">
        <f t="shared" si="400"/>
        <v>0</v>
      </c>
      <c r="CQ271" s="13">
        <f t="shared" si="484"/>
        <v>0</v>
      </c>
      <c r="CR271" s="68">
        <f t="shared" si="472"/>
        <v>5000</v>
      </c>
      <c r="CS271" s="268">
        <f t="shared" si="473"/>
        <v>0</v>
      </c>
      <c r="CT271" s="68">
        <f t="shared" si="446"/>
        <v>4699</v>
      </c>
      <c r="CU271" s="13">
        <f>SUMIFS(SALIDAS_BIT,FECHA_BIT,"&gt;="&amp;CU$2,FECHA_BIT,"&lt;="&amp;CU$3,CLAVE_BIT,$A271)+SUMIFS(SALIDAS_BOV1,FECHA_BOV1,"&gt;="&amp;CU$2,FECHA_BOV1,"&lt;="&amp;CU$3,CLAVE_BOV1,$A271)+SUMIFS(SALIDAS_BOV2,FECHA_BOV2,"&gt;="&amp;CU$2,FECHA_BOV2,"&lt;="&amp;CU$3,CLAVE_BOV2,$A271)+SUMIFS(SALIDAS_BOV3,FECHA_BOV3,"&gt;="&amp;CU$2,FECHA_BOV3,"&lt;="&amp;CU$3,CLAVE_BOV3,$A271)+SUMIFS(SALIDAS_TC,FECHA_TC,"&gt;="&amp;CU$2,FECHA_TC,"&lt;="&amp;CU$3,CLAVE_TC,$A271)+SUMIFS(SALIDAS_COMB,FECHA_COMB,"&gt;="&amp;CU$2,FECHA_COMB,"&lt;="&amp;CU$3,CLAVE_COMB,$A271)+SUMIFS(SALIDAS_DES,FECHA_DESGLOSEN,"&gt;="&amp;CU$2,FECHA_DESGLOSEN,"&lt;="&amp;CU$3,CLAVE_DESGLOSE,$A271)</f>
        <v>0</v>
      </c>
      <c r="CV271" s="13">
        <f>SUMIFS(SALIDAS_BIT,FECHA_BIT,"&gt;="&amp;CV$2,FECHA_BIT,"&lt;="&amp;CV$3,CLAVE_BIT,$A271)+SUMIFS(SALIDAS_BOV1,FECHA_BOV1,"&gt;="&amp;CV$2,FECHA_BOV1,"&lt;="&amp;CV$3,CLAVE_BOV1,$A271)+SUMIFS(SALIDAS_BOV2,FECHA_BOV2,"&gt;="&amp;CV$2,FECHA_BOV2,"&lt;="&amp;CV$3,CLAVE_BOV2,$A271)+SUMIFS(SALIDAS_BOV3,FECHA_BOV3,"&gt;="&amp;CV$2,FECHA_BOV3,"&lt;="&amp;CV$3,CLAVE_BOV3,$A271)+SUMIFS(SALIDAS_TC,FECHA_TC,"&gt;="&amp;CV$2,FECHA_TC,"&lt;="&amp;CV$3,CLAVE_TC,$A271)+SUMIFS(SALIDAS_COMB,FECHA_COMB,"&gt;="&amp;CV$2,FECHA_COMB,"&lt;="&amp;CV$3,CLAVE_COMB,$A271)+SUMIFS(SALIDAS_DES,FECHA_DESGLOSEN,"&gt;="&amp;CV$2,FECHA_DESGLOSEN,"&lt;="&amp;CV$3,CLAVE_DESGLOSE,$A271)</f>
        <v>0</v>
      </c>
      <c r="CW271" s="13">
        <f>SUMIFS(SALIDAS_BIT,FECHA_BIT,"&gt;="&amp;CW$2,FECHA_BIT,"&lt;="&amp;CW$3,CLAVE_BIT,$A271)+SUMIFS(SALIDAS_BOV1,FECHA_BOV1,"&gt;="&amp;CW$2,FECHA_BOV1,"&lt;="&amp;CW$3,CLAVE_BOV1,$A271)+SUMIFS(SALIDAS_BOV2,FECHA_BOV2,"&gt;="&amp;CW$2,FECHA_BOV2,"&lt;="&amp;CW$3,CLAVE_BOV2,$A271)+SUMIFS(SALIDAS_BOV3,FECHA_BOV3,"&gt;="&amp;CW$2,FECHA_BOV3,"&lt;="&amp;CW$3,CLAVE_BOV3,$A271)+SUMIFS(SALIDAS_TC,FECHA_TC,"&gt;="&amp;CW$2,FECHA_TC,"&lt;="&amp;CW$3,CLAVE_TC,$A271)+SUMIFS(SALIDAS_COMB,FECHA_COMB,"&gt;="&amp;CW$2,FECHA_COMB,"&lt;="&amp;CW$3,CLAVE_COMB,$A271)+SUMIFS(SALIDAS_DES,FECHA_DESGLOSEN,"&gt;="&amp;CW$2,FECHA_DESGLOSEN,"&lt;="&amp;CW$3,CLAVE_DESGLOSE,$A271)</f>
        <v>0</v>
      </c>
      <c r="CX271" s="13">
        <f>SUMIFS(SALIDAS_BIT,FECHA_BIT,"&gt;="&amp;CX$2,FECHA_BIT,"&lt;="&amp;CX$3,CLAVE_BIT,$A271)+SUMIFS(SALIDAS_BOV1,FECHA_BOV1,"&gt;="&amp;CX$2,FECHA_BOV1,"&lt;="&amp;CX$3,CLAVE_BOV1,$A271)+SUMIFS(SALIDAS_BOV2,FECHA_BOV2,"&gt;="&amp;CX$2,FECHA_BOV2,"&lt;="&amp;CX$3,CLAVE_BOV2,$A271)+SUMIFS(SALIDAS_BOV3,FECHA_BOV3,"&gt;="&amp;CX$2,FECHA_BOV3,"&lt;="&amp;CX$3,CLAVE_BOV3,$A271)+SUMIFS(SALIDAS_TC,FECHA_TC,"&gt;="&amp;CX$2,FECHA_TC,"&lt;="&amp;CX$3,CLAVE_TC,$A271)+SUMIFS(SALIDAS_COMB,FECHA_COMB,"&gt;="&amp;CX$2,FECHA_COMB,"&lt;="&amp;CX$3,CLAVE_COMB,$A271)+SUMIFS(SALIDAS_DES,FECHA_DESGLOSEN,"&gt;="&amp;CX$2,FECHA_DESGLOSEN,"&lt;="&amp;CX$3,CLAVE_DESGLOSE,$A271)</f>
        <v>0</v>
      </c>
      <c r="CY271" s="13">
        <f>SUMIFS(SALIDAS_BIT,FECHA_BIT,"&gt;="&amp;CY$2,FECHA_BIT,"&lt;="&amp;CY$3,CLAVE_BIT,$A271)+SUMIFS(SALIDAS_BOV1,FECHA_BOV1,"&gt;="&amp;CY$2,FECHA_BOV1,"&lt;="&amp;CY$3,CLAVE_BOV1,$A271)+SUMIFS(SALIDAS_BOV2,FECHA_BOV2,"&gt;="&amp;CY$2,FECHA_BOV2,"&lt;="&amp;CY$3,CLAVE_BOV2,$A271)+SUMIFS(SALIDAS_BOV3,FECHA_BOV3,"&gt;="&amp;CY$2,FECHA_BOV3,"&lt;="&amp;CY$3,CLAVE_BOV3,$A271)+SUMIFS(SALIDAS_TC,FECHA_TC,"&gt;="&amp;CY$2,FECHA_TC,"&lt;="&amp;CY$3,CLAVE_TC,$A271)+SUMIFS(SALIDAS_COMB,FECHA_COMB,"&gt;="&amp;CY$2,FECHA_COMB,"&lt;="&amp;CY$3,CLAVE_COMB,$A271)+SUMIFS(SALIDAS_DES,FECHA_DESGLOSEN,"&gt;="&amp;CY$2,FECHA_DESGLOSEN,"&lt;="&amp;CY$3,CLAVE_DESGLOSE,$A271)</f>
        <v>0</v>
      </c>
      <c r="CZ271" s="68">
        <f t="shared" si="474"/>
        <v>4699</v>
      </c>
      <c r="DB271" s="17">
        <f>F271+N271+W271+AE271+AM271+AV271+BD271+BL271+BU271+CC271+CK271</f>
        <v>5000</v>
      </c>
      <c r="DC271" s="17">
        <f>K271+T271+AB271+AJ271+AS271+BA271+BI271+BR271+BZ271+CH271+CQ271</f>
        <v>0</v>
      </c>
    </row>
    <row r="272" spans="1:107" hidden="1">
      <c r="A272" s="12" t="str">
        <f t="shared" si="447"/>
        <v>FINANZASCUOTAS Y SUSCRIPCIONESCONTPAQ</v>
      </c>
      <c r="B272">
        <v>274</v>
      </c>
      <c r="C272" t="s">
        <v>23</v>
      </c>
      <c r="D272" t="s">
        <v>51</v>
      </c>
      <c r="E272" t="s">
        <v>73</v>
      </c>
      <c r="F272" s="259">
        <f t="shared" si="440"/>
        <v>0</v>
      </c>
      <c r="G272" s="13">
        <f t="shared" si="476"/>
        <v>0</v>
      </c>
      <c r="H272" s="13">
        <f t="shared" si="476"/>
        <v>0</v>
      </c>
      <c r="I272" s="13">
        <f t="shared" si="476"/>
        <v>0</v>
      </c>
      <c r="J272" s="13">
        <f t="shared" si="476"/>
        <v>0</v>
      </c>
      <c r="K272" s="13">
        <f t="shared" si="476"/>
        <v>0</v>
      </c>
      <c r="L272" s="68">
        <f t="shared" si="448"/>
        <v>0</v>
      </c>
      <c r="M272" s="268">
        <f t="shared" si="449"/>
        <v>0</v>
      </c>
      <c r="N272" s="13">
        <f t="shared" si="441"/>
        <v>0</v>
      </c>
      <c r="O272" s="13">
        <f t="shared" si="477"/>
        <v>7528.4</v>
      </c>
      <c r="P272" s="13">
        <f t="shared" si="477"/>
        <v>0</v>
      </c>
      <c r="Q272" s="13">
        <f t="shared" si="477"/>
        <v>0</v>
      </c>
      <c r="R272" s="13">
        <f t="shared" si="477"/>
        <v>0</v>
      </c>
      <c r="S272" s="13">
        <f t="shared" si="477"/>
        <v>0</v>
      </c>
      <c r="T272" s="13">
        <f t="shared" si="477"/>
        <v>7528.4</v>
      </c>
      <c r="U272" s="68">
        <f t="shared" si="450"/>
        <v>-7528.4</v>
      </c>
      <c r="V272" s="268">
        <f t="shared" si="451"/>
        <v>0</v>
      </c>
      <c r="W272" s="13">
        <f t="shared" si="442"/>
        <v>0</v>
      </c>
      <c r="X272" s="13">
        <f t="shared" si="478"/>
        <v>0</v>
      </c>
      <c r="Y272" s="13">
        <f t="shared" si="478"/>
        <v>0</v>
      </c>
      <c r="Z272" s="13">
        <f t="shared" si="478"/>
        <v>0</v>
      </c>
      <c r="AA272" s="13">
        <f t="shared" si="478"/>
        <v>0</v>
      </c>
      <c r="AB272" s="13">
        <f t="shared" si="478"/>
        <v>0</v>
      </c>
      <c r="AC272" s="68">
        <f t="shared" si="452"/>
        <v>0</v>
      </c>
      <c r="AD272" s="268">
        <f t="shared" si="453"/>
        <v>0</v>
      </c>
      <c r="AE272" s="13">
        <f t="shared" si="443"/>
        <v>0</v>
      </c>
      <c r="AF272" s="13">
        <f t="shared" si="479"/>
        <v>0</v>
      </c>
      <c r="AG272" s="13">
        <f t="shared" si="479"/>
        <v>0</v>
      </c>
      <c r="AH272" s="13">
        <f t="shared" si="479"/>
        <v>0</v>
      </c>
      <c r="AI272" s="13">
        <f t="shared" si="479"/>
        <v>0</v>
      </c>
      <c r="AJ272" s="13">
        <f t="shared" si="479"/>
        <v>0</v>
      </c>
      <c r="AK272" s="68">
        <f t="shared" si="454"/>
        <v>0</v>
      </c>
      <c r="AL272" s="268">
        <f t="shared" si="455"/>
        <v>0</v>
      </c>
      <c r="AM272" s="13">
        <f t="shared" si="444"/>
        <v>0</v>
      </c>
      <c r="AN272" s="13">
        <f t="shared" si="480"/>
        <v>0</v>
      </c>
      <c r="AO272" s="13">
        <f t="shared" si="480"/>
        <v>0</v>
      </c>
      <c r="AP272" s="13">
        <f t="shared" si="480"/>
        <v>0</v>
      </c>
      <c r="AQ272" s="13">
        <f t="shared" si="480"/>
        <v>0</v>
      </c>
      <c r="AR272" s="13">
        <f t="shared" si="480"/>
        <v>0</v>
      </c>
      <c r="AS272" s="13">
        <f t="shared" si="480"/>
        <v>0</v>
      </c>
      <c r="AT272" s="68">
        <f>AM272-AS272</f>
        <v>0</v>
      </c>
      <c r="AU272" s="268">
        <f t="shared" si="456"/>
        <v>0</v>
      </c>
      <c r="AV272" s="13">
        <f t="shared" si="445"/>
        <v>0</v>
      </c>
      <c r="AW272" s="13">
        <f t="shared" si="421"/>
        <v>0</v>
      </c>
      <c r="AX272" s="13">
        <f t="shared" si="421"/>
        <v>0</v>
      </c>
      <c r="AY272" s="13">
        <f t="shared" si="421"/>
        <v>0</v>
      </c>
      <c r="AZ272" s="13">
        <f t="shared" si="421"/>
        <v>3888</v>
      </c>
      <c r="BA272" s="13">
        <f t="shared" si="475"/>
        <v>3888</v>
      </c>
      <c r="BB272" s="68">
        <f t="shared" si="457"/>
        <v>-3888</v>
      </c>
      <c r="BC272" s="268">
        <f t="shared" si="458"/>
        <v>0</v>
      </c>
      <c r="BD272" s="13">
        <f t="shared" si="459"/>
        <v>0</v>
      </c>
      <c r="BE272" s="13">
        <f>SUMIFS(SALIDAS_BIT,FECHA_BIT,"&gt;="&amp;BE$2,FECHA_BIT,"&lt;="&amp;BE$3,CLAVE_BIT,$A272)+SUMIFS(SALIDAS_BOV1,FECHA_BOV1,"&gt;="&amp;BE$2,FECHA_BOV1,"&lt;="&amp;BE$3,CLAVE_BOV1,$A272)+SUMIFS(SALIDAS_BOV2,FECHA_BOV2,"&gt;="&amp;BE$2,FECHA_BOV2,"&lt;="&amp;BE$3,CLAVE_BOV2,$A272)+SUMIFS(SALIDAS_BOV3,FECHA_BOV3,"&gt;="&amp;BE$2,FECHA_BOV3,"&lt;="&amp;BE$3,CLAVE_BOV3,$A272)+SUMIFS(SALIDAS_TC,FECHA_TC,"&gt;="&amp;BE$2,FECHA_TC,"&lt;="&amp;BE$3,CLAVE_TC,$A272)+SUMIFS(SALIDAS_COMB,FECHA_COMB,"&gt;="&amp;BE$2,FECHA_COMB,"&lt;="&amp;BE$3,CLAVE_COMB,$A272)+SUMIFS(SALIDAS_DES,FECHA_DESGLOSEN,"&gt;="&amp;BE$2,FECHA_DESGLOSEN,"&lt;="&amp;BE$3,CLAVE_DESGLOSE,$A272)</f>
        <v>0</v>
      </c>
      <c r="BF272" s="13">
        <f>SUMIFS(SALIDAS_BIT,FECHA_BIT,"&gt;="&amp;BF$2,FECHA_BIT,"&lt;="&amp;BF$3,CLAVE_BIT,$A272)+SUMIFS(SALIDAS_BOV1,FECHA_BOV1,"&gt;="&amp;BF$2,FECHA_BOV1,"&lt;="&amp;BF$3,CLAVE_BOV1,$A272)+SUMIFS(SALIDAS_BOV2,FECHA_BOV2,"&gt;="&amp;BF$2,FECHA_BOV2,"&lt;="&amp;BF$3,CLAVE_BOV2,$A272)+SUMIFS(SALIDAS_BOV3,FECHA_BOV3,"&gt;="&amp;BF$2,FECHA_BOV3,"&lt;="&amp;BF$3,CLAVE_BOV3,$A272)+SUMIFS(SALIDAS_TC,FECHA_TC,"&gt;="&amp;BF$2,FECHA_TC,"&lt;="&amp;BF$3,CLAVE_TC,$A272)+SUMIFS(SALIDAS_COMB,FECHA_COMB,"&gt;="&amp;BF$2,FECHA_COMB,"&lt;="&amp;BF$3,CLAVE_COMB,$A272)+SUMIFS(SALIDAS_DES,FECHA_DESGLOSEN,"&gt;="&amp;BF$2,FECHA_DESGLOSEN,"&lt;="&amp;BF$3,CLAVE_DESGLOSE,$A272)</f>
        <v>0</v>
      </c>
      <c r="BG272" s="13">
        <f>SUMIFS(SALIDAS_BIT,FECHA_BIT,"&gt;="&amp;BG$2,FECHA_BIT,"&lt;="&amp;BG$3,CLAVE_BIT,$A272)+SUMIFS(SALIDAS_BOV1,FECHA_BOV1,"&gt;="&amp;BG$2,FECHA_BOV1,"&lt;="&amp;BG$3,CLAVE_BOV1,$A272)+SUMIFS(SALIDAS_BOV2,FECHA_BOV2,"&gt;="&amp;BG$2,FECHA_BOV2,"&lt;="&amp;BG$3,CLAVE_BOV2,$A272)+SUMIFS(SALIDAS_BOV3,FECHA_BOV3,"&gt;="&amp;BG$2,FECHA_BOV3,"&lt;="&amp;BG$3,CLAVE_BOV3,$A272)+SUMIFS(SALIDAS_TC,FECHA_TC,"&gt;="&amp;BG$2,FECHA_TC,"&lt;="&amp;BG$3,CLAVE_TC,$A272)+SUMIFS(SALIDAS_COMB,FECHA_COMB,"&gt;="&amp;BG$2,FECHA_COMB,"&lt;="&amp;BG$3,CLAVE_COMB,$A272)+SUMIFS(SALIDAS_DES,FECHA_DESGLOSEN,"&gt;="&amp;BG$2,FECHA_DESGLOSEN,"&lt;="&amp;BG$3,CLAVE_DESGLOSE,$A272)</f>
        <v>0</v>
      </c>
      <c r="BH272" s="13">
        <f>SUMIFS(SALIDAS_BIT,FECHA_BIT,"&gt;="&amp;BH$2,FECHA_BIT,"&lt;="&amp;BH$3,CLAVE_BIT,$A272)+SUMIFS(SALIDAS_BOV1,FECHA_BOV1,"&gt;="&amp;BH$2,FECHA_BOV1,"&lt;="&amp;BH$3,CLAVE_BOV1,$A272)+SUMIFS(SALIDAS_BOV2,FECHA_BOV2,"&gt;="&amp;BH$2,FECHA_BOV2,"&lt;="&amp;BH$3,CLAVE_BOV2,$A272)+SUMIFS(SALIDAS_BOV3,FECHA_BOV3,"&gt;="&amp;BH$2,FECHA_BOV3,"&lt;="&amp;BH$3,CLAVE_BOV3,$A272)+SUMIFS(SALIDAS_TC,FECHA_TC,"&gt;="&amp;BH$2,FECHA_TC,"&lt;="&amp;BH$3,CLAVE_TC,$A272)+SUMIFS(SALIDAS_COMB,FECHA_COMB,"&gt;="&amp;BH$2,FECHA_COMB,"&lt;="&amp;BH$3,CLAVE_COMB,$A272)+SUMIFS(SALIDAS_DES,FECHA_DESGLOSEN,"&gt;="&amp;BH$2,FECHA_DESGLOSEN,"&lt;="&amp;BH$3,CLAVE_DESGLOSE,$A272)</f>
        <v>0</v>
      </c>
      <c r="BI272" s="13">
        <f t="shared" si="419"/>
        <v>0</v>
      </c>
      <c r="BJ272" s="68">
        <f t="shared" si="460"/>
        <v>0</v>
      </c>
      <c r="BK272" s="268">
        <f t="shared" si="461"/>
        <v>0</v>
      </c>
      <c r="BL272" s="13">
        <f t="shared" si="462"/>
        <v>8000</v>
      </c>
      <c r="BM272" s="13">
        <f>SUMIFS(SALIDAS_BIT,FECHA_BIT,"&gt;="&amp;BM$2,FECHA_BIT,"&lt;="&amp;BM$3,CLAVE_BIT,$A272)+SUMIFS(SALIDAS_BOV1,FECHA_BOV1,"&gt;="&amp;BM$2,FECHA_BOV1,"&lt;="&amp;BM$3,CLAVE_BOV1,$A272)+SUMIFS(SALIDAS_BOV2,FECHA_BOV2,"&gt;="&amp;BM$2,FECHA_BOV2,"&lt;="&amp;BM$3,CLAVE_BOV2,$A272)+SUMIFS(SALIDAS_BOV3,FECHA_BOV3,"&gt;="&amp;BM$2,FECHA_BOV3,"&lt;="&amp;BM$3,CLAVE_BOV3,$A272)+SUMIFS(SALIDAS_TC,FECHA_TC,"&gt;="&amp;BM$2,FECHA_TC,"&lt;="&amp;BM$3,CLAVE_TC,$A272)+SUMIFS(SALIDAS_COMB,FECHA_COMB,"&gt;="&amp;BM$2,FECHA_COMB,"&lt;="&amp;BM$3,CLAVE_COMB,$A272)+SUMIFS(SALIDAS_DES,FECHA_DESGLOSEN,"&gt;="&amp;BM$2,FECHA_DESGLOSEN,"&lt;="&amp;BM$3,CLAVE_DESGLOSE,$A272)</f>
        <v>0</v>
      </c>
      <c r="BN272" s="13">
        <f>SUMIFS(SALIDAS_BIT,FECHA_BIT,"&gt;="&amp;BN$2,FECHA_BIT,"&lt;="&amp;BN$3,CLAVE_BIT,$A272)+SUMIFS(SALIDAS_BOV1,FECHA_BOV1,"&gt;="&amp;BN$2,FECHA_BOV1,"&lt;="&amp;BN$3,CLAVE_BOV1,$A272)+SUMIFS(SALIDAS_BOV2,FECHA_BOV2,"&gt;="&amp;BN$2,FECHA_BOV2,"&lt;="&amp;BN$3,CLAVE_BOV2,$A272)+SUMIFS(SALIDAS_BOV3,FECHA_BOV3,"&gt;="&amp;BN$2,FECHA_BOV3,"&lt;="&amp;BN$3,CLAVE_BOV3,$A272)+SUMIFS(SALIDAS_TC,FECHA_TC,"&gt;="&amp;BN$2,FECHA_TC,"&lt;="&amp;BN$3,CLAVE_TC,$A272)+SUMIFS(SALIDAS_COMB,FECHA_COMB,"&gt;="&amp;BN$2,FECHA_COMB,"&lt;="&amp;BN$3,CLAVE_COMB,$A272)+SUMIFS(SALIDAS_DES,FECHA_DESGLOSEN,"&gt;="&amp;BN$2,FECHA_DESGLOSEN,"&lt;="&amp;BN$3,CLAVE_DESGLOSE,$A272)</f>
        <v>0</v>
      </c>
      <c r="BO272" s="13">
        <f>SUMIFS(SALIDAS_BIT,FECHA_BIT,"&gt;="&amp;BO$2,FECHA_BIT,"&lt;="&amp;BO$3,CLAVE_BIT,$A272)+SUMIFS(SALIDAS_BOV1,FECHA_BOV1,"&gt;="&amp;BO$2,FECHA_BOV1,"&lt;="&amp;BO$3,CLAVE_BOV1,$A272)+SUMIFS(SALIDAS_BOV2,FECHA_BOV2,"&gt;="&amp;BO$2,FECHA_BOV2,"&lt;="&amp;BO$3,CLAVE_BOV2,$A272)+SUMIFS(SALIDAS_BOV3,FECHA_BOV3,"&gt;="&amp;BO$2,FECHA_BOV3,"&lt;="&amp;BO$3,CLAVE_BOV3,$A272)+SUMIFS(SALIDAS_TC,FECHA_TC,"&gt;="&amp;BO$2,FECHA_TC,"&lt;="&amp;BO$3,CLAVE_TC,$A272)+SUMIFS(SALIDAS_COMB,FECHA_COMB,"&gt;="&amp;BO$2,FECHA_COMB,"&lt;="&amp;BO$3,CLAVE_COMB,$A272)+SUMIFS(SALIDAS_DES,FECHA_DESGLOSEN,"&gt;="&amp;BO$2,FECHA_DESGLOSEN,"&lt;="&amp;BO$3,CLAVE_DESGLOSE,$A272)</f>
        <v>7134</v>
      </c>
      <c r="BP272" s="13">
        <f>SUMIFS(SALIDAS_BIT,FECHA_BIT,"&gt;="&amp;BP$2,FECHA_BIT,"&lt;="&amp;BP$3,CLAVE_BIT,$A272)+SUMIFS(SALIDAS_BOV1,FECHA_BOV1,"&gt;="&amp;BP$2,FECHA_BOV1,"&lt;="&amp;BP$3,CLAVE_BOV1,$A272)+SUMIFS(SALIDAS_BOV2,FECHA_BOV2,"&gt;="&amp;BP$2,FECHA_BOV2,"&lt;="&amp;BP$3,CLAVE_BOV2,$A272)+SUMIFS(SALIDAS_BOV3,FECHA_BOV3,"&gt;="&amp;BP$2,FECHA_BOV3,"&lt;="&amp;BP$3,CLAVE_BOV3,$A272)+SUMIFS(SALIDAS_TC,FECHA_TC,"&gt;="&amp;BP$2,FECHA_TC,"&lt;="&amp;BP$3,CLAVE_TC,$A272)+SUMIFS(SALIDAS_COMB,FECHA_COMB,"&gt;="&amp;BP$2,FECHA_COMB,"&lt;="&amp;BP$3,CLAVE_COMB,$A272)+SUMIFS(SALIDAS_DES,FECHA_DESGLOSEN,"&gt;="&amp;BP$2,FECHA_DESGLOSEN,"&lt;="&amp;BP$3,CLAVE_DESGLOSE,$A272)</f>
        <v>0</v>
      </c>
      <c r="BQ272" s="13">
        <f>SUMIFS(SALIDAS_BIT,FECHA_BIT,"&gt;="&amp;BQ$2,FECHA_BIT,"&lt;="&amp;BQ$3,CLAVE_BIT,$A272)+SUMIFS(SALIDAS_BOV1,FECHA_BOV1,"&gt;="&amp;BQ$2,FECHA_BOV1,"&lt;="&amp;BQ$3,CLAVE_BOV1,$A272)+SUMIFS(SALIDAS_BOV2,FECHA_BOV2,"&gt;="&amp;BQ$2,FECHA_BOV2,"&lt;="&amp;BQ$3,CLAVE_BOV2,$A272)+SUMIFS(SALIDAS_BOV3,FECHA_BOV3,"&gt;="&amp;BQ$2,FECHA_BOV3,"&lt;="&amp;BQ$3,CLAVE_BOV3,$A272)+SUMIFS(SALIDAS_TC,FECHA_TC,"&gt;="&amp;BQ$2,FECHA_TC,"&lt;="&amp;BQ$3,CLAVE_TC,$A272)+SUMIFS(SALIDAS_COMB,FECHA_COMB,"&gt;="&amp;BQ$2,FECHA_COMB,"&lt;="&amp;BQ$3,CLAVE_COMB,$A272)+SUMIFS(SALIDAS_DES,FECHA_DESGLOSEN,"&gt;="&amp;BQ$2,FECHA_DESGLOSEN,"&lt;="&amp;BQ$3,CLAVE_DESGLOSE,$A272)</f>
        <v>0</v>
      </c>
      <c r="BR272" s="13">
        <f t="shared" si="481"/>
        <v>7134</v>
      </c>
      <c r="BS272" s="68">
        <f t="shared" si="463"/>
        <v>866</v>
      </c>
      <c r="BT272" s="268">
        <f t="shared" si="464"/>
        <v>0.89175000000000004</v>
      </c>
      <c r="BU272" s="13">
        <f t="shared" si="465"/>
        <v>0</v>
      </c>
      <c r="BV272" s="13">
        <f t="shared" si="389"/>
        <v>0</v>
      </c>
      <c r="BW272" s="13">
        <f t="shared" si="389"/>
        <v>0</v>
      </c>
      <c r="BX272" s="13">
        <f t="shared" si="389"/>
        <v>6380</v>
      </c>
      <c r="BY272" s="13">
        <f t="shared" si="389"/>
        <v>0</v>
      </c>
      <c r="BZ272" s="13">
        <f t="shared" si="482"/>
        <v>6380</v>
      </c>
      <c r="CA272" s="68">
        <f t="shared" si="466"/>
        <v>-6380</v>
      </c>
      <c r="CB272" s="268">
        <f t="shared" si="467"/>
        <v>0</v>
      </c>
      <c r="CC272" s="13">
        <f t="shared" si="468"/>
        <v>0</v>
      </c>
      <c r="CD272" s="13">
        <f t="shared" si="390"/>
        <v>0</v>
      </c>
      <c r="CE272" s="13">
        <f t="shared" si="390"/>
        <v>0</v>
      </c>
      <c r="CF272" s="13">
        <f t="shared" si="390"/>
        <v>0</v>
      </c>
      <c r="CG272" s="13">
        <f t="shared" si="390"/>
        <v>0</v>
      </c>
      <c r="CH272" s="13">
        <f t="shared" si="483"/>
        <v>0</v>
      </c>
      <c r="CI272" s="68">
        <f t="shared" si="469"/>
        <v>0</v>
      </c>
      <c r="CJ272" s="268">
        <f t="shared" si="470"/>
        <v>0</v>
      </c>
      <c r="CK272" s="13">
        <f t="shared" si="471"/>
        <v>0</v>
      </c>
      <c r="CL272" s="13">
        <f t="shared" si="400"/>
        <v>2445.7200000000003</v>
      </c>
      <c r="CM272" s="13">
        <f t="shared" si="400"/>
        <v>0</v>
      </c>
      <c r="CN272" s="13">
        <f t="shared" si="400"/>
        <v>2445</v>
      </c>
      <c r="CO272" s="13">
        <f t="shared" si="400"/>
        <v>0</v>
      </c>
      <c r="CP272" s="13">
        <f t="shared" si="400"/>
        <v>0</v>
      </c>
      <c r="CQ272" s="13">
        <f t="shared" si="484"/>
        <v>4890.72</v>
      </c>
      <c r="CR272" s="68">
        <f t="shared" si="472"/>
        <v>-4890.72</v>
      </c>
      <c r="CS272" s="268">
        <f t="shared" si="473"/>
        <v>0</v>
      </c>
      <c r="CT272" s="68">
        <f t="shared" si="446"/>
        <v>0</v>
      </c>
      <c r="CU272" s="13">
        <f>SUMIFS(SALIDAS_BIT,FECHA_BIT,"&gt;="&amp;CU$2,FECHA_BIT,"&lt;="&amp;CU$3,CLAVE_BIT,$A272)+SUMIFS(SALIDAS_BOV1,FECHA_BOV1,"&gt;="&amp;CU$2,FECHA_BOV1,"&lt;="&amp;CU$3,CLAVE_BOV1,$A272)+SUMIFS(SALIDAS_BOV2,FECHA_BOV2,"&gt;="&amp;CU$2,FECHA_BOV2,"&lt;="&amp;CU$3,CLAVE_BOV2,$A272)+SUMIFS(SALIDAS_BOV3,FECHA_BOV3,"&gt;="&amp;CU$2,FECHA_BOV3,"&lt;="&amp;CU$3,CLAVE_BOV3,$A272)+SUMIFS(SALIDAS_TC,FECHA_TC,"&gt;="&amp;CU$2,FECHA_TC,"&lt;="&amp;CU$3,CLAVE_TC,$A272)+SUMIFS(SALIDAS_COMB,FECHA_COMB,"&gt;="&amp;CU$2,FECHA_COMB,"&lt;="&amp;CU$3,CLAVE_COMB,$A272)+SUMIFS(SALIDAS_DES,FECHA_DESGLOSEN,"&gt;="&amp;CU$2,FECHA_DESGLOSEN,"&lt;="&amp;CU$3,CLAVE_DESGLOSE,$A272)</f>
        <v>0</v>
      </c>
      <c r="CV272" s="13">
        <f>SUMIFS(SALIDAS_BIT,FECHA_BIT,"&gt;="&amp;CV$2,FECHA_BIT,"&lt;="&amp;CV$3,CLAVE_BIT,$A272)+SUMIFS(SALIDAS_BOV1,FECHA_BOV1,"&gt;="&amp;CV$2,FECHA_BOV1,"&lt;="&amp;CV$3,CLAVE_BOV1,$A272)+SUMIFS(SALIDAS_BOV2,FECHA_BOV2,"&gt;="&amp;CV$2,FECHA_BOV2,"&lt;="&amp;CV$3,CLAVE_BOV2,$A272)+SUMIFS(SALIDAS_BOV3,FECHA_BOV3,"&gt;="&amp;CV$2,FECHA_BOV3,"&lt;="&amp;CV$3,CLAVE_BOV3,$A272)+SUMIFS(SALIDAS_TC,FECHA_TC,"&gt;="&amp;CV$2,FECHA_TC,"&lt;="&amp;CV$3,CLAVE_TC,$A272)+SUMIFS(SALIDAS_COMB,FECHA_COMB,"&gt;="&amp;CV$2,FECHA_COMB,"&lt;="&amp;CV$3,CLAVE_COMB,$A272)+SUMIFS(SALIDAS_DES,FECHA_DESGLOSEN,"&gt;="&amp;CV$2,FECHA_DESGLOSEN,"&lt;="&amp;CV$3,CLAVE_DESGLOSE,$A272)</f>
        <v>0</v>
      </c>
      <c r="CW272" s="13">
        <f>SUMIFS(SALIDAS_BIT,FECHA_BIT,"&gt;="&amp;CW$2,FECHA_BIT,"&lt;="&amp;CW$3,CLAVE_BIT,$A272)+SUMIFS(SALIDAS_BOV1,FECHA_BOV1,"&gt;="&amp;CW$2,FECHA_BOV1,"&lt;="&amp;CW$3,CLAVE_BOV1,$A272)+SUMIFS(SALIDAS_BOV2,FECHA_BOV2,"&gt;="&amp;CW$2,FECHA_BOV2,"&lt;="&amp;CW$3,CLAVE_BOV2,$A272)+SUMIFS(SALIDAS_BOV3,FECHA_BOV3,"&gt;="&amp;CW$2,FECHA_BOV3,"&lt;="&amp;CW$3,CLAVE_BOV3,$A272)+SUMIFS(SALIDAS_TC,FECHA_TC,"&gt;="&amp;CW$2,FECHA_TC,"&lt;="&amp;CW$3,CLAVE_TC,$A272)+SUMIFS(SALIDAS_COMB,FECHA_COMB,"&gt;="&amp;CW$2,FECHA_COMB,"&lt;="&amp;CW$3,CLAVE_COMB,$A272)+SUMIFS(SALIDAS_DES,FECHA_DESGLOSEN,"&gt;="&amp;CW$2,FECHA_DESGLOSEN,"&lt;="&amp;CW$3,CLAVE_DESGLOSE,$A272)</f>
        <v>0</v>
      </c>
      <c r="CX272" s="13">
        <f>SUMIFS(SALIDAS_BIT,FECHA_BIT,"&gt;="&amp;CX$2,FECHA_BIT,"&lt;="&amp;CX$3,CLAVE_BIT,$A272)+SUMIFS(SALIDAS_BOV1,FECHA_BOV1,"&gt;="&amp;CX$2,FECHA_BOV1,"&lt;="&amp;CX$3,CLAVE_BOV1,$A272)+SUMIFS(SALIDAS_BOV2,FECHA_BOV2,"&gt;="&amp;CX$2,FECHA_BOV2,"&lt;="&amp;CX$3,CLAVE_BOV2,$A272)+SUMIFS(SALIDAS_BOV3,FECHA_BOV3,"&gt;="&amp;CX$2,FECHA_BOV3,"&lt;="&amp;CX$3,CLAVE_BOV3,$A272)+SUMIFS(SALIDAS_TC,FECHA_TC,"&gt;="&amp;CX$2,FECHA_TC,"&lt;="&amp;CX$3,CLAVE_TC,$A272)+SUMIFS(SALIDAS_COMB,FECHA_COMB,"&gt;="&amp;CX$2,FECHA_COMB,"&lt;="&amp;CX$3,CLAVE_COMB,$A272)+SUMIFS(SALIDAS_DES,FECHA_DESGLOSEN,"&gt;="&amp;CX$2,FECHA_DESGLOSEN,"&lt;="&amp;CX$3,CLAVE_DESGLOSE,$A272)</f>
        <v>0</v>
      </c>
      <c r="CY272" s="13">
        <f>SUMIFS(SALIDAS_BIT,FECHA_BIT,"&gt;="&amp;CY$2,FECHA_BIT,"&lt;="&amp;CY$3,CLAVE_BIT,$A272)+SUMIFS(SALIDAS_BOV1,FECHA_BOV1,"&gt;="&amp;CY$2,FECHA_BOV1,"&lt;="&amp;CY$3,CLAVE_BOV1,$A272)+SUMIFS(SALIDAS_BOV2,FECHA_BOV2,"&gt;="&amp;CY$2,FECHA_BOV2,"&lt;="&amp;CY$3,CLAVE_BOV2,$A272)+SUMIFS(SALIDAS_BOV3,FECHA_BOV3,"&gt;="&amp;CY$2,FECHA_BOV3,"&lt;="&amp;CY$3,CLAVE_BOV3,$A272)+SUMIFS(SALIDAS_TC,FECHA_TC,"&gt;="&amp;CY$2,FECHA_TC,"&lt;="&amp;CY$3,CLAVE_TC,$A272)+SUMIFS(SALIDAS_COMB,FECHA_COMB,"&gt;="&amp;CY$2,FECHA_COMB,"&lt;="&amp;CY$3,CLAVE_COMB,$A272)+SUMIFS(SALIDAS_DES,FECHA_DESGLOSEN,"&gt;="&amp;CY$2,FECHA_DESGLOSEN,"&lt;="&amp;CY$3,CLAVE_DESGLOSE,$A272)</f>
        <v>0</v>
      </c>
      <c r="CZ272" s="68">
        <f t="shared" si="474"/>
        <v>0</v>
      </c>
      <c r="DB272" s="17">
        <f>F272+N272+W272+AE272+AM272+AV272+BD272+BL272+BU272+CC272+CK272</f>
        <v>8000</v>
      </c>
      <c r="DC272" s="17">
        <f>K272+T272+AB272+AJ272+AS272+BA272+BI272+BR272+BZ272+CH272+CQ272</f>
        <v>29821.120000000003</v>
      </c>
    </row>
    <row r="273" spans="1:107" hidden="1">
      <c r="A273" s="12" t="str">
        <f t="shared" si="447"/>
        <v>FINANZASCUOTAS Y SUSCRIPCIONESMULTAS</v>
      </c>
      <c r="B273">
        <v>275</v>
      </c>
      <c r="C273" t="s">
        <v>23</v>
      </c>
      <c r="D273" t="s">
        <v>51</v>
      </c>
      <c r="E273" t="s">
        <v>74</v>
      </c>
      <c r="F273" s="259">
        <f t="shared" si="440"/>
        <v>0</v>
      </c>
      <c r="G273" s="13">
        <f t="shared" si="476"/>
        <v>0</v>
      </c>
      <c r="H273" s="13">
        <f t="shared" si="476"/>
        <v>0</v>
      </c>
      <c r="I273" s="13">
        <f t="shared" si="476"/>
        <v>0</v>
      </c>
      <c r="J273" s="13">
        <f t="shared" si="476"/>
        <v>0</v>
      </c>
      <c r="K273" s="13">
        <f t="shared" si="476"/>
        <v>0</v>
      </c>
      <c r="L273" s="68">
        <f t="shared" si="448"/>
        <v>0</v>
      </c>
      <c r="M273" s="268">
        <f t="shared" si="449"/>
        <v>0</v>
      </c>
      <c r="N273" s="13">
        <f t="shared" si="441"/>
        <v>12447</v>
      </c>
      <c r="O273" s="13">
        <f t="shared" si="477"/>
        <v>0</v>
      </c>
      <c r="P273" s="13">
        <f t="shared" si="477"/>
        <v>11836</v>
      </c>
      <c r="Q273" s="13">
        <f t="shared" si="477"/>
        <v>0</v>
      </c>
      <c r="R273" s="13">
        <f t="shared" si="477"/>
        <v>100</v>
      </c>
      <c r="S273" s="13">
        <f t="shared" si="477"/>
        <v>0</v>
      </c>
      <c r="T273" s="13">
        <f t="shared" si="477"/>
        <v>11936</v>
      </c>
      <c r="U273" s="68">
        <f t="shared" si="450"/>
        <v>511</v>
      </c>
      <c r="V273" s="268">
        <f t="shared" si="451"/>
        <v>0.95894593074636458</v>
      </c>
      <c r="W273" s="13">
        <f t="shared" si="442"/>
        <v>0</v>
      </c>
      <c r="X273" s="13">
        <f t="shared" si="478"/>
        <v>0</v>
      </c>
      <c r="Y273" s="13">
        <f t="shared" si="478"/>
        <v>0</v>
      </c>
      <c r="Z273" s="13">
        <f t="shared" si="478"/>
        <v>0</v>
      </c>
      <c r="AA273" s="13">
        <f t="shared" si="478"/>
        <v>0</v>
      </c>
      <c r="AB273" s="13">
        <f t="shared" si="478"/>
        <v>0</v>
      </c>
      <c r="AC273" s="68">
        <f t="shared" si="452"/>
        <v>0</v>
      </c>
      <c r="AD273" s="268">
        <f t="shared" si="453"/>
        <v>0</v>
      </c>
      <c r="AE273" s="13">
        <f t="shared" si="443"/>
        <v>0</v>
      </c>
      <c r="AF273" s="13">
        <f t="shared" si="479"/>
        <v>0</v>
      </c>
      <c r="AG273" s="13">
        <f t="shared" si="479"/>
        <v>0</v>
      </c>
      <c r="AH273" s="13">
        <f t="shared" si="479"/>
        <v>0</v>
      </c>
      <c r="AI273" s="13">
        <f t="shared" si="479"/>
        <v>0</v>
      </c>
      <c r="AJ273" s="13">
        <f t="shared" si="479"/>
        <v>0</v>
      </c>
      <c r="AK273" s="68">
        <f t="shared" si="454"/>
        <v>0</v>
      </c>
      <c r="AL273" s="268">
        <f t="shared" si="455"/>
        <v>0</v>
      </c>
      <c r="AM273" s="13">
        <f t="shared" si="444"/>
        <v>0</v>
      </c>
      <c r="AN273" s="13">
        <f t="shared" si="480"/>
        <v>0</v>
      </c>
      <c r="AO273" s="13">
        <f t="shared" si="480"/>
        <v>0</v>
      </c>
      <c r="AP273" s="13">
        <f t="shared" si="480"/>
        <v>0</v>
      </c>
      <c r="AQ273" s="13">
        <f t="shared" si="480"/>
        <v>0</v>
      </c>
      <c r="AR273" s="13">
        <f t="shared" si="480"/>
        <v>0</v>
      </c>
      <c r="AS273" s="13">
        <f t="shared" si="480"/>
        <v>0</v>
      </c>
      <c r="AT273" s="68">
        <f>AM273-AS273</f>
        <v>0</v>
      </c>
      <c r="AU273" s="268">
        <f t="shared" si="456"/>
        <v>0</v>
      </c>
      <c r="AV273" s="13">
        <f t="shared" si="445"/>
        <v>0</v>
      </c>
      <c r="AW273" s="13">
        <f t="shared" si="421"/>
        <v>0</v>
      </c>
      <c r="AX273" s="13">
        <f t="shared" si="421"/>
        <v>0</v>
      </c>
      <c r="AY273" s="13">
        <f t="shared" si="421"/>
        <v>0</v>
      </c>
      <c r="AZ273" s="13">
        <f t="shared" si="421"/>
        <v>0</v>
      </c>
      <c r="BA273" s="13">
        <f t="shared" si="475"/>
        <v>0</v>
      </c>
      <c r="BB273" s="68">
        <f t="shared" si="457"/>
        <v>0</v>
      </c>
      <c r="BC273" s="268">
        <f t="shared" si="458"/>
        <v>0</v>
      </c>
      <c r="BD273" s="13">
        <f t="shared" si="459"/>
        <v>0</v>
      </c>
      <c r="BE273" s="13">
        <f>SUMIFS(SALIDAS_BIT,FECHA_BIT,"&gt;="&amp;BE$2,FECHA_BIT,"&lt;="&amp;BE$3,CLAVE_BIT,$A273)+SUMIFS(SALIDAS_BOV1,FECHA_BOV1,"&gt;="&amp;BE$2,FECHA_BOV1,"&lt;="&amp;BE$3,CLAVE_BOV1,$A273)+SUMIFS(SALIDAS_BOV2,FECHA_BOV2,"&gt;="&amp;BE$2,FECHA_BOV2,"&lt;="&amp;BE$3,CLAVE_BOV2,$A273)+SUMIFS(SALIDAS_BOV3,FECHA_BOV3,"&gt;="&amp;BE$2,FECHA_BOV3,"&lt;="&amp;BE$3,CLAVE_BOV3,$A273)+SUMIFS(SALIDAS_TC,FECHA_TC,"&gt;="&amp;BE$2,FECHA_TC,"&lt;="&amp;BE$3,CLAVE_TC,$A273)+SUMIFS(SALIDAS_COMB,FECHA_COMB,"&gt;="&amp;BE$2,FECHA_COMB,"&lt;="&amp;BE$3,CLAVE_COMB,$A273)+SUMIFS(SALIDAS_DES,FECHA_DESGLOSEN,"&gt;="&amp;BE$2,FECHA_DESGLOSEN,"&lt;="&amp;BE$3,CLAVE_DESGLOSE,$A273)</f>
        <v>0</v>
      </c>
      <c r="BF273" s="13">
        <f>SUMIFS(SALIDAS_BIT,FECHA_BIT,"&gt;="&amp;BF$2,FECHA_BIT,"&lt;="&amp;BF$3,CLAVE_BIT,$A273)+SUMIFS(SALIDAS_BOV1,FECHA_BOV1,"&gt;="&amp;BF$2,FECHA_BOV1,"&lt;="&amp;BF$3,CLAVE_BOV1,$A273)+SUMIFS(SALIDAS_BOV2,FECHA_BOV2,"&gt;="&amp;BF$2,FECHA_BOV2,"&lt;="&amp;BF$3,CLAVE_BOV2,$A273)+SUMIFS(SALIDAS_BOV3,FECHA_BOV3,"&gt;="&amp;BF$2,FECHA_BOV3,"&lt;="&amp;BF$3,CLAVE_BOV3,$A273)+SUMIFS(SALIDAS_TC,FECHA_TC,"&gt;="&amp;BF$2,FECHA_TC,"&lt;="&amp;BF$3,CLAVE_TC,$A273)+SUMIFS(SALIDAS_COMB,FECHA_COMB,"&gt;="&amp;BF$2,FECHA_COMB,"&lt;="&amp;BF$3,CLAVE_COMB,$A273)+SUMIFS(SALIDAS_DES,FECHA_DESGLOSEN,"&gt;="&amp;BF$2,FECHA_DESGLOSEN,"&lt;="&amp;BF$3,CLAVE_DESGLOSE,$A273)</f>
        <v>0</v>
      </c>
      <c r="BG273" s="13">
        <f>SUMIFS(SALIDAS_BIT,FECHA_BIT,"&gt;="&amp;BG$2,FECHA_BIT,"&lt;="&amp;BG$3,CLAVE_BIT,$A273)+SUMIFS(SALIDAS_BOV1,FECHA_BOV1,"&gt;="&amp;BG$2,FECHA_BOV1,"&lt;="&amp;BG$3,CLAVE_BOV1,$A273)+SUMIFS(SALIDAS_BOV2,FECHA_BOV2,"&gt;="&amp;BG$2,FECHA_BOV2,"&lt;="&amp;BG$3,CLAVE_BOV2,$A273)+SUMIFS(SALIDAS_BOV3,FECHA_BOV3,"&gt;="&amp;BG$2,FECHA_BOV3,"&lt;="&amp;BG$3,CLAVE_BOV3,$A273)+SUMIFS(SALIDAS_TC,FECHA_TC,"&gt;="&amp;BG$2,FECHA_TC,"&lt;="&amp;BG$3,CLAVE_TC,$A273)+SUMIFS(SALIDAS_COMB,FECHA_COMB,"&gt;="&amp;BG$2,FECHA_COMB,"&lt;="&amp;BG$3,CLAVE_COMB,$A273)+SUMIFS(SALIDAS_DES,FECHA_DESGLOSEN,"&gt;="&amp;BG$2,FECHA_DESGLOSEN,"&lt;="&amp;BG$3,CLAVE_DESGLOSE,$A273)</f>
        <v>0</v>
      </c>
      <c r="BH273" s="13">
        <f>SUMIFS(SALIDAS_BIT,FECHA_BIT,"&gt;="&amp;BH$2,FECHA_BIT,"&lt;="&amp;BH$3,CLAVE_BIT,$A273)+SUMIFS(SALIDAS_BOV1,FECHA_BOV1,"&gt;="&amp;BH$2,FECHA_BOV1,"&lt;="&amp;BH$3,CLAVE_BOV1,$A273)+SUMIFS(SALIDAS_BOV2,FECHA_BOV2,"&gt;="&amp;BH$2,FECHA_BOV2,"&lt;="&amp;BH$3,CLAVE_BOV2,$A273)+SUMIFS(SALIDAS_BOV3,FECHA_BOV3,"&gt;="&amp;BH$2,FECHA_BOV3,"&lt;="&amp;BH$3,CLAVE_BOV3,$A273)+SUMIFS(SALIDAS_TC,FECHA_TC,"&gt;="&amp;BH$2,FECHA_TC,"&lt;="&amp;BH$3,CLAVE_TC,$A273)+SUMIFS(SALIDAS_COMB,FECHA_COMB,"&gt;="&amp;BH$2,FECHA_COMB,"&lt;="&amp;BH$3,CLAVE_COMB,$A273)+SUMIFS(SALIDAS_DES,FECHA_DESGLOSEN,"&gt;="&amp;BH$2,FECHA_DESGLOSEN,"&lt;="&amp;BH$3,CLAVE_DESGLOSE,$A273)</f>
        <v>0</v>
      </c>
      <c r="BI273" s="13">
        <f t="shared" si="419"/>
        <v>0</v>
      </c>
      <c r="BJ273" s="68">
        <f t="shared" si="460"/>
        <v>0</v>
      </c>
      <c r="BK273" s="268">
        <f t="shared" si="461"/>
        <v>0</v>
      </c>
      <c r="BL273" s="13">
        <f t="shared" si="462"/>
        <v>0</v>
      </c>
      <c r="BM273" s="13">
        <f>SUMIFS(SALIDAS_BIT,FECHA_BIT,"&gt;="&amp;BM$2,FECHA_BIT,"&lt;="&amp;BM$3,CLAVE_BIT,$A273)+SUMIFS(SALIDAS_BOV1,FECHA_BOV1,"&gt;="&amp;BM$2,FECHA_BOV1,"&lt;="&amp;BM$3,CLAVE_BOV1,$A273)+SUMIFS(SALIDAS_BOV2,FECHA_BOV2,"&gt;="&amp;BM$2,FECHA_BOV2,"&lt;="&amp;BM$3,CLAVE_BOV2,$A273)+SUMIFS(SALIDAS_BOV3,FECHA_BOV3,"&gt;="&amp;BM$2,FECHA_BOV3,"&lt;="&amp;BM$3,CLAVE_BOV3,$A273)+SUMIFS(SALIDAS_TC,FECHA_TC,"&gt;="&amp;BM$2,FECHA_TC,"&lt;="&amp;BM$3,CLAVE_TC,$A273)+SUMIFS(SALIDAS_COMB,FECHA_COMB,"&gt;="&amp;BM$2,FECHA_COMB,"&lt;="&amp;BM$3,CLAVE_COMB,$A273)+SUMIFS(SALIDAS_DES,FECHA_DESGLOSEN,"&gt;="&amp;BM$2,FECHA_DESGLOSEN,"&lt;="&amp;BM$3,CLAVE_DESGLOSE,$A273)</f>
        <v>0</v>
      </c>
      <c r="BN273" s="13">
        <f>SUMIFS(SALIDAS_BIT,FECHA_BIT,"&gt;="&amp;BN$2,FECHA_BIT,"&lt;="&amp;BN$3,CLAVE_BIT,$A273)+SUMIFS(SALIDAS_BOV1,FECHA_BOV1,"&gt;="&amp;BN$2,FECHA_BOV1,"&lt;="&amp;BN$3,CLAVE_BOV1,$A273)+SUMIFS(SALIDAS_BOV2,FECHA_BOV2,"&gt;="&amp;BN$2,FECHA_BOV2,"&lt;="&amp;BN$3,CLAVE_BOV2,$A273)+SUMIFS(SALIDAS_BOV3,FECHA_BOV3,"&gt;="&amp;BN$2,FECHA_BOV3,"&lt;="&amp;BN$3,CLAVE_BOV3,$A273)+SUMIFS(SALIDAS_TC,FECHA_TC,"&gt;="&amp;BN$2,FECHA_TC,"&lt;="&amp;BN$3,CLAVE_TC,$A273)+SUMIFS(SALIDAS_COMB,FECHA_COMB,"&gt;="&amp;BN$2,FECHA_COMB,"&lt;="&amp;BN$3,CLAVE_COMB,$A273)+SUMIFS(SALIDAS_DES,FECHA_DESGLOSEN,"&gt;="&amp;BN$2,FECHA_DESGLOSEN,"&lt;="&amp;BN$3,CLAVE_DESGLOSE,$A273)</f>
        <v>0</v>
      </c>
      <c r="BO273" s="13">
        <f>SUMIFS(SALIDAS_BIT,FECHA_BIT,"&gt;="&amp;BO$2,FECHA_BIT,"&lt;="&amp;BO$3,CLAVE_BIT,$A273)+SUMIFS(SALIDAS_BOV1,FECHA_BOV1,"&gt;="&amp;BO$2,FECHA_BOV1,"&lt;="&amp;BO$3,CLAVE_BOV1,$A273)+SUMIFS(SALIDAS_BOV2,FECHA_BOV2,"&gt;="&amp;BO$2,FECHA_BOV2,"&lt;="&amp;BO$3,CLAVE_BOV2,$A273)+SUMIFS(SALIDAS_BOV3,FECHA_BOV3,"&gt;="&amp;BO$2,FECHA_BOV3,"&lt;="&amp;BO$3,CLAVE_BOV3,$A273)+SUMIFS(SALIDAS_TC,FECHA_TC,"&gt;="&amp;BO$2,FECHA_TC,"&lt;="&amp;BO$3,CLAVE_TC,$A273)+SUMIFS(SALIDAS_COMB,FECHA_COMB,"&gt;="&amp;BO$2,FECHA_COMB,"&lt;="&amp;BO$3,CLAVE_COMB,$A273)+SUMIFS(SALIDAS_DES,FECHA_DESGLOSEN,"&gt;="&amp;BO$2,FECHA_DESGLOSEN,"&lt;="&amp;BO$3,CLAVE_DESGLOSE,$A273)</f>
        <v>0</v>
      </c>
      <c r="BP273" s="13">
        <f>SUMIFS(SALIDAS_BIT,FECHA_BIT,"&gt;="&amp;BP$2,FECHA_BIT,"&lt;="&amp;BP$3,CLAVE_BIT,$A273)+SUMIFS(SALIDAS_BOV1,FECHA_BOV1,"&gt;="&amp;BP$2,FECHA_BOV1,"&lt;="&amp;BP$3,CLAVE_BOV1,$A273)+SUMIFS(SALIDAS_BOV2,FECHA_BOV2,"&gt;="&amp;BP$2,FECHA_BOV2,"&lt;="&amp;BP$3,CLAVE_BOV2,$A273)+SUMIFS(SALIDAS_BOV3,FECHA_BOV3,"&gt;="&amp;BP$2,FECHA_BOV3,"&lt;="&amp;BP$3,CLAVE_BOV3,$A273)+SUMIFS(SALIDAS_TC,FECHA_TC,"&gt;="&amp;BP$2,FECHA_TC,"&lt;="&amp;BP$3,CLAVE_TC,$A273)+SUMIFS(SALIDAS_COMB,FECHA_COMB,"&gt;="&amp;BP$2,FECHA_COMB,"&lt;="&amp;BP$3,CLAVE_COMB,$A273)+SUMIFS(SALIDAS_DES,FECHA_DESGLOSEN,"&gt;="&amp;BP$2,FECHA_DESGLOSEN,"&lt;="&amp;BP$3,CLAVE_DESGLOSE,$A273)</f>
        <v>0</v>
      </c>
      <c r="BQ273" s="13">
        <f>SUMIFS(SALIDAS_BIT,FECHA_BIT,"&gt;="&amp;BQ$2,FECHA_BIT,"&lt;="&amp;BQ$3,CLAVE_BIT,$A273)+SUMIFS(SALIDAS_BOV1,FECHA_BOV1,"&gt;="&amp;BQ$2,FECHA_BOV1,"&lt;="&amp;BQ$3,CLAVE_BOV1,$A273)+SUMIFS(SALIDAS_BOV2,FECHA_BOV2,"&gt;="&amp;BQ$2,FECHA_BOV2,"&lt;="&amp;BQ$3,CLAVE_BOV2,$A273)+SUMIFS(SALIDAS_BOV3,FECHA_BOV3,"&gt;="&amp;BQ$2,FECHA_BOV3,"&lt;="&amp;BQ$3,CLAVE_BOV3,$A273)+SUMIFS(SALIDAS_TC,FECHA_TC,"&gt;="&amp;BQ$2,FECHA_TC,"&lt;="&amp;BQ$3,CLAVE_TC,$A273)+SUMIFS(SALIDAS_COMB,FECHA_COMB,"&gt;="&amp;BQ$2,FECHA_COMB,"&lt;="&amp;BQ$3,CLAVE_COMB,$A273)+SUMIFS(SALIDAS_DES,FECHA_DESGLOSEN,"&gt;="&amp;BQ$2,FECHA_DESGLOSEN,"&lt;="&amp;BQ$3,CLAVE_DESGLOSE,$A273)</f>
        <v>0</v>
      </c>
      <c r="BR273" s="13">
        <f t="shared" si="481"/>
        <v>0</v>
      </c>
      <c r="BS273" s="68">
        <f t="shared" si="463"/>
        <v>0</v>
      </c>
      <c r="BT273" s="268">
        <f t="shared" si="464"/>
        <v>0</v>
      </c>
      <c r="BU273" s="13">
        <f t="shared" si="465"/>
        <v>0</v>
      </c>
      <c r="BV273" s="13">
        <f t="shared" si="389"/>
        <v>0</v>
      </c>
      <c r="BW273" s="13">
        <f t="shared" si="389"/>
        <v>0</v>
      </c>
      <c r="BX273" s="13">
        <f t="shared" si="389"/>
        <v>0</v>
      </c>
      <c r="BY273" s="13">
        <f t="shared" si="389"/>
        <v>0</v>
      </c>
      <c r="BZ273" s="13">
        <f t="shared" si="482"/>
        <v>0</v>
      </c>
      <c r="CA273" s="68">
        <f t="shared" si="466"/>
        <v>0</v>
      </c>
      <c r="CB273" s="268">
        <f t="shared" si="467"/>
        <v>0</v>
      </c>
      <c r="CC273" s="13">
        <f t="shared" si="468"/>
        <v>0</v>
      </c>
      <c r="CD273" s="13">
        <f t="shared" si="390"/>
        <v>0</v>
      </c>
      <c r="CE273" s="13">
        <f t="shared" si="390"/>
        <v>0</v>
      </c>
      <c r="CF273" s="13">
        <f t="shared" si="390"/>
        <v>0</v>
      </c>
      <c r="CG273" s="13">
        <f t="shared" si="390"/>
        <v>16892</v>
      </c>
      <c r="CH273" s="13">
        <f t="shared" si="483"/>
        <v>16892</v>
      </c>
      <c r="CI273" s="68">
        <f t="shared" si="469"/>
        <v>-16892</v>
      </c>
      <c r="CJ273" s="268">
        <f t="shared" si="470"/>
        <v>0</v>
      </c>
      <c r="CK273" s="13">
        <f t="shared" si="471"/>
        <v>0</v>
      </c>
      <c r="CL273" s="13">
        <f t="shared" si="400"/>
        <v>0</v>
      </c>
      <c r="CM273" s="13">
        <f t="shared" si="400"/>
        <v>0</v>
      </c>
      <c r="CN273" s="13">
        <f t="shared" si="400"/>
        <v>0</v>
      </c>
      <c r="CO273" s="13">
        <f t="shared" si="400"/>
        <v>0</v>
      </c>
      <c r="CP273" s="13">
        <f t="shared" si="400"/>
        <v>0</v>
      </c>
      <c r="CQ273" s="13">
        <f t="shared" si="484"/>
        <v>0</v>
      </c>
      <c r="CR273" s="68">
        <f t="shared" si="472"/>
        <v>0</v>
      </c>
      <c r="CS273" s="268">
        <f t="shared" si="473"/>
        <v>0</v>
      </c>
      <c r="CT273" s="68">
        <f t="shared" si="446"/>
        <v>0</v>
      </c>
      <c r="CU273" s="13">
        <f>SUMIFS(SALIDAS_BIT,FECHA_BIT,"&gt;="&amp;CU$2,FECHA_BIT,"&lt;="&amp;CU$3,CLAVE_BIT,$A273)+SUMIFS(SALIDAS_BOV1,FECHA_BOV1,"&gt;="&amp;CU$2,FECHA_BOV1,"&lt;="&amp;CU$3,CLAVE_BOV1,$A273)+SUMIFS(SALIDAS_BOV2,FECHA_BOV2,"&gt;="&amp;CU$2,FECHA_BOV2,"&lt;="&amp;CU$3,CLAVE_BOV2,$A273)+SUMIFS(SALIDAS_BOV3,FECHA_BOV3,"&gt;="&amp;CU$2,FECHA_BOV3,"&lt;="&amp;CU$3,CLAVE_BOV3,$A273)+SUMIFS(SALIDAS_TC,FECHA_TC,"&gt;="&amp;CU$2,FECHA_TC,"&lt;="&amp;CU$3,CLAVE_TC,$A273)+SUMIFS(SALIDAS_COMB,FECHA_COMB,"&gt;="&amp;CU$2,FECHA_COMB,"&lt;="&amp;CU$3,CLAVE_COMB,$A273)+SUMIFS(SALIDAS_DES,FECHA_DESGLOSEN,"&gt;="&amp;CU$2,FECHA_DESGLOSEN,"&lt;="&amp;CU$3,CLAVE_DESGLOSE,$A273)</f>
        <v>0</v>
      </c>
      <c r="CV273" s="13">
        <f>SUMIFS(SALIDAS_BIT,FECHA_BIT,"&gt;="&amp;CV$2,FECHA_BIT,"&lt;="&amp;CV$3,CLAVE_BIT,$A273)+SUMIFS(SALIDAS_BOV1,FECHA_BOV1,"&gt;="&amp;CV$2,FECHA_BOV1,"&lt;="&amp;CV$3,CLAVE_BOV1,$A273)+SUMIFS(SALIDAS_BOV2,FECHA_BOV2,"&gt;="&amp;CV$2,FECHA_BOV2,"&lt;="&amp;CV$3,CLAVE_BOV2,$A273)+SUMIFS(SALIDAS_BOV3,FECHA_BOV3,"&gt;="&amp;CV$2,FECHA_BOV3,"&lt;="&amp;CV$3,CLAVE_BOV3,$A273)+SUMIFS(SALIDAS_TC,FECHA_TC,"&gt;="&amp;CV$2,FECHA_TC,"&lt;="&amp;CV$3,CLAVE_TC,$A273)+SUMIFS(SALIDAS_COMB,FECHA_COMB,"&gt;="&amp;CV$2,FECHA_COMB,"&lt;="&amp;CV$3,CLAVE_COMB,$A273)+SUMIFS(SALIDAS_DES,FECHA_DESGLOSEN,"&gt;="&amp;CV$2,FECHA_DESGLOSEN,"&lt;="&amp;CV$3,CLAVE_DESGLOSE,$A273)</f>
        <v>0</v>
      </c>
      <c r="CW273" s="13">
        <f>SUMIFS(SALIDAS_BIT,FECHA_BIT,"&gt;="&amp;CW$2,FECHA_BIT,"&lt;="&amp;CW$3,CLAVE_BIT,$A273)+SUMIFS(SALIDAS_BOV1,FECHA_BOV1,"&gt;="&amp;CW$2,FECHA_BOV1,"&lt;="&amp;CW$3,CLAVE_BOV1,$A273)+SUMIFS(SALIDAS_BOV2,FECHA_BOV2,"&gt;="&amp;CW$2,FECHA_BOV2,"&lt;="&amp;CW$3,CLAVE_BOV2,$A273)+SUMIFS(SALIDAS_BOV3,FECHA_BOV3,"&gt;="&amp;CW$2,FECHA_BOV3,"&lt;="&amp;CW$3,CLAVE_BOV3,$A273)+SUMIFS(SALIDAS_TC,FECHA_TC,"&gt;="&amp;CW$2,FECHA_TC,"&lt;="&amp;CW$3,CLAVE_TC,$A273)+SUMIFS(SALIDAS_COMB,FECHA_COMB,"&gt;="&amp;CW$2,FECHA_COMB,"&lt;="&amp;CW$3,CLAVE_COMB,$A273)+SUMIFS(SALIDAS_DES,FECHA_DESGLOSEN,"&gt;="&amp;CW$2,FECHA_DESGLOSEN,"&lt;="&amp;CW$3,CLAVE_DESGLOSE,$A273)</f>
        <v>0</v>
      </c>
      <c r="CX273" s="13">
        <f>SUMIFS(SALIDAS_BIT,FECHA_BIT,"&gt;="&amp;CX$2,FECHA_BIT,"&lt;="&amp;CX$3,CLAVE_BIT,$A273)+SUMIFS(SALIDAS_BOV1,FECHA_BOV1,"&gt;="&amp;CX$2,FECHA_BOV1,"&lt;="&amp;CX$3,CLAVE_BOV1,$A273)+SUMIFS(SALIDAS_BOV2,FECHA_BOV2,"&gt;="&amp;CX$2,FECHA_BOV2,"&lt;="&amp;CX$3,CLAVE_BOV2,$A273)+SUMIFS(SALIDAS_BOV3,FECHA_BOV3,"&gt;="&amp;CX$2,FECHA_BOV3,"&lt;="&amp;CX$3,CLAVE_BOV3,$A273)+SUMIFS(SALIDAS_TC,FECHA_TC,"&gt;="&amp;CX$2,FECHA_TC,"&lt;="&amp;CX$3,CLAVE_TC,$A273)+SUMIFS(SALIDAS_COMB,FECHA_COMB,"&gt;="&amp;CX$2,FECHA_COMB,"&lt;="&amp;CX$3,CLAVE_COMB,$A273)+SUMIFS(SALIDAS_DES,FECHA_DESGLOSEN,"&gt;="&amp;CX$2,FECHA_DESGLOSEN,"&lt;="&amp;CX$3,CLAVE_DESGLOSE,$A273)</f>
        <v>0</v>
      </c>
      <c r="CY273" s="13">
        <f>SUMIFS(SALIDAS_BIT,FECHA_BIT,"&gt;="&amp;CY$2,FECHA_BIT,"&lt;="&amp;CY$3,CLAVE_BIT,$A273)+SUMIFS(SALIDAS_BOV1,FECHA_BOV1,"&gt;="&amp;CY$2,FECHA_BOV1,"&lt;="&amp;CY$3,CLAVE_BOV1,$A273)+SUMIFS(SALIDAS_BOV2,FECHA_BOV2,"&gt;="&amp;CY$2,FECHA_BOV2,"&lt;="&amp;CY$3,CLAVE_BOV2,$A273)+SUMIFS(SALIDAS_BOV3,FECHA_BOV3,"&gt;="&amp;CY$2,FECHA_BOV3,"&lt;="&amp;CY$3,CLAVE_BOV3,$A273)+SUMIFS(SALIDAS_TC,FECHA_TC,"&gt;="&amp;CY$2,FECHA_TC,"&lt;="&amp;CY$3,CLAVE_TC,$A273)+SUMIFS(SALIDAS_COMB,FECHA_COMB,"&gt;="&amp;CY$2,FECHA_COMB,"&lt;="&amp;CY$3,CLAVE_COMB,$A273)+SUMIFS(SALIDAS_DES,FECHA_DESGLOSEN,"&gt;="&amp;CY$2,FECHA_DESGLOSEN,"&lt;="&amp;CY$3,CLAVE_DESGLOSE,$A273)</f>
        <v>0</v>
      </c>
      <c r="CZ273" s="68">
        <f t="shared" si="474"/>
        <v>0</v>
      </c>
      <c r="DB273" s="17">
        <f>F273+N273+W273+AE273+AM273+AV273+BD273+BL273+BU273+CC273+CK273</f>
        <v>12447</v>
      </c>
      <c r="DC273" s="17">
        <f>K273+T273+AB273+AJ273+AS273+BA273+BI273+BR273+BZ273+CH273+CQ273</f>
        <v>28828</v>
      </c>
    </row>
    <row r="274" spans="1:107" hidden="1">
      <c r="A274" s="12" t="str">
        <f t="shared" si="447"/>
        <v>FINANZASCUOTAS Y SUSCRIPCIONESANUALIDAD TC</v>
      </c>
      <c r="B274">
        <v>276</v>
      </c>
      <c r="C274" t="s">
        <v>23</v>
      </c>
      <c r="D274" t="s">
        <v>51</v>
      </c>
      <c r="E274" t="s">
        <v>75</v>
      </c>
      <c r="F274" s="259">
        <f t="shared" si="440"/>
        <v>0</v>
      </c>
      <c r="G274" s="13">
        <f t="shared" si="476"/>
        <v>0</v>
      </c>
      <c r="H274" s="13">
        <f t="shared" si="476"/>
        <v>0</v>
      </c>
      <c r="I274" s="13">
        <f t="shared" si="476"/>
        <v>0</v>
      </c>
      <c r="J274" s="13">
        <f t="shared" si="476"/>
        <v>3371.25</v>
      </c>
      <c r="K274" s="13">
        <f t="shared" si="476"/>
        <v>3371.25</v>
      </c>
      <c r="L274" s="68">
        <f t="shared" si="448"/>
        <v>-3371.25</v>
      </c>
      <c r="M274" s="268">
        <f t="shared" si="449"/>
        <v>0</v>
      </c>
      <c r="N274" s="13">
        <f t="shared" si="441"/>
        <v>0</v>
      </c>
      <c r="O274" s="13">
        <f t="shared" si="477"/>
        <v>0</v>
      </c>
      <c r="P274" s="13">
        <f t="shared" si="477"/>
        <v>0</v>
      </c>
      <c r="Q274" s="13">
        <f t="shared" si="477"/>
        <v>0</v>
      </c>
      <c r="R274" s="13">
        <f t="shared" si="477"/>
        <v>0</v>
      </c>
      <c r="S274" s="13">
        <f t="shared" si="477"/>
        <v>0</v>
      </c>
      <c r="T274" s="13">
        <f t="shared" si="477"/>
        <v>0</v>
      </c>
      <c r="U274" s="68">
        <f t="shared" si="450"/>
        <v>0</v>
      </c>
      <c r="V274" s="268">
        <f t="shared" si="451"/>
        <v>0</v>
      </c>
      <c r="W274" s="13">
        <f t="shared" si="442"/>
        <v>0</v>
      </c>
      <c r="X274" s="13">
        <f t="shared" si="478"/>
        <v>0</v>
      </c>
      <c r="Y274" s="13">
        <f t="shared" si="478"/>
        <v>0</v>
      </c>
      <c r="Z274" s="13">
        <f t="shared" si="478"/>
        <v>0</v>
      </c>
      <c r="AA274" s="13">
        <f t="shared" si="478"/>
        <v>0</v>
      </c>
      <c r="AB274" s="13">
        <f t="shared" si="478"/>
        <v>0</v>
      </c>
      <c r="AC274" s="68">
        <f t="shared" si="452"/>
        <v>0</v>
      </c>
      <c r="AD274" s="268">
        <f t="shared" si="453"/>
        <v>0</v>
      </c>
      <c r="AE274" s="13">
        <f t="shared" si="443"/>
        <v>0</v>
      </c>
      <c r="AF274" s="13">
        <f t="shared" si="479"/>
        <v>0</v>
      </c>
      <c r="AG274" s="13">
        <f t="shared" si="479"/>
        <v>0</v>
      </c>
      <c r="AH274" s="13">
        <f t="shared" si="479"/>
        <v>0</v>
      </c>
      <c r="AI274" s="13">
        <f t="shared" si="479"/>
        <v>0</v>
      </c>
      <c r="AJ274" s="13">
        <f t="shared" si="479"/>
        <v>0</v>
      </c>
      <c r="AK274" s="68">
        <f t="shared" si="454"/>
        <v>0</v>
      </c>
      <c r="AL274" s="268">
        <f t="shared" si="455"/>
        <v>0</v>
      </c>
      <c r="AM274" s="13">
        <f t="shared" si="444"/>
        <v>0</v>
      </c>
      <c r="AN274" s="13">
        <f t="shared" si="480"/>
        <v>0</v>
      </c>
      <c r="AO274" s="13">
        <f t="shared" si="480"/>
        <v>0</v>
      </c>
      <c r="AP274" s="13">
        <f t="shared" si="480"/>
        <v>0</v>
      </c>
      <c r="AQ274" s="13">
        <f t="shared" si="480"/>
        <v>0</v>
      </c>
      <c r="AR274" s="13">
        <f t="shared" si="480"/>
        <v>0</v>
      </c>
      <c r="AS274" s="13">
        <f t="shared" si="480"/>
        <v>0</v>
      </c>
      <c r="AT274" s="68">
        <f>AM274-AS274</f>
        <v>0</v>
      </c>
      <c r="AU274" s="268">
        <f t="shared" si="456"/>
        <v>0</v>
      </c>
      <c r="AV274" s="13">
        <f t="shared" si="445"/>
        <v>0</v>
      </c>
      <c r="AW274" s="13">
        <f t="shared" si="421"/>
        <v>0</v>
      </c>
      <c r="AX274" s="13">
        <f t="shared" si="421"/>
        <v>0</v>
      </c>
      <c r="AY274" s="13">
        <f t="shared" si="421"/>
        <v>0</v>
      </c>
      <c r="AZ274" s="13">
        <f t="shared" si="421"/>
        <v>0</v>
      </c>
      <c r="BA274" s="13">
        <f t="shared" si="475"/>
        <v>0</v>
      </c>
      <c r="BB274" s="68">
        <f t="shared" si="457"/>
        <v>0</v>
      </c>
      <c r="BC274" s="268">
        <f t="shared" si="458"/>
        <v>0</v>
      </c>
      <c r="BD274" s="13">
        <f t="shared" si="459"/>
        <v>0</v>
      </c>
      <c r="BE274" s="13">
        <f>SUMIFS(SALIDAS_BIT,FECHA_BIT,"&gt;="&amp;BE$2,FECHA_BIT,"&lt;="&amp;BE$3,CLAVE_BIT,$A274)+SUMIFS(SALIDAS_BOV1,FECHA_BOV1,"&gt;="&amp;BE$2,FECHA_BOV1,"&lt;="&amp;BE$3,CLAVE_BOV1,$A274)+SUMIFS(SALIDAS_BOV2,FECHA_BOV2,"&gt;="&amp;BE$2,FECHA_BOV2,"&lt;="&amp;BE$3,CLAVE_BOV2,$A274)+SUMIFS(SALIDAS_BOV3,FECHA_BOV3,"&gt;="&amp;BE$2,FECHA_BOV3,"&lt;="&amp;BE$3,CLAVE_BOV3,$A274)+SUMIFS(SALIDAS_TC,FECHA_TC,"&gt;="&amp;BE$2,FECHA_TC,"&lt;="&amp;BE$3,CLAVE_TC,$A274)+SUMIFS(SALIDAS_COMB,FECHA_COMB,"&gt;="&amp;BE$2,FECHA_COMB,"&lt;="&amp;BE$3,CLAVE_COMB,$A274)+SUMIFS(SALIDAS_DES,FECHA_DESGLOSEN,"&gt;="&amp;BE$2,FECHA_DESGLOSEN,"&lt;="&amp;BE$3,CLAVE_DESGLOSE,$A274)</f>
        <v>0</v>
      </c>
      <c r="BF274" s="13">
        <f>SUMIFS(SALIDAS_BIT,FECHA_BIT,"&gt;="&amp;BF$2,FECHA_BIT,"&lt;="&amp;BF$3,CLAVE_BIT,$A274)+SUMIFS(SALIDAS_BOV1,FECHA_BOV1,"&gt;="&amp;BF$2,FECHA_BOV1,"&lt;="&amp;BF$3,CLAVE_BOV1,$A274)+SUMIFS(SALIDAS_BOV2,FECHA_BOV2,"&gt;="&amp;BF$2,FECHA_BOV2,"&lt;="&amp;BF$3,CLAVE_BOV2,$A274)+SUMIFS(SALIDAS_BOV3,FECHA_BOV3,"&gt;="&amp;BF$2,FECHA_BOV3,"&lt;="&amp;BF$3,CLAVE_BOV3,$A274)+SUMIFS(SALIDAS_TC,FECHA_TC,"&gt;="&amp;BF$2,FECHA_TC,"&lt;="&amp;BF$3,CLAVE_TC,$A274)+SUMIFS(SALIDAS_COMB,FECHA_COMB,"&gt;="&amp;BF$2,FECHA_COMB,"&lt;="&amp;BF$3,CLAVE_COMB,$A274)+SUMIFS(SALIDAS_DES,FECHA_DESGLOSEN,"&gt;="&amp;BF$2,FECHA_DESGLOSEN,"&lt;="&amp;BF$3,CLAVE_DESGLOSE,$A274)</f>
        <v>0</v>
      </c>
      <c r="BG274" s="13">
        <f>SUMIFS(SALIDAS_BIT,FECHA_BIT,"&gt;="&amp;BG$2,FECHA_BIT,"&lt;="&amp;BG$3,CLAVE_BIT,$A274)+SUMIFS(SALIDAS_BOV1,FECHA_BOV1,"&gt;="&amp;BG$2,FECHA_BOV1,"&lt;="&amp;BG$3,CLAVE_BOV1,$A274)+SUMIFS(SALIDAS_BOV2,FECHA_BOV2,"&gt;="&amp;BG$2,FECHA_BOV2,"&lt;="&amp;BG$3,CLAVE_BOV2,$A274)+SUMIFS(SALIDAS_BOV3,FECHA_BOV3,"&gt;="&amp;BG$2,FECHA_BOV3,"&lt;="&amp;BG$3,CLAVE_BOV3,$A274)+SUMIFS(SALIDAS_TC,FECHA_TC,"&gt;="&amp;BG$2,FECHA_TC,"&lt;="&amp;BG$3,CLAVE_TC,$A274)+SUMIFS(SALIDAS_COMB,FECHA_COMB,"&gt;="&amp;BG$2,FECHA_COMB,"&lt;="&amp;BG$3,CLAVE_COMB,$A274)+SUMIFS(SALIDAS_DES,FECHA_DESGLOSEN,"&gt;="&amp;BG$2,FECHA_DESGLOSEN,"&lt;="&amp;BG$3,CLAVE_DESGLOSE,$A274)</f>
        <v>0</v>
      </c>
      <c r="BH274" s="13">
        <f>SUMIFS(SALIDAS_BIT,FECHA_BIT,"&gt;="&amp;BH$2,FECHA_BIT,"&lt;="&amp;BH$3,CLAVE_BIT,$A274)+SUMIFS(SALIDAS_BOV1,FECHA_BOV1,"&gt;="&amp;BH$2,FECHA_BOV1,"&lt;="&amp;BH$3,CLAVE_BOV1,$A274)+SUMIFS(SALIDAS_BOV2,FECHA_BOV2,"&gt;="&amp;BH$2,FECHA_BOV2,"&lt;="&amp;BH$3,CLAVE_BOV2,$A274)+SUMIFS(SALIDAS_BOV3,FECHA_BOV3,"&gt;="&amp;BH$2,FECHA_BOV3,"&lt;="&amp;BH$3,CLAVE_BOV3,$A274)+SUMIFS(SALIDAS_TC,FECHA_TC,"&gt;="&amp;BH$2,FECHA_TC,"&lt;="&amp;BH$3,CLAVE_TC,$A274)+SUMIFS(SALIDAS_COMB,FECHA_COMB,"&gt;="&amp;BH$2,FECHA_COMB,"&lt;="&amp;BH$3,CLAVE_COMB,$A274)+SUMIFS(SALIDAS_DES,FECHA_DESGLOSEN,"&gt;="&amp;BH$2,FECHA_DESGLOSEN,"&lt;="&amp;BH$3,CLAVE_DESGLOSE,$A274)</f>
        <v>0</v>
      </c>
      <c r="BI274" s="13">
        <f t="shared" si="419"/>
        <v>0</v>
      </c>
      <c r="BJ274" s="68">
        <f t="shared" si="460"/>
        <v>0</v>
      </c>
      <c r="BK274" s="268">
        <f t="shared" si="461"/>
        <v>0</v>
      </c>
      <c r="BL274" s="13">
        <f t="shared" si="462"/>
        <v>6825</v>
      </c>
      <c r="BM274" s="13">
        <f>SUMIFS(SALIDAS_BIT,FECHA_BIT,"&gt;="&amp;BM$2,FECHA_BIT,"&lt;="&amp;BM$3,CLAVE_BIT,$A274)+SUMIFS(SALIDAS_BOV1,FECHA_BOV1,"&gt;="&amp;BM$2,FECHA_BOV1,"&lt;="&amp;BM$3,CLAVE_BOV1,$A274)+SUMIFS(SALIDAS_BOV2,FECHA_BOV2,"&gt;="&amp;BM$2,FECHA_BOV2,"&lt;="&amp;BM$3,CLAVE_BOV2,$A274)+SUMIFS(SALIDAS_BOV3,FECHA_BOV3,"&gt;="&amp;BM$2,FECHA_BOV3,"&lt;="&amp;BM$3,CLAVE_BOV3,$A274)+SUMIFS(SALIDAS_TC,FECHA_TC,"&gt;="&amp;BM$2,FECHA_TC,"&lt;="&amp;BM$3,CLAVE_TC,$A274)+SUMIFS(SALIDAS_COMB,FECHA_COMB,"&gt;="&amp;BM$2,FECHA_COMB,"&lt;="&amp;BM$3,CLAVE_COMB,$A274)+SUMIFS(SALIDAS_DES,FECHA_DESGLOSEN,"&gt;="&amp;BM$2,FECHA_DESGLOSEN,"&lt;="&amp;BM$3,CLAVE_DESGLOSE,$A274)</f>
        <v>0</v>
      </c>
      <c r="BN274" s="13">
        <f>SUMIFS(SALIDAS_BIT,FECHA_BIT,"&gt;="&amp;BN$2,FECHA_BIT,"&lt;="&amp;BN$3,CLAVE_BIT,$A274)+SUMIFS(SALIDAS_BOV1,FECHA_BOV1,"&gt;="&amp;BN$2,FECHA_BOV1,"&lt;="&amp;BN$3,CLAVE_BOV1,$A274)+SUMIFS(SALIDAS_BOV2,FECHA_BOV2,"&gt;="&amp;BN$2,FECHA_BOV2,"&lt;="&amp;BN$3,CLAVE_BOV2,$A274)+SUMIFS(SALIDAS_BOV3,FECHA_BOV3,"&gt;="&amp;BN$2,FECHA_BOV3,"&lt;="&amp;BN$3,CLAVE_BOV3,$A274)+SUMIFS(SALIDAS_TC,FECHA_TC,"&gt;="&amp;BN$2,FECHA_TC,"&lt;="&amp;BN$3,CLAVE_TC,$A274)+SUMIFS(SALIDAS_COMB,FECHA_COMB,"&gt;="&amp;BN$2,FECHA_COMB,"&lt;="&amp;BN$3,CLAVE_COMB,$A274)+SUMIFS(SALIDAS_DES,FECHA_DESGLOSEN,"&gt;="&amp;BN$2,FECHA_DESGLOSEN,"&lt;="&amp;BN$3,CLAVE_DESGLOSE,$A274)</f>
        <v>0</v>
      </c>
      <c r="BO274" s="13">
        <f>SUMIFS(SALIDAS_BIT,FECHA_BIT,"&gt;="&amp;BO$2,FECHA_BIT,"&lt;="&amp;BO$3,CLAVE_BIT,$A274)+SUMIFS(SALIDAS_BOV1,FECHA_BOV1,"&gt;="&amp;BO$2,FECHA_BOV1,"&lt;="&amp;BO$3,CLAVE_BOV1,$A274)+SUMIFS(SALIDAS_BOV2,FECHA_BOV2,"&gt;="&amp;BO$2,FECHA_BOV2,"&lt;="&amp;BO$3,CLAVE_BOV2,$A274)+SUMIFS(SALIDAS_BOV3,FECHA_BOV3,"&gt;="&amp;BO$2,FECHA_BOV3,"&lt;="&amp;BO$3,CLAVE_BOV3,$A274)+SUMIFS(SALIDAS_TC,FECHA_TC,"&gt;="&amp;BO$2,FECHA_TC,"&lt;="&amp;BO$3,CLAVE_TC,$A274)+SUMIFS(SALIDAS_COMB,FECHA_COMB,"&gt;="&amp;BO$2,FECHA_COMB,"&lt;="&amp;BO$3,CLAVE_COMB,$A274)+SUMIFS(SALIDAS_DES,FECHA_DESGLOSEN,"&gt;="&amp;BO$2,FECHA_DESGLOSEN,"&lt;="&amp;BO$3,CLAVE_DESGLOSE,$A274)</f>
        <v>0</v>
      </c>
      <c r="BP274" s="13">
        <f>SUMIFS(SALIDAS_BIT,FECHA_BIT,"&gt;="&amp;BP$2,FECHA_BIT,"&lt;="&amp;BP$3,CLAVE_BIT,$A274)+SUMIFS(SALIDAS_BOV1,FECHA_BOV1,"&gt;="&amp;BP$2,FECHA_BOV1,"&lt;="&amp;BP$3,CLAVE_BOV1,$A274)+SUMIFS(SALIDAS_BOV2,FECHA_BOV2,"&gt;="&amp;BP$2,FECHA_BOV2,"&lt;="&amp;BP$3,CLAVE_BOV2,$A274)+SUMIFS(SALIDAS_BOV3,FECHA_BOV3,"&gt;="&amp;BP$2,FECHA_BOV3,"&lt;="&amp;BP$3,CLAVE_BOV3,$A274)+SUMIFS(SALIDAS_TC,FECHA_TC,"&gt;="&amp;BP$2,FECHA_TC,"&lt;="&amp;BP$3,CLAVE_TC,$A274)+SUMIFS(SALIDAS_COMB,FECHA_COMB,"&gt;="&amp;BP$2,FECHA_COMB,"&lt;="&amp;BP$3,CLAVE_COMB,$A274)+SUMIFS(SALIDAS_DES,FECHA_DESGLOSEN,"&gt;="&amp;BP$2,FECHA_DESGLOSEN,"&lt;="&amp;BP$3,CLAVE_DESGLOSE,$A274)</f>
        <v>0</v>
      </c>
      <c r="BQ274" s="13">
        <f>SUMIFS(SALIDAS_BIT,FECHA_BIT,"&gt;="&amp;BQ$2,FECHA_BIT,"&lt;="&amp;BQ$3,CLAVE_BIT,$A274)+SUMIFS(SALIDAS_BOV1,FECHA_BOV1,"&gt;="&amp;BQ$2,FECHA_BOV1,"&lt;="&amp;BQ$3,CLAVE_BOV1,$A274)+SUMIFS(SALIDAS_BOV2,FECHA_BOV2,"&gt;="&amp;BQ$2,FECHA_BOV2,"&lt;="&amp;BQ$3,CLAVE_BOV2,$A274)+SUMIFS(SALIDAS_BOV3,FECHA_BOV3,"&gt;="&amp;BQ$2,FECHA_BOV3,"&lt;="&amp;BQ$3,CLAVE_BOV3,$A274)+SUMIFS(SALIDAS_TC,FECHA_TC,"&gt;="&amp;BQ$2,FECHA_TC,"&lt;="&amp;BQ$3,CLAVE_TC,$A274)+SUMIFS(SALIDAS_COMB,FECHA_COMB,"&gt;="&amp;BQ$2,FECHA_COMB,"&lt;="&amp;BQ$3,CLAVE_COMB,$A274)+SUMIFS(SALIDAS_DES,FECHA_DESGLOSEN,"&gt;="&amp;BQ$2,FECHA_DESGLOSEN,"&lt;="&amp;BQ$3,CLAVE_DESGLOSE,$A274)</f>
        <v>0</v>
      </c>
      <c r="BR274" s="13">
        <f t="shared" si="481"/>
        <v>0</v>
      </c>
      <c r="BS274" s="68">
        <f t="shared" si="463"/>
        <v>6825</v>
      </c>
      <c r="BT274" s="268">
        <f t="shared" si="464"/>
        <v>0</v>
      </c>
      <c r="BU274" s="13">
        <f t="shared" si="465"/>
        <v>0</v>
      </c>
      <c r="BV274" s="13">
        <f t="shared" si="389"/>
        <v>0</v>
      </c>
      <c r="BW274" s="13">
        <f t="shared" si="389"/>
        <v>0</v>
      </c>
      <c r="BX274" s="13">
        <f t="shared" si="389"/>
        <v>0</v>
      </c>
      <c r="BY274" s="13">
        <f t="shared" si="389"/>
        <v>0</v>
      </c>
      <c r="BZ274" s="13">
        <f t="shared" si="482"/>
        <v>0</v>
      </c>
      <c r="CA274" s="68">
        <f t="shared" si="466"/>
        <v>0</v>
      </c>
      <c r="CB274" s="268">
        <f t="shared" si="467"/>
        <v>0</v>
      </c>
      <c r="CC274" s="13">
        <f t="shared" si="468"/>
        <v>0</v>
      </c>
      <c r="CD274" s="13">
        <f t="shared" si="390"/>
        <v>0</v>
      </c>
      <c r="CE274" s="13">
        <f t="shared" si="390"/>
        <v>0</v>
      </c>
      <c r="CF274" s="13">
        <f t="shared" si="390"/>
        <v>0</v>
      </c>
      <c r="CG274" s="13">
        <f t="shared" si="390"/>
        <v>0</v>
      </c>
      <c r="CH274" s="13">
        <f t="shared" si="483"/>
        <v>0</v>
      </c>
      <c r="CI274" s="68">
        <f t="shared" si="469"/>
        <v>0</v>
      </c>
      <c r="CJ274" s="268">
        <f t="shared" si="470"/>
        <v>0</v>
      </c>
      <c r="CK274" s="13">
        <f t="shared" si="471"/>
        <v>0</v>
      </c>
      <c r="CL274" s="13">
        <f t="shared" si="400"/>
        <v>0</v>
      </c>
      <c r="CM274" s="13">
        <f t="shared" si="400"/>
        <v>0</v>
      </c>
      <c r="CN274" s="13">
        <f t="shared" si="400"/>
        <v>0</v>
      </c>
      <c r="CO274" s="13">
        <f t="shared" si="400"/>
        <v>0</v>
      </c>
      <c r="CP274" s="13">
        <f t="shared" si="400"/>
        <v>0</v>
      </c>
      <c r="CQ274" s="13">
        <f t="shared" si="484"/>
        <v>0</v>
      </c>
      <c r="CR274" s="68">
        <f t="shared" si="472"/>
        <v>0</v>
      </c>
      <c r="CS274" s="268">
        <f t="shared" si="473"/>
        <v>0</v>
      </c>
      <c r="CT274" s="68">
        <f t="shared" si="446"/>
        <v>12000</v>
      </c>
      <c r="CU274" s="13">
        <f>SUMIFS(SALIDAS_BIT,FECHA_BIT,"&gt;="&amp;CU$2,FECHA_BIT,"&lt;="&amp;CU$3,CLAVE_BIT,$A274)+SUMIFS(SALIDAS_BOV1,FECHA_BOV1,"&gt;="&amp;CU$2,FECHA_BOV1,"&lt;="&amp;CU$3,CLAVE_BOV1,$A274)+SUMIFS(SALIDAS_BOV2,FECHA_BOV2,"&gt;="&amp;CU$2,FECHA_BOV2,"&lt;="&amp;CU$3,CLAVE_BOV2,$A274)+SUMIFS(SALIDAS_BOV3,FECHA_BOV3,"&gt;="&amp;CU$2,FECHA_BOV3,"&lt;="&amp;CU$3,CLAVE_BOV3,$A274)+SUMIFS(SALIDAS_TC,FECHA_TC,"&gt;="&amp;CU$2,FECHA_TC,"&lt;="&amp;CU$3,CLAVE_TC,$A274)+SUMIFS(SALIDAS_COMB,FECHA_COMB,"&gt;="&amp;CU$2,FECHA_COMB,"&lt;="&amp;CU$3,CLAVE_COMB,$A274)+SUMIFS(SALIDAS_DES,FECHA_DESGLOSEN,"&gt;="&amp;CU$2,FECHA_DESGLOSEN,"&lt;="&amp;CU$3,CLAVE_DESGLOSE,$A274)</f>
        <v>0</v>
      </c>
      <c r="CV274" s="13">
        <f>SUMIFS(SALIDAS_BIT,FECHA_BIT,"&gt;="&amp;CV$2,FECHA_BIT,"&lt;="&amp;CV$3,CLAVE_BIT,$A274)+SUMIFS(SALIDAS_BOV1,FECHA_BOV1,"&gt;="&amp;CV$2,FECHA_BOV1,"&lt;="&amp;CV$3,CLAVE_BOV1,$A274)+SUMIFS(SALIDAS_BOV2,FECHA_BOV2,"&gt;="&amp;CV$2,FECHA_BOV2,"&lt;="&amp;CV$3,CLAVE_BOV2,$A274)+SUMIFS(SALIDAS_BOV3,FECHA_BOV3,"&gt;="&amp;CV$2,FECHA_BOV3,"&lt;="&amp;CV$3,CLAVE_BOV3,$A274)+SUMIFS(SALIDAS_TC,FECHA_TC,"&gt;="&amp;CV$2,FECHA_TC,"&lt;="&amp;CV$3,CLAVE_TC,$A274)+SUMIFS(SALIDAS_COMB,FECHA_COMB,"&gt;="&amp;CV$2,FECHA_COMB,"&lt;="&amp;CV$3,CLAVE_COMB,$A274)+SUMIFS(SALIDAS_DES,FECHA_DESGLOSEN,"&gt;="&amp;CV$2,FECHA_DESGLOSEN,"&lt;="&amp;CV$3,CLAVE_DESGLOSE,$A274)</f>
        <v>0</v>
      </c>
      <c r="CW274" s="13">
        <f>SUMIFS(SALIDAS_BIT,FECHA_BIT,"&gt;="&amp;CW$2,FECHA_BIT,"&lt;="&amp;CW$3,CLAVE_BIT,$A274)+SUMIFS(SALIDAS_BOV1,FECHA_BOV1,"&gt;="&amp;CW$2,FECHA_BOV1,"&lt;="&amp;CW$3,CLAVE_BOV1,$A274)+SUMIFS(SALIDAS_BOV2,FECHA_BOV2,"&gt;="&amp;CW$2,FECHA_BOV2,"&lt;="&amp;CW$3,CLAVE_BOV2,$A274)+SUMIFS(SALIDAS_BOV3,FECHA_BOV3,"&gt;="&amp;CW$2,FECHA_BOV3,"&lt;="&amp;CW$3,CLAVE_BOV3,$A274)+SUMIFS(SALIDAS_TC,FECHA_TC,"&gt;="&amp;CW$2,FECHA_TC,"&lt;="&amp;CW$3,CLAVE_TC,$A274)+SUMIFS(SALIDAS_COMB,FECHA_COMB,"&gt;="&amp;CW$2,FECHA_COMB,"&lt;="&amp;CW$3,CLAVE_COMB,$A274)+SUMIFS(SALIDAS_DES,FECHA_DESGLOSEN,"&gt;="&amp;CW$2,FECHA_DESGLOSEN,"&lt;="&amp;CW$3,CLAVE_DESGLOSE,$A274)</f>
        <v>0</v>
      </c>
      <c r="CX274" s="13">
        <f>SUMIFS(SALIDAS_BIT,FECHA_BIT,"&gt;="&amp;CX$2,FECHA_BIT,"&lt;="&amp;CX$3,CLAVE_BIT,$A274)+SUMIFS(SALIDAS_BOV1,FECHA_BOV1,"&gt;="&amp;CX$2,FECHA_BOV1,"&lt;="&amp;CX$3,CLAVE_BOV1,$A274)+SUMIFS(SALIDAS_BOV2,FECHA_BOV2,"&gt;="&amp;CX$2,FECHA_BOV2,"&lt;="&amp;CX$3,CLAVE_BOV2,$A274)+SUMIFS(SALIDAS_BOV3,FECHA_BOV3,"&gt;="&amp;CX$2,FECHA_BOV3,"&lt;="&amp;CX$3,CLAVE_BOV3,$A274)+SUMIFS(SALIDAS_TC,FECHA_TC,"&gt;="&amp;CX$2,FECHA_TC,"&lt;="&amp;CX$3,CLAVE_TC,$A274)+SUMIFS(SALIDAS_COMB,FECHA_COMB,"&gt;="&amp;CX$2,FECHA_COMB,"&lt;="&amp;CX$3,CLAVE_COMB,$A274)+SUMIFS(SALIDAS_DES,FECHA_DESGLOSEN,"&gt;="&amp;CX$2,FECHA_DESGLOSEN,"&lt;="&amp;CX$3,CLAVE_DESGLOSE,$A274)</f>
        <v>0</v>
      </c>
      <c r="CY274" s="13">
        <f>SUMIFS(SALIDAS_BIT,FECHA_BIT,"&gt;="&amp;CY$2,FECHA_BIT,"&lt;="&amp;CY$3,CLAVE_BIT,$A274)+SUMIFS(SALIDAS_BOV1,FECHA_BOV1,"&gt;="&amp;CY$2,FECHA_BOV1,"&lt;="&amp;CY$3,CLAVE_BOV1,$A274)+SUMIFS(SALIDAS_BOV2,FECHA_BOV2,"&gt;="&amp;CY$2,FECHA_BOV2,"&lt;="&amp;CY$3,CLAVE_BOV2,$A274)+SUMIFS(SALIDAS_BOV3,FECHA_BOV3,"&gt;="&amp;CY$2,FECHA_BOV3,"&lt;="&amp;CY$3,CLAVE_BOV3,$A274)+SUMIFS(SALIDAS_TC,FECHA_TC,"&gt;="&amp;CY$2,FECHA_TC,"&lt;="&amp;CY$3,CLAVE_TC,$A274)+SUMIFS(SALIDAS_COMB,FECHA_COMB,"&gt;="&amp;CY$2,FECHA_COMB,"&lt;="&amp;CY$3,CLAVE_COMB,$A274)+SUMIFS(SALIDAS_DES,FECHA_DESGLOSEN,"&gt;="&amp;CY$2,FECHA_DESGLOSEN,"&lt;="&amp;CY$3,CLAVE_DESGLOSE,$A274)</f>
        <v>0</v>
      </c>
      <c r="CZ274" s="68">
        <f t="shared" si="474"/>
        <v>12000</v>
      </c>
      <c r="DB274" s="17">
        <f>F274+N274+W274+AE274+AM274+AV274+BD274+BL274+BU274+CC274+CK274</f>
        <v>6825</v>
      </c>
      <c r="DC274" s="17">
        <f>K274+T274+AB274+AJ274+AS274+BA274+BI274+BR274+BZ274+CH274+CQ274</f>
        <v>3371.25</v>
      </c>
    </row>
    <row r="275" spans="1:107" hidden="1">
      <c r="A275" s="12" t="str">
        <f t="shared" si="447"/>
        <v>FINANZASCUOTAS Y SUSCRIPCIONESPROTECCION CIVIL</v>
      </c>
      <c r="B275">
        <v>277</v>
      </c>
      <c r="C275" t="s">
        <v>23</v>
      </c>
      <c r="D275" t="s">
        <v>51</v>
      </c>
      <c r="E275" t="s">
        <v>76</v>
      </c>
      <c r="F275" s="259">
        <f t="shared" si="440"/>
        <v>4695</v>
      </c>
      <c r="G275" s="13">
        <f t="shared" si="476"/>
        <v>0</v>
      </c>
      <c r="H275" s="13">
        <f t="shared" si="476"/>
        <v>0</v>
      </c>
      <c r="I275" s="13">
        <f t="shared" si="476"/>
        <v>0</v>
      </c>
      <c r="J275" s="13">
        <f t="shared" si="476"/>
        <v>4838</v>
      </c>
      <c r="K275" s="13">
        <f t="shared" si="476"/>
        <v>4838</v>
      </c>
      <c r="L275" s="68">
        <f t="shared" si="448"/>
        <v>-143</v>
      </c>
      <c r="M275" s="268">
        <f t="shared" si="449"/>
        <v>1.030457933972311</v>
      </c>
      <c r="N275" s="13">
        <f t="shared" si="441"/>
        <v>0</v>
      </c>
      <c r="O275" s="13">
        <f t="shared" si="477"/>
        <v>0</v>
      </c>
      <c r="P275" s="13">
        <f t="shared" si="477"/>
        <v>0</v>
      </c>
      <c r="Q275" s="13">
        <f t="shared" si="477"/>
        <v>5177</v>
      </c>
      <c r="R275" s="13">
        <f t="shared" si="477"/>
        <v>0</v>
      </c>
      <c r="S275" s="13">
        <f t="shared" si="477"/>
        <v>0</v>
      </c>
      <c r="T275" s="13">
        <f t="shared" si="477"/>
        <v>5177</v>
      </c>
      <c r="U275" s="68">
        <f t="shared" si="450"/>
        <v>-5177</v>
      </c>
      <c r="V275" s="268">
        <f t="shared" si="451"/>
        <v>0</v>
      </c>
      <c r="W275" s="13">
        <f t="shared" si="442"/>
        <v>0</v>
      </c>
      <c r="X275" s="13">
        <f t="shared" si="478"/>
        <v>0</v>
      </c>
      <c r="Y275" s="13">
        <f t="shared" si="478"/>
        <v>0</v>
      </c>
      <c r="Z275" s="13">
        <f t="shared" si="478"/>
        <v>0</v>
      </c>
      <c r="AA275" s="13">
        <f t="shared" si="478"/>
        <v>0</v>
      </c>
      <c r="AB275" s="13">
        <f t="shared" si="478"/>
        <v>0</v>
      </c>
      <c r="AC275" s="68">
        <f t="shared" si="452"/>
        <v>0</v>
      </c>
      <c r="AD275" s="268">
        <f t="shared" si="453"/>
        <v>0</v>
      </c>
      <c r="AE275" s="13">
        <f t="shared" si="443"/>
        <v>0</v>
      </c>
      <c r="AF275" s="13">
        <f t="shared" si="479"/>
        <v>13688</v>
      </c>
      <c r="AG275" s="13">
        <f t="shared" si="479"/>
        <v>0</v>
      </c>
      <c r="AH275" s="13">
        <f t="shared" si="479"/>
        <v>0</v>
      </c>
      <c r="AI275" s="13">
        <f t="shared" si="479"/>
        <v>0</v>
      </c>
      <c r="AJ275" s="13">
        <f t="shared" si="479"/>
        <v>13688</v>
      </c>
      <c r="AK275" s="68">
        <f t="shared" si="454"/>
        <v>-13688</v>
      </c>
      <c r="AL275" s="268">
        <f t="shared" si="455"/>
        <v>0</v>
      </c>
      <c r="AM275" s="13">
        <f t="shared" si="444"/>
        <v>742</v>
      </c>
      <c r="AN275" s="13">
        <f t="shared" si="480"/>
        <v>0</v>
      </c>
      <c r="AO275" s="13">
        <f t="shared" si="480"/>
        <v>0</v>
      </c>
      <c r="AP275" s="13">
        <f t="shared" si="480"/>
        <v>0</v>
      </c>
      <c r="AQ275" s="13">
        <f t="shared" si="480"/>
        <v>1500</v>
      </c>
      <c r="AR275" s="13">
        <f t="shared" si="480"/>
        <v>0</v>
      </c>
      <c r="AS275" s="13">
        <f t="shared" si="480"/>
        <v>1500</v>
      </c>
      <c r="AT275" s="68">
        <f>AM275-AS275</f>
        <v>-758</v>
      </c>
      <c r="AU275" s="268">
        <f t="shared" si="456"/>
        <v>2.0215633423180592</v>
      </c>
      <c r="AV275" s="13">
        <f t="shared" si="445"/>
        <v>0</v>
      </c>
      <c r="AW275" s="13">
        <f t="shared" si="421"/>
        <v>0</v>
      </c>
      <c r="AX275" s="13">
        <f t="shared" si="421"/>
        <v>0</v>
      </c>
      <c r="AY275" s="13">
        <f t="shared" si="421"/>
        <v>0</v>
      </c>
      <c r="AZ275" s="13">
        <f t="shared" si="421"/>
        <v>0</v>
      </c>
      <c r="BA275" s="13">
        <f t="shared" si="475"/>
        <v>0</v>
      </c>
      <c r="BB275" s="68">
        <f t="shared" si="457"/>
        <v>0</v>
      </c>
      <c r="BC275" s="268">
        <f t="shared" si="458"/>
        <v>0</v>
      </c>
      <c r="BD275" s="13">
        <f t="shared" si="459"/>
        <v>1453</v>
      </c>
      <c r="BE275" s="13">
        <f>SUMIFS(SALIDAS_BIT,FECHA_BIT,"&gt;="&amp;BE$2,FECHA_BIT,"&lt;="&amp;BE$3,CLAVE_BIT,$A275)+SUMIFS(SALIDAS_BOV1,FECHA_BOV1,"&gt;="&amp;BE$2,FECHA_BOV1,"&lt;="&amp;BE$3,CLAVE_BOV1,$A275)+SUMIFS(SALIDAS_BOV2,FECHA_BOV2,"&gt;="&amp;BE$2,FECHA_BOV2,"&lt;="&amp;BE$3,CLAVE_BOV2,$A275)+SUMIFS(SALIDAS_BOV3,FECHA_BOV3,"&gt;="&amp;BE$2,FECHA_BOV3,"&lt;="&amp;BE$3,CLAVE_BOV3,$A275)+SUMIFS(SALIDAS_TC,FECHA_TC,"&gt;="&amp;BE$2,FECHA_TC,"&lt;="&amp;BE$3,CLAVE_TC,$A275)+SUMIFS(SALIDAS_COMB,FECHA_COMB,"&gt;="&amp;BE$2,FECHA_COMB,"&lt;="&amp;BE$3,CLAVE_COMB,$A275)+SUMIFS(SALIDAS_DES,FECHA_DESGLOSEN,"&gt;="&amp;BE$2,FECHA_DESGLOSEN,"&lt;="&amp;BE$3,CLAVE_DESGLOSE,$A275)</f>
        <v>0</v>
      </c>
      <c r="BF275" s="13">
        <f>SUMIFS(SALIDAS_BIT,FECHA_BIT,"&gt;="&amp;BF$2,FECHA_BIT,"&lt;="&amp;BF$3,CLAVE_BIT,$A275)+SUMIFS(SALIDAS_BOV1,FECHA_BOV1,"&gt;="&amp;BF$2,FECHA_BOV1,"&lt;="&amp;BF$3,CLAVE_BOV1,$A275)+SUMIFS(SALIDAS_BOV2,FECHA_BOV2,"&gt;="&amp;BF$2,FECHA_BOV2,"&lt;="&amp;BF$3,CLAVE_BOV2,$A275)+SUMIFS(SALIDAS_BOV3,FECHA_BOV3,"&gt;="&amp;BF$2,FECHA_BOV3,"&lt;="&amp;BF$3,CLAVE_BOV3,$A275)+SUMIFS(SALIDAS_TC,FECHA_TC,"&gt;="&amp;BF$2,FECHA_TC,"&lt;="&amp;BF$3,CLAVE_TC,$A275)+SUMIFS(SALIDAS_COMB,FECHA_COMB,"&gt;="&amp;BF$2,FECHA_COMB,"&lt;="&amp;BF$3,CLAVE_COMB,$A275)+SUMIFS(SALIDAS_DES,FECHA_DESGLOSEN,"&gt;="&amp;BF$2,FECHA_DESGLOSEN,"&lt;="&amp;BF$3,CLAVE_DESGLOSE,$A275)</f>
        <v>0</v>
      </c>
      <c r="BG275" s="13">
        <f>SUMIFS(SALIDAS_BIT,FECHA_BIT,"&gt;="&amp;BG$2,FECHA_BIT,"&lt;="&amp;BG$3,CLAVE_BIT,$A275)+SUMIFS(SALIDAS_BOV1,FECHA_BOV1,"&gt;="&amp;BG$2,FECHA_BOV1,"&lt;="&amp;BG$3,CLAVE_BOV1,$A275)+SUMIFS(SALIDAS_BOV2,FECHA_BOV2,"&gt;="&amp;BG$2,FECHA_BOV2,"&lt;="&amp;BG$3,CLAVE_BOV2,$A275)+SUMIFS(SALIDAS_BOV3,FECHA_BOV3,"&gt;="&amp;BG$2,FECHA_BOV3,"&lt;="&amp;BG$3,CLAVE_BOV3,$A275)+SUMIFS(SALIDAS_TC,FECHA_TC,"&gt;="&amp;BG$2,FECHA_TC,"&lt;="&amp;BG$3,CLAVE_TC,$A275)+SUMIFS(SALIDAS_COMB,FECHA_COMB,"&gt;="&amp;BG$2,FECHA_COMB,"&lt;="&amp;BG$3,CLAVE_COMB,$A275)+SUMIFS(SALIDAS_DES,FECHA_DESGLOSEN,"&gt;="&amp;BG$2,FECHA_DESGLOSEN,"&lt;="&amp;BG$3,CLAVE_DESGLOSE,$A275)</f>
        <v>0</v>
      </c>
      <c r="BH275" s="13">
        <f>SUMIFS(SALIDAS_BIT,FECHA_BIT,"&gt;="&amp;BH$2,FECHA_BIT,"&lt;="&amp;BH$3,CLAVE_BIT,$A275)+SUMIFS(SALIDAS_BOV1,FECHA_BOV1,"&gt;="&amp;BH$2,FECHA_BOV1,"&lt;="&amp;BH$3,CLAVE_BOV1,$A275)+SUMIFS(SALIDAS_BOV2,FECHA_BOV2,"&gt;="&amp;BH$2,FECHA_BOV2,"&lt;="&amp;BH$3,CLAVE_BOV2,$A275)+SUMIFS(SALIDAS_BOV3,FECHA_BOV3,"&gt;="&amp;BH$2,FECHA_BOV3,"&lt;="&amp;BH$3,CLAVE_BOV3,$A275)+SUMIFS(SALIDAS_TC,FECHA_TC,"&gt;="&amp;BH$2,FECHA_TC,"&lt;="&amp;BH$3,CLAVE_TC,$A275)+SUMIFS(SALIDAS_COMB,FECHA_COMB,"&gt;="&amp;BH$2,FECHA_COMB,"&lt;="&amp;BH$3,CLAVE_COMB,$A275)+SUMIFS(SALIDAS_DES,FECHA_DESGLOSEN,"&gt;="&amp;BH$2,FECHA_DESGLOSEN,"&lt;="&amp;BH$3,CLAVE_DESGLOSE,$A275)</f>
        <v>0</v>
      </c>
      <c r="BI275" s="13">
        <f t="shared" si="419"/>
        <v>0</v>
      </c>
      <c r="BJ275" s="68">
        <f t="shared" si="460"/>
        <v>1453</v>
      </c>
      <c r="BK275" s="268">
        <f t="shared" si="461"/>
        <v>0</v>
      </c>
      <c r="BL275" s="13">
        <f t="shared" si="462"/>
        <v>0</v>
      </c>
      <c r="BM275" s="13">
        <f>SUMIFS(SALIDAS_BIT,FECHA_BIT,"&gt;="&amp;BM$2,FECHA_BIT,"&lt;="&amp;BM$3,CLAVE_BIT,$A275)+SUMIFS(SALIDAS_BOV1,FECHA_BOV1,"&gt;="&amp;BM$2,FECHA_BOV1,"&lt;="&amp;BM$3,CLAVE_BOV1,$A275)+SUMIFS(SALIDAS_BOV2,FECHA_BOV2,"&gt;="&amp;BM$2,FECHA_BOV2,"&lt;="&amp;BM$3,CLAVE_BOV2,$A275)+SUMIFS(SALIDAS_BOV3,FECHA_BOV3,"&gt;="&amp;BM$2,FECHA_BOV3,"&lt;="&amp;BM$3,CLAVE_BOV3,$A275)+SUMIFS(SALIDAS_TC,FECHA_TC,"&gt;="&amp;BM$2,FECHA_TC,"&lt;="&amp;BM$3,CLAVE_TC,$A275)+SUMIFS(SALIDAS_COMB,FECHA_COMB,"&gt;="&amp;BM$2,FECHA_COMB,"&lt;="&amp;BM$3,CLAVE_COMB,$A275)+SUMIFS(SALIDAS_DES,FECHA_DESGLOSEN,"&gt;="&amp;BM$2,FECHA_DESGLOSEN,"&lt;="&amp;BM$3,CLAVE_DESGLOSE,$A275)</f>
        <v>0</v>
      </c>
      <c r="BN275" s="13">
        <f>SUMIFS(SALIDAS_BIT,FECHA_BIT,"&gt;="&amp;BN$2,FECHA_BIT,"&lt;="&amp;BN$3,CLAVE_BIT,$A275)+SUMIFS(SALIDAS_BOV1,FECHA_BOV1,"&gt;="&amp;BN$2,FECHA_BOV1,"&lt;="&amp;BN$3,CLAVE_BOV1,$A275)+SUMIFS(SALIDAS_BOV2,FECHA_BOV2,"&gt;="&amp;BN$2,FECHA_BOV2,"&lt;="&amp;BN$3,CLAVE_BOV2,$A275)+SUMIFS(SALIDAS_BOV3,FECHA_BOV3,"&gt;="&amp;BN$2,FECHA_BOV3,"&lt;="&amp;BN$3,CLAVE_BOV3,$A275)+SUMIFS(SALIDAS_TC,FECHA_TC,"&gt;="&amp;BN$2,FECHA_TC,"&lt;="&amp;BN$3,CLAVE_TC,$A275)+SUMIFS(SALIDAS_COMB,FECHA_COMB,"&gt;="&amp;BN$2,FECHA_COMB,"&lt;="&amp;BN$3,CLAVE_COMB,$A275)+SUMIFS(SALIDAS_DES,FECHA_DESGLOSEN,"&gt;="&amp;BN$2,FECHA_DESGLOSEN,"&lt;="&amp;BN$3,CLAVE_DESGLOSE,$A275)</f>
        <v>0</v>
      </c>
      <c r="BO275" s="13">
        <f>SUMIFS(SALIDAS_BIT,FECHA_BIT,"&gt;="&amp;BO$2,FECHA_BIT,"&lt;="&amp;BO$3,CLAVE_BIT,$A275)+SUMIFS(SALIDAS_BOV1,FECHA_BOV1,"&gt;="&amp;BO$2,FECHA_BOV1,"&lt;="&amp;BO$3,CLAVE_BOV1,$A275)+SUMIFS(SALIDAS_BOV2,FECHA_BOV2,"&gt;="&amp;BO$2,FECHA_BOV2,"&lt;="&amp;BO$3,CLAVE_BOV2,$A275)+SUMIFS(SALIDAS_BOV3,FECHA_BOV3,"&gt;="&amp;BO$2,FECHA_BOV3,"&lt;="&amp;BO$3,CLAVE_BOV3,$A275)+SUMIFS(SALIDAS_TC,FECHA_TC,"&gt;="&amp;BO$2,FECHA_TC,"&lt;="&amp;BO$3,CLAVE_TC,$A275)+SUMIFS(SALIDAS_COMB,FECHA_COMB,"&gt;="&amp;BO$2,FECHA_COMB,"&lt;="&amp;BO$3,CLAVE_COMB,$A275)+SUMIFS(SALIDAS_DES,FECHA_DESGLOSEN,"&gt;="&amp;BO$2,FECHA_DESGLOSEN,"&lt;="&amp;BO$3,CLAVE_DESGLOSE,$A275)</f>
        <v>0</v>
      </c>
      <c r="BP275" s="13">
        <f>SUMIFS(SALIDAS_BIT,FECHA_BIT,"&gt;="&amp;BP$2,FECHA_BIT,"&lt;="&amp;BP$3,CLAVE_BIT,$A275)+SUMIFS(SALIDAS_BOV1,FECHA_BOV1,"&gt;="&amp;BP$2,FECHA_BOV1,"&lt;="&amp;BP$3,CLAVE_BOV1,$A275)+SUMIFS(SALIDAS_BOV2,FECHA_BOV2,"&gt;="&amp;BP$2,FECHA_BOV2,"&lt;="&amp;BP$3,CLAVE_BOV2,$A275)+SUMIFS(SALIDAS_BOV3,FECHA_BOV3,"&gt;="&amp;BP$2,FECHA_BOV3,"&lt;="&amp;BP$3,CLAVE_BOV3,$A275)+SUMIFS(SALIDAS_TC,FECHA_TC,"&gt;="&amp;BP$2,FECHA_TC,"&lt;="&amp;BP$3,CLAVE_TC,$A275)+SUMIFS(SALIDAS_COMB,FECHA_COMB,"&gt;="&amp;BP$2,FECHA_COMB,"&lt;="&amp;BP$3,CLAVE_COMB,$A275)+SUMIFS(SALIDAS_DES,FECHA_DESGLOSEN,"&gt;="&amp;BP$2,FECHA_DESGLOSEN,"&lt;="&amp;BP$3,CLAVE_DESGLOSE,$A275)</f>
        <v>0</v>
      </c>
      <c r="BQ275" s="13">
        <f>SUMIFS(SALIDAS_BIT,FECHA_BIT,"&gt;="&amp;BQ$2,FECHA_BIT,"&lt;="&amp;BQ$3,CLAVE_BIT,$A275)+SUMIFS(SALIDAS_BOV1,FECHA_BOV1,"&gt;="&amp;BQ$2,FECHA_BOV1,"&lt;="&amp;BQ$3,CLAVE_BOV1,$A275)+SUMIFS(SALIDAS_BOV2,FECHA_BOV2,"&gt;="&amp;BQ$2,FECHA_BOV2,"&lt;="&amp;BQ$3,CLAVE_BOV2,$A275)+SUMIFS(SALIDAS_BOV3,FECHA_BOV3,"&gt;="&amp;BQ$2,FECHA_BOV3,"&lt;="&amp;BQ$3,CLAVE_BOV3,$A275)+SUMIFS(SALIDAS_TC,FECHA_TC,"&gt;="&amp;BQ$2,FECHA_TC,"&lt;="&amp;BQ$3,CLAVE_TC,$A275)+SUMIFS(SALIDAS_COMB,FECHA_COMB,"&gt;="&amp;BQ$2,FECHA_COMB,"&lt;="&amp;BQ$3,CLAVE_COMB,$A275)+SUMIFS(SALIDAS_DES,FECHA_DESGLOSEN,"&gt;="&amp;BQ$2,FECHA_DESGLOSEN,"&lt;="&amp;BQ$3,CLAVE_DESGLOSE,$A275)</f>
        <v>0</v>
      </c>
      <c r="BR275" s="13">
        <f t="shared" si="481"/>
        <v>0</v>
      </c>
      <c r="BS275" s="68">
        <f t="shared" si="463"/>
        <v>0</v>
      </c>
      <c r="BT275" s="268">
        <f t="shared" si="464"/>
        <v>0</v>
      </c>
      <c r="BU275" s="13">
        <f t="shared" si="465"/>
        <v>0</v>
      </c>
      <c r="BV275" s="13">
        <f t="shared" si="389"/>
        <v>0</v>
      </c>
      <c r="BW275" s="13">
        <f t="shared" si="389"/>
        <v>0</v>
      </c>
      <c r="BX275" s="13">
        <f t="shared" si="389"/>
        <v>0</v>
      </c>
      <c r="BY275" s="13">
        <f t="shared" si="389"/>
        <v>0</v>
      </c>
      <c r="BZ275" s="13">
        <f t="shared" si="482"/>
        <v>0</v>
      </c>
      <c r="CA275" s="68">
        <f t="shared" si="466"/>
        <v>0</v>
      </c>
      <c r="CB275" s="268">
        <f t="shared" si="467"/>
        <v>0</v>
      </c>
      <c r="CC275" s="13">
        <f t="shared" si="468"/>
        <v>0</v>
      </c>
      <c r="CD275" s="13">
        <f t="shared" si="390"/>
        <v>0</v>
      </c>
      <c r="CE275" s="13">
        <f t="shared" si="390"/>
        <v>0</v>
      </c>
      <c r="CF275" s="13">
        <f t="shared" si="390"/>
        <v>0</v>
      </c>
      <c r="CG275" s="13">
        <f t="shared" si="390"/>
        <v>0</v>
      </c>
      <c r="CH275" s="13">
        <f t="shared" si="483"/>
        <v>0</v>
      </c>
      <c r="CI275" s="68">
        <f t="shared" si="469"/>
        <v>0</v>
      </c>
      <c r="CJ275" s="268">
        <f t="shared" si="470"/>
        <v>0</v>
      </c>
      <c r="CK275" s="13">
        <f t="shared" si="471"/>
        <v>0</v>
      </c>
      <c r="CL275" s="13">
        <f t="shared" si="400"/>
        <v>0</v>
      </c>
      <c r="CM275" s="13">
        <f t="shared" si="400"/>
        <v>0</v>
      </c>
      <c r="CN275" s="13">
        <f t="shared" si="400"/>
        <v>0</v>
      </c>
      <c r="CO275" s="13">
        <f t="shared" si="400"/>
        <v>0</v>
      </c>
      <c r="CP275" s="13">
        <f t="shared" si="400"/>
        <v>0</v>
      </c>
      <c r="CQ275" s="13">
        <f t="shared" si="484"/>
        <v>0</v>
      </c>
      <c r="CR275" s="68">
        <f t="shared" si="472"/>
        <v>0</v>
      </c>
      <c r="CS275" s="268">
        <f t="shared" si="473"/>
        <v>0</v>
      </c>
      <c r="CT275" s="68">
        <f t="shared" si="446"/>
        <v>0</v>
      </c>
      <c r="CU275" s="13">
        <f>SUMIFS(SALIDAS_BIT,FECHA_BIT,"&gt;="&amp;CU$2,FECHA_BIT,"&lt;="&amp;CU$3,CLAVE_BIT,$A275)+SUMIFS(SALIDAS_BOV1,FECHA_BOV1,"&gt;="&amp;CU$2,FECHA_BOV1,"&lt;="&amp;CU$3,CLAVE_BOV1,$A275)+SUMIFS(SALIDAS_BOV2,FECHA_BOV2,"&gt;="&amp;CU$2,FECHA_BOV2,"&lt;="&amp;CU$3,CLAVE_BOV2,$A275)+SUMIFS(SALIDAS_BOV3,FECHA_BOV3,"&gt;="&amp;CU$2,FECHA_BOV3,"&lt;="&amp;CU$3,CLAVE_BOV3,$A275)+SUMIFS(SALIDAS_TC,FECHA_TC,"&gt;="&amp;CU$2,FECHA_TC,"&lt;="&amp;CU$3,CLAVE_TC,$A275)+SUMIFS(SALIDAS_COMB,FECHA_COMB,"&gt;="&amp;CU$2,FECHA_COMB,"&lt;="&amp;CU$3,CLAVE_COMB,$A275)+SUMIFS(SALIDAS_DES,FECHA_DESGLOSEN,"&gt;="&amp;CU$2,FECHA_DESGLOSEN,"&lt;="&amp;CU$3,CLAVE_DESGLOSE,$A275)</f>
        <v>1245</v>
      </c>
      <c r="CV275" s="13">
        <f>SUMIFS(SALIDAS_BIT,FECHA_BIT,"&gt;="&amp;CV$2,FECHA_BIT,"&lt;="&amp;CV$3,CLAVE_BIT,$A275)+SUMIFS(SALIDAS_BOV1,FECHA_BOV1,"&gt;="&amp;CV$2,FECHA_BOV1,"&lt;="&amp;CV$3,CLAVE_BOV1,$A275)+SUMIFS(SALIDAS_BOV2,FECHA_BOV2,"&gt;="&amp;CV$2,FECHA_BOV2,"&lt;="&amp;CV$3,CLAVE_BOV2,$A275)+SUMIFS(SALIDAS_BOV3,FECHA_BOV3,"&gt;="&amp;CV$2,FECHA_BOV3,"&lt;="&amp;CV$3,CLAVE_BOV3,$A275)+SUMIFS(SALIDAS_TC,FECHA_TC,"&gt;="&amp;CV$2,FECHA_TC,"&lt;="&amp;CV$3,CLAVE_TC,$A275)+SUMIFS(SALIDAS_COMB,FECHA_COMB,"&gt;="&amp;CV$2,FECHA_COMB,"&lt;="&amp;CV$3,CLAVE_COMB,$A275)+SUMIFS(SALIDAS_DES,FECHA_DESGLOSEN,"&gt;="&amp;CV$2,FECHA_DESGLOSEN,"&lt;="&amp;CV$3,CLAVE_DESGLOSE,$A275)</f>
        <v>0</v>
      </c>
      <c r="CW275" s="13">
        <f>SUMIFS(SALIDAS_BIT,FECHA_BIT,"&gt;="&amp;CW$2,FECHA_BIT,"&lt;="&amp;CW$3,CLAVE_BIT,$A275)+SUMIFS(SALIDAS_BOV1,FECHA_BOV1,"&gt;="&amp;CW$2,FECHA_BOV1,"&lt;="&amp;CW$3,CLAVE_BOV1,$A275)+SUMIFS(SALIDAS_BOV2,FECHA_BOV2,"&gt;="&amp;CW$2,FECHA_BOV2,"&lt;="&amp;CW$3,CLAVE_BOV2,$A275)+SUMIFS(SALIDAS_BOV3,FECHA_BOV3,"&gt;="&amp;CW$2,FECHA_BOV3,"&lt;="&amp;CW$3,CLAVE_BOV3,$A275)+SUMIFS(SALIDAS_TC,FECHA_TC,"&gt;="&amp;CW$2,FECHA_TC,"&lt;="&amp;CW$3,CLAVE_TC,$A275)+SUMIFS(SALIDAS_COMB,FECHA_COMB,"&gt;="&amp;CW$2,FECHA_COMB,"&lt;="&amp;CW$3,CLAVE_COMB,$A275)+SUMIFS(SALIDAS_DES,FECHA_DESGLOSEN,"&gt;="&amp;CW$2,FECHA_DESGLOSEN,"&lt;="&amp;CW$3,CLAVE_DESGLOSE,$A275)</f>
        <v>0</v>
      </c>
      <c r="CX275" s="13">
        <f>SUMIFS(SALIDAS_BIT,FECHA_BIT,"&gt;="&amp;CX$2,FECHA_BIT,"&lt;="&amp;CX$3,CLAVE_BIT,$A275)+SUMIFS(SALIDAS_BOV1,FECHA_BOV1,"&gt;="&amp;CX$2,FECHA_BOV1,"&lt;="&amp;CX$3,CLAVE_BOV1,$A275)+SUMIFS(SALIDAS_BOV2,FECHA_BOV2,"&gt;="&amp;CX$2,FECHA_BOV2,"&lt;="&amp;CX$3,CLAVE_BOV2,$A275)+SUMIFS(SALIDAS_BOV3,FECHA_BOV3,"&gt;="&amp;CX$2,FECHA_BOV3,"&lt;="&amp;CX$3,CLAVE_BOV3,$A275)+SUMIFS(SALIDAS_TC,FECHA_TC,"&gt;="&amp;CX$2,FECHA_TC,"&lt;="&amp;CX$3,CLAVE_TC,$A275)+SUMIFS(SALIDAS_COMB,FECHA_COMB,"&gt;="&amp;CX$2,FECHA_COMB,"&lt;="&amp;CX$3,CLAVE_COMB,$A275)+SUMIFS(SALIDAS_DES,FECHA_DESGLOSEN,"&gt;="&amp;CX$2,FECHA_DESGLOSEN,"&lt;="&amp;CX$3,CLAVE_DESGLOSE,$A275)</f>
        <v>0</v>
      </c>
      <c r="CY275" s="13">
        <f>SUMIFS(SALIDAS_BIT,FECHA_BIT,"&gt;="&amp;CY$2,FECHA_BIT,"&lt;="&amp;CY$3,CLAVE_BIT,$A275)+SUMIFS(SALIDAS_BOV1,FECHA_BOV1,"&gt;="&amp;CY$2,FECHA_BOV1,"&lt;="&amp;CY$3,CLAVE_BOV1,$A275)+SUMIFS(SALIDAS_BOV2,FECHA_BOV2,"&gt;="&amp;CY$2,FECHA_BOV2,"&lt;="&amp;CY$3,CLAVE_BOV2,$A275)+SUMIFS(SALIDAS_BOV3,FECHA_BOV3,"&gt;="&amp;CY$2,FECHA_BOV3,"&lt;="&amp;CY$3,CLAVE_BOV3,$A275)+SUMIFS(SALIDAS_TC,FECHA_TC,"&gt;="&amp;CY$2,FECHA_TC,"&lt;="&amp;CY$3,CLAVE_TC,$A275)+SUMIFS(SALIDAS_COMB,FECHA_COMB,"&gt;="&amp;CY$2,FECHA_COMB,"&lt;="&amp;CY$3,CLAVE_COMB,$A275)+SUMIFS(SALIDAS_DES,FECHA_DESGLOSEN,"&gt;="&amp;CY$2,FECHA_DESGLOSEN,"&lt;="&amp;CY$3,CLAVE_DESGLOSE,$A275)</f>
        <v>1245</v>
      </c>
      <c r="CZ275" s="68">
        <f t="shared" si="474"/>
        <v>-1245</v>
      </c>
      <c r="DB275" s="17">
        <f>F275+N275+W275+AE275+AM275+AV275+BD275+BL275+BU275+CC275+CK275</f>
        <v>6890</v>
      </c>
      <c r="DC275" s="17">
        <f>K275+T275+AB275+AJ275+AS275+BA275+BI275+BR275+BZ275+CH275+CQ275</f>
        <v>25203</v>
      </c>
    </row>
    <row r="276" spans="1:107" hidden="1">
      <c r="A276" s="12" t="str">
        <f t="shared" si="447"/>
        <v>HRTELEPEAJEOP HR</v>
      </c>
      <c r="B276">
        <v>278</v>
      </c>
      <c r="C276" t="s">
        <v>29</v>
      </c>
      <c r="D276" t="s">
        <v>186</v>
      </c>
      <c r="E276" t="s">
        <v>187</v>
      </c>
      <c r="F276" s="259">
        <f t="shared" si="440"/>
        <v>2190</v>
      </c>
      <c r="G276" s="13">
        <f t="shared" si="476"/>
        <v>1034</v>
      </c>
      <c r="H276" s="13">
        <f t="shared" si="476"/>
        <v>356</v>
      </c>
      <c r="I276" s="13">
        <f t="shared" si="476"/>
        <v>0</v>
      </c>
      <c r="J276" s="13">
        <f t="shared" si="476"/>
        <v>712</v>
      </c>
      <c r="K276" s="13">
        <f t="shared" si="476"/>
        <v>2102</v>
      </c>
      <c r="L276" s="68">
        <f t="shared" si="448"/>
        <v>88</v>
      </c>
      <c r="M276" s="268">
        <f t="shared" si="449"/>
        <v>0.9598173515981735</v>
      </c>
      <c r="N276" s="13">
        <f t="shared" si="441"/>
        <v>2668</v>
      </c>
      <c r="O276" s="13">
        <f t="shared" si="477"/>
        <v>893</v>
      </c>
      <c r="P276" s="13">
        <f t="shared" si="477"/>
        <v>1545</v>
      </c>
      <c r="Q276" s="13">
        <f t="shared" si="477"/>
        <v>0</v>
      </c>
      <c r="R276" s="13">
        <f t="shared" si="477"/>
        <v>596</v>
      </c>
      <c r="S276" s="13">
        <f t="shared" si="477"/>
        <v>1575</v>
      </c>
      <c r="T276" s="13">
        <f t="shared" si="477"/>
        <v>4609</v>
      </c>
      <c r="U276" s="68">
        <f t="shared" si="450"/>
        <v>-1941</v>
      </c>
      <c r="V276" s="268">
        <f t="shared" si="451"/>
        <v>1.7275112443778111</v>
      </c>
      <c r="W276" s="13">
        <f t="shared" si="442"/>
        <v>708</v>
      </c>
      <c r="X276" s="13">
        <f t="shared" si="478"/>
        <v>0</v>
      </c>
      <c r="Y276" s="13">
        <f t="shared" si="478"/>
        <v>770</v>
      </c>
      <c r="Z276" s="13">
        <f t="shared" si="478"/>
        <v>894</v>
      </c>
      <c r="AA276" s="13">
        <f t="shared" si="478"/>
        <v>0</v>
      </c>
      <c r="AB276" s="13">
        <f t="shared" si="478"/>
        <v>1664</v>
      </c>
      <c r="AC276" s="68">
        <f t="shared" si="452"/>
        <v>-956</v>
      </c>
      <c r="AD276" s="268">
        <f t="shared" si="453"/>
        <v>2.3502824858757063</v>
      </c>
      <c r="AE276" s="13">
        <f t="shared" si="443"/>
        <v>2348</v>
      </c>
      <c r="AF276" s="13">
        <f t="shared" si="479"/>
        <v>1246</v>
      </c>
      <c r="AG276" s="13">
        <f t="shared" si="479"/>
        <v>596</v>
      </c>
      <c r="AH276" s="13">
        <f t="shared" si="479"/>
        <v>0</v>
      </c>
      <c r="AI276" s="13">
        <f t="shared" si="479"/>
        <v>650</v>
      </c>
      <c r="AJ276" s="13">
        <f t="shared" si="479"/>
        <v>2492</v>
      </c>
      <c r="AK276" s="68">
        <f t="shared" si="454"/>
        <v>-144</v>
      </c>
      <c r="AL276" s="268">
        <f t="shared" si="455"/>
        <v>1.061328790459966</v>
      </c>
      <c r="AM276" s="13">
        <f t="shared" si="444"/>
        <v>1190</v>
      </c>
      <c r="AN276" s="13">
        <f t="shared" si="480"/>
        <v>0</v>
      </c>
      <c r="AO276" s="13">
        <f t="shared" si="480"/>
        <v>890</v>
      </c>
      <c r="AP276" s="13">
        <f t="shared" si="480"/>
        <v>0</v>
      </c>
      <c r="AQ276" s="13">
        <f t="shared" si="480"/>
        <v>1918</v>
      </c>
      <c r="AR276" s="13">
        <f t="shared" si="480"/>
        <v>513</v>
      </c>
      <c r="AS276" s="13">
        <f t="shared" si="480"/>
        <v>3321</v>
      </c>
      <c r="AT276" s="68">
        <f>AM276-AS276</f>
        <v>-2131</v>
      </c>
      <c r="AU276" s="268">
        <f t="shared" si="456"/>
        <v>2.7907563025210083</v>
      </c>
      <c r="AV276" s="13">
        <f t="shared" si="445"/>
        <v>1875</v>
      </c>
      <c r="AW276" s="13">
        <f t="shared" si="421"/>
        <v>0</v>
      </c>
      <c r="AX276" s="13">
        <f t="shared" si="421"/>
        <v>294</v>
      </c>
      <c r="AY276" s="13">
        <f t="shared" si="421"/>
        <v>2582</v>
      </c>
      <c r="AZ276" s="13">
        <f t="shared" si="421"/>
        <v>0</v>
      </c>
      <c r="BA276" s="13">
        <f t="shared" si="475"/>
        <v>2876</v>
      </c>
      <c r="BB276" s="68">
        <f t="shared" si="457"/>
        <v>-1001</v>
      </c>
      <c r="BC276" s="268">
        <f t="shared" si="458"/>
        <v>1.5338666666666667</v>
      </c>
      <c r="BD276" s="13">
        <f t="shared" si="459"/>
        <v>1728</v>
      </c>
      <c r="BE276" s="13">
        <f>SUMIFS(SALIDAS_BIT,FECHA_BIT,"&gt;="&amp;BE$2,FECHA_BIT,"&lt;="&amp;BE$3,CLAVE_BIT,$A276)+SUMIFS(SALIDAS_BOV1,FECHA_BOV1,"&gt;="&amp;BE$2,FECHA_BOV1,"&lt;="&amp;BE$3,CLAVE_BOV1,$A276)+SUMIFS(SALIDAS_BOV2,FECHA_BOV2,"&gt;="&amp;BE$2,FECHA_BOV2,"&lt;="&amp;BE$3,CLAVE_BOV2,$A276)+SUMIFS(SALIDAS_BOV3,FECHA_BOV3,"&gt;="&amp;BE$2,FECHA_BOV3,"&lt;="&amp;BE$3,CLAVE_BOV3,$A276)+SUMIFS(SALIDAS_TC,FECHA_TC,"&gt;="&amp;BE$2,FECHA_TC,"&lt;="&amp;BE$3,CLAVE_TC,$A276)+SUMIFS(SALIDAS_COMB,FECHA_COMB,"&gt;="&amp;BE$2,FECHA_COMB,"&lt;="&amp;BE$3,CLAVE_COMB,$A276)+SUMIFS(SALIDAS_DES,FECHA_DESGLOSEN,"&gt;="&amp;BE$2,FECHA_DESGLOSEN,"&lt;="&amp;BE$3,CLAVE_DESGLOSE,$A276)</f>
        <v>712</v>
      </c>
      <c r="BF276" s="13">
        <f>SUMIFS(SALIDAS_BIT,FECHA_BIT,"&gt;="&amp;BF$2,FECHA_BIT,"&lt;="&amp;BF$3,CLAVE_BIT,$A276)+SUMIFS(SALIDAS_BOV1,FECHA_BOV1,"&gt;="&amp;BF$2,FECHA_BOV1,"&lt;="&amp;BF$3,CLAVE_BOV1,$A276)+SUMIFS(SALIDAS_BOV2,FECHA_BOV2,"&gt;="&amp;BF$2,FECHA_BOV2,"&lt;="&amp;BF$3,CLAVE_BOV2,$A276)+SUMIFS(SALIDAS_BOV3,FECHA_BOV3,"&gt;="&amp;BF$2,FECHA_BOV3,"&lt;="&amp;BF$3,CLAVE_BOV3,$A276)+SUMIFS(SALIDAS_TC,FECHA_TC,"&gt;="&amp;BF$2,FECHA_TC,"&lt;="&amp;BF$3,CLAVE_TC,$A276)+SUMIFS(SALIDAS_COMB,FECHA_COMB,"&gt;="&amp;BF$2,FECHA_COMB,"&lt;="&amp;BF$3,CLAVE_COMB,$A276)+SUMIFS(SALIDAS_DES,FECHA_DESGLOSEN,"&gt;="&amp;BF$2,FECHA_DESGLOSEN,"&lt;="&amp;BF$3,CLAVE_DESGLOSE,$A276)</f>
        <v>472</v>
      </c>
      <c r="BG276" s="13">
        <f>SUMIFS(SALIDAS_BIT,FECHA_BIT,"&gt;="&amp;BG$2,FECHA_BIT,"&lt;="&amp;BG$3,CLAVE_BIT,$A276)+SUMIFS(SALIDAS_BOV1,FECHA_BOV1,"&gt;="&amp;BG$2,FECHA_BOV1,"&lt;="&amp;BG$3,CLAVE_BOV1,$A276)+SUMIFS(SALIDAS_BOV2,FECHA_BOV2,"&gt;="&amp;BG$2,FECHA_BOV2,"&lt;="&amp;BG$3,CLAVE_BOV2,$A276)+SUMIFS(SALIDAS_BOV3,FECHA_BOV3,"&gt;="&amp;BG$2,FECHA_BOV3,"&lt;="&amp;BG$3,CLAVE_BOV3,$A276)+SUMIFS(SALIDAS_TC,FECHA_TC,"&gt;="&amp;BG$2,FECHA_TC,"&lt;="&amp;BG$3,CLAVE_TC,$A276)+SUMIFS(SALIDAS_COMB,FECHA_COMB,"&gt;="&amp;BG$2,FECHA_COMB,"&lt;="&amp;BG$3,CLAVE_COMB,$A276)+SUMIFS(SALIDAS_DES,FECHA_DESGLOSEN,"&gt;="&amp;BG$2,FECHA_DESGLOSEN,"&lt;="&amp;BG$3,CLAVE_DESGLOSE,$A276)</f>
        <v>0</v>
      </c>
      <c r="BH276" s="13">
        <f>SUMIFS(SALIDAS_BIT,FECHA_BIT,"&gt;="&amp;BH$2,FECHA_BIT,"&lt;="&amp;BH$3,CLAVE_BIT,$A276)+SUMIFS(SALIDAS_BOV1,FECHA_BOV1,"&gt;="&amp;BH$2,FECHA_BOV1,"&lt;="&amp;BH$3,CLAVE_BOV1,$A276)+SUMIFS(SALIDAS_BOV2,FECHA_BOV2,"&gt;="&amp;BH$2,FECHA_BOV2,"&lt;="&amp;BH$3,CLAVE_BOV2,$A276)+SUMIFS(SALIDAS_BOV3,FECHA_BOV3,"&gt;="&amp;BH$2,FECHA_BOV3,"&lt;="&amp;BH$3,CLAVE_BOV3,$A276)+SUMIFS(SALIDAS_TC,FECHA_TC,"&gt;="&amp;BH$2,FECHA_TC,"&lt;="&amp;BH$3,CLAVE_TC,$A276)+SUMIFS(SALIDAS_COMB,FECHA_COMB,"&gt;="&amp;BH$2,FECHA_COMB,"&lt;="&amp;BH$3,CLAVE_COMB,$A276)+SUMIFS(SALIDAS_DES,FECHA_DESGLOSEN,"&gt;="&amp;BH$2,FECHA_DESGLOSEN,"&lt;="&amp;BH$3,CLAVE_DESGLOSE,$A276)</f>
        <v>596</v>
      </c>
      <c r="BI276" s="13">
        <f t="shared" si="419"/>
        <v>1780</v>
      </c>
      <c r="BJ276" s="68">
        <f t="shared" si="460"/>
        <v>-52</v>
      </c>
      <c r="BK276" s="268">
        <f t="shared" si="461"/>
        <v>1.0300925925925926</v>
      </c>
      <c r="BL276" s="13">
        <f t="shared" si="462"/>
        <v>2398</v>
      </c>
      <c r="BM276" s="13">
        <f>SUMIFS(SALIDAS_BIT,FECHA_BIT,"&gt;="&amp;BM$2,FECHA_BIT,"&lt;="&amp;BM$3,CLAVE_BIT,$A276)+SUMIFS(SALIDAS_BOV1,FECHA_BOV1,"&gt;="&amp;BM$2,FECHA_BOV1,"&lt;="&amp;BM$3,CLAVE_BOV1,$A276)+SUMIFS(SALIDAS_BOV2,FECHA_BOV2,"&gt;="&amp;BM$2,FECHA_BOV2,"&lt;="&amp;BM$3,CLAVE_BOV2,$A276)+SUMIFS(SALIDAS_BOV3,FECHA_BOV3,"&gt;="&amp;BM$2,FECHA_BOV3,"&lt;="&amp;BM$3,CLAVE_BOV3,$A276)+SUMIFS(SALIDAS_TC,FECHA_TC,"&gt;="&amp;BM$2,FECHA_TC,"&lt;="&amp;BM$3,CLAVE_TC,$A276)+SUMIFS(SALIDAS_COMB,FECHA_COMB,"&gt;="&amp;BM$2,FECHA_COMB,"&lt;="&amp;BM$3,CLAVE_COMB,$A276)+SUMIFS(SALIDAS_DES,FECHA_DESGLOSEN,"&gt;="&amp;BM$2,FECHA_DESGLOSEN,"&lt;="&amp;BM$3,CLAVE_DESGLOSE,$A276)</f>
        <v>1157</v>
      </c>
      <c r="BN276" s="13">
        <f>SUMIFS(SALIDAS_BIT,FECHA_BIT,"&gt;="&amp;BN$2,FECHA_BIT,"&lt;="&amp;BN$3,CLAVE_BIT,$A276)+SUMIFS(SALIDAS_BOV1,FECHA_BOV1,"&gt;="&amp;BN$2,FECHA_BOV1,"&lt;="&amp;BN$3,CLAVE_BOV1,$A276)+SUMIFS(SALIDAS_BOV2,FECHA_BOV2,"&gt;="&amp;BN$2,FECHA_BOV2,"&lt;="&amp;BN$3,CLAVE_BOV2,$A276)+SUMIFS(SALIDAS_BOV3,FECHA_BOV3,"&gt;="&amp;BN$2,FECHA_BOV3,"&lt;="&amp;BN$3,CLAVE_BOV3,$A276)+SUMIFS(SALIDAS_TC,FECHA_TC,"&gt;="&amp;BN$2,FECHA_TC,"&lt;="&amp;BN$3,CLAVE_TC,$A276)+SUMIFS(SALIDAS_COMB,FECHA_COMB,"&gt;="&amp;BN$2,FECHA_COMB,"&lt;="&amp;BN$3,CLAVE_COMB,$A276)+SUMIFS(SALIDAS_DES,FECHA_DESGLOSEN,"&gt;="&amp;BN$2,FECHA_DESGLOSEN,"&lt;="&amp;BN$3,CLAVE_DESGLOSE,$A276)</f>
        <v>0</v>
      </c>
      <c r="BO276" s="13">
        <f>SUMIFS(SALIDAS_BIT,FECHA_BIT,"&gt;="&amp;BO$2,FECHA_BIT,"&lt;="&amp;BO$3,CLAVE_BIT,$A276)+SUMIFS(SALIDAS_BOV1,FECHA_BOV1,"&gt;="&amp;BO$2,FECHA_BOV1,"&lt;="&amp;BO$3,CLAVE_BOV1,$A276)+SUMIFS(SALIDAS_BOV2,FECHA_BOV2,"&gt;="&amp;BO$2,FECHA_BOV2,"&lt;="&amp;BO$3,CLAVE_BOV2,$A276)+SUMIFS(SALIDAS_BOV3,FECHA_BOV3,"&gt;="&amp;BO$2,FECHA_BOV3,"&lt;="&amp;BO$3,CLAVE_BOV3,$A276)+SUMIFS(SALIDAS_TC,FECHA_TC,"&gt;="&amp;BO$2,FECHA_TC,"&lt;="&amp;BO$3,CLAVE_TC,$A276)+SUMIFS(SALIDAS_COMB,FECHA_COMB,"&gt;="&amp;BO$2,FECHA_COMB,"&lt;="&amp;BO$3,CLAVE_COMB,$A276)+SUMIFS(SALIDAS_DES,FECHA_DESGLOSEN,"&gt;="&amp;BO$2,FECHA_DESGLOSEN,"&lt;="&amp;BO$3,CLAVE_DESGLOSE,$A276)</f>
        <v>1848</v>
      </c>
      <c r="BP276" s="13">
        <f>SUMIFS(SALIDAS_BIT,FECHA_BIT,"&gt;="&amp;BP$2,FECHA_BIT,"&lt;="&amp;BP$3,CLAVE_BIT,$A276)+SUMIFS(SALIDAS_BOV1,FECHA_BOV1,"&gt;="&amp;BP$2,FECHA_BOV1,"&lt;="&amp;BP$3,CLAVE_BOV1,$A276)+SUMIFS(SALIDAS_BOV2,FECHA_BOV2,"&gt;="&amp;BP$2,FECHA_BOV2,"&lt;="&amp;BP$3,CLAVE_BOV2,$A276)+SUMIFS(SALIDAS_BOV3,FECHA_BOV3,"&gt;="&amp;BP$2,FECHA_BOV3,"&lt;="&amp;BP$3,CLAVE_BOV3,$A276)+SUMIFS(SALIDAS_TC,FECHA_TC,"&gt;="&amp;BP$2,FECHA_TC,"&lt;="&amp;BP$3,CLAVE_TC,$A276)+SUMIFS(SALIDAS_COMB,FECHA_COMB,"&gt;="&amp;BP$2,FECHA_COMB,"&lt;="&amp;BP$3,CLAVE_COMB,$A276)+SUMIFS(SALIDAS_DES,FECHA_DESGLOSEN,"&gt;="&amp;BP$2,FECHA_DESGLOSEN,"&lt;="&amp;BP$3,CLAVE_DESGLOSE,$A276)</f>
        <v>1554</v>
      </c>
      <c r="BQ276" s="13">
        <f>SUMIFS(SALIDAS_BIT,FECHA_BIT,"&gt;="&amp;BQ$2,FECHA_BIT,"&lt;="&amp;BQ$3,CLAVE_BIT,$A276)+SUMIFS(SALIDAS_BOV1,FECHA_BOV1,"&gt;="&amp;BQ$2,FECHA_BOV1,"&lt;="&amp;BQ$3,CLAVE_BOV1,$A276)+SUMIFS(SALIDAS_BOV2,FECHA_BOV2,"&gt;="&amp;BQ$2,FECHA_BOV2,"&lt;="&amp;BQ$3,CLAVE_BOV2,$A276)+SUMIFS(SALIDAS_BOV3,FECHA_BOV3,"&gt;="&amp;BQ$2,FECHA_BOV3,"&lt;="&amp;BQ$3,CLAVE_BOV3,$A276)+SUMIFS(SALIDAS_TC,FECHA_TC,"&gt;="&amp;BQ$2,FECHA_TC,"&lt;="&amp;BQ$3,CLAVE_TC,$A276)+SUMIFS(SALIDAS_COMB,FECHA_COMB,"&gt;="&amp;BQ$2,FECHA_COMB,"&lt;="&amp;BQ$3,CLAVE_COMB,$A276)+SUMIFS(SALIDAS_DES,FECHA_DESGLOSEN,"&gt;="&amp;BQ$2,FECHA_DESGLOSEN,"&lt;="&amp;BQ$3,CLAVE_DESGLOSE,$A276)</f>
        <v>1246</v>
      </c>
      <c r="BR276" s="13">
        <f t="shared" si="481"/>
        <v>5805</v>
      </c>
      <c r="BS276" s="68">
        <f t="shared" si="463"/>
        <v>-3407</v>
      </c>
      <c r="BT276" s="268">
        <f t="shared" si="464"/>
        <v>2.4207673060884072</v>
      </c>
      <c r="BU276" s="13">
        <f t="shared" si="465"/>
        <v>3000</v>
      </c>
      <c r="BV276" s="13">
        <f t="shared" ref="BV276:BY313" si="485">SUMIFS(SALIDAS_BIT,FECHA_BIT,"&gt;="&amp;BV$2,FECHA_BIT,"&lt;="&amp;BV$3,CLAVE_BIT,$A276)+SUMIFS(SALIDAS_BOV1,FECHA_BOV1,"&gt;="&amp;BV$2,FECHA_BOV1,"&lt;="&amp;BV$3,CLAVE_BOV1,$A276)+SUMIFS(SALIDAS_BOV2,FECHA_BOV2,"&gt;="&amp;BV$2,FECHA_BOV2,"&lt;="&amp;BV$3,CLAVE_BOV2,$A276)+SUMIFS(SALIDAS_BOV3,FECHA_BOV3,"&gt;="&amp;BV$2,FECHA_BOV3,"&lt;="&amp;BV$3,CLAVE_BOV3,$A276)+SUMIFS(SALIDAS_TC,FECHA_TC,"&gt;="&amp;BV$2,FECHA_TC,"&lt;="&amp;BV$3,CLAVE_TC,$A276)+SUMIFS(SALIDAS_COMB,FECHA_COMB,"&gt;="&amp;BV$2,FECHA_COMB,"&lt;="&amp;BV$3,CLAVE_COMB,$A276)+SUMIFS(SALIDAS_DES,FECHA_DESGLOSEN,"&gt;="&amp;BV$2,FECHA_DESGLOSEN,"&lt;="&amp;BV$3,CLAVE_DESGLOSE,$A276)</f>
        <v>0</v>
      </c>
      <c r="BW276" s="13">
        <f t="shared" si="485"/>
        <v>2082</v>
      </c>
      <c r="BX276" s="13">
        <f t="shared" si="485"/>
        <v>2666</v>
      </c>
      <c r="BY276" s="13">
        <f t="shared" si="485"/>
        <v>0</v>
      </c>
      <c r="BZ276" s="13">
        <f t="shared" si="482"/>
        <v>4748</v>
      </c>
      <c r="CA276" s="68">
        <f t="shared" si="466"/>
        <v>-1748</v>
      </c>
      <c r="CB276" s="268">
        <f t="shared" si="467"/>
        <v>1.5826666666666667</v>
      </c>
      <c r="CC276" s="13">
        <f t="shared" si="468"/>
        <v>3000</v>
      </c>
      <c r="CD276" s="13">
        <f t="shared" ref="CD276:CG313" si="486">SUMIFS(SALIDAS_BIT,FECHA_BIT,"&gt;="&amp;CD$2,FECHA_BIT,"&lt;="&amp;CD$3,CLAVE_BIT,$A276)+SUMIFS(SALIDAS_BOV1,FECHA_BOV1,"&gt;="&amp;CD$2,FECHA_BOV1,"&lt;="&amp;CD$3,CLAVE_BOV1,$A276)+SUMIFS(SALIDAS_BOV2,FECHA_BOV2,"&gt;="&amp;CD$2,FECHA_BOV2,"&lt;="&amp;CD$3,CLAVE_BOV2,$A276)+SUMIFS(SALIDAS_BOV3,FECHA_BOV3,"&gt;="&amp;CD$2,FECHA_BOV3,"&lt;="&amp;CD$3,CLAVE_BOV3,$A276)+SUMIFS(SALIDAS_TC,FECHA_TC,"&gt;="&amp;CD$2,FECHA_TC,"&lt;="&amp;CD$3,CLAVE_TC,$A276)+SUMIFS(SALIDAS_COMB,FECHA_COMB,"&gt;="&amp;CD$2,FECHA_COMB,"&lt;="&amp;CD$3,CLAVE_COMB,$A276)+SUMIFS(SALIDAS_DES,FECHA_DESGLOSEN,"&gt;="&amp;CD$2,FECHA_DESGLOSEN,"&lt;="&amp;CD$3,CLAVE_DESGLOSE,$A276)</f>
        <v>1691</v>
      </c>
      <c r="CE276" s="13">
        <f t="shared" si="486"/>
        <v>739</v>
      </c>
      <c r="CF276" s="13">
        <f t="shared" si="486"/>
        <v>0</v>
      </c>
      <c r="CG276" s="13">
        <f t="shared" si="486"/>
        <v>623</v>
      </c>
      <c r="CH276" s="13">
        <f t="shared" si="483"/>
        <v>3053</v>
      </c>
      <c r="CI276" s="68">
        <f t="shared" si="469"/>
        <v>-53</v>
      </c>
      <c r="CJ276" s="268">
        <f t="shared" si="470"/>
        <v>1.0176666666666667</v>
      </c>
      <c r="CK276" s="13">
        <f t="shared" si="471"/>
        <v>3000</v>
      </c>
      <c r="CL276" s="13">
        <f t="shared" si="400"/>
        <v>0</v>
      </c>
      <c r="CM276" s="13">
        <f t="shared" si="400"/>
        <v>1897</v>
      </c>
      <c r="CN276" s="13">
        <f t="shared" si="400"/>
        <v>0</v>
      </c>
      <c r="CO276" s="13">
        <f t="shared" si="400"/>
        <v>2876</v>
      </c>
      <c r="CP276" s="13">
        <f t="shared" si="400"/>
        <v>0</v>
      </c>
      <c r="CQ276" s="13">
        <f t="shared" si="484"/>
        <v>4773</v>
      </c>
      <c r="CR276" s="68">
        <f t="shared" si="472"/>
        <v>-1773</v>
      </c>
      <c r="CS276" s="268">
        <f t="shared" si="473"/>
        <v>1.591</v>
      </c>
      <c r="CT276" s="68">
        <f t="shared" si="446"/>
        <v>2000</v>
      </c>
      <c r="CU276" s="13">
        <f>SUMIFS(SALIDAS_BIT,FECHA_BIT,"&gt;="&amp;CU$2,FECHA_BIT,"&lt;="&amp;CU$3,CLAVE_BIT,$A276)+SUMIFS(SALIDAS_BOV1,FECHA_BOV1,"&gt;="&amp;CU$2,FECHA_BOV1,"&lt;="&amp;CU$3,CLAVE_BOV1,$A276)+SUMIFS(SALIDAS_BOV2,FECHA_BOV2,"&gt;="&amp;CU$2,FECHA_BOV2,"&lt;="&amp;CU$3,CLAVE_BOV2,$A276)+SUMIFS(SALIDAS_BOV3,FECHA_BOV3,"&gt;="&amp;CU$2,FECHA_BOV3,"&lt;="&amp;CU$3,CLAVE_BOV3,$A276)+SUMIFS(SALIDAS_TC,FECHA_TC,"&gt;="&amp;CU$2,FECHA_TC,"&lt;="&amp;CU$3,CLAVE_TC,$A276)+SUMIFS(SALIDAS_COMB,FECHA_COMB,"&gt;="&amp;CU$2,FECHA_COMB,"&lt;="&amp;CU$3,CLAVE_COMB,$A276)+SUMIFS(SALIDAS_DES,FECHA_DESGLOSEN,"&gt;="&amp;CU$2,FECHA_DESGLOSEN,"&lt;="&amp;CU$3,CLAVE_DESGLOSE,$A276)</f>
        <v>0</v>
      </c>
      <c r="CV276" s="13">
        <f>SUMIFS(SALIDAS_BIT,FECHA_BIT,"&gt;="&amp;CV$2,FECHA_BIT,"&lt;="&amp;CV$3,CLAVE_BIT,$A276)+SUMIFS(SALIDAS_BOV1,FECHA_BOV1,"&gt;="&amp;CV$2,FECHA_BOV1,"&lt;="&amp;CV$3,CLAVE_BOV1,$A276)+SUMIFS(SALIDAS_BOV2,FECHA_BOV2,"&gt;="&amp;CV$2,FECHA_BOV2,"&lt;="&amp;CV$3,CLAVE_BOV2,$A276)+SUMIFS(SALIDAS_BOV3,FECHA_BOV3,"&gt;="&amp;CV$2,FECHA_BOV3,"&lt;="&amp;CV$3,CLAVE_BOV3,$A276)+SUMIFS(SALIDAS_TC,FECHA_TC,"&gt;="&amp;CV$2,FECHA_TC,"&lt;="&amp;CV$3,CLAVE_TC,$A276)+SUMIFS(SALIDAS_COMB,FECHA_COMB,"&gt;="&amp;CV$2,FECHA_COMB,"&lt;="&amp;CV$3,CLAVE_COMB,$A276)+SUMIFS(SALIDAS_DES,FECHA_DESGLOSEN,"&gt;="&amp;CV$2,FECHA_DESGLOSEN,"&lt;="&amp;CV$3,CLAVE_DESGLOSE,$A276)</f>
        <v>294</v>
      </c>
      <c r="CW276" s="13">
        <f>SUMIFS(SALIDAS_BIT,FECHA_BIT,"&gt;="&amp;CW$2,FECHA_BIT,"&lt;="&amp;CW$3,CLAVE_BIT,$A276)+SUMIFS(SALIDAS_BOV1,FECHA_BOV1,"&gt;="&amp;CW$2,FECHA_BOV1,"&lt;="&amp;CW$3,CLAVE_BOV1,$A276)+SUMIFS(SALIDAS_BOV2,FECHA_BOV2,"&gt;="&amp;CW$2,FECHA_BOV2,"&lt;="&amp;CW$3,CLAVE_BOV2,$A276)+SUMIFS(SALIDAS_BOV3,FECHA_BOV3,"&gt;="&amp;CW$2,FECHA_BOV3,"&lt;="&amp;CW$3,CLAVE_BOV3,$A276)+SUMIFS(SALIDAS_TC,FECHA_TC,"&gt;="&amp;CW$2,FECHA_TC,"&lt;="&amp;CW$3,CLAVE_TC,$A276)+SUMIFS(SALIDAS_COMB,FECHA_COMB,"&gt;="&amp;CW$2,FECHA_COMB,"&lt;="&amp;CW$3,CLAVE_COMB,$A276)+SUMIFS(SALIDAS_DES,FECHA_DESGLOSEN,"&gt;="&amp;CW$2,FECHA_DESGLOSEN,"&lt;="&amp;CW$3,CLAVE_DESGLOSE,$A276)</f>
        <v>0</v>
      </c>
      <c r="CX276" s="13">
        <f>SUMIFS(SALIDAS_BIT,FECHA_BIT,"&gt;="&amp;CX$2,FECHA_BIT,"&lt;="&amp;CX$3,CLAVE_BIT,$A276)+SUMIFS(SALIDAS_BOV1,FECHA_BOV1,"&gt;="&amp;CX$2,FECHA_BOV1,"&lt;="&amp;CX$3,CLAVE_BOV1,$A276)+SUMIFS(SALIDAS_BOV2,FECHA_BOV2,"&gt;="&amp;CX$2,FECHA_BOV2,"&lt;="&amp;CX$3,CLAVE_BOV2,$A276)+SUMIFS(SALIDAS_BOV3,FECHA_BOV3,"&gt;="&amp;CX$2,FECHA_BOV3,"&lt;="&amp;CX$3,CLAVE_BOV3,$A276)+SUMIFS(SALIDAS_TC,FECHA_TC,"&gt;="&amp;CX$2,FECHA_TC,"&lt;="&amp;CX$3,CLAVE_TC,$A276)+SUMIFS(SALIDAS_COMB,FECHA_COMB,"&gt;="&amp;CX$2,FECHA_COMB,"&lt;="&amp;CX$3,CLAVE_COMB,$A276)+SUMIFS(SALIDAS_DES,FECHA_DESGLOSEN,"&gt;="&amp;CX$2,FECHA_DESGLOSEN,"&lt;="&amp;CX$3,CLAVE_DESGLOSE,$A276)</f>
        <v>1642</v>
      </c>
      <c r="CY276" s="13">
        <f>SUMIFS(SALIDAS_BIT,FECHA_BIT,"&gt;="&amp;CY$2,FECHA_BIT,"&lt;="&amp;CY$3,CLAVE_BIT,$A276)+SUMIFS(SALIDAS_BOV1,FECHA_BOV1,"&gt;="&amp;CY$2,FECHA_BOV1,"&lt;="&amp;CY$3,CLAVE_BOV1,$A276)+SUMIFS(SALIDAS_BOV2,FECHA_BOV2,"&gt;="&amp;CY$2,FECHA_BOV2,"&lt;="&amp;CY$3,CLAVE_BOV2,$A276)+SUMIFS(SALIDAS_BOV3,FECHA_BOV3,"&gt;="&amp;CY$2,FECHA_BOV3,"&lt;="&amp;CY$3,CLAVE_BOV3,$A276)+SUMIFS(SALIDAS_TC,FECHA_TC,"&gt;="&amp;CY$2,FECHA_TC,"&lt;="&amp;CY$3,CLAVE_TC,$A276)+SUMIFS(SALIDAS_COMB,FECHA_COMB,"&gt;="&amp;CY$2,FECHA_COMB,"&lt;="&amp;CY$3,CLAVE_COMB,$A276)+SUMIFS(SALIDAS_DES,FECHA_DESGLOSEN,"&gt;="&amp;CY$2,FECHA_DESGLOSEN,"&lt;="&amp;CY$3,CLAVE_DESGLOSE,$A276)</f>
        <v>1936</v>
      </c>
      <c r="CZ276" s="68">
        <f t="shared" si="474"/>
        <v>64</v>
      </c>
      <c r="DB276" s="17">
        <f>F276+N276+W276+AE276+AM276+AV276+BD276+BL276+BU276+CC276+CK276</f>
        <v>24105</v>
      </c>
      <c r="DC276" s="17">
        <f>K276+T276+AB276+AJ276+AS276+BA276+BI276+BR276+BZ276+CH276+CQ276</f>
        <v>37223</v>
      </c>
    </row>
    <row r="277" spans="1:107" hidden="1">
      <c r="A277" s="12" t="str">
        <f t="shared" si="447"/>
        <v>CAPTELEPEAJEOP CAPRICHOS</v>
      </c>
      <c r="B277">
        <v>279</v>
      </c>
      <c r="C277" t="s">
        <v>31</v>
      </c>
      <c r="D277" t="s">
        <v>186</v>
      </c>
      <c r="E277" t="s">
        <v>188</v>
      </c>
      <c r="F277" s="259">
        <f t="shared" si="440"/>
        <v>2768</v>
      </c>
      <c r="G277" s="13">
        <f t="shared" ref="G277:K286" si="487">SUMIFS(SALIDAS_BIT,FECHA_BIT,"&gt;="&amp;G$2,FECHA_BIT,"&lt;="&amp;G$3,CLAVE_BIT,$A277)+SUMIFS(SALIDAS_BOV1,FECHA_BOV1,"&gt;="&amp;G$2,FECHA_BOV1,"&lt;="&amp;G$3,CLAVE_BOV1,$A277)+SUMIFS(SALIDAS_BOV2,FECHA_BOV2,"&gt;="&amp;G$2,FECHA_BOV2,"&lt;="&amp;G$3,CLAVE_BOV2,$A277)+SUMIFS(SALIDAS_BOV3,FECHA_BOV3,"&gt;="&amp;G$2,FECHA_BOV3,"&lt;="&amp;G$3,CLAVE_BOV3,$A277)+SUMIFS(SALIDAS_TC,FECHA_TC,"&gt;="&amp;G$2,FECHA_TC,"&lt;="&amp;G$3,CLAVE_TC,$A277)+SUMIFS(SALIDAS_COMB,FECHA_COMB,"&gt;="&amp;G$2,FECHA_COMB,"&lt;="&amp;G$3,CLAVE_COMB,$A277)+SUMIFS(SALIDAS_DES,FECHA_DESGLOSEN,"&gt;="&amp;G$2,FECHA_DESGLOSEN,"&lt;="&amp;G$3,CLAVE_DESGLOSE,$A277)</f>
        <v>722</v>
      </c>
      <c r="H277" s="13">
        <f t="shared" si="487"/>
        <v>987</v>
      </c>
      <c r="I277" s="13">
        <f t="shared" si="487"/>
        <v>0</v>
      </c>
      <c r="J277" s="13">
        <f t="shared" si="487"/>
        <v>658</v>
      </c>
      <c r="K277" s="13">
        <f t="shared" si="487"/>
        <v>2367</v>
      </c>
      <c r="L277" s="68">
        <f t="shared" si="448"/>
        <v>401</v>
      </c>
      <c r="M277" s="268">
        <f t="shared" si="449"/>
        <v>0.85513005780346818</v>
      </c>
      <c r="N277" s="13">
        <f t="shared" si="441"/>
        <v>968</v>
      </c>
      <c r="O277" s="13">
        <f t="shared" ref="O277:T286" si="488">SUMIFS(SALIDAS_BIT,FECHA_BIT,"&gt;="&amp;O$2,FECHA_BIT,"&lt;="&amp;O$3,CLAVE_BIT,$A277)+SUMIFS(SALIDAS_BOV1,FECHA_BOV1,"&gt;="&amp;O$2,FECHA_BOV1,"&lt;="&amp;O$3,CLAVE_BOV1,$A277)+SUMIFS(SALIDAS_BOV2,FECHA_BOV2,"&gt;="&amp;O$2,FECHA_BOV2,"&lt;="&amp;O$3,CLAVE_BOV2,$A277)+SUMIFS(SALIDAS_BOV3,FECHA_BOV3,"&gt;="&amp;O$2,FECHA_BOV3,"&lt;="&amp;O$3,CLAVE_BOV3,$A277)+SUMIFS(SALIDAS_TC,FECHA_TC,"&gt;="&amp;O$2,FECHA_TC,"&lt;="&amp;O$3,CLAVE_TC,$A277)+SUMIFS(SALIDAS_COMB,FECHA_COMB,"&gt;="&amp;O$2,FECHA_COMB,"&lt;="&amp;O$3,CLAVE_COMB,$A277)+SUMIFS(SALIDAS_DES,FECHA_DESGLOSEN,"&gt;="&amp;O$2,FECHA_DESGLOSEN,"&lt;="&amp;O$3,CLAVE_DESGLOSE,$A277)</f>
        <v>89</v>
      </c>
      <c r="P277" s="13">
        <f t="shared" si="488"/>
        <v>0</v>
      </c>
      <c r="Q277" s="13">
        <f t="shared" si="488"/>
        <v>0</v>
      </c>
      <c r="R277" s="13">
        <f t="shared" si="488"/>
        <v>0</v>
      </c>
      <c r="S277" s="13">
        <f t="shared" si="488"/>
        <v>685</v>
      </c>
      <c r="T277" s="13">
        <f t="shared" si="488"/>
        <v>774</v>
      </c>
      <c r="U277" s="68">
        <f t="shared" si="450"/>
        <v>194</v>
      </c>
      <c r="V277" s="268">
        <f t="shared" si="451"/>
        <v>0.79958677685950408</v>
      </c>
      <c r="W277" s="13">
        <f t="shared" si="442"/>
        <v>628</v>
      </c>
      <c r="X277" s="13">
        <f t="shared" ref="X277:AB286" si="489">SUMIFS(SALIDAS_BIT,FECHA_BIT,"&gt;="&amp;X$2,FECHA_BIT,"&lt;="&amp;X$3,CLAVE_BIT,$A277)+SUMIFS(SALIDAS_BOV1,FECHA_BOV1,"&gt;="&amp;X$2,FECHA_BOV1,"&lt;="&amp;X$3,CLAVE_BOV1,$A277)+SUMIFS(SALIDAS_BOV2,FECHA_BOV2,"&gt;="&amp;X$2,FECHA_BOV2,"&lt;="&amp;X$3,CLAVE_BOV2,$A277)+SUMIFS(SALIDAS_BOV3,FECHA_BOV3,"&gt;="&amp;X$2,FECHA_BOV3,"&lt;="&amp;X$3,CLAVE_BOV3,$A277)+SUMIFS(SALIDAS_TC,FECHA_TC,"&gt;="&amp;X$2,FECHA_TC,"&lt;="&amp;X$3,CLAVE_TC,$A277)+SUMIFS(SALIDAS_COMB,FECHA_COMB,"&gt;="&amp;X$2,FECHA_COMB,"&lt;="&amp;X$3,CLAVE_COMB,$A277)+SUMIFS(SALIDAS_DES,FECHA_DESGLOSEN,"&gt;="&amp;X$2,FECHA_DESGLOSEN,"&lt;="&amp;X$3,CLAVE_DESGLOSE,$A277)</f>
        <v>0</v>
      </c>
      <c r="Y277" s="13">
        <f t="shared" si="489"/>
        <v>356</v>
      </c>
      <c r="Z277" s="13">
        <f t="shared" si="489"/>
        <v>329</v>
      </c>
      <c r="AA277" s="13">
        <f t="shared" si="489"/>
        <v>0</v>
      </c>
      <c r="AB277" s="13">
        <f t="shared" si="489"/>
        <v>685</v>
      </c>
      <c r="AC277" s="68">
        <f t="shared" si="452"/>
        <v>-57</v>
      </c>
      <c r="AD277" s="268">
        <f t="shared" si="453"/>
        <v>1.0907643312101911</v>
      </c>
      <c r="AE277" s="13">
        <f t="shared" si="443"/>
        <v>960</v>
      </c>
      <c r="AF277" s="13">
        <f t="shared" ref="AF277:AJ286" si="490">SUMIFS(SALIDAS_BIT,FECHA_BIT,"&gt;="&amp;AF$2,FECHA_BIT,"&lt;="&amp;AF$3,CLAVE_BIT,$A277)+SUMIFS(SALIDAS_BOV1,FECHA_BOV1,"&gt;="&amp;AF$2,FECHA_BOV1,"&lt;="&amp;AF$3,CLAVE_BOV1,$A277)+SUMIFS(SALIDAS_BOV2,FECHA_BOV2,"&gt;="&amp;AF$2,FECHA_BOV2,"&lt;="&amp;AF$3,CLAVE_BOV2,$A277)+SUMIFS(SALIDAS_BOV3,FECHA_BOV3,"&gt;="&amp;AF$2,FECHA_BOV3,"&lt;="&amp;AF$3,CLAVE_BOV3,$A277)+SUMIFS(SALIDAS_TC,FECHA_TC,"&gt;="&amp;AF$2,FECHA_TC,"&lt;="&amp;AF$3,CLAVE_TC,$A277)+SUMIFS(SALIDAS_COMB,FECHA_COMB,"&gt;="&amp;AF$2,FECHA_COMB,"&lt;="&amp;AF$3,CLAVE_COMB,$A277)+SUMIFS(SALIDAS_DES,FECHA_DESGLOSEN,"&gt;="&amp;AF$2,FECHA_DESGLOSEN,"&lt;="&amp;AF$3,CLAVE_DESGLOSE,$A277)</f>
        <v>1316</v>
      </c>
      <c r="AG277" s="13">
        <f t="shared" si="490"/>
        <v>89</v>
      </c>
      <c r="AH277" s="13">
        <f t="shared" si="490"/>
        <v>0</v>
      </c>
      <c r="AI277" s="13">
        <f t="shared" si="490"/>
        <v>0</v>
      </c>
      <c r="AJ277" s="13">
        <f t="shared" si="490"/>
        <v>1405</v>
      </c>
      <c r="AK277" s="68">
        <f t="shared" si="454"/>
        <v>-445</v>
      </c>
      <c r="AL277" s="268">
        <f t="shared" si="455"/>
        <v>1.4635416666666667</v>
      </c>
      <c r="AM277" s="13">
        <f t="shared" si="444"/>
        <v>628</v>
      </c>
      <c r="AN277" s="13">
        <f t="shared" ref="AN277:AS286" si="491">SUMIFS(SALIDAS_BIT,FECHA_BIT,"&gt;="&amp;AN$2,FECHA_BIT,"&lt;="&amp;AN$3,CLAVE_BIT,$A277)+SUMIFS(SALIDAS_BOV1,FECHA_BOV1,"&gt;="&amp;AN$2,FECHA_BOV1,"&lt;="&amp;AN$3,CLAVE_BOV1,$A277)+SUMIFS(SALIDAS_BOV2,FECHA_BOV2,"&gt;="&amp;AN$2,FECHA_BOV2,"&lt;="&amp;AN$3,CLAVE_BOV2,$A277)+SUMIFS(SALIDAS_BOV3,FECHA_BOV3,"&gt;="&amp;AN$2,FECHA_BOV3,"&lt;="&amp;AN$3,CLAVE_BOV3,$A277)+SUMIFS(SALIDAS_TC,FECHA_TC,"&gt;="&amp;AN$2,FECHA_TC,"&lt;="&amp;AN$3,CLAVE_TC,$A277)+SUMIFS(SALIDAS_COMB,FECHA_COMB,"&gt;="&amp;AN$2,FECHA_COMB,"&lt;="&amp;AN$3,CLAVE_COMB,$A277)+SUMIFS(SALIDAS_DES,FECHA_DESGLOSEN,"&gt;="&amp;AN$2,FECHA_DESGLOSEN,"&lt;="&amp;AN$3,CLAVE_DESGLOSE,$A277)</f>
        <v>0</v>
      </c>
      <c r="AO277" s="13">
        <f t="shared" si="491"/>
        <v>329</v>
      </c>
      <c r="AP277" s="13">
        <f t="shared" si="491"/>
        <v>0</v>
      </c>
      <c r="AQ277" s="13">
        <f t="shared" si="491"/>
        <v>774</v>
      </c>
      <c r="AR277" s="13">
        <f t="shared" si="491"/>
        <v>786</v>
      </c>
      <c r="AS277" s="13">
        <f t="shared" si="491"/>
        <v>1889</v>
      </c>
      <c r="AT277" s="68">
        <f>AM277-AS277</f>
        <v>-1261</v>
      </c>
      <c r="AU277" s="268">
        <f t="shared" si="456"/>
        <v>3.0079617834394905</v>
      </c>
      <c r="AV277" s="13">
        <f t="shared" si="445"/>
        <v>1322</v>
      </c>
      <c r="AW277" s="13">
        <f t="shared" si="421"/>
        <v>0</v>
      </c>
      <c r="AX277" s="13">
        <f t="shared" si="421"/>
        <v>0</v>
      </c>
      <c r="AY277" s="13">
        <f t="shared" si="421"/>
        <v>0</v>
      </c>
      <c r="AZ277" s="13">
        <f t="shared" si="421"/>
        <v>0</v>
      </c>
      <c r="BA277" s="13">
        <f t="shared" si="475"/>
        <v>0</v>
      </c>
      <c r="BB277" s="68">
        <f t="shared" si="457"/>
        <v>1322</v>
      </c>
      <c r="BC277" s="268">
        <f t="shared" si="458"/>
        <v>0</v>
      </c>
      <c r="BD277" s="13">
        <f t="shared" si="459"/>
        <v>730</v>
      </c>
      <c r="BE277" s="13">
        <f>SUMIFS(SALIDAS_BIT,FECHA_BIT,"&gt;="&amp;BE$2,FECHA_BIT,"&lt;="&amp;BE$3,CLAVE_BIT,$A277)+SUMIFS(SALIDAS_BOV1,FECHA_BOV1,"&gt;="&amp;BE$2,FECHA_BOV1,"&lt;="&amp;BE$3,CLAVE_BOV1,$A277)+SUMIFS(SALIDAS_BOV2,FECHA_BOV2,"&gt;="&amp;BE$2,FECHA_BOV2,"&lt;="&amp;BE$3,CLAVE_BOV2,$A277)+SUMIFS(SALIDAS_BOV3,FECHA_BOV3,"&gt;="&amp;BE$2,FECHA_BOV3,"&lt;="&amp;BE$3,CLAVE_BOV3,$A277)+SUMIFS(SALIDAS_TC,FECHA_TC,"&gt;="&amp;BE$2,FECHA_TC,"&lt;="&amp;BE$3,CLAVE_TC,$A277)+SUMIFS(SALIDAS_COMB,FECHA_COMB,"&gt;="&amp;BE$2,FECHA_COMB,"&lt;="&amp;BE$3,CLAVE_COMB,$A277)+SUMIFS(SALIDAS_DES,FECHA_DESGLOSEN,"&gt;="&amp;BE$2,FECHA_DESGLOSEN,"&lt;="&amp;BE$3,CLAVE_DESGLOSE,$A277)</f>
        <v>596</v>
      </c>
      <c r="BF277" s="13">
        <f>SUMIFS(SALIDAS_BIT,FECHA_BIT,"&gt;="&amp;BF$2,FECHA_BIT,"&lt;="&amp;BF$3,CLAVE_BIT,$A277)+SUMIFS(SALIDAS_BOV1,FECHA_BOV1,"&gt;="&amp;BF$2,FECHA_BOV1,"&lt;="&amp;BF$3,CLAVE_BOV1,$A277)+SUMIFS(SALIDAS_BOV2,FECHA_BOV2,"&gt;="&amp;BF$2,FECHA_BOV2,"&lt;="&amp;BF$3,CLAVE_BOV2,$A277)+SUMIFS(SALIDAS_BOV3,FECHA_BOV3,"&gt;="&amp;BF$2,FECHA_BOV3,"&lt;="&amp;BF$3,CLAVE_BOV3,$A277)+SUMIFS(SALIDAS_TC,FECHA_TC,"&gt;="&amp;BF$2,FECHA_TC,"&lt;="&amp;BF$3,CLAVE_TC,$A277)+SUMIFS(SALIDAS_COMB,FECHA_COMB,"&gt;="&amp;BF$2,FECHA_COMB,"&lt;="&amp;BF$3,CLAVE_COMB,$A277)+SUMIFS(SALIDAS_DES,FECHA_DESGLOSEN,"&gt;="&amp;BF$2,FECHA_DESGLOSEN,"&lt;="&amp;BF$3,CLAVE_DESGLOSE,$A277)</f>
        <v>952</v>
      </c>
      <c r="BG277" s="13">
        <f>SUMIFS(SALIDAS_BIT,FECHA_BIT,"&gt;="&amp;BG$2,FECHA_BIT,"&lt;="&amp;BG$3,CLAVE_BIT,$A277)+SUMIFS(SALIDAS_BOV1,FECHA_BOV1,"&gt;="&amp;BG$2,FECHA_BOV1,"&lt;="&amp;BG$3,CLAVE_BOV1,$A277)+SUMIFS(SALIDAS_BOV2,FECHA_BOV2,"&gt;="&amp;BG$2,FECHA_BOV2,"&lt;="&amp;BG$3,CLAVE_BOV2,$A277)+SUMIFS(SALIDAS_BOV3,FECHA_BOV3,"&gt;="&amp;BG$2,FECHA_BOV3,"&lt;="&amp;BG$3,CLAVE_BOV3,$A277)+SUMIFS(SALIDAS_TC,FECHA_TC,"&gt;="&amp;BG$2,FECHA_TC,"&lt;="&amp;BG$3,CLAVE_TC,$A277)+SUMIFS(SALIDAS_COMB,FECHA_COMB,"&gt;="&amp;BG$2,FECHA_COMB,"&lt;="&amp;BG$3,CLAVE_COMB,$A277)+SUMIFS(SALIDAS_DES,FECHA_DESGLOSEN,"&gt;="&amp;BG$2,FECHA_DESGLOSEN,"&lt;="&amp;BG$3,CLAVE_DESGLOSE,$A277)</f>
        <v>0</v>
      </c>
      <c r="BH277" s="13">
        <f>SUMIFS(SALIDAS_BIT,FECHA_BIT,"&gt;="&amp;BH$2,FECHA_BIT,"&lt;="&amp;BH$3,CLAVE_BIT,$A277)+SUMIFS(SALIDAS_BOV1,FECHA_BOV1,"&gt;="&amp;BH$2,FECHA_BOV1,"&lt;="&amp;BH$3,CLAVE_BOV1,$A277)+SUMIFS(SALIDAS_BOV2,FECHA_BOV2,"&gt;="&amp;BH$2,FECHA_BOV2,"&lt;="&amp;BH$3,CLAVE_BOV2,$A277)+SUMIFS(SALIDAS_BOV3,FECHA_BOV3,"&gt;="&amp;BH$2,FECHA_BOV3,"&lt;="&amp;BH$3,CLAVE_BOV3,$A277)+SUMIFS(SALIDAS_TC,FECHA_TC,"&gt;="&amp;BH$2,FECHA_TC,"&lt;="&amp;BH$3,CLAVE_TC,$A277)+SUMIFS(SALIDAS_COMB,FECHA_COMB,"&gt;="&amp;BH$2,FECHA_COMB,"&lt;="&amp;BH$3,CLAVE_COMB,$A277)+SUMIFS(SALIDAS_DES,FECHA_DESGLOSEN,"&gt;="&amp;BH$2,FECHA_DESGLOSEN,"&lt;="&amp;BH$3,CLAVE_DESGLOSE,$A277)</f>
        <v>0</v>
      </c>
      <c r="BI277" s="13">
        <f t="shared" si="419"/>
        <v>1548</v>
      </c>
      <c r="BJ277" s="68">
        <f t="shared" si="460"/>
        <v>-818</v>
      </c>
      <c r="BK277" s="268">
        <f t="shared" si="461"/>
        <v>2.1205479452054794</v>
      </c>
      <c r="BL277" s="13">
        <f t="shared" si="462"/>
        <v>680</v>
      </c>
      <c r="BM277" s="13">
        <f>SUMIFS(SALIDAS_BIT,FECHA_BIT,"&gt;="&amp;BM$2,FECHA_BIT,"&lt;="&amp;BM$3,CLAVE_BIT,$A277)+SUMIFS(SALIDAS_BOV1,FECHA_BOV1,"&gt;="&amp;BM$2,FECHA_BOV1,"&lt;="&amp;BM$3,CLAVE_BOV1,$A277)+SUMIFS(SALIDAS_BOV2,FECHA_BOV2,"&gt;="&amp;BM$2,FECHA_BOV2,"&lt;="&amp;BM$3,CLAVE_BOV2,$A277)+SUMIFS(SALIDAS_BOV3,FECHA_BOV3,"&gt;="&amp;BM$2,FECHA_BOV3,"&lt;="&amp;BM$3,CLAVE_BOV3,$A277)+SUMIFS(SALIDAS_TC,FECHA_TC,"&gt;="&amp;BM$2,FECHA_TC,"&lt;="&amp;BM$3,CLAVE_TC,$A277)+SUMIFS(SALIDAS_COMB,FECHA_COMB,"&gt;="&amp;BM$2,FECHA_COMB,"&lt;="&amp;BM$3,CLAVE_COMB,$A277)+SUMIFS(SALIDAS_DES,FECHA_DESGLOSEN,"&gt;="&amp;BM$2,FECHA_DESGLOSEN,"&lt;="&amp;BM$3,CLAVE_DESGLOSE,$A277)</f>
        <v>329</v>
      </c>
      <c r="BN277" s="13">
        <f>SUMIFS(SALIDAS_BIT,FECHA_BIT,"&gt;="&amp;BN$2,FECHA_BIT,"&lt;="&amp;BN$3,CLAVE_BIT,$A277)+SUMIFS(SALIDAS_BOV1,FECHA_BOV1,"&gt;="&amp;BN$2,FECHA_BOV1,"&lt;="&amp;BN$3,CLAVE_BOV1,$A277)+SUMIFS(SALIDAS_BOV2,FECHA_BOV2,"&gt;="&amp;BN$2,FECHA_BOV2,"&lt;="&amp;BN$3,CLAVE_BOV2,$A277)+SUMIFS(SALIDAS_BOV3,FECHA_BOV3,"&gt;="&amp;BN$2,FECHA_BOV3,"&lt;="&amp;BN$3,CLAVE_BOV3,$A277)+SUMIFS(SALIDAS_TC,FECHA_TC,"&gt;="&amp;BN$2,FECHA_TC,"&lt;="&amp;BN$3,CLAVE_TC,$A277)+SUMIFS(SALIDAS_COMB,FECHA_COMB,"&gt;="&amp;BN$2,FECHA_COMB,"&lt;="&amp;BN$3,CLAVE_COMB,$A277)+SUMIFS(SALIDAS_DES,FECHA_DESGLOSEN,"&gt;="&amp;BN$2,FECHA_DESGLOSEN,"&lt;="&amp;BN$3,CLAVE_DESGLOSE,$A277)</f>
        <v>0</v>
      </c>
      <c r="BO277" s="13">
        <f>SUMIFS(SALIDAS_BIT,FECHA_BIT,"&gt;="&amp;BO$2,FECHA_BIT,"&lt;="&amp;BO$3,CLAVE_BIT,$A277)+SUMIFS(SALIDAS_BOV1,FECHA_BOV1,"&gt;="&amp;BO$2,FECHA_BOV1,"&lt;="&amp;BO$3,CLAVE_BOV1,$A277)+SUMIFS(SALIDAS_BOV2,FECHA_BOV2,"&gt;="&amp;BO$2,FECHA_BOV2,"&lt;="&amp;BO$3,CLAVE_BOV2,$A277)+SUMIFS(SALIDAS_BOV3,FECHA_BOV3,"&gt;="&amp;BO$2,FECHA_BOV3,"&lt;="&amp;BO$3,CLAVE_BOV3,$A277)+SUMIFS(SALIDAS_TC,FECHA_TC,"&gt;="&amp;BO$2,FECHA_TC,"&lt;="&amp;BO$3,CLAVE_TC,$A277)+SUMIFS(SALIDAS_COMB,FECHA_COMB,"&gt;="&amp;BO$2,FECHA_COMB,"&lt;="&amp;BO$3,CLAVE_COMB,$A277)+SUMIFS(SALIDAS_DES,FECHA_DESGLOSEN,"&gt;="&amp;BO$2,FECHA_DESGLOSEN,"&lt;="&amp;BO$3,CLAVE_DESGLOSE,$A277)</f>
        <v>0</v>
      </c>
      <c r="BP277" s="13">
        <f>SUMIFS(SALIDAS_BIT,FECHA_BIT,"&gt;="&amp;BP$2,FECHA_BIT,"&lt;="&amp;BP$3,CLAVE_BIT,$A277)+SUMIFS(SALIDAS_BOV1,FECHA_BOV1,"&gt;="&amp;BP$2,FECHA_BOV1,"&lt;="&amp;BP$3,CLAVE_BOV1,$A277)+SUMIFS(SALIDAS_BOV2,FECHA_BOV2,"&gt;="&amp;BP$2,FECHA_BOV2,"&lt;="&amp;BP$3,CLAVE_BOV2,$A277)+SUMIFS(SALIDAS_BOV3,FECHA_BOV3,"&gt;="&amp;BP$2,FECHA_BOV3,"&lt;="&amp;BP$3,CLAVE_BOV3,$A277)+SUMIFS(SALIDAS_TC,FECHA_TC,"&gt;="&amp;BP$2,FECHA_TC,"&lt;="&amp;BP$3,CLAVE_TC,$A277)+SUMIFS(SALIDAS_COMB,FECHA_COMB,"&gt;="&amp;BP$2,FECHA_COMB,"&lt;="&amp;BP$3,CLAVE_COMB,$A277)+SUMIFS(SALIDAS_DES,FECHA_DESGLOSEN,"&gt;="&amp;BP$2,FECHA_DESGLOSEN,"&lt;="&amp;BP$3,CLAVE_DESGLOSE,$A277)</f>
        <v>952</v>
      </c>
      <c r="BQ277" s="13">
        <f>SUMIFS(SALIDAS_BIT,FECHA_BIT,"&gt;="&amp;BQ$2,FECHA_BIT,"&lt;="&amp;BQ$3,CLAVE_BIT,$A277)+SUMIFS(SALIDAS_BOV1,FECHA_BOV1,"&gt;="&amp;BQ$2,FECHA_BOV1,"&lt;="&amp;BQ$3,CLAVE_BOV1,$A277)+SUMIFS(SALIDAS_BOV2,FECHA_BOV2,"&gt;="&amp;BQ$2,FECHA_BOV2,"&lt;="&amp;BQ$3,CLAVE_BOV2,$A277)+SUMIFS(SALIDAS_BOV3,FECHA_BOV3,"&gt;="&amp;BQ$2,FECHA_BOV3,"&lt;="&amp;BQ$3,CLAVE_BOV3,$A277)+SUMIFS(SALIDAS_TC,FECHA_TC,"&gt;="&amp;BQ$2,FECHA_TC,"&lt;="&amp;BQ$3,CLAVE_TC,$A277)+SUMIFS(SALIDAS_COMB,FECHA_COMB,"&gt;="&amp;BQ$2,FECHA_COMB,"&lt;="&amp;BQ$3,CLAVE_COMB,$A277)+SUMIFS(SALIDAS_DES,FECHA_DESGLOSEN,"&gt;="&amp;BQ$2,FECHA_DESGLOSEN,"&lt;="&amp;BQ$3,CLAVE_DESGLOSE,$A277)</f>
        <v>178</v>
      </c>
      <c r="BR277" s="13">
        <f t="shared" ref="BR277:BR286" si="492">SUMIFS(SALIDAS_BIT,FECHA_BIT,"&gt;="&amp;BR$2,FECHA_BIT,"&lt;="&amp;BR$3,CLAVE_BIT,$A277)+SUMIFS(SALIDAS_BOV1,FECHA_BOV1,"&gt;="&amp;BR$2,FECHA_BOV1,"&lt;="&amp;BR$3,CLAVE_BOV1,$A277)+SUMIFS(SALIDAS_BOV2,FECHA_BOV2,"&gt;="&amp;BR$2,FECHA_BOV2,"&lt;="&amp;BR$3,CLAVE_BOV2,$A277)+SUMIFS(SALIDAS_BOV3,FECHA_BOV3,"&gt;="&amp;BR$2,FECHA_BOV3,"&lt;="&amp;BR$3,CLAVE_BOV3,$A277)+SUMIFS(SALIDAS_TC,FECHA_TC,"&gt;="&amp;BR$2,FECHA_TC,"&lt;="&amp;BR$3,CLAVE_TC,$A277)+SUMIFS(SALIDAS_COMB,FECHA_COMB,"&gt;="&amp;BR$2,FECHA_COMB,"&lt;="&amp;BR$3,CLAVE_COMB,$A277)+SUMIFS(SALIDAS_DES,FECHA_DESGLOSEN,"&gt;="&amp;BR$2,FECHA_DESGLOSEN,"&lt;="&amp;BR$3,CLAVE_DESGLOSE,$A277)</f>
        <v>1459</v>
      </c>
      <c r="BS277" s="68">
        <f t="shared" si="463"/>
        <v>-779</v>
      </c>
      <c r="BT277" s="268">
        <f t="shared" si="464"/>
        <v>2.1455882352941176</v>
      </c>
      <c r="BU277" s="13">
        <f t="shared" si="465"/>
        <v>0</v>
      </c>
      <c r="BV277" s="13">
        <f t="shared" si="485"/>
        <v>0</v>
      </c>
      <c r="BW277" s="13">
        <f t="shared" si="485"/>
        <v>0</v>
      </c>
      <c r="BX277" s="13">
        <f t="shared" si="485"/>
        <v>0</v>
      </c>
      <c r="BY277" s="13">
        <f t="shared" si="485"/>
        <v>0</v>
      </c>
      <c r="BZ277" s="13">
        <f t="shared" ref="BZ277:BZ285" si="493">SUMIFS(SALIDAS_BIT,FECHA_BIT,"&gt;="&amp;BZ$2,FECHA_BIT,"&lt;="&amp;BZ$3,CLAVE_BIT,$A277)+SUMIFS(SALIDAS_BOV1,FECHA_BOV1,"&gt;="&amp;BZ$2,FECHA_BOV1,"&lt;="&amp;BZ$3,CLAVE_BOV1,$A277)+SUMIFS(SALIDAS_BOV2,FECHA_BOV2,"&gt;="&amp;BZ$2,FECHA_BOV2,"&lt;="&amp;BZ$3,CLAVE_BOV2,$A277)+SUMIFS(SALIDAS_BOV3,FECHA_BOV3,"&gt;="&amp;BZ$2,FECHA_BOV3,"&lt;="&amp;BZ$3,CLAVE_BOV3,$A277)+SUMIFS(SALIDAS_TC,FECHA_TC,"&gt;="&amp;BZ$2,FECHA_TC,"&lt;="&amp;BZ$3,CLAVE_TC,$A277)+SUMIFS(SALIDAS_COMB,FECHA_COMB,"&gt;="&amp;BZ$2,FECHA_COMB,"&lt;="&amp;BZ$3,CLAVE_COMB,$A277)+SUMIFS(SALIDAS_DES,FECHA_DESGLOSEN,"&gt;="&amp;BZ$2,FECHA_DESGLOSEN,"&lt;="&amp;BZ$3,CLAVE_DESGLOSE,$A277)</f>
        <v>0</v>
      </c>
      <c r="CA277" s="68">
        <f t="shared" si="466"/>
        <v>0</v>
      </c>
      <c r="CB277" s="268">
        <f t="shared" si="467"/>
        <v>0</v>
      </c>
      <c r="CC277" s="13">
        <f t="shared" si="468"/>
        <v>0</v>
      </c>
      <c r="CD277" s="13">
        <f t="shared" si="486"/>
        <v>0</v>
      </c>
      <c r="CE277" s="13">
        <f t="shared" si="486"/>
        <v>0</v>
      </c>
      <c r="CF277" s="13">
        <f t="shared" si="486"/>
        <v>0</v>
      </c>
      <c r="CG277" s="13">
        <f t="shared" si="486"/>
        <v>0</v>
      </c>
      <c r="CH277" s="13">
        <f t="shared" ref="CH277:CH286" si="494">SUMIFS(SALIDAS_BIT,FECHA_BIT,"&gt;="&amp;CH$2,FECHA_BIT,"&lt;="&amp;CH$3,CLAVE_BIT,$A277)+SUMIFS(SALIDAS_BOV1,FECHA_BOV1,"&gt;="&amp;CH$2,FECHA_BOV1,"&lt;="&amp;CH$3,CLAVE_BOV1,$A277)+SUMIFS(SALIDAS_BOV2,FECHA_BOV2,"&gt;="&amp;CH$2,FECHA_BOV2,"&lt;="&amp;CH$3,CLAVE_BOV2,$A277)+SUMIFS(SALIDAS_BOV3,FECHA_BOV3,"&gt;="&amp;CH$2,FECHA_BOV3,"&lt;="&amp;CH$3,CLAVE_BOV3,$A277)+SUMIFS(SALIDAS_TC,FECHA_TC,"&gt;="&amp;CH$2,FECHA_TC,"&lt;="&amp;CH$3,CLAVE_TC,$A277)+SUMIFS(SALIDAS_COMB,FECHA_COMB,"&gt;="&amp;CH$2,FECHA_COMB,"&lt;="&amp;CH$3,CLAVE_COMB,$A277)+SUMIFS(SALIDAS_DES,FECHA_DESGLOSEN,"&gt;="&amp;CH$2,FECHA_DESGLOSEN,"&lt;="&amp;CH$3,CLAVE_DESGLOSE,$A277)</f>
        <v>0</v>
      </c>
      <c r="CI277" s="68">
        <f t="shared" si="469"/>
        <v>0</v>
      </c>
      <c r="CJ277" s="268">
        <f t="shared" si="470"/>
        <v>0</v>
      </c>
      <c r="CK277" s="13">
        <f t="shared" si="471"/>
        <v>0</v>
      </c>
      <c r="CL277" s="13">
        <f t="shared" ref="CL277:CP313" si="495">SUMIFS(SALIDAS_BIT,FECHA_BIT,"&gt;="&amp;CL$2,FECHA_BIT,"&lt;="&amp;CL$3,CLAVE_BIT,$A277)+SUMIFS(SALIDAS_BOV1,FECHA_BOV1,"&gt;="&amp;CL$2,FECHA_BOV1,"&lt;="&amp;CL$3,CLAVE_BOV1,$A277)+SUMIFS(SALIDAS_BOV2,FECHA_BOV2,"&gt;="&amp;CL$2,FECHA_BOV2,"&lt;="&amp;CL$3,CLAVE_BOV2,$A277)+SUMIFS(SALIDAS_BOV3,FECHA_BOV3,"&gt;="&amp;CL$2,FECHA_BOV3,"&lt;="&amp;CL$3,CLAVE_BOV3,$A277)+SUMIFS(SALIDAS_TC,FECHA_TC,"&gt;="&amp;CL$2,FECHA_TC,"&lt;="&amp;CL$3,CLAVE_TC,$A277)+SUMIFS(SALIDAS_COMB,FECHA_COMB,"&gt;="&amp;CL$2,FECHA_COMB,"&lt;="&amp;CL$3,CLAVE_COMB,$A277)+SUMIFS(SALIDAS_DES,FECHA_DESGLOSEN,"&gt;="&amp;CL$2,FECHA_DESGLOSEN,"&lt;="&amp;CL$3,CLAVE_DESGLOSE,$A277)</f>
        <v>0</v>
      </c>
      <c r="CM277" s="13">
        <f t="shared" si="495"/>
        <v>0</v>
      </c>
      <c r="CN277" s="13">
        <f t="shared" si="495"/>
        <v>0</v>
      </c>
      <c r="CO277" s="13">
        <f t="shared" si="495"/>
        <v>0</v>
      </c>
      <c r="CP277" s="13">
        <f t="shared" si="495"/>
        <v>0</v>
      </c>
      <c r="CQ277" s="13">
        <f t="shared" ref="CQ277:CQ286" si="496">SUMIFS(SALIDAS_BIT,FECHA_BIT,"&gt;="&amp;CQ$2,FECHA_BIT,"&lt;="&amp;CQ$3,CLAVE_BIT,$A277)+SUMIFS(SALIDAS_BOV1,FECHA_BOV1,"&gt;="&amp;CQ$2,FECHA_BOV1,"&lt;="&amp;CQ$3,CLAVE_BOV1,$A277)+SUMIFS(SALIDAS_BOV2,FECHA_BOV2,"&gt;="&amp;CQ$2,FECHA_BOV2,"&lt;="&amp;CQ$3,CLAVE_BOV2,$A277)+SUMIFS(SALIDAS_BOV3,FECHA_BOV3,"&gt;="&amp;CQ$2,FECHA_BOV3,"&lt;="&amp;CQ$3,CLAVE_BOV3,$A277)+SUMIFS(SALIDAS_TC,FECHA_TC,"&gt;="&amp;CQ$2,FECHA_TC,"&lt;="&amp;CQ$3,CLAVE_TC,$A277)+SUMIFS(SALIDAS_COMB,FECHA_COMB,"&gt;="&amp;CQ$2,FECHA_COMB,"&lt;="&amp;CQ$3,CLAVE_COMB,$A277)+SUMIFS(SALIDAS_DES,FECHA_DESGLOSEN,"&gt;="&amp;CQ$2,FECHA_DESGLOSEN,"&lt;="&amp;CQ$3,CLAVE_DESGLOSE,$A277)</f>
        <v>0</v>
      </c>
      <c r="CR277" s="68">
        <f t="shared" si="472"/>
        <v>0</v>
      </c>
      <c r="CS277" s="268">
        <f t="shared" si="473"/>
        <v>0</v>
      </c>
      <c r="CT277" s="68">
        <f t="shared" si="446"/>
        <v>2300</v>
      </c>
      <c r="CU277" s="13">
        <f>SUMIFS(SALIDAS_BIT,FECHA_BIT,"&gt;="&amp;CU$2,FECHA_BIT,"&lt;="&amp;CU$3,CLAVE_BIT,$A277)+SUMIFS(SALIDAS_BOV1,FECHA_BOV1,"&gt;="&amp;CU$2,FECHA_BOV1,"&lt;="&amp;CU$3,CLAVE_BOV1,$A277)+SUMIFS(SALIDAS_BOV2,FECHA_BOV2,"&gt;="&amp;CU$2,FECHA_BOV2,"&lt;="&amp;CU$3,CLAVE_BOV2,$A277)+SUMIFS(SALIDAS_BOV3,FECHA_BOV3,"&gt;="&amp;CU$2,FECHA_BOV3,"&lt;="&amp;CU$3,CLAVE_BOV3,$A277)+SUMIFS(SALIDAS_TC,FECHA_TC,"&gt;="&amp;CU$2,FECHA_TC,"&lt;="&amp;CU$3,CLAVE_TC,$A277)+SUMIFS(SALIDAS_COMB,FECHA_COMB,"&gt;="&amp;CU$2,FECHA_COMB,"&lt;="&amp;CU$3,CLAVE_COMB,$A277)+SUMIFS(SALIDAS_DES,FECHA_DESGLOSEN,"&gt;="&amp;CU$2,FECHA_DESGLOSEN,"&lt;="&amp;CU$3,CLAVE_DESGLOSE,$A277)</f>
        <v>0</v>
      </c>
      <c r="CV277" s="13">
        <f>SUMIFS(SALIDAS_BIT,FECHA_BIT,"&gt;="&amp;CV$2,FECHA_BIT,"&lt;="&amp;CV$3,CLAVE_BIT,$A277)+SUMIFS(SALIDAS_BOV1,FECHA_BOV1,"&gt;="&amp;CV$2,FECHA_BOV1,"&lt;="&amp;CV$3,CLAVE_BOV1,$A277)+SUMIFS(SALIDAS_BOV2,FECHA_BOV2,"&gt;="&amp;CV$2,FECHA_BOV2,"&lt;="&amp;CV$3,CLAVE_BOV2,$A277)+SUMIFS(SALIDAS_BOV3,FECHA_BOV3,"&gt;="&amp;CV$2,FECHA_BOV3,"&lt;="&amp;CV$3,CLAVE_BOV3,$A277)+SUMIFS(SALIDAS_TC,FECHA_TC,"&gt;="&amp;CV$2,FECHA_TC,"&lt;="&amp;CV$3,CLAVE_TC,$A277)+SUMIFS(SALIDAS_COMB,FECHA_COMB,"&gt;="&amp;CV$2,FECHA_COMB,"&lt;="&amp;CV$3,CLAVE_COMB,$A277)+SUMIFS(SALIDAS_DES,FECHA_DESGLOSEN,"&gt;="&amp;CV$2,FECHA_DESGLOSEN,"&lt;="&amp;CV$3,CLAVE_DESGLOSE,$A277)</f>
        <v>329</v>
      </c>
      <c r="CW277" s="13">
        <f>SUMIFS(SALIDAS_BIT,FECHA_BIT,"&gt;="&amp;CW$2,FECHA_BIT,"&lt;="&amp;CW$3,CLAVE_BIT,$A277)+SUMIFS(SALIDAS_BOV1,FECHA_BOV1,"&gt;="&amp;CW$2,FECHA_BOV1,"&lt;="&amp;CW$3,CLAVE_BOV1,$A277)+SUMIFS(SALIDAS_BOV2,FECHA_BOV2,"&gt;="&amp;CW$2,FECHA_BOV2,"&lt;="&amp;CW$3,CLAVE_BOV2,$A277)+SUMIFS(SALIDAS_BOV3,FECHA_BOV3,"&gt;="&amp;CW$2,FECHA_BOV3,"&lt;="&amp;CW$3,CLAVE_BOV3,$A277)+SUMIFS(SALIDAS_TC,FECHA_TC,"&gt;="&amp;CW$2,FECHA_TC,"&lt;="&amp;CW$3,CLAVE_TC,$A277)+SUMIFS(SALIDAS_COMB,FECHA_COMB,"&gt;="&amp;CW$2,FECHA_COMB,"&lt;="&amp;CW$3,CLAVE_COMB,$A277)+SUMIFS(SALIDAS_DES,FECHA_DESGLOSEN,"&gt;="&amp;CW$2,FECHA_DESGLOSEN,"&lt;="&amp;CW$3,CLAVE_DESGLOSE,$A277)</f>
        <v>0</v>
      </c>
      <c r="CX277" s="13">
        <f>SUMIFS(SALIDAS_BIT,FECHA_BIT,"&gt;="&amp;CX$2,FECHA_BIT,"&lt;="&amp;CX$3,CLAVE_BIT,$A277)+SUMIFS(SALIDAS_BOV1,FECHA_BOV1,"&gt;="&amp;CX$2,FECHA_BOV1,"&lt;="&amp;CX$3,CLAVE_BOV1,$A277)+SUMIFS(SALIDAS_BOV2,FECHA_BOV2,"&gt;="&amp;CX$2,FECHA_BOV2,"&lt;="&amp;CX$3,CLAVE_BOV2,$A277)+SUMIFS(SALIDAS_BOV3,FECHA_BOV3,"&gt;="&amp;CX$2,FECHA_BOV3,"&lt;="&amp;CX$3,CLAVE_BOV3,$A277)+SUMIFS(SALIDAS_TC,FECHA_TC,"&gt;="&amp;CX$2,FECHA_TC,"&lt;="&amp;CX$3,CLAVE_TC,$A277)+SUMIFS(SALIDAS_COMB,FECHA_COMB,"&gt;="&amp;CX$2,FECHA_COMB,"&lt;="&amp;CX$3,CLAVE_COMB,$A277)+SUMIFS(SALIDAS_DES,FECHA_DESGLOSEN,"&gt;="&amp;CX$2,FECHA_DESGLOSEN,"&lt;="&amp;CX$3,CLAVE_DESGLOSE,$A277)</f>
        <v>329</v>
      </c>
      <c r="CY277" s="13">
        <f>SUMIFS(SALIDAS_BIT,FECHA_BIT,"&gt;="&amp;CY$2,FECHA_BIT,"&lt;="&amp;CY$3,CLAVE_BIT,$A277)+SUMIFS(SALIDAS_BOV1,FECHA_BOV1,"&gt;="&amp;CY$2,FECHA_BOV1,"&lt;="&amp;CY$3,CLAVE_BOV1,$A277)+SUMIFS(SALIDAS_BOV2,FECHA_BOV2,"&gt;="&amp;CY$2,FECHA_BOV2,"&lt;="&amp;CY$3,CLAVE_BOV2,$A277)+SUMIFS(SALIDAS_BOV3,FECHA_BOV3,"&gt;="&amp;CY$2,FECHA_BOV3,"&lt;="&amp;CY$3,CLAVE_BOV3,$A277)+SUMIFS(SALIDAS_TC,FECHA_TC,"&gt;="&amp;CY$2,FECHA_TC,"&lt;="&amp;CY$3,CLAVE_TC,$A277)+SUMIFS(SALIDAS_COMB,FECHA_COMB,"&gt;="&amp;CY$2,FECHA_COMB,"&lt;="&amp;CY$3,CLAVE_COMB,$A277)+SUMIFS(SALIDAS_DES,FECHA_DESGLOSEN,"&gt;="&amp;CY$2,FECHA_DESGLOSEN,"&lt;="&amp;CY$3,CLAVE_DESGLOSE,$A277)</f>
        <v>658</v>
      </c>
      <c r="CZ277" s="68">
        <f t="shared" si="474"/>
        <v>1642</v>
      </c>
      <c r="DB277" s="17">
        <f>F277+N277+W277+AE277+AM277+AV277+BD277+BL277+BU277+CC277+CK277</f>
        <v>8684</v>
      </c>
      <c r="DC277" s="17">
        <f>K277+T277+AB277+AJ277+AS277+BA277+BI277+BR277+BZ277+CH277+CQ277</f>
        <v>10127</v>
      </c>
    </row>
    <row r="278" spans="1:107" hidden="1">
      <c r="A278" s="12" t="str">
        <f t="shared" si="447"/>
        <v>SERVICIOSTELEPEAJECEDIS</v>
      </c>
      <c r="B278">
        <v>280</v>
      </c>
      <c r="C278" t="s">
        <v>21</v>
      </c>
      <c r="D278" t="s">
        <v>186</v>
      </c>
      <c r="E278" t="s">
        <v>28</v>
      </c>
      <c r="F278" s="259">
        <f t="shared" si="440"/>
        <v>10683</v>
      </c>
      <c r="G278" s="13">
        <f t="shared" si="487"/>
        <v>7536</v>
      </c>
      <c r="H278" s="13">
        <f t="shared" si="487"/>
        <v>5053</v>
      </c>
      <c r="I278" s="13">
        <f t="shared" si="487"/>
        <v>0</v>
      </c>
      <c r="J278" s="13">
        <f t="shared" si="487"/>
        <v>7193</v>
      </c>
      <c r="K278" s="13">
        <f t="shared" si="487"/>
        <v>19782</v>
      </c>
      <c r="L278" s="68">
        <f t="shared" si="448"/>
        <v>-9099</v>
      </c>
      <c r="M278" s="268">
        <f t="shared" si="449"/>
        <v>1.8517270429654591</v>
      </c>
      <c r="N278" s="13">
        <f t="shared" si="441"/>
        <v>14022</v>
      </c>
      <c r="O278" s="13">
        <f t="shared" si="488"/>
        <v>4381</v>
      </c>
      <c r="P278" s="13">
        <f t="shared" si="488"/>
        <v>3198</v>
      </c>
      <c r="Q278" s="13">
        <f t="shared" si="488"/>
        <v>0</v>
      </c>
      <c r="R278" s="13">
        <f t="shared" si="488"/>
        <v>5767</v>
      </c>
      <c r="S278" s="13">
        <f t="shared" si="488"/>
        <v>9761</v>
      </c>
      <c r="T278" s="13">
        <f t="shared" si="488"/>
        <v>23107</v>
      </c>
      <c r="U278" s="68">
        <f t="shared" si="450"/>
        <v>-9085</v>
      </c>
      <c r="V278" s="268">
        <f t="shared" si="451"/>
        <v>1.6479104264726858</v>
      </c>
      <c r="W278" s="13">
        <f t="shared" si="442"/>
        <v>5625</v>
      </c>
      <c r="X278" s="13">
        <f t="shared" si="489"/>
        <v>0</v>
      </c>
      <c r="Y278" s="13">
        <f t="shared" si="489"/>
        <v>8163</v>
      </c>
      <c r="Z278" s="13">
        <f t="shared" si="489"/>
        <v>3621</v>
      </c>
      <c r="AA278" s="13">
        <f t="shared" si="489"/>
        <v>0</v>
      </c>
      <c r="AB278" s="13">
        <f t="shared" si="489"/>
        <v>11784</v>
      </c>
      <c r="AC278" s="68">
        <f t="shared" si="452"/>
        <v>-6159</v>
      </c>
      <c r="AD278" s="268">
        <f t="shared" si="453"/>
        <v>2.0949333333333335</v>
      </c>
      <c r="AE278" s="13">
        <f t="shared" si="443"/>
        <v>12790</v>
      </c>
      <c r="AF278" s="13">
        <f t="shared" si="490"/>
        <v>5575</v>
      </c>
      <c r="AG278" s="13">
        <f t="shared" si="490"/>
        <v>4656</v>
      </c>
      <c r="AH278" s="13">
        <f t="shared" si="490"/>
        <v>0</v>
      </c>
      <c r="AI278" s="13">
        <f t="shared" si="490"/>
        <v>4124</v>
      </c>
      <c r="AJ278" s="13">
        <f t="shared" si="490"/>
        <v>14355</v>
      </c>
      <c r="AK278" s="68">
        <f t="shared" si="454"/>
        <v>-1565</v>
      </c>
      <c r="AL278" s="268">
        <f t="shared" si="455"/>
        <v>1.1223612197028929</v>
      </c>
      <c r="AM278" s="13">
        <f t="shared" si="444"/>
        <v>13914</v>
      </c>
      <c r="AN278" s="13">
        <f t="shared" si="491"/>
        <v>0</v>
      </c>
      <c r="AO278" s="13">
        <f t="shared" si="491"/>
        <v>2835</v>
      </c>
      <c r="AP278" s="13">
        <f t="shared" si="491"/>
        <v>0</v>
      </c>
      <c r="AQ278" s="13">
        <f t="shared" si="491"/>
        <v>3971</v>
      </c>
      <c r="AR278" s="13">
        <f t="shared" si="491"/>
        <v>2576</v>
      </c>
      <c r="AS278" s="13">
        <f t="shared" si="491"/>
        <v>9382</v>
      </c>
      <c r="AT278" s="68">
        <f>AM278-AS278</f>
        <v>4532</v>
      </c>
      <c r="AU278" s="268">
        <f t="shared" si="456"/>
        <v>0.67428489291361215</v>
      </c>
      <c r="AV278" s="13">
        <f t="shared" si="445"/>
        <v>6115</v>
      </c>
      <c r="AW278" s="13">
        <f t="shared" si="421"/>
        <v>0</v>
      </c>
      <c r="AX278" s="13">
        <f t="shared" si="421"/>
        <v>4389</v>
      </c>
      <c r="AY278" s="13">
        <f t="shared" si="421"/>
        <v>3601</v>
      </c>
      <c r="AZ278" s="13">
        <f t="shared" si="421"/>
        <v>0</v>
      </c>
      <c r="BA278" s="13">
        <f t="shared" si="475"/>
        <v>7990</v>
      </c>
      <c r="BB278" s="68">
        <f t="shared" si="457"/>
        <v>-1875</v>
      </c>
      <c r="BC278" s="268">
        <f t="shared" si="458"/>
        <v>1.3066230580539657</v>
      </c>
      <c r="BD278" s="13">
        <f t="shared" si="459"/>
        <v>12237</v>
      </c>
      <c r="BE278" s="13">
        <f>SUMIFS(SALIDAS_BIT,FECHA_BIT,"&gt;="&amp;BE$2,FECHA_BIT,"&lt;="&amp;BE$3,CLAVE_BIT,$A278)+SUMIFS(SALIDAS_BOV1,FECHA_BOV1,"&gt;="&amp;BE$2,FECHA_BOV1,"&lt;="&amp;BE$3,CLAVE_BOV1,$A278)+SUMIFS(SALIDAS_BOV2,FECHA_BOV2,"&gt;="&amp;BE$2,FECHA_BOV2,"&lt;="&amp;BE$3,CLAVE_BOV2,$A278)+SUMIFS(SALIDAS_BOV3,FECHA_BOV3,"&gt;="&amp;BE$2,FECHA_BOV3,"&lt;="&amp;BE$3,CLAVE_BOV3,$A278)+SUMIFS(SALIDAS_TC,FECHA_TC,"&gt;="&amp;BE$2,FECHA_TC,"&lt;="&amp;BE$3,CLAVE_TC,$A278)+SUMIFS(SALIDAS_COMB,FECHA_COMB,"&gt;="&amp;BE$2,FECHA_COMB,"&lt;="&amp;BE$3,CLAVE_COMB,$A278)+SUMIFS(SALIDAS_DES,FECHA_DESGLOSEN,"&gt;="&amp;BE$2,FECHA_DESGLOSEN,"&lt;="&amp;BE$3,CLAVE_DESGLOSE,$A278)</f>
        <v>5514</v>
      </c>
      <c r="BF278" s="13">
        <f>SUMIFS(SALIDAS_BIT,FECHA_BIT,"&gt;="&amp;BF$2,FECHA_BIT,"&lt;="&amp;BF$3,CLAVE_BIT,$A278)+SUMIFS(SALIDAS_BOV1,FECHA_BOV1,"&gt;="&amp;BF$2,FECHA_BOV1,"&lt;="&amp;BF$3,CLAVE_BOV1,$A278)+SUMIFS(SALIDAS_BOV2,FECHA_BOV2,"&gt;="&amp;BF$2,FECHA_BOV2,"&lt;="&amp;BF$3,CLAVE_BOV2,$A278)+SUMIFS(SALIDAS_BOV3,FECHA_BOV3,"&gt;="&amp;BF$2,FECHA_BOV3,"&lt;="&amp;BF$3,CLAVE_BOV3,$A278)+SUMIFS(SALIDAS_TC,FECHA_TC,"&gt;="&amp;BF$2,FECHA_TC,"&lt;="&amp;BF$3,CLAVE_TC,$A278)+SUMIFS(SALIDAS_COMB,FECHA_COMB,"&gt;="&amp;BF$2,FECHA_COMB,"&lt;="&amp;BF$3,CLAVE_COMB,$A278)+SUMIFS(SALIDAS_DES,FECHA_DESGLOSEN,"&gt;="&amp;BF$2,FECHA_DESGLOSEN,"&lt;="&amp;BF$3,CLAVE_DESGLOSE,$A278)</f>
        <v>3705</v>
      </c>
      <c r="BG278" s="13">
        <f>SUMIFS(SALIDAS_BIT,FECHA_BIT,"&gt;="&amp;BG$2,FECHA_BIT,"&lt;="&amp;BG$3,CLAVE_BIT,$A278)+SUMIFS(SALIDAS_BOV1,FECHA_BOV1,"&gt;="&amp;BG$2,FECHA_BOV1,"&lt;="&amp;BG$3,CLAVE_BOV1,$A278)+SUMIFS(SALIDAS_BOV2,FECHA_BOV2,"&gt;="&amp;BG$2,FECHA_BOV2,"&lt;="&amp;BG$3,CLAVE_BOV2,$A278)+SUMIFS(SALIDAS_BOV3,FECHA_BOV3,"&gt;="&amp;BG$2,FECHA_BOV3,"&lt;="&amp;BG$3,CLAVE_BOV3,$A278)+SUMIFS(SALIDAS_TC,FECHA_TC,"&gt;="&amp;BG$2,FECHA_TC,"&lt;="&amp;BG$3,CLAVE_TC,$A278)+SUMIFS(SALIDAS_COMB,FECHA_COMB,"&gt;="&amp;BG$2,FECHA_COMB,"&lt;="&amp;BG$3,CLAVE_COMB,$A278)+SUMIFS(SALIDAS_DES,FECHA_DESGLOSEN,"&gt;="&amp;BG$2,FECHA_DESGLOSEN,"&lt;="&amp;BG$3,CLAVE_DESGLOSE,$A278)</f>
        <v>0</v>
      </c>
      <c r="BH278" s="13">
        <f>SUMIFS(SALIDAS_BIT,FECHA_BIT,"&gt;="&amp;BH$2,FECHA_BIT,"&lt;="&amp;BH$3,CLAVE_BIT,$A278)+SUMIFS(SALIDAS_BOV1,FECHA_BOV1,"&gt;="&amp;BH$2,FECHA_BOV1,"&lt;="&amp;BH$3,CLAVE_BOV1,$A278)+SUMIFS(SALIDAS_BOV2,FECHA_BOV2,"&gt;="&amp;BH$2,FECHA_BOV2,"&lt;="&amp;BH$3,CLAVE_BOV2,$A278)+SUMIFS(SALIDAS_BOV3,FECHA_BOV3,"&gt;="&amp;BH$2,FECHA_BOV3,"&lt;="&amp;BH$3,CLAVE_BOV3,$A278)+SUMIFS(SALIDAS_TC,FECHA_TC,"&gt;="&amp;BH$2,FECHA_TC,"&lt;="&amp;BH$3,CLAVE_TC,$A278)+SUMIFS(SALIDAS_COMB,FECHA_COMB,"&gt;="&amp;BH$2,FECHA_COMB,"&lt;="&amp;BH$3,CLAVE_COMB,$A278)+SUMIFS(SALIDAS_DES,FECHA_DESGLOSEN,"&gt;="&amp;BH$2,FECHA_DESGLOSEN,"&lt;="&amp;BH$3,CLAVE_DESGLOSE,$A278)</f>
        <v>6518</v>
      </c>
      <c r="BI278" s="13">
        <f t="shared" si="419"/>
        <v>15737</v>
      </c>
      <c r="BJ278" s="68">
        <f t="shared" si="460"/>
        <v>-3500</v>
      </c>
      <c r="BK278" s="268">
        <f t="shared" si="461"/>
        <v>1.2860178148238948</v>
      </c>
      <c r="BL278" s="13">
        <f t="shared" si="462"/>
        <v>8943</v>
      </c>
      <c r="BM278" s="13">
        <f>SUMIFS(SALIDAS_BIT,FECHA_BIT,"&gt;="&amp;BM$2,FECHA_BIT,"&lt;="&amp;BM$3,CLAVE_BIT,$A278)+SUMIFS(SALIDAS_BOV1,FECHA_BOV1,"&gt;="&amp;BM$2,FECHA_BOV1,"&lt;="&amp;BM$3,CLAVE_BOV1,$A278)+SUMIFS(SALIDAS_BOV2,FECHA_BOV2,"&gt;="&amp;BM$2,FECHA_BOV2,"&lt;="&amp;BM$3,CLAVE_BOV2,$A278)+SUMIFS(SALIDAS_BOV3,FECHA_BOV3,"&gt;="&amp;BM$2,FECHA_BOV3,"&lt;="&amp;BM$3,CLAVE_BOV3,$A278)+SUMIFS(SALIDAS_TC,FECHA_TC,"&gt;="&amp;BM$2,FECHA_TC,"&lt;="&amp;BM$3,CLAVE_TC,$A278)+SUMIFS(SALIDAS_COMB,FECHA_COMB,"&gt;="&amp;BM$2,FECHA_COMB,"&lt;="&amp;BM$3,CLAVE_COMB,$A278)+SUMIFS(SALIDAS_DES,FECHA_DESGLOSEN,"&gt;="&amp;BM$2,FECHA_DESGLOSEN,"&lt;="&amp;BM$3,CLAVE_DESGLOSE,$A278)</f>
        <v>3842</v>
      </c>
      <c r="BN278" s="13">
        <f>SUMIFS(SALIDAS_BIT,FECHA_BIT,"&gt;="&amp;BN$2,FECHA_BIT,"&lt;="&amp;BN$3,CLAVE_BIT,$A278)+SUMIFS(SALIDAS_BOV1,FECHA_BOV1,"&gt;="&amp;BN$2,FECHA_BOV1,"&lt;="&amp;BN$3,CLAVE_BOV1,$A278)+SUMIFS(SALIDAS_BOV2,FECHA_BOV2,"&gt;="&amp;BN$2,FECHA_BOV2,"&lt;="&amp;BN$3,CLAVE_BOV2,$A278)+SUMIFS(SALIDAS_BOV3,FECHA_BOV3,"&gt;="&amp;BN$2,FECHA_BOV3,"&lt;="&amp;BN$3,CLAVE_BOV3,$A278)+SUMIFS(SALIDAS_TC,FECHA_TC,"&gt;="&amp;BN$2,FECHA_TC,"&lt;="&amp;BN$3,CLAVE_TC,$A278)+SUMIFS(SALIDAS_COMB,FECHA_COMB,"&gt;="&amp;BN$2,FECHA_COMB,"&lt;="&amp;BN$3,CLAVE_COMB,$A278)+SUMIFS(SALIDAS_DES,FECHA_DESGLOSEN,"&gt;="&amp;BN$2,FECHA_DESGLOSEN,"&lt;="&amp;BN$3,CLAVE_DESGLOSE,$A278)</f>
        <v>0</v>
      </c>
      <c r="BO278" s="13">
        <f>SUMIFS(SALIDAS_BIT,FECHA_BIT,"&gt;="&amp;BO$2,FECHA_BIT,"&lt;="&amp;BO$3,CLAVE_BIT,$A278)+SUMIFS(SALIDAS_BOV1,FECHA_BOV1,"&gt;="&amp;BO$2,FECHA_BOV1,"&lt;="&amp;BO$3,CLAVE_BOV1,$A278)+SUMIFS(SALIDAS_BOV2,FECHA_BOV2,"&gt;="&amp;BO$2,FECHA_BOV2,"&lt;="&amp;BO$3,CLAVE_BOV2,$A278)+SUMIFS(SALIDAS_BOV3,FECHA_BOV3,"&gt;="&amp;BO$2,FECHA_BOV3,"&lt;="&amp;BO$3,CLAVE_BOV3,$A278)+SUMIFS(SALIDAS_TC,FECHA_TC,"&gt;="&amp;BO$2,FECHA_TC,"&lt;="&amp;BO$3,CLAVE_TC,$A278)+SUMIFS(SALIDAS_COMB,FECHA_COMB,"&gt;="&amp;BO$2,FECHA_COMB,"&lt;="&amp;BO$3,CLAVE_COMB,$A278)+SUMIFS(SALIDAS_DES,FECHA_DESGLOSEN,"&gt;="&amp;BO$2,FECHA_DESGLOSEN,"&lt;="&amp;BO$3,CLAVE_DESGLOSE,$A278)</f>
        <v>5234</v>
      </c>
      <c r="BP278" s="13">
        <f>SUMIFS(SALIDAS_BIT,FECHA_BIT,"&gt;="&amp;BP$2,FECHA_BIT,"&lt;="&amp;BP$3,CLAVE_BIT,$A278)+SUMIFS(SALIDAS_BOV1,FECHA_BOV1,"&gt;="&amp;BP$2,FECHA_BOV1,"&lt;="&amp;BP$3,CLAVE_BOV1,$A278)+SUMIFS(SALIDAS_BOV2,FECHA_BOV2,"&gt;="&amp;BP$2,FECHA_BOV2,"&lt;="&amp;BP$3,CLAVE_BOV2,$A278)+SUMIFS(SALIDAS_BOV3,FECHA_BOV3,"&gt;="&amp;BP$2,FECHA_BOV3,"&lt;="&amp;BP$3,CLAVE_BOV3,$A278)+SUMIFS(SALIDAS_TC,FECHA_TC,"&gt;="&amp;BP$2,FECHA_TC,"&lt;="&amp;BP$3,CLAVE_TC,$A278)+SUMIFS(SALIDAS_COMB,FECHA_COMB,"&gt;="&amp;BP$2,FECHA_COMB,"&lt;="&amp;BP$3,CLAVE_COMB,$A278)+SUMIFS(SALIDAS_DES,FECHA_DESGLOSEN,"&gt;="&amp;BP$2,FECHA_DESGLOSEN,"&lt;="&amp;BP$3,CLAVE_DESGLOSE,$A278)</f>
        <v>3878</v>
      </c>
      <c r="BQ278" s="13">
        <f>SUMIFS(SALIDAS_BIT,FECHA_BIT,"&gt;="&amp;BQ$2,FECHA_BIT,"&lt;="&amp;BQ$3,CLAVE_BIT,$A278)+SUMIFS(SALIDAS_BOV1,FECHA_BOV1,"&gt;="&amp;BQ$2,FECHA_BOV1,"&lt;="&amp;BQ$3,CLAVE_BOV1,$A278)+SUMIFS(SALIDAS_BOV2,FECHA_BOV2,"&gt;="&amp;BQ$2,FECHA_BOV2,"&lt;="&amp;BQ$3,CLAVE_BOV2,$A278)+SUMIFS(SALIDAS_BOV3,FECHA_BOV3,"&gt;="&amp;BQ$2,FECHA_BOV3,"&lt;="&amp;BQ$3,CLAVE_BOV3,$A278)+SUMIFS(SALIDAS_TC,FECHA_TC,"&gt;="&amp;BQ$2,FECHA_TC,"&lt;="&amp;BQ$3,CLAVE_TC,$A278)+SUMIFS(SALIDAS_COMB,FECHA_COMB,"&gt;="&amp;BQ$2,FECHA_COMB,"&lt;="&amp;BQ$3,CLAVE_COMB,$A278)+SUMIFS(SALIDAS_DES,FECHA_DESGLOSEN,"&gt;="&amp;BQ$2,FECHA_DESGLOSEN,"&lt;="&amp;BQ$3,CLAVE_DESGLOSE,$A278)</f>
        <v>4711</v>
      </c>
      <c r="BR278" s="13">
        <f t="shared" si="492"/>
        <v>17665</v>
      </c>
      <c r="BS278" s="68">
        <f t="shared" si="463"/>
        <v>-8722</v>
      </c>
      <c r="BT278" s="268">
        <f t="shared" si="464"/>
        <v>1.9752879346975287</v>
      </c>
      <c r="BU278" s="13">
        <f t="shared" si="465"/>
        <v>15000</v>
      </c>
      <c r="BV278" s="13">
        <f t="shared" si="485"/>
        <v>0</v>
      </c>
      <c r="BW278" s="13">
        <f t="shared" si="485"/>
        <v>5454</v>
      </c>
      <c r="BX278" s="13">
        <f t="shared" si="485"/>
        <v>2790</v>
      </c>
      <c r="BY278" s="13">
        <f t="shared" si="485"/>
        <v>0</v>
      </c>
      <c r="BZ278" s="13">
        <f t="shared" si="493"/>
        <v>8244</v>
      </c>
      <c r="CA278" s="68">
        <f t="shared" si="466"/>
        <v>6756</v>
      </c>
      <c r="CB278" s="268">
        <f t="shared" si="467"/>
        <v>0.54959999999999998</v>
      </c>
      <c r="CC278" s="13">
        <f t="shared" si="468"/>
        <v>15000</v>
      </c>
      <c r="CD278" s="13">
        <f t="shared" si="486"/>
        <v>6925</v>
      </c>
      <c r="CE278" s="13">
        <f t="shared" si="486"/>
        <v>6731</v>
      </c>
      <c r="CF278" s="13">
        <f t="shared" si="486"/>
        <v>0</v>
      </c>
      <c r="CG278" s="13">
        <f t="shared" si="486"/>
        <v>5731</v>
      </c>
      <c r="CH278" s="13">
        <f t="shared" si="494"/>
        <v>19387</v>
      </c>
      <c r="CI278" s="68">
        <f t="shared" si="469"/>
        <v>-4387</v>
      </c>
      <c r="CJ278" s="268">
        <f t="shared" si="470"/>
        <v>1.2924666666666667</v>
      </c>
      <c r="CK278" s="13">
        <f t="shared" si="471"/>
        <v>15000</v>
      </c>
      <c r="CL278" s="13">
        <f t="shared" si="495"/>
        <v>0</v>
      </c>
      <c r="CM278" s="13">
        <f t="shared" si="495"/>
        <v>4283</v>
      </c>
      <c r="CN278" s="13">
        <f t="shared" si="495"/>
        <v>0</v>
      </c>
      <c r="CO278" s="13">
        <f t="shared" si="495"/>
        <v>6707</v>
      </c>
      <c r="CP278" s="13">
        <f t="shared" si="495"/>
        <v>0</v>
      </c>
      <c r="CQ278" s="13">
        <f t="shared" si="496"/>
        <v>10990</v>
      </c>
      <c r="CR278" s="68">
        <f t="shared" si="472"/>
        <v>4010</v>
      </c>
      <c r="CS278" s="268">
        <f t="shared" si="473"/>
        <v>0.73266666666666669</v>
      </c>
      <c r="CT278" s="68">
        <f t="shared" si="446"/>
        <v>20000</v>
      </c>
      <c r="CU278" s="13">
        <f>SUMIFS(SALIDAS_BIT,FECHA_BIT,"&gt;="&amp;CU$2,FECHA_BIT,"&lt;="&amp;CU$3,CLAVE_BIT,$A278)+SUMIFS(SALIDAS_BOV1,FECHA_BOV1,"&gt;="&amp;CU$2,FECHA_BOV1,"&lt;="&amp;CU$3,CLAVE_BOV1,$A278)+SUMIFS(SALIDAS_BOV2,FECHA_BOV2,"&gt;="&amp;CU$2,FECHA_BOV2,"&lt;="&amp;CU$3,CLAVE_BOV2,$A278)+SUMIFS(SALIDAS_BOV3,FECHA_BOV3,"&gt;="&amp;CU$2,FECHA_BOV3,"&lt;="&amp;CU$3,CLAVE_BOV3,$A278)+SUMIFS(SALIDAS_TC,FECHA_TC,"&gt;="&amp;CU$2,FECHA_TC,"&lt;="&amp;CU$3,CLAVE_TC,$A278)+SUMIFS(SALIDAS_COMB,FECHA_COMB,"&gt;="&amp;CU$2,FECHA_COMB,"&lt;="&amp;CU$3,CLAVE_COMB,$A278)+SUMIFS(SALIDAS_DES,FECHA_DESGLOSEN,"&gt;="&amp;CU$2,FECHA_DESGLOSEN,"&lt;="&amp;CU$3,CLAVE_DESGLOSE,$A278)</f>
        <v>6394</v>
      </c>
      <c r="CV278" s="13">
        <f>SUMIFS(SALIDAS_BIT,FECHA_BIT,"&gt;="&amp;CV$2,FECHA_BIT,"&lt;="&amp;CV$3,CLAVE_BIT,$A278)+SUMIFS(SALIDAS_BOV1,FECHA_BOV1,"&gt;="&amp;CV$2,FECHA_BOV1,"&lt;="&amp;CV$3,CLAVE_BOV1,$A278)+SUMIFS(SALIDAS_BOV2,FECHA_BOV2,"&gt;="&amp;CV$2,FECHA_BOV2,"&lt;="&amp;CV$3,CLAVE_BOV2,$A278)+SUMIFS(SALIDAS_BOV3,FECHA_BOV3,"&gt;="&amp;CV$2,FECHA_BOV3,"&lt;="&amp;CV$3,CLAVE_BOV3,$A278)+SUMIFS(SALIDAS_TC,FECHA_TC,"&gt;="&amp;CV$2,FECHA_TC,"&lt;="&amp;CV$3,CLAVE_TC,$A278)+SUMIFS(SALIDAS_COMB,FECHA_COMB,"&gt;="&amp;CV$2,FECHA_COMB,"&lt;="&amp;CV$3,CLAVE_COMB,$A278)+SUMIFS(SALIDAS_DES,FECHA_DESGLOSEN,"&gt;="&amp;CV$2,FECHA_DESGLOSEN,"&lt;="&amp;CV$3,CLAVE_DESGLOSE,$A278)</f>
        <v>5808</v>
      </c>
      <c r="CW278" s="13">
        <f>SUMIFS(SALIDAS_BIT,FECHA_BIT,"&gt;="&amp;CW$2,FECHA_BIT,"&lt;="&amp;CW$3,CLAVE_BIT,$A278)+SUMIFS(SALIDAS_BOV1,FECHA_BOV1,"&gt;="&amp;CW$2,FECHA_BOV1,"&lt;="&amp;CW$3,CLAVE_BOV1,$A278)+SUMIFS(SALIDAS_BOV2,FECHA_BOV2,"&gt;="&amp;CW$2,FECHA_BOV2,"&lt;="&amp;CW$3,CLAVE_BOV2,$A278)+SUMIFS(SALIDAS_BOV3,FECHA_BOV3,"&gt;="&amp;CW$2,FECHA_BOV3,"&lt;="&amp;CW$3,CLAVE_BOV3,$A278)+SUMIFS(SALIDAS_TC,FECHA_TC,"&gt;="&amp;CW$2,FECHA_TC,"&lt;="&amp;CW$3,CLAVE_TC,$A278)+SUMIFS(SALIDAS_COMB,FECHA_COMB,"&gt;="&amp;CW$2,FECHA_COMB,"&lt;="&amp;CW$3,CLAVE_COMB,$A278)+SUMIFS(SALIDAS_DES,FECHA_DESGLOSEN,"&gt;="&amp;CW$2,FECHA_DESGLOSEN,"&lt;="&amp;CW$3,CLAVE_DESGLOSE,$A278)</f>
        <v>0</v>
      </c>
      <c r="CX278" s="13">
        <f>SUMIFS(SALIDAS_BIT,FECHA_BIT,"&gt;="&amp;CX$2,FECHA_BIT,"&lt;="&amp;CX$3,CLAVE_BIT,$A278)+SUMIFS(SALIDAS_BOV1,FECHA_BOV1,"&gt;="&amp;CX$2,FECHA_BOV1,"&lt;="&amp;CX$3,CLAVE_BOV1,$A278)+SUMIFS(SALIDAS_BOV2,FECHA_BOV2,"&gt;="&amp;CX$2,FECHA_BOV2,"&lt;="&amp;CX$3,CLAVE_BOV2,$A278)+SUMIFS(SALIDAS_BOV3,FECHA_BOV3,"&gt;="&amp;CX$2,FECHA_BOV3,"&lt;="&amp;CX$3,CLAVE_BOV3,$A278)+SUMIFS(SALIDAS_TC,FECHA_TC,"&gt;="&amp;CX$2,FECHA_TC,"&lt;="&amp;CX$3,CLAVE_TC,$A278)+SUMIFS(SALIDAS_COMB,FECHA_COMB,"&gt;="&amp;CX$2,FECHA_COMB,"&lt;="&amp;CX$3,CLAVE_COMB,$A278)+SUMIFS(SALIDAS_DES,FECHA_DESGLOSEN,"&gt;="&amp;CX$2,FECHA_DESGLOSEN,"&lt;="&amp;CX$3,CLAVE_DESGLOSE,$A278)</f>
        <v>8134</v>
      </c>
      <c r="CY278" s="13">
        <f>SUMIFS(SALIDAS_BIT,FECHA_BIT,"&gt;="&amp;CY$2,FECHA_BIT,"&lt;="&amp;CY$3,CLAVE_BIT,$A278)+SUMIFS(SALIDAS_BOV1,FECHA_BOV1,"&gt;="&amp;CY$2,FECHA_BOV1,"&lt;="&amp;CY$3,CLAVE_BOV1,$A278)+SUMIFS(SALIDAS_BOV2,FECHA_BOV2,"&gt;="&amp;CY$2,FECHA_BOV2,"&lt;="&amp;CY$3,CLAVE_BOV2,$A278)+SUMIFS(SALIDAS_BOV3,FECHA_BOV3,"&gt;="&amp;CY$2,FECHA_BOV3,"&lt;="&amp;CY$3,CLAVE_BOV3,$A278)+SUMIFS(SALIDAS_TC,FECHA_TC,"&gt;="&amp;CY$2,FECHA_TC,"&lt;="&amp;CY$3,CLAVE_TC,$A278)+SUMIFS(SALIDAS_COMB,FECHA_COMB,"&gt;="&amp;CY$2,FECHA_COMB,"&lt;="&amp;CY$3,CLAVE_COMB,$A278)+SUMIFS(SALIDAS_DES,FECHA_DESGLOSEN,"&gt;="&amp;CY$2,FECHA_DESGLOSEN,"&lt;="&amp;CY$3,CLAVE_DESGLOSE,$A278)</f>
        <v>20336</v>
      </c>
      <c r="CZ278" s="68">
        <f t="shared" si="474"/>
        <v>-336</v>
      </c>
      <c r="DB278" s="17">
        <f>F278+N278+W278+AE278+AM278+AV278+BD278+BL278+BU278+CC278+CK278</f>
        <v>129329</v>
      </c>
      <c r="DC278" s="17">
        <f>K278+T278+AB278+AJ278+AS278+BA278+BI278+BR278+BZ278+CH278+CQ278</f>
        <v>158423</v>
      </c>
    </row>
    <row r="279" spans="1:107" hidden="1">
      <c r="A279" s="12" t="str">
        <f t="shared" si="447"/>
        <v>SERVICIOSTELEPEAJEMANTENIMIENTO</v>
      </c>
      <c r="B279">
        <v>281</v>
      </c>
      <c r="C279" t="s">
        <v>21</v>
      </c>
      <c r="D279" t="s">
        <v>186</v>
      </c>
      <c r="E279" s="12" t="s">
        <v>35</v>
      </c>
      <c r="F279" s="259">
        <f t="shared" si="440"/>
        <v>0</v>
      </c>
      <c r="G279" s="13">
        <f t="shared" si="487"/>
        <v>0</v>
      </c>
      <c r="H279" s="13">
        <f t="shared" si="487"/>
        <v>0</v>
      </c>
      <c r="I279" s="13">
        <f t="shared" si="487"/>
        <v>0</v>
      </c>
      <c r="J279" s="13">
        <f t="shared" si="487"/>
        <v>0</v>
      </c>
      <c r="K279" s="13">
        <f t="shared" si="487"/>
        <v>0</v>
      </c>
      <c r="L279" s="68">
        <f t="shared" si="448"/>
        <v>0</v>
      </c>
      <c r="M279" s="268">
        <f t="shared" si="449"/>
        <v>0</v>
      </c>
      <c r="N279" s="13">
        <f t="shared" si="441"/>
        <v>0</v>
      </c>
      <c r="O279" s="13">
        <f t="shared" si="488"/>
        <v>0</v>
      </c>
      <c r="P279" s="13">
        <f t="shared" si="488"/>
        <v>0</v>
      </c>
      <c r="Q279" s="13">
        <f t="shared" si="488"/>
        <v>0</v>
      </c>
      <c r="R279" s="13">
        <f t="shared" si="488"/>
        <v>0</v>
      </c>
      <c r="S279" s="13">
        <f t="shared" si="488"/>
        <v>0</v>
      </c>
      <c r="T279" s="13">
        <f t="shared" si="488"/>
        <v>0</v>
      </c>
      <c r="U279" s="68">
        <f t="shared" si="450"/>
        <v>0</v>
      </c>
      <c r="V279" s="268">
        <f t="shared" si="451"/>
        <v>0</v>
      </c>
      <c r="W279" s="13">
        <f t="shared" si="442"/>
        <v>0</v>
      </c>
      <c r="X279" s="13">
        <f t="shared" si="489"/>
        <v>0</v>
      </c>
      <c r="Y279" s="13">
        <f t="shared" si="489"/>
        <v>0</v>
      </c>
      <c r="Z279" s="13">
        <f t="shared" si="489"/>
        <v>0</v>
      </c>
      <c r="AA279" s="13">
        <f t="shared" si="489"/>
        <v>0</v>
      </c>
      <c r="AB279" s="13">
        <f t="shared" si="489"/>
        <v>0</v>
      </c>
      <c r="AC279" s="68">
        <f t="shared" si="452"/>
        <v>0</v>
      </c>
      <c r="AD279" s="268">
        <f t="shared" si="453"/>
        <v>0</v>
      </c>
      <c r="AE279" s="13">
        <f t="shared" si="443"/>
        <v>0</v>
      </c>
      <c r="AF279" s="13">
        <f t="shared" si="490"/>
        <v>0</v>
      </c>
      <c r="AG279" s="13">
        <f t="shared" si="490"/>
        <v>0</v>
      </c>
      <c r="AH279" s="13">
        <f t="shared" si="490"/>
        <v>0</v>
      </c>
      <c r="AI279" s="13">
        <f t="shared" si="490"/>
        <v>0</v>
      </c>
      <c r="AJ279" s="13">
        <f t="shared" si="490"/>
        <v>0</v>
      </c>
      <c r="AK279" s="68">
        <f t="shared" si="454"/>
        <v>0</v>
      </c>
      <c r="AL279" s="268">
        <f t="shared" si="455"/>
        <v>0</v>
      </c>
      <c r="AM279" s="13">
        <f t="shared" si="444"/>
        <v>140</v>
      </c>
      <c r="AN279" s="13">
        <f t="shared" si="491"/>
        <v>0</v>
      </c>
      <c r="AO279" s="13">
        <f t="shared" si="491"/>
        <v>0</v>
      </c>
      <c r="AP279" s="13">
        <f t="shared" si="491"/>
        <v>0</v>
      </c>
      <c r="AQ279" s="13">
        <f t="shared" si="491"/>
        <v>0</v>
      </c>
      <c r="AR279" s="13">
        <f t="shared" si="491"/>
        <v>0</v>
      </c>
      <c r="AS279" s="13">
        <f t="shared" si="491"/>
        <v>0</v>
      </c>
      <c r="AT279" s="68">
        <f>AM279-AS279</f>
        <v>140</v>
      </c>
      <c r="AU279" s="268">
        <f t="shared" si="456"/>
        <v>0</v>
      </c>
      <c r="AV279" s="13">
        <f t="shared" si="445"/>
        <v>665</v>
      </c>
      <c r="AW279" s="13">
        <f t="shared" si="421"/>
        <v>0</v>
      </c>
      <c r="AX279" s="13">
        <f t="shared" si="421"/>
        <v>0</v>
      </c>
      <c r="AY279" s="13">
        <f t="shared" si="421"/>
        <v>0</v>
      </c>
      <c r="AZ279" s="13">
        <f t="shared" si="421"/>
        <v>0</v>
      </c>
      <c r="BA279" s="13">
        <f t="shared" si="475"/>
        <v>0</v>
      </c>
      <c r="BB279" s="68">
        <f t="shared" si="457"/>
        <v>665</v>
      </c>
      <c r="BC279" s="268">
        <f t="shared" si="458"/>
        <v>0</v>
      </c>
      <c r="BD279" s="13">
        <f t="shared" si="459"/>
        <v>0</v>
      </c>
      <c r="BE279" s="13">
        <f>SUMIFS(SALIDAS_BIT,FECHA_BIT,"&gt;="&amp;BE$2,FECHA_BIT,"&lt;="&amp;BE$3,CLAVE_BIT,$A279)+SUMIFS(SALIDAS_BOV1,FECHA_BOV1,"&gt;="&amp;BE$2,FECHA_BOV1,"&lt;="&amp;BE$3,CLAVE_BOV1,$A279)+SUMIFS(SALIDAS_BOV2,FECHA_BOV2,"&gt;="&amp;BE$2,FECHA_BOV2,"&lt;="&amp;BE$3,CLAVE_BOV2,$A279)+SUMIFS(SALIDAS_BOV3,FECHA_BOV3,"&gt;="&amp;BE$2,FECHA_BOV3,"&lt;="&amp;BE$3,CLAVE_BOV3,$A279)+SUMIFS(SALIDAS_TC,FECHA_TC,"&gt;="&amp;BE$2,FECHA_TC,"&lt;="&amp;BE$3,CLAVE_TC,$A279)+SUMIFS(SALIDAS_COMB,FECHA_COMB,"&gt;="&amp;BE$2,FECHA_COMB,"&lt;="&amp;BE$3,CLAVE_COMB,$A279)+SUMIFS(SALIDAS_DES,FECHA_DESGLOSEN,"&gt;="&amp;BE$2,FECHA_DESGLOSEN,"&lt;="&amp;BE$3,CLAVE_DESGLOSE,$A279)</f>
        <v>0</v>
      </c>
      <c r="BF279" s="13">
        <f>SUMIFS(SALIDAS_BIT,FECHA_BIT,"&gt;="&amp;BF$2,FECHA_BIT,"&lt;="&amp;BF$3,CLAVE_BIT,$A279)+SUMIFS(SALIDAS_BOV1,FECHA_BOV1,"&gt;="&amp;BF$2,FECHA_BOV1,"&lt;="&amp;BF$3,CLAVE_BOV1,$A279)+SUMIFS(SALIDAS_BOV2,FECHA_BOV2,"&gt;="&amp;BF$2,FECHA_BOV2,"&lt;="&amp;BF$3,CLAVE_BOV2,$A279)+SUMIFS(SALIDAS_BOV3,FECHA_BOV3,"&gt;="&amp;BF$2,FECHA_BOV3,"&lt;="&amp;BF$3,CLAVE_BOV3,$A279)+SUMIFS(SALIDAS_TC,FECHA_TC,"&gt;="&amp;BF$2,FECHA_TC,"&lt;="&amp;BF$3,CLAVE_TC,$A279)+SUMIFS(SALIDAS_COMB,FECHA_COMB,"&gt;="&amp;BF$2,FECHA_COMB,"&lt;="&amp;BF$3,CLAVE_COMB,$A279)+SUMIFS(SALIDAS_DES,FECHA_DESGLOSEN,"&gt;="&amp;BF$2,FECHA_DESGLOSEN,"&lt;="&amp;BF$3,CLAVE_DESGLOSE,$A279)</f>
        <v>0</v>
      </c>
      <c r="BG279" s="13">
        <f>SUMIFS(SALIDAS_BIT,FECHA_BIT,"&gt;="&amp;BG$2,FECHA_BIT,"&lt;="&amp;BG$3,CLAVE_BIT,$A279)+SUMIFS(SALIDAS_BOV1,FECHA_BOV1,"&gt;="&amp;BG$2,FECHA_BOV1,"&lt;="&amp;BG$3,CLAVE_BOV1,$A279)+SUMIFS(SALIDAS_BOV2,FECHA_BOV2,"&gt;="&amp;BG$2,FECHA_BOV2,"&lt;="&amp;BG$3,CLAVE_BOV2,$A279)+SUMIFS(SALIDAS_BOV3,FECHA_BOV3,"&gt;="&amp;BG$2,FECHA_BOV3,"&lt;="&amp;BG$3,CLAVE_BOV3,$A279)+SUMIFS(SALIDAS_TC,FECHA_TC,"&gt;="&amp;BG$2,FECHA_TC,"&lt;="&amp;BG$3,CLAVE_TC,$A279)+SUMIFS(SALIDAS_COMB,FECHA_COMB,"&gt;="&amp;BG$2,FECHA_COMB,"&lt;="&amp;BG$3,CLAVE_COMB,$A279)+SUMIFS(SALIDAS_DES,FECHA_DESGLOSEN,"&gt;="&amp;BG$2,FECHA_DESGLOSEN,"&lt;="&amp;BG$3,CLAVE_DESGLOSE,$A279)</f>
        <v>0</v>
      </c>
      <c r="BH279" s="13">
        <f>SUMIFS(SALIDAS_BIT,FECHA_BIT,"&gt;="&amp;BH$2,FECHA_BIT,"&lt;="&amp;BH$3,CLAVE_BIT,$A279)+SUMIFS(SALIDAS_BOV1,FECHA_BOV1,"&gt;="&amp;BH$2,FECHA_BOV1,"&lt;="&amp;BH$3,CLAVE_BOV1,$A279)+SUMIFS(SALIDAS_BOV2,FECHA_BOV2,"&gt;="&amp;BH$2,FECHA_BOV2,"&lt;="&amp;BH$3,CLAVE_BOV2,$A279)+SUMIFS(SALIDAS_BOV3,FECHA_BOV3,"&gt;="&amp;BH$2,FECHA_BOV3,"&lt;="&amp;BH$3,CLAVE_BOV3,$A279)+SUMIFS(SALIDAS_TC,FECHA_TC,"&gt;="&amp;BH$2,FECHA_TC,"&lt;="&amp;BH$3,CLAVE_TC,$A279)+SUMIFS(SALIDAS_COMB,FECHA_COMB,"&gt;="&amp;BH$2,FECHA_COMB,"&lt;="&amp;BH$3,CLAVE_COMB,$A279)+SUMIFS(SALIDAS_DES,FECHA_DESGLOSEN,"&gt;="&amp;BH$2,FECHA_DESGLOSEN,"&lt;="&amp;BH$3,CLAVE_DESGLOSE,$A279)</f>
        <v>0</v>
      </c>
      <c r="BI279" s="13">
        <f t="shared" si="419"/>
        <v>0</v>
      </c>
      <c r="BJ279" s="68">
        <f t="shared" si="460"/>
        <v>0</v>
      </c>
      <c r="BK279" s="268">
        <f t="shared" si="461"/>
        <v>0</v>
      </c>
      <c r="BL279" s="13">
        <f t="shared" si="462"/>
        <v>0</v>
      </c>
      <c r="BM279" s="13">
        <f>SUMIFS(SALIDAS_BIT,FECHA_BIT,"&gt;="&amp;BM$2,FECHA_BIT,"&lt;="&amp;BM$3,CLAVE_BIT,$A279)+SUMIFS(SALIDAS_BOV1,FECHA_BOV1,"&gt;="&amp;BM$2,FECHA_BOV1,"&lt;="&amp;BM$3,CLAVE_BOV1,$A279)+SUMIFS(SALIDAS_BOV2,FECHA_BOV2,"&gt;="&amp;BM$2,FECHA_BOV2,"&lt;="&amp;BM$3,CLAVE_BOV2,$A279)+SUMIFS(SALIDAS_BOV3,FECHA_BOV3,"&gt;="&amp;BM$2,FECHA_BOV3,"&lt;="&amp;BM$3,CLAVE_BOV3,$A279)+SUMIFS(SALIDAS_TC,FECHA_TC,"&gt;="&amp;BM$2,FECHA_TC,"&lt;="&amp;BM$3,CLAVE_TC,$A279)+SUMIFS(SALIDAS_COMB,FECHA_COMB,"&gt;="&amp;BM$2,FECHA_COMB,"&lt;="&amp;BM$3,CLAVE_COMB,$A279)+SUMIFS(SALIDAS_DES,FECHA_DESGLOSEN,"&gt;="&amp;BM$2,FECHA_DESGLOSEN,"&lt;="&amp;BM$3,CLAVE_DESGLOSE,$A279)</f>
        <v>0</v>
      </c>
      <c r="BN279" s="13">
        <f>SUMIFS(SALIDAS_BIT,FECHA_BIT,"&gt;="&amp;BN$2,FECHA_BIT,"&lt;="&amp;BN$3,CLAVE_BIT,$A279)+SUMIFS(SALIDAS_BOV1,FECHA_BOV1,"&gt;="&amp;BN$2,FECHA_BOV1,"&lt;="&amp;BN$3,CLAVE_BOV1,$A279)+SUMIFS(SALIDAS_BOV2,FECHA_BOV2,"&gt;="&amp;BN$2,FECHA_BOV2,"&lt;="&amp;BN$3,CLAVE_BOV2,$A279)+SUMIFS(SALIDAS_BOV3,FECHA_BOV3,"&gt;="&amp;BN$2,FECHA_BOV3,"&lt;="&amp;BN$3,CLAVE_BOV3,$A279)+SUMIFS(SALIDAS_TC,FECHA_TC,"&gt;="&amp;BN$2,FECHA_TC,"&lt;="&amp;BN$3,CLAVE_TC,$A279)+SUMIFS(SALIDAS_COMB,FECHA_COMB,"&gt;="&amp;BN$2,FECHA_COMB,"&lt;="&amp;BN$3,CLAVE_COMB,$A279)+SUMIFS(SALIDAS_DES,FECHA_DESGLOSEN,"&gt;="&amp;BN$2,FECHA_DESGLOSEN,"&lt;="&amp;BN$3,CLAVE_DESGLOSE,$A279)</f>
        <v>0</v>
      </c>
      <c r="BO279" s="13">
        <f>SUMIFS(SALIDAS_BIT,FECHA_BIT,"&gt;="&amp;BO$2,FECHA_BIT,"&lt;="&amp;BO$3,CLAVE_BIT,$A279)+SUMIFS(SALIDAS_BOV1,FECHA_BOV1,"&gt;="&amp;BO$2,FECHA_BOV1,"&lt;="&amp;BO$3,CLAVE_BOV1,$A279)+SUMIFS(SALIDAS_BOV2,FECHA_BOV2,"&gt;="&amp;BO$2,FECHA_BOV2,"&lt;="&amp;BO$3,CLAVE_BOV2,$A279)+SUMIFS(SALIDAS_BOV3,FECHA_BOV3,"&gt;="&amp;BO$2,FECHA_BOV3,"&lt;="&amp;BO$3,CLAVE_BOV3,$A279)+SUMIFS(SALIDAS_TC,FECHA_TC,"&gt;="&amp;BO$2,FECHA_TC,"&lt;="&amp;BO$3,CLAVE_TC,$A279)+SUMIFS(SALIDAS_COMB,FECHA_COMB,"&gt;="&amp;BO$2,FECHA_COMB,"&lt;="&amp;BO$3,CLAVE_COMB,$A279)+SUMIFS(SALIDAS_DES,FECHA_DESGLOSEN,"&gt;="&amp;BO$2,FECHA_DESGLOSEN,"&lt;="&amp;BO$3,CLAVE_DESGLOSE,$A279)</f>
        <v>0</v>
      </c>
      <c r="BP279" s="13">
        <f>SUMIFS(SALIDAS_BIT,FECHA_BIT,"&gt;="&amp;BP$2,FECHA_BIT,"&lt;="&amp;BP$3,CLAVE_BIT,$A279)+SUMIFS(SALIDAS_BOV1,FECHA_BOV1,"&gt;="&amp;BP$2,FECHA_BOV1,"&lt;="&amp;BP$3,CLAVE_BOV1,$A279)+SUMIFS(SALIDAS_BOV2,FECHA_BOV2,"&gt;="&amp;BP$2,FECHA_BOV2,"&lt;="&amp;BP$3,CLAVE_BOV2,$A279)+SUMIFS(SALIDAS_BOV3,FECHA_BOV3,"&gt;="&amp;BP$2,FECHA_BOV3,"&lt;="&amp;BP$3,CLAVE_BOV3,$A279)+SUMIFS(SALIDAS_TC,FECHA_TC,"&gt;="&amp;BP$2,FECHA_TC,"&lt;="&amp;BP$3,CLAVE_TC,$A279)+SUMIFS(SALIDAS_COMB,FECHA_COMB,"&gt;="&amp;BP$2,FECHA_COMB,"&lt;="&amp;BP$3,CLAVE_COMB,$A279)+SUMIFS(SALIDAS_DES,FECHA_DESGLOSEN,"&gt;="&amp;BP$2,FECHA_DESGLOSEN,"&lt;="&amp;BP$3,CLAVE_DESGLOSE,$A279)</f>
        <v>0</v>
      </c>
      <c r="BQ279" s="13">
        <f>SUMIFS(SALIDAS_BIT,FECHA_BIT,"&gt;="&amp;BQ$2,FECHA_BIT,"&lt;="&amp;BQ$3,CLAVE_BIT,$A279)+SUMIFS(SALIDAS_BOV1,FECHA_BOV1,"&gt;="&amp;BQ$2,FECHA_BOV1,"&lt;="&amp;BQ$3,CLAVE_BOV1,$A279)+SUMIFS(SALIDAS_BOV2,FECHA_BOV2,"&gt;="&amp;BQ$2,FECHA_BOV2,"&lt;="&amp;BQ$3,CLAVE_BOV2,$A279)+SUMIFS(SALIDAS_BOV3,FECHA_BOV3,"&gt;="&amp;BQ$2,FECHA_BOV3,"&lt;="&amp;BQ$3,CLAVE_BOV3,$A279)+SUMIFS(SALIDAS_TC,FECHA_TC,"&gt;="&amp;BQ$2,FECHA_TC,"&lt;="&amp;BQ$3,CLAVE_TC,$A279)+SUMIFS(SALIDAS_COMB,FECHA_COMB,"&gt;="&amp;BQ$2,FECHA_COMB,"&lt;="&amp;BQ$3,CLAVE_COMB,$A279)+SUMIFS(SALIDAS_DES,FECHA_DESGLOSEN,"&gt;="&amp;BQ$2,FECHA_DESGLOSEN,"&lt;="&amp;BQ$3,CLAVE_DESGLOSE,$A279)</f>
        <v>0</v>
      </c>
      <c r="BR279" s="13">
        <f t="shared" si="492"/>
        <v>0</v>
      </c>
      <c r="BS279" s="68">
        <f t="shared" si="463"/>
        <v>0</v>
      </c>
      <c r="BT279" s="268">
        <f t="shared" si="464"/>
        <v>0</v>
      </c>
      <c r="BU279" s="13">
        <f t="shared" si="465"/>
        <v>0</v>
      </c>
      <c r="BV279" s="13">
        <f t="shared" si="485"/>
        <v>0</v>
      </c>
      <c r="BW279" s="13">
        <f t="shared" si="485"/>
        <v>0</v>
      </c>
      <c r="BX279" s="13">
        <f t="shared" si="485"/>
        <v>0</v>
      </c>
      <c r="BY279" s="13">
        <f t="shared" si="485"/>
        <v>0</v>
      </c>
      <c r="BZ279" s="13">
        <f t="shared" si="493"/>
        <v>0</v>
      </c>
      <c r="CA279" s="68">
        <f t="shared" si="466"/>
        <v>0</v>
      </c>
      <c r="CB279" s="268">
        <f t="shared" si="467"/>
        <v>0</v>
      </c>
      <c r="CC279" s="13">
        <f t="shared" si="468"/>
        <v>0</v>
      </c>
      <c r="CD279" s="13">
        <f t="shared" si="486"/>
        <v>0</v>
      </c>
      <c r="CE279" s="13">
        <f t="shared" si="486"/>
        <v>0</v>
      </c>
      <c r="CF279" s="13">
        <f t="shared" si="486"/>
        <v>0</v>
      </c>
      <c r="CG279" s="13">
        <f t="shared" si="486"/>
        <v>0</v>
      </c>
      <c r="CH279" s="13">
        <f t="shared" si="494"/>
        <v>0</v>
      </c>
      <c r="CI279" s="68">
        <f t="shared" si="469"/>
        <v>0</v>
      </c>
      <c r="CJ279" s="268">
        <f t="shared" si="470"/>
        <v>0</v>
      </c>
      <c r="CK279" s="13">
        <f t="shared" si="471"/>
        <v>0</v>
      </c>
      <c r="CL279" s="13">
        <f t="shared" si="495"/>
        <v>0</v>
      </c>
      <c r="CM279" s="13">
        <f t="shared" si="495"/>
        <v>0</v>
      </c>
      <c r="CN279" s="13">
        <f t="shared" si="495"/>
        <v>0</v>
      </c>
      <c r="CO279" s="13">
        <f t="shared" si="495"/>
        <v>0</v>
      </c>
      <c r="CP279" s="13">
        <f t="shared" si="495"/>
        <v>0</v>
      </c>
      <c r="CQ279" s="13">
        <f t="shared" si="496"/>
        <v>0</v>
      </c>
      <c r="CR279" s="68">
        <f t="shared" si="472"/>
        <v>0</v>
      </c>
      <c r="CS279" s="268">
        <f t="shared" si="473"/>
        <v>0</v>
      </c>
      <c r="CT279" s="68">
        <f t="shared" si="446"/>
        <v>200</v>
      </c>
      <c r="CU279" s="13">
        <f>SUMIFS(SALIDAS_BIT,FECHA_BIT,"&gt;="&amp;CU$2,FECHA_BIT,"&lt;="&amp;CU$3,CLAVE_BIT,$A279)+SUMIFS(SALIDAS_BOV1,FECHA_BOV1,"&gt;="&amp;CU$2,FECHA_BOV1,"&lt;="&amp;CU$3,CLAVE_BOV1,$A279)+SUMIFS(SALIDAS_BOV2,FECHA_BOV2,"&gt;="&amp;CU$2,FECHA_BOV2,"&lt;="&amp;CU$3,CLAVE_BOV2,$A279)+SUMIFS(SALIDAS_BOV3,FECHA_BOV3,"&gt;="&amp;CU$2,FECHA_BOV3,"&lt;="&amp;CU$3,CLAVE_BOV3,$A279)+SUMIFS(SALIDAS_TC,FECHA_TC,"&gt;="&amp;CU$2,FECHA_TC,"&lt;="&amp;CU$3,CLAVE_TC,$A279)+SUMIFS(SALIDAS_COMB,FECHA_COMB,"&gt;="&amp;CU$2,FECHA_COMB,"&lt;="&amp;CU$3,CLAVE_COMB,$A279)+SUMIFS(SALIDAS_DES,FECHA_DESGLOSEN,"&gt;="&amp;CU$2,FECHA_DESGLOSEN,"&lt;="&amp;CU$3,CLAVE_DESGLOSE,$A279)</f>
        <v>0</v>
      </c>
      <c r="CV279" s="13">
        <f>SUMIFS(SALIDAS_BIT,FECHA_BIT,"&gt;="&amp;CV$2,FECHA_BIT,"&lt;="&amp;CV$3,CLAVE_BIT,$A279)+SUMIFS(SALIDAS_BOV1,FECHA_BOV1,"&gt;="&amp;CV$2,FECHA_BOV1,"&lt;="&amp;CV$3,CLAVE_BOV1,$A279)+SUMIFS(SALIDAS_BOV2,FECHA_BOV2,"&gt;="&amp;CV$2,FECHA_BOV2,"&lt;="&amp;CV$3,CLAVE_BOV2,$A279)+SUMIFS(SALIDAS_BOV3,FECHA_BOV3,"&gt;="&amp;CV$2,FECHA_BOV3,"&lt;="&amp;CV$3,CLAVE_BOV3,$A279)+SUMIFS(SALIDAS_TC,FECHA_TC,"&gt;="&amp;CV$2,FECHA_TC,"&lt;="&amp;CV$3,CLAVE_TC,$A279)+SUMIFS(SALIDAS_COMB,FECHA_COMB,"&gt;="&amp;CV$2,FECHA_COMB,"&lt;="&amp;CV$3,CLAVE_COMB,$A279)+SUMIFS(SALIDAS_DES,FECHA_DESGLOSEN,"&gt;="&amp;CV$2,FECHA_DESGLOSEN,"&lt;="&amp;CV$3,CLAVE_DESGLOSE,$A279)</f>
        <v>0</v>
      </c>
      <c r="CW279" s="13">
        <f>SUMIFS(SALIDAS_BIT,FECHA_BIT,"&gt;="&amp;CW$2,FECHA_BIT,"&lt;="&amp;CW$3,CLAVE_BIT,$A279)+SUMIFS(SALIDAS_BOV1,FECHA_BOV1,"&gt;="&amp;CW$2,FECHA_BOV1,"&lt;="&amp;CW$3,CLAVE_BOV1,$A279)+SUMIFS(SALIDAS_BOV2,FECHA_BOV2,"&gt;="&amp;CW$2,FECHA_BOV2,"&lt;="&amp;CW$3,CLAVE_BOV2,$A279)+SUMIFS(SALIDAS_BOV3,FECHA_BOV3,"&gt;="&amp;CW$2,FECHA_BOV3,"&lt;="&amp;CW$3,CLAVE_BOV3,$A279)+SUMIFS(SALIDAS_TC,FECHA_TC,"&gt;="&amp;CW$2,FECHA_TC,"&lt;="&amp;CW$3,CLAVE_TC,$A279)+SUMIFS(SALIDAS_COMB,FECHA_COMB,"&gt;="&amp;CW$2,FECHA_COMB,"&lt;="&amp;CW$3,CLAVE_COMB,$A279)+SUMIFS(SALIDAS_DES,FECHA_DESGLOSEN,"&gt;="&amp;CW$2,FECHA_DESGLOSEN,"&lt;="&amp;CW$3,CLAVE_DESGLOSE,$A279)</f>
        <v>0</v>
      </c>
      <c r="CX279" s="13">
        <f>SUMIFS(SALIDAS_BIT,FECHA_BIT,"&gt;="&amp;CX$2,FECHA_BIT,"&lt;="&amp;CX$3,CLAVE_BIT,$A279)+SUMIFS(SALIDAS_BOV1,FECHA_BOV1,"&gt;="&amp;CX$2,FECHA_BOV1,"&lt;="&amp;CX$3,CLAVE_BOV1,$A279)+SUMIFS(SALIDAS_BOV2,FECHA_BOV2,"&gt;="&amp;CX$2,FECHA_BOV2,"&lt;="&amp;CX$3,CLAVE_BOV2,$A279)+SUMIFS(SALIDAS_BOV3,FECHA_BOV3,"&gt;="&amp;CX$2,FECHA_BOV3,"&lt;="&amp;CX$3,CLAVE_BOV3,$A279)+SUMIFS(SALIDAS_TC,FECHA_TC,"&gt;="&amp;CX$2,FECHA_TC,"&lt;="&amp;CX$3,CLAVE_TC,$A279)+SUMIFS(SALIDAS_COMB,FECHA_COMB,"&gt;="&amp;CX$2,FECHA_COMB,"&lt;="&amp;CX$3,CLAVE_COMB,$A279)+SUMIFS(SALIDAS_DES,FECHA_DESGLOSEN,"&gt;="&amp;CX$2,FECHA_DESGLOSEN,"&lt;="&amp;CX$3,CLAVE_DESGLOSE,$A279)</f>
        <v>0</v>
      </c>
      <c r="CY279" s="13">
        <f>SUMIFS(SALIDAS_BIT,FECHA_BIT,"&gt;="&amp;CY$2,FECHA_BIT,"&lt;="&amp;CY$3,CLAVE_BIT,$A279)+SUMIFS(SALIDAS_BOV1,FECHA_BOV1,"&gt;="&amp;CY$2,FECHA_BOV1,"&lt;="&amp;CY$3,CLAVE_BOV1,$A279)+SUMIFS(SALIDAS_BOV2,FECHA_BOV2,"&gt;="&amp;CY$2,FECHA_BOV2,"&lt;="&amp;CY$3,CLAVE_BOV2,$A279)+SUMIFS(SALIDAS_BOV3,FECHA_BOV3,"&gt;="&amp;CY$2,FECHA_BOV3,"&lt;="&amp;CY$3,CLAVE_BOV3,$A279)+SUMIFS(SALIDAS_TC,FECHA_TC,"&gt;="&amp;CY$2,FECHA_TC,"&lt;="&amp;CY$3,CLAVE_TC,$A279)+SUMIFS(SALIDAS_COMB,FECHA_COMB,"&gt;="&amp;CY$2,FECHA_COMB,"&lt;="&amp;CY$3,CLAVE_COMB,$A279)+SUMIFS(SALIDAS_DES,FECHA_DESGLOSEN,"&gt;="&amp;CY$2,FECHA_DESGLOSEN,"&lt;="&amp;CY$3,CLAVE_DESGLOSE,$A279)</f>
        <v>0</v>
      </c>
      <c r="CZ279" s="68">
        <f t="shared" si="474"/>
        <v>200</v>
      </c>
      <c r="DB279" s="17">
        <f>F279+N279+W279+AE279+AM279+AV279+BD279+BL279+BU279+CC279+CK279</f>
        <v>805</v>
      </c>
      <c r="DC279" s="17">
        <f>K279+T279+AB279+AJ279+AS279+BA279+BI279+BR279+BZ279+CH279+CQ279</f>
        <v>0</v>
      </c>
    </row>
    <row r="280" spans="1:107" hidden="1">
      <c r="A280" s="12" t="str">
        <f t="shared" si="447"/>
        <v>SERVICIOSTELEPEAJEINVENTARIOS</v>
      </c>
      <c r="B280">
        <v>282</v>
      </c>
      <c r="C280" t="s">
        <v>21</v>
      </c>
      <c r="D280" t="s">
        <v>186</v>
      </c>
      <c r="E280" t="s">
        <v>34</v>
      </c>
      <c r="F280" s="259">
        <f t="shared" si="440"/>
        <v>340</v>
      </c>
      <c r="G280" s="13">
        <f t="shared" si="487"/>
        <v>0</v>
      </c>
      <c r="H280" s="13">
        <f t="shared" si="487"/>
        <v>0</v>
      </c>
      <c r="I280" s="13">
        <f t="shared" si="487"/>
        <v>0</v>
      </c>
      <c r="J280" s="13">
        <f t="shared" si="487"/>
        <v>0</v>
      </c>
      <c r="K280" s="13">
        <f t="shared" si="487"/>
        <v>0</v>
      </c>
      <c r="L280" s="68">
        <f t="shared" si="448"/>
        <v>340</v>
      </c>
      <c r="M280" s="268">
        <f t="shared" si="449"/>
        <v>0</v>
      </c>
      <c r="N280" s="13">
        <f t="shared" si="441"/>
        <v>0</v>
      </c>
      <c r="O280" s="13">
        <f t="shared" si="488"/>
        <v>0</v>
      </c>
      <c r="P280" s="13">
        <f t="shared" si="488"/>
        <v>0</v>
      </c>
      <c r="Q280" s="13">
        <f t="shared" si="488"/>
        <v>0</v>
      </c>
      <c r="R280" s="13">
        <f t="shared" si="488"/>
        <v>0</v>
      </c>
      <c r="S280" s="13">
        <f t="shared" si="488"/>
        <v>0</v>
      </c>
      <c r="T280" s="13">
        <f t="shared" si="488"/>
        <v>0</v>
      </c>
      <c r="U280" s="68">
        <f t="shared" si="450"/>
        <v>0</v>
      </c>
      <c r="V280" s="268">
        <f t="shared" si="451"/>
        <v>0</v>
      </c>
      <c r="W280" s="13">
        <f t="shared" si="442"/>
        <v>0</v>
      </c>
      <c r="X280" s="13">
        <f t="shared" si="489"/>
        <v>0</v>
      </c>
      <c r="Y280" s="13">
        <f t="shared" si="489"/>
        <v>0</v>
      </c>
      <c r="Z280" s="13">
        <f t="shared" si="489"/>
        <v>0</v>
      </c>
      <c r="AA280" s="13">
        <f t="shared" si="489"/>
        <v>0</v>
      </c>
      <c r="AB280" s="13">
        <f t="shared" si="489"/>
        <v>0</v>
      </c>
      <c r="AC280" s="68">
        <f t="shared" si="452"/>
        <v>0</v>
      </c>
      <c r="AD280" s="268">
        <f t="shared" si="453"/>
        <v>0</v>
      </c>
      <c r="AE280" s="13">
        <f t="shared" si="443"/>
        <v>595</v>
      </c>
      <c r="AF280" s="13">
        <f t="shared" si="490"/>
        <v>0</v>
      </c>
      <c r="AG280" s="13">
        <f t="shared" si="490"/>
        <v>0</v>
      </c>
      <c r="AH280" s="13">
        <f t="shared" si="490"/>
        <v>0</v>
      </c>
      <c r="AI280" s="13">
        <f t="shared" si="490"/>
        <v>0</v>
      </c>
      <c r="AJ280" s="13">
        <f t="shared" si="490"/>
        <v>0</v>
      </c>
      <c r="AK280" s="68">
        <f t="shared" si="454"/>
        <v>595</v>
      </c>
      <c r="AL280" s="268">
        <f t="shared" si="455"/>
        <v>0</v>
      </c>
      <c r="AM280" s="13">
        <f t="shared" si="444"/>
        <v>255</v>
      </c>
      <c r="AN280" s="13">
        <f t="shared" si="491"/>
        <v>0</v>
      </c>
      <c r="AO280" s="13">
        <f t="shared" si="491"/>
        <v>0</v>
      </c>
      <c r="AP280" s="13">
        <f t="shared" si="491"/>
        <v>0</v>
      </c>
      <c r="AQ280" s="13">
        <f t="shared" si="491"/>
        <v>0</v>
      </c>
      <c r="AR280" s="13">
        <f t="shared" si="491"/>
        <v>0</v>
      </c>
      <c r="AS280" s="13">
        <f t="shared" si="491"/>
        <v>0</v>
      </c>
      <c r="AT280" s="68">
        <f>AM280-AS280</f>
        <v>255</v>
      </c>
      <c r="AU280" s="268">
        <f t="shared" si="456"/>
        <v>0</v>
      </c>
      <c r="AV280" s="13">
        <f t="shared" si="445"/>
        <v>0</v>
      </c>
      <c r="AW280" s="13">
        <f t="shared" si="421"/>
        <v>0</v>
      </c>
      <c r="AX280" s="13">
        <f t="shared" si="421"/>
        <v>0</v>
      </c>
      <c r="AY280" s="13">
        <f t="shared" si="421"/>
        <v>0</v>
      </c>
      <c r="AZ280" s="13">
        <f t="shared" si="421"/>
        <v>0</v>
      </c>
      <c r="BA280" s="13">
        <f t="shared" si="475"/>
        <v>0</v>
      </c>
      <c r="BB280" s="68">
        <f t="shared" si="457"/>
        <v>0</v>
      </c>
      <c r="BC280" s="268">
        <f t="shared" si="458"/>
        <v>0</v>
      </c>
      <c r="BD280" s="13">
        <f t="shared" si="459"/>
        <v>620</v>
      </c>
      <c r="BE280" s="13">
        <f>SUMIFS(SALIDAS_BIT,FECHA_BIT,"&gt;="&amp;BE$2,FECHA_BIT,"&lt;="&amp;BE$3,CLAVE_BIT,$A280)+SUMIFS(SALIDAS_BOV1,FECHA_BOV1,"&gt;="&amp;BE$2,FECHA_BOV1,"&lt;="&amp;BE$3,CLAVE_BOV1,$A280)+SUMIFS(SALIDAS_BOV2,FECHA_BOV2,"&gt;="&amp;BE$2,FECHA_BOV2,"&lt;="&amp;BE$3,CLAVE_BOV2,$A280)+SUMIFS(SALIDAS_BOV3,FECHA_BOV3,"&gt;="&amp;BE$2,FECHA_BOV3,"&lt;="&amp;BE$3,CLAVE_BOV3,$A280)+SUMIFS(SALIDAS_TC,FECHA_TC,"&gt;="&amp;BE$2,FECHA_TC,"&lt;="&amp;BE$3,CLAVE_TC,$A280)+SUMIFS(SALIDAS_COMB,FECHA_COMB,"&gt;="&amp;BE$2,FECHA_COMB,"&lt;="&amp;BE$3,CLAVE_COMB,$A280)+SUMIFS(SALIDAS_DES,FECHA_DESGLOSEN,"&gt;="&amp;BE$2,FECHA_DESGLOSEN,"&lt;="&amp;BE$3,CLAVE_DESGLOSE,$A280)</f>
        <v>0</v>
      </c>
      <c r="BF280" s="13">
        <f>SUMIFS(SALIDAS_BIT,FECHA_BIT,"&gt;="&amp;BF$2,FECHA_BIT,"&lt;="&amp;BF$3,CLAVE_BIT,$A280)+SUMIFS(SALIDAS_BOV1,FECHA_BOV1,"&gt;="&amp;BF$2,FECHA_BOV1,"&lt;="&amp;BF$3,CLAVE_BOV1,$A280)+SUMIFS(SALIDAS_BOV2,FECHA_BOV2,"&gt;="&amp;BF$2,FECHA_BOV2,"&lt;="&amp;BF$3,CLAVE_BOV2,$A280)+SUMIFS(SALIDAS_BOV3,FECHA_BOV3,"&gt;="&amp;BF$2,FECHA_BOV3,"&lt;="&amp;BF$3,CLAVE_BOV3,$A280)+SUMIFS(SALIDAS_TC,FECHA_TC,"&gt;="&amp;BF$2,FECHA_TC,"&lt;="&amp;BF$3,CLAVE_TC,$A280)+SUMIFS(SALIDAS_COMB,FECHA_COMB,"&gt;="&amp;BF$2,FECHA_COMB,"&lt;="&amp;BF$3,CLAVE_COMB,$A280)+SUMIFS(SALIDAS_DES,FECHA_DESGLOSEN,"&gt;="&amp;BF$2,FECHA_DESGLOSEN,"&lt;="&amp;BF$3,CLAVE_DESGLOSE,$A280)</f>
        <v>0</v>
      </c>
      <c r="BG280" s="13">
        <f>SUMIFS(SALIDAS_BIT,FECHA_BIT,"&gt;="&amp;BG$2,FECHA_BIT,"&lt;="&amp;BG$3,CLAVE_BIT,$A280)+SUMIFS(SALIDAS_BOV1,FECHA_BOV1,"&gt;="&amp;BG$2,FECHA_BOV1,"&lt;="&amp;BG$3,CLAVE_BOV1,$A280)+SUMIFS(SALIDAS_BOV2,FECHA_BOV2,"&gt;="&amp;BG$2,FECHA_BOV2,"&lt;="&amp;BG$3,CLAVE_BOV2,$A280)+SUMIFS(SALIDAS_BOV3,FECHA_BOV3,"&gt;="&amp;BG$2,FECHA_BOV3,"&lt;="&amp;BG$3,CLAVE_BOV3,$A280)+SUMIFS(SALIDAS_TC,FECHA_TC,"&gt;="&amp;BG$2,FECHA_TC,"&lt;="&amp;BG$3,CLAVE_TC,$A280)+SUMIFS(SALIDAS_COMB,FECHA_COMB,"&gt;="&amp;BG$2,FECHA_COMB,"&lt;="&amp;BG$3,CLAVE_COMB,$A280)+SUMIFS(SALIDAS_DES,FECHA_DESGLOSEN,"&gt;="&amp;BG$2,FECHA_DESGLOSEN,"&lt;="&amp;BG$3,CLAVE_DESGLOSE,$A280)</f>
        <v>0</v>
      </c>
      <c r="BH280" s="13">
        <f>SUMIFS(SALIDAS_BIT,FECHA_BIT,"&gt;="&amp;BH$2,FECHA_BIT,"&lt;="&amp;BH$3,CLAVE_BIT,$A280)+SUMIFS(SALIDAS_BOV1,FECHA_BOV1,"&gt;="&amp;BH$2,FECHA_BOV1,"&lt;="&amp;BH$3,CLAVE_BOV1,$A280)+SUMIFS(SALIDAS_BOV2,FECHA_BOV2,"&gt;="&amp;BH$2,FECHA_BOV2,"&lt;="&amp;BH$3,CLAVE_BOV2,$A280)+SUMIFS(SALIDAS_BOV3,FECHA_BOV3,"&gt;="&amp;BH$2,FECHA_BOV3,"&lt;="&amp;BH$3,CLAVE_BOV3,$A280)+SUMIFS(SALIDAS_TC,FECHA_TC,"&gt;="&amp;BH$2,FECHA_TC,"&lt;="&amp;BH$3,CLAVE_TC,$A280)+SUMIFS(SALIDAS_COMB,FECHA_COMB,"&gt;="&amp;BH$2,FECHA_COMB,"&lt;="&amp;BH$3,CLAVE_COMB,$A280)+SUMIFS(SALIDAS_DES,FECHA_DESGLOSEN,"&gt;="&amp;BH$2,FECHA_DESGLOSEN,"&lt;="&amp;BH$3,CLAVE_DESGLOSE,$A280)</f>
        <v>0</v>
      </c>
      <c r="BI280" s="13">
        <f t="shared" si="419"/>
        <v>0</v>
      </c>
      <c r="BJ280" s="68">
        <f t="shared" si="460"/>
        <v>620</v>
      </c>
      <c r="BK280" s="268">
        <f t="shared" si="461"/>
        <v>0</v>
      </c>
      <c r="BL280" s="13">
        <f t="shared" si="462"/>
        <v>740</v>
      </c>
      <c r="BM280" s="13">
        <f>SUMIFS(SALIDAS_BIT,FECHA_BIT,"&gt;="&amp;BM$2,FECHA_BIT,"&lt;="&amp;BM$3,CLAVE_BIT,$A280)+SUMIFS(SALIDAS_BOV1,FECHA_BOV1,"&gt;="&amp;BM$2,FECHA_BOV1,"&lt;="&amp;BM$3,CLAVE_BOV1,$A280)+SUMIFS(SALIDAS_BOV2,FECHA_BOV2,"&gt;="&amp;BM$2,FECHA_BOV2,"&lt;="&amp;BM$3,CLAVE_BOV2,$A280)+SUMIFS(SALIDAS_BOV3,FECHA_BOV3,"&gt;="&amp;BM$2,FECHA_BOV3,"&lt;="&amp;BM$3,CLAVE_BOV3,$A280)+SUMIFS(SALIDAS_TC,FECHA_TC,"&gt;="&amp;BM$2,FECHA_TC,"&lt;="&amp;BM$3,CLAVE_TC,$A280)+SUMIFS(SALIDAS_COMB,FECHA_COMB,"&gt;="&amp;BM$2,FECHA_COMB,"&lt;="&amp;BM$3,CLAVE_COMB,$A280)+SUMIFS(SALIDAS_DES,FECHA_DESGLOSEN,"&gt;="&amp;BM$2,FECHA_DESGLOSEN,"&lt;="&amp;BM$3,CLAVE_DESGLOSE,$A280)</f>
        <v>596</v>
      </c>
      <c r="BN280" s="13">
        <f>SUMIFS(SALIDAS_BIT,FECHA_BIT,"&gt;="&amp;BN$2,FECHA_BIT,"&lt;="&amp;BN$3,CLAVE_BIT,$A280)+SUMIFS(SALIDAS_BOV1,FECHA_BOV1,"&gt;="&amp;BN$2,FECHA_BOV1,"&lt;="&amp;BN$3,CLAVE_BOV1,$A280)+SUMIFS(SALIDAS_BOV2,FECHA_BOV2,"&gt;="&amp;BN$2,FECHA_BOV2,"&lt;="&amp;BN$3,CLAVE_BOV2,$A280)+SUMIFS(SALIDAS_BOV3,FECHA_BOV3,"&gt;="&amp;BN$2,FECHA_BOV3,"&lt;="&amp;BN$3,CLAVE_BOV3,$A280)+SUMIFS(SALIDAS_TC,FECHA_TC,"&gt;="&amp;BN$2,FECHA_TC,"&lt;="&amp;BN$3,CLAVE_TC,$A280)+SUMIFS(SALIDAS_COMB,FECHA_COMB,"&gt;="&amp;BN$2,FECHA_COMB,"&lt;="&amp;BN$3,CLAVE_COMB,$A280)+SUMIFS(SALIDAS_DES,FECHA_DESGLOSEN,"&gt;="&amp;BN$2,FECHA_DESGLOSEN,"&lt;="&amp;BN$3,CLAVE_DESGLOSE,$A280)</f>
        <v>0</v>
      </c>
      <c r="BO280" s="13">
        <f>SUMIFS(SALIDAS_BIT,FECHA_BIT,"&gt;="&amp;BO$2,FECHA_BIT,"&lt;="&amp;BO$3,CLAVE_BIT,$A280)+SUMIFS(SALIDAS_BOV1,FECHA_BOV1,"&gt;="&amp;BO$2,FECHA_BOV1,"&lt;="&amp;BO$3,CLAVE_BOV1,$A280)+SUMIFS(SALIDAS_BOV2,FECHA_BOV2,"&gt;="&amp;BO$2,FECHA_BOV2,"&lt;="&amp;BO$3,CLAVE_BOV2,$A280)+SUMIFS(SALIDAS_BOV3,FECHA_BOV3,"&gt;="&amp;BO$2,FECHA_BOV3,"&lt;="&amp;BO$3,CLAVE_BOV3,$A280)+SUMIFS(SALIDAS_TC,FECHA_TC,"&gt;="&amp;BO$2,FECHA_TC,"&lt;="&amp;BO$3,CLAVE_TC,$A280)+SUMIFS(SALIDAS_COMB,FECHA_COMB,"&gt;="&amp;BO$2,FECHA_COMB,"&lt;="&amp;BO$3,CLAVE_COMB,$A280)+SUMIFS(SALIDAS_DES,FECHA_DESGLOSEN,"&gt;="&amp;BO$2,FECHA_DESGLOSEN,"&lt;="&amp;BO$3,CLAVE_DESGLOSE,$A280)</f>
        <v>0</v>
      </c>
      <c r="BP280" s="13">
        <f>SUMIFS(SALIDAS_BIT,FECHA_BIT,"&gt;="&amp;BP$2,FECHA_BIT,"&lt;="&amp;BP$3,CLAVE_BIT,$A280)+SUMIFS(SALIDAS_BOV1,FECHA_BOV1,"&gt;="&amp;BP$2,FECHA_BOV1,"&lt;="&amp;BP$3,CLAVE_BOV1,$A280)+SUMIFS(SALIDAS_BOV2,FECHA_BOV2,"&gt;="&amp;BP$2,FECHA_BOV2,"&lt;="&amp;BP$3,CLAVE_BOV2,$A280)+SUMIFS(SALIDAS_BOV3,FECHA_BOV3,"&gt;="&amp;BP$2,FECHA_BOV3,"&lt;="&amp;BP$3,CLAVE_BOV3,$A280)+SUMIFS(SALIDAS_TC,FECHA_TC,"&gt;="&amp;BP$2,FECHA_TC,"&lt;="&amp;BP$3,CLAVE_TC,$A280)+SUMIFS(SALIDAS_COMB,FECHA_COMB,"&gt;="&amp;BP$2,FECHA_COMB,"&lt;="&amp;BP$3,CLAVE_COMB,$A280)+SUMIFS(SALIDAS_DES,FECHA_DESGLOSEN,"&gt;="&amp;BP$2,FECHA_DESGLOSEN,"&lt;="&amp;BP$3,CLAVE_DESGLOSE,$A280)</f>
        <v>0</v>
      </c>
      <c r="BQ280" s="13">
        <f>SUMIFS(SALIDAS_BIT,FECHA_BIT,"&gt;="&amp;BQ$2,FECHA_BIT,"&lt;="&amp;BQ$3,CLAVE_BIT,$A280)+SUMIFS(SALIDAS_BOV1,FECHA_BOV1,"&gt;="&amp;BQ$2,FECHA_BOV1,"&lt;="&amp;BQ$3,CLAVE_BOV1,$A280)+SUMIFS(SALIDAS_BOV2,FECHA_BOV2,"&gt;="&amp;BQ$2,FECHA_BOV2,"&lt;="&amp;BQ$3,CLAVE_BOV2,$A280)+SUMIFS(SALIDAS_BOV3,FECHA_BOV3,"&gt;="&amp;BQ$2,FECHA_BOV3,"&lt;="&amp;BQ$3,CLAVE_BOV3,$A280)+SUMIFS(SALIDAS_TC,FECHA_TC,"&gt;="&amp;BQ$2,FECHA_TC,"&lt;="&amp;BQ$3,CLAVE_TC,$A280)+SUMIFS(SALIDAS_COMB,FECHA_COMB,"&gt;="&amp;BQ$2,FECHA_COMB,"&lt;="&amp;BQ$3,CLAVE_COMB,$A280)+SUMIFS(SALIDAS_DES,FECHA_DESGLOSEN,"&gt;="&amp;BQ$2,FECHA_DESGLOSEN,"&lt;="&amp;BQ$3,CLAVE_DESGLOSE,$A280)</f>
        <v>0</v>
      </c>
      <c r="BR280" s="13">
        <f t="shared" si="492"/>
        <v>596</v>
      </c>
      <c r="BS280" s="68">
        <f t="shared" si="463"/>
        <v>144</v>
      </c>
      <c r="BT280" s="268">
        <f t="shared" si="464"/>
        <v>0.80540540540540539</v>
      </c>
      <c r="BU280" s="13">
        <f t="shared" si="465"/>
        <v>0</v>
      </c>
      <c r="BV280" s="13">
        <f t="shared" si="485"/>
        <v>0</v>
      </c>
      <c r="BW280" s="13">
        <f t="shared" si="485"/>
        <v>0</v>
      </c>
      <c r="BX280" s="13">
        <f t="shared" si="485"/>
        <v>0</v>
      </c>
      <c r="BY280" s="13">
        <f t="shared" si="485"/>
        <v>0</v>
      </c>
      <c r="BZ280" s="13">
        <f t="shared" si="493"/>
        <v>0</v>
      </c>
      <c r="CA280" s="68">
        <f t="shared" si="466"/>
        <v>0</v>
      </c>
      <c r="CB280" s="268">
        <f t="shared" si="467"/>
        <v>0</v>
      </c>
      <c r="CC280" s="13">
        <f t="shared" si="468"/>
        <v>0</v>
      </c>
      <c r="CD280" s="13">
        <f t="shared" si="486"/>
        <v>0</v>
      </c>
      <c r="CE280" s="13">
        <f t="shared" si="486"/>
        <v>0</v>
      </c>
      <c r="CF280" s="13">
        <f t="shared" si="486"/>
        <v>0</v>
      </c>
      <c r="CG280" s="13">
        <f t="shared" si="486"/>
        <v>0</v>
      </c>
      <c r="CH280" s="13">
        <f t="shared" si="494"/>
        <v>0</v>
      </c>
      <c r="CI280" s="68">
        <f t="shared" si="469"/>
        <v>0</v>
      </c>
      <c r="CJ280" s="268">
        <f t="shared" si="470"/>
        <v>0</v>
      </c>
      <c r="CK280" s="13">
        <f t="shared" si="471"/>
        <v>0</v>
      </c>
      <c r="CL280" s="13">
        <f t="shared" si="495"/>
        <v>0</v>
      </c>
      <c r="CM280" s="13">
        <f t="shared" si="495"/>
        <v>0</v>
      </c>
      <c r="CN280" s="13">
        <f t="shared" si="495"/>
        <v>0</v>
      </c>
      <c r="CO280" s="13">
        <f t="shared" si="495"/>
        <v>0</v>
      </c>
      <c r="CP280" s="13">
        <f t="shared" si="495"/>
        <v>0</v>
      </c>
      <c r="CQ280" s="13">
        <f t="shared" si="496"/>
        <v>0</v>
      </c>
      <c r="CR280" s="68">
        <f t="shared" si="472"/>
        <v>0</v>
      </c>
      <c r="CS280" s="268">
        <f t="shared" si="473"/>
        <v>0</v>
      </c>
      <c r="CT280" s="68">
        <f t="shared" si="446"/>
        <v>200</v>
      </c>
      <c r="CU280" s="13">
        <f>SUMIFS(SALIDAS_BIT,FECHA_BIT,"&gt;="&amp;CU$2,FECHA_BIT,"&lt;="&amp;CU$3,CLAVE_BIT,$A280)+SUMIFS(SALIDAS_BOV1,FECHA_BOV1,"&gt;="&amp;CU$2,FECHA_BOV1,"&lt;="&amp;CU$3,CLAVE_BOV1,$A280)+SUMIFS(SALIDAS_BOV2,FECHA_BOV2,"&gt;="&amp;CU$2,FECHA_BOV2,"&lt;="&amp;CU$3,CLAVE_BOV2,$A280)+SUMIFS(SALIDAS_BOV3,FECHA_BOV3,"&gt;="&amp;CU$2,FECHA_BOV3,"&lt;="&amp;CU$3,CLAVE_BOV3,$A280)+SUMIFS(SALIDAS_TC,FECHA_TC,"&gt;="&amp;CU$2,FECHA_TC,"&lt;="&amp;CU$3,CLAVE_TC,$A280)+SUMIFS(SALIDAS_COMB,FECHA_COMB,"&gt;="&amp;CU$2,FECHA_COMB,"&lt;="&amp;CU$3,CLAVE_COMB,$A280)+SUMIFS(SALIDAS_DES,FECHA_DESGLOSEN,"&gt;="&amp;CU$2,FECHA_DESGLOSEN,"&lt;="&amp;CU$3,CLAVE_DESGLOSE,$A280)</f>
        <v>0</v>
      </c>
      <c r="CV280" s="13">
        <f>SUMIFS(SALIDAS_BIT,FECHA_BIT,"&gt;="&amp;CV$2,FECHA_BIT,"&lt;="&amp;CV$3,CLAVE_BIT,$A280)+SUMIFS(SALIDAS_BOV1,FECHA_BOV1,"&gt;="&amp;CV$2,FECHA_BOV1,"&lt;="&amp;CV$3,CLAVE_BOV1,$A280)+SUMIFS(SALIDAS_BOV2,FECHA_BOV2,"&gt;="&amp;CV$2,FECHA_BOV2,"&lt;="&amp;CV$3,CLAVE_BOV2,$A280)+SUMIFS(SALIDAS_BOV3,FECHA_BOV3,"&gt;="&amp;CV$2,FECHA_BOV3,"&lt;="&amp;CV$3,CLAVE_BOV3,$A280)+SUMIFS(SALIDAS_TC,FECHA_TC,"&gt;="&amp;CV$2,FECHA_TC,"&lt;="&amp;CV$3,CLAVE_TC,$A280)+SUMIFS(SALIDAS_COMB,FECHA_COMB,"&gt;="&amp;CV$2,FECHA_COMB,"&lt;="&amp;CV$3,CLAVE_COMB,$A280)+SUMIFS(SALIDAS_DES,FECHA_DESGLOSEN,"&gt;="&amp;CV$2,FECHA_DESGLOSEN,"&lt;="&amp;CV$3,CLAVE_DESGLOSE,$A280)</f>
        <v>0</v>
      </c>
      <c r="CW280" s="13">
        <f>SUMIFS(SALIDAS_BIT,FECHA_BIT,"&gt;="&amp;CW$2,FECHA_BIT,"&lt;="&amp;CW$3,CLAVE_BIT,$A280)+SUMIFS(SALIDAS_BOV1,FECHA_BOV1,"&gt;="&amp;CW$2,FECHA_BOV1,"&lt;="&amp;CW$3,CLAVE_BOV1,$A280)+SUMIFS(SALIDAS_BOV2,FECHA_BOV2,"&gt;="&amp;CW$2,FECHA_BOV2,"&lt;="&amp;CW$3,CLAVE_BOV2,$A280)+SUMIFS(SALIDAS_BOV3,FECHA_BOV3,"&gt;="&amp;CW$2,FECHA_BOV3,"&lt;="&amp;CW$3,CLAVE_BOV3,$A280)+SUMIFS(SALIDAS_TC,FECHA_TC,"&gt;="&amp;CW$2,FECHA_TC,"&lt;="&amp;CW$3,CLAVE_TC,$A280)+SUMIFS(SALIDAS_COMB,FECHA_COMB,"&gt;="&amp;CW$2,FECHA_COMB,"&lt;="&amp;CW$3,CLAVE_COMB,$A280)+SUMIFS(SALIDAS_DES,FECHA_DESGLOSEN,"&gt;="&amp;CW$2,FECHA_DESGLOSEN,"&lt;="&amp;CW$3,CLAVE_DESGLOSE,$A280)</f>
        <v>0</v>
      </c>
      <c r="CX280" s="13">
        <f>SUMIFS(SALIDAS_BIT,FECHA_BIT,"&gt;="&amp;CX$2,FECHA_BIT,"&lt;="&amp;CX$3,CLAVE_BIT,$A280)+SUMIFS(SALIDAS_BOV1,FECHA_BOV1,"&gt;="&amp;CX$2,FECHA_BOV1,"&lt;="&amp;CX$3,CLAVE_BOV1,$A280)+SUMIFS(SALIDAS_BOV2,FECHA_BOV2,"&gt;="&amp;CX$2,FECHA_BOV2,"&lt;="&amp;CX$3,CLAVE_BOV2,$A280)+SUMIFS(SALIDAS_BOV3,FECHA_BOV3,"&gt;="&amp;CX$2,FECHA_BOV3,"&lt;="&amp;CX$3,CLAVE_BOV3,$A280)+SUMIFS(SALIDAS_TC,FECHA_TC,"&gt;="&amp;CX$2,FECHA_TC,"&lt;="&amp;CX$3,CLAVE_TC,$A280)+SUMIFS(SALIDAS_COMB,FECHA_COMB,"&gt;="&amp;CX$2,FECHA_COMB,"&lt;="&amp;CX$3,CLAVE_COMB,$A280)+SUMIFS(SALIDAS_DES,FECHA_DESGLOSEN,"&gt;="&amp;CX$2,FECHA_DESGLOSEN,"&lt;="&amp;CX$3,CLAVE_DESGLOSE,$A280)</f>
        <v>0</v>
      </c>
      <c r="CY280" s="13">
        <f>SUMIFS(SALIDAS_BIT,FECHA_BIT,"&gt;="&amp;CY$2,FECHA_BIT,"&lt;="&amp;CY$3,CLAVE_BIT,$A280)+SUMIFS(SALIDAS_BOV1,FECHA_BOV1,"&gt;="&amp;CY$2,FECHA_BOV1,"&lt;="&amp;CY$3,CLAVE_BOV1,$A280)+SUMIFS(SALIDAS_BOV2,FECHA_BOV2,"&gt;="&amp;CY$2,FECHA_BOV2,"&lt;="&amp;CY$3,CLAVE_BOV2,$A280)+SUMIFS(SALIDAS_BOV3,FECHA_BOV3,"&gt;="&amp;CY$2,FECHA_BOV3,"&lt;="&amp;CY$3,CLAVE_BOV3,$A280)+SUMIFS(SALIDAS_TC,FECHA_TC,"&gt;="&amp;CY$2,FECHA_TC,"&lt;="&amp;CY$3,CLAVE_TC,$A280)+SUMIFS(SALIDAS_COMB,FECHA_COMB,"&gt;="&amp;CY$2,FECHA_COMB,"&lt;="&amp;CY$3,CLAVE_COMB,$A280)+SUMIFS(SALIDAS_DES,FECHA_DESGLOSEN,"&gt;="&amp;CY$2,FECHA_DESGLOSEN,"&lt;="&amp;CY$3,CLAVE_DESGLOSE,$A280)</f>
        <v>0</v>
      </c>
      <c r="CZ280" s="68">
        <f t="shared" si="474"/>
        <v>200</v>
      </c>
      <c r="DB280" s="17">
        <f>F280+N280+W280+AE280+AM280+AV280+BD280+BL280+BU280+CC280+CK280</f>
        <v>2550</v>
      </c>
      <c r="DC280" s="17">
        <f>K280+T280+AB280+AJ280+AS280+BA280+BI280+BR280+BZ280+CH280+CQ280</f>
        <v>596</v>
      </c>
    </row>
    <row r="281" spans="1:107" hidden="1">
      <c r="A281" s="12" t="str">
        <f t="shared" si="447"/>
        <v>FINANZASTELEPEAJEFINANZAS</v>
      </c>
      <c r="B281">
        <v>283</v>
      </c>
      <c r="C281" t="s">
        <v>23</v>
      </c>
      <c r="D281" t="s">
        <v>186</v>
      </c>
      <c r="E281" t="s">
        <v>23</v>
      </c>
      <c r="F281" s="259">
        <f t="shared" si="440"/>
        <v>0</v>
      </c>
      <c r="G281" s="13">
        <f t="shared" si="487"/>
        <v>0</v>
      </c>
      <c r="H281" s="13">
        <f t="shared" si="487"/>
        <v>658</v>
      </c>
      <c r="I281" s="13">
        <f t="shared" si="487"/>
        <v>0</v>
      </c>
      <c r="J281" s="13">
        <f t="shared" si="487"/>
        <v>596</v>
      </c>
      <c r="K281" s="13">
        <f t="shared" si="487"/>
        <v>1254</v>
      </c>
      <c r="L281" s="68">
        <f t="shared" si="448"/>
        <v>-1254</v>
      </c>
      <c r="M281" s="268">
        <f t="shared" si="449"/>
        <v>0</v>
      </c>
      <c r="N281" s="13">
        <f t="shared" si="441"/>
        <v>974</v>
      </c>
      <c r="O281" s="13">
        <f t="shared" si="488"/>
        <v>0</v>
      </c>
      <c r="P281" s="13">
        <f t="shared" si="488"/>
        <v>0</v>
      </c>
      <c r="Q281" s="13">
        <f t="shared" si="488"/>
        <v>0</v>
      </c>
      <c r="R281" s="13">
        <f t="shared" si="488"/>
        <v>1366</v>
      </c>
      <c r="S281" s="13">
        <f t="shared" si="488"/>
        <v>0</v>
      </c>
      <c r="T281" s="13">
        <f t="shared" si="488"/>
        <v>1366</v>
      </c>
      <c r="U281" s="68">
        <f t="shared" si="450"/>
        <v>-392</v>
      </c>
      <c r="V281" s="268">
        <f t="shared" si="451"/>
        <v>1.4024640657084189</v>
      </c>
      <c r="W281" s="13">
        <f t="shared" si="442"/>
        <v>170</v>
      </c>
      <c r="X281" s="13">
        <f t="shared" si="489"/>
        <v>0</v>
      </c>
      <c r="Y281" s="13">
        <f t="shared" si="489"/>
        <v>1014</v>
      </c>
      <c r="Z281" s="13">
        <f t="shared" si="489"/>
        <v>658</v>
      </c>
      <c r="AA281" s="13">
        <f t="shared" si="489"/>
        <v>0</v>
      </c>
      <c r="AB281" s="13">
        <f t="shared" si="489"/>
        <v>1672</v>
      </c>
      <c r="AC281" s="68">
        <f t="shared" si="452"/>
        <v>-1502</v>
      </c>
      <c r="AD281" s="268">
        <f t="shared" si="453"/>
        <v>9.8352941176470594</v>
      </c>
      <c r="AE281" s="13">
        <f t="shared" si="443"/>
        <v>170</v>
      </c>
      <c r="AF281" s="13">
        <f t="shared" si="490"/>
        <v>0</v>
      </c>
      <c r="AG281" s="13">
        <f t="shared" si="490"/>
        <v>294</v>
      </c>
      <c r="AH281" s="13">
        <f t="shared" si="490"/>
        <v>0</v>
      </c>
      <c r="AI281" s="13">
        <f t="shared" si="490"/>
        <v>0</v>
      </c>
      <c r="AJ281" s="13">
        <f t="shared" si="490"/>
        <v>294</v>
      </c>
      <c r="AK281" s="68">
        <f t="shared" si="454"/>
        <v>-124</v>
      </c>
      <c r="AL281" s="268">
        <f t="shared" si="455"/>
        <v>1.7294117647058824</v>
      </c>
      <c r="AM281" s="13">
        <f t="shared" si="444"/>
        <v>628</v>
      </c>
      <c r="AN281" s="13">
        <f t="shared" si="491"/>
        <v>0</v>
      </c>
      <c r="AO281" s="13">
        <f t="shared" si="491"/>
        <v>178</v>
      </c>
      <c r="AP281" s="13">
        <f t="shared" si="491"/>
        <v>0</v>
      </c>
      <c r="AQ281" s="13">
        <f t="shared" si="491"/>
        <v>836</v>
      </c>
      <c r="AR281" s="13">
        <f t="shared" si="491"/>
        <v>0</v>
      </c>
      <c r="AS281" s="13">
        <f t="shared" si="491"/>
        <v>1014</v>
      </c>
      <c r="AT281" s="68">
        <f>AM281-AS281</f>
        <v>-386</v>
      </c>
      <c r="AU281" s="268">
        <f t="shared" si="456"/>
        <v>1.6146496815286624</v>
      </c>
      <c r="AV281" s="13">
        <f t="shared" si="445"/>
        <v>0</v>
      </c>
      <c r="AW281" s="13">
        <f t="shared" si="421"/>
        <v>0</v>
      </c>
      <c r="AX281" s="13">
        <f t="shared" si="421"/>
        <v>658</v>
      </c>
      <c r="AY281" s="13">
        <f t="shared" si="421"/>
        <v>836</v>
      </c>
      <c r="AZ281" s="13">
        <f t="shared" si="421"/>
        <v>0</v>
      </c>
      <c r="BA281" s="13">
        <f t="shared" si="475"/>
        <v>1494</v>
      </c>
      <c r="BB281" s="68">
        <f t="shared" si="457"/>
        <v>-1494</v>
      </c>
      <c r="BC281" s="268">
        <f t="shared" si="458"/>
        <v>0</v>
      </c>
      <c r="BD281" s="13">
        <f t="shared" si="459"/>
        <v>2651</v>
      </c>
      <c r="BE281" s="13">
        <f>SUMIFS(SALIDAS_BIT,FECHA_BIT,"&gt;="&amp;BE$2,FECHA_BIT,"&lt;="&amp;BE$3,CLAVE_BIT,$A281)+SUMIFS(SALIDAS_BOV1,FECHA_BOV1,"&gt;="&amp;BE$2,FECHA_BOV1,"&lt;="&amp;BE$3,CLAVE_BOV1,$A281)+SUMIFS(SALIDAS_BOV2,FECHA_BOV2,"&gt;="&amp;BE$2,FECHA_BOV2,"&lt;="&amp;BE$3,CLAVE_BOV2,$A281)+SUMIFS(SALIDAS_BOV3,FECHA_BOV3,"&gt;="&amp;BE$2,FECHA_BOV3,"&lt;="&amp;BE$3,CLAVE_BOV3,$A281)+SUMIFS(SALIDAS_TC,FECHA_TC,"&gt;="&amp;BE$2,FECHA_TC,"&lt;="&amp;BE$3,CLAVE_TC,$A281)+SUMIFS(SALIDAS_COMB,FECHA_COMB,"&gt;="&amp;BE$2,FECHA_COMB,"&lt;="&amp;BE$3,CLAVE_COMB,$A281)+SUMIFS(SALIDAS_DES,FECHA_DESGLOSEN,"&gt;="&amp;BE$2,FECHA_DESGLOSEN,"&lt;="&amp;BE$3,CLAVE_DESGLOSE,$A281)</f>
        <v>0</v>
      </c>
      <c r="BF281" s="13">
        <f>SUMIFS(SALIDAS_BIT,FECHA_BIT,"&gt;="&amp;BF$2,FECHA_BIT,"&lt;="&amp;BF$3,CLAVE_BIT,$A281)+SUMIFS(SALIDAS_BOV1,FECHA_BOV1,"&gt;="&amp;BF$2,FECHA_BOV1,"&lt;="&amp;BF$3,CLAVE_BOV1,$A281)+SUMIFS(SALIDAS_BOV2,FECHA_BOV2,"&gt;="&amp;BF$2,FECHA_BOV2,"&lt;="&amp;BF$3,CLAVE_BOV2,$A281)+SUMIFS(SALIDAS_BOV3,FECHA_BOV3,"&gt;="&amp;BF$2,FECHA_BOV3,"&lt;="&amp;BF$3,CLAVE_BOV3,$A281)+SUMIFS(SALIDAS_TC,FECHA_TC,"&gt;="&amp;BF$2,FECHA_TC,"&lt;="&amp;BF$3,CLAVE_TC,$A281)+SUMIFS(SALIDAS_COMB,FECHA_COMB,"&gt;="&amp;BF$2,FECHA_COMB,"&lt;="&amp;BF$3,CLAVE_COMB,$A281)+SUMIFS(SALIDAS_DES,FECHA_DESGLOSEN,"&gt;="&amp;BF$2,FECHA_DESGLOSEN,"&lt;="&amp;BF$3,CLAVE_DESGLOSE,$A281)</f>
        <v>0</v>
      </c>
      <c r="BG281" s="13">
        <f>SUMIFS(SALIDAS_BIT,FECHA_BIT,"&gt;="&amp;BG$2,FECHA_BIT,"&lt;="&amp;BG$3,CLAVE_BIT,$A281)+SUMIFS(SALIDAS_BOV1,FECHA_BOV1,"&gt;="&amp;BG$2,FECHA_BOV1,"&lt;="&amp;BG$3,CLAVE_BOV1,$A281)+SUMIFS(SALIDAS_BOV2,FECHA_BOV2,"&gt;="&amp;BG$2,FECHA_BOV2,"&lt;="&amp;BG$3,CLAVE_BOV2,$A281)+SUMIFS(SALIDAS_BOV3,FECHA_BOV3,"&gt;="&amp;BG$2,FECHA_BOV3,"&lt;="&amp;BG$3,CLAVE_BOV3,$A281)+SUMIFS(SALIDAS_TC,FECHA_TC,"&gt;="&amp;BG$2,FECHA_TC,"&lt;="&amp;BG$3,CLAVE_TC,$A281)+SUMIFS(SALIDAS_COMB,FECHA_COMB,"&gt;="&amp;BG$2,FECHA_COMB,"&lt;="&amp;BG$3,CLAVE_COMB,$A281)+SUMIFS(SALIDAS_DES,FECHA_DESGLOSEN,"&gt;="&amp;BG$2,FECHA_DESGLOSEN,"&lt;="&amp;BG$3,CLAVE_DESGLOSE,$A281)</f>
        <v>0</v>
      </c>
      <c r="BH281" s="13">
        <f>SUMIFS(SALIDAS_BIT,FECHA_BIT,"&gt;="&amp;BH$2,FECHA_BIT,"&lt;="&amp;BH$3,CLAVE_BIT,$A281)+SUMIFS(SALIDAS_BOV1,FECHA_BOV1,"&gt;="&amp;BH$2,FECHA_BOV1,"&lt;="&amp;BH$3,CLAVE_BOV1,$A281)+SUMIFS(SALIDAS_BOV2,FECHA_BOV2,"&gt;="&amp;BH$2,FECHA_BOV2,"&lt;="&amp;BH$3,CLAVE_BOV2,$A281)+SUMIFS(SALIDAS_BOV3,FECHA_BOV3,"&gt;="&amp;BH$2,FECHA_BOV3,"&lt;="&amp;BH$3,CLAVE_BOV3,$A281)+SUMIFS(SALIDAS_TC,FECHA_TC,"&gt;="&amp;BH$2,FECHA_TC,"&lt;="&amp;BH$3,CLAVE_TC,$A281)+SUMIFS(SALIDAS_COMB,FECHA_COMB,"&gt;="&amp;BH$2,FECHA_COMB,"&lt;="&amp;BH$3,CLAVE_COMB,$A281)+SUMIFS(SALIDAS_DES,FECHA_DESGLOSEN,"&gt;="&amp;BH$2,FECHA_DESGLOSEN,"&lt;="&amp;BH$3,CLAVE_DESGLOSE,$A281)</f>
        <v>472</v>
      </c>
      <c r="BI281" s="13">
        <f t="shared" si="419"/>
        <v>472</v>
      </c>
      <c r="BJ281" s="68">
        <f t="shared" si="460"/>
        <v>2179</v>
      </c>
      <c r="BK281" s="268">
        <f t="shared" si="461"/>
        <v>0.17804602036967182</v>
      </c>
      <c r="BL281" s="13">
        <f t="shared" si="462"/>
        <v>968</v>
      </c>
      <c r="BM281" s="13">
        <f>SUMIFS(SALIDAS_BIT,FECHA_BIT,"&gt;="&amp;BM$2,FECHA_BIT,"&lt;="&amp;BM$3,CLAVE_BIT,$A281)+SUMIFS(SALIDAS_BOV1,FECHA_BOV1,"&gt;="&amp;BM$2,FECHA_BOV1,"&lt;="&amp;BM$3,CLAVE_BOV1,$A281)+SUMIFS(SALIDAS_BOV2,FECHA_BOV2,"&gt;="&amp;BM$2,FECHA_BOV2,"&lt;="&amp;BM$3,CLAVE_BOV2,$A281)+SUMIFS(SALIDAS_BOV3,FECHA_BOV3,"&gt;="&amp;BM$2,FECHA_BOV3,"&lt;="&amp;BM$3,CLAVE_BOV3,$A281)+SUMIFS(SALIDAS_TC,FECHA_TC,"&gt;="&amp;BM$2,FECHA_TC,"&lt;="&amp;BM$3,CLAVE_TC,$A281)+SUMIFS(SALIDAS_COMB,FECHA_COMB,"&gt;="&amp;BM$2,FECHA_COMB,"&lt;="&amp;BM$3,CLAVE_COMB,$A281)+SUMIFS(SALIDAS_DES,FECHA_DESGLOSEN,"&gt;="&amp;BM$2,FECHA_DESGLOSEN,"&lt;="&amp;BM$3,CLAVE_DESGLOSE,$A281)</f>
        <v>786</v>
      </c>
      <c r="BN281" s="13">
        <f>SUMIFS(SALIDAS_BIT,FECHA_BIT,"&gt;="&amp;BN$2,FECHA_BIT,"&lt;="&amp;BN$3,CLAVE_BIT,$A281)+SUMIFS(SALIDAS_BOV1,FECHA_BOV1,"&gt;="&amp;BN$2,FECHA_BOV1,"&lt;="&amp;BN$3,CLAVE_BOV1,$A281)+SUMIFS(SALIDAS_BOV2,FECHA_BOV2,"&gt;="&amp;BN$2,FECHA_BOV2,"&lt;="&amp;BN$3,CLAVE_BOV2,$A281)+SUMIFS(SALIDAS_BOV3,FECHA_BOV3,"&gt;="&amp;BN$2,FECHA_BOV3,"&lt;="&amp;BN$3,CLAVE_BOV3,$A281)+SUMIFS(SALIDAS_TC,FECHA_TC,"&gt;="&amp;BN$2,FECHA_TC,"&lt;="&amp;BN$3,CLAVE_TC,$A281)+SUMIFS(SALIDAS_COMB,FECHA_COMB,"&gt;="&amp;BN$2,FECHA_COMB,"&lt;="&amp;BN$3,CLAVE_COMB,$A281)+SUMIFS(SALIDAS_DES,FECHA_DESGLOSEN,"&gt;="&amp;BN$2,FECHA_DESGLOSEN,"&lt;="&amp;BN$3,CLAVE_DESGLOSE,$A281)</f>
        <v>0</v>
      </c>
      <c r="BO281" s="13">
        <f>SUMIFS(SALIDAS_BIT,FECHA_BIT,"&gt;="&amp;BO$2,FECHA_BIT,"&lt;="&amp;BO$3,CLAVE_BIT,$A281)+SUMIFS(SALIDAS_BOV1,FECHA_BOV1,"&gt;="&amp;BO$2,FECHA_BOV1,"&lt;="&amp;BO$3,CLAVE_BOV1,$A281)+SUMIFS(SALIDAS_BOV2,FECHA_BOV2,"&gt;="&amp;BO$2,FECHA_BOV2,"&lt;="&amp;BO$3,CLAVE_BOV2,$A281)+SUMIFS(SALIDAS_BOV3,FECHA_BOV3,"&gt;="&amp;BO$2,FECHA_BOV3,"&lt;="&amp;BO$3,CLAVE_BOV3,$A281)+SUMIFS(SALIDAS_TC,FECHA_TC,"&gt;="&amp;BO$2,FECHA_TC,"&lt;="&amp;BO$3,CLAVE_TC,$A281)+SUMIFS(SALIDAS_COMB,FECHA_COMB,"&gt;="&amp;BO$2,FECHA_COMB,"&lt;="&amp;BO$3,CLAVE_COMB,$A281)+SUMIFS(SALIDAS_DES,FECHA_DESGLOSEN,"&gt;="&amp;BO$2,FECHA_DESGLOSEN,"&lt;="&amp;BO$3,CLAVE_DESGLOSE,$A281)</f>
        <v>294</v>
      </c>
      <c r="BP281" s="13">
        <f>SUMIFS(SALIDAS_BIT,FECHA_BIT,"&gt;="&amp;BP$2,FECHA_BIT,"&lt;="&amp;BP$3,CLAVE_BIT,$A281)+SUMIFS(SALIDAS_BOV1,FECHA_BOV1,"&gt;="&amp;BP$2,FECHA_BOV1,"&lt;="&amp;BP$3,CLAVE_BOV1,$A281)+SUMIFS(SALIDAS_BOV2,FECHA_BOV2,"&gt;="&amp;BP$2,FECHA_BOV2,"&lt;="&amp;BP$3,CLAVE_BOV2,$A281)+SUMIFS(SALIDAS_BOV3,FECHA_BOV3,"&gt;="&amp;BP$2,FECHA_BOV3,"&lt;="&amp;BP$3,CLAVE_BOV3,$A281)+SUMIFS(SALIDAS_TC,FECHA_TC,"&gt;="&amp;BP$2,FECHA_TC,"&lt;="&amp;BP$3,CLAVE_TC,$A281)+SUMIFS(SALIDAS_COMB,FECHA_COMB,"&gt;="&amp;BP$2,FECHA_COMB,"&lt;="&amp;BP$3,CLAVE_COMB,$A281)+SUMIFS(SALIDAS_DES,FECHA_DESGLOSEN,"&gt;="&amp;BP$2,FECHA_DESGLOSEN,"&lt;="&amp;BP$3,CLAVE_DESGLOSE,$A281)</f>
        <v>0</v>
      </c>
      <c r="BQ281" s="13">
        <f>SUMIFS(SALIDAS_BIT,FECHA_BIT,"&gt;="&amp;BQ$2,FECHA_BIT,"&lt;="&amp;BQ$3,CLAVE_BIT,$A281)+SUMIFS(SALIDAS_BOV1,FECHA_BOV1,"&gt;="&amp;BQ$2,FECHA_BOV1,"&lt;="&amp;BQ$3,CLAVE_BOV1,$A281)+SUMIFS(SALIDAS_BOV2,FECHA_BOV2,"&gt;="&amp;BQ$2,FECHA_BOV2,"&lt;="&amp;BQ$3,CLAVE_BOV2,$A281)+SUMIFS(SALIDAS_BOV3,FECHA_BOV3,"&gt;="&amp;BQ$2,FECHA_BOV3,"&lt;="&amp;BQ$3,CLAVE_BOV3,$A281)+SUMIFS(SALIDAS_TC,FECHA_TC,"&gt;="&amp;BQ$2,FECHA_TC,"&lt;="&amp;BQ$3,CLAVE_TC,$A281)+SUMIFS(SALIDAS_COMB,FECHA_COMB,"&gt;="&amp;BQ$2,FECHA_COMB,"&lt;="&amp;BQ$3,CLAVE_COMB,$A281)+SUMIFS(SALIDAS_DES,FECHA_DESGLOSEN,"&gt;="&amp;BQ$2,FECHA_DESGLOSEN,"&lt;="&amp;BQ$3,CLAVE_DESGLOSE,$A281)</f>
        <v>0</v>
      </c>
      <c r="BR281" s="13">
        <f t="shared" si="492"/>
        <v>1080</v>
      </c>
      <c r="BS281" s="68">
        <f t="shared" si="463"/>
        <v>-112</v>
      </c>
      <c r="BT281" s="268">
        <f t="shared" si="464"/>
        <v>1.115702479338843</v>
      </c>
      <c r="BU281" s="13">
        <f t="shared" si="465"/>
        <v>0</v>
      </c>
      <c r="BV281" s="13">
        <f t="shared" si="485"/>
        <v>0</v>
      </c>
      <c r="BW281" s="13">
        <f t="shared" si="485"/>
        <v>786</v>
      </c>
      <c r="BX281" s="13">
        <f t="shared" si="485"/>
        <v>0</v>
      </c>
      <c r="BY281" s="13">
        <f t="shared" si="485"/>
        <v>0</v>
      </c>
      <c r="BZ281" s="13">
        <f t="shared" si="493"/>
        <v>786</v>
      </c>
      <c r="CA281" s="68">
        <f t="shared" si="466"/>
        <v>-786</v>
      </c>
      <c r="CB281" s="268">
        <f t="shared" si="467"/>
        <v>0</v>
      </c>
      <c r="CC281" s="13">
        <f t="shared" si="468"/>
        <v>0</v>
      </c>
      <c r="CD281" s="13">
        <f t="shared" si="486"/>
        <v>0</v>
      </c>
      <c r="CE281" s="13">
        <f t="shared" si="486"/>
        <v>0</v>
      </c>
      <c r="CF281" s="13">
        <f t="shared" si="486"/>
        <v>0</v>
      </c>
      <c r="CG281" s="13">
        <f t="shared" si="486"/>
        <v>0</v>
      </c>
      <c r="CH281" s="13">
        <f t="shared" si="494"/>
        <v>0</v>
      </c>
      <c r="CI281" s="68">
        <f t="shared" si="469"/>
        <v>0</v>
      </c>
      <c r="CJ281" s="268">
        <f t="shared" si="470"/>
        <v>0</v>
      </c>
      <c r="CK281" s="13">
        <f t="shared" si="471"/>
        <v>0</v>
      </c>
      <c r="CL281" s="13">
        <f t="shared" si="495"/>
        <v>0</v>
      </c>
      <c r="CM281" s="13">
        <f t="shared" si="495"/>
        <v>0</v>
      </c>
      <c r="CN281" s="13">
        <f t="shared" si="495"/>
        <v>0</v>
      </c>
      <c r="CO281" s="13">
        <f t="shared" si="495"/>
        <v>0</v>
      </c>
      <c r="CP281" s="13">
        <f t="shared" si="495"/>
        <v>0</v>
      </c>
      <c r="CQ281" s="13">
        <f t="shared" si="496"/>
        <v>0</v>
      </c>
      <c r="CR281" s="68">
        <f t="shared" si="472"/>
        <v>0</v>
      </c>
      <c r="CS281" s="268">
        <f t="shared" si="473"/>
        <v>0</v>
      </c>
      <c r="CT281" s="68">
        <f t="shared" si="446"/>
        <v>1500</v>
      </c>
      <c r="CU281" s="13">
        <f>SUMIFS(SALIDAS_BIT,FECHA_BIT,"&gt;="&amp;CU$2,FECHA_BIT,"&lt;="&amp;CU$3,CLAVE_BIT,$A281)+SUMIFS(SALIDAS_BOV1,FECHA_BOV1,"&gt;="&amp;CU$2,FECHA_BOV1,"&lt;="&amp;CU$3,CLAVE_BOV1,$A281)+SUMIFS(SALIDAS_BOV2,FECHA_BOV2,"&gt;="&amp;CU$2,FECHA_BOV2,"&lt;="&amp;CU$3,CLAVE_BOV2,$A281)+SUMIFS(SALIDAS_BOV3,FECHA_BOV3,"&gt;="&amp;CU$2,FECHA_BOV3,"&lt;="&amp;CU$3,CLAVE_BOV3,$A281)+SUMIFS(SALIDAS_TC,FECHA_TC,"&gt;="&amp;CU$2,FECHA_TC,"&lt;="&amp;CU$3,CLAVE_TC,$A281)+SUMIFS(SALIDAS_COMB,FECHA_COMB,"&gt;="&amp;CU$2,FECHA_COMB,"&lt;="&amp;CU$3,CLAVE_COMB,$A281)+SUMIFS(SALIDAS_DES,FECHA_DESGLOSEN,"&gt;="&amp;CU$2,FECHA_DESGLOSEN,"&lt;="&amp;CU$3,CLAVE_DESGLOSE,$A281)</f>
        <v>178</v>
      </c>
      <c r="CV281" s="13">
        <f>SUMIFS(SALIDAS_BIT,FECHA_BIT,"&gt;="&amp;CV$2,FECHA_BIT,"&lt;="&amp;CV$3,CLAVE_BIT,$A281)+SUMIFS(SALIDAS_BOV1,FECHA_BOV1,"&gt;="&amp;CV$2,FECHA_BOV1,"&lt;="&amp;CV$3,CLAVE_BOV1,$A281)+SUMIFS(SALIDAS_BOV2,FECHA_BOV2,"&gt;="&amp;CV$2,FECHA_BOV2,"&lt;="&amp;CV$3,CLAVE_BOV2,$A281)+SUMIFS(SALIDAS_BOV3,FECHA_BOV3,"&gt;="&amp;CV$2,FECHA_BOV3,"&lt;="&amp;CV$3,CLAVE_BOV3,$A281)+SUMIFS(SALIDAS_TC,FECHA_TC,"&gt;="&amp;CV$2,FECHA_TC,"&lt;="&amp;CV$3,CLAVE_TC,$A281)+SUMIFS(SALIDAS_COMB,FECHA_COMB,"&gt;="&amp;CV$2,FECHA_COMB,"&lt;="&amp;CV$3,CLAVE_COMB,$A281)+SUMIFS(SALIDAS_DES,FECHA_DESGLOSEN,"&gt;="&amp;CV$2,FECHA_DESGLOSEN,"&lt;="&amp;CV$3,CLAVE_DESGLOSE,$A281)</f>
        <v>329</v>
      </c>
      <c r="CW281" s="13">
        <f>SUMIFS(SALIDAS_BIT,FECHA_BIT,"&gt;="&amp;CW$2,FECHA_BIT,"&lt;="&amp;CW$3,CLAVE_BIT,$A281)+SUMIFS(SALIDAS_BOV1,FECHA_BOV1,"&gt;="&amp;CW$2,FECHA_BOV1,"&lt;="&amp;CW$3,CLAVE_BOV1,$A281)+SUMIFS(SALIDAS_BOV2,FECHA_BOV2,"&gt;="&amp;CW$2,FECHA_BOV2,"&lt;="&amp;CW$3,CLAVE_BOV2,$A281)+SUMIFS(SALIDAS_BOV3,FECHA_BOV3,"&gt;="&amp;CW$2,FECHA_BOV3,"&lt;="&amp;CW$3,CLAVE_BOV3,$A281)+SUMIFS(SALIDAS_TC,FECHA_TC,"&gt;="&amp;CW$2,FECHA_TC,"&lt;="&amp;CW$3,CLAVE_TC,$A281)+SUMIFS(SALIDAS_COMB,FECHA_COMB,"&gt;="&amp;CW$2,FECHA_COMB,"&lt;="&amp;CW$3,CLAVE_COMB,$A281)+SUMIFS(SALIDAS_DES,FECHA_DESGLOSEN,"&gt;="&amp;CW$2,FECHA_DESGLOSEN,"&lt;="&amp;CW$3,CLAVE_DESGLOSE,$A281)</f>
        <v>0</v>
      </c>
      <c r="CX281" s="13">
        <f>SUMIFS(SALIDAS_BIT,FECHA_BIT,"&gt;="&amp;CX$2,FECHA_BIT,"&lt;="&amp;CX$3,CLAVE_BIT,$A281)+SUMIFS(SALIDAS_BOV1,FECHA_BOV1,"&gt;="&amp;CX$2,FECHA_BOV1,"&lt;="&amp;CX$3,CLAVE_BOV1,$A281)+SUMIFS(SALIDAS_BOV2,FECHA_BOV2,"&gt;="&amp;CX$2,FECHA_BOV2,"&lt;="&amp;CX$3,CLAVE_BOV2,$A281)+SUMIFS(SALIDAS_BOV3,FECHA_BOV3,"&gt;="&amp;CX$2,FECHA_BOV3,"&lt;="&amp;CX$3,CLAVE_BOV3,$A281)+SUMIFS(SALIDAS_TC,FECHA_TC,"&gt;="&amp;CX$2,FECHA_TC,"&lt;="&amp;CX$3,CLAVE_TC,$A281)+SUMIFS(SALIDAS_COMB,FECHA_COMB,"&gt;="&amp;CX$2,FECHA_COMB,"&lt;="&amp;CX$3,CLAVE_COMB,$A281)+SUMIFS(SALIDAS_DES,FECHA_DESGLOSEN,"&gt;="&amp;CX$2,FECHA_DESGLOSEN,"&lt;="&amp;CX$3,CLAVE_DESGLOSE,$A281)</f>
        <v>1165</v>
      </c>
      <c r="CY281" s="13">
        <f>SUMIFS(SALIDAS_BIT,FECHA_BIT,"&gt;="&amp;CY$2,FECHA_BIT,"&lt;="&amp;CY$3,CLAVE_BIT,$A281)+SUMIFS(SALIDAS_BOV1,FECHA_BOV1,"&gt;="&amp;CY$2,FECHA_BOV1,"&lt;="&amp;CY$3,CLAVE_BOV1,$A281)+SUMIFS(SALIDAS_BOV2,FECHA_BOV2,"&gt;="&amp;CY$2,FECHA_BOV2,"&lt;="&amp;CY$3,CLAVE_BOV2,$A281)+SUMIFS(SALIDAS_BOV3,FECHA_BOV3,"&gt;="&amp;CY$2,FECHA_BOV3,"&lt;="&amp;CY$3,CLAVE_BOV3,$A281)+SUMIFS(SALIDAS_TC,FECHA_TC,"&gt;="&amp;CY$2,FECHA_TC,"&lt;="&amp;CY$3,CLAVE_TC,$A281)+SUMIFS(SALIDAS_COMB,FECHA_COMB,"&gt;="&amp;CY$2,FECHA_COMB,"&lt;="&amp;CY$3,CLAVE_COMB,$A281)+SUMIFS(SALIDAS_DES,FECHA_DESGLOSEN,"&gt;="&amp;CY$2,FECHA_DESGLOSEN,"&lt;="&amp;CY$3,CLAVE_DESGLOSE,$A281)</f>
        <v>1672</v>
      </c>
      <c r="CZ281" s="68">
        <f t="shared" si="474"/>
        <v>-172</v>
      </c>
      <c r="DB281" s="17">
        <f>F281+N281+W281+AE281+AM281+AV281+BD281+BL281+BU281+CC281+CK281</f>
        <v>5561</v>
      </c>
      <c r="DC281" s="17">
        <f>K281+T281+AB281+AJ281+AS281+BA281+BI281+BR281+BZ281+CH281+CQ281</f>
        <v>9432</v>
      </c>
    </row>
    <row r="282" spans="1:107" hidden="1">
      <c r="A282" s="12" t="str">
        <f t="shared" si="447"/>
        <v>DETELEPEAJEDIRECCION</v>
      </c>
      <c r="B282">
        <v>284</v>
      </c>
      <c r="C282" t="s">
        <v>41</v>
      </c>
      <c r="D282" t="s">
        <v>186</v>
      </c>
      <c r="E282" t="s">
        <v>42</v>
      </c>
      <c r="F282" s="259">
        <f t="shared" si="440"/>
        <v>1167</v>
      </c>
      <c r="G282" s="13">
        <f t="shared" si="487"/>
        <v>0</v>
      </c>
      <c r="H282" s="13">
        <f t="shared" si="487"/>
        <v>0</v>
      </c>
      <c r="I282" s="13">
        <f t="shared" si="487"/>
        <v>0</v>
      </c>
      <c r="J282" s="13">
        <f t="shared" si="487"/>
        <v>0</v>
      </c>
      <c r="K282" s="13">
        <f t="shared" si="487"/>
        <v>0</v>
      </c>
      <c r="L282" s="68">
        <f t="shared" si="448"/>
        <v>1167</v>
      </c>
      <c r="M282" s="268">
        <f t="shared" si="449"/>
        <v>0</v>
      </c>
      <c r="N282" s="13">
        <f t="shared" si="441"/>
        <v>12610</v>
      </c>
      <c r="O282" s="13">
        <f t="shared" si="488"/>
        <v>0</v>
      </c>
      <c r="P282" s="13">
        <f t="shared" si="488"/>
        <v>0</v>
      </c>
      <c r="Q282" s="13">
        <f t="shared" si="488"/>
        <v>0</v>
      </c>
      <c r="R282" s="13">
        <f t="shared" si="488"/>
        <v>0</v>
      </c>
      <c r="S282" s="13">
        <f t="shared" si="488"/>
        <v>0</v>
      </c>
      <c r="T282" s="13">
        <f t="shared" si="488"/>
        <v>0</v>
      </c>
      <c r="U282" s="68">
        <f t="shared" si="450"/>
        <v>12610</v>
      </c>
      <c r="V282" s="268">
        <f t="shared" si="451"/>
        <v>0</v>
      </c>
      <c r="W282" s="13">
        <f t="shared" si="442"/>
        <v>355</v>
      </c>
      <c r="X282" s="13">
        <f t="shared" si="489"/>
        <v>0</v>
      </c>
      <c r="Y282" s="13">
        <f t="shared" si="489"/>
        <v>0</v>
      </c>
      <c r="Z282" s="13">
        <f t="shared" si="489"/>
        <v>0</v>
      </c>
      <c r="AA282" s="13">
        <f t="shared" si="489"/>
        <v>0</v>
      </c>
      <c r="AB282" s="13">
        <f t="shared" si="489"/>
        <v>0</v>
      </c>
      <c r="AC282" s="68">
        <f t="shared" si="452"/>
        <v>355</v>
      </c>
      <c r="AD282" s="268">
        <f t="shared" si="453"/>
        <v>0</v>
      </c>
      <c r="AE282" s="13">
        <f t="shared" si="443"/>
        <v>1080</v>
      </c>
      <c r="AF282" s="13">
        <f t="shared" si="490"/>
        <v>0</v>
      </c>
      <c r="AG282" s="13">
        <f t="shared" si="490"/>
        <v>0</v>
      </c>
      <c r="AH282" s="13">
        <f t="shared" si="490"/>
        <v>0</v>
      </c>
      <c r="AI282" s="13">
        <f t="shared" si="490"/>
        <v>0</v>
      </c>
      <c r="AJ282" s="13">
        <f t="shared" si="490"/>
        <v>0</v>
      </c>
      <c r="AK282" s="68">
        <f t="shared" si="454"/>
        <v>1080</v>
      </c>
      <c r="AL282" s="268">
        <f t="shared" si="455"/>
        <v>0</v>
      </c>
      <c r="AM282" s="13">
        <f t="shared" si="444"/>
        <v>0</v>
      </c>
      <c r="AN282" s="13">
        <f t="shared" si="491"/>
        <v>0</v>
      </c>
      <c r="AO282" s="13">
        <f t="shared" si="491"/>
        <v>0</v>
      </c>
      <c r="AP282" s="13">
        <f t="shared" si="491"/>
        <v>0</v>
      </c>
      <c r="AQ282" s="13">
        <f t="shared" si="491"/>
        <v>0</v>
      </c>
      <c r="AR282" s="13">
        <f t="shared" si="491"/>
        <v>0</v>
      </c>
      <c r="AS282" s="13">
        <f t="shared" si="491"/>
        <v>0</v>
      </c>
      <c r="AT282" s="68">
        <f>AM282-AS282</f>
        <v>0</v>
      </c>
      <c r="AU282" s="268">
        <f t="shared" si="456"/>
        <v>0</v>
      </c>
      <c r="AV282" s="13">
        <f t="shared" si="445"/>
        <v>0</v>
      </c>
      <c r="AW282" s="13">
        <f t="shared" si="421"/>
        <v>0</v>
      </c>
      <c r="AX282" s="13">
        <f t="shared" si="421"/>
        <v>0</v>
      </c>
      <c r="AY282" s="13">
        <f t="shared" si="421"/>
        <v>0</v>
      </c>
      <c r="AZ282" s="13">
        <f t="shared" si="421"/>
        <v>0</v>
      </c>
      <c r="BA282" s="13">
        <f t="shared" si="475"/>
        <v>0</v>
      </c>
      <c r="BB282" s="68">
        <f t="shared" si="457"/>
        <v>0</v>
      </c>
      <c r="BC282" s="268">
        <f t="shared" si="458"/>
        <v>0</v>
      </c>
      <c r="BD282" s="13">
        <f t="shared" si="459"/>
        <v>0</v>
      </c>
      <c r="BE282" s="13">
        <f>SUMIFS(SALIDAS_BIT,FECHA_BIT,"&gt;="&amp;BE$2,FECHA_BIT,"&lt;="&amp;BE$3,CLAVE_BIT,$A282)+SUMIFS(SALIDAS_BOV1,FECHA_BOV1,"&gt;="&amp;BE$2,FECHA_BOV1,"&lt;="&amp;BE$3,CLAVE_BOV1,$A282)+SUMIFS(SALIDAS_BOV2,FECHA_BOV2,"&gt;="&amp;BE$2,FECHA_BOV2,"&lt;="&amp;BE$3,CLAVE_BOV2,$A282)+SUMIFS(SALIDAS_BOV3,FECHA_BOV3,"&gt;="&amp;BE$2,FECHA_BOV3,"&lt;="&amp;BE$3,CLAVE_BOV3,$A282)+SUMIFS(SALIDAS_TC,FECHA_TC,"&gt;="&amp;BE$2,FECHA_TC,"&lt;="&amp;BE$3,CLAVE_TC,$A282)+SUMIFS(SALIDAS_COMB,FECHA_COMB,"&gt;="&amp;BE$2,FECHA_COMB,"&lt;="&amp;BE$3,CLAVE_COMB,$A282)+SUMIFS(SALIDAS_DES,FECHA_DESGLOSEN,"&gt;="&amp;BE$2,FECHA_DESGLOSEN,"&lt;="&amp;BE$3,CLAVE_DESGLOSE,$A282)</f>
        <v>0</v>
      </c>
      <c r="BF282" s="13">
        <f>SUMIFS(SALIDAS_BIT,FECHA_BIT,"&gt;="&amp;BF$2,FECHA_BIT,"&lt;="&amp;BF$3,CLAVE_BIT,$A282)+SUMIFS(SALIDAS_BOV1,FECHA_BOV1,"&gt;="&amp;BF$2,FECHA_BOV1,"&lt;="&amp;BF$3,CLAVE_BOV1,$A282)+SUMIFS(SALIDAS_BOV2,FECHA_BOV2,"&gt;="&amp;BF$2,FECHA_BOV2,"&lt;="&amp;BF$3,CLAVE_BOV2,$A282)+SUMIFS(SALIDAS_BOV3,FECHA_BOV3,"&gt;="&amp;BF$2,FECHA_BOV3,"&lt;="&amp;BF$3,CLAVE_BOV3,$A282)+SUMIFS(SALIDAS_TC,FECHA_TC,"&gt;="&amp;BF$2,FECHA_TC,"&lt;="&amp;BF$3,CLAVE_TC,$A282)+SUMIFS(SALIDAS_COMB,FECHA_COMB,"&gt;="&amp;BF$2,FECHA_COMB,"&lt;="&amp;BF$3,CLAVE_COMB,$A282)+SUMIFS(SALIDAS_DES,FECHA_DESGLOSEN,"&gt;="&amp;BF$2,FECHA_DESGLOSEN,"&lt;="&amp;BF$3,CLAVE_DESGLOSE,$A282)</f>
        <v>0</v>
      </c>
      <c r="BG282" s="13">
        <f>SUMIFS(SALIDAS_BIT,FECHA_BIT,"&gt;="&amp;BG$2,FECHA_BIT,"&lt;="&amp;BG$3,CLAVE_BIT,$A282)+SUMIFS(SALIDAS_BOV1,FECHA_BOV1,"&gt;="&amp;BG$2,FECHA_BOV1,"&lt;="&amp;BG$3,CLAVE_BOV1,$A282)+SUMIFS(SALIDAS_BOV2,FECHA_BOV2,"&gt;="&amp;BG$2,FECHA_BOV2,"&lt;="&amp;BG$3,CLAVE_BOV2,$A282)+SUMIFS(SALIDAS_BOV3,FECHA_BOV3,"&gt;="&amp;BG$2,FECHA_BOV3,"&lt;="&amp;BG$3,CLAVE_BOV3,$A282)+SUMIFS(SALIDAS_TC,FECHA_TC,"&gt;="&amp;BG$2,FECHA_TC,"&lt;="&amp;BG$3,CLAVE_TC,$A282)+SUMIFS(SALIDAS_COMB,FECHA_COMB,"&gt;="&amp;BG$2,FECHA_COMB,"&lt;="&amp;BG$3,CLAVE_COMB,$A282)+SUMIFS(SALIDAS_DES,FECHA_DESGLOSEN,"&gt;="&amp;BG$2,FECHA_DESGLOSEN,"&lt;="&amp;BG$3,CLAVE_DESGLOSE,$A282)</f>
        <v>0</v>
      </c>
      <c r="BH282" s="13">
        <f>SUMIFS(SALIDAS_BIT,FECHA_BIT,"&gt;="&amp;BH$2,FECHA_BIT,"&lt;="&amp;BH$3,CLAVE_BIT,$A282)+SUMIFS(SALIDAS_BOV1,FECHA_BOV1,"&gt;="&amp;BH$2,FECHA_BOV1,"&lt;="&amp;BH$3,CLAVE_BOV1,$A282)+SUMIFS(SALIDAS_BOV2,FECHA_BOV2,"&gt;="&amp;BH$2,FECHA_BOV2,"&lt;="&amp;BH$3,CLAVE_BOV2,$A282)+SUMIFS(SALIDAS_BOV3,FECHA_BOV3,"&gt;="&amp;BH$2,FECHA_BOV3,"&lt;="&amp;BH$3,CLAVE_BOV3,$A282)+SUMIFS(SALIDAS_TC,FECHA_TC,"&gt;="&amp;BH$2,FECHA_TC,"&lt;="&amp;BH$3,CLAVE_TC,$A282)+SUMIFS(SALIDAS_COMB,FECHA_COMB,"&gt;="&amp;BH$2,FECHA_COMB,"&lt;="&amp;BH$3,CLAVE_COMB,$A282)+SUMIFS(SALIDAS_DES,FECHA_DESGLOSEN,"&gt;="&amp;BH$2,FECHA_DESGLOSEN,"&lt;="&amp;BH$3,CLAVE_DESGLOSE,$A282)</f>
        <v>0</v>
      </c>
      <c r="BI282" s="13">
        <f t="shared" si="419"/>
        <v>0</v>
      </c>
      <c r="BJ282" s="68">
        <f t="shared" si="460"/>
        <v>0</v>
      </c>
      <c r="BK282" s="268">
        <f t="shared" si="461"/>
        <v>0</v>
      </c>
      <c r="BL282" s="13">
        <f t="shared" si="462"/>
        <v>0</v>
      </c>
      <c r="BM282" s="13">
        <f>SUMIFS(SALIDAS_BIT,FECHA_BIT,"&gt;="&amp;BM$2,FECHA_BIT,"&lt;="&amp;BM$3,CLAVE_BIT,$A282)+SUMIFS(SALIDAS_BOV1,FECHA_BOV1,"&gt;="&amp;BM$2,FECHA_BOV1,"&lt;="&amp;BM$3,CLAVE_BOV1,$A282)+SUMIFS(SALIDAS_BOV2,FECHA_BOV2,"&gt;="&amp;BM$2,FECHA_BOV2,"&lt;="&amp;BM$3,CLAVE_BOV2,$A282)+SUMIFS(SALIDAS_BOV3,FECHA_BOV3,"&gt;="&amp;BM$2,FECHA_BOV3,"&lt;="&amp;BM$3,CLAVE_BOV3,$A282)+SUMIFS(SALIDAS_TC,FECHA_TC,"&gt;="&amp;BM$2,FECHA_TC,"&lt;="&amp;BM$3,CLAVE_TC,$A282)+SUMIFS(SALIDAS_COMB,FECHA_COMB,"&gt;="&amp;BM$2,FECHA_COMB,"&lt;="&amp;BM$3,CLAVE_COMB,$A282)+SUMIFS(SALIDAS_DES,FECHA_DESGLOSEN,"&gt;="&amp;BM$2,FECHA_DESGLOSEN,"&lt;="&amp;BM$3,CLAVE_DESGLOSE,$A282)</f>
        <v>0</v>
      </c>
      <c r="BN282" s="13">
        <f>SUMIFS(SALIDAS_BIT,FECHA_BIT,"&gt;="&amp;BN$2,FECHA_BIT,"&lt;="&amp;BN$3,CLAVE_BIT,$A282)+SUMIFS(SALIDAS_BOV1,FECHA_BOV1,"&gt;="&amp;BN$2,FECHA_BOV1,"&lt;="&amp;BN$3,CLAVE_BOV1,$A282)+SUMIFS(SALIDAS_BOV2,FECHA_BOV2,"&gt;="&amp;BN$2,FECHA_BOV2,"&lt;="&amp;BN$3,CLAVE_BOV2,$A282)+SUMIFS(SALIDAS_BOV3,FECHA_BOV3,"&gt;="&amp;BN$2,FECHA_BOV3,"&lt;="&amp;BN$3,CLAVE_BOV3,$A282)+SUMIFS(SALIDAS_TC,FECHA_TC,"&gt;="&amp;BN$2,FECHA_TC,"&lt;="&amp;BN$3,CLAVE_TC,$A282)+SUMIFS(SALIDAS_COMB,FECHA_COMB,"&gt;="&amp;BN$2,FECHA_COMB,"&lt;="&amp;BN$3,CLAVE_COMB,$A282)+SUMIFS(SALIDAS_DES,FECHA_DESGLOSEN,"&gt;="&amp;BN$2,FECHA_DESGLOSEN,"&lt;="&amp;BN$3,CLAVE_DESGLOSE,$A282)</f>
        <v>0</v>
      </c>
      <c r="BO282" s="13">
        <f>SUMIFS(SALIDAS_BIT,FECHA_BIT,"&gt;="&amp;BO$2,FECHA_BIT,"&lt;="&amp;BO$3,CLAVE_BIT,$A282)+SUMIFS(SALIDAS_BOV1,FECHA_BOV1,"&gt;="&amp;BO$2,FECHA_BOV1,"&lt;="&amp;BO$3,CLAVE_BOV1,$A282)+SUMIFS(SALIDAS_BOV2,FECHA_BOV2,"&gt;="&amp;BO$2,FECHA_BOV2,"&lt;="&amp;BO$3,CLAVE_BOV2,$A282)+SUMIFS(SALIDAS_BOV3,FECHA_BOV3,"&gt;="&amp;BO$2,FECHA_BOV3,"&lt;="&amp;BO$3,CLAVE_BOV3,$A282)+SUMIFS(SALIDAS_TC,FECHA_TC,"&gt;="&amp;BO$2,FECHA_TC,"&lt;="&amp;BO$3,CLAVE_TC,$A282)+SUMIFS(SALIDAS_COMB,FECHA_COMB,"&gt;="&amp;BO$2,FECHA_COMB,"&lt;="&amp;BO$3,CLAVE_COMB,$A282)+SUMIFS(SALIDAS_DES,FECHA_DESGLOSEN,"&gt;="&amp;BO$2,FECHA_DESGLOSEN,"&lt;="&amp;BO$3,CLAVE_DESGLOSE,$A282)</f>
        <v>0</v>
      </c>
      <c r="BP282" s="13">
        <f>SUMIFS(SALIDAS_BIT,FECHA_BIT,"&gt;="&amp;BP$2,FECHA_BIT,"&lt;="&amp;BP$3,CLAVE_BIT,$A282)+SUMIFS(SALIDAS_BOV1,FECHA_BOV1,"&gt;="&amp;BP$2,FECHA_BOV1,"&lt;="&amp;BP$3,CLAVE_BOV1,$A282)+SUMIFS(SALIDAS_BOV2,FECHA_BOV2,"&gt;="&amp;BP$2,FECHA_BOV2,"&lt;="&amp;BP$3,CLAVE_BOV2,$A282)+SUMIFS(SALIDAS_BOV3,FECHA_BOV3,"&gt;="&amp;BP$2,FECHA_BOV3,"&lt;="&amp;BP$3,CLAVE_BOV3,$A282)+SUMIFS(SALIDAS_TC,FECHA_TC,"&gt;="&amp;BP$2,FECHA_TC,"&lt;="&amp;BP$3,CLAVE_TC,$A282)+SUMIFS(SALIDAS_COMB,FECHA_COMB,"&gt;="&amp;BP$2,FECHA_COMB,"&lt;="&amp;BP$3,CLAVE_COMB,$A282)+SUMIFS(SALIDAS_DES,FECHA_DESGLOSEN,"&gt;="&amp;BP$2,FECHA_DESGLOSEN,"&lt;="&amp;BP$3,CLAVE_DESGLOSE,$A282)</f>
        <v>0</v>
      </c>
      <c r="BQ282" s="13">
        <f>SUMIFS(SALIDAS_BIT,FECHA_BIT,"&gt;="&amp;BQ$2,FECHA_BIT,"&lt;="&amp;BQ$3,CLAVE_BIT,$A282)+SUMIFS(SALIDAS_BOV1,FECHA_BOV1,"&gt;="&amp;BQ$2,FECHA_BOV1,"&lt;="&amp;BQ$3,CLAVE_BOV1,$A282)+SUMIFS(SALIDAS_BOV2,FECHA_BOV2,"&gt;="&amp;BQ$2,FECHA_BOV2,"&lt;="&amp;BQ$3,CLAVE_BOV2,$A282)+SUMIFS(SALIDAS_BOV3,FECHA_BOV3,"&gt;="&amp;BQ$2,FECHA_BOV3,"&lt;="&amp;BQ$3,CLAVE_BOV3,$A282)+SUMIFS(SALIDAS_TC,FECHA_TC,"&gt;="&amp;BQ$2,FECHA_TC,"&lt;="&amp;BQ$3,CLAVE_TC,$A282)+SUMIFS(SALIDAS_COMB,FECHA_COMB,"&gt;="&amp;BQ$2,FECHA_COMB,"&lt;="&amp;BQ$3,CLAVE_COMB,$A282)+SUMIFS(SALIDAS_DES,FECHA_DESGLOSEN,"&gt;="&amp;BQ$2,FECHA_DESGLOSEN,"&lt;="&amp;BQ$3,CLAVE_DESGLOSE,$A282)</f>
        <v>0</v>
      </c>
      <c r="BR282" s="13">
        <f t="shared" si="492"/>
        <v>0</v>
      </c>
      <c r="BS282" s="68">
        <f t="shared" si="463"/>
        <v>0</v>
      </c>
      <c r="BT282" s="268">
        <f t="shared" si="464"/>
        <v>0</v>
      </c>
      <c r="BU282" s="13">
        <f t="shared" si="465"/>
        <v>0</v>
      </c>
      <c r="BV282" s="13">
        <f t="shared" si="485"/>
        <v>0</v>
      </c>
      <c r="BW282" s="13">
        <f t="shared" si="485"/>
        <v>0</v>
      </c>
      <c r="BX282" s="13">
        <f t="shared" si="485"/>
        <v>0</v>
      </c>
      <c r="BY282" s="13">
        <f t="shared" si="485"/>
        <v>0</v>
      </c>
      <c r="BZ282" s="13">
        <f t="shared" si="493"/>
        <v>0</v>
      </c>
      <c r="CA282" s="68">
        <f t="shared" si="466"/>
        <v>0</v>
      </c>
      <c r="CB282" s="268">
        <f t="shared" si="467"/>
        <v>0</v>
      </c>
      <c r="CC282" s="13">
        <f t="shared" si="468"/>
        <v>0</v>
      </c>
      <c r="CD282" s="13">
        <f t="shared" si="486"/>
        <v>0</v>
      </c>
      <c r="CE282" s="13">
        <f t="shared" si="486"/>
        <v>0</v>
      </c>
      <c r="CF282" s="13">
        <f t="shared" si="486"/>
        <v>0</v>
      </c>
      <c r="CG282" s="13">
        <f t="shared" si="486"/>
        <v>0</v>
      </c>
      <c r="CH282" s="13">
        <f t="shared" si="494"/>
        <v>0</v>
      </c>
      <c r="CI282" s="68">
        <f t="shared" si="469"/>
        <v>0</v>
      </c>
      <c r="CJ282" s="268">
        <f t="shared" si="470"/>
        <v>0</v>
      </c>
      <c r="CK282" s="13">
        <f t="shared" si="471"/>
        <v>0</v>
      </c>
      <c r="CL282" s="13">
        <f t="shared" si="495"/>
        <v>0</v>
      </c>
      <c r="CM282" s="13">
        <f t="shared" si="495"/>
        <v>0</v>
      </c>
      <c r="CN282" s="13">
        <f t="shared" si="495"/>
        <v>0</v>
      </c>
      <c r="CO282" s="13">
        <f t="shared" si="495"/>
        <v>0</v>
      </c>
      <c r="CP282" s="13">
        <f t="shared" si="495"/>
        <v>0</v>
      </c>
      <c r="CQ282" s="13">
        <f t="shared" si="496"/>
        <v>0</v>
      </c>
      <c r="CR282" s="68">
        <f t="shared" si="472"/>
        <v>0</v>
      </c>
      <c r="CS282" s="268">
        <f t="shared" si="473"/>
        <v>0</v>
      </c>
      <c r="CT282" s="68">
        <f t="shared" si="446"/>
        <v>0</v>
      </c>
      <c r="CU282" s="13">
        <f>SUMIFS(SALIDAS_BIT,FECHA_BIT,"&gt;="&amp;CU$2,FECHA_BIT,"&lt;="&amp;CU$3,CLAVE_BIT,$A282)+SUMIFS(SALIDAS_BOV1,FECHA_BOV1,"&gt;="&amp;CU$2,FECHA_BOV1,"&lt;="&amp;CU$3,CLAVE_BOV1,$A282)+SUMIFS(SALIDAS_BOV2,FECHA_BOV2,"&gt;="&amp;CU$2,FECHA_BOV2,"&lt;="&amp;CU$3,CLAVE_BOV2,$A282)+SUMIFS(SALIDAS_BOV3,FECHA_BOV3,"&gt;="&amp;CU$2,FECHA_BOV3,"&lt;="&amp;CU$3,CLAVE_BOV3,$A282)+SUMIFS(SALIDAS_TC,FECHA_TC,"&gt;="&amp;CU$2,FECHA_TC,"&lt;="&amp;CU$3,CLAVE_TC,$A282)+SUMIFS(SALIDAS_COMB,FECHA_COMB,"&gt;="&amp;CU$2,FECHA_COMB,"&lt;="&amp;CU$3,CLAVE_COMB,$A282)+SUMIFS(SALIDAS_DES,FECHA_DESGLOSEN,"&gt;="&amp;CU$2,FECHA_DESGLOSEN,"&lt;="&amp;CU$3,CLAVE_DESGLOSE,$A282)</f>
        <v>0</v>
      </c>
      <c r="CV282" s="13">
        <f>SUMIFS(SALIDAS_BIT,FECHA_BIT,"&gt;="&amp;CV$2,FECHA_BIT,"&lt;="&amp;CV$3,CLAVE_BIT,$A282)+SUMIFS(SALIDAS_BOV1,FECHA_BOV1,"&gt;="&amp;CV$2,FECHA_BOV1,"&lt;="&amp;CV$3,CLAVE_BOV1,$A282)+SUMIFS(SALIDAS_BOV2,FECHA_BOV2,"&gt;="&amp;CV$2,FECHA_BOV2,"&lt;="&amp;CV$3,CLAVE_BOV2,$A282)+SUMIFS(SALIDAS_BOV3,FECHA_BOV3,"&gt;="&amp;CV$2,FECHA_BOV3,"&lt;="&amp;CV$3,CLAVE_BOV3,$A282)+SUMIFS(SALIDAS_TC,FECHA_TC,"&gt;="&amp;CV$2,FECHA_TC,"&lt;="&amp;CV$3,CLAVE_TC,$A282)+SUMIFS(SALIDAS_COMB,FECHA_COMB,"&gt;="&amp;CV$2,FECHA_COMB,"&lt;="&amp;CV$3,CLAVE_COMB,$A282)+SUMIFS(SALIDAS_DES,FECHA_DESGLOSEN,"&gt;="&amp;CV$2,FECHA_DESGLOSEN,"&lt;="&amp;CV$3,CLAVE_DESGLOSE,$A282)</f>
        <v>0</v>
      </c>
      <c r="CW282" s="13">
        <f>SUMIFS(SALIDAS_BIT,FECHA_BIT,"&gt;="&amp;CW$2,FECHA_BIT,"&lt;="&amp;CW$3,CLAVE_BIT,$A282)+SUMIFS(SALIDAS_BOV1,FECHA_BOV1,"&gt;="&amp;CW$2,FECHA_BOV1,"&lt;="&amp;CW$3,CLAVE_BOV1,$A282)+SUMIFS(SALIDAS_BOV2,FECHA_BOV2,"&gt;="&amp;CW$2,FECHA_BOV2,"&lt;="&amp;CW$3,CLAVE_BOV2,$A282)+SUMIFS(SALIDAS_BOV3,FECHA_BOV3,"&gt;="&amp;CW$2,FECHA_BOV3,"&lt;="&amp;CW$3,CLAVE_BOV3,$A282)+SUMIFS(SALIDAS_TC,FECHA_TC,"&gt;="&amp;CW$2,FECHA_TC,"&lt;="&amp;CW$3,CLAVE_TC,$A282)+SUMIFS(SALIDAS_COMB,FECHA_COMB,"&gt;="&amp;CW$2,FECHA_COMB,"&lt;="&amp;CW$3,CLAVE_COMB,$A282)+SUMIFS(SALIDAS_DES,FECHA_DESGLOSEN,"&gt;="&amp;CW$2,FECHA_DESGLOSEN,"&lt;="&amp;CW$3,CLAVE_DESGLOSE,$A282)</f>
        <v>0</v>
      </c>
      <c r="CX282" s="13">
        <f>SUMIFS(SALIDAS_BIT,FECHA_BIT,"&gt;="&amp;CX$2,FECHA_BIT,"&lt;="&amp;CX$3,CLAVE_BIT,$A282)+SUMIFS(SALIDAS_BOV1,FECHA_BOV1,"&gt;="&amp;CX$2,FECHA_BOV1,"&lt;="&amp;CX$3,CLAVE_BOV1,$A282)+SUMIFS(SALIDAS_BOV2,FECHA_BOV2,"&gt;="&amp;CX$2,FECHA_BOV2,"&lt;="&amp;CX$3,CLAVE_BOV2,$A282)+SUMIFS(SALIDAS_BOV3,FECHA_BOV3,"&gt;="&amp;CX$2,FECHA_BOV3,"&lt;="&amp;CX$3,CLAVE_BOV3,$A282)+SUMIFS(SALIDAS_TC,FECHA_TC,"&gt;="&amp;CX$2,FECHA_TC,"&lt;="&amp;CX$3,CLAVE_TC,$A282)+SUMIFS(SALIDAS_COMB,FECHA_COMB,"&gt;="&amp;CX$2,FECHA_COMB,"&lt;="&amp;CX$3,CLAVE_COMB,$A282)+SUMIFS(SALIDAS_DES,FECHA_DESGLOSEN,"&gt;="&amp;CX$2,FECHA_DESGLOSEN,"&lt;="&amp;CX$3,CLAVE_DESGLOSE,$A282)</f>
        <v>0</v>
      </c>
      <c r="CY282" s="13">
        <f>SUMIFS(SALIDAS_BIT,FECHA_BIT,"&gt;="&amp;CY$2,FECHA_BIT,"&lt;="&amp;CY$3,CLAVE_BIT,$A282)+SUMIFS(SALIDAS_BOV1,FECHA_BOV1,"&gt;="&amp;CY$2,FECHA_BOV1,"&lt;="&amp;CY$3,CLAVE_BOV1,$A282)+SUMIFS(SALIDAS_BOV2,FECHA_BOV2,"&gt;="&amp;CY$2,FECHA_BOV2,"&lt;="&amp;CY$3,CLAVE_BOV2,$A282)+SUMIFS(SALIDAS_BOV3,FECHA_BOV3,"&gt;="&amp;CY$2,FECHA_BOV3,"&lt;="&amp;CY$3,CLAVE_BOV3,$A282)+SUMIFS(SALIDAS_TC,FECHA_TC,"&gt;="&amp;CY$2,FECHA_TC,"&lt;="&amp;CY$3,CLAVE_TC,$A282)+SUMIFS(SALIDAS_COMB,FECHA_COMB,"&gt;="&amp;CY$2,FECHA_COMB,"&lt;="&amp;CY$3,CLAVE_COMB,$A282)+SUMIFS(SALIDAS_DES,FECHA_DESGLOSEN,"&gt;="&amp;CY$2,FECHA_DESGLOSEN,"&lt;="&amp;CY$3,CLAVE_DESGLOSE,$A282)</f>
        <v>0</v>
      </c>
      <c r="CZ282" s="68">
        <f t="shared" si="474"/>
        <v>0</v>
      </c>
      <c r="DB282" s="17">
        <f>F282+N282+W282+AE282+AM282+AV282+BD282+BL282+BU282+CC282+CK282</f>
        <v>15212</v>
      </c>
      <c r="DC282" s="17">
        <f>K282+T282+AB282+AJ282+AS282+BA282+BI282+BR282+BZ282+CH282+CQ282</f>
        <v>0</v>
      </c>
    </row>
    <row r="283" spans="1:107" hidden="1">
      <c r="A283" s="12" t="str">
        <f t="shared" si="447"/>
        <v>FINANZASCOMISIONES BANCARIASMANEJO DE CUENTA</v>
      </c>
      <c r="B283">
        <v>285</v>
      </c>
      <c r="C283" t="s">
        <v>23</v>
      </c>
      <c r="D283" t="s">
        <v>48</v>
      </c>
      <c r="E283" t="s">
        <v>49</v>
      </c>
      <c r="F283" s="259">
        <f t="shared" si="440"/>
        <v>1140</v>
      </c>
      <c r="G283" s="13">
        <f t="shared" si="487"/>
        <v>12925.46</v>
      </c>
      <c r="H283" s="13">
        <f t="shared" si="487"/>
        <v>1083.5999999999999</v>
      </c>
      <c r="I283" s="13">
        <f t="shared" si="487"/>
        <v>0</v>
      </c>
      <c r="J283" s="13">
        <f t="shared" si="487"/>
        <v>7514.48</v>
      </c>
      <c r="K283" s="13">
        <f t="shared" si="487"/>
        <v>21523.54</v>
      </c>
      <c r="L283" s="68">
        <f t="shared" si="448"/>
        <v>-20383.54</v>
      </c>
      <c r="M283" s="268">
        <f t="shared" si="449"/>
        <v>18.880298245614036</v>
      </c>
      <c r="N283" s="13">
        <f t="shared" si="441"/>
        <v>5000</v>
      </c>
      <c r="O283" s="13">
        <f t="shared" si="488"/>
        <v>5961.5499999999993</v>
      </c>
      <c r="P283" s="13">
        <f t="shared" si="488"/>
        <v>20260</v>
      </c>
      <c r="Q283" s="13">
        <f t="shared" si="488"/>
        <v>0</v>
      </c>
      <c r="R283" s="13">
        <f t="shared" si="488"/>
        <v>0</v>
      </c>
      <c r="S283" s="13">
        <f t="shared" si="488"/>
        <v>8979.41</v>
      </c>
      <c r="T283" s="13">
        <f t="shared" si="488"/>
        <v>35200.959999999999</v>
      </c>
      <c r="U283" s="68">
        <f t="shared" si="450"/>
        <v>-30200.959999999999</v>
      </c>
      <c r="V283" s="268">
        <f t="shared" si="451"/>
        <v>7.0401920000000002</v>
      </c>
      <c r="W283" s="13">
        <f t="shared" si="442"/>
        <v>5000</v>
      </c>
      <c r="X283" s="13">
        <f t="shared" si="489"/>
        <v>0</v>
      </c>
      <c r="Y283" s="13">
        <f t="shared" si="489"/>
        <v>0</v>
      </c>
      <c r="Z283" s="13">
        <f t="shared" si="489"/>
        <v>0</v>
      </c>
      <c r="AA283" s="13">
        <f t="shared" si="489"/>
        <v>524.32000000000005</v>
      </c>
      <c r="AB283" s="13">
        <f t="shared" si="489"/>
        <v>524.32000000000005</v>
      </c>
      <c r="AC283" s="68">
        <f t="shared" si="452"/>
        <v>4475.68</v>
      </c>
      <c r="AD283" s="268">
        <f t="shared" si="453"/>
        <v>0.10486400000000001</v>
      </c>
      <c r="AE283" s="13">
        <f t="shared" si="443"/>
        <v>5000</v>
      </c>
      <c r="AF283" s="13">
        <f t="shared" si="490"/>
        <v>5131.6299999999992</v>
      </c>
      <c r="AG283" s="13">
        <f t="shared" si="490"/>
        <v>0</v>
      </c>
      <c r="AH283" s="13">
        <f t="shared" si="490"/>
        <v>0</v>
      </c>
      <c r="AI283" s="13">
        <f t="shared" si="490"/>
        <v>0</v>
      </c>
      <c r="AJ283" s="13">
        <f t="shared" si="490"/>
        <v>5131.6299999999992</v>
      </c>
      <c r="AK283" s="68">
        <f t="shared" si="454"/>
        <v>-131.6299999999992</v>
      </c>
      <c r="AL283" s="268">
        <f t="shared" si="455"/>
        <v>1.0263259999999998</v>
      </c>
      <c r="AM283" s="13">
        <f t="shared" si="444"/>
        <v>5121</v>
      </c>
      <c r="AN283" s="13">
        <f t="shared" si="491"/>
        <v>20514.599999999999</v>
      </c>
      <c r="AO283" s="13">
        <f t="shared" si="491"/>
        <v>0</v>
      </c>
      <c r="AP283" s="13">
        <f t="shared" si="491"/>
        <v>0</v>
      </c>
      <c r="AQ283" s="13">
        <f t="shared" si="491"/>
        <v>0</v>
      </c>
      <c r="AR283" s="13">
        <f t="shared" si="491"/>
        <v>17239.34</v>
      </c>
      <c r="AS283" s="13">
        <f t="shared" si="491"/>
        <v>37753.939999999995</v>
      </c>
      <c r="AT283" s="68">
        <f>AM283-AS283</f>
        <v>-32632.939999999995</v>
      </c>
      <c r="AU283" s="268">
        <f t="shared" si="456"/>
        <v>7.3723764889669976</v>
      </c>
      <c r="AV283" s="13">
        <f t="shared" si="445"/>
        <v>5000</v>
      </c>
      <c r="AW283" s="13">
        <f t="shared" si="421"/>
        <v>0</v>
      </c>
      <c r="AX283" s="13">
        <f t="shared" si="421"/>
        <v>0</v>
      </c>
      <c r="AY283" s="13">
        <f t="shared" si="421"/>
        <v>0</v>
      </c>
      <c r="AZ283" s="13">
        <f t="shared" si="421"/>
        <v>15629.24</v>
      </c>
      <c r="BA283" s="13">
        <f t="shared" si="475"/>
        <v>15629.24</v>
      </c>
      <c r="BB283" s="68">
        <f t="shared" si="457"/>
        <v>-10629.24</v>
      </c>
      <c r="BC283" s="268">
        <f t="shared" si="458"/>
        <v>3.125848</v>
      </c>
      <c r="BD283" s="13">
        <f t="shared" si="459"/>
        <v>2932</v>
      </c>
      <c r="BE283" s="13">
        <f>SUMIFS(SALIDAS_BIT,FECHA_BIT,"&gt;="&amp;BE$2,FECHA_BIT,"&lt;="&amp;BE$3,CLAVE_BIT,$A283)+SUMIFS(SALIDAS_BOV1,FECHA_BOV1,"&gt;="&amp;BE$2,FECHA_BOV1,"&lt;="&amp;BE$3,CLAVE_BOV1,$A283)+SUMIFS(SALIDAS_BOV2,FECHA_BOV2,"&gt;="&amp;BE$2,FECHA_BOV2,"&lt;="&amp;BE$3,CLAVE_BOV2,$A283)+SUMIFS(SALIDAS_BOV3,FECHA_BOV3,"&gt;="&amp;BE$2,FECHA_BOV3,"&lt;="&amp;BE$3,CLAVE_BOV3,$A283)+SUMIFS(SALIDAS_TC,FECHA_TC,"&gt;="&amp;BE$2,FECHA_TC,"&lt;="&amp;BE$3,CLAVE_TC,$A283)+SUMIFS(SALIDAS_COMB,FECHA_COMB,"&gt;="&amp;BE$2,FECHA_COMB,"&lt;="&amp;BE$3,CLAVE_COMB,$A283)+SUMIFS(SALIDAS_DES,FECHA_DESGLOSEN,"&gt;="&amp;BE$2,FECHA_DESGLOSEN,"&lt;="&amp;BE$3,CLAVE_DESGLOSE,$A283)</f>
        <v>999.33999999999992</v>
      </c>
      <c r="BF283" s="13">
        <f>SUMIFS(SALIDAS_BIT,FECHA_BIT,"&gt;="&amp;BF$2,FECHA_BIT,"&lt;="&amp;BF$3,CLAVE_BIT,$A283)+SUMIFS(SALIDAS_BOV1,FECHA_BOV1,"&gt;="&amp;BF$2,FECHA_BOV1,"&lt;="&amp;BF$3,CLAVE_BOV1,$A283)+SUMIFS(SALIDAS_BOV2,FECHA_BOV2,"&gt;="&amp;BF$2,FECHA_BOV2,"&lt;="&amp;BF$3,CLAVE_BOV2,$A283)+SUMIFS(SALIDAS_BOV3,FECHA_BOV3,"&gt;="&amp;BF$2,FECHA_BOV3,"&lt;="&amp;BF$3,CLAVE_BOV3,$A283)+SUMIFS(SALIDAS_TC,FECHA_TC,"&gt;="&amp;BF$2,FECHA_TC,"&lt;="&amp;BF$3,CLAVE_TC,$A283)+SUMIFS(SALIDAS_COMB,FECHA_COMB,"&gt;="&amp;BF$2,FECHA_COMB,"&lt;="&amp;BF$3,CLAVE_COMB,$A283)+SUMIFS(SALIDAS_DES,FECHA_DESGLOSEN,"&gt;="&amp;BF$2,FECHA_DESGLOSEN,"&lt;="&amp;BF$3,CLAVE_DESGLOSE,$A283)</f>
        <v>0</v>
      </c>
      <c r="BG283" s="13">
        <f>SUMIFS(SALIDAS_BIT,FECHA_BIT,"&gt;="&amp;BG$2,FECHA_BIT,"&lt;="&amp;BG$3,CLAVE_BIT,$A283)+SUMIFS(SALIDAS_BOV1,FECHA_BOV1,"&gt;="&amp;BG$2,FECHA_BOV1,"&lt;="&amp;BG$3,CLAVE_BOV1,$A283)+SUMIFS(SALIDAS_BOV2,FECHA_BOV2,"&gt;="&amp;BG$2,FECHA_BOV2,"&lt;="&amp;BG$3,CLAVE_BOV2,$A283)+SUMIFS(SALIDAS_BOV3,FECHA_BOV3,"&gt;="&amp;BG$2,FECHA_BOV3,"&lt;="&amp;BG$3,CLAVE_BOV3,$A283)+SUMIFS(SALIDAS_TC,FECHA_TC,"&gt;="&amp;BG$2,FECHA_TC,"&lt;="&amp;BG$3,CLAVE_TC,$A283)+SUMIFS(SALIDAS_COMB,FECHA_COMB,"&gt;="&amp;BG$2,FECHA_COMB,"&lt;="&amp;BG$3,CLAVE_COMB,$A283)+SUMIFS(SALIDAS_DES,FECHA_DESGLOSEN,"&gt;="&amp;BG$2,FECHA_DESGLOSEN,"&lt;="&amp;BG$3,CLAVE_DESGLOSE,$A283)</f>
        <v>0</v>
      </c>
      <c r="BH283" s="13">
        <f>SUMIFS(SALIDAS_BIT,FECHA_BIT,"&gt;="&amp;BH$2,FECHA_BIT,"&lt;="&amp;BH$3,CLAVE_BIT,$A283)+SUMIFS(SALIDAS_BOV1,FECHA_BOV1,"&gt;="&amp;BH$2,FECHA_BOV1,"&lt;="&amp;BH$3,CLAVE_BOV1,$A283)+SUMIFS(SALIDAS_BOV2,FECHA_BOV2,"&gt;="&amp;BH$2,FECHA_BOV2,"&lt;="&amp;BH$3,CLAVE_BOV2,$A283)+SUMIFS(SALIDAS_BOV3,FECHA_BOV3,"&gt;="&amp;BH$2,FECHA_BOV3,"&lt;="&amp;BH$3,CLAVE_BOV3,$A283)+SUMIFS(SALIDAS_TC,FECHA_TC,"&gt;="&amp;BH$2,FECHA_TC,"&lt;="&amp;BH$3,CLAVE_TC,$A283)+SUMIFS(SALIDAS_COMB,FECHA_COMB,"&gt;="&amp;BH$2,FECHA_COMB,"&lt;="&amp;BH$3,CLAVE_COMB,$A283)+SUMIFS(SALIDAS_DES,FECHA_DESGLOSEN,"&gt;="&amp;BH$2,FECHA_DESGLOSEN,"&lt;="&amp;BH$3,CLAVE_DESGLOSE,$A283)</f>
        <v>4388.9799999999996</v>
      </c>
      <c r="BI283" s="13">
        <f t="shared" si="419"/>
        <v>5388.32</v>
      </c>
      <c r="BJ283" s="68">
        <f t="shared" si="460"/>
        <v>-2456.3199999999997</v>
      </c>
      <c r="BK283" s="268">
        <f t="shared" si="461"/>
        <v>1.8377626193724419</v>
      </c>
      <c r="BL283" s="13">
        <f t="shared" si="462"/>
        <v>13269</v>
      </c>
      <c r="BM283" s="13">
        <f>SUMIFS(SALIDAS_BIT,FECHA_BIT,"&gt;="&amp;BM$2,FECHA_BIT,"&lt;="&amp;BM$3,CLAVE_BIT,$A283)+SUMIFS(SALIDAS_BOV1,FECHA_BOV1,"&gt;="&amp;BM$2,FECHA_BOV1,"&lt;="&amp;BM$3,CLAVE_BOV1,$A283)+SUMIFS(SALIDAS_BOV2,FECHA_BOV2,"&gt;="&amp;BM$2,FECHA_BOV2,"&lt;="&amp;BM$3,CLAVE_BOV2,$A283)+SUMIFS(SALIDAS_BOV3,FECHA_BOV3,"&gt;="&amp;BM$2,FECHA_BOV3,"&lt;="&amp;BM$3,CLAVE_BOV3,$A283)+SUMIFS(SALIDAS_TC,FECHA_TC,"&gt;="&amp;BM$2,FECHA_TC,"&lt;="&amp;BM$3,CLAVE_TC,$A283)+SUMIFS(SALIDAS_COMB,FECHA_COMB,"&gt;="&amp;BM$2,FECHA_COMB,"&lt;="&amp;BM$3,CLAVE_COMB,$A283)+SUMIFS(SALIDAS_DES,FECHA_DESGLOSEN,"&gt;="&amp;BM$2,FECHA_DESGLOSEN,"&lt;="&amp;BM$3,CLAVE_DESGLOSE,$A283)</f>
        <v>3140.12</v>
      </c>
      <c r="BN283" s="13">
        <f>SUMIFS(SALIDAS_BIT,FECHA_BIT,"&gt;="&amp;BN$2,FECHA_BIT,"&lt;="&amp;BN$3,CLAVE_BIT,$A283)+SUMIFS(SALIDAS_BOV1,FECHA_BOV1,"&gt;="&amp;BN$2,FECHA_BOV1,"&lt;="&amp;BN$3,CLAVE_BOV1,$A283)+SUMIFS(SALIDAS_BOV2,FECHA_BOV2,"&gt;="&amp;BN$2,FECHA_BOV2,"&lt;="&amp;BN$3,CLAVE_BOV2,$A283)+SUMIFS(SALIDAS_BOV3,FECHA_BOV3,"&gt;="&amp;BN$2,FECHA_BOV3,"&lt;="&amp;BN$3,CLAVE_BOV3,$A283)+SUMIFS(SALIDAS_TC,FECHA_TC,"&gt;="&amp;BN$2,FECHA_TC,"&lt;="&amp;BN$3,CLAVE_TC,$A283)+SUMIFS(SALIDAS_COMB,FECHA_COMB,"&gt;="&amp;BN$2,FECHA_COMB,"&lt;="&amp;BN$3,CLAVE_COMB,$A283)+SUMIFS(SALIDAS_DES,FECHA_DESGLOSEN,"&gt;="&amp;BN$2,FECHA_DESGLOSEN,"&lt;="&amp;BN$3,CLAVE_DESGLOSE,$A283)</f>
        <v>0</v>
      </c>
      <c r="BO283" s="13">
        <f>SUMIFS(SALIDAS_BIT,FECHA_BIT,"&gt;="&amp;BO$2,FECHA_BIT,"&lt;="&amp;BO$3,CLAVE_BIT,$A283)+SUMIFS(SALIDAS_BOV1,FECHA_BOV1,"&gt;="&amp;BO$2,FECHA_BOV1,"&lt;="&amp;BO$3,CLAVE_BOV1,$A283)+SUMIFS(SALIDAS_BOV2,FECHA_BOV2,"&gt;="&amp;BO$2,FECHA_BOV2,"&lt;="&amp;BO$3,CLAVE_BOV2,$A283)+SUMIFS(SALIDAS_BOV3,FECHA_BOV3,"&gt;="&amp;BO$2,FECHA_BOV3,"&lt;="&amp;BO$3,CLAVE_BOV3,$A283)+SUMIFS(SALIDAS_TC,FECHA_TC,"&gt;="&amp;BO$2,FECHA_TC,"&lt;="&amp;BO$3,CLAVE_TC,$A283)+SUMIFS(SALIDAS_COMB,FECHA_COMB,"&gt;="&amp;BO$2,FECHA_COMB,"&lt;="&amp;BO$3,CLAVE_COMB,$A283)+SUMIFS(SALIDAS_DES,FECHA_DESGLOSEN,"&gt;="&amp;BO$2,FECHA_DESGLOSEN,"&lt;="&amp;BO$3,CLAVE_DESGLOSE,$A283)</f>
        <v>6264.67</v>
      </c>
      <c r="BP283" s="13">
        <f>SUMIFS(SALIDAS_BIT,FECHA_BIT,"&gt;="&amp;BP$2,FECHA_BIT,"&lt;="&amp;BP$3,CLAVE_BIT,$A283)+SUMIFS(SALIDAS_BOV1,FECHA_BOV1,"&gt;="&amp;BP$2,FECHA_BOV1,"&lt;="&amp;BP$3,CLAVE_BOV1,$A283)+SUMIFS(SALIDAS_BOV2,FECHA_BOV2,"&gt;="&amp;BP$2,FECHA_BOV2,"&lt;="&amp;BP$3,CLAVE_BOV2,$A283)+SUMIFS(SALIDAS_BOV3,FECHA_BOV3,"&gt;="&amp;BP$2,FECHA_BOV3,"&lt;="&amp;BP$3,CLAVE_BOV3,$A283)+SUMIFS(SALIDAS_TC,FECHA_TC,"&gt;="&amp;BP$2,FECHA_TC,"&lt;="&amp;BP$3,CLAVE_TC,$A283)+SUMIFS(SALIDAS_COMB,FECHA_COMB,"&gt;="&amp;BP$2,FECHA_COMB,"&lt;="&amp;BP$3,CLAVE_COMB,$A283)+SUMIFS(SALIDAS_DES,FECHA_DESGLOSEN,"&gt;="&amp;BP$2,FECHA_DESGLOSEN,"&lt;="&amp;BP$3,CLAVE_DESGLOSE,$A283)</f>
        <v>16.2</v>
      </c>
      <c r="BQ283" s="13">
        <f>SUMIFS(SALIDAS_BIT,FECHA_BIT,"&gt;="&amp;BQ$2,FECHA_BIT,"&lt;="&amp;BQ$3,CLAVE_BIT,$A283)+SUMIFS(SALIDAS_BOV1,FECHA_BOV1,"&gt;="&amp;BQ$2,FECHA_BOV1,"&lt;="&amp;BQ$3,CLAVE_BOV1,$A283)+SUMIFS(SALIDAS_BOV2,FECHA_BOV2,"&gt;="&amp;BQ$2,FECHA_BOV2,"&lt;="&amp;BQ$3,CLAVE_BOV2,$A283)+SUMIFS(SALIDAS_BOV3,FECHA_BOV3,"&gt;="&amp;BQ$2,FECHA_BOV3,"&lt;="&amp;BQ$3,CLAVE_BOV3,$A283)+SUMIFS(SALIDAS_TC,FECHA_TC,"&gt;="&amp;BQ$2,FECHA_TC,"&lt;="&amp;BQ$3,CLAVE_TC,$A283)+SUMIFS(SALIDAS_COMB,FECHA_COMB,"&gt;="&amp;BQ$2,FECHA_COMB,"&lt;="&amp;BQ$3,CLAVE_COMB,$A283)+SUMIFS(SALIDAS_DES,FECHA_DESGLOSEN,"&gt;="&amp;BQ$2,FECHA_DESGLOSEN,"&lt;="&amp;BQ$3,CLAVE_DESGLOSE,$A283)</f>
        <v>464</v>
      </c>
      <c r="BR283" s="13">
        <f t="shared" si="492"/>
        <v>9884.9900000000016</v>
      </c>
      <c r="BS283" s="68">
        <f t="shared" si="463"/>
        <v>3384.0099999999984</v>
      </c>
      <c r="BT283" s="268">
        <f t="shared" si="464"/>
        <v>0.74496872409375248</v>
      </c>
      <c r="BU283" s="13">
        <f t="shared" si="465"/>
        <v>7000</v>
      </c>
      <c r="BV283" s="13">
        <f t="shared" si="485"/>
        <v>2121.42</v>
      </c>
      <c r="BW283" s="13">
        <f t="shared" si="485"/>
        <v>0</v>
      </c>
      <c r="BX283" s="13">
        <f t="shared" si="485"/>
        <v>0</v>
      </c>
      <c r="BY283" s="13">
        <f t="shared" si="485"/>
        <v>11254.38</v>
      </c>
      <c r="BZ283" s="13">
        <f t="shared" si="493"/>
        <v>13375.8</v>
      </c>
      <c r="CA283" s="68">
        <f t="shared" si="466"/>
        <v>-6375.7999999999993</v>
      </c>
      <c r="CB283" s="268">
        <f t="shared" si="467"/>
        <v>1.9108285714285713</v>
      </c>
      <c r="CC283" s="13">
        <f t="shared" si="468"/>
        <v>7000</v>
      </c>
      <c r="CD283" s="13">
        <f t="shared" si="486"/>
        <v>7383.09</v>
      </c>
      <c r="CE283" s="13">
        <f t="shared" si="486"/>
        <v>722.38</v>
      </c>
      <c r="CF283" s="13">
        <f t="shared" si="486"/>
        <v>0</v>
      </c>
      <c r="CG283" s="13">
        <f t="shared" si="486"/>
        <v>928</v>
      </c>
      <c r="CH283" s="13">
        <f t="shared" si="494"/>
        <v>9033.4700000000012</v>
      </c>
      <c r="CI283" s="68">
        <f t="shared" si="469"/>
        <v>-2033.4700000000012</v>
      </c>
      <c r="CJ283" s="268">
        <f t="shared" si="470"/>
        <v>1.2904957142857145</v>
      </c>
      <c r="CK283" s="13">
        <f t="shared" si="471"/>
        <v>7000</v>
      </c>
      <c r="CL283" s="13">
        <f t="shared" si="495"/>
        <v>8849.48</v>
      </c>
      <c r="CM283" s="13">
        <f t="shared" si="495"/>
        <v>0</v>
      </c>
      <c r="CN283" s="13">
        <f t="shared" si="495"/>
        <v>2204.23</v>
      </c>
      <c r="CO283" s="13">
        <f t="shared" si="495"/>
        <v>0</v>
      </c>
      <c r="CP283" s="13">
        <f t="shared" si="495"/>
        <v>2412.8000000000002</v>
      </c>
      <c r="CQ283" s="13">
        <f t="shared" si="496"/>
        <v>13466.509999999998</v>
      </c>
      <c r="CR283" s="68">
        <f t="shared" si="472"/>
        <v>-6466.5099999999984</v>
      </c>
      <c r="CS283" s="268">
        <f t="shared" si="473"/>
        <v>1.9237871428571427</v>
      </c>
      <c r="CT283" s="68">
        <f t="shared" si="446"/>
        <v>20000</v>
      </c>
      <c r="CU283" s="13">
        <f>SUMIFS(SALIDAS_BIT,FECHA_BIT,"&gt;="&amp;CU$2,FECHA_BIT,"&lt;="&amp;CU$3,CLAVE_BIT,$A283)+SUMIFS(SALIDAS_BOV1,FECHA_BOV1,"&gt;="&amp;CU$2,FECHA_BOV1,"&lt;="&amp;CU$3,CLAVE_BOV1,$A283)+SUMIFS(SALIDAS_BOV2,FECHA_BOV2,"&gt;="&amp;CU$2,FECHA_BOV2,"&lt;="&amp;CU$3,CLAVE_BOV2,$A283)+SUMIFS(SALIDAS_BOV3,FECHA_BOV3,"&gt;="&amp;CU$2,FECHA_BOV3,"&lt;="&amp;CU$3,CLAVE_BOV3,$A283)+SUMIFS(SALIDAS_TC,FECHA_TC,"&gt;="&amp;CU$2,FECHA_TC,"&lt;="&amp;CU$3,CLAVE_TC,$A283)+SUMIFS(SALIDAS_COMB,FECHA_COMB,"&gt;="&amp;CU$2,FECHA_COMB,"&lt;="&amp;CU$3,CLAVE_COMB,$A283)+SUMIFS(SALIDAS_DES,FECHA_DESGLOSEN,"&gt;="&amp;CU$2,FECHA_DESGLOSEN,"&lt;="&amp;CU$3,CLAVE_DESGLOSE,$A283)</f>
        <v>403.1</v>
      </c>
      <c r="CV283" s="13">
        <f>SUMIFS(SALIDAS_BIT,FECHA_BIT,"&gt;="&amp;CV$2,FECHA_BIT,"&lt;="&amp;CV$3,CLAVE_BIT,$A283)+SUMIFS(SALIDAS_BOV1,FECHA_BOV1,"&gt;="&amp;CV$2,FECHA_BOV1,"&lt;="&amp;CV$3,CLAVE_BOV1,$A283)+SUMIFS(SALIDAS_BOV2,FECHA_BOV2,"&gt;="&amp;CV$2,FECHA_BOV2,"&lt;="&amp;CV$3,CLAVE_BOV2,$A283)+SUMIFS(SALIDAS_BOV3,FECHA_BOV3,"&gt;="&amp;CV$2,FECHA_BOV3,"&lt;="&amp;CV$3,CLAVE_BOV3,$A283)+SUMIFS(SALIDAS_TC,FECHA_TC,"&gt;="&amp;CV$2,FECHA_TC,"&lt;="&amp;CV$3,CLAVE_TC,$A283)+SUMIFS(SALIDAS_COMB,FECHA_COMB,"&gt;="&amp;CV$2,FECHA_COMB,"&lt;="&amp;CV$3,CLAVE_COMB,$A283)+SUMIFS(SALIDAS_DES,FECHA_DESGLOSEN,"&gt;="&amp;CV$2,FECHA_DESGLOSEN,"&lt;="&amp;CV$3,CLAVE_DESGLOSE,$A283)</f>
        <v>0</v>
      </c>
      <c r="CW283" s="13">
        <f>SUMIFS(SALIDAS_BIT,FECHA_BIT,"&gt;="&amp;CW$2,FECHA_BIT,"&lt;="&amp;CW$3,CLAVE_BIT,$A283)+SUMIFS(SALIDAS_BOV1,FECHA_BOV1,"&gt;="&amp;CW$2,FECHA_BOV1,"&lt;="&amp;CW$3,CLAVE_BOV1,$A283)+SUMIFS(SALIDAS_BOV2,FECHA_BOV2,"&gt;="&amp;CW$2,FECHA_BOV2,"&lt;="&amp;CW$3,CLAVE_BOV2,$A283)+SUMIFS(SALIDAS_BOV3,FECHA_BOV3,"&gt;="&amp;CW$2,FECHA_BOV3,"&lt;="&amp;CW$3,CLAVE_BOV3,$A283)+SUMIFS(SALIDAS_TC,FECHA_TC,"&gt;="&amp;CW$2,FECHA_TC,"&lt;="&amp;CW$3,CLAVE_TC,$A283)+SUMIFS(SALIDAS_COMB,FECHA_COMB,"&gt;="&amp;CW$2,FECHA_COMB,"&lt;="&amp;CW$3,CLAVE_COMB,$A283)+SUMIFS(SALIDAS_DES,FECHA_DESGLOSEN,"&gt;="&amp;CW$2,FECHA_DESGLOSEN,"&lt;="&amp;CW$3,CLAVE_DESGLOSE,$A283)</f>
        <v>0</v>
      </c>
      <c r="CX283" s="13">
        <f>SUMIFS(SALIDAS_BIT,FECHA_BIT,"&gt;="&amp;CX$2,FECHA_BIT,"&lt;="&amp;CX$3,CLAVE_BIT,$A283)+SUMIFS(SALIDAS_BOV1,FECHA_BOV1,"&gt;="&amp;CX$2,FECHA_BOV1,"&lt;="&amp;CX$3,CLAVE_BOV1,$A283)+SUMIFS(SALIDAS_BOV2,FECHA_BOV2,"&gt;="&amp;CX$2,FECHA_BOV2,"&lt;="&amp;CX$3,CLAVE_BOV2,$A283)+SUMIFS(SALIDAS_BOV3,FECHA_BOV3,"&gt;="&amp;CX$2,FECHA_BOV3,"&lt;="&amp;CX$3,CLAVE_BOV3,$A283)+SUMIFS(SALIDAS_TC,FECHA_TC,"&gt;="&amp;CX$2,FECHA_TC,"&lt;="&amp;CX$3,CLAVE_TC,$A283)+SUMIFS(SALIDAS_COMB,FECHA_COMB,"&gt;="&amp;CX$2,FECHA_COMB,"&lt;="&amp;CX$3,CLAVE_COMB,$A283)+SUMIFS(SALIDAS_DES,FECHA_DESGLOSEN,"&gt;="&amp;CX$2,FECHA_DESGLOSEN,"&lt;="&amp;CX$3,CLAVE_DESGLOSE,$A283)</f>
        <v>0</v>
      </c>
      <c r="CY283" s="13">
        <f>SUMIFS(SALIDAS_BIT,FECHA_BIT,"&gt;="&amp;CY$2,FECHA_BIT,"&lt;="&amp;CY$3,CLAVE_BIT,$A283)+SUMIFS(SALIDAS_BOV1,FECHA_BOV1,"&gt;="&amp;CY$2,FECHA_BOV1,"&lt;="&amp;CY$3,CLAVE_BOV1,$A283)+SUMIFS(SALIDAS_BOV2,FECHA_BOV2,"&gt;="&amp;CY$2,FECHA_BOV2,"&lt;="&amp;CY$3,CLAVE_BOV2,$A283)+SUMIFS(SALIDAS_BOV3,FECHA_BOV3,"&gt;="&amp;CY$2,FECHA_BOV3,"&lt;="&amp;CY$3,CLAVE_BOV3,$A283)+SUMIFS(SALIDAS_TC,FECHA_TC,"&gt;="&amp;CY$2,FECHA_TC,"&lt;="&amp;CY$3,CLAVE_TC,$A283)+SUMIFS(SALIDAS_COMB,FECHA_COMB,"&gt;="&amp;CY$2,FECHA_COMB,"&lt;="&amp;CY$3,CLAVE_COMB,$A283)+SUMIFS(SALIDAS_DES,FECHA_DESGLOSEN,"&gt;="&amp;CY$2,FECHA_DESGLOSEN,"&lt;="&amp;CY$3,CLAVE_DESGLOSE,$A283)</f>
        <v>403.1</v>
      </c>
      <c r="CZ283" s="68">
        <f t="shared" si="474"/>
        <v>19596.900000000001</v>
      </c>
      <c r="DB283" s="17">
        <f>F283+N283+W283+AE283+AM283+AV283+BD283+BL283+BU283+CC283+CK283</f>
        <v>63462</v>
      </c>
      <c r="DC283" s="17">
        <f>K283+T283+AB283+AJ283+AS283+BA283+BI283+BR283+BZ283+CH283+CQ283</f>
        <v>166912.72</v>
      </c>
    </row>
    <row r="284" spans="1:107" hidden="1">
      <c r="A284" s="12" t="str">
        <f t="shared" si="447"/>
        <v>FINANZASCOMISIONES BANCARIASTPV</v>
      </c>
      <c r="B284">
        <v>286</v>
      </c>
      <c r="C284" t="s">
        <v>23</v>
      </c>
      <c r="D284" t="s">
        <v>48</v>
      </c>
      <c r="E284" t="s">
        <v>50</v>
      </c>
      <c r="F284" s="259">
        <f t="shared" si="440"/>
        <v>93308</v>
      </c>
      <c r="G284" s="13">
        <f t="shared" si="487"/>
        <v>22726.79</v>
      </c>
      <c r="H284" s="13">
        <f t="shared" si="487"/>
        <v>30631.049999999996</v>
      </c>
      <c r="I284" s="13">
        <f t="shared" si="487"/>
        <v>31332.434999999998</v>
      </c>
      <c r="J284" s="13">
        <f t="shared" si="487"/>
        <v>25304.74</v>
      </c>
      <c r="K284" s="13">
        <f t="shared" si="487"/>
        <v>109995.01499999998</v>
      </c>
      <c r="L284" s="68">
        <f t="shared" si="448"/>
        <v>-16687.014999999985</v>
      </c>
      <c r="M284" s="268">
        <f t="shared" si="449"/>
        <v>1.1788379881682169</v>
      </c>
      <c r="N284" s="13">
        <f t="shared" si="441"/>
        <v>120924</v>
      </c>
      <c r="O284" s="13">
        <f t="shared" si="488"/>
        <v>21478.12</v>
      </c>
      <c r="P284" s="13">
        <f t="shared" si="488"/>
        <v>28769.909999999996</v>
      </c>
      <c r="Q284" s="13">
        <f t="shared" si="488"/>
        <v>32558.81</v>
      </c>
      <c r="R284" s="13">
        <f t="shared" si="488"/>
        <v>28025.310000000005</v>
      </c>
      <c r="S284" s="13">
        <f t="shared" si="488"/>
        <v>28426.12</v>
      </c>
      <c r="T284" s="13">
        <f t="shared" si="488"/>
        <v>139258.27000000002</v>
      </c>
      <c r="U284" s="68">
        <f t="shared" si="450"/>
        <v>-18334.270000000019</v>
      </c>
      <c r="V284" s="268">
        <f t="shared" si="451"/>
        <v>1.1516181237802257</v>
      </c>
      <c r="W284" s="13">
        <f t="shared" si="442"/>
        <v>110404</v>
      </c>
      <c r="X284" s="13">
        <f t="shared" si="489"/>
        <v>36341.01</v>
      </c>
      <c r="Y284" s="13">
        <f t="shared" si="489"/>
        <v>28607.17</v>
      </c>
      <c r="Z284" s="13">
        <f t="shared" si="489"/>
        <v>40500.94</v>
      </c>
      <c r="AA284" s="13">
        <f t="shared" si="489"/>
        <v>41286.420000000006</v>
      </c>
      <c r="AB284" s="13">
        <f t="shared" si="489"/>
        <v>146735.54</v>
      </c>
      <c r="AC284" s="68">
        <f t="shared" si="452"/>
        <v>-36331.540000000008</v>
      </c>
      <c r="AD284" s="268">
        <f t="shared" si="453"/>
        <v>1.3290781131118439</v>
      </c>
      <c r="AE284" s="13">
        <f t="shared" si="443"/>
        <v>119815</v>
      </c>
      <c r="AF284" s="13">
        <f t="shared" si="490"/>
        <v>37520.03</v>
      </c>
      <c r="AG284" s="13">
        <f t="shared" si="490"/>
        <v>18990.850000000002</v>
      </c>
      <c r="AH284" s="13">
        <f t="shared" si="490"/>
        <v>29861.9</v>
      </c>
      <c r="AI284" s="13">
        <f t="shared" si="490"/>
        <v>32218.630000000005</v>
      </c>
      <c r="AJ284" s="13">
        <f t="shared" si="490"/>
        <v>118591.41000000002</v>
      </c>
      <c r="AK284" s="68">
        <f t="shared" si="454"/>
        <v>1223.589999999982</v>
      </c>
      <c r="AL284" s="268">
        <f t="shared" si="455"/>
        <v>0.98978767266202072</v>
      </c>
      <c r="AM284" s="13">
        <f t="shared" si="444"/>
        <v>161811</v>
      </c>
      <c r="AN284" s="13">
        <f t="shared" si="491"/>
        <v>35852.83</v>
      </c>
      <c r="AO284" s="13">
        <f t="shared" si="491"/>
        <v>35371.64</v>
      </c>
      <c r="AP284" s="13">
        <f t="shared" si="491"/>
        <v>42331.32</v>
      </c>
      <c r="AQ284" s="13">
        <f t="shared" si="491"/>
        <v>36328.699999999997</v>
      </c>
      <c r="AR284" s="13">
        <f t="shared" si="491"/>
        <v>40546.950000000004</v>
      </c>
      <c r="AS284" s="13">
        <f t="shared" si="491"/>
        <v>190431.43999999997</v>
      </c>
      <c r="AT284" s="68">
        <f>AM284-AS284</f>
        <v>-28620.439999999973</v>
      </c>
      <c r="AU284" s="268">
        <f t="shared" si="456"/>
        <v>1.1768757377434165</v>
      </c>
      <c r="AV284" s="13">
        <f t="shared" si="445"/>
        <v>121968</v>
      </c>
      <c r="AW284" s="13">
        <f t="shared" si="421"/>
        <v>38871.869999999995</v>
      </c>
      <c r="AX284" s="13">
        <f t="shared" si="421"/>
        <v>37985.082999999999</v>
      </c>
      <c r="AY284" s="13">
        <f t="shared" si="421"/>
        <v>36535.549999999996</v>
      </c>
      <c r="AZ284" s="13">
        <f t="shared" si="421"/>
        <v>35698.620000000003</v>
      </c>
      <c r="BA284" s="13">
        <f t="shared" si="475"/>
        <v>149091.12299999999</v>
      </c>
      <c r="BB284" s="68">
        <f t="shared" si="457"/>
        <v>-27123.122999999992</v>
      </c>
      <c r="BC284" s="268">
        <f t="shared" si="458"/>
        <v>1.2223790092483273</v>
      </c>
      <c r="BD284" s="13">
        <f t="shared" si="459"/>
        <v>114929</v>
      </c>
      <c r="BE284" s="13">
        <f>SUMIFS(SALIDAS_BIT,FECHA_BIT,"&gt;="&amp;BE$2,FECHA_BIT,"&lt;="&amp;BE$3,CLAVE_BIT,$A284)+SUMIFS(SALIDAS_BOV1,FECHA_BOV1,"&gt;="&amp;BE$2,FECHA_BOV1,"&lt;="&amp;BE$3,CLAVE_BOV1,$A284)+SUMIFS(SALIDAS_BOV2,FECHA_BOV2,"&gt;="&amp;BE$2,FECHA_BOV2,"&lt;="&amp;BE$3,CLAVE_BOV2,$A284)+SUMIFS(SALIDAS_BOV3,FECHA_BOV3,"&gt;="&amp;BE$2,FECHA_BOV3,"&lt;="&amp;BE$3,CLAVE_BOV3,$A284)+SUMIFS(SALIDAS_TC,FECHA_TC,"&gt;="&amp;BE$2,FECHA_TC,"&lt;="&amp;BE$3,CLAVE_TC,$A284)+SUMIFS(SALIDAS_COMB,FECHA_COMB,"&gt;="&amp;BE$2,FECHA_COMB,"&lt;="&amp;BE$3,CLAVE_COMB,$A284)+SUMIFS(SALIDAS_DES,FECHA_DESGLOSEN,"&gt;="&amp;BE$2,FECHA_DESGLOSEN,"&lt;="&amp;BE$3,CLAVE_DESGLOSE,$A284)</f>
        <v>39247.43</v>
      </c>
      <c r="BF284" s="13">
        <f>SUMIFS(SALIDAS_BIT,FECHA_BIT,"&gt;="&amp;BF$2,FECHA_BIT,"&lt;="&amp;BF$3,CLAVE_BIT,$A284)+SUMIFS(SALIDAS_BOV1,FECHA_BOV1,"&gt;="&amp;BF$2,FECHA_BOV1,"&lt;="&amp;BF$3,CLAVE_BOV1,$A284)+SUMIFS(SALIDAS_BOV2,FECHA_BOV2,"&gt;="&amp;BF$2,FECHA_BOV2,"&lt;="&amp;BF$3,CLAVE_BOV2,$A284)+SUMIFS(SALIDAS_BOV3,FECHA_BOV3,"&gt;="&amp;BF$2,FECHA_BOV3,"&lt;="&amp;BF$3,CLAVE_BOV3,$A284)+SUMIFS(SALIDAS_TC,FECHA_TC,"&gt;="&amp;BF$2,FECHA_TC,"&lt;="&amp;BF$3,CLAVE_TC,$A284)+SUMIFS(SALIDAS_COMB,FECHA_COMB,"&gt;="&amp;BF$2,FECHA_COMB,"&lt;="&amp;BF$3,CLAVE_COMB,$A284)+SUMIFS(SALIDAS_DES,FECHA_DESGLOSEN,"&gt;="&amp;BF$2,FECHA_DESGLOSEN,"&lt;="&amp;BF$3,CLAVE_DESGLOSE,$A284)</f>
        <v>38513.569999999992</v>
      </c>
      <c r="BG284" s="13">
        <f>SUMIFS(SALIDAS_BIT,FECHA_BIT,"&gt;="&amp;BG$2,FECHA_BIT,"&lt;="&amp;BG$3,CLAVE_BIT,$A284)+SUMIFS(SALIDAS_BOV1,FECHA_BOV1,"&gt;="&amp;BG$2,FECHA_BOV1,"&lt;="&amp;BG$3,CLAVE_BOV1,$A284)+SUMIFS(SALIDAS_BOV2,FECHA_BOV2,"&gt;="&amp;BG$2,FECHA_BOV2,"&lt;="&amp;BG$3,CLAVE_BOV2,$A284)+SUMIFS(SALIDAS_BOV3,FECHA_BOV3,"&gt;="&amp;BG$2,FECHA_BOV3,"&lt;="&amp;BG$3,CLAVE_BOV3,$A284)+SUMIFS(SALIDAS_TC,FECHA_TC,"&gt;="&amp;BG$2,FECHA_TC,"&lt;="&amp;BG$3,CLAVE_TC,$A284)+SUMIFS(SALIDAS_COMB,FECHA_COMB,"&gt;="&amp;BG$2,FECHA_COMB,"&lt;="&amp;BG$3,CLAVE_COMB,$A284)+SUMIFS(SALIDAS_DES,FECHA_DESGLOSEN,"&gt;="&amp;BG$2,FECHA_DESGLOSEN,"&lt;="&amp;BG$3,CLAVE_DESGLOSE,$A284)</f>
        <v>44980.409999999989</v>
      </c>
      <c r="BH284" s="13">
        <f>SUMIFS(SALIDAS_BIT,FECHA_BIT,"&gt;="&amp;BH$2,FECHA_BIT,"&lt;="&amp;BH$3,CLAVE_BIT,$A284)+SUMIFS(SALIDAS_BOV1,FECHA_BOV1,"&gt;="&amp;BH$2,FECHA_BOV1,"&lt;="&amp;BH$3,CLAVE_BOV1,$A284)+SUMIFS(SALIDAS_BOV2,FECHA_BOV2,"&gt;="&amp;BH$2,FECHA_BOV2,"&lt;="&amp;BH$3,CLAVE_BOV2,$A284)+SUMIFS(SALIDAS_BOV3,FECHA_BOV3,"&gt;="&amp;BH$2,FECHA_BOV3,"&lt;="&amp;BH$3,CLAVE_BOV3,$A284)+SUMIFS(SALIDAS_TC,FECHA_TC,"&gt;="&amp;BH$2,FECHA_TC,"&lt;="&amp;BH$3,CLAVE_TC,$A284)+SUMIFS(SALIDAS_COMB,FECHA_COMB,"&gt;="&amp;BH$2,FECHA_COMB,"&lt;="&amp;BH$3,CLAVE_COMB,$A284)+SUMIFS(SALIDAS_DES,FECHA_DESGLOSEN,"&gt;="&amp;BH$2,FECHA_DESGLOSEN,"&lt;="&amp;BH$3,CLAVE_DESGLOSE,$A284)</f>
        <v>47659.539999999994</v>
      </c>
      <c r="BI284" s="13">
        <f t="shared" si="419"/>
        <v>170400.95</v>
      </c>
      <c r="BJ284" s="68">
        <f t="shared" si="460"/>
        <v>-55471.950000000012</v>
      </c>
      <c r="BK284" s="268">
        <f t="shared" si="461"/>
        <v>1.4826627744085479</v>
      </c>
      <c r="BL284" s="13">
        <f t="shared" si="462"/>
        <v>135234</v>
      </c>
      <c r="BM284" s="13">
        <f>SUMIFS(SALIDAS_BIT,FECHA_BIT,"&gt;="&amp;BM$2,FECHA_BIT,"&lt;="&amp;BM$3,CLAVE_BIT,$A284)+SUMIFS(SALIDAS_BOV1,FECHA_BOV1,"&gt;="&amp;BM$2,FECHA_BOV1,"&lt;="&amp;BM$3,CLAVE_BOV1,$A284)+SUMIFS(SALIDAS_BOV2,FECHA_BOV2,"&gt;="&amp;BM$2,FECHA_BOV2,"&lt;="&amp;BM$3,CLAVE_BOV2,$A284)+SUMIFS(SALIDAS_BOV3,FECHA_BOV3,"&gt;="&amp;BM$2,FECHA_BOV3,"&lt;="&amp;BM$3,CLAVE_BOV3,$A284)+SUMIFS(SALIDAS_TC,FECHA_TC,"&gt;="&amp;BM$2,FECHA_TC,"&lt;="&amp;BM$3,CLAVE_TC,$A284)+SUMIFS(SALIDAS_COMB,FECHA_COMB,"&gt;="&amp;BM$2,FECHA_COMB,"&lt;="&amp;BM$3,CLAVE_COMB,$A284)+SUMIFS(SALIDAS_DES,FECHA_DESGLOSEN,"&gt;="&amp;BM$2,FECHA_DESGLOSEN,"&lt;="&amp;BM$3,CLAVE_DESGLOSE,$A284)</f>
        <v>41223.82</v>
      </c>
      <c r="BN284" s="13">
        <f>SUMIFS(SALIDAS_BIT,FECHA_BIT,"&gt;="&amp;BN$2,FECHA_BIT,"&lt;="&amp;BN$3,CLAVE_BIT,$A284)+SUMIFS(SALIDAS_BOV1,FECHA_BOV1,"&gt;="&amp;BN$2,FECHA_BOV1,"&lt;="&amp;BN$3,CLAVE_BOV1,$A284)+SUMIFS(SALIDAS_BOV2,FECHA_BOV2,"&gt;="&amp;BN$2,FECHA_BOV2,"&lt;="&amp;BN$3,CLAVE_BOV2,$A284)+SUMIFS(SALIDAS_BOV3,FECHA_BOV3,"&gt;="&amp;BN$2,FECHA_BOV3,"&lt;="&amp;BN$3,CLAVE_BOV3,$A284)+SUMIFS(SALIDAS_TC,FECHA_TC,"&gt;="&amp;BN$2,FECHA_TC,"&lt;="&amp;BN$3,CLAVE_TC,$A284)+SUMIFS(SALIDAS_COMB,FECHA_COMB,"&gt;="&amp;BN$2,FECHA_COMB,"&lt;="&amp;BN$3,CLAVE_COMB,$A284)+SUMIFS(SALIDAS_DES,FECHA_DESGLOSEN,"&gt;="&amp;BN$2,FECHA_DESGLOSEN,"&lt;="&amp;BN$3,CLAVE_DESGLOSE,$A284)</f>
        <v>34900.519999999997</v>
      </c>
      <c r="BO284" s="13">
        <f>SUMIFS(SALIDAS_BIT,FECHA_BIT,"&gt;="&amp;BO$2,FECHA_BIT,"&lt;="&amp;BO$3,CLAVE_BIT,$A284)+SUMIFS(SALIDAS_BOV1,FECHA_BOV1,"&gt;="&amp;BO$2,FECHA_BOV1,"&lt;="&amp;BO$3,CLAVE_BOV1,$A284)+SUMIFS(SALIDAS_BOV2,FECHA_BOV2,"&gt;="&amp;BO$2,FECHA_BOV2,"&lt;="&amp;BO$3,CLAVE_BOV2,$A284)+SUMIFS(SALIDAS_BOV3,FECHA_BOV3,"&gt;="&amp;BO$2,FECHA_BOV3,"&lt;="&amp;BO$3,CLAVE_BOV3,$A284)+SUMIFS(SALIDAS_TC,FECHA_TC,"&gt;="&amp;BO$2,FECHA_TC,"&lt;="&amp;BO$3,CLAVE_TC,$A284)+SUMIFS(SALIDAS_COMB,FECHA_COMB,"&gt;="&amp;BO$2,FECHA_COMB,"&lt;="&amp;BO$3,CLAVE_COMB,$A284)+SUMIFS(SALIDAS_DES,FECHA_DESGLOSEN,"&gt;="&amp;BO$2,FECHA_DESGLOSEN,"&lt;="&amp;BO$3,CLAVE_DESGLOSE,$A284)</f>
        <v>32939.21</v>
      </c>
      <c r="BP284" s="13">
        <f>SUMIFS(SALIDAS_BIT,FECHA_BIT,"&gt;="&amp;BP$2,FECHA_BIT,"&lt;="&amp;BP$3,CLAVE_BIT,$A284)+SUMIFS(SALIDAS_BOV1,FECHA_BOV1,"&gt;="&amp;BP$2,FECHA_BOV1,"&lt;="&amp;BP$3,CLAVE_BOV1,$A284)+SUMIFS(SALIDAS_BOV2,FECHA_BOV2,"&gt;="&amp;BP$2,FECHA_BOV2,"&lt;="&amp;BP$3,CLAVE_BOV2,$A284)+SUMIFS(SALIDAS_BOV3,FECHA_BOV3,"&gt;="&amp;BP$2,FECHA_BOV3,"&lt;="&amp;BP$3,CLAVE_BOV3,$A284)+SUMIFS(SALIDAS_TC,FECHA_TC,"&gt;="&amp;BP$2,FECHA_TC,"&lt;="&amp;BP$3,CLAVE_TC,$A284)+SUMIFS(SALIDAS_COMB,FECHA_COMB,"&gt;="&amp;BP$2,FECHA_COMB,"&lt;="&amp;BP$3,CLAVE_COMB,$A284)+SUMIFS(SALIDAS_DES,FECHA_DESGLOSEN,"&gt;="&amp;BP$2,FECHA_DESGLOSEN,"&lt;="&amp;BP$3,CLAVE_DESGLOSE,$A284)</f>
        <v>30268.550000000003</v>
      </c>
      <c r="BQ284" s="13">
        <f>SUMIFS(SALIDAS_BIT,FECHA_BIT,"&gt;="&amp;BQ$2,FECHA_BIT,"&lt;="&amp;BQ$3,CLAVE_BIT,$A284)+SUMIFS(SALIDAS_BOV1,FECHA_BOV1,"&gt;="&amp;BQ$2,FECHA_BOV1,"&lt;="&amp;BQ$3,CLAVE_BOV1,$A284)+SUMIFS(SALIDAS_BOV2,FECHA_BOV2,"&gt;="&amp;BQ$2,FECHA_BOV2,"&lt;="&amp;BQ$3,CLAVE_BOV2,$A284)+SUMIFS(SALIDAS_BOV3,FECHA_BOV3,"&gt;="&amp;BQ$2,FECHA_BOV3,"&lt;="&amp;BQ$3,CLAVE_BOV3,$A284)+SUMIFS(SALIDAS_TC,FECHA_TC,"&gt;="&amp;BQ$2,FECHA_TC,"&lt;="&amp;BQ$3,CLAVE_TC,$A284)+SUMIFS(SALIDAS_COMB,FECHA_COMB,"&gt;="&amp;BQ$2,FECHA_COMB,"&lt;="&amp;BQ$3,CLAVE_COMB,$A284)+SUMIFS(SALIDAS_DES,FECHA_DESGLOSEN,"&gt;="&amp;BQ$2,FECHA_DESGLOSEN,"&lt;="&amp;BQ$3,CLAVE_DESGLOSE,$A284)</f>
        <v>30859.58</v>
      </c>
      <c r="BR284" s="13">
        <f t="shared" si="492"/>
        <v>170191.68</v>
      </c>
      <c r="BS284" s="68">
        <f t="shared" si="463"/>
        <v>-34957.679999999993</v>
      </c>
      <c r="BT284" s="268">
        <f t="shared" si="464"/>
        <v>1.2584977150716534</v>
      </c>
      <c r="BU284" s="13">
        <f t="shared" si="465"/>
        <v>136549</v>
      </c>
      <c r="BV284" s="13">
        <f t="shared" si="485"/>
        <v>37295.039999999994</v>
      </c>
      <c r="BW284" s="13">
        <f t="shared" si="485"/>
        <v>40728.224999999999</v>
      </c>
      <c r="BX284" s="13">
        <f t="shared" si="485"/>
        <v>25915.07</v>
      </c>
      <c r="BY284" s="13">
        <f t="shared" si="485"/>
        <v>25854.050000000003</v>
      </c>
      <c r="BZ284" s="13">
        <f t="shared" si="493"/>
        <v>129792.38499999999</v>
      </c>
      <c r="CA284" s="68">
        <f t="shared" si="466"/>
        <v>6756.6150000000052</v>
      </c>
      <c r="CB284" s="268">
        <f t="shared" si="467"/>
        <v>0.95051875151044674</v>
      </c>
      <c r="CC284" s="13">
        <f t="shared" si="468"/>
        <v>134399</v>
      </c>
      <c r="CD284" s="13">
        <f t="shared" si="486"/>
        <v>15657.07</v>
      </c>
      <c r="CE284" s="13">
        <f t="shared" si="486"/>
        <v>26396.14</v>
      </c>
      <c r="CF284" s="13">
        <f t="shared" si="486"/>
        <v>35860.579999999994</v>
      </c>
      <c r="CG284" s="13">
        <f t="shared" si="486"/>
        <v>67678.109999999986</v>
      </c>
      <c r="CH284" s="13">
        <f t="shared" si="494"/>
        <v>145591.9</v>
      </c>
      <c r="CI284" s="68">
        <f t="shared" si="469"/>
        <v>-11192.899999999994</v>
      </c>
      <c r="CJ284" s="268">
        <f t="shared" si="470"/>
        <v>1.083281125603613</v>
      </c>
      <c r="CK284" s="13">
        <f t="shared" si="471"/>
        <v>319477</v>
      </c>
      <c r="CL284" s="13">
        <f t="shared" si="495"/>
        <v>77228.806999999986</v>
      </c>
      <c r="CM284" s="13">
        <f t="shared" si="495"/>
        <v>92138.819999999992</v>
      </c>
      <c r="CN284" s="13">
        <f t="shared" si="495"/>
        <v>127037.04</v>
      </c>
      <c r="CO284" s="13">
        <f t="shared" si="495"/>
        <v>129933.93</v>
      </c>
      <c r="CP284" s="13">
        <f t="shared" si="495"/>
        <v>50570.045599999998</v>
      </c>
      <c r="CQ284" s="13">
        <f t="shared" si="496"/>
        <v>476908.64260000002</v>
      </c>
      <c r="CR284" s="68">
        <f t="shared" si="472"/>
        <v>-157431.64260000002</v>
      </c>
      <c r="CS284" s="268">
        <f t="shared" si="473"/>
        <v>1.4927792692431694</v>
      </c>
      <c r="CT284" s="68">
        <f t="shared" si="446"/>
        <v>225773</v>
      </c>
      <c r="CU284" s="13">
        <f>SUMIFS(SALIDAS_BIT,FECHA_BIT,"&gt;="&amp;CU$2,FECHA_BIT,"&lt;="&amp;CU$3,CLAVE_BIT,$A284)+SUMIFS(SALIDAS_BOV1,FECHA_BOV1,"&gt;="&amp;CU$2,FECHA_BOV1,"&lt;="&amp;CU$3,CLAVE_BOV1,$A284)+SUMIFS(SALIDAS_BOV2,FECHA_BOV2,"&gt;="&amp;CU$2,FECHA_BOV2,"&lt;="&amp;CU$3,CLAVE_BOV2,$A284)+SUMIFS(SALIDAS_BOV3,FECHA_BOV3,"&gt;="&amp;CU$2,FECHA_BOV3,"&lt;="&amp;CU$3,CLAVE_BOV3,$A284)+SUMIFS(SALIDAS_TC,FECHA_TC,"&gt;="&amp;CU$2,FECHA_TC,"&lt;="&amp;CU$3,CLAVE_TC,$A284)+SUMIFS(SALIDAS_COMB,FECHA_COMB,"&gt;="&amp;CU$2,FECHA_COMB,"&lt;="&amp;CU$3,CLAVE_COMB,$A284)+SUMIFS(SALIDAS_DES,FECHA_DESGLOSEN,"&gt;="&amp;CU$2,FECHA_DESGLOSEN,"&lt;="&amp;CU$3,CLAVE_DESGLOSE,$A284)</f>
        <v>36399.210000000006</v>
      </c>
      <c r="CV284" s="13">
        <f>SUMIFS(SALIDAS_BIT,FECHA_BIT,"&gt;="&amp;CV$2,FECHA_BIT,"&lt;="&amp;CV$3,CLAVE_BIT,$A284)+SUMIFS(SALIDAS_BOV1,FECHA_BOV1,"&gt;="&amp;CV$2,FECHA_BOV1,"&lt;="&amp;CV$3,CLAVE_BOV1,$A284)+SUMIFS(SALIDAS_BOV2,FECHA_BOV2,"&gt;="&amp;CV$2,FECHA_BOV2,"&lt;="&amp;CV$3,CLAVE_BOV2,$A284)+SUMIFS(SALIDAS_BOV3,FECHA_BOV3,"&gt;="&amp;CV$2,FECHA_BOV3,"&lt;="&amp;CV$3,CLAVE_BOV3,$A284)+SUMIFS(SALIDAS_TC,FECHA_TC,"&gt;="&amp;CV$2,FECHA_TC,"&lt;="&amp;CV$3,CLAVE_TC,$A284)+SUMIFS(SALIDAS_COMB,FECHA_COMB,"&gt;="&amp;CV$2,FECHA_COMB,"&lt;="&amp;CV$3,CLAVE_COMB,$A284)+SUMIFS(SALIDAS_DES,FECHA_DESGLOSEN,"&gt;="&amp;CV$2,FECHA_DESGLOSEN,"&lt;="&amp;CV$3,CLAVE_DESGLOSE,$A284)</f>
        <v>28425.03</v>
      </c>
      <c r="CW284" s="13">
        <f>SUMIFS(SALIDAS_BIT,FECHA_BIT,"&gt;="&amp;CW$2,FECHA_BIT,"&lt;="&amp;CW$3,CLAVE_BIT,$A284)+SUMIFS(SALIDAS_BOV1,FECHA_BOV1,"&gt;="&amp;CW$2,FECHA_BOV1,"&lt;="&amp;CW$3,CLAVE_BOV1,$A284)+SUMIFS(SALIDAS_BOV2,FECHA_BOV2,"&gt;="&amp;CW$2,FECHA_BOV2,"&lt;="&amp;CW$3,CLAVE_BOV2,$A284)+SUMIFS(SALIDAS_BOV3,FECHA_BOV3,"&gt;="&amp;CW$2,FECHA_BOV3,"&lt;="&amp;CW$3,CLAVE_BOV3,$A284)+SUMIFS(SALIDAS_TC,FECHA_TC,"&gt;="&amp;CW$2,FECHA_TC,"&lt;="&amp;CW$3,CLAVE_TC,$A284)+SUMIFS(SALIDAS_COMB,FECHA_COMB,"&gt;="&amp;CW$2,FECHA_COMB,"&lt;="&amp;CW$3,CLAVE_COMB,$A284)+SUMIFS(SALIDAS_DES,FECHA_DESGLOSEN,"&gt;="&amp;CW$2,FECHA_DESGLOSEN,"&lt;="&amp;CW$3,CLAVE_DESGLOSE,$A284)</f>
        <v>57847.479999999996</v>
      </c>
      <c r="CX284" s="13">
        <f>SUMIFS(SALIDAS_BIT,FECHA_BIT,"&gt;="&amp;CX$2,FECHA_BIT,"&lt;="&amp;CX$3,CLAVE_BIT,$A284)+SUMIFS(SALIDAS_BOV1,FECHA_BOV1,"&gt;="&amp;CX$2,FECHA_BOV1,"&lt;="&amp;CX$3,CLAVE_BOV1,$A284)+SUMIFS(SALIDAS_BOV2,FECHA_BOV2,"&gt;="&amp;CX$2,FECHA_BOV2,"&lt;="&amp;CX$3,CLAVE_BOV2,$A284)+SUMIFS(SALIDAS_BOV3,FECHA_BOV3,"&gt;="&amp;CX$2,FECHA_BOV3,"&lt;="&amp;CX$3,CLAVE_BOV3,$A284)+SUMIFS(SALIDAS_TC,FECHA_TC,"&gt;="&amp;CX$2,FECHA_TC,"&lt;="&amp;CX$3,CLAVE_TC,$A284)+SUMIFS(SALIDAS_COMB,FECHA_COMB,"&gt;="&amp;CX$2,FECHA_COMB,"&lt;="&amp;CX$3,CLAVE_COMB,$A284)+SUMIFS(SALIDAS_DES,FECHA_DESGLOSEN,"&gt;="&amp;CX$2,FECHA_DESGLOSEN,"&lt;="&amp;CX$3,CLAVE_DESGLOSE,$A284)</f>
        <v>31232.06</v>
      </c>
      <c r="CY284" s="13">
        <f>SUMIFS(SALIDAS_BIT,FECHA_BIT,"&gt;="&amp;CY$2,FECHA_BIT,"&lt;="&amp;CY$3,CLAVE_BIT,$A284)+SUMIFS(SALIDAS_BOV1,FECHA_BOV1,"&gt;="&amp;CY$2,FECHA_BOV1,"&lt;="&amp;CY$3,CLAVE_BOV1,$A284)+SUMIFS(SALIDAS_BOV2,FECHA_BOV2,"&gt;="&amp;CY$2,FECHA_BOV2,"&lt;="&amp;CY$3,CLAVE_BOV2,$A284)+SUMIFS(SALIDAS_BOV3,FECHA_BOV3,"&gt;="&amp;CY$2,FECHA_BOV3,"&lt;="&amp;CY$3,CLAVE_BOV3,$A284)+SUMIFS(SALIDAS_TC,FECHA_TC,"&gt;="&amp;CY$2,FECHA_TC,"&lt;="&amp;CY$3,CLAVE_TC,$A284)+SUMIFS(SALIDAS_COMB,FECHA_COMB,"&gt;="&amp;CY$2,FECHA_COMB,"&lt;="&amp;CY$3,CLAVE_COMB,$A284)+SUMIFS(SALIDAS_DES,FECHA_DESGLOSEN,"&gt;="&amp;CY$2,FECHA_DESGLOSEN,"&lt;="&amp;CY$3,CLAVE_DESGLOSE,$A284)</f>
        <v>153903.78000000003</v>
      </c>
      <c r="CZ284" s="68">
        <f t="shared" si="474"/>
        <v>71869.219999999972</v>
      </c>
      <c r="DB284" s="17">
        <f>F284+N284+W284+AE284+AM284+AV284+BD284+BL284+BU284+CC284+CK284</f>
        <v>1568818</v>
      </c>
      <c r="DC284" s="17">
        <f>K284+T284+AB284+AJ284+AS284+BA284+BI284+BR284+BZ284+CH284+CQ284</f>
        <v>1946988.3555999999</v>
      </c>
    </row>
    <row r="285" spans="1:107" hidden="1">
      <c r="A285" s="12" t="str">
        <f t="shared" si="447"/>
        <v>FINANZASSOLUONESOLUONE (RETAIL)</v>
      </c>
      <c r="B285">
        <v>287</v>
      </c>
      <c r="C285" t="s">
        <v>23</v>
      </c>
      <c r="D285" t="s">
        <v>179</v>
      </c>
      <c r="E285" t="s">
        <v>180</v>
      </c>
      <c r="F285" s="259">
        <f t="shared" si="440"/>
        <v>0</v>
      </c>
      <c r="G285" s="13">
        <f t="shared" si="487"/>
        <v>0</v>
      </c>
      <c r="H285" s="13">
        <f t="shared" si="487"/>
        <v>0</v>
      </c>
      <c r="I285" s="13">
        <f t="shared" si="487"/>
        <v>0</v>
      </c>
      <c r="J285" s="13">
        <f t="shared" si="487"/>
        <v>31983.09</v>
      </c>
      <c r="K285" s="13">
        <f t="shared" si="487"/>
        <v>31983.09</v>
      </c>
      <c r="L285" s="68">
        <f t="shared" si="448"/>
        <v>-31983.09</v>
      </c>
      <c r="M285" s="268">
        <f t="shared" si="449"/>
        <v>0</v>
      </c>
      <c r="N285" s="13">
        <f t="shared" si="441"/>
        <v>40000</v>
      </c>
      <c r="O285" s="13">
        <f t="shared" si="488"/>
        <v>0</v>
      </c>
      <c r="P285" s="13">
        <f t="shared" si="488"/>
        <v>0</v>
      </c>
      <c r="Q285" s="13">
        <f t="shared" si="488"/>
        <v>0</v>
      </c>
      <c r="R285" s="13">
        <f t="shared" si="488"/>
        <v>0</v>
      </c>
      <c r="S285" s="13">
        <f t="shared" si="488"/>
        <v>40551.22</v>
      </c>
      <c r="T285" s="13">
        <f t="shared" si="488"/>
        <v>40551.22</v>
      </c>
      <c r="U285" s="68">
        <f t="shared" si="450"/>
        <v>-551.22000000000116</v>
      </c>
      <c r="V285" s="268">
        <f t="shared" si="451"/>
        <v>1.0137805</v>
      </c>
      <c r="W285" s="13">
        <f t="shared" si="442"/>
        <v>40000</v>
      </c>
      <c r="X285" s="13">
        <f t="shared" si="489"/>
        <v>0</v>
      </c>
      <c r="Y285" s="13">
        <f t="shared" si="489"/>
        <v>0</v>
      </c>
      <c r="Z285" s="13">
        <f t="shared" si="489"/>
        <v>0</v>
      </c>
      <c r="AA285" s="13">
        <f t="shared" si="489"/>
        <v>0</v>
      </c>
      <c r="AB285" s="13">
        <f t="shared" si="489"/>
        <v>0</v>
      </c>
      <c r="AC285" s="68">
        <f t="shared" si="452"/>
        <v>40000</v>
      </c>
      <c r="AD285" s="268">
        <f t="shared" si="453"/>
        <v>0</v>
      </c>
      <c r="AE285" s="13">
        <f t="shared" si="443"/>
        <v>40000</v>
      </c>
      <c r="AF285" s="13">
        <f t="shared" si="490"/>
        <v>0</v>
      </c>
      <c r="AG285" s="13">
        <f t="shared" si="490"/>
        <v>79858.7</v>
      </c>
      <c r="AH285" s="13">
        <f t="shared" si="490"/>
        <v>0</v>
      </c>
      <c r="AI285" s="13">
        <f t="shared" si="490"/>
        <v>0</v>
      </c>
      <c r="AJ285" s="13">
        <f t="shared" si="490"/>
        <v>79858.7</v>
      </c>
      <c r="AK285" s="68">
        <f t="shared" si="454"/>
        <v>-39858.699999999997</v>
      </c>
      <c r="AL285" s="268">
        <f t="shared" si="455"/>
        <v>1.9964674999999998</v>
      </c>
      <c r="AM285" s="13">
        <f t="shared" si="444"/>
        <v>40000</v>
      </c>
      <c r="AN285" s="13">
        <f t="shared" si="491"/>
        <v>0</v>
      </c>
      <c r="AO285" s="13">
        <f t="shared" si="491"/>
        <v>38151.79</v>
      </c>
      <c r="AP285" s="13">
        <f t="shared" si="491"/>
        <v>0</v>
      </c>
      <c r="AQ285" s="13">
        <f t="shared" si="491"/>
        <v>8886.5</v>
      </c>
      <c r="AR285" s="13">
        <f t="shared" si="491"/>
        <v>0</v>
      </c>
      <c r="AS285" s="13">
        <f t="shared" si="491"/>
        <v>47038.29</v>
      </c>
      <c r="AT285" s="68">
        <f>AM285-AS285</f>
        <v>-7038.2900000000009</v>
      </c>
      <c r="AU285" s="268">
        <f t="shared" si="456"/>
        <v>1.17595725</v>
      </c>
      <c r="AV285" s="13">
        <f t="shared" si="445"/>
        <v>40000</v>
      </c>
      <c r="AW285" s="13">
        <f t="shared" si="421"/>
        <v>0</v>
      </c>
      <c r="AX285" s="13">
        <f t="shared" si="421"/>
        <v>0</v>
      </c>
      <c r="AY285" s="13">
        <f t="shared" si="421"/>
        <v>0</v>
      </c>
      <c r="AZ285" s="13">
        <f t="shared" si="421"/>
        <v>37272.78</v>
      </c>
      <c r="BA285" s="13">
        <f t="shared" si="475"/>
        <v>37272.78</v>
      </c>
      <c r="BB285" s="68">
        <f t="shared" si="457"/>
        <v>2727.2200000000012</v>
      </c>
      <c r="BC285" s="268">
        <f t="shared" si="458"/>
        <v>0.93181950000000002</v>
      </c>
      <c r="BD285" s="13">
        <f t="shared" si="459"/>
        <v>0</v>
      </c>
      <c r="BE285" s="13">
        <f>SUMIFS(SALIDAS_BIT,FECHA_BIT,"&gt;="&amp;BE$2,FECHA_BIT,"&lt;="&amp;BE$3,CLAVE_BIT,$A285)+SUMIFS(SALIDAS_BOV1,FECHA_BOV1,"&gt;="&amp;BE$2,FECHA_BOV1,"&lt;="&amp;BE$3,CLAVE_BOV1,$A285)+SUMIFS(SALIDAS_BOV2,FECHA_BOV2,"&gt;="&amp;BE$2,FECHA_BOV2,"&lt;="&amp;BE$3,CLAVE_BOV2,$A285)+SUMIFS(SALIDAS_BOV3,FECHA_BOV3,"&gt;="&amp;BE$2,FECHA_BOV3,"&lt;="&amp;BE$3,CLAVE_BOV3,$A285)+SUMIFS(SALIDAS_TC,FECHA_TC,"&gt;="&amp;BE$2,FECHA_TC,"&lt;="&amp;BE$3,CLAVE_TC,$A285)+SUMIFS(SALIDAS_COMB,FECHA_COMB,"&gt;="&amp;BE$2,FECHA_COMB,"&lt;="&amp;BE$3,CLAVE_COMB,$A285)+SUMIFS(SALIDAS_DES,FECHA_DESGLOSEN,"&gt;="&amp;BE$2,FECHA_DESGLOSEN,"&lt;="&amp;BE$3,CLAVE_DESGLOSE,$A285)</f>
        <v>0</v>
      </c>
      <c r="BF285" s="13">
        <f>SUMIFS(SALIDAS_BIT,FECHA_BIT,"&gt;="&amp;BF$2,FECHA_BIT,"&lt;="&amp;BF$3,CLAVE_BIT,$A285)+SUMIFS(SALIDAS_BOV1,FECHA_BOV1,"&gt;="&amp;BF$2,FECHA_BOV1,"&lt;="&amp;BF$3,CLAVE_BOV1,$A285)+SUMIFS(SALIDAS_BOV2,FECHA_BOV2,"&gt;="&amp;BF$2,FECHA_BOV2,"&lt;="&amp;BF$3,CLAVE_BOV2,$A285)+SUMIFS(SALIDAS_BOV3,FECHA_BOV3,"&gt;="&amp;BF$2,FECHA_BOV3,"&lt;="&amp;BF$3,CLAVE_BOV3,$A285)+SUMIFS(SALIDAS_TC,FECHA_TC,"&gt;="&amp;BF$2,FECHA_TC,"&lt;="&amp;BF$3,CLAVE_TC,$A285)+SUMIFS(SALIDAS_COMB,FECHA_COMB,"&gt;="&amp;BF$2,FECHA_COMB,"&lt;="&amp;BF$3,CLAVE_COMB,$A285)+SUMIFS(SALIDAS_DES,FECHA_DESGLOSEN,"&gt;="&amp;BF$2,FECHA_DESGLOSEN,"&lt;="&amp;BF$3,CLAVE_DESGLOSE,$A285)</f>
        <v>0</v>
      </c>
      <c r="BG285" s="13">
        <f>SUMIFS(SALIDAS_BIT,FECHA_BIT,"&gt;="&amp;BG$2,FECHA_BIT,"&lt;="&amp;BG$3,CLAVE_BIT,$A285)+SUMIFS(SALIDAS_BOV1,FECHA_BOV1,"&gt;="&amp;BG$2,FECHA_BOV1,"&lt;="&amp;BG$3,CLAVE_BOV1,$A285)+SUMIFS(SALIDAS_BOV2,FECHA_BOV2,"&gt;="&amp;BG$2,FECHA_BOV2,"&lt;="&amp;BG$3,CLAVE_BOV2,$A285)+SUMIFS(SALIDAS_BOV3,FECHA_BOV3,"&gt;="&amp;BG$2,FECHA_BOV3,"&lt;="&amp;BG$3,CLAVE_BOV3,$A285)+SUMIFS(SALIDAS_TC,FECHA_TC,"&gt;="&amp;BG$2,FECHA_TC,"&lt;="&amp;BG$3,CLAVE_TC,$A285)+SUMIFS(SALIDAS_COMB,FECHA_COMB,"&gt;="&amp;BG$2,FECHA_COMB,"&lt;="&amp;BG$3,CLAVE_COMB,$A285)+SUMIFS(SALIDAS_DES,FECHA_DESGLOSEN,"&gt;="&amp;BG$2,FECHA_DESGLOSEN,"&lt;="&amp;BG$3,CLAVE_DESGLOSE,$A285)</f>
        <v>0</v>
      </c>
      <c r="BH285" s="13">
        <f>SUMIFS(SALIDAS_BIT,FECHA_BIT,"&gt;="&amp;BH$2,FECHA_BIT,"&lt;="&amp;BH$3,CLAVE_BIT,$A285)+SUMIFS(SALIDAS_BOV1,FECHA_BOV1,"&gt;="&amp;BH$2,FECHA_BOV1,"&lt;="&amp;BH$3,CLAVE_BOV1,$A285)+SUMIFS(SALIDAS_BOV2,FECHA_BOV2,"&gt;="&amp;BH$2,FECHA_BOV2,"&lt;="&amp;BH$3,CLAVE_BOV2,$A285)+SUMIFS(SALIDAS_BOV3,FECHA_BOV3,"&gt;="&amp;BH$2,FECHA_BOV3,"&lt;="&amp;BH$3,CLAVE_BOV3,$A285)+SUMIFS(SALIDAS_TC,FECHA_TC,"&gt;="&amp;BH$2,FECHA_TC,"&lt;="&amp;BH$3,CLAVE_TC,$A285)+SUMIFS(SALIDAS_COMB,FECHA_COMB,"&gt;="&amp;BH$2,FECHA_COMB,"&lt;="&amp;BH$3,CLAVE_COMB,$A285)+SUMIFS(SALIDAS_DES,FECHA_DESGLOSEN,"&gt;="&amp;BH$2,FECHA_DESGLOSEN,"&lt;="&amp;BH$3,CLAVE_DESGLOSE,$A285)</f>
        <v>0</v>
      </c>
      <c r="BI285" s="13">
        <f t="shared" si="419"/>
        <v>0</v>
      </c>
      <c r="BJ285" s="68">
        <f t="shared" si="460"/>
        <v>0</v>
      </c>
      <c r="BK285" s="268">
        <f t="shared" si="461"/>
        <v>0</v>
      </c>
      <c r="BL285" s="13">
        <f t="shared" si="462"/>
        <v>0</v>
      </c>
      <c r="BM285" s="13">
        <f>SUMIFS(SALIDAS_BIT,FECHA_BIT,"&gt;="&amp;BM$2,FECHA_BIT,"&lt;="&amp;BM$3,CLAVE_BIT,$A285)+SUMIFS(SALIDAS_BOV1,FECHA_BOV1,"&gt;="&amp;BM$2,FECHA_BOV1,"&lt;="&amp;BM$3,CLAVE_BOV1,$A285)+SUMIFS(SALIDAS_BOV2,FECHA_BOV2,"&gt;="&amp;BM$2,FECHA_BOV2,"&lt;="&amp;BM$3,CLAVE_BOV2,$A285)+SUMIFS(SALIDAS_BOV3,FECHA_BOV3,"&gt;="&amp;BM$2,FECHA_BOV3,"&lt;="&amp;BM$3,CLAVE_BOV3,$A285)+SUMIFS(SALIDAS_TC,FECHA_TC,"&gt;="&amp;BM$2,FECHA_TC,"&lt;="&amp;BM$3,CLAVE_TC,$A285)+SUMIFS(SALIDAS_COMB,FECHA_COMB,"&gt;="&amp;BM$2,FECHA_COMB,"&lt;="&amp;BM$3,CLAVE_COMB,$A285)+SUMIFS(SALIDAS_DES,FECHA_DESGLOSEN,"&gt;="&amp;BM$2,FECHA_DESGLOSEN,"&lt;="&amp;BM$3,CLAVE_DESGLOSE,$A285)</f>
        <v>0</v>
      </c>
      <c r="BN285" s="13">
        <f>SUMIFS(SALIDAS_BIT,FECHA_BIT,"&gt;="&amp;BN$2,FECHA_BIT,"&lt;="&amp;BN$3,CLAVE_BIT,$A285)+SUMIFS(SALIDAS_BOV1,FECHA_BOV1,"&gt;="&amp;BN$2,FECHA_BOV1,"&lt;="&amp;BN$3,CLAVE_BOV1,$A285)+SUMIFS(SALIDAS_BOV2,FECHA_BOV2,"&gt;="&amp;BN$2,FECHA_BOV2,"&lt;="&amp;BN$3,CLAVE_BOV2,$A285)+SUMIFS(SALIDAS_BOV3,FECHA_BOV3,"&gt;="&amp;BN$2,FECHA_BOV3,"&lt;="&amp;BN$3,CLAVE_BOV3,$A285)+SUMIFS(SALIDAS_TC,FECHA_TC,"&gt;="&amp;BN$2,FECHA_TC,"&lt;="&amp;BN$3,CLAVE_TC,$A285)+SUMIFS(SALIDAS_COMB,FECHA_COMB,"&gt;="&amp;BN$2,FECHA_COMB,"&lt;="&amp;BN$3,CLAVE_COMB,$A285)+SUMIFS(SALIDAS_DES,FECHA_DESGLOSEN,"&gt;="&amp;BN$2,FECHA_DESGLOSEN,"&lt;="&amp;BN$3,CLAVE_DESGLOSE,$A285)</f>
        <v>0</v>
      </c>
      <c r="BO285" s="13">
        <f>SUMIFS(SALIDAS_BIT,FECHA_BIT,"&gt;="&amp;BO$2,FECHA_BIT,"&lt;="&amp;BO$3,CLAVE_BIT,$A285)+SUMIFS(SALIDAS_BOV1,FECHA_BOV1,"&gt;="&amp;BO$2,FECHA_BOV1,"&lt;="&amp;BO$3,CLAVE_BOV1,$A285)+SUMIFS(SALIDAS_BOV2,FECHA_BOV2,"&gt;="&amp;BO$2,FECHA_BOV2,"&lt;="&amp;BO$3,CLAVE_BOV2,$A285)+SUMIFS(SALIDAS_BOV3,FECHA_BOV3,"&gt;="&amp;BO$2,FECHA_BOV3,"&lt;="&amp;BO$3,CLAVE_BOV3,$A285)+SUMIFS(SALIDAS_TC,FECHA_TC,"&gt;="&amp;BO$2,FECHA_TC,"&lt;="&amp;BO$3,CLAVE_TC,$A285)+SUMIFS(SALIDAS_COMB,FECHA_COMB,"&gt;="&amp;BO$2,FECHA_COMB,"&lt;="&amp;BO$3,CLAVE_COMB,$A285)+SUMIFS(SALIDAS_DES,FECHA_DESGLOSEN,"&gt;="&amp;BO$2,FECHA_DESGLOSEN,"&lt;="&amp;BO$3,CLAVE_DESGLOSE,$A285)</f>
        <v>0</v>
      </c>
      <c r="BP285" s="13">
        <f>SUMIFS(SALIDAS_BIT,FECHA_BIT,"&gt;="&amp;BP$2,FECHA_BIT,"&lt;="&amp;BP$3,CLAVE_BIT,$A285)+SUMIFS(SALIDAS_BOV1,FECHA_BOV1,"&gt;="&amp;BP$2,FECHA_BOV1,"&lt;="&amp;BP$3,CLAVE_BOV1,$A285)+SUMIFS(SALIDAS_BOV2,FECHA_BOV2,"&gt;="&amp;BP$2,FECHA_BOV2,"&lt;="&amp;BP$3,CLAVE_BOV2,$A285)+SUMIFS(SALIDAS_BOV3,FECHA_BOV3,"&gt;="&amp;BP$2,FECHA_BOV3,"&lt;="&amp;BP$3,CLAVE_BOV3,$A285)+SUMIFS(SALIDAS_TC,FECHA_TC,"&gt;="&amp;BP$2,FECHA_TC,"&lt;="&amp;BP$3,CLAVE_TC,$A285)+SUMIFS(SALIDAS_COMB,FECHA_COMB,"&gt;="&amp;BP$2,FECHA_COMB,"&lt;="&amp;BP$3,CLAVE_COMB,$A285)+SUMIFS(SALIDAS_DES,FECHA_DESGLOSEN,"&gt;="&amp;BP$2,FECHA_DESGLOSEN,"&lt;="&amp;BP$3,CLAVE_DESGLOSE,$A285)</f>
        <v>0</v>
      </c>
      <c r="BQ285" s="13">
        <f>SUMIFS(SALIDAS_BIT,FECHA_BIT,"&gt;="&amp;BQ$2,FECHA_BIT,"&lt;="&amp;BQ$3,CLAVE_BIT,$A285)+SUMIFS(SALIDAS_BOV1,FECHA_BOV1,"&gt;="&amp;BQ$2,FECHA_BOV1,"&lt;="&amp;BQ$3,CLAVE_BOV1,$A285)+SUMIFS(SALIDAS_BOV2,FECHA_BOV2,"&gt;="&amp;BQ$2,FECHA_BOV2,"&lt;="&amp;BQ$3,CLAVE_BOV2,$A285)+SUMIFS(SALIDAS_BOV3,FECHA_BOV3,"&gt;="&amp;BQ$2,FECHA_BOV3,"&lt;="&amp;BQ$3,CLAVE_BOV3,$A285)+SUMIFS(SALIDAS_TC,FECHA_TC,"&gt;="&amp;BQ$2,FECHA_TC,"&lt;="&amp;BQ$3,CLAVE_TC,$A285)+SUMIFS(SALIDAS_COMB,FECHA_COMB,"&gt;="&amp;BQ$2,FECHA_COMB,"&lt;="&amp;BQ$3,CLAVE_COMB,$A285)+SUMIFS(SALIDAS_DES,FECHA_DESGLOSEN,"&gt;="&amp;BQ$2,FECHA_DESGLOSEN,"&lt;="&amp;BQ$3,CLAVE_DESGLOSE,$A285)</f>
        <v>0</v>
      </c>
      <c r="BR285" s="13">
        <f t="shared" si="492"/>
        <v>0</v>
      </c>
      <c r="BS285" s="68">
        <f t="shared" si="463"/>
        <v>0</v>
      </c>
      <c r="BT285" s="268">
        <f t="shared" si="464"/>
        <v>0</v>
      </c>
      <c r="BU285" s="13">
        <f t="shared" si="465"/>
        <v>0</v>
      </c>
      <c r="BV285" s="13">
        <f t="shared" si="485"/>
        <v>0</v>
      </c>
      <c r="BW285" s="13">
        <f t="shared" si="485"/>
        <v>0</v>
      </c>
      <c r="BX285" s="13">
        <f t="shared" si="485"/>
        <v>0</v>
      </c>
      <c r="BY285" s="13">
        <f t="shared" si="485"/>
        <v>0</v>
      </c>
      <c r="BZ285" s="13">
        <f t="shared" si="493"/>
        <v>0</v>
      </c>
      <c r="CA285" s="68">
        <f t="shared" si="466"/>
        <v>0</v>
      </c>
      <c r="CB285" s="268">
        <f t="shared" si="467"/>
        <v>0</v>
      </c>
      <c r="CC285" s="13">
        <f t="shared" si="468"/>
        <v>0</v>
      </c>
      <c r="CD285" s="13">
        <f t="shared" si="486"/>
        <v>0</v>
      </c>
      <c r="CE285" s="13">
        <f t="shared" si="486"/>
        <v>0</v>
      </c>
      <c r="CF285" s="13">
        <f t="shared" si="486"/>
        <v>0</v>
      </c>
      <c r="CG285" s="13">
        <f t="shared" si="486"/>
        <v>0</v>
      </c>
      <c r="CH285" s="13">
        <f t="shared" si="494"/>
        <v>0</v>
      </c>
      <c r="CI285" s="68">
        <f t="shared" si="469"/>
        <v>0</v>
      </c>
      <c r="CJ285" s="268">
        <f t="shared" si="470"/>
        <v>0</v>
      </c>
      <c r="CK285" s="13">
        <f t="shared" si="471"/>
        <v>0</v>
      </c>
      <c r="CL285" s="13">
        <f t="shared" si="495"/>
        <v>17272.45</v>
      </c>
      <c r="CM285" s="13">
        <f t="shared" si="495"/>
        <v>0</v>
      </c>
      <c r="CN285" s="13">
        <f t="shared" si="495"/>
        <v>0</v>
      </c>
      <c r="CO285" s="13">
        <f t="shared" si="495"/>
        <v>220321.81</v>
      </c>
      <c r="CP285" s="13">
        <f t="shared" si="495"/>
        <v>0</v>
      </c>
      <c r="CQ285" s="13">
        <f t="shared" si="496"/>
        <v>237594.26</v>
      </c>
      <c r="CR285" s="68">
        <f t="shared" si="472"/>
        <v>-237594.26</v>
      </c>
      <c r="CS285" s="268">
        <f t="shared" si="473"/>
        <v>0</v>
      </c>
      <c r="CT285" s="68">
        <f t="shared" si="446"/>
        <v>0</v>
      </c>
      <c r="CU285" s="13">
        <f>SUMIFS(SALIDAS_BIT,FECHA_BIT,"&gt;="&amp;CU$2,FECHA_BIT,"&lt;="&amp;CU$3,CLAVE_BIT,$A285)+SUMIFS(SALIDAS_BOV1,FECHA_BOV1,"&gt;="&amp;CU$2,FECHA_BOV1,"&lt;="&amp;CU$3,CLAVE_BOV1,$A285)+SUMIFS(SALIDAS_BOV2,FECHA_BOV2,"&gt;="&amp;CU$2,FECHA_BOV2,"&lt;="&amp;CU$3,CLAVE_BOV2,$A285)+SUMIFS(SALIDAS_BOV3,FECHA_BOV3,"&gt;="&amp;CU$2,FECHA_BOV3,"&lt;="&amp;CU$3,CLAVE_BOV3,$A285)+SUMIFS(SALIDAS_TC,FECHA_TC,"&gt;="&amp;CU$2,FECHA_TC,"&lt;="&amp;CU$3,CLAVE_TC,$A285)+SUMIFS(SALIDAS_COMB,FECHA_COMB,"&gt;="&amp;CU$2,FECHA_COMB,"&lt;="&amp;CU$3,CLAVE_COMB,$A285)+SUMIFS(SALIDAS_DES,FECHA_DESGLOSEN,"&gt;="&amp;CU$2,FECHA_DESGLOSEN,"&lt;="&amp;CU$3,CLAVE_DESGLOSE,$A285)</f>
        <v>0</v>
      </c>
      <c r="CV285" s="13">
        <f>SUMIFS(SALIDAS_BIT,FECHA_BIT,"&gt;="&amp;CV$2,FECHA_BIT,"&lt;="&amp;CV$3,CLAVE_BIT,$A285)+SUMIFS(SALIDAS_BOV1,FECHA_BOV1,"&gt;="&amp;CV$2,FECHA_BOV1,"&lt;="&amp;CV$3,CLAVE_BOV1,$A285)+SUMIFS(SALIDAS_BOV2,FECHA_BOV2,"&gt;="&amp;CV$2,FECHA_BOV2,"&lt;="&amp;CV$3,CLAVE_BOV2,$A285)+SUMIFS(SALIDAS_BOV3,FECHA_BOV3,"&gt;="&amp;CV$2,FECHA_BOV3,"&lt;="&amp;CV$3,CLAVE_BOV3,$A285)+SUMIFS(SALIDAS_TC,FECHA_TC,"&gt;="&amp;CV$2,FECHA_TC,"&lt;="&amp;CV$3,CLAVE_TC,$A285)+SUMIFS(SALIDAS_COMB,FECHA_COMB,"&gt;="&amp;CV$2,FECHA_COMB,"&lt;="&amp;CV$3,CLAVE_COMB,$A285)+SUMIFS(SALIDAS_DES,FECHA_DESGLOSEN,"&gt;="&amp;CV$2,FECHA_DESGLOSEN,"&lt;="&amp;CV$3,CLAVE_DESGLOSE,$A285)</f>
        <v>0</v>
      </c>
      <c r="CW285" s="13">
        <f>SUMIFS(SALIDAS_BIT,FECHA_BIT,"&gt;="&amp;CW$2,FECHA_BIT,"&lt;="&amp;CW$3,CLAVE_BIT,$A285)+SUMIFS(SALIDAS_BOV1,FECHA_BOV1,"&gt;="&amp;CW$2,FECHA_BOV1,"&lt;="&amp;CW$3,CLAVE_BOV1,$A285)+SUMIFS(SALIDAS_BOV2,FECHA_BOV2,"&gt;="&amp;CW$2,FECHA_BOV2,"&lt;="&amp;CW$3,CLAVE_BOV2,$A285)+SUMIFS(SALIDAS_BOV3,FECHA_BOV3,"&gt;="&amp;CW$2,FECHA_BOV3,"&lt;="&amp;CW$3,CLAVE_BOV3,$A285)+SUMIFS(SALIDAS_TC,FECHA_TC,"&gt;="&amp;CW$2,FECHA_TC,"&lt;="&amp;CW$3,CLAVE_TC,$A285)+SUMIFS(SALIDAS_COMB,FECHA_COMB,"&gt;="&amp;CW$2,FECHA_COMB,"&lt;="&amp;CW$3,CLAVE_COMB,$A285)+SUMIFS(SALIDAS_DES,FECHA_DESGLOSEN,"&gt;="&amp;CW$2,FECHA_DESGLOSEN,"&lt;="&amp;CW$3,CLAVE_DESGLOSE,$A285)</f>
        <v>0</v>
      </c>
      <c r="CX285" s="13">
        <f>SUMIFS(SALIDAS_BIT,FECHA_BIT,"&gt;="&amp;CX$2,FECHA_BIT,"&lt;="&amp;CX$3,CLAVE_BIT,$A285)+SUMIFS(SALIDAS_BOV1,FECHA_BOV1,"&gt;="&amp;CX$2,FECHA_BOV1,"&lt;="&amp;CX$3,CLAVE_BOV1,$A285)+SUMIFS(SALIDAS_BOV2,FECHA_BOV2,"&gt;="&amp;CX$2,FECHA_BOV2,"&lt;="&amp;CX$3,CLAVE_BOV2,$A285)+SUMIFS(SALIDAS_BOV3,FECHA_BOV3,"&gt;="&amp;CX$2,FECHA_BOV3,"&lt;="&amp;CX$3,CLAVE_BOV3,$A285)+SUMIFS(SALIDAS_TC,FECHA_TC,"&gt;="&amp;CX$2,FECHA_TC,"&lt;="&amp;CX$3,CLAVE_TC,$A285)+SUMIFS(SALIDAS_COMB,FECHA_COMB,"&gt;="&amp;CX$2,FECHA_COMB,"&lt;="&amp;CX$3,CLAVE_COMB,$A285)+SUMIFS(SALIDAS_DES,FECHA_DESGLOSEN,"&gt;="&amp;CX$2,FECHA_DESGLOSEN,"&lt;="&amp;CX$3,CLAVE_DESGLOSE,$A285)</f>
        <v>0</v>
      </c>
      <c r="CY285" s="13">
        <f>SUMIFS(SALIDAS_BIT,FECHA_BIT,"&gt;="&amp;CY$2,FECHA_BIT,"&lt;="&amp;CY$3,CLAVE_BIT,$A285)+SUMIFS(SALIDAS_BOV1,FECHA_BOV1,"&gt;="&amp;CY$2,FECHA_BOV1,"&lt;="&amp;CY$3,CLAVE_BOV1,$A285)+SUMIFS(SALIDAS_BOV2,FECHA_BOV2,"&gt;="&amp;CY$2,FECHA_BOV2,"&lt;="&amp;CY$3,CLAVE_BOV2,$A285)+SUMIFS(SALIDAS_BOV3,FECHA_BOV3,"&gt;="&amp;CY$2,FECHA_BOV3,"&lt;="&amp;CY$3,CLAVE_BOV3,$A285)+SUMIFS(SALIDAS_TC,FECHA_TC,"&gt;="&amp;CY$2,FECHA_TC,"&lt;="&amp;CY$3,CLAVE_TC,$A285)+SUMIFS(SALIDAS_COMB,FECHA_COMB,"&gt;="&amp;CY$2,FECHA_COMB,"&lt;="&amp;CY$3,CLAVE_COMB,$A285)+SUMIFS(SALIDAS_DES,FECHA_DESGLOSEN,"&gt;="&amp;CY$2,FECHA_DESGLOSEN,"&lt;="&amp;CY$3,CLAVE_DESGLOSE,$A285)</f>
        <v>0</v>
      </c>
      <c r="CZ285" s="68">
        <f t="shared" si="474"/>
        <v>0</v>
      </c>
      <c r="DB285" s="17">
        <f>F285+N285+W285+AE285+AM285+AV285+BD285+BL285+BU285+CC285+CK285</f>
        <v>200000</v>
      </c>
      <c r="DC285" s="17">
        <f>K285+T285+AB285+AJ285+AS285+BA285+BI285+BR285+BZ285+CH285+CQ285</f>
        <v>474298.34</v>
      </c>
    </row>
    <row r="286" spans="1:107" hidden="1">
      <c r="A286" s="12" t="str">
        <f t="shared" si="447"/>
        <v>SERVICIOSADQ DE EQ TECNOLOGICOADQ DE EQ TECNOLOGICO</v>
      </c>
      <c r="B286">
        <v>288</v>
      </c>
      <c r="C286" t="s">
        <v>21</v>
      </c>
      <c r="D286" t="s">
        <v>22</v>
      </c>
      <c r="E286" t="s">
        <v>22</v>
      </c>
      <c r="F286" s="259">
        <f t="shared" si="440"/>
        <v>13380</v>
      </c>
      <c r="G286" s="13">
        <f t="shared" si="487"/>
        <v>0</v>
      </c>
      <c r="H286" s="13">
        <f t="shared" si="487"/>
        <v>2869.15</v>
      </c>
      <c r="I286" s="13">
        <f t="shared" si="487"/>
        <v>0</v>
      </c>
      <c r="J286" s="13">
        <f t="shared" si="487"/>
        <v>7319</v>
      </c>
      <c r="K286" s="13">
        <f t="shared" si="487"/>
        <v>10188.15</v>
      </c>
      <c r="L286" s="68">
        <f t="shared" si="448"/>
        <v>3191.8500000000004</v>
      </c>
      <c r="M286" s="268">
        <f t="shared" si="449"/>
        <v>0.76144618834080713</v>
      </c>
      <c r="N286" s="13">
        <f t="shared" si="441"/>
        <v>26859</v>
      </c>
      <c r="O286" s="13">
        <f t="shared" si="488"/>
        <v>2147</v>
      </c>
      <c r="P286" s="13">
        <f t="shared" si="488"/>
        <v>42799</v>
      </c>
      <c r="Q286" s="13">
        <f t="shared" si="488"/>
        <v>299</v>
      </c>
      <c r="R286" s="13">
        <f t="shared" si="488"/>
        <v>3687.02</v>
      </c>
      <c r="S286" s="13">
        <f t="shared" si="488"/>
        <v>0</v>
      </c>
      <c r="T286" s="13">
        <f t="shared" si="488"/>
        <v>48932.02</v>
      </c>
      <c r="U286" s="68">
        <f t="shared" si="450"/>
        <v>-22073.019999999997</v>
      </c>
      <c r="V286" s="268">
        <f t="shared" si="451"/>
        <v>1.8218109386053092</v>
      </c>
      <c r="W286" s="13">
        <f t="shared" si="442"/>
        <v>50132</v>
      </c>
      <c r="X286" s="13">
        <f t="shared" si="489"/>
        <v>0</v>
      </c>
      <c r="Y286" s="13">
        <f t="shared" si="489"/>
        <v>0</v>
      </c>
      <c r="Z286" s="13">
        <f t="shared" si="489"/>
        <v>399</v>
      </c>
      <c r="AA286" s="13">
        <f t="shared" si="489"/>
        <v>16955.96</v>
      </c>
      <c r="AB286" s="13">
        <f t="shared" si="489"/>
        <v>17354.96</v>
      </c>
      <c r="AC286" s="68">
        <f t="shared" si="452"/>
        <v>32777.040000000001</v>
      </c>
      <c r="AD286" s="268">
        <f t="shared" si="453"/>
        <v>0.34618527088486395</v>
      </c>
      <c r="AE286" s="13">
        <f t="shared" si="443"/>
        <v>15657</v>
      </c>
      <c r="AF286" s="13">
        <f t="shared" si="490"/>
        <v>566.37</v>
      </c>
      <c r="AG286" s="13">
        <f t="shared" si="490"/>
        <v>397</v>
      </c>
      <c r="AH286" s="13">
        <f t="shared" si="490"/>
        <v>3298</v>
      </c>
      <c r="AI286" s="13">
        <f t="shared" si="490"/>
        <v>40592</v>
      </c>
      <c r="AJ286" s="13">
        <f t="shared" si="490"/>
        <v>44853.37</v>
      </c>
      <c r="AK286" s="68">
        <f t="shared" si="454"/>
        <v>-29196.370000000003</v>
      </c>
      <c r="AL286" s="268">
        <f t="shared" si="455"/>
        <v>2.8647486747141855</v>
      </c>
      <c r="AM286" s="13">
        <f t="shared" si="444"/>
        <v>27649</v>
      </c>
      <c r="AN286" s="13">
        <f t="shared" si="491"/>
        <v>4608</v>
      </c>
      <c r="AO286" s="13">
        <f t="shared" si="491"/>
        <v>10250.9</v>
      </c>
      <c r="AP286" s="13">
        <f t="shared" si="491"/>
        <v>5438.75</v>
      </c>
      <c r="AQ286" s="13">
        <f t="shared" si="491"/>
        <v>13944</v>
      </c>
      <c r="AR286" s="13">
        <f t="shared" si="491"/>
        <v>9000.02</v>
      </c>
      <c r="AS286" s="13">
        <f t="shared" si="491"/>
        <v>43241.67</v>
      </c>
      <c r="AT286" s="68">
        <f>AM286-AS286</f>
        <v>-15592.669999999998</v>
      </c>
      <c r="AU286" s="268">
        <f t="shared" si="456"/>
        <v>1.5639505949582262</v>
      </c>
      <c r="AV286" s="13">
        <f t="shared" si="445"/>
        <v>7572</v>
      </c>
      <c r="AW286" s="13">
        <f t="shared" si="421"/>
        <v>3382.68</v>
      </c>
      <c r="AX286" s="13">
        <f t="shared" si="421"/>
        <v>0</v>
      </c>
      <c r="AY286" s="13">
        <f t="shared" si="421"/>
        <v>0</v>
      </c>
      <c r="AZ286" s="13">
        <f t="shared" si="421"/>
        <v>14015.45</v>
      </c>
      <c r="BA286" s="13">
        <f t="shared" si="475"/>
        <v>17398.129999999997</v>
      </c>
      <c r="BB286" s="68">
        <f t="shared" si="457"/>
        <v>-9826.1299999999974</v>
      </c>
      <c r="BC286" s="268">
        <f t="shared" si="458"/>
        <v>2.2976928156365553</v>
      </c>
      <c r="BD286" s="13">
        <f t="shared" si="459"/>
        <v>0</v>
      </c>
      <c r="BE286" s="13">
        <f>SUMIFS(SALIDAS_BIT,FECHA_BIT,"&gt;="&amp;BE$2,FECHA_BIT,"&lt;="&amp;BE$3,CLAVE_BIT,$A286)+SUMIFS(SALIDAS_BOV1,FECHA_BOV1,"&gt;="&amp;BE$2,FECHA_BOV1,"&lt;="&amp;BE$3,CLAVE_BOV1,$A286)+SUMIFS(SALIDAS_BOV2,FECHA_BOV2,"&gt;="&amp;BE$2,FECHA_BOV2,"&lt;="&amp;BE$3,CLAVE_BOV2,$A286)+SUMIFS(SALIDAS_BOV3,FECHA_BOV3,"&gt;="&amp;BE$2,FECHA_BOV3,"&lt;="&amp;BE$3,CLAVE_BOV3,$A286)+SUMIFS(SALIDAS_TC,FECHA_TC,"&gt;="&amp;BE$2,FECHA_TC,"&lt;="&amp;BE$3,CLAVE_TC,$A286)+SUMIFS(SALIDAS_COMB,FECHA_COMB,"&gt;="&amp;BE$2,FECHA_COMB,"&lt;="&amp;BE$3,CLAVE_COMB,$A286)+SUMIFS(SALIDAS_DES,FECHA_DESGLOSEN,"&gt;="&amp;BE$2,FECHA_DESGLOSEN,"&lt;="&amp;BE$3,CLAVE_DESGLOSE,$A286)</f>
        <v>2431</v>
      </c>
      <c r="BF286" s="13">
        <f>SUMIFS(SALIDAS_BIT,FECHA_BIT,"&gt;="&amp;BF$2,FECHA_BIT,"&lt;="&amp;BF$3,CLAVE_BIT,$A286)+SUMIFS(SALIDAS_BOV1,FECHA_BOV1,"&gt;="&amp;BF$2,FECHA_BOV1,"&lt;="&amp;BF$3,CLAVE_BOV1,$A286)+SUMIFS(SALIDAS_BOV2,FECHA_BOV2,"&gt;="&amp;BF$2,FECHA_BOV2,"&lt;="&amp;BF$3,CLAVE_BOV2,$A286)+SUMIFS(SALIDAS_BOV3,FECHA_BOV3,"&gt;="&amp;BF$2,FECHA_BOV3,"&lt;="&amp;BF$3,CLAVE_BOV3,$A286)+SUMIFS(SALIDAS_TC,FECHA_TC,"&gt;="&amp;BF$2,FECHA_TC,"&lt;="&amp;BF$3,CLAVE_TC,$A286)+SUMIFS(SALIDAS_COMB,FECHA_COMB,"&gt;="&amp;BF$2,FECHA_COMB,"&lt;="&amp;BF$3,CLAVE_COMB,$A286)+SUMIFS(SALIDAS_DES,FECHA_DESGLOSEN,"&gt;="&amp;BF$2,FECHA_DESGLOSEN,"&lt;="&amp;BF$3,CLAVE_DESGLOSE,$A286)</f>
        <v>8588</v>
      </c>
      <c r="BG286" s="13">
        <f>SUMIFS(SALIDAS_BIT,FECHA_BIT,"&gt;="&amp;BG$2,FECHA_BIT,"&lt;="&amp;BG$3,CLAVE_BIT,$A286)+SUMIFS(SALIDAS_BOV1,FECHA_BOV1,"&gt;="&amp;BG$2,FECHA_BOV1,"&lt;="&amp;BG$3,CLAVE_BOV1,$A286)+SUMIFS(SALIDAS_BOV2,FECHA_BOV2,"&gt;="&amp;BG$2,FECHA_BOV2,"&lt;="&amp;BG$3,CLAVE_BOV2,$A286)+SUMIFS(SALIDAS_BOV3,FECHA_BOV3,"&gt;="&amp;BG$2,FECHA_BOV3,"&lt;="&amp;BG$3,CLAVE_BOV3,$A286)+SUMIFS(SALIDAS_TC,FECHA_TC,"&gt;="&amp;BG$2,FECHA_TC,"&lt;="&amp;BG$3,CLAVE_TC,$A286)+SUMIFS(SALIDAS_COMB,FECHA_COMB,"&gt;="&amp;BG$2,FECHA_COMB,"&lt;="&amp;BG$3,CLAVE_COMB,$A286)+SUMIFS(SALIDAS_DES,FECHA_DESGLOSEN,"&gt;="&amp;BG$2,FECHA_DESGLOSEN,"&lt;="&amp;BG$3,CLAVE_DESGLOSE,$A286)</f>
        <v>19681.800000000003</v>
      </c>
      <c r="BH286" s="13">
        <f>SUMIFS(SALIDAS_BIT,FECHA_BIT,"&gt;="&amp;BH$2,FECHA_BIT,"&lt;="&amp;BH$3,CLAVE_BIT,$A286)+SUMIFS(SALIDAS_BOV1,FECHA_BOV1,"&gt;="&amp;BH$2,FECHA_BOV1,"&lt;="&amp;BH$3,CLAVE_BOV1,$A286)+SUMIFS(SALIDAS_BOV2,FECHA_BOV2,"&gt;="&amp;BH$2,FECHA_BOV2,"&lt;="&amp;BH$3,CLAVE_BOV2,$A286)+SUMIFS(SALIDAS_BOV3,FECHA_BOV3,"&gt;="&amp;BH$2,FECHA_BOV3,"&lt;="&amp;BH$3,CLAVE_BOV3,$A286)+SUMIFS(SALIDAS_TC,FECHA_TC,"&gt;="&amp;BH$2,FECHA_TC,"&lt;="&amp;BH$3,CLAVE_TC,$A286)+SUMIFS(SALIDAS_COMB,FECHA_COMB,"&gt;="&amp;BH$2,FECHA_COMB,"&lt;="&amp;BH$3,CLAVE_COMB,$A286)+SUMIFS(SALIDAS_DES,FECHA_DESGLOSEN,"&gt;="&amp;BH$2,FECHA_DESGLOSEN,"&lt;="&amp;BH$3,CLAVE_DESGLOSE,$A286)</f>
        <v>35160.89</v>
      </c>
      <c r="BI286" s="13">
        <f t="shared" si="419"/>
        <v>65861.69</v>
      </c>
      <c r="BJ286" s="68">
        <f t="shared" si="460"/>
        <v>-65861.69</v>
      </c>
      <c r="BK286" s="268">
        <f t="shared" si="461"/>
        <v>0</v>
      </c>
      <c r="BL286" s="13">
        <f t="shared" si="462"/>
        <v>28882</v>
      </c>
      <c r="BM286" s="13">
        <f>SUMIFS(SALIDAS_BIT,FECHA_BIT,"&gt;="&amp;BM$2,FECHA_BIT,"&lt;="&amp;BM$3,CLAVE_BIT,$A286)+SUMIFS(SALIDAS_BOV1,FECHA_BOV1,"&gt;="&amp;BM$2,FECHA_BOV1,"&lt;="&amp;BM$3,CLAVE_BOV1,$A286)+SUMIFS(SALIDAS_BOV2,FECHA_BOV2,"&gt;="&amp;BM$2,FECHA_BOV2,"&lt;="&amp;BM$3,CLAVE_BOV2,$A286)+SUMIFS(SALIDAS_BOV3,FECHA_BOV3,"&gt;="&amp;BM$2,FECHA_BOV3,"&lt;="&amp;BM$3,CLAVE_BOV3,$A286)+SUMIFS(SALIDAS_TC,FECHA_TC,"&gt;="&amp;BM$2,FECHA_TC,"&lt;="&amp;BM$3,CLAVE_TC,$A286)+SUMIFS(SALIDAS_COMB,FECHA_COMB,"&gt;="&amp;BM$2,FECHA_COMB,"&lt;="&amp;BM$3,CLAVE_COMB,$A286)+SUMIFS(SALIDAS_DES,FECHA_DESGLOSEN,"&gt;="&amp;BM$2,FECHA_DESGLOSEN,"&lt;="&amp;BM$3,CLAVE_DESGLOSE,$A286)</f>
        <v>0</v>
      </c>
      <c r="BN286" s="13">
        <f>SUMIFS(SALIDAS_BIT,FECHA_BIT,"&gt;="&amp;BN$2,FECHA_BIT,"&lt;="&amp;BN$3,CLAVE_BIT,$A286)+SUMIFS(SALIDAS_BOV1,FECHA_BOV1,"&gt;="&amp;BN$2,FECHA_BOV1,"&lt;="&amp;BN$3,CLAVE_BOV1,$A286)+SUMIFS(SALIDAS_BOV2,FECHA_BOV2,"&gt;="&amp;BN$2,FECHA_BOV2,"&lt;="&amp;BN$3,CLAVE_BOV2,$A286)+SUMIFS(SALIDAS_BOV3,FECHA_BOV3,"&gt;="&amp;BN$2,FECHA_BOV3,"&lt;="&amp;BN$3,CLAVE_BOV3,$A286)+SUMIFS(SALIDAS_TC,FECHA_TC,"&gt;="&amp;BN$2,FECHA_TC,"&lt;="&amp;BN$3,CLAVE_TC,$A286)+SUMIFS(SALIDAS_COMB,FECHA_COMB,"&gt;="&amp;BN$2,FECHA_COMB,"&lt;="&amp;BN$3,CLAVE_COMB,$A286)+SUMIFS(SALIDAS_DES,FECHA_DESGLOSEN,"&gt;="&amp;BN$2,FECHA_DESGLOSEN,"&lt;="&amp;BN$3,CLAVE_DESGLOSE,$A286)</f>
        <v>0</v>
      </c>
      <c r="BO286" s="13">
        <f>SUMIFS(SALIDAS_BIT,FECHA_BIT,"&gt;="&amp;BO$2,FECHA_BIT,"&lt;="&amp;BO$3,CLAVE_BIT,$A286)+SUMIFS(SALIDAS_BOV1,FECHA_BOV1,"&gt;="&amp;BO$2,FECHA_BOV1,"&lt;="&amp;BO$3,CLAVE_BOV1,$A286)+SUMIFS(SALIDAS_BOV2,FECHA_BOV2,"&gt;="&amp;BO$2,FECHA_BOV2,"&lt;="&amp;BO$3,CLAVE_BOV2,$A286)+SUMIFS(SALIDAS_BOV3,FECHA_BOV3,"&gt;="&amp;BO$2,FECHA_BOV3,"&lt;="&amp;BO$3,CLAVE_BOV3,$A286)+SUMIFS(SALIDAS_TC,FECHA_TC,"&gt;="&amp;BO$2,FECHA_TC,"&lt;="&amp;BO$3,CLAVE_TC,$A286)+SUMIFS(SALIDAS_COMB,FECHA_COMB,"&gt;="&amp;BO$2,FECHA_COMB,"&lt;="&amp;BO$3,CLAVE_COMB,$A286)+SUMIFS(SALIDAS_DES,FECHA_DESGLOSEN,"&gt;="&amp;BO$2,FECHA_DESGLOSEN,"&lt;="&amp;BO$3,CLAVE_DESGLOSE,$A286)</f>
        <v>25305.82</v>
      </c>
      <c r="BP286" s="13">
        <f>SUMIFS(SALIDAS_BIT,FECHA_BIT,"&gt;="&amp;BP$2,FECHA_BIT,"&lt;="&amp;BP$3,CLAVE_BIT,$A286)+SUMIFS(SALIDAS_BOV1,FECHA_BOV1,"&gt;="&amp;BP$2,FECHA_BOV1,"&lt;="&amp;BP$3,CLAVE_BOV1,$A286)+SUMIFS(SALIDAS_BOV2,FECHA_BOV2,"&gt;="&amp;BP$2,FECHA_BOV2,"&lt;="&amp;BP$3,CLAVE_BOV2,$A286)+SUMIFS(SALIDAS_BOV3,FECHA_BOV3,"&gt;="&amp;BP$2,FECHA_BOV3,"&lt;="&amp;BP$3,CLAVE_BOV3,$A286)+SUMIFS(SALIDAS_TC,FECHA_TC,"&gt;="&amp;BP$2,FECHA_TC,"&lt;="&amp;BP$3,CLAVE_TC,$A286)+SUMIFS(SALIDAS_COMB,FECHA_COMB,"&gt;="&amp;BP$2,FECHA_COMB,"&lt;="&amp;BP$3,CLAVE_COMB,$A286)+SUMIFS(SALIDAS_DES,FECHA_DESGLOSEN,"&gt;="&amp;BP$2,FECHA_DESGLOSEN,"&lt;="&amp;BP$3,CLAVE_DESGLOSE,$A286)</f>
        <v>23267.88</v>
      </c>
      <c r="BQ286" s="13">
        <f>SUMIFS(SALIDAS_BIT,FECHA_BIT,"&gt;="&amp;BQ$2,FECHA_BIT,"&lt;="&amp;BQ$3,CLAVE_BIT,$A286)+SUMIFS(SALIDAS_BOV1,FECHA_BOV1,"&gt;="&amp;BQ$2,FECHA_BOV1,"&lt;="&amp;BQ$3,CLAVE_BOV1,$A286)+SUMIFS(SALIDAS_BOV2,FECHA_BOV2,"&gt;="&amp;BQ$2,FECHA_BOV2,"&lt;="&amp;BQ$3,CLAVE_BOV2,$A286)+SUMIFS(SALIDAS_BOV3,FECHA_BOV3,"&gt;="&amp;BQ$2,FECHA_BOV3,"&lt;="&amp;BQ$3,CLAVE_BOV3,$A286)+SUMIFS(SALIDAS_TC,FECHA_TC,"&gt;="&amp;BQ$2,FECHA_TC,"&lt;="&amp;BQ$3,CLAVE_TC,$A286)+SUMIFS(SALIDAS_COMB,FECHA_COMB,"&gt;="&amp;BQ$2,FECHA_COMB,"&lt;="&amp;BQ$3,CLAVE_COMB,$A286)+SUMIFS(SALIDAS_DES,FECHA_DESGLOSEN,"&gt;="&amp;BQ$2,FECHA_DESGLOSEN,"&lt;="&amp;BQ$3,CLAVE_DESGLOSE,$A286)</f>
        <v>24144.21</v>
      </c>
      <c r="BR286" s="13">
        <f t="shared" si="492"/>
        <v>72717.91</v>
      </c>
      <c r="BS286" s="68">
        <f t="shared" si="463"/>
        <v>-43835.91</v>
      </c>
      <c r="BT286" s="268">
        <f t="shared" si="464"/>
        <v>2.5177588117166403</v>
      </c>
      <c r="BU286" s="13">
        <f t="shared" si="465"/>
        <v>10000</v>
      </c>
      <c r="BV286" s="13">
        <f t="shared" si="485"/>
        <v>0</v>
      </c>
      <c r="BW286" s="13">
        <f t="shared" si="485"/>
        <v>4181.0600000000004</v>
      </c>
      <c r="BX286" s="13">
        <f t="shared" si="485"/>
        <v>0</v>
      </c>
      <c r="BY286" s="13">
        <f t="shared" si="485"/>
        <v>10076.220000000001</v>
      </c>
      <c r="BZ286" s="13">
        <f>SUMIFS(SALIDAS_BIT,FECHA_BIT,"&gt;="&amp;BZ$2,FECHA_BIT,"&lt;="&amp;BZ$3,CLAVE_BIT,$A286)+SUMIFS(SALIDAS_BOV1,FECHA_BOV1,"&gt;="&amp;BZ$2,FECHA_BOV1,"&lt;="&amp;BZ$3,CLAVE_BOV1,$A286)+SUMIFS(SALIDAS_BOV2,FECHA_BOV2,"&gt;="&amp;BZ$2,FECHA_BOV2,"&lt;="&amp;BZ$3,CLAVE_BOV2,$A286)+SUMIFS(SALIDAS_BOV3,FECHA_BOV3,"&gt;="&amp;BZ$2,FECHA_BOV3,"&lt;="&amp;BZ$3,CLAVE_BOV3,$A286)+SUMIFS(SALIDAS_TC,FECHA_TC,"&gt;="&amp;BZ$2,FECHA_TC,"&lt;="&amp;BZ$3,CLAVE_TC,$A286)+SUMIFS(SALIDAS_COMB,FECHA_COMB,"&gt;="&amp;BZ$2,FECHA_COMB,"&lt;="&amp;BZ$3,CLAVE_COMB,$A286)+SUMIFS(SALIDAS_DES,FECHA_DESGLOSEN,"&gt;="&amp;BZ$2,FECHA_DESGLOSEN,"&lt;="&amp;BZ$3,CLAVE_DESGLOSE,$A286)</f>
        <v>14257.28</v>
      </c>
      <c r="CA286" s="68">
        <f t="shared" si="466"/>
        <v>-4257.2800000000007</v>
      </c>
      <c r="CB286" s="268">
        <f t="shared" si="467"/>
        <v>1.4257280000000001</v>
      </c>
      <c r="CC286" s="13">
        <f t="shared" si="468"/>
        <v>10000</v>
      </c>
      <c r="CD286" s="13">
        <f t="shared" si="486"/>
        <v>0</v>
      </c>
      <c r="CE286" s="13">
        <f t="shared" si="486"/>
        <v>0</v>
      </c>
      <c r="CF286" s="13">
        <f t="shared" si="486"/>
        <v>0</v>
      </c>
      <c r="CG286" s="13">
        <f t="shared" si="486"/>
        <v>816.62</v>
      </c>
      <c r="CH286" s="13">
        <f t="shared" si="494"/>
        <v>816.62</v>
      </c>
      <c r="CI286" s="68">
        <f t="shared" si="469"/>
        <v>9183.3799999999992</v>
      </c>
      <c r="CJ286" s="268">
        <f t="shared" si="470"/>
        <v>8.1661999999999998E-2</v>
      </c>
      <c r="CK286" s="13">
        <f t="shared" si="471"/>
        <v>10000</v>
      </c>
      <c r="CL286" s="13">
        <f t="shared" si="495"/>
        <v>1549.01</v>
      </c>
      <c r="CM286" s="13">
        <f t="shared" si="495"/>
        <v>18366.899999999998</v>
      </c>
      <c r="CN286" s="13">
        <f t="shared" si="495"/>
        <v>37463.99</v>
      </c>
      <c r="CO286" s="13">
        <f t="shared" si="495"/>
        <v>42232.95</v>
      </c>
      <c r="CP286" s="13">
        <f t="shared" si="495"/>
        <v>1549.01</v>
      </c>
      <c r="CQ286" s="13">
        <f t="shared" si="496"/>
        <v>101161.85999999999</v>
      </c>
      <c r="CR286" s="68">
        <f t="shared" si="472"/>
        <v>-91161.859999999986</v>
      </c>
      <c r="CS286" s="268">
        <f t="shared" si="473"/>
        <v>10.116185999999999</v>
      </c>
      <c r="CT286" s="68">
        <f t="shared" si="446"/>
        <v>15000</v>
      </c>
      <c r="CU286" s="13">
        <f>SUMIFS(SALIDAS_BIT,FECHA_BIT,"&gt;="&amp;CU$2,FECHA_BIT,"&lt;="&amp;CU$3,CLAVE_BIT,$A286)+SUMIFS(SALIDAS_BOV1,FECHA_BOV1,"&gt;="&amp;CU$2,FECHA_BOV1,"&lt;="&amp;CU$3,CLAVE_BOV1,$A286)+SUMIFS(SALIDAS_BOV2,FECHA_BOV2,"&gt;="&amp;CU$2,FECHA_BOV2,"&lt;="&amp;CU$3,CLAVE_BOV2,$A286)+SUMIFS(SALIDAS_BOV3,FECHA_BOV3,"&gt;="&amp;CU$2,FECHA_BOV3,"&lt;="&amp;CU$3,CLAVE_BOV3,$A286)+SUMIFS(SALIDAS_TC,FECHA_TC,"&gt;="&amp;CU$2,FECHA_TC,"&lt;="&amp;CU$3,CLAVE_TC,$A286)+SUMIFS(SALIDAS_COMB,FECHA_COMB,"&gt;="&amp;CU$2,FECHA_COMB,"&lt;="&amp;CU$3,CLAVE_COMB,$A286)+SUMIFS(SALIDAS_DES,FECHA_DESGLOSEN,"&gt;="&amp;CU$2,FECHA_DESGLOSEN,"&lt;="&amp;CU$3,CLAVE_DESGLOSE,$A286)</f>
        <v>0</v>
      </c>
      <c r="CV286" s="13">
        <f>SUMIFS(SALIDAS_BIT,FECHA_BIT,"&gt;="&amp;CV$2,FECHA_BIT,"&lt;="&amp;CV$3,CLAVE_BIT,$A286)+SUMIFS(SALIDAS_BOV1,FECHA_BOV1,"&gt;="&amp;CV$2,FECHA_BOV1,"&lt;="&amp;CV$3,CLAVE_BOV1,$A286)+SUMIFS(SALIDAS_BOV2,FECHA_BOV2,"&gt;="&amp;CV$2,FECHA_BOV2,"&lt;="&amp;CV$3,CLAVE_BOV2,$A286)+SUMIFS(SALIDAS_BOV3,FECHA_BOV3,"&gt;="&amp;CV$2,FECHA_BOV3,"&lt;="&amp;CV$3,CLAVE_BOV3,$A286)+SUMIFS(SALIDAS_TC,FECHA_TC,"&gt;="&amp;CV$2,FECHA_TC,"&lt;="&amp;CV$3,CLAVE_TC,$A286)+SUMIFS(SALIDAS_COMB,FECHA_COMB,"&gt;="&amp;CV$2,FECHA_COMB,"&lt;="&amp;CV$3,CLAVE_COMB,$A286)+SUMIFS(SALIDAS_DES,FECHA_DESGLOSEN,"&gt;="&amp;CV$2,FECHA_DESGLOSEN,"&lt;="&amp;CV$3,CLAVE_DESGLOSE,$A286)</f>
        <v>11502.32</v>
      </c>
      <c r="CW286" s="13">
        <f>SUMIFS(SALIDAS_BIT,FECHA_BIT,"&gt;="&amp;CW$2,FECHA_BIT,"&lt;="&amp;CW$3,CLAVE_BIT,$A286)+SUMIFS(SALIDAS_BOV1,FECHA_BOV1,"&gt;="&amp;CW$2,FECHA_BOV1,"&lt;="&amp;CW$3,CLAVE_BOV1,$A286)+SUMIFS(SALIDAS_BOV2,FECHA_BOV2,"&gt;="&amp;CW$2,FECHA_BOV2,"&lt;="&amp;CW$3,CLAVE_BOV2,$A286)+SUMIFS(SALIDAS_BOV3,FECHA_BOV3,"&gt;="&amp;CW$2,FECHA_BOV3,"&lt;="&amp;CW$3,CLAVE_BOV3,$A286)+SUMIFS(SALIDAS_TC,FECHA_TC,"&gt;="&amp;CW$2,FECHA_TC,"&lt;="&amp;CW$3,CLAVE_TC,$A286)+SUMIFS(SALIDAS_COMB,FECHA_COMB,"&gt;="&amp;CW$2,FECHA_COMB,"&lt;="&amp;CW$3,CLAVE_COMB,$A286)+SUMIFS(SALIDAS_DES,FECHA_DESGLOSEN,"&gt;="&amp;CW$2,FECHA_DESGLOSEN,"&lt;="&amp;CW$3,CLAVE_DESGLOSE,$A286)</f>
        <v>13800.01</v>
      </c>
      <c r="CX286" s="13">
        <f>SUMIFS(SALIDAS_BIT,FECHA_BIT,"&gt;="&amp;CX$2,FECHA_BIT,"&lt;="&amp;CX$3,CLAVE_BIT,$A286)+SUMIFS(SALIDAS_BOV1,FECHA_BOV1,"&gt;="&amp;CX$2,FECHA_BOV1,"&lt;="&amp;CX$3,CLAVE_BOV1,$A286)+SUMIFS(SALIDAS_BOV2,FECHA_BOV2,"&gt;="&amp;CX$2,FECHA_BOV2,"&lt;="&amp;CX$3,CLAVE_BOV2,$A286)+SUMIFS(SALIDAS_BOV3,FECHA_BOV3,"&gt;="&amp;CX$2,FECHA_BOV3,"&lt;="&amp;CX$3,CLAVE_BOV3,$A286)+SUMIFS(SALIDAS_TC,FECHA_TC,"&gt;="&amp;CX$2,FECHA_TC,"&lt;="&amp;CX$3,CLAVE_TC,$A286)+SUMIFS(SALIDAS_COMB,FECHA_COMB,"&gt;="&amp;CX$2,FECHA_COMB,"&lt;="&amp;CX$3,CLAVE_COMB,$A286)+SUMIFS(SALIDAS_DES,FECHA_DESGLOSEN,"&gt;="&amp;CX$2,FECHA_DESGLOSEN,"&lt;="&amp;CX$3,CLAVE_DESGLOSE,$A286)</f>
        <v>26874.2</v>
      </c>
      <c r="CY286" s="13">
        <f>SUMIFS(SALIDAS_BIT,FECHA_BIT,"&gt;="&amp;CY$2,FECHA_BIT,"&lt;="&amp;CY$3,CLAVE_BIT,$A286)+SUMIFS(SALIDAS_BOV1,FECHA_BOV1,"&gt;="&amp;CY$2,FECHA_BOV1,"&lt;="&amp;CY$3,CLAVE_BOV1,$A286)+SUMIFS(SALIDAS_BOV2,FECHA_BOV2,"&gt;="&amp;CY$2,FECHA_BOV2,"&lt;="&amp;CY$3,CLAVE_BOV2,$A286)+SUMIFS(SALIDAS_BOV3,FECHA_BOV3,"&gt;="&amp;CY$2,FECHA_BOV3,"&lt;="&amp;CY$3,CLAVE_BOV3,$A286)+SUMIFS(SALIDAS_TC,FECHA_TC,"&gt;="&amp;CY$2,FECHA_TC,"&lt;="&amp;CY$3,CLAVE_TC,$A286)+SUMIFS(SALIDAS_COMB,FECHA_COMB,"&gt;="&amp;CY$2,FECHA_COMB,"&lt;="&amp;CY$3,CLAVE_COMB,$A286)+SUMIFS(SALIDAS_DES,FECHA_DESGLOSEN,"&gt;="&amp;CY$2,FECHA_DESGLOSEN,"&lt;="&amp;CY$3,CLAVE_DESGLOSE,$A286)</f>
        <v>52176.53</v>
      </c>
      <c r="CZ286" s="68">
        <f t="shared" si="474"/>
        <v>-37176.53</v>
      </c>
      <c r="DB286" s="17">
        <f>F286+N286+W286+AE286+AM286+AV286+BD286+BL286+BU286+CC286+CK286</f>
        <v>200131</v>
      </c>
      <c r="DC286" s="17">
        <f>K286+T286+AB286+AJ286+AS286+BA286+BI286+BR286+BZ286+CH286+CQ286</f>
        <v>436783.66000000003</v>
      </c>
    </row>
    <row r="287" spans="1:107" hidden="1">
      <c r="A287" s="12" t="str">
        <f t="shared" si="447"/>
        <v>FINANZASSINETISINETI (SAP)</v>
      </c>
      <c r="B287">
        <v>289</v>
      </c>
      <c r="C287" t="s">
        <v>23</v>
      </c>
      <c r="D287" t="s">
        <v>177</v>
      </c>
      <c r="E287" t="s">
        <v>178</v>
      </c>
      <c r="F287" s="259">
        <f t="shared" si="440"/>
        <v>0</v>
      </c>
      <c r="G287" s="13">
        <f t="shared" ref="G287:K301" si="497">SUMIFS(SALIDAS_BIT,FECHA_BIT,"&gt;="&amp;G$2,FECHA_BIT,"&lt;="&amp;G$3,CLAVE_BIT,$A287)+SUMIFS(SALIDAS_BOV1,FECHA_BOV1,"&gt;="&amp;G$2,FECHA_BOV1,"&lt;="&amp;G$3,CLAVE_BOV1,$A287)+SUMIFS(SALIDAS_BOV2,FECHA_BOV2,"&gt;="&amp;G$2,FECHA_BOV2,"&lt;="&amp;G$3,CLAVE_BOV2,$A287)+SUMIFS(SALIDAS_BOV3,FECHA_BOV3,"&gt;="&amp;G$2,FECHA_BOV3,"&lt;="&amp;G$3,CLAVE_BOV3,$A287)+SUMIFS(SALIDAS_TC,FECHA_TC,"&gt;="&amp;G$2,FECHA_TC,"&lt;="&amp;G$3,CLAVE_TC,$A287)+SUMIFS(SALIDAS_COMB,FECHA_COMB,"&gt;="&amp;G$2,FECHA_COMB,"&lt;="&amp;G$3,CLAVE_COMB,$A287)+SUMIFS(SALIDAS_DES,FECHA_DESGLOSEN,"&gt;="&amp;G$2,FECHA_DESGLOSEN,"&lt;="&amp;G$3,CLAVE_DESGLOSE,$A287)</f>
        <v>0</v>
      </c>
      <c r="H287" s="13">
        <f t="shared" si="497"/>
        <v>0</v>
      </c>
      <c r="I287" s="13">
        <f t="shared" si="497"/>
        <v>0</v>
      </c>
      <c r="J287" s="13">
        <f t="shared" si="497"/>
        <v>0</v>
      </c>
      <c r="K287" s="13">
        <f t="shared" si="497"/>
        <v>0</v>
      </c>
      <c r="L287" s="68">
        <f t="shared" si="448"/>
        <v>0</v>
      </c>
      <c r="M287" s="268">
        <f t="shared" si="449"/>
        <v>0</v>
      </c>
      <c r="N287" s="13">
        <f t="shared" si="441"/>
        <v>0</v>
      </c>
      <c r="O287" s="13">
        <f t="shared" ref="O287:T301" si="498">SUMIFS(SALIDAS_BIT,FECHA_BIT,"&gt;="&amp;O$2,FECHA_BIT,"&lt;="&amp;O$3,CLAVE_BIT,$A287)+SUMIFS(SALIDAS_BOV1,FECHA_BOV1,"&gt;="&amp;O$2,FECHA_BOV1,"&lt;="&amp;O$3,CLAVE_BOV1,$A287)+SUMIFS(SALIDAS_BOV2,FECHA_BOV2,"&gt;="&amp;O$2,FECHA_BOV2,"&lt;="&amp;O$3,CLAVE_BOV2,$A287)+SUMIFS(SALIDAS_BOV3,FECHA_BOV3,"&gt;="&amp;O$2,FECHA_BOV3,"&lt;="&amp;O$3,CLAVE_BOV3,$A287)+SUMIFS(SALIDAS_TC,FECHA_TC,"&gt;="&amp;O$2,FECHA_TC,"&lt;="&amp;O$3,CLAVE_TC,$A287)+SUMIFS(SALIDAS_COMB,FECHA_COMB,"&gt;="&amp;O$2,FECHA_COMB,"&lt;="&amp;O$3,CLAVE_COMB,$A287)+SUMIFS(SALIDAS_DES,FECHA_DESGLOSEN,"&gt;="&amp;O$2,FECHA_DESGLOSEN,"&lt;="&amp;O$3,CLAVE_DESGLOSE,$A287)</f>
        <v>0</v>
      </c>
      <c r="P287" s="13">
        <f t="shared" si="498"/>
        <v>0</v>
      </c>
      <c r="Q287" s="13">
        <f t="shared" si="498"/>
        <v>0</v>
      </c>
      <c r="R287" s="13">
        <f t="shared" si="498"/>
        <v>0</v>
      </c>
      <c r="S287" s="13">
        <f t="shared" si="498"/>
        <v>0</v>
      </c>
      <c r="T287" s="13">
        <f t="shared" si="498"/>
        <v>0</v>
      </c>
      <c r="U287" s="68">
        <f t="shared" si="450"/>
        <v>0</v>
      </c>
      <c r="V287" s="268">
        <f t="shared" si="451"/>
        <v>0</v>
      </c>
      <c r="W287" s="13">
        <f t="shared" si="442"/>
        <v>0</v>
      </c>
      <c r="X287" s="13">
        <f t="shared" ref="X287:AB301" si="499">SUMIFS(SALIDAS_BIT,FECHA_BIT,"&gt;="&amp;X$2,FECHA_BIT,"&lt;="&amp;X$3,CLAVE_BIT,$A287)+SUMIFS(SALIDAS_BOV1,FECHA_BOV1,"&gt;="&amp;X$2,FECHA_BOV1,"&lt;="&amp;X$3,CLAVE_BOV1,$A287)+SUMIFS(SALIDAS_BOV2,FECHA_BOV2,"&gt;="&amp;X$2,FECHA_BOV2,"&lt;="&amp;X$3,CLAVE_BOV2,$A287)+SUMIFS(SALIDAS_BOV3,FECHA_BOV3,"&gt;="&amp;X$2,FECHA_BOV3,"&lt;="&amp;X$3,CLAVE_BOV3,$A287)+SUMIFS(SALIDAS_TC,FECHA_TC,"&gt;="&amp;X$2,FECHA_TC,"&lt;="&amp;X$3,CLAVE_TC,$A287)+SUMIFS(SALIDAS_COMB,FECHA_COMB,"&gt;="&amp;X$2,FECHA_COMB,"&lt;="&amp;X$3,CLAVE_COMB,$A287)+SUMIFS(SALIDAS_DES,FECHA_DESGLOSEN,"&gt;="&amp;X$2,FECHA_DESGLOSEN,"&lt;="&amp;X$3,CLAVE_DESGLOSE,$A287)</f>
        <v>0</v>
      </c>
      <c r="Y287" s="13">
        <f t="shared" si="499"/>
        <v>0</v>
      </c>
      <c r="Z287" s="13">
        <f t="shared" si="499"/>
        <v>0</v>
      </c>
      <c r="AA287" s="13">
        <f t="shared" si="499"/>
        <v>0</v>
      </c>
      <c r="AB287" s="13">
        <f t="shared" si="499"/>
        <v>0</v>
      </c>
      <c r="AC287" s="68">
        <f t="shared" si="452"/>
        <v>0</v>
      </c>
      <c r="AD287" s="268">
        <f t="shared" si="453"/>
        <v>0</v>
      </c>
      <c r="AE287" s="13">
        <f t="shared" si="443"/>
        <v>0</v>
      </c>
      <c r="AF287" s="13">
        <f t="shared" ref="AF287:AJ301" si="500">SUMIFS(SALIDAS_BIT,FECHA_BIT,"&gt;="&amp;AF$2,FECHA_BIT,"&lt;="&amp;AF$3,CLAVE_BIT,$A287)+SUMIFS(SALIDAS_BOV1,FECHA_BOV1,"&gt;="&amp;AF$2,FECHA_BOV1,"&lt;="&amp;AF$3,CLAVE_BOV1,$A287)+SUMIFS(SALIDAS_BOV2,FECHA_BOV2,"&gt;="&amp;AF$2,FECHA_BOV2,"&lt;="&amp;AF$3,CLAVE_BOV2,$A287)+SUMIFS(SALIDAS_BOV3,FECHA_BOV3,"&gt;="&amp;AF$2,FECHA_BOV3,"&lt;="&amp;AF$3,CLAVE_BOV3,$A287)+SUMIFS(SALIDAS_TC,FECHA_TC,"&gt;="&amp;AF$2,FECHA_TC,"&lt;="&amp;AF$3,CLAVE_TC,$A287)+SUMIFS(SALIDAS_COMB,FECHA_COMB,"&gt;="&amp;AF$2,FECHA_COMB,"&lt;="&amp;AF$3,CLAVE_COMB,$A287)+SUMIFS(SALIDAS_DES,FECHA_DESGLOSEN,"&gt;="&amp;AF$2,FECHA_DESGLOSEN,"&lt;="&amp;AF$3,CLAVE_DESGLOSE,$A287)</f>
        <v>0</v>
      </c>
      <c r="AG287" s="13">
        <f t="shared" si="500"/>
        <v>0</v>
      </c>
      <c r="AH287" s="13">
        <f t="shared" si="500"/>
        <v>0</v>
      </c>
      <c r="AI287" s="13">
        <f t="shared" si="500"/>
        <v>0</v>
      </c>
      <c r="AJ287" s="13">
        <f t="shared" si="500"/>
        <v>0</v>
      </c>
      <c r="AK287" s="68">
        <f t="shared" si="454"/>
        <v>0</v>
      </c>
      <c r="AL287" s="268">
        <f t="shared" si="455"/>
        <v>0</v>
      </c>
      <c r="AM287" s="13">
        <f t="shared" si="444"/>
        <v>0</v>
      </c>
      <c r="AN287" s="13">
        <f t="shared" ref="AN287:AS301" si="501">SUMIFS(SALIDAS_BIT,FECHA_BIT,"&gt;="&amp;AN$2,FECHA_BIT,"&lt;="&amp;AN$3,CLAVE_BIT,$A287)+SUMIFS(SALIDAS_BOV1,FECHA_BOV1,"&gt;="&amp;AN$2,FECHA_BOV1,"&lt;="&amp;AN$3,CLAVE_BOV1,$A287)+SUMIFS(SALIDAS_BOV2,FECHA_BOV2,"&gt;="&amp;AN$2,FECHA_BOV2,"&lt;="&amp;AN$3,CLAVE_BOV2,$A287)+SUMIFS(SALIDAS_BOV3,FECHA_BOV3,"&gt;="&amp;AN$2,FECHA_BOV3,"&lt;="&amp;AN$3,CLAVE_BOV3,$A287)+SUMIFS(SALIDAS_TC,FECHA_TC,"&gt;="&amp;AN$2,FECHA_TC,"&lt;="&amp;AN$3,CLAVE_TC,$A287)+SUMIFS(SALIDAS_COMB,FECHA_COMB,"&gt;="&amp;AN$2,FECHA_COMB,"&lt;="&amp;AN$3,CLAVE_COMB,$A287)+SUMIFS(SALIDAS_DES,FECHA_DESGLOSEN,"&gt;="&amp;AN$2,FECHA_DESGLOSEN,"&lt;="&amp;AN$3,CLAVE_DESGLOSE,$A287)</f>
        <v>0</v>
      </c>
      <c r="AO287" s="13">
        <f t="shared" si="501"/>
        <v>0</v>
      </c>
      <c r="AP287" s="13">
        <f t="shared" si="501"/>
        <v>0</v>
      </c>
      <c r="AQ287" s="13">
        <f t="shared" si="501"/>
        <v>0</v>
      </c>
      <c r="AR287" s="13">
        <f t="shared" si="501"/>
        <v>0</v>
      </c>
      <c r="AS287" s="13">
        <f t="shared" si="501"/>
        <v>0</v>
      </c>
      <c r="AT287" s="68">
        <f>AM287-AS287</f>
        <v>0</v>
      </c>
      <c r="AU287" s="268">
        <f t="shared" si="456"/>
        <v>0</v>
      </c>
      <c r="AV287" s="13">
        <f t="shared" si="445"/>
        <v>0</v>
      </c>
      <c r="AW287" s="13">
        <f t="shared" si="421"/>
        <v>0</v>
      </c>
      <c r="AX287" s="13">
        <f t="shared" si="421"/>
        <v>0</v>
      </c>
      <c r="AY287" s="13">
        <f t="shared" si="421"/>
        <v>0</v>
      </c>
      <c r="AZ287" s="13">
        <f t="shared" si="421"/>
        <v>0</v>
      </c>
      <c r="BA287" s="13">
        <f t="shared" si="475"/>
        <v>0</v>
      </c>
      <c r="BB287" s="68">
        <f t="shared" si="457"/>
        <v>0</v>
      </c>
      <c r="BC287" s="268">
        <f t="shared" si="458"/>
        <v>0</v>
      </c>
      <c r="BD287" s="13">
        <f t="shared" si="459"/>
        <v>0</v>
      </c>
      <c r="BE287" s="13">
        <f>SUMIFS(SALIDAS_BIT,FECHA_BIT,"&gt;="&amp;BE$2,FECHA_BIT,"&lt;="&amp;BE$3,CLAVE_BIT,$A287)+SUMIFS(SALIDAS_BOV1,FECHA_BOV1,"&gt;="&amp;BE$2,FECHA_BOV1,"&lt;="&amp;BE$3,CLAVE_BOV1,$A287)+SUMIFS(SALIDAS_BOV2,FECHA_BOV2,"&gt;="&amp;BE$2,FECHA_BOV2,"&lt;="&amp;BE$3,CLAVE_BOV2,$A287)+SUMIFS(SALIDAS_BOV3,FECHA_BOV3,"&gt;="&amp;BE$2,FECHA_BOV3,"&lt;="&amp;BE$3,CLAVE_BOV3,$A287)+SUMIFS(SALIDAS_TC,FECHA_TC,"&gt;="&amp;BE$2,FECHA_TC,"&lt;="&amp;BE$3,CLAVE_TC,$A287)+SUMIFS(SALIDAS_COMB,FECHA_COMB,"&gt;="&amp;BE$2,FECHA_COMB,"&lt;="&amp;BE$3,CLAVE_COMB,$A287)+SUMIFS(SALIDAS_DES,FECHA_DESGLOSEN,"&gt;="&amp;BE$2,FECHA_DESGLOSEN,"&lt;="&amp;BE$3,CLAVE_DESGLOSE,$A287)</f>
        <v>0</v>
      </c>
      <c r="BF287" s="13">
        <f>SUMIFS(SALIDAS_BIT,FECHA_BIT,"&gt;="&amp;BF$2,FECHA_BIT,"&lt;="&amp;BF$3,CLAVE_BIT,$A287)+SUMIFS(SALIDAS_BOV1,FECHA_BOV1,"&gt;="&amp;BF$2,FECHA_BOV1,"&lt;="&amp;BF$3,CLAVE_BOV1,$A287)+SUMIFS(SALIDAS_BOV2,FECHA_BOV2,"&gt;="&amp;BF$2,FECHA_BOV2,"&lt;="&amp;BF$3,CLAVE_BOV2,$A287)+SUMIFS(SALIDAS_BOV3,FECHA_BOV3,"&gt;="&amp;BF$2,FECHA_BOV3,"&lt;="&amp;BF$3,CLAVE_BOV3,$A287)+SUMIFS(SALIDAS_TC,FECHA_TC,"&gt;="&amp;BF$2,FECHA_TC,"&lt;="&amp;BF$3,CLAVE_TC,$A287)+SUMIFS(SALIDAS_COMB,FECHA_COMB,"&gt;="&amp;BF$2,FECHA_COMB,"&lt;="&amp;BF$3,CLAVE_COMB,$A287)+SUMIFS(SALIDAS_DES,FECHA_DESGLOSEN,"&gt;="&amp;BF$2,FECHA_DESGLOSEN,"&lt;="&amp;BF$3,CLAVE_DESGLOSE,$A287)</f>
        <v>0</v>
      </c>
      <c r="BG287" s="13">
        <f>SUMIFS(SALIDAS_BIT,FECHA_BIT,"&gt;="&amp;BG$2,FECHA_BIT,"&lt;="&amp;BG$3,CLAVE_BIT,$A287)+SUMIFS(SALIDAS_BOV1,FECHA_BOV1,"&gt;="&amp;BG$2,FECHA_BOV1,"&lt;="&amp;BG$3,CLAVE_BOV1,$A287)+SUMIFS(SALIDAS_BOV2,FECHA_BOV2,"&gt;="&amp;BG$2,FECHA_BOV2,"&lt;="&amp;BG$3,CLAVE_BOV2,$A287)+SUMIFS(SALIDAS_BOV3,FECHA_BOV3,"&gt;="&amp;BG$2,FECHA_BOV3,"&lt;="&amp;BG$3,CLAVE_BOV3,$A287)+SUMIFS(SALIDAS_TC,FECHA_TC,"&gt;="&amp;BG$2,FECHA_TC,"&lt;="&amp;BG$3,CLAVE_TC,$A287)+SUMIFS(SALIDAS_COMB,FECHA_COMB,"&gt;="&amp;BG$2,FECHA_COMB,"&lt;="&amp;BG$3,CLAVE_COMB,$A287)+SUMIFS(SALIDAS_DES,FECHA_DESGLOSEN,"&gt;="&amp;BG$2,FECHA_DESGLOSEN,"&lt;="&amp;BG$3,CLAVE_DESGLOSE,$A287)</f>
        <v>0</v>
      </c>
      <c r="BH287" s="13">
        <f>SUMIFS(SALIDAS_BIT,FECHA_BIT,"&gt;="&amp;BH$2,FECHA_BIT,"&lt;="&amp;BH$3,CLAVE_BIT,$A287)+SUMIFS(SALIDAS_BOV1,FECHA_BOV1,"&gt;="&amp;BH$2,FECHA_BOV1,"&lt;="&amp;BH$3,CLAVE_BOV1,$A287)+SUMIFS(SALIDAS_BOV2,FECHA_BOV2,"&gt;="&amp;BH$2,FECHA_BOV2,"&lt;="&amp;BH$3,CLAVE_BOV2,$A287)+SUMIFS(SALIDAS_BOV3,FECHA_BOV3,"&gt;="&amp;BH$2,FECHA_BOV3,"&lt;="&amp;BH$3,CLAVE_BOV3,$A287)+SUMIFS(SALIDAS_TC,FECHA_TC,"&gt;="&amp;BH$2,FECHA_TC,"&lt;="&amp;BH$3,CLAVE_TC,$A287)+SUMIFS(SALIDAS_COMB,FECHA_COMB,"&gt;="&amp;BH$2,FECHA_COMB,"&lt;="&amp;BH$3,CLAVE_COMB,$A287)+SUMIFS(SALIDAS_DES,FECHA_DESGLOSEN,"&gt;="&amp;BH$2,FECHA_DESGLOSEN,"&lt;="&amp;BH$3,CLAVE_DESGLOSE,$A287)</f>
        <v>0</v>
      </c>
      <c r="BI287" s="13">
        <f t="shared" si="419"/>
        <v>0</v>
      </c>
      <c r="BJ287" s="68">
        <f t="shared" si="460"/>
        <v>0</v>
      </c>
      <c r="BK287" s="268">
        <f t="shared" si="461"/>
        <v>0</v>
      </c>
      <c r="BL287" s="13">
        <f t="shared" si="462"/>
        <v>0</v>
      </c>
      <c r="BM287" s="13">
        <f>SUMIFS(SALIDAS_BIT,FECHA_BIT,"&gt;="&amp;BM$2,FECHA_BIT,"&lt;="&amp;BM$3,CLAVE_BIT,$A287)+SUMIFS(SALIDAS_BOV1,FECHA_BOV1,"&gt;="&amp;BM$2,FECHA_BOV1,"&lt;="&amp;BM$3,CLAVE_BOV1,$A287)+SUMIFS(SALIDAS_BOV2,FECHA_BOV2,"&gt;="&amp;BM$2,FECHA_BOV2,"&lt;="&amp;BM$3,CLAVE_BOV2,$A287)+SUMIFS(SALIDAS_BOV3,FECHA_BOV3,"&gt;="&amp;BM$2,FECHA_BOV3,"&lt;="&amp;BM$3,CLAVE_BOV3,$A287)+SUMIFS(SALIDAS_TC,FECHA_TC,"&gt;="&amp;BM$2,FECHA_TC,"&lt;="&amp;BM$3,CLAVE_TC,$A287)+SUMIFS(SALIDAS_COMB,FECHA_COMB,"&gt;="&amp;BM$2,FECHA_COMB,"&lt;="&amp;BM$3,CLAVE_COMB,$A287)+SUMIFS(SALIDAS_DES,FECHA_DESGLOSEN,"&gt;="&amp;BM$2,FECHA_DESGLOSEN,"&lt;="&amp;BM$3,CLAVE_DESGLOSE,$A287)</f>
        <v>0</v>
      </c>
      <c r="BN287" s="13">
        <f>SUMIFS(SALIDAS_BIT,FECHA_BIT,"&gt;="&amp;BN$2,FECHA_BIT,"&lt;="&amp;BN$3,CLAVE_BIT,$A287)+SUMIFS(SALIDAS_BOV1,FECHA_BOV1,"&gt;="&amp;BN$2,FECHA_BOV1,"&lt;="&amp;BN$3,CLAVE_BOV1,$A287)+SUMIFS(SALIDAS_BOV2,FECHA_BOV2,"&gt;="&amp;BN$2,FECHA_BOV2,"&lt;="&amp;BN$3,CLAVE_BOV2,$A287)+SUMIFS(SALIDAS_BOV3,FECHA_BOV3,"&gt;="&amp;BN$2,FECHA_BOV3,"&lt;="&amp;BN$3,CLAVE_BOV3,$A287)+SUMIFS(SALIDAS_TC,FECHA_TC,"&gt;="&amp;BN$2,FECHA_TC,"&lt;="&amp;BN$3,CLAVE_TC,$A287)+SUMIFS(SALIDAS_COMB,FECHA_COMB,"&gt;="&amp;BN$2,FECHA_COMB,"&lt;="&amp;BN$3,CLAVE_COMB,$A287)+SUMIFS(SALIDAS_DES,FECHA_DESGLOSEN,"&gt;="&amp;BN$2,FECHA_DESGLOSEN,"&lt;="&amp;BN$3,CLAVE_DESGLOSE,$A287)</f>
        <v>0</v>
      </c>
      <c r="BO287" s="13">
        <f>SUMIFS(SALIDAS_BIT,FECHA_BIT,"&gt;="&amp;BO$2,FECHA_BIT,"&lt;="&amp;BO$3,CLAVE_BIT,$A287)+SUMIFS(SALIDAS_BOV1,FECHA_BOV1,"&gt;="&amp;BO$2,FECHA_BOV1,"&lt;="&amp;BO$3,CLAVE_BOV1,$A287)+SUMIFS(SALIDAS_BOV2,FECHA_BOV2,"&gt;="&amp;BO$2,FECHA_BOV2,"&lt;="&amp;BO$3,CLAVE_BOV2,$A287)+SUMIFS(SALIDAS_BOV3,FECHA_BOV3,"&gt;="&amp;BO$2,FECHA_BOV3,"&lt;="&amp;BO$3,CLAVE_BOV3,$A287)+SUMIFS(SALIDAS_TC,FECHA_TC,"&gt;="&amp;BO$2,FECHA_TC,"&lt;="&amp;BO$3,CLAVE_TC,$A287)+SUMIFS(SALIDAS_COMB,FECHA_COMB,"&gt;="&amp;BO$2,FECHA_COMB,"&lt;="&amp;BO$3,CLAVE_COMB,$A287)+SUMIFS(SALIDAS_DES,FECHA_DESGLOSEN,"&gt;="&amp;BO$2,FECHA_DESGLOSEN,"&lt;="&amp;BO$3,CLAVE_DESGLOSE,$A287)</f>
        <v>0</v>
      </c>
      <c r="BP287" s="13">
        <f>SUMIFS(SALIDAS_BIT,FECHA_BIT,"&gt;="&amp;BP$2,FECHA_BIT,"&lt;="&amp;BP$3,CLAVE_BIT,$A287)+SUMIFS(SALIDAS_BOV1,FECHA_BOV1,"&gt;="&amp;BP$2,FECHA_BOV1,"&lt;="&amp;BP$3,CLAVE_BOV1,$A287)+SUMIFS(SALIDAS_BOV2,FECHA_BOV2,"&gt;="&amp;BP$2,FECHA_BOV2,"&lt;="&amp;BP$3,CLAVE_BOV2,$A287)+SUMIFS(SALIDAS_BOV3,FECHA_BOV3,"&gt;="&amp;BP$2,FECHA_BOV3,"&lt;="&amp;BP$3,CLAVE_BOV3,$A287)+SUMIFS(SALIDAS_TC,FECHA_TC,"&gt;="&amp;BP$2,FECHA_TC,"&lt;="&amp;BP$3,CLAVE_TC,$A287)+SUMIFS(SALIDAS_COMB,FECHA_COMB,"&gt;="&amp;BP$2,FECHA_COMB,"&lt;="&amp;BP$3,CLAVE_COMB,$A287)+SUMIFS(SALIDAS_DES,FECHA_DESGLOSEN,"&gt;="&amp;BP$2,FECHA_DESGLOSEN,"&lt;="&amp;BP$3,CLAVE_DESGLOSE,$A287)</f>
        <v>0</v>
      </c>
      <c r="BQ287" s="13">
        <f>SUMIFS(SALIDAS_BIT,FECHA_BIT,"&gt;="&amp;BQ$2,FECHA_BIT,"&lt;="&amp;BQ$3,CLAVE_BIT,$A287)+SUMIFS(SALIDAS_BOV1,FECHA_BOV1,"&gt;="&amp;BQ$2,FECHA_BOV1,"&lt;="&amp;BQ$3,CLAVE_BOV1,$A287)+SUMIFS(SALIDAS_BOV2,FECHA_BOV2,"&gt;="&amp;BQ$2,FECHA_BOV2,"&lt;="&amp;BQ$3,CLAVE_BOV2,$A287)+SUMIFS(SALIDAS_BOV3,FECHA_BOV3,"&gt;="&amp;BQ$2,FECHA_BOV3,"&lt;="&amp;BQ$3,CLAVE_BOV3,$A287)+SUMIFS(SALIDAS_TC,FECHA_TC,"&gt;="&amp;BQ$2,FECHA_TC,"&lt;="&amp;BQ$3,CLAVE_TC,$A287)+SUMIFS(SALIDAS_COMB,FECHA_COMB,"&gt;="&amp;BQ$2,FECHA_COMB,"&lt;="&amp;BQ$3,CLAVE_COMB,$A287)+SUMIFS(SALIDAS_DES,FECHA_DESGLOSEN,"&gt;="&amp;BQ$2,FECHA_DESGLOSEN,"&lt;="&amp;BQ$3,CLAVE_DESGLOSE,$A287)</f>
        <v>0</v>
      </c>
      <c r="BR287" s="13">
        <f t="shared" ref="BR287:BR301" si="502">SUMIFS(SALIDAS_BIT,FECHA_BIT,"&gt;="&amp;BR$2,FECHA_BIT,"&lt;="&amp;BR$3,CLAVE_BIT,$A287)+SUMIFS(SALIDAS_BOV1,FECHA_BOV1,"&gt;="&amp;BR$2,FECHA_BOV1,"&lt;="&amp;BR$3,CLAVE_BOV1,$A287)+SUMIFS(SALIDAS_BOV2,FECHA_BOV2,"&gt;="&amp;BR$2,FECHA_BOV2,"&lt;="&amp;BR$3,CLAVE_BOV2,$A287)+SUMIFS(SALIDAS_BOV3,FECHA_BOV3,"&gt;="&amp;BR$2,FECHA_BOV3,"&lt;="&amp;BR$3,CLAVE_BOV3,$A287)+SUMIFS(SALIDAS_TC,FECHA_TC,"&gt;="&amp;BR$2,FECHA_TC,"&lt;="&amp;BR$3,CLAVE_TC,$A287)+SUMIFS(SALIDAS_COMB,FECHA_COMB,"&gt;="&amp;BR$2,FECHA_COMB,"&lt;="&amp;BR$3,CLAVE_COMB,$A287)+SUMIFS(SALIDAS_DES,FECHA_DESGLOSEN,"&gt;="&amp;BR$2,FECHA_DESGLOSEN,"&lt;="&amp;BR$3,CLAVE_DESGLOSE,$A287)</f>
        <v>0</v>
      </c>
      <c r="BS287" s="68">
        <f t="shared" si="463"/>
        <v>0</v>
      </c>
      <c r="BT287" s="268">
        <f t="shared" si="464"/>
        <v>0</v>
      </c>
      <c r="BU287" s="13">
        <f t="shared" si="465"/>
        <v>0</v>
      </c>
      <c r="BV287" s="13">
        <f t="shared" si="485"/>
        <v>0</v>
      </c>
      <c r="BW287" s="13">
        <f t="shared" si="485"/>
        <v>0</v>
      </c>
      <c r="BX287" s="13">
        <f t="shared" si="485"/>
        <v>0</v>
      </c>
      <c r="BY287" s="13">
        <f t="shared" si="485"/>
        <v>0</v>
      </c>
      <c r="BZ287" s="13">
        <f t="shared" ref="BZ287:BZ301" si="503">SUMIFS(SALIDAS_BIT,FECHA_BIT,"&gt;="&amp;BZ$2,FECHA_BIT,"&lt;="&amp;BZ$3,CLAVE_BIT,$A287)+SUMIFS(SALIDAS_BOV1,FECHA_BOV1,"&gt;="&amp;BZ$2,FECHA_BOV1,"&lt;="&amp;BZ$3,CLAVE_BOV1,$A287)+SUMIFS(SALIDAS_BOV2,FECHA_BOV2,"&gt;="&amp;BZ$2,FECHA_BOV2,"&lt;="&amp;BZ$3,CLAVE_BOV2,$A287)+SUMIFS(SALIDAS_BOV3,FECHA_BOV3,"&gt;="&amp;BZ$2,FECHA_BOV3,"&lt;="&amp;BZ$3,CLAVE_BOV3,$A287)+SUMIFS(SALIDAS_TC,FECHA_TC,"&gt;="&amp;BZ$2,FECHA_TC,"&lt;="&amp;BZ$3,CLAVE_TC,$A287)+SUMIFS(SALIDAS_COMB,FECHA_COMB,"&gt;="&amp;BZ$2,FECHA_COMB,"&lt;="&amp;BZ$3,CLAVE_COMB,$A287)+SUMIFS(SALIDAS_DES,FECHA_DESGLOSEN,"&gt;="&amp;BZ$2,FECHA_DESGLOSEN,"&lt;="&amp;BZ$3,CLAVE_DESGLOSE,$A287)</f>
        <v>0</v>
      </c>
      <c r="CA287" s="68">
        <f t="shared" si="466"/>
        <v>0</v>
      </c>
      <c r="CB287" s="268">
        <f t="shared" si="467"/>
        <v>0</v>
      </c>
      <c r="CC287" s="13">
        <f t="shared" si="468"/>
        <v>0</v>
      </c>
      <c r="CD287" s="13">
        <f t="shared" si="486"/>
        <v>0</v>
      </c>
      <c r="CE287" s="13">
        <f t="shared" si="486"/>
        <v>0</v>
      </c>
      <c r="CF287" s="13">
        <f t="shared" si="486"/>
        <v>0</v>
      </c>
      <c r="CG287" s="13">
        <f t="shared" si="486"/>
        <v>0</v>
      </c>
      <c r="CH287" s="13">
        <f t="shared" ref="CH287:CH301" si="504">SUMIFS(SALIDAS_BIT,FECHA_BIT,"&gt;="&amp;CH$2,FECHA_BIT,"&lt;="&amp;CH$3,CLAVE_BIT,$A287)+SUMIFS(SALIDAS_BOV1,FECHA_BOV1,"&gt;="&amp;CH$2,FECHA_BOV1,"&lt;="&amp;CH$3,CLAVE_BOV1,$A287)+SUMIFS(SALIDAS_BOV2,FECHA_BOV2,"&gt;="&amp;CH$2,FECHA_BOV2,"&lt;="&amp;CH$3,CLAVE_BOV2,$A287)+SUMIFS(SALIDAS_BOV3,FECHA_BOV3,"&gt;="&amp;CH$2,FECHA_BOV3,"&lt;="&amp;CH$3,CLAVE_BOV3,$A287)+SUMIFS(SALIDAS_TC,FECHA_TC,"&gt;="&amp;CH$2,FECHA_TC,"&lt;="&amp;CH$3,CLAVE_TC,$A287)+SUMIFS(SALIDAS_COMB,FECHA_COMB,"&gt;="&amp;CH$2,FECHA_COMB,"&lt;="&amp;CH$3,CLAVE_COMB,$A287)+SUMIFS(SALIDAS_DES,FECHA_DESGLOSEN,"&gt;="&amp;CH$2,FECHA_DESGLOSEN,"&lt;="&amp;CH$3,CLAVE_DESGLOSE,$A287)</f>
        <v>0</v>
      </c>
      <c r="CI287" s="68">
        <f t="shared" si="469"/>
        <v>0</v>
      </c>
      <c r="CJ287" s="268">
        <f t="shared" si="470"/>
        <v>0</v>
      </c>
      <c r="CK287" s="13">
        <f t="shared" si="471"/>
        <v>140000</v>
      </c>
      <c r="CL287" s="13">
        <f t="shared" si="495"/>
        <v>0</v>
      </c>
      <c r="CM287" s="13">
        <f t="shared" si="495"/>
        <v>0</v>
      </c>
      <c r="CN287" s="13">
        <f t="shared" si="495"/>
        <v>129496.27</v>
      </c>
      <c r="CO287" s="13">
        <f t="shared" si="495"/>
        <v>0</v>
      </c>
      <c r="CP287" s="13">
        <f t="shared" si="495"/>
        <v>0</v>
      </c>
      <c r="CQ287" s="13">
        <f t="shared" ref="CQ287:CQ301" si="505">SUMIFS(SALIDAS_BIT,FECHA_BIT,"&gt;="&amp;CQ$2,FECHA_BIT,"&lt;="&amp;CQ$3,CLAVE_BIT,$A287)+SUMIFS(SALIDAS_BOV1,FECHA_BOV1,"&gt;="&amp;CQ$2,FECHA_BOV1,"&lt;="&amp;CQ$3,CLAVE_BOV1,$A287)+SUMIFS(SALIDAS_BOV2,FECHA_BOV2,"&gt;="&amp;CQ$2,FECHA_BOV2,"&lt;="&amp;CQ$3,CLAVE_BOV2,$A287)+SUMIFS(SALIDAS_BOV3,FECHA_BOV3,"&gt;="&amp;CQ$2,FECHA_BOV3,"&lt;="&amp;CQ$3,CLAVE_BOV3,$A287)+SUMIFS(SALIDAS_TC,FECHA_TC,"&gt;="&amp;CQ$2,FECHA_TC,"&lt;="&amp;CQ$3,CLAVE_TC,$A287)+SUMIFS(SALIDAS_COMB,FECHA_COMB,"&gt;="&amp;CQ$2,FECHA_COMB,"&lt;="&amp;CQ$3,CLAVE_COMB,$A287)+SUMIFS(SALIDAS_DES,FECHA_DESGLOSEN,"&gt;="&amp;CQ$2,FECHA_DESGLOSEN,"&lt;="&amp;CQ$3,CLAVE_DESGLOSE,$A287)</f>
        <v>129496.27</v>
      </c>
      <c r="CR287" s="68">
        <f t="shared" si="472"/>
        <v>10503.729999999996</v>
      </c>
      <c r="CS287" s="268">
        <f t="shared" si="473"/>
        <v>0.92497335714285722</v>
      </c>
      <c r="CT287" s="68">
        <f t="shared" si="446"/>
        <v>0</v>
      </c>
      <c r="CU287" s="13">
        <f>SUMIFS(SALIDAS_BIT,FECHA_BIT,"&gt;="&amp;CU$2,FECHA_BIT,"&lt;="&amp;CU$3,CLAVE_BIT,$A287)+SUMIFS(SALIDAS_BOV1,FECHA_BOV1,"&gt;="&amp;CU$2,FECHA_BOV1,"&lt;="&amp;CU$3,CLAVE_BOV1,$A287)+SUMIFS(SALIDAS_BOV2,FECHA_BOV2,"&gt;="&amp;CU$2,FECHA_BOV2,"&lt;="&amp;CU$3,CLAVE_BOV2,$A287)+SUMIFS(SALIDAS_BOV3,FECHA_BOV3,"&gt;="&amp;CU$2,FECHA_BOV3,"&lt;="&amp;CU$3,CLAVE_BOV3,$A287)+SUMIFS(SALIDAS_TC,FECHA_TC,"&gt;="&amp;CU$2,FECHA_TC,"&lt;="&amp;CU$3,CLAVE_TC,$A287)+SUMIFS(SALIDAS_COMB,FECHA_COMB,"&gt;="&amp;CU$2,FECHA_COMB,"&lt;="&amp;CU$3,CLAVE_COMB,$A287)+SUMIFS(SALIDAS_DES,FECHA_DESGLOSEN,"&gt;="&amp;CU$2,FECHA_DESGLOSEN,"&lt;="&amp;CU$3,CLAVE_DESGLOSE,$A287)</f>
        <v>0</v>
      </c>
      <c r="CV287" s="13">
        <f>SUMIFS(SALIDAS_BIT,FECHA_BIT,"&gt;="&amp;CV$2,FECHA_BIT,"&lt;="&amp;CV$3,CLAVE_BIT,$A287)+SUMIFS(SALIDAS_BOV1,FECHA_BOV1,"&gt;="&amp;CV$2,FECHA_BOV1,"&lt;="&amp;CV$3,CLAVE_BOV1,$A287)+SUMIFS(SALIDAS_BOV2,FECHA_BOV2,"&gt;="&amp;CV$2,FECHA_BOV2,"&lt;="&amp;CV$3,CLAVE_BOV2,$A287)+SUMIFS(SALIDAS_BOV3,FECHA_BOV3,"&gt;="&amp;CV$2,FECHA_BOV3,"&lt;="&amp;CV$3,CLAVE_BOV3,$A287)+SUMIFS(SALIDAS_TC,FECHA_TC,"&gt;="&amp;CV$2,FECHA_TC,"&lt;="&amp;CV$3,CLAVE_TC,$A287)+SUMIFS(SALIDAS_COMB,FECHA_COMB,"&gt;="&amp;CV$2,FECHA_COMB,"&lt;="&amp;CV$3,CLAVE_COMB,$A287)+SUMIFS(SALIDAS_DES,FECHA_DESGLOSEN,"&gt;="&amp;CV$2,FECHA_DESGLOSEN,"&lt;="&amp;CV$3,CLAVE_DESGLOSE,$A287)</f>
        <v>0</v>
      </c>
      <c r="CW287" s="13">
        <f>SUMIFS(SALIDAS_BIT,FECHA_BIT,"&gt;="&amp;CW$2,FECHA_BIT,"&lt;="&amp;CW$3,CLAVE_BIT,$A287)+SUMIFS(SALIDAS_BOV1,FECHA_BOV1,"&gt;="&amp;CW$2,FECHA_BOV1,"&lt;="&amp;CW$3,CLAVE_BOV1,$A287)+SUMIFS(SALIDAS_BOV2,FECHA_BOV2,"&gt;="&amp;CW$2,FECHA_BOV2,"&lt;="&amp;CW$3,CLAVE_BOV2,$A287)+SUMIFS(SALIDAS_BOV3,FECHA_BOV3,"&gt;="&amp;CW$2,FECHA_BOV3,"&lt;="&amp;CW$3,CLAVE_BOV3,$A287)+SUMIFS(SALIDAS_TC,FECHA_TC,"&gt;="&amp;CW$2,FECHA_TC,"&lt;="&amp;CW$3,CLAVE_TC,$A287)+SUMIFS(SALIDAS_COMB,FECHA_COMB,"&gt;="&amp;CW$2,FECHA_COMB,"&lt;="&amp;CW$3,CLAVE_COMB,$A287)+SUMIFS(SALIDAS_DES,FECHA_DESGLOSEN,"&gt;="&amp;CW$2,FECHA_DESGLOSEN,"&lt;="&amp;CW$3,CLAVE_DESGLOSE,$A287)</f>
        <v>0</v>
      </c>
      <c r="CX287" s="13">
        <f>SUMIFS(SALIDAS_BIT,FECHA_BIT,"&gt;="&amp;CX$2,FECHA_BIT,"&lt;="&amp;CX$3,CLAVE_BIT,$A287)+SUMIFS(SALIDAS_BOV1,FECHA_BOV1,"&gt;="&amp;CX$2,FECHA_BOV1,"&lt;="&amp;CX$3,CLAVE_BOV1,$A287)+SUMIFS(SALIDAS_BOV2,FECHA_BOV2,"&gt;="&amp;CX$2,FECHA_BOV2,"&lt;="&amp;CX$3,CLAVE_BOV2,$A287)+SUMIFS(SALIDAS_BOV3,FECHA_BOV3,"&gt;="&amp;CX$2,FECHA_BOV3,"&lt;="&amp;CX$3,CLAVE_BOV3,$A287)+SUMIFS(SALIDAS_TC,FECHA_TC,"&gt;="&amp;CX$2,FECHA_TC,"&lt;="&amp;CX$3,CLAVE_TC,$A287)+SUMIFS(SALIDAS_COMB,FECHA_COMB,"&gt;="&amp;CX$2,FECHA_COMB,"&lt;="&amp;CX$3,CLAVE_COMB,$A287)+SUMIFS(SALIDAS_DES,FECHA_DESGLOSEN,"&gt;="&amp;CX$2,FECHA_DESGLOSEN,"&lt;="&amp;CX$3,CLAVE_DESGLOSE,$A287)</f>
        <v>0</v>
      </c>
      <c r="CY287" s="13">
        <f>SUMIFS(SALIDAS_BIT,FECHA_BIT,"&gt;="&amp;CY$2,FECHA_BIT,"&lt;="&amp;CY$3,CLAVE_BIT,$A287)+SUMIFS(SALIDAS_BOV1,FECHA_BOV1,"&gt;="&amp;CY$2,FECHA_BOV1,"&lt;="&amp;CY$3,CLAVE_BOV1,$A287)+SUMIFS(SALIDAS_BOV2,FECHA_BOV2,"&gt;="&amp;CY$2,FECHA_BOV2,"&lt;="&amp;CY$3,CLAVE_BOV2,$A287)+SUMIFS(SALIDAS_BOV3,FECHA_BOV3,"&gt;="&amp;CY$2,FECHA_BOV3,"&lt;="&amp;CY$3,CLAVE_BOV3,$A287)+SUMIFS(SALIDAS_TC,FECHA_TC,"&gt;="&amp;CY$2,FECHA_TC,"&lt;="&amp;CY$3,CLAVE_TC,$A287)+SUMIFS(SALIDAS_COMB,FECHA_COMB,"&gt;="&amp;CY$2,FECHA_COMB,"&lt;="&amp;CY$3,CLAVE_COMB,$A287)+SUMIFS(SALIDAS_DES,FECHA_DESGLOSEN,"&gt;="&amp;CY$2,FECHA_DESGLOSEN,"&lt;="&amp;CY$3,CLAVE_DESGLOSE,$A287)</f>
        <v>0</v>
      </c>
      <c r="CZ287" s="68">
        <f t="shared" si="474"/>
        <v>0</v>
      </c>
      <c r="DB287" s="17">
        <f>F287+N287+W287+AE287+AM287+AV287+BD287+BL287+BU287+CC287+CK287</f>
        <v>140000</v>
      </c>
      <c r="DC287" s="17">
        <f>K287+T287+AB287+AJ287+AS287+BA287+BI287+BR287+BZ287+CH287+CQ287</f>
        <v>129496.27</v>
      </c>
    </row>
    <row r="288" spans="1:107" hidden="1">
      <c r="A288" s="12" t="str">
        <f t="shared" si="447"/>
        <v>FINANZASPOSADASPOSADAS</v>
      </c>
      <c r="B288">
        <v>290</v>
      </c>
      <c r="C288" t="s">
        <v>23</v>
      </c>
      <c r="D288" t="s">
        <v>163</v>
      </c>
      <c r="E288" t="s">
        <v>163</v>
      </c>
      <c r="F288" s="259">
        <f t="shared" si="440"/>
        <v>2467</v>
      </c>
      <c r="G288" s="13">
        <f t="shared" si="497"/>
        <v>0</v>
      </c>
      <c r="H288" s="13">
        <f t="shared" si="497"/>
        <v>0</v>
      </c>
      <c r="I288" s="13">
        <f t="shared" si="497"/>
        <v>0</v>
      </c>
      <c r="J288" s="13">
        <f t="shared" si="497"/>
        <v>0</v>
      </c>
      <c r="K288" s="13">
        <f t="shared" si="497"/>
        <v>0</v>
      </c>
      <c r="L288" s="68">
        <f t="shared" si="448"/>
        <v>2467</v>
      </c>
      <c r="M288" s="268">
        <f t="shared" si="449"/>
        <v>0</v>
      </c>
      <c r="N288" s="13">
        <f t="shared" si="441"/>
        <v>1907</v>
      </c>
      <c r="O288" s="13">
        <f t="shared" si="498"/>
        <v>0</v>
      </c>
      <c r="P288" s="13">
        <f t="shared" si="498"/>
        <v>0</v>
      </c>
      <c r="Q288" s="13">
        <f t="shared" si="498"/>
        <v>0</v>
      </c>
      <c r="R288" s="13">
        <f t="shared" si="498"/>
        <v>0</v>
      </c>
      <c r="S288" s="13">
        <f t="shared" si="498"/>
        <v>0</v>
      </c>
      <c r="T288" s="13">
        <f t="shared" si="498"/>
        <v>0</v>
      </c>
      <c r="U288" s="68">
        <f t="shared" si="450"/>
        <v>1907</v>
      </c>
      <c r="V288" s="268">
        <f t="shared" si="451"/>
        <v>0</v>
      </c>
      <c r="W288" s="13">
        <f t="shared" si="442"/>
        <v>0</v>
      </c>
      <c r="X288" s="13">
        <f t="shared" si="499"/>
        <v>0</v>
      </c>
      <c r="Y288" s="13">
        <f t="shared" si="499"/>
        <v>0</v>
      </c>
      <c r="Z288" s="13">
        <f t="shared" si="499"/>
        <v>0</v>
      </c>
      <c r="AA288" s="13">
        <f t="shared" si="499"/>
        <v>0</v>
      </c>
      <c r="AB288" s="13">
        <f t="shared" si="499"/>
        <v>0</v>
      </c>
      <c r="AC288" s="68">
        <f t="shared" si="452"/>
        <v>0</v>
      </c>
      <c r="AD288" s="268">
        <f t="shared" si="453"/>
        <v>0</v>
      </c>
      <c r="AE288" s="13">
        <f t="shared" si="443"/>
        <v>1970</v>
      </c>
      <c r="AF288" s="13">
        <f t="shared" si="500"/>
        <v>0</v>
      </c>
      <c r="AG288" s="13">
        <f t="shared" si="500"/>
        <v>0</v>
      </c>
      <c r="AH288" s="13">
        <f t="shared" si="500"/>
        <v>0</v>
      </c>
      <c r="AI288" s="13">
        <f t="shared" si="500"/>
        <v>0</v>
      </c>
      <c r="AJ288" s="13">
        <f t="shared" si="500"/>
        <v>0</v>
      </c>
      <c r="AK288" s="68">
        <f t="shared" si="454"/>
        <v>1970</v>
      </c>
      <c r="AL288" s="268">
        <f t="shared" si="455"/>
        <v>0</v>
      </c>
      <c r="AM288" s="13">
        <f t="shared" si="444"/>
        <v>0</v>
      </c>
      <c r="AN288" s="13">
        <f t="shared" si="501"/>
        <v>0</v>
      </c>
      <c r="AO288" s="13">
        <f t="shared" si="501"/>
        <v>0</v>
      </c>
      <c r="AP288" s="13">
        <f t="shared" si="501"/>
        <v>0</v>
      </c>
      <c r="AQ288" s="13">
        <f t="shared" si="501"/>
        <v>0</v>
      </c>
      <c r="AR288" s="13">
        <f t="shared" si="501"/>
        <v>0</v>
      </c>
      <c r="AS288" s="13">
        <f t="shared" si="501"/>
        <v>0</v>
      </c>
      <c r="AT288" s="68">
        <f>AM288-AS288</f>
        <v>0</v>
      </c>
      <c r="AU288" s="268">
        <f t="shared" si="456"/>
        <v>0</v>
      </c>
      <c r="AV288" s="13">
        <f t="shared" si="445"/>
        <v>0</v>
      </c>
      <c r="AW288" s="13">
        <f t="shared" si="421"/>
        <v>0</v>
      </c>
      <c r="AX288" s="13">
        <f t="shared" si="421"/>
        <v>0</v>
      </c>
      <c r="AY288" s="13">
        <f t="shared" si="421"/>
        <v>0</v>
      </c>
      <c r="AZ288" s="13">
        <f t="shared" si="421"/>
        <v>0</v>
      </c>
      <c r="BA288" s="13">
        <f t="shared" si="475"/>
        <v>0</v>
      </c>
      <c r="BB288" s="68">
        <f t="shared" si="457"/>
        <v>0</v>
      </c>
      <c r="BC288" s="268">
        <f t="shared" si="458"/>
        <v>0</v>
      </c>
      <c r="BD288" s="13">
        <f t="shared" si="459"/>
        <v>0</v>
      </c>
      <c r="BE288" s="13">
        <f>SUMIFS(SALIDAS_BIT,FECHA_BIT,"&gt;="&amp;BE$2,FECHA_BIT,"&lt;="&amp;BE$3,CLAVE_BIT,$A288)+SUMIFS(SALIDAS_BOV1,FECHA_BOV1,"&gt;="&amp;BE$2,FECHA_BOV1,"&lt;="&amp;BE$3,CLAVE_BOV1,$A288)+SUMIFS(SALIDAS_BOV2,FECHA_BOV2,"&gt;="&amp;BE$2,FECHA_BOV2,"&lt;="&amp;BE$3,CLAVE_BOV2,$A288)+SUMIFS(SALIDAS_BOV3,FECHA_BOV3,"&gt;="&amp;BE$2,FECHA_BOV3,"&lt;="&amp;BE$3,CLAVE_BOV3,$A288)+SUMIFS(SALIDAS_TC,FECHA_TC,"&gt;="&amp;BE$2,FECHA_TC,"&lt;="&amp;BE$3,CLAVE_TC,$A288)+SUMIFS(SALIDAS_COMB,FECHA_COMB,"&gt;="&amp;BE$2,FECHA_COMB,"&lt;="&amp;BE$3,CLAVE_COMB,$A288)+SUMIFS(SALIDAS_DES,FECHA_DESGLOSEN,"&gt;="&amp;BE$2,FECHA_DESGLOSEN,"&lt;="&amp;BE$3,CLAVE_DESGLOSE,$A288)</f>
        <v>0</v>
      </c>
      <c r="BF288" s="13">
        <f>SUMIFS(SALIDAS_BIT,FECHA_BIT,"&gt;="&amp;BF$2,FECHA_BIT,"&lt;="&amp;BF$3,CLAVE_BIT,$A288)+SUMIFS(SALIDAS_BOV1,FECHA_BOV1,"&gt;="&amp;BF$2,FECHA_BOV1,"&lt;="&amp;BF$3,CLAVE_BOV1,$A288)+SUMIFS(SALIDAS_BOV2,FECHA_BOV2,"&gt;="&amp;BF$2,FECHA_BOV2,"&lt;="&amp;BF$3,CLAVE_BOV2,$A288)+SUMIFS(SALIDAS_BOV3,FECHA_BOV3,"&gt;="&amp;BF$2,FECHA_BOV3,"&lt;="&amp;BF$3,CLAVE_BOV3,$A288)+SUMIFS(SALIDAS_TC,FECHA_TC,"&gt;="&amp;BF$2,FECHA_TC,"&lt;="&amp;BF$3,CLAVE_TC,$A288)+SUMIFS(SALIDAS_COMB,FECHA_COMB,"&gt;="&amp;BF$2,FECHA_COMB,"&lt;="&amp;BF$3,CLAVE_COMB,$A288)+SUMIFS(SALIDAS_DES,FECHA_DESGLOSEN,"&gt;="&amp;BF$2,FECHA_DESGLOSEN,"&lt;="&amp;BF$3,CLAVE_DESGLOSE,$A288)</f>
        <v>0</v>
      </c>
      <c r="BG288" s="13">
        <f>SUMIFS(SALIDAS_BIT,FECHA_BIT,"&gt;="&amp;BG$2,FECHA_BIT,"&lt;="&amp;BG$3,CLAVE_BIT,$A288)+SUMIFS(SALIDAS_BOV1,FECHA_BOV1,"&gt;="&amp;BG$2,FECHA_BOV1,"&lt;="&amp;BG$3,CLAVE_BOV1,$A288)+SUMIFS(SALIDAS_BOV2,FECHA_BOV2,"&gt;="&amp;BG$2,FECHA_BOV2,"&lt;="&amp;BG$3,CLAVE_BOV2,$A288)+SUMIFS(SALIDAS_BOV3,FECHA_BOV3,"&gt;="&amp;BG$2,FECHA_BOV3,"&lt;="&amp;BG$3,CLAVE_BOV3,$A288)+SUMIFS(SALIDAS_TC,FECHA_TC,"&gt;="&amp;BG$2,FECHA_TC,"&lt;="&amp;BG$3,CLAVE_TC,$A288)+SUMIFS(SALIDAS_COMB,FECHA_COMB,"&gt;="&amp;BG$2,FECHA_COMB,"&lt;="&amp;BG$3,CLAVE_COMB,$A288)+SUMIFS(SALIDAS_DES,FECHA_DESGLOSEN,"&gt;="&amp;BG$2,FECHA_DESGLOSEN,"&lt;="&amp;BG$3,CLAVE_DESGLOSE,$A288)</f>
        <v>0</v>
      </c>
      <c r="BH288" s="13">
        <f>SUMIFS(SALIDAS_BIT,FECHA_BIT,"&gt;="&amp;BH$2,FECHA_BIT,"&lt;="&amp;BH$3,CLAVE_BIT,$A288)+SUMIFS(SALIDAS_BOV1,FECHA_BOV1,"&gt;="&amp;BH$2,FECHA_BOV1,"&lt;="&amp;BH$3,CLAVE_BOV1,$A288)+SUMIFS(SALIDAS_BOV2,FECHA_BOV2,"&gt;="&amp;BH$2,FECHA_BOV2,"&lt;="&amp;BH$3,CLAVE_BOV2,$A288)+SUMIFS(SALIDAS_BOV3,FECHA_BOV3,"&gt;="&amp;BH$2,FECHA_BOV3,"&lt;="&amp;BH$3,CLAVE_BOV3,$A288)+SUMIFS(SALIDAS_TC,FECHA_TC,"&gt;="&amp;BH$2,FECHA_TC,"&lt;="&amp;BH$3,CLAVE_TC,$A288)+SUMIFS(SALIDAS_COMB,FECHA_COMB,"&gt;="&amp;BH$2,FECHA_COMB,"&lt;="&amp;BH$3,CLAVE_COMB,$A288)+SUMIFS(SALIDAS_DES,FECHA_DESGLOSEN,"&gt;="&amp;BH$2,FECHA_DESGLOSEN,"&lt;="&amp;BH$3,CLAVE_DESGLOSE,$A288)</f>
        <v>0</v>
      </c>
      <c r="BI288" s="13">
        <f t="shared" si="419"/>
        <v>0</v>
      </c>
      <c r="BJ288" s="68">
        <f t="shared" si="460"/>
        <v>0</v>
      </c>
      <c r="BK288" s="268">
        <f t="shared" si="461"/>
        <v>0</v>
      </c>
      <c r="BL288" s="13">
        <f t="shared" si="462"/>
        <v>0</v>
      </c>
      <c r="BM288" s="13">
        <f>SUMIFS(SALIDAS_BIT,FECHA_BIT,"&gt;="&amp;BM$2,FECHA_BIT,"&lt;="&amp;BM$3,CLAVE_BIT,$A288)+SUMIFS(SALIDAS_BOV1,FECHA_BOV1,"&gt;="&amp;BM$2,FECHA_BOV1,"&lt;="&amp;BM$3,CLAVE_BOV1,$A288)+SUMIFS(SALIDAS_BOV2,FECHA_BOV2,"&gt;="&amp;BM$2,FECHA_BOV2,"&lt;="&amp;BM$3,CLAVE_BOV2,$A288)+SUMIFS(SALIDAS_BOV3,FECHA_BOV3,"&gt;="&amp;BM$2,FECHA_BOV3,"&lt;="&amp;BM$3,CLAVE_BOV3,$A288)+SUMIFS(SALIDAS_TC,FECHA_TC,"&gt;="&amp;BM$2,FECHA_TC,"&lt;="&amp;BM$3,CLAVE_TC,$A288)+SUMIFS(SALIDAS_COMB,FECHA_COMB,"&gt;="&amp;BM$2,FECHA_COMB,"&lt;="&amp;BM$3,CLAVE_COMB,$A288)+SUMIFS(SALIDAS_DES,FECHA_DESGLOSEN,"&gt;="&amp;BM$2,FECHA_DESGLOSEN,"&lt;="&amp;BM$3,CLAVE_DESGLOSE,$A288)</f>
        <v>0</v>
      </c>
      <c r="BN288" s="13">
        <f>SUMIFS(SALIDAS_BIT,FECHA_BIT,"&gt;="&amp;BN$2,FECHA_BIT,"&lt;="&amp;BN$3,CLAVE_BIT,$A288)+SUMIFS(SALIDAS_BOV1,FECHA_BOV1,"&gt;="&amp;BN$2,FECHA_BOV1,"&lt;="&amp;BN$3,CLAVE_BOV1,$A288)+SUMIFS(SALIDAS_BOV2,FECHA_BOV2,"&gt;="&amp;BN$2,FECHA_BOV2,"&lt;="&amp;BN$3,CLAVE_BOV2,$A288)+SUMIFS(SALIDAS_BOV3,FECHA_BOV3,"&gt;="&amp;BN$2,FECHA_BOV3,"&lt;="&amp;BN$3,CLAVE_BOV3,$A288)+SUMIFS(SALIDAS_TC,FECHA_TC,"&gt;="&amp;BN$2,FECHA_TC,"&lt;="&amp;BN$3,CLAVE_TC,$A288)+SUMIFS(SALIDAS_COMB,FECHA_COMB,"&gt;="&amp;BN$2,FECHA_COMB,"&lt;="&amp;BN$3,CLAVE_COMB,$A288)+SUMIFS(SALIDAS_DES,FECHA_DESGLOSEN,"&gt;="&amp;BN$2,FECHA_DESGLOSEN,"&lt;="&amp;BN$3,CLAVE_DESGLOSE,$A288)</f>
        <v>0</v>
      </c>
      <c r="BO288" s="13">
        <f>SUMIFS(SALIDAS_BIT,FECHA_BIT,"&gt;="&amp;BO$2,FECHA_BIT,"&lt;="&amp;BO$3,CLAVE_BIT,$A288)+SUMIFS(SALIDAS_BOV1,FECHA_BOV1,"&gt;="&amp;BO$2,FECHA_BOV1,"&lt;="&amp;BO$3,CLAVE_BOV1,$A288)+SUMIFS(SALIDAS_BOV2,FECHA_BOV2,"&gt;="&amp;BO$2,FECHA_BOV2,"&lt;="&amp;BO$3,CLAVE_BOV2,$A288)+SUMIFS(SALIDAS_BOV3,FECHA_BOV3,"&gt;="&amp;BO$2,FECHA_BOV3,"&lt;="&amp;BO$3,CLAVE_BOV3,$A288)+SUMIFS(SALIDAS_TC,FECHA_TC,"&gt;="&amp;BO$2,FECHA_TC,"&lt;="&amp;BO$3,CLAVE_TC,$A288)+SUMIFS(SALIDAS_COMB,FECHA_COMB,"&gt;="&amp;BO$2,FECHA_COMB,"&lt;="&amp;BO$3,CLAVE_COMB,$A288)+SUMIFS(SALIDAS_DES,FECHA_DESGLOSEN,"&gt;="&amp;BO$2,FECHA_DESGLOSEN,"&lt;="&amp;BO$3,CLAVE_DESGLOSE,$A288)</f>
        <v>0</v>
      </c>
      <c r="BP288" s="13">
        <f>SUMIFS(SALIDAS_BIT,FECHA_BIT,"&gt;="&amp;BP$2,FECHA_BIT,"&lt;="&amp;BP$3,CLAVE_BIT,$A288)+SUMIFS(SALIDAS_BOV1,FECHA_BOV1,"&gt;="&amp;BP$2,FECHA_BOV1,"&lt;="&amp;BP$3,CLAVE_BOV1,$A288)+SUMIFS(SALIDAS_BOV2,FECHA_BOV2,"&gt;="&amp;BP$2,FECHA_BOV2,"&lt;="&amp;BP$3,CLAVE_BOV2,$A288)+SUMIFS(SALIDAS_BOV3,FECHA_BOV3,"&gt;="&amp;BP$2,FECHA_BOV3,"&lt;="&amp;BP$3,CLAVE_BOV3,$A288)+SUMIFS(SALIDAS_TC,FECHA_TC,"&gt;="&amp;BP$2,FECHA_TC,"&lt;="&amp;BP$3,CLAVE_TC,$A288)+SUMIFS(SALIDAS_COMB,FECHA_COMB,"&gt;="&amp;BP$2,FECHA_COMB,"&lt;="&amp;BP$3,CLAVE_COMB,$A288)+SUMIFS(SALIDAS_DES,FECHA_DESGLOSEN,"&gt;="&amp;BP$2,FECHA_DESGLOSEN,"&lt;="&amp;BP$3,CLAVE_DESGLOSE,$A288)</f>
        <v>0</v>
      </c>
      <c r="BQ288" s="13">
        <f>SUMIFS(SALIDAS_BIT,FECHA_BIT,"&gt;="&amp;BQ$2,FECHA_BIT,"&lt;="&amp;BQ$3,CLAVE_BIT,$A288)+SUMIFS(SALIDAS_BOV1,FECHA_BOV1,"&gt;="&amp;BQ$2,FECHA_BOV1,"&lt;="&amp;BQ$3,CLAVE_BOV1,$A288)+SUMIFS(SALIDAS_BOV2,FECHA_BOV2,"&gt;="&amp;BQ$2,FECHA_BOV2,"&lt;="&amp;BQ$3,CLAVE_BOV2,$A288)+SUMIFS(SALIDAS_BOV3,FECHA_BOV3,"&gt;="&amp;BQ$2,FECHA_BOV3,"&lt;="&amp;BQ$3,CLAVE_BOV3,$A288)+SUMIFS(SALIDAS_TC,FECHA_TC,"&gt;="&amp;BQ$2,FECHA_TC,"&lt;="&amp;BQ$3,CLAVE_TC,$A288)+SUMIFS(SALIDAS_COMB,FECHA_COMB,"&gt;="&amp;BQ$2,FECHA_COMB,"&lt;="&amp;BQ$3,CLAVE_COMB,$A288)+SUMIFS(SALIDAS_DES,FECHA_DESGLOSEN,"&gt;="&amp;BQ$2,FECHA_DESGLOSEN,"&lt;="&amp;BQ$3,CLAVE_DESGLOSE,$A288)</f>
        <v>0</v>
      </c>
      <c r="BR288" s="13">
        <f t="shared" si="502"/>
        <v>0</v>
      </c>
      <c r="BS288" s="68">
        <f t="shared" si="463"/>
        <v>0</v>
      </c>
      <c r="BT288" s="268">
        <f t="shared" si="464"/>
        <v>0</v>
      </c>
      <c r="BU288" s="13">
        <f t="shared" si="465"/>
        <v>0</v>
      </c>
      <c r="BV288" s="13">
        <f t="shared" si="485"/>
        <v>0</v>
      </c>
      <c r="BW288" s="13">
        <f t="shared" si="485"/>
        <v>0</v>
      </c>
      <c r="BX288" s="13">
        <f t="shared" si="485"/>
        <v>0</v>
      </c>
      <c r="BY288" s="13">
        <f t="shared" si="485"/>
        <v>0</v>
      </c>
      <c r="BZ288" s="13">
        <f t="shared" si="503"/>
        <v>0</v>
      </c>
      <c r="CA288" s="68">
        <f t="shared" si="466"/>
        <v>0</v>
      </c>
      <c r="CB288" s="268">
        <f t="shared" si="467"/>
        <v>0</v>
      </c>
      <c r="CC288" s="13">
        <f t="shared" si="468"/>
        <v>0</v>
      </c>
      <c r="CD288" s="13">
        <f t="shared" si="486"/>
        <v>0</v>
      </c>
      <c r="CE288" s="13">
        <f t="shared" si="486"/>
        <v>0</v>
      </c>
      <c r="CF288" s="13">
        <f t="shared" si="486"/>
        <v>0</v>
      </c>
      <c r="CG288" s="13">
        <f t="shared" si="486"/>
        <v>0</v>
      </c>
      <c r="CH288" s="13">
        <f t="shared" si="504"/>
        <v>0</v>
      </c>
      <c r="CI288" s="68">
        <f t="shared" si="469"/>
        <v>0</v>
      </c>
      <c r="CJ288" s="268">
        <f t="shared" si="470"/>
        <v>0</v>
      </c>
      <c r="CK288" s="13">
        <f t="shared" si="471"/>
        <v>150000</v>
      </c>
      <c r="CL288" s="13">
        <f t="shared" si="495"/>
        <v>0</v>
      </c>
      <c r="CM288" s="13">
        <f t="shared" si="495"/>
        <v>0</v>
      </c>
      <c r="CN288" s="13">
        <f t="shared" si="495"/>
        <v>7000</v>
      </c>
      <c r="CO288" s="13">
        <f t="shared" si="495"/>
        <v>232305.79</v>
      </c>
      <c r="CP288" s="13">
        <f t="shared" si="495"/>
        <v>13900</v>
      </c>
      <c r="CQ288" s="13">
        <f t="shared" si="505"/>
        <v>253205.79</v>
      </c>
      <c r="CR288" s="68">
        <f t="shared" si="472"/>
        <v>-103205.79000000001</v>
      </c>
      <c r="CS288" s="268">
        <f t="shared" si="473"/>
        <v>1.6880386000000001</v>
      </c>
      <c r="CT288" s="68">
        <f t="shared" si="446"/>
        <v>0</v>
      </c>
      <c r="CU288" s="13">
        <f>SUMIFS(SALIDAS_BIT,FECHA_BIT,"&gt;="&amp;CU$2,FECHA_BIT,"&lt;="&amp;CU$3,CLAVE_BIT,$A288)+SUMIFS(SALIDAS_BOV1,FECHA_BOV1,"&gt;="&amp;CU$2,FECHA_BOV1,"&lt;="&amp;CU$3,CLAVE_BOV1,$A288)+SUMIFS(SALIDAS_BOV2,FECHA_BOV2,"&gt;="&amp;CU$2,FECHA_BOV2,"&lt;="&amp;CU$3,CLAVE_BOV2,$A288)+SUMIFS(SALIDAS_BOV3,FECHA_BOV3,"&gt;="&amp;CU$2,FECHA_BOV3,"&lt;="&amp;CU$3,CLAVE_BOV3,$A288)+SUMIFS(SALIDAS_TC,FECHA_TC,"&gt;="&amp;CU$2,FECHA_TC,"&lt;="&amp;CU$3,CLAVE_TC,$A288)+SUMIFS(SALIDAS_COMB,FECHA_COMB,"&gt;="&amp;CU$2,FECHA_COMB,"&lt;="&amp;CU$3,CLAVE_COMB,$A288)+SUMIFS(SALIDAS_DES,FECHA_DESGLOSEN,"&gt;="&amp;CU$2,FECHA_DESGLOSEN,"&lt;="&amp;CU$3,CLAVE_DESGLOSE,$A288)</f>
        <v>43575</v>
      </c>
      <c r="CV288" s="13">
        <f>SUMIFS(SALIDAS_BIT,FECHA_BIT,"&gt;="&amp;CV$2,FECHA_BIT,"&lt;="&amp;CV$3,CLAVE_BIT,$A288)+SUMIFS(SALIDAS_BOV1,FECHA_BOV1,"&gt;="&amp;CV$2,FECHA_BOV1,"&lt;="&amp;CV$3,CLAVE_BOV1,$A288)+SUMIFS(SALIDAS_BOV2,FECHA_BOV2,"&gt;="&amp;CV$2,FECHA_BOV2,"&lt;="&amp;CV$3,CLAVE_BOV2,$A288)+SUMIFS(SALIDAS_BOV3,FECHA_BOV3,"&gt;="&amp;CV$2,FECHA_BOV3,"&lt;="&amp;CV$3,CLAVE_BOV3,$A288)+SUMIFS(SALIDAS_TC,FECHA_TC,"&gt;="&amp;CV$2,FECHA_TC,"&lt;="&amp;CV$3,CLAVE_TC,$A288)+SUMIFS(SALIDAS_COMB,FECHA_COMB,"&gt;="&amp;CV$2,FECHA_COMB,"&lt;="&amp;CV$3,CLAVE_COMB,$A288)+SUMIFS(SALIDAS_DES,FECHA_DESGLOSEN,"&gt;="&amp;CV$2,FECHA_DESGLOSEN,"&lt;="&amp;CV$3,CLAVE_DESGLOSE,$A288)</f>
        <v>0</v>
      </c>
      <c r="CW288" s="13">
        <f>SUMIFS(SALIDAS_BIT,FECHA_BIT,"&gt;="&amp;CW$2,FECHA_BIT,"&lt;="&amp;CW$3,CLAVE_BIT,$A288)+SUMIFS(SALIDAS_BOV1,FECHA_BOV1,"&gt;="&amp;CW$2,FECHA_BOV1,"&lt;="&amp;CW$3,CLAVE_BOV1,$A288)+SUMIFS(SALIDAS_BOV2,FECHA_BOV2,"&gt;="&amp;CW$2,FECHA_BOV2,"&lt;="&amp;CW$3,CLAVE_BOV2,$A288)+SUMIFS(SALIDAS_BOV3,FECHA_BOV3,"&gt;="&amp;CW$2,FECHA_BOV3,"&lt;="&amp;CW$3,CLAVE_BOV3,$A288)+SUMIFS(SALIDAS_TC,FECHA_TC,"&gt;="&amp;CW$2,FECHA_TC,"&lt;="&amp;CW$3,CLAVE_TC,$A288)+SUMIFS(SALIDAS_COMB,FECHA_COMB,"&gt;="&amp;CW$2,FECHA_COMB,"&lt;="&amp;CW$3,CLAVE_COMB,$A288)+SUMIFS(SALIDAS_DES,FECHA_DESGLOSEN,"&gt;="&amp;CW$2,FECHA_DESGLOSEN,"&lt;="&amp;CW$3,CLAVE_DESGLOSE,$A288)</f>
        <v>0</v>
      </c>
      <c r="CX288" s="13">
        <f>SUMIFS(SALIDAS_BIT,FECHA_BIT,"&gt;="&amp;CX$2,FECHA_BIT,"&lt;="&amp;CX$3,CLAVE_BIT,$A288)+SUMIFS(SALIDAS_BOV1,FECHA_BOV1,"&gt;="&amp;CX$2,FECHA_BOV1,"&lt;="&amp;CX$3,CLAVE_BOV1,$A288)+SUMIFS(SALIDAS_BOV2,FECHA_BOV2,"&gt;="&amp;CX$2,FECHA_BOV2,"&lt;="&amp;CX$3,CLAVE_BOV2,$A288)+SUMIFS(SALIDAS_BOV3,FECHA_BOV3,"&gt;="&amp;CX$2,FECHA_BOV3,"&lt;="&amp;CX$3,CLAVE_BOV3,$A288)+SUMIFS(SALIDAS_TC,FECHA_TC,"&gt;="&amp;CX$2,FECHA_TC,"&lt;="&amp;CX$3,CLAVE_TC,$A288)+SUMIFS(SALIDAS_COMB,FECHA_COMB,"&gt;="&amp;CX$2,FECHA_COMB,"&lt;="&amp;CX$3,CLAVE_COMB,$A288)+SUMIFS(SALIDAS_DES,FECHA_DESGLOSEN,"&gt;="&amp;CX$2,FECHA_DESGLOSEN,"&lt;="&amp;CX$3,CLAVE_DESGLOSE,$A288)</f>
        <v>9333</v>
      </c>
      <c r="CY288" s="13">
        <f>SUMIFS(SALIDAS_BIT,FECHA_BIT,"&gt;="&amp;CY$2,FECHA_BIT,"&lt;="&amp;CY$3,CLAVE_BIT,$A288)+SUMIFS(SALIDAS_BOV1,FECHA_BOV1,"&gt;="&amp;CY$2,FECHA_BOV1,"&lt;="&amp;CY$3,CLAVE_BOV1,$A288)+SUMIFS(SALIDAS_BOV2,FECHA_BOV2,"&gt;="&amp;CY$2,FECHA_BOV2,"&lt;="&amp;CY$3,CLAVE_BOV2,$A288)+SUMIFS(SALIDAS_BOV3,FECHA_BOV3,"&gt;="&amp;CY$2,FECHA_BOV3,"&lt;="&amp;CY$3,CLAVE_BOV3,$A288)+SUMIFS(SALIDAS_TC,FECHA_TC,"&gt;="&amp;CY$2,FECHA_TC,"&lt;="&amp;CY$3,CLAVE_TC,$A288)+SUMIFS(SALIDAS_COMB,FECHA_COMB,"&gt;="&amp;CY$2,FECHA_COMB,"&lt;="&amp;CY$3,CLAVE_COMB,$A288)+SUMIFS(SALIDAS_DES,FECHA_DESGLOSEN,"&gt;="&amp;CY$2,FECHA_DESGLOSEN,"&lt;="&amp;CY$3,CLAVE_DESGLOSE,$A288)</f>
        <v>52908</v>
      </c>
      <c r="CZ288" s="68">
        <f t="shared" si="474"/>
        <v>-52908</v>
      </c>
      <c r="DB288" s="17">
        <f>F288+N288+W288+AE288+AM288+AV288+BD288+BL288+BU288+CC288+CK288</f>
        <v>156344</v>
      </c>
      <c r="DC288" s="17">
        <f>K288+T288+AB288+AJ288+AS288+BA288+BI288+BR288+BZ288+CH288+CQ288</f>
        <v>253205.79</v>
      </c>
    </row>
    <row r="289" spans="1:108" hidden="1">
      <c r="A289" s="12" t="str">
        <f t="shared" si="447"/>
        <v>FINANZASFALTANTESFALTANTES</v>
      </c>
      <c r="B289">
        <v>291</v>
      </c>
      <c r="C289" t="s">
        <v>23</v>
      </c>
      <c r="D289" t="s">
        <v>119</v>
      </c>
      <c r="E289" t="s">
        <v>119</v>
      </c>
      <c r="F289" s="259">
        <f t="shared" si="440"/>
        <v>0</v>
      </c>
      <c r="G289" s="13">
        <f t="shared" si="497"/>
        <v>12811.51</v>
      </c>
      <c r="H289" s="13">
        <f t="shared" si="497"/>
        <v>14115.85</v>
      </c>
      <c r="I289" s="13">
        <f t="shared" si="497"/>
        <v>6829.37</v>
      </c>
      <c r="J289" s="13">
        <f t="shared" si="497"/>
        <v>8002.9</v>
      </c>
      <c r="K289" s="13">
        <f t="shared" si="497"/>
        <v>41759.629999999997</v>
      </c>
      <c r="L289" s="68">
        <f t="shared" si="448"/>
        <v>-41759.629999999997</v>
      </c>
      <c r="M289" s="268">
        <f t="shared" si="449"/>
        <v>0</v>
      </c>
      <c r="N289" s="13">
        <f t="shared" si="441"/>
        <v>0</v>
      </c>
      <c r="O289" s="13">
        <f t="shared" si="498"/>
        <v>24818.789999999997</v>
      </c>
      <c r="P289" s="13">
        <f t="shared" si="498"/>
        <v>5575.71</v>
      </c>
      <c r="Q289" s="13">
        <f t="shared" si="498"/>
        <v>24546.859999999997</v>
      </c>
      <c r="R289" s="13">
        <f t="shared" si="498"/>
        <v>6055.4</v>
      </c>
      <c r="S289" s="13">
        <f t="shared" si="498"/>
        <v>18199.330000000002</v>
      </c>
      <c r="T289" s="13">
        <f t="shared" si="498"/>
        <v>79196.09</v>
      </c>
      <c r="U289" s="68">
        <f t="shared" si="450"/>
        <v>-79196.09</v>
      </c>
      <c r="V289" s="268">
        <f t="shared" si="451"/>
        <v>0</v>
      </c>
      <c r="W289" s="13">
        <f t="shared" si="442"/>
        <v>0</v>
      </c>
      <c r="X289" s="13">
        <f t="shared" si="499"/>
        <v>29061.39</v>
      </c>
      <c r="Y289" s="13">
        <f t="shared" si="499"/>
        <v>14492.14</v>
      </c>
      <c r="Z289" s="13">
        <f t="shared" si="499"/>
        <v>18624.489999999998</v>
      </c>
      <c r="AA289" s="13">
        <f t="shared" si="499"/>
        <v>21492.67</v>
      </c>
      <c r="AB289" s="13">
        <f t="shared" si="499"/>
        <v>83670.69</v>
      </c>
      <c r="AC289" s="68">
        <f t="shared" si="452"/>
        <v>-83670.69</v>
      </c>
      <c r="AD289" s="268">
        <f t="shared" si="453"/>
        <v>0</v>
      </c>
      <c r="AE289" s="13">
        <f t="shared" si="443"/>
        <v>48351</v>
      </c>
      <c r="AF289" s="13">
        <f t="shared" si="500"/>
        <v>0</v>
      </c>
      <c r="AG289" s="13">
        <f t="shared" si="500"/>
        <v>678</v>
      </c>
      <c r="AH289" s="13">
        <f t="shared" si="500"/>
        <v>0</v>
      </c>
      <c r="AI289" s="13">
        <f t="shared" si="500"/>
        <v>363</v>
      </c>
      <c r="AJ289" s="13">
        <f t="shared" si="500"/>
        <v>1041</v>
      </c>
      <c r="AK289" s="68">
        <f t="shared" si="454"/>
        <v>47310</v>
      </c>
      <c r="AL289" s="268">
        <f t="shared" si="455"/>
        <v>2.1530061425823664E-2</v>
      </c>
      <c r="AM289" s="13">
        <f t="shared" si="444"/>
        <v>0</v>
      </c>
      <c r="AN289" s="13">
        <f t="shared" si="501"/>
        <v>0</v>
      </c>
      <c r="AO289" s="13">
        <f t="shared" si="501"/>
        <v>0</v>
      </c>
      <c r="AP289" s="13">
        <f t="shared" si="501"/>
        <v>0</v>
      </c>
      <c r="AQ289" s="13">
        <f t="shared" si="501"/>
        <v>80</v>
      </c>
      <c r="AR289" s="13">
        <f t="shared" si="501"/>
        <v>0</v>
      </c>
      <c r="AS289" s="13">
        <f t="shared" si="501"/>
        <v>80</v>
      </c>
      <c r="AT289" s="68">
        <f>AM289-AS289</f>
        <v>-80</v>
      </c>
      <c r="AU289" s="268">
        <f t="shared" si="456"/>
        <v>0</v>
      </c>
      <c r="AV289" s="13">
        <f t="shared" si="445"/>
        <v>0</v>
      </c>
      <c r="AW289" s="13">
        <f t="shared" si="421"/>
        <v>196</v>
      </c>
      <c r="AX289" s="13">
        <f t="shared" si="421"/>
        <v>0</v>
      </c>
      <c r="AY289" s="13">
        <f t="shared" si="421"/>
        <v>0</v>
      </c>
      <c r="AZ289" s="13">
        <f t="shared" si="421"/>
        <v>0</v>
      </c>
      <c r="BA289" s="13">
        <f t="shared" si="475"/>
        <v>196</v>
      </c>
      <c r="BB289" s="68">
        <f t="shared" si="457"/>
        <v>-196</v>
      </c>
      <c r="BC289" s="268">
        <f t="shared" si="458"/>
        <v>0</v>
      </c>
      <c r="BD289" s="13">
        <f t="shared" si="459"/>
        <v>0</v>
      </c>
      <c r="BE289" s="13">
        <f>SUMIFS(SALIDAS_BIT,FECHA_BIT,"&gt;="&amp;BE$2,FECHA_BIT,"&lt;="&amp;BE$3,CLAVE_BIT,$A289)+SUMIFS(SALIDAS_BOV1,FECHA_BOV1,"&gt;="&amp;BE$2,FECHA_BOV1,"&lt;="&amp;BE$3,CLAVE_BOV1,$A289)+SUMIFS(SALIDAS_BOV2,FECHA_BOV2,"&gt;="&amp;BE$2,FECHA_BOV2,"&lt;="&amp;BE$3,CLAVE_BOV2,$A289)+SUMIFS(SALIDAS_BOV3,FECHA_BOV3,"&gt;="&amp;BE$2,FECHA_BOV3,"&lt;="&amp;BE$3,CLAVE_BOV3,$A289)+SUMIFS(SALIDAS_TC,FECHA_TC,"&gt;="&amp;BE$2,FECHA_TC,"&lt;="&amp;BE$3,CLAVE_TC,$A289)+SUMIFS(SALIDAS_COMB,FECHA_COMB,"&gt;="&amp;BE$2,FECHA_COMB,"&lt;="&amp;BE$3,CLAVE_COMB,$A289)+SUMIFS(SALIDAS_DES,FECHA_DESGLOSEN,"&gt;="&amp;BE$2,FECHA_DESGLOSEN,"&lt;="&amp;BE$3,CLAVE_DESGLOSE,$A289)</f>
        <v>0</v>
      </c>
      <c r="BF289" s="13">
        <f>SUMIFS(SALIDAS_BIT,FECHA_BIT,"&gt;="&amp;BF$2,FECHA_BIT,"&lt;="&amp;BF$3,CLAVE_BIT,$A289)+SUMIFS(SALIDAS_BOV1,FECHA_BOV1,"&gt;="&amp;BF$2,FECHA_BOV1,"&lt;="&amp;BF$3,CLAVE_BOV1,$A289)+SUMIFS(SALIDAS_BOV2,FECHA_BOV2,"&gt;="&amp;BF$2,FECHA_BOV2,"&lt;="&amp;BF$3,CLAVE_BOV2,$A289)+SUMIFS(SALIDAS_BOV3,FECHA_BOV3,"&gt;="&amp;BF$2,FECHA_BOV3,"&lt;="&amp;BF$3,CLAVE_BOV3,$A289)+SUMIFS(SALIDAS_TC,FECHA_TC,"&gt;="&amp;BF$2,FECHA_TC,"&lt;="&amp;BF$3,CLAVE_TC,$A289)+SUMIFS(SALIDAS_COMB,FECHA_COMB,"&gt;="&amp;BF$2,FECHA_COMB,"&lt;="&amp;BF$3,CLAVE_COMB,$A289)+SUMIFS(SALIDAS_DES,FECHA_DESGLOSEN,"&gt;="&amp;BF$2,FECHA_DESGLOSEN,"&lt;="&amp;BF$3,CLAVE_DESGLOSE,$A289)</f>
        <v>0</v>
      </c>
      <c r="BG289" s="13">
        <f>SUMIFS(SALIDAS_BIT,FECHA_BIT,"&gt;="&amp;BG$2,FECHA_BIT,"&lt;="&amp;BG$3,CLAVE_BIT,$A289)+SUMIFS(SALIDAS_BOV1,FECHA_BOV1,"&gt;="&amp;BG$2,FECHA_BOV1,"&lt;="&amp;BG$3,CLAVE_BOV1,$A289)+SUMIFS(SALIDAS_BOV2,FECHA_BOV2,"&gt;="&amp;BG$2,FECHA_BOV2,"&lt;="&amp;BG$3,CLAVE_BOV2,$A289)+SUMIFS(SALIDAS_BOV3,FECHA_BOV3,"&gt;="&amp;BG$2,FECHA_BOV3,"&lt;="&amp;BG$3,CLAVE_BOV3,$A289)+SUMIFS(SALIDAS_TC,FECHA_TC,"&gt;="&amp;BG$2,FECHA_TC,"&lt;="&amp;BG$3,CLAVE_TC,$A289)+SUMIFS(SALIDAS_COMB,FECHA_COMB,"&gt;="&amp;BG$2,FECHA_COMB,"&lt;="&amp;BG$3,CLAVE_COMB,$A289)+SUMIFS(SALIDAS_DES,FECHA_DESGLOSEN,"&gt;="&amp;BG$2,FECHA_DESGLOSEN,"&lt;="&amp;BG$3,CLAVE_DESGLOSE,$A289)</f>
        <v>0</v>
      </c>
      <c r="BH289" s="13">
        <f>SUMIFS(SALIDAS_BIT,FECHA_BIT,"&gt;="&amp;BH$2,FECHA_BIT,"&lt;="&amp;BH$3,CLAVE_BIT,$A289)+SUMIFS(SALIDAS_BOV1,FECHA_BOV1,"&gt;="&amp;BH$2,FECHA_BOV1,"&lt;="&amp;BH$3,CLAVE_BOV1,$A289)+SUMIFS(SALIDAS_BOV2,FECHA_BOV2,"&gt;="&amp;BH$2,FECHA_BOV2,"&lt;="&amp;BH$3,CLAVE_BOV2,$A289)+SUMIFS(SALIDAS_BOV3,FECHA_BOV3,"&gt;="&amp;BH$2,FECHA_BOV3,"&lt;="&amp;BH$3,CLAVE_BOV3,$A289)+SUMIFS(SALIDAS_TC,FECHA_TC,"&gt;="&amp;BH$2,FECHA_TC,"&lt;="&amp;BH$3,CLAVE_TC,$A289)+SUMIFS(SALIDAS_COMB,FECHA_COMB,"&gt;="&amp;BH$2,FECHA_COMB,"&lt;="&amp;BH$3,CLAVE_COMB,$A289)+SUMIFS(SALIDAS_DES,FECHA_DESGLOSEN,"&gt;="&amp;BH$2,FECHA_DESGLOSEN,"&lt;="&amp;BH$3,CLAVE_DESGLOSE,$A289)</f>
        <v>0</v>
      </c>
      <c r="BI289" s="13">
        <f t="shared" si="419"/>
        <v>0</v>
      </c>
      <c r="BJ289" s="68">
        <f t="shared" si="460"/>
        <v>0</v>
      </c>
      <c r="BK289" s="268">
        <f t="shared" si="461"/>
        <v>0</v>
      </c>
      <c r="BL289" s="13">
        <f t="shared" si="462"/>
        <v>0</v>
      </c>
      <c r="BM289" s="13">
        <f>SUMIFS(SALIDAS_BIT,FECHA_BIT,"&gt;="&amp;BM$2,FECHA_BIT,"&lt;="&amp;BM$3,CLAVE_BIT,$A289)+SUMIFS(SALIDAS_BOV1,FECHA_BOV1,"&gt;="&amp;BM$2,FECHA_BOV1,"&lt;="&amp;BM$3,CLAVE_BOV1,$A289)+SUMIFS(SALIDAS_BOV2,FECHA_BOV2,"&gt;="&amp;BM$2,FECHA_BOV2,"&lt;="&amp;BM$3,CLAVE_BOV2,$A289)+SUMIFS(SALIDAS_BOV3,FECHA_BOV3,"&gt;="&amp;BM$2,FECHA_BOV3,"&lt;="&amp;BM$3,CLAVE_BOV3,$A289)+SUMIFS(SALIDAS_TC,FECHA_TC,"&gt;="&amp;BM$2,FECHA_TC,"&lt;="&amp;BM$3,CLAVE_TC,$A289)+SUMIFS(SALIDAS_COMB,FECHA_COMB,"&gt;="&amp;BM$2,FECHA_COMB,"&lt;="&amp;BM$3,CLAVE_COMB,$A289)+SUMIFS(SALIDAS_DES,FECHA_DESGLOSEN,"&gt;="&amp;BM$2,FECHA_DESGLOSEN,"&lt;="&amp;BM$3,CLAVE_DESGLOSE,$A289)</f>
        <v>0</v>
      </c>
      <c r="BN289" s="13">
        <f>SUMIFS(SALIDAS_BIT,FECHA_BIT,"&gt;="&amp;BN$2,FECHA_BIT,"&lt;="&amp;BN$3,CLAVE_BIT,$A289)+SUMIFS(SALIDAS_BOV1,FECHA_BOV1,"&gt;="&amp;BN$2,FECHA_BOV1,"&lt;="&amp;BN$3,CLAVE_BOV1,$A289)+SUMIFS(SALIDAS_BOV2,FECHA_BOV2,"&gt;="&amp;BN$2,FECHA_BOV2,"&lt;="&amp;BN$3,CLAVE_BOV2,$A289)+SUMIFS(SALIDAS_BOV3,FECHA_BOV3,"&gt;="&amp;BN$2,FECHA_BOV3,"&lt;="&amp;BN$3,CLAVE_BOV3,$A289)+SUMIFS(SALIDAS_TC,FECHA_TC,"&gt;="&amp;BN$2,FECHA_TC,"&lt;="&amp;BN$3,CLAVE_TC,$A289)+SUMIFS(SALIDAS_COMB,FECHA_COMB,"&gt;="&amp;BN$2,FECHA_COMB,"&lt;="&amp;BN$3,CLAVE_COMB,$A289)+SUMIFS(SALIDAS_DES,FECHA_DESGLOSEN,"&gt;="&amp;BN$2,FECHA_DESGLOSEN,"&lt;="&amp;BN$3,CLAVE_DESGLOSE,$A289)</f>
        <v>0</v>
      </c>
      <c r="BO289" s="13">
        <f>SUMIFS(SALIDAS_BIT,FECHA_BIT,"&gt;="&amp;BO$2,FECHA_BIT,"&lt;="&amp;BO$3,CLAVE_BIT,$A289)+SUMIFS(SALIDAS_BOV1,FECHA_BOV1,"&gt;="&amp;BO$2,FECHA_BOV1,"&lt;="&amp;BO$3,CLAVE_BOV1,$A289)+SUMIFS(SALIDAS_BOV2,FECHA_BOV2,"&gt;="&amp;BO$2,FECHA_BOV2,"&lt;="&amp;BO$3,CLAVE_BOV2,$A289)+SUMIFS(SALIDAS_BOV3,FECHA_BOV3,"&gt;="&amp;BO$2,FECHA_BOV3,"&lt;="&amp;BO$3,CLAVE_BOV3,$A289)+SUMIFS(SALIDAS_TC,FECHA_TC,"&gt;="&amp;BO$2,FECHA_TC,"&lt;="&amp;BO$3,CLAVE_TC,$A289)+SUMIFS(SALIDAS_COMB,FECHA_COMB,"&gt;="&amp;BO$2,FECHA_COMB,"&lt;="&amp;BO$3,CLAVE_COMB,$A289)+SUMIFS(SALIDAS_DES,FECHA_DESGLOSEN,"&gt;="&amp;BO$2,FECHA_DESGLOSEN,"&lt;="&amp;BO$3,CLAVE_DESGLOSE,$A289)</f>
        <v>578.5</v>
      </c>
      <c r="BP289" s="13">
        <f>SUMIFS(SALIDAS_BIT,FECHA_BIT,"&gt;="&amp;BP$2,FECHA_BIT,"&lt;="&amp;BP$3,CLAVE_BIT,$A289)+SUMIFS(SALIDAS_BOV1,FECHA_BOV1,"&gt;="&amp;BP$2,FECHA_BOV1,"&lt;="&amp;BP$3,CLAVE_BOV1,$A289)+SUMIFS(SALIDAS_BOV2,FECHA_BOV2,"&gt;="&amp;BP$2,FECHA_BOV2,"&lt;="&amp;BP$3,CLAVE_BOV2,$A289)+SUMIFS(SALIDAS_BOV3,FECHA_BOV3,"&gt;="&amp;BP$2,FECHA_BOV3,"&lt;="&amp;BP$3,CLAVE_BOV3,$A289)+SUMIFS(SALIDAS_TC,FECHA_TC,"&gt;="&amp;BP$2,FECHA_TC,"&lt;="&amp;BP$3,CLAVE_TC,$A289)+SUMIFS(SALIDAS_COMB,FECHA_COMB,"&gt;="&amp;BP$2,FECHA_COMB,"&lt;="&amp;BP$3,CLAVE_COMB,$A289)+SUMIFS(SALIDAS_DES,FECHA_DESGLOSEN,"&gt;="&amp;BP$2,FECHA_DESGLOSEN,"&lt;="&amp;BP$3,CLAVE_DESGLOSE,$A289)</f>
        <v>0</v>
      </c>
      <c r="BQ289" s="13">
        <f>SUMIFS(SALIDAS_BIT,FECHA_BIT,"&gt;="&amp;BQ$2,FECHA_BIT,"&lt;="&amp;BQ$3,CLAVE_BIT,$A289)+SUMIFS(SALIDAS_BOV1,FECHA_BOV1,"&gt;="&amp;BQ$2,FECHA_BOV1,"&lt;="&amp;BQ$3,CLAVE_BOV1,$A289)+SUMIFS(SALIDAS_BOV2,FECHA_BOV2,"&gt;="&amp;BQ$2,FECHA_BOV2,"&lt;="&amp;BQ$3,CLAVE_BOV2,$A289)+SUMIFS(SALIDAS_BOV3,FECHA_BOV3,"&gt;="&amp;BQ$2,FECHA_BOV3,"&lt;="&amp;BQ$3,CLAVE_BOV3,$A289)+SUMIFS(SALIDAS_TC,FECHA_TC,"&gt;="&amp;BQ$2,FECHA_TC,"&lt;="&amp;BQ$3,CLAVE_TC,$A289)+SUMIFS(SALIDAS_COMB,FECHA_COMB,"&gt;="&amp;BQ$2,FECHA_COMB,"&lt;="&amp;BQ$3,CLAVE_COMB,$A289)+SUMIFS(SALIDAS_DES,FECHA_DESGLOSEN,"&gt;="&amp;BQ$2,FECHA_DESGLOSEN,"&lt;="&amp;BQ$3,CLAVE_DESGLOSE,$A289)</f>
        <v>0</v>
      </c>
      <c r="BR289" s="13">
        <f t="shared" si="502"/>
        <v>578.5</v>
      </c>
      <c r="BS289" s="68">
        <f t="shared" si="463"/>
        <v>-578.5</v>
      </c>
      <c r="BT289" s="268">
        <f t="shared" si="464"/>
        <v>0</v>
      </c>
      <c r="BU289" s="13">
        <f t="shared" si="465"/>
        <v>0</v>
      </c>
      <c r="BV289" s="13">
        <f t="shared" si="485"/>
        <v>0</v>
      </c>
      <c r="BW289" s="13">
        <f t="shared" si="485"/>
        <v>0</v>
      </c>
      <c r="BX289" s="13">
        <f t="shared" si="485"/>
        <v>0</v>
      </c>
      <c r="BY289" s="13">
        <f t="shared" si="485"/>
        <v>0</v>
      </c>
      <c r="BZ289" s="13">
        <f t="shared" si="503"/>
        <v>0</v>
      </c>
      <c r="CA289" s="68">
        <f t="shared" si="466"/>
        <v>0</v>
      </c>
      <c r="CB289" s="268">
        <f t="shared" si="467"/>
        <v>0</v>
      </c>
      <c r="CC289" s="13">
        <f t="shared" si="468"/>
        <v>0</v>
      </c>
      <c r="CD289" s="13">
        <f t="shared" si="486"/>
        <v>0</v>
      </c>
      <c r="CE289" s="13">
        <f t="shared" si="486"/>
        <v>0</v>
      </c>
      <c r="CF289" s="13">
        <f t="shared" si="486"/>
        <v>0</v>
      </c>
      <c r="CG289" s="13">
        <f t="shared" si="486"/>
        <v>0</v>
      </c>
      <c r="CH289" s="13">
        <f t="shared" si="504"/>
        <v>0</v>
      </c>
      <c r="CI289" s="68">
        <f t="shared" si="469"/>
        <v>0</v>
      </c>
      <c r="CJ289" s="268">
        <f t="shared" si="470"/>
        <v>0</v>
      </c>
      <c r="CK289" s="13">
        <f t="shared" si="471"/>
        <v>0</v>
      </c>
      <c r="CL289" s="13">
        <f t="shared" si="495"/>
        <v>0</v>
      </c>
      <c r="CM289" s="13">
        <f t="shared" si="495"/>
        <v>0</v>
      </c>
      <c r="CN289" s="13">
        <f t="shared" si="495"/>
        <v>0</v>
      </c>
      <c r="CO289" s="13">
        <f t="shared" si="495"/>
        <v>0</v>
      </c>
      <c r="CP289" s="13">
        <f t="shared" si="495"/>
        <v>0</v>
      </c>
      <c r="CQ289" s="13">
        <f t="shared" si="505"/>
        <v>0</v>
      </c>
      <c r="CR289" s="68">
        <f t="shared" si="472"/>
        <v>0</v>
      </c>
      <c r="CS289" s="268">
        <f t="shared" si="473"/>
        <v>0</v>
      </c>
      <c r="CT289" s="68">
        <f t="shared" si="446"/>
        <v>0</v>
      </c>
      <c r="CU289" s="13">
        <f>SUMIFS(SALIDAS_BIT,FECHA_BIT,"&gt;="&amp;CU$2,FECHA_BIT,"&lt;="&amp;CU$3,CLAVE_BIT,$A289)+SUMIFS(SALIDAS_BOV1,FECHA_BOV1,"&gt;="&amp;CU$2,FECHA_BOV1,"&lt;="&amp;CU$3,CLAVE_BOV1,$A289)+SUMIFS(SALIDAS_BOV2,FECHA_BOV2,"&gt;="&amp;CU$2,FECHA_BOV2,"&lt;="&amp;CU$3,CLAVE_BOV2,$A289)+SUMIFS(SALIDAS_BOV3,FECHA_BOV3,"&gt;="&amp;CU$2,FECHA_BOV3,"&lt;="&amp;CU$3,CLAVE_BOV3,$A289)+SUMIFS(SALIDAS_TC,FECHA_TC,"&gt;="&amp;CU$2,FECHA_TC,"&lt;="&amp;CU$3,CLAVE_TC,$A289)+SUMIFS(SALIDAS_COMB,FECHA_COMB,"&gt;="&amp;CU$2,FECHA_COMB,"&lt;="&amp;CU$3,CLAVE_COMB,$A289)+SUMIFS(SALIDAS_DES,FECHA_DESGLOSEN,"&gt;="&amp;CU$2,FECHA_DESGLOSEN,"&lt;="&amp;CU$3,CLAVE_DESGLOSE,$A289)</f>
        <v>0</v>
      </c>
      <c r="CV289" s="13">
        <f>SUMIFS(SALIDAS_BIT,FECHA_BIT,"&gt;="&amp;CV$2,FECHA_BIT,"&lt;="&amp;CV$3,CLAVE_BIT,$A289)+SUMIFS(SALIDAS_BOV1,FECHA_BOV1,"&gt;="&amp;CV$2,FECHA_BOV1,"&lt;="&amp;CV$3,CLAVE_BOV1,$A289)+SUMIFS(SALIDAS_BOV2,FECHA_BOV2,"&gt;="&amp;CV$2,FECHA_BOV2,"&lt;="&amp;CV$3,CLAVE_BOV2,$A289)+SUMIFS(SALIDAS_BOV3,FECHA_BOV3,"&gt;="&amp;CV$2,FECHA_BOV3,"&lt;="&amp;CV$3,CLAVE_BOV3,$A289)+SUMIFS(SALIDAS_TC,FECHA_TC,"&gt;="&amp;CV$2,FECHA_TC,"&lt;="&amp;CV$3,CLAVE_TC,$A289)+SUMIFS(SALIDAS_COMB,FECHA_COMB,"&gt;="&amp;CV$2,FECHA_COMB,"&lt;="&amp;CV$3,CLAVE_COMB,$A289)+SUMIFS(SALIDAS_DES,FECHA_DESGLOSEN,"&gt;="&amp;CV$2,FECHA_DESGLOSEN,"&lt;="&amp;CV$3,CLAVE_DESGLOSE,$A289)</f>
        <v>0</v>
      </c>
      <c r="CW289" s="13">
        <f>SUMIFS(SALIDAS_BIT,FECHA_BIT,"&gt;="&amp;CW$2,FECHA_BIT,"&lt;="&amp;CW$3,CLAVE_BIT,$A289)+SUMIFS(SALIDAS_BOV1,FECHA_BOV1,"&gt;="&amp;CW$2,FECHA_BOV1,"&lt;="&amp;CW$3,CLAVE_BOV1,$A289)+SUMIFS(SALIDAS_BOV2,FECHA_BOV2,"&gt;="&amp;CW$2,FECHA_BOV2,"&lt;="&amp;CW$3,CLAVE_BOV2,$A289)+SUMIFS(SALIDAS_BOV3,FECHA_BOV3,"&gt;="&amp;CW$2,FECHA_BOV3,"&lt;="&amp;CW$3,CLAVE_BOV3,$A289)+SUMIFS(SALIDAS_TC,FECHA_TC,"&gt;="&amp;CW$2,FECHA_TC,"&lt;="&amp;CW$3,CLAVE_TC,$A289)+SUMIFS(SALIDAS_COMB,FECHA_COMB,"&gt;="&amp;CW$2,FECHA_COMB,"&lt;="&amp;CW$3,CLAVE_COMB,$A289)+SUMIFS(SALIDAS_DES,FECHA_DESGLOSEN,"&gt;="&amp;CW$2,FECHA_DESGLOSEN,"&lt;="&amp;CW$3,CLAVE_DESGLOSE,$A289)</f>
        <v>0</v>
      </c>
      <c r="CX289" s="13">
        <f>SUMIFS(SALIDAS_BIT,FECHA_BIT,"&gt;="&amp;CX$2,FECHA_BIT,"&lt;="&amp;CX$3,CLAVE_BIT,$A289)+SUMIFS(SALIDAS_BOV1,FECHA_BOV1,"&gt;="&amp;CX$2,FECHA_BOV1,"&lt;="&amp;CX$3,CLAVE_BOV1,$A289)+SUMIFS(SALIDAS_BOV2,FECHA_BOV2,"&gt;="&amp;CX$2,FECHA_BOV2,"&lt;="&amp;CX$3,CLAVE_BOV2,$A289)+SUMIFS(SALIDAS_BOV3,FECHA_BOV3,"&gt;="&amp;CX$2,FECHA_BOV3,"&lt;="&amp;CX$3,CLAVE_BOV3,$A289)+SUMIFS(SALIDAS_TC,FECHA_TC,"&gt;="&amp;CX$2,FECHA_TC,"&lt;="&amp;CX$3,CLAVE_TC,$A289)+SUMIFS(SALIDAS_COMB,FECHA_COMB,"&gt;="&amp;CX$2,FECHA_COMB,"&lt;="&amp;CX$3,CLAVE_COMB,$A289)+SUMIFS(SALIDAS_DES,FECHA_DESGLOSEN,"&gt;="&amp;CX$2,FECHA_DESGLOSEN,"&lt;="&amp;CX$3,CLAVE_DESGLOSE,$A289)</f>
        <v>0</v>
      </c>
      <c r="CY289" s="13">
        <f>SUMIFS(SALIDAS_BIT,FECHA_BIT,"&gt;="&amp;CY$2,FECHA_BIT,"&lt;="&amp;CY$3,CLAVE_BIT,$A289)+SUMIFS(SALIDAS_BOV1,FECHA_BOV1,"&gt;="&amp;CY$2,FECHA_BOV1,"&lt;="&amp;CY$3,CLAVE_BOV1,$A289)+SUMIFS(SALIDAS_BOV2,FECHA_BOV2,"&gt;="&amp;CY$2,FECHA_BOV2,"&lt;="&amp;CY$3,CLAVE_BOV2,$A289)+SUMIFS(SALIDAS_BOV3,FECHA_BOV3,"&gt;="&amp;CY$2,FECHA_BOV3,"&lt;="&amp;CY$3,CLAVE_BOV3,$A289)+SUMIFS(SALIDAS_TC,FECHA_TC,"&gt;="&amp;CY$2,FECHA_TC,"&lt;="&amp;CY$3,CLAVE_TC,$A289)+SUMIFS(SALIDAS_COMB,FECHA_COMB,"&gt;="&amp;CY$2,FECHA_COMB,"&lt;="&amp;CY$3,CLAVE_COMB,$A289)+SUMIFS(SALIDAS_DES,FECHA_DESGLOSEN,"&gt;="&amp;CY$2,FECHA_DESGLOSEN,"&lt;="&amp;CY$3,CLAVE_DESGLOSE,$A289)</f>
        <v>0</v>
      </c>
      <c r="CZ289" s="68">
        <f t="shared" si="474"/>
        <v>0</v>
      </c>
      <c r="DB289" s="17">
        <f>F289+N289+W289+AE289+AM289+AV289+BD289+BL289+BU289+CC289+CK289</f>
        <v>48351</v>
      </c>
      <c r="DC289" s="17">
        <f>K289+T289+AB289+AJ289+AS289+BA289+BI289+BR289+BZ289+CH289+CQ289</f>
        <v>206521.91</v>
      </c>
    </row>
    <row r="290" spans="1:108" hidden="1">
      <c r="A290" s="12" t="str">
        <f t="shared" si="447"/>
        <v>HRREDESHR</v>
      </c>
      <c r="B290">
        <v>292</v>
      </c>
      <c r="C290" t="s">
        <v>29</v>
      </c>
      <c r="D290" t="s">
        <v>167</v>
      </c>
      <c r="E290" t="s">
        <v>29</v>
      </c>
      <c r="F290" s="259">
        <f t="shared" si="440"/>
        <v>10000</v>
      </c>
      <c r="G290" s="13">
        <f t="shared" si="497"/>
        <v>0</v>
      </c>
      <c r="H290" s="13">
        <f t="shared" si="497"/>
        <v>0</v>
      </c>
      <c r="I290" s="13">
        <f t="shared" si="497"/>
        <v>0</v>
      </c>
      <c r="J290" s="13">
        <f t="shared" si="497"/>
        <v>9540.74</v>
      </c>
      <c r="K290" s="13">
        <f t="shared" si="497"/>
        <v>9540.74</v>
      </c>
      <c r="L290" s="68">
        <f t="shared" si="448"/>
        <v>459.26000000000022</v>
      </c>
      <c r="M290" s="268">
        <f t="shared" si="449"/>
        <v>0.95407399999999998</v>
      </c>
      <c r="N290" s="13">
        <f t="shared" si="441"/>
        <v>10000</v>
      </c>
      <c r="O290" s="13">
        <f t="shared" si="498"/>
        <v>597</v>
      </c>
      <c r="P290" s="13">
        <f t="shared" si="498"/>
        <v>0</v>
      </c>
      <c r="Q290" s="13">
        <f t="shared" si="498"/>
        <v>0</v>
      </c>
      <c r="R290" s="13">
        <f t="shared" si="498"/>
        <v>12446.67</v>
      </c>
      <c r="S290" s="13">
        <f t="shared" si="498"/>
        <v>0</v>
      </c>
      <c r="T290" s="13">
        <f t="shared" si="498"/>
        <v>13043.67</v>
      </c>
      <c r="U290" s="68">
        <f t="shared" si="450"/>
        <v>-3043.67</v>
      </c>
      <c r="V290" s="268">
        <f t="shared" si="451"/>
        <v>1.3043670000000001</v>
      </c>
      <c r="W290" s="13">
        <f t="shared" si="442"/>
        <v>16000</v>
      </c>
      <c r="X290" s="13">
        <f t="shared" si="499"/>
        <v>398</v>
      </c>
      <c r="Y290" s="13">
        <f t="shared" si="499"/>
        <v>0</v>
      </c>
      <c r="Z290" s="13">
        <f t="shared" si="499"/>
        <v>0</v>
      </c>
      <c r="AA290" s="13">
        <f t="shared" si="499"/>
        <v>9636.76</v>
      </c>
      <c r="AB290" s="13">
        <f t="shared" si="499"/>
        <v>10034.76</v>
      </c>
      <c r="AC290" s="68">
        <f t="shared" si="452"/>
        <v>5965.24</v>
      </c>
      <c r="AD290" s="268">
        <f t="shared" si="453"/>
        <v>0.62717250000000002</v>
      </c>
      <c r="AE290" s="13">
        <f t="shared" si="443"/>
        <v>10000</v>
      </c>
      <c r="AF290" s="13">
        <f t="shared" si="500"/>
        <v>398</v>
      </c>
      <c r="AG290" s="13">
        <f t="shared" si="500"/>
        <v>0</v>
      </c>
      <c r="AH290" s="13">
        <f t="shared" si="500"/>
        <v>0</v>
      </c>
      <c r="AI290" s="13">
        <f t="shared" si="500"/>
        <v>13791.83</v>
      </c>
      <c r="AJ290" s="13">
        <f t="shared" si="500"/>
        <v>14189.830000000002</v>
      </c>
      <c r="AK290" s="68">
        <f t="shared" si="454"/>
        <v>-4189.8300000000017</v>
      </c>
      <c r="AL290" s="268">
        <f t="shared" si="455"/>
        <v>1.4189830000000001</v>
      </c>
      <c r="AM290" s="13">
        <f t="shared" si="444"/>
        <v>10000</v>
      </c>
      <c r="AN290" s="13">
        <f t="shared" si="501"/>
        <v>398</v>
      </c>
      <c r="AO290" s="13">
        <f t="shared" si="501"/>
        <v>0</v>
      </c>
      <c r="AP290" s="13">
        <f t="shared" si="501"/>
        <v>0</v>
      </c>
      <c r="AQ290" s="13">
        <f t="shared" si="501"/>
        <v>13090.06</v>
      </c>
      <c r="AR290" s="13">
        <f t="shared" si="501"/>
        <v>0</v>
      </c>
      <c r="AS290" s="13">
        <f t="shared" si="501"/>
        <v>13488.06</v>
      </c>
      <c r="AT290" s="68">
        <f>AM290-AS290</f>
        <v>-3488.0599999999995</v>
      </c>
      <c r="AU290" s="268">
        <f t="shared" si="456"/>
        <v>1.3488059999999999</v>
      </c>
      <c r="AV290" s="13">
        <f t="shared" si="445"/>
        <v>10000</v>
      </c>
      <c r="AW290" s="13">
        <f t="shared" si="421"/>
        <v>398</v>
      </c>
      <c r="AX290" s="13">
        <f t="shared" si="421"/>
        <v>0</v>
      </c>
      <c r="AY290" s="13">
        <f t="shared" si="421"/>
        <v>0</v>
      </c>
      <c r="AZ290" s="13">
        <f t="shared" si="421"/>
        <v>11777.7</v>
      </c>
      <c r="BA290" s="13">
        <f t="shared" si="475"/>
        <v>12175.7</v>
      </c>
      <c r="BB290" s="68">
        <f t="shared" si="457"/>
        <v>-2175.7000000000007</v>
      </c>
      <c r="BC290" s="268">
        <f t="shared" si="458"/>
        <v>1.21757</v>
      </c>
      <c r="BD290" s="13">
        <f t="shared" si="459"/>
        <v>10000</v>
      </c>
      <c r="BE290" s="13">
        <f>SUMIFS(SALIDAS_BIT,FECHA_BIT,"&gt;="&amp;BE$2,FECHA_BIT,"&lt;="&amp;BE$3,CLAVE_BIT,$A290)+SUMIFS(SALIDAS_BOV1,FECHA_BOV1,"&gt;="&amp;BE$2,FECHA_BOV1,"&lt;="&amp;BE$3,CLAVE_BOV1,$A290)+SUMIFS(SALIDAS_BOV2,FECHA_BOV2,"&gt;="&amp;BE$2,FECHA_BOV2,"&lt;="&amp;BE$3,CLAVE_BOV2,$A290)+SUMIFS(SALIDAS_BOV3,FECHA_BOV3,"&gt;="&amp;BE$2,FECHA_BOV3,"&lt;="&amp;BE$3,CLAVE_BOV3,$A290)+SUMIFS(SALIDAS_TC,FECHA_TC,"&gt;="&amp;BE$2,FECHA_TC,"&lt;="&amp;BE$3,CLAVE_TC,$A290)+SUMIFS(SALIDAS_COMB,FECHA_COMB,"&gt;="&amp;BE$2,FECHA_COMB,"&lt;="&amp;BE$3,CLAVE_COMB,$A290)+SUMIFS(SALIDAS_DES,FECHA_DESGLOSEN,"&gt;="&amp;BE$2,FECHA_DESGLOSEN,"&lt;="&amp;BE$3,CLAVE_DESGLOSE,$A290)</f>
        <v>597</v>
      </c>
      <c r="BF290" s="13">
        <f>SUMIFS(SALIDAS_BIT,FECHA_BIT,"&gt;="&amp;BF$2,FECHA_BIT,"&lt;="&amp;BF$3,CLAVE_BIT,$A290)+SUMIFS(SALIDAS_BOV1,FECHA_BOV1,"&gt;="&amp;BF$2,FECHA_BOV1,"&lt;="&amp;BF$3,CLAVE_BOV1,$A290)+SUMIFS(SALIDAS_BOV2,FECHA_BOV2,"&gt;="&amp;BF$2,FECHA_BOV2,"&lt;="&amp;BF$3,CLAVE_BOV2,$A290)+SUMIFS(SALIDAS_BOV3,FECHA_BOV3,"&gt;="&amp;BF$2,FECHA_BOV3,"&lt;="&amp;BF$3,CLAVE_BOV3,$A290)+SUMIFS(SALIDAS_TC,FECHA_TC,"&gt;="&amp;BF$2,FECHA_TC,"&lt;="&amp;BF$3,CLAVE_TC,$A290)+SUMIFS(SALIDAS_COMB,FECHA_COMB,"&gt;="&amp;BF$2,FECHA_COMB,"&lt;="&amp;BF$3,CLAVE_COMB,$A290)+SUMIFS(SALIDAS_DES,FECHA_DESGLOSEN,"&gt;="&amp;BF$2,FECHA_DESGLOSEN,"&lt;="&amp;BF$3,CLAVE_DESGLOSE,$A290)</f>
        <v>0</v>
      </c>
      <c r="BG290" s="13">
        <f>SUMIFS(SALIDAS_BIT,FECHA_BIT,"&gt;="&amp;BG$2,FECHA_BIT,"&lt;="&amp;BG$3,CLAVE_BIT,$A290)+SUMIFS(SALIDAS_BOV1,FECHA_BOV1,"&gt;="&amp;BG$2,FECHA_BOV1,"&lt;="&amp;BG$3,CLAVE_BOV1,$A290)+SUMIFS(SALIDAS_BOV2,FECHA_BOV2,"&gt;="&amp;BG$2,FECHA_BOV2,"&lt;="&amp;BG$3,CLAVE_BOV2,$A290)+SUMIFS(SALIDAS_BOV3,FECHA_BOV3,"&gt;="&amp;BG$2,FECHA_BOV3,"&lt;="&amp;BG$3,CLAVE_BOV3,$A290)+SUMIFS(SALIDAS_TC,FECHA_TC,"&gt;="&amp;BG$2,FECHA_TC,"&lt;="&amp;BG$3,CLAVE_TC,$A290)+SUMIFS(SALIDAS_COMB,FECHA_COMB,"&gt;="&amp;BG$2,FECHA_COMB,"&lt;="&amp;BG$3,CLAVE_COMB,$A290)+SUMIFS(SALIDAS_DES,FECHA_DESGLOSEN,"&gt;="&amp;BG$2,FECHA_DESGLOSEN,"&lt;="&amp;BG$3,CLAVE_DESGLOSE,$A290)</f>
        <v>0</v>
      </c>
      <c r="BH290" s="13">
        <f>SUMIFS(SALIDAS_BIT,FECHA_BIT,"&gt;="&amp;BH$2,FECHA_BIT,"&lt;="&amp;BH$3,CLAVE_BIT,$A290)+SUMIFS(SALIDAS_BOV1,FECHA_BOV1,"&gt;="&amp;BH$2,FECHA_BOV1,"&lt;="&amp;BH$3,CLAVE_BOV1,$A290)+SUMIFS(SALIDAS_BOV2,FECHA_BOV2,"&gt;="&amp;BH$2,FECHA_BOV2,"&lt;="&amp;BH$3,CLAVE_BOV2,$A290)+SUMIFS(SALIDAS_BOV3,FECHA_BOV3,"&gt;="&amp;BH$2,FECHA_BOV3,"&lt;="&amp;BH$3,CLAVE_BOV3,$A290)+SUMIFS(SALIDAS_TC,FECHA_TC,"&gt;="&amp;BH$2,FECHA_TC,"&lt;="&amp;BH$3,CLAVE_TC,$A290)+SUMIFS(SALIDAS_COMB,FECHA_COMB,"&gt;="&amp;BH$2,FECHA_COMB,"&lt;="&amp;BH$3,CLAVE_COMB,$A290)+SUMIFS(SALIDAS_DES,FECHA_DESGLOSEN,"&gt;="&amp;BH$2,FECHA_DESGLOSEN,"&lt;="&amp;BH$3,CLAVE_DESGLOSE,$A290)</f>
        <v>10318.799999999999</v>
      </c>
      <c r="BI290" s="13">
        <f t="shared" si="419"/>
        <v>10915.8</v>
      </c>
      <c r="BJ290" s="68">
        <f t="shared" si="460"/>
        <v>-915.79999999999927</v>
      </c>
      <c r="BK290" s="268">
        <f t="shared" si="461"/>
        <v>1.09158</v>
      </c>
      <c r="BL290" s="13">
        <f t="shared" si="462"/>
        <v>10000</v>
      </c>
      <c r="BM290" s="13">
        <f>SUMIFS(SALIDAS_BIT,FECHA_BIT,"&gt;="&amp;BM$2,FECHA_BIT,"&lt;="&amp;BM$3,CLAVE_BIT,$A290)+SUMIFS(SALIDAS_BOV1,FECHA_BOV1,"&gt;="&amp;BM$2,FECHA_BOV1,"&lt;="&amp;BM$3,CLAVE_BOV1,$A290)+SUMIFS(SALIDAS_BOV2,FECHA_BOV2,"&gt;="&amp;BM$2,FECHA_BOV2,"&lt;="&amp;BM$3,CLAVE_BOV2,$A290)+SUMIFS(SALIDAS_BOV3,FECHA_BOV3,"&gt;="&amp;BM$2,FECHA_BOV3,"&lt;="&amp;BM$3,CLAVE_BOV3,$A290)+SUMIFS(SALIDAS_TC,FECHA_TC,"&gt;="&amp;BM$2,FECHA_TC,"&lt;="&amp;BM$3,CLAVE_TC,$A290)+SUMIFS(SALIDAS_COMB,FECHA_COMB,"&gt;="&amp;BM$2,FECHA_COMB,"&lt;="&amp;BM$3,CLAVE_COMB,$A290)+SUMIFS(SALIDAS_DES,FECHA_DESGLOSEN,"&gt;="&amp;BM$2,FECHA_DESGLOSEN,"&lt;="&amp;BM$3,CLAVE_DESGLOSE,$A290)</f>
        <v>0</v>
      </c>
      <c r="BN290" s="13">
        <f>SUMIFS(SALIDAS_BIT,FECHA_BIT,"&gt;="&amp;BN$2,FECHA_BIT,"&lt;="&amp;BN$3,CLAVE_BIT,$A290)+SUMIFS(SALIDAS_BOV1,FECHA_BOV1,"&gt;="&amp;BN$2,FECHA_BOV1,"&lt;="&amp;BN$3,CLAVE_BOV1,$A290)+SUMIFS(SALIDAS_BOV2,FECHA_BOV2,"&gt;="&amp;BN$2,FECHA_BOV2,"&lt;="&amp;BN$3,CLAVE_BOV2,$A290)+SUMIFS(SALIDAS_BOV3,FECHA_BOV3,"&gt;="&amp;BN$2,FECHA_BOV3,"&lt;="&amp;BN$3,CLAVE_BOV3,$A290)+SUMIFS(SALIDAS_TC,FECHA_TC,"&gt;="&amp;BN$2,FECHA_TC,"&lt;="&amp;BN$3,CLAVE_TC,$A290)+SUMIFS(SALIDAS_COMB,FECHA_COMB,"&gt;="&amp;BN$2,FECHA_COMB,"&lt;="&amp;BN$3,CLAVE_COMB,$A290)+SUMIFS(SALIDAS_DES,FECHA_DESGLOSEN,"&gt;="&amp;BN$2,FECHA_DESGLOSEN,"&lt;="&amp;BN$3,CLAVE_DESGLOSE,$A290)</f>
        <v>398</v>
      </c>
      <c r="BO290" s="13">
        <f>SUMIFS(SALIDAS_BIT,FECHA_BIT,"&gt;="&amp;BO$2,FECHA_BIT,"&lt;="&amp;BO$3,CLAVE_BIT,$A290)+SUMIFS(SALIDAS_BOV1,FECHA_BOV1,"&gt;="&amp;BO$2,FECHA_BOV1,"&lt;="&amp;BO$3,CLAVE_BOV1,$A290)+SUMIFS(SALIDAS_BOV2,FECHA_BOV2,"&gt;="&amp;BO$2,FECHA_BOV2,"&lt;="&amp;BO$3,CLAVE_BOV2,$A290)+SUMIFS(SALIDAS_BOV3,FECHA_BOV3,"&gt;="&amp;BO$2,FECHA_BOV3,"&lt;="&amp;BO$3,CLAVE_BOV3,$A290)+SUMIFS(SALIDAS_TC,FECHA_TC,"&gt;="&amp;BO$2,FECHA_TC,"&lt;="&amp;BO$3,CLAVE_TC,$A290)+SUMIFS(SALIDAS_COMB,FECHA_COMB,"&gt;="&amp;BO$2,FECHA_COMB,"&lt;="&amp;BO$3,CLAVE_COMB,$A290)+SUMIFS(SALIDAS_DES,FECHA_DESGLOSEN,"&gt;="&amp;BO$2,FECHA_DESGLOSEN,"&lt;="&amp;BO$3,CLAVE_DESGLOSE,$A290)</f>
        <v>0</v>
      </c>
      <c r="BP290" s="13">
        <f>SUMIFS(SALIDAS_BIT,FECHA_BIT,"&gt;="&amp;BP$2,FECHA_BIT,"&lt;="&amp;BP$3,CLAVE_BIT,$A290)+SUMIFS(SALIDAS_BOV1,FECHA_BOV1,"&gt;="&amp;BP$2,FECHA_BOV1,"&lt;="&amp;BP$3,CLAVE_BOV1,$A290)+SUMIFS(SALIDAS_BOV2,FECHA_BOV2,"&gt;="&amp;BP$2,FECHA_BOV2,"&lt;="&amp;BP$3,CLAVE_BOV2,$A290)+SUMIFS(SALIDAS_BOV3,FECHA_BOV3,"&gt;="&amp;BP$2,FECHA_BOV3,"&lt;="&amp;BP$3,CLAVE_BOV3,$A290)+SUMIFS(SALIDAS_TC,FECHA_TC,"&gt;="&amp;BP$2,FECHA_TC,"&lt;="&amp;BP$3,CLAVE_TC,$A290)+SUMIFS(SALIDAS_COMB,FECHA_COMB,"&gt;="&amp;BP$2,FECHA_COMB,"&lt;="&amp;BP$3,CLAVE_COMB,$A290)+SUMIFS(SALIDAS_DES,FECHA_DESGLOSEN,"&gt;="&amp;BP$2,FECHA_DESGLOSEN,"&lt;="&amp;BP$3,CLAVE_DESGLOSE,$A290)</f>
        <v>8289.0299999999988</v>
      </c>
      <c r="BQ290" s="13">
        <f>SUMIFS(SALIDAS_BIT,FECHA_BIT,"&gt;="&amp;BQ$2,FECHA_BIT,"&lt;="&amp;BQ$3,CLAVE_BIT,$A290)+SUMIFS(SALIDAS_BOV1,FECHA_BOV1,"&gt;="&amp;BQ$2,FECHA_BOV1,"&lt;="&amp;BQ$3,CLAVE_BOV1,$A290)+SUMIFS(SALIDAS_BOV2,FECHA_BOV2,"&gt;="&amp;BQ$2,FECHA_BOV2,"&lt;="&amp;BQ$3,CLAVE_BOV2,$A290)+SUMIFS(SALIDAS_BOV3,FECHA_BOV3,"&gt;="&amp;BQ$2,FECHA_BOV3,"&lt;="&amp;BQ$3,CLAVE_BOV3,$A290)+SUMIFS(SALIDAS_TC,FECHA_TC,"&gt;="&amp;BQ$2,FECHA_TC,"&lt;="&amp;BQ$3,CLAVE_TC,$A290)+SUMIFS(SALIDAS_COMB,FECHA_COMB,"&gt;="&amp;BQ$2,FECHA_COMB,"&lt;="&amp;BQ$3,CLAVE_COMB,$A290)+SUMIFS(SALIDAS_DES,FECHA_DESGLOSEN,"&gt;="&amp;BQ$2,FECHA_DESGLOSEN,"&lt;="&amp;BQ$3,CLAVE_DESGLOSE,$A290)</f>
        <v>0</v>
      </c>
      <c r="BR290" s="13">
        <f t="shared" si="502"/>
        <v>8687.0299999999988</v>
      </c>
      <c r="BS290" s="68">
        <f t="shared" si="463"/>
        <v>1312.9700000000012</v>
      </c>
      <c r="BT290" s="268">
        <f t="shared" si="464"/>
        <v>0.86870299999999989</v>
      </c>
      <c r="BU290" s="13">
        <f t="shared" si="465"/>
        <v>16000</v>
      </c>
      <c r="BV290" s="13">
        <f t="shared" si="485"/>
        <v>0</v>
      </c>
      <c r="BW290" s="13">
        <f t="shared" si="485"/>
        <v>0</v>
      </c>
      <c r="BX290" s="13">
        <f t="shared" si="485"/>
        <v>0</v>
      </c>
      <c r="BY290" s="13">
        <f t="shared" si="485"/>
        <v>4187.3999999999996</v>
      </c>
      <c r="BZ290" s="13">
        <f t="shared" si="503"/>
        <v>4187.3999999999996</v>
      </c>
      <c r="CA290" s="68">
        <f t="shared" si="466"/>
        <v>11812.6</v>
      </c>
      <c r="CB290" s="268">
        <f t="shared" si="467"/>
        <v>0.26171249999999996</v>
      </c>
      <c r="CC290" s="13">
        <f t="shared" si="468"/>
        <v>16000</v>
      </c>
      <c r="CD290" s="13">
        <f t="shared" si="486"/>
        <v>478</v>
      </c>
      <c r="CE290" s="13">
        <f t="shared" si="486"/>
        <v>0</v>
      </c>
      <c r="CF290" s="13">
        <f t="shared" si="486"/>
        <v>0</v>
      </c>
      <c r="CG290" s="13">
        <f t="shared" si="486"/>
        <v>12151.11</v>
      </c>
      <c r="CH290" s="13">
        <f t="shared" si="504"/>
        <v>12629.11</v>
      </c>
      <c r="CI290" s="68">
        <f t="shared" si="469"/>
        <v>3370.8899999999994</v>
      </c>
      <c r="CJ290" s="268">
        <f t="shared" si="470"/>
        <v>0.78931937500000005</v>
      </c>
      <c r="CK290" s="13">
        <f t="shared" si="471"/>
        <v>16000</v>
      </c>
      <c r="CL290" s="13">
        <f t="shared" si="495"/>
        <v>0</v>
      </c>
      <c r="CM290" s="13">
        <f t="shared" si="495"/>
        <v>717</v>
      </c>
      <c r="CN290" s="13">
        <f t="shared" si="495"/>
        <v>0</v>
      </c>
      <c r="CO290" s="13">
        <f t="shared" si="495"/>
        <v>2895.08</v>
      </c>
      <c r="CP290" s="13">
        <f t="shared" si="495"/>
        <v>0</v>
      </c>
      <c r="CQ290" s="13">
        <f t="shared" si="505"/>
        <v>3612.08</v>
      </c>
      <c r="CR290" s="68">
        <f t="shared" si="472"/>
        <v>12387.92</v>
      </c>
      <c r="CS290" s="268">
        <f t="shared" si="473"/>
        <v>0.22575499999999998</v>
      </c>
      <c r="CT290" s="68">
        <f t="shared" si="446"/>
        <v>10000</v>
      </c>
      <c r="CU290" s="13">
        <f>SUMIFS(SALIDAS_BIT,FECHA_BIT,"&gt;="&amp;CU$2,FECHA_BIT,"&lt;="&amp;CU$3,CLAVE_BIT,$A290)+SUMIFS(SALIDAS_BOV1,FECHA_BOV1,"&gt;="&amp;CU$2,FECHA_BOV1,"&lt;="&amp;CU$3,CLAVE_BOV1,$A290)+SUMIFS(SALIDAS_BOV2,FECHA_BOV2,"&gt;="&amp;CU$2,FECHA_BOV2,"&lt;="&amp;CU$3,CLAVE_BOV2,$A290)+SUMIFS(SALIDAS_BOV3,FECHA_BOV3,"&gt;="&amp;CU$2,FECHA_BOV3,"&lt;="&amp;CU$3,CLAVE_BOV3,$A290)+SUMIFS(SALIDAS_TC,FECHA_TC,"&gt;="&amp;CU$2,FECHA_TC,"&lt;="&amp;CU$3,CLAVE_TC,$A290)+SUMIFS(SALIDAS_COMB,FECHA_COMB,"&gt;="&amp;CU$2,FECHA_COMB,"&lt;="&amp;CU$3,CLAVE_COMB,$A290)+SUMIFS(SALIDAS_DES,FECHA_DESGLOSEN,"&gt;="&amp;CU$2,FECHA_DESGLOSEN,"&lt;="&amp;CU$3,CLAVE_DESGLOSE,$A290)</f>
        <v>0</v>
      </c>
      <c r="CV290" s="13">
        <f>SUMIFS(SALIDAS_BIT,FECHA_BIT,"&gt;="&amp;CV$2,FECHA_BIT,"&lt;="&amp;CV$3,CLAVE_BIT,$A290)+SUMIFS(SALIDAS_BOV1,FECHA_BOV1,"&gt;="&amp;CV$2,FECHA_BOV1,"&lt;="&amp;CV$3,CLAVE_BOV1,$A290)+SUMIFS(SALIDAS_BOV2,FECHA_BOV2,"&gt;="&amp;CV$2,FECHA_BOV2,"&lt;="&amp;CV$3,CLAVE_BOV2,$A290)+SUMIFS(SALIDAS_BOV3,FECHA_BOV3,"&gt;="&amp;CV$2,FECHA_BOV3,"&lt;="&amp;CV$3,CLAVE_BOV3,$A290)+SUMIFS(SALIDAS_TC,FECHA_TC,"&gt;="&amp;CV$2,FECHA_TC,"&lt;="&amp;CV$3,CLAVE_TC,$A290)+SUMIFS(SALIDAS_COMB,FECHA_COMB,"&gt;="&amp;CV$2,FECHA_COMB,"&lt;="&amp;CV$3,CLAVE_COMB,$A290)+SUMIFS(SALIDAS_DES,FECHA_DESGLOSEN,"&gt;="&amp;CV$2,FECHA_DESGLOSEN,"&lt;="&amp;CV$3,CLAVE_DESGLOSE,$A290)</f>
        <v>0</v>
      </c>
      <c r="CW290" s="13">
        <f>SUMIFS(SALIDAS_BIT,FECHA_BIT,"&gt;="&amp;CW$2,FECHA_BIT,"&lt;="&amp;CW$3,CLAVE_BIT,$A290)+SUMIFS(SALIDAS_BOV1,FECHA_BOV1,"&gt;="&amp;CW$2,FECHA_BOV1,"&lt;="&amp;CW$3,CLAVE_BOV1,$A290)+SUMIFS(SALIDAS_BOV2,FECHA_BOV2,"&gt;="&amp;CW$2,FECHA_BOV2,"&lt;="&amp;CW$3,CLAVE_BOV2,$A290)+SUMIFS(SALIDAS_BOV3,FECHA_BOV3,"&gt;="&amp;CW$2,FECHA_BOV3,"&lt;="&amp;CW$3,CLAVE_BOV3,$A290)+SUMIFS(SALIDAS_TC,FECHA_TC,"&gt;="&amp;CW$2,FECHA_TC,"&lt;="&amp;CW$3,CLAVE_TC,$A290)+SUMIFS(SALIDAS_COMB,FECHA_COMB,"&gt;="&amp;CW$2,FECHA_COMB,"&lt;="&amp;CW$3,CLAVE_COMB,$A290)+SUMIFS(SALIDAS_DES,FECHA_DESGLOSEN,"&gt;="&amp;CW$2,FECHA_DESGLOSEN,"&lt;="&amp;CW$3,CLAVE_DESGLOSE,$A290)</f>
        <v>0</v>
      </c>
      <c r="CX290" s="13">
        <f>SUMIFS(SALIDAS_BIT,FECHA_BIT,"&gt;="&amp;CX$2,FECHA_BIT,"&lt;="&amp;CX$3,CLAVE_BIT,$A290)+SUMIFS(SALIDAS_BOV1,FECHA_BOV1,"&gt;="&amp;CX$2,FECHA_BOV1,"&lt;="&amp;CX$3,CLAVE_BOV1,$A290)+SUMIFS(SALIDAS_BOV2,FECHA_BOV2,"&gt;="&amp;CX$2,FECHA_BOV2,"&lt;="&amp;CX$3,CLAVE_BOV2,$A290)+SUMIFS(SALIDAS_BOV3,FECHA_BOV3,"&gt;="&amp;CX$2,FECHA_BOV3,"&lt;="&amp;CX$3,CLAVE_BOV3,$A290)+SUMIFS(SALIDAS_TC,FECHA_TC,"&gt;="&amp;CX$2,FECHA_TC,"&lt;="&amp;CX$3,CLAVE_TC,$A290)+SUMIFS(SALIDAS_COMB,FECHA_COMB,"&gt;="&amp;CX$2,FECHA_COMB,"&lt;="&amp;CX$3,CLAVE_COMB,$A290)+SUMIFS(SALIDAS_DES,FECHA_DESGLOSEN,"&gt;="&amp;CX$2,FECHA_DESGLOSEN,"&lt;="&amp;CX$3,CLAVE_DESGLOSE,$A290)</f>
        <v>7646.5</v>
      </c>
      <c r="CY290" s="13">
        <f>SUMIFS(SALIDAS_BIT,FECHA_BIT,"&gt;="&amp;CY$2,FECHA_BIT,"&lt;="&amp;CY$3,CLAVE_BIT,$A290)+SUMIFS(SALIDAS_BOV1,FECHA_BOV1,"&gt;="&amp;CY$2,FECHA_BOV1,"&lt;="&amp;CY$3,CLAVE_BOV1,$A290)+SUMIFS(SALIDAS_BOV2,FECHA_BOV2,"&gt;="&amp;CY$2,FECHA_BOV2,"&lt;="&amp;CY$3,CLAVE_BOV2,$A290)+SUMIFS(SALIDAS_BOV3,FECHA_BOV3,"&gt;="&amp;CY$2,FECHA_BOV3,"&lt;="&amp;CY$3,CLAVE_BOV3,$A290)+SUMIFS(SALIDAS_TC,FECHA_TC,"&gt;="&amp;CY$2,FECHA_TC,"&lt;="&amp;CY$3,CLAVE_TC,$A290)+SUMIFS(SALIDAS_COMB,FECHA_COMB,"&gt;="&amp;CY$2,FECHA_COMB,"&lt;="&amp;CY$3,CLAVE_COMB,$A290)+SUMIFS(SALIDAS_DES,FECHA_DESGLOSEN,"&gt;="&amp;CY$2,FECHA_DESGLOSEN,"&lt;="&amp;CY$3,CLAVE_DESGLOSE,$A290)</f>
        <v>7646.5</v>
      </c>
      <c r="CZ290" s="68">
        <f t="shared" si="474"/>
        <v>2353.5</v>
      </c>
      <c r="DB290" s="17">
        <f>F290+N290+W290+AE290+AM290+AV290+BD290+BL290+BU290+CC290+CK290</f>
        <v>134000</v>
      </c>
      <c r="DC290" s="17">
        <f>K290+T290+AB290+AJ290+AS290+BA290+BI290+BR290+BZ290+CH290+CQ290</f>
        <v>112504.18</v>
      </c>
    </row>
    <row r="291" spans="1:108" hidden="1">
      <c r="A291" s="12" t="str">
        <f t="shared" si="447"/>
        <v>FINANZASCUOTAS Y SUSCRIPCIONESPREDIAL/REVALIDACIONES</v>
      </c>
      <c r="B291">
        <v>293</v>
      </c>
      <c r="C291" t="s">
        <v>23</v>
      </c>
      <c r="D291" t="s">
        <v>51</v>
      </c>
      <c r="E291" t="s">
        <v>77</v>
      </c>
      <c r="F291" s="259">
        <f t="shared" si="440"/>
        <v>0</v>
      </c>
      <c r="G291" s="13">
        <f t="shared" si="497"/>
        <v>0</v>
      </c>
      <c r="H291" s="13">
        <f t="shared" si="497"/>
        <v>0</v>
      </c>
      <c r="I291" s="13">
        <f t="shared" si="497"/>
        <v>0</v>
      </c>
      <c r="J291" s="13">
        <f t="shared" si="497"/>
        <v>0</v>
      </c>
      <c r="K291" s="13">
        <f t="shared" si="497"/>
        <v>0</v>
      </c>
      <c r="L291" s="68">
        <f t="shared" si="448"/>
        <v>0</v>
      </c>
      <c r="M291" s="268">
        <f t="shared" si="449"/>
        <v>0</v>
      </c>
      <c r="N291" s="13">
        <f t="shared" si="441"/>
        <v>0</v>
      </c>
      <c r="O291" s="13">
        <f t="shared" si="498"/>
        <v>0</v>
      </c>
      <c r="P291" s="13">
        <f t="shared" si="498"/>
        <v>0</v>
      </c>
      <c r="Q291" s="13">
        <f t="shared" si="498"/>
        <v>0</v>
      </c>
      <c r="R291" s="13">
        <f t="shared" si="498"/>
        <v>0</v>
      </c>
      <c r="S291" s="13">
        <f t="shared" si="498"/>
        <v>0</v>
      </c>
      <c r="T291" s="13">
        <f t="shared" si="498"/>
        <v>0</v>
      </c>
      <c r="U291" s="68">
        <f t="shared" si="450"/>
        <v>0</v>
      </c>
      <c r="V291" s="268">
        <f t="shared" si="451"/>
        <v>0</v>
      </c>
      <c r="W291" s="13">
        <f t="shared" si="442"/>
        <v>0</v>
      </c>
      <c r="X291" s="13">
        <f t="shared" si="499"/>
        <v>0</v>
      </c>
      <c r="Y291" s="13">
        <f t="shared" si="499"/>
        <v>0</v>
      </c>
      <c r="Z291" s="13">
        <f t="shared" si="499"/>
        <v>0</v>
      </c>
      <c r="AA291" s="13">
        <f t="shared" si="499"/>
        <v>0</v>
      </c>
      <c r="AB291" s="13">
        <f t="shared" si="499"/>
        <v>0</v>
      </c>
      <c r="AC291" s="68">
        <f t="shared" si="452"/>
        <v>0</v>
      </c>
      <c r="AD291" s="268">
        <f t="shared" si="453"/>
        <v>0</v>
      </c>
      <c r="AE291" s="13">
        <f t="shared" si="443"/>
        <v>0</v>
      </c>
      <c r="AF291" s="13">
        <f t="shared" si="500"/>
        <v>0</v>
      </c>
      <c r="AG291" s="13">
        <f t="shared" si="500"/>
        <v>0</v>
      </c>
      <c r="AH291" s="13">
        <f t="shared" si="500"/>
        <v>0</v>
      </c>
      <c r="AI291" s="13">
        <f t="shared" si="500"/>
        <v>0</v>
      </c>
      <c r="AJ291" s="13">
        <f t="shared" si="500"/>
        <v>0</v>
      </c>
      <c r="AK291" s="68">
        <f t="shared" si="454"/>
        <v>0</v>
      </c>
      <c r="AL291" s="268">
        <f t="shared" si="455"/>
        <v>0</v>
      </c>
      <c r="AM291" s="13">
        <f t="shared" si="444"/>
        <v>0</v>
      </c>
      <c r="AN291" s="13">
        <f t="shared" si="501"/>
        <v>0</v>
      </c>
      <c r="AO291" s="13">
        <f t="shared" si="501"/>
        <v>0</v>
      </c>
      <c r="AP291" s="13">
        <f t="shared" si="501"/>
        <v>0</v>
      </c>
      <c r="AQ291" s="13">
        <f t="shared" si="501"/>
        <v>0</v>
      </c>
      <c r="AR291" s="13">
        <f t="shared" si="501"/>
        <v>0</v>
      </c>
      <c r="AS291" s="13">
        <f t="shared" si="501"/>
        <v>0</v>
      </c>
      <c r="AT291" s="68">
        <f>AM291-AS291</f>
        <v>0</v>
      </c>
      <c r="AU291" s="268">
        <f t="shared" si="456"/>
        <v>0</v>
      </c>
      <c r="AV291" s="13">
        <f t="shared" si="445"/>
        <v>0</v>
      </c>
      <c r="AW291" s="13">
        <f t="shared" si="421"/>
        <v>0</v>
      </c>
      <c r="AX291" s="13">
        <f t="shared" si="421"/>
        <v>0</v>
      </c>
      <c r="AY291" s="13">
        <f t="shared" si="421"/>
        <v>0</v>
      </c>
      <c r="AZ291" s="13">
        <f t="shared" si="421"/>
        <v>0</v>
      </c>
      <c r="BA291" s="13">
        <f t="shared" si="475"/>
        <v>0</v>
      </c>
      <c r="BB291" s="68">
        <f t="shared" si="457"/>
        <v>0</v>
      </c>
      <c r="BC291" s="268">
        <f t="shared" si="458"/>
        <v>0</v>
      </c>
      <c r="BD291" s="13">
        <f t="shared" si="459"/>
        <v>0</v>
      </c>
      <c r="BE291" s="13">
        <f>SUMIFS(SALIDAS_BIT,FECHA_BIT,"&gt;="&amp;BE$2,FECHA_BIT,"&lt;="&amp;BE$3,CLAVE_BIT,$A291)+SUMIFS(SALIDAS_BOV1,FECHA_BOV1,"&gt;="&amp;BE$2,FECHA_BOV1,"&lt;="&amp;BE$3,CLAVE_BOV1,$A291)+SUMIFS(SALIDAS_BOV2,FECHA_BOV2,"&gt;="&amp;BE$2,FECHA_BOV2,"&lt;="&amp;BE$3,CLAVE_BOV2,$A291)+SUMIFS(SALIDAS_BOV3,FECHA_BOV3,"&gt;="&amp;BE$2,FECHA_BOV3,"&lt;="&amp;BE$3,CLAVE_BOV3,$A291)+SUMIFS(SALIDAS_TC,FECHA_TC,"&gt;="&amp;BE$2,FECHA_TC,"&lt;="&amp;BE$3,CLAVE_TC,$A291)+SUMIFS(SALIDAS_COMB,FECHA_COMB,"&gt;="&amp;BE$2,FECHA_COMB,"&lt;="&amp;BE$3,CLAVE_COMB,$A291)+SUMIFS(SALIDAS_DES,FECHA_DESGLOSEN,"&gt;="&amp;BE$2,FECHA_DESGLOSEN,"&lt;="&amp;BE$3,CLAVE_DESGLOSE,$A291)</f>
        <v>12070</v>
      </c>
      <c r="BF291" s="13">
        <f>SUMIFS(SALIDAS_BIT,FECHA_BIT,"&gt;="&amp;BF$2,FECHA_BIT,"&lt;="&amp;BF$3,CLAVE_BIT,$A291)+SUMIFS(SALIDAS_BOV1,FECHA_BOV1,"&gt;="&amp;BF$2,FECHA_BOV1,"&lt;="&amp;BF$3,CLAVE_BOV1,$A291)+SUMIFS(SALIDAS_BOV2,FECHA_BOV2,"&gt;="&amp;BF$2,FECHA_BOV2,"&lt;="&amp;BF$3,CLAVE_BOV2,$A291)+SUMIFS(SALIDAS_BOV3,FECHA_BOV3,"&gt;="&amp;BF$2,FECHA_BOV3,"&lt;="&amp;BF$3,CLAVE_BOV3,$A291)+SUMIFS(SALIDAS_TC,FECHA_TC,"&gt;="&amp;BF$2,FECHA_TC,"&lt;="&amp;BF$3,CLAVE_TC,$A291)+SUMIFS(SALIDAS_COMB,FECHA_COMB,"&gt;="&amp;BF$2,FECHA_COMB,"&lt;="&amp;BF$3,CLAVE_COMB,$A291)+SUMIFS(SALIDAS_DES,FECHA_DESGLOSEN,"&gt;="&amp;BF$2,FECHA_DESGLOSEN,"&lt;="&amp;BF$3,CLAVE_DESGLOSE,$A291)</f>
        <v>0</v>
      </c>
      <c r="BG291" s="13">
        <f>SUMIFS(SALIDAS_BIT,FECHA_BIT,"&gt;="&amp;BG$2,FECHA_BIT,"&lt;="&amp;BG$3,CLAVE_BIT,$A291)+SUMIFS(SALIDAS_BOV1,FECHA_BOV1,"&gt;="&amp;BG$2,FECHA_BOV1,"&lt;="&amp;BG$3,CLAVE_BOV1,$A291)+SUMIFS(SALIDAS_BOV2,FECHA_BOV2,"&gt;="&amp;BG$2,FECHA_BOV2,"&lt;="&amp;BG$3,CLAVE_BOV2,$A291)+SUMIFS(SALIDAS_BOV3,FECHA_BOV3,"&gt;="&amp;BG$2,FECHA_BOV3,"&lt;="&amp;BG$3,CLAVE_BOV3,$A291)+SUMIFS(SALIDAS_TC,FECHA_TC,"&gt;="&amp;BG$2,FECHA_TC,"&lt;="&amp;BG$3,CLAVE_TC,$A291)+SUMIFS(SALIDAS_COMB,FECHA_COMB,"&gt;="&amp;BG$2,FECHA_COMB,"&lt;="&amp;BG$3,CLAVE_COMB,$A291)+SUMIFS(SALIDAS_DES,FECHA_DESGLOSEN,"&gt;="&amp;BG$2,FECHA_DESGLOSEN,"&lt;="&amp;BG$3,CLAVE_DESGLOSE,$A291)</f>
        <v>0</v>
      </c>
      <c r="BH291" s="13">
        <f>SUMIFS(SALIDAS_BIT,FECHA_BIT,"&gt;="&amp;BH$2,FECHA_BIT,"&lt;="&amp;BH$3,CLAVE_BIT,$A291)+SUMIFS(SALIDAS_BOV1,FECHA_BOV1,"&gt;="&amp;BH$2,FECHA_BOV1,"&lt;="&amp;BH$3,CLAVE_BOV1,$A291)+SUMIFS(SALIDAS_BOV2,FECHA_BOV2,"&gt;="&amp;BH$2,FECHA_BOV2,"&lt;="&amp;BH$3,CLAVE_BOV2,$A291)+SUMIFS(SALIDAS_BOV3,FECHA_BOV3,"&gt;="&amp;BH$2,FECHA_BOV3,"&lt;="&amp;BH$3,CLAVE_BOV3,$A291)+SUMIFS(SALIDAS_TC,FECHA_TC,"&gt;="&amp;BH$2,FECHA_TC,"&lt;="&amp;BH$3,CLAVE_TC,$A291)+SUMIFS(SALIDAS_COMB,FECHA_COMB,"&gt;="&amp;BH$2,FECHA_COMB,"&lt;="&amp;BH$3,CLAVE_COMB,$A291)+SUMIFS(SALIDAS_DES,FECHA_DESGLOSEN,"&gt;="&amp;BH$2,FECHA_DESGLOSEN,"&lt;="&amp;BH$3,CLAVE_DESGLOSE,$A291)</f>
        <v>0</v>
      </c>
      <c r="BI291" s="13">
        <f t="shared" si="419"/>
        <v>12070</v>
      </c>
      <c r="BJ291" s="68">
        <f t="shared" si="460"/>
        <v>-12070</v>
      </c>
      <c r="BK291" s="268">
        <f t="shared" si="461"/>
        <v>0</v>
      </c>
      <c r="BL291" s="13">
        <f t="shared" si="462"/>
        <v>0</v>
      </c>
      <c r="BM291" s="13">
        <f>SUMIFS(SALIDAS_BIT,FECHA_BIT,"&gt;="&amp;BM$2,FECHA_BIT,"&lt;="&amp;BM$3,CLAVE_BIT,$A291)+SUMIFS(SALIDAS_BOV1,FECHA_BOV1,"&gt;="&amp;BM$2,FECHA_BOV1,"&lt;="&amp;BM$3,CLAVE_BOV1,$A291)+SUMIFS(SALIDAS_BOV2,FECHA_BOV2,"&gt;="&amp;BM$2,FECHA_BOV2,"&lt;="&amp;BM$3,CLAVE_BOV2,$A291)+SUMIFS(SALIDAS_BOV3,FECHA_BOV3,"&gt;="&amp;BM$2,FECHA_BOV3,"&lt;="&amp;BM$3,CLAVE_BOV3,$A291)+SUMIFS(SALIDAS_TC,FECHA_TC,"&gt;="&amp;BM$2,FECHA_TC,"&lt;="&amp;BM$3,CLAVE_TC,$A291)+SUMIFS(SALIDAS_COMB,FECHA_COMB,"&gt;="&amp;BM$2,FECHA_COMB,"&lt;="&amp;BM$3,CLAVE_COMB,$A291)+SUMIFS(SALIDAS_DES,FECHA_DESGLOSEN,"&gt;="&amp;BM$2,FECHA_DESGLOSEN,"&lt;="&amp;BM$3,CLAVE_DESGLOSE,$A291)</f>
        <v>0</v>
      </c>
      <c r="BN291" s="13">
        <f>SUMIFS(SALIDAS_BIT,FECHA_BIT,"&gt;="&amp;BN$2,FECHA_BIT,"&lt;="&amp;BN$3,CLAVE_BIT,$A291)+SUMIFS(SALIDAS_BOV1,FECHA_BOV1,"&gt;="&amp;BN$2,FECHA_BOV1,"&lt;="&amp;BN$3,CLAVE_BOV1,$A291)+SUMIFS(SALIDAS_BOV2,FECHA_BOV2,"&gt;="&amp;BN$2,FECHA_BOV2,"&lt;="&amp;BN$3,CLAVE_BOV2,$A291)+SUMIFS(SALIDAS_BOV3,FECHA_BOV3,"&gt;="&amp;BN$2,FECHA_BOV3,"&lt;="&amp;BN$3,CLAVE_BOV3,$A291)+SUMIFS(SALIDAS_TC,FECHA_TC,"&gt;="&amp;BN$2,FECHA_TC,"&lt;="&amp;BN$3,CLAVE_TC,$A291)+SUMIFS(SALIDAS_COMB,FECHA_COMB,"&gt;="&amp;BN$2,FECHA_COMB,"&lt;="&amp;BN$3,CLAVE_COMB,$A291)+SUMIFS(SALIDAS_DES,FECHA_DESGLOSEN,"&gt;="&amp;BN$2,FECHA_DESGLOSEN,"&lt;="&amp;BN$3,CLAVE_DESGLOSE,$A291)</f>
        <v>0</v>
      </c>
      <c r="BO291" s="13">
        <f>SUMIFS(SALIDAS_BIT,FECHA_BIT,"&gt;="&amp;BO$2,FECHA_BIT,"&lt;="&amp;BO$3,CLAVE_BIT,$A291)+SUMIFS(SALIDAS_BOV1,FECHA_BOV1,"&gt;="&amp;BO$2,FECHA_BOV1,"&lt;="&amp;BO$3,CLAVE_BOV1,$A291)+SUMIFS(SALIDAS_BOV2,FECHA_BOV2,"&gt;="&amp;BO$2,FECHA_BOV2,"&lt;="&amp;BO$3,CLAVE_BOV2,$A291)+SUMIFS(SALIDAS_BOV3,FECHA_BOV3,"&gt;="&amp;BO$2,FECHA_BOV3,"&lt;="&amp;BO$3,CLAVE_BOV3,$A291)+SUMIFS(SALIDAS_TC,FECHA_TC,"&gt;="&amp;BO$2,FECHA_TC,"&lt;="&amp;BO$3,CLAVE_TC,$A291)+SUMIFS(SALIDAS_COMB,FECHA_COMB,"&gt;="&amp;BO$2,FECHA_COMB,"&lt;="&amp;BO$3,CLAVE_COMB,$A291)+SUMIFS(SALIDAS_DES,FECHA_DESGLOSEN,"&gt;="&amp;BO$2,FECHA_DESGLOSEN,"&lt;="&amp;BO$3,CLAVE_DESGLOSE,$A291)</f>
        <v>0</v>
      </c>
      <c r="BP291" s="13">
        <f>SUMIFS(SALIDAS_BIT,FECHA_BIT,"&gt;="&amp;BP$2,FECHA_BIT,"&lt;="&amp;BP$3,CLAVE_BIT,$A291)+SUMIFS(SALIDAS_BOV1,FECHA_BOV1,"&gt;="&amp;BP$2,FECHA_BOV1,"&lt;="&amp;BP$3,CLAVE_BOV1,$A291)+SUMIFS(SALIDAS_BOV2,FECHA_BOV2,"&gt;="&amp;BP$2,FECHA_BOV2,"&lt;="&amp;BP$3,CLAVE_BOV2,$A291)+SUMIFS(SALIDAS_BOV3,FECHA_BOV3,"&gt;="&amp;BP$2,FECHA_BOV3,"&lt;="&amp;BP$3,CLAVE_BOV3,$A291)+SUMIFS(SALIDAS_TC,FECHA_TC,"&gt;="&amp;BP$2,FECHA_TC,"&lt;="&amp;BP$3,CLAVE_TC,$A291)+SUMIFS(SALIDAS_COMB,FECHA_COMB,"&gt;="&amp;BP$2,FECHA_COMB,"&lt;="&amp;BP$3,CLAVE_COMB,$A291)+SUMIFS(SALIDAS_DES,FECHA_DESGLOSEN,"&gt;="&amp;BP$2,FECHA_DESGLOSEN,"&lt;="&amp;BP$3,CLAVE_DESGLOSE,$A291)</f>
        <v>0</v>
      </c>
      <c r="BQ291" s="13">
        <f>SUMIFS(SALIDAS_BIT,FECHA_BIT,"&gt;="&amp;BQ$2,FECHA_BIT,"&lt;="&amp;BQ$3,CLAVE_BIT,$A291)+SUMIFS(SALIDAS_BOV1,FECHA_BOV1,"&gt;="&amp;BQ$2,FECHA_BOV1,"&lt;="&amp;BQ$3,CLAVE_BOV1,$A291)+SUMIFS(SALIDAS_BOV2,FECHA_BOV2,"&gt;="&amp;BQ$2,FECHA_BOV2,"&lt;="&amp;BQ$3,CLAVE_BOV2,$A291)+SUMIFS(SALIDAS_BOV3,FECHA_BOV3,"&gt;="&amp;BQ$2,FECHA_BOV3,"&lt;="&amp;BQ$3,CLAVE_BOV3,$A291)+SUMIFS(SALIDAS_TC,FECHA_TC,"&gt;="&amp;BQ$2,FECHA_TC,"&lt;="&amp;BQ$3,CLAVE_TC,$A291)+SUMIFS(SALIDAS_COMB,FECHA_COMB,"&gt;="&amp;BQ$2,FECHA_COMB,"&lt;="&amp;BQ$3,CLAVE_COMB,$A291)+SUMIFS(SALIDAS_DES,FECHA_DESGLOSEN,"&gt;="&amp;BQ$2,FECHA_DESGLOSEN,"&lt;="&amp;BQ$3,CLAVE_DESGLOSE,$A291)</f>
        <v>0</v>
      </c>
      <c r="BR291" s="13">
        <f t="shared" si="502"/>
        <v>0</v>
      </c>
      <c r="BS291" s="68">
        <f t="shared" si="463"/>
        <v>0</v>
      </c>
      <c r="BT291" s="268">
        <f t="shared" si="464"/>
        <v>0</v>
      </c>
      <c r="BU291" s="13">
        <f t="shared" si="465"/>
        <v>0</v>
      </c>
      <c r="BV291" s="13">
        <f t="shared" si="485"/>
        <v>0</v>
      </c>
      <c r="BW291" s="13">
        <f t="shared" si="485"/>
        <v>0</v>
      </c>
      <c r="BX291" s="13">
        <f t="shared" si="485"/>
        <v>0</v>
      </c>
      <c r="BY291" s="13">
        <f t="shared" si="485"/>
        <v>0</v>
      </c>
      <c r="BZ291" s="13">
        <f t="shared" si="503"/>
        <v>0</v>
      </c>
      <c r="CA291" s="68">
        <f t="shared" si="466"/>
        <v>0</v>
      </c>
      <c r="CB291" s="268">
        <f t="shared" si="467"/>
        <v>0</v>
      </c>
      <c r="CC291" s="13">
        <f t="shared" si="468"/>
        <v>0</v>
      </c>
      <c r="CD291" s="13">
        <f t="shared" si="486"/>
        <v>0</v>
      </c>
      <c r="CE291" s="13">
        <f t="shared" si="486"/>
        <v>0</v>
      </c>
      <c r="CF291" s="13">
        <f t="shared" si="486"/>
        <v>0</v>
      </c>
      <c r="CG291" s="13">
        <f t="shared" si="486"/>
        <v>0</v>
      </c>
      <c r="CH291" s="13">
        <f t="shared" si="504"/>
        <v>0</v>
      </c>
      <c r="CI291" s="68">
        <f t="shared" si="469"/>
        <v>0</v>
      </c>
      <c r="CJ291" s="268">
        <f t="shared" si="470"/>
        <v>0</v>
      </c>
      <c r="CK291" s="13">
        <f t="shared" si="471"/>
        <v>0</v>
      </c>
      <c r="CL291" s="13">
        <f t="shared" si="495"/>
        <v>0</v>
      </c>
      <c r="CM291" s="13">
        <f t="shared" si="495"/>
        <v>0</v>
      </c>
      <c r="CN291" s="13">
        <f t="shared" si="495"/>
        <v>0</v>
      </c>
      <c r="CO291" s="13">
        <f t="shared" si="495"/>
        <v>0</v>
      </c>
      <c r="CP291" s="13">
        <f t="shared" si="495"/>
        <v>0</v>
      </c>
      <c r="CQ291" s="13">
        <f t="shared" si="505"/>
        <v>0</v>
      </c>
      <c r="CR291" s="68">
        <f t="shared" si="472"/>
        <v>0</v>
      </c>
      <c r="CS291" s="268">
        <f t="shared" si="473"/>
        <v>0</v>
      </c>
      <c r="CT291" s="68">
        <f t="shared" si="446"/>
        <v>220000</v>
      </c>
      <c r="CU291" s="13">
        <f>SUMIFS(SALIDAS_BIT,FECHA_BIT,"&gt;="&amp;CU$2,FECHA_BIT,"&lt;="&amp;CU$3,CLAVE_BIT,$A291)+SUMIFS(SALIDAS_BOV1,FECHA_BOV1,"&gt;="&amp;CU$2,FECHA_BOV1,"&lt;="&amp;CU$3,CLAVE_BOV1,$A291)+SUMIFS(SALIDAS_BOV2,FECHA_BOV2,"&gt;="&amp;CU$2,FECHA_BOV2,"&lt;="&amp;CU$3,CLAVE_BOV2,$A291)+SUMIFS(SALIDAS_BOV3,FECHA_BOV3,"&gt;="&amp;CU$2,FECHA_BOV3,"&lt;="&amp;CU$3,CLAVE_BOV3,$A291)+SUMIFS(SALIDAS_TC,FECHA_TC,"&gt;="&amp;CU$2,FECHA_TC,"&lt;="&amp;CU$3,CLAVE_TC,$A291)+SUMIFS(SALIDAS_COMB,FECHA_COMB,"&gt;="&amp;CU$2,FECHA_COMB,"&lt;="&amp;CU$3,CLAVE_COMB,$A291)+SUMIFS(SALIDAS_DES,FECHA_DESGLOSEN,"&gt;="&amp;CU$2,FECHA_DESGLOSEN,"&lt;="&amp;CU$3,CLAVE_DESGLOSE,$A291)</f>
        <v>0</v>
      </c>
      <c r="CV291" s="13">
        <f>SUMIFS(SALIDAS_BIT,FECHA_BIT,"&gt;="&amp;CV$2,FECHA_BIT,"&lt;="&amp;CV$3,CLAVE_BIT,$A291)+SUMIFS(SALIDAS_BOV1,FECHA_BOV1,"&gt;="&amp;CV$2,FECHA_BOV1,"&lt;="&amp;CV$3,CLAVE_BOV1,$A291)+SUMIFS(SALIDAS_BOV2,FECHA_BOV2,"&gt;="&amp;CV$2,FECHA_BOV2,"&lt;="&amp;CV$3,CLAVE_BOV2,$A291)+SUMIFS(SALIDAS_BOV3,FECHA_BOV3,"&gt;="&amp;CV$2,FECHA_BOV3,"&lt;="&amp;CV$3,CLAVE_BOV3,$A291)+SUMIFS(SALIDAS_TC,FECHA_TC,"&gt;="&amp;CV$2,FECHA_TC,"&lt;="&amp;CV$3,CLAVE_TC,$A291)+SUMIFS(SALIDAS_COMB,FECHA_COMB,"&gt;="&amp;CV$2,FECHA_COMB,"&lt;="&amp;CV$3,CLAVE_COMB,$A291)+SUMIFS(SALIDAS_DES,FECHA_DESGLOSEN,"&gt;="&amp;CV$2,FECHA_DESGLOSEN,"&lt;="&amp;CV$3,CLAVE_DESGLOSE,$A291)</f>
        <v>0</v>
      </c>
      <c r="CW291" s="13">
        <f>SUMIFS(SALIDAS_BIT,FECHA_BIT,"&gt;="&amp;CW$2,FECHA_BIT,"&lt;="&amp;CW$3,CLAVE_BIT,$A291)+SUMIFS(SALIDAS_BOV1,FECHA_BOV1,"&gt;="&amp;CW$2,FECHA_BOV1,"&lt;="&amp;CW$3,CLAVE_BOV1,$A291)+SUMIFS(SALIDAS_BOV2,FECHA_BOV2,"&gt;="&amp;CW$2,FECHA_BOV2,"&lt;="&amp;CW$3,CLAVE_BOV2,$A291)+SUMIFS(SALIDAS_BOV3,FECHA_BOV3,"&gt;="&amp;CW$2,FECHA_BOV3,"&lt;="&amp;CW$3,CLAVE_BOV3,$A291)+SUMIFS(SALIDAS_TC,FECHA_TC,"&gt;="&amp;CW$2,FECHA_TC,"&lt;="&amp;CW$3,CLAVE_TC,$A291)+SUMIFS(SALIDAS_COMB,FECHA_COMB,"&gt;="&amp;CW$2,FECHA_COMB,"&lt;="&amp;CW$3,CLAVE_COMB,$A291)+SUMIFS(SALIDAS_DES,FECHA_DESGLOSEN,"&gt;="&amp;CW$2,FECHA_DESGLOSEN,"&lt;="&amp;CW$3,CLAVE_DESGLOSE,$A291)</f>
        <v>0</v>
      </c>
      <c r="CX291" s="13">
        <f>SUMIFS(SALIDAS_BIT,FECHA_BIT,"&gt;="&amp;CX$2,FECHA_BIT,"&lt;="&amp;CX$3,CLAVE_BIT,$A291)+SUMIFS(SALIDAS_BOV1,FECHA_BOV1,"&gt;="&amp;CX$2,FECHA_BOV1,"&lt;="&amp;CX$3,CLAVE_BOV1,$A291)+SUMIFS(SALIDAS_BOV2,FECHA_BOV2,"&gt;="&amp;CX$2,FECHA_BOV2,"&lt;="&amp;CX$3,CLAVE_BOV2,$A291)+SUMIFS(SALIDAS_BOV3,FECHA_BOV3,"&gt;="&amp;CX$2,FECHA_BOV3,"&lt;="&amp;CX$3,CLAVE_BOV3,$A291)+SUMIFS(SALIDAS_TC,FECHA_TC,"&gt;="&amp;CX$2,FECHA_TC,"&lt;="&amp;CX$3,CLAVE_TC,$A291)+SUMIFS(SALIDAS_COMB,FECHA_COMB,"&gt;="&amp;CX$2,FECHA_COMB,"&lt;="&amp;CX$3,CLAVE_COMB,$A291)+SUMIFS(SALIDAS_DES,FECHA_DESGLOSEN,"&gt;="&amp;CX$2,FECHA_DESGLOSEN,"&lt;="&amp;CX$3,CLAVE_DESGLOSE,$A291)</f>
        <v>0</v>
      </c>
      <c r="CY291" s="13">
        <f>SUMIFS(SALIDAS_BIT,FECHA_BIT,"&gt;="&amp;CY$2,FECHA_BIT,"&lt;="&amp;CY$3,CLAVE_BIT,$A291)+SUMIFS(SALIDAS_BOV1,FECHA_BOV1,"&gt;="&amp;CY$2,FECHA_BOV1,"&lt;="&amp;CY$3,CLAVE_BOV1,$A291)+SUMIFS(SALIDAS_BOV2,FECHA_BOV2,"&gt;="&amp;CY$2,FECHA_BOV2,"&lt;="&amp;CY$3,CLAVE_BOV2,$A291)+SUMIFS(SALIDAS_BOV3,FECHA_BOV3,"&gt;="&amp;CY$2,FECHA_BOV3,"&lt;="&amp;CY$3,CLAVE_BOV3,$A291)+SUMIFS(SALIDAS_TC,FECHA_TC,"&gt;="&amp;CY$2,FECHA_TC,"&lt;="&amp;CY$3,CLAVE_TC,$A291)+SUMIFS(SALIDAS_COMB,FECHA_COMB,"&gt;="&amp;CY$2,FECHA_COMB,"&lt;="&amp;CY$3,CLAVE_COMB,$A291)+SUMIFS(SALIDAS_DES,FECHA_DESGLOSEN,"&gt;="&amp;CY$2,FECHA_DESGLOSEN,"&lt;="&amp;CY$3,CLAVE_DESGLOSE,$A291)</f>
        <v>0</v>
      </c>
      <c r="CZ291" s="68">
        <f t="shared" si="474"/>
        <v>220000</v>
      </c>
      <c r="DB291" s="17">
        <f>F291+N291+W291+AE291+AM291+AV291+BD291+BL291+BU291+CC291+CK291</f>
        <v>0</v>
      </c>
      <c r="DC291" s="17">
        <f>K291+T291+AB291+AJ291+AS291+BA291+BI291+BR291+BZ291+CH291+CQ291</f>
        <v>12070</v>
      </c>
    </row>
    <row r="292" spans="1:108" hidden="1">
      <c r="A292" s="12" t="str">
        <f t="shared" si="447"/>
        <v>FINANZASNOMINA ADMONREPRESENTANTE LEGAL</v>
      </c>
      <c r="B292">
        <v>294</v>
      </c>
      <c r="C292" t="s">
        <v>23</v>
      </c>
      <c r="D292" t="s">
        <v>147</v>
      </c>
      <c r="E292" t="s">
        <v>151</v>
      </c>
      <c r="F292" s="259">
        <f t="shared" si="440"/>
        <v>8000</v>
      </c>
      <c r="G292" s="13">
        <f t="shared" si="497"/>
        <v>0</v>
      </c>
      <c r="H292" s="13">
        <f t="shared" si="497"/>
        <v>0</v>
      </c>
      <c r="I292" s="13">
        <f t="shared" si="497"/>
        <v>0</v>
      </c>
      <c r="J292" s="13">
        <f t="shared" si="497"/>
        <v>0</v>
      </c>
      <c r="K292" s="13">
        <f t="shared" si="497"/>
        <v>0</v>
      </c>
      <c r="L292" s="68">
        <f t="shared" si="448"/>
        <v>8000</v>
      </c>
      <c r="M292" s="268">
        <f t="shared" si="449"/>
        <v>0</v>
      </c>
      <c r="N292" s="13">
        <f t="shared" si="441"/>
        <v>8000</v>
      </c>
      <c r="O292" s="13">
        <f t="shared" si="498"/>
        <v>0</v>
      </c>
      <c r="P292" s="13">
        <f t="shared" si="498"/>
        <v>0</v>
      </c>
      <c r="Q292" s="13">
        <f t="shared" si="498"/>
        <v>0</v>
      </c>
      <c r="R292" s="13">
        <f t="shared" si="498"/>
        <v>0</v>
      </c>
      <c r="S292" s="13">
        <f t="shared" si="498"/>
        <v>0</v>
      </c>
      <c r="T292" s="13">
        <f t="shared" si="498"/>
        <v>0</v>
      </c>
      <c r="U292" s="68">
        <f t="shared" si="450"/>
        <v>8000</v>
      </c>
      <c r="V292" s="268">
        <f t="shared" si="451"/>
        <v>0</v>
      </c>
      <c r="W292" s="13">
        <f t="shared" si="442"/>
        <v>8000</v>
      </c>
      <c r="X292" s="13">
        <f t="shared" si="499"/>
        <v>0</v>
      </c>
      <c r="Y292" s="13">
        <f t="shared" si="499"/>
        <v>0</v>
      </c>
      <c r="Z292" s="13">
        <f t="shared" si="499"/>
        <v>0</v>
      </c>
      <c r="AA292" s="13">
        <f t="shared" si="499"/>
        <v>0</v>
      </c>
      <c r="AB292" s="13">
        <f t="shared" si="499"/>
        <v>0</v>
      </c>
      <c r="AC292" s="68">
        <f t="shared" si="452"/>
        <v>8000</v>
      </c>
      <c r="AD292" s="268">
        <f t="shared" si="453"/>
        <v>0</v>
      </c>
      <c r="AE292" s="13">
        <f t="shared" si="443"/>
        <v>8000</v>
      </c>
      <c r="AF292" s="13">
        <f t="shared" si="500"/>
        <v>0</v>
      </c>
      <c r="AG292" s="13">
        <f t="shared" si="500"/>
        <v>0</v>
      </c>
      <c r="AH292" s="13">
        <f t="shared" si="500"/>
        <v>0</v>
      </c>
      <c r="AI292" s="13">
        <f t="shared" si="500"/>
        <v>0</v>
      </c>
      <c r="AJ292" s="13">
        <f t="shared" si="500"/>
        <v>0</v>
      </c>
      <c r="AK292" s="68">
        <f t="shared" si="454"/>
        <v>8000</v>
      </c>
      <c r="AL292" s="268">
        <f t="shared" si="455"/>
        <v>0</v>
      </c>
      <c r="AM292" s="13">
        <f t="shared" si="444"/>
        <v>8000</v>
      </c>
      <c r="AN292" s="13">
        <f t="shared" si="501"/>
        <v>0</v>
      </c>
      <c r="AO292" s="13">
        <f t="shared" si="501"/>
        <v>0</v>
      </c>
      <c r="AP292" s="13">
        <f t="shared" si="501"/>
        <v>0</v>
      </c>
      <c r="AQ292" s="13">
        <f t="shared" si="501"/>
        <v>0</v>
      </c>
      <c r="AR292" s="13">
        <f t="shared" si="501"/>
        <v>0</v>
      </c>
      <c r="AS292" s="13">
        <f t="shared" si="501"/>
        <v>0</v>
      </c>
      <c r="AT292" s="68">
        <f>AM292-AS292</f>
        <v>8000</v>
      </c>
      <c r="AU292" s="268">
        <f t="shared" si="456"/>
        <v>0</v>
      </c>
      <c r="AV292" s="13">
        <f t="shared" si="445"/>
        <v>8000</v>
      </c>
      <c r="AW292" s="13">
        <f t="shared" si="421"/>
        <v>0</v>
      </c>
      <c r="AX292" s="13">
        <f t="shared" si="421"/>
        <v>0</v>
      </c>
      <c r="AY292" s="13">
        <f t="shared" si="421"/>
        <v>0</v>
      </c>
      <c r="AZ292" s="13">
        <f>SUMIFS(SALIDAS_BIT,FECHA_BIT,"&gt;="&amp;AZ$2,FECHA_BIT,"&lt;="&amp;AZ$3,CLAVE_BIT,$A292)+SUMIFS(SALIDAS_BOV1,FECHA_BOV1,"&gt;="&amp;AZ$2,FECHA_BOV1,"&lt;="&amp;AZ$3,CLAVE_BOV1,$A292)+SUMIFS(SALIDAS_BOV2,FECHA_BOV2,"&gt;="&amp;AZ$2,FECHA_BOV2,"&lt;="&amp;AZ$3,CLAVE_BOV2,$A292)+SUMIFS(SALIDAS_BOV3,FECHA_BOV3,"&gt;="&amp;AZ$2,FECHA_BOV3,"&lt;="&amp;AZ$3,CLAVE_BOV3,$A292)+SUMIFS(SALIDAS_TC,FECHA_TC,"&gt;="&amp;AZ$2,FECHA_TC,"&lt;="&amp;AZ$3,CLAVE_TC,$A292)+SUMIFS(SALIDAS_COMB,FECHA_COMB,"&gt;="&amp;AZ$2,FECHA_COMB,"&lt;="&amp;AZ$3,CLAVE_COMB,$A292)+SUMIFS(SALIDAS_DES,FECHA_DESGLOSEN,"&gt;="&amp;AZ$2,FECHA_DESGLOSEN,"&lt;="&amp;AZ$3,CLAVE_DESGLOSE,$A292)</f>
        <v>0</v>
      </c>
      <c r="BA292" s="13">
        <f t="shared" si="475"/>
        <v>0</v>
      </c>
      <c r="BB292" s="68">
        <f t="shared" si="457"/>
        <v>8000</v>
      </c>
      <c r="BC292" s="268">
        <f t="shared" si="458"/>
        <v>0</v>
      </c>
      <c r="BD292" s="13">
        <f t="shared" si="459"/>
        <v>8000</v>
      </c>
      <c r="BE292" s="13">
        <f>SUMIFS(SALIDAS_BIT,FECHA_BIT,"&gt;="&amp;BE$2,FECHA_BIT,"&lt;="&amp;BE$3,CLAVE_BIT,$A292)+SUMIFS(SALIDAS_BOV1,FECHA_BOV1,"&gt;="&amp;BE$2,FECHA_BOV1,"&lt;="&amp;BE$3,CLAVE_BOV1,$A292)+SUMIFS(SALIDAS_BOV2,FECHA_BOV2,"&gt;="&amp;BE$2,FECHA_BOV2,"&lt;="&amp;BE$3,CLAVE_BOV2,$A292)+SUMIFS(SALIDAS_BOV3,FECHA_BOV3,"&gt;="&amp;BE$2,FECHA_BOV3,"&lt;="&amp;BE$3,CLAVE_BOV3,$A292)+SUMIFS(SALIDAS_TC,FECHA_TC,"&gt;="&amp;BE$2,FECHA_TC,"&lt;="&amp;BE$3,CLAVE_TC,$A292)+SUMIFS(SALIDAS_COMB,FECHA_COMB,"&gt;="&amp;BE$2,FECHA_COMB,"&lt;="&amp;BE$3,CLAVE_COMB,$A292)+SUMIFS(SALIDAS_DES,FECHA_DESGLOSEN,"&gt;="&amp;BE$2,FECHA_DESGLOSEN,"&lt;="&amp;BE$3,CLAVE_DESGLOSE,$A292)</f>
        <v>0</v>
      </c>
      <c r="BF292" s="13">
        <f>SUMIFS(SALIDAS_BIT,FECHA_BIT,"&gt;="&amp;BF$2,FECHA_BIT,"&lt;="&amp;BF$3,CLAVE_BIT,$A292)+SUMIFS(SALIDAS_BOV1,FECHA_BOV1,"&gt;="&amp;BF$2,FECHA_BOV1,"&lt;="&amp;BF$3,CLAVE_BOV1,$A292)+SUMIFS(SALIDAS_BOV2,FECHA_BOV2,"&gt;="&amp;BF$2,FECHA_BOV2,"&lt;="&amp;BF$3,CLAVE_BOV2,$A292)+SUMIFS(SALIDAS_BOV3,FECHA_BOV3,"&gt;="&amp;BF$2,FECHA_BOV3,"&lt;="&amp;BF$3,CLAVE_BOV3,$A292)+SUMIFS(SALIDAS_TC,FECHA_TC,"&gt;="&amp;BF$2,FECHA_TC,"&lt;="&amp;BF$3,CLAVE_TC,$A292)+SUMIFS(SALIDAS_COMB,FECHA_COMB,"&gt;="&amp;BF$2,FECHA_COMB,"&lt;="&amp;BF$3,CLAVE_COMB,$A292)+SUMIFS(SALIDAS_DES,FECHA_DESGLOSEN,"&gt;="&amp;BF$2,FECHA_DESGLOSEN,"&lt;="&amp;BF$3,CLAVE_DESGLOSE,$A292)</f>
        <v>0</v>
      </c>
      <c r="BG292" s="13">
        <f>SUMIFS(SALIDAS_BIT,FECHA_BIT,"&gt;="&amp;BG$2,FECHA_BIT,"&lt;="&amp;BG$3,CLAVE_BIT,$A292)+SUMIFS(SALIDAS_BOV1,FECHA_BOV1,"&gt;="&amp;BG$2,FECHA_BOV1,"&lt;="&amp;BG$3,CLAVE_BOV1,$A292)+SUMIFS(SALIDAS_BOV2,FECHA_BOV2,"&gt;="&amp;BG$2,FECHA_BOV2,"&lt;="&amp;BG$3,CLAVE_BOV2,$A292)+SUMIFS(SALIDAS_BOV3,FECHA_BOV3,"&gt;="&amp;BG$2,FECHA_BOV3,"&lt;="&amp;BG$3,CLAVE_BOV3,$A292)+SUMIFS(SALIDAS_TC,FECHA_TC,"&gt;="&amp;BG$2,FECHA_TC,"&lt;="&amp;BG$3,CLAVE_TC,$A292)+SUMIFS(SALIDAS_COMB,FECHA_COMB,"&gt;="&amp;BG$2,FECHA_COMB,"&lt;="&amp;BG$3,CLAVE_COMB,$A292)+SUMIFS(SALIDAS_DES,FECHA_DESGLOSEN,"&gt;="&amp;BG$2,FECHA_DESGLOSEN,"&lt;="&amp;BG$3,CLAVE_DESGLOSE,$A292)</f>
        <v>0</v>
      </c>
      <c r="BH292" s="13">
        <f>SUMIFS(SALIDAS_BIT,FECHA_BIT,"&gt;="&amp;BH$2,FECHA_BIT,"&lt;="&amp;BH$3,CLAVE_BIT,$A292)+SUMIFS(SALIDAS_BOV1,FECHA_BOV1,"&gt;="&amp;BH$2,FECHA_BOV1,"&lt;="&amp;BH$3,CLAVE_BOV1,$A292)+SUMIFS(SALIDAS_BOV2,FECHA_BOV2,"&gt;="&amp;BH$2,FECHA_BOV2,"&lt;="&amp;BH$3,CLAVE_BOV2,$A292)+SUMIFS(SALIDAS_BOV3,FECHA_BOV3,"&gt;="&amp;BH$2,FECHA_BOV3,"&lt;="&amp;BH$3,CLAVE_BOV3,$A292)+SUMIFS(SALIDAS_TC,FECHA_TC,"&gt;="&amp;BH$2,FECHA_TC,"&lt;="&amp;BH$3,CLAVE_TC,$A292)+SUMIFS(SALIDAS_COMB,FECHA_COMB,"&gt;="&amp;BH$2,FECHA_COMB,"&lt;="&amp;BH$3,CLAVE_COMB,$A292)+SUMIFS(SALIDAS_DES,FECHA_DESGLOSEN,"&gt;="&amp;BH$2,FECHA_DESGLOSEN,"&lt;="&amp;BH$3,CLAVE_DESGLOSE,$A292)</f>
        <v>0</v>
      </c>
      <c r="BI292" s="13">
        <f>SUMIFS(SALIDAS_BIT,FECHA_BIT,"&gt;="&amp;BI$2,FECHA_BIT,"&lt;="&amp;BI$3,CLAVE_BIT,$A292)+SUMIFS(SALIDAS_BOV1,FECHA_BOV1,"&gt;="&amp;BI$2,FECHA_BOV1,"&lt;="&amp;BI$3,CLAVE_BOV1,$A292)+SUMIFS(SALIDAS_BOV2,FECHA_BOV2,"&gt;="&amp;BI$2,FECHA_BOV2,"&lt;="&amp;BI$3,CLAVE_BOV2,$A292)+SUMIFS(SALIDAS_BOV3,FECHA_BOV3,"&gt;="&amp;BI$2,FECHA_BOV3,"&lt;="&amp;BI$3,CLAVE_BOV3,$A292)+SUMIFS(SALIDAS_TC,FECHA_TC,"&gt;="&amp;BI$2,FECHA_TC,"&lt;="&amp;BI$3,CLAVE_TC,$A292)+SUMIFS(SALIDAS_COMB,FECHA_COMB,"&gt;="&amp;BI$2,FECHA_COMB,"&lt;="&amp;BI$3,CLAVE_COMB,$A292)+SUMIFS(SALIDAS_DES,FECHA_DESGLOSEN,"&gt;="&amp;BI$2,FECHA_DESGLOSEN,"&lt;="&amp;BI$3,CLAVE_DESGLOSE,$A292)</f>
        <v>0</v>
      </c>
      <c r="BJ292" s="68">
        <f t="shared" si="460"/>
        <v>8000</v>
      </c>
      <c r="BK292" s="268">
        <f t="shared" si="461"/>
        <v>0</v>
      </c>
      <c r="BL292" s="13">
        <f t="shared" si="462"/>
        <v>8000</v>
      </c>
      <c r="BM292" s="13">
        <f>SUMIFS(SALIDAS_BIT,FECHA_BIT,"&gt;="&amp;BM$2,FECHA_BIT,"&lt;="&amp;BM$3,CLAVE_BIT,$A292)+SUMIFS(SALIDAS_BOV1,FECHA_BOV1,"&gt;="&amp;BM$2,FECHA_BOV1,"&lt;="&amp;BM$3,CLAVE_BOV1,$A292)+SUMIFS(SALIDAS_BOV2,FECHA_BOV2,"&gt;="&amp;BM$2,FECHA_BOV2,"&lt;="&amp;BM$3,CLAVE_BOV2,$A292)+SUMIFS(SALIDAS_BOV3,FECHA_BOV3,"&gt;="&amp;BM$2,FECHA_BOV3,"&lt;="&amp;BM$3,CLAVE_BOV3,$A292)+SUMIFS(SALIDAS_TC,FECHA_TC,"&gt;="&amp;BM$2,FECHA_TC,"&lt;="&amp;BM$3,CLAVE_TC,$A292)+SUMIFS(SALIDAS_COMB,FECHA_COMB,"&gt;="&amp;BM$2,FECHA_COMB,"&lt;="&amp;BM$3,CLAVE_COMB,$A292)+SUMIFS(SALIDAS_DES,FECHA_DESGLOSEN,"&gt;="&amp;BM$2,FECHA_DESGLOSEN,"&lt;="&amp;BM$3,CLAVE_DESGLOSE,$A292)</f>
        <v>0</v>
      </c>
      <c r="BN292" s="13">
        <f>SUMIFS(SALIDAS_BIT,FECHA_BIT,"&gt;="&amp;BN$2,FECHA_BIT,"&lt;="&amp;BN$3,CLAVE_BIT,$A292)+SUMIFS(SALIDAS_BOV1,FECHA_BOV1,"&gt;="&amp;BN$2,FECHA_BOV1,"&lt;="&amp;BN$3,CLAVE_BOV1,$A292)+SUMIFS(SALIDAS_BOV2,FECHA_BOV2,"&gt;="&amp;BN$2,FECHA_BOV2,"&lt;="&amp;BN$3,CLAVE_BOV2,$A292)+SUMIFS(SALIDAS_BOV3,FECHA_BOV3,"&gt;="&amp;BN$2,FECHA_BOV3,"&lt;="&amp;BN$3,CLAVE_BOV3,$A292)+SUMIFS(SALIDAS_TC,FECHA_TC,"&gt;="&amp;BN$2,FECHA_TC,"&lt;="&amp;BN$3,CLAVE_TC,$A292)+SUMIFS(SALIDAS_COMB,FECHA_COMB,"&gt;="&amp;BN$2,FECHA_COMB,"&lt;="&amp;BN$3,CLAVE_COMB,$A292)+SUMIFS(SALIDAS_DES,FECHA_DESGLOSEN,"&gt;="&amp;BN$2,FECHA_DESGLOSEN,"&lt;="&amp;BN$3,CLAVE_DESGLOSE,$A292)</f>
        <v>0</v>
      </c>
      <c r="BO292" s="13">
        <f>SUMIFS(SALIDAS_BIT,FECHA_BIT,"&gt;="&amp;BO$2,FECHA_BIT,"&lt;="&amp;BO$3,CLAVE_BIT,$A292)+SUMIFS(SALIDAS_BOV1,FECHA_BOV1,"&gt;="&amp;BO$2,FECHA_BOV1,"&lt;="&amp;BO$3,CLAVE_BOV1,$A292)+SUMIFS(SALIDAS_BOV2,FECHA_BOV2,"&gt;="&amp;BO$2,FECHA_BOV2,"&lt;="&amp;BO$3,CLAVE_BOV2,$A292)+SUMIFS(SALIDAS_BOV3,FECHA_BOV3,"&gt;="&amp;BO$2,FECHA_BOV3,"&lt;="&amp;BO$3,CLAVE_BOV3,$A292)+SUMIFS(SALIDAS_TC,FECHA_TC,"&gt;="&amp;BO$2,FECHA_TC,"&lt;="&amp;BO$3,CLAVE_TC,$A292)+SUMIFS(SALIDAS_COMB,FECHA_COMB,"&gt;="&amp;BO$2,FECHA_COMB,"&lt;="&amp;BO$3,CLAVE_COMB,$A292)+SUMIFS(SALIDAS_DES,FECHA_DESGLOSEN,"&gt;="&amp;BO$2,FECHA_DESGLOSEN,"&lt;="&amp;BO$3,CLAVE_DESGLOSE,$A292)</f>
        <v>0</v>
      </c>
      <c r="BP292" s="13">
        <f>SUMIFS(SALIDAS_BIT,FECHA_BIT,"&gt;="&amp;BP$2,FECHA_BIT,"&lt;="&amp;BP$3,CLAVE_BIT,$A292)+SUMIFS(SALIDAS_BOV1,FECHA_BOV1,"&gt;="&amp;BP$2,FECHA_BOV1,"&lt;="&amp;BP$3,CLAVE_BOV1,$A292)+SUMIFS(SALIDAS_BOV2,FECHA_BOV2,"&gt;="&amp;BP$2,FECHA_BOV2,"&lt;="&amp;BP$3,CLAVE_BOV2,$A292)+SUMIFS(SALIDAS_BOV3,FECHA_BOV3,"&gt;="&amp;BP$2,FECHA_BOV3,"&lt;="&amp;BP$3,CLAVE_BOV3,$A292)+SUMIFS(SALIDAS_TC,FECHA_TC,"&gt;="&amp;BP$2,FECHA_TC,"&lt;="&amp;BP$3,CLAVE_TC,$A292)+SUMIFS(SALIDAS_COMB,FECHA_COMB,"&gt;="&amp;BP$2,FECHA_COMB,"&lt;="&amp;BP$3,CLAVE_COMB,$A292)+SUMIFS(SALIDAS_DES,FECHA_DESGLOSEN,"&gt;="&amp;BP$2,FECHA_DESGLOSEN,"&lt;="&amp;BP$3,CLAVE_DESGLOSE,$A292)</f>
        <v>0</v>
      </c>
      <c r="BQ292" s="13">
        <f>SUMIFS(SALIDAS_BIT,FECHA_BIT,"&gt;="&amp;BQ$2,FECHA_BIT,"&lt;="&amp;BQ$3,CLAVE_BIT,$A292)+SUMIFS(SALIDAS_BOV1,FECHA_BOV1,"&gt;="&amp;BQ$2,FECHA_BOV1,"&lt;="&amp;BQ$3,CLAVE_BOV1,$A292)+SUMIFS(SALIDAS_BOV2,FECHA_BOV2,"&gt;="&amp;BQ$2,FECHA_BOV2,"&lt;="&amp;BQ$3,CLAVE_BOV2,$A292)+SUMIFS(SALIDAS_BOV3,FECHA_BOV3,"&gt;="&amp;BQ$2,FECHA_BOV3,"&lt;="&amp;BQ$3,CLAVE_BOV3,$A292)+SUMIFS(SALIDAS_TC,FECHA_TC,"&gt;="&amp;BQ$2,FECHA_TC,"&lt;="&amp;BQ$3,CLAVE_TC,$A292)+SUMIFS(SALIDAS_COMB,FECHA_COMB,"&gt;="&amp;BQ$2,FECHA_COMB,"&lt;="&amp;BQ$3,CLAVE_COMB,$A292)+SUMIFS(SALIDAS_DES,FECHA_DESGLOSEN,"&gt;="&amp;BQ$2,FECHA_DESGLOSEN,"&lt;="&amp;BQ$3,CLAVE_DESGLOSE,$A292)</f>
        <v>0</v>
      </c>
      <c r="BR292" s="13">
        <f>SUMIFS(SALIDAS_BIT,FECHA_BIT,"&gt;="&amp;BR$2,FECHA_BIT,"&lt;="&amp;BR$3,CLAVE_BIT,$A292)+SUMIFS(SALIDAS_BOV1,FECHA_BOV1,"&gt;="&amp;BR$2,FECHA_BOV1,"&lt;="&amp;BR$3,CLAVE_BOV1,$A292)+SUMIFS(SALIDAS_BOV2,FECHA_BOV2,"&gt;="&amp;BR$2,FECHA_BOV2,"&lt;="&amp;BR$3,CLAVE_BOV2,$A292)+SUMIFS(SALIDAS_BOV3,FECHA_BOV3,"&gt;="&amp;BR$2,FECHA_BOV3,"&lt;="&amp;BR$3,CLAVE_BOV3,$A292)+SUMIFS(SALIDAS_TC,FECHA_TC,"&gt;="&amp;BR$2,FECHA_TC,"&lt;="&amp;BR$3,CLAVE_TC,$A292)+SUMIFS(SALIDAS_COMB,FECHA_COMB,"&gt;="&amp;BR$2,FECHA_COMB,"&lt;="&amp;BR$3,CLAVE_COMB,$A292)+SUMIFS(SALIDAS_DES,FECHA_DESGLOSEN,"&gt;="&amp;BR$2,FECHA_DESGLOSEN,"&lt;="&amp;BR$3,CLAVE_DESGLOSE,$A292)</f>
        <v>0</v>
      </c>
      <c r="BS292" s="68">
        <f t="shared" si="463"/>
        <v>8000</v>
      </c>
      <c r="BT292" s="268">
        <f t="shared" si="464"/>
        <v>0</v>
      </c>
      <c r="BU292" s="13">
        <f t="shared" si="465"/>
        <v>8000</v>
      </c>
      <c r="BV292" s="13">
        <f t="shared" si="485"/>
        <v>0</v>
      </c>
      <c r="BW292" s="13">
        <f t="shared" si="485"/>
        <v>0</v>
      </c>
      <c r="BX292" s="13">
        <f t="shared" si="485"/>
        <v>0</v>
      </c>
      <c r="BY292" s="13">
        <f t="shared" si="485"/>
        <v>0</v>
      </c>
      <c r="BZ292" s="13">
        <f t="shared" si="503"/>
        <v>0</v>
      </c>
      <c r="CA292" s="68">
        <f t="shared" si="466"/>
        <v>8000</v>
      </c>
      <c r="CB292" s="268">
        <f t="shared" si="467"/>
        <v>0</v>
      </c>
      <c r="CC292" s="13">
        <f t="shared" si="468"/>
        <v>8000</v>
      </c>
      <c r="CD292" s="13">
        <f t="shared" si="486"/>
        <v>0</v>
      </c>
      <c r="CE292" s="13">
        <f t="shared" si="486"/>
        <v>0</v>
      </c>
      <c r="CF292" s="13">
        <f t="shared" si="486"/>
        <v>0</v>
      </c>
      <c r="CG292" s="13">
        <f t="shared" si="486"/>
        <v>0</v>
      </c>
      <c r="CH292" s="13">
        <f t="shared" si="504"/>
        <v>0</v>
      </c>
      <c r="CI292" s="68">
        <f t="shared" si="469"/>
        <v>8000</v>
      </c>
      <c r="CJ292" s="268">
        <f t="shared" si="470"/>
        <v>0</v>
      </c>
      <c r="CK292" s="13">
        <f t="shared" si="471"/>
        <v>8000</v>
      </c>
      <c r="CL292" s="13">
        <f t="shared" si="495"/>
        <v>0</v>
      </c>
      <c r="CM292" s="13">
        <f t="shared" si="495"/>
        <v>0</v>
      </c>
      <c r="CN292" s="13">
        <f t="shared" si="495"/>
        <v>0</v>
      </c>
      <c r="CO292" s="13">
        <f t="shared" si="495"/>
        <v>0</v>
      </c>
      <c r="CP292" s="13">
        <f t="shared" si="495"/>
        <v>0</v>
      </c>
      <c r="CQ292" s="13">
        <f t="shared" si="505"/>
        <v>0</v>
      </c>
      <c r="CR292" s="68">
        <f t="shared" si="472"/>
        <v>8000</v>
      </c>
      <c r="CS292" s="268">
        <f t="shared" si="473"/>
        <v>0</v>
      </c>
      <c r="CT292" s="68">
        <f t="shared" si="446"/>
        <v>8000</v>
      </c>
      <c r="CU292" s="13">
        <f>SUMIFS(SALIDAS_BIT,FECHA_BIT,"&gt;="&amp;CU$2,FECHA_BIT,"&lt;="&amp;CU$3,CLAVE_BIT,$A292)+SUMIFS(SALIDAS_BOV1,FECHA_BOV1,"&gt;="&amp;CU$2,FECHA_BOV1,"&lt;="&amp;CU$3,CLAVE_BOV1,$A292)+SUMIFS(SALIDAS_BOV2,FECHA_BOV2,"&gt;="&amp;CU$2,FECHA_BOV2,"&lt;="&amp;CU$3,CLAVE_BOV2,$A292)+SUMIFS(SALIDAS_BOV3,FECHA_BOV3,"&gt;="&amp;CU$2,FECHA_BOV3,"&lt;="&amp;CU$3,CLAVE_BOV3,$A292)+SUMIFS(SALIDAS_TC,FECHA_TC,"&gt;="&amp;CU$2,FECHA_TC,"&lt;="&amp;CU$3,CLAVE_TC,$A292)+SUMIFS(SALIDAS_COMB,FECHA_COMB,"&gt;="&amp;CU$2,FECHA_COMB,"&lt;="&amp;CU$3,CLAVE_COMB,$A292)+SUMIFS(SALIDAS_DES,FECHA_DESGLOSEN,"&gt;="&amp;CU$2,FECHA_DESGLOSEN,"&lt;="&amp;CU$3,CLAVE_DESGLOSE,$A292)</f>
        <v>0</v>
      </c>
      <c r="CV292" s="13">
        <f>SUMIFS(SALIDAS_BIT,FECHA_BIT,"&gt;="&amp;CV$2,FECHA_BIT,"&lt;="&amp;CV$3,CLAVE_BIT,$A292)+SUMIFS(SALIDAS_BOV1,FECHA_BOV1,"&gt;="&amp;CV$2,FECHA_BOV1,"&lt;="&amp;CV$3,CLAVE_BOV1,$A292)+SUMIFS(SALIDAS_BOV2,FECHA_BOV2,"&gt;="&amp;CV$2,FECHA_BOV2,"&lt;="&amp;CV$3,CLAVE_BOV2,$A292)+SUMIFS(SALIDAS_BOV3,FECHA_BOV3,"&gt;="&amp;CV$2,FECHA_BOV3,"&lt;="&amp;CV$3,CLAVE_BOV3,$A292)+SUMIFS(SALIDAS_TC,FECHA_TC,"&gt;="&amp;CV$2,FECHA_TC,"&lt;="&amp;CV$3,CLAVE_TC,$A292)+SUMIFS(SALIDAS_COMB,FECHA_COMB,"&gt;="&amp;CV$2,FECHA_COMB,"&lt;="&amp;CV$3,CLAVE_COMB,$A292)+SUMIFS(SALIDAS_DES,FECHA_DESGLOSEN,"&gt;="&amp;CV$2,FECHA_DESGLOSEN,"&lt;="&amp;CV$3,CLAVE_DESGLOSE,$A292)</f>
        <v>0</v>
      </c>
      <c r="CW292" s="13">
        <f>SUMIFS(SALIDAS_BIT,FECHA_BIT,"&gt;="&amp;CW$2,FECHA_BIT,"&lt;="&amp;CW$3,CLAVE_BIT,$A292)+SUMIFS(SALIDAS_BOV1,FECHA_BOV1,"&gt;="&amp;CW$2,FECHA_BOV1,"&lt;="&amp;CW$3,CLAVE_BOV1,$A292)+SUMIFS(SALIDAS_BOV2,FECHA_BOV2,"&gt;="&amp;CW$2,FECHA_BOV2,"&lt;="&amp;CW$3,CLAVE_BOV2,$A292)+SUMIFS(SALIDAS_BOV3,FECHA_BOV3,"&gt;="&amp;CW$2,FECHA_BOV3,"&lt;="&amp;CW$3,CLAVE_BOV3,$A292)+SUMIFS(SALIDAS_TC,FECHA_TC,"&gt;="&amp;CW$2,FECHA_TC,"&lt;="&amp;CW$3,CLAVE_TC,$A292)+SUMIFS(SALIDAS_COMB,FECHA_COMB,"&gt;="&amp;CW$2,FECHA_COMB,"&lt;="&amp;CW$3,CLAVE_COMB,$A292)+SUMIFS(SALIDAS_DES,FECHA_DESGLOSEN,"&gt;="&amp;CW$2,FECHA_DESGLOSEN,"&lt;="&amp;CW$3,CLAVE_DESGLOSE,$A292)</f>
        <v>0</v>
      </c>
      <c r="CX292" s="13">
        <f>SUMIFS(SALIDAS_BIT,FECHA_BIT,"&gt;="&amp;CX$2,FECHA_BIT,"&lt;="&amp;CX$3,CLAVE_BIT,$A292)+SUMIFS(SALIDAS_BOV1,FECHA_BOV1,"&gt;="&amp;CX$2,FECHA_BOV1,"&lt;="&amp;CX$3,CLAVE_BOV1,$A292)+SUMIFS(SALIDAS_BOV2,FECHA_BOV2,"&gt;="&amp;CX$2,FECHA_BOV2,"&lt;="&amp;CX$3,CLAVE_BOV2,$A292)+SUMIFS(SALIDAS_BOV3,FECHA_BOV3,"&gt;="&amp;CX$2,FECHA_BOV3,"&lt;="&amp;CX$3,CLAVE_BOV3,$A292)+SUMIFS(SALIDAS_TC,FECHA_TC,"&gt;="&amp;CX$2,FECHA_TC,"&lt;="&amp;CX$3,CLAVE_TC,$A292)+SUMIFS(SALIDAS_COMB,FECHA_COMB,"&gt;="&amp;CX$2,FECHA_COMB,"&lt;="&amp;CX$3,CLAVE_COMB,$A292)+SUMIFS(SALIDAS_DES,FECHA_DESGLOSEN,"&gt;="&amp;CX$2,FECHA_DESGLOSEN,"&lt;="&amp;CX$3,CLAVE_DESGLOSE,$A292)</f>
        <v>0</v>
      </c>
      <c r="CY292" s="13">
        <f>SUMIFS(SALIDAS_BIT,FECHA_BIT,"&gt;="&amp;CY$2,FECHA_BIT,"&lt;="&amp;CY$3,CLAVE_BIT,$A292)+SUMIFS(SALIDAS_BOV1,FECHA_BOV1,"&gt;="&amp;CY$2,FECHA_BOV1,"&lt;="&amp;CY$3,CLAVE_BOV1,$A292)+SUMIFS(SALIDAS_BOV2,FECHA_BOV2,"&gt;="&amp;CY$2,FECHA_BOV2,"&lt;="&amp;CY$3,CLAVE_BOV2,$A292)+SUMIFS(SALIDAS_BOV3,FECHA_BOV3,"&gt;="&amp;CY$2,FECHA_BOV3,"&lt;="&amp;CY$3,CLAVE_BOV3,$A292)+SUMIFS(SALIDAS_TC,FECHA_TC,"&gt;="&amp;CY$2,FECHA_TC,"&lt;="&amp;CY$3,CLAVE_TC,$A292)+SUMIFS(SALIDAS_COMB,FECHA_COMB,"&gt;="&amp;CY$2,FECHA_COMB,"&lt;="&amp;CY$3,CLAVE_COMB,$A292)+SUMIFS(SALIDAS_DES,FECHA_DESGLOSEN,"&gt;="&amp;CY$2,FECHA_DESGLOSEN,"&lt;="&amp;CY$3,CLAVE_DESGLOSE,$A292)</f>
        <v>0</v>
      </c>
      <c r="CZ292" s="68">
        <f t="shared" si="474"/>
        <v>8000</v>
      </c>
      <c r="DB292" s="17">
        <f>F292+N292+W292+AE292+AM292+AV292+BD292+BL292+BU292+CC292+CK292</f>
        <v>88000</v>
      </c>
      <c r="DC292" s="17">
        <f>K292+T292+AB292+AJ292+AS292+BA292+BI292+BR292+BZ292+CH292+CQ292</f>
        <v>0</v>
      </c>
    </row>
    <row r="293" spans="1:108" hidden="1">
      <c r="A293" s="12" t="str">
        <f t="shared" si="447"/>
        <v>DEGDNCGDNC</v>
      </c>
      <c r="B293">
        <v>295</v>
      </c>
      <c r="C293" t="s">
        <v>41</v>
      </c>
      <c r="D293" t="s">
        <v>123</v>
      </c>
      <c r="E293" t="s">
        <v>123</v>
      </c>
      <c r="F293" s="259">
        <f t="shared" si="440"/>
        <v>0</v>
      </c>
      <c r="G293" s="13">
        <f t="shared" si="497"/>
        <v>0</v>
      </c>
      <c r="H293" s="13">
        <f t="shared" si="497"/>
        <v>0</v>
      </c>
      <c r="I293" s="13">
        <f t="shared" si="497"/>
        <v>0</v>
      </c>
      <c r="J293" s="13">
        <f t="shared" si="497"/>
        <v>0</v>
      </c>
      <c r="K293" s="13">
        <f t="shared" si="497"/>
        <v>0</v>
      </c>
      <c r="L293" s="68">
        <f t="shared" si="448"/>
        <v>0</v>
      </c>
      <c r="M293" s="268">
        <f t="shared" si="449"/>
        <v>0</v>
      </c>
      <c r="N293" s="13">
        <f t="shared" si="441"/>
        <v>0</v>
      </c>
      <c r="O293" s="13">
        <f t="shared" si="498"/>
        <v>0</v>
      </c>
      <c r="P293" s="13">
        <f t="shared" si="498"/>
        <v>0</v>
      </c>
      <c r="Q293" s="13">
        <f t="shared" si="498"/>
        <v>0</v>
      </c>
      <c r="R293" s="13">
        <f t="shared" si="498"/>
        <v>0</v>
      </c>
      <c r="S293" s="13">
        <f t="shared" si="498"/>
        <v>0</v>
      </c>
      <c r="T293" s="13">
        <f t="shared" si="498"/>
        <v>0</v>
      </c>
      <c r="U293" s="68">
        <f t="shared" si="450"/>
        <v>0</v>
      </c>
      <c r="V293" s="268">
        <f t="shared" si="451"/>
        <v>0</v>
      </c>
      <c r="W293" s="13">
        <f t="shared" si="442"/>
        <v>0</v>
      </c>
      <c r="X293" s="13">
        <f t="shared" si="499"/>
        <v>0</v>
      </c>
      <c r="Y293" s="13">
        <f t="shared" si="499"/>
        <v>0</v>
      </c>
      <c r="Z293" s="13">
        <f t="shared" si="499"/>
        <v>0</v>
      </c>
      <c r="AA293" s="13">
        <f t="shared" si="499"/>
        <v>0</v>
      </c>
      <c r="AB293" s="13">
        <f t="shared" si="499"/>
        <v>0</v>
      </c>
      <c r="AC293" s="68">
        <f t="shared" si="452"/>
        <v>0</v>
      </c>
      <c r="AD293" s="268">
        <f t="shared" si="453"/>
        <v>0</v>
      </c>
      <c r="AE293" s="13">
        <f t="shared" si="443"/>
        <v>0</v>
      </c>
      <c r="AF293" s="13">
        <f t="shared" si="500"/>
        <v>0</v>
      </c>
      <c r="AG293" s="13">
        <f t="shared" si="500"/>
        <v>0</v>
      </c>
      <c r="AH293" s="13">
        <f t="shared" si="500"/>
        <v>0</v>
      </c>
      <c r="AI293" s="13">
        <f t="shared" si="500"/>
        <v>0</v>
      </c>
      <c r="AJ293" s="13">
        <f t="shared" si="500"/>
        <v>0</v>
      </c>
      <c r="AK293" s="68">
        <f t="shared" si="454"/>
        <v>0</v>
      </c>
      <c r="AL293" s="268">
        <f t="shared" si="455"/>
        <v>0</v>
      </c>
      <c r="AM293" s="13">
        <f t="shared" si="444"/>
        <v>0</v>
      </c>
      <c r="AN293" s="13">
        <f t="shared" si="501"/>
        <v>0</v>
      </c>
      <c r="AO293" s="13">
        <f t="shared" si="501"/>
        <v>0</v>
      </c>
      <c r="AP293" s="13">
        <f t="shared" si="501"/>
        <v>0</v>
      </c>
      <c r="AQ293" s="13">
        <f t="shared" si="501"/>
        <v>0</v>
      </c>
      <c r="AR293" s="13">
        <f t="shared" si="501"/>
        <v>0</v>
      </c>
      <c r="AS293" s="13">
        <f t="shared" si="501"/>
        <v>0</v>
      </c>
      <c r="AT293" s="68">
        <f>AM293-AS293</f>
        <v>0</v>
      </c>
      <c r="AU293" s="268">
        <f t="shared" si="456"/>
        <v>0</v>
      </c>
      <c r="AV293" s="13">
        <f t="shared" si="445"/>
        <v>0</v>
      </c>
      <c r="AW293" s="13">
        <f t="shared" si="421"/>
        <v>0</v>
      </c>
      <c r="AX293" s="13">
        <f t="shared" si="421"/>
        <v>0</v>
      </c>
      <c r="AY293" s="13">
        <f t="shared" si="421"/>
        <v>0</v>
      </c>
      <c r="AZ293" s="13">
        <f t="shared" si="421"/>
        <v>0</v>
      </c>
      <c r="BA293" s="13">
        <f t="shared" si="475"/>
        <v>0</v>
      </c>
      <c r="BB293" s="68">
        <f t="shared" si="457"/>
        <v>0</v>
      </c>
      <c r="BC293" s="268">
        <f t="shared" si="458"/>
        <v>0</v>
      </c>
      <c r="BD293" s="13">
        <f t="shared" si="459"/>
        <v>0</v>
      </c>
      <c r="BE293" s="13">
        <f>SUMIFS(SALIDAS_BIT,FECHA_BIT,"&gt;="&amp;BE$2,FECHA_BIT,"&lt;="&amp;BE$3,CLAVE_BIT,$A293)+SUMIFS(SALIDAS_BOV1,FECHA_BOV1,"&gt;="&amp;BE$2,FECHA_BOV1,"&lt;="&amp;BE$3,CLAVE_BOV1,$A293)+SUMIFS(SALIDAS_BOV2,FECHA_BOV2,"&gt;="&amp;BE$2,FECHA_BOV2,"&lt;="&amp;BE$3,CLAVE_BOV2,$A293)+SUMIFS(SALIDAS_BOV3,FECHA_BOV3,"&gt;="&amp;BE$2,FECHA_BOV3,"&lt;="&amp;BE$3,CLAVE_BOV3,$A293)+SUMIFS(SALIDAS_TC,FECHA_TC,"&gt;="&amp;BE$2,FECHA_TC,"&lt;="&amp;BE$3,CLAVE_TC,$A293)+SUMIFS(SALIDAS_COMB,FECHA_COMB,"&gt;="&amp;BE$2,FECHA_COMB,"&lt;="&amp;BE$3,CLAVE_COMB,$A293)+SUMIFS(SALIDAS_DES,FECHA_DESGLOSEN,"&gt;="&amp;BE$2,FECHA_DESGLOSEN,"&lt;="&amp;BE$3,CLAVE_DESGLOSE,$A293)</f>
        <v>0</v>
      </c>
      <c r="BF293" s="13">
        <f>SUMIFS(SALIDAS_BIT,FECHA_BIT,"&gt;="&amp;BF$2,FECHA_BIT,"&lt;="&amp;BF$3,CLAVE_BIT,$A293)+SUMIFS(SALIDAS_BOV1,FECHA_BOV1,"&gt;="&amp;BF$2,FECHA_BOV1,"&lt;="&amp;BF$3,CLAVE_BOV1,$A293)+SUMIFS(SALIDAS_BOV2,FECHA_BOV2,"&gt;="&amp;BF$2,FECHA_BOV2,"&lt;="&amp;BF$3,CLAVE_BOV2,$A293)+SUMIFS(SALIDAS_BOV3,FECHA_BOV3,"&gt;="&amp;BF$2,FECHA_BOV3,"&lt;="&amp;BF$3,CLAVE_BOV3,$A293)+SUMIFS(SALIDAS_TC,FECHA_TC,"&gt;="&amp;BF$2,FECHA_TC,"&lt;="&amp;BF$3,CLAVE_TC,$A293)+SUMIFS(SALIDAS_COMB,FECHA_COMB,"&gt;="&amp;BF$2,FECHA_COMB,"&lt;="&amp;BF$3,CLAVE_COMB,$A293)+SUMIFS(SALIDAS_DES,FECHA_DESGLOSEN,"&gt;="&amp;BF$2,FECHA_DESGLOSEN,"&lt;="&amp;BF$3,CLAVE_DESGLOSE,$A293)</f>
        <v>0</v>
      </c>
      <c r="BG293" s="13">
        <f>SUMIFS(SALIDAS_BIT,FECHA_BIT,"&gt;="&amp;BG$2,FECHA_BIT,"&lt;="&amp;BG$3,CLAVE_BIT,$A293)+SUMIFS(SALIDAS_BOV1,FECHA_BOV1,"&gt;="&amp;BG$2,FECHA_BOV1,"&lt;="&amp;BG$3,CLAVE_BOV1,$A293)+SUMIFS(SALIDAS_BOV2,FECHA_BOV2,"&gt;="&amp;BG$2,FECHA_BOV2,"&lt;="&amp;BG$3,CLAVE_BOV2,$A293)+SUMIFS(SALIDAS_BOV3,FECHA_BOV3,"&gt;="&amp;BG$2,FECHA_BOV3,"&lt;="&amp;BG$3,CLAVE_BOV3,$A293)+SUMIFS(SALIDAS_TC,FECHA_TC,"&gt;="&amp;BG$2,FECHA_TC,"&lt;="&amp;BG$3,CLAVE_TC,$A293)+SUMIFS(SALIDAS_COMB,FECHA_COMB,"&gt;="&amp;BG$2,FECHA_COMB,"&lt;="&amp;BG$3,CLAVE_COMB,$A293)+SUMIFS(SALIDAS_DES,FECHA_DESGLOSEN,"&gt;="&amp;BG$2,FECHA_DESGLOSEN,"&lt;="&amp;BG$3,CLAVE_DESGLOSE,$A293)</f>
        <v>0</v>
      </c>
      <c r="BH293" s="13">
        <f>SUMIFS(SALIDAS_BIT,FECHA_BIT,"&gt;="&amp;BH$2,FECHA_BIT,"&lt;="&amp;BH$3,CLAVE_BIT,$A293)+SUMIFS(SALIDAS_BOV1,FECHA_BOV1,"&gt;="&amp;BH$2,FECHA_BOV1,"&lt;="&amp;BH$3,CLAVE_BOV1,$A293)+SUMIFS(SALIDAS_BOV2,FECHA_BOV2,"&gt;="&amp;BH$2,FECHA_BOV2,"&lt;="&amp;BH$3,CLAVE_BOV2,$A293)+SUMIFS(SALIDAS_BOV3,FECHA_BOV3,"&gt;="&amp;BH$2,FECHA_BOV3,"&lt;="&amp;BH$3,CLAVE_BOV3,$A293)+SUMIFS(SALIDAS_TC,FECHA_TC,"&gt;="&amp;BH$2,FECHA_TC,"&lt;="&amp;BH$3,CLAVE_TC,$A293)+SUMIFS(SALIDAS_COMB,FECHA_COMB,"&gt;="&amp;BH$2,FECHA_COMB,"&lt;="&amp;BH$3,CLAVE_COMB,$A293)+SUMIFS(SALIDAS_DES,FECHA_DESGLOSEN,"&gt;="&amp;BH$2,FECHA_DESGLOSEN,"&lt;="&amp;BH$3,CLAVE_DESGLOSE,$A293)</f>
        <v>0</v>
      </c>
      <c r="BI293" s="13">
        <f t="shared" si="419"/>
        <v>0</v>
      </c>
      <c r="BJ293" s="68">
        <f t="shared" si="460"/>
        <v>0</v>
      </c>
      <c r="BK293" s="268">
        <f t="shared" si="461"/>
        <v>0</v>
      </c>
      <c r="BL293" s="13">
        <f t="shared" si="462"/>
        <v>0</v>
      </c>
      <c r="BM293" s="13">
        <f>SUMIFS(SALIDAS_BIT,FECHA_BIT,"&gt;="&amp;BM$2,FECHA_BIT,"&lt;="&amp;BM$3,CLAVE_BIT,$A293)+SUMIFS(SALIDAS_BOV1,FECHA_BOV1,"&gt;="&amp;BM$2,FECHA_BOV1,"&lt;="&amp;BM$3,CLAVE_BOV1,$A293)+SUMIFS(SALIDAS_BOV2,FECHA_BOV2,"&gt;="&amp;BM$2,FECHA_BOV2,"&lt;="&amp;BM$3,CLAVE_BOV2,$A293)+SUMIFS(SALIDAS_BOV3,FECHA_BOV3,"&gt;="&amp;BM$2,FECHA_BOV3,"&lt;="&amp;BM$3,CLAVE_BOV3,$A293)+SUMIFS(SALIDAS_TC,FECHA_TC,"&gt;="&amp;BM$2,FECHA_TC,"&lt;="&amp;BM$3,CLAVE_TC,$A293)+SUMIFS(SALIDAS_COMB,FECHA_COMB,"&gt;="&amp;BM$2,FECHA_COMB,"&lt;="&amp;BM$3,CLAVE_COMB,$A293)+SUMIFS(SALIDAS_DES,FECHA_DESGLOSEN,"&gt;="&amp;BM$2,FECHA_DESGLOSEN,"&lt;="&amp;BM$3,CLAVE_DESGLOSE,$A293)</f>
        <v>0</v>
      </c>
      <c r="BN293" s="13">
        <f>SUMIFS(SALIDAS_BIT,FECHA_BIT,"&gt;="&amp;BN$2,FECHA_BIT,"&lt;="&amp;BN$3,CLAVE_BIT,$A293)+SUMIFS(SALIDAS_BOV1,FECHA_BOV1,"&gt;="&amp;BN$2,FECHA_BOV1,"&lt;="&amp;BN$3,CLAVE_BOV1,$A293)+SUMIFS(SALIDAS_BOV2,FECHA_BOV2,"&gt;="&amp;BN$2,FECHA_BOV2,"&lt;="&amp;BN$3,CLAVE_BOV2,$A293)+SUMIFS(SALIDAS_BOV3,FECHA_BOV3,"&gt;="&amp;BN$2,FECHA_BOV3,"&lt;="&amp;BN$3,CLAVE_BOV3,$A293)+SUMIFS(SALIDAS_TC,FECHA_TC,"&gt;="&amp;BN$2,FECHA_TC,"&lt;="&amp;BN$3,CLAVE_TC,$A293)+SUMIFS(SALIDAS_COMB,FECHA_COMB,"&gt;="&amp;BN$2,FECHA_COMB,"&lt;="&amp;BN$3,CLAVE_COMB,$A293)+SUMIFS(SALIDAS_DES,FECHA_DESGLOSEN,"&gt;="&amp;BN$2,FECHA_DESGLOSEN,"&lt;="&amp;BN$3,CLAVE_DESGLOSE,$A293)</f>
        <v>0</v>
      </c>
      <c r="BO293" s="13">
        <f>SUMIFS(SALIDAS_BIT,FECHA_BIT,"&gt;="&amp;BO$2,FECHA_BIT,"&lt;="&amp;BO$3,CLAVE_BIT,$A293)+SUMIFS(SALIDAS_BOV1,FECHA_BOV1,"&gt;="&amp;BO$2,FECHA_BOV1,"&lt;="&amp;BO$3,CLAVE_BOV1,$A293)+SUMIFS(SALIDAS_BOV2,FECHA_BOV2,"&gt;="&amp;BO$2,FECHA_BOV2,"&lt;="&amp;BO$3,CLAVE_BOV2,$A293)+SUMIFS(SALIDAS_BOV3,FECHA_BOV3,"&gt;="&amp;BO$2,FECHA_BOV3,"&lt;="&amp;BO$3,CLAVE_BOV3,$A293)+SUMIFS(SALIDAS_TC,FECHA_TC,"&gt;="&amp;BO$2,FECHA_TC,"&lt;="&amp;BO$3,CLAVE_TC,$A293)+SUMIFS(SALIDAS_COMB,FECHA_COMB,"&gt;="&amp;BO$2,FECHA_COMB,"&lt;="&amp;BO$3,CLAVE_COMB,$A293)+SUMIFS(SALIDAS_DES,FECHA_DESGLOSEN,"&gt;="&amp;BO$2,FECHA_DESGLOSEN,"&lt;="&amp;BO$3,CLAVE_DESGLOSE,$A293)</f>
        <v>0</v>
      </c>
      <c r="BP293" s="13">
        <f>SUMIFS(SALIDAS_BIT,FECHA_BIT,"&gt;="&amp;BP$2,FECHA_BIT,"&lt;="&amp;BP$3,CLAVE_BIT,$A293)+SUMIFS(SALIDAS_BOV1,FECHA_BOV1,"&gt;="&amp;BP$2,FECHA_BOV1,"&lt;="&amp;BP$3,CLAVE_BOV1,$A293)+SUMIFS(SALIDAS_BOV2,FECHA_BOV2,"&gt;="&amp;BP$2,FECHA_BOV2,"&lt;="&amp;BP$3,CLAVE_BOV2,$A293)+SUMIFS(SALIDAS_BOV3,FECHA_BOV3,"&gt;="&amp;BP$2,FECHA_BOV3,"&lt;="&amp;BP$3,CLAVE_BOV3,$A293)+SUMIFS(SALIDAS_TC,FECHA_TC,"&gt;="&amp;BP$2,FECHA_TC,"&lt;="&amp;BP$3,CLAVE_TC,$A293)+SUMIFS(SALIDAS_COMB,FECHA_COMB,"&gt;="&amp;BP$2,FECHA_COMB,"&lt;="&amp;BP$3,CLAVE_COMB,$A293)+SUMIFS(SALIDAS_DES,FECHA_DESGLOSEN,"&gt;="&amp;BP$2,FECHA_DESGLOSEN,"&lt;="&amp;BP$3,CLAVE_DESGLOSE,$A293)</f>
        <v>5000</v>
      </c>
      <c r="BQ293" s="13">
        <f>SUMIFS(SALIDAS_BIT,FECHA_BIT,"&gt;="&amp;BQ$2,FECHA_BIT,"&lt;="&amp;BQ$3,CLAVE_BIT,$A293)+SUMIFS(SALIDAS_BOV1,FECHA_BOV1,"&gt;="&amp;BQ$2,FECHA_BOV1,"&lt;="&amp;BQ$3,CLAVE_BOV1,$A293)+SUMIFS(SALIDAS_BOV2,FECHA_BOV2,"&gt;="&amp;BQ$2,FECHA_BOV2,"&lt;="&amp;BQ$3,CLAVE_BOV2,$A293)+SUMIFS(SALIDAS_BOV3,FECHA_BOV3,"&gt;="&amp;BQ$2,FECHA_BOV3,"&lt;="&amp;BQ$3,CLAVE_BOV3,$A293)+SUMIFS(SALIDAS_TC,FECHA_TC,"&gt;="&amp;BQ$2,FECHA_TC,"&lt;="&amp;BQ$3,CLAVE_TC,$A293)+SUMIFS(SALIDAS_COMB,FECHA_COMB,"&gt;="&amp;BQ$2,FECHA_COMB,"&lt;="&amp;BQ$3,CLAVE_COMB,$A293)+SUMIFS(SALIDAS_DES,FECHA_DESGLOSEN,"&gt;="&amp;BQ$2,FECHA_DESGLOSEN,"&lt;="&amp;BQ$3,CLAVE_DESGLOSE,$A293)</f>
        <v>0</v>
      </c>
      <c r="BR293" s="13">
        <f t="shared" si="502"/>
        <v>5000</v>
      </c>
      <c r="BS293" s="68">
        <f t="shared" si="463"/>
        <v>-5000</v>
      </c>
      <c r="BT293" s="268">
        <f t="shared" si="464"/>
        <v>0</v>
      </c>
      <c r="BU293" s="13">
        <f t="shared" si="465"/>
        <v>0</v>
      </c>
      <c r="BV293" s="13">
        <f t="shared" si="485"/>
        <v>0</v>
      </c>
      <c r="BW293" s="13">
        <f t="shared" si="485"/>
        <v>5000</v>
      </c>
      <c r="BX293" s="13">
        <f t="shared" si="485"/>
        <v>0</v>
      </c>
      <c r="BY293" s="13">
        <f t="shared" si="485"/>
        <v>0</v>
      </c>
      <c r="BZ293" s="13">
        <f t="shared" si="503"/>
        <v>5000</v>
      </c>
      <c r="CA293" s="68">
        <f t="shared" si="466"/>
        <v>-5000</v>
      </c>
      <c r="CB293" s="268">
        <f t="shared" si="467"/>
        <v>0</v>
      </c>
      <c r="CC293" s="13">
        <f t="shared" si="468"/>
        <v>0</v>
      </c>
      <c r="CD293" s="13">
        <f t="shared" si="486"/>
        <v>0</v>
      </c>
      <c r="CE293" s="13">
        <f t="shared" si="486"/>
        <v>0</v>
      </c>
      <c r="CF293" s="13">
        <f t="shared" si="486"/>
        <v>5000</v>
      </c>
      <c r="CG293" s="13">
        <f t="shared" si="486"/>
        <v>0</v>
      </c>
      <c r="CH293" s="13">
        <f t="shared" si="504"/>
        <v>5000</v>
      </c>
      <c r="CI293" s="68">
        <f t="shared" si="469"/>
        <v>-5000</v>
      </c>
      <c r="CJ293" s="268">
        <f t="shared" si="470"/>
        <v>0</v>
      </c>
      <c r="CK293" s="13">
        <f t="shared" si="471"/>
        <v>450000</v>
      </c>
      <c r="CL293" s="13">
        <f t="shared" si="495"/>
        <v>215000</v>
      </c>
      <c r="CM293" s="13">
        <f t="shared" si="495"/>
        <v>3950</v>
      </c>
      <c r="CN293" s="13">
        <f t="shared" si="495"/>
        <v>223729</v>
      </c>
      <c r="CO293" s="13">
        <f t="shared" si="495"/>
        <v>60000</v>
      </c>
      <c r="CP293" s="13">
        <f t="shared" si="495"/>
        <v>0</v>
      </c>
      <c r="CQ293" s="13">
        <f t="shared" si="505"/>
        <v>502679</v>
      </c>
      <c r="CR293" s="68">
        <f t="shared" si="472"/>
        <v>-52679</v>
      </c>
      <c r="CS293" s="268">
        <f t="shared" si="473"/>
        <v>1.1170644444444444</v>
      </c>
      <c r="CT293" s="68">
        <f t="shared" si="446"/>
        <v>0</v>
      </c>
      <c r="CU293" s="13">
        <f>SUMIFS(SALIDAS_BIT,FECHA_BIT,"&gt;="&amp;CU$2,FECHA_BIT,"&lt;="&amp;CU$3,CLAVE_BIT,$A293)+SUMIFS(SALIDAS_BOV1,FECHA_BOV1,"&gt;="&amp;CU$2,FECHA_BOV1,"&lt;="&amp;CU$3,CLAVE_BOV1,$A293)+SUMIFS(SALIDAS_BOV2,FECHA_BOV2,"&gt;="&amp;CU$2,FECHA_BOV2,"&lt;="&amp;CU$3,CLAVE_BOV2,$A293)+SUMIFS(SALIDAS_BOV3,FECHA_BOV3,"&gt;="&amp;CU$2,FECHA_BOV3,"&lt;="&amp;CU$3,CLAVE_BOV3,$A293)+SUMIFS(SALIDAS_TC,FECHA_TC,"&gt;="&amp;CU$2,FECHA_TC,"&lt;="&amp;CU$3,CLAVE_TC,$A293)+SUMIFS(SALIDAS_COMB,FECHA_COMB,"&gt;="&amp;CU$2,FECHA_COMB,"&lt;="&amp;CU$3,CLAVE_COMB,$A293)+SUMIFS(SALIDAS_DES,FECHA_DESGLOSEN,"&gt;="&amp;CU$2,FECHA_DESGLOSEN,"&lt;="&amp;CU$3,CLAVE_DESGLOSE,$A293)</f>
        <v>0</v>
      </c>
      <c r="CV293" s="13">
        <f>SUMIFS(SALIDAS_BIT,FECHA_BIT,"&gt;="&amp;CV$2,FECHA_BIT,"&lt;="&amp;CV$3,CLAVE_BIT,$A293)+SUMIFS(SALIDAS_BOV1,FECHA_BOV1,"&gt;="&amp;CV$2,FECHA_BOV1,"&lt;="&amp;CV$3,CLAVE_BOV1,$A293)+SUMIFS(SALIDAS_BOV2,FECHA_BOV2,"&gt;="&amp;CV$2,FECHA_BOV2,"&lt;="&amp;CV$3,CLAVE_BOV2,$A293)+SUMIFS(SALIDAS_BOV3,FECHA_BOV3,"&gt;="&amp;CV$2,FECHA_BOV3,"&lt;="&amp;CV$3,CLAVE_BOV3,$A293)+SUMIFS(SALIDAS_TC,FECHA_TC,"&gt;="&amp;CV$2,FECHA_TC,"&lt;="&amp;CV$3,CLAVE_TC,$A293)+SUMIFS(SALIDAS_COMB,FECHA_COMB,"&gt;="&amp;CV$2,FECHA_COMB,"&lt;="&amp;CV$3,CLAVE_COMB,$A293)+SUMIFS(SALIDAS_DES,FECHA_DESGLOSEN,"&gt;="&amp;CV$2,FECHA_DESGLOSEN,"&lt;="&amp;CV$3,CLAVE_DESGLOSE,$A293)</f>
        <v>0</v>
      </c>
      <c r="CW293" s="13">
        <f>SUMIFS(SALIDAS_BIT,FECHA_BIT,"&gt;="&amp;CW$2,FECHA_BIT,"&lt;="&amp;CW$3,CLAVE_BIT,$A293)+SUMIFS(SALIDAS_BOV1,FECHA_BOV1,"&gt;="&amp;CW$2,FECHA_BOV1,"&lt;="&amp;CW$3,CLAVE_BOV1,$A293)+SUMIFS(SALIDAS_BOV2,FECHA_BOV2,"&gt;="&amp;CW$2,FECHA_BOV2,"&lt;="&amp;CW$3,CLAVE_BOV2,$A293)+SUMIFS(SALIDAS_BOV3,FECHA_BOV3,"&gt;="&amp;CW$2,FECHA_BOV3,"&lt;="&amp;CW$3,CLAVE_BOV3,$A293)+SUMIFS(SALIDAS_TC,FECHA_TC,"&gt;="&amp;CW$2,FECHA_TC,"&lt;="&amp;CW$3,CLAVE_TC,$A293)+SUMIFS(SALIDAS_COMB,FECHA_COMB,"&gt;="&amp;CW$2,FECHA_COMB,"&lt;="&amp;CW$3,CLAVE_COMB,$A293)+SUMIFS(SALIDAS_DES,FECHA_DESGLOSEN,"&gt;="&amp;CW$2,FECHA_DESGLOSEN,"&lt;="&amp;CW$3,CLAVE_DESGLOSE,$A293)</f>
        <v>5000</v>
      </c>
      <c r="CX293" s="13">
        <f>SUMIFS(SALIDAS_BIT,FECHA_BIT,"&gt;="&amp;CX$2,FECHA_BIT,"&lt;="&amp;CX$3,CLAVE_BIT,$A293)+SUMIFS(SALIDAS_BOV1,FECHA_BOV1,"&gt;="&amp;CX$2,FECHA_BOV1,"&lt;="&amp;CX$3,CLAVE_BOV1,$A293)+SUMIFS(SALIDAS_BOV2,FECHA_BOV2,"&gt;="&amp;CX$2,FECHA_BOV2,"&lt;="&amp;CX$3,CLAVE_BOV2,$A293)+SUMIFS(SALIDAS_BOV3,FECHA_BOV3,"&gt;="&amp;CX$2,FECHA_BOV3,"&lt;="&amp;CX$3,CLAVE_BOV3,$A293)+SUMIFS(SALIDAS_TC,FECHA_TC,"&gt;="&amp;CX$2,FECHA_TC,"&lt;="&amp;CX$3,CLAVE_TC,$A293)+SUMIFS(SALIDAS_COMB,FECHA_COMB,"&gt;="&amp;CX$2,FECHA_COMB,"&lt;="&amp;CX$3,CLAVE_COMB,$A293)+SUMIFS(SALIDAS_DES,FECHA_DESGLOSEN,"&gt;="&amp;CX$2,FECHA_DESGLOSEN,"&lt;="&amp;CX$3,CLAVE_DESGLOSE,$A293)</f>
        <v>0</v>
      </c>
      <c r="CY293" s="13">
        <f>SUMIFS(SALIDAS_BIT,FECHA_BIT,"&gt;="&amp;CY$2,FECHA_BIT,"&lt;="&amp;CY$3,CLAVE_BIT,$A293)+SUMIFS(SALIDAS_BOV1,FECHA_BOV1,"&gt;="&amp;CY$2,FECHA_BOV1,"&lt;="&amp;CY$3,CLAVE_BOV1,$A293)+SUMIFS(SALIDAS_BOV2,FECHA_BOV2,"&gt;="&amp;CY$2,FECHA_BOV2,"&lt;="&amp;CY$3,CLAVE_BOV2,$A293)+SUMIFS(SALIDAS_BOV3,FECHA_BOV3,"&gt;="&amp;CY$2,FECHA_BOV3,"&lt;="&amp;CY$3,CLAVE_BOV3,$A293)+SUMIFS(SALIDAS_TC,FECHA_TC,"&gt;="&amp;CY$2,FECHA_TC,"&lt;="&amp;CY$3,CLAVE_TC,$A293)+SUMIFS(SALIDAS_COMB,FECHA_COMB,"&gt;="&amp;CY$2,FECHA_COMB,"&lt;="&amp;CY$3,CLAVE_COMB,$A293)+SUMIFS(SALIDAS_DES,FECHA_DESGLOSEN,"&gt;="&amp;CY$2,FECHA_DESGLOSEN,"&lt;="&amp;CY$3,CLAVE_DESGLOSE,$A293)</f>
        <v>5000</v>
      </c>
      <c r="CZ293" s="68">
        <f t="shared" si="474"/>
        <v>-5000</v>
      </c>
      <c r="DB293" s="17">
        <f>F293+N293+W293+AE293+AM293+AV293+BD293+BL293+BU293+CC293+CK293</f>
        <v>450000</v>
      </c>
      <c r="DC293" s="17">
        <f>K293+T293+AB293+AJ293+AS293+BA293+BI293+BR293+BZ293+CH293+CQ293</f>
        <v>517679</v>
      </c>
      <c r="DD293" s="17">
        <f>DB293-DC293</f>
        <v>-67679</v>
      </c>
    </row>
    <row r="294" spans="1:108" hidden="1">
      <c r="A294" s="12" t="str">
        <f t="shared" si="447"/>
        <v>ELIINSUMOSL1</v>
      </c>
      <c r="B294">
        <v>296</v>
      </c>
      <c r="C294" t="s">
        <v>130</v>
      </c>
      <c r="D294" t="s">
        <v>133</v>
      </c>
      <c r="E294" t="s">
        <v>136</v>
      </c>
      <c r="F294" s="259">
        <f t="shared" si="440"/>
        <v>0</v>
      </c>
      <c r="G294" s="13">
        <f t="shared" si="497"/>
        <v>0</v>
      </c>
      <c r="H294" s="13">
        <f t="shared" si="497"/>
        <v>0</v>
      </c>
      <c r="I294" s="13">
        <f t="shared" si="497"/>
        <v>290</v>
      </c>
      <c r="J294" s="13">
        <f t="shared" si="497"/>
        <v>0</v>
      </c>
      <c r="K294" s="13">
        <f t="shared" si="497"/>
        <v>290</v>
      </c>
      <c r="L294" s="68">
        <f t="shared" ref="L294" si="506">F294-K294</f>
        <v>-290</v>
      </c>
      <c r="M294" s="268">
        <f t="shared" si="449"/>
        <v>0</v>
      </c>
      <c r="N294" s="13">
        <f t="shared" si="441"/>
        <v>0</v>
      </c>
      <c r="O294" s="13">
        <f t="shared" si="498"/>
        <v>0</v>
      </c>
      <c r="P294" s="13">
        <f t="shared" si="498"/>
        <v>0</v>
      </c>
      <c r="Q294" s="13">
        <f t="shared" si="498"/>
        <v>0</v>
      </c>
      <c r="R294" s="13">
        <f t="shared" si="498"/>
        <v>0</v>
      </c>
      <c r="S294" s="13">
        <f t="shared" si="498"/>
        <v>0</v>
      </c>
      <c r="T294" s="13">
        <f t="shared" si="498"/>
        <v>0</v>
      </c>
      <c r="U294" s="68">
        <f t="shared" si="450"/>
        <v>0</v>
      </c>
      <c r="V294" s="268">
        <f t="shared" si="451"/>
        <v>0</v>
      </c>
      <c r="W294" s="13">
        <f t="shared" si="442"/>
        <v>0</v>
      </c>
      <c r="X294" s="13">
        <f t="shared" si="499"/>
        <v>0</v>
      </c>
      <c r="Y294" s="13">
        <f t="shared" si="499"/>
        <v>1000</v>
      </c>
      <c r="Z294" s="13">
        <f t="shared" si="499"/>
        <v>0</v>
      </c>
      <c r="AA294" s="13">
        <f t="shared" si="499"/>
        <v>0</v>
      </c>
      <c r="AB294" s="13">
        <f t="shared" si="499"/>
        <v>1000</v>
      </c>
      <c r="AC294" s="68">
        <f t="shared" ref="AC294" si="507">W294-AB294</f>
        <v>-1000</v>
      </c>
      <c r="AD294" s="268">
        <f t="shared" si="453"/>
        <v>0</v>
      </c>
      <c r="AE294" s="13">
        <f t="shared" si="443"/>
        <v>0</v>
      </c>
      <c r="AF294" s="13">
        <f t="shared" si="500"/>
        <v>0</v>
      </c>
      <c r="AG294" s="13">
        <f t="shared" si="500"/>
        <v>0</v>
      </c>
      <c r="AH294" s="13">
        <f t="shared" si="500"/>
        <v>0</v>
      </c>
      <c r="AI294" s="13">
        <f t="shared" si="500"/>
        <v>0</v>
      </c>
      <c r="AJ294" s="13">
        <f t="shared" si="500"/>
        <v>0</v>
      </c>
      <c r="AK294" s="68">
        <f t="shared" ref="AK294" si="508">AE294-AJ294</f>
        <v>0</v>
      </c>
      <c r="AL294" s="268">
        <f t="shared" si="455"/>
        <v>0</v>
      </c>
      <c r="AM294" s="13">
        <f t="shared" si="444"/>
        <v>0</v>
      </c>
      <c r="AN294" s="13">
        <f t="shared" si="501"/>
        <v>0</v>
      </c>
      <c r="AO294" s="13">
        <f t="shared" si="501"/>
        <v>0</v>
      </c>
      <c r="AP294" s="13">
        <f t="shared" si="501"/>
        <v>0</v>
      </c>
      <c r="AQ294" s="13">
        <f t="shared" si="501"/>
        <v>0</v>
      </c>
      <c r="AR294" s="13">
        <f t="shared" si="501"/>
        <v>0</v>
      </c>
      <c r="AS294" s="13">
        <f t="shared" si="501"/>
        <v>0</v>
      </c>
      <c r="AT294" s="68">
        <f>AM294-AS294</f>
        <v>0</v>
      </c>
      <c r="AU294" s="268">
        <f t="shared" si="456"/>
        <v>0</v>
      </c>
      <c r="AV294" s="13">
        <f t="shared" si="445"/>
        <v>0</v>
      </c>
      <c r="AW294" s="13">
        <f t="shared" si="421"/>
        <v>0</v>
      </c>
      <c r="AX294" s="13">
        <f t="shared" si="421"/>
        <v>0</v>
      </c>
      <c r="AY294" s="13">
        <f t="shared" si="421"/>
        <v>0</v>
      </c>
      <c r="AZ294" s="13">
        <f t="shared" si="421"/>
        <v>0</v>
      </c>
      <c r="BA294" s="13">
        <f t="shared" si="475"/>
        <v>0</v>
      </c>
      <c r="BB294" s="68">
        <f t="shared" ref="BB294" si="509">AV294-BA294</f>
        <v>0</v>
      </c>
      <c r="BC294" s="268">
        <f t="shared" si="458"/>
        <v>0</v>
      </c>
      <c r="BD294" s="13">
        <f t="shared" si="459"/>
        <v>0</v>
      </c>
      <c r="BE294" s="13">
        <f>SUMIFS(SALIDAS_BIT,FECHA_BIT,"&gt;="&amp;BE$2,FECHA_BIT,"&lt;="&amp;BE$3,CLAVE_BIT,$A294)+SUMIFS(SALIDAS_BOV1,FECHA_BOV1,"&gt;="&amp;BE$2,FECHA_BOV1,"&lt;="&amp;BE$3,CLAVE_BOV1,$A294)+SUMIFS(SALIDAS_BOV2,FECHA_BOV2,"&gt;="&amp;BE$2,FECHA_BOV2,"&lt;="&amp;BE$3,CLAVE_BOV2,$A294)+SUMIFS(SALIDAS_BOV3,FECHA_BOV3,"&gt;="&amp;BE$2,FECHA_BOV3,"&lt;="&amp;BE$3,CLAVE_BOV3,$A294)+SUMIFS(SALIDAS_TC,FECHA_TC,"&gt;="&amp;BE$2,FECHA_TC,"&lt;="&amp;BE$3,CLAVE_TC,$A294)+SUMIFS(SALIDAS_COMB,FECHA_COMB,"&gt;="&amp;BE$2,FECHA_COMB,"&lt;="&amp;BE$3,CLAVE_COMB,$A294)+SUMIFS(SALIDAS_DES,FECHA_DESGLOSEN,"&gt;="&amp;BE$2,FECHA_DESGLOSEN,"&lt;="&amp;BE$3,CLAVE_DESGLOSE,$A294)</f>
        <v>0</v>
      </c>
      <c r="BF294" s="13">
        <f>SUMIFS(SALIDAS_BIT,FECHA_BIT,"&gt;="&amp;BF$2,FECHA_BIT,"&lt;="&amp;BF$3,CLAVE_BIT,$A294)+SUMIFS(SALIDAS_BOV1,FECHA_BOV1,"&gt;="&amp;BF$2,FECHA_BOV1,"&lt;="&amp;BF$3,CLAVE_BOV1,$A294)+SUMIFS(SALIDAS_BOV2,FECHA_BOV2,"&gt;="&amp;BF$2,FECHA_BOV2,"&lt;="&amp;BF$3,CLAVE_BOV2,$A294)+SUMIFS(SALIDAS_BOV3,FECHA_BOV3,"&gt;="&amp;BF$2,FECHA_BOV3,"&lt;="&amp;BF$3,CLAVE_BOV3,$A294)+SUMIFS(SALIDAS_TC,FECHA_TC,"&gt;="&amp;BF$2,FECHA_TC,"&lt;="&amp;BF$3,CLAVE_TC,$A294)+SUMIFS(SALIDAS_COMB,FECHA_COMB,"&gt;="&amp;BF$2,FECHA_COMB,"&lt;="&amp;BF$3,CLAVE_COMB,$A294)+SUMIFS(SALIDAS_DES,FECHA_DESGLOSEN,"&gt;="&amp;BF$2,FECHA_DESGLOSEN,"&lt;="&amp;BF$3,CLAVE_DESGLOSE,$A294)</f>
        <v>0</v>
      </c>
      <c r="BG294" s="13">
        <f>SUMIFS(SALIDAS_BIT,FECHA_BIT,"&gt;="&amp;BG$2,FECHA_BIT,"&lt;="&amp;BG$3,CLAVE_BIT,$A294)+SUMIFS(SALIDAS_BOV1,FECHA_BOV1,"&gt;="&amp;BG$2,FECHA_BOV1,"&lt;="&amp;BG$3,CLAVE_BOV1,$A294)+SUMIFS(SALIDAS_BOV2,FECHA_BOV2,"&gt;="&amp;BG$2,FECHA_BOV2,"&lt;="&amp;BG$3,CLAVE_BOV2,$A294)+SUMIFS(SALIDAS_BOV3,FECHA_BOV3,"&gt;="&amp;BG$2,FECHA_BOV3,"&lt;="&amp;BG$3,CLAVE_BOV3,$A294)+SUMIFS(SALIDAS_TC,FECHA_TC,"&gt;="&amp;BG$2,FECHA_TC,"&lt;="&amp;BG$3,CLAVE_TC,$A294)+SUMIFS(SALIDAS_COMB,FECHA_COMB,"&gt;="&amp;BG$2,FECHA_COMB,"&lt;="&amp;BG$3,CLAVE_COMB,$A294)+SUMIFS(SALIDAS_DES,FECHA_DESGLOSEN,"&gt;="&amp;BG$2,FECHA_DESGLOSEN,"&lt;="&amp;BG$3,CLAVE_DESGLOSE,$A294)</f>
        <v>0</v>
      </c>
      <c r="BH294" s="13">
        <f>SUMIFS(SALIDAS_BIT,FECHA_BIT,"&gt;="&amp;BH$2,FECHA_BIT,"&lt;="&amp;BH$3,CLAVE_BIT,$A294)+SUMIFS(SALIDAS_BOV1,FECHA_BOV1,"&gt;="&amp;BH$2,FECHA_BOV1,"&lt;="&amp;BH$3,CLAVE_BOV1,$A294)+SUMIFS(SALIDAS_BOV2,FECHA_BOV2,"&gt;="&amp;BH$2,FECHA_BOV2,"&lt;="&amp;BH$3,CLAVE_BOV2,$A294)+SUMIFS(SALIDAS_BOV3,FECHA_BOV3,"&gt;="&amp;BH$2,FECHA_BOV3,"&lt;="&amp;BH$3,CLAVE_BOV3,$A294)+SUMIFS(SALIDAS_TC,FECHA_TC,"&gt;="&amp;BH$2,FECHA_TC,"&lt;="&amp;BH$3,CLAVE_TC,$A294)+SUMIFS(SALIDAS_COMB,FECHA_COMB,"&gt;="&amp;BH$2,FECHA_COMB,"&lt;="&amp;BH$3,CLAVE_COMB,$A294)+SUMIFS(SALIDAS_DES,FECHA_DESGLOSEN,"&gt;="&amp;BH$2,FECHA_DESGLOSEN,"&lt;="&amp;BH$3,CLAVE_DESGLOSE,$A294)</f>
        <v>0</v>
      </c>
      <c r="BI294" s="13">
        <f t="shared" si="419"/>
        <v>0</v>
      </c>
      <c r="BJ294" s="68">
        <f t="shared" ref="BJ294" si="510">BD294-BI294</f>
        <v>0</v>
      </c>
      <c r="BK294" s="268">
        <f t="shared" si="461"/>
        <v>0</v>
      </c>
      <c r="BL294" s="13">
        <f t="shared" si="462"/>
        <v>0</v>
      </c>
      <c r="BM294" s="13">
        <f>SUMIFS(SALIDAS_BIT,FECHA_BIT,"&gt;="&amp;BM$2,FECHA_BIT,"&lt;="&amp;BM$3,CLAVE_BIT,$A294)+SUMIFS(SALIDAS_BOV1,FECHA_BOV1,"&gt;="&amp;BM$2,FECHA_BOV1,"&lt;="&amp;BM$3,CLAVE_BOV1,$A294)+SUMIFS(SALIDAS_BOV2,FECHA_BOV2,"&gt;="&amp;BM$2,FECHA_BOV2,"&lt;="&amp;BM$3,CLAVE_BOV2,$A294)+SUMIFS(SALIDAS_BOV3,FECHA_BOV3,"&gt;="&amp;BM$2,FECHA_BOV3,"&lt;="&amp;BM$3,CLAVE_BOV3,$A294)+SUMIFS(SALIDAS_TC,FECHA_TC,"&gt;="&amp;BM$2,FECHA_TC,"&lt;="&amp;BM$3,CLAVE_TC,$A294)+SUMIFS(SALIDAS_COMB,FECHA_COMB,"&gt;="&amp;BM$2,FECHA_COMB,"&lt;="&amp;BM$3,CLAVE_COMB,$A294)+SUMIFS(SALIDAS_DES,FECHA_DESGLOSEN,"&gt;="&amp;BM$2,FECHA_DESGLOSEN,"&lt;="&amp;BM$3,CLAVE_DESGLOSE,$A294)</f>
        <v>0</v>
      </c>
      <c r="BN294" s="13">
        <f>SUMIFS(SALIDAS_BIT,FECHA_BIT,"&gt;="&amp;BN$2,FECHA_BIT,"&lt;="&amp;BN$3,CLAVE_BIT,$A294)+SUMIFS(SALIDAS_BOV1,FECHA_BOV1,"&gt;="&amp;BN$2,FECHA_BOV1,"&lt;="&amp;BN$3,CLAVE_BOV1,$A294)+SUMIFS(SALIDAS_BOV2,FECHA_BOV2,"&gt;="&amp;BN$2,FECHA_BOV2,"&lt;="&amp;BN$3,CLAVE_BOV2,$A294)+SUMIFS(SALIDAS_BOV3,FECHA_BOV3,"&gt;="&amp;BN$2,FECHA_BOV3,"&lt;="&amp;BN$3,CLAVE_BOV3,$A294)+SUMIFS(SALIDAS_TC,FECHA_TC,"&gt;="&amp;BN$2,FECHA_TC,"&lt;="&amp;BN$3,CLAVE_TC,$A294)+SUMIFS(SALIDAS_COMB,FECHA_COMB,"&gt;="&amp;BN$2,FECHA_COMB,"&lt;="&amp;BN$3,CLAVE_COMB,$A294)+SUMIFS(SALIDAS_DES,FECHA_DESGLOSEN,"&gt;="&amp;BN$2,FECHA_DESGLOSEN,"&lt;="&amp;BN$3,CLAVE_DESGLOSE,$A294)</f>
        <v>0</v>
      </c>
      <c r="BO294" s="13">
        <f>SUMIFS(SALIDAS_BIT,FECHA_BIT,"&gt;="&amp;BO$2,FECHA_BIT,"&lt;="&amp;BO$3,CLAVE_BIT,$A294)+SUMIFS(SALIDAS_BOV1,FECHA_BOV1,"&gt;="&amp;BO$2,FECHA_BOV1,"&lt;="&amp;BO$3,CLAVE_BOV1,$A294)+SUMIFS(SALIDAS_BOV2,FECHA_BOV2,"&gt;="&amp;BO$2,FECHA_BOV2,"&lt;="&amp;BO$3,CLAVE_BOV2,$A294)+SUMIFS(SALIDAS_BOV3,FECHA_BOV3,"&gt;="&amp;BO$2,FECHA_BOV3,"&lt;="&amp;BO$3,CLAVE_BOV3,$A294)+SUMIFS(SALIDAS_TC,FECHA_TC,"&gt;="&amp;BO$2,FECHA_TC,"&lt;="&amp;BO$3,CLAVE_TC,$A294)+SUMIFS(SALIDAS_COMB,FECHA_COMB,"&gt;="&amp;BO$2,FECHA_COMB,"&lt;="&amp;BO$3,CLAVE_COMB,$A294)+SUMIFS(SALIDAS_DES,FECHA_DESGLOSEN,"&gt;="&amp;BO$2,FECHA_DESGLOSEN,"&lt;="&amp;BO$3,CLAVE_DESGLOSE,$A294)</f>
        <v>0</v>
      </c>
      <c r="BP294" s="13">
        <f>SUMIFS(SALIDAS_BIT,FECHA_BIT,"&gt;="&amp;BP$2,FECHA_BIT,"&lt;="&amp;BP$3,CLAVE_BIT,$A294)+SUMIFS(SALIDAS_BOV1,FECHA_BOV1,"&gt;="&amp;BP$2,FECHA_BOV1,"&lt;="&amp;BP$3,CLAVE_BOV1,$A294)+SUMIFS(SALIDAS_BOV2,FECHA_BOV2,"&gt;="&amp;BP$2,FECHA_BOV2,"&lt;="&amp;BP$3,CLAVE_BOV2,$A294)+SUMIFS(SALIDAS_BOV3,FECHA_BOV3,"&gt;="&amp;BP$2,FECHA_BOV3,"&lt;="&amp;BP$3,CLAVE_BOV3,$A294)+SUMIFS(SALIDAS_TC,FECHA_TC,"&gt;="&amp;BP$2,FECHA_TC,"&lt;="&amp;BP$3,CLAVE_TC,$A294)+SUMIFS(SALIDAS_COMB,FECHA_COMB,"&gt;="&amp;BP$2,FECHA_COMB,"&lt;="&amp;BP$3,CLAVE_COMB,$A294)+SUMIFS(SALIDAS_DES,FECHA_DESGLOSEN,"&gt;="&amp;BP$2,FECHA_DESGLOSEN,"&lt;="&amp;BP$3,CLAVE_DESGLOSE,$A294)</f>
        <v>0</v>
      </c>
      <c r="BQ294" s="13">
        <f>SUMIFS(SALIDAS_BIT,FECHA_BIT,"&gt;="&amp;BQ$2,FECHA_BIT,"&lt;="&amp;BQ$3,CLAVE_BIT,$A294)+SUMIFS(SALIDAS_BOV1,FECHA_BOV1,"&gt;="&amp;BQ$2,FECHA_BOV1,"&lt;="&amp;BQ$3,CLAVE_BOV1,$A294)+SUMIFS(SALIDAS_BOV2,FECHA_BOV2,"&gt;="&amp;BQ$2,FECHA_BOV2,"&lt;="&amp;BQ$3,CLAVE_BOV2,$A294)+SUMIFS(SALIDAS_BOV3,FECHA_BOV3,"&gt;="&amp;BQ$2,FECHA_BOV3,"&lt;="&amp;BQ$3,CLAVE_BOV3,$A294)+SUMIFS(SALIDAS_TC,FECHA_TC,"&gt;="&amp;BQ$2,FECHA_TC,"&lt;="&amp;BQ$3,CLAVE_TC,$A294)+SUMIFS(SALIDAS_COMB,FECHA_COMB,"&gt;="&amp;BQ$2,FECHA_COMB,"&lt;="&amp;BQ$3,CLAVE_COMB,$A294)+SUMIFS(SALIDAS_DES,FECHA_DESGLOSEN,"&gt;="&amp;BQ$2,FECHA_DESGLOSEN,"&lt;="&amp;BQ$3,CLAVE_DESGLOSE,$A294)</f>
        <v>0</v>
      </c>
      <c r="BR294" s="13">
        <f t="shared" si="502"/>
        <v>0</v>
      </c>
      <c r="BS294" s="68">
        <f t="shared" ref="BS294" si="511">BL294-BR294</f>
        <v>0</v>
      </c>
      <c r="BT294" s="268">
        <f t="shared" si="464"/>
        <v>0</v>
      </c>
      <c r="BU294" s="13">
        <f t="shared" si="465"/>
        <v>0</v>
      </c>
      <c r="BV294" s="13">
        <f t="shared" si="485"/>
        <v>469</v>
      </c>
      <c r="BW294" s="13">
        <f t="shared" si="485"/>
        <v>0</v>
      </c>
      <c r="BX294" s="13">
        <f t="shared" si="485"/>
        <v>2350</v>
      </c>
      <c r="BY294" s="13">
        <f t="shared" si="485"/>
        <v>0</v>
      </c>
      <c r="BZ294" s="13">
        <f t="shared" si="503"/>
        <v>2819</v>
      </c>
      <c r="CA294" s="68">
        <f t="shared" ref="CA294" si="512">BU294-BZ294</f>
        <v>-2819</v>
      </c>
      <c r="CB294" s="268">
        <f t="shared" si="467"/>
        <v>0</v>
      </c>
      <c r="CC294" s="13">
        <f t="shared" si="468"/>
        <v>0</v>
      </c>
      <c r="CD294" s="13">
        <f t="shared" si="486"/>
        <v>0</v>
      </c>
      <c r="CE294" s="13">
        <f t="shared" si="486"/>
        <v>0</v>
      </c>
      <c r="CF294" s="13">
        <f t="shared" si="486"/>
        <v>0</v>
      </c>
      <c r="CG294" s="13">
        <f t="shared" si="486"/>
        <v>0</v>
      </c>
      <c r="CH294" s="13">
        <f t="shared" si="504"/>
        <v>0</v>
      </c>
      <c r="CI294" s="68">
        <f t="shared" ref="CI294" si="513">CC294-CH294</f>
        <v>0</v>
      </c>
      <c r="CJ294" s="268">
        <f t="shared" si="470"/>
        <v>0</v>
      </c>
      <c r="CK294" s="13">
        <f t="shared" si="471"/>
        <v>0</v>
      </c>
      <c r="CL294" s="13">
        <f t="shared" si="495"/>
        <v>0</v>
      </c>
      <c r="CM294" s="13">
        <f t="shared" si="495"/>
        <v>0</v>
      </c>
      <c r="CN294" s="13">
        <f t="shared" si="495"/>
        <v>910</v>
      </c>
      <c r="CO294" s="13">
        <f t="shared" si="495"/>
        <v>0</v>
      </c>
      <c r="CP294" s="13">
        <f t="shared" si="495"/>
        <v>0</v>
      </c>
      <c r="CQ294" s="13">
        <f t="shared" si="505"/>
        <v>910</v>
      </c>
      <c r="CR294" s="68">
        <f t="shared" ref="CR294" si="514">CK294-CQ294</f>
        <v>-910</v>
      </c>
      <c r="CS294" s="268">
        <f t="shared" si="473"/>
        <v>0</v>
      </c>
      <c r="CT294" s="68">
        <f t="shared" si="446"/>
        <v>1000</v>
      </c>
      <c r="CU294" s="13">
        <f>SUMIFS(SALIDAS_BIT,FECHA_BIT,"&gt;="&amp;CU$2,FECHA_BIT,"&lt;="&amp;CU$3,CLAVE_BIT,$A294)+SUMIFS(SALIDAS_BOV1,FECHA_BOV1,"&gt;="&amp;CU$2,FECHA_BOV1,"&lt;="&amp;CU$3,CLAVE_BOV1,$A294)+SUMIFS(SALIDAS_BOV2,FECHA_BOV2,"&gt;="&amp;CU$2,FECHA_BOV2,"&lt;="&amp;CU$3,CLAVE_BOV2,$A294)+SUMIFS(SALIDAS_BOV3,FECHA_BOV3,"&gt;="&amp;CU$2,FECHA_BOV3,"&lt;="&amp;CU$3,CLAVE_BOV3,$A294)+SUMIFS(SALIDAS_TC,FECHA_TC,"&gt;="&amp;CU$2,FECHA_TC,"&lt;="&amp;CU$3,CLAVE_TC,$A294)+SUMIFS(SALIDAS_COMB,FECHA_COMB,"&gt;="&amp;CU$2,FECHA_COMB,"&lt;="&amp;CU$3,CLAVE_COMB,$A294)+SUMIFS(SALIDAS_DES,FECHA_DESGLOSEN,"&gt;="&amp;CU$2,FECHA_DESGLOSEN,"&lt;="&amp;CU$3,CLAVE_DESGLOSE,$A294)</f>
        <v>0</v>
      </c>
      <c r="CV294" s="13">
        <f>SUMIFS(SALIDAS_BIT,FECHA_BIT,"&gt;="&amp;CV$2,FECHA_BIT,"&lt;="&amp;CV$3,CLAVE_BIT,$A294)+SUMIFS(SALIDAS_BOV1,FECHA_BOV1,"&gt;="&amp;CV$2,FECHA_BOV1,"&lt;="&amp;CV$3,CLAVE_BOV1,$A294)+SUMIFS(SALIDAS_BOV2,FECHA_BOV2,"&gt;="&amp;CV$2,FECHA_BOV2,"&lt;="&amp;CV$3,CLAVE_BOV2,$A294)+SUMIFS(SALIDAS_BOV3,FECHA_BOV3,"&gt;="&amp;CV$2,FECHA_BOV3,"&lt;="&amp;CV$3,CLAVE_BOV3,$A294)+SUMIFS(SALIDAS_TC,FECHA_TC,"&gt;="&amp;CV$2,FECHA_TC,"&lt;="&amp;CV$3,CLAVE_TC,$A294)+SUMIFS(SALIDAS_COMB,FECHA_COMB,"&gt;="&amp;CV$2,FECHA_COMB,"&lt;="&amp;CV$3,CLAVE_COMB,$A294)+SUMIFS(SALIDAS_DES,FECHA_DESGLOSEN,"&gt;="&amp;CV$2,FECHA_DESGLOSEN,"&lt;="&amp;CV$3,CLAVE_DESGLOSE,$A294)</f>
        <v>0</v>
      </c>
      <c r="CW294" s="13">
        <f>SUMIFS(SALIDAS_BIT,FECHA_BIT,"&gt;="&amp;CW$2,FECHA_BIT,"&lt;="&amp;CW$3,CLAVE_BIT,$A294)+SUMIFS(SALIDAS_BOV1,FECHA_BOV1,"&gt;="&amp;CW$2,FECHA_BOV1,"&lt;="&amp;CW$3,CLAVE_BOV1,$A294)+SUMIFS(SALIDAS_BOV2,FECHA_BOV2,"&gt;="&amp;CW$2,FECHA_BOV2,"&lt;="&amp;CW$3,CLAVE_BOV2,$A294)+SUMIFS(SALIDAS_BOV3,FECHA_BOV3,"&gt;="&amp;CW$2,FECHA_BOV3,"&lt;="&amp;CW$3,CLAVE_BOV3,$A294)+SUMIFS(SALIDAS_TC,FECHA_TC,"&gt;="&amp;CW$2,FECHA_TC,"&lt;="&amp;CW$3,CLAVE_TC,$A294)+SUMIFS(SALIDAS_COMB,FECHA_COMB,"&gt;="&amp;CW$2,FECHA_COMB,"&lt;="&amp;CW$3,CLAVE_COMB,$A294)+SUMIFS(SALIDAS_DES,FECHA_DESGLOSEN,"&gt;="&amp;CW$2,FECHA_DESGLOSEN,"&lt;="&amp;CW$3,CLAVE_DESGLOSE,$A294)</f>
        <v>0</v>
      </c>
      <c r="CX294" s="13">
        <f>SUMIFS(SALIDAS_BIT,FECHA_BIT,"&gt;="&amp;CX$2,FECHA_BIT,"&lt;="&amp;CX$3,CLAVE_BIT,$A294)+SUMIFS(SALIDAS_BOV1,FECHA_BOV1,"&gt;="&amp;CX$2,FECHA_BOV1,"&lt;="&amp;CX$3,CLAVE_BOV1,$A294)+SUMIFS(SALIDAS_BOV2,FECHA_BOV2,"&gt;="&amp;CX$2,FECHA_BOV2,"&lt;="&amp;CX$3,CLAVE_BOV2,$A294)+SUMIFS(SALIDAS_BOV3,FECHA_BOV3,"&gt;="&amp;CX$2,FECHA_BOV3,"&lt;="&amp;CX$3,CLAVE_BOV3,$A294)+SUMIFS(SALIDAS_TC,FECHA_TC,"&gt;="&amp;CX$2,FECHA_TC,"&lt;="&amp;CX$3,CLAVE_TC,$A294)+SUMIFS(SALIDAS_COMB,FECHA_COMB,"&gt;="&amp;CX$2,FECHA_COMB,"&lt;="&amp;CX$3,CLAVE_COMB,$A294)+SUMIFS(SALIDAS_DES,FECHA_DESGLOSEN,"&gt;="&amp;CX$2,FECHA_DESGLOSEN,"&lt;="&amp;CX$3,CLAVE_DESGLOSE,$A294)</f>
        <v>1583</v>
      </c>
      <c r="CY294" s="13">
        <f>SUMIFS(SALIDAS_BIT,FECHA_BIT,"&gt;="&amp;CY$2,FECHA_BIT,"&lt;="&amp;CY$3,CLAVE_BIT,$A294)+SUMIFS(SALIDAS_BOV1,FECHA_BOV1,"&gt;="&amp;CY$2,FECHA_BOV1,"&lt;="&amp;CY$3,CLAVE_BOV1,$A294)+SUMIFS(SALIDAS_BOV2,FECHA_BOV2,"&gt;="&amp;CY$2,FECHA_BOV2,"&lt;="&amp;CY$3,CLAVE_BOV2,$A294)+SUMIFS(SALIDAS_BOV3,FECHA_BOV3,"&gt;="&amp;CY$2,FECHA_BOV3,"&lt;="&amp;CY$3,CLAVE_BOV3,$A294)+SUMIFS(SALIDAS_TC,FECHA_TC,"&gt;="&amp;CY$2,FECHA_TC,"&lt;="&amp;CY$3,CLAVE_TC,$A294)+SUMIFS(SALIDAS_COMB,FECHA_COMB,"&gt;="&amp;CY$2,FECHA_COMB,"&lt;="&amp;CY$3,CLAVE_COMB,$A294)+SUMIFS(SALIDAS_DES,FECHA_DESGLOSEN,"&gt;="&amp;CY$2,FECHA_DESGLOSEN,"&lt;="&amp;CY$3,CLAVE_DESGLOSE,$A294)</f>
        <v>1583</v>
      </c>
      <c r="CZ294" s="68">
        <f t="shared" si="474"/>
        <v>-583</v>
      </c>
      <c r="DB294" s="17">
        <f>F294+N294+W294+AE294+AM294+AV294+BD294+BL294+BU294+CC294+CK294</f>
        <v>0</v>
      </c>
      <c r="DC294" s="17">
        <f>K294+T294+AB294+AJ294+AS294+BA294+BI294+BR294+BZ294+CH294+CQ294</f>
        <v>5019</v>
      </c>
    </row>
    <row r="295" spans="1:108" hidden="1">
      <c r="A295" s="12" t="str">
        <f t="shared" si="447"/>
        <v>ELITELEPEAJEL1</v>
      </c>
      <c r="B295">
        <v>296</v>
      </c>
      <c r="C295" t="s">
        <v>130</v>
      </c>
      <c r="D295" t="s">
        <v>186</v>
      </c>
      <c r="E295" t="s">
        <v>136</v>
      </c>
      <c r="F295" s="259">
        <f t="shared" si="440"/>
        <v>0</v>
      </c>
      <c r="G295" s="13">
        <f t="shared" si="497"/>
        <v>596</v>
      </c>
      <c r="H295" s="13">
        <f t="shared" si="497"/>
        <v>534</v>
      </c>
      <c r="I295" s="13">
        <f t="shared" si="497"/>
        <v>0</v>
      </c>
      <c r="J295" s="13">
        <f t="shared" si="497"/>
        <v>0</v>
      </c>
      <c r="K295" s="13">
        <f t="shared" si="497"/>
        <v>1130</v>
      </c>
      <c r="L295" s="68">
        <f t="shared" ref="L295" si="515">F295-K295</f>
        <v>-1130</v>
      </c>
      <c r="M295" s="268">
        <f t="shared" si="449"/>
        <v>0</v>
      </c>
      <c r="N295" s="13">
        <f t="shared" si="441"/>
        <v>0</v>
      </c>
      <c r="O295" s="13">
        <f t="shared" si="498"/>
        <v>0</v>
      </c>
      <c r="P295" s="13">
        <f t="shared" si="498"/>
        <v>0</v>
      </c>
      <c r="Q295" s="13">
        <f t="shared" si="498"/>
        <v>0</v>
      </c>
      <c r="R295" s="13">
        <f t="shared" si="498"/>
        <v>0</v>
      </c>
      <c r="S295" s="13">
        <f t="shared" si="498"/>
        <v>0</v>
      </c>
      <c r="T295" s="13">
        <f t="shared" si="498"/>
        <v>0</v>
      </c>
      <c r="U295" s="68">
        <f t="shared" si="450"/>
        <v>0</v>
      </c>
      <c r="V295" s="268">
        <f t="shared" si="451"/>
        <v>0</v>
      </c>
      <c r="W295" s="13">
        <f t="shared" si="442"/>
        <v>0</v>
      </c>
      <c r="X295" s="13">
        <f t="shared" si="499"/>
        <v>0</v>
      </c>
      <c r="Y295" s="13">
        <f t="shared" si="499"/>
        <v>0</v>
      </c>
      <c r="Z295" s="13">
        <f t="shared" si="499"/>
        <v>0</v>
      </c>
      <c r="AA295" s="13">
        <f t="shared" si="499"/>
        <v>0</v>
      </c>
      <c r="AB295" s="13">
        <f t="shared" si="499"/>
        <v>0</v>
      </c>
      <c r="AC295" s="68">
        <f t="shared" ref="AC295" si="516">W295-AB295</f>
        <v>0</v>
      </c>
      <c r="AD295" s="268">
        <f t="shared" si="453"/>
        <v>0</v>
      </c>
      <c r="AE295" s="13">
        <f t="shared" si="443"/>
        <v>0</v>
      </c>
      <c r="AF295" s="13">
        <f t="shared" si="500"/>
        <v>0</v>
      </c>
      <c r="AG295" s="13">
        <f t="shared" si="500"/>
        <v>0</v>
      </c>
      <c r="AH295" s="13">
        <f t="shared" si="500"/>
        <v>0</v>
      </c>
      <c r="AI295" s="13">
        <f t="shared" si="500"/>
        <v>0</v>
      </c>
      <c r="AJ295" s="13">
        <f t="shared" si="500"/>
        <v>0</v>
      </c>
      <c r="AK295" s="68">
        <f t="shared" ref="AK295" si="517">AE295-AJ295</f>
        <v>0</v>
      </c>
      <c r="AL295" s="268">
        <f t="shared" si="455"/>
        <v>0</v>
      </c>
      <c r="AM295" s="13">
        <f t="shared" si="444"/>
        <v>0</v>
      </c>
      <c r="AN295" s="13">
        <f t="shared" si="501"/>
        <v>0</v>
      </c>
      <c r="AO295" s="13">
        <f t="shared" si="501"/>
        <v>0</v>
      </c>
      <c r="AP295" s="13">
        <f t="shared" si="501"/>
        <v>0</v>
      </c>
      <c r="AQ295" s="13">
        <f t="shared" si="501"/>
        <v>0</v>
      </c>
      <c r="AR295" s="13">
        <f t="shared" si="501"/>
        <v>0</v>
      </c>
      <c r="AS295" s="13">
        <f t="shared" si="501"/>
        <v>0</v>
      </c>
      <c r="AT295" s="68">
        <f>AM295-AS295</f>
        <v>0</v>
      </c>
      <c r="AU295" s="268">
        <f t="shared" si="456"/>
        <v>0</v>
      </c>
      <c r="AV295" s="13">
        <f t="shared" si="445"/>
        <v>0</v>
      </c>
      <c r="AW295" s="13">
        <f t="shared" si="421"/>
        <v>0</v>
      </c>
      <c r="AX295" s="13">
        <f t="shared" si="421"/>
        <v>0</v>
      </c>
      <c r="AY295" s="13">
        <f t="shared" si="421"/>
        <v>0</v>
      </c>
      <c r="AZ295" s="13">
        <f t="shared" si="421"/>
        <v>0</v>
      </c>
      <c r="BA295" s="13">
        <f t="shared" si="475"/>
        <v>0</v>
      </c>
      <c r="BB295" s="68">
        <f t="shared" ref="BB295" si="518">AV295-BA295</f>
        <v>0</v>
      </c>
      <c r="BC295" s="268">
        <f t="shared" si="458"/>
        <v>0</v>
      </c>
      <c r="BD295" s="13">
        <f t="shared" si="459"/>
        <v>0</v>
      </c>
      <c r="BE295" s="13">
        <f>SUMIFS(SALIDAS_BIT,FECHA_BIT,"&gt;="&amp;BE$2,FECHA_BIT,"&lt;="&amp;BE$3,CLAVE_BIT,$A295)+SUMIFS(SALIDAS_BOV1,FECHA_BOV1,"&gt;="&amp;BE$2,FECHA_BOV1,"&lt;="&amp;BE$3,CLAVE_BOV1,$A295)+SUMIFS(SALIDAS_BOV2,FECHA_BOV2,"&gt;="&amp;BE$2,FECHA_BOV2,"&lt;="&amp;BE$3,CLAVE_BOV2,$A295)+SUMIFS(SALIDAS_BOV3,FECHA_BOV3,"&gt;="&amp;BE$2,FECHA_BOV3,"&lt;="&amp;BE$3,CLAVE_BOV3,$A295)+SUMIFS(SALIDAS_TC,FECHA_TC,"&gt;="&amp;BE$2,FECHA_TC,"&lt;="&amp;BE$3,CLAVE_TC,$A295)+SUMIFS(SALIDAS_COMB,FECHA_COMB,"&gt;="&amp;BE$2,FECHA_COMB,"&lt;="&amp;BE$3,CLAVE_COMB,$A295)+SUMIFS(SALIDAS_DES,FECHA_DESGLOSEN,"&gt;="&amp;BE$2,FECHA_DESGLOSEN,"&lt;="&amp;BE$3,CLAVE_DESGLOSE,$A295)</f>
        <v>0</v>
      </c>
      <c r="BF295" s="13">
        <f>SUMIFS(SALIDAS_BIT,FECHA_BIT,"&gt;="&amp;BF$2,FECHA_BIT,"&lt;="&amp;BF$3,CLAVE_BIT,$A295)+SUMIFS(SALIDAS_BOV1,FECHA_BOV1,"&gt;="&amp;BF$2,FECHA_BOV1,"&lt;="&amp;BF$3,CLAVE_BOV1,$A295)+SUMIFS(SALIDAS_BOV2,FECHA_BOV2,"&gt;="&amp;BF$2,FECHA_BOV2,"&lt;="&amp;BF$3,CLAVE_BOV2,$A295)+SUMIFS(SALIDAS_BOV3,FECHA_BOV3,"&gt;="&amp;BF$2,FECHA_BOV3,"&lt;="&amp;BF$3,CLAVE_BOV3,$A295)+SUMIFS(SALIDAS_TC,FECHA_TC,"&gt;="&amp;BF$2,FECHA_TC,"&lt;="&amp;BF$3,CLAVE_TC,$A295)+SUMIFS(SALIDAS_COMB,FECHA_COMB,"&gt;="&amp;BF$2,FECHA_COMB,"&lt;="&amp;BF$3,CLAVE_COMB,$A295)+SUMIFS(SALIDAS_DES,FECHA_DESGLOSEN,"&gt;="&amp;BF$2,FECHA_DESGLOSEN,"&lt;="&amp;BF$3,CLAVE_DESGLOSE,$A295)</f>
        <v>0</v>
      </c>
      <c r="BG295" s="13">
        <f>SUMIFS(SALIDAS_BIT,FECHA_BIT,"&gt;="&amp;BG$2,FECHA_BIT,"&lt;="&amp;BG$3,CLAVE_BIT,$A295)+SUMIFS(SALIDAS_BOV1,FECHA_BOV1,"&gt;="&amp;BG$2,FECHA_BOV1,"&lt;="&amp;BG$3,CLAVE_BOV1,$A295)+SUMIFS(SALIDAS_BOV2,FECHA_BOV2,"&gt;="&amp;BG$2,FECHA_BOV2,"&lt;="&amp;BG$3,CLAVE_BOV2,$A295)+SUMIFS(SALIDAS_BOV3,FECHA_BOV3,"&gt;="&amp;BG$2,FECHA_BOV3,"&lt;="&amp;BG$3,CLAVE_BOV3,$A295)+SUMIFS(SALIDAS_TC,FECHA_TC,"&gt;="&amp;BG$2,FECHA_TC,"&lt;="&amp;BG$3,CLAVE_TC,$A295)+SUMIFS(SALIDAS_COMB,FECHA_COMB,"&gt;="&amp;BG$2,FECHA_COMB,"&lt;="&amp;BG$3,CLAVE_COMB,$A295)+SUMIFS(SALIDAS_DES,FECHA_DESGLOSEN,"&gt;="&amp;BG$2,FECHA_DESGLOSEN,"&lt;="&amp;BG$3,CLAVE_DESGLOSE,$A295)</f>
        <v>0</v>
      </c>
      <c r="BH295" s="13">
        <f>SUMIFS(SALIDAS_BIT,FECHA_BIT,"&gt;="&amp;BH$2,FECHA_BIT,"&lt;="&amp;BH$3,CLAVE_BIT,$A295)+SUMIFS(SALIDAS_BOV1,FECHA_BOV1,"&gt;="&amp;BH$2,FECHA_BOV1,"&lt;="&amp;BH$3,CLAVE_BOV1,$A295)+SUMIFS(SALIDAS_BOV2,FECHA_BOV2,"&gt;="&amp;BH$2,FECHA_BOV2,"&lt;="&amp;BH$3,CLAVE_BOV2,$A295)+SUMIFS(SALIDAS_BOV3,FECHA_BOV3,"&gt;="&amp;BH$2,FECHA_BOV3,"&lt;="&amp;BH$3,CLAVE_BOV3,$A295)+SUMIFS(SALIDAS_TC,FECHA_TC,"&gt;="&amp;BH$2,FECHA_TC,"&lt;="&amp;BH$3,CLAVE_TC,$A295)+SUMIFS(SALIDAS_COMB,FECHA_COMB,"&gt;="&amp;BH$2,FECHA_COMB,"&lt;="&amp;BH$3,CLAVE_COMB,$A295)+SUMIFS(SALIDAS_DES,FECHA_DESGLOSEN,"&gt;="&amp;BH$2,FECHA_DESGLOSEN,"&lt;="&amp;BH$3,CLAVE_DESGLOSE,$A295)</f>
        <v>0</v>
      </c>
      <c r="BI295" s="13">
        <f t="shared" si="419"/>
        <v>0</v>
      </c>
      <c r="BJ295" s="68">
        <f t="shared" ref="BJ295" si="519">BD295-BI295</f>
        <v>0</v>
      </c>
      <c r="BK295" s="268">
        <f t="shared" si="461"/>
        <v>0</v>
      </c>
      <c r="BL295" s="13">
        <f t="shared" si="462"/>
        <v>0</v>
      </c>
      <c r="BM295" s="13">
        <f>SUMIFS(SALIDAS_BIT,FECHA_BIT,"&gt;="&amp;BM$2,FECHA_BIT,"&lt;="&amp;BM$3,CLAVE_BIT,$A295)+SUMIFS(SALIDAS_BOV1,FECHA_BOV1,"&gt;="&amp;BM$2,FECHA_BOV1,"&lt;="&amp;BM$3,CLAVE_BOV1,$A295)+SUMIFS(SALIDAS_BOV2,FECHA_BOV2,"&gt;="&amp;BM$2,FECHA_BOV2,"&lt;="&amp;BM$3,CLAVE_BOV2,$A295)+SUMIFS(SALIDAS_BOV3,FECHA_BOV3,"&gt;="&amp;BM$2,FECHA_BOV3,"&lt;="&amp;BM$3,CLAVE_BOV3,$A295)+SUMIFS(SALIDAS_TC,FECHA_TC,"&gt;="&amp;BM$2,FECHA_TC,"&lt;="&amp;BM$3,CLAVE_TC,$A295)+SUMIFS(SALIDAS_COMB,FECHA_COMB,"&gt;="&amp;BM$2,FECHA_COMB,"&lt;="&amp;BM$3,CLAVE_COMB,$A295)+SUMIFS(SALIDAS_DES,FECHA_DESGLOSEN,"&gt;="&amp;BM$2,FECHA_DESGLOSEN,"&lt;="&amp;BM$3,CLAVE_DESGLOSE,$A295)</f>
        <v>0</v>
      </c>
      <c r="BN295" s="13">
        <f>SUMIFS(SALIDAS_BIT,FECHA_BIT,"&gt;="&amp;BN$2,FECHA_BIT,"&lt;="&amp;BN$3,CLAVE_BIT,$A295)+SUMIFS(SALIDAS_BOV1,FECHA_BOV1,"&gt;="&amp;BN$2,FECHA_BOV1,"&lt;="&amp;BN$3,CLAVE_BOV1,$A295)+SUMIFS(SALIDAS_BOV2,FECHA_BOV2,"&gt;="&amp;BN$2,FECHA_BOV2,"&lt;="&amp;BN$3,CLAVE_BOV2,$A295)+SUMIFS(SALIDAS_BOV3,FECHA_BOV3,"&gt;="&amp;BN$2,FECHA_BOV3,"&lt;="&amp;BN$3,CLAVE_BOV3,$A295)+SUMIFS(SALIDAS_TC,FECHA_TC,"&gt;="&amp;BN$2,FECHA_TC,"&lt;="&amp;BN$3,CLAVE_TC,$A295)+SUMIFS(SALIDAS_COMB,FECHA_COMB,"&gt;="&amp;BN$2,FECHA_COMB,"&lt;="&amp;BN$3,CLAVE_COMB,$A295)+SUMIFS(SALIDAS_DES,FECHA_DESGLOSEN,"&gt;="&amp;BN$2,FECHA_DESGLOSEN,"&lt;="&amp;BN$3,CLAVE_DESGLOSE,$A295)</f>
        <v>0</v>
      </c>
      <c r="BO295" s="13">
        <f>SUMIFS(SALIDAS_BIT,FECHA_BIT,"&gt;="&amp;BO$2,FECHA_BIT,"&lt;="&amp;BO$3,CLAVE_BIT,$A295)+SUMIFS(SALIDAS_BOV1,FECHA_BOV1,"&gt;="&amp;BO$2,FECHA_BOV1,"&lt;="&amp;BO$3,CLAVE_BOV1,$A295)+SUMIFS(SALIDAS_BOV2,FECHA_BOV2,"&gt;="&amp;BO$2,FECHA_BOV2,"&lt;="&amp;BO$3,CLAVE_BOV2,$A295)+SUMIFS(SALIDAS_BOV3,FECHA_BOV3,"&gt;="&amp;BO$2,FECHA_BOV3,"&lt;="&amp;BO$3,CLAVE_BOV3,$A295)+SUMIFS(SALIDAS_TC,FECHA_TC,"&gt;="&amp;BO$2,FECHA_TC,"&lt;="&amp;BO$3,CLAVE_TC,$A295)+SUMIFS(SALIDAS_COMB,FECHA_COMB,"&gt;="&amp;BO$2,FECHA_COMB,"&lt;="&amp;BO$3,CLAVE_COMB,$A295)+SUMIFS(SALIDAS_DES,FECHA_DESGLOSEN,"&gt;="&amp;BO$2,FECHA_DESGLOSEN,"&lt;="&amp;BO$3,CLAVE_DESGLOSE,$A295)</f>
        <v>0</v>
      </c>
      <c r="BP295" s="13">
        <f>SUMIFS(SALIDAS_BIT,FECHA_BIT,"&gt;="&amp;BP$2,FECHA_BIT,"&lt;="&amp;BP$3,CLAVE_BIT,$A295)+SUMIFS(SALIDAS_BOV1,FECHA_BOV1,"&gt;="&amp;BP$2,FECHA_BOV1,"&lt;="&amp;BP$3,CLAVE_BOV1,$A295)+SUMIFS(SALIDAS_BOV2,FECHA_BOV2,"&gt;="&amp;BP$2,FECHA_BOV2,"&lt;="&amp;BP$3,CLAVE_BOV2,$A295)+SUMIFS(SALIDAS_BOV3,FECHA_BOV3,"&gt;="&amp;BP$2,FECHA_BOV3,"&lt;="&amp;BP$3,CLAVE_BOV3,$A295)+SUMIFS(SALIDAS_TC,FECHA_TC,"&gt;="&amp;BP$2,FECHA_TC,"&lt;="&amp;BP$3,CLAVE_TC,$A295)+SUMIFS(SALIDAS_COMB,FECHA_COMB,"&gt;="&amp;BP$2,FECHA_COMB,"&lt;="&amp;BP$3,CLAVE_COMB,$A295)+SUMIFS(SALIDAS_DES,FECHA_DESGLOSEN,"&gt;="&amp;BP$2,FECHA_DESGLOSEN,"&lt;="&amp;BP$3,CLAVE_DESGLOSE,$A295)</f>
        <v>0</v>
      </c>
      <c r="BQ295" s="13">
        <f>SUMIFS(SALIDAS_BIT,FECHA_BIT,"&gt;="&amp;BQ$2,FECHA_BIT,"&lt;="&amp;BQ$3,CLAVE_BIT,$A295)+SUMIFS(SALIDAS_BOV1,FECHA_BOV1,"&gt;="&amp;BQ$2,FECHA_BOV1,"&lt;="&amp;BQ$3,CLAVE_BOV1,$A295)+SUMIFS(SALIDAS_BOV2,FECHA_BOV2,"&gt;="&amp;BQ$2,FECHA_BOV2,"&lt;="&amp;BQ$3,CLAVE_BOV2,$A295)+SUMIFS(SALIDAS_BOV3,FECHA_BOV3,"&gt;="&amp;BQ$2,FECHA_BOV3,"&lt;="&amp;BQ$3,CLAVE_BOV3,$A295)+SUMIFS(SALIDAS_TC,FECHA_TC,"&gt;="&amp;BQ$2,FECHA_TC,"&lt;="&amp;BQ$3,CLAVE_TC,$A295)+SUMIFS(SALIDAS_COMB,FECHA_COMB,"&gt;="&amp;BQ$2,FECHA_COMB,"&lt;="&amp;BQ$3,CLAVE_COMB,$A295)+SUMIFS(SALIDAS_DES,FECHA_DESGLOSEN,"&gt;="&amp;BQ$2,FECHA_DESGLOSEN,"&lt;="&amp;BQ$3,CLAVE_DESGLOSE,$A295)</f>
        <v>0</v>
      </c>
      <c r="BR295" s="13">
        <f t="shared" si="502"/>
        <v>0</v>
      </c>
      <c r="BS295" s="68">
        <f t="shared" ref="BS295" si="520">BL295-BR295</f>
        <v>0</v>
      </c>
      <c r="BT295" s="268">
        <f t="shared" si="464"/>
        <v>0</v>
      </c>
      <c r="BU295" s="13">
        <f t="shared" si="465"/>
        <v>0</v>
      </c>
      <c r="BV295" s="13">
        <f t="shared" si="485"/>
        <v>0</v>
      </c>
      <c r="BW295" s="13">
        <f t="shared" si="485"/>
        <v>0</v>
      </c>
      <c r="BX295" s="13">
        <f t="shared" si="485"/>
        <v>0</v>
      </c>
      <c r="BY295" s="13">
        <f t="shared" si="485"/>
        <v>0</v>
      </c>
      <c r="BZ295" s="13">
        <f t="shared" si="503"/>
        <v>0</v>
      </c>
      <c r="CA295" s="68">
        <f t="shared" ref="CA295" si="521">BU295-BZ295</f>
        <v>0</v>
      </c>
      <c r="CB295" s="268">
        <f t="shared" si="467"/>
        <v>0</v>
      </c>
      <c r="CC295" s="13">
        <f t="shared" si="468"/>
        <v>0</v>
      </c>
      <c r="CD295" s="13">
        <f t="shared" si="486"/>
        <v>0</v>
      </c>
      <c r="CE295" s="13">
        <f t="shared" si="486"/>
        <v>0</v>
      </c>
      <c r="CF295" s="13">
        <f t="shared" si="486"/>
        <v>0</v>
      </c>
      <c r="CG295" s="13">
        <f t="shared" si="486"/>
        <v>0</v>
      </c>
      <c r="CH295" s="13">
        <f t="shared" si="504"/>
        <v>0</v>
      </c>
      <c r="CI295" s="68">
        <f t="shared" ref="CI295" si="522">CC295-CH295</f>
        <v>0</v>
      </c>
      <c r="CJ295" s="268">
        <f t="shared" si="470"/>
        <v>0</v>
      </c>
      <c r="CK295" s="13">
        <f t="shared" si="471"/>
        <v>0</v>
      </c>
      <c r="CL295" s="13">
        <f t="shared" si="495"/>
        <v>0</v>
      </c>
      <c r="CM295" s="13">
        <f t="shared" si="495"/>
        <v>0</v>
      </c>
      <c r="CN295" s="13">
        <f t="shared" si="495"/>
        <v>0</v>
      </c>
      <c r="CO295" s="13">
        <f t="shared" si="495"/>
        <v>0</v>
      </c>
      <c r="CP295" s="13">
        <f t="shared" si="495"/>
        <v>0</v>
      </c>
      <c r="CQ295" s="13">
        <f t="shared" si="505"/>
        <v>0</v>
      </c>
      <c r="CR295" s="68">
        <f t="shared" ref="CR295" si="523">CK295-CQ295</f>
        <v>0</v>
      </c>
      <c r="CS295" s="268">
        <f t="shared" si="473"/>
        <v>0</v>
      </c>
      <c r="CT295" s="68">
        <f t="shared" si="446"/>
        <v>0</v>
      </c>
      <c r="CU295" s="13">
        <f>SUMIFS(SALIDAS_BIT,FECHA_BIT,"&gt;="&amp;CU$2,FECHA_BIT,"&lt;="&amp;CU$3,CLAVE_BIT,$A295)+SUMIFS(SALIDAS_BOV1,FECHA_BOV1,"&gt;="&amp;CU$2,FECHA_BOV1,"&lt;="&amp;CU$3,CLAVE_BOV1,$A295)+SUMIFS(SALIDAS_BOV2,FECHA_BOV2,"&gt;="&amp;CU$2,FECHA_BOV2,"&lt;="&amp;CU$3,CLAVE_BOV2,$A295)+SUMIFS(SALIDAS_BOV3,FECHA_BOV3,"&gt;="&amp;CU$2,FECHA_BOV3,"&lt;="&amp;CU$3,CLAVE_BOV3,$A295)+SUMIFS(SALIDAS_TC,FECHA_TC,"&gt;="&amp;CU$2,FECHA_TC,"&lt;="&amp;CU$3,CLAVE_TC,$A295)+SUMIFS(SALIDAS_COMB,FECHA_COMB,"&gt;="&amp;CU$2,FECHA_COMB,"&lt;="&amp;CU$3,CLAVE_COMB,$A295)+SUMIFS(SALIDAS_DES,FECHA_DESGLOSEN,"&gt;="&amp;CU$2,FECHA_DESGLOSEN,"&lt;="&amp;CU$3,CLAVE_DESGLOSE,$A295)</f>
        <v>0</v>
      </c>
      <c r="CV295" s="13">
        <f>SUMIFS(SALIDAS_BIT,FECHA_BIT,"&gt;="&amp;CV$2,FECHA_BIT,"&lt;="&amp;CV$3,CLAVE_BIT,$A295)+SUMIFS(SALIDAS_BOV1,FECHA_BOV1,"&gt;="&amp;CV$2,FECHA_BOV1,"&lt;="&amp;CV$3,CLAVE_BOV1,$A295)+SUMIFS(SALIDAS_BOV2,FECHA_BOV2,"&gt;="&amp;CV$2,FECHA_BOV2,"&lt;="&amp;CV$3,CLAVE_BOV2,$A295)+SUMIFS(SALIDAS_BOV3,FECHA_BOV3,"&gt;="&amp;CV$2,FECHA_BOV3,"&lt;="&amp;CV$3,CLAVE_BOV3,$A295)+SUMIFS(SALIDAS_TC,FECHA_TC,"&gt;="&amp;CV$2,FECHA_TC,"&lt;="&amp;CV$3,CLAVE_TC,$A295)+SUMIFS(SALIDAS_COMB,FECHA_COMB,"&gt;="&amp;CV$2,FECHA_COMB,"&lt;="&amp;CV$3,CLAVE_COMB,$A295)+SUMIFS(SALIDAS_DES,FECHA_DESGLOSEN,"&gt;="&amp;CV$2,FECHA_DESGLOSEN,"&lt;="&amp;CV$3,CLAVE_DESGLOSE,$A295)</f>
        <v>0</v>
      </c>
      <c r="CW295" s="13">
        <f>SUMIFS(SALIDAS_BIT,FECHA_BIT,"&gt;="&amp;CW$2,FECHA_BIT,"&lt;="&amp;CW$3,CLAVE_BIT,$A295)+SUMIFS(SALIDAS_BOV1,FECHA_BOV1,"&gt;="&amp;CW$2,FECHA_BOV1,"&lt;="&amp;CW$3,CLAVE_BOV1,$A295)+SUMIFS(SALIDAS_BOV2,FECHA_BOV2,"&gt;="&amp;CW$2,FECHA_BOV2,"&lt;="&amp;CW$3,CLAVE_BOV2,$A295)+SUMIFS(SALIDAS_BOV3,FECHA_BOV3,"&gt;="&amp;CW$2,FECHA_BOV3,"&lt;="&amp;CW$3,CLAVE_BOV3,$A295)+SUMIFS(SALIDAS_TC,FECHA_TC,"&gt;="&amp;CW$2,FECHA_TC,"&lt;="&amp;CW$3,CLAVE_TC,$A295)+SUMIFS(SALIDAS_COMB,FECHA_COMB,"&gt;="&amp;CW$2,FECHA_COMB,"&lt;="&amp;CW$3,CLAVE_COMB,$A295)+SUMIFS(SALIDAS_DES,FECHA_DESGLOSEN,"&gt;="&amp;CW$2,FECHA_DESGLOSEN,"&lt;="&amp;CW$3,CLAVE_DESGLOSE,$A295)</f>
        <v>0</v>
      </c>
      <c r="CX295" s="13">
        <f>SUMIFS(SALIDAS_BIT,FECHA_BIT,"&gt;="&amp;CX$2,FECHA_BIT,"&lt;="&amp;CX$3,CLAVE_BIT,$A295)+SUMIFS(SALIDAS_BOV1,FECHA_BOV1,"&gt;="&amp;CX$2,FECHA_BOV1,"&lt;="&amp;CX$3,CLAVE_BOV1,$A295)+SUMIFS(SALIDAS_BOV2,FECHA_BOV2,"&gt;="&amp;CX$2,FECHA_BOV2,"&lt;="&amp;CX$3,CLAVE_BOV2,$A295)+SUMIFS(SALIDAS_BOV3,FECHA_BOV3,"&gt;="&amp;CX$2,FECHA_BOV3,"&lt;="&amp;CX$3,CLAVE_BOV3,$A295)+SUMIFS(SALIDAS_TC,FECHA_TC,"&gt;="&amp;CX$2,FECHA_TC,"&lt;="&amp;CX$3,CLAVE_TC,$A295)+SUMIFS(SALIDAS_COMB,FECHA_COMB,"&gt;="&amp;CX$2,FECHA_COMB,"&lt;="&amp;CX$3,CLAVE_COMB,$A295)+SUMIFS(SALIDAS_DES,FECHA_DESGLOSEN,"&gt;="&amp;CX$2,FECHA_DESGLOSEN,"&lt;="&amp;CX$3,CLAVE_DESGLOSE,$A295)</f>
        <v>0</v>
      </c>
      <c r="CY295" s="13">
        <f>SUMIFS(SALIDAS_BIT,FECHA_BIT,"&gt;="&amp;CY$2,FECHA_BIT,"&lt;="&amp;CY$3,CLAVE_BIT,$A295)+SUMIFS(SALIDAS_BOV1,FECHA_BOV1,"&gt;="&amp;CY$2,FECHA_BOV1,"&lt;="&amp;CY$3,CLAVE_BOV1,$A295)+SUMIFS(SALIDAS_BOV2,FECHA_BOV2,"&gt;="&amp;CY$2,FECHA_BOV2,"&lt;="&amp;CY$3,CLAVE_BOV2,$A295)+SUMIFS(SALIDAS_BOV3,FECHA_BOV3,"&gt;="&amp;CY$2,FECHA_BOV3,"&lt;="&amp;CY$3,CLAVE_BOV3,$A295)+SUMIFS(SALIDAS_TC,FECHA_TC,"&gt;="&amp;CY$2,FECHA_TC,"&lt;="&amp;CY$3,CLAVE_TC,$A295)+SUMIFS(SALIDAS_COMB,FECHA_COMB,"&gt;="&amp;CY$2,FECHA_COMB,"&lt;="&amp;CY$3,CLAVE_COMB,$A295)+SUMIFS(SALIDAS_DES,FECHA_DESGLOSEN,"&gt;="&amp;CY$2,FECHA_DESGLOSEN,"&lt;="&amp;CY$3,CLAVE_DESGLOSE,$A295)</f>
        <v>0</v>
      </c>
      <c r="CZ295" s="68">
        <f t="shared" si="474"/>
        <v>0</v>
      </c>
      <c r="DB295" s="17">
        <f>F295+N295+W295+AE295+AM295+AV295+BD295+BL295+BU295+CC295+CK295</f>
        <v>0</v>
      </c>
      <c r="DC295" s="17">
        <f>K295+T295+AB295+AJ295+AS295+BA295+BI295+BR295+BZ295+CH295+CQ295</f>
        <v>1130</v>
      </c>
    </row>
    <row r="296" spans="1:108" hidden="1">
      <c r="A296" s="12" t="str">
        <f t="shared" si="447"/>
        <v>ELIVIATICOSL1</v>
      </c>
      <c r="B296">
        <v>297</v>
      </c>
      <c r="C296" t="s">
        <v>130</v>
      </c>
      <c r="D296" t="s">
        <v>191</v>
      </c>
      <c r="E296" t="s">
        <v>136</v>
      </c>
      <c r="F296" s="259">
        <f t="shared" si="440"/>
        <v>0</v>
      </c>
      <c r="G296" s="13">
        <f t="shared" si="497"/>
        <v>0</v>
      </c>
      <c r="H296" s="13">
        <f t="shared" si="497"/>
        <v>0</v>
      </c>
      <c r="I296" s="13">
        <f t="shared" si="497"/>
        <v>1000</v>
      </c>
      <c r="J296" s="13">
        <f t="shared" si="497"/>
        <v>0</v>
      </c>
      <c r="K296" s="13">
        <f t="shared" si="497"/>
        <v>1000</v>
      </c>
      <c r="L296" s="68">
        <f t="shared" ref="L296" si="524">F296-K296</f>
        <v>-1000</v>
      </c>
      <c r="M296" s="268">
        <f t="shared" si="449"/>
        <v>0</v>
      </c>
      <c r="N296" s="13">
        <f t="shared" si="441"/>
        <v>0</v>
      </c>
      <c r="O296" s="13">
        <f t="shared" si="498"/>
        <v>1500</v>
      </c>
      <c r="P296" s="13">
        <f t="shared" si="498"/>
        <v>1000</v>
      </c>
      <c r="Q296" s="13">
        <f t="shared" si="498"/>
        <v>1000</v>
      </c>
      <c r="R296" s="13">
        <f t="shared" si="498"/>
        <v>1000</v>
      </c>
      <c r="S296" s="13">
        <f t="shared" si="498"/>
        <v>0</v>
      </c>
      <c r="T296" s="13">
        <f t="shared" si="498"/>
        <v>4500</v>
      </c>
      <c r="U296" s="68">
        <f t="shared" si="450"/>
        <v>-4500</v>
      </c>
      <c r="V296" s="268">
        <f t="shared" si="451"/>
        <v>0</v>
      </c>
      <c r="W296" s="13">
        <f t="shared" si="442"/>
        <v>0</v>
      </c>
      <c r="X296" s="13">
        <f t="shared" si="499"/>
        <v>1000</v>
      </c>
      <c r="Y296" s="13">
        <f t="shared" si="499"/>
        <v>0</v>
      </c>
      <c r="Z296" s="13">
        <f t="shared" si="499"/>
        <v>1000</v>
      </c>
      <c r="AA296" s="13">
        <f t="shared" si="499"/>
        <v>2000</v>
      </c>
      <c r="AB296" s="13">
        <f t="shared" si="499"/>
        <v>4000</v>
      </c>
      <c r="AC296" s="68">
        <f t="shared" ref="AC296" si="525">W296-AB296</f>
        <v>-4000</v>
      </c>
      <c r="AD296" s="268">
        <f t="shared" si="453"/>
        <v>0</v>
      </c>
      <c r="AE296" s="13">
        <f t="shared" si="443"/>
        <v>0</v>
      </c>
      <c r="AF296" s="13">
        <f t="shared" si="500"/>
        <v>1000</v>
      </c>
      <c r="AG296" s="13">
        <f t="shared" si="500"/>
        <v>1000</v>
      </c>
      <c r="AH296" s="13">
        <f t="shared" si="500"/>
        <v>1000</v>
      </c>
      <c r="AI296" s="13">
        <f t="shared" si="500"/>
        <v>1000</v>
      </c>
      <c r="AJ296" s="13">
        <f t="shared" si="500"/>
        <v>4000</v>
      </c>
      <c r="AK296" s="68">
        <f t="shared" ref="AK296" si="526">AE296-AJ296</f>
        <v>-4000</v>
      </c>
      <c r="AL296" s="268">
        <f t="shared" si="455"/>
        <v>0</v>
      </c>
      <c r="AM296" s="13">
        <f t="shared" si="444"/>
        <v>0</v>
      </c>
      <c r="AN296" s="13">
        <f t="shared" si="501"/>
        <v>1000</v>
      </c>
      <c r="AO296" s="13">
        <f t="shared" si="501"/>
        <v>1000</v>
      </c>
      <c r="AP296" s="13">
        <f t="shared" si="501"/>
        <v>1000</v>
      </c>
      <c r="AQ296" s="13">
        <f t="shared" si="501"/>
        <v>0</v>
      </c>
      <c r="AR296" s="13">
        <f t="shared" si="501"/>
        <v>1000</v>
      </c>
      <c r="AS296" s="13">
        <f t="shared" si="501"/>
        <v>4000</v>
      </c>
      <c r="AT296" s="68">
        <f>AM296-AS296</f>
        <v>-4000</v>
      </c>
      <c r="AU296" s="268">
        <f t="shared" si="456"/>
        <v>0</v>
      </c>
      <c r="AV296" s="13">
        <f t="shared" si="445"/>
        <v>0</v>
      </c>
      <c r="AW296" s="13">
        <f t="shared" si="421"/>
        <v>300</v>
      </c>
      <c r="AX296" s="13">
        <f t="shared" si="421"/>
        <v>2000</v>
      </c>
      <c r="AY296" s="13">
        <f t="shared" si="421"/>
        <v>1000</v>
      </c>
      <c r="AZ296" s="13">
        <f t="shared" si="421"/>
        <v>1000</v>
      </c>
      <c r="BA296" s="13">
        <f t="shared" si="475"/>
        <v>4300</v>
      </c>
      <c r="BB296" s="68">
        <f t="shared" ref="BB296" si="527">AV296-BA296</f>
        <v>-4300</v>
      </c>
      <c r="BC296" s="268">
        <f t="shared" si="458"/>
        <v>0</v>
      </c>
      <c r="BD296" s="13">
        <f t="shared" si="459"/>
        <v>0</v>
      </c>
      <c r="BE296" s="13">
        <f>SUMIFS(SALIDAS_BIT,FECHA_BIT,"&gt;="&amp;BE$2,FECHA_BIT,"&lt;="&amp;BE$3,CLAVE_BIT,$A296)+SUMIFS(SALIDAS_BOV1,FECHA_BOV1,"&gt;="&amp;BE$2,FECHA_BOV1,"&lt;="&amp;BE$3,CLAVE_BOV1,$A296)+SUMIFS(SALIDAS_BOV2,FECHA_BOV2,"&gt;="&amp;BE$2,FECHA_BOV2,"&lt;="&amp;BE$3,CLAVE_BOV2,$A296)+SUMIFS(SALIDAS_BOV3,FECHA_BOV3,"&gt;="&amp;BE$2,FECHA_BOV3,"&lt;="&amp;BE$3,CLAVE_BOV3,$A296)+SUMIFS(SALIDAS_TC,FECHA_TC,"&gt;="&amp;BE$2,FECHA_TC,"&lt;="&amp;BE$3,CLAVE_TC,$A296)+SUMIFS(SALIDAS_COMB,FECHA_COMB,"&gt;="&amp;BE$2,FECHA_COMB,"&lt;="&amp;BE$3,CLAVE_COMB,$A296)+SUMIFS(SALIDAS_DES,FECHA_DESGLOSEN,"&gt;="&amp;BE$2,FECHA_DESGLOSEN,"&lt;="&amp;BE$3,CLAVE_DESGLOSE,$A296)</f>
        <v>1000</v>
      </c>
      <c r="BF296" s="13">
        <f>SUMIFS(SALIDAS_BIT,FECHA_BIT,"&gt;="&amp;BF$2,FECHA_BIT,"&lt;="&amp;BF$3,CLAVE_BIT,$A296)+SUMIFS(SALIDAS_BOV1,FECHA_BOV1,"&gt;="&amp;BF$2,FECHA_BOV1,"&lt;="&amp;BF$3,CLAVE_BOV1,$A296)+SUMIFS(SALIDAS_BOV2,FECHA_BOV2,"&gt;="&amp;BF$2,FECHA_BOV2,"&lt;="&amp;BF$3,CLAVE_BOV2,$A296)+SUMIFS(SALIDAS_BOV3,FECHA_BOV3,"&gt;="&amp;BF$2,FECHA_BOV3,"&lt;="&amp;BF$3,CLAVE_BOV3,$A296)+SUMIFS(SALIDAS_TC,FECHA_TC,"&gt;="&amp;BF$2,FECHA_TC,"&lt;="&amp;BF$3,CLAVE_TC,$A296)+SUMIFS(SALIDAS_COMB,FECHA_COMB,"&gt;="&amp;BF$2,FECHA_COMB,"&lt;="&amp;BF$3,CLAVE_COMB,$A296)+SUMIFS(SALIDAS_DES,FECHA_DESGLOSEN,"&gt;="&amp;BF$2,FECHA_DESGLOSEN,"&lt;="&amp;BF$3,CLAVE_DESGLOSE,$A296)</f>
        <v>1000</v>
      </c>
      <c r="BG296" s="13">
        <f>SUMIFS(SALIDAS_BIT,FECHA_BIT,"&gt;="&amp;BG$2,FECHA_BIT,"&lt;="&amp;BG$3,CLAVE_BIT,$A296)+SUMIFS(SALIDAS_BOV1,FECHA_BOV1,"&gt;="&amp;BG$2,FECHA_BOV1,"&lt;="&amp;BG$3,CLAVE_BOV1,$A296)+SUMIFS(SALIDAS_BOV2,FECHA_BOV2,"&gt;="&amp;BG$2,FECHA_BOV2,"&lt;="&amp;BG$3,CLAVE_BOV2,$A296)+SUMIFS(SALIDAS_BOV3,FECHA_BOV3,"&gt;="&amp;BG$2,FECHA_BOV3,"&lt;="&amp;BG$3,CLAVE_BOV3,$A296)+SUMIFS(SALIDAS_TC,FECHA_TC,"&gt;="&amp;BG$2,FECHA_TC,"&lt;="&amp;BG$3,CLAVE_TC,$A296)+SUMIFS(SALIDAS_COMB,FECHA_COMB,"&gt;="&amp;BG$2,FECHA_COMB,"&lt;="&amp;BG$3,CLAVE_COMB,$A296)+SUMIFS(SALIDAS_DES,FECHA_DESGLOSEN,"&gt;="&amp;BG$2,FECHA_DESGLOSEN,"&lt;="&amp;BG$3,CLAVE_DESGLOSE,$A296)</f>
        <v>1300</v>
      </c>
      <c r="BH296" s="13">
        <f>SUMIFS(SALIDAS_BIT,FECHA_BIT,"&gt;="&amp;BH$2,FECHA_BIT,"&lt;="&amp;BH$3,CLAVE_BIT,$A296)+SUMIFS(SALIDAS_BOV1,FECHA_BOV1,"&gt;="&amp;BH$2,FECHA_BOV1,"&lt;="&amp;BH$3,CLAVE_BOV1,$A296)+SUMIFS(SALIDAS_BOV2,FECHA_BOV2,"&gt;="&amp;BH$2,FECHA_BOV2,"&lt;="&amp;BH$3,CLAVE_BOV2,$A296)+SUMIFS(SALIDAS_BOV3,FECHA_BOV3,"&gt;="&amp;BH$2,FECHA_BOV3,"&lt;="&amp;BH$3,CLAVE_BOV3,$A296)+SUMIFS(SALIDAS_TC,FECHA_TC,"&gt;="&amp;BH$2,FECHA_TC,"&lt;="&amp;BH$3,CLAVE_TC,$A296)+SUMIFS(SALIDAS_COMB,FECHA_COMB,"&gt;="&amp;BH$2,FECHA_COMB,"&lt;="&amp;BH$3,CLAVE_COMB,$A296)+SUMIFS(SALIDAS_DES,FECHA_DESGLOSEN,"&gt;="&amp;BH$2,FECHA_DESGLOSEN,"&lt;="&amp;BH$3,CLAVE_DESGLOSE,$A296)</f>
        <v>0</v>
      </c>
      <c r="BI296" s="13">
        <f t="shared" si="419"/>
        <v>3300</v>
      </c>
      <c r="BJ296" s="68">
        <f t="shared" ref="BJ296" si="528">BD296-BI296</f>
        <v>-3300</v>
      </c>
      <c r="BK296" s="268">
        <f t="shared" si="461"/>
        <v>0</v>
      </c>
      <c r="BL296" s="13">
        <f t="shared" si="462"/>
        <v>0</v>
      </c>
      <c r="BM296" s="13">
        <f>SUMIFS(SALIDAS_BIT,FECHA_BIT,"&gt;="&amp;BM$2,FECHA_BIT,"&lt;="&amp;BM$3,CLAVE_BIT,$A296)+SUMIFS(SALIDAS_BOV1,FECHA_BOV1,"&gt;="&amp;BM$2,FECHA_BOV1,"&lt;="&amp;BM$3,CLAVE_BOV1,$A296)+SUMIFS(SALIDAS_BOV2,FECHA_BOV2,"&gt;="&amp;BM$2,FECHA_BOV2,"&lt;="&amp;BM$3,CLAVE_BOV2,$A296)+SUMIFS(SALIDAS_BOV3,FECHA_BOV3,"&gt;="&amp;BM$2,FECHA_BOV3,"&lt;="&amp;BM$3,CLAVE_BOV3,$A296)+SUMIFS(SALIDAS_TC,FECHA_TC,"&gt;="&amp;BM$2,FECHA_TC,"&lt;="&amp;BM$3,CLAVE_TC,$A296)+SUMIFS(SALIDAS_COMB,FECHA_COMB,"&gt;="&amp;BM$2,FECHA_COMB,"&lt;="&amp;BM$3,CLAVE_COMB,$A296)+SUMIFS(SALIDAS_DES,FECHA_DESGLOSEN,"&gt;="&amp;BM$2,FECHA_DESGLOSEN,"&lt;="&amp;BM$3,CLAVE_DESGLOSE,$A296)</f>
        <v>1300</v>
      </c>
      <c r="BN296" s="13">
        <f>SUMIFS(SALIDAS_BIT,FECHA_BIT,"&gt;="&amp;BN$2,FECHA_BIT,"&lt;="&amp;BN$3,CLAVE_BIT,$A296)+SUMIFS(SALIDAS_BOV1,FECHA_BOV1,"&gt;="&amp;BN$2,FECHA_BOV1,"&lt;="&amp;BN$3,CLAVE_BOV1,$A296)+SUMIFS(SALIDAS_BOV2,FECHA_BOV2,"&gt;="&amp;BN$2,FECHA_BOV2,"&lt;="&amp;BN$3,CLAVE_BOV2,$A296)+SUMIFS(SALIDAS_BOV3,FECHA_BOV3,"&gt;="&amp;BN$2,FECHA_BOV3,"&lt;="&amp;BN$3,CLAVE_BOV3,$A296)+SUMIFS(SALIDAS_TC,FECHA_TC,"&gt;="&amp;BN$2,FECHA_TC,"&lt;="&amp;BN$3,CLAVE_TC,$A296)+SUMIFS(SALIDAS_COMB,FECHA_COMB,"&gt;="&amp;BN$2,FECHA_COMB,"&lt;="&amp;BN$3,CLAVE_COMB,$A296)+SUMIFS(SALIDAS_DES,FECHA_DESGLOSEN,"&gt;="&amp;BN$2,FECHA_DESGLOSEN,"&lt;="&amp;BN$3,CLAVE_DESGLOSE,$A296)</f>
        <v>1800</v>
      </c>
      <c r="BO296" s="13">
        <f>SUMIFS(SALIDAS_BIT,FECHA_BIT,"&gt;="&amp;BO$2,FECHA_BIT,"&lt;="&amp;BO$3,CLAVE_BIT,$A296)+SUMIFS(SALIDAS_BOV1,FECHA_BOV1,"&gt;="&amp;BO$2,FECHA_BOV1,"&lt;="&amp;BO$3,CLAVE_BOV1,$A296)+SUMIFS(SALIDAS_BOV2,FECHA_BOV2,"&gt;="&amp;BO$2,FECHA_BOV2,"&lt;="&amp;BO$3,CLAVE_BOV2,$A296)+SUMIFS(SALIDAS_BOV3,FECHA_BOV3,"&gt;="&amp;BO$2,FECHA_BOV3,"&lt;="&amp;BO$3,CLAVE_BOV3,$A296)+SUMIFS(SALIDAS_TC,FECHA_TC,"&gt;="&amp;BO$2,FECHA_TC,"&lt;="&amp;BO$3,CLAVE_TC,$A296)+SUMIFS(SALIDAS_COMB,FECHA_COMB,"&gt;="&amp;BO$2,FECHA_COMB,"&lt;="&amp;BO$3,CLAVE_COMB,$A296)+SUMIFS(SALIDAS_DES,FECHA_DESGLOSEN,"&gt;="&amp;BO$2,FECHA_DESGLOSEN,"&lt;="&amp;BO$3,CLAVE_DESGLOSE,$A296)</f>
        <v>1000</v>
      </c>
      <c r="BP296" s="13">
        <f>SUMIFS(SALIDAS_BIT,FECHA_BIT,"&gt;="&amp;BP$2,FECHA_BIT,"&lt;="&amp;BP$3,CLAVE_BIT,$A296)+SUMIFS(SALIDAS_BOV1,FECHA_BOV1,"&gt;="&amp;BP$2,FECHA_BOV1,"&lt;="&amp;BP$3,CLAVE_BOV1,$A296)+SUMIFS(SALIDAS_BOV2,FECHA_BOV2,"&gt;="&amp;BP$2,FECHA_BOV2,"&lt;="&amp;BP$3,CLAVE_BOV2,$A296)+SUMIFS(SALIDAS_BOV3,FECHA_BOV3,"&gt;="&amp;BP$2,FECHA_BOV3,"&lt;="&amp;BP$3,CLAVE_BOV3,$A296)+SUMIFS(SALIDAS_TC,FECHA_TC,"&gt;="&amp;BP$2,FECHA_TC,"&lt;="&amp;BP$3,CLAVE_TC,$A296)+SUMIFS(SALIDAS_COMB,FECHA_COMB,"&gt;="&amp;BP$2,FECHA_COMB,"&lt;="&amp;BP$3,CLAVE_COMB,$A296)+SUMIFS(SALIDAS_DES,FECHA_DESGLOSEN,"&gt;="&amp;BP$2,FECHA_DESGLOSEN,"&lt;="&amp;BP$3,CLAVE_DESGLOSE,$A296)</f>
        <v>1000</v>
      </c>
      <c r="BQ296" s="13">
        <f>SUMIFS(SALIDAS_BIT,FECHA_BIT,"&gt;="&amp;BQ$2,FECHA_BIT,"&lt;="&amp;BQ$3,CLAVE_BIT,$A296)+SUMIFS(SALIDAS_BOV1,FECHA_BOV1,"&gt;="&amp;BQ$2,FECHA_BOV1,"&lt;="&amp;BQ$3,CLAVE_BOV1,$A296)+SUMIFS(SALIDAS_BOV2,FECHA_BOV2,"&gt;="&amp;BQ$2,FECHA_BOV2,"&lt;="&amp;BQ$3,CLAVE_BOV2,$A296)+SUMIFS(SALIDAS_BOV3,FECHA_BOV3,"&gt;="&amp;BQ$2,FECHA_BOV3,"&lt;="&amp;BQ$3,CLAVE_BOV3,$A296)+SUMIFS(SALIDAS_TC,FECHA_TC,"&gt;="&amp;BQ$2,FECHA_TC,"&lt;="&amp;BQ$3,CLAVE_TC,$A296)+SUMIFS(SALIDAS_COMB,FECHA_COMB,"&gt;="&amp;BQ$2,FECHA_COMB,"&lt;="&amp;BQ$3,CLAVE_COMB,$A296)+SUMIFS(SALIDAS_DES,FECHA_DESGLOSEN,"&gt;="&amp;BQ$2,FECHA_DESGLOSEN,"&lt;="&amp;BQ$3,CLAVE_DESGLOSE,$A296)</f>
        <v>1000</v>
      </c>
      <c r="BR296" s="13">
        <f t="shared" si="502"/>
        <v>6100</v>
      </c>
      <c r="BS296" s="68">
        <f t="shared" ref="BS296" si="529">BL296-BR296</f>
        <v>-6100</v>
      </c>
      <c r="BT296" s="268">
        <f t="shared" si="464"/>
        <v>0</v>
      </c>
      <c r="BU296" s="13">
        <f t="shared" si="465"/>
        <v>0</v>
      </c>
      <c r="BV296" s="13">
        <f t="shared" si="485"/>
        <v>1000</v>
      </c>
      <c r="BW296" s="13">
        <f t="shared" si="485"/>
        <v>1000</v>
      </c>
      <c r="BX296" s="13">
        <f t="shared" si="485"/>
        <v>1000</v>
      </c>
      <c r="BY296" s="13">
        <f t="shared" si="485"/>
        <v>1000</v>
      </c>
      <c r="BZ296" s="13">
        <f t="shared" si="503"/>
        <v>4000</v>
      </c>
      <c r="CA296" s="68">
        <f t="shared" ref="CA296" si="530">BU296-BZ296</f>
        <v>-4000</v>
      </c>
      <c r="CB296" s="268">
        <f t="shared" si="467"/>
        <v>0</v>
      </c>
      <c r="CC296" s="13">
        <f t="shared" si="468"/>
        <v>0</v>
      </c>
      <c r="CD296" s="13">
        <f t="shared" si="486"/>
        <v>1800</v>
      </c>
      <c r="CE296" s="13">
        <f t="shared" si="486"/>
        <v>1000</v>
      </c>
      <c r="CF296" s="13">
        <f t="shared" si="486"/>
        <v>1000</v>
      </c>
      <c r="CG296" s="13">
        <f t="shared" si="486"/>
        <v>0</v>
      </c>
      <c r="CH296" s="13">
        <f t="shared" si="504"/>
        <v>3800</v>
      </c>
      <c r="CI296" s="68">
        <f t="shared" ref="CI296" si="531">CC296-CH296</f>
        <v>-3800</v>
      </c>
      <c r="CJ296" s="268">
        <f t="shared" si="470"/>
        <v>0</v>
      </c>
      <c r="CK296" s="13">
        <f t="shared" si="471"/>
        <v>0</v>
      </c>
      <c r="CL296" s="13">
        <f t="shared" si="495"/>
        <v>1000</v>
      </c>
      <c r="CM296" s="13">
        <f t="shared" si="495"/>
        <v>2500</v>
      </c>
      <c r="CN296" s="13">
        <f t="shared" si="495"/>
        <v>1900</v>
      </c>
      <c r="CO296" s="13">
        <f t="shared" si="495"/>
        <v>1500</v>
      </c>
      <c r="CP296" s="13">
        <f t="shared" si="495"/>
        <v>0</v>
      </c>
      <c r="CQ296" s="13">
        <f t="shared" si="505"/>
        <v>6900</v>
      </c>
      <c r="CR296" s="68">
        <f t="shared" ref="CR296" si="532">CK296-CQ296</f>
        <v>-6900</v>
      </c>
      <c r="CS296" s="268">
        <f t="shared" si="473"/>
        <v>0</v>
      </c>
      <c r="CT296" s="68">
        <f t="shared" si="446"/>
        <v>8000</v>
      </c>
      <c r="CU296" s="13">
        <f>SUMIFS(SALIDAS_BIT,FECHA_BIT,"&gt;="&amp;CU$2,FECHA_BIT,"&lt;="&amp;CU$3,CLAVE_BIT,$A296)+SUMIFS(SALIDAS_BOV1,FECHA_BOV1,"&gt;="&amp;CU$2,FECHA_BOV1,"&lt;="&amp;CU$3,CLAVE_BOV1,$A296)+SUMIFS(SALIDAS_BOV2,FECHA_BOV2,"&gt;="&amp;CU$2,FECHA_BOV2,"&lt;="&amp;CU$3,CLAVE_BOV2,$A296)+SUMIFS(SALIDAS_BOV3,FECHA_BOV3,"&gt;="&amp;CU$2,FECHA_BOV3,"&lt;="&amp;CU$3,CLAVE_BOV3,$A296)+SUMIFS(SALIDAS_TC,FECHA_TC,"&gt;="&amp;CU$2,FECHA_TC,"&lt;="&amp;CU$3,CLAVE_TC,$A296)+SUMIFS(SALIDAS_COMB,FECHA_COMB,"&gt;="&amp;CU$2,FECHA_COMB,"&lt;="&amp;CU$3,CLAVE_COMB,$A296)+SUMIFS(SALIDAS_DES,FECHA_DESGLOSEN,"&gt;="&amp;CU$2,FECHA_DESGLOSEN,"&lt;="&amp;CU$3,CLAVE_DESGLOSE,$A296)</f>
        <v>0</v>
      </c>
      <c r="CV296" s="13">
        <f>SUMIFS(SALIDAS_BIT,FECHA_BIT,"&gt;="&amp;CV$2,FECHA_BIT,"&lt;="&amp;CV$3,CLAVE_BIT,$A296)+SUMIFS(SALIDAS_BOV1,FECHA_BOV1,"&gt;="&amp;CV$2,FECHA_BOV1,"&lt;="&amp;CV$3,CLAVE_BOV1,$A296)+SUMIFS(SALIDAS_BOV2,FECHA_BOV2,"&gt;="&amp;CV$2,FECHA_BOV2,"&lt;="&amp;CV$3,CLAVE_BOV2,$A296)+SUMIFS(SALIDAS_BOV3,FECHA_BOV3,"&gt;="&amp;CV$2,FECHA_BOV3,"&lt;="&amp;CV$3,CLAVE_BOV3,$A296)+SUMIFS(SALIDAS_TC,FECHA_TC,"&gt;="&amp;CV$2,FECHA_TC,"&lt;="&amp;CV$3,CLAVE_TC,$A296)+SUMIFS(SALIDAS_COMB,FECHA_COMB,"&gt;="&amp;CV$2,FECHA_COMB,"&lt;="&amp;CV$3,CLAVE_COMB,$A296)+SUMIFS(SALIDAS_DES,FECHA_DESGLOSEN,"&gt;="&amp;CV$2,FECHA_DESGLOSEN,"&lt;="&amp;CV$3,CLAVE_DESGLOSE,$A296)</f>
        <v>0</v>
      </c>
      <c r="CW296" s="13">
        <f>SUMIFS(SALIDAS_BIT,FECHA_BIT,"&gt;="&amp;CW$2,FECHA_BIT,"&lt;="&amp;CW$3,CLAVE_BIT,$A296)+SUMIFS(SALIDAS_BOV1,FECHA_BOV1,"&gt;="&amp;CW$2,FECHA_BOV1,"&lt;="&amp;CW$3,CLAVE_BOV1,$A296)+SUMIFS(SALIDAS_BOV2,FECHA_BOV2,"&gt;="&amp;CW$2,FECHA_BOV2,"&lt;="&amp;CW$3,CLAVE_BOV2,$A296)+SUMIFS(SALIDAS_BOV3,FECHA_BOV3,"&gt;="&amp;CW$2,FECHA_BOV3,"&lt;="&amp;CW$3,CLAVE_BOV3,$A296)+SUMIFS(SALIDAS_TC,FECHA_TC,"&gt;="&amp;CW$2,FECHA_TC,"&lt;="&amp;CW$3,CLAVE_TC,$A296)+SUMIFS(SALIDAS_COMB,FECHA_COMB,"&gt;="&amp;CW$2,FECHA_COMB,"&lt;="&amp;CW$3,CLAVE_COMB,$A296)+SUMIFS(SALIDAS_DES,FECHA_DESGLOSEN,"&gt;="&amp;CW$2,FECHA_DESGLOSEN,"&lt;="&amp;CW$3,CLAVE_DESGLOSE,$A296)</f>
        <v>0</v>
      </c>
      <c r="CX296" s="13">
        <f>SUMIFS(SALIDAS_BIT,FECHA_BIT,"&gt;="&amp;CX$2,FECHA_BIT,"&lt;="&amp;CX$3,CLAVE_BIT,$A296)+SUMIFS(SALIDAS_BOV1,FECHA_BOV1,"&gt;="&amp;CX$2,FECHA_BOV1,"&lt;="&amp;CX$3,CLAVE_BOV1,$A296)+SUMIFS(SALIDAS_BOV2,FECHA_BOV2,"&gt;="&amp;CX$2,FECHA_BOV2,"&lt;="&amp;CX$3,CLAVE_BOV2,$A296)+SUMIFS(SALIDAS_BOV3,FECHA_BOV3,"&gt;="&amp;CX$2,FECHA_BOV3,"&lt;="&amp;CX$3,CLAVE_BOV3,$A296)+SUMIFS(SALIDAS_TC,FECHA_TC,"&gt;="&amp;CX$2,FECHA_TC,"&lt;="&amp;CX$3,CLAVE_TC,$A296)+SUMIFS(SALIDAS_COMB,FECHA_COMB,"&gt;="&amp;CX$2,FECHA_COMB,"&lt;="&amp;CX$3,CLAVE_COMB,$A296)+SUMIFS(SALIDAS_DES,FECHA_DESGLOSEN,"&gt;="&amp;CX$2,FECHA_DESGLOSEN,"&lt;="&amp;CX$3,CLAVE_DESGLOSE,$A296)</f>
        <v>0</v>
      </c>
      <c r="CY296" s="13">
        <f>SUMIFS(SALIDAS_BIT,FECHA_BIT,"&gt;="&amp;CY$2,FECHA_BIT,"&lt;="&amp;CY$3,CLAVE_BIT,$A296)+SUMIFS(SALIDAS_BOV1,FECHA_BOV1,"&gt;="&amp;CY$2,FECHA_BOV1,"&lt;="&amp;CY$3,CLAVE_BOV1,$A296)+SUMIFS(SALIDAS_BOV2,FECHA_BOV2,"&gt;="&amp;CY$2,FECHA_BOV2,"&lt;="&amp;CY$3,CLAVE_BOV2,$A296)+SUMIFS(SALIDAS_BOV3,FECHA_BOV3,"&gt;="&amp;CY$2,FECHA_BOV3,"&lt;="&amp;CY$3,CLAVE_BOV3,$A296)+SUMIFS(SALIDAS_TC,FECHA_TC,"&gt;="&amp;CY$2,FECHA_TC,"&lt;="&amp;CY$3,CLAVE_TC,$A296)+SUMIFS(SALIDAS_COMB,FECHA_COMB,"&gt;="&amp;CY$2,FECHA_COMB,"&lt;="&amp;CY$3,CLAVE_COMB,$A296)+SUMIFS(SALIDAS_DES,FECHA_DESGLOSEN,"&gt;="&amp;CY$2,FECHA_DESGLOSEN,"&lt;="&amp;CY$3,CLAVE_DESGLOSE,$A296)</f>
        <v>0</v>
      </c>
      <c r="CZ296" s="68">
        <f t="shared" si="474"/>
        <v>8000</v>
      </c>
      <c r="DB296" s="17">
        <f>F296+N296+W296+AE296+AM296+AV296+BD296+BL296+BU296+CC296+CK296</f>
        <v>0</v>
      </c>
      <c r="DC296" s="17">
        <f>K296+T296+AB296+AJ296+AS296+BA296+BI296+BR296+BZ296+CH296+CQ296</f>
        <v>45900</v>
      </c>
    </row>
    <row r="297" spans="1:108" hidden="1">
      <c r="A297" s="12" t="str">
        <f t="shared" si="447"/>
        <v>ELIVACACIONES/FINIQUITOSL1</v>
      </c>
      <c r="B297">
        <v>298</v>
      </c>
      <c r="C297" t="s">
        <v>130</v>
      </c>
      <c r="D297" t="s">
        <v>190</v>
      </c>
      <c r="E297" t="s">
        <v>136</v>
      </c>
      <c r="F297" s="259">
        <f t="shared" si="440"/>
        <v>0</v>
      </c>
      <c r="G297" s="13">
        <f t="shared" si="497"/>
        <v>337</v>
      </c>
      <c r="H297" s="13">
        <f t="shared" si="497"/>
        <v>0</v>
      </c>
      <c r="I297" s="13">
        <f t="shared" si="497"/>
        <v>0</v>
      </c>
      <c r="J297" s="13">
        <f t="shared" si="497"/>
        <v>0</v>
      </c>
      <c r="K297" s="13">
        <f t="shared" si="497"/>
        <v>337</v>
      </c>
      <c r="L297" s="68">
        <f t="shared" ref="L297" si="533">F297-K297</f>
        <v>-337</v>
      </c>
      <c r="M297" s="268">
        <f t="shared" si="449"/>
        <v>0</v>
      </c>
      <c r="N297" s="13">
        <f t="shared" si="441"/>
        <v>0</v>
      </c>
      <c r="O297" s="13">
        <f t="shared" si="498"/>
        <v>0</v>
      </c>
      <c r="P297" s="13">
        <f t="shared" si="498"/>
        <v>5517</v>
      </c>
      <c r="Q297" s="13">
        <f t="shared" si="498"/>
        <v>1401</v>
      </c>
      <c r="R297" s="13">
        <f t="shared" si="498"/>
        <v>0</v>
      </c>
      <c r="S297" s="13">
        <f t="shared" si="498"/>
        <v>0</v>
      </c>
      <c r="T297" s="13">
        <f t="shared" si="498"/>
        <v>6918</v>
      </c>
      <c r="U297" s="68">
        <f t="shared" si="450"/>
        <v>-6918</v>
      </c>
      <c r="V297" s="268">
        <f t="shared" si="451"/>
        <v>0</v>
      </c>
      <c r="W297" s="13">
        <f t="shared" si="442"/>
        <v>0</v>
      </c>
      <c r="X297" s="13">
        <f t="shared" si="499"/>
        <v>0</v>
      </c>
      <c r="Y297" s="13">
        <f t="shared" si="499"/>
        <v>0</v>
      </c>
      <c r="Z297" s="13">
        <f t="shared" si="499"/>
        <v>22028.573</v>
      </c>
      <c r="AA297" s="13">
        <f t="shared" si="499"/>
        <v>15000</v>
      </c>
      <c r="AB297" s="13">
        <f t="shared" si="499"/>
        <v>37028.573000000004</v>
      </c>
      <c r="AC297" s="68">
        <f t="shared" ref="AC297" si="534">W297-AB297</f>
        <v>-37028.573000000004</v>
      </c>
      <c r="AD297" s="268">
        <f t="shared" si="453"/>
        <v>0</v>
      </c>
      <c r="AE297" s="13">
        <f t="shared" si="443"/>
        <v>0</v>
      </c>
      <c r="AF297" s="13">
        <f t="shared" si="500"/>
        <v>0</v>
      </c>
      <c r="AG297" s="13">
        <f t="shared" si="500"/>
        <v>15000</v>
      </c>
      <c r="AH297" s="13">
        <f t="shared" si="500"/>
        <v>0</v>
      </c>
      <c r="AI297" s="13">
        <f t="shared" si="500"/>
        <v>0</v>
      </c>
      <c r="AJ297" s="13">
        <f t="shared" si="500"/>
        <v>15000</v>
      </c>
      <c r="AK297" s="68">
        <f t="shared" ref="AK297" si="535">AE297-AJ297</f>
        <v>-15000</v>
      </c>
      <c r="AL297" s="268">
        <f t="shared" si="455"/>
        <v>0</v>
      </c>
      <c r="AM297" s="13">
        <f t="shared" si="444"/>
        <v>0</v>
      </c>
      <c r="AN297" s="13">
        <f t="shared" si="501"/>
        <v>0</v>
      </c>
      <c r="AO297" s="13">
        <f t="shared" si="501"/>
        <v>0</v>
      </c>
      <c r="AP297" s="13">
        <f t="shared" si="501"/>
        <v>0</v>
      </c>
      <c r="AQ297" s="13">
        <f t="shared" si="501"/>
        <v>0</v>
      </c>
      <c r="AR297" s="13">
        <f t="shared" si="501"/>
        <v>0</v>
      </c>
      <c r="AS297" s="13">
        <f t="shared" si="501"/>
        <v>0</v>
      </c>
      <c r="AT297" s="68">
        <f>AM297-AS297</f>
        <v>0</v>
      </c>
      <c r="AU297" s="268">
        <f t="shared" si="456"/>
        <v>0</v>
      </c>
      <c r="AV297" s="13">
        <f t="shared" si="445"/>
        <v>0</v>
      </c>
      <c r="AW297" s="13">
        <f t="shared" si="421"/>
        <v>0</v>
      </c>
      <c r="AX297" s="13">
        <f t="shared" si="421"/>
        <v>0</v>
      </c>
      <c r="AY297" s="13">
        <f t="shared" si="421"/>
        <v>0</v>
      </c>
      <c r="AZ297" s="13">
        <f t="shared" si="421"/>
        <v>0</v>
      </c>
      <c r="BA297" s="13">
        <f t="shared" si="475"/>
        <v>0</v>
      </c>
      <c r="BB297" s="68">
        <f t="shared" ref="BB297" si="536">AV297-BA297</f>
        <v>0</v>
      </c>
      <c r="BC297" s="268">
        <f t="shared" si="458"/>
        <v>0</v>
      </c>
      <c r="BD297" s="13">
        <f t="shared" si="459"/>
        <v>0</v>
      </c>
      <c r="BE297" s="13">
        <f>SUMIFS(SALIDAS_BIT,FECHA_BIT,"&gt;="&amp;BE$2,FECHA_BIT,"&lt;="&amp;BE$3,CLAVE_BIT,$A297)+SUMIFS(SALIDAS_BOV1,FECHA_BOV1,"&gt;="&amp;BE$2,FECHA_BOV1,"&lt;="&amp;BE$3,CLAVE_BOV1,$A297)+SUMIFS(SALIDAS_BOV2,FECHA_BOV2,"&gt;="&amp;BE$2,FECHA_BOV2,"&lt;="&amp;BE$3,CLAVE_BOV2,$A297)+SUMIFS(SALIDAS_BOV3,FECHA_BOV3,"&gt;="&amp;BE$2,FECHA_BOV3,"&lt;="&amp;BE$3,CLAVE_BOV3,$A297)+SUMIFS(SALIDAS_TC,FECHA_TC,"&gt;="&amp;BE$2,FECHA_TC,"&lt;="&amp;BE$3,CLAVE_TC,$A297)+SUMIFS(SALIDAS_COMB,FECHA_COMB,"&gt;="&amp;BE$2,FECHA_COMB,"&lt;="&amp;BE$3,CLAVE_COMB,$A297)+SUMIFS(SALIDAS_DES,FECHA_DESGLOSEN,"&gt;="&amp;BE$2,FECHA_DESGLOSEN,"&lt;="&amp;BE$3,CLAVE_DESGLOSE,$A297)</f>
        <v>0</v>
      </c>
      <c r="BF297" s="13">
        <f>SUMIFS(SALIDAS_BIT,FECHA_BIT,"&gt;="&amp;BF$2,FECHA_BIT,"&lt;="&amp;BF$3,CLAVE_BIT,$A297)+SUMIFS(SALIDAS_BOV1,FECHA_BOV1,"&gt;="&amp;BF$2,FECHA_BOV1,"&lt;="&amp;BF$3,CLAVE_BOV1,$A297)+SUMIFS(SALIDAS_BOV2,FECHA_BOV2,"&gt;="&amp;BF$2,FECHA_BOV2,"&lt;="&amp;BF$3,CLAVE_BOV2,$A297)+SUMIFS(SALIDAS_BOV3,FECHA_BOV3,"&gt;="&amp;BF$2,FECHA_BOV3,"&lt;="&amp;BF$3,CLAVE_BOV3,$A297)+SUMIFS(SALIDAS_TC,FECHA_TC,"&gt;="&amp;BF$2,FECHA_TC,"&lt;="&amp;BF$3,CLAVE_TC,$A297)+SUMIFS(SALIDAS_COMB,FECHA_COMB,"&gt;="&amp;BF$2,FECHA_COMB,"&lt;="&amp;BF$3,CLAVE_COMB,$A297)+SUMIFS(SALIDAS_DES,FECHA_DESGLOSEN,"&gt;="&amp;BF$2,FECHA_DESGLOSEN,"&lt;="&amp;BF$3,CLAVE_DESGLOSE,$A297)</f>
        <v>0</v>
      </c>
      <c r="BG297" s="13">
        <f>SUMIFS(SALIDAS_BIT,FECHA_BIT,"&gt;="&amp;BG$2,FECHA_BIT,"&lt;="&amp;BG$3,CLAVE_BIT,$A297)+SUMIFS(SALIDAS_BOV1,FECHA_BOV1,"&gt;="&amp;BG$2,FECHA_BOV1,"&lt;="&amp;BG$3,CLAVE_BOV1,$A297)+SUMIFS(SALIDAS_BOV2,FECHA_BOV2,"&gt;="&amp;BG$2,FECHA_BOV2,"&lt;="&amp;BG$3,CLAVE_BOV2,$A297)+SUMIFS(SALIDAS_BOV3,FECHA_BOV3,"&gt;="&amp;BG$2,FECHA_BOV3,"&lt;="&amp;BG$3,CLAVE_BOV3,$A297)+SUMIFS(SALIDAS_TC,FECHA_TC,"&gt;="&amp;BG$2,FECHA_TC,"&lt;="&amp;BG$3,CLAVE_TC,$A297)+SUMIFS(SALIDAS_COMB,FECHA_COMB,"&gt;="&amp;BG$2,FECHA_COMB,"&lt;="&amp;BG$3,CLAVE_COMB,$A297)+SUMIFS(SALIDAS_DES,FECHA_DESGLOSEN,"&gt;="&amp;BG$2,FECHA_DESGLOSEN,"&lt;="&amp;BG$3,CLAVE_DESGLOSE,$A297)</f>
        <v>0</v>
      </c>
      <c r="BH297" s="13">
        <f>SUMIFS(SALIDAS_BIT,FECHA_BIT,"&gt;="&amp;BH$2,FECHA_BIT,"&lt;="&amp;BH$3,CLAVE_BIT,$A297)+SUMIFS(SALIDAS_BOV1,FECHA_BOV1,"&gt;="&amp;BH$2,FECHA_BOV1,"&lt;="&amp;BH$3,CLAVE_BOV1,$A297)+SUMIFS(SALIDAS_BOV2,FECHA_BOV2,"&gt;="&amp;BH$2,FECHA_BOV2,"&lt;="&amp;BH$3,CLAVE_BOV2,$A297)+SUMIFS(SALIDAS_BOV3,FECHA_BOV3,"&gt;="&amp;BH$2,FECHA_BOV3,"&lt;="&amp;BH$3,CLAVE_BOV3,$A297)+SUMIFS(SALIDAS_TC,FECHA_TC,"&gt;="&amp;BH$2,FECHA_TC,"&lt;="&amp;BH$3,CLAVE_TC,$A297)+SUMIFS(SALIDAS_COMB,FECHA_COMB,"&gt;="&amp;BH$2,FECHA_COMB,"&lt;="&amp;BH$3,CLAVE_COMB,$A297)+SUMIFS(SALIDAS_DES,FECHA_DESGLOSEN,"&gt;="&amp;BH$2,FECHA_DESGLOSEN,"&lt;="&amp;BH$3,CLAVE_DESGLOSE,$A297)</f>
        <v>5227</v>
      </c>
      <c r="BI297" s="13">
        <f t="shared" si="419"/>
        <v>5227</v>
      </c>
      <c r="BJ297" s="68">
        <f t="shared" ref="BJ297" si="537">BD297-BI297</f>
        <v>-5227</v>
      </c>
      <c r="BK297" s="268">
        <f t="shared" si="461"/>
        <v>0</v>
      </c>
      <c r="BL297" s="13">
        <f t="shared" si="462"/>
        <v>0</v>
      </c>
      <c r="BM297" s="13">
        <f>SUMIFS(SALIDAS_BIT,FECHA_BIT,"&gt;="&amp;BM$2,FECHA_BIT,"&lt;="&amp;BM$3,CLAVE_BIT,$A297)+SUMIFS(SALIDAS_BOV1,FECHA_BOV1,"&gt;="&amp;BM$2,FECHA_BOV1,"&lt;="&amp;BM$3,CLAVE_BOV1,$A297)+SUMIFS(SALIDAS_BOV2,FECHA_BOV2,"&gt;="&amp;BM$2,FECHA_BOV2,"&lt;="&amp;BM$3,CLAVE_BOV2,$A297)+SUMIFS(SALIDAS_BOV3,FECHA_BOV3,"&gt;="&amp;BM$2,FECHA_BOV3,"&lt;="&amp;BM$3,CLAVE_BOV3,$A297)+SUMIFS(SALIDAS_TC,FECHA_TC,"&gt;="&amp;BM$2,FECHA_TC,"&lt;="&amp;BM$3,CLAVE_TC,$A297)+SUMIFS(SALIDAS_COMB,FECHA_COMB,"&gt;="&amp;BM$2,FECHA_COMB,"&lt;="&amp;BM$3,CLAVE_COMB,$A297)+SUMIFS(SALIDAS_DES,FECHA_DESGLOSEN,"&gt;="&amp;BM$2,FECHA_DESGLOSEN,"&lt;="&amp;BM$3,CLAVE_DESGLOSE,$A297)</f>
        <v>1936</v>
      </c>
      <c r="BN297" s="13">
        <f>SUMIFS(SALIDAS_BIT,FECHA_BIT,"&gt;="&amp;BN$2,FECHA_BIT,"&lt;="&amp;BN$3,CLAVE_BIT,$A297)+SUMIFS(SALIDAS_BOV1,FECHA_BOV1,"&gt;="&amp;BN$2,FECHA_BOV1,"&lt;="&amp;BN$3,CLAVE_BOV1,$A297)+SUMIFS(SALIDAS_BOV2,FECHA_BOV2,"&gt;="&amp;BN$2,FECHA_BOV2,"&lt;="&amp;BN$3,CLAVE_BOV2,$A297)+SUMIFS(SALIDAS_BOV3,FECHA_BOV3,"&gt;="&amp;BN$2,FECHA_BOV3,"&lt;="&amp;BN$3,CLAVE_BOV3,$A297)+SUMIFS(SALIDAS_TC,FECHA_TC,"&gt;="&amp;BN$2,FECHA_TC,"&lt;="&amp;BN$3,CLAVE_TC,$A297)+SUMIFS(SALIDAS_COMB,FECHA_COMB,"&gt;="&amp;BN$2,FECHA_COMB,"&lt;="&amp;BN$3,CLAVE_COMB,$A297)+SUMIFS(SALIDAS_DES,FECHA_DESGLOSEN,"&gt;="&amp;BN$2,FECHA_DESGLOSEN,"&lt;="&amp;BN$3,CLAVE_DESGLOSE,$A297)</f>
        <v>400</v>
      </c>
      <c r="BO297" s="13">
        <f>SUMIFS(SALIDAS_BIT,FECHA_BIT,"&gt;="&amp;BO$2,FECHA_BIT,"&lt;="&amp;BO$3,CLAVE_BIT,$A297)+SUMIFS(SALIDAS_BOV1,FECHA_BOV1,"&gt;="&amp;BO$2,FECHA_BOV1,"&lt;="&amp;BO$3,CLAVE_BOV1,$A297)+SUMIFS(SALIDAS_BOV2,FECHA_BOV2,"&gt;="&amp;BO$2,FECHA_BOV2,"&lt;="&amp;BO$3,CLAVE_BOV2,$A297)+SUMIFS(SALIDAS_BOV3,FECHA_BOV3,"&gt;="&amp;BO$2,FECHA_BOV3,"&lt;="&amp;BO$3,CLAVE_BOV3,$A297)+SUMIFS(SALIDAS_TC,FECHA_TC,"&gt;="&amp;BO$2,FECHA_TC,"&lt;="&amp;BO$3,CLAVE_TC,$A297)+SUMIFS(SALIDAS_COMB,FECHA_COMB,"&gt;="&amp;BO$2,FECHA_COMB,"&lt;="&amp;BO$3,CLAVE_COMB,$A297)+SUMIFS(SALIDAS_DES,FECHA_DESGLOSEN,"&gt;="&amp;BO$2,FECHA_DESGLOSEN,"&lt;="&amp;BO$3,CLAVE_DESGLOSE,$A297)</f>
        <v>0</v>
      </c>
      <c r="BP297" s="13">
        <f>SUMIFS(SALIDAS_BIT,FECHA_BIT,"&gt;="&amp;BP$2,FECHA_BIT,"&lt;="&amp;BP$3,CLAVE_BIT,$A297)+SUMIFS(SALIDAS_BOV1,FECHA_BOV1,"&gt;="&amp;BP$2,FECHA_BOV1,"&lt;="&amp;BP$3,CLAVE_BOV1,$A297)+SUMIFS(SALIDAS_BOV2,FECHA_BOV2,"&gt;="&amp;BP$2,FECHA_BOV2,"&lt;="&amp;BP$3,CLAVE_BOV2,$A297)+SUMIFS(SALIDAS_BOV3,FECHA_BOV3,"&gt;="&amp;BP$2,FECHA_BOV3,"&lt;="&amp;BP$3,CLAVE_BOV3,$A297)+SUMIFS(SALIDAS_TC,FECHA_TC,"&gt;="&amp;BP$2,FECHA_TC,"&lt;="&amp;BP$3,CLAVE_TC,$A297)+SUMIFS(SALIDAS_COMB,FECHA_COMB,"&gt;="&amp;BP$2,FECHA_COMB,"&lt;="&amp;BP$3,CLAVE_COMB,$A297)+SUMIFS(SALIDAS_DES,FECHA_DESGLOSEN,"&gt;="&amp;BP$2,FECHA_DESGLOSEN,"&lt;="&amp;BP$3,CLAVE_DESGLOSE,$A297)</f>
        <v>0</v>
      </c>
      <c r="BQ297" s="13">
        <f>SUMIFS(SALIDAS_BIT,FECHA_BIT,"&gt;="&amp;BQ$2,FECHA_BIT,"&lt;="&amp;BQ$3,CLAVE_BIT,$A297)+SUMIFS(SALIDAS_BOV1,FECHA_BOV1,"&gt;="&amp;BQ$2,FECHA_BOV1,"&lt;="&amp;BQ$3,CLAVE_BOV1,$A297)+SUMIFS(SALIDAS_BOV2,FECHA_BOV2,"&gt;="&amp;BQ$2,FECHA_BOV2,"&lt;="&amp;BQ$3,CLAVE_BOV2,$A297)+SUMIFS(SALIDAS_BOV3,FECHA_BOV3,"&gt;="&amp;BQ$2,FECHA_BOV3,"&lt;="&amp;BQ$3,CLAVE_BOV3,$A297)+SUMIFS(SALIDAS_TC,FECHA_TC,"&gt;="&amp;BQ$2,FECHA_TC,"&lt;="&amp;BQ$3,CLAVE_TC,$A297)+SUMIFS(SALIDAS_COMB,FECHA_COMB,"&gt;="&amp;BQ$2,FECHA_COMB,"&lt;="&amp;BQ$3,CLAVE_COMB,$A297)+SUMIFS(SALIDAS_DES,FECHA_DESGLOSEN,"&gt;="&amp;BQ$2,FECHA_DESGLOSEN,"&lt;="&amp;BQ$3,CLAVE_DESGLOSE,$A297)</f>
        <v>0</v>
      </c>
      <c r="BR297" s="13">
        <f t="shared" si="502"/>
        <v>2336</v>
      </c>
      <c r="BS297" s="68">
        <f t="shared" ref="BS297" si="538">BL297-BR297</f>
        <v>-2336</v>
      </c>
      <c r="BT297" s="268">
        <f t="shared" si="464"/>
        <v>0</v>
      </c>
      <c r="BU297" s="13">
        <f t="shared" si="465"/>
        <v>0</v>
      </c>
      <c r="BV297" s="13">
        <f t="shared" si="485"/>
        <v>0</v>
      </c>
      <c r="BW297" s="13">
        <f t="shared" si="485"/>
        <v>0</v>
      </c>
      <c r="BX297" s="13">
        <f t="shared" si="485"/>
        <v>0</v>
      </c>
      <c r="BY297" s="13">
        <f t="shared" si="485"/>
        <v>0</v>
      </c>
      <c r="BZ297" s="13">
        <f t="shared" si="503"/>
        <v>0</v>
      </c>
      <c r="CA297" s="68">
        <f t="shared" ref="CA297" si="539">BU297-BZ297</f>
        <v>0</v>
      </c>
      <c r="CB297" s="268">
        <f t="shared" si="467"/>
        <v>0</v>
      </c>
      <c r="CC297" s="13">
        <f t="shared" si="468"/>
        <v>0</v>
      </c>
      <c r="CD297" s="13">
        <f t="shared" si="486"/>
        <v>0</v>
      </c>
      <c r="CE297" s="13">
        <f t="shared" si="486"/>
        <v>0</v>
      </c>
      <c r="CF297" s="13">
        <f t="shared" si="486"/>
        <v>0</v>
      </c>
      <c r="CG297" s="13">
        <f t="shared" si="486"/>
        <v>0</v>
      </c>
      <c r="CH297" s="13">
        <f t="shared" si="504"/>
        <v>0</v>
      </c>
      <c r="CI297" s="68">
        <f t="shared" ref="CI297" si="540">CC297-CH297</f>
        <v>0</v>
      </c>
      <c r="CJ297" s="268">
        <f t="shared" si="470"/>
        <v>0</v>
      </c>
      <c r="CK297" s="13">
        <f t="shared" si="471"/>
        <v>0</v>
      </c>
      <c r="CL297" s="13">
        <f t="shared" si="495"/>
        <v>0</v>
      </c>
      <c r="CM297" s="13">
        <f t="shared" si="495"/>
        <v>0</v>
      </c>
      <c r="CN297" s="13">
        <f t="shared" si="495"/>
        <v>0</v>
      </c>
      <c r="CO297" s="13">
        <f t="shared" si="495"/>
        <v>0</v>
      </c>
      <c r="CP297" s="13">
        <f t="shared" si="495"/>
        <v>0</v>
      </c>
      <c r="CQ297" s="13">
        <f t="shared" si="505"/>
        <v>0</v>
      </c>
      <c r="CR297" s="68">
        <f t="shared" ref="CR297" si="541">CK297-CQ297</f>
        <v>0</v>
      </c>
      <c r="CS297" s="268">
        <f t="shared" si="473"/>
        <v>0</v>
      </c>
      <c r="CT297" s="68">
        <f t="shared" si="446"/>
        <v>0</v>
      </c>
      <c r="CU297" s="13">
        <f>SUMIFS(SALIDAS_BIT,FECHA_BIT,"&gt;="&amp;CU$2,FECHA_BIT,"&lt;="&amp;CU$3,CLAVE_BIT,$A297)+SUMIFS(SALIDAS_BOV1,FECHA_BOV1,"&gt;="&amp;CU$2,FECHA_BOV1,"&lt;="&amp;CU$3,CLAVE_BOV1,$A297)+SUMIFS(SALIDAS_BOV2,FECHA_BOV2,"&gt;="&amp;CU$2,FECHA_BOV2,"&lt;="&amp;CU$3,CLAVE_BOV2,$A297)+SUMIFS(SALIDAS_BOV3,FECHA_BOV3,"&gt;="&amp;CU$2,FECHA_BOV3,"&lt;="&amp;CU$3,CLAVE_BOV3,$A297)+SUMIFS(SALIDAS_TC,FECHA_TC,"&gt;="&amp;CU$2,FECHA_TC,"&lt;="&amp;CU$3,CLAVE_TC,$A297)+SUMIFS(SALIDAS_COMB,FECHA_COMB,"&gt;="&amp;CU$2,FECHA_COMB,"&lt;="&amp;CU$3,CLAVE_COMB,$A297)+SUMIFS(SALIDAS_DES,FECHA_DESGLOSEN,"&gt;="&amp;CU$2,FECHA_DESGLOSEN,"&lt;="&amp;CU$3,CLAVE_DESGLOSE,$A297)</f>
        <v>0</v>
      </c>
      <c r="CV297" s="13">
        <f>SUMIFS(SALIDAS_BIT,FECHA_BIT,"&gt;="&amp;CV$2,FECHA_BIT,"&lt;="&amp;CV$3,CLAVE_BIT,$A297)+SUMIFS(SALIDAS_BOV1,FECHA_BOV1,"&gt;="&amp;CV$2,FECHA_BOV1,"&lt;="&amp;CV$3,CLAVE_BOV1,$A297)+SUMIFS(SALIDAS_BOV2,FECHA_BOV2,"&gt;="&amp;CV$2,FECHA_BOV2,"&lt;="&amp;CV$3,CLAVE_BOV2,$A297)+SUMIFS(SALIDAS_BOV3,FECHA_BOV3,"&gt;="&amp;CV$2,FECHA_BOV3,"&lt;="&amp;CV$3,CLAVE_BOV3,$A297)+SUMIFS(SALIDAS_TC,FECHA_TC,"&gt;="&amp;CV$2,FECHA_TC,"&lt;="&amp;CV$3,CLAVE_TC,$A297)+SUMIFS(SALIDAS_COMB,FECHA_COMB,"&gt;="&amp;CV$2,FECHA_COMB,"&lt;="&amp;CV$3,CLAVE_COMB,$A297)+SUMIFS(SALIDAS_DES,FECHA_DESGLOSEN,"&gt;="&amp;CV$2,FECHA_DESGLOSEN,"&lt;="&amp;CV$3,CLAVE_DESGLOSE,$A297)</f>
        <v>0</v>
      </c>
      <c r="CW297" s="13">
        <f>SUMIFS(SALIDAS_BIT,FECHA_BIT,"&gt;="&amp;CW$2,FECHA_BIT,"&lt;="&amp;CW$3,CLAVE_BIT,$A297)+SUMIFS(SALIDAS_BOV1,FECHA_BOV1,"&gt;="&amp;CW$2,FECHA_BOV1,"&lt;="&amp;CW$3,CLAVE_BOV1,$A297)+SUMIFS(SALIDAS_BOV2,FECHA_BOV2,"&gt;="&amp;CW$2,FECHA_BOV2,"&lt;="&amp;CW$3,CLAVE_BOV2,$A297)+SUMIFS(SALIDAS_BOV3,FECHA_BOV3,"&gt;="&amp;CW$2,FECHA_BOV3,"&lt;="&amp;CW$3,CLAVE_BOV3,$A297)+SUMIFS(SALIDAS_TC,FECHA_TC,"&gt;="&amp;CW$2,FECHA_TC,"&lt;="&amp;CW$3,CLAVE_TC,$A297)+SUMIFS(SALIDAS_COMB,FECHA_COMB,"&gt;="&amp;CW$2,FECHA_COMB,"&lt;="&amp;CW$3,CLAVE_COMB,$A297)+SUMIFS(SALIDAS_DES,FECHA_DESGLOSEN,"&gt;="&amp;CW$2,FECHA_DESGLOSEN,"&lt;="&amp;CW$3,CLAVE_DESGLOSE,$A297)</f>
        <v>0</v>
      </c>
      <c r="CX297" s="13">
        <f>SUMIFS(SALIDAS_BIT,FECHA_BIT,"&gt;="&amp;CX$2,FECHA_BIT,"&lt;="&amp;CX$3,CLAVE_BIT,$A297)+SUMIFS(SALIDAS_BOV1,FECHA_BOV1,"&gt;="&amp;CX$2,FECHA_BOV1,"&lt;="&amp;CX$3,CLAVE_BOV1,$A297)+SUMIFS(SALIDAS_BOV2,FECHA_BOV2,"&gt;="&amp;CX$2,FECHA_BOV2,"&lt;="&amp;CX$3,CLAVE_BOV2,$A297)+SUMIFS(SALIDAS_BOV3,FECHA_BOV3,"&gt;="&amp;CX$2,FECHA_BOV3,"&lt;="&amp;CX$3,CLAVE_BOV3,$A297)+SUMIFS(SALIDAS_TC,FECHA_TC,"&gt;="&amp;CX$2,FECHA_TC,"&lt;="&amp;CX$3,CLAVE_TC,$A297)+SUMIFS(SALIDAS_COMB,FECHA_COMB,"&gt;="&amp;CX$2,FECHA_COMB,"&lt;="&amp;CX$3,CLAVE_COMB,$A297)+SUMIFS(SALIDAS_DES,FECHA_DESGLOSEN,"&gt;="&amp;CX$2,FECHA_DESGLOSEN,"&lt;="&amp;CX$3,CLAVE_DESGLOSE,$A297)</f>
        <v>0</v>
      </c>
      <c r="CY297" s="13">
        <f>SUMIFS(SALIDAS_BIT,FECHA_BIT,"&gt;="&amp;CY$2,FECHA_BIT,"&lt;="&amp;CY$3,CLAVE_BIT,$A297)+SUMIFS(SALIDAS_BOV1,FECHA_BOV1,"&gt;="&amp;CY$2,FECHA_BOV1,"&lt;="&amp;CY$3,CLAVE_BOV1,$A297)+SUMIFS(SALIDAS_BOV2,FECHA_BOV2,"&gt;="&amp;CY$2,FECHA_BOV2,"&lt;="&amp;CY$3,CLAVE_BOV2,$A297)+SUMIFS(SALIDAS_BOV3,FECHA_BOV3,"&gt;="&amp;CY$2,FECHA_BOV3,"&lt;="&amp;CY$3,CLAVE_BOV3,$A297)+SUMIFS(SALIDAS_TC,FECHA_TC,"&gt;="&amp;CY$2,FECHA_TC,"&lt;="&amp;CY$3,CLAVE_TC,$A297)+SUMIFS(SALIDAS_COMB,FECHA_COMB,"&gt;="&amp;CY$2,FECHA_COMB,"&lt;="&amp;CY$3,CLAVE_COMB,$A297)+SUMIFS(SALIDAS_DES,FECHA_DESGLOSEN,"&gt;="&amp;CY$2,FECHA_DESGLOSEN,"&lt;="&amp;CY$3,CLAVE_DESGLOSE,$A297)</f>
        <v>0</v>
      </c>
      <c r="CZ297" s="68">
        <f t="shared" si="474"/>
        <v>0</v>
      </c>
      <c r="DB297" s="17">
        <f>F297+N297+W297+AE297+AM297+AV297+BD297+BL297+BU297+CC297+CK297</f>
        <v>0</v>
      </c>
      <c r="DC297" s="17">
        <f>K297+T297+AB297+AJ297+AS297+BA297+BI297+BR297+BZ297+CH297+CQ297</f>
        <v>66846.573000000004</v>
      </c>
    </row>
    <row r="298" spans="1:108" hidden="1">
      <c r="A298" s="12" t="str">
        <f t="shared" si="447"/>
        <v>SERVICIOSNOMINA ADMONSERVICIOS</v>
      </c>
      <c r="B298">
        <v>299</v>
      </c>
      <c r="C298" t="s">
        <v>21</v>
      </c>
      <c r="D298" t="s">
        <v>147</v>
      </c>
      <c r="E298" t="s">
        <v>21</v>
      </c>
      <c r="F298" s="259">
        <f t="shared" si="440"/>
        <v>19000</v>
      </c>
      <c r="G298" s="13">
        <f t="shared" si="497"/>
        <v>4750</v>
      </c>
      <c r="H298" s="13">
        <f t="shared" si="497"/>
        <v>4750</v>
      </c>
      <c r="I298" s="13">
        <f t="shared" si="497"/>
        <v>4750</v>
      </c>
      <c r="J298" s="13">
        <f t="shared" si="497"/>
        <v>4750</v>
      </c>
      <c r="K298" s="13">
        <f t="shared" si="497"/>
        <v>19000</v>
      </c>
      <c r="L298" s="68">
        <f t="shared" ref="L298" si="542">F298-K298</f>
        <v>0</v>
      </c>
      <c r="M298" s="268">
        <f t="shared" si="449"/>
        <v>1</v>
      </c>
      <c r="N298" s="13">
        <f t="shared" si="441"/>
        <v>23750</v>
      </c>
      <c r="O298" s="13">
        <f t="shared" si="498"/>
        <v>4750</v>
      </c>
      <c r="P298" s="13">
        <f t="shared" si="498"/>
        <v>4750</v>
      </c>
      <c r="Q298" s="13">
        <f t="shared" si="498"/>
        <v>4750</v>
      </c>
      <c r="R298" s="13">
        <f t="shared" si="498"/>
        <v>4750</v>
      </c>
      <c r="S298" s="13">
        <f t="shared" si="498"/>
        <v>4750</v>
      </c>
      <c r="T298" s="13">
        <f t="shared" si="498"/>
        <v>23750</v>
      </c>
      <c r="U298" s="68">
        <f t="shared" si="450"/>
        <v>0</v>
      </c>
      <c r="V298" s="268">
        <f t="shared" si="451"/>
        <v>1</v>
      </c>
      <c r="W298" s="13">
        <f t="shared" si="442"/>
        <v>19000</v>
      </c>
      <c r="X298" s="13">
        <f t="shared" si="499"/>
        <v>4750</v>
      </c>
      <c r="Y298" s="13">
        <f t="shared" si="499"/>
        <v>4750</v>
      </c>
      <c r="Z298" s="13">
        <f t="shared" si="499"/>
        <v>4750</v>
      </c>
      <c r="AA298" s="13">
        <f t="shared" si="499"/>
        <v>4750</v>
      </c>
      <c r="AB298" s="13">
        <f t="shared" si="499"/>
        <v>19000</v>
      </c>
      <c r="AC298" s="68">
        <f t="shared" ref="AC298" si="543">W298-AB298</f>
        <v>0</v>
      </c>
      <c r="AD298" s="268">
        <f t="shared" si="453"/>
        <v>1</v>
      </c>
      <c r="AE298" s="13">
        <f t="shared" si="443"/>
        <v>19000</v>
      </c>
      <c r="AF298" s="13">
        <f t="shared" si="500"/>
        <v>4750</v>
      </c>
      <c r="AG298" s="13">
        <f t="shared" si="500"/>
        <v>4750</v>
      </c>
      <c r="AH298" s="13">
        <f t="shared" si="500"/>
        <v>4750</v>
      </c>
      <c r="AI298" s="13">
        <f t="shared" si="500"/>
        <v>4750</v>
      </c>
      <c r="AJ298" s="13">
        <f t="shared" si="500"/>
        <v>19000</v>
      </c>
      <c r="AK298" s="68">
        <f t="shared" ref="AK298" si="544">AE298-AJ298</f>
        <v>0</v>
      </c>
      <c r="AL298" s="268">
        <f t="shared" si="455"/>
        <v>1</v>
      </c>
      <c r="AM298" s="13">
        <f t="shared" si="444"/>
        <v>23750</v>
      </c>
      <c r="AN298" s="13">
        <f t="shared" si="501"/>
        <v>4750</v>
      </c>
      <c r="AO298" s="13">
        <f t="shared" si="501"/>
        <v>4750</v>
      </c>
      <c r="AP298" s="13">
        <f t="shared" si="501"/>
        <v>4750</v>
      </c>
      <c r="AQ298" s="13">
        <f t="shared" si="501"/>
        <v>4750</v>
      </c>
      <c r="AR298" s="13">
        <f t="shared" si="501"/>
        <v>6214</v>
      </c>
      <c r="AS298" s="13">
        <f t="shared" si="501"/>
        <v>25214</v>
      </c>
      <c r="AT298" s="68">
        <f>AM298-AS298</f>
        <v>-1464</v>
      </c>
      <c r="AU298" s="268">
        <f t="shared" si="456"/>
        <v>1.0616421052631579</v>
      </c>
      <c r="AV298" s="13">
        <f t="shared" si="445"/>
        <v>19000</v>
      </c>
      <c r="AW298" s="13">
        <f>SUMIFS(SALIDAS_BIT,FECHA_BIT,"&gt;="&amp;AW$2,FECHA_BIT,"&lt;="&amp;AW$3,CLAVE_BIT,$A298)+SUMIFS(SALIDAS_BOV1,FECHA_BOV1,"&gt;="&amp;AW$2,FECHA_BOV1,"&lt;="&amp;AW$3,CLAVE_BOV1,$A298)+SUMIFS(SALIDAS_BOV2,FECHA_BOV2,"&gt;="&amp;AW$2,FECHA_BOV2,"&lt;="&amp;AW$3,CLAVE_BOV2,$A298)+SUMIFS(SALIDAS_BOV3,FECHA_BOV3,"&gt;="&amp;AW$2,FECHA_BOV3,"&lt;="&amp;AW$3,CLAVE_BOV3,$A298)+SUMIFS(SALIDAS_TC,FECHA_TC,"&gt;="&amp;AW$2,FECHA_TC,"&lt;="&amp;AW$3,CLAVE_TC,$A298)+SUMIFS(SALIDAS_COMB,FECHA_COMB,"&gt;="&amp;AW$2,FECHA_COMB,"&lt;="&amp;AW$3,CLAVE_COMB,$A298)+SUMIFS(SALIDAS_DES,FECHA_DESGLOSEN,"&gt;="&amp;AW$2,FECHA_DESGLOSEN,"&lt;="&amp;AW$3,CLAVE_DESGLOSE,$A298)</f>
        <v>4750</v>
      </c>
      <c r="AX298" s="13">
        <f>SUMIFS(SALIDAS_BIT,FECHA_BIT,"&gt;="&amp;AX$2,FECHA_BIT,"&lt;="&amp;AX$3,CLAVE_BIT,$A298)+SUMIFS(SALIDAS_BOV1,FECHA_BOV1,"&gt;="&amp;AX$2,FECHA_BOV1,"&lt;="&amp;AX$3,CLAVE_BOV1,$A298)+SUMIFS(SALIDAS_BOV2,FECHA_BOV2,"&gt;="&amp;AX$2,FECHA_BOV2,"&lt;="&amp;AX$3,CLAVE_BOV2,$A298)+SUMIFS(SALIDAS_BOV3,FECHA_BOV3,"&gt;="&amp;AX$2,FECHA_BOV3,"&lt;="&amp;AX$3,CLAVE_BOV3,$A298)+SUMIFS(SALIDAS_TC,FECHA_TC,"&gt;="&amp;AX$2,FECHA_TC,"&lt;="&amp;AX$3,CLAVE_TC,$A298)+SUMIFS(SALIDAS_COMB,FECHA_COMB,"&gt;="&amp;AX$2,FECHA_COMB,"&lt;="&amp;AX$3,CLAVE_COMB,$A298)+SUMIFS(SALIDAS_DES,FECHA_DESGLOSEN,"&gt;="&amp;AX$2,FECHA_DESGLOSEN,"&lt;="&amp;AX$3,CLAVE_DESGLOSE,$A298)</f>
        <v>4750</v>
      </c>
      <c r="AY298" s="13">
        <f>SUMIFS(SALIDAS_BIT,FECHA_BIT,"&gt;="&amp;AY$2,FECHA_BIT,"&lt;="&amp;AY$3,CLAVE_BIT,$A298)+SUMIFS(SALIDAS_BOV1,FECHA_BOV1,"&gt;="&amp;AY$2,FECHA_BOV1,"&lt;="&amp;AY$3,CLAVE_BOV1,$A298)+SUMIFS(SALIDAS_BOV2,FECHA_BOV2,"&gt;="&amp;AY$2,FECHA_BOV2,"&lt;="&amp;AY$3,CLAVE_BOV2,$A298)+SUMIFS(SALIDAS_BOV3,FECHA_BOV3,"&gt;="&amp;AY$2,FECHA_BOV3,"&lt;="&amp;AY$3,CLAVE_BOV3,$A298)+SUMIFS(SALIDAS_TC,FECHA_TC,"&gt;="&amp;AY$2,FECHA_TC,"&lt;="&amp;AY$3,CLAVE_TC,$A298)+SUMIFS(SALIDAS_COMB,FECHA_COMB,"&gt;="&amp;AY$2,FECHA_COMB,"&lt;="&amp;AY$3,CLAVE_COMB,$A298)+SUMIFS(SALIDAS_DES,FECHA_DESGLOSEN,"&gt;="&amp;AY$2,FECHA_DESGLOSEN,"&lt;="&amp;AY$3,CLAVE_DESGLOSE,$A298)</f>
        <v>4750</v>
      </c>
      <c r="AZ298" s="13">
        <f>SUMIFS(SALIDAS_BIT,FECHA_BIT,"&gt;="&amp;AZ$2,FECHA_BIT,"&lt;="&amp;AZ$3,CLAVE_BIT,$A298)+SUMIFS(SALIDAS_BOV1,FECHA_BOV1,"&gt;="&amp;AZ$2,FECHA_BOV1,"&lt;="&amp;AZ$3,CLAVE_BOV1,$A298)+SUMIFS(SALIDAS_BOV2,FECHA_BOV2,"&gt;="&amp;AZ$2,FECHA_BOV2,"&lt;="&amp;AZ$3,CLAVE_BOV2,$A298)+SUMIFS(SALIDAS_BOV3,FECHA_BOV3,"&gt;="&amp;AZ$2,FECHA_BOV3,"&lt;="&amp;AZ$3,CLAVE_BOV3,$A298)+SUMIFS(SALIDAS_TC,FECHA_TC,"&gt;="&amp;AZ$2,FECHA_TC,"&lt;="&amp;AZ$3,CLAVE_TC,$A298)+SUMIFS(SALIDAS_COMB,FECHA_COMB,"&gt;="&amp;AZ$2,FECHA_COMB,"&lt;="&amp;AZ$3,CLAVE_COMB,$A298)+SUMIFS(SALIDAS_DES,FECHA_DESGLOSEN,"&gt;="&amp;AZ$2,FECHA_DESGLOSEN,"&lt;="&amp;AZ$3,CLAVE_DESGLOSE,$A298)</f>
        <v>4750</v>
      </c>
      <c r="BA298" s="13">
        <f t="shared" si="475"/>
        <v>19000</v>
      </c>
      <c r="BB298" s="68">
        <f t="shared" ref="BB298" si="545">AV298-BA298</f>
        <v>0</v>
      </c>
      <c r="BC298" s="268">
        <f t="shared" si="458"/>
        <v>1</v>
      </c>
      <c r="BD298" s="13">
        <f t="shared" si="459"/>
        <v>19000</v>
      </c>
      <c r="BE298" s="13">
        <f>SUMIFS(SALIDAS_BIT,FECHA_BIT,"&gt;="&amp;BE$2,FECHA_BIT,"&lt;="&amp;BE$3,CLAVE_BIT,$A298)+SUMIFS(SALIDAS_BOV1,FECHA_BOV1,"&gt;="&amp;BE$2,FECHA_BOV1,"&lt;="&amp;BE$3,CLAVE_BOV1,$A298)+SUMIFS(SALIDAS_BOV2,FECHA_BOV2,"&gt;="&amp;BE$2,FECHA_BOV2,"&lt;="&amp;BE$3,CLAVE_BOV2,$A298)+SUMIFS(SALIDAS_BOV3,FECHA_BOV3,"&gt;="&amp;BE$2,FECHA_BOV3,"&lt;="&amp;BE$3,CLAVE_BOV3,$A298)+SUMIFS(SALIDAS_TC,FECHA_TC,"&gt;="&amp;BE$2,FECHA_TC,"&lt;="&amp;BE$3,CLAVE_TC,$A298)+SUMIFS(SALIDAS_COMB,FECHA_COMB,"&gt;="&amp;BE$2,FECHA_COMB,"&lt;="&amp;BE$3,CLAVE_COMB,$A298)+SUMIFS(SALIDAS_DES,FECHA_DESGLOSEN,"&gt;="&amp;BE$2,FECHA_DESGLOSEN,"&lt;="&amp;BE$3,CLAVE_DESGLOSE,$A298)</f>
        <v>4750</v>
      </c>
      <c r="BF298" s="13">
        <f>SUMIFS(SALIDAS_BIT,FECHA_BIT,"&gt;="&amp;BF$2,FECHA_BIT,"&lt;="&amp;BF$3,CLAVE_BIT,$A298)+SUMIFS(SALIDAS_BOV1,FECHA_BOV1,"&gt;="&amp;BF$2,FECHA_BOV1,"&lt;="&amp;BF$3,CLAVE_BOV1,$A298)+SUMIFS(SALIDAS_BOV2,FECHA_BOV2,"&gt;="&amp;BF$2,FECHA_BOV2,"&lt;="&amp;BF$3,CLAVE_BOV2,$A298)+SUMIFS(SALIDAS_BOV3,FECHA_BOV3,"&gt;="&amp;BF$2,FECHA_BOV3,"&lt;="&amp;BF$3,CLAVE_BOV3,$A298)+SUMIFS(SALIDAS_TC,FECHA_TC,"&gt;="&amp;BF$2,FECHA_TC,"&lt;="&amp;BF$3,CLAVE_TC,$A298)+SUMIFS(SALIDAS_COMB,FECHA_COMB,"&gt;="&amp;BF$2,FECHA_COMB,"&lt;="&amp;BF$3,CLAVE_COMB,$A298)+SUMIFS(SALIDAS_DES,FECHA_DESGLOSEN,"&gt;="&amp;BF$2,FECHA_DESGLOSEN,"&lt;="&amp;BF$3,CLAVE_DESGLOSE,$A298)</f>
        <v>4750</v>
      </c>
      <c r="BG298" s="13">
        <f>SUMIFS(SALIDAS_BIT,FECHA_BIT,"&gt;="&amp;BG$2,FECHA_BIT,"&lt;="&amp;BG$3,CLAVE_BIT,$A298)+SUMIFS(SALIDAS_BOV1,FECHA_BOV1,"&gt;="&amp;BG$2,FECHA_BOV1,"&lt;="&amp;BG$3,CLAVE_BOV1,$A298)+SUMIFS(SALIDAS_BOV2,FECHA_BOV2,"&gt;="&amp;BG$2,FECHA_BOV2,"&lt;="&amp;BG$3,CLAVE_BOV2,$A298)+SUMIFS(SALIDAS_BOV3,FECHA_BOV3,"&gt;="&amp;BG$2,FECHA_BOV3,"&lt;="&amp;BG$3,CLAVE_BOV3,$A298)+SUMIFS(SALIDAS_TC,FECHA_TC,"&gt;="&amp;BG$2,FECHA_TC,"&lt;="&amp;BG$3,CLAVE_TC,$A298)+SUMIFS(SALIDAS_COMB,FECHA_COMB,"&gt;="&amp;BG$2,FECHA_COMB,"&lt;="&amp;BG$3,CLAVE_COMB,$A298)+SUMIFS(SALIDAS_DES,FECHA_DESGLOSEN,"&gt;="&amp;BG$2,FECHA_DESGLOSEN,"&lt;="&amp;BG$3,CLAVE_DESGLOSE,$A298)</f>
        <v>4750</v>
      </c>
      <c r="BH298" s="13">
        <f>SUMIFS(SALIDAS_BIT,FECHA_BIT,"&gt;="&amp;BH$2,FECHA_BIT,"&lt;="&amp;BH$3,CLAVE_BIT,$A298)+SUMIFS(SALIDAS_BOV1,FECHA_BOV1,"&gt;="&amp;BH$2,FECHA_BOV1,"&lt;="&amp;BH$3,CLAVE_BOV1,$A298)+SUMIFS(SALIDAS_BOV2,FECHA_BOV2,"&gt;="&amp;BH$2,FECHA_BOV2,"&lt;="&amp;BH$3,CLAVE_BOV2,$A298)+SUMIFS(SALIDAS_BOV3,FECHA_BOV3,"&gt;="&amp;BH$2,FECHA_BOV3,"&lt;="&amp;BH$3,CLAVE_BOV3,$A298)+SUMIFS(SALIDAS_TC,FECHA_TC,"&gt;="&amp;BH$2,FECHA_TC,"&lt;="&amp;BH$3,CLAVE_TC,$A298)+SUMIFS(SALIDAS_COMB,FECHA_COMB,"&gt;="&amp;BH$2,FECHA_COMB,"&lt;="&amp;BH$3,CLAVE_COMB,$A298)+SUMIFS(SALIDAS_DES,FECHA_DESGLOSEN,"&gt;="&amp;BH$2,FECHA_DESGLOSEN,"&lt;="&amp;BH$3,CLAVE_DESGLOSE,$A298)</f>
        <v>4750</v>
      </c>
      <c r="BI298" s="13">
        <f>SUMIFS(SALIDAS_BIT,FECHA_BIT,"&gt;="&amp;BI$2,FECHA_BIT,"&lt;="&amp;BI$3,CLAVE_BIT,$A298)+SUMIFS(SALIDAS_BOV1,FECHA_BOV1,"&gt;="&amp;BI$2,FECHA_BOV1,"&lt;="&amp;BI$3,CLAVE_BOV1,$A298)+SUMIFS(SALIDAS_BOV2,FECHA_BOV2,"&gt;="&amp;BI$2,FECHA_BOV2,"&lt;="&amp;BI$3,CLAVE_BOV2,$A298)+SUMIFS(SALIDAS_BOV3,FECHA_BOV3,"&gt;="&amp;BI$2,FECHA_BOV3,"&lt;="&amp;BI$3,CLAVE_BOV3,$A298)+SUMIFS(SALIDAS_TC,FECHA_TC,"&gt;="&amp;BI$2,FECHA_TC,"&lt;="&amp;BI$3,CLAVE_TC,$A298)+SUMIFS(SALIDAS_COMB,FECHA_COMB,"&gt;="&amp;BI$2,FECHA_COMB,"&lt;="&amp;BI$3,CLAVE_COMB,$A298)+SUMIFS(SALIDAS_DES,FECHA_DESGLOSEN,"&gt;="&amp;BI$2,FECHA_DESGLOSEN,"&lt;="&amp;BI$3,CLAVE_DESGLOSE,$A298)</f>
        <v>19000</v>
      </c>
      <c r="BJ298" s="68">
        <f t="shared" ref="BJ298" si="546">BD298-BI298</f>
        <v>0</v>
      </c>
      <c r="BK298" s="268">
        <f t="shared" si="461"/>
        <v>1</v>
      </c>
      <c r="BL298" s="13">
        <f t="shared" si="462"/>
        <v>23750</v>
      </c>
      <c r="BM298" s="13">
        <f>SUMIFS(SALIDAS_BIT,FECHA_BIT,"&gt;="&amp;BM$2,FECHA_BIT,"&lt;="&amp;BM$3,CLAVE_BIT,$A298)+SUMIFS(SALIDAS_BOV1,FECHA_BOV1,"&gt;="&amp;BM$2,FECHA_BOV1,"&lt;="&amp;BM$3,CLAVE_BOV1,$A298)+SUMIFS(SALIDAS_BOV2,FECHA_BOV2,"&gt;="&amp;BM$2,FECHA_BOV2,"&lt;="&amp;BM$3,CLAVE_BOV2,$A298)+SUMIFS(SALIDAS_BOV3,FECHA_BOV3,"&gt;="&amp;BM$2,FECHA_BOV3,"&lt;="&amp;BM$3,CLAVE_BOV3,$A298)+SUMIFS(SALIDAS_TC,FECHA_TC,"&gt;="&amp;BM$2,FECHA_TC,"&lt;="&amp;BM$3,CLAVE_TC,$A298)+SUMIFS(SALIDAS_COMB,FECHA_COMB,"&gt;="&amp;BM$2,FECHA_COMB,"&lt;="&amp;BM$3,CLAVE_COMB,$A298)+SUMIFS(SALIDAS_DES,FECHA_DESGLOSEN,"&gt;="&amp;BM$2,FECHA_DESGLOSEN,"&lt;="&amp;BM$3,CLAVE_DESGLOSE,$A298)</f>
        <v>4750</v>
      </c>
      <c r="BN298" s="13">
        <f>SUMIFS(SALIDAS_BIT,FECHA_BIT,"&gt;="&amp;BN$2,FECHA_BIT,"&lt;="&amp;BN$3,CLAVE_BIT,$A298)+SUMIFS(SALIDAS_BOV1,FECHA_BOV1,"&gt;="&amp;BN$2,FECHA_BOV1,"&lt;="&amp;BN$3,CLAVE_BOV1,$A298)+SUMIFS(SALIDAS_BOV2,FECHA_BOV2,"&gt;="&amp;BN$2,FECHA_BOV2,"&lt;="&amp;BN$3,CLAVE_BOV2,$A298)+SUMIFS(SALIDAS_BOV3,FECHA_BOV3,"&gt;="&amp;BN$2,FECHA_BOV3,"&lt;="&amp;BN$3,CLAVE_BOV3,$A298)+SUMIFS(SALIDAS_TC,FECHA_TC,"&gt;="&amp;BN$2,FECHA_TC,"&lt;="&amp;BN$3,CLAVE_TC,$A298)+SUMIFS(SALIDAS_COMB,FECHA_COMB,"&gt;="&amp;BN$2,FECHA_COMB,"&lt;="&amp;BN$3,CLAVE_COMB,$A298)+SUMIFS(SALIDAS_DES,FECHA_DESGLOSEN,"&gt;="&amp;BN$2,FECHA_DESGLOSEN,"&lt;="&amp;BN$3,CLAVE_DESGLOSE,$A298)</f>
        <v>4750</v>
      </c>
      <c r="BO298" s="13">
        <f>SUMIFS(SALIDAS_BIT,FECHA_BIT,"&gt;="&amp;BO$2,FECHA_BIT,"&lt;="&amp;BO$3,CLAVE_BIT,$A298)+SUMIFS(SALIDAS_BOV1,FECHA_BOV1,"&gt;="&amp;BO$2,FECHA_BOV1,"&lt;="&amp;BO$3,CLAVE_BOV1,$A298)+SUMIFS(SALIDAS_BOV2,FECHA_BOV2,"&gt;="&amp;BO$2,FECHA_BOV2,"&lt;="&amp;BO$3,CLAVE_BOV2,$A298)+SUMIFS(SALIDAS_BOV3,FECHA_BOV3,"&gt;="&amp;BO$2,FECHA_BOV3,"&lt;="&amp;BO$3,CLAVE_BOV3,$A298)+SUMIFS(SALIDAS_TC,FECHA_TC,"&gt;="&amp;BO$2,FECHA_TC,"&lt;="&amp;BO$3,CLAVE_TC,$A298)+SUMIFS(SALIDAS_COMB,FECHA_COMB,"&gt;="&amp;BO$2,FECHA_COMB,"&lt;="&amp;BO$3,CLAVE_COMB,$A298)+SUMIFS(SALIDAS_DES,FECHA_DESGLOSEN,"&gt;="&amp;BO$2,FECHA_DESGLOSEN,"&lt;="&amp;BO$3,CLAVE_DESGLOSE,$A298)</f>
        <v>4750</v>
      </c>
      <c r="BP298" s="13">
        <f>SUMIFS(SALIDAS_BIT,FECHA_BIT,"&gt;="&amp;BP$2,FECHA_BIT,"&lt;="&amp;BP$3,CLAVE_BIT,$A298)+SUMIFS(SALIDAS_BOV1,FECHA_BOV1,"&gt;="&amp;BP$2,FECHA_BOV1,"&lt;="&amp;BP$3,CLAVE_BOV1,$A298)+SUMIFS(SALIDAS_BOV2,FECHA_BOV2,"&gt;="&amp;BP$2,FECHA_BOV2,"&lt;="&amp;BP$3,CLAVE_BOV2,$A298)+SUMIFS(SALIDAS_BOV3,FECHA_BOV3,"&gt;="&amp;BP$2,FECHA_BOV3,"&lt;="&amp;BP$3,CLAVE_BOV3,$A298)+SUMIFS(SALIDAS_TC,FECHA_TC,"&gt;="&amp;BP$2,FECHA_TC,"&lt;="&amp;BP$3,CLAVE_TC,$A298)+SUMIFS(SALIDAS_COMB,FECHA_COMB,"&gt;="&amp;BP$2,FECHA_COMB,"&lt;="&amp;BP$3,CLAVE_COMB,$A298)+SUMIFS(SALIDAS_DES,FECHA_DESGLOSEN,"&gt;="&amp;BP$2,FECHA_DESGLOSEN,"&lt;="&amp;BP$3,CLAVE_DESGLOSE,$A298)</f>
        <v>4750</v>
      </c>
      <c r="BQ298" s="13">
        <f>SUMIFS(SALIDAS_BIT,FECHA_BIT,"&gt;="&amp;BQ$2,FECHA_BIT,"&lt;="&amp;BQ$3,CLAVE_BIT,$A298)+SUMIFS(SALIDAS_BOV1,FECHA_BOV1,"&gt;="&amp;BQ$2,FECHA_BOV1,"&lt;="&amp;BQ$3,CLAVE_BOV1,$A298)+SUMIFS(SALIDAS_BOV2,FECHA_BOV2,"&gt;="&amp;BQ$2,FECHA_BOV2,"&lt;="&amp;BQ$3,CLAVE_BOV2,$A298)+SUMIFS(SALIDAS_BOV3,FECHA_BOV3,"&gt;="&amp;BQ$2,FECHA_BOV3,"&lt;="&amp;BQ$3,CLAVE_BOV3,$A298)+SUMIFS(SALIDAS_TC,FECHA_TC,"&gt;="&amp;BQ$2,FECHA_TC,"&lt;="&amp;BQ$3,CLAVE_TC,$A298)+SUMIFS(SALIDAS_COMB,FECHA_COMB,"&gt;="&amp;BQ$2,FECHA_COMB,"&lt;="&amp;BQ$3,CLAVE_COMB,$A298)+SUMIFS(SALIDAS_DES,FECHA_DESGLOSEN,"&gt;="&amp;BQ$2,FECHA_DESGLOSEN,"&lt;="&amp;BQ$3,CLAVE_DESGLOSE,$A298)</f>
        <v>4750</v>
      </c>
      <c r="BR298" s="13">
        <f>SUMIFS(SALIDAS_BIT,FECHA_BIT,"&gt;="&amp;BR$2,FECHA_BIT,"&lt;="&amp;BR$3,CLAVE_BIT,$A298)+SUMIFS(SALIDAS_BOV1,FECHA_BOV1,"&gt;="&amp;BR$2,FECHA_BOV1,"&lt;="&amp;BR$3,CLAVE_BOV1,$A298)+SUMIFS(SALIDAS_BOV2,FECHA_BOV2,"&gt;="&amp;BR$2,FECHA_BOV2,"&lt;="&amp;BR$3,CLAVE_BOV2,$A298)+SUMIFS(SALIDAS_BOV3,FECHA_BOV3,"&gt;="&amp;BR$2,FECHA_BOV3,"&lt;="&amp;BR$3,CLAVE_BOV3,$A298)+SUMIFS(SALIDAS_TC,FECHA_TC,"&gt;="&amp;BR$2,FECHA_TC,"&lt;="&amp;BR$3,CLAVE_TC,$A298)+SUMIFS(SALIDAS_COMB,FECHA_COMB,"&gt;="&amp;BR$2,FECHA_COMB,"&lt;="&amp;BR$3,CLAVE_COMB,$A298)+SUMIFS(SALIDAS_DES,FECHA_DESGLOSEN,"&gt;="&amp;BR$2,FECHA_DESGLOSEN,"&lt;="&amp;BR$3,CLAVE_DESGLOSE,$A298)</f>
        <v>23750</v>
      </c>
      <c r="BS298" s="68">
        <f t="shared" ref="BS298" si="547">BL298-BR298</f>
        <v>0</v>
      </c>
      <c r="BT298" s="268">
        <f t="shared" si="464"/>
        <v>1</v>
      </c>
      <c r="BU298" s="13">
        <f t="shared" si="465"/>
        <v>19000</v>
      </c>
      <c r="BV298" s="13">
        <f t="shared" si="485"/>
        <v>4750</v>
      </c>
      <c r="BW298" s="13">
        <f t="shared" si="485"/>
        <v>4750</v>
      </c>
      <c r="BX298" s="13">
        <f t="shared" si="485"/>
        <v>4750</v>
      </c>
      <c r="BY298" s="13">
        <f t="shared" si="485"/>
        <v>4750</v>
      </c>
      <c r="BZ298" s="13">
        <f t="shared" si="503"/>
        <v>19000</v>
      </c>
      <c r="CA298" s="68">
        <f t="shared" ref="CA298" si="548">BU298-BZ298</f>
        <v>0</v>
      </c>
      <c r="CB298" s="268">
        <f t="shared" si="467"/>
        <v>1</v>
      </c>
      <c r="CC298" s="13">
        <f t="shared" si="468"/>
        <v>19000</v>
      </c>
      <c r="CD298" s="13">
        <f t="shared" si="486"/>
        <v>4750</v>
      </c>
      <c r="CE298" s="13">
        <f>SUMIFS(SALIDAS_BIT,FECHA_BIT,"&gt;="&amp;CE$2,FECHA_BIT,"&lt;="&amp;CE$3,CLAVE_BIT,$A298)+SUMIFS(SALIDAS_BOV1,FECHA_BOV1,"&gt;="&amp;CE$2,FECHA_BOV1,"&lt;="&amp;CE$3,CLAVE_BOV1,$A298)+SUMIFS(SALIDAS_BOV2,FECHA_BOV2,"&gt;="&amp;CE$2,FECHA_BOV2,"&lt;="&amp;CE$3,CLAVE_BOV2,$A298)+SUMIFS(SALIDAS_BOV3,FECHA_BOV3,"&gt;="&amp;CE$2,FECHA_BOV3,"&lt;="&amp;CE$3,CLAVE_BOV3,$A298)+SUMIFS(SALIDAS_TC,FECHA_TC,"&gt;="&amp;CE$2,FECHA_TC,"&lt;="&amp;CE$3,CLAVE_TC,$A298)+SUMIFS(SALIDAS_COMB,FECHA_COMB,"&gt;="&amp;CE$2,FECHA_COMB,"&lt;="&amp;CE$3,CLAVE_COMB,$A298)+SUMIFS(SALIDAS_DES,FECHA_DESGLOSEN,"&gt;="&amp;CE$2,FECHA_DESGLOSEN,"&lt;="&amp;CE$3,CLAVE_DESGLOSE,$A298)</f>
        <v>4750</v>
      </c>
      <c r="CF298" s="13">
        <f t="shared" si="486"/>
        <v>4750</v>
      </c>
      <c r="CG298" s="13">
        <f t="shared" si="486"/>
        <v>4750</v>
      </c>
      <c r="CH298" s="13">
        <f t="shared" si="504"/>
        <v>19000</v>
      </c>
      <c r="CI298" s="68">
        <f t="shared" ref="CI298" si="549">CC298-CH298</f>
        <v>0</v>
      </c>
      <c r="CJ298" s="268">
        <f t="shared" si="470"/>
        <v>1</v>
      </c>
      <c r="CK298" s="13">
        <f t="shared" si="471"/>
        <v>23750</v>
      </c>
      <c r="CL298" s="13">
        <f t="shared" si="495"/>
        <v>8148</v>
      </c>
      <c r="CM298" s="13">
        <f t="shared" si="495"/>
        <v>4750</v>
      </c>
      <c r="CN298" s="13">
        <f t="shared" si="495"/>
        <v>6300</v>
      </c>
      <c r="CO298" s="13">
        <f t="shared" si="495"/>
        <v>4750</v>
      </c>
      <c r="CP298" s="13">
        <f t="shared" si="495"/>
        <v>4750</v>
      </c>
      <c r="CQ298" s="13">
        <f t="shared" si="505"/>
        <v>28698</v>
      </c>
      <c r="CR298" s="68">
        <f t="shared" ref="CR298" si="550">CK298-CQ298</f>
        <v>-4948</v>
      </c>
      <c r="CS298" s="268">
        <f t="shared" si="473"/>
        <v>1.2083368421052632</v>
      </c>
      <c r="CT298" s="68">
        <f t="shared" si="446"/>
        <v>19000</v>
      </c>
      <c r="CU298" s="13">
        <f>SUMIFS(SALIDAS_BIT,FECHA_BIT,"&gt;="&amp;CU$2,FECHA_BIT,"&lt;="&amp;CU$3,CLAVE_BIT,$A298)+SUMIFS(SALIDAS_BOV1,FECHA_BOV1,"&gt;="&amp;CU$2,FECHA_BOV1,"&lt;="&amp;CU$3,CLAVE_BOV1,$A298)+SUMIFS(SALIDAS_BOV2,FECHA_BOV2,"&gt;="&amp;CU$2,FECHA_BOV2,"&lt;="&amp;CU$3,CLAVE_BOV2,$A298)+SUMIFS(SALIDAS_BOV3,FECHA_BOV3,"&gt;="&amp;CU$2,FECHA_BOV3,"&lt;="&amp;CU$3,CLAVE_BOV3,$A298)+SUMIFS(SALIDAS_TC,FECHA_TC,"&gt;="&amp;CU$2,FECHA_TC,"&lt;="&amp;CU$3,CLAVE_TC,$A298)+SUMIFS(SALIDAS_COMB,FECHA_COMB,"&gt;="&amp;CU$2,FECHA_COMB,"&lt;="&amp;CU$3,CLAVE_COMB,$A298)+SUMIFS(SALIDAS_DES,FECHA_DESGLOSEN,"&gt;="&amp;CU$2,FECHA_DESGLOSEN,"&lt;="&amp;CU$3,CLAVE_DESGLOSE,$A298)</f>
        <v>4750</v>
      </c>
      <c r="CV298" s="13">
        <f>SUMIFS(SALIDAS_BIT,FECHA_BIT,"&gt;="&amp;CV$2,FECHA_BIT,"&lt;="&amp;CV$3,CLAVE_BIT,$A298)+SUMIFS(SALIDAS_BOV1,FECHA_BOV1,"&gt;="&amp;CV$2,FECHA_BOV1,"&lt;="&amp;CV$3,CLAVE_BOV1,$A298)+SUMIFS(SALIDAS_BOV2,FECHA_BOV2,"&gt;="&amp;CV$2,FECHA_BOV2,"&lt;="&amp;CV$3,CLAVE_BOV2,$A298)+SUMIFS(SALIDAS_BOV3,FECHA_BOV3,"&gt;="&amp;CV$2,FECHA_BOV3,"&lt;="&amp;CV$3,CLAVE_BOV3,$A298)+SUMIFS(SALIDAS_TC,FECHA_TC,"&gt;="&amp;CV$2,FECHA_TC,"&lt;="&amp;CV$3,CLAVE_TC,$A298)+SUMIFS(SALIDAS_COMB,FECHA_COMB,"&gt;="&amp;CV$2,FECHA_COMB,"&lt;="&amp;CV$3,CLAVE_COMB,$A298)+SUMIFS(SALIDAS_DES,FECHA_DESGLOSEN,"&gt;="&amp;CV$2,FECHA_DESGLOSEN,"&lt;="&amp;CV$3,CLAVE_DESGLOSE,$A298)</f>
        <v>4750</v>
      </c>
      <c r="CW298" s="13">
        <f>SUMIFS(SALIDAS_BIT,FECHA_BIT,"&gt;="&amp;CW$2,FECHA_BIT,"&lt;="&amp;CW$3,CLAVE_BIT,$A298)+SUMIFS(SALIDAS_BOV1,FECHA_BOV1,"&gt;="&amp;CW$2,FECHA_BOV1,"&lt;="&amp;CW$3,CLAVE_BOV1,$A298)+SUMIFS(SALIDAS_BOV2,FECHA_BOV2,"&gt;="&amp;CW$2,FECHA_BOV2,"&lt;="&amp;CW$3,CLAVE_BOV2,$A298)+SUMIFS(SALIDAS_BOV3,FECHA_BOV3,"&gt;="&amp;CW$2,FECHA_BOV3,"&lt;="&amp;CW$3,CLAVE_BOV3,$A298)+SUMIFS(SALIDAS_TC,FECHA_TC,"&gt;="&amp;CW$2,FECHA_TC,"&lt;="&amp;CW$3,CLAVE_TC,$A298)+SUMIFS(SALIDAS_COMB,FECHA_COMB,"&gt;="&amp;CW$2,FECHA_COMB,"&lt;="&amp;CW$3,CLAVE_COMB,$A298)+SUMIFS(SALIDAS_DES,FECHA_DESGLOSEN,"&gt;="&amp;CW$2,FECHA_DESGLOSEN,"&lt;="&amp;CW$3,CLAVE_DESGLOSE,$A298)</f>
        <v>5850</v>
      </c>
      <c r="CX298" s="13">
        <f>SUMIFS(SALIDAS_BIT,FECHA_BIT,"&gt;="&amp;CX$2,FECHA_BIT,"&lt;="&amp;CX$3,CLAVE_BIT,$A298)+SUMIFS(SALIDAS_BOV1,FECHA_BOV1,"&gt;="&amp;CX$2,FECHA_BOV1,"&lt;="&amp;CX$3,CLAVE_BOV1,$A298)+SUMIFS(SALIDAS_BOV2,FECHA_BOV2,"&gt;="&amp;CX$2,FECHA_BOV2,"&lt;="&amp;CX$3,CLAVE_BOV2,$A298)+SUMIFS(SALIDAS_BOV3,FECHA_BOV3,"&gt;="&amp;CX$2,FECHA_BOV3,"&lt;="&amp;CX$3,CLAVE_BOV3,$A298)+SUMIFS(SALIDAS_TC,FECHA_TC,"&gt;="&amp;CX$2,FECHA_TC,"&lt;="&amp;CX$3,CLAVE_TC,$A298)+SUMIFS(SALIDAS_COMB,FECHA_COMB,"&gt;="&amp;CX$2,FECHA_COMB,"&lt;="&amp;CX$3,CLAVE_COMB,$A298)+SUMIFS(SALIDAS_DES,FECHA_DESGLOSEN,"&gt;="&amp;CX$2,FECHA_DESGLOSEN,"&lt;="&amp;CX$3,CLAVE_DESGLOSE,$A298)</f>
        <v>4750</v>
      </c>
      <c r="CY298" s="13">
        <f>SUMIFS(SALIDAS_BIT,FECHA_BIT,"&gt;="&amp;CY$2,FECHA_BIT,"&lt;="&amp;CY$3,CLAVE_BIT,$A298)+SUMIFS(SALIDAS_BOV1,FECHA_BOV1,"&gt;="&amp;CY$2,FECHA_BOV1,"&lt;="&amp;CY$3,CLAVE_BOV1,$A298)+SUMIFS(SALIDAS_BOV2,FECHA_BOV2,"&gt;="&amp;CY$2,FECHA_BOV2,"&lt;="&amp;CY$3,CLAVE_BOV2,$A298)+SUMIFS(SALIDAS_BOV3,FECHA_BOV3,"&gt;="&amp;CY$2,FECHA_BOV3,"&lt;="&amp;CY$3,CLAVE_BOV3,$A298)+SUMIFS(SALIDAS_TC,FECHA_TC,"&gt;="&amp;CY$2,FECHA_TC,"&lt;="&amp;CY$3,CLAVE_TC,$A298)+SUMIFS(SALIDAS_COMB,FECHA_COMB,"&gt;="&amp;CY$2,FECHA_COMB,"&lt;="&amp;CY$3,CLAVE_COMB,$A298)+SUMIFS(SALIDAS_DES,FECHA_DESGLOSEN,"&gt;="&amp;CY$2,FECHA_DESGLOSEN,"&lt;="&amp;CY$3,CLAVE_DESGLOSE,$A298)</f>
        <v>20100</v>
      </c>
      <c r="CZ298" s="68">
        <f t="shared" si="474"/>
        <v>-1100</v>
      </c>
      <c r="DB298" s="17">
        <f>F298+N298+W298+AE298+AM298+AV298+BD298+BL298+BU298+CC298+CK298</f>
        <v>228000</v>
      </c>
      <c r="DC298" s="17">
        <f>K298+T298+AB298+AJ298+AS298+BA298+BI298+BR298+BZ298+CH298+CQ298</f>
        <v>234412</v>
      </c>
    </row>
    <row r="299" spans="1:108" hidden="1">
      <c r="A299" s="12" t="str">
        <f t="shared" ref="A299:A310" si="551">C299&amp;D299&amp;E299</f>
        <v>CAPFUMIGACIONCAPRICHOS</v>
      </c>
      <c r="B299">
        <v>300</v>
      </c>
      <c r="C299" t="s">
        <v>31</v>
      </c>
      <c r="D299" t="s">
        <v>121</v>
      </c>
      <c r="E299" s="12" t="s">
        <v>33</v>
      </c>
      <c r="F299" s="259">
        <f t="shared" si="440"/>
        <v>0</v>
      </c>
      <c r="G299" s="13">
        <f t="shared" si="497"/>
        <v>0</v>
      </c>
      <c r="H299" s="13">
        <f t="shared" si="497"/>
        <v>650</v>
      </c>
      <c r="I299" s="13">
        <f t="shared" si="497"/>
        <v>471</v>
      </c>
      <c r="J299" s="13">
        <f t="shared" si="497"/>
        <v>0</v>
      </c>
      <c r="K299" s="13">
        <f t="shared" si="497"/>
        <v>1121</v>
      </c>
      <c r="L299" s="68">
        <f t="shared" ref="L299" si="552">F299-K299</f>
        <v>-1121</v>
      </c>
      <c r="M299" s="268">
        <f t="shared" si="449"/>
        <v>0</v>
      </c>
      <c r="N299" s="13">
        <f t="shared" si="441"/>
        <v>0</v>
      </c>
      <c r="O299" s="13">
        <f t="shared" si="498"/>
        <v>0</v>
      </c>
      <c r="P299" s="13">
        <f t="shared" si="498"/>
        <v>650</v>
      </c>
      <c r="Q299" s="13">
        <f t="shared" si="498"/>
        <v>471</v>
      </c>
      <c r="R299" s="13">
        <f t="shared" si="498"/>
        <v>0</v>
      </c>
      <c r="S299" s="13">
        <f t="shared" si="498"/>
        <v>0</v>
      </c>
      <c r="T299" s="13">
        <f t="shared" si="498"/>
        <v>1121</v>
      </c>
      <c r="U299" s="68">
        <f t="shared" si="450"/>
        <v>-1121</v>
      </c>
      <c r="V299" s="268">
        <f t="shared" si="451"/>
        <v>0</v>
      </c>
      <c r="W299" s="13">
        <f t="shared" si="442"/>
        <v>0</v>
      </c>
      <c r="X299" s="13">
        <f t="shared" si="499"/>
        <v>0</v>
      </c>
      <c r="Y299" s="13">
        <f t="shared" si="499"/>
        <v>650</v>
      </c>
      <c r="Z299" s="13">
        <f t="shared" si="499"/>
        <v>471</v>
      </c>
      <c r="AA299" s="13">
        <f t="shared" si="499"/>
        <v>0</v>
      </c>
      <c r="AB299" s="13">
        <f t="shared" si="499"/>
        <v>1121</v>
      </c>
      <c r="AC299" s="68">
        <f t="shared" ref="AC299" si="553">W299-AB299</f>
        <v>-1121</v>
      </c>
      <c r="AD299" s="268">
        <f t="shared" si="453"/>
        <v>0</v>
      </c>
      <c r="AE299" s="13">
        <f t="shared" si="443"/>
        <v>0</v>
      </c>
      <c r="AF299" s="13">
        <f t="shared" si="500"/>
        <v>0</v>
      </c>
      <c r="AG299" s="13">
        <f t="shared" si="500"/>
        <v>650</v>
      </c>
      <c r="AH299" s="13">
        <f t="shared" si="500"/>
        <v>471</v>
      </c>
      <c r="AI299" s="13">
        <f t="shared" si="500"/>
        <v>0</v>
      </c>
      <c r="AJ299" s="13">
        <f t="shared" si="500"/>
        <v>1121</v>
      </c>
      <c r="AK299" s="68">
        <f t="shared" ref="AK299" si="554">AE299-AJ299</f>
        <v>-1121</v>
      </c>
      <c r="AL299" s="268">
        <f t="shared" si="455"/>
        <v>0</v>
      </c>
      <c r="AM299" s="13">
        <f t="shared" si="444"/>
        <v>0</v>
      </c>
      <c r="AN299" s="13">
        <f t="shared" si="501"/>
        <v>0</v>
      </c>
      <c r="AO299" s="13">
        <f t="shared" si="501"/>
        <v>1650</v>
      </c>
      <c r="AP299" s="13">
        <f t="shared" si="501"/>
        <v>471</v>
      </c>
      <c r="AQ299" s="13">
        <f t="shared" si="501"/>
        <v>0</v>
      </c>
      <c r="AR299" s="13">
        <f t="shared" si="501"/>
        <v>0</v>
      </c>
      <c r="AS299" s="13">
        <f t="shared" si="501"/>
        <v>2121</v>
      </c>
      <c r="AT299" s="68">
        <f>AM299-AS299</f>
        <v>-2121</v>
      </c>
      <c r="AU299" s="268">
        <f t="shared" si="456"/>
        <v>0</v>
      </c>
      <c r="AV299" s="13">
        <f t="shared" si="445"/>
        <v>0</v>
      </c>
      <c r="AW299" s="13">
        <f t="shared" si="421"/>
        <v>650</v>
      </c>
      <c r="AX299" s="13">
        <f t="shared" si="421"/>
        <v>0</v>
      </c>
      <c r="AY299" s="13">
        <f t="shared" si="421"/>
        <v>471</v>
      </c>
      <c r="AZ299" s="13">
        <f t="shared" si="421"/>
        <v>0</v>
      </c>
      <c r="BA299" s="13">
        <f t="shared" si="475"/>
        <v>1121</v>
      </c>
      <c r="BB299" s="68">
        <f t="shared" ref="BB299" si="555">AV299-BA299</f>
        <v>-1121</v>
      </c>
      <c r="BC299" s="268">
        <f t="shared" si="458"/>
        <v>0</v>
      </c>
      <c r="BD299" s="13">
        <f t="shared" si="459"/>
        <v>0</v>
      </c>
      <c r="BE299" s="13">
        <f>SUMIFS(SALIDAS_BIT,FECHA_BIT,"&gt;="&amp;BE$2,FECHA_BIT,"&lt;="&amp;BE$3,CLAVE_BIT,$A299)+SUMIFS(SALIDAS_BOV1,FECHA_BOV1,"&gt;="&amp;BE$2,FECHA_BOV1,"&lt;="&amp;BE$3,CLAVE_BOV1,$A299)+SUMIFS(SALIDAS_BOV2,FECHA_BOV2,"&gt;="&amp;BE$2,FECHA_BOV2,"&lt;="&amp;BE$3,CLAVE_BOV2,$A299)+SUMIFS(SALIDAS_BOV3,FECHA_BOV3,"&gt;="&amp;BE$2,FECHA_BOV3,"&lt;="&amp;BE$3,CLAVE_BOV3,$A299)+SUMIFS(SALIDAS_TC,FECHA_TC,"&gt;="&amp;BE$2,FECHA_TC,"&lt;="&amp;BE$3,CLAVE_TC,$A299)+SUMIFS(SALIDAS_COMB,FECHA_COMB,"&gt;="&amp;BE$2,FECHA_COMB,"&lt;="&amp;BE$3,CLAVE_COMB,$A299)+SUMIFS(SALIDAS_DES,FECHA_DESGLOSEN,"&gt;="&amp;BE$2,FECHA_DESGLOSEN,"&lt;="&amp;BE$3,CLAVE_DESGLOSE,$A299)</f>
        <v>0</v>
      </c>
      <c r="BF299" s="13">
        <f>SUMIFS(SALIDAS_BIT,FECHA_BIT,"&gt;="&amp;BF$2,FECHA_BIT,"&lt;="&amp;BF$3,CLAVE_BIT,$A299)+SUMIFS(SALIDAS_BOV1,FECHA_BOV1,"&gt;="&amp;BF$2,FECHA_BOV1,"&lt;="&amp;BF$3,CLAVE_BOV1,$A299)+SUMIFS(SALIDAS_BOV2,FECHA_BOV2,"&gt;="&amp;BF$2,FECHA_BOV2,"&lt;="&amp;BF$3,CLAVE_BOV2,$A299)+SUMIFS(SALIDAS_BOV3,FECHA_BOV3,"&gt;="&amp;BF$2,FECHA_BOV3,"&lt;="&amp;BF$3,CLAVE_BOV3,$A299)+SUMIFS(SALIDAS_TC,FECHA_TC,"&gt;="&amp;BF$2,FECHA_TC,"&lt;="&amp;BF$3,CLAVE_TC,$A299)+SUMIFS(SALIDAS_COMB,FECHA_COMB,"&gt;="&amp;BF$2,FECHA_COMB,"&lt;="&amp;BF$3,CLAVE_COMB,$A299)+SUMIFS(SALIDAS_DES,FECHA_DESGLOSEN,"&gt;="&amp;BF$2,FECHA_DESGLOSEN,"&lt;="&amp;BF$3,CLAVE_DESGLOSE,$A299)</f>
        <v>1650</v>
      </c>
      <c r="BG299" s="13">
        <f>SUMIFS(SALIDAS_BIT,FECHA_BIT,"&gt;="&amp;BG$2,FECHA_BIT,"&lt;="&amp;BG$3,CLAVE_BIT,$A299)+SUMIFS(SALIDAS_BOV1,FECHA_BOV1,"&gt;="&amp;BG$2,FECHA_BOV1,"&lt;="&amp;BG$3,CLAVE_BOV1,$A299)+SUMIFS(SALIDAS_BOV2,FECHA_BOV2,"&gt;="&amp;BG$2,FECHA_BOV2,"&lt;="&amp;BG$3,CLAVE_BOV2,$A299)+SUMIFS(SALIDAS_BOV3,FECHA_BOV3,"&gt;="&amp;BG$2,FECHA_BOV3,"&lt;="&amp;BG$3,CLAVE_BOV3,$A299)+SUMIFS(SALIDAS_TC,FECHA_TC,"&gt;="&amp;BG$2,FECHA_TC,"&lt;="&amp;BG$3,CLAVE_TC,$A299)+SUMIFS(SALIDAS_COMB,FECHA_COMB,"&gt;="&amp;BG$2,FECHA_COMB,"&lt;="&amp;BG$3,CLAVE_COMB,$A299)+SUMIFS(SALIDAS_DES,FECHA_DESGLOSEN,"&gt;="&amp;BG$2,FECHA_DESGLOSEN,"&lt;="&amp;BG$3,CLAVE_DESGLOSE,$A299)</f>
        <v>471</v>
      </c>
      <c r="BH299" s="13">
        <f>SUMIFS(SALIDAS_BIT,FECHA_BIT,"&gt;="&amp;BH$2,FECHA_BIT,"&lt;="&amp;BH$3,CLAVE_BIT,$A299)+SUMIFS(SALIDAS_BOV1,FECHA_BOV1,"&gt;="&amp;BH$2,FECHA_BOV1,"&lt;="&amp;BH$3,CLAVE_BOV1,$A299)+SUMIFS(SALIDAS_BOV2,FECHA_BOV2,"&gt;="&amp;BH$2,FECHA_BOV2,"&lt;="&amp;BH$3,CLAVE_BOV2,$A299)+SUMIFS(SALIDAS_BOV3,FECHA_BOV3,"&gt;="&amp;BH$2,FECHA_BOV3,"&lt;="&amp;BH$3,CLAVE_BOV3,$A299)+SUMIFS(SALIDAS_TC,FECHA_TC,"&gt;="&amp;BH$2,FECHA_TC,"&lt;="&amp;BH$3,CLAVE_TC,$A299)+SUMIFS(SALIDAS_COMB,FECHA_COMB,"&gt;="&amp;BH$2,FECHA_COMB,"&lt;="&amp;BH$3,CLAVE_COMB,$A299)+SUMIFS(SALIDAS_DES,FECHA_DESGLOSEN,"&gt;="&amp;BH$2,FECHA_DESGLOSEN,"&lt;="&amp;BH$3,CLAVE_DESGLOSE,$A299)</f>
        <v>0</v>
      </c>
      <c r="BI299" s="13">
        <f t="shared" si="419"/>
        <v>2121</v>
      </c>
      <c r="BJ299" s="68">
        <f t="shared" ref="BJ299" si="556">BD299-BI299</f>
        <v>-2121</v>
      </c>
      <c r="BK299" s="268">
        <f t="shared" si="461"/>
        <v>0</v>
      </c>
      <c r="BL299" s="13">
        <f t="shared" si="462"/>
        <v>0</v>
      </c>
      <c r="BM299" s="13">
        <f>SUMIFS(SALIDAS_BIT,FECHA_BIT,"&gt;="&amp;BM$2,FECHA_BIT,"&lt;="&amp;BM$3,CLAVE_BIT,$A299)+SUMIFS(SALIDAS_BOV1,FECHA_BOV1,"&gt;="&amp;BM$2,FECHA_BOV1,"&lt;="&amp;BM$3,CLAVE_BOV1,$A299)+SUMIFS(SALIDAS_BOV2,FECHA_BOV2,"&gt;="&amp;BM$2,FECHA_BOV2,"&lt;="&amp;BM$3,CLAVE_BOV2,$A299)+SUMIFS(SALIDAS_BOV3,FECHA_BOV3,"&gt;="&amp;BM$2,FECHA_BOV3,"&lt;="&amp;BM$3,CLAVE_BOV3,$A299)+SUMIFS(SALIDAS_TC,FECHA_TC,"&gt;="&amp;BM$2,FECHA_TC,"&lt;="&amp;BM$3,CLAVE_TC,$A299)+SUMIFS(SALIDAS_COMB,FECHA_COMB,"&gt;="&amp;BM$2,FECHA_COMB,"&lt;="&amp;BM$3,CLAVE_COMB,$A299)+SUMIFS(SALIDAS_DES,FECHA_DESGLOSEN,"&gt;="&amp;BM$2,FECHA_DESGLOSEN,"&lt;="&amp;BM$3,CLAVE_DESGLOSE,$A299)</f>
        <v>0</v>
      </c>
      <c r="BN299" s="13">
        <f>SUMIFS(SALIDAS_BIT,FECHA_BIT,"&gt;="&amp;BN$2,FECHA_BIT,"&lt;="&amp;BN$3,CLAVE_BIT,$A299)+SUMIFS(SALIDAS_BOV1,FECHA_BOV1,"&gt;="&amp;BN$2,FECHA_BOV1,"&lt;="&amp;BN$3,CLAVE_BOV1,$A299)+SUMIFS(SALIDAS_BOV2,FECHA_BOV2,"&gt;="&amp;BN$2,FECHA_BOV2,"&lt;="&amp;BN$3,CLAVE_BOV2,$A299)+SUMIFS(SALIDAS_BOV3,FECHA_BOV3,"&gt;="&amp;BN$2,FECHA_BOV3,"&lt;="&amp;BN$3,CLAVE_BOV3,$A299)+SUMIFS(SALIDAS_TC,FECHA_TC,"&gt;="&amp;BN$2,FECHA_TC,"&lt;="&amp;BN$3,CLAVE_TC,$A299)+SUMIFS(SALIDAS_COMB,FECHA_COMB,"&gt;="&amp;BN$2,FECHA_COMB,"&lt;="&amp;BN$3,CLAVE_COMB,$A299)+SUMIFS(SALIDAS_DES,FECHA_DESGLOSEN,"&gt;="&amp;BN$2,FECHA_DESGLOSEN,"&lt;="&amp;BN$3,CLAVE_DESGLOSE,$A299)</f>
        <v>650</v>
      </c>
      <c r="BO299" s="13">
        <f>SUMIFS(SALIDAS_BIT,FECHA_BIT,"&gt;="&amp;BO$2,FECHA_BIT,"&lt;="&amp;BO$3,CLAVE_BIT,$A299)+SUMIFS(SALIDAS_BOV1,FECHA_BOV1,"&gt;="&amp;BO$2,FECHA_BOV1,"&lt;="&amp;BO$3,CLAVE_BOV1,$A299)+SUMIFS(SALIDAS_BOV2,FECHA_BOV2,"&gt;="&amp;BO$2,FECHA_BOV2,"&lt;="&amp;BO$3,CLAVE_BOV2,$A299)+SUMIFS(SALIDAS_BOV3,FECHA_BOV3,"&gt;="&amp;BO$2,FECHA_BOV3,"&lt;="&amp;BO$3,CLAVE_BOV3,$A299)+SUMIFS(SALIDAS_TC,FECHA_TC,"&gt;="&amp;BO$2,FECHA_TC,"&lt;="&amp;BO$3,CLAVE_TC,$A299)+SUMIFS(SALIDAS_COMB,FECHA_COMB,"&gt;="&amp;BO$2,FECHA_COMB,"&lt;="&amp;BO$3,CLAVE_COMB,$A299)+SUMIFS(SALIDAS_DES,FECHA_DESGLOSEN,"&gt;="&amp;BO$2,FECHA_DESGLOSEN,"&lt;="&amp;BO$3,CLAVE_DESGLOSE,$A299)</f>
        <v>471</v>
      </c>
      <c r="BP299" s="13">
        <f>SUMIFS(SALIDAS_BIT,FECHA_BIT,"&gt;="&amp;BP$2,FECHA_BIT,"&lt;="&amp;BP$3,CLAVE_BIT,$A299)+SUMIFS(SALIDAS_BOV1,FECHA_BOV1,"&gt;="&amp;BP$2,FECHA_BOV1,"&lt;="&amp;BP$3,CLAVE_BOV1,$A299)+SUMIFS(SALIDAS_BOV2,FECHA_BOV2,"&gt;="&amp;BP$2,FECHA_BOV2,"&lt;="&amp;BP$3,CLAVE_BOV2,$A299)+SUMIFS(SALIDAS_BOV3,FECHA_BOV3,"&gt;="&amp;BP$2,FECHA_BOV3,"&lt;="&amp;BP$3,CLAVE_BOV3,$A299)+SUMIFS(SALIDAS_TC,FECHA_TC,"&gt;="&amp;BP$2,FECHA_TC,"&lt;="&amp;BP$3,CLAVE_TC,$A299)+SUMIFS(SALIDAS_COMB,FECHA_COMB,"&gt;="&amp;BP$2,FECHA_COMB,"&lt;="&amp;BP$3,CLAVE_COMB,$A299)+SUMIFS(SALIDAS_DES,FECHA_DESGLOSEN,"&gt;="&amp;BP$2,FECHA_DESGLOSEN,"&lt;="&amp;BP$3,CLAVE_DESGLOSE,$A299)</f>
        <v>0</v>
      </c>
      <c r="BQ299" s="13">
        <f>SUMIFS(SALIDAS_BIT,FECHA_BIT,"&gt;="&amp;BQ$2,FECHA_BIT,"&lt;="&amp;BQ$3,CLAVE_BIT,$A299)+SUMIFS(SALIDAS_BOV1,FECHA_BOV1,"&gt;="&amp;BQ$2,FECHA_BOV1,"&lt;="&amp;BQ$3,CLAVE_BOV1,$A299)+SUMIFS(SALIDAS_BOV2,FECHA_BOV2,"&gt;="&amp;BQ$2,FECHA_BOV2,"&lt;="&amp;BQ$3,CLAVE_BOV2,$A299)+SUMIFS(SALIDAS_BOV3,FECHA_BOV3,"&gt;="&amp;BQ$2,FECHA_BOV3,"&lt;="&amp;BQ$3,CLAVE_BOV3,$A299)+SUMIFS(SALIDAS_TC,FECHA_TC,"&gt;="&amp;BQ$2,FECHA_TC,"&lt;="&amp;BQ$3,CLAVE_TC,$A299)+SUMIFS(SALIDAS_COMB,FECHA_COMB,"&gt;="&amp;BQ$2,FECHA_COMB,"&lt;="&amp;BQ$3,CLAVE_COMB,$A299)+SUMIFS(SALIDAS_DES,FECHA_DESGLOSEN,"&gt;="&amp;BQ$2,FECHA_DESGLOSEN,"&lt;="&amp;BQ$3,CLAVE_DESGLOSE,$A299)</f>
        <v>0</v>
      </c>
      <c r="BR299" s="13">
        <f t="shared" si="502"/>
        <v>1121</v>
      </c>
      <c r="BS299" s="68">
        <f t="shared" ref="BS299" si="557">BL299-BR299</f>
        <v>-1121</v>
      </c>
      <c r="BT299" s="268">
        <f t="shared" si="464"/>
        <v>0</v>
      </c>
      <c r="BU299" s="13">
        <f t="shared" si="465"/>
        <v>0</v>
      </c>
      <c r="BV299" s="13">
        <f t="shared" si="485"/>
        <v>0</v>
      </c>
      <c r="BW299" s="13">
        <f t="shared" si="485"/>
        <v>0</v>
      </c>
      <c r="BX299" s="13">
        <f t="shared" si="485"/>
        <v>471</v>
      </c>
      <c r="BY299" s="13">
        <f t="shared" si="485"/>
        <v>0</v>
      </c>
      <c r="BZ299" s="13">
        <f t="shared" si="503"/>
        <v>471</v>
      </c>
      <c r="CA299" s="68">
        <f t="shared" ref="CA299" si="558">BU299-BZ299</f>
        <v>-471</v>
      </c>
      <c r="CB299" s="268">
        <f t="shared" si="467"/>
        <v>0</v>
      </c>
      <c r="CC299" s="13">
        <f t="shared" si="468"/>
        <v>0</v>
      </c>
      <c r="CD299" s="13">
        <f t="shared" si="486"/>
        <v>0</v>
      </c>
      <c r="CE299" s="13">
        <f t="shared" si="486"/>
        <v>0</v>
      </c>
      <c r="CF299" s="13">
        <f t="shared" si="486"/>
        <v>471</v>
      </c>
      <c r="CG299" s="13">
        <f t="shared" si="486"/>
        <v>0</v>
      </c>
      <c r="CH299" s="13">
        <f t="shared" si="504"/>
        <v>471</v>
      </c>
      <c r="CI299" s="68">
        <f t="shared" ref="CI299" si="559">CC299-CH299</f>
        <v>-471</v>
      </c>
      <c r="CJ299" s="268">
        <f t="shared" si="470"/>
        <v>0</v>
      </c>
      <c r="CK299" s="13">
        <f t="shared" si="471"/>
        <v>0</v>
      </c>
      <c r="CL299" s="13">
        <f t="shared" si="495"/>
        <v>0</v>
      </c>
      <c r="CM299" s="13">
        <f t="shared" si="495"/>
        <v>0</v>
      </c>
      <c r="CN299" s="13">
        <f t="shared" si="495"/>
        <v>471</v>
      </c>
      <c r="CO299" s="13">
        <f t="shared" si="495"/>
        <v>0</v>
      </c>
      <c r="CP299" s="13">
        <f t="shared" si="495"/>
        <v>0</v>
      </c>
      <c r="CQ299" s="13">
        <f t="shared" si="505"/>
        <v>471</v>
      </c>
      <c r="CR299" s="68">
        <f t="shared" ref="CR299" si="560">CK299-CQ299</f>
        <v>-471</v>
      </c>
      <c r="CS299" s="268">
        <f t="shared" si="473"/>
        <v>0</v>
      </c>
      <c r="CT299" s="68">
        <f t="shared" si="446"/>
        <v>2500</v>
      </c>
      <c r="CU299" s="13">
        <f>SUMIFS(SALIDAS_BIT,FECHA_BIT,"&gt;="&amp;CU$2,FECHA_BIT,"&lt;="&amp;CU$3,CLAVE_BIT,$A299)+SUMIFS(SALIDAS_BOV1,FECHA_BOV1,"&gt;="&amp;CU$2,FECHA_BOV1,"&lt;="&amp;CU$3,CLAVE_BOV1,$A299)+SUMIFS(SALIDAS_BOV2,FECHA_BOV2,"&gt;="&amp;CU$2,FECHA_BOV2,"&lt;="&amp;CU$3,CLAVE_BOV2,$A299)+SUMIFS(SALIDAS_BOV3,FECHA_BOV3,"&gt;="&amp;CU$2,FECHA_BOV3,"&lt;="&amp;CU$3,CLAVE_BOV3,$A299)+SUMIFS(SALIDAS_TC,FECHA_TC,"&gt;="&amp;CU$2,FECHA_TC,"&lt;="&amp;CU$3,CLAVE_TC,$A299)+SUMIFS(SALIDAS_COMB,FECHA_COMB,"&gt;="&amp;CU$2,FECHA_COMB,"&lt;="&amp;CU$3,CLAVE_COMB,$A299)+SUMIFS(SALIDAS_DES,FECHA_DESGLOSEN,"&gt;="&amp;CU$2,FECHA_DESGLOSEN,"&lt;="&amp;CU$3,CLAVE_DESGLOSE,$A299)</f>
        <v>0</v>
      </c>
      <c r="CV299" s="13">
        <f>SUMIFS(SALIDAS_BIT,FECHA_BIT,"&gt;="&amp;CV$2,FECHA_BIT,"&lt;="&amp;CV$3,CLAVE_BIT,$A299)+SUMIFS(SALIDAS_BOV1,FECHA_BOV1,"&gt;="&amp;CV$2,FECHA_BOV1,"&lt;="&amp;CV$3,CLAVE_BOV1,$A299)+SUMIFS(SALIDAS_BOV2,FECHA_BOV2,"&gt;="&amp;CV$2,FECHA_BOV2,"&lt;="&amp;CV$3,CLAVE_BOV2,$A299)+SUMIFS(SALIDAS_BOV3,FECHA_BOV3,"&gt;="&amp;CV$2,FECHA_BOV3,"&lt;="&amp;CV$3,CLAVE_BOV3,$A299)+SUMIFS(SALIDAS_TC,FECHA_TC,"&gt;="&amp;CV$2,FECHA_TC,"&lt;="&amp;CV$3,CLAVE_TC,$A299)+SUMIFS(SALIDAS_COMB,FECHA_COMB,"&gt;="&amp;CV$2,FECHA_COMB,"&lt;="&amp;CV$3,CLAVE_COMB,$A299)+SUMIFS(SALIDAS_DES,FECHA_DESGLOSEN,"&gt;="&amp;CV$2,FECHA_DESGLOSEN,"&lt;="&amp;CV$3,CLAVE_DESGLOSE,$A299)</f>
        <v>0</v>
      </c>
      <c r="CW299" s="13">
        <f>SUMIFS(SALIDAS_BIT,FECHA_BIT,"&gt;="&amp;CW$2,FECHA_BIT,"&lt;="&amp;CW$3,CLAVE_BIT,$A299)+SUMIFS(SALIDAS_BOV1,FECHA_BOV1,"&gt;="&amp;CW$2,FECHA_BOV1,"&lt;="&amp;CW$3,CLAVE_BOV1,$A299)+SUMIFS(SALIDAS_BOV2,FECHA_BOV2,"&gt;="&amp;CW$2,FECHA_BOV2,"&lt;="&amp;CW$3,CLAVE_BOV2,$A299)+SUMIFS(SALIDAS_BOV3,FECHA_BOV3,"&gt;="&amp;CW$2,FECHA_BOV3,"&lt;="&amp;CW$3,CLAVE_BOV3,$A299)+SUMIFS(SALIDAS_TC,FECHA_TC,"&gt;="&amp;CW$2,FECHA_TC,"&lt;="&amp;CW$3,CLAVE_TC,$A299)+SUMIFS(SALIDAS_COMB,FECHA_COMB,"&gt;="&amp;CW$2,FECHA_COMB,"&lt;="&amp;CW$3,CLAVE_COMB,$A299)+SUMIFS(SALIDAS_DES,FECHA_DESGLOSEN,"&gt;="&amp;CW$2,FECHA_DESGLOSEN,"&lt;="&amp;CW$3,CLAVE_DESGLOSE,$A299)</f>
        <v>0</v>
      </c>
      <c r="CX299" s="13">
        <f>SUMIFS(SALIDAS_BIT,FECHA_BIT,"&gt;="&amp;CX$2,FECHA_BIT,"&lt;="&amp;CX$3,CLAVE_BIT,$A299)+SUMIFS(SALIDAS_BOV1,FECHA_BOV1,"&gt;="&amp;CX$2,FECHA_BOV1,"&lt;="&amp;CX$3,CLAVE_BOV1,$A299)+SUMIFS(SALIDAS_BOV2,FECHA_BOV2,"&gt;="&amp;CX$2,FECHA_BOV2,"&lt;="&amp;CX$3,CLAVE_BOV2,$A299)+SUMIFS(SALIDAS_BOV3,FECHA_BOV3,"&gt;="&amp;CX$2,FECHA_BOV3,"&lt;="&amp;CX$3,CLAVE_BOV3,$A299)+SUMIFS(SALIDAS_TC,FECHA_TC,"&gt;="&amp;CX$2,FECHA_TC,"&lt;="&amp;CX$3,CLAVE_TC,$A299)+SUMIFS(SALIDAS_COMB,FECHA_COMB,"&gt;="&amp;CX$2,FECHA_COMB,"&lt;="&amp;CX$3,CLAVE_COMB,$A299)+SUMIFS(SALIDAS_DES,FECHA_DESGLOSEN,"&gt;="&amp;CX$2,FECHA_DESGLOSEN,"&lt;="&amp;CX$3,CLAVE_DESGLOSE,$A299)</f>
        <v>0</v>
      </c>
      <c r="CY299" s="13">
        <f>SUMIFS(SALIDAS_BIT,FECHA_BIT,"&gt;="&amp;CY$2,FECHA_BIT,"&lt;="&amp;CY$3,CLAVE_BIT,$A299)+SUMIFS(SALIDAS_BOV1,FECHA_BOV1,"&gt;="&amp;CY$2,FECHA_BOV1,"&lt;="&amp;CY$3,CLAVE_BOV1,$A299)+SUMIFS(SALIDAS_BOV2,FECHA_BOV2,"&gt;="&amp;CY$2,FECHA_BOV2,"&lt;="&amp;CY$3,CLAVE_BOV2,$A299)+SUMIFS(SALIDAS_BOV3,FECHA_BOV3,"&gt;="&amp;CY$2,FECHA_BOV3,"&lt;="&amp;CY$3,CLAVE_BOV3,$A299)+SUMIFS(SALIDAS_TC,FECHA_TC,"&gt;="&amp;CY$2,FECHA_TC,"&lt;="&amp;CY$3,CLAVE_TC,$A299)+SUMIFS(SALIDAS_COMB,FECHA_COMB,"&gt;="&amp;CY$2,FECHA_COMB,"&lt;="&amp;CY$3,CLAVE_COMB,$A299)+SUMIFS(SALIDAS_DES,FECHA_DESGLOSEN,"&gt;="&amp;CY$2,FECHA_DESGLOSEN,"&lt;="&amp;CY$3,CLAVE_DESGLOSE,$A299)</f>
        <v>0</v>
      </c>
      <c r="CZ299" s="68">
        <f t="shared" si="474"/>
        <v>2500</v>
      </c>
      <c r="DB299" s="17">
        <f>F299+N299+W299+AE299+AM299+AV299+BD299+BL299+BU299+CC299+CK299</f>
        <v>0</v>
      </c>
      <c r="DC299" s="17">
        <f>K299+T299+AB299+AJ299+AS299+BA299+BI299+BR299+BZ299+CH299+CQ299</f>
        <v>12381</v>
      </c>
    </row>
    <row r="300" spans="1:108" hidden="1">
      <c r="A300" s="12" t="str">
        <f t="shared" si="551"/>
        <v>ELIIMAGEN VISUALIMAGEN VISUAL ELILU</v>
      </c>
      <c r="B300">
        <v>301</v>
      </c>
      <c r="C300" t="s">
        <v>130</v>
      </c>
      <c r="D300" t="s">
        <v>127</v>
      </c>
      <c r="E300" t="s">
        <v>131</v>
      </c>
      <c r="F300" s="259">
        <f t="shared" si="440"/>
        <v>0</v>
      </c>
      <c r="G300" s="13">
        <f t="shared" si="497"/>
        <v>0</v>
      </c>
      <c r="H300" s="13">
        <f t="shared" si="497"/>
        <v>0</v>
      </c>
      <c r="I300" s="13">
        <f t="shared" si="497"/>
        <v>1009</v>
      </c>
      <c r="J300" s="13">
        <f t="shared" si="497"/>
        <v>0</v>
      </c>
      <c r="K300" s="13">
        <f t="shared" si="497"/>
        <v>1009</v>
      </c>
      <c r="L300" s="68">
        <f t="shared" ref="L300" si="561">F300-K300</f>
        <v>-1009</v>
      </c>
      <c r="M300" s="268">
        <f t="shared" si="449"/>
        <v>0</v>
      </c>
      <c r="N300" s="13">
        <f t="shared" si="441"/>
        <v>0</v>
      </c>
      <c r="O300" s="13">
        <f t="shared" si="498"/>
        <v>0</v>
      </c>
      <c r="P300" s="13">
        <f t="shared" si="498"/>
        <v>0</v>
      </c>
      <c r="Q300" s="13">
        <f t="shared" si="498"/>
        <v>0</v>
      </c>
      <c r="R300" s="13">
        <f t="shared" si="498"/>
        <v>489.26</v>
      </c>
      <c r="S300" s="13">
        <f t="shared" si="498"/>
        <v>0</v>
      </c>
      <c r="T300" s="13">
        <f t="shared" si="498"/>
        <v>489.26</v>
      </c>
      <c r="U300" s="68">
        <f t="shared" si="450"/>
        <v>-489.26</v>
      </c>
      <c r="V300" s="268">
        <f t="shared" si="451"/>
        <v>0</v>
      </c>
      <c r="W300" s="13">
        <f t="shared" si="442"/>
        <v>0</v>
      </c>
      <c r="X300" s="13">
        <f t="shared" si="499"/>
        <v>0</v>
      </c>
      <c r="Y300" s="13">
        <f t="shared" si="499"/>
        <v>0</v>
      </c>
      <c r="Z300" s="13">
        <f t="shared" si="499"/>
        <v>0</v>
      </c>
      <c r="AA300" s="13">
        <f t="shared" si="499"/>
        <v>0</v>
      </c>
      <c r="AB300" s="13">
        <f t="shared" si="499"/>
        <v>0</v>
      </c>
      <c r="AC300" s="68">
        <f t="shared" ref="AC300" si="562">W300-AB300</f>
        <v>0</v>
      </c>
      <c r="AD300" s="268">
        <f t="shared" si="453"/>
        <v>0</v>
      </c>
      <c r="AE300" s="13">
        <f t="shared" si="443"/>
        <v>0</v>
      </c>
      <c r="AF300" s="13">
        <f t="shared" si="500"/>
        <v>0</v>
      </c>
      <c r="AG300" s="13">
        <f t="shared" si="500"/>
        <v>0</v>
      </c>
      <c r="AH300" s="13">
        <f t="shared" si="500"/>
        <v>0</v>
      </c>
      <c r="AI300" s="13">
        <f t="shared" si="500"/>
        <v>0</v>
      </c>
      <c r="AJ300" s="13">
        <f t="shared" si="500"/>
        <v>0</v>
      </c>
      <c r="AK300" s="68">
        <f t="shared" ref="AK300" si="563">AE300-AJ300</f>
        <v>0</v>
      </c>
      <c r="AL300" s="268">
        <f t="shared" si="455"/>
        <v>0</v>
      </c>
      <c r="AM300" s="13">
        <f t="shared" si="444"/>
        <v>0</v>
      </c>
      <c r="AN300" s="13">
        <f t="shared" si="501"/>
        <v>0</v>
      </c>
      <c r="AO300" s="13">
        <f t="shared" si="501"/>
        <v>0</v>
      </c>
      <c r="AP300" s="13">
        <f t="shared" si="501"/>
        <v>0</v>
      </c>
      <c r="AQ300" s="13">
        <f t="shared" si="501"/>
        <v>0</v>
      </c>
      <c r="AR300" s="13">
        <f t="shared" si="501"/>
        <v>0</v>
      </c>
      <c r="AS300" s="13">
        <f t="shared" si="501"/>
        <v>0</v>
      </c>
      <c r="AT300" s="68">
        <f>AM300-AS300</f>
        <v>0</v>
      </c>
      <c r="AU300" s="268">
        <f t="shared" si="456"/>
        <v>0</v>
      </c>
      <c r="AV300" s="13">
        <f t="shared" si="445"/>
        <v>0</v>
      </c>
      <c r="AW300" s="13">
        <f t="shared" si="421"/>
        <v>150</v>
      </c>
      <c r="AX300" s="13">
        <f t="shared" si="421"/>
        <v>0</v>
      </c>
      <c r="AY300" s="13">
        <f t="shared" si="421"/>
        <v>0</v>
      </c>
      <c r="AZ300" s="13">
        <f t="shared" si="421"/>
        <v>0</v>
      </c>
      <c r="BA300" s="13">
        <f t="shared" si="475"/>
        <v>150</v>
      </c>
      <c r="BB300" s="68">
        <f t="shared" ref="BB300" si="564">AV300-BA300</f>
        <v>-150</v>
      </c>
      <c r="BC300" s="268">
        <f t="shared" si="458"/>
        <v>0</v>
      </c>
      <c r="BD300" s="13">
        <f t="shared" si="459"/>
        <v>0</v>
      </c>
      <c r="BE300" s="13">
        <f>SUMIFS(SALIDAS_BIT,FECHA_BIT,"&gt;="&amp;BE$2,FECHA_BIT,"&lt;="&amp;BE$3,CLAVE_BIT,$A300)+SUMIFS(SALIDAS_BOV1,FECHA_BOV1,"&gt;="&amp;BE$2,FECHA_BOV1,"&lt;="&amp;BE$3,CLAVE_BOV1,$A300)+SUMIFS(SALIDAS_BOV2,FECHA_BOV2,"&gt;="&amp;BE$2,FECHA_BOV2,"&lt;="&amp;BE$3,CLAVE_BOV2,$A300)+SUMIFS(SALIDAS_BOV3,FECHA_BOV3,"&gt;="&amp;BE$2,FECHA_BOV3,"&lt;="&amp;BE$3,CLAVE_BOV3,$A300)+SUMIFS(SALIDAS_TC,FECHA_TC,"&gt;="&amp;BE$2,FECHA_TC,"&lt;="&amp;BE$3,CLAVE_TC,$A300)+SUMIFS(SALIDAS_COMB,FECHA_COMB,"&gt;="&amp;BE$2,FECHA_COMB,"&lt;="&amp;BE$3,CLAVE_COMB,$A300)+SUMIFS(SALIDAS_DES,FECHA_DESGLOSEN,"&gt;="&amp;BE$2,FECHA_DESGLOSEN,"&lt;="&amp;BE$3,CLAVE_DESGLOSE,$A300)</f>
        <v>0</v>
      </c>
      <c r="BF300" s="13">
        <f>SUMIFS(SALIDAS_BIT,FECHA_BIT,"&gt;="&amp;BF$2,FECHA_BIT,"&lt;="&amp;BF$3,CLAVE_BIT,$A300)+SUMIFS(SALIDAS_BOV1,FECHA_BOV1,"&gt;="&amp;BF$2,FECHA_BOV1,"&lt;="&amp;BF$3,CLAVE_BOV1,$A300)+SUMIFS(SALIDAS_BOV2,FECHA_BOV2,"&gt;="&amp;BF$2,FECHA_BOV2,"&lt;="&amp;BF$3,CLAVE_BOV2,$A300)+SUMIFS(SALIDAS_BOV3,FECHA_BOV3,"&gt;="&amp;BF$2,FECHA_BOV3,"&lt;="&amp;BF$3,CLAVE_BOV3,$A300)+SUMIFS(SALIDAS_TC,FECHA_TC,"&gt;="&amp;BF$2,FECHA_TC,"&lt;="&amp;BF$3,CLAVE_TC,$A300)+SUMIFS(SALIDAS_COMB,FECHA_COMB,"&gt;="&amp;BF$2,FECHA_COMB,"&lt;="&amp;BF$3,CLAVE_COMB,$A300)+SUMIFS(SALIDAS_DES,FECHA_DESGLOSEN,"&gt;="&amp;BF$2,FECHA_DESGLOSEN,"&lt;="&amp;BF$3,CLAVE_DESGLOSE,$A300)</f>
        <v>0</v>
      </c>
      <c r="BG300" s="13">
        <f>SUMIFS(SALIDAS_BIT,FECHA_BIT,"&gt;="&amp;BG$2,FECHA_BIT,"&lt;="&amp;BG$3,CLAVE_BIT,$A300)+SUMIFS(SALIDAS_BOV1,FECHA_BOV1,"&gt;="&amp;BG$2,FECHA_BOV1,"&lt;="&amp;BG$3,CLAVE_BOV1,$A300)+SUMIFS(SALIDAS_BOV2,FECHA_BOV2,"&gt;="&amp;BG$2,FECHA_BOV2,"&lt;="&amp;BG$3,CLAVE_BOV2,$A300)+SUMIFS(SALIDAS_BOV3,FECHA_BOV3,"&gt;="&amp;BG$2,FECHA_BOV3,"&lt;="&amp;BG$3,CLAVE_BOV3,$A300)+SUMIFS(SALIDAS_TC,FECHA_TC,"&gt;="&amp;BG$2,FECHA_TC,"&lt;="&amp;BG$3,CLAVE_TC,$A300)+SUMIFS(SALIDAS_COMB,FECHA_COMB,"&gt;="&amp;BG$2,FECHA_COMB,"&lt;="&amp;BG$3,CLAVE_COMB,$A300)+SUMIFS(SALIDAS_DES,FECHA_DESGLOSEN,"&gt;="&amp;BG$2,FECHA_DESGLOSEN,"&lt;="&amp;BG$3,CLAVE_DESGLOSE,$A300)</f>
        <v>0</v>
      </c>
      <c r="BH300" s="13">
        <f>SUMIFS(SALIDAS_BIT,FECHA_BIT,"&gt;="&amp;BH$2,FECHA_BIT,"&lt;="&amp;BH$3,CLAVE_BIT,$A300)+SUMIFS(SALIDAS_BOV1,FECHA_BOV1,"&gt;="&amp;BH$2,FECHA_BOV1,"&lt;="&amp;BH$3,CLAVE_BOV1,$A300)+SUMIFS(SALIDAS_BOV2,FECHA_BOV2,"&gt;="&amp;BH$2,FECHA_BOV2,"&lt;="&amp;BH$3,CLAVE_BOV2,$A300)+SUMIFS(SALIDAS_BOV3,FECHA_BOV3,"&gt;="&amp;BH$2,FECHA_BOV3,"&lt;="&amp;BH$3,CLAVE_BOV3,$A300)+SUMIFS(SALIDAS_TC,FECHA_TC,"&gt;="&amp;BH$2,FECHA_TC,"&lt;="&amp;BH$3,CLAVE_TC,$A300)+SUMIFS(SALIDAS_COMB,FECHA_COMB,"&gt;="&amp;BH$2,FECHA_COMB,"&lt;="&amp;BH$3,CLAVE_COMB,$A300)+SUMIFS(SALIDAS_DES,FECHA_DESGLOSEN,"&gt;="&amp;BH$2,FECHA_DESGLOSEN,"&lt;="&amp;BH$3,CLAVE_DESGLOSE,$A300)</f>
        <v>0</v>
      </c>
      <c r="BI300" s="13">
        <f t="shared" si="419"/>
        <v>0</v>
      </c>
      <c r="BJ300" s="68">
        <f t="shared" ref="BJ300" si="565">BD300-BI300</f>
        <v>0</v>
      </c>
      <c r="BK300" s="268">
        <f t="shared" si="461"/>
        <v>0</v>
      </c>
      <c r="BL300" s="13">
        <f t="shared" si="462"/>
        <v>0</v>
      </c>
      <c r="BM300" s="13">
        <f>SUMIFS(SALIDAS_BIT,FECHA_BIT,"&gt;="&amp;BM$2,FECHA_BIT,"&lt;="&amp;BM$3,CLAVE_BIT,$A300)+SUMIFS(SALIDAS_BOV1,FECHA_BOV1,"&gt;="&amp;BM$2,FECHA_BOV1,"&lt;="&amp;BM$3,CLAVE_BOV1,$A300)+SUMIFS(SALIDAS_BOV2,FECHA_BOV2,"&gt;="&amp;BM$2,FECHA_BOV2,"&lt;="&amp;BM$3,CLAVE_BOV2,$A300)+SUMIFS(SALIDAS_BOV3,FECHA_BOV3,"&gt;="&amp;BM$2,FECHA_BOV3,"&lt;="&amp;BM$3,CLAVE_BOV3,$A300)+SUMIFS(SALIDAS_TC,FECHA_TC,"&gt;="&amp;BM$2,FECHA_TC,"&lt;="&amp;BM$3,CLAVE_TC,$A300)+SUMIFS(SALIDAS_COMB,FECHA_COMB,"&gt;="&amp;BM$2,FECHA_COMB,"&lt;="&amp;BM$3,CLAVE_COMB,$A300)+SUMIFS(SALIDAS_DES,FECHA_DESGLOSEN,"&gt;="&amp;BM$2,FECHA_DESGLOSEN,"&lt;="&amp;BM$3,CLAVE_DESGLOSE,$A300)</f>
        <v>0</v>
      </c>
      <c r="BN300" s="13">
        <f>SUMIFS(SALIDAS_BIT,FECHA_BIT,"&gt;="&amp;BN$2,FECHA_BIT,"&lt;="&amp;BN$3,CLAVE_BIT,$A300)+SUMIFS(SALIDAS_BOV1,FECHA_BOV1,"&gt;="&amp;BN$2,FECHA_BOV1,"&lt;="&amp;BN$3,CLAVE_BOV1,$A300)+SUMIFS(SALIDAS_BOV2,FECHA_BOV2,"&gt;="&amp;BN$2,FECHA_BOV2,"&lt;="&amp;BN$3,CLAVE_BOV2,$A300)+SUMIFS(SALIDAS_BOV3,FECHA_BOV3,"&gt;="&amp;BN$2,FECHA_BOV3,"&lt;="&amp;BN$3,CLAVE_BOV3,$A300)+SUMIFS(SALIDAS_TC,FECHA_TC,"&gt;="&amp;BN$2,FECHA_TC,"&lt;="&amp;BN$3,CLAVE_TC,$A300)+SUMIFS(SALIDAS_COMB,FECHA_COMB,"&gt;="&amp;BN$2,FECHA_COMB,"&lt;="&amp;BN$3,CLAVE_COMB,$A300)+SUMIFS(SALIDAS_DES,FECHA_DESGLOSEN,"&gt;="&amp;BN$2,FECHA_DESGLOSEN,"&lt;="&amp;BN$3,CLAVE_DESGLOSE,$A300)</f>
        <v>0</v>
      </c>
      <c r="BO300" s="13">
        <f>SUMIFS(SALIDAS_BIT,FECHA_BIT,"&gt;="&amp;BO$2,FECHA_BIT,"&lt;="&amp;BO$3,CLAVE_BIT,$A300)+SUMIFS(SALIDAS_BOV1,FECHA_BOV1,"&gt;="&amp;BO$2,FECHA_BOV1,"&lt;="&amp;BO$3,CLAVE_BOV1,$A300)+SUMIFS(SALIDAS_BOV2,FECHA_BOV2,"&gt;="&amp;BO$2,FECHA_BOV2,"&lt;="&amp;BO$3,CLAVE_BOV2,$A300)+SUMIFS(SALIDAS_BOV3,FECHA_BOV3,"&gt;="&amp;BO$2,FECHA_BOV3,"&lt;="&amp;BO$3,CLAVE_BOV3,$A300)+SUMIFS(SALIDAS_TC,FECHA_TC,"&gt;="&amp;BO$2,FECHA_TC,"&lt;="&amp;BO$3,CLAVE_TC,$A300)+SUMIFS(SALIDAS_COMB,FECHA_COMB,"&gt;="&amp;BO$2,FECHA_COMB,"&lt;="&amp;BO$3,CLAVE_COMB,$A300)+SUMIFS(SALIDAS_DES,FECHA_DESGLOSEN,"&gt;="&amp;BO$2,FECHA_DESGLOSEN,"&lt;="&amp;BO$3,CLAVE_DESGLOSE,$A300)</f>
        <v>0</v>
      </c>
      <c r="BP300" s="13">
        <f>SUMIFS(SALIDAS_BIT,FECHA_BIT,"&gt;="&amp;BP$2,FECHA_BIT,"&lt;="&amp;BP$3,CLAVE_BIT,$A300)+SUMIFS(SALIDAS_BOV1,FECHA_BOV1,"&gt;="&amp;BP$2,FECHA_BOV1,"&lt;="&amp;BP$3,CLAVE_BOV1,$A300)+SUMIFS(SALIDAS_BOV2,FECHA_BOV2,"&gt;="&amp;BP$2,FECHA_BOV2,"&lt;="&amp;BP$3,CLAVE_BOV2,$A300)+SUMIFS(SALIDAS_BOV3,FECHA_BOV3,"&gt;="&amp;BP$2,FECHA_BOV3,"&lt;="&amp;BP$3,CLAVE_BOV3,$A300)+SUMIFS(SALIDAS_TC,FECHA_TC,"&gt;="&amp;BP$2,FECHA_TC,"&lt;="&amp;BP$3,CLAVE_TC,$A300)+SUMIFS(SALIDAS_COMB,FECHA_COMB,"&gt;="&amp;BP$2,FECHA_COMB,"&lt;="&amp;BP$3,CLAVE_COMB,$A300)+SUMIFS(SALIDAS_DES,FECHA_DESGLOSEN,"&gt;="&amp;BP$2,FECHA_DESGLOSEN,"&lt;="&amp;BP$3,CLAVE_DESGLOSE,$A300)</f>
        <v>0</v>
      </c>
      <c r="BQ300" s="13">
        <f>SUMIFS(SALIDAS_BIT,FECHA_BIT,"&gt;="&amp;BQ$2,FECHA_BIT,"&lt;="&amp;BQ$3,CLAVE_BIT,$A300)+SUMIFS(SALIDAS_BOV1,FECHA_BOV1,"&gt;="&amp;BQ$2,FECHA_BOV1,"&lt;="&amp;BQ$3,CLAVE_BOV1,$A300)+SUMIFS(SALIDAS_BOV2,FECHA_BOV2,"&gt;="&amp;BQ$2,FECHA_BOV2,"&lt;="&amp;BQ$3,CLAVE_BOV2,$A300)+SUMIFS(SALIDAS_BOV3,FECHA_BOV3,"&gt;="&amp;BQ$2,FECHA_BOV3,"&lt;="&amp;BQ$3,CLAVE_BOV3,$A300)+SUMIFS(SALIDAS_TC,FECHA_TC,"&gt;="&amp;BQ$2,FECHA_TC,"&lt;="&amp;BQ$3,CLAVE_TC,$A300)+SUMIFS(SALIDAS_COMB,FECHA_COMB,"&gt;="&amp;BQ$2,FECHA_COMB,"&lt;="&amp;BQ$3,CLAVE_COMB,$A300)+SUMIFS(SALIDAS_DES,FECHA_DESGLOSEN,"&gt;="&amp;BQ$2,FECHA_DESGLOSEN,"&lt;="&amp;BQ$3,CLAVE_DESGLOSE,$A300)</f>
        <v>0</v>
      </c>
      <c r="BR300" s="13">
        <f t="shared" si="502"/>
        <v>0</v>
      </c>
      <c r="BS300" s="68">
        <f t="shared" ref="BS300" si="566">BL300-BR300</f>
        <v>0</v>
      </c>
      <c r="BT300" s="268">
        <f t="shared" si="464"/>
        <v>0</v>
      </c>
      <c r="BU300" s="13">
        <f t="shared" si="465"/>
        <v>0</v>
      </c>
      <c r="BV300" s="13">
        <f t="shared" si="485"/>
        <v>0</v>
      </c>
      <c r="BW300" s="13">
        <f t="shared" si="485"/>
        <v>0</v>
      </c>
      <c r="BX300" s="13">
        <f t="shared" si="485"/>
        <v>0</v>
      </c>
      <c r="BY300" s="13">
        <f t="shared" si="485"/>
        <v>0</v>
      </c>
      <c r="BZ300" s="13">
        <f t="shared" si="503"/>
        <v>0</v>
      </c>
      <c r="CA300" s="68">
        <f t="shared" ref="CA300" si="567">BU300-BZ300</f>
        <v>0</v>
      </c>
      <c r="CB300" s="268">
        <f t="shared" si="467"/>
        <v>0</v>
      </c>
      <c r="CC300" s="13">
        <f t="shared" si="468"/>
        <v>0</v>
      </c>
      <c r="CD300" s="13">
        <f t="shared" si="486"/>
        <v>0</v>
      </c>
      <c r="CE300" s="13">
        <f t="shared" si="486"/>
        <v>0</v>
      </c>
      <c r="CF300" s="13">
        <f t="shared" si="486"/>
        <v>0</v>
      </c>
      <c r="CG300" s="13">
        <f t="shared" si="486"/>
        <v>672.8</v>
      </c>
      <c r="CH300" s="13">
        <f t="shared" si="504"/>
        <v>672.8</v>
      </c>
      <c r="CI300" s="68">
        <f t="shared" ref="CI300" si="568">CC300-CH300</f>
        <v>-672.8</v>
      </c>
      <c r="CJ300" s="268">
        <f t="shared" si="470"/>
        <v>0</v>
      </c>
      <c r="CK300" s="13">
        <f t="shared" si="471"/>
        <v>0</v>
      </c>
      <c r="CL300" s="13">
        <f t="shared" si="495"/>
        <v>0</v>
      </c>
      <c r="CM300" s="13">
        <f t="shared" si="495"/>
        <v>0</v>
      </c>
      <c r="CN300" s="13">
        <f t="shared" si="495"/>
        <v>0</v>
      </c>
      <c r="CO300" s="13">
        <f t="shared" si="495"/>
        <v>0</v>
      </c>
      <c r="CP300" s="13">
        <f t="shared" si="495"/>
        <v>0</v>
      </c>
      <c r="CQ300" s="13">
        <f t="shared" si="505"/>
        <v>0</v>
      </c>
      <c r="CR300" s="68">
        <f t="shared" ref="CR300" si="569">CK300-CQ300</f>
        <v>0</v>
      </c>
      <c r="CS300" s="268">
        <f t="shared" si="473"/>
        <v>0</v>
      </c>
      <c r="CT300" s="68">
        <f t="shared" si="446"/>
        <v>1000</v>
      </c>
      <c r="CU300" s="13">
        <f>SUMIFS(SALIDAS_BIT,FECHA_BIT,"&gt;="&amp;CU$2,FECHA_BIT,"&lt;="&amp;CU$3,CLAVE_BIT,$A300)+SUMIFS(SALIDAS_BOV1,FECHA_BOV1,"&gt;="&amp;CU$2,FECHA_BOV1,"&lt;="&amp;CU$3,CLAVE_BOV1,$A300)+SUMIFS(SALIDAS_BOV2,FECHA_BOV2,"&gt;="&amp;CU$2,FECHA_BOV2,"&lt;="&amp;CU$3,CLAVE_BOV2,$A300)+SUMIFS(SALIDAS_BOV3,FECHA_BOV3,"&gt;="&amp;CU$2,FECHA_BOV3,"&lt;="&amp;CU$3,CLAVE_BOV3,$A300)+SUMIFS(SALIDAS_TC,FECHA_TC,"&gt;="&amp;CU$2,FECHA_TC,"&lt;="&amp;CU$3,CLAVE_TC,$A300)+SUMIFS(SALIDAS_COMB,FECHA_COMB,"&gt;="&amp;CU$2,FECHA_COMB,"&lt;="&amp;CU$3,CLAVE_COMB,$A300)+SUMIFS(SALIDAS_DES,FECHA_DESGLOSEN,"&gt;="&amp;CU$2,FECHA_DESGLOSEN,"&lt;="&amp;CU$3,CLAVE_DESGLOSE,$A300)</f>
        <v>0</v>
      </c>
      <c r="CV300" s="13">
        <f>SUMIFS(SALIDAS_BIT,FECHA_BIT,"&gt;="&amp;CV$2,FECHA_BIT,"&lt;="&amp;CV$3,CLAVE_BIT,$A300)+SUMIFS(SALIDAS_BOV1,FECHA_BOV1,"&gt;="&amp;CV$2,FECHA_BOV1,"&lt;="&amp;CV$3,CLAVE_BOV1,$A300)+SUMIFS(SALIDAS_BOV2,FECHA_BOV2,"&gt;="&amp;CV$2,FECHA_BOV2,"&lt;="&amp;CV$3,CLAVE_BOV2,$A300)+SUMIFS(SALIDAS_BOV3,FECHA_BOV3,"&gt;="&amp;CV$2,FECHA_BOV3,"&lt;="&amp;CV$3,CLAVE_BOV3,$A300)+SUMIFS(SALIDAS_TC,FECHA_TC,"&gt;="&amp;CV$2,FECHA_TC,"&lt;="&amp;CV$3,CLAVE_TC,$A300)+SUMIFS(SALIDAS_COMB,FECHA_COMB,"&gt;="&amp;CV$2,FECHA_COMB,"&lt;="&amp;CV$3,CLAVE_COMB,$A300)+SUMIFS(SALIDAS_DES,FECHA_DESGLOSEN,"&gt;="&amp;CV$2,FECHA_DESGLOSEN,"&lt;="&amp;CV$3,CLAVE_DESGLOSE,$A300)</f>
        <v>0</v>
      </c>
      <c r="CW300" s="13">
        <f>SUMIFS(SALIDAS_BIT,FECHA_BIT,"&gt;="&amp;CW$2,FECHA_BIT,"&lt;="&amp;CW$3,CLAVE_BIT,$A300)+SUMIFS(SALIDAS_BOV1,FECHA_BOV1,"&gt;="&amp;CW$2,FECHA_BOV1,"&lt;="&amp;CW$3,CLAVE_BOV1,$A300)+SUMIFS(SALIDAS_BOV2,FECHA_BOV2,"&gt;="&amp;CW$2,FECHA_BOV2,"&lt;="&amp;CW$3,CLAVE_BOV2,$A300)+SUMIFS(SALIDAS_BOV3,FECHA_BOV3,"&gt;="&amp;CW$2,FECHA_BOV3,"&lt;="&amp;CW$3,CLAVE_BOV3,$A300)+SUMIFS(SALIDAS_TC,FECHA_TC,"&gt;="&amp;CW$2,FECHA_TC,"&lt;="&amp;CW$3,CLAVE_TC,$A300)+SUMIFS(SALIDAS_COMB,FECHA_COMB,"&gt;="&amp;CW$2,FECHA_COMB,"&lt;="&amp;CW$3,CLAVE_COMB,$A300)+SUMIFS(SALIDAS_DES,FECHA_DESGLOSEN,"&gt;="&amp;CW$2,FECHA_DESGLOSEN,"&lt;="&amp;CW$3,CLAVE_DESGLOSE,$A300)</f>
        <v>0</v>
      </c>
      <c r="CX300" s="13">
        <f>SUMIFS(SALIDAS_BIT,FECHA_BIT,"&gt;="&amp;CX$2,FECHA_BIT,"&lt;="&amp;CX$3,CLAVE_BIT,$A300)+SUMIFS(SALIDAS_BOV1,FECHA_BOV1,"&gt;="&amp;CX$2,FECHA_BOV1,"&lt;="&amp;CX$3,CLAVE_BOV1,$A300)+SUMIFS(SALIDAS_BOV2,FECHA_BOV2,"&gt;="&amp;CX$2,FECHA_BOV2,"&lt;="&amp;CX$3,CLAVE_BOV2,$A300)+SUMIFS(SALIDAS_BOV3,FECHA_BOV3,"&gt;="&amp;CX$2,FECHA_BOV3,"&lt;="&amp;CX$3,CLAVE_BOV3,$A300)+SUMIFS(SALIDAS_TC,FECHA_TC,"&gt;="&amp;CX$2,FECHA_TC,"&lt;="&amp;CX$3,CLAVE_TC,$A300)+SUMIFS(SALIDAS_COMB,FECHA_COMB,"&gt;="&amp;CX$2,FECHA_COMB,"&lt;="&amp;CX$3,CLAVE_COMB,$A300)+SUMIFS(SALIDAS_DES,FECHA_DESGLOSEN,"&gt;="&amp;CX$2,FECHA_DESGLOSEN,"&lt;="&amp;CX$3,CLAVE_DESGLOSE,$A300)</f>
        <v>0</v>
      </c>
      <c r="CY300" s="13">
        <f>SUMIFS(SALIDAS_BIT,FECHA_BIT,"&gt;="&amp;CY$2,FECHA_BIT,"&lt;="&amp;CY$3,CLAVE_BIT,$A300)+SUMIFS(SALIDAS_BOV1,FECHA_BOV1,"&gt;="&amp;CY$2,FECHA_BOV1,"&lt;="&amp;CY$3,CLAVE_BOV1,$A300)+SUMIFS(SALIDAS_BOV2,FECHA_BOV2,"&gt;="&amp;CY$2,FECHA_BOV2,"&lt;="&amp;CY$3,CLAVE_BOV2,$A300)+SUMIFS(SALIDAS_BOV3,FECHA_BOV3,"&gt;="&amp;CY$2,FECHA_BOV3,"&lt;="&amp;CY$3,CLAVE_BOV3,$A300)+SUMIFS(SALIDAS_TC,FECHA_TC,"&gt;="&amp;CY$2,FECHA_TC,"&lt;="&amp;CY$3,CLAVE_TC,$A300)+SUMIFS(SALIDAS_COMB,FECHA_COMB,"&gt;="&amp;CY$2,FECHA_COMB,"&lt;="&amp;CY$3,CLAVE_COMB,$A300)+SUMIFS(SALIDAS_DES,FECHA_DESGLOSEN,"&gt;="&amp;CY$2,FECHA_DESGLOSEN,"&lt;="&amp;CY$3,CLAVE_DESGLOSE,$A300)</f>
        <v>0</v>
      </c>
      <c r="CZ300" s="68">
        <f t="shared" si="474"/>
        <v>1000</v>
      </c>
      <c r="DB300" s="17">
        <f>F300+N300+W300+AE300+AM300+AV300+BD300+BL300+BU300+CC300+CK300</f>
        <v>0</v>
      </c>
      <c r="DC300" s="17">
        <f>K300+T300+AB300+AJ300+AS300+BA300+BI300+BR300+BZ300+CH300+CQ300</f>
        <v>2321.06</v>
      </c>
    </row>
    <row r="301" spans="1:108" hidden="1">
      <c r="A301" s="12" t="str">
        <f t="shared" si="551"/>
        <v>SERVICIOSTELEPEAJESERVICIOS</v>
      </c>
      <c r="B301">
        <v>302</v>
      </c>
      <c r="C301" t="s">
        <v>21</v>
      </c>
      <c r="D301" t="s">
        <v>186</v>
      </c>
      <c r="E301" t="s">
        <v>21</v>
      </c>
      <c r="F301" s="259">
        <f t="shared" si="440"/>
        <v>0</v>
      </c>
      <c r="G301" s="13">
        <f t="shared" si="497"/>
        <v>329</v>
      </c>
      <c r="H301" s="13">
        <f t="shared" si="497"/>
        <v>623</v>
      </c>
      <c r="I301" s="13">
        <f t="shared" si="497"/>
        <v>0</v>
      </c>
      <c r="J301" s="13">
        <f t="shared" si="497"/>
        <v>0</v>
      </c>
      <c r="K301" s="13">
        <f t="shared" si="497"/>
        <v>952</v>
      </c>
      <c r="L301" s="68">
        <f t="shared" ref="L301" si="570">F301-K301</f>
        <v>-952</v>
      </c>
      <c r="M301" s="268">
        <f t="shared" si="449"/>
        <v>0</v>
      </c>
      <c r="N301" s="13">
        <f t="shared" si="441"/>
        <v>0</v>
      </c>
      <c r="O301" s="13">
        <f t="shared" si="498"/>
        <v>0</v>
      </c>
      <c r="P301" s="13">
        <f t="shared" si="498"/>
        <v>0</v>
      </c>
      <c r="Q301" s="13">
        <f t="shared" si="498"/>
        <v>0</v>
      </c>
      <c r="R301" s="13">
        <f t="shared" si="498"/>
        <v>1316</v>
      </c>
      <c r="S301" s="13">
        <f t="shared" si="498"/>
        <v>0</v>
      </c>
      <c r="T301" s="13">
        <f t="shared" si="498"/>
        <v>1316</v>
      </c>
      <c r="U301" s="68">
        <f t="shared" si="450"/>
        <v>-1316</v>
      </c>
      <c r="V301" s="268">
        <f t="shared" si="451"/>
        <v>0</v>
      </c>
      <c r="W301" s="13">
        <f t="shared" si="442"/>
        <v>0</v>
      </c>
      <c r="X301" s="13">
        <f t="shared" si="499"/>
        <v>0</v>
      </c>
      <c r="Y301" s="13">
        <f t="shared" si="499"/>
        <v>623</v>
      </c>
      <c r="Z301" s="13">
        <f t="shared" si="499"/>
        <v>564</v>
      </c>
      <c r="AA301" s="13">
        <f t="shared" si="499"/>
        <v>0</v>
      </c>
      <c r="AB301" s="13">
        <f t="shared" si="499"/>
        <v>1187</v>
      </c>
      <c r="AC301" s="68">
        <f t="shared" ref="AC301" si="571">W301-AB301</f>
        <v>-1187</v>
      </c>
      <c r="AD301" s="268">
        <f t="shared" si="453"/>
        <v>0</v>
      </c>
      <c r="AE301" s="13">
        <f t="shared" si="443"/>
        <v>0</v>
      </c>
      <c r="AF301" s="13">
        <f t="shared" si="500"/>
        <v>0</v>
      </c>
      <c r="AG301" s="13">
        <f t="shared" si="500"/>
        <v>0</v>
      </c>
      <c r="AH301" s="13">
        <f t="shared" si="500"/>
        <v>0</v>
      </c>
      <c r="AI301" s="13">
        <f t="shared" si="500"/>
        <v>0</v>
      </c>
      <c r="AJ301" s="13">
        <f t="shared" si="500"/>
        <v>0</v>
      </c>
      <c r="AK301" s="68">
        <f t="shared" ref="AK301" si="572">AE301-AJ301</f>
        <v>0</v>
      </c>
      <c r="AL301" s="268">
        <f t="shared" si="455"/>
        <v>0</v>
      </c>
      <c r="AM301" s="13">
        <f t="shared" si="444"/>
        <v>0</v>
      </c>
      <c r="AN301" s="13">
        <f t="shared" si="501"/>
        <v>0</v>
      </c>
      <c r="AO301" s="13">
        <f t="shared" si="501"/>
        <v>0</v>
      </c>
      <c r="AP301" s="13">
        <f t="shared" si="501"/>
        <v>0</v>
      </c>
      <c r="AQ301" s="13">
        <f t="shared" si="501"/>
        <v>0</v>
      </c>
      <c r="AR301" s="13">
        <f t="shared" si="501"/>
        <v>0</v>
      </c>
      <c r="AS301" s="13">
        <f t="shared" si="501"/>
        <v>0</v>
      </c>
      <c r="AT301" s="68">
        <f>AM301-AS301</f>
        <v>0</v>
      </c>
      <c r="AU301" s="268">
        <f t="shared" si="456"/>
        <v>0</v>
      </c>
      <c r="AV301" s="13">
        <f t="shared" si="445"/>
        <v>0</v>
      </c>
      <c r="AW301" s="13">
        <f t="shared" si="421"/>
        <v>0</v>
      </c>
      <c r="AX301" s="13">
        <f t="shared" si="421"/>
        <v>0</v>
      </c>
      <c r="AY301" s="13">
        <f t="shared" si="421"/>
        <v>0</v>
      </c>
      <c r="AZ301" s="13">
        <f t="shared" si="421"/>
        <v>0</v>
      </c>
      <c r="BA301" s="13">
        <f t="shared" si="475"/>
        <v>0</v>
      </c>
      <c r="BB301" s="68">
        <f t="shared" ref="BB301" si="573">AV301-BA301</f>
        <v>0</v>
      </c>
      <c r="BC301" s="268">
        <f t="shared" si="458"/>
        <v>0</v>
      </c>
      <c r="BD301" s="13">
        <f t="shared" si="459"/>
        <v>0</v>
      </c>
      <c r="BE301" s="13">
        <f>SUMIFS(SALIDAS_BIT,FECHA_BIT,"&gt;="&amp;BE$2,FECHA_BIT,"&lt;="&amp;BE$3,CLAVE_BIT,$A301)+SUMIFS(SALIDAS_BOV1,FECHA_BOV1,"&gt;="&amp;BE$2,FECHA_BOV1,"&lt;="&amp;BE$3,CLAVE_BOV1,$A301)+SUMIFS(SALIDAS_BOV2,FECHA_BOV2,"&gt;="&amp;BE$2,FECHA_BOV2,"&lt;="&amp;BE$3,CLAVE_BOV2,$A301)+SUMIFS(SALIDAS_BOV3,FECHA_BOV3,"&gt;="&amp;BE$2,FECHA_BOV3,"&lt;="&amp;BE$3,CLAVE_BOV3,$A301)+SUMIFS(SALIDAS_TC,FECHA_TC,"&gt;="&amp;BE$2,FECHA_TC,"&lt;="&amp;BE$3,CLAVE_TC,$A301)+SUMIFS(SALIDAS_COMB,FECHA_COMB,"&gt;="&amp;BE$2,FECHA_COMB,"&lt;="&amp;BE$3,CLAVE_COMB,$A301)+SUMIFS(SALIDAS_DES,FECHA_DESGLOSEN,"&gt;="&amp;BE$2,FECHA_DESGLOSEN,"&lt;="&amp;BE$3,CLAVE_DESGLOSE,$A301)</f>
        <v>0</v>
      </c>
      <c r="BF301" s="13">
        <f>SUMIFS(SALIDAS_BIT,FECHA_BIT,"&gt;="&amp;BF$2,FECHA_BIT,"&lt;="&amp;BF$3,CLAVE_BIT,$A301)+SUMIFS(SALIDAS_BOV1,FECHA_BOV1,"&gt;="&amp;BF$2,FECHA_BOV1,"&lt;="&amp;BF$3,CLAVE_BOV1,$A301)+SUMIFS(SALIDAS_BOV2,FECHA_BOV2,"&gt;="&amp;BF$2,FECHA_BOV2,"&lt;="&amp;BF$3,CLAVE_BOV2,$A301)+SUMIFS(SALIDAS_BOV3,FECHA_BOV3,"&gt;="&amp;BF$2,FECHA_BOV3,"&lt;="&amp;BF$3,CLAVE_BOV3,$A301)+SUMIFS(SALIDAS_TC,FECHA_TC,"&gt;="&amp;BF$2,FECHA_TC,"&lt;="&amp;BF$3,CLAVE_TC,$A301)+SUMIFS(SALIDAS_COMB,FECHA_COMB,"&gt;="&amp;BF$2,FECHA_COMB,"&lt;="&amp;BF$3,CLAVE_COMB,$A301)+SUMIFS(SALIDAS_DES,FECHA_DESGLOSEN,"&gt;="&amp;BF$2,FECHA_DESGLOSEN,"&lt;="&amp;BF$3,CLAVE_DESGLOSE,$A301)</f>
        <v>0</v>
      </c>
      <c r="BG301" s="13">
        <f>SUMIFS(SALIDAS_BIT,FECHA_BIT,"&gt;="&amp;BG$2,FECHA_BIT,"&lt;="&amp;BG$3,CLAVE_BIT,$A301)+SUMIFS(SALIDAS_BOV1,FECHA_BOV1,"&gt;="&amp;BG$2,FECHA_BOV1,"&lt;="&amp;BG$3,CLAVE_BOV1,$A301)+SUMIFS(SALIDAS_BOV2,FECHA_BOV2,"&gt;="&amp;BG$2,FECHA_BOV2,"&lt;="&amp;BG$3,CLAVE_BOV2,$A301)+SUMIFS(SALIDAS_BOV3,FECHA_BOV3,"&gt;="&amp;BG$2,FECHA_BOV3,"&lt;="&amp;BG$3,CLAVE_BOV3,$A301)+SUMIFS(SALIDAS_TC,FECHA_TC,"&gt;="&amp;BG$2,FECHA_TC,"&lt;="&amp;BG$3,CLAVE_TC,$A301)+SUMIFS(SALIDAS_COMB,FECHA_COMB,"&gt;="&amp;BG$2,FECHA_COMB,"&lt;="&amp;BG$3,CLAVE_COMB,$A301)+SUMIFS(SALIDAS_DES,FECHA_DESGLOSEN,"&gt;="&amp;BG$2,FECHA_DESGLOSEN,"&lt;="&amp;BG$3,CLAVE_DESGLOSE,$A301)</f>
        <v>0</v>
      </c>
      <c r="BH301" s="13">
        <f>SUMIFS(SALIDAS_BIT,FECHA_BIT,"&gt;="&amp;BH$2,FECHA_BIT,"&lt;="&amp;BH$3,CLAVE_BIT,$A301)+SUMIFS(SALIDAS_BOV1,FECHA_BOV1,"&gt;="&amp;BH$2,FECHA_BOV1,"&lt;="&amp;BH$3,CLAVE_BOV1,$A301)+SUMIFS(SALIDAS_BOV2,FECHA_BOV2,"&gt;="&amp;BH$2,FECHA_BOV2,"&lt;="&amp;BH$3,CLAVE_BOV2,$A301)+SUMIFS(SALIDAS_BOV3,FECHA_BOV3,"&gt;="&amp;BH$2,FECHA_BOV3,"&lt;="&amp;BH$3,CLAVE_BOV3,$A301)+SUMIFS(SALIDAS_TC,FECHA_TC,"&gt;="&amp;BH$2,FECHA_TC,"&lt;="&amp;BH$3,CLAVE_TC,$A301)+SUMIFS(SALIDAS_COMB,FECHA_COMB,"&gt;="&amp;BH$2,FECHA_COMB,"&lt;="&amp;BH$3,CLAVE_COMB,$A301)+SUMIFS(SALIDAS_DES,FECHA_DESGLOSEN,"&gt;="&amp;BH$2,FECHA_DESGLOSEN,"&lt;="&amp;BH$3,CLAVE_DESGLOSE,$A301)</f>
        <v>0</v>
      </c>
      <c r="BI301" s="13">
        <f t="shared" si="419"/>
        <v>0</v>
      </c>
      <c r="BJ301" s="68">
        <f t="shared" ref="BJ301" si="574">BD301-BI301</f>
        <v>0</v>
      </c>
      <c r="BK301" s="268">
        <f t="shared" si="461"/>
        <v>0</v>
      </c>
      <c r="BL301" s="13">
        <f t="shared" si="462"/>
        <v>0</v>
      </c>
      <c r="BM301" s="13">
        <f>SUMIFS(SALIDAS_BIT,FECHA_BIT,"&gt;="&amp;BM$2,FECHA_BIT,"&lt;="&amp;BM$3,CLAVE_BIT,$A301)+SUMIFS(SALIDAS_BOV1,FECHA_BOV1,"&gt;="&amp;BM$2,FECHA_BOV1,"&lt;="&amp;BM$3,CLAVE_BOV1,$A301)+SUMIFS(SALIDAS_BOV2,FECHA_BOV2,"&gt;="&amp;BM$2,FECHA_BOV2,"&lt;="&amp;BM$3,CLAVE_BOV2,$A301)+SUMIFS(SALIDAS_BOV3,FECHA_BOV3,"&gt;="&amp;BM$2,FECHA_BOV3,"&lt;="&amp;BM$3,CLAVE_BOV3,$A301)+SUMIFS(SALIDAS_TC,FECHA_TC,"&gt;="&amp;BM$2,FECHA_TC,"&lt;="&amp;BM$3,CLAVE_TC,$A301)+SUMIFS(SALIDAS_COMB,FECHA_COMB,"&gt;="&amp;BM$2,FECHA_COMB,"&lt;="&amp;BM$3,CLAVE_COMB,$A301)+SUMIFS(SALIDAS_DES,FECHA_DESGLOSEN,"&gt;="&amp;BM$2,FECHA_DESGLOSEN,"&lt;="&amp;BM$3,CLAVE_DESGLOSE,$A301)</f>
        <v>0</v>
      </c>
      <c r="BN301" s="13">
        <f>SUMIFS(SALIDAS_BIT,FECHA_BIT,"&gt;="&amp;BN$2,FECHA_BIT,"&lt;="&amp;BN$3,CLAVE_BIT,$A301)+SUMIFS(SALIDAS_BOV1,FECHA_BOV1,"&gt;="&amp;BN$2,FECHA_BOV1,"&lt;="&amp;BN$3,CLAVE_BOV1,$A301)+SUMIFS(SALIDAS_BOV2,FECHA_BOV2,"&gt;="&amp;BN$2,FECHA_BOV2,"&lt;="&amp;BN$3,CLAVE_BOV2,$A301)+SUMIFS(SALIDAS_BOV3,FECHA_BOV3,"&gt;="&amp;BN$2,FECHA_BOV3,"&lt;="&amp;BN$3,CLAVE_BOV3,$A301)+SUMIFS(SALIDAS_TC,FECHA_TC,"&gt;="&amp;BN$2,FECHA_TC,"&lt;="&amp;BN$3,CLAVE_TC,$A301)+SUMIFS(SALIDAS_COMB,FECHA_COMB,"&gt;="&amp;BN$2,FECHA_COMB,"&lt;="&amp;BN$3,CLAVE_COMB,$A301)+SUMIFS(SALIDAS_DES,FECHA_DESGLOSEN,"&gt;="&amp;BN$2,FECHA_DESGLOSEN,"&lt;="&amp;BN$3,CLAVE_DESGLOSE,$A301)</f>
        <v>0</v>
      </c>
      <c r="BO301" s="13">
        <f>SUMIFS(SALIDAS_BIT,FECHA_BIT,"&gt;="&amp;BO$2,FECHA_BIT,"&lt;="&amp;BO$3,CLAVE_BIT,$A301)+SUMIFS(SALIDAS_BOV1,FECHA_BOV1,"&gt;="&amp;BO$2,FECHA_BOV1,"&lt;="&amp;BO$3,CLAVE_BOV1,$A301)+SUMIFS(SALIDAS_BOV2,FECHA_BOV2,"&gt;="&amp;BO$2,FECHA_BOV2,"&lt;="&amp;BO$3,CLAVE_BOV2,$A301)+SUMIFS(SALIDAS_BOV3,FECHA_BOV3,"&gt;="&amp;BO$2,FECHA_BOV3,"&lt;="&amp;BO$3,CLAVE_BOV3,$A301)+SUMIFS(SALIDAS_TC,FECHA_TC,"&gt;="&amp;BO$2,FECHA_TC,"&lt;="&amp;BO$3,CLAVE_TC,$A301)+SUMIFS(SALIDAS_COMB,FECHA_COMB,"&gt;="&amp;BO$2,FECHA_COMB,"&lt;="&amp;BO$3,CLAVE_COMB,$A301)+SUMIFS(SALIDAS_DES,FECHA_DESGLOSEN,"&gt;="&amp;BO$2,FECHA_DESGLOSEN,"&lt;="&amp;BO$3,CLAVE_DESGLOSE,$A301)</f>
        <v>302</v>
      </c>
      <c r="BP301" s="13">
        <f>SUMIFS(SALIDAS_BIT,FECHA_BIT,"&gt;="&amp;BP$2,FECHA_BIT,"&lt;="&amp;BP$3,CLAVE_BIT,$A301)+SUMIFS(SALIDAS_BOV1,FECHA_BOV1,"&gt;="&amp;BP$2,FECHA_BOV1,"&lt;="&amp;BP$3,CLAVE_BOV1,$A301)+SUMIFS(SALIDAS_BOV2,FECHA_BOV2,"&gt;="&amp;BP$2,FECHA_BOV2,"&lt;="&amp;BP$3,CLAVE_BOV2,$A301)+SUMIFS(SALIDAS_BOV3,FECHA_BOV3,"&gt;="&amp;BP$2,FECHA_BOV3,"&lt;="&amp;BP$3,CLAVE_BOV3,$A301)+SUMIFS(SALIDAS_TC,FECHA_TC,"&gt;="&amp;BP$2,FECHA_TC,"&lt;="&amp;BP$3,CLAVE_TC,$A301)+SUMIFS(SALIDAS_COMB,FECHA_COMB,"&gt;="&amp;BP$2,FECHA_COMB,"&lt;="&amp;BP$3,CLAVE_COMB,$A301)+SUMIFS(SALIDAS_DES,FECHA_DESGLOSEN,"&gt;="&amp;BP$2,FECHA_DESGLOSEN,"&lt;="&amp;BP$3,CLAVE_DESGLOSE,$A301)</f>
        <v>0</v>
      </c>
      <c r="BQ301" s="13">
        <f>SUMIFS(SALIDAS_BIT,FECHA_BIT,"&gt;="&amp;BQ$2,FECHA_BIT,"&lt;="&amp;BQ$3,CLAVE_BIT,$A301)+SUMIFS(SALIDAS_BOV1,FECHA_BOV1,"&gt;="&amp;BQ$2,FECHA_BOV1,"&lt;="&amp;BQ$3,CLAVE_BOV1,$A301)+SUMIFS(SALIDAS_BOV2,FECHA_BOV2,"&gt;="&amp;BQ$2,FECHA_BOV2,"&lt;="&amp;BQ$3,CLAVE_BOV2,$A301)+SUMIFS(SALIDAS_BOV3,FECHA_BOV3,"&gt;="&amp;BQ$2,FECHA_BOV3,"&lt;="&amp;BQ$3,CLAVE_BOV3,$A301)+SUMIFS(SALIDAS_TC,FECHA_TC,"&gt;="&amp;BQ$2,FECHA_TC,"&lt;="&amp;BQ$3,CLAVE_TC,$A301)+SUMIFS(SALIDAS_COMB,FECHA_COMB,"&gt;="&amp;BQ$2,FECHA_COMB,"&lt;="&amp;BQ$3,CLAVE_COMB,$A301)+SUMIFS(SALIDAS_DES,FECHA_DESGLOSEN,"&gt;="&amp;BQ$2,FECHA_DESGLOSEN,"&lt;="&amp;BQ$3,CLAVE_DESGLOSE,$A301)</f>
        <v>0</v>
      </c>
      <c r="BR301" s="13">
        <f t="shared" si="502"/>
        <v>302</v>
      </c>
      <c r="BS301" s="68">
        <f t="shared" ref="BS301" si="575">BL301-BR301</f>
        <v>-302</v>
      </c>
      <c r="BT301" s="268">
        <f t="shared" si="464"/>
        <v>0</v>
      </c>
      <c r="BU301" s="13">
        <f t="shared" si="465"/>
        <v>0</v>
      </c>
      <c r="BV301" s="13">
        <f t="shared" si="485"/>
        <v>0</v>
      </c>
      <c r="BW301" s="13">
        <f t="shared" si="485"/>
        <v>0</v>
      </c>
      <c r="BX301" s="13">
        <f t="shared" si="485"/>
        <v>0</v>
      </c>
      <c r="BY301" s="13">
        <f t="shared" si="485"/>
        <v>0</v>
      </c>
      <c r="BZ301" s="13">
        <f t="shared" si="503"/>
        <v>0</v>
      </c>
      <c r="CA301" s="68">
        <f t="shared" ref="CA301" si="576">BU301-BZ301</f>
        <v>0</v>
      </c>
      <c r="CB301" s="268">
        <f t="shared" si="467"/>
        <v>0</v>
      </c>
      <c r="CC301" s="13">
        <f t="shared" si="468"/>
        <v>0</v>
      </c>
      <c r="CD301" s="13">
        <f t="shared" si="486"/>
        <v>0</v>
      </c>
      <c r="CE301" s="13">
        <f t="shared" si="486"/>
        <v>0</v>
      </c>
      <c r="CF301" s="13">
        <f t="shared" si="486"/>
        <v>0</v>
      </c>
      <c r="CG301" s="13">
        <f t="shared" si="486"/>
        <v>0</v>
      </c>
      <c r="CH301" s="13">
        <f t="shared" si="504"/>
        <v>0</v>
      </c>
      <c r="CI301" s="68">
        <f t="shared" ref="CI301" si="577">CC301-CH301</f>
        <v>0</v>
      </c>
      <c r="CJ301" s="268">
        <f t="shared" si="470"/>
        <v>0</v>
      </c>
      <c r="CK301" s="13">
        <f t="shared" si="471"/>
        <v>0</v>
      </c>
      <c r="CL301" s="13">
        <f t="shared" si="495"/>
        <v>0</v>
      </c>
      <c r="CM301" s="13">
        <f t="shared" si="495"/>
        <v>0</v>
      </c>
      <c r="CN301" s="13">
        <f t="shared" si="495"/>
        <v>0</v>
      </c>
      <c r="CO301" s="13">
        <f t="shared" si="495"/>
        <v>0</v>
      </c>
      <c r="CP301" s="13">
        <f t="shared" si="495"/>
        <v>0</v>
      </c>
      <c r="CQ301" s="13">
        <f t="shared" si="505"/>
        <v>0</v>
      </c>
      <c r="CR301" s="68">
        <f t="shared" ref="CR301" si="578">CK301-CQ301</f>
        <v>0</v>
      </c>
      <c r="CS301" s="268">
        <f t="shared" si="473"/>
        <v>0</v>
      </c>
      <c r="CT301" s="68">
        <f t="shared" si="446"/>
        <v>1000</v>
      </c>
      <c r="CU301" s="13">
        <f>SUMIFS(SALIDAS_BIT,FECHA_BIT,"&gt;="&amp;CU$2,FECHA_BIT,"&lt;="&amp;CU$3,CLAVE_BIT,$A301)+SUMIFS(SALIDAS_BOV1,FECHA_BOV1,"&gt;="&amp;CU$2,FECHA_BOV1,"&lt;="&amp;CU$3,CLAVE_BOV1,$A301)+SUMIFS(SALIDAS_BOV2,FECHA_BOV2,"&gt;="&amp;CU$2,FECHA_BOV2,"&lt;="&amp;CU$3,CLAVE_BOV2,$A301)+SUMIFS(SALIDAS_BOV3,FECHA_BOV3,"&gt;="&amp;CU$2,FECHA_BOV3,"&lt;="&amp;CU$3,CLAVE_BOV3,$A301)+SUMIFS(SALIDAS_TC,FECHA_TC,"&gt;="&amp;CU$2,FECHA_TC,"&lt;="&amp;CU$3,CLAVE_TC,$A301)+SUMIFS(SALIDAS_COMB,FECHA_COMB,"&gt;="&amp;CU$2,FECHA_COMB,"&lt;="&amp;CU$3,CLAVE_COMB,$A301)+SUMIFS(SALIDAS_DES,FECHA_DESGLOSEN,"&gt;="&amp;CU$2,FECHA_DESGLOSEN,"&lt;="&amp;CU$3,CLAVE_DESGLOSE,$A301)</f>
        <v>0</v>
      </c>
      <c r="CV301" s="13">
        <f>SUMIFS(SALIDAS_BIT,FECHA_BIT,"&gt;="&amp;CV$2,FECHA_BIT,"&lt;="&amp;CV$3,CLAVE_BIT,$A301)+SUMIFS(SALIDAS_BOV1,FECHA_BOV1,"&gt;="&amp;CV$2,FECHA_BOV1,"&lt;="&amp;CV$3,CLAVE_BOV1,$A301)+SUMIFS(SALIDAS_BOV2,FECHA_BOV2,"&gt;="&amp;CV$2,FECHA_BOV2,"&lt;="&amp;CV$3,CLAVE_BOV2,$A301)+SUMIFS(SALIDAS_BOV3,FECHA_BOV3,"&gt;="&amp;CV$2,FECHA_BOV3,"&lt;="&amp;CV$3,CLAVE_BOV3,$A301)+SUMIFS(SALIDAS_TC,FECHA_TC,"&gt;="&amp;CV$2,FECHA_TC,"&lt;="&amp;CV$3,CLAVE_TC,$A301)+SUMIFS(SALIDAS_COMB,FECHA_COMB,"&gt;="&amp;CV$2,FECHA_COMB,"&lt;="&amp;CV$3,CLAVE_COMB,$A301)+SUMIFS(SALIDAS_DES,FECHA_DESGLOSEN,"&gt;="&amp;CV$2,FECHA_DESGLOSEN,"&lt;="&amp;CV$3,CLAVE_DESGLOSE,$A301)</f>
        <v>0</v>
      </c>
      <c r="CW301" s="13">
        <f>SUMIFS(SALIDAS_BIT,FECHA_BIT,"&gt;="&amp;CW$2,FECHA_BIT,"&lt;="&amp;CW$3,CLAVE_BIT,$A301)+SUMIFS(SALIDAS_BOV1,FECHA_BOV1,"&gt;="&amp;CW$2,FECHA_BOV1,"&lt;="&amp;CW$3,CLAVE_BOV1,$A301)+SUMIFS(SALIDAS_BOV2,FECHA_BOV2,"&gt;="&amp;CW$2,FECHA_BOV2,"&lt;="&amp;CW$3,CLAVE_BOV2,$A301)+SUMIFS(SALIDAS_BOV3,FECHA_BOV3,"&gt;="&amp;CW$2,FECHA_BOV3,"&lt;="&amp;CW$3,CLAVE_BOV3,$A301)+SUMIFS(SALIDAS_TC,FECHA_TC,"&gt;="&amp;CW$2,FECHA_TC,"&lt;="&amp;CW$3,CLAVE_TC,$A301)+SUMIFS(SALIDAS_COMB,FECHA_COMB,"&gt;="&amp;CW$2,FECHA_COMB,"&lt;="&amp;CW$3,CLAVE_COMB,$A301)+SUMIFS(SALIDAS_DES,FECHA_DESGLOSEN,"&gt;="&amp;CW$2,FECHA_DESGLOSEN,"&lt;="&amp;CW$3,CLAVE_DESGLOSE,$A301)</f>
        <v>0</v>
      </c>
      <c r="CX301" s="13">
        <f>SUMIFS(SALIDAS_BIT,FECHA_BIT,"&gt;="&amp;CX$2,FECHA_BIT,"&lt;="&amp;CX$3,CLAVE_BIT,$A301)+SUMIFS(SALIDAS_BOV1,FECHA_BOV1,"&gt;="&amp;CX$2,FECHA_BOV1,"&lt;="&amp;CX$3,CLAVE_BOV1,$A301)+SUMIFS(SALIDAS_BOV2,FECHA_BOV2,"&gt;="&amp;CX$2,FECHA_BOV2,"&lt;="&amp;CX$3,CLAVE_BOV2,$A301)+SUMIFS(SALIDAS_BOV3,FECHA_BOV3,"&gt;="&amp;CX$2,FECHA_BOV3,"&lt;="&amp;CX$3,CLAVE_BOV3,$A301)+SUMIFS(SALIDAS_TC,FECHA_TC,"&gt;="&amp;CX$2,FECHA_TC,"&lt;="&amp;CX$3,CLAVE_TC,$A301)+SUMIFS(SALIDAS_COMB,FECHA_COMB,"&gt;="&amp;CX$2,FECHA_COMB,"&lt;="&amp;CX$3,CLAVE_COMB,$A301)+SUMIFS(SALIDAS_DES,FECHA_DESGLOSEN,"&gt;="&amp;CX$2,FECHA_DESGLOSEN,"&lt;="&amp;CX$3,CLAVE_DESGLOSE,$A301)</f>
        <v>0</v>
      </c>
      <c r="CY301" s="13">
        <f>SUMIFS(SALIDAS_BIT,FECHA_BIT,"&gt;="&amp;CY$2,FECHA_BIT,"&lt;="&amp;CY$3,CLAVE_BIT,$A301)+SUMIFS(SALIDAS_BOV1,FECHA_BOV1,"&gt;="&amp;CY$2,FECHA_BOV1,"&lt;="&amp;CY$3,CLAVE_BOV1,$A301)+SUMIFS(SALIDAS_BOV2,FECHA_BOV2,"&gt;="&amp;CY$2,FECHA_BOV2,"&lt;="&amp;CY$3,CLAVE_BOV2,$A301)+SUMIFS(SALIDAS_BOV3,FECHA_BOV3,"&gt;="&amp;CY$2,FECHA_BOV3,"&lt;="&amp;CY$3,CLAVE_BOV3,$A301)+SUMIFS(SALIDAS_TC,FECHA_TC,"&gt;="&amp;CY$2,FECHA_TC,"&lt;="&amp;CY$3,CLAVE_TC,$A301)+SUMIFS(SALIDAS_COMB,FECHA_COMB,"&gt;="&amp;CY$2,FECHA_COMB,"&lt;="&amp;CY$3,CLAVE_COMB,$A301)+SUMIFS(SALIDAS_DES,FECHA_DESGLOSEN,"&gt;="&amp;CY$2,FECHA_DESGLOSEN,"&lt;="&amp;CY$3,CLAVE_DESGLOSE,$A301)</f>
        <v>0</v>
      </c>
      <c r="CZ301" s="68">
        <f t="shared" si="474"/>
        <v>1000</v>
      </c>
      <c r="DB301" s="17">
        <f>F301+N301+W301+AE301+AM301+AV301+BD301+BL301+BU301+CC301+CK301</f>
        <v>0</v>
      </c>
      <c r="DC301" s="17">
        <f>K301+T301+AB301+AJ301+AS301+BA301+BI301+BR301+BZ301+CH301+CQ301</f>
        <v>3757</v>
      </c>
    </row>
    <row r="302" spans="1:108" hidden="1">
      <c r="A302" s="12" t="str">
        <f t="shared" si="551"/>
        <v>MELREDESMELISSA</v>
      </c>
      <c r="B302">
        <v>303</v>
      </c>
      <c r="C302" t="s">
        <v>43</v>
      </c>
      <c r="D302" t="s">
        <v>167</v>
      </c>
      <c r="E302" t="s">
        <v>44</v>
      </c>
      <c r="F302" s="260">
        <f t="shared" ref="F302:F310" si="579">VLOOKUP($A302,T_PRESUPUESTO,MATCH(F$6,E_PRESUPUESTO,0),FALSE)</f>
        <v>0</v>
      </c>
      <c r="G302" s="261">
        <f t="shared" ref="G302:K310" si="580">SUMIFS(SALIDAS_BIT,FECHA_BIT,"&gt;="&amp;G$2,FECHA_BIT,"&lt;="&amp;G$3,CLAVE_BIT,$A302)+SUMIFS(SALIDAS_BOV1,FECHA_BOV1,"&gt;="&amp;G$2,FECHA_BOV1,"&lt;="&amp;G$3,CLAVE_BOV1,$A302)+SUMIFS(SALIDAS_BOV2,FECHA_BOV2,"&gt;="&amp;G$2,FECHA_BOV2,"&lt;="&amp;G$3,CLAVE_BOV2,$A302)+SUMIFS(SALIDAS_BOV3,FECHA_BOV3,"&gt;="&amp;G$2,FECHA_BOV3,"&lt;="&amp;G$3,CLAVE_BOV3,$A302)+SUMIFS(SALIDAS_TC,FECHA_TC,"&gt;="&amp;G$2,FECHA_TC,"&lt;="&amp;G$3,CLAVE_TC,$A302)+SUMIFS(SALIDAS_COMB,FECHA_COMB,"&gt;="&amp;G$2,FECHA_COMB,"&lt;="&amp;G$3,CLAVE_COMB,$A302)+SUMIFS(SALIDAS_DES,FECHA_DESGLOSEN,"&gt;="&amp;G$2,FECHA_DESGLOSEN,"&lt;="&amp;G$3,CLAVE_DESGLOSE,$A302)</f>
        <v>0</v>
      </c>
      <c r="H302" s="261">
        <f t="shared" si="580"/>
        <v>0</v>
      </c>
      <c r="I302" s="261">
        <f t="shared" si="580"/>
        <v>0</v>
      </c>
      <c r="J302" s="261">
        <f t="shared" si="580"/>
        <v>12299.8</v>
      </c>
      <c r="K302" s="261">
        <f t="shared" si="580"/>
        <v>12299.8</v>
      </c>
      <c r="L302" s="262">
        <f t="shared" ref="L302:L310" si="581">F302-K302</f>
        <v>-12299.8</v>
      </c>
      <c r="M302" s="268">
        <f t="shared" si="449"/>
        <v>0</v>
      </c>
      <c r="N302" s="162">
        <f t="shared" ref="N302:N310" si="582">VLOOKUP($A302,T_PRESUPUESTO,MATCH(N$6,E_PRESUPUESTO,0),FALSE)</f>
        <v>0</v>
      </c>
      <c r="O302" s="162">
        <f t="shared" ref="O302:T310" si="583">SUMIFS(SALIDAS_BIT,FECHA_BIT,"&gt;="&amp;O$2,FECHA_BIT,"&lt;="&amp;O$3,CLAVE_BIT,$A302)+SUMIFS(SALIDAS_BOV1,FECHA_BOV1,"&gt;="&amp;O$2,FECHA_BOV1,"&lt;="&amp;O$3,CLAVE_BOV1,$A302)+SUMIFS(SALIDAS_BOV2,FECHA_BOV2,"&gt;="&amp;O$2,FECHA_BOV2,"&lt;="&amp;O$3,CLAVE_BOV2,$A302)+SUMIFS(SALIDAS_BOV3,FECHA_BOV3,"&gt;="&amp;O$2,FECHA_BOV3,"&lt;="&amp;O$3,CLAVE_BOV3,$A302)+SUMIFS(SALIDAS_TC,FECHA_TC,"&gt;="&amp;O$2,FECHA_TC,"&lt;="&amp;O$3,CLAVE_TC,$A302)+SUMIFS(SALIDAS_COMB,FECHA_COMB,"&gt;="&amp;O$2,FECHA_COMB,"&lt;="&amp;O$3,CLAVE_COMB,$A302)+SUMIFS(SALIDAS_DES,FECHA_DESGLOSEN,"&gt;="&amp;O$2,FECHA_DESGLOSEN,"&lt;="&amp;O$3,CLAVE_DESGLOSE,$A302)</f>
        <v>0</v>
      </c>
      <c r="P302" s="162">
        <f t="shared" si="583"/>
        <v>0</v>
      </c>
      <c r="Q302" s="162">
        <f t="shared" si="583"/>
        <v>0</v>
      </c>
      <c r="R302" s="162">
        <f t="shared" si="583"/>
        <v>0</v>
      </c>
      <c r="S302" s="162">
        <f t="shared" si="583"/>
        <v>0</v>
      </c>
      <c r="T302" s="162">
        <f t="shared" si="583"/>
        <v>0</v>
      </c>
      <c r="U302" s="68">
        <f t="shared" si="450"/>
        <v>0</v>
      </c>
      <c r="V302" s="268">
        <f t="shared" si="451"/>
        <v>0</v>
      </c>
      <c r="W302" s="162">
        <f t="shared" ref="W302:W310" si="584">VLOOKUP($A302,T_PRESUPUESTO,MATCH(W$6,E_PRESUPUESTO,0),FALSE)</f>
        <v>0</v>
      </c>
      <c r="X302" s="162">
        <f t="shared" ref="X302:AB310" si="585">SUMIFS(SALIDAS_BIT,FECHA_BIT,"&gt;="&amp;X$2,FECHA_BIT,"&lt;="&amp;X$3,CLAVE_BIT,$A302)+SUMIFS(SALIDAS_BOV1,FECHA_BOV1,"&gt;="&amp;X$2,FECHA_BOV1,"&lt;="&amp;X$3,CLAVE_BOV1,$A302)+SUMIFS(SALIDAS_BOV2,FECHA_BOV2,"&gt;="&amp;X$2,FECHA_BOV2,"&lt;="&amp;X$3,CLAVE_BOV2,$A302)+SUMIFS(SALIDAS_BOV3,FECHA_BOV3,"&gt;="&amp;X$2,FECHA_BOV3,"&lt;="&amp;X$3,CLAVE_BOV3,$A302)+SUMIFS(SALIDAS_TC,FECHA_TC,"&gt;="&amp;X$2,FECHA_TC,"&lt;="&amp;X$3,CLAVE_TC,$A302)+SUMIFS(SALIDAS_COMB,FECHA_COMB,"&gt;="&amp;X$2,FECHA_COMB,"&lt;="&amp;X$3,CLAVE_COMB,$A302)+SUMIFS(SALIDAS_DES,FECHA_DESGLOSEN,"&gt;="&amp;X$2,FECHA_DESGLOSEN,"&lt;="&amp;X$3,CLAVE_DESGLOSE,$A302)</f>
        <v>0</v>
      </c>
      <c r="Y302" s="162">
        <f t="shared" si="585"/>
        <v>0</v>
      </c>
      <c r="Z302" s="162">
        <f t="shared" si="585"/>
        <v>0</v>
      </c>
      <c r="AA302" s="162">
        <f t="shared" si="585"/>
        <v>2567.5500000000002</v>
      </c>
      <c r="AB302" s="162">
        <f t="shared" si="585"/>
        <v>2567.5500000000002</v>
      </c>
      <c r="AC302" s="227">
        <f t="shared" ref="AC302:AC310" si="586">W302-AB302</f>
        <v>-2567.5500000000002</v>
      </c>
      <c r="AD302" s="268">
        <f t="shared" si="453"/>
        <v>0</v>
      </c>
      <c r="AE302" s="162">
        <f t="shared" ref="AE302:AE310" si="587">VLOOKUP($A302,T_PRESUPUESTO,MATCH(AE$6,E_PRESUPUESTO,0),FALSE)</f>
        <v>0</v>
      </c>
      <c r="AF302" s="162">
        <f t="shared" ref="AF302:AJ310" si="588">SUMIFS(SALIDAS_BIT,FECHA_BIT,"&gt;="&amp;AF$2,FECHA_BIT,"&lt;="&amp;AF$3,CLAVE_BIT,$A302)+SUMIFS(SALIDAS_BOV1,FECHA_BOV1,"&gt;="&amp;AF$2,FECHA_BOV1,"&lt;="&amp;AF$3,CLAVE_BOV1,$A302)+SUMIFS(SALIDAS_BOV2,FECHA_BOV2,"&gt;="&amp;AF$2,FECHA_BOV2,"&lt;="&amp;AF$3,CLAVE_BOV2,$A302)+SUMIFS(SALIDAS_BOV3,FECHA_BOV3,"&gt;="&amp;AF$2,FECHA_BOV3,"&lt;="&amp;AF$3,CLAVE_BOV3,$A302)+SUMIFS(SALIDAS_TC,FECHA_TC,"&gt;="&amp;AF$2,FECHA_TC,"&lt;="&amp;AF$3,CLAVE_TC,$A302)+SUMIFS(SALIDAS_COMB,FECHA_COMB,"&gt;="&amp;AF$2,FECHA_COMB,"&lt;="&amp;AF$3,CLAVE_COMB,$A302)+SUMIFS(SALIDAS_DES,FECHA_DESGLOSEN,"&gt;="&amp;AF$2,FECHA_DESGLOSEN,"&lt;="&amp;AF$3,CLAVE_DESGLOSE,$A302)</f>
        <v>0</v>
      </c>
      <c r="AG302" s="162">
        <f t="shared" si="588"/>
        <v>0</v>
      </c>
      <c r="AH302" s="162">
        <f t="shared" si="588"/>
        <v>0</v>
      </c>
      <c r="AI302" s="162">
        <f t="shared" si="588"/>
        <v>1808.15</v>
      </c>
      <c r="AJ302" s="162">
        <f t="shared" si="588"/>
        <v>1808.15</v>
      </c>
      <c r="AK302" s="227">
        <f t="shared" ref="AK302:AK310" si="589">AE302-AJ302</f>
        <v>-1808.15</v>
      </c>
      <c r="AL302" s="268">
        <f t="shared" si="455"/>
        <v>0</v>
      </c>
      <c r="AM302" s="162">
        <f t="shared" ref="AM302:AM310" si="590">VLOOKUP($A302,T_PRESUPUESTO,MATCH(AM$6,E_PRESUPUESTO,0),FALSE)</f>
        <v>0</v>
      </c>
      <c r="AN302" s="162">
        <f t="shared" ref="AN302:AS310" si="591">SUMIFS(SALIDAS_BIT,FECHA_BIT,"&gt;="&amp;AN$2,FECHA_BIT,"&lt;="&amp;AN$3,CLAVE_BIT,$A302)+SUMIFS(SALIDAS_BOV1,FECHA_BOV1,"&gt;="&amp;AN$2,FECHA_BOV1,"&lt;="&amp;AN$3,CLAVE_BOV1,$A302)+SUMIFS(SALIDAS_BOV2,FECHA_BOV2,"&gt;="&amp;AN$2,FECHA_BOV2,"&lt;="&amp;AN$3,CLAVE_BOV2,$A302)+SUMIFS(SALIDAS_BOV3,FECHA_BOV3,"&gt;="&amp;AN$2,FECHA_BOV3,"&lt;="&amp;AN$3,CLAVE_BOV3,$A302)+SUMIFS(SALIDAS_TC,FECHA_TC,"&gt;="&amp;AN$2,FECHA_TC,"&lt;="&amp;AN$3,CLAVE_TC,$A302)+SUMIFS(SALIDAS_COMB,FECHA_COMB,"&gt;="&amp;AN$2,FECHA_COMB,"&lt;="&amp;AN$3,CLAVE_COMB,$A302)+SUMIFS(SALIDAS_DES,FECHA_DESGLOSEN,"&gt;="&amp;AN$2,FECHA_DESGLOSEN,"&lt;="&amp;AN$3,CLAVE_DESGLOSE,$A302)</f>
        <v>0</v>
      </c>
      <c r="AO302" s="162">
        <f t="shared" si="591"/>
        <v>0</v>
      </c>
      <c r="AP302" s="162">
        <f t="shared" si="591"/>
        <v>0</v>
      </c>
      <c r="AQ302" s="162">
        <f t="shared" si="591"/>
        <v>5406.68</v>
      </c>
      <c r="AR302" s="162">
        <f t="shared" si="591"/>
        <v>0</v>
      </c>
      <c r="AS302" s="162">
        <f t="shared" si="591"/>
        <v>5406.68</v>
      </c>
      <c r="AT302" s="227">
        <f>AM302-AS302</f>
        <v>-5406.68</v>
      </c>
      <c r="AU302" s="268">
        <f t="shared" si="456"/>
        <v>0</v>
      </c>
      <c r="AV302" s="162">
        <f t="shared" ref="AV302:AV310" si="592">VLOOKUP($A302,T_PRESUPUESTO,MATCH(AV$6,E_PRESUPUESTO,0),FALSE)</f>
        <v>0</v>
      </c>
      <c r="AW302" s="13">
        <f t="shared" si="421"/>
        <v>0</v>
      </c>
      <c r="AX302" s="13">
        <f t="shared" si="421"/>
        <v>0</v>
      </c>
      <c r="AY302" s="13">
        <f t="shared" si="421"/>
        <v>0</v>
      </c>
      <c r="AZ302" s="13">
        <f t="shared" si="421"/>
        <v>1503.23</v>
      </c>
      <c r="BA302" s="13">
        <f t="shared" si="475"/>
        <v>1503.23</v>
      </c>
      <c r="BB302" s="227">
        <f t="shared" ref="BB302:BB310" si="593">AV302-BA302</f>
        <v>-1503.23</v>
      </c>
      <c r="BC302" s="268">
        <f t="shared" si="458"/>
        <v>0</v>
      </c>
      <c r="BD302" s="162">
        <f t="shared" ref="BD302:BD310" si="594">VLOOKUP($A302,T_PRESUPUESTO,MATCH(BD$6,E_PRESUPUESTO,0),FALSE)</f>
        <v>0</v>
      </c>
      <c r="BE302" s="13">
        <f>SUMIFS(SALIDAS_BIT,FECHA_BIT,"&gt;="&amp;BE$2,FECHA_BIT,"&lt;="&amp;BE$3,CLAVE_BIT,$A302)+SUMIFS(SALIDAS_BOV1,FECHA_BOV1,"&gt;="&amp;BE$2,FECHA_BOV1,"&lt;="&amp;BE$3,CLAVE_BOV1,$A302)+SUMIFS(SALIDAS_BOV2,FECHA_BOV2,"&gt;="&amp;BE$2,FECHA_BOV2,"&lt;="&amp;BE$3,CLAVE_BOV2,$A302)+SUMIFS(SALIDAS_BOV3,FECHA_BOV3,"&gt;="&amp;BE$2,FECHA_BOV3,"&lt;="&amp;BE$3,CLAVE_BOV3,$A302)+SUMIFS(SALIDAS_TC,FECHA_TC,"&gt;="&amp;BE$2,FECHA_TC,"&lt;="&amp;BE$3,CLAVE_TC,$A302)+SUMIFS(SALIDAS_COMB,FECHA_COMB,"&gt;="&amp;BE$2,FECHA_COMB,"&lt;="&amp;BE$3,CLAVE_COMB,$A302)+SUMIFS(SALIDAS_DES,FECHA_DESGLOSEN,"&gt;="&amp;BE$2,FECHA_DESGLOSEN,"&lt;="&amp;BE$3,CLAVE_DESGLOSE,$A302)</f>
        <v>0</v>
      </c>
      <c r="BF302" s="13">
        <f>SUMIFS(SALIDAS_BIT,FECHA_BIT,"&gt;="&amp;BF$2,FECHA_BIT,"&lt;="&amp;BF$3,CLAVE_BIT,$A302)+SUMIFS(SALIDAS_BOV1,FECHA_BOV1,"&gt;="&amp;BF$2,FECHA_BOV1,"&lt;="&amp;BF$3,CLAVE_BOV1,$A302)+SUMIFS(SALIDAS_BOV2,FECHA_BOV2,"&gt;="&amp;BF$2,FECHA_BOV2,"&lt;="&amp;BF$3,CLAVE_BOV2,$A302)+SUMIFS(SALIDAS_BOV3,FECHA_BOV3,"&gt;="&amp;BF$2,FECHA_BOV3,"&lt;="&amp;BF$3,CLAVE_BOV3,$A302)+SUMIFS(SALIDAS_TC,FECHA_TC,"&gt;="&amp;BF$2,FECHA_TC,"&lt;="&amp;BF$3,CLAVE_TC,$A302)+SUMIFS(SALIDAS_COMB,FECHA_COMB,"&gt;="&amp;BF$2,FECHA_COMB,"&lt;="&amp;BF$3,CLAVE_COMB,$A302)+SUMIFS(SALIDAS_DES,FECHA_DESGLOSEN,"&gt;="&amp;BF$2,FECHA_DESGLOSEN,"&lt;="&amp;BF$3,CLAVE_DESGLOSE,$A302)</f>
        <v>0</v>
      </c>
      <c r="BG302" s="13">
        <f>SUMIFS(SALIDAS_BIT,FECHA_BIT,"&gt;="&amp;BG$2,FECHA_BIT,"&lt;="&amp;BG$3,CLAVE_BIT,$A302)+SUMIFS(SALIDAS_BOV1,FECHA_BOV1,"&gt;="&amp;BG$2,FECHA_BOV1,"&lt;="&amp;BG$3,CLAVE_BOV1,$A302)+SUMIFS(SALIDAS_BOV2,FECHA_BOV2,"&gt;="&amp;BG$2,FECHA_BOV2,"&lt;="&amp;BG$3,CLAVE_BOV2,$A302)+SUMIFS(SALIDAS_BOV3,FECHA_BOV3,"&gt;="&amp;BG$2,FECHA_BOV3,"&lt;="&amp;BG$3,CLAVE_BOV3,$A302)+SUMIFS(SALIDAS_TC,FECHA_TC,"&gt;="&amp;BG$2,FECHA_TC,"&lt;="&amp;BG$3,CLAVE_TC,$A302)+SUMIFS(SALIDAS_COMB,FECHA_COMB,"&gt;="&amp;BG$2,FECHA_COMB,"&lt;="&amp;BG$3,CLAVE_COMB,$A302)+SUMIFS(SALIDAS_DES,FECHA_DESGLOSEN,"&gt;="&amp;BG$2,FECHA_DESGLOSEN,"&lt;="&amp;BG$3,CLAVE_DESGLOSE,$A302)</f>
        <v>0</v>
      </c>
      <c r="BH302" s="13">
        <f>SUMIFS(SALIDAS_BIT,FECHA_BIT,"&gt;="&amp;BH$2,FECHA_BIT,"&lt;="&amp;BH$3,CLAVE_BIT,$A302)+SUMIFS(SALIDAS_BOV1,FECHA_BOV1,"&gt;="&amp;BH$2,FECHA_BOV1,"&lt;="&amp;BH$3,CLAVE_BOV1,$A302)+SUMIFS(SALIDAS_BOV2,FECHA_BOV2,"&gt;="&amp;BH$2,FECHA_BOV2,"&lt;="&amp;BH$3,CLAVE_BOV2,$A302)+SUMIFS(SALIDAS_BOV3,FECHA_BOV3,"&gt;="&amp;BH$2,FECHA_BOV3,"&lt;="&amp;BH$3,CLAVE_BOV3,$A302)+SUMIFS(SALIDAS_TC,FECHA_TC,"&gt;="&amp;BH$2,FECHA_TC,"&lt;="&amp;BH$3,CLAVE_TC,$A302)+SUMIFS(SALIDAS_COMB,FECHA_COMB,"&gt;="&amp;BH$2,FECHA_COMB,"&lt;="&amp;BH$3,CLAVE_COMB,$A302)+SUMIFS(SALIDAS_DES,FECHA_DESGLOSEN,"&gt;="&amp;BH$2,FECHA_DESGLOSEN,"&lt;="&amp;BH$3,CLAVE_DESGLOSE,$A302)</f>
        <v>1108.46</v>
      </c>
      <c r="BI302" s="162">
        <f t="shared" ref="BI302:BI310" si="595">SUMIFS(SALIDAS_BIT,FECHA_BIT,"&gt;="&amp;BI$2,FECHA_BIT,"&lt;="&amp;BI$3,CLAVE_BIT,$A302)+SUMIFS(SALIDAS_BOV1,FECHA_BOV1,"&gt;="&amp;BI$2,FECHA_BOV1,"&lt;="&amp;BI$3,CLAVE_BOV1,$A302)+SUMIFS(SALIDAS_BOV2,FECHA_BOV2,"&gt;="&amp;BI$2,FECHA_BOV2,"&lt;="&amp;BI$3,CLAVE_BOV2,$A302)+SUMIFS(SALIDAS_BOV3,FECHA_BOV3,"&gt;="&amp;BI$2,FECHA_BOV3,"&lt;="&amp;BI$3,CLAVE_BOV3,$A302)+SUMIFS(SALIDAS_TC,FECHA_TC,"&gt;="&amp;BI$2,FECHA_TC,"&lt;="&amp;BI$3,CLAVE_TC,$A302)+SUMIFS(SALIDAS_COMB,FECHA_COMB,"&gt;="&amp;BI$2,FECHA_COMB,"&lt;="&amp;BI$3,CLAVE_COMB,$A302)+SUMIFS(SALIDAS_DES,FECHA_DESGLOSEN,"&gt;="&amp;BI$2,FECHA_DESGLOSEN,"&lt;="&amp;BI$3,CLAVE_DESGLOSE,$A302)</f>
        <v>1108.46</v>
      </c>
      <c r="BJ302" s="227">
        <f t="shared" ref="BJ302:BJ310" si="596">BD302-BI302</f>
        <v>-1108.46</v>
      </c>
      <c r="BK302" s="268">
        <f t="shared" si="461"/>
        <v>0</v>
      </c>
      <c r="BL302" s="162">
        <f t="shared" ref="BL302:BL310" si="597">VLOOKUP($A302,T_PRESUPUESTO,MATCH(BL$6,E_PRESUPUESTO,0),FALSE)</f>
        <v>0</v>
      </c>
      <c r="BM302" s="13">
        <f>SUMIFS(SALIDAS_BIT,FECHA_BIT,"&gt;="&amp;BM$2,FECHA_BIT,"&lt;="&amp;BM$3,CLAVE_BIT,$A302)+SUMIFS(SALIDAS_BOV1,FECHA_BOV1,"&gt;="&amp;BM$2,FECHA_BOV1,"&lt;="&amp;BM$3,CLAVE_BOV1,$A302)+SUMIFS(SALIDAS_BOV2,FECHA_BOV2,"&gt;="&amp;BM$2,FECHA_BOV2,"&lt;="&amp;BM$3,CLAVE_BOV2,$A302)+SUMIFS(SALIDAS_BOV3,FECHA_BOV3,"&gt;="&amp;BM$2,FECHA_BOV3,"&lt;="&amp;BM$3,CLAVE_BOV3,$A302)+SUMIFS(SALIDAS_TC,FECHA_TC,"&gt;="&amp;BM$2,FECHA_TC,"&lt;="&amp;BM$3,CLAVE_TC,$A302)+SUMIFS(SALIDAS_COMB,FECHA_COMB,"&gt;="&amp;BM$2,FECHA_COMB,"&lt;="&amp;BM$3,CLAVE_COMB,$A302)+SUMIFS(SALIDAS_DES,FECHA_DESGLOSEN,"&gt;="&amp;BM$2,FECHA_DESGLOSEN,"&lt;="&amp;BM$3,CLAVE_DESGLOSE,$A302)</f>
        <v>0</v>
      </c>
      <c r="BN302" s="13">
        <f>SUMIFS(SALIDAS_BIT,FECHA_BIT,"&gt;="&amp;BN$2,FECHA_BIT,"&lt;="&amp;BN$3,CLAVE_BIT,$A302)+SUMIFS(SALIDAS_BOV1,FECHA_BOV1,"&gt;="&amp;BN$2,FECHA_BOV1,"&lt;="&amp;BN$3,CLAVE_BOV1,$A302)+SUMIFS(SALIDAS_BOV2,FECHA_BOV2,"&gt;="&amp;BN$2,FECHA_BOV2,"&lt;="&amp;BN$3,CLAVE_BOV2,$A302)+SUMIFS(SALIDAS_BOV3,FECHA_BOV3,"&gt;="&amp;BN$2,FECHA_BOV3,"&lt;="&amp;BN$3,CLAVE_BOV3,$A302)+SUMIFS(SALIDAS_TC,FECHA_TC,"&gt;="&amp;BN$2,FECHA_TC,"&lt;="&amp;BN$3,CLAVE_TC,$A302)+SUMIFS(SALIDAS_COMB,FECHA_COMB,"&gt;="&amp;BN$2,FECHA_COMB,"&lt;="&amp;BN$3,CLAVE_COMB,$A302)+SUMIFS(SALIDAS_DES,FECHA_DESGLOSEN,"&gt;="&amp;BN$2,FECHA_DESGLOSEN,"&lt;="&amp;BN$3,CLAVE_DESGLOSE,$A302)</f>
        <v>0</v>
      </c>
      <c r="BO302" s="13">
        <f>SUMIFS(SALIDAS_BIT,FECHA_BIT,"&gt;="&amp;BO$2,FECHA_BIT,"&lt;="&amp;BO$3,CLAVE_BIT,$A302)+SUMIFS(SALIDAS_BOV1,FECHA_BOV1,"&gt;="&amp;BO$2,FECHA_BOV1,"&lt;="&amp;BO$3,CLAVE_BOV1,$A302)+SUMIFS(SALIDAS_BOV2,FECHA_BOV2,"&gt;="&amp;BO$2,FECHA_BOV2,"&lt;="&amp;BO$3,CLAVE_BOV2,$A302)+SUMIFS(SALIDAS_BOV3,FECHA_BOV3,"&gt;="&amp;BO$2,FECHA_BOV3,"&lt;="&amp;BO$3,CLAVE_BOV3,$A302)+SUMIFS(SALIDAS_TC,FECHA_TC,"&gt;="&amp;BO$2,FECHA_TC,"&lt;="&amp;BO$3,CLAVE_TC,$A302)+SUMIFS(SALIDAS_COMB,FECHA_COMB,"&gt;="&amp;BO$2,FECHA_COMB,"&lt;="&amp;BO$3,CLAVE_COMB,$A302)+SUMIFS(SALIDAS_DES,FECHA_DESGLOSEN,"&gt;="&amp;BO$2,FECHA_DESGLOSEN,"&lt;="&amp;BO$3,CLAVE_DESGLOSE,$A302)</f>
        <v>0</v>
      </c>
      <c r="BP302" s="13">
        <f>SUMIFS(SALIDAS_BIT,FECHA_BIT,"&gt;="&amp;BP$2,FECHA_BIT,"&lt;="&amp;BP$3,CLAVE_BIT,$A302)+SUMIFS(SALIDAS_BOV1,FECHA_BOV1,"&gt;="&amp;BP$2,FECHA_BOV1,"&lt;="&amp;BP$3,CLAVE_BOV1,$A302)+SUMIFS(SALIDAS_BOV2,FECHA_BOV2,"&gt;="&amp;BP$2,FECHA_BOV2,"&lt;="&amp;BP$3,CLAVE_BOV2,$A302)+SUMIFS(SALIDAS_BOV3,FECHA_BOV3,"&gt;="&amp;BP$2,FECHA_BOV3,"&lt;="&amp;BP$3,CLAVE_BOV3,$A302)+SUMIFS(SALIDAS_TC,FECHA_TC,"&gt;="&amp;BP$2,FECHA_TC,"&lt;="&amp;BP$3,CLAVE_TC,$A302)+SUMIFS(SALIDAS_COMB,FECHA_COMB,"&gt;="&amp;BP$2,FECHA_COMB,"&lt;="&amp;BP$3,CLAVE_COMB,$A302)+SUMIFS(SALIDAS_DES,FECHA_DESGLOSEN,"&gt;="&amp;BP$2,FECHA_DESGLOSEN,"&lt;="&amp;BP$3,CLAVE_DESGLOSE,$A302)</f>
        <v>3405.64</v>
      </c>
      <c r="BQ302" s="13">
        <f>SUMIFS(SALIDAS_BIT,FECHA_BIT,"&gt;="&amp;BQ$2,FECHA_BIT,"&lt;="&amp;BQ$3,CLAVE_BIT,$A302)+SUMIFS(SALIDAS_BOV1,FECHA_BOV1,"&gt;="&amp;BQ$2,FECHA_BOV1,"&lt;="&amp;BQ$3,CLAVE_BOV1,$A302)+SUMIFS(SALIDAS_BOV2,FECHA_BOV2,"&gt;="&amp;BQ$2,FECHA_BOV2,"&lt;="&amp;BQ$3,CLAVE_BOV2,$A302)+SUMIFS(SALIDAS_BOV3,FECHA_BOV3,"&gt;="&amp;BQ$2,FECHA_BOV3,"&lt;="&amp;BQ$3,CLAVE_BOV3,$A302)+SUMIFS(SALIDAS_TC,FECHA_TC,"&gt;="&amp;BQ$2,FECHA_TC,"&lt;="&amp;BQ$3,CLAVE_TC,$A302)+SUMIFS(SALIDAS_COMB,FECHA_COMB,"&gt;="&amp;BQ$2,FECHA_COMB,"&lt;="&amp;BQ$3,CLAVE_COMB,$A302)+SUMIFS(SALIDAS_DES,FECHA_DESGLOSEN,"&gt;="&amp;BQ$2,FECHA_DESGLOSEN,"&lt;="&amp;BQ$3,CLAVE_DESGLOSE,$A302)</f>
        <v>0</v>
      </c>
      <c r="BR302" s="162">
        <f t="shared" ref="BR302:BR310" si="598">SUMIFS(SALIDAS_BIT,FECHA_BIT,"&gt;="&amp;BR$2,FECHA_BIT,"&lt;="&amp;BR$3,CLAVE_BIT,$A302)+SUMIFS(SALIDAS_BOV1,FECHA_BOV1,"&gt;="&amp;BR$2,FECHA_BOV1,"&lt;="&amp;BR$3,CLAVE_BOV1,$A302)+SUMIFS(SALIDAS_BOV2,FECHA_BOV2,"&gt;="&amp;BR$2,FECHA_BOV2,"&lt;="&amp;BR$3,CLAVE_BOV2,$A302)+SUMIFS(SALIDAS_BOV3,FECHA_BOV3,"&gt;="&amp;BR$2,FECHA_BOV3,"&lt;="&amp;BR$3,CLAVE_BOV3,$A302)+SUMIFS(SALIDAS_TC,FECHA_TC,"&gt;="&amp;BR$2,FECHA_TC,"&lt;="&amp;BR$3,CLAVE_TC,$A302)+SUMIFS(SALIDAS_COMB,FECHA_COMB,"&gt;="&amp;BR$2,FECHA_COMB,"&lt;="&amp;BR$3,CLAVE_COMB,$A302)+SUMIFS(SALIDAS_DES,FECHA_DESGLOSEN,"&gt;="&amp;BR$2,FECHA_DESGLOSEN,"&lt;="&amp;BR$3,CLAVE_DESGLOSE,$A302)</f>
        <v>3405.64</v>
      </c>
      <c r="BS302" s="227">
        <f t="shared" ref="BS302:BS310" si="599">BL302-BR302</f>
        <v>-3405.64</v>
      </c>
      <c r="BT302" s="268">
        <f t="shared" si="464"/>
        <v>0</v>
      </c>
      <c r="BU302" s="162">
        <f t="shared" ref="BU302:BU310" si="600">VLOOKUP($A302,T_PRESUPUESTO,MATCH(BU$6,E_PRESUPUESTO,0),FALSE)</f>
        <v>0</v>
      </c>
      <c r="BV302" s="13">
        <f t="shared" si="485"/>
        <v>0</v>
      </c>
      <c r="BW302" s="13">
        <f t="shared" si="485"/>
        <v>0</v>
      </c>
      <c r="BX302" s="13">
        <f t="shared" si="485"/>
        <v>0</v>
      </c>
      <c r="BY302" s="13">
        <f t="shared" si="485"/>
        <v>936.52</v>
      </c>
      <c r="BZ302" s="162">
        <f t="shared" ref="BZ302:BZ310" si="601">SUMIFS(SALIDAS_BIT,FECHA_BIT,"&gt;="&amp;BZ$2,FECHA_BIT,"&lt;="&amp;BZ$3,CLAVE_BIT,$A302)+SUMIFS(SALIDAS_BOV1,FECHA_BOV1,"&gt;="&amp;BZ$2,FECHA_BOV1,"&lt;="&amp;BZ$3,CLAVE_BOV1,$A302)+SUMIFS(SALIDAS_BOV2,FECHA_BOV2,"&gt;="&amp;BZ$2,FECHA_BOV2,"&lt;="&amp;BZ$3,CLAVE_BOV2,$A302)+SUMIFS(SALIDAS_BOV3,FECHA_BOV3,"&gt;="&amp;BZ$2,FECHA_BOV3,"&lt;="&amp;BZ$3,CLAVE_BOV3,$A302)+SUMIFS(SALIDAS_TC,FECHA_TC,"&gt;="&amp;BZ$2,FECHA_TC,"&lt;="&amp;BZ$3,CLAVE_TC,$A302)+SUMIFS(SALIDAS_COMB,FECHA_COMB,"&gt;="&amp;BZ$2,FECHA_COMB,"&lt;="&amp;BZ$3,CLAVE_COMB,$A302)+SUMIFS(SALIDAS_DES,FECHA_DESGLOSEN,"&gt;="&amp;BZ$2,FECHA_DESGLOSEN,"&lt;="&amp;BZ$3,CLAVE_DESGLOSE,$A302)</f>
        <v>936.52</v>
      </c>
      <c r="CA302" s="227">
        <f t="shared" ref="CA302:CA310" si="602">BU302-BZ302</f>
        <v>-936.52</v>
      </c>
      <c r="CB302" s="268">
        <f t="shared" si="467"/>
        <v>0</v>
      </c>
      <c r="CC302" s="162">
        <f t="shared" ref="CC302:CC310" si="603">VLOOKUP($A302,T_PRESUPUESTO,MATCH(CC$6,E_PRESUPUESTO,0),FALSE)</f>
        <v>0</v>
      </c>
      <c r="CD302" s="13">
        <f t="shared" si="486"/>
        <v>0</v>
      </c>
      <c r="CE302" s="13">
        <f t="shared" si="486"/>
        <v>0</v>
      </c>
      <c r="CF302" s="13">
        <f t="shared" si="486"/>
        <v>0</v>
      </c>
      <c r="CG302" s="13">
        <f t="shared" si="486"/>
        <v>1089.04</v>
      </c>
      <c r="CH302" s="162">
        <f t="shared" ref="CH302:CH310" si="604">SUMIFS(SALIDAS_BIT,FECHA_BIT,"&gt;="&amp;CH$2,FECHA_BIT,"&lt;="&amp;CH$3,CLAVE_BIT,$A302)+SUMIFS(SALIDAS_BOV1,FECHA_BOV1,"&gt;="&amp;CH$2,FECHA_BOV1,"&lt;="&amp;CH$3,CLAVE_BOV1,$A302)+SUMIFS(SALIDAS_BOV2,FECHA_BOV2,"&gt;="&amp;CH$2,FECHA_BOV2,"&lt;="&amp;CH$3,CLAVE_BOV2,$A302)+SUMIFS(SALIDAS_BOV3,FECHA_BOV3,"&gt;="&amp;CH$2,FECHA_BOV3,"&lt;="&amp;CH$3,CLAVE_BOV3,$A302)+SUMIFS(SALIDAS_TC,FECHA_TC,"&gt;="&amp;CH$2,FECHA_TC,"&lt;="&amp;CH$3,CLAVE_TC,$A302)+SUMIFS(SALIDAS_COMB,FECHA_COMB,"&gt;="&amp;CH$2,FECHA_COMB,"&lt;="&amp;CH$3,CLAVE_COMB,$A302)+SUMIFS(SALIDAS_DES,FECHA_DESGLOSEN,"&gt;="&amp;CH$2,FECHA_DESGLOSEN,"&lt;="&amp;CH$3,CLAVE_DESGLOSE,$A302)</f>
        <v>1089.04</v>
      </c>
      <c r="CI302" s="227">
        <f t="shared" ref="CI302:CI310" si="605">CC302-CH302</f>
        <v>-1089.04</v>
      </c>
      <c r="CJ302" s="268">
        <f t="shared" si="470"/>
        <v>0</v>
      </c>
      <c r="CK302" s="162">
        <f t="shared" ref="CK302:CK310" si="606">VLOOKUP($A302,T_PRESUPUESTO,MATCH(CK$6,E_PRESUPUESTO,0),FALSE)</f>
        <v>0</v>
      </c>
      <c r="CL302" s="13">
        <f t="shared" si="495"/>
        <v>0</v>
      </c>
      <c r="CM302" s="13">
        <f t="shared" si="495"/>
        <v>0</v>
      </c>
      <c r="CN302" s="13">
        <f t="shared" si="495"/>
        <v>0</v>
      </c>
      <c r="CO302" s="13">
        <f t="shared" si="495"/>
        <v>1618.95</v>
      </c>
      <c r="CP302" s="13">
        <f t="shared" si="495"/>
        <v>0</v>
      </c>
      <c r="CQ302" s="162">
        <f t="shared" ref="CQ302:CQ310" si="607">SUMIFS(SALIDAS_BIT,FECHA_BIT,"&gt;="&amp;CQ$2,FECHA_BIT,"&lt;="&amp;CQ$3,CLAVE_BIT,$A302)+SUMIFS(SALIDAS_BOV1,FECHA_BOV1,"&gt;="&amp;CQ$2,FECHA_BOV1,"&lt;="&amp;CQ$3,CLAVE_BOV1,$A302)+SUMIFS(SALIDAS_BOV2,FECHA_BOV2,"&gt;="&amp;CQ$2,FECHA_BOV2,"&lt;="&amp;CQ$3,CLAVE_BOV2,$A302)+SUMIFS(SALIDAS_BOV3,FECHA_BOV3,"&gt;="&amp;CQ$2,FECHA_BOV3,"&lt;="&amp;CQ$3,CLAVE_BOV3,$A302)+SUMIFS(SALIDAS_TC,FECHA_TC,"&gt;="&amp;CQ$2,FECHA_TC,"&lt;="&amp;CQ$3,CLAVE_TC,$A302)+SUMIFS(SALIDAS_COMB,FECHA_COMB,"&gt;="&amp;CQ$2,FECHA_COMB,"&lt;="&amp;CQ$3,CLAVE_COMB,$A302)+SUMIFS(SALIDAS_DES,FECHA_DESGLOSEN,"&gt;="&amp;CQ$2,FECHA_DESGLOSEN,"&lt;="&amp;CQ$3,CLAVE_DESGLOSE,$A302)</f>
        <v>1618.95</v>
      </c>
      <c r="CR302" s="227">
        <f t="shared" ref="CR302:CR310" si="608">CK302-CQ302</f>
        <v>-1618.95</v>
      </c>
      <c r="CS302" s="268">
        <f t="shared" si="473"/>
        <v>0</v>
      </c>
      <c r="CT302" s="68">
        <f t="shared" si="446"/>
        <v>3500</v>
      </c>
      <c r="CU302" s="13">
        <f>SUMIFS(SALIDAS_BIT,FECHA_BIT,"&gt;="&amp;CU$2,FECHA_BIT,"&lt;="&amp;CU$3,CLAVE_BIT,$A302)+SUMIFS(SALIDAS_BOV1,FECHA_BOV1,"&gt;="&amp;CU$2,FECHA_BOV1,"&lt;="&amp;CU$3,CLAVE_BOV1,$A302)+SUMIFS(SALIDAS_BOV2,FECHA_BOV2,"&gt;="&amp;CU$2,FECHA_BOV2,"&lt;="&amp;CU$3,CLAVE_BOV2,$A302)+SUMIFS(SALIDAS_BOV3,FECHA_BOV3,"&gt;="&amp;CU$2,FECHA_BOV3,"&lt;="&amp;CU$3,CLAVE_BOV3,$A302)+SUMIFS(SALIDAS_TC,FECHA_TC,"&gt;="&amp;CU$2,FECHA_TC,"&lt;="&amp;CU$3,CLAVE_TC,$A302)+SUMIFS(SALIDAS_COMB,FECHA_COMB,"&gt;="&amp;CU$2,FECHA_COMB,"&lt;="&amp;CU$3,CLAVE_COMB,$A302)+SUMIFS(SALIDAS_DES,FECHA_DESGLOSEN,"&gt;="&amp;CU$2,FECHA_DESGLOSEN,"&lt;="&amp;CU$3,CLAVE_DESGLOSE,$A302)</f>
        <v>0</v>
      </c>
      <c r="CV302" s="13">
        <f>SUMIFS(SALIDAS_BIT,FECHA_BIT,"&gt;="&amp;CV$2,FECHA_BIT,"&lt;="&amp;CV$3,CLAVE_BIT,$A302)+SUMIFS(SALIDAS_BOV1,FECHA_BOV1,"&gt;="&amp;CV$2,FECHA_BOV1,"&lt;="&amp;CV$3,CLAVE_BOV1,$A302)+SUMIFS(SALIDAS_BOV2,FECHA_BOV2,"&gt;="&amp;CV$2,FECHA_BOV2,"&lt;="&amp;CV$3,CLAVE_BOV2,$A302)+SUMIFS(SALIDAS_BOV3,FECHA_BOV3,"&gt;="&amp;CV$2,FECHA_BOV3,"&lt;="&amp;CV$3,CLAVE_BOV3,$A302)+SUMIFS(SALIDAS_TC,FECHA_TC,"&gt;="&amp;CV$2,FECHA_TC,"&lt;="&amp;CV$3,CLAVE_TC,$A302)+SUMIFS(SALIDAS_COMB,FECHA_COMB,"&gt;="&amp;CV$2,FECHA_COMB,"&lt;="&amp;CV$3,CLAVE_COMB,$A302)+SUMIFS(SALIDAS_DES,FECHA_DESGLOSEN,"&gt;="&amp;CV$2,FECHA_DESGLOSEN,"&lt;="&amp;CV$3,CLAVE_DESGLOSE,$A302)</f>
        <v>0</v>
      </c>
      <c r="CW302" s="13">
        <f>SUMIFS(SALIDAS_BIT,FECHA_BIT,"&gt;="&amp;CW$2,FECHA_BIT,"&lt;="&amp;CW$3,CLAVE_BIT,$A302)+SUMIFS(SALIDAS_BOV1,FECHA_BOV1,"&gt;="&amp;CW$2,FECHA_BOV1,"&lt;="&amp;CW$3,CLAVE_BOV1,$A302)+SUMIFS(SALIDAS_BOV2,FECHA_BOV2,"&gt;="&amp;CW$2,FECHA_BOV2,"&lt;="&amp;CW$3,CLAVE_BOV2,$A302)+SUMIFS(SALIDAS_BOV3,FECHA_BOV3,"&gt;="&amp;CW$2,FECHA_BOV3,"&lt;="&amp;CW$3,CLAVE_BOV3,$A302)+SUMIFS(SALIDAS_TC,FECHA_TC,"&gt;="&amp;CW$2,FECHA_TC,"&lt;="&amp;CW$3,CLAVE_TC,$A302)+SUMIFS(SALIDAS_COMB,FECHA_COMB,"&gt;="&amp;CW$2,FECHA_COMB,"&lt;="&amp;CW$3,CLAVE_COMB,$A302)+SUMIFS(SALIDAS_DES,FECHA_DESGLOSEN,"&gt;="&amp;CW$2,FECHA_DESGLOSEN,"&lt;="&amp;CW$3,CLAVE_DESGLOSE,$A302)</f>
        <v>0</v>
      </c>
      <c r="CX302" s="13">
        <f>SUMIFS(SALIDAS_BIT,FECHA_BIT,"&gt;="&amp;CX$2,FECHA_BIT,"&lt;="&amp;CX$3,CLAVE_BIT,$A302)+SUMIFS(SALIDAS_BOV1,FECHA_BOV1,"&gt;="&amp;CX$2,FECHA_BOV1,"&lt;="&amp;CX$3,CLAVE_BOV1,$A302)+SUMIFS(SALIDAS_BOV2,FECHA_BOV2,"&gt;="&amp;CX$2,FECHA_BOV2,"&lt;="&amp;CX$3,CLAVE_BOV2,$A302)+SUMIFS(SALIDAS_BOV3,FECHA_BOV3,"&gt;="&amp;CX$2,FECHA_BOV3,"&lt;="&amp;CX$3,CLAVE_BOV3,$A302)+SUMIFS(SALIDAS_TC,FECHA_TC,"&gt;="&amp;CX$2,FECHA_TC,"&lt;="&amp;CX$3,CLAVE_TC,$A302)+SUMIFS(SALIDAS_COMB,FECHA_COMB,"&gt;="&amp;CX$2,FECHA_COMB,"&lt;="&amp;CX$3,CLAVE_COMB,$A302)+SUMIFS(SALIDAS_DES,FECHA_DESGLOSEN,"&gt;="&amp;CX$2,FECHA_DESGLOSEN,"&lt;="&amp;CX$3,CLAVE_DESGLOSE,$A302)</f>
        <v>5792.71</v>
      </c>
      <c r="CY302" s="13">
        <f>SUMIFS(SALIDAS_BIT,FECHA_BIT,"&gt;="&amp;CY$2,FECHA_BIT,"&lt;="&amp;CY$3,CLAVE_BIT,$A302)+SUMIFS(SALIDAS_BOV1,FECHA_BOV1,"&gt;="&amp;CY$2,FECHA_BOV1,"&lt;="&amp;CY$3,CLAVE_BOV1,$A302)+SUMIFS(SALIDAS_BOV2,FECHA_BOV2,"&gt;="&amp;CY$2,FECHA_BOV2,"&lt;="&amp;CY$3,CLAVE_BOV2,$A302)+SUMIFS(SALIDAS_BOV3,FECHA_BOV3,"&gt;="&amp;CY$2,FECHA_BOV3,"&lt;="&amp;CY$3,CLAVE_BOV3,$A302)+SUMIFS(SALIDAS_TC,FECHA_TC,"&gt;="&amp;CY$2,FECHA_TC,"&lt;="&amp;CY$3,CLAVE_TC,$A302)+SUMIFS(SALIDAS_COMB,FECHA_COMB,"&gt;="&amp;CY$2,FECHA_COMB,"&lt;="&amp;CY$3,CLAVE_COMB,$A302)+SUMIFS(SALIDAS_DES,FECHA_DESGLOSEN,"&gt;="&amp;CY$2,FECHA_DESGLOSEN,"&lt;="&amp;CY$3,CLAVE_DESGLOSE,$A302)</f>
        <v>5792.71</v>
      </c>
      <c r="CZ302" s="68">
        <f t="shared" si="474"/>
        <v>-2292.71</v>
      </c>
      <c r="DB302" s="17">
        <f>F302+N302+W302+AE302+AM302+AV302+BD302+BL302+BU302+CC302+CK302</f>
        <v>0</v>
      </c>
      <c r="DC302" s="17">
        <f>K302+T302+AB302+AJ302+AS302+BA302+BI302+BR302+BZ302+CH302+CQ302</f>
        <v>31744.02</v>
      </c>
    </row>
    <row r="303" spans="1:108" hidden="1">
      <c r="A303" s="12" t="str">
        <f t="shared" si="551"/>
        <v>ELIREDESL1</v>
      </c>
      <c r="B303">
        <v>304</v>
      </c>
      <c r="C303" t="s">
        <v>130</v>
      </c>
      <c r="D303" t="s">
        <v>167</v>
      </c>
      <c r="E303" t="s">
        <v>136</v>
      </c>
      <c r="F303" s="260">
        <f t="shared" si="579"/>
        <v>0</v>
      </c>
      <c r="G303" s="261">
        <f t="shared" si="580"/>
        <v>0</v>
      </c>
      <c r="H303" s="261">
        <f t="shared" si="580"/>
        <v>0</v>
      </c>
      <c r="I303" s="261">
        <f t="shared" si="580"/>
        <v>0</v>
      </c>
      <c r="J303" s="261">
        <f t="shared" si="580"/>
        <v>0</v>
      </c>
      <c r="K303" s="261">
        <f t="shared" si="580"/>
        <v>0</v>
      </c>
      <c r="L303" s="262">
        <f t="shared" si="581"/>
        <v>0</v>
      </c>
      <c r="M303" s="268">
        <f t="shared" si="449"/>
        <v>0</v>
      </c>
      <c r="N303" s="162">
        <f t="shared" si="582"/>
        <v>0</v>
      </c>
      <c r="O303" s="162">
        <f t="shared" si="583"/>
        <v>0</v>
      </c>
      <c r="P303" s="162">
        <f t="shared" si="583"/>
        <v>0</v>
      </c>
      <c r="Q303" s="162">
        <f t="shared" si="583"/>
        <v>0</v>
      </c>
      <c r="R303" s="162">
        <f t="shared" si="583"/>
        <v>0</v>
      </c>
      <c r="S303" s="162">
        <f t="shared" si="583"/>
        <v>0</v>
      </c>
      <c r="T303" s="162">
        <f t="shared" si="583"/>
        <v>0</v>
      </c>
      <c r="U303" s="68">
        <f t="shared" si="450"/>
        <v>0</v>
      </c>
      <c r="V303" s="268">
        <f t="shared" si="451"/>
        <v>0</v>
      </c>
      <c r="W303" s="162">
        <f t="shared" si="584"/>
        <v>0</v>
      </c>
      <c r="X303" s="162">
        <f t="shared" si="585"/>
        <v>0</v>
      </c>
      <c r="Y303" s="162">
        <f t="shared" si="585"/>
        <v>0</v>
      </c>
      <c r="Z303" s="162">
        <f t="shared" si="585"/>
        <v>0</v>
      </c>
      <c r="AA303" s="162">
        <f t="shared" si="585"/>
        <v>0</v>
      </c>
      <c r="AB303" s="162">
        <f t="shared" si="585"/>
        <v>0</v>
      </c>
      <c r="AC303" s="227">
        <f t="shared" si="586"/>
        <v>0</v>
      </c>
      <c r="AD303" s="268">
        <f t="shared" si="453"/>
        <v>0</v>
      </c>
      <c r="AE303" s="162">
        <f t="shared" si="587"/>
        <v>0</v>
      </c>
      <c r="AF303" s="162">
        <f t="shared" si="588"/>
        <v>0</v>
      </c>
      <c r="AG303" s="162">
        <f t="shared" si="588"/>
        <v>0</v>
      </c>
      <c r="AH303" s="162">
        <f t="shared" si="588"/>
        <v>0</v>
      </c>
      <c r="AI303" s="162">
        <f t="shared" si="588"/>
        <v>0</v>
      </c>
      <c r="AJ303" s="162">
        <f t="shared" si="588"/>
        <v>0</v>
      </c>
      <c r="AK303" s="227">
        <f t="shared" si="589"/>
        <v>0</v>
      </c>
      <c r="AL303" s="268">
        <f t="shared" si="455"/>
        <v>0</v>
      </c>
      <c r="AM303" s="162">
        <f t="shared" si="590"/>
        <v>0</v>
      </c>
      <c r="AN303" s="162">
        <f t="shared" si="591"/>
        <v>0</v>
      </c>
      <c r="AO303" s="162">
        <f t="shared" si="591"/>
        <v>0</v>
      </c>
      <c r="AP303" s="162">
        <f t="shared" si="591"/>
        <v>0</v>
      </c>
      <c r="AQ303" s="162">
        <f t="shared" si="591"/>
        <v>0</v>
      </c>
      <c r="AR303" s="162">
        <f t="shared" si="591"/>
        <v>0</v>
      </c>
      <c r="AS303" s="162">
        <f t="shared" si="591"/>
        <v>0</v>
      </c>
      <c r="AT303" s="227">
        <f>AM303-AS303</f>
        <v>0</v>
      </c>
      <c r="AU303" s="268">
        <f t="shared" si="456"/>
        <v>0</v>
      </c>
      <c r="AV303" s="162">
        <f t="shared" si="592"/>
        <v>0</v>
      </c>
      <c r="AW303" s="13">
        <f t="shared" si="421"/>
        <v>0</v>
      </c>
      <c r="AX303" s="13">
        <f t="shared" si="421"/>
        <v>0</v>
      </c>
      <c r="AY303" s="13">
        <f t="shared" si="421"/>
        <v>0</v>
      </c>
      <c r="AZ303" s="13">
        <f t="shared" si="421"/>
        <v>12462.5</v>
      </c>
      <c r="BA303" s="13">
        <f t="shared" si="475"/>
        <v>12462.5</v>
      </c>
      <c r="BB303" s="227">
        <f t="shared" si="593"/>
        <v>-12462.5</v>
      </c>
      <c r="BC303" s="268">
        <f t="shared" si="458"/>
        <v>0</v>
      </c>
      <c r="BD303" s="162">
        <f t="shared" si="594"/>
        <v>0</v>
      </c>
      <c r="BE303" s="13">
        <f>SUMIFS(SALIDAS_BIT,FECHA_BIT,"&gt;="&amp;BE$2,FECHA_BIT,"&lt;="&amp;BE$3,CLAVE_BIT,$A303)+SUMIFS(SALIDAS_BOV1,FECHA_BOV1,"&gt;="&amp;BE$2,FECHA_BOV1,"&lt;="&amp;BE$3,CLAVE_BOV1,$A303)+SUMIFS(SALIDAS_BOV2,FECHA_BOV2,"&gt;="&amp;BE$2,FECHA_BOV2,"&lt;="&amp;BE$3,CLAVE_BOV2,$A303)+SUMIFS(SALIDAS_BOV3,FECHA_BOV3,"&gt;="&amp;BE$2,FECHA_BOV3,"&lt;="&amp;BE$3,CLAVE_BOV3,$A303)+SUMIFS(SALIDAS_TC,FECHA_TC,"&gt;="&amp;BE$2,FECHA_TC,"&lt;="&amp;BE$3,CLAVE_TC,$A303)+SUMIFS(SALIDAS_COMB,FECHA_COMB,"&gt;="&amp;BE$2,FECHA_COMB,"&lt;="&amp;BE$3,CLAVE_COMB,$A303)+SUMIFS(SALIDAS_DES,FECHA_DESGLOSEN,"&gt;="&amp;BE$2,FECHA_DESGLOSEN,"&lt;="&amp;BE$3,CLAVE_DESGLOSE,$A303)</f>
        <v>0</v>
      </c>
      <c r="BF303" s="13">
        <f>SUMIFS(SALIDAS_BIT,FECHA_BIT,"&gt;="&amp;BF$2,FECHA_BIT,"&lt;="&amp;BF$3,CLAVE_BIT,$A303)+SUMIFS(SALIDAS_BOV1,FECHA_BOV1,"&gt;="&amp;BF$2,FECHA_BOV1,"&lt;="&amp;BF$3,CLAVE_BOV1,$A303)+SUMIFS(SALIDAS_BOV2,FECHA_BOV2,"&gt;="&amp;BF$2,FECHA_BOV2,"&lt;="&amp;BF$3,CLAVE_BOV2,$A303)+SUMIFS(SALIDAS_BOV3,FECHA_BOV3,"&gt;="&amp;BF$2,FECHA_BOV3,"&lt;="&amp;BF$3,CLAVE_BOV3,$A303)+SUMIFS(SALIDAS_TC,FECHA_TC,"&gt;="&amp;BF$2,FECHA_TC,"&lt;="&amp;BF$3,CLAVE_TC,$A303)+SUMIFS(SALIDAS_COMB,FECHA_COMB,"&gt;="&amp;BF$2,FECHA_COMB,"&lt;="&amp;BF$3,CLAVE_COMB,$A303)+SUMIFS(SALIDAS_DES,FECHA_DESGLOSEN,"&gt;="&amp;BF$2,FECHA_DESGLOSEN,"&lt;="&amp;BF$3,CLAVE_DESGLOSE,$A303)</f>
        <v>0</v>
      </c>
      <c r="BG303" s="13">
        <f>SUMIFS(SALIDAS_BIT,FECHA_BIT,"&gt;="&amp;BG$2,FECHA_BIT,"&lt;="&amp;BG$3,CLAVE_BIT,$A303)+SUMIFS(SALIDAS_BOV1,FECHA_BOV1,"&gt;="&amp;BG$2,FECHA_BOV1,"&lt;="&amp;BG$3,CLAVE_BOV1,$A303)+SUMIFS(SALIDAS_BOV2,FECHA_BOV2,"&gt;="&amp;BG$2,FECHA_BOV2,"&lt;="&amp;BG$3,CLAVE_BOV2,$A303)+SUMIFS(SALIDAS_BOV3,FECHA_BOV3,"&gt;="&amp;BG$2,FECHA_BOV3,"&lt;="&amp;BG$3,CLAVE_BOV3,$A303)+SUMIFS(SALIDAS_TC,FECHA_TC,"&gt;="&amp;BG$2,FECHA_TC,"&lt;="&amp;BG$3,CLAVE_TC,$A303)+SUMIFS(SALIDAS_COMB,FECHA_COMB,"&gt;="&amp;BG$2,FECHA_COMB,"&lt;="&amp;BG$3,CLAVE_COMB,$A303)+SUMIFS(SALIDAS_DES,FECHA_DESGLOSEN,"&gt;="&amp;BG$2,FECHA_DESGLOSEN,"&lt;="&amp;BG$3,CLAVE_DESGLOSE,$A303)</f>
        <v>0</v>
      </c>
      <c r="BH303" s="13">
        <f>SUMIFS(SALIDAS_BIT,FECHA_BIT,"&gt;="&amp;BH$2,FECHA_BIT,"&lt;="&amp;BH$3,CLAVE_BIT,$A303)+SUMIFS(SALIDAS_BOV1,FECHA_BOV1,"&gt;="&amp;BH$2,FECHA_BOV1,"&lt;="&amp;BH$3,CLAVE_BOV1,$A303)+SUMIFS(SALIDAS_BOV2,FECHA_BOV2,"&gt;="&amp;BH$2,FECHA_BOV2,"&lt;="&amp;BH$3,CLAVE_BOV2,$A303)+SUMIFS(SALIDAS_BOV3,FECHA_BOV3,"&gt;="&amp;BH$2,FECHA_BOV3,"&lt;="&amp;BH$3,CLAVE_BOV3,$A303)+SUMIFS(SALIDAS_TC,FECHA_TC,"&gt;="&amp;BH$2,FECHA_TC,"&lt;="&amp;BH$3,CLAVE_TC,$A303)+SUMIFS(SALIDAS_COMB,FECHA_COMB,"&gt;="&amp;BH$2,FECHA_COMB,"&lt;="&amp;BH$3,CLAVE_COMB,$A303)+SUMIFS(SALIDAS_DES,FECHA_DESGLOSEN,"&gt;="&amp;BH$2,FECHA_DESGLOSEN,"&lt;="&amp;BH$3,CLAVE_DESGLOSE,$A303)</f>
        <v>0</v>
      </c>
      <c r="BI303" s="162">
        <f t="shared" si="595"/>
        <v>0</v>
      </c>
      <c r="BJ303" s="227">
        <f t="shared" si="596"/>
        <v>0</v>
      </c>
      <c r="BK303" s="268">
        <f t="shared" si="461"/>
        <v>0</v>
      </c>
      <c r="BL303" s="162">
        <f t="shared" si="597"/>
        <v>0</v>
      </c>
      <c r="BM303" s="13">
        <f>SUMIFS(SALIDAS_BIT,FECHA_BIT,"&gt;="&amp;BM$2,FECHA_BIT,"&lt;="&amp;BM$3,CLAVE_BIT,$A303)+SUMIFS(SALIDAS_BOV1,FECHA_BOV1,"&gt;="&amp;BM$2,FECHA_BOV1,"&lt;="&amp;BM$3,CLAVE_BOV1,$A303)+SUMIFS(SALIDAS_BOV2,FECHA_BOV2,"&gt;="&amp;BM$2,FECHA_BOV2,"&lt;="&amp;BM$3,CLAVE_BOV2,$A303)+SUMIFS(SALIDAS_BOV3,FECHA_BOV3,"&gt;="&amp;BM$2,FECHA_BOV3,"&lt;="&amp;BM$3,CLAVE_BOV3,$A303)+SUMIFS(SALIDAS_TC,FECHA_TC,"&gt;="&amp;BM$2,FECHA_TC,"&lt;="&amp;BM$3,CLAVE_TC,$A303)+SUMIFS(SALIDAS_COMB,FECHA_COMB,"&gt;="&amp;BM$2,FECHA_COMB,"&lt;="&amp;BM$3,CLAVE_COMB,$A303)+SUMIFS(SALIDAS_DES,FECHA_DESGLOSEN,"&gt;="&amp;BM$2,FECHA_DESGLOSEN,"&lt;="&amp;BM$3,CLAVE_DESGLOSE,$A303)</f>
        <v>0</v>
      </c>
      <c r="BN303" s="13">
        <f>SUMIFS(SALIDAS_BIT,FECHA_BIT,"&gt;="&amp;BN$2,FECHA_BIT,"&lt;="&amp;BN$3,CLAVE_BIT,$A303)+SUMIFS(SALIDAS_BOV1,FECHA_BOV1,"&gt;="&amp;BN$2,FECHA_BOV1,"&lt;="&amp;BN$3,CLAVE_BOV1,$A303)+SUMIFS(SALIDAS_BOV2,FECHA_BOV2,"&gt;="&amp;BN$2,FECHA_BOV2,"&lt;="&amp;BN$3,CLAVE_BOV2,$A303)+SUMIFS(SALIDAS_BOV3,FECHA_BOV3,"&gt;="&amp;BN$2,FECHA_BOV3,"&lt;="&amp;BN$3,CLAVE_BOV3,$A303)+SUMIFS(SALIDAS_TC,FECHA_TC,"&gt;="&amp;BN$2,FECHA_TC,"&lt;="&amp;BN$3,CLAVE_TC,$A303)+SUMIFS(SALIDAS_COMB,FECHA_COMB,"&gt;="&amp;BN$2,FECHA_COMB,"&lt;="&amp;BN$3,CLAVE_COMB,$A303)+SUMIFS(SALIDAS_DES,FECHA_DESGLOSEN,"&gt;="&amp;BN$2,FECHA_DESGLOSEN,"&lt;="&amp;BN$3,CLAVE_DESGLOSE,$A303)</f>
        <v>0</v>
      </c>
      <c r="BO303" s="13">
        <f>SUMIFS(SALIDAS_BIT,FECHA_BIT,"&gt;="&amp;BO$2,FECHA_BIT,"&lt;="&amp;BO$3,CLAVE_BIT,$A303)+SUMIFS(SALIDAS_BOV1,FECHA_BOV1,"&gt;="&amp;BO$2,FECHA_BOV1,"&lt;="&amp;BO$3,CLAVE_BOV1,$A303)+SUMIFS(SALIDAS_BOV2,FECHA_BOV2,"&gt;="&amp;BO$2,FECHA_BOV2,"&lt;="&amp;BO$3,CLAVE_BOV2,$A303)+SUMIFS(SALIDAS_BOV3,FECHA_BOV3,"&gt;="&amp;BO$2,FECHA_BOV3,"&lt;="&amp;BO$3,CLAVE_BOV3,$A303)+SUMIFS(SALIDAS_TC,FECHA_TC,"&gt;="&amp;BO$2,FECHA_TC,"&lt;="&amp;BO$3,CLAVE_TC,$A303)+SUMIFS(SALIDAS_COMB,FECHA_COMB,"&gt;="&amp;BO$2,FECHA_COMB,"&lt;="&amp;BO$3,CLAVE_COMB,$A303)+SUMIFS(SALIDAS_DES,FECHA_DESGLOSEN,"&gt;="&amp;BO$2,FECHA_DESGLOSEN,"&lt;="&amp;BO$3,CLAVE_DESGLOSE,$A303)</f>
        <v>0</v>
      </c>
      <c r="BP303" s="13">
        <f>SUMIFS(SALIDAS_BIT,FECHA_BIT,"&gt;="&amp;BP$2,FECHA_BIT,"&lt;="&amp;BP$3,CLAVE_BIT,$A303)+SUMIFS(SALIDAS_BOV1,FECHA_BOV1,"&gt;="&amp;BP$2,FECHA_BOV1,"&lt;="&amp;BP$3,CLAVE_BOV1,$A303)+SUMIFS(SALIDAS_BOV2,FECHA_BOV2,"&gt;="&amp;BP$2,FECHA_BOV2,"&lt;="&amp;BP$3,CLAVE_BOV2,$A303)+SUMIFS(SALIDAS_BOV3,FECHA_BOV3,"&gt;="&amp;BP$2,FECHA_BOV3,"&lt;="&amp;BP$3,CLAVE_BOV3,$A303)+SUMIFS(SALIDAS_TC,FECHA_TC,"&gt;="&amp;BP$2,FECHA_TC,"&lt;="&amp;BP$3,CLAVE_TC,$A303)+SUMIFS(SALIDAS_COMB,FECHA_COMB,"&gt;="&amp;BP$2,FECHA_COMB,"&lt;="&amp;BP$3,CLAVE_COMB,$A303)+SUMIFS(SALIDAS_DES,FECHA_DESGLOSEN,"&gt;="&amp;BP$2,FECHA_DESGLOSEN,"&lt;="&amp;BP$3,CLAVE_DESGLOSE,$A303)</f>
        <v>0</v>
      </c>
      <c r="BQ303" s="13">
        <f>SUMIFS(SALIDAS_BIT,FECHA_BIT,"&gt;="&amp;BQ$2,FECHA_BIT,"&lt;="&amp;BQ$3,CLAVE_BIT,$A303)+SUMIFS(SALIDAS_BOV1,FECHA_BOV1,"&gt;="&amp;BQ$2,FECHA_BOV1,"&lt;="&amp;BQ$3,CLAVE_BOV1,$A303)+SUMIFS(SALIDAS_BOV2,FECHA_BOV2,"&gt;="&amp;BQ$2,FECHA_BOV2,"&lt;="&amp;BQ$3,CLAVE_BOV2,$A303)+SUMIFS(SALIDAS_BOV3,FECHA_BOV3,"&gt;="&amp;BQ$2,FECHA_BOV3,"&lt;="&amp;BQ$3,CLAVE_BOV3,$A303)+SUMIFS(SALIDAS_TC,FECHA_TC,"&gt;="&amp;BQ$2,FECHA_TC,"&lt;="&amp;BQ$3,CLAVE_TC,$A303)+SUMIFS(SALIDAS_COMB,FECHA_COMB,"&gt;="&amp;BQ$2,FECHA_COMB,"&lt;="&amp;BQ$3,CLAVE_COMB,$A303)+SUMIFS(SALIDAS_DES,FECHA_DESGLOSEN,"&gt;="&amp;BQ$2,FECHA_DESGLOSEN,"&lt;="&amp;BQ$3,CLAVE_DESGLOSE,$A303)</f>
        <v>0</v>
      </c>
      <c r="BR303" s="162">
        <f t="shared" si="598"/>
        <v>0</v>
      </c>
      <c r="BS303" s="227">
        <f t="shared" si="599"/>
        <v>0</v>
      </c>
      <c r="BT303" s="268">
        <f t="shared" si="464"/>
        <v>0</v>
      </c>
      <c r="BU303" s="162">
        <f t="shared" si="600"/>
        <v>0</v>
      </c>
      <c r="BV303" s="13">
        <f t="shared" si="485"/>
        <v>0</v>
      </c>
      <c r="BW303" s="13">
        <f t="shared" si="485"/>
        <v>0</v>
      </c>
      <c r="BX303" s="13">
        <f t="shared" si="485"/>
        <v>0</v>
      </c>
      <c r="BY303" s="13">
        <f t="shared" si="485"/>
        <v>0</v>
      </c>
      <c r="BZ303" s="162">
        <f t="shared" si="601"/>
        <v>0</v>
      </c>
      <c r="CA303" s="227">
        <f t="shared" si="602"/>
        <v>0</v>
      </c>
      <c r="CB303" s="268">
        <f t="shared" si="467"/>
        <v>0</v>
      </c>
      <c r="CC303" s="162">
        <f t="shared" si="603"/>
        <v>0</v>
      </c>
      <c r="CD303" s="13">
        <f t="shared" si="486"/>
        <v>0</v>
      </c>
      <c r="CE303" s="13">
        <f t="shared" si="486"/>
        <v>0</v>
      </c>
      <c r="CF303" s="13">
        <f t="shared" si="486"/>
        <v>0</v>
      </c>
      <c r="CG303" s="13">
        <f t="shared" si="486"/>
        <v>0</v>
      </c>
      <c r="CH303" s="162">
        <f t="shared" si="604"/>
        <v>0</v>
      </c>
      <c r="CI303" s="227">
        <f t="shared" si="605"/>
        <v>0</v>
      </c>
      <c r="CJ303" s="268">
        <f t="shared" si="470"/>
        <v>0</v>
      </c>
      <c r="CK303" s="162">
        <f t="shared" si="606"/>
        <v>0</v>
      </c>
      <c r="CL303" s="13">
        <f t="shared" si="495"/>
        <v>0</v>
      </c>
      <c r="CM303" s="13">
        <f t="shared" si="495"/>
        <v>0</v>
      </c>
      <c r="CN303" s="13">
        <f t="shared" si="495"/>
        <v>0</v>
      </c>
      <c r="CO303" s="13">
        <f t="shared" si="495"/>
        <v>0</v>
      </c>
      <c r="CP303" s="13">
        <f t="shared" si="495"/>
        <v>0</v>
      </c>
      <c r="CQ303" s="162">
        <f t="shared" si="607"/>
        <v>0</v>
      </c>
      <c r="CR303" s="227">
        <f t="shared" si="608"/>
        <v>0</v>
      </c>
      <c r="CS303" s="268">
        <f t="shared" si="473"/>
        <v>0</v>
      </c>
      <c r="CT303" s="68">
        <f t="shared" si="446"/>
        <v>0</v>
      </c>
      <c r="CU303" s="13">
        <f>SUMIFS(SALIDAS_BIT,FECHA_BIT,"&gt;="&amp;CU$2,FECHA_BIT,"&lt;="&amp;CU$3,CLAVE_BIT,$A303)+SUMIFS(SALIDAS_BOV1,FECHA_BOV1,"&gt;="&amp;CU$2,FECHA_BOV1,"&lt;="&amp;CU$3,CLAVE_BOV1,$A303)+SUMIFS(SALIDAS_BOV2,FECHA_BOV2,"&gt;="&amp;CU$2,FECHA_BOV2,"&lt;="&amp;CU$3,CLAVE_BOV2,$A303)+SUMIFS(SALIDAS_BOV3,FECHA_BOV3,"&gt;="&amp;CU$2,FECHA_BOV3,"&lt;="&amp;CU$3,CLAVE_BOV3,$A303)+SUMIFS(SALIDAS_TC,FECHA_TC,"&gt;="&amp;CU$2,FECHA_TC,"&lt;="&amp;CU$3,CLAVE_TC,$A303)+SUMIFS(SALIDAS_COMB,FECHA_COMB,"&gt;="&amp;CU$2,FECHA_COMB,"&lt;="&amp;CU$3,CLAVE_COMB,$A303)+SUMIFS(SALIDAS_DES,FECHA_DESGLOSEN,"&gt;="&amp;CU$2,FECHA_DESGLOSEN,"&lt;="&amp;CU$3,CLAVE_DESGLOSE,$A303)</f>
        <v>0</v>
      </c>
      <c r="CV303" s="13">
        <f>SUMIFS(SALIDAS_BIT,FECHA_BIT,"&gt;="&amp;CV$2,FECHA_BIT,"&lt;="&amp;CV$3,CLAVE_BIT,$A303)+SUMIFS(SALIDAS_BOV1,FECHA_BOV1,"&gt;="&amp;CV$2,FECHA_BOV1,"&lt;="&amp;CV$3,CLAVE_BOV1,$A303)+SUMIFS(SALIDAS_BOV2,FECHA_BOV2,"&gt;="&amp;CV$2,FECHA_BOV2,"&lt;="&amp;CV$3,CLAVE_BOV2,$A303)+SUMIFS(SALIDAS_BOV3,FECHA_BOV3,"&gt;="&amp;CV$2,FECHA_BOV3,"&lt;="&amp;CV$3,CLAVE_BOV3,$A303)+SUMIFS(SALIDAS_TC,FECHA_TC,"&gt;="&amp;CV$2,FECHA_TC,"&lt;="&amp;CV$3,CLAVE_TC,$A303)+SUMIFS(SALIDAS_COMB,FECHA_COMB,"&gt;="&amp;CV$2,FECHA_COMB,"&lt;="&amp;CV$3,CLAVE_COMB,$A303)+SUMIFS(SALIDAS_DES,FECHA_DESGLOSEN,"&gt;="&amp;CV$2,FECHA_DESGLOSEN,"&lt;="&amp;CV$3,CLAVE_DESGLOSE,$A303)</f>
        <v>0</v>
      </c>
      <c r="CW303" s="13">
        <f>SUMIFS(SALIDAS_BIT,FECHA_BIT,"&gt;="&amp;CW$2,FECHA_BIT,"&lt;="&amp;CW$3,CLAVE_BIT,$A303)+SUMIFS(SALIDAS_BOV1,FECHA_BOV1,"&gt;="&amp;CW$2,FECHA_BOV1,"&lt;="&amp;CW$3,CLAVE_BOV1,$A303)+SUMIFS(SALIDAS_BOV2,FECHA_BOV2,"&gt;="&amp;CW$2,FECHA_BOV2,"&lt;="&amp;CW$3,CLAVE_BOV2,$A303)+SUMIFS(SALIDAS_BOV3,FECHA_BOV3,"&gt;="&amp;CW$2,FECHA_BOV3,"&lt;="&amp;CW$3,CLAVE_BOV3,$A303)+SUMIFS(SALIDAS_TC,FECHA_TC,"&gt;="&amp;CW$2,FECHA_TC,"&lt;="&amp;CW$3,CLAVE_TC,$A303)+SUMIFS(SALIDAS_COMB,FECHA_COMB,"&gt;="&amp;CW$2,FECHA_COMB,"&lt;="&amp;CW$3,CLAVE_COMB,$A303)+SUMIFS(SALIDAS_DES,FECHA_DESGLOSEN,"&gt;="&amp;CW$2,FECHA_DESGLOSEN,"&lt;="&amp;CW$3,CLAVE_DESGLOSE,$A303)</f>
        <v>0</v>
      </c>
      <c r="CX303" s="13">
        <f>SUMIFS(SALIDAS_BIT,FECHA_BIT,"&gt;="&amp;CX$2,FECHA_BIT,"&lt;="&amp;CX$3,CLAVE_BIT,$A303)+SUMIFS(SALIDAS_BOV1,FECHA_BOV1,"&gt;="&amp;CX$2,FECHA_BOV1,"&lt;="&amp;CX$3,CLAVE_BOV1,$A303)+SUMIFS(SALIDAS_BOV2,FECHA_BOV2,"&gt;="&amp;CX$2,FECHA_BOV2,"&lt;="&amp;CX$3,CLAVE_BOV2,$A303)+SUMIFS(SALIDAS_BOV3,FECHA_BOV3,"&gt;="&amp;CX$2,FECHA_BOV3,"&lt;="&amp;CX$3,CLAVE_BOV3,$A303)+SUMIFS(SALIDAS_TC,FECHA_TC,"&gt;="&amp;CX$2,FECHA_TC,"&lt;="&amp;CX$3,CLAVE_TC,$A303)+SUMIFS(SALIDAS_COMB,FECHA_COMB,"&gt;="&amp;CX$2,FECHA_COMB,"&lt;="&amp;CX$3,CLAVE_COMB,$A303)+SUMIFS(SALIDAS_DES,FECHA_DESGLOSEN,"&gt;="&amp;CX$2,FECHA_DESGLOSEN,"&lt;="&amp;CX$3,CLAVE_DESGLOSE,$A303)</f>
        <v>8763.1099999999988</v>
      </c>
      <c r="CY303" s="13">
        <f>SUMIFS(SALIDAS_BIT,FECHA_BIT,"&gt;="&amp;CY$2,FECHA_BIT,"&lt;="&amp;CY$3,CLAVE_BIT,$A303)+SUMIFS(SALIDAS_BOV1,FECHA_BOV1,"&gt;="&amp;CY$2,FECHA_BOV1,"&lt;="&amp;CY$3,CLAVE_BOV1,$A303)+SUMIFS(SALIDAS_BOV2,FECHA_BOV2,"&gt;="&amp;CY$2,FECHA_BOV2,"&lt;="&amp;CY$3,CLAVE_BOV2,$A303)+SUMIFS(SALIDAS_BOV3,FECHA_BOV3,"&gt;="&amp;CY$2,FECHA_BOV3,"&lt;="&amp;CY$3,CLAVE_BOV3,$A303)+SUMIFS(SALIDAS_TC,FECHA_TC,"&gt;="&amp;CY$2,FECHA_TC,"&lt;="&amp;CY$3,CLAVE_TC,$A303)+SUMIFS(SALIDAS_COMB,FECHA_COMB,"&gt;="&amp;CY$2,FECHA_COMB,"&lt;="&amp;CY$3,CLAVE_COMB,$A303)+SUMIFS(SALIDAS_DES,FECHA_DESGLOSEN,"&gt;="&amp;CY$2,FECHA_DESGLOSEN,"&lt;="&amp;CY$3,CLAVE_DESGLOSE,$A303)</f>
        <v>8763.1099999999988</v>
      </c>
      <c r="CZ303" s="68">
        <f t="shared" si="474"/>
        <v>-8763.1099999999988</v>
      </c>
      <c r="DB303" s="17">
        <f>F303+N303+W303+AE303+AM303+AV303+BD303+BL303+BU303+CC303+CK303</f>
        <v>0</v>
      </c>
      <c r="DC303" s="17">
        <f>K303+T303+AB303+AJ303+AS303+BA303+BI303+BR303+BZ303+CH303+CQ303</f>
        <v>12462.5</v>
      </c>
    </row>
    <row r="304" spans="1:108" hidden="1">
      <c r="A304" s="12" t="str">
        <f t="shared" si="551"/>
        <v>SERVICIOSFONDO Y REPOSICIONMANTENIMIENTO</v>
      </c>
      <c r="B304">
        <v>305</v>
      </c>
      <c r="C304" t="s">
        <v>21</v>
      </c>
      <c r="D304" t="s">
        <v>120</v>
      </c>
      <c r="E304" t="s">
        <v>35</v>
      </c>
      <c r="F304" s="260">
        <f t="shared" si="579"/>
        <v>0</v>
      </c>
      <c r="G304" s="261">
        <f t="shared" si="580"/>
        <v>0</v>
      </c>
      <c r="H304" s="261">
        <f t="shared" si="580"/>
        <v>0</v>
      </c>
      <c r="I304" s="261">
        <f t="shared" si="580"/>
        <v>0</v>
      </c>
      <c r="J304" s="261">
        <f t="shared" si="580"/>
        <v>0</v>
      </c>
      <c r="K304" s="261">
        <f t="shared" si="580"/>
        <v>0</v>
      </c>
      <c r="L304" s="262">
        <f t="shared" si="581"/>
        <v>0</v>
      </c>
      <c r="M304" s="268">
        <f t="shared" si="449"/>
        <v>0</v>
      </c>
      <c r="N304" s="162">
        <f t="shared" si="582"/>
        <v>0</v>
      </c>
      <c r="O304" s="162">
        <f t="shared" si="583"/>
        <v>0</v>
      </c>
      <c r="P304" s="162">
        <f t="shared" si="583"/>
        <v>0</v>
      </c>
      <c r="Q304" s="162">
        <f t="shared" si="583"/>
        <v>0</v>
      </c>
      <c r="R304" s="162">
        <f t="shared" si="583"/>
        <v>0</v>
      </c>
      <c r="S304" s="162">
        <f t="shared" si="583"/>
        <v>0</v>
      </c>
      <c r="T304" s="162">
        <f t="shared" si="583"/>
        <v>0</v>
      </c>
      <c r="U304" s="68">
        <f t="shared" si="450"/>
        <v>0</v>
      </c>
      <c r="V304" s="268">
        <f t="shared" si="451"/>
        <v>0</v>
      </c>
      <c r="W304" s="162">
        <f t="shared" si="584"/>
        <v>0</v>
      </c>
      <c r="X304" s="162">
        <f t="shared" si="585"/>
        <v>0</v>
      </c>
      <c r="Y304" s="162">
        <f t="shared" si="585"/>
        <v>0</v>
      </c>
      <c r="Z304" s="162">
        <f t="shared" si="585"/>
        <v>0</v>
      </c>
      <c r="AA304" s="162">
        <f t="shared" si="585"/>
        <v>0</v>
      </c>
      <c r="AB304" s="162">
        <f t="shared" si="585"/>
        <v>0</v>
      </c>
      <c r="AC304" s="227">
        <f t="shared" si="586"/>
        <v>0</v>
      </c>
      <c r="AD304" s="268">
        <f t="shared" si="453"/>
        <v>0</v>
      </c>
      <c r="AE304" s="162">
        <f t="shared" si="587"/>
        <v>0</v>
      </c>
      <c r="AF304" s="162">
        <f t="shared" si="588"/>
        <v>0</v>
      </c>
      <c r="AG304" s="162">
        <f t="shared" si="588"/>
        <v>0</v>
      </c>
      <c r="AH304" s="162">
        <f t="shared" si="588"/>
        <v>0</v>
      </c>
      <c r="AI304" s="162">
        <f t="shared" si="588"/>
        <v>0</v>
      </c>
      <c r="AJ304" s="162">
        <f t="shared" si="588"/>
        <v>0</v>
      </c>
      <c r="AK304" s="227">
        <f t="shared" si="589"/>
        <v>0</v>
      </c>
      <c r="AL304" s="268">
        <f t="shared" si="455"/>
        <v>0</v>
      </c>
      <c r="AM304" s="162">
        <f t="shared" si="590"/>
        <v>0</v>
      </c>
      <c r="AN304" s="162">
        <f t="shared" si="591"/>
        <v>0</v>
      </c>
      <c r="AO304" s="162">
        <f t="shared" si="591"/>
        <v>0</v>
      </c>
      <c r="AP304" s="162">
        <f t="shared" si="591"/>
        <v>5000</v>
      </c>
      <c r="AQ304" s="162">
        <f t="shared" si="591"/>
        <v>0</v>
      </c>
      <c r="AR304" s="162">
        <f t="shared" si="591"/>
        <v>0</v>
      </c>
      <c r="AS304" s="162">
        <f t="shared" si="591"/>
        <v>5000</v>
      </c>
      <c r="AT304" s="227">
        <f>AM304-AS304</f>
        <v>-5000</v>
      </c>
      <c r="AU304" s="268">
        <f t="shared" si="456"/>
        <v>0</v>
      </c>
      <c r="AV304" s="162">
        <f t="shared" si="592"/>
        <v>0</v>
      </c>
      <c r="AW304" s="13">
        <f t="shared" si="421"/>
        <v>0</v>
      </c>
      <c r="AX304" s="13">
        <f t="shared" si="421"/>
        <v>0</v>
      </c>
      <c r="AY304" s="13">
        <f t="shared" si="421"/>
        <v>0</v>
      </c>
      <c r="AZ304" s="13">
        <f t="shared" si="421"/>
        <v>0</v>
      </c>
      <c r="BA304" s="13">
        <f t="shared" si="475"/>
        <v>0</v>
      </c>
      <c r="BB304" s="227">
        <f t="shared" si="593"/>
        <v>0</v>
      </c>
      <c r="BC304" s="268">
        <f t="shared" si="458"/>
        <v>0</v>
      </c>
      <c r="BD304" s="162">
        <f t="shared" si="594"/>
        <v>0</v>
      </c>
      <c r="BE304" s="13">
        <f>SUMIFS(SALIDAS_BIT,FECHA_BIT,"&gt;="&amp;BE$2,FECHA_BIT,"&lt;="&amp;BE$3,CLAVE_BIT,$A304)+SUMIFS(SALIDAS_BOV1,FECHA_BOV1,"&gt;="&amp;BE$2,FECHA_BOV1,"&lt;="&amp;BE$3,CLAVE_BOV1,$A304)+SUMIFS(SALIDAS_BOV2,FECHA_BOV2,"&gt;="&amp;BE$2,FECHA_BOV2,"&lt;="&amp;BE$3,CLAVE_BOV2,$A304)+SUMIFS(SALIDAS_BOV3,FECHA_BOV3,"&gt;="&amp;BE$2,FECHA_BOV3,"&lt;="&amp;BE$3,CLAVE_BOV3,$A304)+SUMIFS(SALIDAS_TC,FECHA_TC,"&gt;="&amp;BE$2,FECHA_TC,"&lt;="&amp;BE$3,CLAVE_TC,$A304)+SUMIFS(SALIDAS_COMB,FECHA_COMB,"&gt;="&amp;BE$2,FECHA_COMB,"&lt;="&amp;BE$3,CLAVE_COMB,$A304)+SUMIFS(SALIDAS_DES,FECHA_DESGLOSEN,"&gt;="&amp;BE$2,FECHA_DESGLOSEN,"&lt;="&amp;BE$3,CLAVE_DESGLOSE,$A304)</f>
        <v>0</v>
      </c>
      <c r="BF304" s="13">
        <f>SUMIFS(SALIDAS_BIT,FECHA_BIT,"&gt;="&amp;BF$2,FECHA_BIT,"&lt;="&amp;BF$3,CLAVE_BIT,$A304)+SUMIFS(SALIDAS_BOV1,FECHA_BOV1,"&gt;="&amp;BF$2,FECHA_BOV1,"&lt;="&amp;BF$3,CLAVE_BOV1,$A304)+SUMIFS(SALIDAS_BOV2,FECHA_BOV2,"&gt;="&amp;BF$2,FECHA_BOV2,"&lt;="&amp;BF$3,CLAVE_BOV2,$A304)+SUMIFS(SALIDAS_BOV3,FECHA_BOV3,"&gt;="&amp;BF$2,FECHA_BOV3,"&lt;="&amp;BF$3,CLAVE_BOV3,$A304)+SUMIFS(SALIDAS_TC,FECHA_TC,"&gt;="&amp;BF$2,FECHA_TC,"&lt;="&amp;BF$3,CLAVE_TC,$A304)+SUMIFS(SALIDAS_COMB,FECHA_COMB,"&gt;="&amp;BF$2,FECHA_COMB,"&lt;="&amp;BF$3,CLAVE_COMB,$A304)+SUMIFS(SALIDAS_DES,FECHA_DESGLOSEN,"&gt;="&amp;BF$2,FECHA_DESGLOSEN,"&lt;="&amp;BF$3,CLAVE_DESGLOSE,$A304)</f>
        <v>0</v>
      </c>
      <c r="BG304" s="13">
        <f>SUMIFS(SALIDAS_BIT,FECHA_BIT,"&gt;="&amp;BG$2,FECHA_BIT,"&lt;="&amp;BG$3,CLAVE_BIT,$A304)+SUMIFS(SALIDAS_BOV1,FECHA_BOV1,"&gt;="&amp;BG$2,FECHA_BOV1,"&lt;="&amp;BG$3,CLAVE_BOV1,$A304)+SUMIFS(SALIDAS_BOV2,FECHA_BOV2,"&gt;="&amp;BG$2,FECHA_BOV2,"&lt;="&amp;BG$3,CLAVE_BOV2,$A304)+SUMIFS(SALIDAS_BOV3,FECHA_BOV3,"&gt;="&amp;BG$2,FECHA_BOV3,"&lt;="&amp;BG$3,CLAVE_BOV3,$A304)+SUMIFS(SALIDAS_TC,FECHA_TC,"&gt;="&amp;BG$2,FECHA_TC,"&lt;="&amp;BG$3,CLAVE_TC,$A304)+SUMIFS(SALIDAS_COMB,FECHA_COMB,"&gt;="&amp;BG$2,FECHA_COMB,"&lt;="&amp;BG$3,CLAVE_COMB,$A304)+SUMIFS(SALIDAS_DES,FECHA_DESGLOSEN,"&gt;="&amp;BG$2,FECHA_DESGLOSEN,"&lt;="&amp;BG$3,CLAVE_DESGLOSE,$A304)</f>
        <v>0</v>
      </c>
      <c r="BH304" s="13">
        <f>SUMIFS(SALIDAS_BIT,FECHA_BIT,"&gt;="&amp;BH$2,FECHA_BIT,"&lt;="&amp;BH$3,CLAVE_BIT,$A304)+SUMIFS(SALIDAS_BOV1,FECHA_BOV1,"&gt;="&amp;BH$2,FECHA_BOV1,"&lt;="&amp;BH$3,CLAVE_BOV1,$A304)+SUMIFS(SALIDAS_BOV2,FECHA_BOV2,"&gt;="&amp;BH$2,FECHA_BOV2,"&lt;="&amp;BH$3,CLAVE_BOV2,$A304)+SUMIFS(SALIDAS_BOV3,FECHA_BOV3,"&gt;="&amp;BH$2,FECHA_BOV3,"&lt;="&amp;BH$3,CLAVE_BOV3,$A304)+SUMIFS(SALIDAS_TC,FECHA_TC,"&gt;="&amp;BH$2,FECHA_TC,"&lt;="&amp;BH$3,CLAVE_TC,$A304)+SUMIFS(SALIDAS_COMB,FECHA_COMB,"&gt;="&amp;BH$2,FECHA_COMB,"&lt;="&amp;BH$3,CLAVE_COMB,$A304)+SUMIFS(SALIDAS_DES,FECHA_DESGLOSEN,"&gt;="&amp;BH$2,FECHA_DESGLOSEN,"&lt;="&amp;BH$3,CLAVE_DESGLOSE,$A304)</f>
        <v>0</v>
      </c>
      <c r="BI304" s="162">
        <f t="shared" si="595"/>
        <v>0</v>
      </c>
      <c r="BJ304" s="227">
        <f t="shared" si="596"/>
        <v>0</v>
      </c>
      <c r="BK304" s="268">
        <f t="shared" si="461"/>
        <v>0</v>
      </c>
      <c r="BL304" s="162">
        <f t="shared" si="597"/>
        <v>0</v>
      </c>
      <c r="BM304" s="13">
        <f>SUMIFS(SALIDAS_BIT,FECHA_BIT,"&gt;="&amp;BM$2,FECHA_BIT,"&lt;="&amp;BM$3,CLAVE_BIT,$A304)+SUMIFS(SALIDAS_BOV1,FECHA_BOV1,"&gt;="&amp;BM$2,FECHA_BOV1,"&lt;="&amp;BM$3,CLAVE_BOV1,$A304)+SUMIFS(SALIDAS_BOV2,FECHA_BOV2,"&gt;="&amp;BM$2,FECHA_BOV2,"&lt;="&amp;BM$3,CLAVE_BOV2,$A304)+SUMIFS(SALIDAS_BOV3,FECHA_BOV3,"&gt;="&amp;BM$2,FECHA_BOV3,"&lt;="&amp;BM$3,CLAVE_BOV3,$A304)+SUMIFS(SALIDAS_TC,FECHA_TC,"&gt;="&amp;BM$2,FECHA_TC,"&lt;="&amp;BM$3,CLAVE_TC,$A304)+SUMIFS(SALIDAS_COMB,FECHA_COMB,"&gt;="&amp;BM$2,FECHA_COMB,"&lt;="&amp;BM$3,CLAVE_COMB,$A304)+SUMIFS(SALIDAS_DES,FECHA_DESGLOSEN,"&gt;="&amp;BM$2,FECHA_DESGLOSEN,"&lt;="&amp;BM$3,CLAVE_DESGLOSE,$A304)</f>
        <v>0</v>
      </c>
      <c r="BN304" s="13">
        <f>SUMIFS(SALIDAS_BIT,FECHA_BIT,"&gt;="&amp;BN$2,FECHA_BIT,"&lt;="&amp;BN$3,CLAVE_BIT,$A304)+SUMIFS(SALIDAS_BOV1,FECHA_BOV1,"&gt;="&amp;BN$2,FECHA_BOV1,"&lt;="&amp;BN$3,CLAVE_BOV1,$A304)+SUMIFS(SALIDAS_BOV2,FECHA_BOV2,"&gt;="&amp;BN$2,FECHA_BOV2,"&lt;="&amp;BN$3,CLAVE_BOV2,$A304)+SUMIFS(SALIDAS_BOV3,FECHA_BOV3,"&gt;="&amp;BN$2,FECHA_BOV3,"&lt;="&amp;BN$3,CLAVE_BOV3,$A304)+SUMIFS(SALIDAS_TC,FECHA_TC,"&gt;="&amp;BN$2,FECHA_TC,"&lt;="&amp;BN$3,CLAVE_TC,$A304)+SUMIFS(SALIDAS_COMB,FECHA_COMB,"&gt;="&amp;BN$2,FECHA_COMB,"&lt;="&amp;BN$3,CLAVE_COMB,$A304)+SUMIFS(SALIDAS_DES,FECHA_DESGLOSEN,"&gt;="&amp;BN$2,FECHA_DESGLOSEN,"&lt;="&amp;BN$3,CLAVE_DESGLOSE,$A304)</f>
        <v>0</v>
      </c>
      <c r="BO304" s="13">
        <f>SUMIFS(SALIDAS_BIT,FECHA_BIT,"&gt;="&amp;BO$2,FECHA_BIT,"&lt;="&amp;BO$3,CLAVE_BIT,$A304)+SUMIFS(SALIDAS_BOV1,FECHA_BOV1,"&gt;="&amp;BO$2,FECHA_BOV1,"&lt;="&amp;BO$3,CLAVE_BOV1,$A304)+SUMIFS(SALIDAS_BOV2,FECHA_BOV2,"&gt;="&amp;BO$2,FECHA_BOV2,"&lt;="&amp;BO$3,CLAVE_BOV2,$A304)+SUMIFS(SALIDAS_BOV3,FECHA_BOV3,"&gt;="&amp;BO$2,FECHA_BOV3,"&lt;="&amp;BO$3,CLAVE_BOV3,$A304)+SUMIFS(SALIDAS_TC,FECHA_TC,"&gt;="&amp;BO$2,FECHA_TC,"&lt;="&amp;BO$3,CLAVE_TC,$A304)+SUMIFS(SALIDAS_COMB,FECHA_COMB,"&gt;="&amp;BO$2,FECHA_COMB,"&lt;="&amp;BO$3,CLAVE_COMB,$A304)+SUMIFS(SALIDAS_DES,FECHA_DESGLOSEN,"&gt;="&amp;BO$2,FECHA_DESGLOSEN,"&lt;="&amp;BO$3,CLAVE_DESGLOSE,$A304)</f>
        <v>0</v>
      </c>
      <c r="BP304" s="13">
        <f>SUMIFS(SALIDAS_BIT,FECHA_BIT,"&gt;="&amp;BP$2,FECHA_BIT,"&lt;="&amp;BP$3,CLAVE_BIT,$A304)+SUMIFS(SALIDAS_BOV1,FECHA_BOV1,"&gt;="&amp;BP$2,FECHA_BOV1,"&lt;="&amp;BP$3,CLAVE_BOV1,$A304)+SUMIFS(SALIDAS_BOV2,FECHA_BOV2,"&gt;="&amp;BP$2,FECHA_BOV2,"&lt;="&amp;BP$3,CLAVE_BOV2,$A304)+SUMIFS(SALIDAS_BOV3,FECHA_BOV3,"&gt;="&amp;BP$2,FECHA_BOV3,"&lt;="&amp;BP$3,CLAVE_BOV3,$A304)+SUMIFS(SALIDAS_TC,FECHA_TC,"&gt;="&amp;BP$2,FECHA_TC,"&lt;="&amp;BP$3,CLAVE_TC,$A304)+SUMIFS(SALIDAS_COMB,FECHA_COMB,"&gt;="&amp;BP$2,FECHA_COMB,"&lt;="&amp;BP$3,CLAVE_COMB,$A304)+SUMIFS(SALIDAS_DES,FECHA_DESGLOSEN,"&gt;="&amp;BP$2,FECHA_DESGLOSEN,"&lt;="&amp;BP$3,CLAVE_DESGLOSE,$A304)</f>
        <v>5000</v>
      </c>
      <c r="BQ304" s="13">
        <f>SUMIFS(SALIDAS_BIT,FECHA_BIT,"&gt;="&amp;BQ$2,FECHA_BIT,"&lt;="&amp;BQ$3,CLAVE_BIT,$A304)+SUMIFS(SALIDAS_BOV1,FECHA_BOV1,"&gt;="&amp;BQ$2,FECHA_BOV1,"&lt;="&amp;BQ$3,CLAVE_BOV1,$A304)+SUMIFS(SALIDAS_BOV2,FECHA_BOV2,"&gt;="&amp;BQ$2,FECHA_BOV2,"&lt;="&amp;BQ$3,CLAVE_BOV2,$A304)+SUMIFS(SALIDAS_BOV3,FECHA_BOV3,"&gt;="&amp;BQ$2,FECHA_BOV3,"&lt;="&amp;BQ$3,CLAVE_BOV3,$A304)+SUMIFS(SALIDAS_TC,FECHA_TC,"&gt;="&amp;BQ$2,FECHA_TC,"&lt;="&amp;BQ$3,CLAVE_TC,$A304)+SUMIFS(SALIDAS_COMB,FECHA_COMB,"&gt;="&amp;BQ$2,FECHA_COMB,"&lt;="&amp;BQ$3,CLAVE_COMB,$A304)+SUMIFS(SALIDAS_DES,FECHA_DESGLOSEN,"&gt;="&amp;BQ$2,FECHA_DESGLOSEN,"&lt;="&amp;BQ$3,CLAVE_DESGLOSE,$A304)</f>
        <v>0</v>
      </c>
      <c r="BR304" s="162">
        <f t="shared" si="598"/>
        <v>5000</v>
      </c>
      <c r="BS304" s="227">
        <f t="shared" si="599"/>
        <v>-5000</v>
      </c>
      <c r="BT304" s="268">
        <f t="shared" si="464"/>
        <v>0</v>
      </c>
      <c r="BU304" s="162">
        <f t="shared" si="600"/>
        <v>0</v>
      </c>
      <c r="BV304" s="13">
        <f t="shared" si="485"/>
        <v>2000</v>
      </c>
      <c r="BW304" s="13">
        <f t="shared" si="485"/>
        <v>0</v>
      </c>
      <c r="BX304" s="13">
        <f t="shared" si="485"/>
        <v>0</v>
      </c>
      <c r="BY304" s="13">
        <f t="shared" si="485"/>
        <v>0</v>
      </c>
      <c r="BZ304" s="162">
        <f t="shared" si="601"/>
        <v>2000</v>
      </c>
      <c r="CA304" s="227">
        <f t="shared" si="602"/>
        <v>-2000</v>
      </c>
      <c r="CB304" s="268">
        <f t="shared" si="467"/>
        <v>0</v>
      </c>
      <c r="CC304" s="162">
        <f t="shared" si="603"/>
        <v>0</v>
      </c>
      <c r="CD304" s="13">
        <f t="shared" si="486"/>
        <v>10568.96</v>
      </c>
      <c r="CE304" s="13">
        <f t="shared" si="486"/>
        <v>0</v>
      </c>
      <c r="CF304" s="13">
        <f t="shared" si="486"/>
        <v>0</v>
      </c>
      <c r="CG304" s="13">
        <f t="shared" si="486"/>
        <v>0</v>
      </c>
      <c r="CH304" s="162">
        <f t="shared" si="604"/>
        <v>10568.96</v>
      </c>
      <c r="CI304" s="227">
        <f t="shared" si="605"/>
        <v>-10568.96</v>
      </c>
      <c r="CJ304" s="268">
        <f t="shared" si="470"/>
        <v>0</v>
      </c>
      <c r="CK304" s="162">
        <f t="shared" si="606"/>
        <v>0</v>
      </c>
      <c r="CL304" s="13">
        <f t="shared" si="495"/>
        <v>0</v>
      </c>
      <c r="CM304" s="13">
        <f t="shared" si="495"/>
        <v>0</v>
      </c>
      <c r="CN304" s="13">
        <f t="shared" si="495"/>
        <v>2000</v>
      </c>
      <c r="CO304" s="13">
        <f t="shared" si="495"/>
        <v>0</v>
      </c>
      <c r="CP304" s="13">
        <f t="shared" si="495"/>
        <v>0</v>
      </c>
      <c r="CQ304" s="162">
        <f t="shared" si="607"/>
        <v>2000</v>
      </c>
      <c r="CR304" s="227">
        <f t="shared" si="608"/>
        <v>-2000</v>
      </c>
      <c r="CS304" s="268">
        <f t="shared" si="473"/>
        <v>0</v>
      </c>
      <c r="CT304" s="68">
        <f t="shared" si="446"/>
        <v>5000</v>
      </c>
      <c r="CU304" s="13">
        <f>SUMIFS(SALIDAS_BIT,FECHA_BIT,"&gt;="&amp;CU$2,FECHA_BIT,"&lt;="&amp;CU$3,CLAVE_BIT,$A304)+SUMIFS(SALIDAS_BOV1,FECHA_BOV1,"&gt;="&amp;CU$2,FECHA_BOV1,"&lt;="&amp;CU$3,CLAVE_BOV1,$A304)+SUMIFS(SALIDAS_BOV2,FECHA_BOV2,"&gt;="&amp;CU$2,FECHA_BOV2,"&lt;="&amp;CU$3,CLAVE_BOV2,$A304)+SUMIFS(SALIDAS_BOV3,FECHA_BOV3,"&gt;="&amp;CU$2,FECHA_BOV3,"&lt;="&amp;CU$3,CLAVE_BOV3,$A304)+SUMIFS(SALIDAS_TC,FECHA_TC,"&gt;="&amp;CU$2,FECHA_TC,"&lt;="&amp;CU$3,CLAVE_TC,$A304)+SUMIFS(SALIDAS_COMB,FECHA_COMB,"&gt;="&amp;CU$2,FECHA_COMB,"&lt;="&amp;CU$3,CLAVE_COMB,$A304)+SUMIFS(SALIDAS_DES,FECHA_DESGLOSEN,"&gt;="&amp;CU$2,FECHA_DESGLOSEN,"&lt;="&amp;CU$3,CLAVE_DESGLOSE,$A304)</f>
        <v>0</v>
      </c>
      <c r="CV304" s="13">
        <f>SUMIFS(SALIDAS_BIT,FECHA_BIT,"&gt;="&amp;CV$2,FECHA_BIT,"&lt;="&amp;CV$3,CLAVE_BIT,$A304)+SUMIFS(SALIDAS_BOV1,FECHA_BOV1,"&gt;="&amp;CV$2,FECHA_BOV1,"&lt;="&amp;CV$3,CLAVE_BOV1,$A304)+SUMIFS(SALIDAS_BOV2,FECHA_BOV2,"&gt;="&amp;CV$2,FECHA_BOV2,"&lt;="&amp;CV$3,CLAVE_BOV2,$A304)+SUMIFS(SALIDAS_BOV3,FECHA_BOV3,"&gt;="&amp;CV$2,FECHA_BOV3,"&lt;="&amp;CV$3,CLAVE_BOV3,$A304)+SUMIFS(SALIDAS_TC,FECHA_TC,"&gt;="&amp;CV$2,FECHA_TC,"&lt;="&amp;CV$3,CLAVE_TC,$A304)+SUMIFS(SALIDAS_COMB,FECHA_COMB,"&gt;="&amp;CV$2,FECHA_COMB,"&lt;="&amp;CV$3,CLAVE_COMB,$A304)+SUMIFS(SALIDAS_DES,FECHA_DESGLOSEN,"&gt;="&amp;CV$2,FECHA_DESGLOSEN,"&lt;="&amp;CV$3,CLAVE_DESGLOSE,$A304)</f>
        <v>300</v>
      </c>
      <c r="CW304" s="13">
        <f>SUMIFS(SALIDAS_BIT,FECHA_BIT,"&gt;="&amp;CW$2,FECHA_BIT,"&lt;="&amp;CW$3,CLAVE_BIT,$A304)+SUMIFS(SALIDAS_BOV1,FECHA_BOV1,"&gt;="&amp;CW$2,FECHA_BOV1,"&lt;="&amp;CW$3,CLAVE_BOV1,$A304)+SUMIFS(SALIDAS_BOV2,FECHA_BOV2,"&gt;="&amp;CW$2,FECHA_BOV2,"&lt;="&amp;CW$3,CLAVE_BOV2,$A304)+SUMIFS(SALIDAS_BOV3,FECHA_BOV3,"&gt;="&amp;CW$2,FECHA_BOV3,"&lt;="&amp;CW$3,CLAVE_BOV3,$A304)+SUMIFS(SALIDAS_TC,FECHA_TC,"&gt;="&amp;CW$2,FECHA_TC,"&lt;="&amp;CW$3,CLAVE_TC,$A304)+SUMIFS(SALIDAS_COMB,FECHA_COMB,"&gt;="&amp;CW$2,FECHA_COMB,"&lt;="&amp;CW$3,CLAVE_COMB,$A304)+SUMIFS(SALIDAS_DES,FECHA_DESGLOSEN,"&gt;="&amp;CW$2,FECHA_DESGLOSEN,"&lt;="&amp;CW$3,CLAVE_DESGLOSE,$A304)</f>
        <v>0</v>
      </c>
      <c r="CX304" s="13">
        <f>SUMIFS(SALIDAS_BIT,FECHA_BIT,"&gt;="&amp;CX$2,FECHA_BIT,"&lt;="&amp;CX$3,CLAVE_BIT,$A304)+SUMIFS(SALIDAS_BOV1,FECHA_BOV1,"&gt;="&amp;CX$2,FECHA_BOV1,"&lt;="&amp;CX$3,CLAVE_BOV1,$A304)+SUMIFS(SALIDAS_BOV2,FECHA_BOV2,"&gt;="&amp;CX$2,FECHA_BOV2,"&lt;="&amp;CX$3,CLAVE_BOV2,$A304)+SUMIFS(SALIDAS_BOV3,FECHA_BOV3,"&gt;="&amp;CX$2,FECHA_BOV3,"&lt;="&amp;CX$3,CLAVE_BOV3,$A304)+SUMIFS(SALIDAS_TC,FECHA_TC,"&gt;="&amp;CX$2,FECHA_TC,"&lt;="&amp;CX$3,CLAVE_TC,$A304)+SUMIFS(SALIDAS_COMB,FECHA_COMB,"&gt;="&amp;CX$2,FECHA_COMB,"&lt;="&amp;CX$3,CLAVE_COMB,$A304)+SUMIFS(SALIDAS_DES,FECHA_DESGLOSEN,"&gt;="&amp;CX$2,FECHA_DESGLOSEN,"&lt;="&amp;CX$3,CLAVE_DESGLOSE,$A304)</f>
        <v>0</v>
      </c>
      <c r="CY304" s="13">
        <f>SUMIFS(SALIDAS_BIT,FECHA_BIT,"&gt;="&amp;CY$2,FECHA_BIT,"&lt;="&amp;CY$3,CLAVE_BIT,$A304)+SUMIFS(SALIDAS_BOV1,FECHA_BOV1,"&gt;="&amp;CY$2,FECHA_BOV1,"&lt;="&amp;CY$3,CLAVE_BOV1,$A304)+SUMIFS(SALIDAS_BOV2,FECHA_BOV2,"&gt;="&amp;CY$2,FECHA_BOV2,"&lt;="&amp;CY$3,CLAVE_BOV2,$A304)+SUMIFS(SALIDAS_BOV3,FECHA_BOV3,"&gt;="&amp;CY$2,FECHA_BOV3,"&lt;="&amp;CY$3,CLAVE_BOV3,$A304)+SUMIFS(SALIDAS_TC,FECHA_TC,"&gt;="&amp;CY$2,FECHA_TC,"&lt;="&amp;CY$3,CLAVE_TC,$A304)+SUMIFS(SALIDAS_COMB,FECHA_COMB,"&gt;="&amp;CY$2,FECHA_COMB,"&lt;="&amp;CY$3,CLAVE_COMB,$A304)+SUMIFS(SALIDAS_DES,FECHA_DESGLOSEN,"&gt;="&amp;CY$2,FECHA_DESGLOSEN,"&lt;="&amp;CY$3,CLAVE_DESGLOSE,$A304)</f>
        <v>300</v>
      </c>
      <c r="CZ304" s="68">
        <f t="shared" si="474"/>
        <v>4700</v>
      </c>
      <c r="DB304" s="17">
        <f>F304+N304+W304+AE304+AM304+AV304+BD304+BL304+BU304+CC304+CK304</f>
        <v>0</v>
      </c>
      <c r="DC304" s="17">
        <f>K304+T304+AB304+AJ304+AS304+BA304+BI304+BR304+BZ304+CH304+CQ304</f>
        <v>24568.959999999999</v>
      </c>
    </row>
    <row r="305" spans="1:107" hidden="1">
      <c r="A305" s="12" t="str">
        <f t="shared" si="551"/>
        <v>ELIUBERL1</v>
      </c>
      <c r="B305">
        <v>306</v>
      </c>
      <c r="C305" t="s">
        <v>130</v>
      </c>
      <c r="D305" t="s">
        <v>189</v>
      </c>
      <c r="E305" t="s">
        <v>136</v>
      </c>
      <c r="F305" s="260">
        <f t="shared" si="579"/>
        <v>0</v>
      </c>
      <c r="G305" s="261">
        <f t="shared" si="580"/>
        <v>0</v>
      </c>
      <c r="H305" s="261">
        <f t="shared" si="580"/>
        <v>0</v>
      </c>
      <c r="I305" s="261">
        <f t="shared" si="580"/>
        <v>0</v>
      </c>
      <c r="J305" s="261">
        <f t="shared" si="580"/>
        <v>200</v>
      </c>
      <c r="K305" s="261">
        <f t="shared" si="580"/>
        <v>200</v>
      </c>
      <c r="L305" s="262">
        <f t="shared" si="581"/>
        <v>-200</v>
      </c>
      <c r="M305" s="268">
        <f t="shared" si="449"/>
        <v>0</v>
      </c>
      <c r="N305" s="162">
        <f t="shared" si="582"/>
        <v>0</v>
      </c>
      <c r="O305" s="162">
        <f t="shared" si="583"/>
        <v>130</v>
      </c>
      <c r="P305" s="162">
        <f t="shared" si="583"/>
        <v>0</v>
      </c>
      <c r="Q305" s="162">
        <f t="shared" si="583"/>
        <v>0</v>
      </c>
      <c r="R305" s="162">
        <f t="shared" si="583"/>
        <v>330</v>
      </c>
      <c r="S305" s="162">
        <f t="shared" si="583"/>
        <v>180</v>
      </c>
      <c r="T305" s="162">
        <f t="shared" si="583"/>
        <v>640</v>
      </c>
      <c r="U305" s="68">
        <f t="shared" si="450"/>
        <v>-640</v>
      </c>
      <c r="V305" s="268">
        <f t="shared" si="451"/>
        <v>0</v>
      </c>
      <c r="W305" s="162">
        <f t="shared" si="584"/>
        <v>0</v>
      </c>
      <c r="X305" s="162">
        <f t="shared" si="585"/>
        <v>0</v>
      </c>
      <c r="Y305" s="162">
        <f t="shared" si="585"/>
        <v>0</v>
      </c>
      <c r="Z305" s="162">
        <f t="shared" si="585"/>
        <v>0</v>
      </c>
      <c r="AA305" s="162">
        <f t="shared" si="585"/>
        <v>0</v>
      </c>
      <c r="AB305" s="162">
        <f t="shared" si="585"/>
        <v>0</v>
      </c>
      <c r="AC305" s="227">
        <f t="shared" si="586"/>
        <v>0</v>
      </c>
      <c r="AD305" s="268">
        <f t="shared" si="453"/>
        <v>0</v>
      </c>
      <c r="AE305" s="162">
        <f t="shared" si="587"/>
        <v>0</v>
      </c>
      <c r="AF305" s="162">
        <f t="shared" si="588"/>
        <v>0</v>
      </c>
      <c r="AG305" s="162">
        <f t="shared" si="588"/>
        <v>0</v>
      </c>
      <c r="AH305" s="162">
        <f t="shared" si="588"/>
        <v>0</v>
      </c>
      <c r="AI305" s="162">
        <f t="shared" si="588"/>
        <v>200</v>
      </c>
      <c r="AJ305" s="162">
        <f t="shared" si="588"/>
        <v>200</v>
      </c>
      <c r="AK305" s="227">
        <f t="shared" si="589"/>
        <v>-200</v>
      </c>
      <c r="AL305" s="268">
        <f t="shared" si="455"/>
        <v>0</v>
      </c>
      <c r="AM305" s="162">
        <f t="shared" si="590"/>
        <v>0</v>
      </c>
      <c r="AN305" s="162">
        <f t="shared" si="591"/>
        <v>0</v>
      </c>
      <c r="AO305" s="162">
        <f t="shared" si="591"/>
        <v>0</v>
      </c>
      <c r="AP305" s="162">
        <f t="shared" si="591"/>
        <v>300</v>
      </c>
      <c r="AQ305" s="162">
        <f t="shared" si="591"/>
        <v>0</v>
      </c>
      <c r="AR305" s="162">
        <f t="shared" si="591"/>
        <v>300</v>
      </c>
      <c r="AS305" s="162">
        <f t="shared" si="591"/>
        <v>600</v>
      </c>
      <c r="AT305" s="227">
        <f>AM305-AS305</f>
        <v>-600</v>
      </c>
      <c r="AU305" s="268">
        <f t="shared" si="456"/>
        <v>0</v>
      </c>
      <c r="AV305" s="162">
        <f t="shared" si="592"/>
        <v>0</v>
      </c>
      <c r="AW305" s="13">
        <f t="shared" si="421"/>
        <v>0</v>
      </c>
      <c r="AX305" s="13">
        <f t="shared" si="421"/>
        <v>0</v>
      </c>
      <c r="AY305" s="13">
        <f t="shared" si="421"/>
        <v>0</v>
      </c>
      <c r="AZ305" s="13">
        <f t="shared" si="421"/>
        <v>0</v>
      </c>
      <c r="BA305" s="13">
        <f t="shared" si="475"/>
        <v>0</v>
      </c>
      <c r="BB305" s="227">
        <f t="shared" si="593"/>
        <v>0</v>
      </c>
      <c r="BC305" s="268">
        <f t="shared" si="458"/>
        <v>0</v>
      </c>
      <c r="BD305" s="162">
        <f t="shared" si="594"/>
        <v>0</v>
      </c>
      <c r="BE305" s="13">
        <f>SUMIFS(SALIDAS_BIT,FECHA_BIT,"&gt;="&amp;BE$2,FECHA_BIT,"&lt;="&amp;BE$3,CLAVE_BIT,$A305)+SUMIFS(SALIDAS_BOV1,FECHA_BOV1,"&gt;="&amp;BE$2,FECHA_BOV1,"&lt;="&amp;BE$3,CLAVE_BOV1,$A305)+SUMIFS(SALIDAS_BOV2,FECHA_BOV2,"&gt;="&amp;BE$2,FECHA_BOV2,"&lt;="&amp;BE$3,CLAVE_BOV2,$A305)+SUMIFS(SALIDAS_BOV3,FECHA_BOV3,"&gt;="&amp;BE$2,FECHA_BOV3,"&lt;="&amp;BE$3,CLAVE_BOV3,$A305)+SUMIFS(SALIDAS_TC,FECHA_TC,"&gt;="&amp;BE$2,FECHA_TC,"&lt;="&amp;BE$3,CLAVE_TC,$A305)+SUMIFS(SALIDAS_COMB,FECHA_COMB,"&gt;="&amp;BE$2,FECHA_COMB,"&lt;="&amp;BE$3,CLAVE_COMB,$A305)+SUMIFS(SALIDAS_DES,FECHA_DESGLOSEN,"&gt;="&amp;BE$2,FECHA_DESGLOSEN,"&lt;="&amp;BE$3,CLAVE_DESGLOSE,$A305)</f>
        <v>0</v>
      </c>
      <c r="BF305" s="13">
        <f>SUMIFS(SALIDAS_BIT,FECHA_BIT,"&gt;="&amp;BF$2,FECHA_BIT,"&lt;="&amp;BF$3,CLAVE_BIT,$A305)+SUMIFS(SALIDAS_BOV1,FECHA_BOV1,"&gt;="&amp;BF$2,FECHA_BOV1,"&lt;="&amp;BF$3,CLAVE_BOV1,$A305)+SUMIFS(SALIDAS_BOV2,FECHA_BOV2,"&gt;="&amp;BF$2,FECHA_BOV2,"&lt;="&amp;BF$3,CLAVE_BOV2,$A305)+SUMIFS(SALIDAS_BOV3,FECHA_BOV3,"&gt;="&amp;BF$2,FECHA_BOV3,"&lt;="&amp;BF$3,CLAVE_BOV3,$A305)+SUMIFS(SALIDAS_TC,FECHA_TC,"&gt;="&amp;BF$2,FECHA_TC,"&lt;="&amp;BF$3,CLAVE_TC,$A305)+SUMIFS(SALIDAS_COMB,FECHA_COMB,"&gt;="&amp;BF$2,FECHA_COMB,"&lt;="&amp;BF$3,CLAVE_COMB,$A305)+SUMIFS(SALIDAS_DES,FECHA_DESGLOSEN,"&gt;="&amp;BF$2,FECHA_DESGLOSEN,"&lt;="&amp;BF$3,CLAVE_DESGLOSE,$A305)</f>
        <v>0</v>
      </c>
      <c r="BG305" s="13">
        <f>SUMIFS(SALIDAS_BIT,FECHA_BIT,"&gt;="&amp;BG$2,FECHA_BIT,"&lt;="&amp;BG$3,CLAVE_BIT,$A305)+SUMIFS(SALIDAS_BOV1,FECHA_BOV1,"&gt;="&amp;BG$2,FECHA_BOV1,"&lt;="&amp;BG$3,CLAVE_BOV1,$A305)+SUMIFS(SALIDAS_BOV2,FECHA_BOV2,"&gt;="&amp;BG$2,FECHA_BOV2,"&lt;="&amp;BG$3,CLAVE_BOV2,$A305)+SUMIFS(SALIDAS_BOV3,FECHA_BOV3,"&gt;="&amp;BG$2,FECHA_BOV3,"&lt;="&amp;BG$3,CLAVE_BOV3,$A305)+SUMIFS(SALIDAS_TC,FECHA_TC,"&gt;="&amp;BG$2,FECHA_TC,"&lt;="&amp;BG$3,CLAVE_TC,$A305)+SUMIFS(SALIDAS_COMB,FECHA_COMB,"&gt;="&amp;BG$2,FECHA_COMB,"&lt;="&amp;BG$3,CLAVE_COMB,$A305)+SUMIFS(SALIDAS_DES,FECHA_DESGLOSEN,"&gt;="&amp;BG$2,FECHA_DESGLOSEN,"&lt;="&amp;BG$3,CLAVE_DESGLOSE,$A305)</f>
        <v>306</v>
      </c>
      <c r="BH305" s="13">
        <f>SUMIFS(SALIDAS_BIT,FECHA_BIT,"&gt;="&amp;BH$2,FECHA_BIT,"&lt;="&amp;BH$3,CLAVE_BIT,$A305)+SUMIFS(SALIDAS_BOV1,FECHA_BOV1,"&gt;="&amp;BH$2,FECHA_BOV1,"&lt;="&amp;BH$3,CLAVE_BOV1,$A305)+SUMIFS(SALIDAS_BOV2,FECHA_BOV2,"&gt;="&amp;BH$2,FECHA_BOV2,"&lt;="&amp;BH$3,CLAVE_BOV2,$A305)+SUMIFS(SALIDAS_BOV3,FECHA_BOV3,"&gt;="&amp;BH$2,FECHA_BOV3,"&lt;="&amp;BH$3,CLAVE_BOV3,$A305)+SUMIFS(SALIDAS_TC,FECHA_TC,"&gt;="&amp;BH$2,FECHA_TC,"&lt;="&amp;BH$3,CLAVE_TC,$A305)+SUMIFS(SALIDAS_COMB,FECHA_COMB,"&gt;="&amp;BH$2,FECHA_COMB,"&lt;="&amp;BH$3,CLAVE_COMB,$A305)+SUMIFS(SALIDAS_DES,FECHA_DESGLOSEN,"&gt;="&amp;BH$2,FECHA_DESGLOSEN,"&lt;="&amp;BH$3,CLAVE_DESGLOSE,$A305)</f>
        <v>0</v>
      </c>
      <c r="BI305" s="162">
        <f t="shared" si="595"/>
        <v>306</v>
      </c>
      <c r="BJ305" s="227">
        <f t="shared" si="596"/>
        <v>-306</v>
      </c>
      <c r="BK305" s="268">
        <f t="shared" si="461"/>
        <v>0</v>
      </c>
      <c r="BL305" s="162">
        <f t="shared" si="597"/>
        <v>0</v>
      </c>
      <c r="BM305" s="13">
        <f>SUMIFS(SALIDAS_BIT,FECHA_BIT,"&gt;="&amp;BM$2,FECHA_BIT,"&lt;="&amp;BM$3,CLAVE_BIT,$A305)+SUMIFS(SALIDAS_BOV1,FECHA_BOV1,"&gt;="&amp;BM$2,FECHA_BOV1,"&lt;="&amp;BM$3,CLAVE_BOV1,$A305)+SUMIFS(SALIDAS_BOV2,FECHA_BOV2,"&gt;="&amp;BM$2,FECHA_BOV2,"&lt;="&amp;BM$3,CLAVE_BOV2,$A305)+SUMIFS(SALIDAS_BOV3,FECHA_BOV3,"&gt;="&amp;BM$2,FECHA_BOV3,"&lt;="&amp;BM$3,CLAVE_BOV3,$A305)+SUMIFS(SALIDAS_TC,FECHA_TC,"&gt;="&amp;BM$2,FECHA_TC,"&lt;="&amp;BM$3,CLAVE_TC,$A305)+SUMIFS(SALIDAS_COMB,FECHA_COMB,"&gt;="&amp;BM$2,FECHA_COMB,"&lt;="&amp;BM$3,CLAVE_COMB,$A305)+SUMIFS(SALIDAS_DES,FECHA_DESGLOSEN,"&gt;="&amp;BM$2,FECHA_DESGLOSEN,"&lt;="&amp;BM$3,CLAVE_DESGLOSE,$A305)</f>
        <v>0</v>
      </c>
      <c r="BN305" s="13">
        <f>SUMIFS(SALIDAS_BIT,FECHA_BIT,"&gt;="&amp;BN$2,FECHA_BIT,"&lt;="&amp;BN$3,CLAVE_BIT,$A305)+SUMIFS(SALIDAS_BOV1,FECHA_BOV1,"&gt;="&amp;BN$2,FECHA_BOV1,"&lt;="&amp;BN$3,CLAVE_BOV1,$A305)+SUMIFS(SALIDAS_BOV2,FECHA_BOV2,"&gt;="&amp;BN$2,FECHA_BOV2,"&lt;="&amp;BN$3,CLAVE_BOV2,$A305)+SUMIFS(SALIDAS_BOV3,FECHA_BOV3,"&gt;="&amp;BN$2,FECHA_BOV3,"&lt;="&amp;BN$3,CLAVE_BOV3,$A305)+SUMIFS(SALIDAS_TC,FECHA_TC,"&gt;="&amp;BN$2,FECHA_TC,"&lt;="&amp;BN$3,CLAVE_TC,$A305)+SUMIFS(SALIDAS_COMB,FECHA_COMB,"&gt;="&amp;BN$2,FECHA_COMB,"&lt;="&amp;BN$3,CLAVE_COMB,$A305)+SUMIFS(SALIDAS_DES,FECHA_DESGLOSEN,"&gt;="&amp;BN$2,FECHA_DESGLOSEN,"&lt;="&amp;BN$3,CLAVE_DESGLOSE,$A305)</f>
        <v>43</v>
      </c>
      <c r="BO305" s="13">
        <f>SUMIFS(SALIDAS_BIT,FECHA_BIT,"&gt;="&amp;BO$2,FECHA_BIT,"&lt;="&amp;BO$3,CLAVE_BIT,$A305)+SUMIFS(SALIDAS_BOV1,FECHA_BOV1,"&gt;="&amp;BO$2,FECHA_BOV1,"&lt;="&amp;BO$3,CLAVE_BOV1,$A305)+SUMIFS(SALIDAS_BOV2,FECHA_BOV2,"&gt;="&amp;BO$2,FECHA_BOV2,"&lt;="&amp;BO$3,CLAVE_BOV2,$A305)+SUMIFS(SALIDAS_BOV3,FECHA_BOV3,"&gt;="&amp;BO$2,FECHA_BOV3,"&lt;="&amp;BO$3,CLAVE_BOV3,$A305)+SUMIFS(SALIDAS_TC,FECHA_TC,"&gt;="&amp;BO$2,FECHA_TC,"&lt;="&amp;BO$3,CLAVE_TC,$A305)+SUMIFS(SALIDAS_COMB,FECHA_COMB,"&gt;="&amp;BO$2,FECHA_COMB,"&lt;="&amp;BO$3,CLAVE_COMB,$A305)+SUMIFS(SALIDAS_DES,FECHA_DESGLOSEN,"&gt;="&amp;BO$2,FECHA_DESGLOSEN,"&lt;="&amp;BO$3,CLAVE_DESGLOSE,$A305)</f>
        <v>257</v>
      </c>
      <c r="BP305" s="13">
        <f>SUMIFS(SALIDAS_BIT,FECHA_BIT,"&gt;="&amp;BP$2,FECHA_BIT,"&lt;="&amp;BP$3,CLAVE_BIT,$A305)+SUMIFS(SALIDAS_BOV1,FECHA_BOV1,"&gt;="&amp;BP$2,FECHA_BOV1,"&lt;="&amp;BP$3,CLAVE_BOV1,$A305)+SUMIFS(SALIDAS_BOV2,FECHA_BOV2,"&gt;="&amp;BP$2,FECHA_BOV2,"&lt;="&amp;BP$3,CLAVE_BOV2,$A305)+SUMIFS(SALIDAS_BOV3,FECHA_BOV3,"&gt;="&amp;BP$2,FECHA_BOV3,"&lt;="&amp;BP$3,CLAVE_BOV3,$A305)+SUMIFS(SALIDAS_TC,FECHA_TC,"&gt;="&amp;BP$2,FECHA_TC,"&lt;="&amp;BP$3,CLAVE_TC,$A305)+SUMIFS(SALIDAS_COMB,FECHA_COMB,"&gt;="&amp;BP$2,FECHA_COMB,"&lt;="&amp;BP$3,CLAVE_COMB,$A305)+SUMIFS(SALIDAS_DES,FECHA_DESGLOSEN,"&gt;="&amp;BP$2,FECHA_DESGLOSEN,"&lt;="&amp;BP$3,CLAVE_DESGLOSE,$A305)</f>
        <v>0</v>
      </c>
      <c r="BQ305" s="13">
        <f>SUMIFS(SALIDAS_BIT,FECHA_BIT,"&gt;="&amp;BQ$2,FECHA_BIT,"&lt;="&amp;BQ$3,CLAVE_BIT,$A305)+SUMIFS(SALIDAS_BOV1,FECHA_BOV1,"&gt;="&amp;BQ$2,FECHA_BOV1,"&lt;="&amp;BQ$3,CLAVE_BOV1,$A305)+SUMIFS(SALIDAS_BOV2,FECHA_BOV2,"&gt;="&amp;BQ$2,FECHA_BOV2,"&lt;="&amp;BQ$3,CLAVE_BOV2,$A305)+SUMIFS(SALIDAS_BOV3,FECHA_BOV3,"&gt;="&amp;BQ$2,FECHA_BOV3,"&lt;="&amp;BQ$3,CLAVE_BOV3,$A305)+SUMIFS(SALIDAS_TC,FECHA_TC,"&gt;="&amp;BQ$2,FECHA_TC,"&lt;="&amp;BQ$3,CLAVE_TC,$A305)+SUMIFS(SALIDAS_COMB,FECHA_COMB,"&gt;="&amp;BQ$2,FECHA_COMB,"&lt;="&amp;BQ$3,CLAVE_COMB,$A305)+SUMIFS(SALIDAS_DES,FECHA_DESGLOSEN,"&gt;="&amp;BQ$2,FECHA_DESGLOSEN,"&lt;="&amp;BQ$3,CLAVE_DESGLOSE,$A305)</f>
        <v>0</v>
      </c>
      <c r="BR305" s="162">
        <f t="shared" si="598"/>
        <v>300</v>
      </c>
      <c r="BS305" s="227">
        <f t="shared" si="599"/>
        <v>-300</v>
      </c>
      <c r="BT305" s="268">
        <f t="shared" si="464"/>
        <v>0</v>
      </c>
      <c r="BU305" s="162">
        <f t="shared" si="600"/>
        <v>0</v>
      </c>
      <c r="BV305" s="13">
        <f t="shared" si="485"/>
        <v>250</v>
      </c>
      <c r="BW305" s="13">
        <f t="shared" si="485"/>
        <v>0</v>
      </c>
      <c r="BX305" s="13">
        <f t="shared" si="485"/>
        <v>400</v>
      </c>
      <c r="BY305" s="13">
        <f t="shared" si="485"/>
        <v>400</v>
      </c>
      <c r="BZ305" s="162">
        <f t="shared" si="601"/>
        <v>1050</v>
      </c>
      <c r="CA305" s="227">
        <f t="shared" si="602"/>
        <v>-1050</v>
      </c>
      <c r="CB305" s="268">
        <f t="shared" si="467"/>
        <v>0</v>
      </c>
      <c r="CC305" s="162">
        <f t="shared" si="603"/>
        <v>0</v>
      </c>
      <c r="CD305" s="13">
        <f t="shared" si="486"/>
        <v>0</v>
      </c>
      <c r="CE305" s="13">
        <f t="shared" si="486"/>
        <v>0</v>
      </c>
      <c r="CF305" s="13">
        <f t="shared" si="486"/>
        <v>0</v>
      </c>
      <c r="CG305" s="13">
        <f t="shared" si="486"/>
        <v>0</v>
      </c>
      <c r="CH305" s="162">
        <f t="shared" si="604"/>
        <v>0</v>
      </c>
      <c r="CI305" s="227">
        <f t="shared" si="605"/>
        <v>0</v>
      </c>
      <c r="CJ305" s="268">
        <f t="shared" si="470"/>
        <v>0</v>
      </c>
      <c r="CK305" s="162">
        <f t="shared" si="606"/>
        <v>0</v>
      </c>
      <c r="CL305" s="13">
        <f t="shared" si="495"/>
        <v>0</v>
      </c>
      <c r="CM305" s="13">
        <f t="shared" si="495"/>
        <v>650</v>
      </c>
      <c r="CN305" s="13">
        <f t="shared" si="495"/>
        <v>2150</v>
      </c>
      <c r="CO305" s="13">
        <f t="shared" si="495"/>
        <v>1263</v>
      </c>
      <c r="CP305" s="13">
        <f t="shared" si="495"/>
        <v>0</v>
      </c>
      <c r="CQ305" s="162">
        <f t="shared" si="607"/>
        <v>4063</v>
      </c>
      <c r="CR305" s="227">
        <f t="shared" si="608"/>
        <v>-4063</v>
      </c>
      <c r="CS305" s="268">
        <f t="shared" si="473"/>
        <v>0</v>
      </c>
      <c r="CT305" s="68">
        <f t="shared" si="446"/>
        <v>1500</v>
      </c>
      <c r="CU305" s="13">
        <f>SUMIFS(SALIDAS_BIT,FECHA_BIT,"&gt;="&amp;CU$2,FECHA_BIT,"&lt;="&amp;CU$3,CLAVE_BIT,$A305)+SUMIFS(SALIDAS_BOV1,FECHA_BOV1,"&gt;="&amp;CU$2,FECHA_BOV1,"&lt;="&amp;CU$3,CLAVE_BOV1,$A305)+SUMIFS(SALIDAS_BOV2,FECHA_BOV2,"&gt;="&amp;CU$2,FECHA_BOV2,"&lt;="&amp;CU$3,CLAVE_BOV2,$A305)+SUMIFS(SALIDAS_BOV3,FECHA_BOV3,"&gt;="&amp;CU$2,FECHA_BOV3,"&lt;="&amp;CU$3,CLAVE_BOV3,$A305)+SUMIFS(SALIDAS_TC,FECHA_TC,"&gt;="&amp;CU$2,FECHA_TC,"&lt;="&amp;CU$3,CLAVE_TC,$A305)+SUMIFS(SALIDAS_COMB,FECHA_COMB,"&gt;="&amp;CU$2,FECHA_COMB,"&lt;="&amp;CU$3,CLAVE_COMB,$A305)+SUMIFS(SALIDAS_DES,FECHA_DESGLOSEN,"&gt;="&amp;CU$2,FECHA_DESGLOSEN,"&lt;="&amp;CU$3,CLAVE_DESGLOSE,$A305)</f>
        <v>0</v>
      </c>
      <c r="CV305" s="13">
        <f>SUMIFS(SALIDAS_BIT,FECHA_BIT,"&gt;="&amp;CV$2,FECHA_BIT,"&lt;="&amp;CV$3,CLAVE_BIT,$A305)+SUMIFS(SALIDAS_BOV1,FECHA_BOV1,"&gt;="&amp;CV$2,FECHA_BOV1,"&lt;="&amp;CV$3,CLAVE_BOV1,$A305)+SUMIFS(SALIDAS_BOV2,FECHA_BOV2,"&gt;="&amp;CV$2,FECHA_BOV2,"&lt;="&amp;CV$3,CLAVE_BOV2,$A305)+SUMIFS(SALIDAS_BOV3,FECHA_BOV3,"&gt;="&amp;CV$2,FECHA_BOV3,"&lt;="&amp;CV$3,CLAVE_BOV3,$A305)+SUMIFS(SALIDAS_TC,FECHA_TC,"&gt;="&amp;CV$2,FECHA_TC,"&lt;="&amp;CV$3,CLAVE_TC,$A305)+SUMIFS(SALIDAS_COMB,FECHA_COMB,"&gt;="&amp;CV$2,FECHA_COMB,"&lt;="&amp;CV$3,CLAVE_COMB,$A305)+SUMIFS(SALIDAS_DES,FECHA_DESGLOSEN,"&gt;="&amp;CV$2,FECHA_DESGLOSEN,"&lt;="&amp;CV$3,CLAVE_DESGLOSE,$A305)</f>
        <v>0</v>
      </c>
      <c r="CW305" s="13">
        <f>SUMIFS(SALIDAS_BIT,FECHA_BIT,"&gt;="&amp;CW$2,FECHA_BIT,"&lt;="&amp;CW$3,CLAVE_BIT,$A305)+SUMIFS(SALIDAS_BOV1,FECHA_BOV1,"&gt;="&amp;CW$2,FECHA_BOV1,"&lt;="&amp;CW$3,CLAVE_BOV1,$A305)+SUMIFS(SALIDAS_BOV2,FECHA_BOV2,"&gt;="&amp;CW$2,FECHA_BOV2,"&lt;="&amp;CW$3,CLAVE_BOV2,$A305)+SUMIFS(SALIDAS_BOV3,FECHA_BOV3,"&gt;="&amp;CW$2,FECHA_BOV3,"&lt;="&amp;CW$3,CLAVE_BOV3,$A305)+SUMIFS(SALIDAS_TC,FECHA_TC,"&gt;="&amp;CW$2,FECHA_TC,"&lt;="&amp;CW$3,CLAVE_TC,$A305)+SUMIFS(SALIDAS_COMB,FECHA_COMB,"&gt;="&amp;CW$2,FECHA_COMB,"&lt;="&amp;CW$3,CLAVE_COMB,$A305)+SUMIFS(SALIDAS_DES,FECHA_DESGLOSEN,"&gt;="&amp;CW$2,FECHA_DESGLOSEN,"&lt;="&amp;CW$3,CLAVE_DESGLOSE,$A305)</f>
        <v>0</v>
      </c>
      <c r="CX305" s="13">
        <f>SUMIFS(SALIDAS_BIT,FECHA_BIT,"&gt;="&amp;CX$2,FECHA_BIT,"&lt;="&amp;CX$3,CLAVE_BIT,$A305)+SUMIFS(SALIDAS_BOV1,FECHA_BOV1,"&gt;="&amp;CX$2,FECHA_BOV1,"&lt;="&amp;CX$3,CLAVE_BOV1,$A305)+SUMIFS(SALIDAS_BOV2,FECHA_BOV2,"&gt;="&amp;CX$2,FECHA_BOV2,"&lt;="&amp;CX$3,CLAVE_BOV2,$A305)+SUMIFS(SALIDAS_BOV3,FECHA_BOV3,"&gt;="&amp;CX$2,FECHA_BOV3,"&lt;="&amp;CX$3,CLAVE_BOV3,$A305)+SUMIFS(SALIDAS_TC,FECHA_TC,"&gt;="&amp;CX$2,FECHA_TC,"&lt;="&amp;CX$3,CLAVE_TC,$A305)+SUMIFS(SALIDAS_COMB,FECHA_COMB,"&gt;="&amp;CX$2,FECHA_COMB,"&lt;="&amp;CX$3,CLAVE_COMB,$A305)+SUMIFS(SALIDAS_DES,FECHA_DESGLOSEN,"&gt;="&amp;CX$2,FECHA_DESGLOSEN,"&lt;="&amp;CX$3,CLAVE_DESGLOSE,$A305)</f>
        <v>0</v>
      </c>
      <c r="CY305" s="13">
        <f>SUMIFS(SALIDAS_BIT,FECHA_BIT,"&gt;="&amp;CY$2,FECHA_BIT,"&lt;="&amp;CY$3,CLAVE_BIT,$A305)+SUMIFS(SALIDAS_BOV1,FECHA_BOV1,"&gt;="&amp;CY$2,FECHA_BOV1,"&lt;="&amp;CY$3,CLAVE_BOV1,$A305)+SUMIFS(SALIDAS_BOV2,FECHA_BOV2,"&gt;="&amp;CY$2,FECHA_BOV2,"&lt;="&amp;CY$3,CLAVE_BOV2,$A305)+SUMIFS(SALIDAS_BOV3,FECHA_BOV3,"&gt;="&amp;CY$2,FECHA_BOV3,"&lt;="&amp;CY$3,CLAVE_BOV3,$A305)+SUMIFS(SALIDAS_TC,FECHA_TC,"&gt;="&amp;CY$2,FECHA_TC,"&lt;="&amp;CY$3,CLAVE_TC,$A305)+SUMIFS(SALIDAS_COMB,FECHA_COMB,"&gt;="&amp;CY$2,FECHA_COMB,"&lt;="&amp;CY$3,CLAVE_COMB,$A305)+SUMIFS(SALIDAS_DES,FECHA_DESGLOSEN,"&gt;="&amp;CY$2,FECHA_DESGLOSEN,"&lt;="&amp;CY$3,CLAVE_DESGLOSE,$A305)</f>
        <v>0</v>
      </c>
      <c r="CZ305" s="68">
        <f t="shared" si="474"/>
        <v>1500</v>
      </c>
      <c r="DB305" s="17">
        <f>F305+N305+W305+AE305+AM305+AV305+BD305+BL305+BU305+CC305+CK305</f>
        <v>0</v>
      </c>
      <c r="DC305" s="17">
        <f>K305+T305+AB305+AJ305+AS305+BA305+BI305+BR305+BZ305+CH305+CQ305</f>
        <v>7359</v>
      </c>
    </row>
    <row r="306" spans="1:107" hidden="1">
      <c r="A306" s="12" t="str">
        <f t="shared" si="551"/>
        <v>FINANZASOTROS GASTOSPRESTAMO</v>
      </c>
      <c r="B306">
        <v>307</v>
      </c>
      <c r="C306" t="s">
        <v>23</v>
      </c>
      <c r="D306" t="s">
        <v>156</v>
      </c>
      <c r="E306" t="s">
        <v>157</v>
      </c>
      <c r="F306" s="260">
        <f t="shared" si="579"/>
        <v>0</v>
      </c>
      <c r="G306" s="261">
        <f t="shared" si="580"/>
        <v>0</v>
      </c>
      <c r="H306" s="261">
        <f t="shared" si="580"/>
        <v>0</v>
      </c>
      <c r="I306" s="261">
        <f t="shared" si="580"/>
        <v>0</v>
      </c>
      <c r="J306" s="261">
        <f t="shared" si="580"/>
        <v>0</v>
      </c>
      <c r="K306" s="261">
        <f t="shared" si="580"/>
        <v>0</v>
      </c>
      <c r="L306" s="262">
        <f t="shared" si="581"/>
        <v>0</v>
      </c>
      <c r="M306" s="268">
        <f t="shared" si="449"/>
        <v>0</v>
      </c>
      <c r="N306" s="162">
        <f t="shared" si="582"/>
        <v>0</v>
      </c>
      <c r="O306" s="162">
        <f t="shared" si="583"/>
        <v>0</v>
      </c>
      <c r="P306" s="162">
        <f t="shared" si="583"/>
        <v>5000</v>
      </c>
      <c r="Q306" s="162">
        <f t="shared" si="583"/>
        <v>1355</v>
      </c>
      <c r="R306" s="162">
        <f t="shared" si="583"/>
        <v>0</v>
      </c>
      <c r="S306" s="162">
        <f t="shared" si="583"/>
        <v>0</v>
      </c>
      <c r="T306" s="162">
        <f t="shared" si="583"/>
        <v>6355</v>
      </c>
      <c r="U306" s="68">
        <f t="shared" ref="U306" si="609">N306-T306</f>
        <v>-6355</v>
      </c>
      <c r="V306" s="268">
        <f t="shared" si="451"/>
        <v>0</v>
      </c>
      <c r="W306" s="162">
        <f t="shared" si="584"/>
        <v>0</v>
      </c>
      <c r="X306" s="162">
        <f t="shared" si="585"/>
        <v>0</v>
      </c>
      <c r="Y306" s="162">
        <f t="shared" si="585"/>
        <v>0</v>
      </c>
      <c r="Z306" s="162">
        <f t="shared" si="585"/>
        <v>0</v>
      </c>
      <c r="AA306" s="162">
        <f t="shared" si="585"/>
        <v>0</v>
      </c>
      <c r="AB306" s="162">
        <f t="shared" si="585"/>
        <v>0</v>
      </c>
      <c r="AC306" s="227">
        <f t="shared" si="586"/>
        <v>0</v>
      </c>
      <c r="AD306" s="268">
        <f t="shared" si="453"/>
        <v>0</v>
      </c>
      <c r="AE306" s="162">
        <f t="shared" si="587"/>
        <v>0</v>
      </c>
      <c r="AF306" s="162">
        <f t="shared" si="588"/>
        <v>0</v>
      </c>
      <c r="AG306" s="162">
        <f t="shared" si="588"/>
        <v>0</v>
      </c>
      <c r="AH306" s="162">
        <f t="shared" si="588"/>
        <v>3000</v>
      </c>
      <c r="AI306" s="162">
        <f t="shared" si="588"/>
        <v>37000</v>
      </c>
      <c r="AJ306" s="162">
        <f>SUMIFS(SALIDAS_BIT,FECHA_BIT,"&gt;="&amp;AJ$2,FECHA_BIT,"&lt;="&amp;AJ$3,CLAVE_BIT,$A306)+SUMIFS(SALIDAS_BOV1,FECHA_BOV1,"&gt;="&amp;AJ$2,FECHA_BOV1,"&lt;="&amp;AJ$3,CLAVE_BOV1,$A306)+SUMIFS(SALIDAS_BOV2,FECHA_BOV2,"&gt;="&amp;AJ$2,FECHA_BOV2,"&lt;="&amp;AJ$3,CLAVE_BOV2,$A306)+SUMIFS(SALIDAS_BOV3,FECHA_BOV3,"&gt;="&amp;AJ$2,FECHA_BOV3,"&lt;="&amp;AJ$3,CLAVE_BOV3,$A306)+SUMIFS(SALIDAS_TC,FECHA_TC,"&gt;="&amp;AJ$2,FECHA_TC,"&lt;="&amp;AJ$3,CLAVE_TC,$A306)+SUMIFS(SALIDAS_COMB,FECHA_COMB,"&gt;="&amp;AJ$2,FECHA_COMB,"&lt;="&amp;AJ$3,CLAVE_COMB,$A306)+SUMIFS(SALIDAS_DES,FECHA_DESGLOSEN,"&gt;="&amp;AJ$2,FECHA_DESGLOSEN,"&lt;="&amp;AJ$3,CLAVE_DESGLOSE,$A306)</f>
        <v>40000</v>
      </c>
      <c r="AK306" s="227">
        <f t="shared" si="589"/>
        <v>-40000</v>
      </c>
      <c r="AL306" s="268">
        <f t="shared" si="455"/>
        <v>0</v>
      </c>
      <c r="AM306" s="162">
        <f t="shared" si="590"/>
        <v>0</v>
      </c>
      <c r="AN306" s="162">
        <f t="shared" si="591"/>
        <v>7000</v>
      </c>
      <c r="AO306" s="162">
        <f t="shared" si="591"/>
        <v>0</v>
      </c>
      <c r="AP306" s="162">
        <f t="shared" si="591"/>
        <v>0</v>
      </c>
      <c r="AQ306" s="162">
        <f t="shared" si="591"/>
        <v>5000</v>
      </c>
      <c r="AR306" s="162">
        <f t="shared" si="591"/>
        <v>0</v>
      </c>
      <c r="AS306" s="162">
        <f t="shared" si="591"/>
        <v>12000</v>
      </c>
      <c r="AT306" s="227">
        <f>AM306-AS306</f>
        <v>-12000</v>
      </c>
      <c r="AU306" s="268">
        <f t="shared" si="456"/>
        <v>0</v>
      </c>
      <c r="AV306" s="162">
        <f t="shared" si="592"/>
        <v>0</v>
      </c>
      <c r="AW306" s="13">
        <f t="shared" si="421"/>
        <v>0</v>
      </c>
      <c r="AX306" s="13">
        <f t="shared" si="421"/>
        <v>15000</v>
      </c>
      <c r="AY306" s="13">
        <f t="shared" si="421"/>
        <v>0</v>
      </c>
      <c r="AZ306" s="13">
        <f t="shared" si="421"/>
        <v>25000</v>
      </c>
      <c r="BA306" s="13">
        <f t="shared" si="475"/>
        <v>40000</v>
      </c>
      <c r="BB306" s="227">
        <f t="shared" si="593"/>
        <v>-40000</v>
      </c>
      <c r="BC306" s="268">
        <f t="shared" si="458"/>
        <v>0</v>
      </c>
      <c r="BD306" s="162">
        <f t="shared" si="594"/>
        <v>0</v>
      </c>
      <c r="BE306" s="13">
        <f>SUMIFS(SALIDAS_BIT,FECHA_BIT,"&gt;="&amp;BE$2,FECHA_BIT,"&lt;="&amp;BE$3,CLAVE_BIT,$A306)+SUMIFS(SALIDAS_BOV1,FECHA_BOV1,"&gt;="&amp;BE$2,FECHA_BOV1,"&lt;="&amp;BE$3,CLAVE_BOV1,$A306)+SUMIFS(SALIDAS_BOV2,FECHA_BOV2,"&gt;="&amp;BE$2,FECHA_BOV2,"&lt;="&amp;BE$3,CLAVE_BOV2,$A306)+SUMIFS(SALIDAS_BOV3,FECHA_BOV3,"&gt;="&amp;BE$2,FECHA_BOV3,"&lt;="&amp;BE$3,CLAVE_BOV3,$A306)+SUMIFS(SALIDAS_TC,FECHA_TC,"&gt;="&amp;BE$2,FECHA_TC,"&lt;="&amp;BE$3,CLAVE_TC,$A306)+SUMIFS(SALIDAS_COMB,FECHA_COMB,"&gt;="&amp;BE$2,FECHA_COMB,"&lt;="&amp;BE$3,CLAVE_COMB,$A306)+SUMIFS(SALIDAS_DES,FECHA_DESGLOSEN,"&gt;="&amp;BE$2,FECHA_DESGLOSEN,"&lt;="&amp;BE$3,CLAVE_DESGLOSE,$A306)</f>
        <v>1200</v>
      </c>
      <c r="BF306" s="13">
        <f>SUMIFS(SALIDAS_BIT,FECHA_BIT,"&gt;="&amp;BF$2,FECHA_BIT,"&lt;="&amp;BF$3,CLAVE_BIT,$A306)+SUMIFS(SALIDAS_BOV1,FECHA_BOV1,"&gt;="&amp;BF$2,FECHA_BOV1,"&lt;="&amp;BF$3,CLAVE_BOV1,$A306)+SUMIFS(SALIDAS_BOV2,FECHA_BOV2,"&gt;="&amp;BF$2,FECHA_BOV2,"&lt;="&amp;BF$3,CLAVE_BOV2,$A306)+SUMIFS(SALIDAS_BOV3,FECHA_BOV3,"&gt;="&amp;BF$2,FECHA_BOV3,"&lt;="&amp;BF$3,CLAVE_BOV3,$A306)+SUMIFS(SALIDAS_TC,FECHA_TC,"&gt;="&amp;BF$2,FECHA_TC,"&lt;="&amp;BF$3,CLAVE_TC,$A306)+SUMIFS(SALIDAS_COMB,FECHA_COMB,"&gt;="&amp;BF$2,FECHA_COMB,"&lt;="&amp;BF$3,CLAVE_COMB,$A306)+SUMIFS(SALIDAS_DES,FECHA_DESGLOSEN,"&gt;="&amp;BF$2,FECHA_DESGLOSEN,"&lt;="&amp;BF$3,CLAVE_DESGLOSE,$A306)</f>
        <v>0</v>
      </c>
      <c r="BG306" s="13">
        <f>SUMIFS(SALIDAS_BIT,FECHA_BIT,"&gt;="&amp;BG$2,FECHA_BIT,"&lt;="&amp;BG$3,CLAVE_BIT,$A306)+SUMIFS(SALIDAS_BOV1,FECHA_BOV1,"&gt;="&amp;BG$2,FECHA_BOV1,"&lt;="&amp;BG$3,CLAVE_BOV1,$A306)+SUMIFS(SALIDAS_BOV2,FECHA_BOV2,"&gt;="&amp;BG$2,FECHA_BOV2,"&lt;="&amp;BG$3,CLAVE_BOV2,$A306)+SUMIFS(SALIDAS_BOV3,FECHA_BOV3,"&gt;="&amp;BG$2,FECHA_BOV3,"&lt;="&amp;BG$3,CLAVE_BOV3,$A306)+SUMIFS(SALIDAS_TC,FECHA_TC,"&gt;="&amp;BG$2,FECHA_TC,"&lt;="&amp;BG$3,CLAVE_TC,$A306)+SUMIFS(SALIDAS_COMB,FECHA_COMB,"&gt;="&amp;BG$2,FECHA_COMB,"&lt;="&amp;BG$3,CLAVE_COMB,$A306)+SUMIFS(SALIDAS_DES,FECHA_DESGLOSEN,"&gt;="&amp;BG$2,FECHA_DESGLOSEN,"&lt;="&amp;BG$3,CLAVE_DESGLOSE,$A306)</f>
        <v>0</v>
      </c>
      <c r="BH306" s="13">
        <f>SUMIFS(SALIDAS_BIT,FECHA_BIT,"&gt;="&amp;BH$2,FECHA_BIT,"&lt;="&amp;BH$3,CLAVE_BIT,$A306)+SUMIFS(SALIDAS_BOV1,FECHA_BOV1,"&gt;="&amp;BH$2,FECHA_BOV1,"&lt;="&amp;BH$3,CLAVE_BOV1,$A306)+SUMIFS(SALIDAS_BOV2,FECHA_BOV2,"&gt;="&amp;BH$2,FECHA_BOV2,"&lt;="&amp;BH$3,CLAVE_BOV2,$A306)+SUMIFS(SALIDAS_BOV3,FECHA_BOV3,"&gt;="&amp;BH$2,FECHA_BOV3,"&lt;="&amp;BH$3,CLAVE_BOV3,$A306)+SUMIFS(SALIDAS_TC,FECHA_TC,"&gt;="&amp;BH$2,FECHA_TC,"&lt;="&amp;BH$3,CLAVE_TC,$A306)+SUMIFS(SALIDAS_COMB,FECHA_COMB,"&gt;="&amp;BH$2,FECHA_COMB,"&lt;="&amp;BH$3,CLAVE_COMB,$A306)+SUMIFS(SALIDAS_DES,FECHA_DESGLOSEN,"&gt;="&amp;BH$2,FECHA_DESGLOSEN,"&lt;="&amp;BH$3,CLAVE_DESGLOSE,$A306)</f>
        <v>0</v>
      </c>
      <c r="BI306" s="162">
        <f t="shared" si="595"/>
        <v>1200</v>
      </c>
      <c r="BJ306" s="227">
        <f t="shared" si="596"/>
        <v>-1200</v>
      </c>
      <c r="BK306" s="268">
        <f t="shared" si="461"/>
        <v>0</v>
      </c>
      <c r="BL306" s="162">
        <f t="shared" si="597"/>
        <v>0</v>
      </c>
      <c r="BM306" s="13">
        <f>SUMIFS(SALIDAS_BIT,FECHA_BIT,"&gt;="&amp;BM$2,FECHA_BIT,"&lt;="&amp;BM$3,CLAVE_BIT,$A306)+SUMIFS(SALIDAS_BOV1,FECHA_BOV1,"&gt;="&amp;BM$2,FECHA_BOV1,"&lt;="&amp;BM$3,CLAVE_BOV1,$A306)+SUMIFS(SALIDAS_BOV2,FECHA_BOV2,"&gt;="&amp;BM$2,FECHA_BOV2,"&lt;="&amp;BM$3,CLAVE_BOV2,$A306)+SUMIFS(SALIDAS_BOV3,FECHA_BOV3,"&gt;="&amp;BM$2,FECHA_BOV3,"&lt;="&amp;BM$3,CLAVE_BOV3,$A306)+SUMIFS(SALIDAS_TC,FECHA_TC,"&gt;="&amp;BM$2,FECHA_TC,"&lt;="&amp;BM$3,CLAVE_TC,$A306)+SUMIFS(SALIDAS_COMB,FECHA_COMB,"&gt;="&amp;BM$2,FECHA_COMB,"&lt;="&amp;BM$3,CLAVE_COMB,$A306)+SUMIFS(SALIDAS_DES,FECHA_DESGLOSEN,"&gt;="&amp;BM$2,FECHA_DESGLOSEN,"&lt;="&amp;BM$3,CLAVE_DESGLOSE,$A306)</f>
        <v>0</v>
      </c>
      <c r="BN306" s="13">
        <f>SUMIFS(SALIDAS_BIT,FECHA_BIT,"&gt;="&amp;BN$2,FECHA_BIT,"&lt;="&amp;BN$3,CLAVE_BIT,$A306)+SUMIFS(SALIDAS_BOV1,FECHA_BOV1,"&gt;="&amp;BN$2,FECHA_BOV1,"&lt;="&amp;BN$3,CLAVE_BOV1,$A306)+SUMIFS(SALIDAS_BOV2,FECHA_BOV2,"&gt;="&amp;BN$2,FECHA_BOV2,"&lt;="&amp;BN$3,CLAVE_BOV2,$A306)+SUMIFS(SALIDAS_BOV3,FECHA_BOV3,"&gt;="&amp;BN$2,FECHA_BOV3,"&lt;="&amp;BN$3,CLAVE_BOV3,$A306)+SUMIFS(SALIDAS_TC,FECHA_TC,"&gt;="&amp;BN$2,FECHA_TC,"&lt;="&amp;BN$3,CLAVE_TC,$A306)+SUMIFS(SALIDAS_COMB,FECHA_COMB,"&gt;="&amp;BN$2,FECHA_COMB,"&lt;="&amp;BN$3,CLAVE_COMB,$A306)+SUMIFS(SALIDAS_DES,FECHA_DESGLOSEN,"&gt;="&amp;BN$2,FECHA_DESGLOSEN,"&lt;="&amp;BN$3,CLAVE_DESGLOSE,$A306)</f>
        <v>0</v>
      </c>
      <c r="BO306" s="13">
        <f>SUMIFS(SALIDAS_BIT,FECHA_BIT,"&gt;="&amp;BO$2,FECHA_BIT,"&lt;="&amp;BO$3,CLAVE_BIT,$A306)+SUMIFS(SALIDAS_BOV1,FECHA_BOV1,"&gt;="&amp;BO$2,FECHA_BOV1,"&lt;="&amp;BO$3,CLAVE_BOV1,$A306)+SUMIFS(SALIDAS_BOV2,FECHA_BOV2,"&gt;="&amp;BO$2,FECHA_BOV2,"&lt;="&amp;BO$3,CLAVE_BOV2,$A306)+SUMIFS(SALIDAS_BOV3,FECHA_BOV3,"&gt;="&amp;BO$2,FECHA_BOV3,"&lt;="&amp;BO$3,CLAVE_BOV3,$A306)+SUMIFS(SALIDAS_TC,FECHA_TC,"&gt;="&amp;BO$2,FECHA_TC,"&lt;="&amp;BO$3,CLAVE_TC,$A306)+SUMIFS(SALIDAS_COMB,FECHA_COMB,"&gt;="&amp;BO$2,FECHA_COMB,"&lt;="&amp;BO$3,CLAVE_COMB,$A306)+SUMIFS(SALIDAS_DES,FECHA_DESGLOSEN,"&gt;="&amp;BO$2,FECHA_DESGLOSEN,"&lt;="&amp;BO$3,CLAVE_DESGLOSE,$A306)</f>
        <v>2500</v>
      </c>
      <c r="BP306" s="13">
        <f>SUMIFS(SALIDAS_BIT,FECHA_BIT,"&gt;="&amp;BP$2,FECHA_BIT,"&lt;="&amp;BP$3,CLAVE_BIT,$A306)+SUMIFS(SALIDAS_BOV1,FECHA_BOV1,"&gt;="&amp;BP$2,FECHA_BOV1,"&lt;="&amp;BP$3,CLAVE_BOV1,$A306)+SUMIFS(SALIDAS_BOV2,FECHA_BOV2,"&gt;="&amp;BP$2,FECHA_BOV2,"&lt;="&amp;BP$3,CLAVE_BOV2,$A306)+SUMIFS(SALIDAS_BOV3,FECHA_BOV3,"&gt;="&amp;BP$2,FECHA_BOV3,"&lt;="&amp;BP$3,CLAVE_BOV3,$A306)+SUMIFS(SALIDAS_TC,FECHA_TC,"&gt;="&amp;BP$2,FECHA_TC,"&lt;="&amp;BP$3,CLAVE_TC,$A306)+SUMIFS(SALIDAS_COMB,FECHA_COMB,"&gt;="&amp;BP$2,FECHA_COMB,"&lt;="&amp;BP$3,CLAVE_COMB,$A306)+SUMIFS(SALIDAS_DES,FECHA_DESGLOSEN,"&gt;="&amp;BP$2,FECHA_DESGLOSEN,"&lt;="&amp;BP$3,CLAVE_DESGLOSE,$A306)</f>
        <v>1500</v>
      </c>
      <c r="BQ306" s="13">
        <f>SUMIFS(SALIDAS_BIT,FECHA_BIT,"&gt;="&amp;BQ$2,FECHA_BIT,"&lt;="&amp;BQ$3,CLAVE_BIT,$A306)+SUMIFS(SALIDAS_BOV1,FECHA_BOV1,"&gt;="&amp;BQ$2,FECHA_BOV1,"&lt;="&amp;BQ$3,CLAVE_BOV1,$A306)+SUMIFS(SALIDAS_BOV2,FECHA_BOV2,"&gt;="&amp;BQ$2,FECHA_BOV2,"&lt;="&amp;BQ$3,CLAVE_BOV2,$A306)+SUMIFS(SALIDAS_BOV3,FECHA_BOV3,"&gt;="&amp;BQ$2,FECHA_BOV3,"&lt;="&amp;BQ$3,CLAVE_BOV3,$A306)+SUMIFS(SALIDAS_TC,FECHA_TC,"&gt;="&amp;BQ$2,FECHA_TC,"&lt;="&amp;BQ$3,CLAVE_TC,$A306)+SUMIFS(SALIDAS_COMB,FECHA_COMB,"&gt;="&amp;BQ$2,FECHA_COMB,"&lt;="&amp;BQ$3,CLAVE_COMB,$A306)+SUMIFS(SALIDAS_DES,FECHA_DESGLOSEN,"&gt;="&amp;BQ$2,FECHA_DESGLOSEN,"&lt;="&amp;BQ$3,CLAVE_DESGLOSE,$A306)</f>
        <v>12000</v>
      </c>
      <c r="BR306" s="162">
        <f t="shared" si="598"/>
        <v>16000</v>
      </c>
      <c r="BS306" s="227">
        <f t="shared" si="599"/>
        <v>-16000</v>
      </c>
      <c r="BT306" s="268">
        <f t="shared" si="464"/>
        <v>0</v>
      </c>
      <c r="BU306" s="162">
        <f t="shared" si="600"/>
        <v>0</v>
      </c>
      <c r="BV306" s="13">
        <f t="shared" si="485"/>
        <v>10000</v>
      </c>
      <c r="BW306" s="13">
        <f t="shared" si="485"/>
        <v>0</v>
      </c>
      <c r="BX306" s="13">
        <f t="shared" si="485"/>
        <v>8000</v>
      </c>
      <c r="BY306" s="13">
        <f t="shared" si="485"/>
        <v>0</v>
      </c>
      <c r="BZ306" s="162">
        <f t="shared" si="601"/>
        <v>18000</v>
      </c>
      <c r="CA306" s="227">
        <f t="shared" si="602"/>
        <v>-18000</v>
      </c>
      <c r="CB306" s="268">
        <f t="shared" si="467"/>
        <v>0</v>
      </c>
      <c r="CC306" s="162">
        <f t="shared" si="603"/>
        <v>0</v>
      </c>
      <c r="CD306" s="13">
        <f t="shared" si="486"/>
        <v>0</v>
      </c>
      <c r="CE306" s="13">
        <f t="shared" si="486"/>
        <v>0</v>
      </c>
      <c r="CF306" s="13">
        <f t="shared" si="486"/>
        <v>0</v>
      </c>
      <c r="CG306" s="13">
        <f t="shared" si="486"/>
        <v>0</v>
      </c>
      <c r="CH306" s="162">
        <f t="shared" si="604"/>
        <v>0</v>
      </c>
      <c r="CI306" s="227">
        <f t="shared" si="605"/>
        <v>0</v>
      </c>
      <c r="CJ306" s="268">
        <f t="shared" si="470"/>
        <v>0</v>
      </c>
      <c r="CK306" s="162">
        <f t="shared" si="606"/>
        <v>0</v>
      </c>
      <c r="CL306" s="13">
        <f t="shared" si="495"/>
        <v>10000</v>
      </c>
      <c r="CM306" s="13">
        <f t="shared" si="495"/>
        <v>0</v>
      </c>
      <c r="CN306" s="13">
        <f t="shared" si="495"/>
        <v>0</v>
      </c>
      <c r="CO306" s="13">
        <f t="shared" si="495"/>
        <v>0</v>
      </c>
      <c r="CP306" s="13">
        <f t="shared" si="495"/>
        <v>0</v>
      </c>
      <c r="CQ306" s="162">
        <f t="shared" si="607"/>
        <v>10000</v>
      </c>
      <c r="CR306" s="227">
        <f t="shared" si="608"/>
        <v>-10000</v>
      </c>
      <c r="CS306" s="268">
        <f t="shared" si="473"/>
        <v>0</v>
      </c>
      <c r="CT306" s="68">
        <f t="shared" si="446"/>
        <v>0</v>
      </c>
      <c r="CU306" s="13">
        <f>SUMIFS(SALIDAS_BIT,FECHA_BIT,"&gt;="&amp;CU$2,FECHA_BIT,"&lt;="&amp;CU$3,CLAVE_BIT,$A306)+SUMIFS(SALIDAS_BOV1,FECHA_BOV1,"&gt;="&amp;CU$2,FECHA_BOV1,"&lt;="&amp;CU$3,CLAVE_BOV1,$A306)+SUMIFS(SALIDAS_BOV2,FECHA_BOV2,"&gt;="&amp;CU$2,FECHA_BOV2,"&lt;="&amp;CU$3,CLAVE_BOV2,$A306)+SUMIFS(SALIDAS_BOV3,FECHA_BOV3,"&gt;="&amp;CU$2,FECHA_BOV3,"&lt;="&amp;CU$3,CLAVE_BOV3,$A306)+SUMIFS(SALIDAS_TC,FECHA_TC,"&gt;="&amp;CU$2,FECHA_TC,"&lt;="&amp;CU$3,CLAVE_TC,$A306)+SUMIFS(SALIDAS_COMB,FECHA_COMB,"&gt;="&amp;CU$2,FECHA_COMB,"&lt;="&amp;CU$3,CLAVE_COMB,$A306)+SUMIFS(SALIDAS_DES,FECHA_DESGLOSEN,"&gt;="&amp;CU$2,FECHA_DESGLOSEN,"&lt;="&amp;CU$3,CLAVE_DESGLOSE,$A306)</f>
        <v>0</v>
      </c>
      <c r="CV306" s="13">
        <f>SUMIFS(SALIDAS_BIT,FECHA_BIT,"&gt;="&amp;CV$2,FECHA_BIT,"&lt;="&amp;CV$3,CLAVE_BIT,$A306)+SUMIFS(SALIDAS_BOV1,FECHA_BOV1,"&gt;="&amp;CV$2,FECHA_BOV1,"&lt;="&amp;CV$3,CLAVE_BOV1,$A306)+SUMIFS(SALIDAS_BOV2,FECHA_BOV2,"&gt;="&amp;CV$2,FECHA_BOV2,"&lt;="&amp;CV$3,CLAVE_BOV2,$A306)+SUMIFS(SALIDAS_BOV3,FECHA_BOV3,"&gt;="&amp;CV$2,FECHA_BOV3,"&lt;="&amp;CV$3,CLAVE_BOV3,$A306)+SUMIFS(SALIDAS_TC,FECHA_TC,"&gt;="&amp;CV$2,FECHA_TC,"&lt;="&amp;CV$3,CLAVE_TC,$A306)+SUMIFS(SALIDAS_COMB,FECHA_COMB,"&gt;="&amp;CV$2,FECHA_COMB,"&lt;="&amp;CV$3,CLAVE_COMB,$A306)+SUMIFS(SALIDAS_DES,FECHA_DESGLOSEN,"&gt;="&amp;CV$2,FECHA_DESGLOSEN,"&lt;="&amp;CV$3,CLAVE_DESGLOSE,$A306)</f>
        <v>10000</v>
      </c>
      <c r="CW306" s="13">
        <f>SUMIFS(SALIDAS_BIT,FECHA_BIT,"&gt;="&amp;CW$2,FECHA_BIT,"&lt;="&amp;CW$3,CLAVE_BIT,$A306)+SUMIFS(SALIDAS_BOV1,FECHA_BOV1,"&gt;="&amp;CW$2,FECHA_BOV1,"&lt;="&amp;CW$3,CLAVE_BOV1,$A306)+SUMIFS(SALIDAS_BOV2,FECHA_BOV2,"&gt;="&amp;CW$2,FECHA_BOV2,"&lt;="&amp;CW$3,CLAVE_BOV2,$A306)+SUMIFS(SALIDAS_BOV3,FECHA_BOV3,"&gt;="&amp;CW$2,FECHA_BOV3,"&lt;="&amp;CW$3,CLAVE_BOV3,$A306)+SUMIFS(SALIDAS_TC,FECHA_TC,"&gt;="&amp;CW$2,FECHA_TC,"&lt;="&amp;CW$3,CLAVE_TC,$A306)+SUMIFS(SALIDAS_COMB,FECHA_COMB,"&gt;="&amp;CW$2,FECHA_COMB,"&lt;="&amp;CW$3,CLAVE_COMB,$A306)+SUMIFS(SALIDAS_DES,FECHA_DESGLOSEN,"&gt;="&amp;CW$2,FECHA_DESGLOSEN,"&lt;="&amp;CW$3,CLAVE_DESGLOSE,$A306)</f>
        <v>0</v>
      </c>
      <c r="CX306" s="13">
        <f>SUMIFS(SALIDAS_BIT,FECHA_BIT,"&gt;="&amp;CX$2,FECHA_BIT,"&lt;="&amp;CX$3,CLAVE_BIT,$A306)+SUMIFS(SALIDAS_BOV1,FECHA_BOV1,"&gt;="&amp;CX$2,FECHA_BOV1,"&lt;="&amp;CX$3,CLAVE_BOV1,$A306)+SUMIFS(SALIDAS_BOV2,FECHA_BOV2,"&gt;="&amp;CX$2,FECHA_BOV2,"&lt;="&amp;CX$3,CLAVE_BOV2,$A306)+SUMIFS(SALIDAS_BOV3,FECHA_BOV3,"&gt;="&amp;CX$2,FECHA_BOV3,"&lt;="&amp;CX$3,CLAVE_BOV3,$A306)+SUMIFS(SALIDAS_TC,FECHA_TC,"&gt;="&amp;CX$2,FECHA_TC,"&lt;="&amp;CX$3,CLAVE_TC,$A306)+SUMIFS(SALIDAS_COMB,FECHA_COMB,"&gt;="&amp;CX$2,FECHA_COMB,"&lt;="&amp;CX$3,CLAVE_COMB,$A306)+SUMIFS(SALIDAS_DES,FECHA_DESGLOSEN,"&gt;="&amp;CX$2,FECHA_DESGLOSEN,"&lt;="&amp;CX$3,CLAVE_DESGLOSE,$A306)</f>
        <v>0</v>
      </c>
      <c r="CY306" s="13">
        <f>SUMIFS(SALIDAS_BIT,FECHA_BIT,"&gt;="&amp;CY$2,FECHA_BIT,"&lt;="&amp;CY$3,CLAVE_BIT,$A306)+SUMIFS(SALIDAS_BOV1,FECHA_BOV1,"&gt;="&amp;CY$2,FECHA_BOV1,"&lt;="&amp;CY$3,CLAVE_BOV1,$A306)+SUMIFS(SALIDAS_BOV2,FECHA_BOV2,"&gt;="&amp;CY$2,FECHA_BOV2,"&lt;="&amp;CY$3,CLAVE_BOV2,$A306)+SUMIFS(SALIDAS_BOV3,FECHA_BOV3,"&gt;="&amp;CY$2,FECHA_BOV3,"&lt;="&amp;CY$3,CLAVE_BOV3,$A306)+SUMIFS(SALIDAS_TC,FECHA_TC,"&gt;="&amp;CY$2,FECHA_TC,"&lt;="&amp;CY$3,CLAVE_TC,$A306)+SUMIFS(SALIDAS_COMB,FECHA_COMB,"&gt;="&amp;CY$2,FECHA_COMB,"&lt;="&amp;CY$3,CLAVE_COMB,$A306)+SUMIFS(SALIDAS_DES,FECHA_DESGLOSEN,"&gt;="&amp;CY$2,FECHA_DESGLOSEN,"&lt;="&amp;CY$3,CLAVE_DESGLOSE,$A306)</f>
        <v>10000</v>
      </c>
      <c r="CZ306" s="68">
        <f t="shared" si="474"/>
        <v>-10000</v>
      </c>
      <c r="DB306" s="17">
        <f>F306+N306+W306+AE306+AM306+AV306+BD306+BL306+BU306+CC306+CK306</f>
        <v>0</v>
      </c>
      <c r="DC306" s="17">
        <f>K306+T306+AB306+AJ306+AS306+BA306+BI306+BR306+BZ306+CH306+CQ306</f>
        <v>143555</v>
      </c>
    </row>
    <row r="307" spans="1:107" hidden="1">
      <c r="A307" s="12" t="str">
        <f t="shared" si="551"/>
        <v>MMREDESMARKET MAX</v>
      </c>
      <c r="B307">
        <v>308</v>
      </c>
      <c r="C307" t="s">
        <v>45</v>
      </c>
      <c r="D307" s="12" t="s">
        <v>167</v>
      </c>
      <c r="E307" s="12" t="s">
        <v>46</v>
      </c>
      <c r="F307" s="260">
        <f t="shared" si="579"/>
        <v>0</v>
      </c>
      <c r="G307" s="261">
        <f t="shared" si="580"/>
        <v>0</v>
      </c>
      <c r="H307" s="261">
        <f t="shared" si="580"/>
        <v>0</v>
      </c>
      <c r="I307" s="261">
        <f t="shared" si="580"/>
        <v>0</v>
      </c>
      <c r="J307" s="261">
        <f t="shared" si="580"/>
        <v>6044.16</v>
      </c>
      <c r="K307" s="261">
        <f t="shared" si="580"/>
        <v>6044.16</v>
      </c>
      <c r="L307" s="262">
        <f t="shared" si="581"/>
        <v>-6044.16</v>
      </c>
      <c r="M307" s="268">
        <f t="shared" si="449"/>
        <v>0</v>
      </c>
      <c r="N307" s="162">
        <f t="shared" si="582"/>
        <v>0</v>
      </c>
      <c r="O307" s="162">
        <f t="shared" si="583"/>
        <v>0</v>
      </c>
      <c r="P307" s="162">
        <f t="shared" si="583"/>
        <v>0</v>
      </c>
      <c r="Q307" s="162">
        <f t="shared" si="583"/>
        <v>0</v>
      </c>
      <c r="R307" s="162">
        <f t="shared" si="583"/>
        <v>8881.73</v>
      </c>
      <c r="S307" s="162">
        <f t="shared" si="583"/>
        <v>0</v>
      </c>
      <c r="T307" s="162">
        <f t="shared" si="583"/>
        <v>8881.73</v>
      </c>
      <c r="U307" s="227">
        <f>N307-T307</f>
        <v>-8881.73</v>
      </c>
      <c r="V307" s="268">
        <f t="shared" si="451"/>
        <v>0</v>
      </c>
      <c r="W307" s="162">
        <f t="shared" si="584"/>
        <v>0</v>
      </c>
      <c r="X307" s="162">
        <f t="shared" si="585"/>
        <v>199</v>
      </c>
      <c r="Y307" s="162">
        <f t="shared" si="585"/>
        <v>0</v>
      </c>
      <c r="Z307" s="162">
        <f t="shared" si="585"/>
        <v>0</v>
      </c>
      <c r="AA307" s="162">
        <f t="shared" si="585"/>
        <v>212.11</v>
      </c>
      <c r="AB307" s="162">
        <f t="shared" si="585"/>
        <v>411.11</v>
      </c>
      <c r="AC307" s="227">
        <f t="shared" si="586"/>
        <v>-411.11</v>
      </c>
      <c r="AD307" s="268">
        <f t="shared" si="453"/>
        <v>0</v>
      </c>
      <c r="AE307" s="162">
        <f t="shared" si="587"/>
        <v>0</v>
      </c>
      <c r="AF307" s="162">
        <f t="shared" si="588"/>
        <v>199</v>
      </c>
      <c r="AG307" s="162">
        <f t="shared" si="588"/>
        <v>0</v>
      </c>
      <c r="AH307" s="162">
        <f t="shared" si="588"/>
        <v>0</v>
      </c>
      <c r="AI307" s="162">
        <f t="shared" si="588"/>
        <v>7659.85</v>
      </c>
      <c r="AJ307" s="162">
        <f t="shared" si="588"/>
        <v>7858.85</v>
      </c>
      <c r="AK307" s="227">
        <f t="shared" si="589"/>
        <v>-7858.85</v>
      </c>
      <c r="AL307" s="268">
        <f t="shared" si="455"/>
        <v>0</v>
      </c>
      <c r="AM307" s="162">
        <f t="shared" si="590"/>
        <v>0</v>
      </c>
      <c r="AN307" s="162">
        <f t="shared" si="591"/>
        <v>348</v>
      </c>
      <c r="AO307" s="162">
        <f t="shared" si="591"/>
        <v>0</v>
      </c>
      <c r="AP307" s="162">
        <f t="shared" si="591"/>
        <v>0</v>
      </c>
      <c r="AQ307" s="162">
        <f t="shared" si="591"/>
        <v>1800.36</v>
      </c>
      <c r="AR307" s="162">
        <f t="shared" si="591"/>
        <v>0</v>
      </c>
      <c r="AS307" s="162">
        <f t="shared" si="591"/>
        <v>2148.36</v>
      </c>
      <c r="AT307" s="227">
        <f>AM307-AS307</f>
        <v>-2148.36</v>
      </c>
      <c r="AU307" s="268">
        <f t="shared" si="456"/>
        <v>0</v>
      </c>
      <c r="AV307" s="162">
        <f t="shared" si="592"/>
        <v>0</v>
      </c>
      <c r="AW307" s="13">
        <f t="shared" si="421"/>
        <v>348</v>
      </c>
      <c r="AX307" s="13">
        <f t="shared" si="421"/>
        <v>0</v>
      </c>
      <c r="AY307" s="13">
        <f t="shared" si="421"/>
        <v>0</v>
      </c>
      <c r="AZ307" s="13">
        <f t="shared" ref="AZ307" si="610">SUMIFS(SALIDAS_BIT,FECHA_BIT,"&gt;="&amp;AZ$2,FECHA_BIT,"&lt;="&amp;AZ$3,CLAVE_BIT,$A307)+SUMIFS(SALIDAS_BOV1,FECHA_BOV1,"&gt;="&amp;AZ$2,FECHA_BOV1,"&lt;="&amp;AZ$3,CLAVE_BOV1,$A307)+SUMIFS(SALIDAS_BOV2,FECHA_BOV2,"&gt;="&amp;AZ$2,FECHA_BOV2,"&lt;="&amp;AZ$3,CLAVE_BOV2,$A307)+SUMIFS(SALIDAS_BOV3,FECHA_BOV3,"&gt;="&amp;AZ$2,FECHA_BOV3,"&lt;="&amp;AZ$3,CLAVE_BOV3,$A307)+SUMIFS(SALIDAS_TC,FECHA_TC,"&gt;="&amp;AZ$2,FECHA_TC,"&lt;="&amp;AZ$3,CLAVE_TC,$A307)+SUMIFS(SALIDAS_COMB,FECHA_COMB,"&gt;="&amp;AZ$2,FECHA_COMB,"&lt;="&amp;AZ$3,CLAVE_COMB,$A307)+SUMIFS(SALIDAS_DES,FECHA_DESGLOSEN,"&gt;="&amp;AZ$2,FECHA_DESGLOSEN,"&lt;="&amp;AZ$3,CLAVE_DESGLOSE,$A307)</f>
        <v>2535.73</v>
      </c>
      <c r="BA307" s="13">
        <f t="shared" si="475"/>
        <v>2883.73</v>
      </c>
      <c r="BB307" s="227">
        <f t="shared" si="593"/>
        <v>-2883.73</v>
      </c>
      <c r="BC307" s="268">
        <f t="shared" si="458"/>
        <v>0</v>
      </c>
      <c r="BD307" s="162">
        <f t="shared" si="594"/>
        <v>0</v>
      </c>
      <c r="BE307" s="13">
        <f>SUMIFS(SALIDAS_BIT,FECHA_BIT,"&gt;="&amp;BE$2,FECHA_BIT,"&lt;="&amp;BE$3,CLAVE_BIT,$A307)+SUMIFS(SALIDAS_BOV1,FECHA_BOV1,"&gt;="&amp;BE$2,FECHA_BOV1,"&lt;="&amp;BE$3,CLAVE_BOV1,$A307)+SUMIFS(SALIDAS_BOV2,FECHA_BOV2,"&gt;="&amp;BE$2,FECHA_BOV2,"&lt;="&amp;BE$3,CLAVE_BOV2,$A307)+SUMIFS(SALIDAS_BOV3,FECHA_BOV3,"&gt;="&amp;BE$2,FECHA_BOV3,"&lt;="&amp;BE$3,CLAVE_BOV3,$A307)+SUMIFS(SALIDAS_TC,FECHA_TC,"&gt;="&amp;BE$2,FECHA_TC,"&lt;="&amp;BE$3,CLAVE_TC,$A307)+SUMIFS(SALIDAS_COMB,FECHA_COMB,"&gt;="&amp;BE$2,FECHA_COMB,"&lt;="&amp;BE$3,CLAVE_COMB,$A307)+SUMIFS(SALIDAS_DES,FECHA_DESGLOSEN,"&gt;="&amp;BE$2,FECHA_DESGLOSEN,"&lt;="&amp;BE$3,CLAVE_DESGLOSE,$A307)</f>
        <v>0</v>
      </c>
      <c r="BF307" s="13">
        <f>SUMIFS(SALIDAS_BIT,FECHA_BIT,"&gt;="&amp;BF$2,FECHA_BIT,"&lt;="&amp;BF$3,CLAVE_BIT,$A307)+SUMIFS(SALIDAS_BOV1,FECHA_BOV1,"&gt;="&amp;BF$2,FECHA_BOV1,"&lt;="&amp;BF$3,CLAVE_BOV1,$A307)+SUMIFS(SALIDAS_BOV2,FECHA_BOV2,"&gt;="&amp;BF$2,FECHA_BOV2,"&lt;="&amp;BF$3,CLAVE_BOV2,$A307)+SUMIFS(SALIDAS_BOV3,FECHA_BOV3,"&gt;="&amp;BF$2,FECHA_BOV3,"&lt;="&amp;BF$3,CLAVE_BOV3,$A307)+SUMIFS(SALIDAS_TC,FECHA_TC,"&gt;="&amp;BF$2,FECHA_TC,"&lt;="&amp;BF$3,CLAVE_TC,$A307)+SUMIFS(SALIDAS_COMB,FECHA_COMB,"&gt;="&amp;BF$2,FECHA_COMB,"&lt;="&amp;BF$3,CLAVE_COMB,$A307)+SUMIFS(SALIDAS_DES,FECHA_DESGLOSEN,"&gt;="&amp;BF$2,FECHA_DESGLOSEN,"&lt;="&amp;BF$3,CLAVE_DESGLOSE,$A307)</f>
        <v>0</v>
      </c>
      <c r="BG307" s="13">
        <f>SUMIFS(SALIDAS_BIT,FECHA_BIT,"&gt;="&amp;BG$2,FECHA_BIT,"&lt;="&amp;BG$3,CLAVE_BIT,$A307)+SUMIFS(SALIDAS_BOV1,FECHA_BOV1,"&gt;="&amp;BG$2,FECHA_BOV1,"&lt;="&amp;BG$3,CLAVE_BOV1,$A307)+SUMIFS(SALIDAS_BOV2,FECHA_BOV2,"&gt;="&amp;BG$2,FECHA_BOV2,"&lt;="&amp;BG$3,CLAVE_BOV2,$A307)+SUMIFS(SALIDAS_BOV3,FECHA_BOV3,"&gt;="&amp;BG$2,FECHA_BOV3,"&lt;="&amp;BG$3,CLAVE_BOV3,$A307)+SUMIFS(SALIDAS_TC,FECHA_TC,"&gt;="&amp;BG$2,FECHA_TC,"&lt;="&amp;BG$3,CLAVE_TC,$A307)+SUMIFS(SALIDAS_COMB,FECHA_COMB,"&gt;="&amp;BG$2,FECHA_COMB,"&lt;="&amp;BG$3,CLAVE_COMB,$A307)+SUMIFS(SALIDAS_DES,FECHA_DESGLOSEN,"&gt;="&amp;BG$2,FECHA_DESGLOSEN,"&lt;="&amp;BG$3,CLAVE_DESGLOSE,$A307)</f>
        <v>0</v>
      </c>
      <c r="BH307" s="13">
        <f>SUMIFS(SALIDAS_BIT,FECHA_BIT,"&gt;="&amp;BH$2,FECHA_BIT,"&lt;="&amp;BH$3,CLAVE_BIT,$A307)+SUMIFS(SALIDAS_BOV1,FECHA_BOV1,"&gt;="&amp;BH$2,FECHA_BOV1,"&lt;="&amp;BH$3,CLAVE_BOV1,$A307)+SUMIFS(SALIDAS_BOV2,FECHA_BOV2,"&gt;="&amp;BH$2,FECHA_BOV2,"&lt;="&amp;BH$3,CLAVE_BOV2,$A307)+SUMIFS(SALIDAS_BOV3,FECHA_BOV3,"&gt;="&amp;BH$2,FECHA_BOV3,"&lt;="&amp;BH$3,CLAVE_BOV3,$A307)+SUMIFS(SALIDAS_TC,FECHA_TC,"&gt;="&amp;BH$2,FECHA_TC,"&lt;="&amp;BH$3,CLAVE_TC,$A307)+SUMIFS(SALIDAS_COMB,FECHA_COMB,"&gt;="&amp;BH$2,FECHA_COMB,"&lt;="&amp;BH$3,CLAVE_COMB,$A307)+SUMIFS(SALIDAS_DES,FECHA_DESGLOSEN,"&gt;="&amp;BH$2,FECHA_DESGLOSEN,"&lt;="&amp;BH$3,CLAVE_DESGLOSE,$A307)</f>
        <v>1799.65</v>
      </c>
      <c r="BI307" s="162">
        <f t="shared" si="595"/>
        <v>1799.65</v>
      </c>
      <c r="BJ307" s="227">
        <f t="shared" si="596"/>
        <v>-1799.65</v>
      </c>
      <c r="BK307" s="268">
        <f t="shared" si="461"/>
        <v>0</v>
      </c>
      <c r="BL307" s="162">
        <f t="shared" si="597"/>
        <v>0</v>
      </c>
      <c r="BM307" s="13">
        <f>SUMIFS(SALIDAS_BIT,FECHA_BIT,"&gt;="&amp;BM$2,FECHA_BIT,"&lt;="&amp;BM$3,CLAVE_BIT,$A307)+SUMIFS(SALIDAS_BOV1,FECHA_BOV1,"&gt;="&amp;BM$2,FECHA_BOV1,"&lt;="&amp;BM$3,CLAVE_BOV1,$A307)+SUMIFS(SALIDAS_BOV2,FECHA_BOV2,"&gt;="&amp;BM$2,FECHA_BOV2,"&lt;="&amp;BM$3,CLAVE_BOV2,$A307)+SUMIFS(SALIDAS_BOV3,FECHA_BOV3,"&gt;="&amp;BM$2,FECHA_BOV3,"&lt;="&amp;BM$3,CLAVE_BOV3,$A307)+SUMIFS(SALIDAS_TC,FECHA_TC,"&gt;="&amp;BM$2,FECHA_TC,"&lt;="&amp;BM$3,CLAVE_TC,$A307)+SUMIFS(SALIDAS_COMB,FECHA_COMB,"&gt;="&amp;BM$2,FECHA_COMB,"&lt;="&amp;BM$3,CLAVE_COMB,$A307)+SUMIFS(SALIDAS_DES,FECHA_DESGLOSEN,"&gt;="&amp;BM$2,FECHA_DESGLOSEN,"&lt;="&amp;BM$3,CLAVE_DESGLOSE,$A307)</f>
        <v>0</v>
      </c>
      <c r="BN307" s="13">
        <f>SUMIFS(SALIDAS_BIT,FECHA_BIT,"&gt;="&amp;BN$2,FECHA_BIT,"&lt;="&amp;BN$3,CLAVE_BIT,$A307)+SUMIFS(SALIDAS_BOV1,FECHA_BOV1,"&gt;="&amp;BN$2,FECHA_BOV1,"&lt;="&amp;BN$3,CLAVE_BOV1,$A307)+SUMIFS(SALIDAS_BOV2,FECHA_BOV2,"&gt;="&amp;BN$2,FECHA_BOV2,"&lt;="&amp;BN$3,CLAVE_BOV2,$A307)+SUMIFS(SALIDAS_BOV3,FECHA_BOV3,"&gt;="&amp;BN$2,FECHA_BOV3,"&lt;="&amp;BN$3,CLAVE_BOV3,$A307)+SUMIFS(SALIDAS_TC,FECHA_TC,"&gt;="&amp;BN$2,FECHA_TC,"&lt;="&amp;BN$3,CLAVE_TC,$A307)+SUMIFS(SALIDAS_COMB,FECHA_COMB,"&gt;="&amp;BN$2,FECHA_COMB,"&lt;="&amp;BN$3,CLAVE_COMB,$A307)+SUMIFS(SALIDAS_DES,FECHA_DESGLOSEN,"&gt;="&amp;BN$2,FECHA_DESGLOSEN,"&lt;="&amp;BN$3,CLAVE_DESGLOSE,$A307)</f>
        <v>0</v>
      </c>
      <c r="BO307" s="13">
        <f>SUMIFS(SALIDAS_BIT,FECHA_BIT,"&gt;="&amp;BO$2,FECHA_BIT,"&lt;="&amp;BO$3,CLAVE_BIT,$A307)+SUMIFS(SALIDAS_BOV1,FECHA_BOV1,"&gt;="&amp;BO$2,FECHA_BOV1,"&lt;="&amp;BO$3,CLAVE_BOV1,$A307)+SUMIFS(SALIDAS_BOV2,FECHA_BOV2,"&gt;="&amp;BO$2,FECHA_BOV2,"&lt;="&amp;BO$3,CLAVE_BOV2,$A307)+SUMIFS(SALIDAS_BOV3,FECHA_BOV3,"&gt;="&amp;BO$2,FECHA_BOV3,"&lt;="&amp;BO$3,CLAVE_BOV3,$A307)+SUMIFS(SALIDAS_TC,FECHA_TC,"&gt;="&amp;BO$2,FECHA_TC,"&lt;="&amp;BO$3,CLAVE_TC,$A307)+SUMIFS(SALIDAS_COMB,FECHA_COMB,"&gt;="&amp;BO$2,FECHA_COMB,"&lt;="&amp;BO$3,CLAVE_COMB,$A307)+SUMIFS(SALIDAS_DES,FECHA_DESGLOSEN,"&gt;="&amp;BO$2,FECHA_DESGLOSEN,"&lt;="&amp;BO$3,CLAVE_DESGLOSE,$A307)</f>
        <v>0</v>
      </c>
      <c r="BP307" s="13">
        <f>SUMIFS(SALIDAS_BIT,FECHA_BIT,"&gt;="&amp;BP$2,FECHA_BIT,"&lt;="&amp;BP$3,CLAVE_BIT,$A307)+SUMIFS(SALIDAS_BOV1,FECHA_BOV1,"&gt;="&amp;BP$2,FECHA_BOV1,"&lt;="&amp;BP$3,CLAVE_BOV1,$A307)+SUMIFS(SALIDAS_BOV2,FECHA_BOV2,"&gt;="&amp;BP$2,FECHA_BOV2,"&lt;="&amp;BP$3,CLAVE_BOV2,$A307)+SUMIFS(SALIDAS_BOV3,FECHA_BOV3,"&gt;="&amp;BP$2,FECHA_BOV3,"&lt;="&amp;BP$3,CLAVE_BOV3,$A307)+SUMIFS(SALIDAS_TC,FECHA_TC,"&gt;="&amp;BP$2,FECHA_TC,"&lt;="&amp;BP$3,CLAVE_TC,$A307)+SUMIFS(SALIDAS_COMB,FECHA_COMB,"&gt;="&amp;BP$2,FECHA_COMB,"&lt;="&amp;BP$3,CLAVE_COMB,$A307)+SUMIFS(SALIDAS_DES,FECHA_DESGLOSEN,"&gt;="&amp;BP$2,FECHA_DESGLOSEN,"&lt;="&amp;BP$3,CLAVE_DESGLOSE,$A307)</f>
        <v>4176.0400000000009</v>
      </c>
      <c r="BQ307" s="13">
        <f>SUMIFS(SALIDAS_BIT,FECHA_BIT,"&gt;="&amp;BQ$2,FECHA_BIT,"&lt;="&amp;BQ$3,CLAVE_BIT,$A307)+SUMIFS(SALIDAS_BOV1,FECHA_BOV1,"&gt;="&amp;BQ$2,FECHA_BOV1,"&lt;="&amp;BQ$3,CLAVE_BOV1,$A307)+SUMIFS(SALIDAS_BOV2,FECHA_BOV2,"&gt;="&amp;BQ$2,FECHA_BOV2,"&lt;="&amp;BQ$3,CLAVE_BOV2,$A307)+SUMIFS(SALIDAS_BOV3,FECHA_BOV3,"&gt;="&amp;BQ$2,FECHA_BOV3,"&lt;="&amp;BQ$3,CLAVE_BOV3,$A307)+SUMIFS(SALIDAS_TC,FECHA_TC,"&gt;="&amp;BQ$2,FECHA_TC,"&lt;="&amp;BQ$3,CLAVE_TC,$A307)+SUMIFS(SALIDAS_COMB,FECHA_COMB,"&gt;="&amp;BQ$2,FECHA_COMB,"&lt;="&amp;BQ$3,CLAVE_COMB,$A307)+SUMIFS(SALIDAS_DES,FECHA_DESGLOSEN,"&gt;="&amp;BQ$2,FECHA_DESGLOSEN,"&lt;="&amp;BQ$3,CLAVE_DESGLOSE,$A307)</f>
        <v>0</v>
      </c>
      <c r="BR307" s="162">
        <f t="shared" si="598"/>
        <v>4176.0400000000009</v>
      </c>
      <c r="BS307" s="227">
        <f t="shared" si="599"/>
        <v>-4176.0400000000009</v>
      </c>
      <c r="BT307" s="268">
        <f t="shared" si="464"/>
        <v>0</v>
      </c>
      <c r="BU307" s="162">
        <f t="shared" si="600"/>
        <v>0</v>
      </c>
      <c r="BV307" s="13">
        <f t="shared" si="485"/>
        <v>0</v>
      </c>
      <c r="BW307" s="13">
        <f t="shared" si="485"/>
        <v>0</v>
      </c>
      <c r="BX307" s="13">
        <f t="shared" si="485"/>
        <v>0</v>
      </c>
      <c r="BY307" s="13">
        <f t="shared" si="485"/>
        <v>3921.55</v>
      </c>
      <c r="BZ307" s="162">
        <f t="shared" si="601"/>
        <v>3921.55</v>
      </c>
      <c r="CA307" s="227">
        <f t="shared" si="602"/>
        <v>-3921.55</v>
      </c>
      <c r="CB307" s="268">
        <f t="shared" si="467"/>
        <v>0</v>
      </c>
      <c r="CC307" s="162">
        <f t="shared" si="603"/>
        <v>0</v>
      </c>
      <c r="CD307" s="13">
        <f t="shared" si="486"/>
        <v>0</v>
      </c>
      <c r="CE307" s="13">
        <f t="shared" si="486"/>
        <v>0</v>
      </c>
      <c r="CF307" s="13">
        <f t="shared" si="486"/>
        <v>0</v>
      </c>
      <c r="CG307" s="13">
        <f t="shared" si="486"/>
        <v>1214.71</v>
      </c>
      <c r="CH307" s="162">
        <f t="shared" si="604"/>
        <v>1214.71</v>
      </c>
      <c r="CI307" s="227">
        <f t="shared" si="605"/>
        <v>-1214.71</v>
      </c>
      <c r="CJ307" s="268">
        <f t="shared" si="470"/>
        <v>0</v>
      </c>
      <c r="CK307" s="162">
        <f t="shared" si="606"/>
        <v>0</v>
      </c>
      <c r="CL307" s="13">
        <f t="shared" si="495"/>
        <v>0</v>
      </c>
      <c r="CM307" s="13">
        <f t="shared" si="495"/>
        <v>0</v>
      </c>
      <c r="CN307" s="13">
        <f t="shared" si="495"/>
        <v>0</v>
      </c>
      <c r="CO307" s="13">
        <f t="shared" si="495"/>
        <v>2437.1999999999998</v>
      </c>
      <c r="CP307" s="13">
        <f t="shared" si="495"/>
        <v>0</v>
      </c>
      <c r="CQ307" s="162">
        <f t="shared" si="607"/>
        <v>2437.1999999999998</v>
      </c>
      <c r="CR307" s="227">
        <f t="shared" si="608"/>
        <v>-2437.1999999999998</v>
      </c>
      <c r="CS307" s="268">
        <f t="shared" si="473"/>
        <v>0</v>
      </c>
      <c r="CT307" s="68">
        <f t="shared" si="446"/>
        <v>3630</v>
      </c>
      <c r="CU307" s="13">
        <f>SUMIFS(SALIDAS_BIT,FECHA_BIT,"&gt;="&amp;CU$2,FECHA_BIT,"&lt;="&amp;CU$3,CLAVE_BIT,$A307)+SUMIFS(SALIDAS_BOV1,FECHA_BOV1,"&gt;="&amp;CU$2,FECHA_BOV1,"&lt;="&amp;CU$3,CLAVE_BOV1,$A307)+SUMIFS(SALIDAS_BOV2,FECHA_BOV2,"&gt;="&amp;CU$2,FECHA_BOV2,"&lt;="&amp;CU$3,CLAVE_BOV2,$A307)+SUMIFS(SALIDAS_BOV3,FECHA_BOV3,"&gt;="&amp;CU$2,FECHA_BOV3,"&lt;="&amp;CU$3,CLAVE_BOV3,$A307)+SUMIFS(SALIDAS_TC,FECHA_TC,"&gt;="&amp;CU$2,FECHA_TC,"&lt;="&amp;CU$3,CLAVE_TC,$A307)+SUMIFS(SALIDAS_COMB,FECHA_COMB,"&gt;="&amp;CU$2,FECHA_COMB,"&lt;="&amp;CU$3,CLAVE_COMB,$A307)+SUMIFS(SALIDAS_DES,FECHA_DESGLOSEN,"&gt;="&amp;CU$2,FECHA_DESGLOSEN,"&lt;="&amp;CU$3,CLAVE_DESGLOSE,$A307)</f>
        <v>0</v>
      </c>
      <c r="CV307" s="13">
        <f>SUMIFS(SALIDAS_BIT,FECHA_BIT,"&gt;="&amp;CV$2,FECHA_BIT,"&lt;="&amp;CV$3,CLAVE_BIT,$A307)+SUMIFS(SALIDAS_BOV1,FECHA_BOV1,"&gt;="&amp;CV$2,FECHA_BOV1,"&lt;="&amp;CV$3,CLAVE_BOV1,$A307)+SUMIFS(SALIDAS_BOV2,FECHA_BOV2,"&gt;="&amp;CV$2,FECHA_BOV2,"&lt;="&amp;CV$3,CLAVE_BOV2,$A307)+SUMIFS(SALIDAS_BOV3,FECHA_BOV3,"&gt;="&amp;CV$2,FECHA_BOV3,"&lt;="&amp;CV$3,CLAVE_BOV3,$A307)+SUMIFS(SALIDAS_TC,FECHA_TC,"&gt;="&amp;CV$2,FECHA_TC,"&lt;="&amp;CV$3,CLAVE_TC,$A307)+SUMIFS(SALIDAS_COMB,FECHA_COMB,"&gt;="&amp;CV$2,FECHA_COMB,"&lt;="&amp;CV$3,CLAVE_COMB,$A307)+SUMIFS(SALIDAS_DES,FECHA_DESGLOSEN,"&gt;="&amp;CV$2,FECHA_DESGLOSEN,"&lt;="&amp;CV$3,CLAVE_DESGLOSE,$A307)</f>
        <v>0</v>
      </c>
      <c r="CW307" s="13">
        <f>SUMIFS(SALIDAS_BIT,FECHA_BIT,"&gt;="&amp;CW$2,FECHA_BIT,"&lt;="&amp;CW$3,CLAVE_BIT,$A307)+SUMIFS(SALIDAS_BOV1,FECHA_BOV1,"&gt;="&amp;CW$2,FECHA_BOV1,"&lt;="&amp;CW$3,CLAVE_BOV1,$A307)+SUMIFS(SALIDAS_BOV2,FECHA_BOV2,"&gt;="&amp;CW$2,FECHA_BOV2,"&lt;="&amp;CW$3,CLAVE_BOV2,$A307)+SUMIFS(SALIDAS_BOV3,FECHA_BOV3,"&gt;="&amp;CW$2,FECHA_BOV3,"&lt;="&amp;CW$3,CLAVE_BOV3,$A307)+SUMIFS(SALIDAS_TC,FECHA_TC,"&gt;="&amp;CW$2,FECHA_TC,"&lt;="&amp;CW$3,CLAVE_TC,$A307)+SUMIFS(SALIDAS_COMB,FECHA_COMB,"&gt;="&amp;CW$2,FECHA_COMB,"&lt;="&amp;CW$3,CLAVE_COMB,$A307)+SUMIFS(SALIDAS_DES,FECHA_DESGLOSEN,"&gt;="&amp;CW$2,FECHA_DESGLOSEN,"&lt;="&amp;CW$3,CLAVE_DESGLOSE,$A307)</f>
        <v>0</v>
      </c>
      <c r="CX307" s="13">
        <f>SUMIFS(SALIDAS_BIT,FECHA_BIT,"&gt;="&amp;CX$2,FECHA_BIT,"&lt;="&amp;CX$3,CLAVE_BIT,$A307)+SUMIFS(SALIDAS_BOV1,FECHA_BOV1,"&gt;="&amp;CX$2,FECHA_BOV1,"&lt;="&amp;CX$3,CLAVE_BOV1,$A307)+SUMIFS(SALIDAS_BOV2,FECHA_BOV2,"&gt;="&amp;CX$2,FECHA_BOV2,"&lt;="&amp;CX$3,CLAVE_BOV2,$A307)+SUMIFS(SALIDAS_BOV3,FECHA_BOV3,"&gt;="&amp;CX$2,FECHA_BOV3,"&lt;="&amp;CX$3,CLAVE_BOV3,$A307)+SUMIFS(SALIDAS_TC,FECHA_TC,"&gt;="&amp;CX$2,FECHA_TC,"&lt;="&amp;CX$3,CLAVE_TC,$A307)+SUMIFS(SALIDAS_COMB,FECHA_COMB,"&gt;="&amp;CX$2,FECHA_COMB,"&lt;="&amp;CX$3,CLAVE_COMB,$A307)+SUMIFS(SALIDAS_DES,FECHA_DESGLOSEN,"&gt;="&amp;CX$2,FECHA_DESGLOSEN,"&lt;="&amp;CX$3,CLAVE_DESGLOSE,$A307)</f>
        <v>2951</v>
      </c>
      <c r="CY307" s="13">
        <f>SUMIFS(SALIDAS_BIT,FECHA_BIT,"&gt;="&amp;CY$2,FECHA_BIT,"&lt;="&amp;CY$3,CLAVE_BIT,$A307)+SUMIFS(SALIDAS_BOV1,FECHA_BOV1,"&gt;="&amp;CY$2,FECHA_BOV1,"&lt;="&amp;CY$3,CLAVE_BOV1,$A307)+SUMIFS(SALIDAS_BOV2,FECHA_BOV2,"&gt;="&amp;CY$2,FECHA_BOV2,"&lt;="&amp;CY$3,CLAVE_BOV2,$A307)+SUMIFS(SALIDAS_BOV3,FECHA_BOV3,"&gt;="&amp;CY$2,FECHA_BOV3,"&lt;="&amp;CY$3,CLAVE_BOV3,$A307)+SUMIFS(SALIDAS_TC,FECHA_TC,"&gt;="&amp;CY$2,FECHA_TC,"&lt;="&amp;CY$3,CLAVE_TC,$A307)+SUMIFS(SALIDAS_COMB,FECHA_COMB,"&gt;="&amp;CY$2,FECHA_COMB,"&lt;="&amp;CY$3,CLAVE_COMB,$A307)+SUMIFS(SALIDAS_DES,FECHA_DESGLOSEN,"&gt;="&amp;CY$2,FECHA_DESGLOSEN,"&lt;="&amp;CY$3,CLAVE_DESGLOSE,$A307)</f>
        <v>2951</v>
      </c>
      <c r="CZ307" s="68">
        <f t="shared" si="474"/>
        <v>679</v>
      </c>
      <c r="DB307" s="17">
        <f>F307+N307+W307+AE307+AM307+AV307+BD307+BL307+BU307+CC307+CK307</f>
        <v>0</v>
      </c>
      <c r="DC307" s="17">
        <f>K307+T307+AB307+AJ307+AS307+BA307+BI307+BR307+BZ307+CH307+CQ307</f>
        <v>41777.090000000004</v>
      </c>
    </row>
    <row r="308" spans="1:107" hidden="1">
      <c r="A308" s="12" t="str">
        <f>C308&amp;D308&amp;E308</f>
        <v>ELIREDESELILU</v>
      </c>
      <c r="B308">
        <v>309</v>
      </c>
      <c r="C308" t="s">
        <v>130</v>
      </c>
      <c r="D308" t="s">
        <v>167</v>
      </c>
      <c r="E308" t="s">
        <v>168</v>
      </c>
      <c r="F308" s="260">
        <f t="shared" si="579"/>
        <v>0</v>
      </c>
      <c r="G308" s="261">
        <f t="shared" si="580"/>
        <v>0</v>
      </c>
      <c r="H308" s="261">
        <f t="shared" si="580"/>
        <v>0</v>
      </c>
      <c r="I308" s="261">
        <f t="shared" si="580"/>
        <v>0</v>
      </c>
      <c r="J308" s="261">
        <f t="shared" si="580"/>
        <v>4424.87</v>
      </c>
      <c r="K308" s="261">
        <f t="shared" si="580"/>
        <v>4424.87</v>
      </c>
      <c r="L308" s="262">
        <f t="shared" si="581"/>
        <v>-4424.87</v>
      </c>
      <c r="M308" s="268">
        <f t="shared" si="449"/>
        <v>0</v>
      </c>
      <c r="N308" s="162">
        <f t="shared" si="582"/>
        <v>0</v>
      </c>
      <c r="O308" s="162">
        <f t="shared" si="583"/>
        <v>0</v>
      </c>
      <c r="P308" s="162">
        <f t="shared" si="583"/>
        <v>0</v>
      </c>
      <c r="Q308" s="162">
        <f t="shared" si="583"/>
        <v>0</v>
      </c>
      <c r="R308" s="162">
        <f t="shared" si="583"/>
        <v>3986.7799999999997</v>
      </c>
      <c r="S308" s="162">
        <f t="shared" si="583"/>
        <v>0</v>
      </c>
      <c r="T308" s="162">
        <f t="shared" si="583"/>
        <v>3986.7799999999997</v>
      </c>
      <c r="U308" s="227">
        <f>N308-T308</f>
        <v>-3986.7799999999997</v>
      </c>
      <c r="V308" s="268">
        <f t="shared" si="451"/>
        <v>0</v>
      </c>
      <c r="W308" s="162">
        <f t="shared" si="584"/>
        <v>0</v>
      </c>
      <c r="X308" s="162">
        <f t="shared" si="585"/>
        <v>0</v>
      </c>
      <c r="Y308" s="162">
        <f t="shared" si="585"/>
        <v>0</v>
      </c>
      <c r="Z308" s="162">
        <f t="shared" si="585"/>
        <v>0</v>
      </c>
      <c r="AA308" s="162">
        <f t="shared" si="585"/>
        <v>5580.15</v>
      </c>
      <c r="AB308" s="162">
        <f t="shared" si="585"/>
        <v>5580.15</v>
      </c>
      <c r="AC308" s="227">
        <f t="shared" si="586"/>
        <v>-5580.15</v>
      </c>
      <c r="AD308" s="268">
        <f t="shared" si="453"/>
        <v>0</v>
      </c>
      <c r="AE308" s="162">
        <f t="shared" si="587"/>
        <v>0</v>
      </c>
      <c r="AF308" s="162">
        <f t="shared" si="588"/>
        <v>0</v>
      </c>
      <c r="AG308" s="162">
        <f t="shared" si="588"/>
        <v>0</v>
      </c>
      <c r="AH308" s="162">
        <f t="shared" si="588"/>
        <v>0</v>
      </c>
      <c r="AI308" s="162">
        <f t="shared" si="588"/>
        <v>2693.92</v>
      </c>
      <c r="AJ308" s="162">
        <f t="shared" si="588"/>
        <v>2693.92</v>
      </c>
      <c r="AK308" s="227">
        <f t="shared" si="589"/>
        <v>-2693.92</v>
      </c>
      <c r="AL308" s="268">
        <f t="shared" si="455"/>
        <v>0</v>
      </c>
      <c r="AM308" s="162">
        <f t="shared" si="590"/>
        <v>0</v>
      </c>
      <c r="AN308" s="162">
        <f t="shared" si="591"/>
        <v>0</v>
      </c>
      <c r="AO308" s="162">
        <f t="shared" si="591"/>
        <v>0</v>
      </c>
      <c r="AP308" s="162">
        <f t="shared" si="591"/>
        <v>0</v>
      </c>
      <c r="AQ308" s="162">
        <f t="shared" si="591"/>
        <v>4973.93</v>
      </c>
      <c r="AR308" s="162">
        <f t="shared" si="591"/>
        <v>0</v>
      </c>
      <c r="AS308" s="162">
        <f t="shared" si="591"/>
        <v>4973.93</v>
      </c>
      <c r="AT308" s="227">
        <f>AM308-AS308</f>
        <v>-4973.93</v>
      </c>
      <c r="AU308" s="268">
        <f t="shared" si="456"/>
        <v>0</v>
      </c>
      <c r="AV308" s="162">
        <f t="shared" si="592"/>
        <v>0</v>
      </c>
      <c r="AW308" s="13">
        <f t="shared" ref="AW308:AZ313" si="611">SUMIFS(SALIDAS_BIT,FECHA_BIT,"&gt;="&amp;AW$2,FECHA_BIT,"&lt;="&amp;AW$3,CLAVE_BIT,$A308)+SUMIFS(SALIDAS_BOV1,FECHA_BOV1,"&gt;="&amp;AW$2,FECHA_BOV1,"&lt;="&amp;AW$3,CLAVE_BOV1,$A308)+SUMIFS(SALIDAS_BOV2,FECHA_BOV2,"&gt;="&amp;AW$2,FECHA_BOV2,"&lt;="&amp;AW$3,CLAVE_BOV2,$A308)+SUMIFS(SALIDAS_BOV3,FECHA_BOV3,"&gt;="&amp;AW$2,FECHA_BOV3,"&lt;="&amp;AW$3,CLAVE_BOV3,$A308)+SUMIFS(SALIDAS_TC,FECHA_TC,"&gt;="&amp;AW$2,FECHA_TC,"&lt;="&amp;AW$3,CLAVE_TC,$A308)+SUMIFS(SALIDAS_COMB,FECHA_COMB,"&gt;="&amp;AW$2,FECHA_COMB,"&lt;="&amp;AW$3,CLAVE_COMB,$A308)+SUMIFS(SALIDAS_DES,FECHA_DESGLOSEN,"&gt;="&amp;AW$2,FECHA_DESGLOSEN,"&lt;="&amp;AW$3,CLAVE_DESGLOSE,$A308)</f>
        <v>0</v>
      </c>
      <c r="AX308" s="13">
        <f t="shared" si="611"/>
        <v>0</v>
      </c>
      <c r="AY308" s="13">
        <f t="shared" si="611"/>
        <v>0</v>
      </c>
      <c r="AZ308" s="13">
        <f t="shared" si="611"/>
        <v>0</v>
      </c>
      <c r="BA308" s="13">
        <f t="shared" si="475"/>
        <v>0</v>
      </c>
      <c r="BB308" s="227">
        <f t="shared" si="593"/>
        <v>0</v>
      </c>
      <c r="BC308" s="268">
        <f t="shared" si="458"/>
        <v>0</v>
      </c>
      <c r="BD308" s="162">
        <f t="shared" si="594"/>
        <v>0</v>
      </c>
      <c r="BE308" s="13">
        <f>SUMIFS(SALIDAS_BIT,FECHA_BIT,"&gt;="&amp;BE$2,FECHA_BIT,"&lt;="&amp;BE$3,CLAVE_BIT,$A308)+SUMIFS(SALIDAS_BOV1,FECHA_BOV1,"&gt;="&amp;BE$2,FECHA_BOV1,"&lt;="&amp;BE$3,CLAVE_BOV1,$A308)+SUMIFS(SALIDAS_BOV2,FECHA_BOV2,"&gt;="&amp;BE$2,FECHA_BOV2,"&lt;="&amp;BE$3,CLAVE_BOV2,$A308)+SUMIFS(SALIDAS_BOV3,FECHA_BOV3,"&gt;="&amp;BE$2,FECHA_BOV3,"&lt;="&amp;BE$3,CLAVE_BOV3,$A308)+SUMIFS(SALIDAS_TC,FECHA_TC,"&gt;="&amp;BE$2,FECHA_TC,"&lt;="&amp;BE$3,CLAVE_TC,$A308)+SUMIFS(SALIDAS_COMB,FECHA_COMB,"&gt;="&amp;BE$2,FECHA_COMB,"&lt;="&amp;BE$3,CLAVE_COMB,$A308)+SUMIFS(SALIDAS_DES,FECHA_DESGLOSEN,"&gt;="&amp;BE$2,FECHA_DESGLOSEN,"&lt;="&amp;BE$3,CLAVE_DESGLOSE,$A308)</f>
        <v>0</v>
      </c>
      <c r="BF308" s="13">
        <f>SUMIFS(SALIDAS_BIT,FECHA_BIT,"&gt;="&amp;BF$2,FECHA_BIT,"&lt;="&amp;BF$3,CLAVE_BIT,$A308)+SUMIFS(SALIDAS_BOV1,FECHA_BOV1,"&gt;="&amp;BF$2,FECHA_BOV1,"&lt;="&amp;BF$3,CLAVE_BOV1,$A308)+SUMIFS(SALIDAS_BOV2,FECHA_BOV2,"&gt;="&amp;BF$2,FECHA_BOV2,"&lt;="&amp;BF$3,CLAVE_BOV2,$A308)+SUMIFS(SALIDAS_BOV3,FECHA_BOV3,"&gt;="&amp;BF$2,FECHA_BOV3,"&lt;="&amp;BF$3,CLAVE_BOV3,$A308)+SUMIFS(SALIDAS_TC,FECHA_TC,"&gt;="&amp;BF$2,FECHA_TC,"&lt;="&amp;BF$3,CLAVE_TC,$A308)+SUMIFS(SALIDAS_COMB,FECHA_COMB,"&gt;="&amp;BF$2,FECHA_COMB,"&lt;="&amp;BF$3,CLAVE_COMB,$A308)+SUMIFS(SALIDAS_DES,FECHA_DESGLOSEN,"&gt;="&amp;BF$2,FECHA_DESGLOSEN,"&lt;="&amp;BF$3,CLAVE_DESGLOSE,$A308)</f>
        <v>0</v>
      </c>
      <c r="BG308" s="13">
        <f>SUMIFS(SALIDAS_BIT,FECHA_BIT,"&gt;="&amp;BG$2,FECHA_BIT,"&lt;="&amp;BG$3,CLAVE_BIT,$A308)+SUMIFS(SALIDAS_BOV1,FECHA_BOV1,"&gt;="&amp;BG$2,FECHA_BOV1,"&lt;="&amp;BG$3,CLAVE_BOV1,$A308)+SUMIFS(SALIDAS_BOV2,FECHA_BOV2,"&gt;="&amp;BG$2,FECHA_BOV2,"&lt;="&amp;BG$3,CLAVE_BOV2,$A308)+SUMIFS(SALIDAS_BOV3,FECHA_BOV3,"&gt;="&amp;BG$2,FECHA_BOV3,"&lt;="&amp;BG$3,CLAVE_BOV3,$A308)+SUMIFS(SALIDAS_TC,FECHA_TC,"&gt;="&amp;BG$2,FECHA_TC,"&lt;="&amp;BG$3,CLAVE_TC,$A308)+SUMIFS(SALIDAS_COMB,FECHA_COMB,"&gt;="&amp;BG$2,FECHA_COMB,"&lt;="&amp;BG$3,CLAVE_COMB,$A308)+SUMIFS(SALIDAS_DES,FECHA_DESGLOSEN,"&gt;="&amp;BG$2,FECHA_DESGLOSEN,"&lt;="&amp;BG$3,CLAVE_DESGLOSE,$A308)</f>
        <v>0</v>
      </c>
      <c r="BH308" s="13">
        <f>SUMIFS(SALIDAS_BIT,FECHA_BIT,"&gt;="&amp;BH$2,FECHA_BIT,"&lt;="&amp;BH$3,CLAVE_BIT,$A308)+SUMIFS(SALIDAS_BOV1,FECHA_BOV1,"&gt;="&amp;BH$2,FECHA_BOV1,"&lt;="&amp;BH$3,CLAVE_BOV1,$A308)+SUMIFS(SALIDAS_BOV2,FECHA_BOV2,"&gt;="&amp;BH$2,FECHA_BOV2,"&lt;="&amp;BH$3,CLAVE_BOV2,$A308)+SUMIFS(SALIDAS_BOV3,FECHA_BOV3,"&gt;="&amp;BH$2,FECHA_BOV3,"&lt;="&amp;BH$3,CLAVE_BOV3,$A308)+SUMIFS(SALIDAS_TC,FECHA_TC,"&gt;="&amp;BH$2,FECHA_TC,"&lt;="&amp;BH$3,CLAVE_TC,$A308)+SUMIFS(SALIDAS_COMB,FECHA_COMB,"&gt;="&amp;BH$2,FECHA_COMB,"&lt;="&amp;BH$3,CLAVE_COMB,$A308)+SUMIFS(SALIDAS_DES,FECHA_DESGLOSEN,"&gt;="&amp;BH$2,FECHA_DESGLOSEN,"&lt;="&amp;BH$3,CLAVE_DESGLOSE,$A308)</f>
        <v>1101</v>
      </c>
      <c r="BI308" s="162">
        <f t="shared" si="595"/>
        <v>1101</v>
      </c>
      <c r="BJ308" s="227">
        <f t="shared" si="596"/>
        <v>-1101</v>
      </c>
      <c r="BK308" s="268">
        <f t="shared" si="461"/>
        <v>0</v>
      </c>
      <c r="BL308" s="162">
        <f t="shared" si="597"/>
        <v>0</v>
      </c>
      <c r="BM308" s="13">
        <f>SUMIFS(SALIDAS_BIT,FECHA_BIT,"&gt;="&amp;BM$2,FECHA_BIT,"&lt;="&amp;BM$3,CLAVE_BIT,$A308)+SUMIFS(SALIDAS_BOV1,FECHA_BOV1,"&gt;="&amp;BM$2,FECHA_BOV1,"&lt;="&amp;BM$3,CLAVE_BOV1,$A308)+SUMIFS(SALIDAS_BOV2,FECHA_BOV2,"&gt;="&amp;BM$2,FECHA_BOV2,"&lt;="&amp;BM$3,CLAVE_BOV2,$A308)+SUMIFS(SALIDAS_BOV3,FECHA_BOV3,"&gt;="&amp;BM$2,FECHA_BOV3,"&lt;="&amp;BM$3,CLAVE_BOV3,$A308)+SUMIFS(SALIDAS_TC,FECHA_TC,"&gt;="&amp;BM$2,FECHA_TC,"&lt;="&amp;BM$3,CLAVE_TC,$A308)+SUMIFS(SALIDAS_COMB,FECHA_COMB,"&gt;="&amp;BM$2,FECHA_COMB,"&lt;="&amp;BM$3,CLAVE_COMB,$A308)+SUMIFS(SALIDAS_DES,FECHA_DESGLOSEN,"&gt;="&amp;BM$2,FECHA_DESGLOSEN,"&lt;="&amp;BM$3,CLAVE_DESGLOSE,$A308)</f>
        <v>0</v>
      </c>
      <c r="BN308" s="13">
        <f>SUMIFS(SALIDAS_BIT,FECHA_BIT,"&gt;="&amp;BN$2,FECHA_BIT,"&lt;="&amp;BN$3,CLAVE_BIT,$A308)+SUMIFS(SALIDAS_BOV1,FECHA_BOV1,"&gt;="&amp;BN$2,FECHA_BOV1,"&lt;="&amp;BN$3,CLAVE_BOV1,$A308)+SUMIFS(SALIDAS_BOV2,FECHA_BOV2,"&gt;="&amp;BN$2,FECHA_BOV2,"&lt;="&amp;BN$3,CLAVE_BOV2,$A308)+SUMIFS(SALIDAS_BOV3,FECHA_BOV3,"&gt;="&amp;BN$2,FECHA_BOV3,"&lt;="&amp;BN$3,CLAVE_BOV3,$A308)+SUMIFS(SALIDAS_TC,FECHA_TC,"&gt;="&amp;BN$2,FECHA_TC,"&lt;="&amp;BN$3,CLAVE_TC,$A308)+SUMIFS(SALIDAS_COMB,FECHA_COMB,"&gt;="&amp;BN$2,FECHA_COMB,"&lt;="&amp;BN$3,CLAVE_COMB,$A308)+SUMIFS(SALIDAS_DES,FECHA_DESGLOSEN,"&gt;="&amp;BN$2,FECHA_DESGLOSEN,"&lt;="&amp;BN$3,CLAVE_DESGLOSE,$A308)</f>
        <v>0</v>
      </c>
      <c r="BO308" s="13">
        <f>SUMIFS(SALIDAS_BIT,FECHA_BIT,"&gt;="&amp;BO$2,FECHA_BIT,"&lt;="&amp;BO$3,CLAVE_BIT,$A308)+SUMIFS(SALIDAS_BOV1,FECHA_BOV1,"&gt;="&amp;BO$2,FECHA_BOV1,"&lt;="&amp;BO$3,CLAVE_BOV1,$A308)+SUMIFS(SALIDAS_BOV2,FECHA_BOV2,"&gt;="&amp;BO$2,FECHA_BOV2,"&lt;="&amp;BO$3,CLAVE_BOV2,$A308)+SUMIFS(SALIDAS_BOV3,FECHA_BOV3,"&gt;="&amp;BO$2,FECHA_BOV3,"&lt;="&amp;BO$3,CLAVE_BOV3,$A308)+SUMIFS(SALIDAS_TC,FECHA_TC,"&gt;="&amp;BO$2,FECHA_TC,"&lt;="&amp;BO$3,CLAVE_TC,$A308)+SUMIFS(SALIDAS_COMB,FECHA_COMB,"&gt;="&amp;BO$2,FECHA_COMB,"&lt;="&amp;BO$3,CLAVE_COMB,$A308)+SUMIFS(SALIDAS_DES,FECHA_DESGLOSEN,"&gt;="&amp;BO$2,FECHA_DESGLOSEN,"&lt;="&amp;BO$3,CLAVE_DESGLOSE,$A308)</f>
        <v>0</v>
      </c>
      <c r="BP308" s="13">
        <f>SUMIFS(SALIDAS_BIT,FECHA_BIT,"&gt;="&amp;BP$2,FECHA_BIT,"&lt;="&amp;BP$3,CLAVE_BIT,$A308)+SUMIFS(SALIDAS_BOV1,FECHA_BOV1,"&gt;="&amp;BP$2,FECHA_BOV1,"&lt;="&amp;BP$3,CLAVE_BOV1,$A308)+SUMIFS(SALIDAS_BOV2,FECHA_BOV2,"&gt;="&amp;BP$2,FECHA_BOV2,"&lt;="&amp;BP$3,CLAVE_BOV2,$A308)+SUMIFS(SALIDAS_BOV3,FECHA_BOV3,"&gt;="&amp;BP$2,FECHA_BOV3,"&lt;="&amp;BP$3,CLAVE_BOV3,$A308)+SUMIFS(SALIDAS_TC,FECHA_TC,"&gt;="&amp;BP$2,FECHA_TC,"&lt;="&amp;BP$3,CLAVE_TC,$A308)+SUMIFS(SALIDAS_COMB,FECHA_COMB,"&gt;="&amp;BP$2,FECHA_COMB,"&lt;="&amp;BP$3,CLAVE_COMB,$A308)+SUMIFS(SALIDAS_DES,FECHA_DESGLOSEN,"&gt;="&amp;BP$2,FECHA_DESGLOSEN,"&lt;="&amp;BP$3,CLAVE_DESGLOSE,$A308)</f>
        <v>3193.06</v>
      </c>
      <c r="BQ308" s="13">
        <f>SUMIFS(SALIDAS_BIT,FECHA_BIT,"&gt;="&amp;BQ$2,FECHA_BIT,"&lt;="&amp;BQ$3,CLAVE_BIT,$A308)+SUMIFS(SALIDAS_BOV1,FECHA_BOV1,"&gt;="&amp;BQ$2,FECHA_BOV1,"&lt;="&amp;BQ$3,CLAVE_BOV1,$A308)+SUMIFS(SALIDAS_BOV2,FECHA_BOV2,"&gt;="&amp;BQ$2,FECHA_BOV2,"&lt;="&amp;BQ$3,CLAVE_BOV2,$A308)+SUMIFS(SALIDAS_BOV3,FECHA_BOV3,"&gt;="&amp;BQ$2,FECHA_BOV3,"&lt;="&amp;BQ$3,CLAVE_BOV3,$A308)+SUMIFS(SALIDAS_TC,FECHA_TC,"&gt;="&amp;BQ$2,FECHA_TC,"&lt;="&amp;BQ$3,CLAVE_TC,$A308)+SUMIFS(SALIDAS_COMB,FECHA_COMB,"&gt;="&amp;BQ$2,FECHA_COMB,"&lt;="&amp;BQ$3,CLAVE_COMB,$A308)+SUMIFS(SALIDAS_DES,FECHA_DESGLOSEN,"&gt;="&amp;BQ$2,FECHA_DESGLOSEN,"&lt;="&amp;BQ$3,CLAVE_DESGLOSE,$A308)</f>
        <v>0</v>
      </c>
      <c r="BR308" s="162">
        <f t="shared" si="598"/>
        <v>3193.06</v>
      </c>
      <c r="BS308" s="227">
        <f t="shared" si="599"/>
        <v>-3193.06</v>
      </c>
      <c r="BT308" s="268">
        <f t="shared" si="464"/>
        <v>0</v>
      </c>
      <c r="BU308" s="162">
        <f t="shared" si="600"/>
        <v>0</v>
      </c>
      <c r="BV308" s="13">
        <f t="shared" si="485"/>
        <v>0</v>
      </c>
      <c r="BW308" s="13">
        <f t="shared" si="485"/>
        <v>0</v>
      </c>
      <c r="BX308" s="13">
        <f t="shared" si="485"/>
        <v>0</v>
      </c>
      <c r="BY308" s="13">
        <f t="shared" si="485"/>
        <v>2759.5099999999998</v>
      </c>
      <c r="BZ308" s="162">
        <f t="shared" si="601"/>
        <v>2759.5099999999998</v>
      </c>
      <c r="CA308" s="227">
        <f t="shared" si="602"/>
        <v>-2759.5099999999998</v>
      </c>
      <c r="CB308" s="268">
        <f t="shared" si="467"/>
        <v>0</v>
      </c>
      <c r="CC308" s="162">
        <f t="shared" si="603"/>
        <v>0</v>
      </c>
      <c r="CD308" s="13">
        <f t="shared" si="486"/>
        <v>0</v>
      </c>
      <c r="CE308" s="13">
        <f t="shared" si="486"/>
        <v>0</v>
      </c>
      <c r="CF308" s="13">
        <f t="shared" si="486"/>
        <v>0</v>
      </c>
      <c r="CG308" s="13">
        <f t="shared" si="486"/>
        <v>3122.07</v>
      </c>
      <c r="CH308" s="162">
        <f t="shared" si="604"/>
        <v>3122.07</v>
      </c>
      <c r="CI308" s="227">
        <f t="shared" si="605"/>
        <v>-3122.07</v>
      </c>
      <c r="CJ308" s="268">
        <f t="shared" si="470"/>
        <v>0</v>
      </c>
      <c r="CK308" s="162">
        <f t="shared" si="606"/>
        <v>0</v>
      </c>
      <c r="CL308" s="13">
        <f t="shared" si="495"/>
        <v>0</v>
      </c>
      <c r="CM308" s="13">
        <f t="shared" si="495"/>
        <v>0</v>
      </c>
      <c r="CN308" s="13">
        <f t="shared" si="495"/>
        <v>0</v>
      </c>
      <c r="CO308" s="13">
        <f t="shared" si="495"/>
        <v>0</v>
      </c>
      <c r="CP308" s="13">
        <f t="shared" si="495"/>
        <v>0</v>
      </c>
      <c r="CQ308" s="162">
        <f t="shared" si="607"/>
        <v>0</v>
      </c>
      <c r="CR308" s="227">
        <f t="shared" si="608"/>
        <v>0</v>
      </c>
      <c r="CS308" s="268">
        <f t="shared" si="473"/>
        <v>0</v>
      </c>
      <c r="CT308" s="68">
        <f t="shared" si="446"/>
        <v>5000</v>
      </c>
      <c r="CU308" s="13">
        <f>SUMIFS(SALIDAS_BIT,FECHA_BIT,"&gt;="&amp;CU$2,FECHA_BIT,"&lt;="&amp;CU$3,CLAVE_BIT,$A308)+SUMIFS(SALIDAS_BOV1,FECHA_BOV1,"&gt;="&amp;CU$2,FECHA_BOV1,"&lt;="&amp;CU$3,CLAVE_BOV1,$A308)+SUMIFS(SALIDAS_BOV2,FECHA_BOV2,"&gt;="&amp;CU$2,FECHA_BOV2,"&lt;="&amp;CU$3,CLAVE_BOV2,$A308)+SUMIFS(SALIDAS_BOV3,FECHA_BOV3,"&gt;="&amp;CU$2,FECHA_BOV3,"&lt;="&amp;CU$3,CLAVE_BOV3,$A308)+SUMIFS(SALIDAS_TC,FECHA_TC,"&gt;="&amp;CU$2,FECHA_TC,"&lt;="&amp;CU$3,CLAVE_TC,$A308)+SUMIFS(SALIDAS_COMB,FECHA_COMB,"&gt;="&amp;CU$2,FECHA_COMB,"&lt;="&amp;CU$3,CLAVE_COMB,$A308)+SUMIFS(SALIDAS_DES,FECHA_DESGLOSEN,"&gt;="&amp;CU$2,FECHA_DESGLOSEN,"&lt;="&amp;CU$3,CLAVE_DESGLOSE,$A308)</f>
        <v>0</v>
      </c>
      <c r="CV308" s="13">
        <f>SUMIFS(SALIDAS_BIT,FECHA_BIT,"&gt;="&amp;CV$2,FECHA_BIT,"&lt;="&amp;CV$3,CLAVE_BIT,$A308)+SUMIFS(SALIDAS_BOV1,FECHA_BOV1,"&gt;="&amp;CV$2,FECHA_BOV1,"&lt;="&amp;CV$3,CLAVE_BOV1,$A308)+SUMIFS(SALIDAS_BOV2,FECHA_BOV2,"&gt;="&amp;CV$2,FECHA_BOV2,"&lt;="&amp;CV$3,CLAVE_BOV2,$A308)+SUMIFS(SALIDAS_BOV3,FECHA_BOV3,"&gt;="&amp;CV$2,FECHA_BOV3,"&lt;="&amp;CV$3,CLAVE_BOV3,$A308)+SUMIFS(SALIDAS_TC,FECHA_TC,"&gt;="&amp;CV$2,FECHA_TC,"&lt;="&amp;CV$3,CLAVE_TC,$A308)+SUMIFS(SALIDAS_COMB,FECHA_COMB,"&gt;="&amp;CV$2,FECHA_COMB,"&lt;="&amp;CV$3,CLAVE_COMB,$A308)+SUMIFS(SALIDAS_DES,FECHA_DESGLOSEN,"&gt;="&amp;CV$2,FECHA_DESGLOSEN,"&lt;="&amp;CV$3,CLAVE_DESGLOSE,$A308)</f>
        <v>0</v>
      </c>
      <c r="CW308" s="13">
        <f>SUMIFS(SALIDAS_BIT,FECHA_BIT,"&gt;="&amp;CW$2,FECHA_BIT,"&lt;="&amp;CW$3,CLAVE_BIT,$A308)+SUMIFS(SALIDAS_BOV1,FECHA_BOV1,"&gt;="&amp;CW$2,FECHA_BOV1,"&lt;="&amp;CW$3,CLAVE_BOV1,$A308)+SUMIFS(SALIDAS_BOV2,FECHA_BOV2,"&gt;="&amp;CW$2,FECHA_BOV2,"&lt;="&amp;CW$3,CLAVE_BOV2,$A308)+SUMIFS(SALIDAS_BOV3,FECHA_BOV3,"&gt;="&amp;CW$2,FECHA_BOV3,"&lt;="&amp;CW$3,CLAVE_BOV3,$A308)+SUMIFS(SALIDAS_TC,FECHA_TC,"&gt;="&amp;CW$2,FECHA_TC,"&lt;="&amp;CW$3,CLAVE_TC,$A308)+SUMIFS(SALIDAS_COMB,FECHA_COMB,"&gt;="&amp;CW$2,FECHA_COMB,"&lt;="&amp;CW$3,CLAVE_COMB,$A308)+SUMIFS(SALIDAS_DES,FECHA_DESGLOSEN,"&gt;="&amp;CW$2,FECHA_DESGLOSEN,"&lt;="&amp;CW$3,CLAVE_DESGLOSE,$A308)</f>
        <v>0</v>
      </c>
      <c r="CX308" s="13">
        <f>SUMIFS(SALIDAS_BIT,FECHA_BIT,"&gt;="&amp;CX$2,FECHA_BIT,"&lt;="&amp;CX$3,CLAVE_BIT,$A308)+SUMIFS(SALIDAS_BOV1,FECHA_BOV1,"&gt;="&amp;CX$2,FECHA_BOV1,"&lt;="&amp;CX$3,CLAVE_BOV1,$A308)+SUMIFS(SALIDAS_BOV2,FECHA_BOV2,"&gt;="&amp;CX$2,FECHA_BOV2,"&lt;="&amp;CX$3,CLAVE_BOV2,$A308)+SUMIFS(SALIDAS_BOV3,FECHA_BOV3,"&gt;="&amp;CX$2,FECHA_BOV3,"&lt;="&amp;CX$3,CLAVE_BOV3,$A308)+SUMIFS(SALIDAS_TC,FECHA_TC,"&gt;="&amp;CX$2,FECHA_TC,"&lt;="&amp;CX$3,CLAVE_TC,$A308)+SUMIFS(SALIDAS_COMB,FECHA_COMB,"&gt;="&amp;CX$2,FECHA_COMB,"&lt;="&amp;CX$3,CLAVE_COMB,$A308)+SUMIFS(SALIDAS_DES,FECHA_DESGLOSEN,"&gt;="&amp;CX$2,FECHA_DESGLOSEN,"&lt;="&amp;CX$3,CLAVE_DESGLOSE,$A308)</f>
        <v>0</v>
      </c>
      <c r="CY308" s="13">
        <f>SUMIFS(SALIDAS_BIT,FECHA_BIT,"&gt;="&amp;CY$2,FECHA_BIT,"&lt;="&amp;CY$3,CLAVE_BIT,$A308)+SUMIFS(SALIDAS_BOV1,FECHA_BOV1,"&gt;="&amp;CY$2,FECHA_BOV1,"&lt;="&amp;CY$3,CLAVE_BOV1,$A308)+SUMIFS(SALIDAS_BOV2,FECHA_BOV2,"&gt;="&amp;CY$2,FECHA_BOV2,"&lt;="&amp;CY$3,CLAVE_BOV2,$A308)+SUMIFS(SALIDAS_BOV3,FECHA_BOV3,"&gt;="&amp;CY$2,FECHA_BOV3,"&lt;="&amp;CY$3,CLAVE_BOV3,$A308)+SUMIFS(SALIDAS_TC,FECHA_TC,"&gt;="&amp;CY$2,FECHA_TC,"&lt;="&amp;CY$3,CLAVE_TC,$A308)+SUMIFS(SALIDAS_COMB,FECHA_COMB,"&gt;="&amp;CY$2,FECHA_COMB,"&lt;="&amp;CY$3,CLAVE_COMB,$A308)+SUMIFS(SALIDAS_DES,FECHA_DESGLOSEN,"&gt;="&amp;CY$2,FECHA_DESGLOSEN,"&lt;="&amp;CY$3,CLAVE_DESGLOSE,$A308)</f>
        <v>0</v>
      </c>
      <c r="CZ308" s="68">
        <f t="shared" si="474"/>
        <v>5000</v>
      </c>
      <c r="DB308" s="17">
        <f>F308+N308+W308+AE308+AM308+AV308+BD308+BL308+BU308+CC308+CK308</f>
        <v>0</v>
      </c>
      <c r="DC308" s="17">
        <f>K308+T308+AB308+AJ308+AS308+BA308+BI308+BR308+BZ308+CH308+CQ308</f>
        <v>31835.29</v>
      </c>
    </row>
    <row r="309" spans="1:107" hidden="1">
      <c r="A309" s="12" t="str">
        <f>C309&amp;D309&amp;E309</f>
        <v>FINANZASCUOTAS Y SUSCRIPCIONESREGISTRO DE MARCA</v>
      </c>
      <c r="B309">
        <v>310</v>
      </c>
      <c r="C309" t="s">
        <v>23</v>
      </c>
      <c r="D309" t="s">
        <v>51</v>
      </c>
      <c r="E309" t="s">
        <v>78</v>
      </c>
      <c r="F309" s="260">
        <f t="shared" si="579"/>
        <v>0</v>
      </c>
      <c r="G309" s="261">
        <f t="shared" si="580"/>
        <v>0</v>
      </c>
      <c r="H309" s="261">
        <f t="shared" si="580"/>
        <v>0</v>
      </c>
      <c r="I309" s="261">
        <f t="shared" si="580"/>
        <v>0</v>
      </c>
      <c r="J309" s="261">
        <f t="shared" si="580"/>
        <v>0</v>
      </c>
      <c r="K309" s="261">
        <f t="shared" si="580"/>
        <v>0</v>
      </c>
      <c r="L309" s="262">
        <f t="shared" si="581"/>
        <v>0</v>
      </c>
      <c r="M309" s="268">
        <f t="shared" si="449"/>
        <v>0</v>
      </c>
      <c r="N309" s="162">
        <f t="shared" si="582"/>
        <v>0</v>
      </c>
      <c r="O309" s="162">
        <f t="shared" si="583"/>
        <v>0</v>
      </c>
      <c r="P309" s="162">
        <f t="shared" si="583"/>
        <v>0</v>
      </c>
      <c r="Q309" s="162">
        <f t="shared" si="583"/>
        <v>0</v>
      </c>
      <c r="R309" s="162">
        <f t="shared" si="583"/>
        <v>4157</v>
      </c>
      <c r="S309" s="162">
        <f t="shared" si="583"/>
        <v>2814</v>
      </c>
      <c r="T309" s="162">
        <f t="shared" si="583"/>
        <v>6971</v>
      </c>
      <c r="U309" s="227">
        <f>N309-T309</f>
        <v>-6971</v>
      </c>
      <c r="V309" s="268">
        <f t="shared" si="451"/>
        <v>0</v>
      </c>
      <c r="W309" s="162">
        <f t="shared" si="584"/>
        <v>0</v>
      </c>
      <c r="X309" s="162">
        <f t="shared" si="585"/>
        <v>0</v>
      </c>
      <c r="Y309" s="162">
        <f t="shared" si="585"/>
        <v>0</v>
      </c>
      <c r="Z309" s="162">
        <f t="shared" si="585"/>
        <v>0</v>
      </c>
      <c r="AA309" s="162">
        <f t="shared" si="585"/>
        <v>0</v>
      </c>
      <c r="AB309" s="162">
        <f t="shared" si="585"/>
        <v>0</v>
      </c>
      <c r="AC309" s="227">
        <f t="shared" si="586"/>
        <v>0</v>
      </c>
      <c r="AD309" s="268">
        <f t="shared" si="453"/>
        <v>0</v>
      </c>
      <c r="AE309" s="162">
        <f t="shared" si="587"/>
        <v>0</v>
      </c>
      <c r="AF309" s="162">
        <f t="shared" si="588"/>
        <v>0</v>
      </c>
      <c r="AG309" s="162">
        <f t="shared" si="588"/>
        <v>0</v>
      </c>
      <c r="AH309" s="162">
        <f t="shared" si="588"/>
        <v>0</v>
      </c>
      <c r="AI309" s="162">
        <f t="shared" si="588"/>
        <v>0</v>
      </c>
      <c r="AJ309" s="162">
        <f t="shared" si="588"/>
        <v>0</v>
      </c>
      <c r="AK309" s="227">
        <f t="shared" si="589"/>
        <v>0</v>
      </c>
      <c r="AL309" s="268">
        <f t="shared" si="455"/>
        <v>0</v>
      </c>
      <c r="AM309" s="162">
        <f t="shared" si="590"/>
        <v>0</v>
      </c>
      <c r="AN309" s="162">
        <f t="shared" si="591"/>
        <v>0</v>
      </c>
      <c r="AO309" s="162">
        <f t="shared" si="591"/>
        <v>0</v>
      </c>
      <c r="AP309" s="162">
        <f t="shared" si="591"/>
        <v>0</v>
      </c>
      <c r="AQ309" s="162">
        <f t="shared" si="591"/>
        <v>0</v>
      </c>
      <c r="AR309" s="162">
        <f t="shared" si="591"/>
        <v>0</v>
      </c>
      <c r="AS309" s="162">
        <f t="shared" si="591"/>
        <v>0</v>
      </c>
      <c r="AT309" s="227">
        <f>AM309-AS309</f>
        <v>0</v>
      </c>
      <c r="AU309" s="268">
        <f t="shared" si="456"/>
        <v>0</v>
      </c>
      <c r="AV309" s="162">
        <f t="shared" si="592"/>
        <v>0</v>
      </c>
      <c r="AW309" s="13">
        <f t="shared" si="611"/>
        <v>0</v>
      </c>
      <c r="AX309" s="13">
        <f t="shared" si="611"/>
        <v>0</v>
      </c>
      <c r="AY309" s="13">
        <f t="shared" si="611"/>
        <v>0</v>
      </c>
      <c r="AZ309" s="13">
        <f t="shared" si="611"/>
        <v>0</v>
      </c>
      <c r="BA309" s="13">
        <f t="shared" si="475"/>
        <v>0</v>
      </c>
      <c r="BB309" s="227">
        <f t="shared" si="593"/>
        <v>0</v>
      </c>
      <c r="BC309" s="268">
        <f t="shared" si="458"/>
        <v>0</v>
      </c>
      <c r="BD309" s="162">
        <f t="shared" si="594"/>
        <v>0</v>
      </c>
      <c r="BE309" s="13">
        <f>SUMIFS(SALIDAS_BIT,FECHA_BIT,"&gt;="&amp;BE$2,FECHA_BIT,"&lt;="&amp;BE$3,CLAVE_BIT,$A309)+SUMIFS(SALIDAS_BOV1,FECHA_BOV1,"&gt;="&amp;BE$2,FECHA_BOV1,"&lt;="&amp;BE$3,CLAVE_BOV1,$A309)+SUMIFS(SALIDAS_BOV2,FECHA_BOV2,"&gt;="&amp;BE$2,FECHA_BOV2,"&lt;="&amp;BE$3,CLAVE_BOV2,$A309)+SUMIFS(SALIDAS_BOV3,FECHA_BOV3,"&gt;="&amp;BE$2,FECHA_BOV3,"&lt;="&amp;BE$3,CLAVE_BOV3,$A309)+SUMIFS(SALIDAS_TC,FECHA_TC,"&gt;="&amp;BE$2,FECHA_TC,"&lt;="&amp;BE$3,CLAVE_TC,$A309)+SUMIFS(SALIDAS_COMB,FECHA_COMB,"&gt;="&amp;BE$2,FECHA_COMB,"&lt;="&amp;BE$3,CLAVE_COMB,$A309)+SUMIFS(SALIDAS_DES,FECHA_DESGLOSEN,"&gt;="&amp;BE$2,FECHA_DESGLOSEN,"&lt;="&amp;BE$3,CLAVE_DESGLOSE,$A309)</f>
        <v>0</v>
      </c>
      <c r="BF309" s="13">
        <f>SUMIFS(SALIDAS_BIT,FECHA_BIT,"&gt;="&amp;BF$2,FECHA_BIT,"&lt;="&amp;BF$3,CLAVE_BIT,$A309)+SUMIFS(SALIDAS_BOV1,FECHA_BOV1,"&gt;="&amp;BF$2,FECHA_BOV1,"&lt;="&amp;BF$3,CLAVE_BOV1,$A309)+SUMIFS(SALIDAS_BOV2,FECHA_BOV2,"&gt;="&amp;BF$2,FECHA_BOV2,"&lt;="&amp;BF$3,CLAVE_BOV2,$A309)+SUMIFS(SALIDAS_BOV3,FECHA_BOV3,"&gt;="&amp;BF$2,FECHA_BOV3,"&lt;="&amp;BF$3,CLAVE_BOV3,$A309)+SUMIFS(SALIDAS_TC,FECHA_TC,"&gt;="&amp;BF$2,FECHA_TC,"&lt;="&amp;BF$3,CLAVE_TC,$A309)+SUMIFS(SALIDAS_COMB,FECHA_COMB,"&gt;="&amp;BF$2,FECHA_COMB,"&lt;="&amp;BF$3,CLAVE_COMB,$A309)+SUMIFS(SALIDAS_DES,FECHA_DESGLOSEN,"&gt;="&amp;BF$2,FECHA_DESGLOSEN,"&lt;="&amp;BF$3,CLAVE_DESGLOSE,$A309)</f>
        <v>0</v>
      </c>
      <c r="BG309" s="13">
        <f>SUMIFS(SALIDAS_BIT,FECHA_BIT,"&gt;="&amp;BG$2,FECHA_BIT,"&lt;="&amp;BG$3,CLAVE_BIT,$A309)+SUMIFS(SALIDAS_BOV1,FECHA_BOV1,"&gt;="&amp;BG$2,FECHA_BOV1,"&lt;="&amp;BG$3,CLAVE_BOV1,$A309)+SUMIFS(SALIDAS_BOV2,FECHA_BOV2,"&gt;="&amp;BG$2,FECHA_BOV2,"&lt;="&amp;BG$3,CLAVE_BOV2,$A309)+SUMIFS(SALIDAS_BOV3,FECHA_BOV3,"&gt;="&amp;BG$2,FECHA_BOV3,"&lt;="&amp;BG$3,CLAVE_BOV3,$A309)+SUMIFS(SALIDAS_TC,FECHA_TC,"&gt;="&amp;BG$2,FECHA_TC,"&lt;="&amp;BG$3,CLAVE_TC,$A309)+SUMIFS(SALIDAS_COMB,FECHA_COMB,"&gt;="&amp;BG$2,FECHA_COMB,"&lt;="&amp;BG$3,CLAVE_COMB,$A309)+SUMIFS(SALIDAS_DES,FECHA_DESGLOSEN,"&gt;="&amp;BG$2,FECHA_DESGLOSEN,"&lt;="&amp;BG$3,CLAVE_DESGLOSE,$A309)</f>
        <v>0</v>
      </c>
      <c r="BH309" s="13">
        <f>SUMIFS(SALIDAS_BIT,FECHA_BIT,"&gt;="&amp;BH$2,FECHA_BIT,"&lt;="&amp;BH$3,CLAVE_BIT,$A309)+SUMIFS(SALIDAS_BOV1,FECHA_BOV1,"&gt;="&amp;BH$2,FECHA_BOV1,"&lt;="&amp;BH$3,CLAVE_BOV1,$A309)+SUMIFS(SALIDAS_BOV2,FECHA_BOV2,"&gt;="&amp;BH$2,FECHA_BOV2,"&lt;="&amp;BH$3,CLAVE_BOV2,$A309)+SUMIFS(SALIDAS_BOV3,FECHA_BOV3,"&gt;="&amp;BH$2,FECHA_BOV3,"&lt;="&amp;BH$3,CLAVE_BOV3,$A309)+SUMIFS(SALIDAS_TC,FECHA_TC,"&gt;="&amp;BH$2,FECHA_TC,"&lt;="&amp;BH$3,CLAVE_TC,$A309)+SUMIFS(SALIDAS_COMB,FECHA_COMB,"&gt;="&amp;BH$2,FECHA_COMB,"&lt;="&amp;BH$3,CLAVE_COMB,$A309)+SUMIFS(SALIDAS_DES,FECHA_DESGLOSEN,"&gt;="&amp;BH$2,FECHA_DESGLOSEN,"&lt;="&amp;BH$3,CLAVE_DESGLOSE,$A309)</f>
        <v>0</v>
      </c>
      <c r="BI309" s="162">
        <f t="shared" si="595"/>
        <v>0</v>
      </c>
      <c r="BJ309" s="227">
        <f t="shared" si="596"/>
        <v>0</v>
      </c>
      <c r="BK309" s="268">
        <f t="shared" si="461"/>
        <v>0</v>
      </c>
      <c r="BL309" s="162">
        <f t="shared" si="597"/>
        <v>0</v>
      </c>
      <c r="BM309" s="13">
        <f>SUMIFS(SALIDAS_BIT,FECHA_BIT,"&gt;="&amp;BM$2,FECHA_BIT,"&lt;="&amp;BM$3,CLAVE_BIT,$A309)+SUMIFS(SALIDAS_BOV1,FECHA_BOV1,"&gt;="&amp;BM$2,FECHA_BOV1,"&lt;="&amp;BM$3,CLAVE_BOV1,$A309)+SUMIFS(SALIDAS_BOV2,FECHA_BOV2,"&gt;="&amp;BM$2,FECHA_BOV2,"&lt;="&amp;BM$3,CLAVE_BOV2,$A309)+SUMIFS(SALIDAS_BOV3,FECHA_BOV3,"&gt;="&amp;BM$2,FECHA_BOV3,"&lt;="&amp;BM$3,CLAVE_BOV3,$A309)+SUMIFS(SALIDAS_TC,FECHA_TC,"&gt;="&amp;BM$2,FECHA_TC,"&lt;="&amp;BM$3,CLAVE_TC,$A309)+SUMIFS(SALIDAS_COMB,FECHA_COMB,"&gt;="&amp;BM$2,FECHA_COMB,"&lt;="&amp;BM$3,CLAVE_COMB,$A309)+SUMIFS(SALIDAS_DES,FECHA_DESGLOSEN,"&gt;="&amp;BM$2,FECHA_DESGLOSEN,"&lt;="&amp;BM$3,CLAVE_DESGLOSE,$A309)</f>
        <v>0</v>
      </c>
      <c r="BN309" s="13">
        <f>SUMIFS(SALIDAS_BIT,FECHA_BIT,"&gt;="&amp;BN$2,FECHA_BIT,"&lt;="&amp;BN$3,CLAVE_BIT,$A309)+SUMIFS(SALIDAS_BOV1,FECHA_BOV1,"&gt;="&amp;BN$2,FECHA_BOV1,"&lt;="&amp;BN$3,CLAVE_BOV1,$A309)+SUMIFS(SALIDAS_BOV2,FECHA_BOV2,"&gt;="&amp;BN$2,FECHA_BOV2,"&lt;="&amp;BN$3,CLAVE_BOV2,$A309)+SUMIFS(SALIDAS_BOV3,FECHA_BOV3,"&gt;="&amp;BN$2,FECHA_BOV3,"&lt;="&amp;BN$3,CLAVE_BOV3,$A309)+SUMIFS(SALIDAS_TC,FECHA_TC,"&gt;="&amp;BN$2,FECHA_TC,"&lt;="&amp;BN$3,CLAVE_TC,$A309)+SUMIFS(SALIDAS_COMB,FECHA_COMB,"&gt;="&amp;BN$2,FECHA_COMB,"&lt;="&amp;BN$3,CLAVE_COMB,$A309)+SUMIFS(SALIDAS_DES,FECHA_DESGLOSEN,"&gt;="&amp;BN$2,FECHA_DESGLOSEN,"&lt;="&amp;BN$3,CLAVE_DESGLOSE,$A309)</f>
        <v>2814</v>
      </c>
      <c r="BO309" s="13">
        <f>SUMIFS(SALIDAS_BIT,FECHA_BIT,"&gt;="&amp;BO$2,FECHA_BIT,"&lt;="&amp;BO$3,CLAVE_BIT,$A309)+SUMIFS(SALIDAS_BOV1,FECHA_BOV1,"&gt;="&amp;BO$2,FECHA_BOV1,"&lt;="&amp;BO$3,CLAVE_BOV1,$A309)+SUMIFS(SALIDAS_BOV2,FECHA_BOV2,"&gt;="&amp;BO$2,FECHA_BOV2,"&lt;="&amp;BO$3,CLAVE_BOV2,$A309)+SUMIFS(SALIDAS_BOV3,FECHA_BOV3,"&gt;="&amp;BO$2,FECHA_BOV3,"&lt;="&amp;BO$3,CLAVE_BOV3,$A309)+SUMIFS(SALIDAS_TC,FECHA_TC,"&gt;="&amp;BO$2,FECHA_TC,"&lt;="&amp;BO$3,CLAVE_TC,$A309)+SUMIFS(SALIDAS_COMB,FECHA_COMB,"&gt;="&amp;BO$2,FECHA_COMB,"&lt;="&amp;BO$3,CLAVE_COMB,$A309)+SUMIFS(SALIDAS_DES,FECHA_DESGLOSEN,"&gt;="&amp;BO$2,FECHA_DESGLOSEN,"&lt;="&amp;BO$3,CLAVE_DESGLOSE,$A309)</f>
        <v>0</v>
      </c>
      <c r="BP309" s="13">
        <f>SUMIFS(SALIDAS_BIT,FECHA_BIT,"&gt;="&amp;BP$2,FECHA_BIT,"&lt;="&amp;BP$3,CLAVE_BIT,$A309)+SUMIFS(SALIDAS_BOV1,FECHA_BOV1,"&gt;="&amp;BP$2,FECHA_BOV1,"&lt;="&amp;BP$3,CLAVE_BOV1,$A309)+SUMIFS(SALIDAS_BOV2,FECHA_BOV2,"&gt;="&amp;BP$2,FECHA_BOV2,"&lt;="&amp;BP$3,CLAVE_BOV2,$A309)+SUMIFS(SALIDAS_BOV3,FECHA_BOV3,"&gt;="&amp;BP$2,FECHA_BOV3,"&lt;="&amp;BP$3,CLAVE_BOV3,$A309)+SUMIFS(SALIDAS_TC,FECHA_TC,"&gt;="&amp;BP$2,FECHA_TC,"&lt;="&amp;BP$3,CLAVE_TC,$A309)+SUMIFS(SALIDAS_COMB,FECHA_COMB,"&gt;="&amp;BP$2,FECHA_COMB,"&lt;="&amp;BP$3,CLAVE_COMB,$A309)+SUMIFS(SALIDAS_DES,FECHA_DESGLOSEN,"&gt;="&amp;BP$2,FECHA_DESGLOSEN,"&lt;="&amp;BP$3,CLAVE_DESGLOSE,$A309)</f>
        <v>0</v>
      </c>
      <c r="BQ309" s="13">
        <f>SUMIFS(SALIDAS_BIT,FECHA_BIT,"&gt;="&amp;BQ$2,FECHA_BIT,"&lt;="&amp;BQ$3,CLAVE_BIT,$A309)+SUMIFS(SALIDAS_BOV1,FECHA_BOV1,"&gt;="&amp;BQ$2,FECHA_BOV1,"&lt;="&amp;BQ$3,CLAVE_BOV1,$A309)+SUMIFS(SALIDAS_BOV2,FECHA_BOV2,"&gt;="&amp;BQ$2,FECHA_BOV2,"&lt;="&amp;BQ$3,CLAVE_BOV2,$A309)+SUMIFS(SALIDAS_BOV3,FECHA_BOV3,"&gt;="&amp;BQ$2,FECHA_BOV3,"&lt;="&amp;BQ$3,CLAVE_BOV3,$A309)+SUMIFS(SALIDAS_TC,FECHA_TC,"&gt;="&amp;BQ$2,FECHA_TC,"&lt;="&amp;BQ$3,CLAVE_TC,$A309)+SUMIFS(SALIDAS_COMB,FECHA_COMB,"&gt;="&amp;BQ$2,FECHA_COMB,"&lt;="&amp;BQ$3,CLAVE_COMB,$A309)+SUMIFS(SALIDAS_DES,FECHA_DESGLOSEN,"&gt;="&amp;BQ$2,FECHA_DESGLOSEN,"&lt;="&amp;BQ$3,CLAVE_DESGLOSE,$A309)</f>
        <v>0</v>
      </c>
      <c r="BR309" s="162">
        <f t="shared" si="598"/>
        <v>2814</v>
      </c>
      <c r="BS309" s="227">
        <f t="shared" si="599"/>
        <v>-2814</v>
      </c>
      <c r="BT309" s="268">
        <f t="shared" si="464"/>
        <v>0</v>
      </c>
      <c r="BU309" s="162">
        <f t="shared" si="600"/>
        <v>0</v>
      </c>
      <c r="BV309" s="13">
        <f t="shared" si="485"/>
        <v>0</v>
      </c>
      <c r="BW309" s="13">
        <f t="shared" si="485"/>
        <v>0</v>
      </c>
      <c r="BX309" s="13">
        <f t="shared" si="485"/>
        <v>0</v>
      </c>
      <c r="BY309" s="13">
        <f t="shared" si="485"/>
        <v>0</v>
      </c>
      <c r="BZ309" s="162">
        <f t="shared" si="601"/>
        <v>0</v>
      </c>
      <c r="CA309" s="227">
        <f t="shared" si="602"/>
        <v>0</v>
      </c>
      <c r="CB309" s="268">
        <f t="shared" si="467"/>
        <v>0</v>
      </c>
      <c r="CC309" s="162">
        <f t="shared" si="603"/>
        <v>0</v>
      </c>
      <c r="CD309" s="13">
        <f t="shared" si="486"/>
        <v>0</v>
      </c>
      <c r="CE309" s="13">
        <f t="shared" si="486"/>
        <v>0</v>
      </c>
      <c r="CF309" s="13">
        <f t="shared" si="486"/>
        <v>0</v>
      </c>
      <c r="CG309" s="13">
        <f t="shared" si="486"/>
        <v>0</v>
      </c>
      <c r="CH309" s="162">
        <f t="shared" si="604"/>
        <v>0</v>
      </c>
      <c r="CI309" s="227">
        <f t="shared" si="605"/>
        <v>0</v>
      </c>
      <c r="CJ309" s="268">
        <f t="shared" si="470"/>
        <v>0</v>
      </c>
      <c r="CK309" s="162">
        <f t="shared" si="606"/>
        <v>0</v>
      </c>
      <c r="CL309" s="13">
        <f t="shared" si="495"/>
        <v>0</v>
      </c>
      <c r="CM309" s="13">
        <f t="shared" si="495"/>
        <v>0</v>
      </c>
      <c r="CN309" s="13">
        <f t="shared" si="495"/>
        <v>0</v>
      </c>
      <c r="CO309" s="13">
        <f t="shared" si="495"/>
        <v>0</v>
      </c>
      <c r="CP309" s="13">
        <f t="shared" si="495"/>
        <v>0</v>
      </c>
      <c r="CQ309" s="162">
        <f t="shared" si="607"/>
        <v>0</v>
      </c>
      <c r="CR309" s="227">
        <f t="shared" si="608"/>
        <v>0</v>
      </c>
      <c r="CS309" s="268">
        <f t="shared" si="473"/>
        <v>0</v>
      </c>
      <c r="CT309" s="68">
        <f t="shared" si="446"/>
        <v>0</v>
      </c>
      <c r="CU309" s="13">
        <f>SUMIFS(SALIDAS_BIT,FECHA_BIT,"&gt;="&amp;CU$2,FECHA_BIT,"&lt;="&amp;CU$3,CLAVE_BIT,$A309)+SUMIFS(SALIDAS_BOV1,FECHA_BOV1,"&gt;="&amp;CU$2,FECHA_BOV1,"&lt;="&amp;CU$3,CLAVE_BOV1,$A309)+SUMIFS(SALIDAS_BOV2,FECHA_BOV2,"&gt;="&amp;CU$2,FECHA_BOV2,"&lt;="&amp;CU$3,CLAVE_BOV2,$A309)+SUMIFS(SALIDAS_BOV3,FECHA_BOV3,"&gt;="&amp;CU$2,FECHA_BOV3,"&lt;="&amp;CU$3,CLAVE_BOV3,$A309)+SUMIFS(SALIDAS_TC,FECHA_TC,"&gt;="&amp;CU$2,FECHA_TC,"&lt;="&amp;CU$3,CLAVE_TC,$A309)+SUMIFS(SALIDAS_COMB,FECHA_COMB,"&gt;="&amp;CU$2,FECHA_COMB,"&lt;="&amp;CU$3,CLAVE_COMB,$A309)+SUMIFS(SALIDAS_DES,FECHA_DESGLOSEN,"&gt;="&amp;CU$2,FECHA_DESGLOSEN,"&lt;="&amp;CU$3,CLAVE_DESGLOSE,$A309)</f>
        <v>0</v>
      </c>
      <c r="CV309" s="13">
        <f>SUMIFS(SALIDAS_BIT,FECHA_BIT,"&gt;="&amp;CV$2,FECHA_BIT,"&lt;="&amp;CV$3,CLAVE_BIT,$A309)+SUMIFS(SALIDAS_BOV1,FECHA_BOV1,"&gt;="&amp;CV$2,FECHA_BOV1,"&lt;="&amp;CV$3,CLAVE_BOV1,$A309)+SUMIFS(SALIDAS_BOV2,FECHA_BOV2,"&gt;="&amp;CV$2,FECHA_BOV2,"&lt;="&amp;CV$3,CLAVE_BOV2,$A309)+SUMIFS(SALIDAS_BOV3,FECHA_BOV3,"&gt;="&amp;CV$2,FECHA_BOV3,"&lt;="&amp;CV$3,CLAVE_BOV3,$A309)+SUMIFS(SALIDAS_TC,FECHA_TC,"&gt;="&amp;CV$2,FECHA_TC,"&lt;="&amp;CV$3,CLAVE_TC,$A309)+SUMIFS(SALIDAS_COMB,FECHA_COMB,"&gt;="&amp;CV$2,FECHA_COMB,"&lt;="&amp;CV$3,CLAVE_COMB,$A309)+SUMIFS(SALIDAS_DES,FECHA_DESGLOSEN,"&gt;="&amp;CV$2,FECHA_DESGLOSEN,"&lt;="&amp;CV$3,CLAVE_DESGLOSE,$A309)</f>
        <v>0</v>
      </c>
      <c r="CW309" s="13">
        <f>SUMIFS(SALIDAS_BIT,FECHA_BIT,"&gt;="&amp;CW$2,FECHA_BIT,"&lt;="&amp;CW$3,CLAVE_BIT,$A309)+SUMIFS(SALIDAS_BOV1,FECHA_BOV1,"&gt;="&amp;CW$2,FECHA_BOV1,"&lt;="&amp;CW$3,CLAVE_BOV1,$A309)+SUMIFS(SALIDAS_BOV2,FECHA_BOV2,"&gt;="&amp;CW$2,FECHA_BOV2,"&lt;="&amp;CW$3,CLAVE_BOV2,$A309)+SUMIFS(SALIDAS_BOV3,FECHA_BOV3,"&gt;="&amp;CW$2,FECHA_BOV3,"&lt;="&amp;CW$3,CLAVE_BOV3,$A309)+SUMIFS(SALIDAS_TC,FECHA_TC,"&gt;="&amp;CW$2,FECHA_TC,"&lt;="&amp;CW$3,CLAVE_TC,$A309)+SUMIFS(SALIDAS_COMB,FECHA_COMB,"&gt;="&amp;CW$2,FECHA_COMB,"&lt;="&amp;CW$3,CLAVE_COMB,$A309)+SUMIFS(SALIDAS_DES,FECHA_DESGLOSEN,"&gt;="&amp;CW$2,FECHA_DESGLOSEN,"&lt;="&amp;CW$3,CLAVE_DESGLOSE,$A309)</f>
        <v>0</v>
      </c>
      <c r="CX309" s="13">
        <f>SUMIFS(SALIDAS_BIT,FECHA_BIT,"&gt;="&amp;CX$2,FECHA_BIT,"&lt;="&amp;CX$3,CLAVE_BIT,$A309)+SUMIFS(SALIDAS_BOV1,FECHA_BOV1,"&gt;="&amp;CX$2,FECHA_BOV1,"&lt;="&amp;CX$3,CLAVE_BOV1,$A309)+SUMIFS(SALIDAS_BOV2,FECHA_BOV2,"&gt;="&amp;CX$2,FECHA_BOV2,"&lt;="&amp;CX$3,CLAVE_BOV2,$A309)+SUMIFS(SALIDAS_BOV3,FECHA_BOV3,"&gt;="&amp;CX$2,FECHA_BOV3,"&lt;="&amp;CX$3,CLAVE_BOV3,$A309)+SUMIFS(SALIDAS_TC,FECHA_TC,"&gt;="&amp;CX$2,FECHA_TC,"&lt;="&amp;CX$3,CLAVE_TC,$A309)+SUMIFS(SALIDAS_COMB,FECHA_COMB,"&gt;="&amp;CX$2,FECHA_COMB,"&lt;="&amp;CX$3,CLAVE_COMB,$A309)+SUMIFS(SALIDAS_DES,FECHA_DESGLOSEN,"&gt;="&amp;CX$2,FECHA_DESGLOSEN,"&lt;="&amp;CX$3,CLAVE_DESGLOSE,$A309)</f>
        <v>0</v>
      </c>
      <c r="CY309" s="13">
        <f>SUMIFS(SALIDAS_BIT,FECHA_BIT,"&gt;="&amp;CY$2,FECHA_BIT,"&lt;="&amp;CY$3,CLAVE_BIT,$A309)+SUMIFS(SALIDAS_BOV1,FECHA_BOV1,"&gt;="&amp;CY$2,FECHA_BOV1,"&lt;="&amp;CY$3,CLAVE_BOV1,$A309)+SUMIFS(SALIDAS_BOV2,FECHA_BOV2,"&gt;="&amp;CY$2,FECHA_BOV2,"&lt;="&amp;CY$3,CLAVE_BOV2,$A309)+SUMIFS(SALIDAS_BOV3,FECHA_BOV3,"&gt;="&amp;CY$2,FECHA_BOV3,"&lt;="&amp;CY$3,CLAVE_BOV3,$A309)+SUMIFS(SALIDAS_TC,FECHA_TC,"&gt;="&amp;CY$2,FECHA_TC,"&lt;="&amp;CY$3,CLAVE_TC,$A309)+SUMIFS(SALIDAS_COMB,FECHA_COMB,"&gt;="&amp;CY$2,FECHA_COMB,"&lt;="&amp;CY$3,CLAVE_COMB,$A309)+SUMIFS(SALIDAS_DES,FECHA_DESGLOSEN,"&gt;="&amp;CY$2,FECHA_DESGLOSEN,"&lt;="&amp;CY$3,CLAVE_DESGLOSE,$A309)</f>
        <v>0</v>
      </c>
      <c r="CZ309" s="68">
        <f t="shared" si="474"/>
        <v>0</v>
      </c>
      <c r="DB309" s="17">
        <f>F309+N309+W309+AE309+AM309+AV309+BD309+BL309+BU309+CC309+CK309</f>
        <v>0</v>
      </c>
      <c r="DC309" s="17">
        <f>K309+T309+AB309+AJ309+AS309+BA309+BI309+BR309+BZ309+CH309+CQ309</f>
        <v>9785</v>
      </c>
    </row>
    <row r="310" spans="1:107" ht="15" hidden="1">
      <c r="A310" s="12" t="str">
        <f t="shared" si="551"/>
        <v>CAPENERGIA ELECTRICAE9</v>
      </c>
      <c r="B310">
        <v>311</v>
      </c>
      <c r="C310" t="s">
        <v>31</v>
      </c>
      <c r="D310" t="s">
        <v>87</v>
      </c>
      <c r="E310" t="s">
        <v>116</v>
      </c>
      <c r="F310" s="260">
        <f t="shared" si="579"/>
        <v>0</v>
      </c>
      <c r="G310" s="261">
        <f t="shared" si="580"/>
        <v>0</v>
      </c>
      <c r="H310" s="261">
        <f t="shared" si="580"/>
        <v>0</v>
      </c>
      <c r="I310" s="261">
        <f t="shared" si="580"/>
        <v>0</v>
      </c>
      <c r="J310" s="261">
        <f t="shared" si="580"/>
        <v>0</v>
      </c>
      <c r="K310" s="261">
        <f t="shared" si="580"/>
        <v>0</v>
      </c>
      <c r="L310" s="262">
        <f t="shared" si="581"/>
        <v>0</v>
      </c>
      <c r="M310" s="268">
        <f t="shared" ref="M310" si="612">IFERROR((K310/F310),0)</f>
        <v>0</v>
      </c>
      <c r="N310" s="162">
        <f t="shared" si="582"/>
        <v>0</v>
      </c>
      <c r="O310" s="162">
        <f t="shared" si="583"/>
        <v>0</v>
      </c>
      <c r="P310" s="162">
        <f t="shared" si="583"/>
        <v>0</v>
      </c>
      <c r="Q310" s="162">
        <f t="shared" si="583"/>
        <v>0</v>
      </c>
      <c r="R310" s="162">
        <f t="shared" si="583"/>
        <v>0</v>
      </c>
      <c r="S310" s="162">
        <f t="shared" si="583"/>
        <v>0</v>
      </c>
      <c r="T310" s="162">
        <f t="shared" si="583"/>
        <v>0</v>
      </c>
      <c r="U310" s="227">
        <f>N310-T310</f>
        <v>0</v>
      </c>
      <c r="V310" s="268">
        <f t="shared" ref="V310" si="613">IFERROR((T310/N310),0)</f>
        <v>0</v>
      </c>
      <c r="W310" s="162">
        <f t="shared" si="584"/>
        <v>0</v>
      </c>
      <c r="X310" s="162">
        <f t="shared" si="585"/>
        <v>0</v>
      </c>
      <c r="Y310" s="162">
        <f t="shared" si="585"/>
        <v>0</v>
      </c>
      <c r="Z310" s="162">
        <f t="shared" si="585"/>
        <v>0</v>
      </c>
      <c r="AA310" s="162">
        <f t="shared" si="585"/>
        <v>0</v>
      </c>
      <c r="AB310" s="162">
        <f t="shared" si="585"/>
        <v>0</v>
      </c>
      <c r="AC310" s="227">
        <f t="shared" si="586"/>
        <v>0</v>
      </c>
      <c r="AD310" s="268">
        <f t="shared" ref="AD310" si="614">IFERROR((AB310/W310),0)</f>
        <v>0</v>
      </c>
      <c r="AE310" s="162">
        <f t="shared" si="587"/>
        <v>7000</v>
      </c>
      <c r="AF310" s="162">
        <f t="shared" si="588"/>
        <v>0</v>
      </c>
      <c r="AG310" s="162">
        <f t="shared" si="588"/>
        <v>6378</v>
      </c>
      <c r="AH310" s="162">
        <f t="shared" si="588"/>
        <v>0</v>
      </c>
      <c r="AI310" s="162">
        <f t="shared" si="588"/>
        <v>0</v>
      </c>
      <c r="AJ310" s="162">
        <f t="shared" si="588"/>
        <v>6378</v>
      </c>
      <c r="AK310" s="227">
        <f t="shared" si="589"/>
        <v>622</v>
      </c>
      <c r="AL310" s="268">
        <f t="shared" ref="AL310" si="615">IFERROR((AJ310/AE310),0)</f>
        <v>0.91114285714285714</v>
      </c>
      <c r="AM310" s="162">
        <f t="shared" si="590"/>
        <v>0</v>
      </c>
      <c r="AN310" s="162">
        <f t="shared" si="591"/>
        <v>0</v>
      </c>
      <c r="AO310" s="162">
        <f t="shared" si="591"/>
        <v>14177</v>
      </c>
      <c r="AP310" s="162">
        <f t="shared" si="591"/>
        <v>0</v>
      </c>
      <c r="AQ310" s="162">
        <f t="shared" si="591"/>
        <v>0</v>
      </c>
      <c r="AR310" s="162">
        <f t="shared" si="591"/>
        <v>0</v>
      </c>
      <c r="AS310" s="162">
        <f t="shared" si="591"/>
        <v>14177</v>
      </c>
      <c r="AT310" s="227">
        <f>AM310-AS310</f>
        <v>-14177</v>
      </c>
      <c r="AU310" s="268">
        <f t="shared" ref="AU310" si="616">IFERROR((AS310/AM310),0)</f>
        <v>0</v>
      </c>
      <c r="AV310" s="162">
        <f t="shared" si="592"/>
        <v>12000</v>
      </c>
      <c r="AW310" s="13">
        <f t="shared" si="611"/>
        <v>15726</v>
      </c>
      <c r="AX310" s="13">
        <f t="shared" si="611"/>
        <v>0</v>
      </c>
      <c r="AY310" s="13">
        <f t="shared" si="611"/>
        <v>0</v>
      </c>
      <c r="AZ310" s="13">
        <f t="shared" si="611"/>
        <v>0</v>
      </c>
      <c r="BA310" s="13">
        <f t="shared" si="475"/>
        <v>15726</v>
      </c>
      <c r="BB310" s="227">
        <f t="shared" si="593"/>
        <v>-3726</v>
      </c>
      <c r="BC310" s="268">
        <f t="shared" ref="BC310" si="617">IFERROR((BA310/AV310),0)</f>
        <v>1.3105</v>
      </c>
      <c r="BD310" s="162">
        <f t="shared" si="594"/>
        <v>0</v>
      </c>
      <c r="BE310" s="13">
        <f>SUMIFS(SALIDAS_BIT,FECHA_BIT,"&gt;="&amp;BE$2,FECHA_BIT,"&lt;="&amp;BE$3,CLAVE_BIT,$A310)+SUMIFS(SALIDAS_BOV1,FECHA_BOV1,"&gt;="&amp;BE$2,FECHA_BOV1,"&lt;="&amp;BE$3,CLAVE_BOV1,$A310)+SUMIFS(SALIDAS_BOV2,FECHA_BOV2,"&gt;="&amp;BE$2,FECHA_BOV2,"&lt;="&amp;BE$3,CLAVE_BOV2,$A310)+SUMIFS(SALIDAS_BOV3,FECHA_BOV3,"&gt;="&amp;BE$2,FECHA_BOV3,"&lt;="&amp;BE$3,CLAVE_BOV3,$A310)+SUMIFS(SALIDAS_TC,FECHA_TC,"&gt;="&amp;BE$2,FECHA_TC,"&lt;="&amp;BE$3,CLAVE_TC,$A310)+SUMIFS(SALIDAS_COMB,FECHA_COMB,"&gt;="&amp;BE$2,FECHA_COMB,"&lt;="&amp;BE$3,CLAVE_COMB,$A310)+SUMIFS(SALIDAS_DES,FECHA_DESGLOSEN,"&gt;="&amp;BE$2,FECHA_DESGLOSEN,"&lt;="&amp;BE$3,CLAVE_DESGLOSE,$A310)</f>
        <v>20556</v>
      </c>
      <c r="BF310" s="13">
        <f>SUMIFS(SALIDAS_BIT,FECHA_BIT,"&gt;="&amp;BF$2,FECHA_BIT,"&lt;="&amp;BF$3,CLAVE_BIT,$A310)+SUMIFS(SALIDAS_BOV1,FECHA_BOV1,"&gt;="&amp;BF$2,FECHA_BOV1,"&lt;="&amp;BF$3,CLAVE_BOV1,$A310)+SUMIFS(SALIDAS_BOV2,FECHA_BOV2,"&gt;="&amp;BF$2,FECHA_BOV2,"&lt;="&amp;BF$3,CLAVE_BOV2,$A310)+SUMIFS(SALIDAS_BOV3,FECHA_BOV3,"&gt;="&amp;BF$2,FECHA_BOV3,"&lt;="&amp;BF$3,CLAVE_BOV3,$A310)+SUMIFS(SALIDAS_TC,FECHA_TC,"&gt;="&amp;BF$2,FECHA_TC,"&lt;="&amp;BF$3,CLAVE_TC,$A310)+SUMIFS(SALIDAS_COMB,FECHA_COMB,"&gt;="&amp;BF$2,FECHA_COMB,"&lt;="&amp;BF$3,CLAVE_COMB,$A310)+SUMIFS(SALIDAS_DES,FECHA_DESGLOSEN,"&gt;="&amp;BF$2,FECHA_DESGLOSEN,"&lt;="&amp;BF$3,CLAVE_DESGLOSE,$A310)</f>
        <v>0</v>
      </c>
      <c r="BG310" s="13">
        <f>SUMIFS(SALIDAS_BIT,FECHA_BIT,"&gt;="&amp;BG$2,FECHA_BIT,"&lt;="&amp;BG$3,CLAVE_BIT,$A310)+SUMIFS(SALIDAS_BOV1,FECHA_BOV1,"&gt;="&amp;BG$2,FECHA_BOV1,"&lt;="&amp;BG$3,CLAVE_BOV1,$A310)+SUMIFS(SALIDAS_BOV2,FECHA_BOV2,"&gt;="&amp;BG$2,FECHA_BOV2,"&lt;="&amp;BG$3,CLAVE_BOV2,$A310)+SUMIFS(SALIDAS_BOV3,FECHA_BOV3,"&gt;="&amp;BG$2,FECHA_BOV3,"&lt;="&amp;BG$3,CLAVE_BOV3,$A310)+SUMIFS(SALIDAS_TC,FECHA_TC,"&gt;="&amp;BG$2,FECHA_TC,"&lt;="&amp;BG$3,CLAVE_TC,$A310)+SUMIFS(SALIDAS_COMB,FECHA_COMB,"&gt;="&amp;BG$2,FECHA_COMB,"&lt;="&amp;BG$3,CLAVE_COMB,$A310)+SUMIFS(SALIDAS_DES,FECHA_DESGLOSEN,"&gt;="&amp;BG$2,FECHA_DESGLOSEN,"&lt;="&amp;BG$3,CLAVE_DESGLOSE,$A310)</f>
        <v>0</v>
      </c>
      <c r="BH310" s="13">
        <f>SUMIFS(SALIDAS_BIT,FECHA_BIT,"&gt;="&amp;BH$2,FECHA_BIT,"&lt;="&amp;BH$3,CLAVE_BIT,$A310)+SUMIFS(SALIDAS_BOV1,FECHA_BOV1,"&gt;="&amp;BH$2,FECHA_BOV1,"&lt;="&amp;BH$3,CLAVE_BOV1,$A310)+SUMIFS(SALIDAS_BOV2,FECHA_BOV2,"&gt;="&amp;BH$2,FECHA_BOV2,"&lt;="&amp;BH$3,CLAVE_BOV2,$A310)+SUMIFS(SALIDAS_BOV3,FECHA_BOV3,"&gt;="&amp;BH$2,FECHA_BOV3,"&lt;="&amp;BH$3,CLAVE_BOV3,$A310)+SUMIFS(SALIDAS_TC,FECHA_TC,"&gt;="&amp;BH$2,FECHA_TC,"&lt;="&amp;BH$3,CLAVE_TC,$A310)+SUMIFS(SALIDAS_COMB,FECHA_COMB,"&gt;="&amp;BH$2,FECHA_COMB,"&lt;="&amp;BH$3,CLAVE_COMB,$A310)+SUMIFS(SALIDAS_DES,FECHA_DESGLOSEN,"&gt;="&amp;BH$2,FECHA_DESGLOSEN,"&lt;="&amp;BH$3,CLAVE_DESGLOSE,$A310)</f>
        <v>0</v>
      </c>
      <c r="BI310" s="162">
        <f t="shared" si="595"/>
        <v>20556</v>
      </c>
      <c r="BJ310" s="227">
        <f t="shared" si="596"/>
        <v>-20556</v>
      </c>
      <c r="BK310" s="268">
        <f t="shared" ref="BK310" si="618">IFERROR((BI310/BD310),0)</f>
        <v>0</v>
      </c>
      <c r="BL310" s="162">
        <f t="shared" si="597"/>
        <v>12000</v>
      </c>
      <c r="BM310" s="13">
        <f>SUMIFS(SALIDAS_BIT,FECHA_BIT,"&gt;="&amp;BM$2,FECHA_BIT,"&lt;="&amp;BM$3,CLAVE_BIT,$A310)+SUMIFS(SALIDAS_BOV1,FECHA_BOV1,"&gt;="&amp;BM$2,FECHA_BOV1,"&lt;="&amp;BM$3,CLAVE_BOV1,$A310)+SUMIFS(SALIDAS_BOV2,FECHA_BOV2,"&gt;="&amp;BM$2,FECHA_BOV2,"&lt;="&amp;BM$3,CLAVE_BOV2,$A310)+SUMIFS(SALIDAS_BOV3,FECHA_BOV3,"&gt;="&amp;BM$2,FECHA_BOV3,"&lt;="&amp;BM$3,CLAVE_BOV3,$A310)+SUMIFS(SALIDAS_TC,FECHA_TC,"&gt;="&amp;BM$2,FECHA_TC,"&lt;="&amp;BM$3,CLAVE_TC,$A310)+SUMIFS(SALIDAS_COMB,FECHA_COMB,"&gt;="&amp;BM$2,FECHA_COMB,"&lt;="&amp;BM$3,CLAVE_COMB,$A310)+SUMIFS(SALIDAS_DES,FECHA_DESGLOSEN,"&gt;="&amp;BM$2,FECHA_DESGLOSEN,"&lt;="&amp;BM$3,CLAVE_DESGLOSE,$A310)</f>
        <v>0</v>
      </c>
      <c r="BN310" s="13">
        <f>SUMIFS(SALIDAS_BIT,FECHA_BIT,"&gt;="&amp;BN$2,FECHA_BIT,"&lt;="&amp;BN$3,CLAVE_BIT,$A310)+SUMIFS(SALIDAS_BOV1,FECHA_BOV1,"&gt;="&amp;BN$2,FECHA_BOV1,"&lt;="&amp;BN$3,CLAVE_BOV1,$A310)+SUMIFS(SALIDAS_BOV2,FECHA_BOV2,"&gt;="&amp;BN$2,FECHA_BOV2,"&lt;="&amp;BN$3,CLAVE_BOV2,$A310)+SUMIFS(SALIDAS_BOV3,FECHA_BOV3,"&gt;="&amp;BN$2,FECHA_BOV3,"&lt;="&amp;BN$3,CLAVE_BOV3,$A310)+SUMIFS(SALIDAS_TC,FECHA_TC,"&gt;="&amp;BN$2,FECHA_TC,"&lt;="&amp;BN$3,CLAVE_TC,$A310)+SUMIFS(SALIDAS_COMB,FECHA_COMB,"&gt;="&amp;BN$2,FECHA_COMB,"&lt;="&amp;BN$3,CLAVE_COMB,$A310)+SUMIFS(SALIDAS_DES,FECHA_DESGLOSEN,"&gt;="&amp;BN$2,FECHA_DESGLOSEN,"&lt;="&amp;BN$3,CLAVE_DESGLOSE,$A310)</f>
        <v>17914</v>
      </c>
      <c r="BO310" s="13">
        <f>SUMIFS(SALIDAS_BIT,FECHA_BIT,"&gt;="&amp;BO$2,FECHA_BIT,"&lt;="&amp;BO$3,CLAVE_BIT,$A310)+SUMIFS(SALIDAS_BOV1,FECHA_BOV1,"&gt;="&amp;BO$2,FECHA_BOV1,"&lt;="&amp;BO$3,CLAVE_BOV1,$A310)+SUMIFS(SALIDAS_BOV2,FECHA_BOV2,"&gt;="&amp;BO$2,FECHA_BOV2,"&lt;="&amp;BO$3,CLAVE_BOV2,$A310)+SUMIFS(SALIDAS_BOV3,FECHA_BOV3,"&gt;="&amp;BO$2,FECHA_BOV3,"&lt;="&amp;BO$3,CLAVE_BOV3,$A310)+SUMIFS(SALIDAS_TC,FECHA_TC,"&gt;="&amp;BO$2,FECHA_TC,"&lt;="&amp;BO$3,CLAVE_TC,$A310)+SUMIFS(SALIDAS_COMB,FECHA_COMB,"&gt;="&amp;BO$2,FECHA_COMB,"&lt;="&amp;BO$3,CLAVE_COMB,$A310)+SUMIFS(SALIDAS_DES,FECHA_DESGLOSEN,"&gt;="&amp;BO$2,FECHA_DESGLOSEN,"&lt;="&amp;BO$3,CLAVE_DESGLOSE,$A310)</f>
        <v>0</v>
      </c>
      <c r="BP310" s="13">
        <f>SUMIFS(SALIDAS_BIT,FECHA_BIT,"&gt;="&amp;BP$2,FECHA_BIT,"&lt;="&amp;BP$3,CLAVE_BIT,$A310)+SUMIFS(SALIDAS_BOV1,FECHA_BOV1,"&gt;="&amp;BP$2,FECHA_BOV1,"&lt;="&amp;BP$3,CLAVE_BOV1,$A310)+SUMIFS(SALIDAS_BOV2,FECHA_BOV2,"&gt;="&amp;BP$2,FECHA_BOV2,"&lt;="&amp;BP$3,CLAVE_BOV2,$A310)+SUMIFS(SALIDAS_BOV3,FECHA_BOV3,"&gt;="&amp;BP$2,FECHA_BOV3,"&lt;="&amp;BP$3,CLAVE_BOV3,$A310)+SUMIFS(SALIDAS_TC,FECHA_TC,"&gt;="&amp;BP$2,FECHA_TC,"&lt;="&amp;BP$3,CLAVE_TC,$A310)+SUMIFS(SALIDAS_COMB,FECHA_COMB,"&gt;="&amp;BP$2,FECHA_COMB,"&lt;="&amp;BP$3,CLAVE_COMB,$A310)+SUMIFS(SALIDAS_DES,FECHA_DESGLOSEN,"&gt;="&amp;BP$2,FECHA_DESGLOSEN,"&lt;="&amp;BP$3,CLAVE_DESGLOSE,$A310)</f>
        <v>0</v>
      </c>
      <c r="BQ310" s="13">
        <f>SUMIFS(SALIDAS_BIT,FECHA_BIT,"&gt;="&amp;BQ$2,FECHA_BIT,"&lt;="&amp;BQ$3,CLAVE_BIT,$A310)+SUMIFS(SALIDAS_BOV1,FECHA_BOV1,"&gt;="&amp;BQ$2,FECHA_BOV1,"&lt;="&amp;BQ$3,CLAVE_BOV1,$A310)+SUMIFS(SALIDAS_BOV2,FECHA_BOV2,"&gt;="&amp;BQ$2,FECHA_BOV2,"&lt;="&amp;BQ$3,CLAVE_BOV2,$A310)+SUMIFS(SALIDAS_BOV3,FECHA_BOV3,"&gt;="&amp;BQ$2,FECHA_BOV3,"&lt;="&amp;BQ$3,CLAVE_BOV3,$A310)+SUMIFS(SALIDAS_TC,FECHA_TC,"&gt;="&amp;BQ$2,FECHA_TC,"&lt;="&amp;BQ$3,CLAVE_TC,$A310)+SUMIFS(SALIDAS_COMB,FECHA_COMB,"&gt;="&amp;BQ$2,FECHA_COMB,"&lt;="&amp;BQ$3,CLAVE_COMB,$A310)+SUMIFS(SALIDAS_DES,FECHA_DESGLOSEN,"&gt;="&amp;BQ$2,FECHA_DESGLOSEN,"&lt;="&amp;BQ$3,CLAVE_DESGLOSE,$A310)</f>
        <v>0</v>
      </c>
      <c r="BR310" s="162">
        <f t="shared" si="598"/>
        <v>17914</v>
      </c>
      <c r="BS310" s="227">
        <f t="shared" si="599"/>
        <v>-5914</v>
      </c>
      <c r="BT310" s="268">
        <f t="shared" ref="BT310" si="619">IFERROR((BR310/BL310),0)</f>
        <v>1.4928333333333332</v>
      </c>
      <c r="BU310" s="162">
        <f t="shared" si="600"/>
        <v>0</v>
      </c>
      <c r="BV310" s="13">
        <f t="shared" si="485"/>
        <v>18566</v>
      </c>
      <c r="BW310" s="13">
        <f t="shared" si="485"/>
        <v>0</v>
      </c>
      <c r="BX310" s="13">
        <f t="shared" si="485"/>
        <v>0</v>
      </c>
      <c r="BY310" s="13">
        <f t="shared" si="485"/>
        <v>0</v>
      </c>
      <c r="BZ310" s="162">
        <f t="shared" si="601"/>
        <v>18566</v>
      </c>
      <c r="CA310" s="227">
        <f t="shared" si="602"/>
        <v>-18566</v>
      </c>
      <c r="CB310" s="268">
        <f t="shared" ref="CB310" si="620">IFERROR((BZ310/BU310),0)</f>
        <v>0</v>
      </c>
      <c r="CC310" s="162">
        <f t="shared" si="603"/>
        <v>15000</v>
      </c>
      <c r="CD310" s="13">
        <f t="shared" si="486"/>
        <v>0</v>
      </c>
      <c r="CE310" s="13">
        <f t="shared" si="486"/>
        <v>0</v>
      </c>
      <c r="CF310" s="13">
        <f t="shared" si="486"/>
        <v>0</v>
      </c>
      <c r="CG310" s="13">
        <f t="shared" si="486"/>
        <v>0</v>
      </c>
      <c r="CH310" s="162">
        <f t="shared" si="604"/>
        <v>0</v>
      </c>
      <c r="CI310" s="227">
        <f t="shared" si="605"/>
        <v>15000</v>
      </c>
      <c r="CJ310" s="268">
        <f t="shared" ref="CJ310" si="621">IFERROR((CH310/CC310),0)</f>
        <v>0</v>
      </c>
      <c r="CK310" s="162">
        <f t="shared" si="606"/>
        <v>0</v>
      </c>
      <c r="CL310" s="13">
        <f t="shared" si="495"/>
        <v>0</v>
      </c>
      <c r="CM310" s="13">
        <f t="shared" si="495"/>
        <v>10185</v>
      </c>
      <c r="CN310" s="13">
        <f t="shared" si="495"/>
        <v>0</v>
      </c>
      <c r="CO310" s="13">
        <f t="shared" si="495"/>
        <v>0</v>
      </c>
      <c r="CP310" s="13">
        <f t="shared" si="495"/>
        <v>0</v>
      </c>
      <c r="CQ310" s="162">
        <f t="shared" si="607"/>
        <v>10185</v>
      </c>
      <c r="CR310" s="227">
        <f t="shared" si="608"/>
        <v>-10185</v>
      </c>
      <c r="CS310" s="268">
        <f t="shared" ref="CS310" si="622">IFERROR((CQ310/CK310),0)</f>
        <v>0</v>
      </c>
      <c r="CT310" s="68">
        <f t="shared" si="446"/>
        <v>13200</v>
      </c>
      <c r="CU310" s="13">
        <f>SUMIFS(SALIDAS_BIT,FECHA_BIT,"&gt;="&amp;CU$2,FECHA_BIT,"&lt;="&amp;CU$3,CLAVE_BIT,$A310)+SUMIFS(SALIDAS_BOV1,FECHA_BOV1,"&gt;="&amp;CU$2,FECHA_BOV1,"&lt;="&amp;CU$3,CLAVE_BOV1,$A310)+SUMIFS(SALIDAS_BOV2,FECHA_BOV2,"&gt;="&amp;CU$2,FECHA_BOV2,"&lt;="&amp;CU$3,CLAVE_BOV2,$A310)+SUMIFS(SALIDAS_BOV3,FECHA_BOV3,"&gt;="&amp;CU$2,FECHA_BOV3,"&lt;="&amp;CU$3,CLAVE_BOV3,$A310)+SUMIFS(SALIDAS_TC,FECHA_TC,"&gt;="&amp;CU$2,FECHA_TC,"&lt;="&amp;CU$3,CLAVE_TC,$A310)+SUMIFS(SALIDAS_COMB,FECHA_COMB,"&gt;="&amp;CU$2,FECHA_COMB,"&lt;="&amp;CU$3,CLAVE_COMB,$A310)+SUMIFS(SALIDAS_DES,FECHA_DESGLOSEN,"&gt;="&amp;CU$2,FECHA_DESGLOSEN,"&lt;="&amp;CU$3,CLAVE_DESGLOSE,$A310)</f>
        <v>8362</v>
      </c>
      <c r="CV310" s="13">
        <f>SUMIFS(SALIDAS_BIT,FECHA_BIT,"&gt;="&amp;CV$2,FECHA_BIT,"&lt;="&amp;CV$3,CLAVE_BIT,$A310)+SUMIFS(SALIDAS_BOV1,FECHA_BOV1,"&gt;="&amp;CV$2,FECHA_BOV1,"&lt;="&amp;CV$3,CLAVE_BOV1,$A310)+SUMIFS(SALIDAS_BOV2,FECHA_BOV2,"&gt;="&amp;CV$2,FECHA_BOV2,"&lt;="&amp;CV$3,CLAVE_BOV2,$A310)+SUMIFS(SALIDAS_BOV3,FECHA_BOV3,"&gt;="&amp;CV$2,FECHA_BOV3,"&lt;="&amp;CV$3,CLAVE_BOV3,$A310)+SUMIFS(SALIDAS_TC,FECHA_TC,"&gt;="&amp;CV$2,FECHA_TC,"&lt;="&amp;CV$3,CLAVE_TC,$A310)+SUMIFS(SALIDAS_COMB,FECHA_COMB,"&gt;="&amp;CV$2,FECHA_COMB,"&lt;="&amp;CV$3,CLAVE_COMB,$A310)+SUMIFS(SALIDAS_DES,FECHA_DESGLOSEN,"&gt;="&amp;CV$2,FECHA_DESGLOSEN,"&lt;="&amp;CV$3,CLAVE_DESGLOSE,$A310)</f>
        <v>0</v>
      </c>
      <c r="CW310" s="13">
        <f>SUMIFS(SALIDAS_BIT,FECHA_BIT,"&gt;="&amp;CW$2,FECHA_BIT,"&lt;="&amp;CW$3,CLAVE_BIT,$A310)+SUMIFS(SALIDAS_BOV1,FECHA_BOV1,"&gt;="&amp;CW$2,FECHA_BOV1,"&lt;="&amp;CW$3,CLAVE_BOV1,$A310)+SUMIFS(SALIDAS_BOV2,FECHA_BOV2,"&gt;="&amp;CW$2,FECHA_BOV2,"&lt;="&amp;CW$3,CLAVE_BOV2,$A310)+SUMIFS(SALIDAS_BOV3,FECHA_BOV3,"&gt;="&amp;CW$2,FECHA_BOV3,"&lt;="&amp;CW$3,CLAVE_BOV3,$A310)+SUMIFS(SALIDAS_TC,FECHA_TC,"&gt;="&amp;CW$2,FECHA_TC,"&lt;="&amp;CW$3,CLAVE_TC,$A310)+SUMIFS(SALIDAS_COMB,FECHA_COMB,"&gt;="&amp;CW$2,FECHA_COMB,"&lt;="&amp;CW$3,CLAVE_COMB,$A310)+SUMIFS(SALIDAS_DES,FECHA_DESGLOSEN,"&gt;="&amp;CW$2,FECHA_DESGLOSEN,"&lt;="&amp;CW$3,CLAVE_DESGLOSE,$A310)</f>
        <v>0</v>
      </c>
      <c r="CX310" s="13">
        <f>SUMIFS(SALIDAS_BIT,FECHA_BIT,"&gt;="&amp;CX$2,FECHA_BIT,"&lt;="&amp;CX$3,CLAVE_BIT,$A310)+SUMIFS(SALIDAS_BOV1,FECHA_BOV1,"&gt;="&amp;CX$2,FECHA_BOV1,"&lt;="&amp;CX$3,CLAVE_BOV1,$A310)+SUMIFS(SALIDAS_BOV2,FECHA_BOV2,"&gt;="&amp;CX$2,FECHA_BOV2,"&lt;="&amp;CX$3,CLAVE_BOV2,$A310)+SUMIFS(SALIDAS_BOV3,FECHA_BOV3,"&gt;="&amp;CX$2,FECHA_BOV3,"&lt;="&amp;CX$3,CLAVE_BOV3,$A310)+SUMIFS(SALIDAS_TC,FECHA_TC,"&gt;="&amp;CX$2,FECHA_TC,"&lt;="&amp;CX$3,CLAVE_TC,$A310)+SUMIFS(SALIDAS_COMB,FECHA_COMB,"&gt;="&amp;CX$2,FECHA_COMB,"&lt;="&amp;CX$3,CLAVE_COMB,$A310)+SUMIFS(SALIDAS_DES,FECHA_DESGLOSEN,"&gt;="&amp;CX$2,FECHA_DESGLOSEN,"&lt;="&amp;CX$3,CLAVE_DESGLOSE,$A310)</f>
        <v>0</v>
      </c>
      <c r="CY310" s="13">
        <f>SUMIFS(SALIDAS_BIT,FECHA_BIT,"&gt;="&amp;CY$2,FECHA_BIT,"&lt;="&amp;CY$3,CLAVE_BIT,$A310)+SUMIFS(SALIDAS_BOV1,FECHA_BOV1,"&gt;="&amp;CY$2,FECHA_BOV1,"&lt;="&amp;CY$3,CLAVE_BOV1,$A310)+SUMIFS(SALIDAS_BOV2,FECHA_BOV2,"&gt;="&amp;CY$2,FECHA_BOV2,"&lt;="&amp;CY$3,CLAVE_BOV2,$A310)+SUMIFS(SALIDAS_BOV3,FECHA_BOV3,"&gt;="&amp;CY$2,FECHA_BOV3,"&lt;="&amp;CY$3,CLAVE_BOV3,$A310)+SUMIFS(SALIDAS_TC,FECHA_TC,"&gt;="&amp;CY$2,FECHA_TC,"&lt;="&amp;CY$3,CLAVE_TC,$A310)+SUMIFS(SALIDAS_COMB,FECHA_COMB,"&gt;="&amp;CY$2,FECHA_COMB,"&lt;="&amp;CY$3,CLAVE_COMB,$A310)+SUMIFS(SALIDAS_DES,FECHA_DESGLOSEN,"&gt;="&amp;CY$2,FECHA_DESGLOSEN,"&lt;="&amp;CY$3,CLAVE_DESGLOSE,$A310)</f>
        <v>8362</v>
      </c>
      <c r="CZ310" s="68">
        <f t="shared" si="474"/>
        <v>4838</v>
      </c>
      <c r="DB310" s="17">
        <f>F310+N310+W310+AE310+AM310+AV310+BD310+BL310+BU310+CC310+CK310</f>
        <v>46000</v>
      </c>
      <c r="DC310" s="17">
        <f>K310+T310+AB310+AJ310+AS310+BA310+BI310+BR310+BZ310+CH310+CQ310</f>
        <v>103502</v>
      </c>
    </row>
    <row r="311" spans="1:107" ht="15" hidden="1">
      <c r="A311" s="12" t="str">
        <f>C311&amp;D311&amp;E311</f>
        <v>SGECUOTAS Y SUSCRIPCIONESWORKFORCE</v>
      </c>
      <c r="B311">
        <v>312</v>
      </c>
      <c r="C311" t="s">
        <v>39</v>
      </c>
      <c r="D311" t="s">
        <v>51</v>
      </c>
      <c r="E311" t="s">
        <v>79</v>
      </c>
      <c r="F311" s="260">
        <f>VLOOKUP($A311,T_PRESUPUESTO,MATCH(F$6,E_PRESUPUESTO,0),FALSE)</f>
        <v>0</v>
      </c>
      <c r="G311" s="162">
        <f>SUMIFS(SALIDAS_BIT,FECHA_BIT,"&gt;="&amp;G$2,FECHA_BIT,"&lt;="&amp;G$3,CLAVE_BIT,$A311)+SUMIFS(SALIDAS_BOV1,FECHA_BOV1,"&gt;="&amp;G$2,FECHA_BOV1,"&lt;="&amp;G$3,CLAVE_BOV1,$A311)+SUMIFS(SALIDAS_BOV2,FECHA_BOV2,"&gt;="&amp;G$2,FECHA_BOV2,"&lt;="&amp;G$3,CLAVE_BOV2,$A311)+SUMIFS(SALIDAS_BOV3,FECHA_BOV3,"&gt;="&amp;G$2,FECHA_BOV3,"&lt;="&amp;G$3,CLAVE_BOV3,$A311)+SUMIFS(SALIDAS_TC,FECHA_TC,"&gt;="&amp;G$2,FECHA_TC,"&lt;="&amp;G$3,CLAVE_TC,$A311)+SUMIFS(SALIDAS_COMB,FECHA_COMB,"&gt;="&amp;G$2,FECHA_COMB,"&lt;="&amp;G$3,CLAVE_COMB,$A311)+SUMIFS(SALIDAS_DES,FECHA_DESGLOSEN,"&gt;="&amp;G$2,FECHA_DESGLOSEN,"&lt;="&amp;G$3,CLAVE_DESGLOSE,$A311)</f>
        <v>0</v>
      </c>
      <c r="H311" s="162">
        <f>SUMIFS(SALIDAS_BIT,FECHA_BIT,"&gt;="&amp;H$2,FECHA_BIT,"&lt;="&amp;H$3,CLAVE_BIT,$A311)+SUMIFS(SALIDAS_BOV1,FECHA_BOV1,"&gt;="&amp;H$2,FECHA_BOV1,"&lt;="&amp;H$3,CLAVE_BOV1,$A311)+SUMIFS(SALIDAS_BOV2,FECHA_BOV2,"&gt;="&amp;H$2,FECHA_BOV2,"&lt;="&amp;H$3,CLAVE_BOV2,$A311)+SUMIFS(SALIDAS_BOV3,FECHA_BOV3,"&gt;="&amp;H$2,FECHA_BOV3,"&lt;="&amp;H$3,CLAVE_BOV3,$A311)+SUMIFS(SALIDAS_TC,FECHA_TC,"&gt;="&amp;H$2,FECHA_TC,"&lt;="&amp;H$3,CLAVE_TC,$A311)+SUMIFS(SALIDAS_COMB,FECHA_COMB,"&gt;="&amp;H$2,FECHA_COMB,"&lt;="&amp;H$3,CLAVE_COMB,$A311)+SUMIFS(SALIDAS_DES,FECHA_DESGLOSEN,"&gt;="&amp;H$2,FECHA_DESGLOSEN,"&lt;="&amp;H$3,CLAVE_DESGLOSE,$A311)</f>
        <v>0</v>
      </c>
      <c r="I311" s="162">
        <f>SUMIFS(SALIDAS_BIT,FECHA_BIT,"&gt;="&amp;I$2,FECHA_BIT,"&lt;="&amp;I$3,CLAVE_BIT,$A311)+SUMIFS(SALIDAS_BOV1,FECHA_BOV1,"&gt;="&amp;I$2,FECHA_BOV1,"&lt;="&amp;I$3,CLAVE_BOV1,$A311)+SUMIFS(SALIDAS_BOV2,FECHA_BOV2,"&gt;="&amp;I$2,FECHA_BOV2,"&lt;="&amp;I$3,CLAVE_BOV2,$A311)+SUMIFS(SALIDAS_BOV3,FECHA_BOV3,"&gt;="&amp;I$2,FECHA_BOV3,"&lt;="&amp;I$3,CLAVE_BOV3,$A311)+SUMIFS(SALIDAS_TC,FECHA_TC,"&gt;="&amp;I$2,FECHA_TC,"&lt;="&amp;I$3,CLAVE_TC,$A311)+SUMIFS(SALIDAS_COMB,FECHA_COMB,"&gt;="&amp;I$2,FECHA_COMB,"&lt;="&amp;I$3,CLAVE_COMB,$A311)+SUMIFS(SALIDAS_DES,FECHA_DESGLOSEN,"&gt;="&amp;I$2,FECHA_DESGLOSEN,"&lt;="&amp;I$3,CLAVE_DESGLOSE,$A311)</f>
        <v>0</v>
      </c>
      <c r="J311" s="162">
        <f>SUMIFS(SALIDAS_BIT,FECHA_BIT,"&gt;="&amp;J$2,FECHA_BIT,"&lt;="&amp;J$3,CLAVE_BIT,$A311)+SUMIFS(SALIDAS_BOV1,FECHA_BOV1,"&gt;="&amp;J$2,FECHA_BOV1,"&lt;="&amp;J$3,CLAVE_BOV1,$A311)+SUMIFS(SALIDAS_BOV2,FECHA_BOV2,"&gt;="&amp;J$2,FECHA_BOV2,"&lt;="&amp;J$3,CLAVE_BOV2,$A311)+SUMIFS(SALIDAS_BOV3,FECHA_BOV3,"&gt;="&amp;J$2,FECHA_BOV3,"&lt;="&amp;J$3,CLAVE_BOV3,$A311)+SUMIFS(SALIDAS_TC,FECHA_TC,"&gt;="&amp;J$2,FECHA_TC,"&lt;="&amp;J$3,CLAVE_TC,$A311)+SUMIFS(SALIDAS_COMB,FECHA_COMB,"&gt;="&amp;J$2,FECHA_COMB,"&lt;="&amp;J$3,CLAVE_COMB,$A311)+SUMIFS(SALIDAS_DES,FECHA_DESGLOSEN,"&gt;="&amp;J$2,FECHA_DESGLOSEN,"&lt;="&amp;J$3,CLAVE_DESGLOSE,$A311)</f>
        <v>0</v>
      </c>
      <c r="K311" s="162">
        <f>SUMIFS(SALIDAS_BIT,FECHA_BIT,"&gt;="&amp;K$2,FECHA_BIT,"&lt;="&amp;K$3,CLAVE_BIT,$A311)+SUMIFS(SALIDAS_BOV1,FECHA_BOV1,"&gt;="&amp;K$2,FECHA_BOV1,"&lt;="&amp;K$3,CLAVE_BOV1,$A311)+SUMIFS(SALIDAS_BOV2,FECHA_BOV2,"&gt;="&amp;K$2,FECHA_BOV2,"&lt;="&amp;K$3,CLAVE_BOV2,$A311)+SUMIFS(SALIDAS_BOV3,FECHA_BOV3,"&gt;="&amp;K$2,FECHA_BOV3,"&lt;="&amp;K$3,CLAVE_BOV3,$A311)+SUMIFS(SALIDAS_TC,FECHA_TC,"&gt;="&amp;K$2,FECHA_TC,"&lt;="&amp;K$3,CLAVE_TC,$A311)+SUMIFS(SALIDAS_COMB,FECHA_COMB,"&gt;="&amp;K$2,FECHA_COMB,"&lt;="&amp;K$3,CLAVE_COMB,$A311)+SUMIFS(SALIDAS_DES,FECHA_DESGLOSEN,"&gt;="&amp;K$2,FECHA_DESGLOSEN,"&lt;="&amp;K$3,CLAVE_DESGLOSE,$A311)</f>
        <v>0</v>
      </c>
      <c r="L311" s="227">
        <f>F311-K311</f>
        <v>0</v>
      </c>
      <c r="M311" s="301">
        <f>IFERROR((K311/F311),0)</f>
        <v>0</v>
      </c>
      <c r="N311" s="162">
        <f>VLOOKUP($A311,T_PRESUPUESTO,MATCH(N$6,E_PRESUPUESTO,0),FALSE)</f>
        <v>0</v>
      </c>
      <c r="O311" s="162">
        <f>SUMIFS(SALIDAS_BIT,FECHA_BIT,"&gt;="&amp;O$2,FECHA_BIT,"&lt;="&amp;O$3,CLAVE_BIT,$A311)+SUMIFS(SALIDAS_BOV1,FECHA_BOV1,"&gt;="&amp;O$2,FECHA_BOV1,"&lt;="&amp;O$3,CLAVE_BOV1,$A311)+SUMIFS(SALIDAS_BOV2,FECHA_BOV2,"&gt;="&amp;O$2,FECHA_BOV2,"&lt;="&amp;O$3,CLAVE_BOV2,$A311)+SUMIFS(SALIDAS_BOV3,FECHA_BOV3,"&gt;="&amp;O$2,FECHA_BOV3,"&lt;="&amp;O$3,CLAVE_BOV3,$A311)+SUMIFS(SALIDAS_TC,FECHA_TC,"&gt;="&amp;O$2,FECHA_TC,"&lt;="&amp;O$3,CLAVE_TC,$A311)+SUMIFS(SALIDAS_COMB,FECHA_COMB,"&gt;="&amp;O$2,FECHA_COMB,"&lt;="&amp;O$3,CLAVE_COMB,$A311)+SUMIFS(SALIDAS_DES,FECHA_DESGLOSEN,"&gt;="&amp;O$2,FECHA_DESGLOSEN,"&lt;="&amp;O$3,CLAVE_DESGLOSE,$A311)</f>
        <v>0</v>
      </c>
      <c r="P311" s="162">
        <f>SUMIFS(SALIDAS_BIT,FECHA_BIT,"&gt;="&amp;P$2,FECHA_BIT,"&lt;="&amp;P$3,CLAVE_BIT,$A311)+SUMIFS(SALIDAS_BOV1,FECHA_BOV1,"&gt;="&amp;P$2,FECHA_BOV1,"&lt;="&amp;P$3,CLAVE_BOV1,$A311)+SUMIFS(SALIDAS_BOV2,FECHA_BOV2,"&gt;="&amp;P$2,FECHA_BOV2,"&lt;="&amp;P$3,CLAVE_BOV2,$A311)+SUMIFS(SALIDAS_BOV3,FECHA_BOV3,"&gt;="&amp;P$2,FECHA_BOV3,"&lt;="&amp;P$3,CLAVE_BOV3,$A311)+SUMIFS(SALIDAS_TC,FECHA_TC,"&gt;="&amp;P$2,FECHA_TC,"&lt;="&amp;P$3,CLAVE_TC,$A311)+SUMIFS(SALIDAS_COMB,FECHA_COMB,"&gt;="&amp;P$2,FECHA_COMB,"&lt;="&amp;P$3,CLAVE_COMB,$A311)+SUMIFS(SALIDAS_DES,FECHA_DESGLOSEN,"&gt;="&amp;P$2,FECHA_DESGLOSEN,"&lt;="&amp;P$3,CLAVE_DESGLOSE,$A311)</f>
        <v>0</v>
      </c>
      <c r="Q311" s="162">
        <f>SUMIFS(SALIDAS_BIT,FECHA_BIT,"&gt;="&amp;Q$2,FECHA_BIT,"&lt;="&amp;Q$3,CLAVE_BIT,$A311)+SUMIFS(SALIDAS_BOV1,FECHA_BOV1,"&gt;="&amp;Q$2,FECHA_BOV1,"&lt;="&amp;Q$3,CLAVE_BOV1,$A311)+SUMIFS(SALIDAS_BOV2,FECHA_BOV2,"&gt;="&amp;Q$2,FECHA_BOV2,"&lt;="&amp;Q$3,CLAVE_BOV2,$A311)+SUMIFS(SALIDAS_BOV3,FECHA_BOV3,"&gt;="&amp;Q$2,FECHA_BOV3,"&lt;="&amp;Q$3,CLAVE_BOV3,$A311)+SUMIFS(SALIDAS_TC,FECHA_TC,"&gt;="&amp;Q$2,FECHA_TC,"&lt;="&amp;Q$3,CLAVE_TC,$A311)+SUMIFS(SALIDAS_COMB,FECHA_COMB,"&gt;="&amp;Q$2,FECHA_COMB,"&lt;="&amp;Q$3,CLAVE_COMB,$A311)+SUMIFS(SALIDAS_DES,FECHA_DESGLOSEN,"&gt;="&amp;Q$2,FECHA_DESGLOSEN,"&lt;="&amp;Q$3,CLAVE_DESGLOSE,$A311)</f>
        <v>0</v>
      </c>
      <c r="R311" s="162">
        <f>SUMIFS(SALIDAS_BIT,FECHA_BIT,"&gt;="&amp;R$2,FECHA_BIT,"&lt;="&amp;R$3,CLAVE_BIT,$A311)+SUMIFS(SALIDAS_BOV1,FECHA_BOV1,"&gt;="&amp;R$2,FECHA_BOV1,"&lt;="&amp;R$3,CLAVE_BOV1,$A311)+SUMIFS(SALIDAS_BOV2,FECHA_BOV2,"&gt;="&amp;R$2,FECHA_BOV2,"&lt;="&amp;R$3,CLAVE_BOV2,$A311)+SUMIFS(SALIDAS_BOV3,FECHA_BOV3,"&gt;="&amp;R$2,FECHA_BOV3,"&lt;="&amp;R$3,CLAVE_BOV3,$A311)+SUMIFS(SALIDAS_TC,FECHA_TC,"&gt;="&amp;R$2,FECHA_TC,"&lt;="&amp;R$3,CLAVE_TC,$A311)+SUMIFS(SALIDAS_COMB,FECHA_COMB,"&gt;="&amp;R$2,FECHA_COMB,"&lt;="&amp;R$3,CLAVE_COMB,$A311)+SUMIFS(SALIDAS_DES,FECHA_DESGLOSEN,"&gt;="&amp;R$2,FECHA_DESGLOSEN,"&lt;="&amp;R$3,CLAVE_DESGLOSE,$A311)</f>
        <v>0</v>
      </c>
      <c r="S311" s="162">
        <f>SUMIFS(SALIDAS_BIT,FECHA_BIT,"&gt;="&amp;S$2,FECHA_BIT,"&lt;="&amp;S$3,CLAVE_BIT,$A311)+SUMIFS(SALIDAS_BOV1,FECHA_BOV1,"&gt;="&amp;S$2,FECHA_BOV1,"&lt;="&amp;S$3,CLAVE_BOV1,$A311)+SUMIFS(SALIDAS_BOV2,FECHA_BOV2,"&gt;="&amp;S$2,FECHA_BOV2,"&lt;="&amp;S$3,CLAVE_BOV2,$A311)+SUMIFS(SALIDAS_BOV3,FECHA_BOV3,"&gt;="&amp;S$2,FECHA_BOV3,"&lt;="&amp;S$3,CLAVE_BOV3,$A311)+SUMIFS(SALIDAS_TC,FECHA_TC,"&gt;="&amp;S$2,FECHA_TC,"&lt;="&amp;S$3,CLAVE_TC,$A311)+SUMIFS(SALIDAS_COMB,FECHA_COMB,"&gt;="&amp;S$2,FECHA_COMB,"&lt;="&amp;S$3,CLAVE_COMB,$A311)+SUMIFS(SALIDAS_DES,FECHA_DESGLOSEN,"&gt;="&amp;S$2,FECHA_DESGLOSEN,"&lt;="&amp;S$3,CLAVE_DESGLOSE,$A311)</f>
        <v>0</v>
      </c>
      <c r="T311" s="162">
        <f>SUMIFS(SALIDAS_BIT,FECHA_BIT,"&gt;="&amp;T$2,FECHA_BIT,"&lt;="&amp;T$3,CLAVE_BIT,$A311)+SUMIFS(SALIDAS_BOV1,FECHA_BOV1,"&gt;="&amp;T$2,FECHA_BOV1,"&lt;="&amp;T$3,CLAVE_BOV1,$A311)+SUMIFS(SALIDAS_BOV2,FECHA_BOV2,"&gt;="&amp;T$2,FECHA_BOV2,"&lt;="&amp;T$3,CLAVE_BOV2,$A311)+SUMIFS(SALIDAS_BOV3,FECHA_BOV3,"&gt;="&amp;T$2,FECHA_BOV3,"&lt;="&amp;T$3,CLAVE_BOV3,$A311)+SUMIFS(SALIDAS_TC,FECHA_TC,"&gt;="&amp;T$2,FECHA_TC,"&lt;="&amp;T$3,CLAVE_TC,$A311)+SUMIFS(SALIDAS_COMB,FECHA_COMB,"&gt;="&amp;T$2,FECHA_COMB,"&lt;="&amp;T$3,CLAVE_COMB,$A311)+SUMIFS(SALIDAS_DES,FECHA_DESGLOSEN,"&gt;="&amp;T$2,FECHA_DESGLOSEN,"&lt;="&amp;T$3,CLAVE_DESGLOSE,$A311)</f>
        <v>0</v>
      </c>
      <c r="U311" s="227">
        <f>N311-T311</f>
        <v>0</v>
      </c>
      <c r="V311" s="301">
        <f>IFERROR((T311/N311),0)</f>
        <v>0</v>
      </c>
      <c r="W311" s="162">
        <f>VLOOKUP($A311,T_PRESUPUESTO,MATCH(W$6,E_PRESUPUESTO,0),FALSE)</f>
        <v>0</v>
      </c>
      <c r="X311" s="162">
        <f>SUMIFS(SALIDAS_BIT,FECHA_BIT,"&gt;="&amp;X$2,FECHA_BIT,"&lt;="&amp;X$3,CLAVE_BIT,$A311)+SUMIFS(SALIDAS_BOV1,FECHA_BOV1,"&gt;="&amp;X$2,FECHA_BOV1,"&lt;="&amp;X$3,CLAVE_BOV1,$A311)+SUMIFS(SALIDAS_BOV2,FECHA_BOV2,"&gt;="&amp;X$2,FECHA_BOV2,"&lt;="&amp;X$3,CLAVE_BOV2,$A311)+SUMIFS(SALIDAS_BOV3,FECHA_BOV3,"&gt;="&amp;X$2,FECHA_BOV3,"&lt;="&amp;X$3,CLAVE_BOV3,$A311)+SUMIFS(SALIDAS_TC,FECHA_TC,"&gt;="&amp;X$2,FECHA_TC,"&lt;="&amp;X$3,CLAVE_TC,$A311)+SUMIFS(SALIDAS_COMB,FECHA_COMB,"&gt;="&amp;X$2,FECHA_COMB,"&lt;="&amp;X$3,CLAVE_COMB,$A311)+SUMIFS(SALIDAS_DES,FECHA_DESGLOSEN,"&gt;="&amp;X$2,FECHA_DESGLOSEN,"&lt;="&amp;X$3,CLAVE_DESGLOSE,$A311)</f>
        <v>0</v>
      </c>
      <c r="Y311" s="162">
        <f>SUMIFS(SALIDAS_BIT,FECHA_BIT,"&gt;="&amp;Y$2,FECHA_BIT,"&lt;="&amp;Y$3,CLAVE_BIT,$A311)+SUMIFS(SALIDAS_BOV1,FECHA_BOV1,"&gt;="&amp;Y$2,FECHA_BOV1,"&lt;="&amp;Y$3,CLAVE_BOV1,$A311)+SUMIFS(SALIDAS_BOV2,FECHA_BOV2,"&gt;="&amp;Y$2,FECHA_BOV2,"&lt;="&amp;Y$3,CLAVE_BOV2,$A311)+SUMIFS(SALIDAS_BOV3,FECHA_BOV3,"&gt;="&amp;Y$2,FECHA_BOV3,"&lt;="&amp;Y$3,CLAVE_BOV3,$A311)+SUMIFS(SALIDAS_TC,FECHA_TC,"&gt;="&amp;Y$2,FECHA_TC,"&lt;="&amp;Y$3,CLAVE_TC,$A311)+SUMIFS(SALIDAS_COMB,FECHA_COMB,"&gt;="&amp;Y$2,FECHA_COMB,"&lt;="&amp;Y$3,CLAVE_COMB,$A311)+SUMIFS(SALIDAS_DES,FECHA_DESGLOSEN,"&gt;="&amp;Y$2,FECHA_DESGLOSEN,"&lt;="&amp;Y$3,CLAVE_DESGLOSE,$A311)</f>
        <v>0</v>
      </c>
      <c r="Z311" s="162">
        <f>SUMIFS(SALIDAS_BIT,FECHA_BIT,"&gt;="&amp;Z$2,FECHA_BIT,"&lt;="&amp;Z$3,CLAVE_BIT,$A311)+SUMIFS(SALIDAS_BOV1,FECHA_BOV1,"&gt;="&amp;Z$2,FECHA_BOV1,"&lt;="&amp;Z$3,CLAVE_BOV1,$A311)+SUMIFS(SALIDAS_BOV2,FECHA_BOV2,"&gt;="&amp;Z$2,FECHA_BOV2,"&lt;="&amp;Z$3,CLAVE_BOV2,$A311)+SUMIFS(SALIDAS_BOV3,FECHA_BOV3,"&gt;="&amp;Z$2,FECHA_BOV3,"&lt;="&amp;Z$3,CLAVE_BOV3,$A311)+SUMIFS(SALIDAS_TC,FECHA_TC,"&gt;="&amp;Z$2,FECHA_TC,"&lt;="&amp;Z$3,CLAVE_TC,$A311)+SUMIFS(SALIDAS_COMB,FECHA_COMB,"&gt;="&amp;Z$2,FECHA_COMB,"&lt;="&amp;Z$3,CLAVE_COMB,$A311)+SUMIFS(SALIDAS_DES,FECHA_DESGLOSEN,"&gt;="&amp;Z$2,FECHA_DESGLOSEN,"&lt;="&amp;Z$3,CLAVE_DESGLOSE,$A311)</f>
        <v>0</v>
      </c>
      <c r="AA311" s="162">
        <f>SUMIFS(SALIDAS_BIT,FECHA_BIT,"&gt;="&amp;AA$2,FECHA_BIT,"&lt;="&amp;AA$3,CLAVE_BIT,$A311)+SUMIFS(SALIDAS_BOV1,FECHA_BOV1,"&gt;="&amp;AA$2,FECHA_BOV1,"&lt;="&amp;AA$3,CLAVE_BOV1,$A311)+SUMIFS(SALIDAS_BOV2,FECHA_BOV2,"&gt;="&amp;AA$2,FECHA_BOV2,"&lt;="&amp;AA$3,CLAVE_BOV2,$A311)+SUMIFS(SALIDAS_BOV3,FECHA_BOV3,"&gt;="&amp;AA$2,FECHA_BOV3,"&lt;="&amp;AA$3,CLAVE_BOV3,$A311)+SUMIFS(SALIDAS_TC,FECHA_TC,"&gt;="&amp;AA$2,FECHA_TC,"&lt;="&amp;AA$3,CLAVE_TC,$A311)+SUMIFS(SALIDAS_COMB,FECHA_COMB,"&gt;="&amp;AA$2,FECHA_COMB,"&lt;="&amp;AA$3,CLAVE_COMB,$A311)+SUMIFS(SALIDAS_DES,FECHA_DESGLOSEN,"&gt;="&amp;AA$2,FECHA_DESGLOSEN,"&lt;="&amp;AA$3,CLAVE_DESGLOSE,$A311)</f>
        <v>0</v>
      </c>
      <c r="AB311" s="162">
        <f>SUMIFS(SALIDAS_BIT,FECHA_BIT,"&gt;="&amp;AB$2,FECHA_BIT,"&lt;="&amp;AB$3,CLAVE_BIT,$A311)+SUMIFS(SALIDAS_BOV1,FECHA_BOV1,"&gt;="&amp;AB$2,FECHA_BOV1,"&lt;="&amp;AB$3,CLAVE_BOV1,$A311)+SUMIFS(SALIDAS_BOV2,FECHA_BOV2,"&gt;="&amp;AB$2,FECHA_BOV2,"&lt;="&amp;AB$3,CLAVE_BOV2,$A311)+SUMIFS(SALIDAS_BOV3,FECHA_BOV3,"&gt;="&amp;AB$2,FECHA_BOV3,"&lt;="&amp;AB$3,CLAVE_BOV3,$A311)+SUMIFS(SALIDAS_TC,FECHA_TC,"&gt;="&amp;AB$2,FECHA_TC,"&lt;="&amp;AB$3,CLAVE_TC,$A311)+SUMIFS(SALIDAS_COMB,FECHA_COMB,"&gt;="&amp;AB$2,FECHA_COMB,"&lt;="&amp;AB$3,CLAVE_COMB,$A311)+SUMIFS(SALIDAS_DES,FECHA_DESGLOSEN,"&gt;="&amp;AB$2,FECHA_DESGLOSEN,"&lt;="&amp;AB$3,CLAVE_DESGLOSE,$A311)</f>
        <v>0</v>
      </c>
      <c r="AC311" s="227">
        <f>W311-AB311</f>
        <v>0</v>
      </c>
      <c r="AD311" s="301">
        <f>IFERROR((AB311/W311),0)</f>
        <v>0</v>
      </c>
      <c r="AE311" s="162">
        <f>VLOOKUP($A311,T_PRESUPUESTO,MATCH(AE$6,E_PRESUPUESTO,0),FALSE)</f>
        <v>0</v>
      </c>
      <c r="AF311" s="162">
        <f>SUMIFS(SALIDAS_BIT,FECHA_BIT,"&gt;="&amp;AF$2,FECHA_BIT,"&lt;="&amp;AF$3,CLAVE_BIT,$A311)+SUMIFS(SALIDAS_BOV1,FECHA_BOV1,"&gt;="&amp;AF$2,FECHA_BOV1,"&lt;="&amp;AF$3,CLAVE_BOV1,$A311)+SUMIFS(SALIDAS_BOV2,FECHA_BOV2,"&gt;="&amp;AF$2,FECHA_BOV2,"&lt;="&amp;AF$3,CLAVE_BOV2,$A311)+SUMIFS(SALIDAS_BOV3,FECHA_BOV3,"&gt;="&amp;AF$2,FECHA_BOV3,"&lt;="&amp;AF$3,CLAVE_BOV3,$A311)+SUMIFS(SALIDAS_TC,FECHA_TC,"&gt;="&amp;AF$2,FECHA_TC,"&lt;="&amp;AF$3,CLAVE_TC,$A311)+SUMIFS(SALIDAS_COMB,FECHA_COMB,"&gt;="&amp;AF$2,FECHA_COMB,"&lt;="&amp;AF$3,CLAVE_COMB,$A311)+SUMIFS(SALIDAS_DES,FECHA_DESGLOSEN,"&gt;="&amp;AF$2,FECHA_DESGLOSEN,"&lt;="&amp;AF$3,CLAVE_DESGLOSE,$A311)</f>
        <v>0</v>
      </c>
      <c r="AG311" s="162">
        <f>SUMIFS(SALIDAS_BIT,FECHA_BIT,"&gt;="&amp;AG$2,FECHA_BIT,"&lt;="&amp;AG$3,CLAVE_BIT,$A311)+SUMIFS(SALIDAS_BOV1,FECHA_BOV1,"&gt;="&amp;AG$2,FECHA_BOV1,"&lt;="&amp;AG$3,CLAVE_BOV1,$A311)+SUMIFS(SALIDAS_BOV2,FECHA_BOV2,"&gt;="&amp;AG$2,FECHA_BOV2,"&lt;="&amp;AG$3,CLAVE_BOV2,$A311)+SUMIFS(SALIDAS_BOV3,FECHA_BOV3,"&gt;="&amp;AG$2,FECHA_BOV3,"&lt;="&amp;AG$3,CLAVE_BOV3,$A311)+SUMIFS(SALIDAS_TC,FECHA_TC,"&gt;="&amp;AG$2,FECHA_TC,"&lt;="&amp;AG$3,CLAVE_TC,$A311)+SUMIFS(SALIDAS_COMB,FECHA_COMB,"&gt;="&amp;AG$2,FECHA_COMB,"&lt;="&amp;AG$3,CLAVE_COMB,$A311)+SUMIFS(SALIDAS_DES,FECHA_DESGLOSEN,"&gt;="&amp;AG$2,FECHA_DESGLOSEN,"&lt;="&amp;AG$3,CLAVE_DESGLOSE,$A311)</f>
        <v>0</v>
      </c>
      <c r="AH311" s="162">
        <f>SUMIFS(SALIDAS_BIT,FECHA_BIT,"&gt;="&amp;AH$2,FECHA_BIT,"&lt;="&amp;AH$3,CLAVE_BIT,$A311)+SUMIFS(SALIDAS_BOV1,FECHA_BOV1,"&gt;="&amp;AH$2,FECHA_BOV1,"&lt;="&amp;AH$3,CLAVE_BOV1,$A311)+SUMIFS(SALIDAS_BOV2,FECHA_BOV2,"&gt;="&amp;AH$2,FECHA_BOV2,"&lt;="&amp;AH$3,CLAVE_BOV2,$A311)+SUMIFS(SALIDAS_BOV3,FECHA_BOV3,"&gt;="&amp;AH$2,FECHA_BOV3,"&lt;="&amp;AH$3,CLAVE_BOV3,$A311)+SUMIFS(SALIDAS_TC,FECHA_TC,"&gt;="&amp;AH$2,FECHA_TC,"&lt;="&amp;AH$3,CLAVE_TC,$A311)+SUMIFS(SALIDAS_COMB,FECHA_COMB,"&gt;="&amp;AH$2,FECHA_COMB,"&lt;="&amp;AH$3,CLAVE_COMB,$A311)+SUMIFS(SALIDAS_DES,FECHA_DESGLOSEN,"&gt;="&amp;AH$2,FECHA_DESGLOSEN,"&lt;="&amp;AH$3,CLAVE_DESGLOSE,$A311)</f>
        <v>0</v>
      </c>
      <c r="AI311" s="162">
        <f>SUMIFS(SALIDAS_BIT,FECHA_BIT,"&gt;="&amp;AI$2,FECHA_BIT,"&lt;="&amp;AI$3,CLAVE_BIT,$A311)+SUMIFS(SALIDAS_BOV1,FECHA_BOV1,"&gt;="&amp;AI$2,FECHA_BOV1,"&lt;="&amp;AI$3,CLAVE_BOV1,$A311)+SUMIFS(SALIDAS_BOV2,FECHA_BOV2,"&gt;="&amp;AI$2,FECHA_BOV2,"&lt;="&amp;AI$3,CLAVE_BOV2,$A311)+SUMIFS(SALIDAS_BOV3,FECHA_BOV3,"&gt;="&amp;AI$2,FECHA_BOV3,"&lt;="&amp;AI$3,CLAVE_BOV3,$A311)+SUMIFS(SALIDAS_TC,FECHA_TC,"&gt;="&amp;AI$2,FECHA_TC,"&lt;="&amp;AI$3,CLAVE_TC,$A311)+SUMIFS(SALIDAS_COMB,FECHA_COMB,"&gt;="&amp;AI$2,FECHA_COMB,"&lt;="&amp;AI$3,CLAVE_COMB,$A311)+SUMIFS(SALIDAS_DES,FECHA_DESGLOSEN,"&gt;="&amp;AI$2,FECHA_DESGLOSEN,"&lt;="&amp;AI$3,CLAVE_DESGLOSE,$A311)</f>
        <v>0</v>
      </c>
      <c r="AJ311" s="162">
        <f>SUMIFS(SALIDAS_BIT,FECHA_BIT,"&gt;="&amp;AJ$2,FECHA_BIT,"&lt;="&amp;AJ$3,CLAVE_BIT,$A311)+SUMIFS(SALIDAS_BOV1,FECHA_BOV1,"&gt;="&amp;AJ$2,FECHA_BOV1,"&lt;="&amp;AJ$3,CLAVE_BOV1,$A311)+SUMIFS(SALIDAS_BOV2,FECHA_BOV2,"&gt;="&amp;AJ$2,FECHA_BOV2,"&lt;="&amp;AJ$3,CLAVE_BOV2,$A311)+SUMIFS(SALIDAS_BOV3,FECHA_BOV3,"&gt;="&amp;AJ$2,FECHA_BOV3,"&lt;="&amp;AJ$3,CLAVE_BOV3,$A311)+SUMIFS(SALIDAS_TC,FECHA_TC,"&gt;="&amp;AJ$2,FECHA_TC,"&lt;="&amp;AJ$3,CLAVE_TC,$A311)+SUMIFS(SALIDAS_COMB,FECHA_COMB,"&gt;="&amp;AJ$2,FECHA_COMB,"&lt;="&amp;AJ$3,CLAVE_COMB,$A311)+SUMIFS(SALIDAS_DES,FECHA_DESGLOSEN,"&gt;="&amp;AJ$2,FECHA_DESGLOSEN,"&lt;="&amp;AJ$3,CLAVE_DESGLOSE,$A311)</f>
        <v>0</v>
      </c>
      <c r="AK311" s="227">
        <f>AE311-AJ311</f>
        <v>0</v>
      </c>
      <c r="AL311" s="301">
        <f>IFERROR((AJ311/AE311),0)</f>
        <v>0</v>
      </c>
      <c r="AM311" s="162">
        <f>VLOOKUP($A311,T_PRESUPUESTO,MATCH(AM$6,E_PRESUPUESTO,0),FALSE)</f>
        <v>0</v>
      </c>
      <c r="AN311" s="162">
        <f>SUMIFS(SALIDAS_BIT,FECHA_BIT,"&gt;="&amp;AN$2,FECHA_BIT,"&lt;="&amp;AN$3,CLAVE_BIT,$A311)+SUMIFS(SALIDAS_BOV1,FECHA_BOV1,"&gt;="&amp;AN$2,FECHA_BOV1,"&lt;="&amp;AN$3,CLAVE_BOV1,$A311)+SUMIFS(SALIDAS_BOV2,FECHA_BOV2,"&gt;="&amp;AN$2,FECHA_BOV2,"&lt;="&amp;AN$3,CLAVE_BOV2,$A311)+SUMIFS(SALIDAS_BOV3,FECHA_BOV3,"&gt;="&amp;AN$2,FECHA_BOV3,"&lt;="&amp;AN$3,CLAVE_BOV3,$A311)+SUMIFS(SALIDAS_TC,FECHA_TC,"&gt;="&amp;AN$2,FECHA_TC,"&lt;="&amp;AN$3,CLAVE_TC,$A311)+SUMIFS(SALIDAS_COMB,FECHA_COMB,"&gt;="&amp;AN$2,FECHA_COMB,"&lt;="&amp;AN$3,CLAVE_COMB,$A311)+SUMIFS(SALIDAS_DES,FECHA_DESGLOSEN,"&gt;="&amp;AN$2,FECHA_DESGLOSEN,"&lt;="&amp;AN$3,CLAVE_DESGLOSE,$A311)</f>
        <v>3776.81</v>
      </c>
      <c r="AO311" s="162">
        <f>SUMIFS(SALIDAS_BIT,FECHA_BIT,"&gt;="&amp;AO$2,FECHA_BIT,"&lt;="&amp;AO$3,CLAVE_BIT,$A311)+SUMIFS(SALIDAS_BOV1,FECHA_BOV1,"&gt;="&amp;AO$2,FECHA_BOV1,"&lt;="&amp;AO$3,CLAVE_BOV1,$A311)+SUMIFS(SALIDAS_BOV2,FECHA_BOV2,"&gt;="&amp;AO$2,FECHA_BOV2,"&lt;="&amp;AO$3,CLAVE_BOV2,$A311)+SUMIFS(SALIDAS_BOV3,FECHA_BOV3,"&gt;="&amp;AO$2,FECHA_BOV3,"&lt;="&amp;AO$3,CLAVE_BOV3,$A311)+SUMIFS(SALIDAS_TC,FECHA_TC,"&gt;="&amp;AO$2,FECHA_TC,"&lt;="&amp;AO$3,CLAVE_TC,$A311)+SUMIFS(SALIDAS_COMB,FECHA_COMB,"&gt;="&amp;AO$2,FECHA_COMB,"&lt;="&amp;AO$3,CLAVE_COMB,$A311)+SUMIFS(SALIDAS_DES,FECHA_DESGLOSEN,"&gt;="&amp;AO$2,FECHA_DESGLOSEN,"&lt;="&amp;AO$3,CLAVE_DESGLOSE,$A311)</f>
        <v>0</v>
      </c>
      <c r="AP311" s="162">
        <f>SUMIFS(SALIDAS_BIT,FECHA_BIT,"&gt;="&amp;AP$2,FECHA_BIT,"&lt;="&amp;AP$3,CLAVE_BIT,$A311)+SUMIFS(SALIDAS_BOV1,FECHA_BOV1,"&gt;="&amp;AP$2,FECHA_BOV1,"&lt;="&amp;AP$3,CLAVE_BOV1,$A311)+SUMIFS(SALIDAS_BOV2,FECHA_BOV2,"&gt;="&amp;AP$2,FECHA_BOV2,"&lt;="&amp;AP$3,CLAVE_BOV2,$A311)+SUMIFS(SALIDAS_BOV3,FECHA_BOV3,"&gt;="&amp;AP$2,FECHA_BOV3,"&lt;="&amp;AP$3,CLAVE_BOV3,$A311)+SUMIFS(SALIDAS_TC,FECHA_TC,"&gt;="&amp;AP$2,FECHA_TC,"&lt;="&amp;AP$3,CLAVE_TC,$A311)+SUMIFS(SALIDAS_COMB,FECHA_COMB,"&gt;="&amp;AP$2,FECHA_COMB,"&lt;="&amp;AP$3,CLAVE_COMB,$A311)+SUMIFS(SALIDAS_DES,FECHA_DESGLOSEN,"&gt;="&amp;AP$2,FECHA_DESGLOSEN,"&lt;="&amp;AP$3,CLAVE_DESGLOSE,$A311)</f>
        <v>0</v>
      </c>
      <c r="AQ311" s="162">
        <f>SUMIFS(SALIDAS_BIT,FECHA_BIT,"&gt;="&amp;AQ$2,FECHA_BIT,"&lt;="&amp;AQ$3,CLAVE_BIT,$A311)+SUMIFS(SALIDAS_BOV1,FECHA_BOV1,"&gt;="&amp;AQ$2,FECHA_BOV1,"&lt;="&amp;AQ$3,CLAVE_BOV1,$A311)+SUMIFS(SALIDAS_BOV2,FECHA_BOV2,"&gt;="&amp;AQ$2,FECHA_BOV2,"&lt;="&amp;AQ$3,CLAVE_BOV2,$A311)+SUMIFS(SALIDAS_BOV3,FECHA_BOV3,"&gt;="&amp;AQ$2,FECHA_BOV3,"&lt;="&amp;AQ$3,CLAVE_BOV3,$A311)+SUMIFS(SALIDAS_TC,FECHA_TC,"&gt;="&amp;AQ$2,FECHA_TC,"&lt;="&amp;AQ$3,CLAVE_TC,$A311)+SUMIFS(SALIDAS_COMB,FECHA_COMB,"&gt;="&amp;AQ$2,FECHA_COMB,"&lt;="&amp;AQ$3,CLAVE_COMB,$A311)+SUMIFS(SALIDAS_DES,FECHA_DESGLOSEN,"&gt;="&amp;AQ$2,FECHA_DESGLOSEN,"&lt;="&amp;AQ$3,CLAVE_DESGLOSE,$A311)</f>
        <v>0</v>
      </c>
      <c r="AR311" s="162">
        <f>SUMIFS(SALIDAS_BIT,FECHA_BIT,"&gt;="&amp;AR$2,FECHA_BIT,"&lt;="&amp;AR$3,CLAVE_BIT,$A311)+SUMIFS(SALIDAS_BOV1,FECHA_BOV1,"&gt;="&amp;AR$2,FECHA_BOV1,"&lt;="&amp;AR$3,CLAVE_BOV1,$A311)+SUMIFS(SALIDAS_BOV2,FECHA_BOV2,"&gt;="&amp;AR$2,FECHA_BOV2,"&lt;="&amp;AR$3,CLAVE_BOV2,$A311)+SUMIFS(SALIDAS_BOV3,FECHA_BOV3,"&gt;="&amp;AR$2,FECHA_BOV3,"&lt;="&amp;AR$3,CLAVE_BOV3,$A311)+SUMIFS(SALIDAS_TC,FECHA_TC,"&gt;="&amp;AR$2,FECHA_TC,"&lt;="&amp;AR$3,CLAVE_TC,$A311)+SUMIFS(SALIDAS_COMB,FECHA_COMB,"&gt;="&amp;AR$2,FECHA_COMB,"&lt;="&amp;AR$3,CLAVE_COMB,$A311)+SUMIFS(SALIDAS_DES,FECHA_DESGLOSEN,"&gt;="&amp;AR$2,FECHA_DESGLOSEN,"&lt;="&amp;AR$3,CLAVE_DESGLOSE,$A311)</f>
        <v>0</v>
      </c>
      <c r="AS311" s="162">
        <f>SUMIFS(SALIDAS_BIT,FECHA_BIT,"&gt;="&amp;AS$2,FECHA_BIT,"&lt;="&amp;AS$3,CLAVE_BIT,$A311)+SUMIFS(SALIDAS_BOV1,FECHA_BOV1,"&gt;="&amp;AS$2,FECHA_BOV1,"&lt;="&amp;AS$3,CLAVE_BOV1,$A311)+SUMIFS(SALIDAS_BOV2,FECHA_BOV2,"&gt;="&amp;AS$2,FECHA_BOV2,"&lt;="&amp;AS$3,CLAVE_BOV2,$A311)+SUMIFS(SALIDAS_BOV3,FECHA_BOV3,"&gt;="&amp;AS$2,FECHA_BOV3,"&lt;="&amp;AS$3,CLAVE_BOV3,$A311)+SUMIFS(SALIDAS_TC,FECHA_TC,"&gt;="&amp;AS$2,FECHA_TC,"&lt;="&amp;AS$3,CLAVE_TC,$A311)+SUMIFS(SALIDAS_COMB,FECHA_COMB,"&gt;="&amp;AS$2,FECHA_COMB,"&lt;="&amp;AS$3,CLAVE_COMB,$A311)+SUMIFS(SALIDAS_DES,FECHA_DESGLOSEN,"&gt;="&amp;AS$2,FECHA_DESGLOSEN,"&lt;="&amp;AS$3,CLAVE_DESGLOSE,$A311)</f>
        <v>3776.81</v>
      </c>
      <c r="AT311" s="227">
        <f>AM311-AS311</f>
        <v>-3776.81</v>
      </c>
      <c r="AU311" s="301">
        <f>IFERROR((AS311/AM311),0)</f>
        <v>0</v>
      </c>
      <c r="AV311" s="162">
        <f>VLOOKUP($A311,T_PRESUPUESTO,MATCH(AV$6,E_PRESUPUESTO,0),FALSE)</f>
        <v>0</v>
      </c>
      <c r="AW311" s="13">
        <f t="shared" si="611"/>
        <v>12057.48</v>
      </c>
      <c r="AX311" s="13">
        <f t="shared" si="611"/>
        <v>0</v>
      </c>
      <c r="AY311" s="13">
        <f t="shared" si="611"/>
        <v>0</v>
      </c>
      <c r="AZ311" s="13">
        <f t="shared" si="611"/>
        <v>0</v>
      </c>
      <c r="BA311" s="13">
        <f t="shared" si="475"/>
        <v>12057.48</v>
      </c>
      <c r="BB311" s="227">
        <f>AV311-BA311</f>
        <v>-12057.48</v>
      </c>
      <c r="BC311" s="301">
        <f>IFERROR((BA311/AV311),0)</f>
        <v>0</v>
      </c>
      <c r="BD311" s="162">
        <f>VLOOKUP($A311,T_PRESUPUESTO,MATCH(BD$6,E_PRESUPUESTO,0),FALSE)</f>
        <v>0</v>
      </c>
      <c r="BE311" s="13">
        <f>SUMIFS(SALIDAS_BIT,FECHA_BIT,"&gt;="&amp;BE$2,FECHA_BIT,"&lt;="&amp;BE$3,CLAVE_BIT,$A311)+SUMIFS(SALIDAS_BOV1,FECHA_BOV1,"&gt;="&amp;BE$2,FECHA_BOV1,"&lt;="&amp;BE$3,CLAVE_BOV1,$A311)+SUMIFS(SALIDAS_BOV2,FECHA_BOV2,"&gt;="&amp;BE$2,FECHA_BOV2,"&lt;="&amp;BE$3,CLAVE_BOV2,$A311)+SUMIFS(SALIDAS_BOV3,FECHA_BOV3,"&gt;="&amp;BE$2,FECHA_BOV3,"&lt;="&amp;BE$3,CLAVE_BOV3,$A311)+SUMIFS(SALIDAS_TC,FECHA_TC,"&gt;="&amp;BE$2,FECHA_TC,"&lt;="&amp;BE$3,CLAVE_TC,$A311)+SUMIFS(SALIDAS_COMB,FECHA_COMB,"&gt;="&amp;BE$2,FECHA_COMB,"&lt;="&amp;BE$3,CLAVE_COMB,$A311)+SUMIFS(SALIDAS_DES,FECHA_DESGLOSEN,"&gt;="&amp;BE$2,FECHA_DESGLOSEN,"&lt;="&amp;BE$3,CLAVE_DESGLOSE,$A311)</f>
        <v>7856</v>
      </c>
      <c r="BF311" s="13">
        <f>SUMIFS(SALIDAS_BIT,FECHA_BIT,"&gt;="&amp;BF$2,FECHA_BIT,"&lt;="&amp;BF$3,CLAVE_BIT,$A311)+SUMIFS(SALIDAS_BOV1,FECHA_BOV1,"&gt;="&amp;BF$2,FECHA_BOV1,"&lt;="&amp;BF$3,CLAVE_BOV1,$A311)+SUMIFS(SALIDAS_BOV2,FECHA_BOV2,"&gt;="&amp;BF$2,FECHA_BOV2,"&lt;="&amp;BF$3,CLAVE_BOV2,$A311)+SUMIFS(SALIDAS_BOV3,FECHA_BOV3,"&gt;="&amp;BF$2,FECHA_BOV3,"&lt;="&amp;BF$3,CLAVE_BOV3,$A311)+SUMIFS(SALIDAS_TC,FECHA_TC,"&gt;="&amp;BF$2,FECHA_TC,"&lt;="&amp;BF$3,CLAVE_TC,$A311)+SUMIFS(SALIDAS_COMB,FECHA_COMB,"&gt;="&amp;BF$2,FECHA_COMB,"&lt;="&amp;BF$3,CLAVE_COMB,$A311)+SUMIFS(SALIDAS_DES,FECHA_DESGLOSEN,"&gt;="&amp;BF$2,FECHA_DESGLOSEN,"&lt;="&amp;BF$3,CLAVE_DESGLOSE,$A311)</f>
        <v>0</v>
      </c>
      <c r="BG311" s="13">
        <f>SUMIFS(SALIDAS_BIT,FECHA_BIT,"&gt;="&amp;BG$2,FECHA_BIT,"&lt;="&amp;BG$3,CLAVE_BIT,$A311)+SUMIFS(SALIDAS_BOV1,FECHA_BOV1,"&gt;="&amp;BG$2,FECHA_BOV1,"&lt;="&amp;BG$3,CLAVE_BOV1,$A311)+SUMIFS(SALIDAS_BOV2,FECHA_BOV2,"&gt;="&amp;BG$2,FECHA_BOV2,"&lt;="&amp;BG$3,CLAVE_BOV2,$A311)+SUMIFS(SALIDAS_BOV3,FECHA_BOV3,"&gt;="&amp;BG$2,FECHA_BOV3,"&lt;="&amp;BG$3,CLAVE_BOV3,$A311)+SUMIFS(SALIDAS_TC,FECHA_TC,"&gt;="&amp;BG$2,FECHA_TC,"&lt;="&amp;BG$3,CLAVE_TC,$A311)+SUMIFS(SALIDAS_COMB,FECHA_COMB,"&gt;="&amp;BG$2,FECHA_COMB,"&lt;="&amp;BG$3,CLAVE_COMB,$A311)+SUMIFS(SALIDAS_DES,FECHA_DESGLOSEN,"&gt;="&amp;BG$2,FECHA_DESGLOSEN,"&lt;="&amp;BG$3,CLAVE_DESGLOSE,$A311)</f>
        <v>0</v>
      </c>
      <c r="BH311" s="13">
        <f>SUMIFS(SALIDAS_BIT,FECHA_BIT,"&gt;="&amp;BH$2,FECHA_BIT,"&lt;="&amp;BH$3,CLAVE_BIT,$A311)+SUMIFS(SALIDAS_BOV1,FECHA_BOV1,"&gt;="&amp;BH$2,FECHA_BOV1,"&lt;="&amp;BH$3,CLAVE_BOV1,$A311)+SUMIFS(SALIDAS_BOV2,FECHA_BOV2,"&gt;="&amp;BH$2,FECHA_BOV2,"&lt;="&amp;BH$3,CLAVE_BOV2,$A311)+SUMIFS(SALIDAS_BOV3,FECHA_BOV3,"&gt;="&amp;BH$2,FECHA_BOV3,"&lt;="&amp;BH$3,CLAVE_BOV3,$A311)+SUMIFS(SALIDAS_TC,FECHA_TC,"&gt;="&amp;BH$2,FECHA_TC,"&lt;="&amp;BH$3,CLAVE_TC,$A311)+SUMIFS(SALIDAS_COMB,FECHA_COMB,"&gt;="&amp;BH$2,FECHA_COMB,"&lt;="&amp;BH$3,CLAVE_COMB,$A311)+SUMIFS(SALIDAS_DES,FECHA_DESGLOSEN,"&gt;="&amp;BH$2,FECHA_DESGLOSEN,"&lt;="&amp;BH$3,CLAVE_DESGLOSE,$A311)</f>
        <v>0</v>
      </c>
      <c r="BI311" s="162">
        <f>SUMIFS(SALIDAS_BIT,FECHA_BIT,"&gt;="&amp;BI$2,FECHA_BIT,"&lt;="&amp;BI$3,CLAVE_BIT,$A311)+SUMIFS(SALIDAS_BOV1,FECHA_BOV1,"&gt;="&amp;BI$2,FECHA_BOV1,"&lt;="&amp;BI$3,CLAVE_BOV1,$A311)+SUMIFS(SALIDAS_BOV2,FECHA_BOV2,"&gt;="&amp;BI$2,FECHA_BOV2,"&lt;="&amp;BI$3,CLAVE_BOV2,$A311)+SUMIFS(SALIDAS_BOV3,FECHA_BOV3,"&gt;="&amp;BI$2,FECHA_BOV3,"&lt;="&amp;BI$3,CLAVE_BOV3,$A311)+SUMIFS(SALIDAS_TC,FECHA_TC,"&gt;="&amp;BI$2,FECHA_TC,"&lt;="&amp;BI$3,CLAVE_TC,$A311)+SUMIFS(SALIDAS_COMB,FECHA_COMB,"&gt;="&amp;BI$2,FECHA_COMB,"&lt;="&amp;BI$3,CLAVE_COMB,$A311)+SUMIFS(SALIDAS_DES,FECHA_DESGLOSEN,"&gt;="&amp;BI$2,FECHA_DESGLOSEN,"&lt;="&amp;BI$3,CLAVE_DESGLOSE,$A311)</f>
        <v>7856</v>
      </c>
      <c r="BJ311" s="227">
        <f>BD311-BI311</f>
        <v>-7856</v>
      </c>
      <c r="BK311" s="301">
        <f>IFERROR((BI311/BD311),0)</f>
        <v>0</v>
      </c>
      <c r="BL311" s="162">
        <f>VLOOKUP($A311,T_PRESUPUESTO,MATCH(BL$6,E_PRESUPUESTO,0),FALSE)</f>
        <v>0</v>
      </c>
      <c r="BM311" s="13">
        <f>SUMIFS(SALIDAS_BIT,FECHA_BIT,"&gt;="&amp;BM$2,FECHA_BIT,"&lt;="&amp;BM$3,CLAVE_BIT,$A311)+SUMIFS(SALIDAS_BOV1,FECHA_BOV1,"&gt;="&amp;BM$2,FECHA_BOV1,"&lt;="&amp;BM$3,CLAVE_BOV1,$A311)+SUMIFS(SALIDAS_BOV2,FECHA_BOV2,"&gt;="&amp;BM$2,FECHA_BOV2,"&lt;="&amp;BM$3,CLAVE_BOV2,$A311)+SUMIFS(SALIDAS_BOV3,FECHA_BOV3,"&gt;="&amp;BM$2,FECHA_BOV3,"&lt;="&amp;BM$3,CLAVE_BOV3,$A311)+SUMIFS(SALIDAS_TC,FECHA_TC,"&gt;="&amp;BM$2,FECHA_TC,"&lt;="&amp;BM$3,CLAVE_TC,$A311)+SUMIFS(SALIDAS_COMB,FECHA_COMB,"&gt;="&amp;BM$2,FECHA_COMB,"&lt;="&amp;BM$3,CLAVE_COMB,$A311)+SUMIFS(SALIDAS_DES,FECHA_DESGLOSEN,"&gt;="&amp;BM$2,FECHA_DESGLOSEN,"&lt;="&amp;BM$3,CLAVE_DESGLOSE,$A311)</f>
        <v>0</v>
      </c>
      <c r="BN311" s="13">
        <f>SUMIFS(SALIDAS_BIT,FECHA_BIT,"&gt;="&amp;BN$2,FECHA_BIT,"&lt;="&amp;BN$3,CLAVE_BIT,$A311)+SUMIFS(SALIDAS_BOV1,FECHA_BOV1,"&gt;="&amp;BN$2,FECHA_BOV1,"&lt;="&amp;BN$3,CLAVE_BOV1,$A311)+SUMIFS(SALIDAS_BOV2,FECHA_BOV2,"&gt;="&amp;BN$2,FECHA_BOV2,"&lt;="&amp;BN$3,CLAVE_BOV2,$A311)+SUMIFS(SALIDAS_BOV3,FECHA_BOV3,"&gt;="&amp;BN$2,FECHA_BOV3,"&lt;="&amp;BN$3,CLAVE_BOV3,$A311)+SUMIFS(SALIDAS_TC,FECHA_TC,"&gt;="&amp;BN$2,FECHA_TC,"&lt;="&amp;BN$3,CLAVE_TC,$A311)+SUMIFS(SALIDAS_COMB,FECHA_COMB,"&gt;="&amp;BN$2,FECHA_COMB,"&lt;="&amp;BN$3,CLAVE_COMB,$A311)+SUMIFS(SALIDAS_DES,FECHA_DESGLOSEN,"&gt;="&amp;BN$2,FECHA_DESGLOSEN,"&lt;="&amp;BN$3,CLAVE_DESGLOSE,$A311)</f>
        <v>13131.04</v>
      </c>
      <c r="BO311" s="13">
        <f>SUMIFS(SALIDAS_BIT,FECHA_BIT,"&gt;="&amp;BO$2,FECHA_BIT,"&lt;="&amp;BO$3,CLAVE_BIT,$A311)+SUMIFS(SALIDAS_BOV1,FECHA_BOV1,"&gt;="&amp;BO$2,FECHA_BOV1,"&lt;="&amp;BO$3,CLAVE_BOV1,$A311)+SUMIFS(SALIDAS_BOV2,FECHA_BOV2,"&gt;="&amp;BO$2,FECHA_BOV2,"&lt;="&amp;BO$3,CLAVE_BOV2,$A311)+SUMIFS(SALIDAS_BOV3,FECHA_BOV3,"&gt;="&amp;BO$2,FECHA_BOV3,"&lt;="&amp;BO$3,CLAVE_BOV3,$A311)+SUMIFS(SALIDAS_TC,FECHA_TC,"&gt;="&amp;BO$2,FECHA_TC,"&lt;="&amp;BO$3,CLAVE_TC,$A311)+SUMIFS(SALIDAS_COMB,FECHA_COMB,"&gt;="&amp;BO$2,FECHA_COMB,"&lt;="&amp;BO$3,CLAVE_COMB,$A311)+SUMIFS(SALIDAS_DES,FECHA_DESGLOSEN,"&gt;="&amp;BO$2,FECHA_DESGLOSEN,"&lt;="&amp;BO$3,CLAVE_DESGLOSE,$A311)</f>
        <v>0</v>
      </c>
      <c r="BP311" s="13">
        <f>SUMIFS(SALIDAS_BIT,FECHA_BIT,"&gt;="&amp;BP$2,FECHA_BIT,"&lt;="&amp;BP$3,CLAVE_BIT,$A311)+SUMIFS(SALIDAS_BOV1,FECHA_BOV1,"&gt;="&amp;BP$2,FECHA_BOV1,"&lt;="&amp;BP$3,CLAVE_BOV1,$A311)+SUMIFS(SALIDAS_BOV2,FECHA_BOV2,"&gt;="&amp;BP$2,FECHA_BOV2,"&lt;="&amp;BP$3,CLAVE_BOV2,$A311)+SUMIFS(SALIDAS_BOV3,FECHA_BOV3,"&gt;="&amp;BP$2,FECHA_BOV3,"&lt;="&amp;BP$3,CLAVE_BOV3,$A311)+SUMIFS(SALIDAS_TC,FECHA_TC,"&gt;="&amp;BP$2,FECHA_TC,"&lt;="&amp;BP$3,CLAVE_TC,$A311)+SUMIFS(SALIDAS_COMB,FECHA_COMB,"&gt;="&amp;BP$2,FECHA_COMB,"&lt;="&amp;BP$3,CLAVE_COMB,$A311)+SUMIFS(SALIDAS_DES,FECHA_DESGLOSEN,"&gt;="&amp;BP$2,FECHA_DESGLOSEN,"&lt;="&amp;BP$3,CLAVE_DESGLOSE,$A311)</f>
        <v>0</v>
      </c>
      <c r="BQ311" s="13">
        <f>SUMIFS(SALIDAS_BIT,FECHA_BIT,"&gt;="&amp;BQ$2,FECHA_BIT,"&lt;="&amp;BQ$3,CLAVE_BIT,$A311)+SUMIFS(SALIDAS_BOV1,FECHA_BOV1,"&gt;="&amp;BQ$2,FECHA_BOV1,"&lt;="&amp;BQ$3,CLAVE_BOV1,$A311)+SUMIFS(SALIDAS_BOV2,FECHA_BOV2,"&gt;="&amp;BQ$2,FECHA_BOV2,"&lt;="&amp;BQ$3,CLAVE_BOV2,$A311)+SUMIFS(SALIDAS_BOV3,FECHA_BOV3,"&gt;="&amp;BQ$2,FECHA_BOV3,"&lt;="&amp;BQ$3,CLAVE_BOV3,$A311)+SUMIFS(SALIDAS_TC,FECHA_TC,"&gt;="&amp;BQ$2,FECHA_TC,"&lt;="&amp;BQ$3,CLAVE_TC,$A311)+SUMIFS(SALIDAS_COMB,FECHA_COMB,"&gt;="&amp;BQ$2,FECHA_COMB,"&lt;="&amp;BQ$3,CLAVE_COMB,$A311)+SUMIFS(SALIDAS_DES,FECHA_DESGLOSEN,"&gt;="&amp;BQ$2,FECHA_DESGLOSEN,"&lt;="&amp;BQ$3,CLAVE_DESGLOSE,$A311)</f>
        <v>0</v>
      </c>
      <c r="BR311" s="162">
        <f>SUMIFS(SALIDAS_BIT,FECHA_BIT,"&gt;="&amp;BR$2,FECHA_BIT,"&lt;="&amp;BR$3,CLAVE_BIT,$A311)+SUMIFS(SALIDAS_BOV1,FECHA_BOV1,"&gt;="&amp;BR$2,FECHA_BOV1,"&lt;="&amp;BR$3,CLAVE_BOV1,$A311)+SUMIFS(SALIDAS_BOV2,FECHA_BOV2,"&gt;="&amp;BR$2,FECHA_BOV2,"&lt;="&amp;BR$3,CLAVE_BOV2,$A311)+SUMIFS(SALIDAS_BOV3,FECHA_BOV3,"&gt;="&amp;BR$2,FECHA_BOV3,"&lt;="&amp;BR$3,CLAVE_BOV3,$A311)+SUMIFS(SALIDAS_TC,FECHA_TC,"&gt;="&amp;BR$2,FECHA_TC,"&lt;="&amp;BR$3,CLAVE_TC,$A311)+SUMIFS(SALIDAS_COMB,FECHA_COMB,"&gt;="&amp;BR$2,FECHA_COMB,"&lt;="&amp;BR$3,CLAVE_COMB,$A311)+SUMIFS(SALIDAS_DES,FECHA_DESGLOSEN,"&gt;="&amp;BR$2,FECHA_DESGLOSEN,"&lt;="&amp;BR$3,CLAVE_DESGLOSE,$A311)</f>
        <v>13131.04</v>
      </c>
      <c r="BS311" s="227">
        <f>BL311-BR311</f>
        <v>-13131.04</v>
      </c>
      <c r="BT311" s="301">
        <f>IFERROR((BR311/BL311),0)</f>
        <v>0</v>
      </c>
      <c r="BU311" s="162">
        <f>VLOOKUP($A311,T_PRESUPUESTO,MATCH(BU$6,E_PRESUPUESTO,0),FALSE)</f>
        <v>0</v>
      </c>
      <c r="BV311" s="13">
        <f t="shared" si="485"/>
        <v>36915.040000000001</v>
      </c>
      <c r="BW311" s="13">
        <f t="shared" si="485"/>
        <v>0</v>
      </c>
      <c r="BX311" s="13">
        <f t="shared" si="485"/>
        <v>0</v>
      </c>
      <c r="BY311" s="13">
        <f t="shared" si="485"/>
        <v>0</v>
      </c>
      <c r="BZ311" s="162">
        <f>SUMIFS(SALIDAS_BIT,FECHA_BIT,"&gt;="&amp;BZ$2,FECHA_BIT,"&lt;="&amp;BZ$3,CLAVE_BIT,$A311)+SUMIFS(SALIDAS_BOV1,FECHA_BOV1,"&gt;="&amp;BZ$2,FECHA_BOV1,"&lt;="&amp;BZ$3,CLAVE_BOV1,$A311)+SUMIFS(SALIDAS_BOV2,FECHA_BOV2,"&gt;="&amp;BZ$2,FECHA_BOV2,"&lt;="&amp;BZ$3,CLAVE_BOV2,$A311)+SUMIFS(SALIDAS_BOV3,FECHA_BOV3,"&gt;="&amp;BZ$2,FECHA_BOV3,"&lt;="&amp;BZ$3,CLAVE_BOV3,$A311)+SUMIFS(SALIDAS_TC,FECHA_TC,"&gt;="&amp;BZ$2,FECHA_TC,"&lt;="&amp;BZ$3,CLAVE_TC,$A311)+SUMIFS(SALIDAS_COMB,FECHA_COMB,"&gt;="&amp;BZ$2,FECHA_COMB,"&lt;="&amp;BZ$3,CLAVE_COMB,$A311)+SUMIFS(SALIDAS_DES,FECHA_DESGLOSEN,"&gt;="&amp;BZ$2,FECHA_DESGLOSEN,"&lt;="&amp;BZ$3,CLAVE_DESGLOSE,$A311)</f>
        <v>36915.040000000001</v>
      </c>
      <c r="CA311" s="227">
        <f>BU311-BZ311</f>
        <v>-36915.040000000001</v>
      </c>
      <c r="CB311" s="301">
        <f>IFERROR((BZ311/BU311),0)</f>
        <v>0</v>
      </c>
      <c r="CC311" s="162">
        <f>VLOOKUP($A311,T_PRESUPUESTO,MATCH(CC$6,E_PRESUPUESTO,0),FALSE)</f>
        <v>0</v>
      </c>
      <c r="CD311" s="13">
        <f t="shared" si="486"/>
        <v>54952.29</v>
      </c>
      <c r="CE311" s="13">
        <f t="shared" si="486"/>
        <v>0</v>
      </c>
      <c r="CF311" s="13">
        <f t="shared" si="486"/>
        <v>0</v>
      </c>
      <c r="CG311" s="13">
        <f t="shared" si="486"/>
        <v>0</v>
      </c>
      <c r="CH311" s="162">
        <f>SUMIFS(SALIDAS_BIT,FECHA_BIT,"&gt;="&amp;CH$2,FECHA_BIT,"&lt;="&amp;CH$3,CLAVE_BIT,$A311)+SUMIFS(SALIDAS_BOV1,FECHA_BOV1,"&gt;="&amp;CH$2,FECHA_BOV1,"&lt;="&amp;CH$3,CLAVE_BOV1,$A311)+SUMIFS(SALIDAS_BOV2,FECHA_BOV2,"&gt;="&amp;CH$2,FECHA_BOV2,"&lt;="&amp;CH$3,CLAVE_BOV2,$A311)+SUMIFS(SALIDAS_BOV3,FECHA_BOV3,"&gt;="&amp;CH$2,FECHA_BOV3,"&lt;="&amp;CH$3,CLAVE_BOV3,$A311)+SUMIFS(SALIDAS_TC,FECHA_TC,"&gt;="&amp;CH$2,FECHA_TC,"&lt;="&amp;CH$3,CLAVE_TC,$A311)+SUMIFS(SALIDAS_COMB,FECHA_COMB,"&gt;="&amp;CH$2,FECHA_COMB,"&lt;="&amp;CH$3,CLAVE_COMB,$A311)+SUMIFS(SALIDAS_DES,FECHA_DESGLOSEN,"&gt;="&amp;CH$2,FECHA_DESGLOSEN,"&lt;="&amp;CH$3,CLAVE_DESGLOSE,$A311)</f>
        <v>54952.29</v>
      </c>
      <c r="CI311" s="227">
        <f>CC311-CH311</f>
        <v>-54952.29</v>
      </c>
      <c r="CJ311" s="301">
        <f>IFERROR((CH311/CC311),0)</f>
        <v>0</v>
      </c>
      <c r="CK311" s="162">
        <f>VLOOKUP($A311,T_PRESUPUESTO,MATCH(CK$6,E_PRESUPUESTO,0),FALSE)</f>
        <v>0</v>
      </c>
      <c r="CL311" s="13">
        <f t="shared" si="495"/>
        <v>0</v>
      </c>
      <c r="CM311" s="13">
        <f t="shared" si="495"/>
        <v>57562.6</v>
      </c>
      <c r="CN311" s="13">
        <f t="shared" si="495"/>
        <v>0</v>
      </c>
      <c r="CO311" s="13">
        <f t="shared" si="495"/>
        <v>0</v>
      </c>
      <c r="CP311" s="13">
        <f t="shared" si="495"/>
        <v>0</v>
      </c>
      <c r="CQ311" s="162">
        <f>SUMIFS(SALIDAS_BIT,FECHA_BIT,"&gt;="&amp;CQ$2,FECHA_BIT,"&lt;="&amp;CQ$3,CLAVE_BIT,$A311)+SUMIFS(SALIDAS_BOV1,FECHA_BOV1,"&gt;="&amp;CQ$2,FECHA_BOV1,"&lt;="&amp;CQ$3,CLAVE_BOV1,$A311)+SUMIFS(SALIDAS_BOV2,FECHA_BOV2,"&gt;="&amp;CQ$2,FECHA_BOV2,"&lt;="&amp;CQ$3,CLAVE_BOV2,$A311)+SUMIFS(SALIDAS_BOV3,FECHA_BOV3,"&gt;="&amp;CQ$2,FECHA_BOV3,"&lt;="&amp;CQ$3,CLAVE_BOV3,$A311)+SUMIFS(SALIDAS_TC,FECHA_TC,"&gt;="&amp;CQ$2,FECHA_TC,"&lt;="&amp;CQ$3,CLAVE_TC,$A311)+SUMIFS(SALIDAS_COMB,FECHA_COMB,"&gt;="&amp;CQ$2,FECHA_COMB,"&lt;="&amp;CQ$3,CLAVE_COMB,$A311)+SUMIFS(SALIDAS_DES,FECHA_DESGLOSEN,"&gt;="&amp;CQ$2,FECHA_DESGLOSEN,"&lt;="&amp;CQ$3,CLAVE_DESGLOSE,$A311)</f>
        <v>57562.6</v>
      </c>
      <c r="CR311" s="227">
        <f>CK311-CQ311</f>
        <v>-57562.6</v>
      </c>
      <c r="CS311" s="301">
        <f>IFERROR((CQ311/CK311),0)</f>
        <v>0</v>
      </c>
      <c r="CT311" s="68">
        <f t="shared" si="446"/>
        <v>60000</v>
      </c>
      <c r="CU311" s="13">
        <f>SUMIFS(SALIDAS_BIT,FECHA_BIT,"&gt;="&amp;CU$2,FECHA_BIT,"&lt;="&amp;CU$3,CLAVE_BIT,$A311)+SUMIFS(SALIDAS_BOV1,FECHA_BOV1,"&gt;="&amp;CU$2,FECHA_BOV1,"&lt;="&amp;CU$3,CLAVE_BOV1,$A311)+SUMIFS(SALIDAS_BOV2,FECHA_BOV2,"&gt;="&amp;CU$2,FECHA_BOV2,"&lt;="&amp;CU$3,CLAVE_BOV2,$A311)+SUMIFS(SALIDAS_BOV3,FECHA_BOV3,"&gt;="&amp;CU$2,FECHA_BOV3,"&lt;="&amp;CU$3,CLAVE_BOV3,$A311)+SUMIFS(SALIDAS_TC,FECHA_TC,"&gt;="&amp;CU$2,FECHA_TC,"&lt;="&amp;CU$3,CLAVE_TC,$A311)+SUMIFS(SALIDAS_COMB,FECHA_COMB,"&gt;="&amp;CU$2,FECHA_COMB,"&lt;="&amp;CU$3,CLAVE_COMB,$A311)+SUMIFS(SALIDAS_DES,FECHA_DESGLOSEN,"&gt;="&amp;CU$2,FECHA_DESGLOSEN,"&lt;="&amp;CU$3,CLAVE_DESGLOSE,$A311)</f>
        <v>0</v>
      </c>
      <c r="CV311" s="13">
        <f>SUMIFS(SALIDAS_BIT,FECHA_BIT,"&gt;="&amp;CV$2,FECHA_BIT,"&lt;="&amp;CV$3,CLAVE_BIT,$A311)+SUMIFS(SALIDAS_BOV1,FECHA_BOV1,"&gt;="&amp;CV$2,FECHA_BOV1,"&lt;="&amp;CV$3,CLAVE_BOV1,$A311)+SUMIFS(SALIDAS_BOV2,FECHA_BOV2,"&gt;="&amp;CV$2,FECHA_BOV2,"&lt;="&amp;CV$3,CLAVE_BOV2,$A311)+SUMIFS(SALIDAS_BOV3,FECHA_BOV3,"&gt;="&amp;CV$2,FECHA_BOV3,"&lt;="&amp;CV$3,CLAVE_BOV3,$A311)+SUMIFS(SALIDAS_TC,FECHA_TC,"&gt;="&amp;CV$2,FECHA_TC,"&lt;="&amp;CV$3,CLAVE_TC,$A311)+SUMIFS(SALIDAS_COMB,FECHA_COMB,"&gt;="&amp;CV$2,FECHA_COMB,"&lt;="&amp;CV$3,CLAVE_COMB,$A311)+SUMIFS(SALIDAS_DES,FECHA_DESGLOSEN,"&gt;="&amp;CV$2,FECHA_DESGLOSEN,"&lt;="&amp;CV$3,CLAVE_DESGLOSE,$A311)</f>
        <v>0</v>
      </c>
      <c r="CW311" s="13">
        <f>SUMIFS(SALIDAS_BIT,FECHA_BIT,"&gt;="&amp;CW$2,FECHA_BIT,"&lt;="&amp;CW$3,CLAVE_BIT,$A311)+SUMIFS(SALIDAS_BOV1,FECHA_BOV1,"&gt;="&amp;CW$2,FECHA_BOV1,"&lt;="&amp;CW$3,CLAVE_BOV1,$A311)+SUMIFS(SALIDAS_BOV2,FECHA_BOV2,"&gt;="&amp;CW$2,FECHA_BOV2,"&lt;="&amp;CW$3,CLAVE_BOV2,$A311)+SUMIFS(SALIDAS_BOV3,FECHA_BOV3,"&gt;="&amp;CW$2,FECHA_BOV3,"&lt;="&amp;CW$3,CLAVE_BOV3,$A311)+SUMIFS(SALIDAS_TC,FECHA_TC,"&gt;="&amp;CW$2,FECHA_TC,"&lt;="&amp;CW$3,CLAVE_TC,$A311)+SUMIFS(SALIDAS_COMB,FECHA_COMB,"&gt;="&amp;CW$2,FECHA_COMB,"&lt;="&amp;CW$3,CLAVE_COMB,$A311)+SUMIFS(SALIDAS_DES,FECHA_DESGLOSEN,"&gt;="&amp;CW$2,FECHA_DESGLOSEN,"&lt;="&amp;CW$3,CLAVE_DESGLOSE,$A311)</f>
        <v>0</v>
      </c>
      <c r="CX311" s="13">
        <f>SUMIFS(SALIDAS_BIT,FECHA_BIT,"&gt;="&amp;CX$2,FECHA_BIT,"&lt;="&amp;CX$3,CLAVE_BIT,$A311)+SUMIFS(SALIDAS_BOV1,FECHA_BOV1,"&gt;="&amp;CX$2,FECHA_BOV1,"&lt;="&amp;CX$3,CLAVE_BOV1,$A311)+SUMIFS(SALIDAS_BOV2,FECHA_BOV2,"&gt;="&amp;CX$2,FECHA_BOV2,"&lt;="&amp;CX$3,CLAVE_BOV2,$A311)+SUMIFS(SALIDAS_BOV3,FECHA_BOV3,"&gt;="&amp;CX$2,FECHA_BOV3,"&lt;="&amp;CX$3,CLAVE_BOV3,$A311)+SUMIFS(SALIDAS_TC,FECHA_TC,"&gt;="&amp;CX$2,FECHA_TC,"&lt;="&amp;CX$3,CLAVE_TC,$A311)+SUMIFS(SALIDAS_COMB,FECHA_COMB,"&gt;="&amp;CX$2,FECHA_COMB,"&lt;="&amp;CX$3,CLAVE_COMB,$A311)+SUMIFS(SALIDAS_DES,FECHA_DESGLOSEN,"&gt;="&amp;CX$2,FECHA_DESGLOSEN,"&lt;="&amp;CX$3,CLAVE_DESGLOSE,$A311)</f>
        <v>0</v>
      </c>
      <c r="CY311" s="13">
        <f>SUMIFS(SALIDAS_BIT,FECHA_BIT,"&gt;="&amp;CY$2,FECHA_BIT,"&lt;="&amp;CY$3,CLAVE_BIT,$A311)+SUMIFS(SALIDAS_BOV1,FECHA_BOV1,"&gt;="&amp;CY$2,FECHA_BOV1,"&lt;="&amp;CY$3,CLAVE_BOV1,$A311)+SUMIFS(SALIDAS_BOV2,FECHA_BOV2,"&gt;="&amp;CY$2,FECHA_BOV2,"&lt;="&amp;CY$3,CLAVE_BOV2,$A311)+SUMIFS(SALIDAS_BOV3,FECHA_BOV3,"&gt;="&amp;CY$2,FECHA_BOV3,"&lt;="&amp;CY$3,CLAVE_BOV3,$A311)+SUMIFS(SALIDAS_TC,FECHA_TC,"&gt;="&amp;CY$2,FECHA_TC,"&lt;="&amp;CY$3,CLAVE_TC,$A311)+SUMIFS(SALIDAS_COMB,FECHA_COMB,"&gt;="&amp;CY$2,FECHA_COMB,"&lt;="&amp;CY$3,CLAVE_COMB,$A311)+SUMIFS(SALIDAS_DES,FECHA_DESGLOSEN,"&gt;="&amp;CY$2,FECHA_DESGLOSEN,"&lt;="&amp;CY$3,CLAVE_DESGLOSE,$A311)</f>
        <v>0</v>
      </c>
      <c r="CZ311" s="68">
        <f t="shared" si="474"/>
        <v>60000</v>
      </c>
      <c r="DB311" s="17">
        <f>F311+N311+W311+AE311+AM311+AV311+BD311+BL311+BU311+CC311+CK311</f>
        <v>0</v>
      </c>
      <c r="DC311" s="17">
        <f>K311+T311+AB311+AJ311+AS311+BA311+BI311+BR311+BZ311+CH311+CQ311</f>
        <v>186251.26</v>
      </c>
    </row>
    <row r="312" spans="1:107" ht="15" hidden="1">
      <c r="A312" s="12" t="str">
        <f>C312&amp;D312&amp;E312</f>
        <v>SGECUOTAS Y SUSCRIPCIONESGOOGLE CAPCUT</v>
      </c>
      <c r="B312">
        <v>312</v>
      </c>
      <c r="C312" t="s">
        <v>39</v>
      </c>
      <c r="D312" t="s">
        <v>51</v>
      </c>
      <c r="E312" t="s">
        <v>80</v>
      </c>
      <c r="F312" s="260">
        <f>VLOOKUP($A312,T_PRESUPUESTO,MATCH(F$6,E_PRESUPUESTO,0),FALSE)</f>
        <v>0</v>
      </c>
      <c r="G312" s="162">
        <f>SUMIFS(SALIDAS_BIT,FECHA_BIT,"&gt;="&amp;G$2,FECHA_BIT,"&lt;="&amp;G$3,CLAVE_BIT,$A312)+SUMIFS(SALIDAS_BOV1,FECHA_BOV1,"&gt;="&amp;G$2,FECHA_BOV1,"&lt;="&amp;G$3,CLAVE_BOV1,$A312)+SUMIFS(SALIDAS_BOV2,FECHA_BOV2,"&gt;="&amp;G$2,FECHA_BOV2,"&lt;="&amp;G$3,CLAVE_BOV2,$A312)+SUMIFS(SALIDAS_BOV3,FECHA_BOV3,"&gt;="&amp;G$2,FECHA_BOV3,"&lt;="&amp;G$3,CLAVE_BOV3,$A312)+SUMIFS(SALIDAS_TC,FECHA_TC,"&gt;="&amp;G$2,FECHA_TC,"&lt;="&amp;G$3,CLAVE_TC,$A312)+SUMIFS(SALIDAS_COMB,FECHA_COMB,"&gt;="&amp;G$2,FECHA_COMB,"&lt;="&amp;G$3,CLAVE_COMB,$A312)+SUMIFS(SALIDAS_DES,FECHA_DESGLOSEN,"&gt;="&amp;G$2,FECHA_DESGLOSEN,"&lt;="&amp;G$3,CLAVE_DESGLOSE,$A312)</f>
        <v>0</v>
      </c>
      <c r="H312" s="162">
        <f>SUMIFS(SALIDAS_BIT,FECHA_BIT,"&gt;="&amp;H$2,FECHA_BIT,"&lt;="&amp;H$3,CLAVE_BIT,$A312)+SUMIFS(SALIDAS_BOV1,FECHA_BOV1,"&gt;="&amp;H$2,FECHA_BOV1,"&lt;="&amp;H$3,CLAVE_BOV1,$A312)+SUMIFS(SALIDAS_BOV2,FECHA_BOV2,"&gt;="&amp;H$2,FECHA_BOV2,"&lt;="&amp;H$3,CLAVE_BOV2,$A312)+SUMIFS(SALIDAS_BOV3,FECHA_BOV3,"&gt;="&amp;H$2,FECHA_BOV3,"&lt;="&amp;H$3,CLAVE_BOV3,$A312)+SUMIFS(SALIDAS_TC,FECHA_TC,"&gt;="&amp;H$2,FECHA_TC,"&lt;="&amp;H$3,CLAVE_TC,$A312)+SUMIFS(SALIDAS_COMB,FECHA_COMB,"&gt;="&amp;H$2,FECHA_COMB,"&lt;="&amp;H$3,CLAVE_COMB,$A312)+SUMIFS(SALIDAS_DES,FECHA_DESGLOSEN,"&gt;="&amp;H$2,FECHA_DESGLOSEN,"&lt;="&amp;H$3,CLAVE_DESGLOSE,$A312)</f>
        <v>0</v>
      </c>
      <c r="I312" s="162">
        <f>SUMIFS(SALIDAS_BIT,FECHA_BIT,"&gt;="&amp;I$2,FECHA_BIT,"&lt;="&amp;I$3,CLAVE_BIT,$A312)+SUMIFS(SALIDAS_BOV1,FECHA_BOV1,"&gt;="&amp;I$2,FECHA_BOV1,"&lt;="&amp;I$3,CLAVE_BOV1,$A312)+SUMIFS(SALIDAS_BOV2,FECHA_BOV2,"&gt;="&amp;I$2,FECHA_BOV2,"&lt;="&amp;I$3,CLAVE_BOV2,$A312)+SUMIFS(SALIDAS_BOV3,FECHA_BOV3,"&gt;="&amp;I$2,FECHA_BOV3,"&lt;="&amp;I$3,CLAVE_BOV3,$A312)+SUMIFS(SALIDAS_TC,FECHA_TC,"&gt;="&amp;I$2,FECHA_TC,"&lt;="&amp;I$3,CLAVE_TC,$A312)+SUMIFS(SALIDAS_COMB,FECHA_COMB,"&gt;="&amp;I$2,FECHA_COMB,"&lt;="&amp;I$3,CLAVE_COMB,$A312)+SUMIFS(SALIDAS_DES,FECHA_DESGLOSEN,"&gt;="&amp;I$2,FECHA_DESGLOSEN,"&lt;="&amp;I$3,CLAVE_DESGLOSE,$A312)</f>
        <v>0</v>
      </c>
      <c r="J312" s="162">
        <f>SUMIFS(SALIDAS_BIT,FECHA_BIT,"&gt;="&amp;J$2,FECHA_BIT,"&lt;="&amp;J$3,CLAVE_BIT,$A312)+SUMIFS(SALIDAS_BOV1,FECHA_BOV1,"&gt;="&amp;J$2,FECHA_BOV1,"&lt;="&amp;J$3,CLAVE_BOV1,$A312)+SUMIFS(SALIDAS_BOV2,FECHA_BOV2,"&gt;="&amp;J$2,FECHA_BOV2,"&lt;="&amp;J$3,CLAVE_BOV2,$A312)+SUMIFS(SALIDAS_BOV3,FECHA_BOV3,"&gt;="&amp;J$2,FECHA_BOV3,"&lt;="&amp;J$3,CLAVE_BOV3,$A312)+SUMIFS(SALIDAS_TC,FECHA_TC,"&gt;="&amp;J$2,FECHA_TC,"&lt;="&amp;J$3,CLAVE_TC,$A312)+SUMIFS(SALIDAS_COMB,FECHA_COMB,"&gt;="&amp;J$2,FECHA_COMB,"&lt;="&amp;J$3,CLAVE_COMB,$A312)+SUMIFS(SALIDAS_DES,FECHA_DESGLOSEN,"&gt;="&amp;J$2,FECHA_DESGLOSEN,"&lt;="&amp;J$3,CLAVE_DESGLOSE,$A312)</f>
        <v>0</v>
      </c>
      <c r="K312" s="162">
        <f>SUMIFS(SALIDAS_BIT,FECHA_BIT,"&gt;="&amp;K$2,FECHA_BIT,"&lt;="&amp;K$3,CLAVE_BIT,$A312)+SUMIFS(SALIDAS_BOV1,FECHA_BOV1,"&gt;="&amp;K$2,FECHA_BOV1,"&lt;="&amp;K$3,CLAVE_BOV1,$A312)+SUMIFS(SALIDAS_BOV2,FECHA_BOV2,"&gt;="&amp;K$2,FECHA_BOV2,"&lt;="&amp;K$3,CLAVE_BOV2,$A312)+SUMIFS(SALIDAS_BOV3,FECHA_BOV3,"&gt;="&amp;K$2,FECHA_BOV3,"&lt;="&amp;K$3,CLAVE_BOV3,$A312)+SUMIFS(SALIDAS_TC,FECHA_TC,"&gt;="&amp;K$2,FECHA_TC,"&lt;="&amp;K$3,CLAVE_TC,$A312)+SUMIFS(SALIDAS_COMB,FECHA_COMB,"&gt;="&amp;K$2,FECHA_COMB,"&lt;="&amp;K$3,CLAVE_COMB,$A312)+SUMIFS(SALIDAS_DES,FECHA_DESGLOSEN,"&gt;="&amp;K$2,FECHA_DESGLOSEN,"&lt;="&amp;K$3,CLAVE_DESGLOSE,$A312)</f>
        <v>0</v>
      </c>
      <c r="L312" s="227">
        <f>F312-K312</f>
        <v>0</v>
      </c>
      <c r="M312" s="301">
        <f>IFERROR((K312/F312),0)</f>
        <v>0</v>
      </c>
      <c r="N312" s="162">
        <f>VLOOKUP($A312,T_PRESUPUESTO,MATCH(N$6,E_PRESUPUESTO,0),FALSE)</f>
        <v>0</v>
      </c>
      <c r="O312" s="162">
        <f>SUMIFS(SALIDAS_BIT,FECHA_BIT,"&gt;="&amp;O$2,FECHA_BIT,"&lt;="&amp;O$3,CLAVE_BIT,$A312)+SUMIFS(SALIDAS_BOV1,FECHA_BOV1,"&gt;="&amp;O$2,FECHA_BOV1,"&lt;="&amp;O$3,CLAVE_BOV1,$A312)+SUMIFS(SALIDAS_BOV2,FECHA_BOV2,"&gt;="&amp;O$2,FECHA_BOV2,"&lt;="&amp;O$3,CLAVE_BOV2,$A312)+SUMIFS(SALIDAS_BOV3,FECHA_BOV3,"&gt;="&amp;O$2,FECHA_BOV3,"&lt;="&amp;O$3,CLAVE_BOV3,$A312)+SUMIFS(SALIDAS_TC,FECHA_TC,"&gt;="&amp;O$2,FECHA_TC,"&lt;="&amp;O$3,CLAVE_TC,$A312)+SUMIFS(SALIDAS_COMB,FECHA_COMB,"&gt;="&amp;O$2,FECHA_COMB,"&lt;="&amp;O$3,CLAVE_COMB,$A312)+SUMIFS(SALIDAS_DES,FECHA_DESGLOSEN,"&gt;="&amp;O$2,FECHA_DESGLOSEN,"&lt;="&amp;O$3,CLAVE_DESGLOSE,$A312)</f>
        <v>0</v>
      </c>
      <c r="P312" s="162">
        <f>SUMIFS(SALIDAS_BIT,FECHA_BIT,"&gt;="&amp;P$2,FECHA_BIT,"&lt;="&amp;P$3,CLAVE_BIT,$A312)+SUMIFS(SALIDAS_BOV1,FECHA_BOV1,"&gt;="&amp;P$2,FECHA_BOV1,"&lt;="&amp;P$3,CLAVE_BOV1,$A312)+SUMIFS(SALIDAS_BOV2,FECHA_BOV2,"&gt;="&amp;P$2,FECHA_BOV2,"&lt;="&amp;P$3,CLAVE_BOV2,$A312)+SUMIFS(SALIDAS_BOV3,FECHA_BOV3,"&gt;="&amp;P$2,FECHA_BOV3,"&lt;="&amp;P$3,CLAVE_BOV3,$A312)+SUMIFS(SALIDAS_TC,FECHA_TC,"&gt;="&amp;P$2,FECHA_TC,"&lt;="&amp;P$3,CLAVE_TC,$A312)+SUMIFS(SALIDAS_COMB,FECHA_COMB,"&gt;="&amp;P$2,FECHA_COMB,"&lt;="&amp;P$3,CLAVE_COMB,$A312)+SUMIFS(SALIDAS_DES,FECHA_DESGLOSEN,"&gt;="&amp;P$2,FECHA_DESGLOSEN,"&lt;="&amp;P$3,CLAVE_DESGLOSE,$A312)</f>
        <v>0</v>
      </c>
      <c r="Q312" s="162">
        <f>SUMIFS(SALIDAS_BIT,FECHA_BIT,"&gt;="&amp;Q$2,FECHA_BIT,"&lt;="&amp;Q$3,CLAVE_BIT,$A312)+SUMIFS(SALIDAS_BOV1,FECHA_BOV1,"&gt;="&amp;Q$2,FECHA_BOV1,"&lt;="&amp;Q$3,CLAVE_BOV1,$A312)+SUMIFS(SALIDAS_BOV2,FECHA_BOV2,"&gt;="&amp;Q$2,FECHA_BOV2,"&lt;="&amp;Q$3,CLAVE_BOV2,$A312)+SUMIFS(SALIDAS_BOV3,FECHA_BOV3,"&gt;="&amp;Q$2,FECHA_BOV3,"&lt;="&amp;Q$3,CLAVE_BOV3,$A312)+SUMIFS(SALIDAS_TC,FECHA_TC,"&gt;="&amp;Q$2,FECHA_TC,"&lt;="&amp;Q$3,CLAVE_TC,$A312)+SUMIFS(SALIDAS_COMB,FECHA_COMB,"&gt;="&amp;Q$2,FECHA_COMB,"&lt;="&amp;Q$3,CLAVE_COMB,$A312)+SUMIFS(SALIDAS_DES,FECHA_DESGLOSEN,"&gt;="&amp;Q$2,FECHA_DESGLOSEN,"&lt;="&amp;Q$3,CLAVE_DESGLOSE,$A312)</f>
        <v>0</v>
      </c>
      <c r="R312" s="162">
        <f>SUMIFS(SALIDAS_BIT,FECHA_BIT,"&gt;="&amp;R$2,FECHA_BIT,"&lt;="&amp;R$3,CLAVE_BIT,$A312)+SUMIFS(SALIDAS_BOV1,FECHA_BOV1,"&gt;="&amp;R$2,FECHA_BOV1,"&lt;="&amp;R$3,CLAVE_BOV1,$A312)+SUMIFS(SALIDAS_BOV2,FECHA_BOV2,"&gt;="&amp;R$2,FECHA_BOV2,"&lt;="&amp;R$3,CLAVE_BOV2,$A312)+SUMIFS(SALIDAS_BOV3,FECHA_BOV3,"&gt;="&amp;R$2,FECHA_BOV3,"&lt;="&amp;R$3,CLAVE_BOV3,$A312)+SUMIFS(SALIDAS_TC,FECHA_TC,"&gt;="&amp;R$2,FECHA_TC,"&lt;="&amp;R$3,CLAVE_TC,$A312)+SUMIFS(SALIDAS_COMB,FECHA_COMB,"&gt;="&amp;R$2,FECHA_COMB,"&lt;="&amp;R$3,CLAVE_COMB,$A312)+SUMIFS(SALIDAS_DES,FECHA_DESGLOSEN,"&gt;="&amp;R$2,FECHA_DESGLOSEN,"&lt;="&amp;R$3,CLAVE_DESGLOSE,$A312)</f>
        <v>0</v>
      </c>
      <c r="S312" s="162">
        <f>SUMIFS(SALIDAS_BIT,FECHA_BIT,"&gt;="&amp;S$2,FECHA_BIT,"&lt;="&amp;S$3,CLAVE_BIT,$A312)+SUMIFS(SALIDAS_BOV1,FECHA_BOV1,"&gt;="&amp;S$2,FECHA_BOV1,"&lt;="&amp;S$3,CLAVE_BOV1,$A312)+SUMIFS(SALIDAS_BOV2,FECHA_BOV2,"&gt;="&amp;S$2,FECHA_BOV2,"&lt;="&amp;S$3,CLAVE_BOV2,$A312)+SUMIFS(SALIDAS_BOV3,FECHA_BOV3,"&gt;="&amp;S$2,FECHA_BOV3,"&lt;="&amp;S$3,CLAVE_BOV3,$A312)+SUMIFS(SALIDAS_TC,FECHA_TC,"&gt;="&amp;S$2,FECHA_TC,"&lt;="&amp;S$3,CLAVE_TC,$A312)+SUMIFS(SALIDAS_COMB,FECHA_COMB,"&gt;="&amp;S$2,FECHA_COMB,"&lt;="&amp;S$3,CLAVE_COMB,$A312)+SUMIFS(SALIDAS_DES,FECHA_DESGLOSEN,"&gt;="&amp;S$2,FECHA_DESGLOSEN,"&lt;="&amp;S$3,CLAVE_DESGLOSE,$A312)</f>
        <v>0</v>
      </c>
      <c r="T312" s="162">
        <f>SUMIFS(SALIDAS_BIT,FECHA_BIT,"&gt;="&amp;T$2,FECHA_BIT,"&lt;="&amp;T$3,CLAVE_BIT,$A312)+SUMIFS(SALIDAS_BOV1,FECHA_BOV1,"&gt;="&amp;T$2,FECHA_BOV1,"&lt;="&amp;T$3,CLAVE_BOV1,$A312)+SUMIFS(SALIDAS_BOV2,FECHA_BOV2,"&gt;="&amp;T$2,FECHA_BOV2,"&lt;="&amp;T$3,CLAVE_BOV2,$A312)+SUMIFS(SALIDAS_BOV3,FECHA_BOV3,"&gt;="&amp;T$2,FECHA_BOV3,"&lt;="&amp;T$3,CLAVE_BOV3,$A312)+SUMIFS(SALIDAS_TC,FECHA_TC,"&gt;="&amp;T$2,FECHA_TC,"&lt;="&amp;T$3,CLAVE_TC,$A312)+SUMIFS(SALIDAS_COMB,FECHA_COMB,"&gt;="&amp;T$2,FECHA_COMB,"&lt;="&amp;T$3,CLAVE_COMB,$A312)+SUMIFS(SALIDAS_DES,FECHA_DESGLOSEN,"&gt;="&amp;T$2,FECHA_DESGLOSEN,"&lt;="&amp;T$3,CLAVE_DESGLOSE,$A312)</f>
        <v>0</v>
      </c>
      <c r="U312" s="227">
        <f>N312-T312</f>
        <v>0</v>
      </c>
      <c r="V312" s="301">
        <f>IFERROR((T312/N312),0)</f>
        <v>0</v>
      </c>
      <c r="W312" s="162">
        <f>VLOOKUP($A312,T_PRESUPUESTO,MATCH(W$6,E_PRESUPUESTO,0),FALSE)</f>
        <v>0</v>
      </c>
      <c r="X312" s="162">
        <f>SUMIFS(SALIDAS_BIT,FECHA_BIT,"&gt;="&amp;X$2,FECHA_BIT,"&lt;="&amp;X$3,CLAVE_BIT,$A312)+SUMIFS(SALIDAS_BOV1,FECHA_BOV1,"&gt;="&amp;X$2,FECHA_BOV1,"&lt;="&amp;X$3,CLAVE_BOV1,$A312)+SUMIFS(SALIDAS_BOV2,FECHA_BOV2,"&gt;="&amp;X$2,FECHA_BOV2,"&lt;="&amp;X$3,CLAVE_BOV2,$A312)+SUMIFS(SALIDAS_BOV3,FECHA_BOV3,"&gt;="&amp;X$2,FECHA_BOV3,"&lt;="&amp;X$3,CLAVE_BOV3,$A312)+SUMIFS(SALIDAS_TC,FECHA_TC,"&gt;="&amp;X$2,FECHA_TC,"&lt;="&amp;X$3,CLAVE_TC,$A312)+SUMIFS(SALIDAS_COMB,FECHA_COMB,"&gt;="&amp;X$2,FECHA_COMB,"&lt;="&amp;X$3,CLAVE_COMB,$A312)+SUMIFS(SALIDAS_DES,FECHA_DESGLOSEN,"&gt;="&amp;X$2,FECHA_DESGLOSEN,"&lt;="&amp;X$3,CLAVE_DESGLOSE,$A312)</f>
        <v>0</v>
      </c>
      <c r="Y312" s="162">
        <f>SUMIFS(SALIDAS_BIT,FECHA_BIT,"&gt;="&amp;Y$2,FECHA_BIT,"&lt;="&amp;Y$3,CLAVE_BIT,$A312)+SUMIFS(SALIDAS_BOV1,FECHA_BOV1,"&gt;="&amp;Y$2,FECHA_BOV1,"&lt;="&amp;Y$3,CLAVE_BOV1,$A312)+SUMIFS(SALIDAS_BOV2,FECHA_BOV2,"&gt;="&amp;Y$2,FECHA_BOV2,"&lt;="&amp;Y$3,CLAVE_BOV2,$A312)+SUMIFS(SALIDAS_BOV3,FECHA_BOV3,"&gt;="&amp;Y$2,FECHA_BOV3,"&lt;="&amp;Y$3,CLAVE_BOV3,$A312)+SUMIFS(SALIDAS_TC,FECHA_TC,"&gt;="&amp;Y$2,FECHA_TC,"&lt;="&amp;Y$3,CLAVE_TC,$A312)+SUMIFS(SALIDAS_COMB,FECHA_COMB,"&gt;="&amp;Y$2,FECHA_COMB,"&lt;="&amp;Y$3,CLAVE_COMB,$A312)+SUMIFS(SALIDAS_DES,FECHA_DESGLOSEN,"&gt;="&amp;Y$2,FECHA_DESGLOSEN,"&lt;="&amp;Y$3,CLAVE_DESGLOSE,$A312)</f>
        <v>0</v>
      </c>
      <c r="Z312" s="162">
        <f>SUMIFS(SALIDAS_BIT,FECHA_BIT,"&gt;="&amp;Z$2,FECHA_BIT,"&lt;="&amp;Z$3,CLAVE_BIT,$A312)+SUMIFS(SALIDAS_BOV1,FECHA_BOV1,"&gt;="&amp;Z$2,FECHA_BOV1,"&lt;="&amp;Z$3,CLAVE_BOV1,$A312)+SUMIFS(SALIDAS_BOV2,FECHA_BOV2,"&gt;="&amp;Z$2,FECHA_BOV2,"&lt;="&amp;Z$3,CLAVE_BOV2,$A312)+SUMIFS(SALIDAS_BOV3,FECHA_BOV3,"&gt;="&amp;Z$2,FECHA_BOV3,"&lt;="&amp;Z$3,CLAVE_BOV3,$A312)+SUMIFS(SALIDAS_TC,FECHA_TC,"&gt;="&amp;Z$2,FECHA_TC,"&lt;="&amp;Z$3,CLAVE_TC,$A312)+SUMIFS(SALIDAS_COMB,FECHA_COMB,"&gt;="&amp;Z$2,FECHA_COMB,"&lt;="&amp;Z$3,CLAVE_COMB,$A312)+SUMIFS(SALIDAS_DES,FECHA_DESGLOSEN,"&gt;="&amp;Z$2,FECHA_DESGLOSEN,"&lt;="&amp;Z$3,CLAVE_DESGLOSE,$A312)</f>
        <v>0</v>
      </c>
      <c r="AA312" s="162">
        <f>SUMIFS(SALIDAS_BIT,FECHA_BIT,"&gt;="&amp;AA$2,FECHA_BIT,"&lt;="&amp;AA$3,CLAVE_BIT,$A312)+SUMIFS(SALIDAS_BOV1,FECHA_BOV1,"&gt;="&amp;AA$2,FECHA_BOV1,"&lt;="&amp;AA$3,CLAVE_BOV1,$A312)+SUMIFS(SALIDAS_BOV2,FECHA_BOV2,"&gt;="&amp;AA$2,FECHA_BOV2,"&lt;="&amp;AA$3,CLAVE_BOV2,$A312)+SUMIFS(SALIDAS_BOV3,FECHA_BOV3,"&gt;="&amp;AA$2,FECHA_BOV3,"&lt;="&amp;AA$3,CLAVE_BOV3,$A312)+SUMIFS(SALIDAS_TC,FECHA_TC,"&gt;="&amp;AA$2,FECHA_TC,"&lt;="&amp;AA$3,CLAVE_TC,$A312)+SUMIFS(SALIDAS_COMB,FECHA_COMB,"&gt;="&amp;AA$2,FECHA_COMB,"&lt;="&amp;AA$3,CLAVE_COMB,$A312)+SUMIFS(SALIDAS_DES,FECHA_DESGLOSEN,"&gt;="&amp;AA$2,FECHA_DESGLOSEN,"&lt;="&amp;AA$3,CLAVE_DESGLOSE,$A312)</f>
        <v>0</v>
      </c>
      <c r="AB312" s="162">
        <f>SUMIFS(SALIDAS_BIT,FECHA_BIT,"&gt;="&amp;AB$2,FECHA_BIT,"&lt;="&amp;AB$3,CLAVE_BIT,$A312)+SUMIFS(SALIDAS_BOV1,FECHA_BOV1,"&gt;="&amp;AB$2,FECHA_BOV1,"&lt;="&amp;AB$3,CLAVE_BOV1,$A312)+SUMIFS(SALIDAS_BOV2,FECHA_BOV2,"&gt;="&amp;AB$2,FECHA_BOV2,"&lt;="&amp;AB$3,CLAVE_BOV2,$A312)+SUMIFS(SALIDAS_BOV3,FECHA_BOV3,"&gt;="&amp;AB$2,FECHA_BOV3,"&lt;="&amp;AB$3,CLAVE_BOV3,$A312)+SUMIFS(SALIDAS_TC,FECHA_TC,"&gt;="&amp;AB$2,FECHA_TC,"&lt;="&amp;AB$3,CLAVE_TC,$A312)+SUMIFS(SALIDAS_COMB,FECHA_COMB,"&gt;="&amp;AB$2,FECHA_COMB,"&lt;="&amp;AB$3,CLAVE_COMB,$A312)+SUMIFS(SALIDAS_DES,FECHA_DESGLOSEN,"&gt;="&amp;AB$2,FECHA_DESGLOSEN,"&lt;="&amp;AB$3,CLAVE_DESGLOSE,$A312)</f>
        <v>0</v>
      </c>
      <c r="AC312" s="227">
        <f>W312-AB312</f>
        <v>0</v>
      </c>
      <c r="AD312" s="301">
        <f>IFERROR((AB312/W312),0)</f>
        <v>0</v>
      </c>
      <c r="AE312" s="162">
        <f>VLOOKUP($A312,T_PRESUPUESTO,MATCH(AE$6,E_PRESUPUESTO,0),FALSE)</f>
        <v>0</v>
      </c>
      <c r="AF312" s="162">
        <f>SUMIFS(SALIDAS_BIT,FECHA_BIT,"&gt;="&amp;AF$2,FECHA_BIT,"&lt;="&amp;AF$3,CLAVE_BIT,$A312)+SUMIFS(SALIDAS_BOV1,FECHA_BOV1,"&gt;="&amp;AF$2,FECHA_BOV1,"&lt;="&amp;AF$3,CLAVE_BOV1,$A312)+SUMIFS(SALIDAS_BOV2,FECHA_BOV2,"&gt;="&amp;AF$2,FECHA_BOV2,"&lt;="&amp;AF$3,CLAVE_BOV2,$A312)+SUMIFS(SALIDAS_BOV3,FECHA_BOV3,"&gt;="&amp;AF$2,FECHA_BOV3,"&lt;="&amp;AF$3,CLAVE_BOV3,$A312)+SUMIFS(SALIDAS_TC,FECHA_TC,"&gt;="&amp;AF$2,FECHA_TC,"&lt;="&amp;AF$3,CLAVE_TC,$A312)+SUMIFS(SALIDAS_COMB,FECHA_COMB,"&gt;="&amp;AF$2,FECHA_COMB,"&lt;="&amp;AF$3,CLAVE_COMB,$A312)+SUMIFS(SALIDAS_DES,FECHA_DESGLOSEN,"&gt;="&amp;AF$2,FECHA_DESGLOSEN,"&lt;="&amp;AF$3,CLAVE_DESGLOSE,$A312)</f>
        <v>0</v>
      </c>
      <c r="AG312" s="162">
        <f>SUMIFS(SALIDAS_BIT,FECHA_BIT,"&gt;="&amp;AG$2,FECHA_BIT,"&lt;="&amp;AG$3,CLAVE_BIT,$A312)+SUMIFS(SALIDAS_BOV1,FECHA_BOV1,"&gt;="&amp;AG$2,FECHA_BOV1,"&lt;="&amp;AG$3,CLAVE_BOV1,$A312)+SUMIFS(SALIDAS_BOV2,FECHA_BOV2,"&gt;="&amp;AG$2,FECHA_BOV2,"&lt;="&amp;AG$3,CLAVE_BOV2,$A312)+SUMIFS(SALIDAS_BOV3,FECHA_BOV3,"&gt;="&amp;AG$2,FECHA_BOV3,"&lt;="&amp;AG$3,CLAVE_BOV3,$A312)+SUMIFS(SALIDAS_TC,FECHA_TC,"&gt;="&amp;AG$2,FECHA_TC,"&lt;="&amp;AG$3,CLAVE_TC,$A312)+SUMIFS(SALIDAS_COMB,FECHA_COMB,"&gt;="&amp;AG$2,FECHA_COMB,"&lt;="&amp;AG$3,CLAVE_COMB,$A312)+SUMIFS(SALIDAS_DES,FECHA_DESGLOSEN,"&gt;="&amp;AG$2,FECHA_DESGLOSEN,"&lt;="&amp;AG$3,CLAVE_DESGLOSE,$A312)</f>
        <v>0</v>
      </c>
      <c r="AH312" s="162">
        <f>SUMIFS(SALIDAS_BIT,FECHA_BIT,"&gt;="&amp;AH$2,FECHA_BIT,"&lt;="&amp;AH$3,CLAVE_BIT,$A312)+SUMIFS(SALIDAS_BOV1,FECHA_BOV1,"&gt;="&amp;AH$2,FECHA_BOV1,"&lt;="&amp;AH$3,CLAVE_BOV1,$A312)+SUMIFS(SALIDAS_BOV2,FECHA_BOV2,"&gt;="&amp;AH$2,FECHA_BOV2,"&lt;="&amp;AH$3,CLAVE_BOV2,$A312)+SUMIFS(SALIDAS_BOV3,FECHA_BOV3,"&gt;="&amp;AH$2,FECHA_BOV3,"&lt;="&amp;AH$3,CLAVE_BOV3,$A312)+SUMIFS(SALIDAS_TC,FECHA_TC,"&gt;="&amp;AH$2,FECHA_TC,"&lt;="&amp;AH$3,CLAVE_TC,$A312)+SUMIFS(SALIDAS_COMB,FECHA_COMB,"&gt;="&amp;AH$2,FECHA_COMB,"&lt;="&amp;AH$3,CLAVE_COMB,$A312)+SUMIFS(SALIDAS_DES,FECHA_DESGLOSEN,"&gt;="&amp;AH$2,FECHA_DESGLOSEN,"&lt;="&amp;AH$3,CLAVE_DESGLOSE,$A312)</f>
        <v>0</v>
      </c>
      <c r="AI312" s="162">
        <f>SUMIFS(SALIDAS_BIT,FECHA_BIT,"&gt;="&amp;AI$2,FECHA_BIT,"&lt;="&amp;AI$3,CLAVE_BIT,$A312)+SUMIFS(SALIDAS_BOV1,FECHA_BOV1,"&gt;="&amp;AI$2,FECHA_BOV1,"&lt;="&amp;AI$3,CLAVE_BOV1,$A312)+SUMIFS(SALIDAS_BOV2,FECHA_BOV2,"&gt;="&amp;AI$2,FECHA_BOV2,"&lt;="&amp;AI$3,CLAVE_BOV2,$A312)+SUMIFS(SALIDAS_BOV3,FECHA_BOV3,"&gt;="&amp;AI$2,FECHA_BOV3,"&lt;="&amp;AI$3,CLAVE_BOV3,$A312)+SUMIFS(SALIDAS_TC,FECHA_TC,"&gt;="&amp;AI$2,FECHA_TC,"&lt;="&amp;AI$3,CLAVE_TC,$A312)+SUMIFS(SALIDAS_COMB,FECHA_COMB,"&gt;="&amp;AI$2,FECHA_COMB,"&lt;="&amp;AI$3,CLAVE_COMB,$A312)+SUMIFS(SALIDAS_DES,FECHA_DESGLOSEN,"&gt;="&amp;AI$2,FECHA_DESGLOSEN,"&lt;="&amp;AI$3,CLAVE_DESGLOSE,$A312)</f>
        <v>1500</v>
      </c>
      <c r="AJ312" s="162">
        <f>SUMIFS(SALIDAS_BIT,FECHA_BIT,"&gt;="&amp;AJ$2,FECHA_BIT,"&lt;="&amp;AJ$3,CLAVE_BIT,$A312)+SUMIFS(SALIDAS_BOV1,FECHA_BOV1,"&gt;="&amp;AJ$2,FECHA_BOV1,"&lt;="&amp;AJ$3,CLAVE_BOV1,$A312)+SUMIFS(SALIDAS_BOV2,FECHA_BOV2,"&gt;="&amp;AJ$2,FECHA_BOV2,"&lt;="&amp;AJ$3,CLAVE_BOV2,$A312)+SUMIFS(SALIDAS_BOV3,FECHA_BOV3,"&gt;="&amp;AJ$2,FECHA_BOV3,"&lt;="&amp;AJ$3,CLAVE_BOV3,$A312)+SUMIFS(SALIDAS_TC,FECHA_TC,"&gt;="&amp;AJ$2,FECHA_TC,"&lt;="&amp;AJ$3,CLAVE_TC,$A312)+SUMIFS(SALIDAS_COMB,FECHA_COMB,"&gt;="&amp;AJ$2,FECHA_COMB,"&lt;="&amp;AJ$3,CLAVE_COMB,$A312)+SUMIFS(SALIDAS_DES,FECHA_DESGLOSEN,"&gt;="&amp;AJ$2,FECHA_DESGLOSEN,"&lt;="&amp;AJ$3,CLAVE_DESGLOSE,$A312)</f>
        <v>1500</v>
      </c>
      <c r="AK312" s="227">
        <f>AE312-AJ312</f>
        <v>-1500</v>
      </c>
      <c r="AL312" s="301">
        <f>IFERROR((AJ312/AE312),0)</f>
        <v>0</v>
      </c>
      <c r="AM312" s="162">
        <f>VLOOKUP($A312,T_PRESUPUESTO,MATCH(AM$6,E_PRESUPUESTO,0),FALSE)</f>
        <v>0</v>
      </c>
      <c r="AN312" s="162">
        <f>SUMIFS(SALIDAS_BIT,FECHA_BIT,"&gt;="&amp;AN$2,FECHA_BIT,"&lt;="&amp;AN$3,CLAVE_BIT,$A312)+SUMIFS(SALIDAS_BOV1,FECHA_BOV1,"&gt;="&amp;AN$2,FECHA_BOV1,"&lt;="&amp;AN$3,CLAVE_BOV1,$A312)+SUMIFS(SALIDAS_BOV2,FECHA_BOV2,"&gt;="&amp;AN$2,FECHA_BOV2,"&lt;="&amp;AN$3,CLAVE_BOV2,$A312)+SUMIFS(SALIDAS_BOV3,FECHA_BOV3,"&gt;="&amp;AN$2,FECHA_BOV3,"&lt;="&amp;AN$3,CLAVE_BOV3,$A312)+SUMIFS(SALIDAS_TC,FECHA_TC,"&gt;="&amp;AN$2,FECHA_TC,"&lt;="&amp;AN$3,CLAVE_TC,$A312)+SUMIFS(SALIDAS_COMB,FECHA_COMB,"&gt;="&amp;AN$2,FECHA_COMB,"&lt;="&amp;AN$3,CLAVE_COMB,$A312)+SUMIFS(SALIDAS_DES,FECHA_DESGLOSEN,"&gt;="&amp;AN$2,FECHA_DESGLOSEN,"&lt;="&amp;AN$3,CLAVE_DESGLOSE,$A312)</f>
        <v>1499</v>
      </c>
      <c r="AO312" s="162">
        <f>SUMIFS(SALIDAS_BIT,FECHA_BIT,"&gt;="&amp;AO$2,FECHA_BIT,"&lt;="&amp;AO$3,CLAVE_BIT,$A312)+SUMIFS(SALIDAS_BOV1,FECHA_BOV1,"&gt;="&amp;AO$2,FECHA_BOV1,"&lt;="&amp;AO$3,CLAVE_BOV1,$A312)+SUMIFS(SALIDAS_BOV2,FECHA_BOV2,"&gt;="&amp;AO$2,FECHA_BOV2,"&lt;="&amp;AO$3,CLAVE_BOV2,$A312)+SUMIFS(SALIDAS_BOV3,FECHA_BOV3,"&gt;="&amp;AO$2,FECHA_BOV3,"&lt;="&amp;AO$3,CLAVE_BOV3,$A312)+SUMIFS(SALIDAS_TC,FECHA_TC,"&gt;="&amp;AO$2,FECHA_TC,"&lt;="&amp;AO$3,CLAVE_TC,$A312)+SUMIFS(SALIDAS_COMB,FECHA_COMB,"&gt;="&amp;AO$2,FECHA_COMB,"&lt;="&amp;AO$3,CLAVE_COMB,$A312)+SUMIFS(SALIDAS_DES,FECHA_DESGLOSEN,"&gt;="&amp;AO$2,FECHA_DESGLOSEN,"&lt;="&amp;AO$3,CLAVE_DESGLOSE,$A312)</f>
        <v>0</v>
      </c>
      <c r="AP312" s="162">
        <f>SUMIFS(SALIDAS_BIT,FECHA_BIT,"&gt;="&amp;AP$2,FECHA_BIT,"&lt;="&amp;AP$3,CLAVE_BIT,$A312)+SUMIFS(SALIDAS_BOV1,FECHA_BOV1,"&gt;="&amp;AP$2,FECHA_BOV1,"&lt;="&amp;AP$3,CLAVE_BOV1,$A312)+SUMIFS(SALIDAS_BOV2,FECHA_BOV2,"&gt;="&amp;AP$2,FECHA_BOV2,"&lt;="&amp;AP$3,CLAVE_BOV2,$A312)+SUMIFS(SALIDAS_BOV3,FECHA_BOV3,"&gt;="&amp;AP$2,FECHA_BOV3,"&lt;="&amp;AP$3,CLAVE_BOV3,$A312)+SUMIFS(SALIDAS_TC,FECHA_TC,"&gt;="&amp;AP$2,FECHA_TC,"&lt;="&amp;AP$3,CLAVE_TC,$A312)+SUMIFS(SALIDAS_COMB,FECHA_COMB,"&gt;="&amp;AP$2,FECHA_COMB,"&lt;="&amp;AP$3,CLAVE_COMB,$A312)+SUMIFS(SALIDAS_DES,FECHA_DESGLOSEN,"&gt;="&amp;AP$2,FECHA_DESGLOSEN,"&lt;="&amp;AP$3,CLAVE_DESGLOSE,$A312)</f>
        <v>0</v>
      </c>
      <c r="AQ312" s="162">
        <f>SUMIFS(SALIDAS_BIT,FECHA_BIT,"&gt;="&amp;AQ$2,FECHA_BIT,"&lt;="&amp;AQ$3,CLAVE_BIT,$A312)+SUMIFS(SALIDAS_BOV1,FECHA_BOV1,"&gt;="&amp;AQ$2,FECHA_BOV1,"&lt;="&amp;AQ$3,CLAVE_BOV1,$A312)+SUMIFS(SALIDAS_BOV2,FECHA_BOV2,"&gt;="&amp;AQ$2,FECHA_BOV2,"&lt;="&amp;AQ$3,CLAVE_BOV2,$A312)+SUMIFS(SALIDAS_BOV3,FECHA_BOV3,"&gt;="&amp;AQ$2,FECHA_BOV3,"&lt;="&amp;AQ$3,CLAVE_BOV3,$A312)+SUMIFS(SALIDAS_TC,FECHA_TC,"&gt;="&amp;AQ$2,FECHA_TC,"&lt;="&amp;AQ$3,CLAVE_TC,$A312)+SUMIFS(SALIDAS_COMB,FECHA_COMB,"&gt;="&amp;AQ$2,FECHA_COMB,"&lt;="&amp;AQ$3,CLAVE_COMB,$A312)+SUMIFS(SALIDAS_DES,FECHA_DESGLOSEN,"&gt;="&amp;AQ$2,FECHA_DESGLOSEN,"&lt;="&amp;AQ$3,CLAVE_DESGLOSE,$A312)</f>
        <v>0</v>
      </c>
      <c r="AR312" s="162">
        <f>SUMIFS(SALIDAS_BIT,FECHA_BIT,"&gt;="&amp;AR$2,FECHA_BIT,"&lt;="&amp;AR$3,CLAVE_BIT,$A312)+SUMIFS(SALIDAS_BOV1,FECHA_BOV1,"&gt;="&amp;AR$2,FECHA_BOV1,"&lt;="&amp;AR$3,CLAVE_BOV1,$A312)+SUMIFS(SALIDAS_BOV2,FECHA_BOV2,"&gt;="&amp;AR$2,FECHA_BOV2,"&lt;="&amp;AR$3,CLAVE_BOV2,$A312)+SUMIFS(SALIDAS_BOV3,FECHA_BOV3,"&gt;="&amp;AR$2,FECHA_BOV3,"&lt;="&amp;AR$3,CLAVE_BOV3,$A312)+SUMIFS(SALIDAS_TC,FECHA_TC,"&gt;="&amp;AR$2,FECHA_TC,"&lt;="&amp;AR$3,CLAVE_TC,$A312)+SUMIFS(SALIDAS_COMB,FECHA_COMB,"&gt;="&amp;AR$2,FECHA_COMB,"&lt;="&amp;AR$3,CLAVE_COMB,$A312)+SUMIFS(SALIDAS_DES,FECHA_DESGLOSEN,"&gt;="&amp;AR$2,FECHA_DESGLOSEN,"&lt;="&amp;AR$3,CLAVE_DESGLOSE,$A312)</f>
        <v>0</v>
      </c>
      <c r="AS312" s="162">
        <f>SUMIFS(SALIDAS_BIT,FECHA_BIT,"&gt;="&amp;AS$2,FECHA_BIT,"&lt;="&amp;AS$3,CLAVE_BIT,$A312)+SUMIFS(SALIDAS_BOV1,FECHA_BOV1,"&gt;="&amp;AS$2,FECHA_BOV1,"&lt;="&amp;AS$3,CLAVE_BOV1,$A312)+SUMIFS(SALIDAS_BOV2,FECHA_BOV2,"&gt;="&amp;AS$2,FECHA_BOV2,"&lt;="&amp;AS$3,CLAVE_BOV2,$A312)+SUMIFS(SALIDAS_BOV3,FECHA_BOV3,"&gt;="&amp;AS$2,FECHA_BOV3,"&lt;="&amp;AS$3,CLAVE_BOV3,$A312)+SUMIFS(SALIDAS_TC,FECHA_TC,"&gt;="&amp;AS$2,FECHA_TC,"&lt;="&amp;AS$3,CLAVE_TC,$A312)+SUMIFS(SALIDAS_COMB,FECHA_COMB,"&gt;="&amp;AS$2,FECHA_COMB,"&lt;="&amp;AS$3,CLAVE_COMB,$A312)+SUMIFS(SALIDAS_DES,FECHA_DESGLOSEN,"&gt;="&amp;AS$2,FECHA_DESGLOSEN,"&lt;="&amp;AS$3,CLAVE_DESGLOSE,$A312)</f>
        <v>1499</v>
      </c>
      <c r="AT312" s="227">
        <f>AM312-AS312</f>
        <v>-1499</v>
      </c>
      <c r="AU312" s="301">
        <f>IFERROR((AS312/AM312),0)</f>
        <v>0</v>
      </c>
      <c r="AV312" s="162">
        <f>VLOOKUP($A312,T_PRESUPUESTO,MATCH(AV$6,E_PRESUPUESTO,0),FALSE)</f>
        <v>0</v>
      </c>
      <c r="AW312" s="13">
        <f t="shared" si="611"/>
        <v>0</v>
      </c>
      <c r="AX312" s="13">
        <f t="shared" si="611"/>
        <v>0</v>
      </c>
      <c r="AY312" s="13">
        <f t="shared" si="611"/>
        <v>0</v>
      </c>
      <c r="AZ312" s="13">
        <f t="shared" si="611"/>
        <v>0</v>
      </c>
      <c r="BA312" s="13">
        <f t="shared" si="475"/>
        <v>0</v>
      </c>
      <c r="BB312" s="227">
        <f>AV312-BA312</f>
        <v>0</v>
      </c>
      <c r="BC312" s="301">
        <f>IFERROR((BA312/AV312),0)</f>
        <v>0</v>
      </c>
      <c r="BD312" s="162">
        <f>VLOOKUP($A312,T_PRESUPUESTO,MATCH(BD$6,E_PRESUPUESTO,0),FALSE)</f>
        <v>0</v>
      </c>
      <c r="BE312" s="13">
        <f>SUMIFS(SALIDAS_BIT,FECHA_BIT,"&gt;="&amp;BE$2,FECHA_BIT,"&lt;="&amp;BE$3,CLAVE_BIT,$A312)+SUMIFS(SALIDAS_BOV1,FECHA_BOV1,"&gt;="&amp;BE$2,FECHA_BOV1,"&lt;="&amp;BE$3,CLAVE_BOV1,$A312)+SUMIFS(SALIDAS_BOV2,FECHA_BOV2,"&gt;="&amp;BE$2,FECHA_BOV2,"&lt;="&amp;BE$3,CLAVE_BOV2,$A312)+SUMIFS(SALIDAS_BOV3,FECHA_BOV3,"&gt;="&amp;BE$2,FECHA_BOV3,"&lt;="&amp;BE$3,CLAVE_BOV3,$A312)+SUMIFS(SALIDAS_TC,FECHA_TC,"&gt;="&amp;BE$2,FECHA_TC,"&lt;="&amp;BE$3,CLAVE_TC,$A312)+SUMIFS(SALIDAS_COMB,FECHA_COMB,"&gt;="&amp;BE$2,FECHA_COMB,"&lt;="&amp;BE$3,CLAVE_COMB,$A312)+SUMIFS(SALIDAS_DES,FECHA_DESGLOSEN,"&gt;="&amp;BE$2,FECHA_DESGLOSEN,"&lt;="&amp;BE$3,CLAVE_DESGLOSE,$A312)</f>
        <v>0</v>
      </c>
      <c r="BF312" s="13">
        <f>SUMIFS(SALIDAS_BIT,FECHA_BIT,"&gt;="&amp;BF$2,FECHA_BIT,"&lt;="&amp;BF$3,CLAVE_BIT,$A312)+SUMIFS(SALIDAS_BOV1,FECHA_BOV1,"&gt;="&amp;BF$2,FECHA_BOV1,"&lt;="&amp;BF$3,CLAVE_BOV1,$A312)+SUMIFS(SALIDAS_BOV2,FECHA_BOV2,"&gt;="&amp;BF$2,FECHA_BOV2,"&lt;="&amp;BF$3,CLAVE_BOV2,$A312)+SUMIFS(SALIDAS_BOV3,FECHA_BOV3,"&gt;="&amp;BF$2,FECHA_BOV3,"&lt;="&amp;BF$3,CLAVE_BOV3,$A312)+SUMIFS(SALIDAS_TC,FECHA_TC,"&gt;="&amp;BF$2,FECHA_TC,"&lt;="&amp;BF$3,CLAVE_TC,$A312)+SUMIFS(SALIDAS_COMB,FECHA_COMB,"&gt;="&amp;BF$2,FECHA_COMB,"&lt;="&amp;BF$3,CLAVE_COMB,$A312)+SUMIFS(SALIDAS_DES,FECHA_DESGLOSEN,"&gt;="&amp;BF$2,FECHA_DESGLOSEN,"&lt;="&amp;BF$3,CLAVE_DESGLOSE,$A312)</f>
        <v>0</v>
      </c>
      <c r="BG312" s="13">
        <f>SUMIFS(SALIDAS_BIT,FECHA_BIT,"&gt;="&amp;BG$2,FECHA_BIT,"&lt;="&amp;BG$3,CLAVE_BIT,$A312)+SUMIFS(SALIDAS_BOV1,FECHA_BOV1,"&gt;="&amp;BG$2,FECHA_BOV1,"&lt;="&amp;BG$3,CLAVE_BOV1,$A312)+SUMIFS(SALIDAS_BOV2,FECHA_BOV2,"&gt;="&amp;BG$2,FECHA_BOV2,"&lt;="&amp;BG$3,CLAVE_BOV2,$A312)+SUMIFS(SALIDAS_BOV3,FECHA_BOV3,"&gt;="&amp;BG$2,FECHA_BOV3,"&lt;="&amp;BG$3,CLAVE_BOV3,$A312)+SUMIFS(SALIDAS_TC,FECHA_TC,"&gt;="&amp;BG$2,FECHA_TC,"&lt;="&amp;BG$3,CLAVE_TC,$A312)+SUMIFS(SALIDAS_COMB,FECHA_COMB,"&gt;="&amp;BG$2,FECHA_COMB,"&lt;="&amp;BG$3,CLAVE_COMB,$A312)+SUMIFS(SALIDAS_DES,FECHA_DESGLOSEN,"&gt;="&amp;BG$2,FECHA_DESGLOSEN,"&lt;="&amp;BG$3,CLAVE_DESGLOSE,$A312)</f>
        <v>0</v>
      </c>
      <c r="BH312" s="13">
        <f>SUMIFS(SALIDAS_BIT,FECHA_BIT,"&gt;="&amp;BH$2,FECHA_BIT,"&lt;="&amp;BH$3,CLAVE_BIT,$A312)+SUMIFS(SALIDAS_BOV1,FECHA_BOV1,"&gt;="&amp;BH$2,FECHA_BOV1,"&lt;="&amp;BH$3,CLAVE_BOV1,$A312)+SUMIFS(SALIDAS_BOV2,FECHA_BOV2,"&gt;="&amp;BH$2,FECHA_BOV2,"&lt;="&amp;BH$3,CLAVE_BOV2,$A312)+SUMIFS(SALIDAS_BOV3,FECHA_BOV3,"&gt;="&amp;BH$2,FECHA_BOV3,"&lt;="&amp;BH$3,CLAVE_BOV3,$A312)+SUMIFS(SALIDAS_TC,FECHA_TC,"&gt;="&amp;BH$2,FECHA_TC,"&lt;="&amp;BH$3,CLAVE_TC,$A312)+SUMIFS(SALIDAS_COMB,FECHA_COMB,"&gt;="&amp;BH$2,FECHA_COMB,"&lt;="&amp;BH$3,CLAVE_COMB,$A312)+SUMIFS(SALIDAS_DES,FECHA_DESGLOSEN,"&gt;="&amp;BH$2,FECHA_DESGLOSEN,"&lt;="&amp;BH$3,CLAVE_DESGLOSE,$A312)</f>
        <v>350</v>
      </c>
      <c r="BI312" s="162">
        <f>SUMIFS(SALIDAS_BIT,FECHA_BIT,"&gt;="&amp;BI$2,FECHA_BIT,"&lt;="&amp;BI$3,CLAVE_BIT,$A312)+SUMIFS(SALIDAS_BOV1,FECHA_BOV1,"&gt;="&amp;BI$2,FECHA_BOV1,"&lt;="&amp;BI$3,CLAVE_BOV1,$A312)+SUMIFS(SALIDAS_BOV2,FECHA_BOV2,"&gt;="&amp;BI$2,FECHA_BOV2,"&lt;="&amp;BI$3,CLAVE_BOV2,$A312)+SUMIFS(SALIDAS_BOV3,FECHA_BOV3,"&gt;="&amp;BI$2,FECHA_BOV3,"&lt;="&amp;BI$3,CLAVE_BOV3,$A312)+SUMIFS(SALIDAS_TC,FECHA_TC,"&gt;="&amp;BI$2,FECHA_TC,"&lt;="&amp;BI$3,CLAVE_TC,$A312)+SUMIFS(SALIDAS_COMB,FECHA_COMB,"&gt;="&amp;BI$2,FECHA_COMB,"&lt;="&amp;BI$3,CLAVE_COMB,$A312)+SUMIFS(SALIDAS_DES,FECHA_DESGLOSEN,"&gt;="&amp;BI$2,FECHA_DESGLOSEN,"&lt;="&amp;BI$3,CLAVE_DESGLOSE,$A312)</f>
        <v>350</v>
      </c>
      <c r="BJ312" s="227">
        <f>BD312-BI312</f>
        <v>-350</v>
      </c>
      <c r="BK312" s="301">
        <f>IFERROR((BI312/BD312),0)</f>
        <v>0</v>
      </c>
      <c r="BL312" s="162">
        <f>VLOOKUP($A312,T_PRESUPUESTO,MATCH(BL$6,E_PRESUPUESTO,0),FALSE)</f>
        <v>0</v>
      </c>
      <c r="BM312" s="13">
        <f>SUMIFS(SALIDAS_BIT,FECHA_BIT,"&gt;="&amp;BM$2,FECHA_BIT,"&lt;="&amp;BM$3,CLAVE_BIT,$A312)+SUMIFS(SALIDAS_BOV1,FECHA_BOV1,"&gt;="&amp;BM$2,FECHA_BOV1,"&lt;="&amp;BM$3,CLAVE_BOV1,$A312)+SUMIFS(SALIDAS_BOV2,FECHA_BOV2,"&gt;="&amp;BM$2,FECHA_BOV2,"&lt;="&amp;BM$3,CLAVE_BOV2,$A312)+SUMIFS(SALIDAS_BOV3,FECHA_BOV3,"&gt;="&amp;BM$2,FECHA_BOV3,"&lt;="&amp;BM$3,CLAVE_BOV3,$A312)+SUMIFS(SALIDAS_TC,FECHA_TC,"&gt;="&amp;BM$2,FECHA_TC,"&lt;="&amp;BM$3,CLAVE_TC,$A312)+SUMIFS(SALIDAS_COMB,FECHA_COMB,"&gt;="&amp;BM$2,FECHA_COMB,"&lt;="&amp;BM$3,CLAVE_COMB,$A312)+SUMIFS(SALIDAS_DES,FECHA_DESGLOSEN,"&gt;="&amp;BM$2,FECHA_DESGLOSEN,"&lt;="&amp;BM$3,CLAVE_DESGLOSE,$A312)</f>
        <v>0</v>
      </c>
      <c r="BN312" s="13">
        <f>SUMIFS(SALIDAS_BIT,FECHA_BIT,"&gt;="&amp;BN$2,FECHA_BIT,"&lt;="&amp;BN$3,CLAVE_BIT,$A312)+SUMIFS(SALIDAS_BOV1,FECHA_BOV1,"&gt;="&amp;BN$2,FECHA_BOV1,"&lt;="&amp;BN$3,CLAVE_BOV1,$A312)+SUMIFS(SALIDAS_BOV2,FECHA_BOV2,"&gt;="&amp;BN$2,FECHA_BOV2,"&lt;="&amp;BN$3,CLAVE_BOV2,$A312)+SUMIFS(SALIDAS_BOV3,FECHA_BOV3,"&gt;="&amp;BN$2,FECHA_BOV3,"&lt;="&amp;BN$3,CLAVE_BOV3,$A312)+SUMIFS(SALIDAS_TC,FECHA_TC,"&gt;="&amp;BN$2,FECHA_TC,"&lt;="&amp;BN$3,CLAVE_TC,$A312)+SUMIFS(SALIDAS_COMB,FECHA_COMB,"&gt;="&amp;BN$2,FECHA_COMB,"&lt;="&amp;BN$3,CLAVE_COMB,$A312)+SUMIFS(SALIDAS_DES,FECHA_DESGLOSEN,"&gt;="&amp;BN$2,FECHA_DESGLOSEN,"&lt;="&amp;BN$3,CLAVE_DESGLOSE,$A312)</f>
        <v>0</v>
      </c>
      <c r="BO312" s="13">
        <f>SUMIFS(SALIDAS_BIT,FECHA_BIT,"&gt;="&amp;BO$2,FECHA_BIT,"&lt;="&amp;BO$3,CLAVE_BIT,$A312)+SUMIFS(SALIDAS_BOV1,FECHA_BOV1,"&gt;="&amp;BO$2,FECHA_BOV1,"&lt;="&amp;BO$3,CLAVE_BOV1,$A312)+SUMIFS(SALIDAS_BOV2,FECHA_BOV2,"&gt;="&amp;BO$2,FECHA_BOV2,"&lt;="&amp;BO$3,CLAVE_BOV2,$A312)+SUMIFS(SALIDAS_BOV3,FECHA_BOV3,"&gt;="&amp;BO$2,FECHA_BOV3,"&lt;="&amp;BO$3,CLAVE_BOV3,$A312)+SUMIFS(SALIDAS_TC,FECHA_TC,"&gt;="&amp;BO$2,FECHA_TC,"&lt;="&amp;BO$3,CLAVE_TC,$A312)+SUMIFS(SALIDAS_COMB,FECHA_COMB,"&gt;="&amp;BO$2,FECHA_COMB,"&lt;="&amp;BO$3,CLAVE_COMB,$A312)+SUMIFS(SALIDAS_DES,FECHA_DESGLOSEN,"&gt;="&amp;BO$2,FECHA_DESGLOSEN,"&lt;="&amp;BO$3,CLAVE_DESGLOSE,$A312)</f>
        <v>0</v>
      </c>
      <c r="BP312" s="13">
        <f>SUMIFS(SALIDAS_BIT,FECHA_BIT,"&gt;="&amp;BP$2,FECHA_BIT,"&lt;="&amp;BP$3,CLAVE_BIT,$A312)+SUMIFS(SALIDAS_BOV1,FECHA_BOV1,"&gt;="&amp;BP$2,FECHA_BOV1,"&lt;="&amp;BP$3,CLAVE_BOV1,$A312)+SUMIFS(SALIDAS_BOV2,FECHA_BOV2,"&gt;="&amp;BP$2,FECHA_BOV2,"&lt;="&amp;BP$3,CLAVE_BOV2,$A312)+SUMIFS(SALIDAS_BOV3,FECHA_BOV3,"&gt;="&amp;BP$2,FECHA_BOV3,"&lt;="&amp;BP$3,CLAVE_BOV3,$A312)+SUMIFS(SALIDAS_TC,FECHA_TC,"&gt;="&amp;BP$2,FECHA_TC,"&lt;="&amp;BP$3,CLAVE_TC,$A312)+SUMIFS(SALIDAS_COMB,FECHA_COMB,"&gt;="&amp;BP$2,FECHA_COMB,"&lt;="&amp;BP$3,CLAVE_COMB,$A312)+SUMIFS(SALIDAS_DES,FECHA_DESGLOSEN,"&gt;="&amp;BP$2,FECHA_DESGLOSEN,"&lt;="&amp;BP$3,CLAVE_DESGLOSE,$A312)</f>
        <v>0</v>
      </c>
      <c r="BQ312" s="13">
        <f>SUMIFS(SALIDAS_BIT,FECHA_BIT,"&gt;="&amp;BQ$2,FECHA_BIT,"&lt;="&amp;BQ$3,CLAVE_BIT,$A312)+SUMIFS(SALIDAS_BOV1,FECHA_BOV1,"&gt;="&amp;BQ$2,FECHA_BOV1,"&lt;="&amp;BQ$3,CLAVE_BOV1,$A312)+SUMIFS(SALIDAS_BOV2,FECHA_BOV2,"&gt;="&amp;BQ$2,FECHA_BOV2,"&lt;="&amp;BQ$3,CLAVE_BOV2,$A312)+SUMIFS(SALIDAS_BOV3,FECHA_BOV3,"&gt;="&amp;BQ$2,FECHA_BOV3,"&lt;="&amp;BQ$3,CLAVE_BOV3,$A312)+SUMIFS(SALIDAS_TC,FECHA_TC,"&gt;="&amp;BQ$2,FECHA_TC,"&lt;="&amp;BQ$3,CLAVE_TC,$A312)+SUMIFS(SALIDAS_COMB,FECHA_COMB,"&gt;="&amp;BQ$2,FECHA_COMB,"&lt;="&amp;BQ$3,CLAVE_COMB,$A312)+SUMIFS(SALIDAS_DES,FECHA_DESGLOSEN,"&gt;="&amp;BQ$2,FECHA_DESGLOSEN,"&lt;="&amp;BQ$3,CLAVE_DESGLOSE,$A312)</f>
        <v>0</v>
      </c>
      <c r="BR312" s="162">
        <f>SUMIFS(SALIDAS_BIT,FECHA_BIT,"&gt;="&amp;BR$2,FECHA_BIT,"&lt;="&amp;BR$3,CLAVE_BIT,$A312)+SUMIFS(SALIDAS_BOV1,FECHA_BOV1,"&gt;="&amp;BR$2,FECHA_BOV1,"&lt;="&amp;BR$3,CLAVE_BOV1,$A312)+SUMIFS(SALIDAS_BOV2,FECHA_BOV2,"&gt;="&amp;BR$2,FECHA_BOV2,"&lt;="&amp;BR$3,CLAVE_BOV2,$A312)+SUMIFS(SALIDAS_BOV3,FECHA_BOV3,"&gt;="&amp;BR$2,FECHA_BOV3,"&lt;="&amp;BR$3,CLAVE_BOV3,$A312)+SUMIFS(SALIDAS_TC,FECHA_TC,"&gt;="&amp;BR$2,FECHA_TC,"&lt;="&amp;BR$3,CLAVE_TC,$A312)+SUMIFS(SALIDAS_COMB,FECHA_COMB,"&gt;="&amp;BR$2,FECHA_COMB,"&lt;="&amp;BR$3,CLAVE_COMB,$A312)+SUMIFS(SALIDAS_DES,FECHA_DESGLOSEN,"&gt;="&amp;BR$2,FECHA_DESGLOSEN,"&lt;="&amp;BR$3,CLAVE_DESGLOSE,$A312)</f>
        <v>0</v>
      </c>
      <c r="BS312" s="227">
        <f>BL312-BR312</f>
        <v>0</v>
      </c>
      <c r="BT312" s="301">
        <f>IFERROR((BR312/BL312),0)</f>
        <v>0</v>
      </c>
      <c r="BU312" s="162">
        <f>VLOOKUP($A312,T_PRESUPUESTO,MATCH(BU$6,E_PRESUPUESTO,0),FALSE)</f>
        <v>0</v>
      </c>
      <c r="BV312" s="13">
        <f t="shared" si="485"/>
        <v>0</v>
      </c>
      <c r="BW312" s="13">
        <f t="shared" si="485"/>
        <v>0</v>
      </c>
      <c r="BX312" s="13">
        <f t="shared" si="485"/>
        <v>0</v>
      </c>
      <c r="BY312" s="13">
        <f t="shared" si="485"/>
        <v>0</v>
      </c>
      <c r="BZ312" s="162">
        <f>SUMIFS(SALIDAS_BIT,FECHA_BIT,"&gt;="&amp;BZ$2,FECHA_BIT,"&lt;="&amp;BZ$3,CLAVE_BIT,$A312)+SUMIFS(SALIDAS_BOV1,FECHA_BOV1,"&gt;="&amp;BZ$2,FECHA_BOV1,"&lt;="&amp;BZ$3,CLAVE_BOV1,$A312)+SUMIFS(SALIDAS_BOV2,FECHA_BOV2,"&gt;="&amp;BZ$2,FECHA_BOV2,"&lt;="&amp;BZ$3,CLAVE_BOV2,$A312)+SUMIFS(SALIDAS_BOV3,FECHA_BOV3,"&gt;="&amp;BZ$2,FECHA_BOV3,"&lt;="&amp;BZ$3,CLAVE_BOV3,$A312)+SUMIFS(SALIDAS_TC,FECHA_TC,"&gt;="&amp;BZ$2,FECHA_TC,"&lt;="&amp;BZ$3,CLAVE_TC,$A312)+SUMIFS(SALIDAS_COMB,FECHA_COMB,"&gt;="&amp;BZ$2,FECHA_COMB,"&lt;="&amp;BZ$3,CLAVE_COMB,$A312)+SUMIFS(SALIDAS_DES,FECHA_DESGLOSEN,"&gt;="&amp;BZ$2,FECHA_DESGLOSEN,"&lt;="&amp;BZ$3,CLAVE_DESGLOSE,$A312)</f>
        <v>0</v>
      </c>
      <c r="CA312" s="227">
        <f>BU312-BZ312</f>
        <v>0</v>
      </c>
      <c r="CB312" s="301">
        <f>IFERROR((BZ312/BU312),0)</f>
        <v>0</v>
      </c>
      <c r="CC312" s="162">
        <f>VLOOKUP($A312,T_PRESUPUESTO,MATCH(CC$6,E_PRESUPUESTO,0),FALSE)</f>
        <v>0</v>
      </c>
      <c r="CD312" s="13">
        <f t="shared" si="486"/>
        <v>0</v>
      </c>
      <c r="CE312" s="13">
        <f t="shared" si="486"/>
        <v>0</v>
      </c>
      <c r="CF312" s="13">
        <f t="shared" si="486"/>
        <v>0</v>
      </c>
      <c r="CG312" s="13">
        <f t="shared" si="486"/>
        <v>0</v>
      </c>
      <c r="CH312" s="162">
        <f>SUMIFS(SALIDAS_BIT,FECHA_BIT,"&gt;="&amp;CH$2,FECHA_BIT,"&lt;="&amp;CH$3,CLAVE_BIT,$A312)+SUMIFS(SALIDAS_BOV1,FECHA_BOV1,"&gt;="&amp;CH$2,FECHA_BOV1,"&lt;="&amp;CH$3,CLAVE_BOV1,$A312)+SUMIFS(SALIDAS_BOV2,FECHA_BOV2,"&gt;="&amp;CH$2,FECHA_BOV2,"&lt;="&amp;CH$3,CLAVE_BOV2,$A312)+SUMIFS(SALIDAS_BOV3,FECHA_BOV3,"&gt;="&amp;CH$2,FECHA_BOV3,"&lt;="&amp;CH$3,CLAVE_BOV3,$A312)+SUMIFS(SALIDAS_TC,FECHA_TC,"&gt;="&amp;CH$2,FECHA_TC,"&lt;="&amp;CH$3,CLAVE_TC,$A312)+SUMIFS(SALIDAS_COMB,FECHA_COMB,"&gt;="&amp;CH$2,FECHA_COMB,"&lt;="&amp;CH$3,CLAVE_COMB,$A312)+SUMIFS(SALIDAS_DES,FECHA_DESGLOSEN,"&gt;="&amp;CH$2,FECHA_DESGLOSEN,"&lt;="&amp;CH$3,CLAVE_DESGLOSE,$A312)</f>
        <v>0</v>
      </c>
      <c r="CI312" s="227">
        <f>CC312-CH312</f>
        <v>0</v>
      </c>
      <c r="CJ312" s="301">
        <f>IFERROR((CH312/CC312),0)</f>
        <v>0</v>
      </c>
      <c r="CK312" s="162">
        <f>VLOOKUP($A312,T_PRESUPUESTO,MATCH(CK$6,E_PRESUPUESTO,0),FALSE)</f>
        <v>0</v>
      </c>
      <c r="CL312" s="13">
        <f t="shared" si="495"/>
        <v>0</v>
      </c>
      <c r="CM312" s="13">
        <f t="shared" si="495"/>
        <v>0</v>
      </c>
      <c r="CN312" s="13">
        <f t="shared" si="495"/>
        <v>0</v>
      </c>
      <c r="CO312" s="13">
        <f t="shared" si="495"/>
        <v>0</v>
      </c>
      <c r="CP312" s="13">
        <f t="shared" si="495"/>
        <v>0</v>
      </c>
      <c r="CQ312" s="162">
        <f>SUMIFS(SALIDAS_BIT,FECHA_BIT,"&gt;="&amp;CQ$2,FECHA_BIT,"&lt;="&amp;CQ$3,CLAVE_BIT,$A312)+SUMIFS(SALIDAS_BOV1,FECHA_BOV1,"&gt;="&amp;CQ$2,FECHA_BOV1,"&lt;="&amp;CQ$3,CLAVE_BOV1,$A312)+SUMIFS(SALIDAS_BOV2,FECHA_BOV2,"&gt;="&amp;CQ$2,FECHA_BOV2,"&lt;="&amp;CQ$3,CLAVE_BOV2,$A312)+SUMIFS(SALIDAS_BOV3,FECHA_BOV3,"&gt;="&amp;CQ$2,FECHA_BOV3,"&lt;="&amp;CQ$3,CLAVE_BOV3,$A312)+SUMIFS(SALIDAS_TC,FECHA_TC,"&gt;="&amp;CQ$2,FECHA_TC,"&lt;="&amp;CQ$3,CLAVE_TC,$A312)+SUMIFS(SALIDAS_COMB,FECHA_COMB,"&gt;="&amp;CQ$2,FECHA_COMB,"&lt;="&amp;CQ$3,CLAVE_COMB,$A312)+SUMIFS(SALIDAS_DES,FECHA_DESGLOSEN,"&gt;="&amp;CQ$2,FECHA_DESGLOSEN,"&lt;="&amp;CQ$3,CLAVE_DESGLOSE,$A312)</f>
        <v>0</v>
      </c>
      <c r="CR312" s="227">
        <f>CK312-CQ312</f>
        <v>0</v>
      </c>
      <c r="CS312" s="301">
        <f>IFERROR((CQ312/CK312),0)</f>
        <v>0</v>
      </c>
      <c r="CT312" s="68">
        <f t="shared" si="446"/>
        <v>3000</v>
      </c>
      <c r="CU312" s="13">
        <f>SUMIFS(SALIDAS_BIT,FECHA_BIT,"&gt;="&amp;CU$2,FECHA_BIT,"&lt;="&amp;CU$3,CLAVE_BIT,$A312)+SUMIFS(SALIDAS_BOV1,FECHA_BOV1,"&gt;="&amp;CU$2,FECHA_BOV1,"&lt;="&amp;CU$3,CLAVE_BOV1,$A312)+SUMIFS(SALIDAS_BOV2,FECHA_BOV2,"&gt;="&amp;CU$2,FECHA_BOV2,"&lt;="&amp;CU$3,CLAVE_BOV2,$A312)+SUMIFS(SALIDAS_BOV3,FECHA_BOV3,"&gt;="&amp;CU$2,FECHA_BOV3,"&lt;="&amp;CU$3,CLAVE_BOV3,$A312)+SUMIFS(SALIDAS_TC,FECHA_TC,"&gt;="&amp;CU$2,FECHA_TC,"&lt;="&amp;CU$3,CLAVE_TC,$A312)+SUMIFS(SALIDAS_COMB,FECHA_COMB,"&gt;="&amp;CU$2,FECHA_COMB,"&lt;="&amp;CU$3,CLAVE_COMB,$A312)+SUMIFS(SALIDAS_DES,FECHA_DESGLOSEN,"&gt;="&amp;CU$2,FECHA_DESGLOSEN,"&lt;="&amp;CU$3,CLAVE_DESGLOSE,$A312)</f>
        <v>0</v>
      </c>
      <c r="CV312" s="13">
        <f>SUMIFS(SALIDAS_BIT,FECHA_BIT,"&gt;="&amp;CV$2,FECHA_BIT,"&lt;="&amp;CV$3,CLAVE_BIT,$A312)+SUMIFS(SALIDAS_BOV1,FECHA_BOV1,"&gt;="&amp;CV$2,FECHA_BOV1,"&lt;="&amp;CV$3,CLAVE_BOV1,$A312)+SUMIFS(SALIDAS_BOV2,FECHA_BOV2,"&gt;="&amp;CV$2,FECHA_BOV2,"&lt;="&amp;CV$3,CLAVE_BOV2,$A312)+SUMIFS(SALIDAS_BOV3,FECHA_BOV3,"&gt;="&amp;CV$2,FECHA_BOV3,"&lt;="&amp;CV$3,CLAVE_BOV3,$A312)+SUMIFS(SALIDAS_TC,FECHA_TC,"&gt;="&amp;CV$2,FECHA_TC,"&lt;="&amp;CV$3,CLAVE_TC,$A312)+SUMIFS(SALIDAS_COMB,FECHA_COMB,"&gt;="&amp;CV$2,FECHA_COMB,"&lt;="&amp;CV$3,CLAVE_COMB,$A312)+SUMIFS(SALIDAS_DES,FECHA_DESGLOSEN,"&gt;="&amp;CV$2,FECHA_DESGLOSEN,"&lt;="&amp;CV$3,CLAVE_DESGLOSE,$A312)</f>
        <v>0</v>
      </c>
      <c r="CW312" s="13">
        <f>SUMIFS(SALIDAS_BIT,FECHA_BIT,"&gt;="&amp;CW$2,FECHA_BIT,"&lt;="&amp;CW$3,CLAVE_BIT,$A312)+SUMIFS(SALIDAS_BOV1,FECHA_BOV1,"&gt;="&amp;CW$2,FECHA_BOV1,"&lt;="&amp;CW$3,CLAVE_BOV1,$A312)+SUMIFS(SALIDAS_BOV2,FECHA_BOV2,"&gt;="&amp;CW$2,FECHA_BOV2,"&lt;="&amp;CW$3,CLAVE_BOV2,$A312)+SUMIFS(SALIDAS_BOV3,FECHA_BOV3,"&gt;="&amp;CW$2,FECHA_BOV3,"&lt;="&amp;CW$3,CLAVE_BOV3,$A312)+SUMIFS(SALIDAS_TC,FECHA_TC,"&gt;="&amp;CW$2,FECHA_TC,"&lt;="&amp;CW$3,CLAVE_TC,$A312)+SUMIFS(SALIDAS_COMB,FECHA_COMB,"&gt;="&amp;CW$2,FECHA_COMB,"&lt;="&amp;CW$3,CLAVE_COMB,$A312)+SUMIFS(SALIDAS_DES,FECHA_DESGLOSEN,"&gt;="&amp;CW$2,FECHA_DESGLOSEN,"&lt;="&amp;CW$3,CLAVE_DESGLOSE,$A312)</f>
        <v>0</v>
      </c>
      <c r="CX312" s="13">
        <f>SUMIFS(SALIDAS_BIT,FECHA_BIT,"&gt;="&amp;CX$2,FECHA_BIT,"&lt;="&amp;CX$3,CLAVE_BIT,$A312)+SUMIFS(SALIDAS_BOV1,FECHA_BOV1,"&gt;="&amp;CX$2,FECHA_BOV1,"&lt;="&amp;CX$3,CLAVE_BOV1,$A312)+SUMIFS(SALIDAS_BOV2,FECHA_BOV2,"&gt;="&amp;CX$2,FECHA_BOV2,"&lt;="&amp;CX$3,CLAVE_BOV2,$A312)+SUMIFS(SALIDAS_BOV3,FECHA_BOV3,"&gt;="&amp;CX$2,FECHA_BOV3,"&lt;="&amp;CX$3,CLAVE_BOV3,$A312)+SUMIFS(SALIDAS_TC,FECHA_TC,"&gt;="&amp;CX$2,FECHA_TC,"&lt;="&amp;CX$3,CLAVE_TC,$A312)+SUMIFS(SALIDAS_COMB,FECHA_COMB,"&gt;="&amp;CX$2,FECHA_COMB,"&lt;="&amp;CX$3,CLAVE_COMB,$A312)+SUMIFS(SALIDAS_DES,FECHA_DESGLOSEN,"&gt;="&amp;CX$2,FECHA_DESGLOSEN,"&lt;="&amp;CX$3,CLAVE_DESGLOSE,$A312)</f>
        <v>0</v>
      </c>
      <c r="CY312" s="13">
        <f>SUMIFS(SALIDAS_BIT,FECHA_BIT,"&gt;="&amp;CY$2,FECHA_BIT,"&lt;="&amp;CY$3,CLAVE_BIT,$A312)+SUMIFS(SALIDAS_BOV1,FECHA_BOV1,"&gt;="&amp;CY$2,FECHA_BOV1,"&lt;="&amp;CY$3,CLAVE_BOV1,$A312)+SUMIFS(SALIDAS_BOV2,FECHA_BOV2,"&gt;="&amp;CY$2,FECHA_BOV2,"&lt;="&amp;CY$3,CLAVE_BOV2,$A312)+SUMIFS(SALIDAS_BOV3,FECHA_BOV3,"&gt;="&amp;CY$2,FECHA_BOV3,"&lt;="&amp;CY$3,CLAVE_BOV3,$A312)+SUMIFS(SALIDAS_TC,FECHA_TC,"&gt;="&amp;CY$2,FECHA_TC,"&lt;="&amp;CY$3,CLAVE_TC,$A312)+SUMIFS(SALIDAS_COMB,FECHA_COMB,"&gt;="&amp;CY$2,FECHA_COMB,"&lt;="&amp;CY$3,CLAVE_COMB,$A312)+SUMIFS(SALIDAS_DES,FECHA_DESGLOSEN,"&gt;="&amp;CY$2,FECHA_DESGLOSEN,"&lt;="&amp;CY$3,CLAVE_DESGLOSE,$A312)</f>
        <v>0</v>
      </c>
      <c r="CZ312" s="68">
        <f t="shared" si="474"/>
        <v>3000</v>
      </c>
      <c r="DB312" s="17">
        <f>F312+N312+W312+AE312+AM312+AV312+BD312+BL312+BU312+CC312+CK312</f>
        <v>0</v>
      </c>
      <c r="DC312" s="17">
        <f>K312+T312+AB312+AJ312+AS312+BA312+BI312+BR312+BZ312+CH312+CQ312</f>
        <v>3349</v>
      </c>
    </row>
    <row r="313" spans="1:107" ht="15" hidden="1">
      <c r="A313" s="12" t="str">
        <f>C313&amp;D313&amp;E313</f>
        <v>FINANZASCUOTAS Y SUSCRIPCIONESTRAMITES</v>
      </c>
      <c r="B313">
        <v>313</v>
      </c>
      <c r="C313" t="s">
        <v>23</v>
      </c>
      <c r="D313" t="s">
        <v>51</v>
      </c>
      <c r="E313" t="s">
        <v>81</v>
      </c>
      <c r="F313" s="260">
        <f>VLOOKUP($A313,T_PRESUPUESTO,MATCH(F$6,E_PRESUPUESTO,0),FALSE)</f>
        <v>0</v>
      </c>
      <c r="G313" s="162">
        <f>SUMIFS(SALIDAS_BIT,FECHA_BIT,"&gt;="&amp;G$2,FECHA_BIT,"&lt;="&amp;G$3,CLAVE_BIT,$A313)+SUMIFS(SALIDAS_BOV1,FECHA_BOV1,"&gt;="&amp;G$2,FECHA_BOV1,"&lt;="&amp;G$3,CLAVE_BOV1,$A313)+SUMIFS(SALIDAS_BOV2,FECHA_BOV2,"&gt;="&amp;G$2,FECHA_BOV2,"&lt;="&amp;G$3,CLAVE_BOV2,$A313)+SUMIFS(SALIDAS_BOV3,FECHA_BOV3,"&gt;="&amp;G$2,FECHA_BOV3,"&lt;="&amp;G$3,CLAVE_BOV3,$A313)+SUMIFS(SALIDAS_TC,FECHA_TC,"&gt;="&amp;G$2,FECHA_TC,"&lt;="&amp;G$3,CLAVE_TC,$A313)+SUMIFS(SALIDAS_COMB,FECHA_COMB,"&gt;="&amp;G$2,FECHA_COMB,"&lt;="&amp;G$3,CLAVE_COMB,$A313)+SUMIFS(SALIDAS_DES,FECHA_DESGLOSEN,"&gt;="&amp;G$2,FECHA_DESGLOSEN,"&lt;="&amp;G$3,CLAVE_DESGLOSE,$A313)</f>
        <v>0</v>
      </c>
      <c r="H313" s="162">
        <f>SUMIFS(SALIDAS_BIT,FECHA_BIT,"&gt;="&amp;H$2,FECHA_BIT,"&lt;="&amp;H$3,CLAVE_BIT,$A313)+SUMIFS(SALIDAS_BOV1,FECHA_BOV1,"&gt;="&amp;H$2,FECHA_BOV1,"&lt;="&amp;H$3,CLAVE_BOV1,$A313)+SUMIFS(SALIDAS_BOV2,FECHA_BOV2,"&gt;="&amp;H$2,FECHA_BOV2,"&lt;="&amp;H$3,CLAVE_BOV2,$A313)+SUMIFS(SALIDAS_BOV3,FECHA_BOV3,"&gt;="&amp;H$2,FECHA_BOV3,"&lt;="&amp;H$3,CLAVE_BOV3,$A313)+SUMIFS(SALIDAS_TC,FECHA_TC,"&gt;="&amp;H$2,FECHA_TC,"&lt;="&amp;H$3,CLAVE_TC,$A313)+SUMIFS(SALIDAS_COMB,FECHA_COMB,"&gt;="&amp;H$2,FECHA_COMB,"&lt;="&amp;H$3,CLAVE_COMB,$A313)+SUMIFS(SALIDAS_DES,FECHA_DESGLOSEN,"&gt;="&amp;H$2,FECHA_DESGLOSEN,"&lt;="&amp;H$3,CLAVE_DESGLOSE,$A313)</f>
        <v>0</v>
      </c>
      <c r="I313" s="162">
        <f>SUMIFS(SALIDAS_BIT,FECHA_BIT,"&gt;="&amp;I$2,FECHA_BIT,"&lt;="&amp;I$3,CLAVE_BIT,$A313)+SUMIFS(SALIDAS_BOV1,FECHA_BOV1,"&gt;="&amp;I$2,FECHA_BOV1,"&lt;="&amp;I$3,CLAVE_BOV1,$A313)+SUMIFS(SALIDAS_BOV2,FECHA_BOV2,"&gt;="&amp;I$2,FECHA_BOV2,"&lt;="&amp;I$3,CLAVE_BOV2,$A313)+SUMIFS(SALIDAS_BOV3,FECHA_BOV3,"&gt;="&amp;I$2,FECHA_BOV3,"&lt;="&amp;I$3,CLAVE_BOV3,$A313)+SUMIFS(SALIDAS_TC,FECHA_TC,"&gt;="&amp;I$2,FECHA_TC,"&lt;="&amp;I$3,CLAVE_TC,$A313)+SUMIFS(SALIDAS_COMB,FECHA_COMB,"&gt;="&amp;I$2,FECHA_COMB,"&lt;="&amp;I$3,CLAVE_COMB,$A313)+SUMIFS(SALIDAS_DES,FECHA_DESGLOSEN,"&gt;="&amp;I$2,FECHA_DESGLOSEN,"&lt;="&amp;I$3,CLAVE_DESGLOSE,$A313)</f>
        <v>0</v>
      </c>
      <c r="J313" s="162">
        <f>SUMIFS(SALIDAS_BIT,FECHA_BIT,"&gt;="&amp;J$2,FECHA_BIT,"&lt;="&amp;J$3,CLAVE_BIT,$A313)+SUMIFS(SALIDAS_BOV1,FECHA_BOV1,"&gt;="&amp;J$2,FECHA_BOV1,"&lt;="&amp;J$3,CLAVE_BOV1,$A313)+SUMIFS(SALIDAS_BOV2,FECHA_BOV2,"&gt;="&amp;J$2,FECHA_BOV2,"&lt;="&amp;J$3,CLAVE_BOV2,$A313)+SUMIFS(SALIDAS_BOV3,FECHA_BOV3,"&gt;="&amp;J$2,FECHA_BOV3,"&lt;="&amp;J$3,CLAVE_BOV3,$A313)+SUMIFS(SALIDAS_TC,FECHA_TC,"&gt;="&amp;J$2,FECHA_TC,"&lt;="&amp;J$3,CLAVE_TC,$A313)+SUMIFS(SALIDAS_COMB,FECHA_COMB,"&gt;="&amp;J$2,FECHA_COMB,"&lt;="&amp;J$3,CLAVE_COMB,$A313)+SUMIFS(SALIDAS_DES,FECHA_DESGLOSEN,"&gt;="&amp;J$2,FECHA_DESGLOSEN,"&lt;="&amp;J$3,CLAVE_DESGLOSE,$A313)</f>
        <v>0</v>
      </c>
      <c r="K313" s="162">
        <f>SUMIFS(SALIDAS_BIT,FECHA_BIT,"&gt;="&amp;K$2,FECHA_BIT,"&lt;="&amp;K$3,CLAVE_BIT,$A313)+SUMIFS(SALIDAS_BOV1,FECHA_BOV1,"&gt;="&amp;K$2,FECHA_BOV1,"&lt;="&amp;K$3,CLAVE_BOV1,$A313)+SUMIFS(SALIDAS_BOV2,FECHA_BOV2,"&gt;="&amp;K$2,FECHA_BOV2,"&lt;="&amp;K$3,CLAVE_BOV2,$A313)+SUMIFS(SALIDAS_BOV3,FECHA_BOV3,"&gt;="&amp;K$2,FECHA_BOV3,"&lt;="&amp;K$3,CLAVE_BOV3,$A313)+SUMIFS(SALIDAS_TC,FECHA_TC,"&gt;="&amp;K$2,FECHA_TC,"&lt;="&amp;K$3,CLAVE_TC,$A313)+SUMIFS(SALIDAS_COMB,FECHA_COMB,"&gt;="&amp;K$2,FECHA_COMB,"&lt;="&amp;K$3,CLAVE_COMB,$A313)+SUMIFS(SALIDAS_DES,FECHA_DESGLOSEN,"&gt;="&amp;K$2,FECHA_DESGLOSEN,"&lt;="&amp;K$3,CLAVE_DESGLOSE,$A313)</f>
        <v>0</v>
      </c>
      <c r="L313" s="227">
        <f>F313-K313</f>
        <v>0</v>
      </c>
      <c r="M313" s="301">
        <f>IFERROR((K313/F313),0)</f>
        <v>0</v>
      </c>
      <c r="N313" s="162">
        <f>VLOOKUP($A313,T_PRESUPUESTO,MATCH(N$6,E_PRESUPUESTO,0),FALSE)</f>
        <v>0</v>
      </c>
      <c r="O313" s="162">
        <f>SUMIFS(SALIDAS_BIT,FECHA_BIT,"&gt;="&amp;O$2,FECHA_BIT,"&lt;="&amp;O$3,CLAVE_BIT,$A313)+SUMIFS(SALIDAS_BOV1,FECHA_BOV1,"&gt;="&amp;O$2,FECHA_BOV1,"&lt;="&amp;O$3,CLAVE_BOV1,$A313)+SUMIFS(SALIDAS_BOV2,FECHA_BOV2,"&gt;="&amp;O$2,FECHA_BOV2,"&lt;="&amp;O$3,CLAVE_BOV2,$A313)+SUMIFS(SALIDAS_BOV3,FECHA_BOV3,"&gt;="&amp;O$2,FECHA_BOV3,"&lt;="&amp;O$3,CLAVE_BOV3,$A313)+SUMIFS(SALIDAS_TC,FECHA_TC,"&gt;="&amp;O$2,FECHA_TC,"&lt;="&amp;O$3,CLAVE_TC,$A313)+SUMIFS(SALIDAS_COMB,FECHA_COMB,"&gt;="&amp;O$2,FECHA_COMB,"&lt;="&amp;O$3,CLAVE_COMB,$A313)+SUMIFS(SALIDAS_DES,FECHA_DESGLOSEN,"&gt;="&amp;O$2,FECHA_DESGLOSEN,"&lt;="&amp;O$3,CLAVE_DESGLOSE,$A313)</f>
        <v>0</v>
      </c>
      <c r="P313" s="162">
        <f>SUMIFS(SALIDAS_BIT,FECHA_BIT,"&gt;="&amp;P$2,FECHA_BIT,"&lt;="&amp;P$3,CLAVE_BIT,$A313)+SUMIFS(SALIDAS_BOV1,FECHA_BOV1,"&gt;="&amp;P$2,FECHA_BOV1,"&lt;="&amp;P$3,CLAVE_BOV1,$A313)+SUMIFS(SALIDAS_BOV2,FECHA_BOV2,"&gt;="&amp;P$2,FECHA_BOV2,"&lt;="&amp;P$3,CLAVE_BOV2,$A313)+SUMIFS(SALIDAS_BOV3,FECHA_BOV3,"&gt;="&amp;P$2,FECHA_BOV3,"&lt;="&amp;P$3,CLAVE_BOV3,$A313)+SUMIFS(SALIDAS_TC,FECHA_TC,"&gt;="&amp;P$2,FECHA_TC,"&lt;="&amp;P$3,CLAVE_TC,$A313)+SUMIFS(SALIDAS_COMB,FECHA_COMB,"&gt;="&amp;P$2,FECHA_COMB,"&lt;="&amp;P$3,CLAVE_COMB,$A313)+SUMIFS(SALIDAS_DES,FECHA_DESGLOSEN,"&gt;="&amp;P$2,FECHA_DESGLOSEN,"&lt;="&amp;P$3,CLAVE_DESGLOSE,$A313)</f>
        <v>0</v>
      </c>
      <c r="Q313" s="162">
        <f>SUMIFS(SALIDAS_BIT,FECHA_BIT,"&gt;="&amp;Q$2,FECHA_BIT,"&lt;="&amp;Q$3,CLAVE_BIT,$A313)+SUMIFS(SALIDAS_BOV1,FECHA_BOV1,"&gt;="&amp;Q$2,FECHA_BOV1,"&lt;="&amp;Q$3,CLAVE_BOV1,$A313)+SUMIFS(SALIDAS_BOV2,FECHA_BOV2,"&gt;="&amp;Q$2,FECHA_BOV2,"&lt;="&amp;Q$3,CLAVE_BOV2,$A313)+SUMIFS(SALIDAS_BOV3,FECHA_BOV3,"&gt;="&amp;Q$2,FECHA_BOV3,"&lt;="&amp;Q$3,CLAVE_BOV3,$A313)+SUMIFS(SALIDAS_TC,FECHA_TC,"&gt;="&amp;Q$2,FECHA_TC,"&lt;="&amp;Q$3,CLAVE_TC,$A313)+SUMIFS(SALIDAS_COMB,FECHA_COMB,"&gt;="&amp;Q$2,FECHA_COMB,"&lt;="&amp;Q$3,CLAVE_COMB,$A313)+SUMIFS(SALIDAS_DES,FECHA_DESGLOSEN,"&gt;="&amp;Q$2,FECHA_DESGLOSEN,"&lt;="&amp;Q$3,CLAVE_DESGLOSE,$A313)</f>
        <v>0</v>
      </c>
      <c r="R313" s="162">
        <f>SUMIFS(SALIDAS_BIT,FECHA_BIT,"&gt;="&amp;R$2,FECHA_BIT,"&lt;="&amp;R$3,CLAVE_BIT,$A313)+SUMIFS(SALIDAS_BOV1,FECHA_BOV1,"&gt;="&amp;R$2,FECHA_BOV1,"&lt;="&amp;R$3,CLAVE_BOV1,$A313)+SUMIFS(SALIDAS_BOV2,FECHA_BOV2,"&gt;="&amp;R$2,FECHA_BOV2,"&lt;="&amp;R$3,CLAVE_BOV2,$A313)+SUMIFS(SALIDAS_BOV3,FECHA_BOV3,"&gt;="&amp;R$2,FECHA_BOV3,"&lt;="&amp;R$3,CLAVE_BOV3,$A313)+SUMIFS(SALIDAS_TC,FECHA_TC,"&gt;="&amp;R$2,FECHA_TC,"&lt;="&amp;R$3,CLAVE_TC,$A313)+SUMIFS(SALIDAS_COMB,FECHA_COMB,"&gt;="&amp;R$2,FECHA_COMB,"&lt;="&amp;R$3,CLAVE_COMB,$A313)+SUMIFS(SALIDAS_DES,FECHA_DESGLOSEN,"&gt;="&amp;R$2,FECHA_DESGLOSEN,"&lt;="&amp;R$3,CLAVE_DESGLOSE,$A313)</f>
        <v>0</v>
      </c>
      <c r="S313" s="162">
        <f>SUMIFS(SALIDAS_BIT,FECHA_BIT,"&gt;="&amp;S$2,FECHA_BIT,"&lt;="&amp;S$3,CLAVE_BIT,$A313)+SUMIFS(SALIDAS_BOV1,FECHA_BOV1,"&gt;="&amp;S$2,FECHA_BOV1,"&lt;="&amp;S$3,CLAVE_BOV1,$A313)+SUMIFS(SALIDAS_BOV2,FECHA_BOV2,"&gt;="&amp;S$2,FECHA_BOV2,"&lt;="&amp;S$3,CLAVE_BOV2,$A313)+SUMIFS(SALIDAS_BOV3,FECHA_BOV3,"&gt;="&amp;S$2,FECHA_BOV3,"&lt;="&amp;S$3,CLAVE_BOV3,$A313)+SUMIFS(SALIDAS_TC,FECHA_TC,"&gt;="&amp;S$2,FECHA_TC,"&lt;="&amp;S$3,CLAVE_TC,$A313)+SUMIFS(SALIDAS_COMB,FECHA_COMB,"&gt;="&amp;S$2,FECHA_COMB,"&lt;="&amp;S$3,CLAVE_COMB,$A313)+SUMIFS(SALIDAS_DES,FECHA_DESGLOSEN,"&gt;="&amp;S$2,FECHA_DESGLOSEN,"&lt;="&amp;S$3,CLAVE_DESGLOSE,$A313)</f>
        <v>0</v>
      </c>
      <c r="T313" s="162">
        <f>SUMIFS(SALIDAS_BIT,FECHA_BIT,"&gt;="&amp;T$2,FECHA_BIT,"&lt;="&amp;T$3,CLAVE_BIT,$A313)+SUMIFS(SALIDAS_BOV1,FECHA_BOV1,"&gt;="&amp;T$2,FECHA_BOV1,"&lt;="&amp;T$3,CLAVE_BOV1,$A313)+SUMIFS(SALIDAS_BOV2,FECHA_BOV2,"&gt;="&amp;T$2,FECHA_BOV2,"&lt;="&amp;T$3,CLAVE_BOV2,$A313)+SUMIFS(SALIDAS_BOV3,FECHA_BOV3,"&gt;="&amp;T$2,FECHA_BOV3,"&lt;="&amp;T$3,CLAVE_BOV3,$A313)+SUMIFS(SALIDAS_TC,FECHA_TC,"&gt;="&amp;T$2,FECHA_TC,"&lt;="&amp;T$3,CLAVE_TC,$A313)+SUMIFS(SALIDAS_COMB,FECHA_COMB,"&gt;="&amp;T$2,FECHA_COMB,"&lt;="&amp;T$3,CLAVE_COMB,$A313)+SUMIFS(SALIDAS_DES,FECHA_DESGLOSEN,"&gt;="&amp;T$2,FECHA_DESGLOSEN,"&lt;="&amp;T$3,CLAVE_DESGLOSE,$A313)</f>
        <v>0</v>
      </c>
      <c r="U313" s="227">
        <f>N313-T313</f>
        <v>0</v>
      </c>
      <c r="V313" s="301">
        <f>IFERROR((T313/N313),0)</f>
        <v>0</v>
      </c>
      <c r="W313" s="162">
        <f>VLOOKUP($A313,T_PRESUPUESTO,MATCH(W$6,E_PRESUPUESTO,0),FALSE)</f>
        <v>0</v>
      </c>
      <c r="X313" s="162">
        <f>SUMIFS(SALIDAS_BIT,FECHA_BIT,"&gt;="&amp;X$2,FECHA_BIT,"&lt;="&amp;X$3,CLAVE_BIT,$A313)+SUMIFS(SALIDAS_BOV1,FECHA_BOV1,"&gt;="&amp;X$2,FECHA_BOV1,"&lt;="&amp;X$3,CLAVE_BOV1,$A313)+SUMIFS(SALIDAS_BOV2,FECHA_BOV2,"&gt;="&amp;X$2,FECHA_BOV2,"&lt;="&amp;X$3,CLAVE_BOV2,$A313)+SUMIFS(SALIDAS_BOV3,FECHA_BOV3,"&gt;="&amp;X$2,FECHA_BOV3,"&lt;="&amp;X$3,CLAVE_BOV3,$A313)+SUMIFS(SALIDAS_TC,FECHA_TC,"&gt;="&amp;X$2,FECHA_TC,"&lt;="&amp;X$3,CLAVE_TC,$A313)+SUMIFS(SALIDAS_COMB,FECHA_COMB,"&gt;="&amp;X$2,FECHA_COMB,"&lt;="&amp;X$3,CLAVE_COMB,$A313)+SUMIFS(SALIDAS_DES,FECHA_DESGLOSEN,"&gt;="&amp;X$2,FECHA_DESGLOSEN,"&lt;="&amp;X$3,CLAVE_DESGLOSE,$A313)</f>
        <v>0</v>
      </c>
      <c r="Y313" s="162">
        <f>SUMIFS(SALIDAS_BIT,FECHA_BIT,"&gt;="&amp;Y$2,FECHA_BIT,"&lt;="&amp;Y$3,CLAVE_BIT,$A313)+SUMIFS(SALIDAS_BOV1,FECHA_BOV1,"&gt;="&amp;Y$2,FECHA_BOV1,"&lt;="&amp;Y$3,CLAVE_BOV1,$A313)+SUMIFS(SALIDAS_BOV2,FECHA_BOV2,"&gt;="&amp;Y$2,FECHA_BOV2,"&lt;="&amp;Y$3,CLAVE_BOV2,$A313)+SUMIFS(SALIDAS_BOV3,FECHA_BOV3,"&gt;="&amp;Y$2,FECHA_BOV3,"&lt;="&amp;Y$3,CLAVE_BOV3,$A313)+SUMIFS(SALIDAS_TC,FECHA_TC,"&gt;="&amp;Y$2,FECHA_TC,"&lt;="&amp;Y$3,CLAVE_TC,$A313)+SUMIFS(SALIDAS_COMB,FECHA_COMB,"&gt;="&amp;Y$2,FECHA_COMB,"&lt;="&amp;Y$3,CLAVE_COMB,$A313)+SUMIFS(SALIDAS_DES,FECHA_DESGLOSEN,"&gt;="&amp;Y$2,FECHA_DESGLOSEN,"&lt;="&amp;Y$3,CLAVE_DESGLOSE,$A313)</f>
        <v>0</v>
      </c>
      <c r="Z313" s="162">
        <f>SUMIFS(SALIDAS_BIT,FECHA_BIT,"&gt;="&amp;Z$2,FECHA_BIT,"&lt;="&amp;Z$3,CLAVE_BIT,$A313)+SUMIFS(SALIDAS_BOV1,FECHA_BOV1,"&gt;="&amp;Z$2,FECHA_BOV1,"&lt;="&amp;Z$3,CLAVE_BOV1,$A313)+SUMIFS(SALIDAS_BOV2,FECHA_BOV2,"&gt;="&amp;Z$2,FECHA_BOV2,"&lt;="&amp;Z$3,CLAVE_BOV2,$A313)+SUMIFS(SALIDAS_BOV3,FECHA_BOV3,"&gt;="&amp;Z$2,FECHA_BOV3,"&lt;="&amp;Z$3,CLAVE_BOV3,$A313)+SUMIFS(SALIDAS_TC,FECHA_TC,"&gt;="&amp;Z$2,FECHA_TC,"&lt;="&amp;Z$3,CLAVE_TC,$A313)+SUMIFS(SALIDAS_COMB,FECHA_COMB,"&gt;="&amp;Z$2,FECHA_COMB,"&lt;="&amp;Z$3,CLAVE_COMB,$A313)+SUMIFS(SALIDAS_DES,FECHA_DESGLOSEN,"&gt;="&amp;Z$2,FECHA_DESGLOSEN,"&lt;="&amp;Z$3,CLAVE_DESGLOSE,$A313)</f>
        <v>0</v>
      </c>
      <c r="AA313" s="162">
        <f>SUMIFS(SALIDAS_BIT,FECHA_BIT,"&gt;="&amp;AA$2,FECHA_BIT,"&lt;="&amp;AA$3,CLAVE_BIT,$A313)+SUMIFS(SALIDAS_BOV1,FECHA_BOV1,"&gt;="&amp;AA$2,FECHA_BOV1,"&lt;="&amp;AA$3,CLAVE_BOV1,$A313)+SUMIFS(SALIDAS_BOV2,FECHA_BOV2,"&gt;="&amp;AA$2,FECHA_BOV2,"&lt;="&amp;AA$3,CLAVE_BOV2,$A313)+SUMIFS(SALIDAS_BOV3,FECHA_BOV3,"&gt;="&amp;AA$2,FECHA_BOV3,"&lt;="&amp;AA$3,CLAVE_BOV3,$A313)+SUMIFS(SALIDAS_TC,FECHA_TC,"&gt;="&amp;AA$2,FECHA_TC,"&lt;="&amp;AA$3,CLAVE_TC,$A313)+SUMIFS(SALIDAS_COMB,FECHA_COMB,"&gt;="&amp;AA$2,FECHA_COMB,"&lt;="&amp;AA$3,CLAVE_COMB,$A313)+SUMIFS(SALIDAS_DES,FECHA_DESGLOSEN,"&gt;="&amp;AA$2,FECHA_DESGLOSEN,"&lt;="&amp;AA$3,CLAVE_DESGLOSE,$A313)</f>
        <v>0</v>
      </c>
      <c r="AB313" s="162">
        <f>SUMIFS(SALIDAS_BIT,FECHA_BIT,"&gt;="&amp;AB$2,FECHA_BIT,"&lt;="&amp;AB$3,CLAVE_BIT,$A313)+SUMIFS(SALIDAS_BOV1,FECHA_BOV1,"&gt;="&amp;AB$2,FECHA_BOV1,"&lt;="&amp;AB$3,CLAVE_BOV1,$A313)+SUMIFS(SALIDAS_BOV2,FECHA_BOV2,"&gt;="&amp;AB$2,FECHA_BOV2,"&lt;="&amp;AB$3,CLAVE_BOV2,$A313)+SUMIFS(SALIDAS_BOV3,FECHA_BOV3,"&gt;="&amp;AB$2,FECHA_BOV3,"&lt;="&amp;AB$3,CLAVE_BOV3,$A313)+SUMIFS(SALIDAS_TC,FECHA_TC,"&gt;="&amp;AB$2,FECHA_TC,"&lt;="&amp;AB$3,CLAVE_TC,$A313)+SUMIFS(SALIDAS_COMB,FECHA_COMB,"&gt;="&amp;AB$2,FECHA_COMB,"&lt;="&amp;AB$3,CLAVE_COMB,$A313)+SUMIFS(SALIDAS_DES,FECHA_DESGLOSEN,"&gt;="&amp;AB$2,FECHA_DESGLOSEN,"&lt;="&amp;AB$3,CLAVE_DESGLOSE,$A313)</f>
        <v>0</v>
      </c>
      <c r="AC313" s="227">
        <f>W313-AB313</f>
        <v>0</v>
      </c>
      <c r="AD313" s="301">
        <f>IFERROR((AB313/W313),0)</f>
        <v>0</v>
      </c>
      <c r="AE313" s="162">
        <f>VLOOKUP($A313,T_PRESUPUESTO,MATCH(AE$6,E_PRESUPUESTO,0),FALSE)</f>
        <v>0</v>
      </c>
      <c r="AF313" s="162">
        <f>SUMIFS(SALIDAS_BIT,FECHA_BIT,"&gt;="&amp;AF$2,FECHA_BIT,"&lt;="&amp;AF$3,CLAVE_BIT,$A313)+SUMIFS(SALIDAS_BOV1,FECHA_BOV1,"&gt;="&amp;AF$2,FECHA_BOV1,"&lt;="&amp;AF$3,CLAVE_BOV1,$A313)+SUMIFS(SALIDAS_BOV2,FECHA_BOV2,"&gt;="&amp;AF$2,FECHA_BOV2,"&lt;="&amp;AF$3,CLAVE_BOV2,$A313)+SUMIFS(SALIDAS_BOV3,FECHA_BOV3,"&gt;="&amp;AF$2,FECHA_BOV3,"&lt;="&amp;AF$3,CLAVE_BOV3,$A313)+SUMIFS(SALIDAS_TC,FECHA_TC,"&gt;="&amp;AF$2,FECHA_TC,"&lt;="&amp;AF$3,CLAVE_TC,$A313)+SUMIFS(SALIDAS_COMB,FECHA_COMB,"&gt;="&amp;AF$2,FECHA_COMB,"&lt;="&amp;AF$3,CLAVE_COMB,$A313)+SUMIFS(SALIDAS_DES,FECHA_DESGLOSEN,"&gt;="&amp;AF$2,FECHA_DESGLOSEN,"&lt;="&amp;AF$3,CLAVE_DESGLOSE,$A313)</f>
        <v>0</v>
      </c>
      <c r="AG313" s="162">
        <f>SUMIFS(SALIDAS_BIT,FECHA_BIT,"&gt;="&amp;AG$2,FECHA_BIT,"&lt;="&amp;AG$3,CLAVE_BIT,$A313)+SUMIFS(SALIDAS_BOV1,FECHA_BOV1,"&gt;="&amp;AG$2,FECHA_BOV1,"&lt;="&amp;AG$3,CLAVE_BOV1,$A313)+SUMIFS(SALIDAS_BOV2,FECHA_BOV2,"&gt;="&amp;AG$2,FECHA_BOV2,"&lt;="&amp;AG$3,CLAVE_BOV2,$A313)+SUMIFS(SALIDAS_BOV3,FECHA_BOV3,"&gt;="&amp;AG$2,FECHA_BOV3,"&lt;="&amp;AG$3,CLAVE_BOV3,$A313)+SUMIFS(SALIDAS_TC,FECHA_TC,"&gt;="&amp;AG$2,FECHA_TC,"&lt;="&amp;AG$3,CLAVE_TC,$A313)+SUMIFS(SALIDAS_COMB,FECHA_COMB,"&gt;="&amp;AG$2,FECHA_COMB,"&lt;="&amp;AG$3,CLAVE_COMB,$A313)+SUMIFS(SALIDAS_DES,FECHA_DESGLOSEN,"&gt;="&amp;AG$2,FECHA_DESGLOSEN,"&lt;="&amp;AG$3,CLAVE_DESGLOSE,$A313)</f>
        <v>0</v>
      </c>
      <c r="AH313" s="162">
        <f>SUMIFS(SALIDAS_BIT,FECHA_BIT,"&gt;="&amp;AH$2,FECHA_BIT,"&lt;="&amp;AH$3,CLAVE_BIT,$A313)+SUMIFS(SALIDAS_BOV1,FECHA_BOV1,"&gt;="&amp;AH$2,FECHA_BOV1,"&lt;="&amp;AH$3,CLAVE_BOV1,$A313)+SUMIFS(SALIDAS_BOV2,FECHA_BOV2,"&gt;="&amp;AH$2,FECHA_BOV2,"&lt;="&amp;AH$3,CLAVE_BOV2,$A313)+SUMIFS(SALIDAS_BOV3,FECHA_BOV3,"&gt;="&amp;AH$2,FECHA_BOV3,"&lt;="&amp;AH$3,CLAVE_BOV3,$A313)+SUMIFS(SALIDAS_TC,FECHA_TC,"&gt;="&amp;AH$2,FECHA_TC,"&lt;="&amp;AH$3,CLAVE_TC,$A313)+SUMIFS(SALIDAS_COMB,FECHA_COMB,"&gt;="&amp;AH$2,FECHA_COMB,"&lt;="&amp;AH$3,CLAVE_COMB,$A313)+SUMIFS(SALIDAS_DES,FECHA_DESGLOSEN,"&gt;="&amp;AH$2,FECHA_DESGLOSEN,"&lt;="&amp;AH$3,CLAVE_DESGLOSE,$A313)</f>
        <v>0</v>
      </c>
      <c r="AI313" s="162">
        <f>SUMIFS(SALIDAS_BIT,FECHA_BIT,"&gt;="&amp;AI$2,FECHA_BIT,"&lt;="&amp;AI$3,CLAVE_BIT,$A313)+SUMIFS(SALIDAS_BOV1,FECHA_BOV1,"&gt;="&amp;AI$2,FECHA_BOV1,"&lt;="&amp;AI$3,CLAVE_BOV1,$A313)+SUMIFS(SALIDAS_BOV2,FECHA_BOV2,"&gt;="&amp;AI$2,FECHA_BOV2,"&lt;="&amp;AI$3,CLAVE_BOV2,$A313)+SUMIFS(SALIDAS_BOV3,FECHA_BOV3,"&gt;="&amp;AI$2,FECHA_BOV3,"&lt;="&amp;AI$3,CLAVE_BOV3,$A313)+SUMIFS(SALIDAS_TC,FECHA_TC,"&gt;="&amp;AI$2,FECHA_TC,"&lt;="&amp;AI$3,CLAVE_TC,$A313)+SUMIFS(SALIDAS_COMB,FECHA_COMB,"&gt;="&amp;AI$2,FECHA_COMB,"&lt;="&amp;AI$3,CLAVE_COMB,$A313)+SUMIFS(SALIDAS_DES,FECHA_DESGLOSEN,"&gt;="&amp;AI$2,FECHA_DESGLOSEN,"&lt;="&amp;AI$3,CLAVE_DESGLOSE,$A313)</f>
        <v>0</v>
      </c>
      <c r="AJ313" s="162">
        <f>SUMIFS(SALIDAS_BIT,FECHA_BIT,"&gt;="&amp;AJ$2,FECHA_BIT,"&lt;="&amp;AJ$3,CLAVE_BIT,$A313)+SUMIFS(SALIDAS_BOV1,FECHA_BOV1,"&gt;="&amp;AJ$2,FECHA_BOV1,"&lt;="&amp;AJ$3,CLAVE_BOV1,$A313)+SUMIFS(SALIDAS_BOV2,FECHA_BOV2,"&gt;="&amp;AJ$2,FECHA_BOV2,"&lt;="&amp;AJ$3,CLAVE_BOV2,$A313)+SUMIFS(SALIDAS_BOV3,FECHA_BOV3,"&gt;="&amp;AJ$2,FECHA_BOV3,"&lt;="&amp;AJ$3,CLAVE_BOV3,$A313)+SUMIFS(SALIDAS_TC,FECHA_TC,"&gt;="&amp;AJ$2,FECHA_TC,"&lt;="&amp;AJ$3,CLAVE_TC,$A313)+SUMIFS(SALIDAS_COMB,FECHA_COMB,"&gt;="&amp;AJ$2,FECHA_COMB,"&lt;="&amp;AJ$3,CLAVE_COMB,$A313)+SUMIFS(SALIDAS_DES,FECHA_DESGLOSEN,"&gt;="&amp;AJ$2,FECHA_DESGLOSEN,"&lt;="&amp;AJ$3,CLAVE_DESGLOSE,$A313)</f>
        <v>0</v>
      </c>
      <c r="AK313" s="227">
        <f>AE313-AJ313</f>
        <v>0</v>
      </c>
      <c r="AL313" s="301">
        <f>IFERROR((AJ313/AE313),0)</f>
        <v>0</v>
      </c>
      <c r="AM313" s="162">
        <f>VLOOKUP($A313,T_PRESUPUESTO,MATCH(AM$6,E_PRESUPUESTO,0),FALSE)</f>
        <v>0</v>
      </c>
      <c r="AN313" s="162">
        <f>SUMIFS(SALIDAS_BIT,FECHA_BIT,"&gt;="&amp;AN$2,FECHA_BIT,"&lt;="&amp;AN$3,CLAVE_BIT,$A313)+SUMIFS(SALIDAS_BOV1,FECHA_BOV1,"&gt;="&amp;AN$2,FECHA_BOV1,"&lt;="&amp;AN$3,CLAVE_BOV1,$A313)+SUMIFS(SALIDAS_BOV2,FECHA_BOV2,"&gt;="&amp;AN$2,FECHA_BOV2,"&lt;="&amp;AN$3,CLAVE_BOV2,$A313)+SUMIFS(SALIDAS_BOV3,FECHA_BOV3,"&gt;="&amp;AN$2,FECHA_BOV3,"&lt;="&amp;AN$3,CLAVE_BOV3,$A313)+SUMIFS(SALIDAS_TC,FECHA_TC,"&gt;="&amp;AN$2,FECHA_TC,"&lt;="&amp;AN$3,CLAVE_TC,$A313)+SUMIFS(SALIDAS_COMB,FECHA_COMB,"&gt;="&amp;AN$2,FECHA_COMB,"&lt;="&amp;AN$3,CLAVE_COMB,$A313)+SUMIFS(SALIDAS_DES,FECHA_DESGLOSEN,"&gt;="&amp;AN$2,FECHA_DESGLOSEN,"&lt;="&amp;AN$3,CLAVE_DESGLOSE,$A313)</f>
        <v>0</v>
      </c>
      <c r="AO313" s="162">
        <f>SUMIFS(SALIDAS_BIT,FECHA_BIT,"&gt;="&amp;AO$2,FECHA_BIT,"&lt;="&amp;AO$3,CLAVE_BIT,$A313)+SUMIFS(SALIDAS_BOV1,FECHA_BOV1,"&gt;="&amp;AO$2,FECHA_BOV1,"&lt;="&amp;AO$3,CLAVE_BOV1,$A313)+SUMIFS(SALIDAS_BOV2,FECHA_BOV2,"&gt;="&amp;AO$2,FECHA_BOV2,"&lt;="&amp;AO$3,CLAVE_BOV2,$A313)+SUMIFS(SALIDAS_BOV3,FECHA_BOV3,"&gt;="&amp;AO$2,FECHA_BOV3,"&lt;="&amp;AO$3,CLAVE_BOV3,$A313)+SUMIFS(SALIDAS_TC,FECHA_TC,"&gt;="&amp;AO$2,FECHA_TC,"&lt;="&amp;AO$3,CLAVE_TC,$A313)+SUMIFS(SALIDAS_COMB,FECHA_COMB,"&gt;="&amp;AO$2,FECHA_COMB,"&lt;="&amp;AO$3,CLAVE_COMB,$A313)+SUMIFS(SALIDAS_DES,FECHA_DESGLOSEN,"&gt;="&amp;AO$2,FECHA_DESGLOSEN,"&lt;="&amp;AO$3,CLAVE_DESGLOSE,$A313)</f>
        <v>0</v>
      </c>
      <c r="AP313" s="162">
        <f>SUMIFS(SALIDAS_BIT,FECHA_BIT,"&gt;="&amp;AP$2,FECHA_BIT,"&lt;="&amp;AP$3,CLAVE_BIT,$A313)+SUMIFS(SALIDAS_BOV1,FECHA_BOV1,"&gt;="&amp;AP$2,FECHA_BOV1,"&lt;="&amp;AP$3,CLAVE_BOV1,$A313)+SUMIFS(SALIDAS_BOV2,FECHA_BOV2,"&gt;="&amp;AP$2,FECHA_BOV2,"&lt;="&amp;AP$3,CLAVE_BOV2,$A313)+SUMIFS(SALIDAS_BOV3,FECHA_BOV3,"&gt;="&amp;AP$2,FECHA_BOV3,"&lt;="&amp;AP$3,CLAVE_BOV3,$A313)+SUMIFS(SALIDAS_TC,FECHA_TC,"&gt;="&amp;AP$2,FECHA_TC,"&lt;="&amp;AP$3,CLAVE_TC,$A313)+SUMIFS(SALIDAS_COMB,FECHA_COMB,"&gt;="&amp;AP$2,FECHA_COMB,"&lt;="&amp;AP$3,CLAVE_COMB,$A313)+SUMIFS(SALIDAS_DES,FECHA_DESGLOSEN,"&gt;="&amp;AP$2,FECHA_DESGLOSEN,"&lt;="&amp;AP$3,CLAVE_DESGLOSE,$A313)</f>
        <v>0</v>
      </c>
      <c r="AQ313" s="162">
        <f>SUMIFS(SALIDAS_BIT,FECHA_BIT,"&gt;="&amp;AQ$2,FECHA_BIT,"&lt;="&amp;AQ$3,CLAVE_BIT,$A313)+SUMIFS(SALIDAS_BOV1,FECHA_BOV1,"&gt;="&amp;AQ$2,FECHA_BOV1,"&lt;="&amp;AQ$3,CLAVE_BOV1,$A313)+SUMIFS(SALIDAS_BOV2,FECHA_BOV2,"&gt;="&amp;AQ$2,FECHA_BOV2,"&lt;="&amp;AQ$3,CLAVE_BOV2,$A313)+SUMIFS(SALIDAS_BOV3,FECHA_BOV3,"&gt;="&amp;AQ$2,FECHA_BOV3,"&lt;="&amp;AQ$3,CLAVE_BOV3,$A313)+SUMIFS(SALIDAS_TC,FECHA_TC,"&gt;="&amp;AQ$2,FECHA_TC,"&lt;="&amp;AQ$3,CLAVE_TC,$A313)+SUMIFS(SALIDAS_COMB,FECHA_COMB,"&gt;="&amp;AQ$2,FECHA_COMB,"&lt;="&amp;AQ$3,CLAVE_COMB,$A313)+SUMIFS(SALIDAS_DES,FECHA_DESGLOSEN,"&gt;="&amp;AQ$2,FECHA_DESGLOSEN,"&lt;="&amp;AQ$3,CLAVE_DESGLOSE,$A313)</f>
        <v>4500</v>
      </c>
      <c r="AR313" s="162">
        <f>SUMIFS(SALIDAS_BIT,FECHA_BIT,"&gt;="&amp;AR$2,FECHA_BIT,"&lt;="&amp;AR$3,CLAVE_BIT,$A313)+SUMIFS(SALIDAS_BOV1,FECHA_BOV1,"&gt;="&amp;AR$2,FECHA_BOV1,"&lt;="&amp;AR$3,CLAVE_BOV1,$A313)+SUMIFS(SALIDAS_BOV2,FECHA_BOV2,"&gt;="&amp;AR$2,FECHA_BOV2,"&lt;="&amp;AR$3,CLAVE_BOV2,$A313)+SUMIFS(SALIDAS_BOV3,FECHA_BOV3,"&gt;="&amp;AR$2,FECHA_BOV3,"&lt;="&amp;AR$3,CLAVE_BOV3,$A313)+SUMIFS(SALIDAS_TC,FECHA_TC,"&gt;="&amp;AR$2,FECHA_TC,"&lt;="&amp;AR$3,CLAVE_TC,$A313)+SUMIFS(SALIDAS_COMB,FECHA_COMB,"&gt;="&amp;AR$2,FECHA_COMB,"&lt;="&amp;AR$3,CLAVE_COMB,$A313)+SUMIFS(SALIDAS_DES,FECHA_DESGLOSEN,"&gt;="&amp;AR$2,FECHA_DESGLOSEN,"&lt;="&amp;AR$3,CLAVE_DESGLOSE,$A313)</f>
        <v>0</v>
      </c>
      <c r="AS313" s="162">
        <f>SUMIFS(SALIDAS_BIT,FECHA_BIT,"&gt;="&amp;AS$2,FECHA_BIT,"&lt;="&amp;AS$3,CLAVE_BIT,$A313)+SUMIFS(SALIDAS_BOV1,FECHA_BOV1,"&gt;="&amp;AS$2,FECHA_BOV1,"&lt;="&amp;AS$3,CLAVE_BOV1,$A313)+SUMIFS(SALIDAS_BOV2,FECHA_BOV2,"&gt;="&amp;AS$2,FECHA_BOV2,"&lt;="&amp;AS$3,CLAVE_BOV2,$A313)+SUMIFS(SALIDAS_BOV3,FECHA_BOV3,"&gt;="&amp;AS$2,FECHA_BOV3,"&lt;="&amp;AS$3,CLAVE_BOV3,$A313)+SUMIFS(SALIDAS_TC,FECHA_TC,"&gt;="&amp;AS$2,FECHA_TC,"&lt;="&amp;AS$3,CLAVE_TC,$A313)+SUMIFS(SALIDAS_COMB,FECHA_COMB,"&gt;="&amp;AS$2,FECHA_COMB,"&lt;="&amp;AS$3,CLAVE_COMB,$A313)+SUMIFS(SALIDAS_DES,FECHA_DESGLOSEN,"&gt;="&amp;AS$2,FECHA_DESGLOSEN,"&lt;="&amp;AS$3,CLAVE_DESGLOSE,$A313)</f>
        <v>4500</v>
      </c>
      <c r="AT313" s="227">
        <f>AM313-AS313</f>
        <v>-4500</v>
      </c>
      <c r="AU313" s="301">
        <f>IFERROR((AS313/AM313),0)</f>
        <v>0</v>
      </c>
      <c r="AV313" s="162">
        <f>VLOOKUP($A313,T_PRESUPUESTO,MATCH(AV$6,E_PRESUPUESTO,0),FALSE)</f>
        <v>0</v>
      </c>
      <c r="AW313" s="13">
        <f t="shared" si="611"/>
        <v>0</v>
      </c>
      <c r="AX313" s="13">
        <f t="shared" si="611"/>
        <v>37468</v>
      </c>
      <c r="AY313" s="13">
        <f t="shared" si="611"/>
        <v>23879</v>
      </c>
      <c r="AZ313" s="13">
        <f t="shared" si="611"/>
        <v>13000</v>
      </c>
      <c r="BA313" s="13">
        <f t="shared" si="475"/>
        <v>74347</v>
      </c>
      <c r="BB313" s="227">
        <f>AV313-BA313</f>
        <v>-74347</v>
      </c>
      <c r="BC313" s="301">
        <f>IFERROR((BA313/AV313),0)</f>
        <v>0</v>
      </c>
      <c r="BD313" s="162">
        <f>VLOOKUP($A313,T_PRESUPUESTO,MATCH(BD$6,E_PRESUPUESTO,0),FALSE)</f>
        <v>0</v>
      </c>
      <c r="BE313" s="13">
        <f>SUMIFS(SALIDAS_BIT,FECHA_BIT,"&gt;="&amp;BE$2,FECHA_BIT,"&lt;="&amp;BE$3,CLAVE_BIT,$A313)+SUMIFS(SALIDAS_BOV1,FECHA_BOV1,"&gt;="&amp;BE$2,FECHA_BOV1,"&lt;="&amp;BE$3,CLAVE_BOV1,$A313)+SUMIFS(SALIDAS_BOV2,FECHA_BOV2,"&gt;="&amp;BE$2,FECHA_BOV2,"&lt;="&amp;BE$3,CLAVE_BOV2,$A313)+SUMIFS(SALIDAS_BOV3,FECHA_BOV3,"&gt;="&amp;BE$2,FECHA_BOV3,"&lt;="&amp;BE$3,CLAVE_BOV3,$A313)+SUMIFS(SALIDAS_TC,FECHA_TC,"&gt;="&amp;BE$2,FECHA_TC,"&lt;="&amp;BE$3,CLAVE_TC,$A313)+SUMIFS(SALIDAS_COMB,FECHA_COMB,"&gt;="&amp;BE$2,FECHA_COMB,"&lt;="&amp;BE$3,CLAVE_COMB,$A313)+SUMIFS(SALIDAS_DES,FECHA_DESGLOSEN,"&gt;="&amp;BE$2,FECHA_DESGLOSEN,"&lt;="&amp;BE$3,CLAVE_DESGLOSE,$A313)</f>
        <v>0</v>
      </c>
      <c r="BF313" s="13">
        <f>SUMIFS(SALIDAS_BIT,FECHA_BIT,"&gt;="&amp;BF$2,FECHA_BIT,"&lt;="&amp;BF$3,CLAVE_BIT,$A313)+SUMIFS(SALIDAS_BOV1,FECHA_BOV1,"&gt;="&amp;BF$2,FECHA_BOV1,"&lt;="&amp;BF$3,CLAVE_BOV1,$A313)+SUMIFS(SALIDAS_BOV2,FECHA_BOV2,"&gt;="&amp;BF$2,FECHA_BOV2,"&lt;="&amp;BF$3,CLAVE_BOV2,$A313)+SUMIFS(SALIDAS_BOV3,FECHA_BOV3,"&gt;="&amp;BF$2,FECHA_BOV3,"&lt;="&amp;BF$3,CLAVE_BOV3,$A313)+SUMIFS(SALIDAS_TC,FECHA_TC,"&gt;="&amp;BF$2,FECHA_TC,"&lt;="&amp;BF$3,CLAVE_TC,$A313)+SUMIFS(SALIDAS_COMB,FECHA_COMB,"&gt;="&amp;BF$2,FECHA_COMB,"&lt;="&amp;BF$3,CLAVE_COMB,$A313)+SUMIFS(SALIDAS_DES,FECHA_DESGLOSEN,"&gt;="&amp;BF$2,FECHA_DESGLOSEN,"&lt;="&amp;BF$3,CLAVE_DESGLOSE,$A313)</f>
        <v>0</v>
      </c>
      <c r="BG313" s="13">
        <f>SUMIFS(SALIDAS_BIT,FECHA_BIT,"&gt;="&amp;BG$2,FECHA_BIT,"&lt;="&amp;BG$3,CLAVE_BIT,$A313)+SUMIFS(SALIDAS_BOV1,FECHA_BOV1,"&gt;="&amp;BG$2,FECHA_BOV1,"&lt;="&amp;BG$3,CLAVE_BOV1,$A313)+SUMIFS(SALIDAS_BOV2,FECHA_BOV2,"&gt;="&amp;BG$2,FECHA_BOV2,"&lt;="&amp;BG$3,CLAVE_BOV2,$A313)+SUMIFS(SALIDAS_BOV3,FECHA_BOV3,"&gt;="&amp;BG$2,FECHA_BOV3,"&lt;="&amp;BG$3,CLAVE_BOV3,$A313)+SUMIFS(SALIDAS_TC,FECHA_TC,"&gt;="&amp;BG$2,FECHA_TC,"&lt;="&amp;BG$3,CLAVE_TC,$A313)+SUMIFS(SALIDAS_COMB,FECHA_COMB,"&gt;="&amp;BG$2,FECHA_COMB,"&lt;="&amp;BG$3,CLAVE_COMB,$A313)+SUMIFS(SALIDAS_DES,FECHA_DESGLOSEN,"&gt;="&amp;BG$2,FECHA_DESGLOSEN,"&lt;="&amp;BG$3,CLAVE_DESGLOSE,$A313)</f>
        <v>0</v>
      </c>
      <c r="BH313" s="13">
        <f>SUMIFS(SALIDAS_BIT,FECHA_BIT,"&gt;="&amp;BH$2,FECHA_BIT,"&lt;="&amp;BH$3,CLAVE_BIT,$A313)+SUMIFS(SALIDAS_BOV1,FECHA_BOV1,"&gt;="&amp;BH$2,FECHA_BOV1,"&lt;="&amp;BH$3,CLAVE_BOV1,$A313)+SUMIFS(SALIDAS_BOV2,FECHA_BOV2,"&gt;="&amp;BH$2,FECHA_BOV2,"&lt;="&amp;BH$3,CLAVE_BOV2,$A313)+SUMIFS(SALIDAS_BOV3,FECHA_BOV3,"&gt;="&amp;BH$2,FECHA_BOV3,"&lt;="&amp;BH$3,CLAVE_BOV3,$A313)+SUMIFS(SALIDAS_TC,FECHA_TC,"&gt;="&amp;BH$2,FECHA_TC,"&lt;="&amp;BH$3,CLAVE_TC,$A313)+SUMIFS(SALIDAS_COMB,FECHA_COMB,"&gt;="&amp;BH$2,FECHA_COMB,"&lt;="&amp;BH$3,CLAVE_COMB,$A313)+SUMIFS(SALIDAS_DES,FECHA_DESGLOSEN,"&gt;="&amp;BH$2,FECHA_DESGLOSEN,"&lt;="&amp;BH$3,CLAVE_DESGLOSE,$A313)</f>
        <v>0</v>
      </c>
      <c r="BI313" s="162">
        <f>SUMIFS(SALIDAS_BIT,FECHA_BIT,"&gt;="&amp;BI$2,FECHA_BIT,"&lt;="&amp;BI$3,CLAVE_BIT,$A313)+SUMIFS(SALIDAS_BOV1,FECHA_BOV1,"&gt;="&amp;BI$2,FECHA_BOV1,"&lt;="&amp;BI$3,CLAVE_BOV1,$A313)+SUMIFS(SALIDAS_BOV2,FECHA_BOV2,"&gt;="&amp;BI$2,FECHA_BOV2,"&lt;="&amp;BI$3,CLAVE_BOV2,$A313)+SUMIFS(SALIDAS_BOV3,FECHA_BOV3,"&gt;="&amp;BI$2,FECHA_BOV3,"&lt;="&amp;BI$3,CLAVE_BOV3,$A313)+SUMIFS(SALIDAS_TC,FECHA_TC,"&gt;="&amp;BI$2,FECHA_TC,"&lt;="&amp;BI$3,CLAVE_TC,$A313)+SUMIFS(SALIDAS_COMB,FECHA_COMB,"&gt;="&amp;BI$2,FECHA_COMB,"&lt;="&amp;BI$3,CLAVE_COMB,$A313)+SUMIFS(SALIDAS_DES,FECHA_DESGLOSEN,"&gt;="&amp;BI$2,FECHA_DESGLOSEN,"&lt;="&amp;BI$3,CLAVE_DESGLOSE,$A313)</f>
        <v>0</v>
      </c>
      <c r="BJ313" s="227">
        <f>BD313-BI313</f>
        <v>0</v>
      </c>
      <c r="BK313" s="301">
        <f>IFERROR((BI313/BD313),0)</f>
        <v>0</v>
      </c>
      <c r="BL313" s="162">
        <f>VLOOKUP($A313,T_PRESUPUESTO,MATCH(BL$6,E_PRESUPUESTO,0),FALSE)</f>
        <v>0</v>
      </c>
      <c r="BM313" s="13">
        <f>SUMIFS(SALIDAS_BIT,FECHA_BIT,"&gt;="&amp;BM$2,FECHA_BIT,"&lt;="&amp;BM$3,CLAVE_BIT,$A313)+SUMIFS(SALIDAS_BOV1,FECHA_BOV1,"&gt;="&amp;BM$2,FECHA_BOV1,"&lt;="&amp;BM$3,CLAVE_BOV1,$A313)+SUMIFS(SALIDAS_BOV2,FECHA_BOV2,"&gt;="&amp;BM$2,FECHA_BOV2,"&lt;="&amp;BM$3,CLAVE_BOV2,$A313)+SUMIFS(SALIDAS_BOV3,FECHA_BOV3,"&gt;="&amp;BM$2,FECHA_BOV3,"&lt;="&amp;BM$3,CLAVE_BOV3,$A313)+SUMIFS(SALIDAS_TC,FECHA_TC,"&gt;="&amp;BM$2,FECHA_TC,"&lt;="&amp;BM$3,CLAVE_TC,$A313)+SUMIFS(SALIDAS_COMB,FECHA_COMB,"&gt;="&amp;BM$2,FECHA_COMB,"&lt;="&amp;BM$3,CLAVE_COMB,$A313)+SUMIFS(SALIDAS_DES,FECHA_DESGLOSEN,"&gt;="&amp;BM$2,FECHA_DESGLOSEN,"&lt;="&amp;BM$3,CLAVE_DESGLOSE,$A313)</f>
        <v>0</v>
      </c>
      <c r="BN313" s="13">
        <f>SUMIFS(SALIDAS_BIT,FECHA_BIT,"&gt;="&amp;BN$2,FECHA_BIT,"&lt;="&amp;BN$3,CLAVE_BIT,$A313)+SUMIFS(SALIDAS_BOV1,FECHA_BOV1,"&gt;="&amp;BN$2,FECHA_BOV1,"&lt;="&amp;BN$3,CLAVE_BOV1,$A313)+SUMIFS(SALIDAS_BOV2,FECHA_BOV2,"&gt;="&amp;BN$2,FECHA_BOV2,"&lt;="&amp;BN$3,CLAVE_BOV2,$A313)+SUMIFS(SALIDAS_BOV3,FECHA_BOV3,"&gt;="&amp;BN$2,FECHA_BOV3,"&lt;="&amp;BN$3,CLAVE_BOV3,$A313)+SUMIFS(SALIDAS_TC,FECHA_TC,"&gt;="&amp;BN$2,FECHA_TC,"&lt;="&amp;BN$3,CLAVE_TC,$A313)+SUMIFS(SALIDAS_COMB,FECHA_COMB,"&gt;="&amp;BN$2,FECHA_COMB,"&lt;="&amp;BN$3,CLAVE_COMB,$A313)+SUMIFS(SALIDAS_DES,FECHA_DESGLOSEN,"&gt;="&amp;BN$2,FECHA_DESGLOSEN,"&lt;="&amp;BN$3,CLAVE_DESGLOSE,$A313)</f>
        <v>6000</v>
      </c>
      <c r="BO313" s="13">
        <f>SUMIFS(SALIDAS_BIT,FECHA_BIT,"&gt;="&amp;BO$2,FECHA_BIT,"&lt;="&amp;BO$3,CLAVE_BIT,$A313)+SUMIFS(SALIDAS_BOV1,FECHA_BOV1,"&gt;="&amp;BO$2,FECHA_BOV1,"&lt;="&amp;BO$3,CLAVE_BOV1,$A313)+SUMIFS(SALIDAS_BOV2,FECHA_BOV2,"&gt;="&amp;BO$2,FECHA_BOV2,"&lt;="&amp;BO$3,CLAVE_BOV2,$A313)+SUMIFS(SALIDAS_BOV3,FECHA_BOV3,"&gt;="&amp;BO$2,FECHA_BOV3,"&lt;="&amp;BO$3,CLAVE_BOV3,$A313)+SUMIFS(SALIDAS_TC,FECHA_TC,"&gt;="&amp;BO$2,FECHA_TC,"&lt;="&amp;BO$3,CLAVE_TC,$A313)+SUMIFS(SALIDAS_COMB,FECHA_COMB,"&gt;="&amp;BO$2,FECHA_COMB,"&lt;="&amp;BO$3,CLAVE_COMB,$A313)+SUMIFS(SALIDAS_DES,FECHA_DESGLOSEN,"&gt;="&amp;BO$2,FECHA_DESGLOSEN,"&lt;="&amp;BO$3,CLAVE_DESGLOSE,$A313)</f>
        <v>0</v>
      </c>
      <c r="BP313" s="13">
        <f>SUMIFS(SALIDAS_BIT,FECHA_BIT,"&gt;="&amp;BP$2,FECHA_BIT,"&lt;="&amp;BP$3,CLAVE_BIT,$A313)+SUMIFS(SALIDAS_BOV1,FECHA_BOV1,"&gt;="&amp;BP$2,FECHA_BOV1,"&lt;="&amp;BP$3,CLAVE_BOV1,$A313)+SUMIFS(SALIDAS_BOV2,FECHA_BOV2,"&gt;="&amp;BP$2,FECHA_BOV2,"&lt;="&amp;BP$3,CLAVE_BOV2,$A313)+SUMIFS(SALIDAS_BOV3,FECHA_BOV3,"&gt;="&amp;BP$2,FECHA_BOV3,"&lt;="&amp;BP$3,CLAVE_BOV3,$A313)+SUMIFS(SALIDAS_TC,FECHA_TC,"&gt;="&amp;BP$2,FECHA_TC,"&lt;="&amp;BP$3,CLAVE_TC,$A313)+SUMIFS(SALIDAS_COMB,FECHA_COMB,"&gt;="&amp;BP$2,FECHA_COMB,"&lt;="&amp;BP$3,CLAVE_COMB,$A313)+SUMIFS(SALIDAS_DES,FECHA_DESGLOSEN,"&gt;="&amp;BP$2,FECHA_DESGLOSEN,"&lt;="&amp;BP$3,CLAVE_DESGLOSE,$A313)</f>
        <v>0</v>
      </c>
      <c r="BQ313" s="13">
        <f>SUMIFS(SALIDAS_BIT,FECHA_BIT,"&gt;="&amp;BQ$2,FECHA_BIT,"&lt;="&amp;BQ$3,CLAVE_BIT,$A313)+SUMIFS(SALIDAS_BOV1,FECHA_BOV1,"&gt;="&amp;BQ$2,FECHA_BOV1,"&lt;="&amp;BQ$3,CLAVE_BOV1,$A313)+SUMIFS(SALIDAS_BOV2,FECHA_BOV2,"&gt;="&amp;BQ$2,FECHA_BOV2,"&lt;="&amp;BQ$3,CLAVE_BOV2,$A313)+SUMIFS(SALIDAS_BOV3,FECHA_BOV3,"&gt;="&amp;BQ$2,FECHA_BOV3,"&lt;="&amp;BQ$3,CLAVE_BOV3,$A313)+SUMIFS(SALIDAS_TC,FECHA_TC,"&gt;="&amp;BQ$2,FECHA_TC,"&lt;="&amp;BQ$3,CLAVE_TC,$A313)+SUMIFS(SALIDAS_COMB,FECHA_COMB,"&gt;="&amp;BQ$2,FECHA_COMB,"&lt;="&amp;BQ$3,CLAVE_COMB,$A313)+SUMIFS(SALIDAS_DES,FECHA_DESGLOSEN,"&gt;="&amp;BQ$2,FECHA_DESGLOSEN,"&lt;="&amp;BQ$3,CLAVE_DESGLOSE,$A313)</f>
        <v>0</v>
      </c>
      <c r="BR313" s="162">
        <f>SUMIFS(SALIDAS_BIT,FECHA_BIT,"&gt;="&amp;BR$2,FECHA_BIT,"&lt;="&amp;BR$3,CLAVE_BIT,$A313)+SUMIFS(SALIDAS_BOV1,FECHA_BOV1,"&gt;="&amp;BR$2,FECHA_BOV1,"&lt;="&amp;BR$3,CLAVE_BOV1,$A313)+SUMIFS(SALIDAS_BOV2,FECHA_BOV2,"&gt;="&amp;BR$2,FECHA_BOV2,"&lt;="&amp;BR$3,CLAVE_BOV2,$A313)+SUMIFS(SALIDAS_BOV3,FECHA_BOV3,"&gt;="&amp;BR$2,FECHA_BOV3,"&lt;="&amp;BR$3,CLAVE_BOV3,$A313)+SUMIFS(SALIDAS_TC,FECHA_TC,"&gt;="&amp;BR$2,FECHA_TC,"&lt;="&amp;BR$3,CLAVE_TC,$A313)+SUMIFS(SALIDAS_COMB,FECHA_COMB,"&gt;="&amp;BR$2,FECHA_COMB,"&lt;="&amp;BR$3,CLAVE_COMB,$A313)+SUMIFS(SALIDAS_DES,FECHA_DESGLOSEN,"&gt;="&amp;BR$2,FECHA_DESGLOSEN,"&lt;="&amp;BR$3,CLAVE_DESGLOSE,$A313)</f>
        <v>6000</v>
      </c>
      <c r="BS313" s="227">
        <f>BL313-BR313</f>
        <v>-6000</v>
      </c>
      <c r="BT313" s="301">
        <f>IFERROR((BR313/BL313),0)</f>
        <v>0</v>
      </c>
      <c r="BU313" s="162">
        <f>VLOOKUP($A313,T_PRESUPUESTO,MATCH(BU$6,E_PRESUPUESTO,0),FALSE)</f>
        <v>0</v>
      </c>
      <c r="BV313" s="13">
        <f t="shared" si="485"/>
        <v>0</v>
      </c>
      <c r="BW313" s="13">
        <f t="shared" si="485"/>
        <v>0</v>
      </c>
      <c r="BX313" s="13">
        <f t="shared" si="485"/>
        <v>0</v>
      </c>
      <c r="BY313" s="13">
        <f t="shared" si="485"/>
        <v>16000</v>
      </c>
      <c r="BZ313" s="162">
        <f>SUMIFS(SALIDAS_BIT,FECHA_BIT,"&gt;="&amp;BZ$2,FECHA_BIT,"&lt;="&amp;BZ$3,CLAVE_BIT,$A313)+SUMIFS(SALIDAS_BOV1,FECHA_BOV1,"&gt;="&amp;BZ$2,FECHA_BOV1,"&lt;="&amp;BZ$3,CLAVE_BOV1,$A313)+SUMIFS(SALIDAS_BOV2,FECHA_BOV2,"&gt;="&amp;BZ$2,FECHA_BOV2,"&lt;="&amp;BZ$3,CLAVE_BOV2,$A313)+SUMIFS(SALIDAS_BOV3,FECHA_BOV3,"&gt;="&amp;BZ$2,FECHA_BOV3,"&lt;="&amp;BZ$3,CLAVE_BOV3,$A313)+SUMIFS(SALIDAS_TC,FECHA_TC,"&gt;="&amp;BZ$2,FECHA_TC,"&lt;="&amp;BZ$3,CLAVE_TC,$A313)+SUMIFS(SALIDAS_COMB,FECHA_COMB,"&gt;="&amp;BZ$2,FECHA_COMB,"&lt;="&amp;BZ$3,CLAVE_COMB,$A313)+SUMIFS(SALIDAS_DES,FECHA_DESGLOSEN,"&gt;="&amp;BZ$2,FECHA_DESGLOSEN,"&lt;="&amp;BZ$3,CLAVE_DESGLOSE,$A313)</f>
        <v>16000</v>
      </c>
      <c r="CA313" s="227">
        <f>BU313-BZ313</f>
        <v>-16000</v>
      </c>
      <c r="CB313" s="301">
        <f>IFERROR((BZ313/BU313),0)</f>
        <v>0</v>
      </c>
      <c r="CC313" s="162">
        <f>VLOOKUP($A313,T_PRESUPUESTO,MATCH(CC$6,E_PRESUPUESTO,0),FALSE)</f>
        <v>0</v>
      </c>
      <c r="CD313" s="13">
        <f t="shared" si="486"/>
        <v>0</v>
      </c>
      <c r="CE313" s="13">
        <f t="shared" si="486"/>
        <v>2518</v>
      </c>
      <c r="CF313" s="13">
        <f t="shared" si="486"/>
        <v>0</v>
      </c>
      <c r="CG313" s="13">
        <f t="shared" si="486"/>
        <v>29500</v>
      </c>
      <c r="CH313" s="162">
        <f>SUMIFS(SALIDAS_BIT,FECHA_BIT,"&gt;="&amp;CH$2,FECHA_BIT,"&lt;="&amp;CH$3,CLAVE_BIT,$A313)+SUMIFS(SALIDAS_BOV1,FECHA_BOV1,"&gt;="&amp;CH$2,FECHA_BOV1,"&lt;="&amp;CH$3,CLAVE_BOV1,$A313)+SUMIFS(SALIDAS_BOV2,FECHA_BOV2,"&gt;="&amp;CH$2,FECHA_BOV2,"&lt;="&amp;CH$3,CLAVE_BOV2,$A313)+SUMIFS(SALIDAS_BOV3,FECHA_BOV3,"&gt;="&amp;CH$2,FECHA_BOV3,"&lt;="&amp;CH$3,CLAVE_BOV3,$A313)+SUMIFS(SALIDAS_TC,FECHA_TC,"&gt;="&amp;CH$2,FECHA_TC,"&lt;="&amp;CH$3,CLAVE_TC,$A313)+SUMIFS(SALIDAS_COMB,FECHA_COMB,"&gt;="&amp;CH$2,FECHA_COMB,"&lt;="&amp;CH$3,CLAVE_COMB,$A313)+SUMIFS(SALIDAS_DES,FECHA_DESGLOSEN,"&gt;="&amp;CH$2,FECHA_DESGLOSEN,"&lt;="&amp;CH$3,CLAVE_DESGLOSE,$A313)</f>
        <v>32018</v>
      </c>
      <c r="CI313" s="227">
        <f>CC313-CH313</f>
        <v>-32018</v>
      </c>
      <c r="CJ313" s="301">
        <f>IFERROR((CH313/CC313),0)</f>
        <v>0</v>
      </c>
      <c r="CK313" s="162">
        <f>VLOOKUP($A313,T_PRESUPUESTO,MATCH(CK$6,E_PRESUPUESTO,0),FALSE)</f>
        <v>0</v>
      </c>
      <c r="CL313" s="13">
        <f t="shared" si="495"/>
        <v>0</v>
      </c>
      <c r="CM313" s="13">
        <f t="shared" si="495"/>
        <v>9443</v>
      </c>
      <c r="CN313" s="13">
        <f t="shared" si="495"/>
        <v>1500</v>
      </c>
      <c r="CO313" s="13">
        <f t="shared" si="495"/>
        <v>0</v>
      </c>
      <c r="CP313" s="13">
        <f t="shared" si="495"/>
        <v>447</v>
      </c>
      <c r="CQ313" s="162">
        <f>SUMIFS(SALIDAS_BIT,FECHA_BIT,"&gt;="&amp;CQ$2,FECHA_BIT,"&lt;="&amp;CQ$3,CLAVE_BIT,$A313)+SUMIFS(SALIDAS_BOV1,FECHA_BOV1,"&gt;="&amp;CQ$2,FECHA_BOV1,"&lt;="&amp;CQ$3,CLAVE_BOV1,$A313)+SUMIFS(SALIDAS_BOV2,FECHA_BOV2,"&gt;="&amp;CQ$2,FECHA_BOV2,"&lt;="&amp;CQ$3,CLAVE_BOV2,$A313)+SUMIFS(SALIDAS_BOV3,FECHA_BOV3,"&gt;="&amp;CQ$2,FECHA_BOV3,"&lt;="&amp;CQ$3,CLAVE_BOV3,$A313)+SUMIFS(SALIDAS_TC,FECHA_TC,"&gt;="&amp;CQ$2,FECHA_TC,"&lt;="&amp;CQ$3,CLAVE_TC,$A313)+SUMIFS(SALIDAS_COMB,FECHA_COMB,"&gt;="&amp;CQ$2,FECHA_COMB,"&lt;="&amp;CQ$3,CLAVE_COMB,$A313)+SUMIFS(SALIDAS_DES,FECHA_DESGLOSEN,"&gt;="&amp;CQ$2,FECHA_DESGLOSEN,"&lt;="&amp;CQ$3,CLAVE_DESGLOSE,$A313)</f>
        <v>11390</v>
      </c>
      <c r="CR313" s="227">
        <f>CK313-CQ313</f>
        <v>-11390</v>
      </c>
      <c r="CS313" s="301">
        <f>IFERROR((CQ313/CK313),0)</f>
        <v>0</v>
      </c>
      <c r="CT313" s="68">
        <f t="shared" si="446"/>
        <v>0</v>
      </c>
      <c r="CU313" s="13">
        <f>SUMIFS(SALIDAS_BIT,FECHA_BIT,"&gt;="&amp;CU$2,FECHA_BIT,"&lt;="&amp;CU$3,CLAVE_BIT,$A313)+SUMIFS(SALIDAS_BOV1,FECHA_BOV1,"&gt;="&amp;CU$2,FECHA_BOV1,"&lt;="&amp;CU$3,CLAVE_BOV1,$A313)+SUMIFS(SALIDAS_BOV2,FECHA_BOV2,"&gt;="&amp;CU$2,FECHA_BOV2,"&lt;="&amp;CU$3,CLAVE_BOV2,$A313)+SUMIFS(SALIDAS_BOV3,FECHA_BOV3,"&gt;="&amp;CU$2,FECHA_BOV3,"&lt;="&amp;CU$3,CLAVE_BOV3,$A313)+SUMIFS(SALIDAS_TC,FECHA_TC,"&gt;="&amp;CU$2,FECHA_TC,"&lt;="&amp;CU$3,CLAVE_TC,$A313)+SUMIFS(SALIDAS_COMB,FECHA_COMB,"&gt;="&amp;CU$2,FECHA_COMB,"&lt;="&amp;CU$3,CLAVE_COMB,$A313)+SUMIFS(SALIDAS_DES,FECHA_DESGLOSEN,"&gt;="&amp;CU$2,FECHA_DESGLOSEN,"&lt;="&amp;CU$3,CLAVE_DESGLOSE,$A313)</f>
        <v>0</v>
      </c>
      <c r="CV313" s="13">
        <f>SUMIFS(SALIDAS_BIT,FECHA_BIT,"&gt;="&amp;CV$2,FECHA_BIT,"&lt;="&amp;CV$3,CLAVE_BIT,$A313)+SUMIFS(SALIDAS_BOV1,FECHA_BOV1,"&gt;="&amp;CV$2,FECHA_BOV1,"&lt;="&amp;CV$3,CLAVE_BOV1,$A313)+SUMIFS(SALIDAS_BOV2,FECHA_BOV2,"&gt;="&amp;CV$2,FECHA_BOV2,"&lt;="&amp;CV$3,CLAVE_BOV2,$A313)+SUMIFS(SALIDAS_BOV3,FECHA_BOV3,"&gt;="&amp;CV$2,FECHA_BOV3,"&lt;="&amp;CV$3,CLAVE_BOV3,$A313)+SUMIFS(SALIDAS_TC,FECHA_TC,"&gt;="&amp;CV$2,FECHA_TC,"&lt;="&amp;CV$3,CLAVE_TC,$A313)+SUMIFS(SALIDAS_COMB,FECHA_COMB,"&gt;="&amp;CV$2,FECHA_COMB,"&lt;="&amp;CV$3,CLAVE_COMB,$A313)+SUMIFS(SALIDAS_DES,FECHA_DESGLOSEN,"&gt;="&amp;CV$2,FECHA_DESGLOSEN,"&lt;="&amp;CV$3,CLAVE_DESGLOSE,$A313)</f>
        <v>0</v>
      </c>
      <c r="CW313" s="13">
        <f>SUMIFS(SALIDAS_BIT,FECHA_BIT,"&gt;="&amp;CW$2,FECHA_BIT,"&lt;="&amp;CW$3,CLAVE_BIT,$A313)+SUMIFS(SALIDAS_BOV1,FECHA_BOV1,"&gt;="&amp;CW$2,FECHA_BOV1,"&lt;="&amp;CW$3,CLAVE_BOV1,$A313)+SUMIFS(SALIDAS_BOV2,FECHA_BOV2,"&gt;="&amp;CW$2,FECHA_BOV2,"&lt;="&amp;CW$3,CLAVE_BOV2,$A313)+SUMIFS(SALIDAS_BOV3,FECHA_BOV3,"&gt;="&amp;CW$2,FECHA_BOV3,"&lt;="&amp;CW$3,CLAVE_BOV3,$A313)+SUMIFS(SALIDAS_TC,FECHA_TC,"&gt;="&amp;CW$2,FECHA_TC,"&lt;="&amp;CW$3,CLAVE_TC,$A313)+SUMIFS(SALIDAS_COMB,FECHA_COMB,"&gt;="&amp;CW$2,FECHA_COMB,"&lt;="&amp;CW$3,CLAVE_COMB,$A313)+SUMIFS(SALIDAS_DES,FECHA_DESGLOSEN,"&gt;="&amp;CW$2,FECHA_DESGLOSEN,"&lt;="&amp;CW$3,CLAVE_DESGLOSE,$A313)</f>
        <v>0</v>
      </c>
      <c r="CX313" s="13">
        <f>SUMIFS(SALIDAS_BIT,FECHA_BIT,"&gt;="&amp;CX$2,FECHA_BIT,"&lt;="&amp;CX$3,CLAVE_BIT,$A313)+SUMIFS(SALIDAS_BOV1,FECHA_BOV1,"&gt;="&amp;CX$2,FECHA_BOV1,"&lt;="&amp;CX$3,CLAVE_BOV1,$A313)+SUMIFS(SALIDAS_BOV2,FECHA_BOV2,"&gt;="&amp;CX$2,FECHA_BOV2,"&lt;="&amp;CX$3,CLAVE_BOV2,$A313)+SUMIFS(SALIDAS_BOV3,FECHA_BOV3,"&gt;="&amp;CX$2,FECHA_BOV3,"&lt;="&amp;CX$3,CLAVE_BOV3,$A313)+SUMIFS(SALIDAS_TC,FECHA_TC,"&gt;="&amp;CX$2,FECHA_TC,"&lt;="&amp;CX$3,CLAVE_TC,$A313)+SUMIFS(SALIDAS_COMB,FECHA_COMB,"&gt;="&amp;CX$2,FECHA_COMB,"&lt;="&amp;CX$3,CLAVE_COMB,$A313)+SUMIFS(SALIDAS_DES,FECHA_DESGLOSEN,"&gt;="&amp;CX$2,FECHA_DESGLOSEN,"&lt;="&amp;CX$3,CLAVE_DESGLOSE,$A313)</f>
        <v>223930</v>
      </c>
      <c r="CY313" s="13">
        <f>SUMIFS(SALIDAS_BIT,FECHA_BIT,"&gt;="&amp;CY$2,FECHA_BIT,"&lt;="&amp;CY$3,CLAVE_BIT,$A313)+SUMIFS(SALIDAS_BOV1,FECHA_BOV1,"&gt;="&amp;CY$2,FECHA_BOV1,"&lt;="&amp;CY$3,CLAVE_BOV1,$A313)+SUMIFS(SALIDAS_BOV2,FECHA_BOV2,"&gt;="&amp;CY$2,FECHA_BOV2,"&lt;="&amp;CY$3,CLAVE_BOV2,$A313)+SUMIFS(SALIDAS_BOV3,FECHA_BOV3,"&gt;="&amp;CY$2,FECHA_BOV3,"&lt;="&amp;CY$3,CLAVE_BOV3,$A313)+SUMIFS(SALIDAS_TC,FECHA_TC,"&gt;="&amp;CY$2,FECHA_TC,"&lt;="&amp;CY$3,CLAVE_TC,$A313)+SUMIFS(SALIDAS_COMB,FECHA_COMB,"&gt;="&amp;CY$2,FECHA_COMB,"&lt;="&amp;CY$3,CLAVE_COMB,$A313)+SUMIFS(SALIDAS_DES,FECHA_DESGLOSEN,"&gt;="&amp;CY$2,FECHA_DESGLOSEN,"&lt;="&amp;CY$3,CLAVE_DESGLOSE,$A313)</f>
        <v>223930</v>
      </c>
      <c r="CZ313" s="68">
        <f t="shared" si="474"/>
        <v>-223930</v>
      </c>
      <c r="DB313" s="17">
        <f>F313+N313+W313+AE313+AM313+AV313+BD313+BL313+BU313+CC313+CK313</f>
        <v>0</v>
      </c>
      <c r="DC313" s="17">
        <f>K313+T313+AB313+AJ313+AS313+BA313+BI313+BR313+BZ313+CH313+CQ313</f>
        <v>144255</v>
      </c>
    </row>
    <row r="314" spans="1:107" ht="15" hidden="1">
      <c r="A314" s="12" t="str">
        <f>C314&amp;D314&amp;E314</f>
        <v>FINANZASCUOTAS Y SUSCRIPCIONESTRASLADO DE VALORES</v>
      </c>
      <c r="B314">
        <v>314</v>
      </c>
      <c r="C314" t="s">
        <v>23</v>
      </c>
      <c r="D314" t="s">
        <v>51</v>
      </c>
      <c r="E314" t="s">
        <v>82</v>
      </c>
      <c r="F314" s="260">
        <f>VLOOKUP($A314,T_PRESUPUESTO,MATCH(F$6,E_PRESUPUESTO,0),FALSE)</f>
        <v>0</v>
      </c>
      <c r="G314" s="162">
        <f>SUMIFS(SALIDAS_BIT,FECHA_BIT,"&gt;="&amp;G$2,FECHA_BIT,"&lt;="&amp;G$3,CLAVE_BIT,$A314)+SUMIFS(SALIDAS_BOV1,FECHA_BOV1,"&gt;="&amp;G$2,FECHA_BOV1,"&lt;="&amp;G$3,CLAVE_BOV1,$A314)+SUMIFS(SALIDAS_BOV2,FECHA_BOV2,"&gt;="&amp;G$2,FECHA_BOV2,"&lt;="&amp;G$3,CLAVE_BOV2,$A314)+SUMIFS(SALIDAS_BOV3,FECHA_BOV3,"&gt;="&amp;G$2,FECHA_BOV3,"&lt;="&amp;G$3,CLAVE_BOV3,$A314)+SUMIFS(SALIDAS_TC,FECHA_TC,"&gt;="&amp;G$2,FECHA_TC,"&lt;="&amp;G$3,CLAVE_TC,$A314)+SUMIFS(SALIDAS_COMB,FECHA_COMB,"&gt;="&amp;G$2,FECHA_COMB,"&lt;="&amp;G$3,CLAVE_COMB,$A314)+SUMIFS(SALIDAS_DES,FECHA_DESGLOSEN,"&gt;="&amp;G$2,FECHA_DESGLOSEN,"&lt;="&amp;G$3,CLAVE_DESGLOSE,$A314)</f>
        <v>0</v>
      </c>
      <c r="H314" s="162">
        <f>SUMIFS(SALIDAS_BIT,FECHA_BIT,"&gt;="&amp;H$2,FECHA_BIT,"&lt;="&amp;H$3,CLAVE_BIT,$A314)+SUMIFS(SALIDAS_BOV1,FECHA_BOV1,"&gt;="&amp;H$2,FECHA_BOV1,"&lt;="&amp;H$3,CLAVE_BOV1,$A314)+SUMIFS(SALIDAS_BOV2,FECHA_BOV2,"&gt;="&amp;H$2,FECHA_BOV2,"&lt;="&amp;H$3,CLAVE_BOV2,$A314)+SUMIFS(SALIDAS_BOV3,FECHA_BOV3,"&gt;="&amp;H$2,FECHA_BOV3,"&lt;="&amp;H$3,CLAVE_BOV3,$A314)+SUMIFS(SALIDAS_TC,FECHA_TC,"&gt;="&amp;H$2,FECHA_TC,"&lt;="&amp;H$3,CLAVE_TC,$A314)+SUMIFS(SALIDAS_COMB,FECHA_COMB,"&gt;="&amp;H$2,FECHA_COMB,"&lt;="&amp;H$3,CLAVE_COMB,$A314)+SUMIFS(SALIDAS_DES,FECHA_DESGLOSEN,"&gt;="&amp;H$2,FECHA_DESGLOSEN,"&lt;="&amp;H$3,CLAVE_DESGLOSE,$A314)</f>
        <v>0</v>
      </c>
      <c r="I314" s="162">
        <f>SUMIFS(SALIDAS_BIT,FECHA_BIT,"&gt;="&amp;I$2,FECHA_BIT,"&lt;="&amp;I$3,CLAVE_BIT,$A314)+SUMIFS(SALIDAS_BOV1,FECHA_BOV1,"&gt;="&amp;I$2,FECHA_BOV1,"&lt;="&amp;I$3,CLAVE_BOV1,$A314)+SUMIFS(SALIDAS_BOV2,FECHA_BOV2,"&gt;="&amp;I$2,FECHA_BOV2,"&lt;="&amp;I$3,CLAVE_BOV2,$A314)+SUMIFS(SALIDAS_BOV3,FECHA_BOV3,"&gt;="&amp;I$2,FECHA_BOV3,"&lt;="&amp;I$3,CLAVE_BOV3,$A314)+SUMIFS(SALIDAS_TC,FECHA_TC,"&gt;="&amp;I$2,FECHA_TC,"&lt;="&amp;I$3,CLAVE_TC,$A314)+SUMIFS(SALIDAS_COMB,FECHA_COMB,"&gt;="&amp;I$2,FECHA_COMB,"&lt;="&amp;I$3,CLAVE_COMB,$A314)+SUMIFS(SALIDAS_DES,FECHA_DESGLOSEN,"&gt;="&amp;I$2,FECHA_DESGLOSEN,"&lt;="&amp;I$3,CLAVE_DESGLOSE,$A314)</f>
        <v>0</v>
      </c>
      <c r="J314" s="162">
        <f>SUMIFS(SALIDAS_BIT,FECHA_BIT,"&gt;="&amp;J$2,FECHA_BIT,"&lt;="&amp;J$3,CLAVE_BIT,$A314)+SUMIFS(SALIDAS_BOV1,FECHA_BOV1,"&gt;="&amp;J$2,FECHA_BOV1,"&lt;="&amp;J$3,CLAVE_BOV1,$A314)+SUMIFS(SALIDAS_BOV2,FECHA_BOV2,"&gt;="&amp;J$2,FECHA_BOV2,"&lt;="&amp;J$3,CLAVE_BOV2,$A314)+SUMIFS(SALIDAS_BOV3,FECHA_BOV3,"&gt;="&amp;J$2,FECHA_BOV3,"&lt;="&amp;J$3,CLAVE_BOV3,$A314)+SUMIFS(SALIDAS_TC,FECHA_TC,"&gt;="&amp;J$2,FECHA_TC,"&lt;="&amp;J$3,CLAVE_TC,$A314)+SUMIFS(SALIDAS_COMB,FECHA_COMB,"&gt;="&amp;J$2,FECHA_COMB,"&lt;="&amp;J$3,CLAVE_COMB,$A314)+SUMIFS(SALIDAS_DES,FECHA_DESGLOSEN,"&gt;="&amp;J$2,FECHA_DESGLOSEN,"&lt;="&amp;J$3,CLAVE_DESGLOSE,$A314)</f>
        <v>0</v>
      </c>
      <c r="K314" s="162">
        <f>SUMIFS(SALIDAS_BIT,FECHA_BIT,"&gt;="&amp;K$2,FECHA_BIT,"&lt;="&amp;K$3,CLAVE_BIT,$A314)+SUMIFS(SALIDAS_BOV1,FECHA_BOV1,"&gt;="&amp;K$2,FECHA_BOV1,"&lt;="&amp;K$3,CLAVE_BOV1,$A314)+SUMIFS(SALIDAS_BOV2,FECHA_BOV2,"&gt;="&amp;K$2,FECHA_BOV2,"&lt;="&amp;K$3,CLAVE_BOV2,$A314)+SUMIFS(SALIDAS_BOV3,FECHA_BOV3,"&gt;="&amp;K$2,FECHA_BOV3,"&lt;="&amp;K$3,CLAVE_BOV3,$A314)+SUMIFS(SALIDAS_TC,FECHA_TC,"&gt;="&amp;K$2,FECHA_TC,"&lt;="&amp;K$3,CLAVE_TC,$A314)+SUMIFS(SALIDAS_COMB,FECHA_COMB,"&gt;="&amp;K$2,FECHA_COMB,"&lt;="&amp;K$3,CLAVE_COMB,$A314)+SUMIFS(SALIDAS_DES,FECHA_DESGLOSEN,"&gt;="&amp;K$2,FECHA_DESGLOSEN,"&lt;="&amp;K$3,CLAVE_DESGLOSE,$A314)</f>
        <v>0</v>
      </c>
      <c r="L314" s="227">
        <f>F314-K314</f>
        <v>0</v>
      </c>
      <c r="M314" s="301">
        <f>IFERROR((K314/F314),0)</f>
        <v>0</v>
      </c>
      <c r="N314" s="162">
        <f>VLOOKUP($A314,T_PRESUPUESTO,MATCH(N$6,E_PRESUPUESTO,0),FALSE)</f>
        <v>0</v>
      </c>
      <c r="O314" s="162">
        <f>SUMIFS(SALIDAS_BIT,FECHA_BIT,"&gt;="&amp;O$2,FECHA_BIT,"&lt;="&amp;O$3,CLAVE_BIT,$A314)+SUMIFS(SALIDAS_BOV1,FECHA_BOV1,"&gt;="&amp;O$2,FECHA_BOV1,"&lt;="&amp;O$3,CLAVE_BOV1,$A314)+SUMIFS(SALIDAS_BOV2,FECHA_BOV2,"&gt;="&amp;O$2,FECHA_BOV2,"&lt;="&amp;O$3,CLAVE_BOV2,$A314)+SUMIFS(SALIDAS_BOV3,FECHA_BOV3,"&gt;="&amp;O$2,FECHA_BOV3,"&lt;="&amp;O$3,CLAVE_BOV3,$A314)+SUMIFS(SALIDAS_TC,FECHA_TC,"&gt;="&amp;O$2,FECHA_TC,"&lt;="&amp;O$3,CLAVE_TC,$A314)+SUMIFS(SALIDAS_COMB,FECHA_COMB,"&gt;="&amp;O$2,FECHA_COMB,"&lt;="&amp;O$3,CLAVE_COMB,$A314)+SUMIFS(SALIDAS_DES,FECHA_DESGLOSEN,"&gt;="&amp;O$2,FECHA_DESGLOSEN,"&lt;="&amp;O$3,CLAVE_DESGLOSE,$A314)</f>
        <v>0</v>
      </c>
      <c r="P314" s="162">
        <f>SUMIFS(SALIDAS_BIT,FECHA_BIT,"&gt;="&amp;P$2,FECHA_BIT,"&lt;="&amp;P$3,CLAVE_BIT,$A314)+SUMIFS(SALIDAS_BOV1,FECHA_BOV1,"&gt;="&amp;P$2,FECHA_BOV1,"&lt;="&amp;P$3,CLAVE_BOV1,$A314)+SUMIFS(SALIDAS_BOV2,FECHA_BOV2,"&gt;="&amp;P$2,FECHA_BOV2,"&lt;="&amp;P$3,CLAVE_BOV2,$A314)+SUMIFS(SALIDAS_BOV3,FECHA_BOV3,"&gt;="&amp;P$2,FECHA_BOV3,"&lt;="&amp;P$3,CLAVE_BOV3,$A314)+SUMIFS(SALIDAS_TC,FECHA_TC,"&gt;="&amp;P$2,FECHA_TC,"&lt;="&amp;P$3,CLAVE_TC,$A314)+SUMIFS(SALIDAS_COMB,FECHA_COMB,"&gt;="&amp;P$2,FECHA_COMB,"&lt;="&amp;P$3,CLAVE_COMB,$A314)+SUMIFS(SALIDAS_DES,FECHA_DESGLOSEN,"&gt;="&amp;P$2,FECHA_DESGLOSEN,"&lt;="&amp;P$3,CLAVE_DESGLOSE,$A314)</f>
        <v>0</v>
      </c>
      <c r="Q314" s="162">
        <f>SUMIFS(SALIDAS_BIT,FECHA_BIT,"&gt;="&amp;Q$2,FECHA_BIT,"&lt;="&amp;Q$3,CLAVE_BIT,$A314)+SUMIFS(SALIDAS_BOV1,FECHA_BOV1,"&gt;="&amp;Q$2,FECHA_BOV1,"&lt;="&amp;Q$3,CLAVE_BOV1,$A314)+SUMIFS(SALIDAS_BOV2,FECHA_BOV2,"&gt;="&amp;Q$2,FECHA_BOV2,"&lt;="&amp;Q$3,CLAVE_BOV2,$A314)+SUMIFS(SALIDAS_BOV3,FECHA_BOV3,"&gt;="&amp;Q$2,FECHA_BOV3,"&lt;="&amp;Q$3,CLAVE_BOV3,$A314)+SUMIFS(SALIDAS_TC,FECHA_TC,"&gt;="&amp;Q$2,FECHA_TC,"&lt;="&amp;Q$3,CLAVE_TC,$A314)+SUMIFS(SALIDAS_COMB,FECHA_COMB,"&gt;="&amp;Q$2,FECHA_COMB,"&lt;="&amp;Q$3,CLAVE_COMB,$A314)+SUMIFS(SALIDAS_DES,FECHA_DESGLOSEN,"&gt;="&amp;Q$2,FECHA_DESGLOSEN,"&lt;="&amp;Q$3,CLAVE_DESGLOSE,$A314)</f>
        <v>0</v>
      </c>
      <c r="R314" s="162">
        <f>SUMIFS(SALIDAS_BIT,FECHA_BIT,"&gt;="&amp;R$2,FECHA_BIT,"&lt;="&amp;R$3,CLAVE_BIT,$A314)+SUMIFS(SALIDAS_BOV1,FECHA_BOV1,"&gt;="&amp;R$2,FECHA_BOV1,"&lt;="&amp;R$3,CLAVE_BOV1,$A314)+SUMIFS(SALIDAS_BOV2,FECHA_BOV2,"&gt;="&amp;R$2,FECHA_BOV2,"&lt;="&amp;R$3,CLAVE_BOV2,$A314)+SUMIFS(SALIDAS_BOV3,FECHA_BOV3,"&gt;="&amp;R$2,FECHA_BOV3,"&lt;="&amp;R$3,CLAVE_BOV3,$A314)+SUMIFS(SALIDAS_TC,FECHA_TC,"&gt;="&amp;R$2,FECHA_TC,"&lt;="&amp;R$3,CLAVE_TC,$A314)+SUMIFS(SALIDAS_COMB,FECHA_COMB,"&gt;="&amp;R$2,FECHA_COMB,"&lt;="&amp;R$3,CLAVE_COMB,$A314)+SUMIFS(SALIDAS_DES,FECHA_DESGLOSEN,"&gt;="&amp;R$2,FECHA_DESGLOSEN,"&lt;="&amp;R$3,CLAVE_DESGLOSE,$A314)</f>
        <v>0</v>
      </c>
      <c r="S314" s="162">
        <f>SUMIFS(SALIDAS_BIT,FECHA_BIT,"&gt;="&amp;S$2,FECHA_BIT,"&lt;="&amp;S$3,CLAVE_BIT,$A314)+SUMIFS(SALIDAS_BOV1,FECHA_BOV1,"&gt;="&amp;S$2,FECHA_BOV1,"&lt;="&amp;S$3,CLAVE_BOV1,$A314)+SUMIFS(SALIDAS_BOV2,FECHA_BOV2,"&gt;="&amp;S$2,FECHA_BOV2,"&lt;="&amp;S$3,CLAVE_BOV2,$A314)+SUMIFS(SALIDAS_BOV3,FECHA_BOV3,"&gt;="&amp;S$2,FECHA_BOV3,"&lt;="&amp;S$3,CLAVE_BOV3,$A314)+SUMIFS(SALIDAS_TC,FECHA_TC,"&gt;="&amp;S$2,FECHA_TC,"&lt;="&amp;S$3,CLAVE_TC,$A314)+SUMIFS(SALIDAS_COMB,FECHA_COMB,"&gt;="&amp;S$2,FECHA_COMB,"&lt;="&amp;S$3,CLAVE_COMB,$A314)+SUMIFS(SALIDAS_DES,FECHA_DESGLOSEN,"&gt;="&amp;S$2,FECHA_DESGLOSEN,"&lt;="&amp;S$3,CLAVE_DESGLOSE,$A314)</f>
        <v>0</v>
      </c>
      <c r="T314" s="162">
        <f>SUMIFS(SALIDAS_BIT,FECHA_BIT,"&gt;="&amp;T$2,FECHA_BIT,"&lt;="&amp;T$3,CLAVE_BIT,$A314)+SUMIFS(SALIDAS_BOV1,FECHA_BOV1,"&gt;="&amp;T$2,FECHA_BOV1,"&lt;="&amp;T$3,CLAVE_BOV1,$A314)+SUMIFS(SALIDAS_BOV2,FECHA_BOV2,"&gt;="&amp;T$2,FECHA_BOV2,"&lt;="&amp;T$3,CLAVE_BOV2,$A314)+SUMIFS(SALIDAS_BOV3,FECHA_BOV3,"&gt;="&amp;T$2,FECHA_BOV3,"&lt;="&amp;T$3,CLAVE_BOV3,$A314)+SUMIFS(SALIDAS_TC,FECHA_TC,"&gt;="&amp;T$2,FECHA_TC,"&lt;="&amp;T$3,CLAVE_TC,$A314)+SUMIFS(SALIDAS_COMB,FECHA_COMB,"&gt;="&amp;T$2,FECHA_COMB,"&lt;="&amp;T$3,CLAVE_COMB,$A314)+SUMIFS(SALIDAS_DES,FECHA_DESGLOSEN,"&gt;="&amp;T$2,FECHA_DESGLOSEN,"&lt;="&amp;T$3,CLAVE_DESGLOSE,$A314)</f>
        <v>0</v>
      </c>
      <c r="U314" s="227">
        <f>N314-T314</f>
        <v>0</v>
      </c>
      <c r="V314" s="301">
        <f>IFERROR((T314/N314),0)</f>
        <v>0</v>
      </c>
      <c r="W314" s="162">
        <f>VLOOKUP($A314,T_PRESUPUESTO,MATCH(W$6,E_PRESUPUESTO,0),FALSE)</f>
        <v>0</v>
      </c>
      <c r="X314" s="162">
        <f>SUMIFS(SALIDAS_BIT,FECHA_BIT,"&gt;="&amp;X$2,FECHA_BIT,"&lt;="&amp;X$3,CLAVE_BIT,$A314)+SUMIFS(SALIDAS_BOV1,FECHA_BOV1,"&gt;="&amp;X$2,FECHA_BOV1,"&lt;="&amp;X$3,CLAVE_BOV1,$A314)+SUMIFS(SALIDAS_BOV2,FECHA_BOV2,"&gt;="&amp;X$2,FECHA_BOV2,"&lt;="&amp;X$3,CLAVE_BOV2,$A314)+SUMIFS(SALIDAS_BOV3,FECHA_BOV3,"&gt;="&amp;X$2,FECHA_BOV3,"&lt;="&amp;X$3,CLAVE_BOV3,$A314)+SUMIFS(SALIDAS_TC,FECHA_TC,"&gt;="&amp;X$2,FECHA_TC,"&lt;="&amp;X$3,CLAVE_TC,$A314)+SUMIFS(SALIDAS_COMB,FECHA_COMB,"&gt;="&amp;X$2,FECHA_COMB,"&lt;="&amp;X$3,CLAVE_COMB,$A314)+SUMIFS(SALIDAS_DES,FECHA_DESGLOSEN,"&gt;="&amp;X$2,FECHA_DESGLOSEN,"&lt;="&amp;X$3,CLAVE_DESGLOSE,$A314)</f>
        <v>0</v>
      </c>
      <c r="Y314" s="162">
        <f>SUMIFS(SALIDAS_BIT,FECHA_BIT,"&gt;="&amp;Y$2,FECHA_BIT,"&lt;="&amp;Y$3,CLAVE_BIT,$A314)+SUMIFS(SALIDAS_BOV1,FECHA_BOV1,"&gt;="&amp;Y$2,FECHA_BOV1,"&lt;="&amp;Y$3,CLAVE_BOV1,$A314)+SUMIFS(SALIDAS_BOV2,FECHA_BOV2,"&gt;="&amp;Y$2,FECHA_BOV2,"&lt;="&amp;Y$3,CLAVE_BOV2,$A314)+SUMIFS(SALIDAS_BOV3,FECHA_BOV3,"&gt;="&amp;Y$2,FECHA_BOV3,"&lt;="&amp;Y$3,CLAVE_BOV3,$A314)+SUMIFS(SALIDAS_TC,FECHA_TC,"&gt;="&amp;Y$2,FECHA_TC,"&lt;="&amp;Y$3,CLAVE_TC,$A314)+SUMIFS(SALIDAS_COMB,FECHA_COMB,"&gt;="&amp;Y$2,FECHA_COMB,"&lt;="&amp;Y$3,CLAVE_COMB,$A314)+SUMIFS(SALIDAS_DES,FECHA_DESGLOSEN,"&gt;="&amp;Y$2,FECHA_DESGLOSEN,"&lt;="&amp;Y$3,CLAVE_DESGLOSE,$A314)</f>
        <v>0</v>
      </c>
      <c r="Z314" s="162">
        <f>SUMIFS(SALIDAS_BIT,FECHA_BIT,"&gt;="&amp;Z$2,FECHA_BIT,"&lt;="&amp;Z$3,CLAVE_BIT,$A314)+SUMIFS(SALIDAS_BOV1,FECHA_BOV1,"&gt;="&amp;Z$2,FECHA_BOV1,"&lt;="&amp;Z$3,CLAVE_BOV1,$A314)+SUMIFS(SALIDAS_BOV2,FECHA_BOV2,"&gt;="&amp;Z$2,FECHA_BOV2,"&lt;="&amp;Z$3,CLAVE_BOV2,$A314)+SUMIFS(SALIDAS_BOV3,FECHA_BOV3,"&gt;="&amp;Z$2,FECHA_BOV3,"&lt;="&amp;Z$3,CLAVE_BOV3,$A314)+SUMIFS(SALIDAS_TC,FECHA_TC,"&gt;="&amp;Z$2,FECHA_TC,"&lt;="&amp;Z$3,CLAVE_TC,$A314)+SUMIFS(SALIDAS_COMB,FECHA_COMB,"&gt;="&amp;Z$2,FECHA_COMB,"&lt;="&amp;Z$3,CLAVE_COMB,$A314)+SUMIFS(SALIDAS_DES,FECHA_DESGLOSEN,"&gt;="&amp;Z$2,FECHA_DESGLOSEN,"&lt;="&amp;Z$3,CLAVE_DESGLOSE,$A314)</f>
        <v>0</v>
      </c>
      <c r="AA314" s="162">
        <f>SUMIFS(SALIDAS_BIT,FECHA_BIT,"&gt;="&amp;AA$2,FECHA_BIT,"&lt;="&amp;AA$3,CLAVE_BIT,$A314)+SUMIFS(SALIDAS_BOV1,FECHA_BOV1,"&gt;="&amp;AA$2,FECHA_BOV1,"&lt;="&amp;AA$3,CLAVE_BOV1,$A314)+SUMIFS(SALIDAS_BOV2,FECHA_BOV2,"&gt;="&amp;AA$2,FECHA_BOV2,"&lt;="&amp;AA$3,CLAVE_BOV2,$A314)+SUMIFS(SALIDAS_BOV3,FECHA_BOV3,"&gt;="&amp;AA$2,FECHA_BOV3,"&lt;="&amp;AA$3,CLAVE_BOV3,$A314)+SUMIFS(SALIDAS_TC,FECHA_TC,"&gt;="&amp;AA$2,FECHA_TC,"&lt;="&amp;AA$3,CLAVE_TC,$A314)+SUMIFS(SALIDAS_COMB,FECHA_COMB,"&gt;="&amp;AA$2,FECHA_COMB,"&lt;="&amp;AA$3,CLAVE_COMB,$A314)+SUMIFS(SALIDAS_DES,FECHA_DESGLOSEN,"&gt;="&amp;AA$2,FECHA_DESGLOSEN,"&lt;="&amp;AA$3,CLAVE_DESGLOSE,$A314)</f>
        <v>0</v>
      </c>
      <c r="AB314" s="162">
        <f>SUMIFS(SALIDAS_BIT,FECHA_BIT,"&gt;="&amp;AB$2,FECHA_BIT,"&lt;="&amp;AB$3,CLAVE_BIT,$A314)+SUMIFS(SALIDAS_BOV1,FECHA_BOV1,"&gt;="&amp;AB$2,FECHA_BOV1,"&lt;="&amp;AB$3,CLAVE_BOV1,$A314)+SUMIFS(SALIDAS_BOV2,FECHA_BOV2,"&gt;="&amp;AB$2,FECHA_BOV2,"&lt;="&amp;AB$3,CLAVE_BOV2,$A314)+SUMIFS(SALIDAS_BOV3,FECHA_BOV3,"&gt;="&amp;AB$2,FECHA_BOV3,"&lt;="&amp;AB$3,CLAVE_BOV3,$A314)+SUMIFS(SALIDAS_TC,FECHA_TC,"&gt;="&amp;AB$2,FECHA_TC,"&lt;="&amp;AB$3,CLAVE_TC,$A314)+SUMIFS(SALIDAS_COMB,FECHA_COMB,"&gt;="&amp;AB$2,FECHA_COMB,"&lt;="&amp;AB$3,CLAVE_COMB,$A314)+SUMIFS(SALIDAS_DES,FECHA_DESGLOSEN,"&gt;="&amp;AB$2,FECHA_DESGLOSEN,"&lt;="&amp;AB$3,CLAVE_DESGLOSE,$A314)</f>
        <v>0</v>
      </c>
      <c r="AC314" s="227">
        <f>W314-AB314</f>
        <v>0</v>
      </c>
      <c r="AD314" s="301">
        <f>IFERROR((AB314/W314),0)</f>
        <v>0</v>
      </c>
      <c r="AE314" s="162">
        <f>VLOOKUP($A314,T_PRESUPUESTO,MATCH(AE$6,E_PRESUPUESTO,0),FALSE)</f>
        <v>0</v>
      </c>
      <c r="AF314" s="162">
        <f>SUMIFS(SALIDAS_BIT,FECHA_BIT,"&gt;="&amp;AF$2,FECHA_BIT,"&lt;="&amp;AF$3,CLAVE_BIT,$A314)+SUMIFS(SALIDAS_BOV1,FECHA_BOV1,"&gt;="&amp;AF$2,FECHA_BOV1,"&lt;="&amp;AF$3,CLAVE_BOV1,$A314)+SUMIFS(SALIDAS_BOV2,FECHA_BOV2,"&gt;="&amp;AF$2,FECHA_BOV2,"&lt;="&amp;AF$3,CLAVE_BOV2,$A314)+SUMIFS(SALIDAS_BOV3,FECHA_BOV3,"&gt;="&amp;AF$2,FECHA_BOV3,"&lt;="&amp;AF$3,CLAVE_BOV3,$A314)+SUMIFS(SALIDAS_TC,FECHA_TC,"&gt;="&amp;AF$2,FECHA_TC,"&lt;="&amp;AF$3,CLAVE_TC,$A314)+SUMIFS(SALIDAS_COMB,FECHA_COMB,"&gt;="&amp;AF$2,FECHA_COMB,"&lt;="&amp;AF$3,CLAVE_COMB,$A314)+SUMIFS(SALIDAS_DES,FECHA_DESGLOSEN,"&gt;="&amp;AF$2,FECHA_DESGLOSEN,"&lt;="&amp;AF$3,CLAVE_DESGLOSE,$A314)</f>
        <v>0</v>
      </c>
      <c r="AG314" s="162">
        <f>SUMIFS(SALIDAS_BIT,FECHA_BIT,"&gt;="&amp;AG$2,FECHA_BIT,"&lt;="&amp;AG$3,CLAVE_BIT,$A314)+SUMIFS(SALIDAS_BOV1,FECHA_BOV1,"&gt;="&amp;AG$2,FECHA_BOV1,"&lt;="&amp;AG$3,CLAVE_BOV1,$A314)+SUMIFS(SALIDAS_BOV2,FECHA_BOV2,"&gt;="&amp;AG$2,FECHA_BOV2,"&lt;="&amp;AG$3,CLAVE_BOV2,$A314)+SUMIFS(SALIDAS_BOV3,FECHA_BOV3,"&gt;="&amp;AG$2,FECHA_BOV3,"&lt;="&amp;AG$3,CLAVE_BOV3,$A314)+SUMIFS(SALIDAS_TC,FECHA_TC,"&gt;="&amp;AG$2,FECHA_TC,"&lt;="&amp;AG$3,CLAVE_TC,$A314)+SUMIFS(SALIDAS_COMB,FECHA_COMB,"&gt;="&amp;AG$2,FECHA_COMB,"&lt;="&amp;AG$3,CLAVE_COMB,$A314)+SUMIFS(SALIDAS_DES,FECHA_DESGLOSEN,"&gt;="&amp;AG$2,FECHA_DESGLOSEN,"&lt;="&amp;AG$3,CLAVE_DESGLOSE,$A314)</f>
        <v>0</v>
      </c>
      <c r="AH314" s="162">
        <f>SUMIFS(SALIDAS_BIT,FECHA_BIT,"&gt;="&amp;AH$2,FECHA_BIT,"&lt;="&amp;AH$3,CLAVE_BIT,$A314)+SUMIFS(SALIDAS_BOV1,FECHA_BOV1,"&gt;="&amp;AH$2,FECHA_BOV1,"&lt;="&amp;AH$3,CLAVE_BOV1,$A314)+SUMIFS(SALIDAS_BOV2,FECHA_BOV2,"&gt;="&amp;AH$2,FECHA_BOV2,"&lt;="&amp;AH$3,CLAVE_BOV2,$A314)+SUMIFS(SALIDAS_BOV3,FECHA_BOV3,"&gt;="&amp;AH$2,FECHA_BOV3,"&lt;="&amp;AH$3,CLAVE_BOV3,$A314)+SUMIFS(SALIDAS_TC,FECHA_TC,"&gt;="&amp;AH$2,FECHA_TC,"&lt;="&amp;AH$3,CLAVE_TC,$A314)+SUMIFS(SALIDAS_COMB,FECHA_COMB,"&gt;="&amp;AH$2,FECHA_COMB,"&lt;="&amp;AH$3,CLAVE_COMB,$A314)+SUMIFS(SALIDAS_DES,FECHA_DESGLOSEN,"&gt;="&amp;AH$2,FECHA_DESGLOSEN,"&lt;="&amp;AH$3,CLAVE_DESGLOSE,$A314)</f>
        <v>0</v>
      </c>
      <c r="AI314" s="162">
        <f>SUMIFS(SALIDAS_BIT,FECHA_BIT,"&gt;="&amp;AI$2,FECHA_BIT,"&lt;="&amp;AI$3,CLAVE_BIT,$A314)+SUMIFS(SALIDAS_BOV1,FECHA_BOV1,"&gt;="&amp;AI$2,FECHA_BOV1,"&lt;="&amp;AI$3,CLAVE_BOV1,$A314)+SUMIFS(SALIDAS_BOV2,FECHA_BOV2,"&gt;="&amp;AI$2,FECHA_BOV2,"&lt;="&amp;AI$3,CLAVE_BOV2,$A314)+SUMIFS(SALIDAS_BOV3,FECHA_BOV3,"&gt;="&amp;AI$2,FECHA_BOV3,"&lt;="&amp;AI$3,CLAVE_BOV3,$A314)+SUMIFS(SALIDAS_TC,FECHA_TC,"&gt;="&amp;AI$2,FECHA_TC,"&lt;="&amp;AI$3,CLAVE_TC,$A314)+SUMIFS(SALIDAS_COMB,FECHA_COMB,"&gt;="&amp;AI$2,FECHA_COMB,"&lt;="&amp;AI$3,CLAVE_COMB,$A314)+SUMIFS(SALIDAS_DES,FECHA_DESGLOSEN,"&gt;="&amp;AI$2,FECHA_DESGLOSEN,"&lt;="&amp;AI$3,CLAVE_DESGLOSE,$A314)</f>
        <v>0</v>
      </c>
      <c r="AJ314" s="162">
        <f>SUMIFS(SALIDAS_BIT,FECHA_BIT,"&gt;="&amp;AJ$2,FECHA_BIT,"&lt;="&amp;AJ$3,CLAVE_BIT,$A314)+SUMIFS(SALIDAS_BOV1,FECHA_BOV1,"&gt;="&amp;AJ$2,FECHA_BOV1,"&lt;="&amp;AJ$3,CLAVE_BOV1,$A314)+SUMIFS(SALIDAS_BOV2,FECHA_BOV2,"&gt;="&amp;AJ$2,FECHA_BOV2,"&lt;="&amp;AJ$3,CLAVE_BOV2,$A314)+SUMIFS(SALIDAS_BOV3,FECHA_BOV3,"&gt;="&amp;AJ$2,FECHA_BOV3,"&lt;="&amp;AJ$3,CLAVE_BOV3,$A314)+SUMIFS(SALIDAS_TC,FECHA_TC,"&gt;="&amp;AJ$2,FECHA_TC,"&lt;="&amp;AJ$3,CLAVE_TC,$A314)+SUMIFS(SALIDAS_COMB,FECHA_COMB,"&gt;="&amp;AJ$2,FECHA_COMB,"&lt;="&amp;AJ$3,CLAVE_COMB,$A314)+SUMIFS(SALIDAS_DES,FECHA_DESGLOSEN,"&gt;="&amp;AJ$2,FECHA_DESGLOSEN,"&lt;="&amp;AJ$3,CLAVE_DESGLOSE,$A314)</f>
        <v>0</v>
      </c>
      <c r="AK314" s="227">
        <f>AE314-AJ314</f>
        <v>0</v>
      </c>
      <c r="AL314" s="301">
        <f>IFERROR((AJ314/AE314),0)</f>
        <v>0</v>
      </c>
      <c r="AM314" s="162">
        <f>VLOOKUP($A314,T_PRESUPUESTO,MATCH(AM$6,E_PRESUPUESTO,0),FALSE)</f>
        <v>0</v>
      </c>
      <c r="AN314" s="162">
        <f>SUMIFS(SALIDAS_BIT,FECHA_BIT,"&gt;="&amp;AN$2,FECHA_BIT,"&lt;="&amp;AN$3,CLAVE_BIT,$A314)+SUMIFS(SALIDAS_BOV1,FECHA_BOV1,"&gt;="&amp;AN$2,FECHA_BOV1,"&lt;="&amp;AN$3,CLAVE_BOV1,$A314)+SUMIFS(SALIDAS_BOV2,FECHA_BOV2,"&gt;="&amp;AN$2,FECHA_BOV2,"&lt;="&amp;AN$3,CLAVE_BOV2,$A314)+SUMIFS(SALIDAS_BOV3,FECHA_BOV3,"&gt;="&amp;AN$2,FECHA_BOV3,"&lt;="&amp;AN$3,CLAVE_BOV3,$A314)+SUMIFS(SALIDAS_TC,FECHA_TC,"&gt;="&amp;AN$2,FECHA_TC,"&lt;="&amp;AN$3,CLAVE_TC,$A314)+SUMIFS(SALIDAS_COMB,FECHA_COMB,"&gt;="&amp;AN$2,FECHA_COMB,"&lt;="&amp;AN$3,CLAVE_COMB,$A314)+SUMIFS(SALIDAS_DES,FECHA_DESGLOSEN,"&gt;="&amp;AN$2,FECHA_DESGLOSEN,"&lt;="&amp;AN$3,CLAVE_DESGLOSE,$A314)</f>
        <v>0</v>
      </c>
      <c r="AO314" s="162">
        <f>SUMIFS(SALIDAS_BIT,FECHA_BIT,"&gt;="&amp;AO$2,FECHA_BIT,"&lt;="&amp;AO$3,CLAVE_BIT,$A314)+SUMIFS(SALIDAS_BOV1,FECHA_BOV1,"&gt;="&amp;AO$2,FECHA_BOV1,"&lt;="&amp;AO$3,CLAVE_BOV1,$A314)+SUMIFS(SALIDAS_BOV2,FECHA_BOV2,"&gt;="&amp;AO$2,FECHA_BOV2,"&lt;="&amp;AO$3,CLAVE_BOV2,$A314)+SUMIFS(SALIDAS_BOV3,FECHA_BOV3,"&gt;="&amp;AO$2,FECHA_BOV3,"&lt;="&amp;AO$3,CLAVE_BOV3,$A314)+SUMIFS(SALIDAS_TC,FECHA_TC,"&gt;="&amp;AO$2,FECHA_TC,"&lt;="&amp;AO$3,CLAVE_TC,$A314)+SUMIFS(SALIDAS_COMB,FECHA_COMB,"&gt;="&amp;AO$2,FECHA_COMB,"&lt;="&amp;AO$3,CLAVE_COMB,$A314)+SUMIFS(SALIDAS_DES,FECHA_DESGLOSEN,"&gt;="&amp;AO$2,FECHA_DESGLOSEN,"&lt;="&amp;AO$3,CLAVE_DESGLOSE,$A314)</f>
        <v>0</v>
      </c>
      <c r="AP314" s="162">
        <f>SUMIFS(SALIDAS_BIT,FECHA_BIT,"&gt;="&amp;AP$2,FECHA_BIT,"&lt;="&amp;AP$3,CLAVE_BIT,$A314)+SUMIFS(SALIDAS_BOV1,FECHA_BOV1,"&gt;="&amp;AP$2,FECHA_BOV1,"&lt;="&amp;AP$3,CLAVE_BOV1,$A314)+SUMIFS(SALIDAS_BOV2,FECHA_BOV2,"&gt;="&amp;AP$2,FECHA_BOV2,"&lt;="&amp;AP$3,CLAVE_BOV2,$A314)+SUMIFS(SALIDAS_BOV3,FECHA_BOV3,"&gt;="&amp;AP$2,FECHA_BOV3,"&lt;="&amp;AP$3,CLAVE_BOV3,$A314)+SUMIFS(SALIDAS_TC,FECHA_TC,"&gt;="&amp;AP$2,FECHA_TC,"&lt;="&amp;AP$3,CLAVE_TC,$A314)+SUMIFS(SALIDAS_COMB,FECHA_COMB,"&gt;="&amp;AP$2,FECHA_COMB,"&lt;="&amp;AP$3,CLAVE_COMB,$A314)+SUMIFS(SALIDAS_DES,FECHA_DESGLOSEN,"&gt;="&amp;AP$2,FECHA_DESGLOSEN,"&lt;="&amp;AP$3,CLAVE_DESGLOSE,$A314)</f>
        <v>0</v>
      </c>
      <c r="AQ314" s="162">
        <f>SUMIFS(SALIDAS_BIT,FECHA_BIT,"&gt;="&amp;AQ$2,FECHA_BIT,"&lt;="&amp;AQ$3,CLAVE_BIT,$A314)+SUMIFS(SALIDAS_BOV1,FECHA_BOV1,"&gt;="&amp;AQ$2,FECHA_BOV1,"&lt;="&amp;AQ$3,CLAVE_BOV1,$A314)+SUMIFS(SALIDAS_BOV2,FECHA_BOV2,"&gt;="&amp;AQ$2,FECHA_BOV2,"&lt;="&amp;AQ$3,CLAVE_BOV2,$A314)+SUMIFS(SALIDAS_BOV3,FECHA_BOV3,"&gt;="&amp;AQ$2,FECHA_BOV3,"&lt;="&amp;AQ$3,CLAVE_BOV3,$A314)+SUMIFS(SALIDAS_TC,FECHA_TC,"&gt;="&amp;AQ$2,FECHA_TC,"&lt;="&amp;AQ$3,CLAVE_TC,$A314)+SUMIFS(SALIDAS_COMB,FECHA_COMB,"&gt;="&amp;AQ$2,FECHA_COMB,"&lt;="&amp;AQ$3,CLAVE_COMB,$A314)+SUMIFS(SALIDAS_DES,FECHA_DESGLOSEN,"&gt;="&amp;AQ$2,FECHA_DESGLOSEN,"&lt;="&amp;AQ$3,CLAVE_DESGLOSE,$A314)</f>
        <v>0</v>
      </c>
      <c r="AR314" s="162">
        <f>SUMIFS(SALIDAS_BIT,FECHA_BIT,"&gt;="&amp;AR$2,FECHA_BIT,"&lt;="&amp;AR$3,CLAVE_BIT,$A314)+SUMIFS(SALIDAS_BOV1,FECHA_BOV1,"&gt;="&amp;AR$2,FECHA_BOV1,"&lt;="&amp;AR$3,CLAVE_BOV1,$A314)+SUMIFS(SALIDAS_BOV2,FECHA_BOV2,"&gt;="&amp;AR$2,FECHA_BOV2,"&lt;="&amp;AR$3,CLAVE_BOV2,$A314)+SUMIFS(SALIDAS_BOV3,FECHA_BOV3,"&gt;="&amp;AR$2,FECHA_BOV3,"&lt;="&amp;AR$3,CLAVE_BOV3,$A314)+SUMIFS(SALIDAS_TC,FECHA_TC,"&gt;="&amp;AR$2,FECHA_TC,"&lt;="&amp;AR$3,CLAVE_TC,$A314)+SUMIFS(SALIDAS_COMB,FECHA_COMB,"&gt;="&amp;AR$2,FECHA_COMB,"&lt;="&amp;AR$3,CLAVE_COMB,$A314)+SUMIFS(SALIDAS_DES,FECHA_DESGLOSEN,"&gt;="&amp;AR$2,FECHA_DESGLOSEN,"&lt;="&amp;AR$3,CLAVE_DESGLOSE,$A314)</f>
        <v>0</v>
      </c>
      <c r="AS314" s="162">
        <f>SUMIFS(SALIDAS_BIT,FECHA_BIT,"&gt;="&amp;AS$2,FECHA_BIT,"&lt;="&amp;AS$3,CLAVE_BIT,$A314)+SUMIFS(SALIDAS_BOV1,FECHA_BOV1,"&gt;="&amp;AS$2,FECHA_BOV1,"&lt;="&amp;AS$3,CLAVE_BOV1,$A314)+SUMIFS(SALIDAS_BOV2,FECHA_BOV2,"&gt;="&amp;AS$2,FECHA_BOV2,"&lt;="&amp;AS$3,CLAVE_BOV2,$A314)+SUMIFS(SALIDAS_BOV3,FECHA_BOV3,"&gt;="&amp;AS$2,FECHA_BOV3,"&lt;="&amp;AS$3,CLAVE_BOV3,$A314)+SUMIFS(SALIDAS_TC,FECHA_TC,"&gt;="&amp;AS$2,FECHA_TC,"&lt;="&amp;AS$3,CLAVE_TC,$A314)+SUMIFS(SALIDAS_COMB,FECHA_COMB,"&gt;="&amp;AS$2,FECHA_COMB,"&lt;="&amp;AS$3,CLAVE_COMB,$A314)+SUMIFS(SALIDAS_DES,FECHA_DESGLOSEN,"&gt;="&amp;AS$2,FECHA_DESGLOSEN,"&lt;="&amp;AS$3,CLAVE_DESGLOSE,$A314)</f>
        <v>0</v>
      </c>
      <c r="AT314" s="227">
        <f>AM314-AS314</f>
        <v>0</v>
      </c>
      <c r="AU314" s="301">
        <f>IFERROR((AS314/AM314),0)</f>
        <v>0</v>
      </c>
      <c r="AV314" s="162">
        <f>VLOOKUP($A314,T_PRESUPUESTO,MATCH(AV$6,E_PRESUPUESTO,0),FALSE)</f>
        <v>0</v>
      </c>
      <c r="AW314" s="162">
        <f>SUMIFS(SALIDAS_BIT,FECHA_BIT,"&gt;="&amp;AW$2,FECHA_BIT,"&lt;="&amp;AW$3,CLAVE_BIT,$A314)+SUMIFS(SALIDAS_BOV1,FECHA_BOV1,"&gt;="&amp;AW$2,FECHA_BOV1,"&lt;="&amp;AW$3,CLAVE_BOV1,$A314)+SUMIFS(SALIDAS_BOV2,FECHA_BOV2,"&gt;="&amp;AW$2,FECHA_BOV2,"&lt;="&amp;AW$3,CLAVE_BOV2,$A314)+SUMIFS(SALIDAS_BOV3,FECHA_BOV3,"&gt;="&amp;AW$2,FECHA_BOV3,"&lt;="&amp;AW$3,CLAVE_BOV3,$A314)+SUMIFS(SALIDAS_TC,FECHA_TC,"&gt;="&amp;AW$2,FECHA_TC,"&lt;="&amp;AW$3,CLAVE_TC,$A314)+SUMIFS(SALIDAS_COMB,FECHA_COMB,"&gt;="&amp;AW$2,FECHA_COMB,"&lt;="&amp;AW$3,CLAVE_COMB,$A314)+SUMIFS(SALIDAS_DES,FECHA_DESGLOSEN,"&gt;="&amp;AW$2,FECHA_DESGLOSEN,"&lt;="&amp;AW$3,CLAVE_DESGLOSE,$A314)</f>
        <v>5893.94</v>
      </c>
      <c r="AX314" s="162">
        <f>SUMIFS(SALIDAS_BIT,FECHA_BIT,"&gt;="&amp;AX$2,FECHA_BIT,"&lt;="&amp;AX$3,CLAVE_BIT,$A314)+SUMIFS(SALIDAS_BOV1,FECHA_BOV1,"&gt;="&amp;AX$2,FECHA_BOV1,"&lt;="&amp;AX$3,CLAVE_BOV1,$A314)+SUMIFS(SALIDAS_BOV2,FECHA_BOV2,"&gt;="&amp;AX$2,FECHA_BOV2,"&lt;="&amp;AX$3,CLAVE_BOV2,$A314)+SUMIFS(SALIDAS_BOV3,FECHA_BOV3,"&gt;="&amp;AX$2,FECHA_BOV3,"&lt;="&amp;AX$3,CLAVE_BOV3,$A314)+SUMIFS(SALIDAS_TC,FECHA_TC,"&gt;="&amp;AX$2,FECHA_TC,"&lt;="&amp;AX$3,CLAVE_TC,$A314)+SUMIFS(SALIDAS_COMB,FECHA_COMB,"&gt;="&amp;AX$2,FECHA_COMB,"&lt;="&amp;AX$3,CLAVE_COMB,$A314)+SUMIFS(SALIDAS_DES,FECHA_DESGLOSEN,"&gt;="&amp;AX$2,FECHA_DESGLOSEN,"&lt;="&amp;AX$3,CLAVE_DESGLOSE,$A314)</f>
        <v>0</v>
      </c>
      <c r="AY314" s="162">
        <f>SUMIFS(SALIDAS_BIT,FECHA_BIT,"&gt;="&amp;AY$2,FECHA_BIT,"&lt;="&amp;AY$3,CLAVE_BIT,$A314)+SUMIFS(SALIDAS_BOV1,FECHA_BOV1,"&gt;="&amp;AY$2,FECHA_BOV1,"&lt;="&amp;AY$3,CLAVE_BOV1,$A314)+SUMIFS(SALIDAS_BOV2,FECHA_BOV2,"&gt;="&amp;AY$2,FECHA_BOV2,"&lt;="&amp;AY$3,CLAVE_BOV2,$A314)+SUMIFS(SALIDAS_BOV3,FECHA_BOV3,"&gt;="&amp;AY$2,FECHA_BOV3,"&lt;="&amp;AY$3,CLAVE_BOV3,$A314)+SUMIFS(SALIDAS_TC,FECHA_TC,"&gt;="&amp;AY$2,FECHA_TC,"&lt;="&amp;AY$3,CLAVE_TC,$A314)+SUMIFS(SALIDAS_COMB,FECHA_COMB,"&gt;="&amp;AY$2,FECHA_COMB,"&lt;="&amp;AY$3,CLAVE_COMB,$A314)+SUMIFS(SALIDAS_DES,FECHA_DESGLOSEN,"&gt;="&amp;AY$2,FECHA_DESGLOSEN,"&lt;="&amp;AY$3,CLAVE_DESGLOSE,$A314)</f>
        <v>0</v>
      </c>
      <c r="AZ314" s="162">
        <f>SUMIFS(SALIDAS_BIT,FECHA_BIT,"&gt;="&amp;AZ$2,FECHA_BIT,"&lt;="&amp;AZ$3,CLAVE_BIT,$A314)+SUMIFS(SALIDAS_BOV1,FECHA_BOV1,"&gt;="&amp;AZ$2,FECHA_BOV1,"&lt;="&amp;AZ$3,CLAVE_BOV1,$A314)+SUMIFS(SALIDAS_BOV2,FECHA_BOV2,"&gt;="&amp;AZ$2,FECHA_BOV2,"&lt;="&amp;AZ$3,CLAVE_BOV2,$A314)+SUMIFS(SALIDAS_BOV3,FECHA_BOV3,"&gt;="&amp;AZ$2,FECHA_BOV3,"&lt;="&amp;AZ$3,CLAVE_BOV3,$A314)+SUMIFS(SALIDAS_TC,FECHA_TC,"&gt;="&amp;AZ$2,FECHA_TC,"&lt;="&amp;AZ$3,CLAVE_TC,$A314)+SUMIFS(SALIDAS_COMB,FECHA_COMB,"&gt;="&amp;AZ$2,FECHA_COMB,"&lt;="&amp;AZ$3,CLAVE_COMB,$A314)+SUMIFS(SALIDAS_DES,FECHA_DESGLOSEN,"&gt;="&amp;AZ$2,FECHA_DESGLOSEN,"&lt;="&amp;AZ$3,CLAVE_DESGLOSE,$A314)</f>
        <v>0</v>
      </c>
      <c r="BA314" s="162">
        <f>SUMIFS(SALIDAS_BIT,FECHA_BIT,"&gt;="&amp;BA$2,FECHA_BIT,"&lt;="&amp;BA$3,CLAVE_BIT,$A314)+SUMIFS(SALIDAS_BOV1,FECHA_BOV1,"&gt;="&amp;BA$2,FECHA_BOV1,"&lt;="&amp;BA$3,CLAVE_BOV1,$A314)+SUMIFS(SALIDAS_BOV2,FECHA_BOV2,"&gt;="&amp;BA$2,FECHA_BOV2,"&lt;="&amp;BA$3,CLAVE_BOV2,$A314)+SUMIFS(SALIDAS_BOV3,FECHA_BOV3,"&gt;="&amp;BA$2,FECHA_BOV3,"&lt;="&amp;BA$3,CLAVE_BOV3,$A314)+SUMIFS(SALIDAS_TC,FECHA_TC,"&gt;="&amp;BA$2,FECHA_TC,"&lt;="&amp;BA$3,CLAVE_TC,$A314)+SUMIFS(SALIDAS_COMB,FECHA_COMB,"&gt;="&amp;BA$2,FECHA_COMB,"&lt;="&amp;BA$3,CLAVE_COMB,$A314)+SUMIFS(SALIDAS_DES,FECHA_DESGLOSEN,"&gt;="&amp;BA$2,FECHA_DESGLOSEN,"&lt;="&amp;BA$3,CLAVE_DESGLOSE,$A314)</f>
        <v>5893.94</v>
      </c>
      <c r="BB314" s="227">
        <f>AV314-BA314</f>
        <v>-5893.94</v>
      </c>
      <c r="BC314" s="301">
        <f>IFERROR((BA314/AV314),0)</f>
        <v>0</v>
      </c>
      <c r="BD314" s="162">
        <f>VLOOKUP($A314,T_PRESUPUESTO,MATCH(BD$6,E_PRESUPUESTO,0),FALSE)</f>
        <v>0</v>
      </c>
      <c r="BE314" s="162">
        <f>SUMIFS(SALIDAS_BIT,FECHA_BIT,"&gt;="&amp;BE$2,FECHA_BIT,"&lt;="&amp;BE$3,CLAVE_BIT,$A314)+SUMIFS(SALIDAS_BOV1,FECHA_BOV1,"&gt;="&amp;BE$2,FECHA_BOV1,"&lt;="&amp;BE$3,CLAVE_BOV1,$A314)+SUMIFS(SALIDAS_BOV2,FECHA_BOV2,"&gt;="&amp;BE$2,FECHA_BOV2,"&lt;="&amp;BE$3,CLAVE_BOV2,$A314)+SUMIFS(SALIDAS_BOV3,FECHA_BOV3,"&gt;="&amp;BE$2,FECHA_BOV3,"&lt;="&amp;BE$3,CLAVE_BOV3,$A314)+SUMIFS(SALIDAS_TC,FECHA_TC,"&gt;="&amp;BE$2,FECHA_TC,"&lt;="&amp;BE$3,CLAVE_TC,$A314)+SUMIFS(SALIDAS_COMB,FECHA_COMB,"&gt;="&amp;BE$2,FECHA_COMB,"&lt;="&amp;BE$3,CLAVE_COMB,$A314)+SUMIFS(SALIDAS_DES,FECHA_DESGLOSEN,"&gt;="&amp;BE$2,FECHA_DESGLOSEN,"&lt;="&amp;BE$3,CLAVE_DESGLOSE,$A314)</f>
        <v>0</v>
      </c>
      <c r="BF314" s="162">
        <f>SUMIFS(SALIDAS_BIT,FECHA_BIT,"&gt;="&amp;BF$2,FECHA_BIT,"&lt;="&amp;BF$3,CLAVE_BIT,$A314)+SUMIFS(SALIDAS_BOV1,FECHA_BOV1,"&gt;="&amp;BF$2,FECHA_BOV1,"&lt;="&amp;BF$3,CLAVE_BOV1,$A314)+SUMIFS(SALIDAS_BOV2,FECHA_BOV2,"&gt;="&amp;BF$2,FECHA_BOV2,"&lt;="&amp;BF$3,CLAVE_BOV2,$A314)+SUMIFS(SALIDAS_BOV3,FECHA_BOV3,"&gt;="&amp;BF$2,FECHA_BOV3,"&lt;="&amp;BF$3,CLAVE_BOV3,$A314)+SUMIFS(SALIDAS_TC,FECHA_TC,"&gt;="&amp;BF$2,FECHA_TC,"&lt;="&amp;BF$3,CLAVE_TC,$A314)+SUMIFS(SALIDAS_COMB,FECHA_COMB,"&gt;="&amp;BF$2,FECHA_COMB,"&lt;="&amp;BF$3,CLAVE_COMB,$A314)+SUMIFS(SALIDAS_DES,FECHA_DESGLOSEN,"&gt;="&amp;BF$2,FECHA_DESGLOSEN,"&lt;="&amp;BF$3,CLAVE_DESGLOSE,$A314)</f>
        <v>0</v>
      </c>
      <c r="BG314" s="162">
        <f>SUMIFS(SALIDAS_BIT,FECHA_BIT,"&gt;="&amp;BG$2,FECHA_BIT,"&lt;="&amp;BG$3,CLAVE_BIT,$A314)+SUMIFS(SALIDAS_BOV1,FECHA_BOV1,"&gt;="&amp;BG$2,FECHA_BOV1,"&lt;="&amp;BG$3,CLAVE_BOV1,$A314)+SUMIFS(SALIDAS_BOV2,FECHA_BOV2,"&gt;="&amp;BG$2,FECHA_BOV2,"&lt;="&amp;BG$3,CLAVE_BOV2,$A314)+SUMIFS(SALIDAS_BOV3,FECHA_BOV3,"&gt;="&amp;BG$2,FECHA_BOV3,"&lt;="&amp;BG$3,CLAVE_BOV3,$A314)+SUMIFS(SALIDAS_TC,FECHA_TC,"&gt;="&amp;BG$2,FECHA_TC,"&lt;="&amp;BG$3,CLAVE_TC,$A314)+SUMIFS(SALIDAS_COMB,FECHA_COMB,"&gt;="&amp;BG$2,FECHA_COMB,"&lt;="&amp;BG$3,CLAVE_COMB,$A314)+SUMIFS(SALIDAS_DES,FECHA_DESGLOSEN,"&gt;="&amp;BG$2,FECHA_DESGLOSEN,"&lt;="&amp;BG$3,CLAVE_DESGLOSE,$A314)</f>
        <v>3339.44</v>
      </c>
      <c r="BH314" s="162">
        <f>SUMIFS(SALIDAS_BIT,FECHA_BIT,"&gt;="&amp;BH$2,FECHA_BIT,"&lt;="&amp;BH$3,CLAVE_BIT,$A314)+SUMIFS(SALIDAS_BOV1,FECHA_BOV1,"&gt;="&amp;BH$2,FECHA_BOV1,"&lt;="&amp;BH$3,CLAVE_BOV1,$A314)+SUMIFS(SALIDAS_BOV2,FECHA_BOV2,"&gt;="&amp;BH$2,FECHA_BOV2,"&lt;="&amp;BH$3,CLAVE_BOV2,$A314)+SUMIFS(SALIDAS_BOV3,FECHA_BOV3,"&gt;="&amp;BH$2,FECHA_BOV3,"&lt;="&amp;BH$3,CLAVE_BOV3,$A314)+SUMIFS(SALIDAS_TC,FECHA_TC,"&gt;="&amp;BH$2,FECHA_TC,"&lt;="&amp;BH$3,CLAVE_TC,$A314)+SUMIFS(SALIDAS_COMB,FECHA_COMB,"&gt;="&amp;BH$2,FECHA_COMB,"&lt;="&amp;BH$3,CLAVE_COMB,$A314)+SUMIFS(SALIDAS_DES,FECHA_DESGLOSEN,"&gt;="&amp;BH$2,FECHA_DESGLOSEN,"&lt;="&amp;BH$3,CLAVE_DESGLOSE,$A314)</f>
        <v>0</v>
      </c>
      <c r="BI314" s="162">
        <f>SUMIFS(SALIDAS_BIT,FECHA_BIT,"&gt;="&amp;BI$2,FECHA_BIT,"&lt;="&amp;BI$3,CLAVE_BIT,$A314)+SUMIFS(SALIDAS_BOV1,FECHA_BOV1,"&gt;="&amp;BI$2,FECHA_BOV1,"&lt;="&amp;BI$3,CLAVE_BOV1,$A314)+SUMIFS(SALIDAS_BOV2,FECHA_BOV2,"&gt;="&amp;BI$2,FECHA_BOV2,"&lt;="&amp;BI$3,CLAVE_BOV2,$A314)+SUMIFS(SALIDAS_BOV3,FECHA_BOV3,"&gt;="&amp;BI$2,FECHA_BOV3,"&lt;="&amp;BI$3,CLAVE_BOV3,$A314)+SUMIFS(SALIDAS_TC,FECHA_TC,"&gt;="&amp;BI$2,FECHA_TC,"&lt;="&amp;BI$3,CLAVE_TC,$A314)+SUMIFS(SALIDAS_COMB,FECHA_COMB,"&gt;="&amp;BI$2,FECHA_COMB,"&lt;="&amp;BI$3,CLAVE_COMB,$A314)+SUMIFS(SALIDAS_DES,FECHA_DESGLOSEN,"&gt;="&amp;BI$2,FECHA_DESGLOSEN,"&lt;="&amp;BI$3,CLAVE_DESGLOSE,$A314)</f>
        <v>3339.44</v>
      </c>
      <c r="BJ314" s="227">
        <f>BD314-BI314</f>
        <v>-3339.44</v>
      </c>
      <c r="BK314" s="301">
        <f>IFERROR((BI314/BD314),0)</f>
        <v>0</v>
      </c>
      <c r="BL314" s="162">
        <f>VLOOKUP($A314,T_PRESUPUESTO,MATCH(BL$6,E_PRESUPUESTO,0),FALSE)</f>
        <v>0</v>
      </c>
      <c r="BM314" s="162">
        <f>SUMIFS(SALIDAS_BIT,FECHA_BIT,"&gt;="&amp;BM$2,FECHA_BIT,"&lt;="&amp;BM$3,CLAVE_BIT,$A314)+SUMIFS(SALIDAS_BOV1,FECHA_BOV1,"&gt;="&amp;BM$2,FECHA_BOV1,"&lt;="&amp;BM$3,CLAVE_BOV1,$A314)+SUMIFS(SALIDAS_BOV2,FECHA_BOV2,"&gt;="&amp;BM$2,FECHA_BOV2,"&lt;="&amp;BM$3,CLAVE_BOV2,$A314)+SUMIFS(SALIDAS_BOV3,FECHA_BOV3,"&gt;="&amp;BM$2,FECHA_BOV3,"&lt;="&amp;BM$3,CLAVE_BOV3,$A314)+SUMIFS(SALIDAS_TC,FECHA_TC,"&gt;="&amp;BM$2,FECHA_TC,"&lt;="&amp;BM$3,CLAVE_TC,$A314)+SUMIFS(SALIDAS_COMB,FECHA_COMB,"&gt;="&amp;BM$2,FECHA_COMB,"&lt;="&amp;BM$3,CLAVE_COMB,$A314)+SUMIFS(SALIDAS_DES,FECHA_DESGLOSEN,"&gt;="&amp;BM$2,FECHA_DESGLOSEN,"&lt;="&amp;BM$3,CLAVE_DESGLOSE,$A314)</f>
        <v>0</v>
      </c>
      <c r="BN314" s="162">
        <f>SUMIFS(SALIDAS_BIT,FECHA_BIT,"&gt;="&amp;BN$2,FECHA_BIT,"&lt;="&amp;BN$3,CLAVE_BIT,$A314)+SUMIFS(SALIDAS_BOV1,FECHA_BOV1,"&gt;="&amp;BN$2,FECHA_BOV1,"&lt;="&amp;BN$3,CLAVE_BOV1,$A314)+SUMIFS(SALIDAS_BOV2,FECHA_BOV2,"&gt;="&amp;BN$2,FECHA_BOV2,"&lt;="&amp;BN$3,CLAVE_BOV2,$A314)+SUMIFS(SALIDAS_BOV3,FECHA_BOV3,"&gt;="&amp;BN$2,FECHA_BOV3,"&lt;="&amp;BN$3,CLAVE_BOV3,$A314)+SUMIFS(SALIDAS_TC,FECHA_TC,"&gt;="&amp;BN$2,FECHA_TC,"&lt;="&amp;BN$3,CLAVE_TC,$A314)+SUMIFS(SALIDAS_COMB,FECHA_COMB,"&gt;="&amp;BN$2,FECHA_COMB,"&lt;="&amp;BN$3,CLAVE_COMB,$A314)+SUMIFS(SALIDAS_DES,FECHA_DESGLOSEN,"&gt;="&amp;BN$2,FECHA_DESGLOSEN,"&lt;="&amp;BN$3,CLAVE_DESGLOSE,$A314)</f>
        <v>0</v>
      </c>
      <c r="BO314" s="162">
        <f>SUMIFS(SALIDAS_BIT,FECHA_BIT,"&gt;="&amp;BO$2,FECHA_BIT,"&lt;="&amp;BO$3,CLAVE_BIT,$A314)+SUMIFS(SALIDAS_BOV1,FECHA_BOV1,"&gt;="&amp;BO$2,FECHA_BOV1,"&lt;="&amp;BO$3,CLAVE_BOV1,$A314)+SUMIFS(SALIDAS_BOV2,FECHA_BOV2,"&gt;="&amp;BO$2,FECHA_BOV2,"&lt;="&amp;BO$3,CLAVE_BOV2,$A314)+SUMIFS(SALIDAS_BOV3,FECHA_BOV3,"&gt;="&amp;BO$2,FECHA_BOV3,"&lt;="&amp;BO$3,CLAVE_BOV3,$A314)+SUMIFS(SALIDAS_TC,FECHA_TC,"&gt;="&amp;BO$2,FECHA_TC,"&lt;="&amp;BO$3,CLAVE_TC,$A314)+SUMIFS(SALIDAS_COMB,FECHA_COMB,"&gt;="&amp;BO$2,FECHA_COMB,"&lt;="&amp;BO$3,CLAVE_COMB,$A314)+SUMIFS(SALIDAS_DES,FECHA_DESGLOSEN,"&gt;="&amp;BO$2,FECHA_DESGLOSEN,"&lt;="&amp;BO$3,CLAVE_DESGLOSE,$A314)</f>
        <v>3078.88</v>
      </c>
      <c r="BP314" s="162">
        <f>SUMIFS(SALIDAS_BIT,FECHA_BIT,"&gt;="&amp;BP$2,FECHA_BIT,"&lt;="&amp;BP$3,CLAVE_BIT,$A314)+SUMIFS(SALIDAS_BOV1,FECHA_BOV1,"&gt;="&amp;BP$2,FECHA_BOV1,"&lt;="&amp;BP$3,CLAVE_BOV1,$A314)+SUMIFS(SALIDAS_BOV2,FECHA_BOV2,"&gt;="&amp;BP$2,FECHA_BOV2,"&lt;="&amp;BP$3,CLAVE_BOV2,$A314)+SUMIFS(SALIDAS_BOV3,FECHA_BOV3,"&gt;="&amp;BP$2,FECHA_BOV3,"&lt;="&amp;BP$3,CLAVE_BOV3,$A314)+SUMIFS(SALIDAS_TC,FECHA_TC,"&gt;="&amp;BP$2,FECHA_TC,"&lt;="&amp;BP$3,CLAVE_TC,$A314)+SUMIFS(SALIDAS_COMB,FECHA_COMB,"&gt;="&amp;BP$2,FECHA_COMB,"&lt;="&amp;BP$3,CLAVE_COMB,$A314)+SUMIFS(SALIDAS_DES,FECHA_DESGLOSEN,"&gt;="&amp;BP$2,FECHA_DESGLOSEN,"&lt;="&amp;BP$3,CLAVE_DESGLOSE,$A314)</f>
        <v>0</v>
      </c>
      <c r="BQ314" s="162">
        <f>SUMIFS(SALIDAS_BIT,FECHA_BIT,"&gt;="&amp;BQ$2,FECHA_BIT,"&lt;="&amp;BQ$3,CLAVE_BIT,$A314)+SUMIFS(SALIDAS_BOV1,FECHA_BOV1,"&gt;="&amp;BQ$2,FECHA_BOV1,"&lt;="&amp;BQ$3,CLAVE_BOV1,$A314)+SUMIFS(SALIDAS_BOV2,FECHA_BOV2,"&gt;="&amp;BQ$2,FECHA_BOV2,"&lt;="&amp;BQ$3,CLAVE_BOV2,$A314)+SUMIFS(SALIDAS_BOV3,FECHA_BOV3,"&gt;="&amp;BQ$2,FECHA_BOV3,"&lt;="&amp;BQ$3,CLAVE_BOV3,$A314)+SUMIFS(SALIDAS_TC,FECHA_TC,"&gt;="&amp;BQ$2,FECHA_TC,"&lt;="&amp;BQ$3,CLAVE_TC,$A314)+SUMIFS(SALIDAS_COMB,FECHA_COMB,"&gt;="&amp;BQ$2,FECHA_COMB,"&lt;="&amp;BQ$3,CLAVE_COMB,$A314)+SUMIFS(SALIDAS_DES,FECHA_DESGLOSEN,"&gt;="&amp;BQ$2,FECHA_DESGLOSEN,"&lt;="&amp;BQ$3,CLAVE_DESGLOSE,$A314)</f>
        <v>0</v>
      </c>
      <c r="BR314" s="162">
        <f>SUMIFS(SALIDAS_BIT,FECHA_BIT,"&gt;="&amp;BR$2,FECHA_BIT,"&lt;="&amp;BR$3,CLAVE_BIT,$A314)+SUMIFS(SALIDAS_BOV1,FECHA_BOV1,"&gt;="&amp;BR$2,FECHA_BOV1,"&lt;="&amp;BR$3,CLAVE_BOV1,$A314)+SUMIFS(SALIDAS_BOV2,FECHA_BOV2,"&gt;="&amp;BR$2,FECHA_BOV2,"&lt;="&amp;BR$3,CLAVE_BOV2,$A314)+SUMIFS(SALIDAS_BOV3,FECHA_BOV3,"&gt;="&amp;BR$2,FECHA_BOV3,"&lt;="&amp;BR$3,CLAVE_BOV3,$A314)+SUMIFS(SALIDAS_TC,FECHA_TC,"&gt;="&amp;BR$2,FECHA_TC,"&lt;="&amp;BR$3,CLAVE_TC,$A314)+SUMIFS(SALIDAS_COMB,FECHA_COMB,"&gt;="&amp;BR$2,FECHA_COMB,"&lt;="&amp;BR$3,CLAVE_COMB,$A314)+SUMIFS(SALIDAS_DES,FECHA_DESGLOSEN,"&gt;="&amp;BR$2,FECHA_DESGLOSEN,"&lt;="&amp;BR$3,CLAVE_DESGLOSE,$A314)</f>
        <v>3078.88</v>
      </c>
      <c r="BS314" s="227">
        <f>BL314-BR314</f>
        <v>-3078.88</v>
      </c>
      <c r="BT314" s="301">
        <f>IFERROR((BR314/BL314),0)</f>
        <v>0</v>
      </c>
      <c r="BU314" s="162">
        <f>VLOOKUP($A314,T_PRESUPUESTO,MATCH(BU$6,E_PRESUPUESTO,0),FALSE)</f>
        <v>0</v>
      </c>
      <c r="BV314" s="162">
        <f>SUMIFS(SALIDAS_BIT,FECHA_BIT,"&gt;="&amp;BV$2,FECHA_BIT,"&lt;="&amp;BV$3,CLAVE_BIT,$A314)+SUMIFS(SALIDAS_BOV1,FECHA_BOV1,"&gt;="&amp;BV$2,FECHA_BOV1,"&lt;="&amp;BV$3,CLAVE_BOV1,$A314)+SUMIFS(SALIDAS_BOV2,FECHA_BOV2,"&gt;="&amp;BV$2,FECHA_BOV2,"&lt;="&amp;BV$3,CLAVE_BOV2,$A314)+SUMIFS(SALIDAS_BOV3,FECHA_BOV3,"&gt;="&amp;BV$2,FECHA_BOV3,"&lt;="&amp;BV$3,CLAVE_BOV3,$A314)+SUMIFS(SALIDAS_TC,FECHA_TC,"&gt;="&amp;BV$2,FECHA_TC,"&lt;="&amp;BV$3,CLAVE_TC,$A314)+SUMIFS(SALIDAS_COMB,FECHA_COMB,"&gt;="&amp;BV$2,FECHA_COMB,"&lt;="&amp;BV$3,CLAVE_COMB,$A314)+SUMIFS(SALIDAS_DES,FECHA_DESGLOSEN,"&gt;="&amp;BV$2,FECHA_DESGLOSEN,"&lt;="&amp;BV$3,CLAVE_DESGLOSE,$A314)</f>
        <v>0</v>
      </c>
      <c r="BW314" s="162">
        <f>SUMIFS(SALIDAS_BIT,FECHA_BIT,"&gt;="&amp;BW$2,FECHA_BIT,"&lt;="&amp;BW$3,CLAVE_BIT,$A314)+SUMIFS(SALIDAS_BOV1,FECHA_BOV1,"&gt;="&amp;BW$2,FECHA_BOV1,"&lt;="&amp;BW$3,CLAVE_BOV1,$A314)+SUMIFS(SALIDAS_BOV2,FECHA_BOV2,"&gt;="&amp;BW$2,FECHA_BOV2,"&lt;="&amp;BW$3,CLAVE_BOV2,$A314)+SUMIFS(SALIDAS_BOV3,FECHA_BOV3,"&gt;="&amp;BW$2,FECHA_BOV3,"&lt;="&amp;BW$3,CLAVE_BOV3,$A314)+SUMIFS(SALIDAS_TC,FECHA_TC,"&gt;="&amp;BW$2,FECHA_TC,"&lt;="&amp;BW$3,CLAVE_TC,$A314)+SUMIFS(SALIDAS_COMB,FECHA_COMB,"&gt;="&amp;BW$2,FECHA_COMB,"&lt;="&amp;BW$3,CLAVE_COMB,$A314)+SUMIFS(SALIDAS_DES,FECHA_DESGLOSEN,"&gt;="&amp;BW$2,FECHA_DESGLOSEN,"&lt;="&amp;BW$3,CLAVE_DESGLOSE,$A314)</f>
        <v>0</v>
      </c>
      <c r="BX314" s="162">
        <f>SUMIFS(SALIDAS_BIT,FECHA_BIT,"&gt;="&amp;BX$2,FECHA_BIT,"&lt;="&amp;BX$3,CLAVE_BIT,$A314)+SUMIFS(SALIDAS_BOV1,FECHA_BOV1,"&gt;="&amp;BX$2,FECHA_BOV1,"&lt;="&amp;BX$3,CLAVE_BOV1,$A314)+SUMIFS(SALIDAS_BOV2,FECHA_BOV2,"&gt;="&amp;BX$2,FECHA_BOV2,"&lt;="&amp;BX$3,CLAVE_BOV2,$A314)+SUMIFS(SALIDAS_BOV3,FECHA_BOV3,"&gt;="&amp;BX$2,FECHA_BOV3,"&lt;="&amp;BX$3,CLAVE_BOV3,$A314)+SUMIFS(SALIDAS_TC,FECHA_TC,"&gt;="&amp;BX$2,FECHA_TC,"&lt;="&amp;BX$3,CLAVE_TC,$A314)+SUMIFS(SALIDAS_COMB,FECHA_COMB,"&gt;="&amp;BX$2,FECHA_COMB,"&lt;="&amp;BX$3,CLAVE_COMB,$A314)+SUMIFS(SALIDAS_DES,FECHA_DESGLOSEN,"&gt;="&amp;BX$2,FECHA_DESGLOSEN,"&lt;="&amp;BX$3,CLAVE_DESGLOSE,$A314)</f>
        <v>3633.76</v>
      </c>
      <c r="BY314" s="162">
        <f>SUMIFS(SALIDAS_BIT,FECHA_BIT,"&gt;="&amp;BY$2,FECHA_BIT,"&lt;="&amp;BY$3,CLAVE_BIT,$A314)+SUMIFS(SALIDAS_BOV1,FECHA_BOV1,"&gt;="&amp;BY$2,FECHA_BOV1,"&lt;="&amp;BY$3,CLAVE_BOV1,$A314)+SUMIFS(SALIDAS_BOV2,FECHA_BOV2,"&gt;="&amp;BY$2,FECHA_BOV2,"&lt;="&amp;BY$3,CLAVE_BOV2,$A314)+SUMIFS(SALIDAS_BOV3,FECHA_BOV3,"&gt;="&amp;BY$2,FECHA_BOV3,"&lt;="&amp;BY$3,CLAVE_BOV3,$A314)+SUMIFS(SALIDAS_TC,FECHA_TC,"&gt;="&amp;BY$2,FECHA_TC,"&lt;="&amp;BY$3,CLAVE_TC,$A314)+SUMIFS(SALIDAS_COMB,FECHA_COMB,"&gt;="&amp;BY$2,FECHA_COMB,"&lt;="&amp;BY$3,CLAVE_COMB,$A314)+SUMIFS(SALIDAS_DES,FECHA_DESGLOSEN,"&gt;="&amp;BY$2,FECHA_DESGLOSEN,"&lt;="&amp;BY$3,CLAVE_DESGLOSE,$A314)</f>
        <v>0</v>
      </c>
      <c r="BZ314" s="162">
        <f>SUMIFS(SALIDAS_BIT,FECHA_BIT,"&gt;="&amp;BZ$2,FECHA_BIT,"&lt;="&amp;BZ$3,CLAVE_BIT,$A314)+SUMIFS(SALIDAS_BOV1,FECHA_BOV1,"&gt;="&amp;BZ$2,FECHA_BOV1,"&lt;="&amp;BZ$3,CLAVE_BOV1,$A314)+SUMIFS(SALIDAS_BOV2,FECHA_BOV2,"&gt;="&amp;BZ$2,FECHA_BOV2,"&lt;="&amp;BZ$3,CLAVE_BOV2,$A314)+SUMIFS(SALIDAS_BOV3,FECHA_BOV3,"&gt;="&amp;BZ$2,FECHA_BOV3,"&lt;="&amp;BZ$3,CLAVE_BOV3,$A314)+SUMIFS(SALIDAS_TC,FECHA_TC,"&gt;="&amp;BZ$2,FECHA_TC,"&lt;="&amp;BZ$3,CLAVE_TC,$A314)+SUMIFS(SALIDAS_COMB,FECHA_COMB,"&gt;="&amp;BZ$2,FECHA_COMB,"&lt;="&amp;BZ$3,CLAVE_COMB,$A314)+SUMIFS(SALIDAS_DES,FECHA_DESGLOSEN,"&gt;="&amp;BZ$2,FECHA_DESGLOSEN,"&lt;="&amp;BZ$3,CLAVE_DESGLOSE,$A314)</f>
        <v>3633.76</v>
      </c>
      <c r="CA314" s="227">
        <f>BU314-BZ314</f>
        <v>-3633.76</v>
      </c>
      <c r="CB314" s="301">
        <f>IFERROR((BZ314/BU314),0)</f>
        <v>0</v>
      </c>
      <c r="CC314" s="162">
        <f>VLOOKUP($A314,T_PRESUPUESTO,MATCH(CC$6,E_PRESUPUESTO,0),FALSE)</f>
        <v>0</v>
      </c>
      <c r="CD314" s="162">
        <f>SUMIFS(SALIDAS_BIT,FECHA_BIT,"&gt;="&amp;CD$2,FECHA_BIT,"&lt;="&amp;CD$3,CLAVE_BIT,$A314)+SUMIFS(SALIDAS_BOV1,FECHA_BOV1,"&gt;="&amp;CD$2,FECHA_BOV1,"&lt;="&amp;CD$3,CLAVE_BOV1,$A314)+SUMIFS(SALIDAS_BOV2,FECHA_BOV2,"&gt;="&amp;CD$2,FECHA_BOV2,"&lt;="&amp;CD$3,CLAVE_BOV2,$A314)+SUMIFS(SALIDAS_BOV3,FECHA_BOV3,"&gt;="&amp;CD$2,FECHA_BOV3,"&lt;="&amp;CD$3,CLAVE_BOV3,$A314)+SUMIFS(SALIDAS_TC,FECHA_TC,"&gt;="&amp;CD$2,FECHA_TC,"&lt;="&amp;CD$3,CLAVE_TC,$A314)+SUMIFS(SALIDAS_COMB,FECHA_COMB,"&gt;="&amp;CD$2,FECHA_COMB,"&lt;="&amp;CD$3,CLAVE_COMB,$A314)+SUMIFS(SALIDAS_DES,FECHA_DESGLOSEN,"&gt;="&amp;CD$2,FECHA_DESGLOSEN,"&lt;="&amp;CD$3,CLAVE_DESGLOSE,$A314)</f>
        <v>0</v>
      </c>
      <c r="CE314" s="162">
        <f>SUMIFS(SALIDAS_BIT,FECHA_BIT,"&gt;="&amp;CE$2,FECHA_BIT,"&lt;="&amp;CE$3,CLAVE_BIT,$A314)+SUMIFS(SALIDAS_BOV1,FECHA_BOV1,"&gt;="&amp;CE$2,FECHA_BOV1,"&lt;="&amp;CE$3,CLAVE_BOV1,$A314)+SUMIFS(SALIDAS_BOV2,FECHA_BOV2,"&gt;="&amp;CE$2,FECHA_BOV2,"&lt;="&amp;CE$3,CLAVE_BOV2,$A314)+SUMIFS(SALIDAS_BOV3,FECHA_BOV3,"&gt;="&amp;CE$2,FECHA_BOV3,"&lt;="&amp;CE$3,CLAVE_BOV3,$A314)+SUMIFS(SALIDAS_TC,FECHA_TC,"&gt;="&amp;CE$2,FECHA_TC,"&lt;="&amp;CE$3,CLAVE_TC,$A314)+SUMIFS(SALIDAS_COMB,FECHA_COMB,"&gt;="&amp;CE$2,FECHA_COMB,"&lt;="&amp;CE$3,CLAVE_COMB,$A314)+SUMIFS(SALIDAS_DES,FECHA_DESGLOSEN,"&gt;="&amp;CE$2,FECHA_DESGLOSEN,"&lt;="&amp;CE$3,CLAVE_DESGLOSE,$A314)</f>
        <v>0</v>
      </c>
      <c r="CF314" s="162">
        <f>SUMIFS(SALIDAS_BIT,FECHA_BIT,"&gt;="&amp;CF$2,FECHA_BIT,"&lt;="&amp;CF$3,CLAVE_BIT,$A314)+SUMIFS(SALIDAS_BOV1,FECHA_BOV1,"&gt;="&amp;CF$2,FECHA_BOV1,"&lt;="&amp;CF$3,CLAVE_BOV1,$A314)+SUMIFS(SALIDAS_BOV2,FECHA_BOV2,"&gt;="&amp;CF$2,FECHA_BOV2,"&lt;="&amp;CF$3,CLAVE_BOV2,$A314)+SUMIFS(SALIDAS_BOV3,FECHA_BOV3,"&gt;="&amp;CF$2,FECHA_BOV3,"&lt;="&amp;CF$3,CLAVE_BOV3,$A314)+SUMIFS(SALIDAS_TC,FECHA_TC,"&gt;="&amp;CF$2,FECHA_TC,"&lt;="&amp;CF$3,CLAVE_TC,$A314)+SUMIFS(SALIDAS_COMB,FECHA_COMB,"&gt;="&amp;CF$2,FECHA_COMB,"&lt;="&amp;CF$3,CLAVE_COMB,$A314)+SUMIFS(SALIDAS_DES,FECHA_DESGLOSEN,"&gt;="&amp;CF$2,FECHA_DESGLOSEN,"&lt;="&amp;CF$3,CLAVE_DESGLOSE,$A314)</f>
        <v>0</v>
      </c>
      <c r="CG314" s="162">
        <f>SUMIFS(SALIDAS_BIT,FECHA_BIT,"&gt;="&amp;CG$2,FECHA_BIT,"&lt;="&amp;CG$3,CLAVE_BIT,$A314)+SUMIFS(SALIDAS_BOV1,FECHA_BOV1,"&gt;="&amp;CG$2,FECHA_BOV1,"&lt;="&amp;CG$3,CLAVE_BOV1,$A314)+SUMIFS(SALIDAS_BOV2,FECHA_BOV2,"&gt;="&amp;CG$2,FECHA_BOV2,"&lt;="&amp;CG$3,CLAVE_BOV2,$A314)+SUMIFS(SALIDAS_BOV3,FECHA_BOV3,"&gt;="&amp;CG$2,FECHA_BOV3,"&lt;="&amp;CG$3,CLAVE_BOV3,$A314)+SUMIFS(SALIDAS_TC,FECHA_TC,"&gt;="&amp;CG$2,FECHA_TC,"&lt;="&amp;CG$3,CLAVE_TC,$A314)+SUMIFS(SALIDAS_COMB,FECHA_COMB,"&gt;="&amp;CG$2,FECHA_COMB,"&lt;="&amp;CG$3,CLAVE_COMB,$A314)+SUMIFS(SALIDAS_DES,FECHA_DESGLOSEN,"&gt;="&amp;CG$2,FECHA_DESGLOSEN,"&lt;="&amp;CG$3,CLAVE_DESGLOSE,$A314)</f>
        <v>0</v>
      </c>
      <c r="CH314" s="162">
        <f>SUMIFS(SALIDAS_BIT,FECHA_BIT,"&gt;="&amp;CH$2,FECHA_BIT,"&lt;="&amp;CH$3,CLAVE_BIT,$A314)+SUMIFS(SALIDAS_BOV1,FECHA_BOV1,"&gt;="&amp;CH$2,FECHA_BOV1,"&lt;="&amp;CH$3,CLAVE_BOV1,$A314)+SUMIFS(SALIDAS_BOV2,FECHA_BOV2,"&gt;="&amp;CH$2,FECHA_BOV2,"&lt;="&amp;CH$3,CLAVE_BOV2,$A314)+SUMIFS(SALIDAS_BOV3,FECHA_BOV3,"&gt;="&amp;CH$2,FECHA_BOV3,"&lt;="&amp;CH$3,CLAVE_BOV3,$A314)+SUMIFS(SALIDAS_TC,FECHA_TC,"&gt;="&amp;CH$2,FECHA_TC,"&lt;="&amp;CH$3,CLAVE_TC,$A314)+SUMIFS(SALIDAS_COMB,FECHA_COMB,"&gt;="&amp;CH$2,FECHA_COMB,"&lt;="&amp;CH$3,CLAVE_COMB,$A314)+SUMIFS(SALIDAS_DES,FECHA_DESGLOSEN,"&gt;="&amp;CH$2,FECHA_DESGLOSEN,"&lt;="&amp;CH$3,CLAVE_DESGLOSE,$A314)</f>
        <v>0</v>
      </c>
      <c r="CI314" s="227">
        <f>CC314-CH314</f>
        <v>0</v>
      </c>
      <c r="CJ314" s="301">
        <f>IFERROR((CH314/CC314),0)</f>
        <v>0</v>
      </c>
      <c r="CK314" s="162">
        <f>VLOOKUP($A314,T_PRESUPUESTO,MATCH(CK$6,E_PRESUPUESTO,0),FALSE)</f>
        <v>0</v>
      </c>
      <c r="CL314" s="162">
        <f>SUMIFS(SALIDAS_BIT,FECHA_BIT,"&gt;="&amp;CL$2,FECHA_BIT,"&lt;="&amp;CL$3,CLAVE_BIT,$A314)+SUMIFS(SALIDAS_BOV1,FECHA_BOV1,"&gt;="&amp;CL$2,FECHA_BOV1,"&lt;="&amp;CL$3,CLAVE_BOV1,$A314)+SUMIFS(SALIDAS_BOV2,FECHA_BOV2,"&gt;="&amp;CL$2,FECHA_BOV2,"&lt;="&amp;CL$3,CLAVE_BOV2,$A314)+SUMIFS(SALIDAS_BOV3,FECHA_BOV3,"&gt;="&amp;CL$2,FECHA_BOV3,"&lt;="&amp;CL$3,CLAVE_BOV3,$A314)+SUMIFS(SALIDAS_TC,FECHA_TC,"&gt;="&amp;CL$2,FECHA_TC,"&lt;="&amp;CL$3,CLAVE_TC,$A314)+SUMIFS(SALIDAS_COMB,FECHA_COMB,"&gt;="&amp;CL$2,FECHA_COMB,"&lt;="&amp;CL$3,CLAVE_COMB,$A314)+SUMIFS(SALIDAS_DES,FECHA_DESGLOSEN,"&gt;="&amp;CL$2,FECHA_DESGLOSEN,"&lt;="&amp;CL$3,CLAVE_DESGLOSE,$A314)</f>
        <v>0</v>
      </c>
      <c r="CM314" s="162">
        <f>SUMIFS(SALIDAS_BIT,FECHA_BIT,"&gt;="&amp;CM$2,FECHA_BIT,"&lt;="&amp;CM$3,CLAVE_BIT,$A314)+SUMIFS(SALIDAS_BOV1,FECHA_BOV1,"&gt;="&amp;CM$2,FECHA_BOV1,"&lt;="&amp;CM$3,CLAVE_BOV1,$A314)+SUMIFS(SALIDAS_BOV2,FECHA_BOV2,"&gt;="&amp;CM$2,FECHA_BOV2,"&lt;="&amp;CM$3,CLAVE_BOV2,$A314)+SUMIFS(SALIDAS_BOV3,FECHA_BOV3,"&gt;="&amp;CM$2,FECHA_BOV3,"&lt;="&amp;CM$3,CLAVE_BOV3,$A314)+SUMIFS(SALIDAS_TC,FECHA_TC,"&gt;="&amp;CM$2,FECHA_TC,"&lt;="&amp;CM$3,CLAVE_TC,$A314)+SUMIFS(SALIDAS_COMB,FECHA_COMB,"&gt;="&amp;CM$2,FECHA_COMB,"&lt;="&amp;CM$3,CLAVE_COMB,$A314)+SUMIFS(SALIDAS_DES,FECHA_DESGLOSEN,"&gt;="&amp;CM$2,FECHA_DESGLOSEN,"&lt;="&amp;CM$3,CLAVE_DESGLOSE,$A314)</f>
        <v>0</v>
      </c>
      <c r="CN314" s="162">
        <f>SUMIFS(SALIDAS_BIT,FECHA_BIT,"&gt;="&amp;CN$2,FECHA_BIT,"&lt;="&amp;CN$3,CLAVE_BIT,$A314)+SUMIFS(SALIDAS_BOV1,FECHA_BOV1,"&gt;="&amp;CN$2,FECHA_BOV1,"&lt;="&amp;CN$3,CLAVE_BOV1,$A314)+SUMIFS(SALIDAS_BOV2,FECHA_BOV2,"&gt;="&amp;CN$2,FECHA_BOV2,"&lt;="&amp;CN$3,CLAVE_BOV2,$A314)+SUMIFS(SALIDAS_BOV3,FECHA_BOV3,"&gt;="&amp;CN$2,FECHA_BOV3,"&lt;="&amp;CN$3,CLAVE_BOV3,$A314)+SUMIFS(SALIDAS_TC,FECHA_TC,"&gt;="&amp;CN$2,FECHA_TC,"&lt;="&amp;CN$3,CLAVE_TC,$A314)+SUMIFS(SALIDAS_COMB,FECHA_COMB,"&gt;="&amp;CN$2,FECHA_COMB,"&lt;="&amp;CN$3,CLAVE_COMB,$A314)+SUMIFS(SALIDAS_DES,FECHA_DESGLOSEN,"&gt;="&amp;CN$2,FECHA_DESGLOSEN,"&lt;="&amp;CN$3,CLAVE_DESGLOSE,$A314)</f>
        <v>0</v>
      </c>
      <c r="CO314" s="162">
        <f>SUMIFS(SALIDAS_BIT,FECHA_BIT,"&gt;="&amp;CO$2,FECHA_BIT,"&lt;="&amp;CO$3,CLAVE_BIT,$A314)+SUMIFS(SALIDAS_BOV1,FECHA_BOV1,"&gt;="&amp;CO$2,FECHA_BOV1,"&lt;="&amp;CO$3,CLAVE_BOV1,$A314)+SUMIFS(SALIDAS_BOV2,FECHA_BOV2,"&gt;="&amp;CO$2,FECHA_BOV2,"&lt;="&amp;CO$3,CLAVE_BOV2,$A314)+SUMIFS(SALIDAS_BOV3,FECHA_BOV3,"&gt;="&amp;CO$2,FECHA_BOV3,"&lt;="&amp;CO$3,CLAVE_BOV3,$A314)+SUMIFS(SALIDAS_TC,FECHA_TC,"&gt;="&amp;CO$2,FECHA_TC,"&lt;="&amp;CO$3,CLAVE_TC,$A314)+SUMIFS(SALIDAS_COMB,FECHA_COMB,"&gt;="&amp;CO$2,FECHA_COMB,"&lt;="&amp;CO$3,CLAVE_COMB,$A314)+SUMIFS(SALIDAS_DES,FECHA_DESGLOSEN,"&gt;="&amp;CO$2,FECHA_DESGLOSEN,"&lt;="&amp;CO$3,CLAVE_DESGLOSE,$A314)</f>
        <v>0</v>
      </c>
      <c r="CP314" s="162">
        <f>SUMIFS(SALIDAS_BIT,FECHA_BIT,"&gt;="&amp;CP$2,FECHA_BIT,"&lt;="&amp;CP$3,CLAVE_BIT,$A314)+SUMIFS(SALIDAS_BOV1,FECHA_BOV1,"&gt;="&amp;CP$2,FECHA_BOV1,"&lt;="&amp;CP$3,CLAVE_BOV1,$A314)+SUMIFS(SALIDAS_BOV2,FECHA_BOV2,"&gt;="&amp;CP$2,FECHA_BOV2,"&lt;="&amp;CP$3,CLAVE_BOV2,$A314)+SUMIFS(SALIDAS_BOV3,FECHA_BOV3,"&gt;="&amp;CP$2,FECHA_BOV3,"&lt;="&amp;CP$3,CLAVE_BOV3,$A314)+SUMIFS(SALIDAS_TC,FECHA_TC,"&gt;="&amp;CP$2,FECHA_TC,"&lt;="&amp;CP$3,CLAVE_TC,$A314)+SUMIFS(SALIDAS_COMB,FECHA_COMB,"&gt;="&amp;CP$2,FECHA_COMB,"&lt;="&amp;CP$3,CLAVE_COMB,$A314)+SUMIFS(SALIDAS_DES,FECHA_DESGLOSEN,"&gt;="&amp;CP$2,FECHA_DESGLOSEN,"&lt;="&amp;CP$3,CLAVE_DESGLOSE,$A314)</f>
        <v>0</v>
      </c>
      <c r="CQ314" s="162">
        <f>SUMIFS(SALIDAS_BIT,FECHA_BIT,"&gt;="&amp;CQ$2,FECHA_BIT,"&lt;="&amp;CQ$3,CLAVE_BIT,$A314)+SUMIFS(SALIDAS_BOV1,FECHA_BOV1,"&gt;="&amp;CQ$2,FECHA_BOV1,"&lt;="&amp;CQ$3,CLAVE_BOV1,$A314)+SUMIFS(SALIDAS_BOV2,FECHA_BOV2,"&gt;="&amp;CQ$2,FECHA_BOV2,"&lt;="&amp;CQ$3,CLAVE_BOV2,$A314)+SUMIFS(SALIDAS_BOV3,FECHA_BOV3,"&gt;="&amp;CQ$2,FECHA_BOV3,"&lt;="&amp;CQ$3,CLAVE_BOV3,$A314)+SUMIFS(SALIDAS_TC,FECHA_TC,"&gt;="&amp;CQ$2,FECHA_TC,"&lt;="&amp;CQ$3,CLAVE_TC,$A314)+SUMIFS(SALIDAS_COMB,FECHA_COMB,"&gt;="&amp;CQ$2,FECHA_COMB,"&lt;="&amp;CQ$3,CLAVE_COMB,$A314)+SUMIFS(SALIDAS_DES,FECHA_DESGLOSEN,"&gt;="&amp;CQ$2,FECHA_DESGLOSEN,"&lt;="&amp;CQ$3,CLAVE_DESGLOSE,$A314)</f>
        <v>0</v>
      </c>
      <c r="CR314" s="227">
        <f>CK314-CQ314</f>
        <v>0</v>
      </c>
      <c r="CS314" s="301">
        <f>IFERROR((CQ314/CK314),0)</f>
        <v>0</v>
      </c>
      <c r="CT314" s="68">
        <f t="shared" si="446"/>
        <v>5000</v>
      </c>
      <c r="CU314" s="13">
        <f>SUMIFS(SALIDAS_BIT,FECHA_BIT,"&gt;="&amp;CU$2,FECHA_BIT,"&lt;="&amp;CU$3,CLAVE_BIT,$A314)+SUMIFS(SALIDAS_BOV1,FECHA_BOV1,"&gt;="&amp;CU$2,FECHA_BOV1,"&lt;="&amp;CU$3,CLAVE_BOV1,$A314)+SUMIFS(SALIDAS_BOV2,FECHA_BOV2,"&gt;="&amp;CU$2,FECHA_BOV2,"&lt;="&amp;CU$3,CLAVE_BOV2,$A314)+SUMIFS(SALIDAS_BOV3,FECHA_BOV3,"&gt;="&amp;CU$2,FECHA_BOV3,"&lt;="&amp;CU$3,CLAVE_BOV3,$A314)+SUMIFS(SALIDAS_TC,FECHA_TC,"&gt;="&amp;CU$2,FECHA_TC,"&lt;="&amp;CU$3,CLAVE_TC,$A314)+SUMIFS(SALIDAS_COMB,FECHA_COMB,"&gt;="&amp;CU$2,FECHA_COMB,"&lt;="&amp;CU$3,CLAVE_COMB,$A314)+SUMIFS(SALIDAS_DES,FECHA_DESGLOSEN,"&gt;="&amp;CU$2,FECHA_DESGLOSEN,"&lt;="&amp;CU$3,CLAVE_DESGLOSE,$A314)</f>
        <v>0</v>
      </c>
      <c r="CV314" s="13">
        <f>SUMIFS(SALIDAS_BIT,FECHA_BIT,"&gt;="&amp;CV$2,FECHA_BIT,"&lt;="&amp;CV$3,CLAVE_BIT,$A314)+SUMIFS(SALIDAS_BOV1,FECHA_BOV1,"&gt;="&amp;CV$2,FECHA_BOV1,"&lt;="&amp;CV$3,CLAVE_BOV1,$A314)+SUMIFS(SALIDAS_BOV2,FECHA_BOV2,"&gt;="&amp;CV$2,FECHA_BOV2,"&lt;="&amp;CV$3,CLAVE_BOV2,$A314)+SUMIFS(SALIDAS_BOV3,FECHA_BOV3,"&gt;="&amp;CV$2,FECHA_BOV3,"&lt;="&amp;CV$3,CLAVE_BOV3,$A314)+SUMIFS(SALIDAS_TC,FECHA_TC,"&gt;="&amp;CV$2,FECHA_TC,"&lt;="&amp;CV$3,CLAVE_TC,$A314)+SUMIFS(SALIDAS_COMB,FECHA_COMB,"&gt;="&amp;CV$2,FECHA_COMB,"&lt;="&amp;CV$3,CLAVE_COMB,$A314)+SUMIFS(SALIDAS_DES,FECHA_DESGLOSEN,"&gt;="&amp;CV$2,FECHA_DESGLOSEN,"&lt;="&amp;CV$3,CLAVE_DESGLOSE,$A314)</f>
        <v>0</v>
      </c>
      <c r="CW314" s="13">
        <f>SUMIFS(SALIDAS_BIT,FECHA_BIT,"&gt;="&amp;CW$2,FECHA_BIT,"&lt;="&amp;CW$3,CLAVE_BIT,$A314)+SUMIFS(SALIDAS_BOV1,FECHA_BOV1,"&gt;="&amp;CW$2,FECHA_BOV1,"&lt;="&amp;CW$3,CLAVE_BOV1,$A314)+SUMIFS(SALIDAS_BOV2,FECHA_BOV2,"&gt;="&amp;CW$2,FECHA_BOV2,"&lt;="&amp;CW$3,CLAVE_BOV2,$A314)+SUMIFS(SALIDAS_BOV3,FECHA_BOV3,"&gt;="&amp;CW$2,FECHA_BOV3,"&lt;="&amp;CW$3,CLAVE_BOV3,$A314)+SUMIFS(SALIDAS_TC,FECHA_TC,"&gt;="&amp;CW$2,FECHA_TC,"&lt;="&amp;CW$3,CLAVE_TC,$A314)+SUMIFS(SALIDAS_COMB,FECHA_COMB,"&gt;="&amp;CW$2,FECHA_COMB,"&lt;="&amp;CW$3,CLAVE_COMB,$A314)+SUMIFS(SALIDAS_DES,FECHA_DESGLOSEN,"&gt;="&amp;CW$2,FECHA_DESGLOSEN,"&lt;="&amp;CW$3,CLAVE_DESGLOSE,$A314)</f>
        <v>0</v>
      </c>
      <c r="CX314" s="13">
        <f>SUMIFS(SALIDAS_BIT,FECHA_BIT,"&gt;="&amp;CX$2,FECHA_BIT,"&lt;="&amp;CX$3,CLAVE_BIT,$A314)+SUMIFS(SALIDAS_BOV1,FECHA_BOV1,"&gt;="&amp;CX$2,FECHA_BOV1,"&lt;="&amp;CX$3,CLAVE_BOV1,$A314)+SUMIFS(SALIDAS_BOV2,FECHA_BOV2,"&gt;="&amp;CX$2,FECHA_BOV2,"&lt;="&amp;CX$3,CLAVE_BOV2,$A314)+SUMIFS(SALIDAS_BOV3,FECHA_BOV3,"&gt;="&amp;CX$2,FECHA_BOV3,"&lt;="&amp;CX$3,CLAVE_BOV3,$A314)+SUMIFS(SALIDAS_TC,FECHA_TC,"&gt;="&amp;CX$2,FECHA_TC,"&lt;="&amp;CX$3,CLAVE_TC,$A314)+SUMIFS(SALIDAS_COMB,FECHA_COMB,"&gt;="&amp;CX$2,FECHA_COMB,"&lt;="&amp;CX$3,CLAVE_COMB,$A314)+SUMIFS(SALIDAS_DES,FECHA_DESGLOSEN,"&gt;="&amp;CX$2,FECHA_DESGLOSEN,"&lt;="&amp;CX$3,CLAVE_DESGLOSE,$A314)</f>
        <v>0</v>
      </c>
      <c r="CY314" s="13">
        <f>SUMIFS(SALIDAS_BIT,FECHA_BIT,"&gt;="&amp;CY$2,FECHA_BIT,"&lt;="&amp;CY$3,CLAVE_BIT,$A314)+SUMIFS(SALIDAS_BOV1,FECHA_BOV1,"&gt;="&amp;CY$2,FECHA_BOV1,"&lt;="&amp;CY$3,CLAVE_BOV1,$A314)+SUMIFS(SALIDAS_BOV2,FECHA_BOV2,"&gt;="&amp;CY$2,FECHA_BOV2,"&lt;="&amp;CY$3,CLAVE_BOV2,$A314)+SUMIFS(SALIDAS_BOV3,FECHA_BOV3,"&gt;="&amp;CY$2,FECHA_BOV3,"&lt;="&amp;CY$3,CLAVE_BOV3,$A314)+SUMIFS(SALIDAS_TC,FECHA_TC,"&gt;="&amp;CY$2,FECHA_TC,"&lt;="&amp;CY$3,CLAVE_TC,$A314)+SUMIFS(SALIDAS_COMB,FECHA_COMB,"&gt;="&amp;CY$2,FECHA_COMB,"&lt;="&amp;CY$3,CLAVE_COMB,$A314)+SUMIFS(SALIDAS_DES,FECHA_DESGLOSEN,"&gt;="&amp;CY$2,FECHA_DESGLOSEN,"&lt;="&amp;CY$3,CLAVE_DESGLOSE,$A314)</f>
        <v>0</v>
      </c>
      <c r="CZ314" s="68">
        <f t="shared" si="474"/>
        <v>5000</v>
      </c>
      <c r="DB314" s="17">
        <f>F314+N314+W314+AE314+AM314+AV314+BD314+BL314+BU314+CC314+CK314</f>
        <v>0</v>
      </c>
      <c r="DC314" s="17">
        <f>K314+T314+AB314+AJ314+AS314+BA314+BI314+BR314+BZ314+CH314+CQ314</f>
        <v>15946.019999999999</v>
      </c>
    </row>
    <row r="315" spans="1:107" ht="15" hidden="1">
      <c r="A315" s="12" t="str">
        <f>C315&amp;D315&amp;E315</f>
        <v>SERVICIOSMTTO MOBILIARIOREPARACION</v>
      </c>
      <c r="B315">
        <v>315</v>
      </c>
      <c r="C315" t="s">
        <v>21</v>
      </c>
      <c r="D315" t="s">
        <v>145</v>
      </c>
      <c r="E315" t="s">
        <v>146</v>
      </c>
      <c r="F315" s="260">
        <f>VLOOKUP($A315,T_PRESUPUESTO,MATCH(F$6,E_PRESUPUESTO,0),FALSE)</f>
        <v>0</v>
      </c>
      <c r="G315" s="162">
        <f>SUMIFS(SALIDAS_BIT,FECHA_BIT,"&gt;="&amp;G$2,FECHA_BIT,"&lt;="&amp;G$3,CLAVE_BIT,$A315)+SUMIFS(SALIDAS_BOV1,FECHA_BOV1,"&gt;="&amp;G$2,FECHA_BOV1,"&lt;="&amp;G$3,CLAVE_BOV1,$A315)+SUMIFS(SALIDAS_BOV2,FECHA_BOV2,"&gt;="&amp;G$2,FECHA_BOV2,"&lt;="&amp;G$3,CLAVE_BOV2,$A315)+SUMIFS(SALIDAS_BOV3,FECHA_BOV3,"&gt;="&amp;G$2,FECHA_BOV3,"&lt;="&amp;G$3,CLAVE_BOV3,$A315)+SUMIFS(SALIDAS_TC,FECHA_TC,"&gt;="&amp;G$2,FECHA_TC,"&lt;="&amp;G$3,CLAVE_TC,$A315)+SUMIFS(SALIDAS_COMB,FECHA_COMB,"&gt;="&amp;G$2,FECHA_COMB,"&lt;="&amp;G$3,CLAVE_COMB,$A315)+SUMIFS(SALIDAS_DES,FECHA_DESGLOSEN,"&gt;="&amp;G$2,FECHA_DESGLOSEN,"&lt;="&amp;G$3,CLAVE_DESGLOSE,$A315)</f>
        <v>0</v>
      </c>
      <c r="H315" s="162">
        <f>SUMIFS(SALIDAS_BIT,FECHA_BIT,"&gt;="&amp;H$2,FECHA_BIT,"&lt;="&amp;H$3,CLAVE_BIT,$A315)+SUMIFS(SALIDAS_BOV1,FECHA_BOV1,"&gt;="&amp;H$2,FECHA_BOV1,"&lt;="&amp;H$3,CLAVE_BOV1,$A315)+SUMIFS(SALIDAS_BOV2,FECHA_BOV2,"&gt;="&amp;H$2,FECHA_BOV2,"&lt;="&amp;H$3,CLAVE_BOV2,$A315)+SUMIFS(SALIDAS_BOV3,FECHA_BOV3,"&gt;="&amp;H$2,FECHA_BOV3,"&lt;="&amp;H$3,CLAVE_BOV3,$A315)+SUMIFS(SALIDAS_TC,FECHA_TC,"&gt;="&amp;H$2,FECHA_TC,"&lt;="&amp;H$3,CLAVE_TC,$A315)+SUMIFS(SALIDAS_COMB,FECHA_COMB,"&gt;="&amp;H$2,FECHA_COMB,"&lt;="&amp;H$3,CLAVE_COMB,$A315)+SUMIFS(SALIDAS_DES,FECHA_DESGLOSEN,"&gt;="&amp;H$2,FECHA_DESGLOSEN,"&lt;="&amp;H$3,CLAVE_DESGLOSE,$A315)</f>
        <v>0</v>
      </c>
      <c r="I315" s="162">
        <f>SUMIFS(SALIDAS_BIT,FECHA_BIT,"&gt;="&amp;I$2,FECHA_BIT,"&lt;="&amp;I$3,CLAVE_BIT,$A315)+SUMIFS(SALIDAS_BOV1,FECHA_BOV1,"&gt;="&amp;I$2,FECHA_BOV1,"&lt;="&amp;I$3,CLAVE_BOV1,$A315)+SUMIFS(SALIDAS_BOV2,FECHA_BOV2,"&gt;="&amp;I$2,FECHA_BOV2,"&lt;="&amp;I$3,CLAVE_BOV2,$A315)+SUMIFS(SALIDAS_BOV3,FECHA_BOV3,"&gt;="&amp;I$2,FECHA_BOV3,"&lt;="&amp;I$3,CLAVE_BOV3,$A315)+SUMIFS(SALIDAS_TC,FECHA_TC,"&gt;="&amp;I$2,FECHA_TC,"&lt;="&amp;I$3,CLAVE_TC,$A315)+SUMIFS(SALIDAS_COMB,FECHA_COMB,"&gt;="&amp;I$2,FECHA_COMB,"&lt;="&amp;I$3,CLAVE_COMB,$A315)+SUMIFS(SALIDAS_DES,FECHA_DESGLOSEN,"&gt;="&amp;I$2,FECHA_DESGLOSEN,"&lt;="&amp;I$3,CLAVE_DESGLOSE,$A315)</f>
        <v>0</v>
      </c>
      <c r="J315" s="162">
        <f>SUMIFS(SALIDAS_BIT,FECHA_BIT,"&gt;="&amp;J$2,FECHA_BIT,"&lt;="&amp;J$3,CLAVE_BIT,$A315)+SUMIFS(SALIDAS_BOV1,FECHA_BOV1,"&gt;="&amp;J$2,FECHA_BOV1,"&lt;="&amp;J$3,CLAVE_BOV1,$A315)+SUMIFS(SALIDAS_BOV2,FECHA_BOV2,"&gt;="&amp;J$2,FECHA_BOV2,"&lt;="&amp;J$3,CLAVE_BOV2,$A315)+SUMIFS(SALIDAS_BOV3,FECHA_BOV3,"&gt;="&amp;J$2,FECHA_BOV3,"&lt;="&amp;J$3,CLAVE_BOV3,$A315)+SUMIFS(SALIDAS_TC,FECHA_TC,"&gt;="&amp;J$2,FECHA_TC,"&lt;="&amp;J$3,CLAVE_TC,$A315)+SUMIFS(SALIDAS_COMB,FECHA_COMB,"&gt;="&amp;J$2,FECHA_COMB,"&lt;="&amp;J$3,CLAVE_COMB,$A315)+SUMIFS(SALIDAS_DES,FECHA_DESGLOSEN,"&gt;="&amp;J$2,FECHA_DESGLOSEN,"&lt;="&amp;J$3,CLAVE_DESGLOSE,$A315)</f>
        <v>0</v>
      </c>
      <c r="K315" s="162">
        <f>SUMIFS(SALIDAS_BIT,FECHA_BIT,"&gt;="&amp;K$2,FECHA_BIT,"&lt;="&amp;K$3,CLAVE_BIT,$A315)+SUMIFS(SALIDAS_BOV1,FECHA_BOV1,"&gt;="&amp;K$2,FECHA_BOV1,"&lt;="&amp;K$3,CLAVE_BOV1,$A315)+SUMIFS(SALIDAS_BOV2,FECHA_BOV2,"&gt;="&amp;K$2,FECHA_BOV2,"&lt;="&amp;K$3,CLAVE_BOV2,$A315)+SUMIFS(SALIDAS_BOV3,FECHA_BOV3,"&gt;="&amp;K$2,FECHA_BOV3,"&lt;="&amp;K$3,CLAVE_BOV3,$A315)+SUMIFS(SALIDAS_TC,FECHA_TC,"&gt;="&amp;K$2,FECHA_TC,"&lt;="&amp;K$3,CLAVE_TC,$A315)+SUMIFS(SALIDAS_COMB,FECHA_COMB,"&gt;="&amp;K$2,FECHA_COMB,"&lt;="&amp;K$3,CLAVE_COMB,$A315)+SUMIFS(SALIDAS_DES,FECHA_DESGLOSEN,"&gt;="&amp;K$2,FECHA_DESGLOSEN,"&lt;="&amp;K$3,CLAVE_DESGLOSE,$A315)</f>
        <v>0</v>
      </c>
      <c r="L315" s="227">
        <f>F315-K315</f>
        <v>0</v>
      </c>
      <c r="M315" s="301">
        <f>IFERROR((K315/F315),0)</f>
        <v>0</v>
      </c>
      <c r="N315" s="162">
        <f>VLOOKUP($A315,T_PRESUPUESTO,MATCH(N$6,E_PRESUPUESTO,0),FALSE)</f>
        <v>0</v>
      </c>
      <c r="O315" s="162">
        <f>SUMIFS(SALIDAS_BIT,FECHA_BIT,"&gt;="&amp;O$2,FECHA_BIT,"&lt;="&amp;O$3,CLAVE_BIT,$A315)+SUMIFS(SALIDAS_BOV1,FECHA_BOV1,"&gt;="&amp;O$2,FECHA_BOV1,"&lt;="&amp;O$3,CLAVE_BOV1,$A315)+SUMIFS(SALIDAS_BOV2,FECHA_BOV2,"&gt;="&amp;O$2,FECHA_BOV2,"&lt;="&amp;O$3,CLAVE_BOV2,$A315)+SUMIFS(SALIDAS_BOV3,FECHA_BOV3,"&gt;="&amp;O$2,FECHA_BOV3,"&lt;="&amp;O$3,CLAVE_BOV3,$A315)+SUMIFS(SALIDAS_TC,FECHA_TC,"&gt;="&amp;O$2,FECHA_TC,"&lt;="&amp;O$3,CLAVE_TC,$A315)+SUMIFS(SALIDAS_COMB,FECHA_COMB,"&gt;="&amp;O$2,FECHA_COMB,"&lt;="&amp;O$3,CLAVE_COMB,$A315)+SUMIFS(SALIDAS_DES,FECHA_DESGLOSEN,"&gt;="&amp;O$2,FECHA_DESGLOSEN,"&lt;="&amp;O$3,CLAVE_DESGLOSE,$A315)</f>
        <v>0</v>
      </c>
      <c r="P315" s="162">
        <f>SUMIFS(SALIDAS_BIT,FECHA_BIT,"&gt;="&amp;P$2,FECHA_BIT,"&lt;="&amp;P$3,CLAVE_BIT,$A315)+SUMIFS(SALIDAS_BOV1,FECHA_BOV1,"&gt;="&amp;P$2,FECHA_BOV1,"&lt;="&amp;P$3,CLAVE_BOV1,$A315)+SUMIFS(SALIDAS_BOV2,FECHA_BOV2,"&gt;="&amp;P$2,FECHA_BOV2,"&lt;="&amp;P$3,CLAVE_BOV2,$A315)+SUMIFS(SALIDAS_BOV3,FECHA_BOV3,"&gt;="&amp;P$2,FECHA_BOV3,"&lt;="&amp;P$3,CLAVE_BOV3,$A315)+SUMIFS(SALIDAS_TC,FECHA_TC,"&gt;="&amp;P$2,FECHA_TC,"&lt;="&amp;P$3,CLAVE_TC,$A315)+SUMIFS(SALIDAS_COMB,FECHA_COMB,"&gt;="&amp;P$2,FECHA_COMB,"&lt;="&amp;P$3,CLAVE_COMB,$A315)+SUMIFS(SALIDAS_DES,FECHA_DESGLOSEN,"&gt;="&amp;P$2,FECHA_DESGLOSEN,"&lt;="&amp;P$3,CLAVE_DESGLOSE,$A315)</f>
        <v>0</v>
      </c>
      <c r="Q315" s="162">
        <f>SUMIFS(SALIDAS_BIT,FECHA_BIT,"&gt;="&amp;Q$2,FECHA_BIT,"&lt;="&amp;Q$3,CLAVE_BIT,$A315)+SUMIFS(SALIDAS_BOV1,FECHA_BOV1,"&gt;="&amp;Q$2,FECHA_BOV1,"&lt;="&amp;Q$3,CLAVE_BOV1,$A315)+SUMIFS(SALIDAS_BOV2,FECHA_BOV2,"&gt;="&amp;Q$2,FECHA_BOV2,"&lt;="&amp;Q$3,CLAVE_BOV2,$A315)+SUMIFS(SALIDAS_BOV3,FECHA_BOV3,"&gt;="&amp;Q$2,FECHA_BOV3,"&lt;="&amp;Q$3,CLAVE_BOV3,$A315)+SUMIFS(SALIDAS_TC,FECHA_TC,"&gt;="&amp;Q$2,FECHA_TC,"&lt;="&amp;Q$3,CLAVE_TC,$A315)+SUMIFS(SALIDAS_COMB,FECHA_COMB,"&gt;="&amp;Q$2,FECHA_COMB,"&lt;="&amp;Q$3,CLAVE_COMB,$A315)+SUMIFS(SALIDAS_DES,FECHA_DESGLOSEN,"&gt;="&amp;Q$2,FECHA_DESGLOSEN,"&lt;="&amp;Q$3,CLAVE_DESGLOSE,$A315)</f>
        <v>0</v>
      </c>
      <c r="R315" s="162">
        <f>SUMIFS(SALIDAS_BIT,FECHA_BIT,"&gt;="&amp;R$2,FECHA_BIT,"&lt;="&amp;R$3,CLAVE_BIT,$A315)+SUMIFS(SALIDAS_BOV1,FECHA_BOV1,"&gt;="&amp;R$2,FECHA_BOV1,"&lt;="&amp;R$3,CLAVE_BOV1,$A315)+SUMIFS(SALIDAS_BOV2,FECHA_BOV2,"&gt;="&amp;R$2,FECHA_BOV2,"&lt;="&amp;R$3,CLAVE_BOV2,$A315)+SUMIFS(SALIDAS_BOV3,FECHA_BOV3,"&gt;="&amp;R$2,FECHA_BOV3,"&lt;="&amp;R$3,CLAVE_BOV3,$A315)+SUMIFS(SALIDAS_TC,FECHA_TC,"&gt;="&amp;R$2,FECHA_TC,"&lt;="&amp;R$3,CLAVE_TC,$A315)+SUMIFS(SALIDAS_COMB,FECHA_COMB,"&gt;="&amp;R$2,FECHA_COMB,"&lt;="&amp;R$3,CLAVE_COMB,$A315)+SUMIFS(SALIDAS_DES,FECHA_DESGLOSEN,"&gt;="&amp;R$2,FECHA_DESGLOSEN,"&lt;="&amp;R$3,CLAVE_DESGLOSE,$A315)</f>
        <v>0</v>
      </c>
      <c r="S315" s="162">
        <f>SUMIFS(SALIDAS_BIT,FECHA_BIT,"&gt;="&amp;S$2,FECHA_BIT,"&lt;="&amp;S$3,CLAVE_BIT,$A315)+SUMIFS(SALIDAS_BOV1,FECHA_BOV1,"&gt;="&amp;S$2,FECHA_BOV1,"&lt;="&amp;S$3,CLAVE_BOV1,$A315)+SUMIFS(SALIDAS_BOV2,FECHA_BOV2,"&gt;="&amp;S$2,FECHA_BOV2,"&lt;="&amp;S$3,CLAVE_BOV2,$A315)+SUMIFS(SALIDAS_BOV3,FECHA_BOV3,"&gt;="&amp;S$2,FECHA_BOV3,"&lt;="&amp;S$3,CLAVE_BOV3,$A315)+SUMIFS(SALIDAS_TC,FECHA_TC,"&gt;="&amp;S$2,FECHA_TC,"&lt;="&amp;S$3,CLAVE_TC,$A315)+SUMIFS(SALIDAS_COMB,FECHA_COMB,"&gt;="&amp;S$2,FECHA_COMB,"&lt;="&amp;S$3,CLAVE_COMB,$A315)+SUMIFS(SALIDAS_DES,FECHA_DESGLOSEN,"&gt;="&amp;S$2,FECHA_DESGLOSEN,"&lt;="&amp;S$3,CLAVE_DESGLOSE,$A315)</f>
        <v>0</v>
      </c>
      <c r="T315" s="162">
        <f>SUMIFS(SALIDAS_BIT,FECHA_BIT,"&gt;="&amp;T$2,FECHA_BIT,"&lt;="&amp;T$3,CLAVE_BIT,$A315)+SUMIFS(SALIDAS_BOV1,FECHA_BOV1,"&gt;="&amp;T$2,FECHA_BOV1,"&lt;="&amp;T$3,CLAVE_BOV1,$A315)+SUMIFS(SALIDAS_BOV2,FECHA_BOV2,"&gt;="&amp;T$2,FECHA_BOV2,"&lt;="&amp;T$3,CLAVE_BOV2,$A315)+SUMIFS(SALIDAS_BOV3,FECHA_BOV3,"&gt;="&amp;T$2,FECHA_BOV3,"&lt;="&amp;T$3,CLAVE_BOV3,$A315)+SUMIFS(SALIDAS_TC,FECHA_TC,"&gt;="&amp;T$2,FECHA_TC,"&lt;="&amp;T$3,CLAVE_TC,$A315)+SUMIFS(SALIDAS_COMB,FECHA_COMB,"&gt;="&amp;T$2,FECHA_COMB,"&lt;="&amp;T$3,CLAVE_COMB,$A315)+SUMIFS(SALIDAS_DES,FECHA_DESGLOSEN,"&gt;="&amp;T$2,FECHA_DESGLOSEN,"&lt;="&amp;T$3,CLAVE_DESGLOSE,$A315)</f>
        <v>0</v>
      </c>
      <c r="U315" s="227">
        <f>N315-T315</f>
        <v>0</v>
      </c>
      <c r="V315" s="301">
        <f>IFERROR((T315/N315),0)</f>
        <v>0</v>
      </c>
      <c r="W315" s="162">
        <f>VLOOKUP($A315,T_PRESUPUESTO,MATCH(W$6,E_PRESUPUESTO,0),FALSE)</f>
        <v>0</v>
      </c>
      <c r="X315" s="162">
        <f>SUMIFS(SALIDAS_BIT,FECHA_BIT,"&gt;="&amp;X$2,FECHA_BIT,"&lt;="&amp;X$3,CLAVE_BIT,$A315)+SUMIFS(SALIDAS_BOV1,FECHA_BOV1,"&gt;="&amp;X$2,FECHA_BOV1,"&lt;="&amp;X$3,CLAVE_BOV1,$A315)+SUMIFS(SALIDAS_BOV2,FECHA_BOV2,"&gt;="&amp;X$2,FECHA_BOV2,"&lt;="&amp;X$3,CLAVE_BOV2,$A315)+SUMIFS(SALIDAS_BOV3,FECHA_BOV3,"&gt;="&amp;X$2,FECHA_BOV3,"&lt;="&amp;X$3,CLAVE_BOV3,$A315)+SUMIFS(SALIDAS_TC,FECHA_TC,"&gt;="&amp;X$2,FECHA_TC,"&lt;="&amp;X$3,CLAVE_TC,$A315)+SUMIFS(SALIDAS_COMB,FECHA_COMB,"&gt;="&amp;X$2,FECHA_COMB,"&lt;="&amp;X$3,CLAVE_COMB,$A315)+SUMIFS(SALIDAS_DES,FECHA_DESGLOSEN,"&gt;="&amp;X$2,FECHA_DESGLOSEN,"&lt;="&amp;X$3,CLAVE_DESGLOSE,$A315)</f>
        <v>0</v>
      </c>
      <c r="Y315" s="162">
        <f>SUMIFS(SALIDAS_BIT,FECHA_BIT,"&gt;="&amp;Y$2,FECHA_BIT,"&lt;="&amp;Y$3,CLAVE_BIT,$A315)+SUMIFS(SALIDAS_BOV1,FECHA_BOV1,"&gt;="&amp;Y$2,FECHA_BOV1,"&lt;="&amp;Y$3,CLAVE_BOV1,$A315)+SUMIFS(SALIDAS_BOV2,FECHA_BOV2,"&gt;="&amp;Y$2,FECHA_BOV2,"&lt;="&amp;Y$3,CLAVE_BOV2,$A315)+SUMIFS(SALIDAS_BOV3,FECHA_BOV3,"&gt;="&amp;Y$2,FECHA_BOV3,"&lt;="&amp;Y$3,CLAVE_BOV3,$A315)+SUMIFS(SALIDAS_TC,FECHA_TC,"&gt;="&amp;Y$2,FECHA_TC,"&lt;="&amp;Y$3,CLAVE_TC,$A315)+SUMIFS(SALIDAS_COMB,FECHA_COMB,"&gt;="&amp;Y$2,FECHA_COMB,"&lt;="&amp;Y$3,CLAVE_COMB,$A315)+SUMIFS(SALIDAS_DES,FECHA_DESGLOSEN,"&gt;="&amp;Y$2,FECHA_DESGLOSEN,"&lt;="&amp;Y$3,CLAVE_DESGLOSE,$A315)</f>
        <v>0</v>
      </c>
      <c r="Z315" s="162">
        <f>SUMIFS(SALIDAS_BIT,FECHA_BIT,"&gt;="&amp;Z$2,FECHA_BIT,"&lt;="&amp;Z$3,CLAVE_BIT,$A315)+SUMIFS(SALIDAS_BOV1,FECHA_BOV1,"&gt;="&amp;Z$2,FECHA_BOV1,"&lt;="&amp;Z$3,CLAVE_BOV1,$A315)+SUMIFS(SALIDAS_BOV2,FECHA_BOV2,"&gt;="&amp;Z$2,FECHA_BOV2,"&lt;="&amp;Z$3,CLAVE_BOV2,$A315)+SUMIFS(SALIDAS_BOV3,FECHA_BOV3,"&gt;="&amp;Z$2,FECHA_BOV3,"&lt;="&amp;Z$3,CLAVE_BOV3,$A315)+SUMIFS(SALIDAS_TC,FECHA_TC,"&gt;="&amp;Z$2,FECHA_TC,"&lt;="&amp;Z$3,CLAVE_TC,$A315)+SUMIFS(SALIDAS_COMB,FECHA_COMB,"&gt;="&amp;Z$2,FECHA_COMB,"&lt;="&amp;Z$3,CLAVE_COMB,$A315)+SUMIFS(SALIDAS_DES,FECHA_DESGLOSEN,"&gt;="&amp;Z$2,FECHA_DESGLOSEN,"&lt;="&amp;Z$3,CLAVE_DESGLOSE,$A315)</f>
        <v>0</v>
      </c>
      <c r="AA315" s="162">
        <f>SUMIFS(SALIDAS_BIT,FECHA_BIT,"&gt;="&amp;AA$2,FECHA_BIT,"&lt;="&amp;AA$3,CLAVE_BIT,$A315)+SUMIFS(SALIDAS_BOV1,FECHA_BOV1,"&gt;="&amp;AA$2,FECHA_BOV1,"&lt;="&amp;AA$3,CLAVE_BOV1,$A315)+SUMIFS(SALIDAS_BOV2,FECHA_BOV2,"&gt;="&amp;AA$2,FECHA_BOV2,"&lt;="&amp;AA$3,CLAVE_BOV2,$A315)+SUMIFS(SALIDAS_BOV3,FECHA_BOV3,"&gt;="&amp;AA$2,FECHA_BOV3,"&lt;="&amp;AA$3,CLAVE_BOV3,$A315)+SUMIFS(SALIDAS_TC,FECHA_TC,"&gt;="&amp;AA$2,FECHA_TC,"&lt;="&amp;AA$3,CLAVE_TC,$A315)+SUMIFS(SALIDAS_COMB,FECHA_COMB,"&gt;="&amp;AA$2,FECHA_COMB,"&lt;="&amp;AA$3,CLAVE_COMB,$A315)+SUMIFS(SALIDAS_DES,FECHA_DESGLOSEN,"&gt;="&amp;AA$2,FECHA_DESGLOSEN,"&lt;="&amp;AA$3,CLAVE_DESGLOSE,$A315)</f>
        <v>0</v>
      </c>
      <c r="AB315" s="162">
        <f>SUMIFS(SALIDAS_BIT,FECHA_BIT,"&gt;="&amp;AB$2,FECHA_BIT,"&lt;="&amp;AB$3,CLAVE_BIT,$A315)+SUMIFS(SALIDAS_BOV1,FECHA_BOV1,"&gt;="&amp;AB$2,FECHA_BOV1,"&lt;="&amp;AB$3,CLAVE_BOV1,$A315)+SUMIFS(SALIDAS_BOV2,FECHA_BOV2,"&gt;="&amp;AB$2,FECHA_BOV2,"&lt;="&amp;AB$3,CLAVE_BOV2,$A315)+SUMIFS(SALIDAS_BOV3,FECHA_BOV3,"&gt;="&amp;AB$2,FECHA_BOV3,"&lt;="&amp;AB$3,CLAVE_BOV3,$A315)+SUMIFS(SALIDAS_TC,FECHA_TC,"&gt;="&amp;AB$2,FECHA_TC,"&lt;="&amp;AB$3,CLAVE_TC,$A315)+SUMIFS(SALIDAS_COMB,FECHA_COMB,"&gt;="&amp;AB$2,FECHA_COMB,"&lt;="&amp;AB$3,CLAVE_COMB,$A315)+SUMIFS(SALIDAS_DES,FECHA_DESGLOSEN,"&gt;="&amp;AB$2,FECHA_DESGLOSEN,"&lt;="&amp;AB$3,CLAVE_DESGLOSE,$A315)</f>
        <v>0</v>
      </c>
      <c r="AC315" s="227">
        <f>W315-AB315</f>
        <v>0</v>
      </c>
      <c r="AD315" s="301">
        <f>IFERROR((AB315/W315),0)</f>
        <v>0</v>
      </c>
      <c r="AE315" s="162">
        <f>VLOOKUP($A315,T_PRESUPUESTO,MATCH(AE$6,E_PRESUPUESTO,0),FALSE)</f>
        <v>0</v>
      </c>
      <c r="AF315" s="162">
        <f>SUMIFS(SALIDAS_BIT,FECHA_BIT,"&gt;="&amp;AF$2,FECHA_BIT,"&lt;="&amp;AF$3,CLAVE_BIT,$A315)+SUMIFS(SALIDAS_BOV1,FECHA_BOV1,"&gt;="&amp;AF$2,FECHA_BOV1,"&lt;="&amp;AF$3,CLAVE_BOV1,$A315)+SUMIFS(SALIDAS_BOV2,FECHA_BOV2,"&gt;="&amp;AF$2,FECHA_BOV2,"&lt;="&amp;AF$3,CLAVE_BOV2,$A315)+SUMIFS(SALIDAS_BOV3,FECHA_BOV3,"&gt;="&amp;AF$2,FECHA_BOV3,"&lt;="&amp;AF$3,CLAVE_BOV3,$A315)+SUMIFS(SALIDAS_TC,FECHA_TC,"&gt;="&amp;AF$2,FECHA_TC,"&lt;="&amp;AF$3,CLAVE_TC,$A315)+SUMIFS(SALIDAS_COMB,FECHA_COMB,"&gt;="&amp;AF$2,FECHA_COMB,"&lt;="&amp;AF$3,CLAVE_COMB,$A315)+SUMIFS(SALIDAS_DES,FECHA_DESGLOSEN,"&gt;="&amp;AF$2,FECHA_DESGLOSEN,"&lt;="&amp;AF$3,CLAVE_DESGLOSE,$A315)</f>
        <v>0</v>
      </c>
      <c r="AG315" s="162">
        <f>SUMIFS(SALIDAS_BIT,FECHA_BIT,"&gt;="&amp;AG$2,FECHA_BIT,"&lt;="&amp;AG$3,CLAVE_BIT,$A315)+SUMIFS(SALIDAS_BOV1,FECHA_BOV1,"&gt;="&amp;AG$2,FECHA_BOV1,"&lt;="&amp;AG$3,CLAVE_BOV1,$A315)+SUMIFS(SALIDAS_BOV2,FECHA_BOV2,"&gt;="&amp;AG$2,FECHA_BOV2,"&lt;="&amp;AG$3,CLAVE_BOV2,$A315)+SUMIFS(SALIDAS_BOV3,FECHA_BOV3,"&gt;="&amp;AG$2,FECHA_BOV3,"&lt;="&amp;AG$3,CLAVE_BOV3,$A315)+SUMIFS(SALIDAS_TC,FECHA_TC,"&gt;="&amp;AG$2,FECHA_TC,"&lt;="&amp;AG$3,CLAVE_TC,$A315)+SUMIFS(SALIDAS_COMB,FECHA_COMB,"&gt;="&amp;AG$2,FECHA_COMB,"&lt;="&amp;AG$3,CLAVE_COMB,$A315)+SUMIFS(SALIDAS_DES,FECHA_DESGLOSEN,"&gt;="&amp;AG$2,FECHA_DESGLOSEN,"&lt;="&amp;AG$3,CLAVE_DESGLOSE,$A315)</f>
        <v>0</v>
      </c>
      <c r="AH315" s="162">
        <f>SUMIFS(SALIDAS_BIT,FECHA_BIT,"&gt;="&amp;AH$2,FECHA_BIT,"&lt;="&amp;AH$3,CLAVE_BIT,$A315)+SUMIFS(SALIDAS_BOV1,FECHA_BOV1,"&gt;="&amp;AH$2,FECHA_BOV1,"&lt;="&amp;AH$3,CLAVE_BOV1,$A315)+SUMIFS(SALIDAS_BOV2,FECHA_BOV2,"&gt;="&amp;AH$2,FECHA_BOV2,"&lt;="&amp;AH$3,CLAVE_BOV2,$A315)+SUMIFS(SALIDAS_BOV3,FECHA_BOV3,"&gt;="&amp;AH$2,FECHA_BOV3,"&lt;="&amp;AH$3,CLAVE_BOV3,$A315)+SUMIFS(SALIDAS_TC,FECHA_TC,"&gt;="&amp;AH$2,FECHA_TC,"&lt;="&amp;AH$3,CLAVE_TC,$A315)+SUMIFS(SALIDAS_COMB,FECHA_COMB,"&gt;="&amp;AH$2,FECHA_COMB,"&lt;="&amp;AH$3,CLAVE_COMB,$A315)+SUMIFS(SALIDAS_DES,FECHA_DESGLOSEN,"&gt;="&amp;AH$2,FECHA_DESGLOSEN,"&lt;="&amp;AH$3,CLAVE_DESGLOSE,$A315)</f>
        <v>0</v>
      </c>
      <c r="AI315" s="162">
        <f>SUMIFS(SALIDAS_BIT,FECHA_BIT,"&gt;="&amp;AI$2,FECHA_BIT,"&lt;="&amp;AI$3,CLAVE_BIT,$A315)+SUMIFS(SALIDAS_BOV1,FECHA_BOV1,"&gt;="&amp;AI$2,FECHA_BOV1,"&lt;="&amp;AI$3,CLAVE_BOV1,$A315)+SUMIFS(SALIDAS_BOV2,FECHA_BOV2,"&gt;="&amp;AI$2,FECHA_BOV2,"&lt;="&amp;AI$3,CLAVE_BOV2,$A315)+SUMIFS(SALIDAS_BOV3,FECHA_BOV3,"&gt;="&amp;AI$2,FECHA_BOV3,"&lt;="&amp;AI$3,CLAVE_BOV3,$A315)+SUMIFS(SALIDAS_TC,FECHA_TC,"&gt;="&amp;AI$2,FECHA_TC,"&lt;="&amp;AI$3,CLAVE_TC,$A315)+SUMIFS(SALIDAS_COMB,FECHA_COMB,"&gt;="&amp;AI$2,FECHA_COMB,"&lt;="&amp;AI$3,CLAVE_COMB,$A315)+SUMIFS(SALIDAS_DES,FECHA_DESGLOSEN,"&gt;="&amp;AI$2,FECHA_DESGLOSEN,"&lt;="&amp;AI$3,CLAVE_DESGLOSE,$A315)</f>
        <v>0</v>
      </c>
      <c r="AJ315" s="162">
        <f>SUMIFS(SALIDAS_BIT,FECHA_BIT,"&gt;="&amp;AJ$2,FECHA_BIT,"&lt;="&amp;AJ$3,CLAVE_BIT,$A315)+SUMIFS(SALIDAS_BOV1,FECHA_BOV1,"&gt;="&amp;AJ$2,FECHA_BOV1,"&lt;="&amp;AJ$3,CLAVE_BOV1,$A315)+SUMIFS(SALIDAS_BOV2,FECHA_BOV2,"&gt;="&amp;AJ$2,FECHA_BOV2,"&lt;="&amp;AJ$3,CLAVE_BOV2,$A315)+SUMIFS(SALIDAS_BOV3,FECHA_BOV3,"&gt;="&amp;AJ$2,FECHA_BOV3,"&lt;="&amp;AJ$3,CLAVE_BOV3,$A315)+SUMIFS(SALIDAS_TC,FECHA_TC,"&gt;="&amp;AJ$2,FECHA_TC,"&lt;="&amp;AJ$3,CLAVE_TC,$A315)+SUMIFS(SALIDAS_COMB,FECHA_COMB,"&gt;="&amp;AJ$2,FECHA_COMB,"&lt;="&amp;AJ$3,CLAVE_COMB,$A315)+SUMIFS(SALIDAS_DES,FECHA_DESGLOSEN,"&gt;="&amp;AJ$2,FECHA_DESGLOSEN,"&lt;="&amp;AJ$3,CLAVE_DESGLOSE,$A315)</f>
        <v>0</v>
      </c>
      <c r="AK315" s="227">
        <f>AE315-AJ315</f>
        <v>0</v>
      </c>
      <c r="AL315" s="301">
        <f>IFERROR((AJ315/AE315),0)</f>
        <v>0</v>
      </c>
      <c r="AM315" s="162">
        <f>VLOOKUP($A315,T_PRESUPUESTO,MATCH(AM$6,E_PRESUPUESTO,0),FALSE)</f>
        <v>0</v>
      </c>
      <c r="AN315" s="162">
        <f>SUMIFS(SALIDAS_BIT,FECHA_BIT,"&gt;="&amp;AN$2,FECHA_BIT,"&lt;="&amp;AN$3,CLAVE_BIT,$A315)+SUMIFS(SALIDAS_BOV1,FECHA_BOV1,"&gt;="&amp;AN$2,FECHA_BOV1,"&lt;="&amp;AN$3,CLAVE_BOV1,$A315)+SUMIFS(SALIDAS_BOV2,FECHA_BOV2,"&gt;="&amp;AN$2,FECHA_BOV2,"&lt;="&amp;AN$3,CLAVE_BOV2,$A315)+SUMIFS(SALIDAS_BOV3,FECHA_BOV3,"&gt;="&amp;AN$2,FECHA_BOV3,"&lt;="&amp;AN$3,CLAVE_BOV3,$A315)+SUMIFS(SALIDAS_TC,FECHA_TC,"&gt;="&amp;AN$2,FECHA_TC,"&lt;="&amp;AN$3,CLAVE_TC,$A315)+SUMIFS(SALIDAS_COMB,FECHA_COMB,"&gt;="&amp;AN$2,FECHA_COMB,"&lt;="&amp;AN$3,CLAVE_COMB,$A315)+SUMIFS(SALIDAS_DES,FECHA_DESGLOSEN,"&gt;="&amp;AN$2,FECHA_DESGLOSEN,"&lt;="&amp;AN$3,CLAVE_DESGLOSE,$A315)</f>
        <v>0</v>
      </c>
      <c r="AO315" s="162">
        <f>SUMIFS(SALIDAS_BIT,FECHA_BIT,"&gt;="&amp;AO$2,FECHA_BIT,"&lt;="&amp;AO$3,CLAVE_BIT,$A315)+SUMIFS(SALIDAS_BOV1,FECHA_BOV1,"&gt;="&amp;AO$2,FECHA_BOV1,"&lt;="&amp;AO$3,CLAVE_BOV1,$A315)+SUMIFS(SALIDAS_BOV2,FECHA_BOV2,"&gt;="&amp;AO$2,FECHA_BOV2,"&lt;="&amp;AO$3,CLAVE_BOV2,$A315)+SUMIFS(SALIDAS_BOV3,FECHA_BOV3,"&gt;="&amp;AO$2,FECHA_BOV3,"&lt;="&amp;AO$3,CLAVE_BOV3,$A315)+SUMIFS(SALIDAS_TC,FECHA_TC,"&gt;="&amp;AO$2,FECHA_TC,"&lt;="&amp;AO$3,CLAVE_TC,$A315)+SUMIFS(SALIDAS_COMB,FECHA_COMB,"&gt;="&amp;AO$2,FECHA_COMB,"&lt;="&amp;AO$3,CLAVE_COMB,$A315)+SUMIFS(SALIDAS_DES,FECHA_DESGLOSEN,"&gt;="&amp;AO$2,FECHA_DESGLOSEN,"&lt;="&amp;AO$3,CLAVE_DESGLOSE,$A315)</f>
        <v>0</v>
      </c>
      <c r="AP315" s="162">
        <f>SUMIFS(SALIDAS_BIT,FECHA_BIT,"&gt;="&amp;AP$2,FECHA_BIT,"&lt;="&amp;AP$3,CLAVE_BIT,$A315)+SUMIFS(SALIDAS_BOV1,FECHA_BOV1,"&gt;="&amp;AP$2,FECHA_BOV1,"&lt;="&amp;AP$3,CLAVE_BOV1,$A315)+SUMIFS(SALIDAS_BOV2,FECHA_BOV2,"&gt;="&amp;AP$2,FECHA_BOV2,"&lt;="&amp;AP$3,CLAVE_BOV2,$A315)+SUMIFS(SALIDAS_BOV3,FECHA_BOV3,"&gt;="&amp;AP$2,FECHA_BOV3,"&lt;="&amp;AP$3,CLAVE_BOV3,$A315)+SUMIFS(SALIDAS_TC,FECHA_TC,"&gt;="&amp;AP$2,FECHA_TC,"&lt;="&amp;AP$3,CLAVE_TC,$A315)+SUMIFS(SALIDAS_COMB,FECHA_COMB,"&gt;="&amp;AP$2,FECHA_COMB,"&lt;="&amp;AP$3,CLAVE_COMB,$A315)+SUMIFS(SALIDAS_DES,FECHA_DESGLOSEN,"&gt;="&amp;AP$2,FECHA_DESGLOSEN,"&lt;="&amp;AP$3,CLAVE_DESGLOSE,$A315)</f>
        <v>0</v>
      </c>
      <c r="AQ315" s="162">
        <f>SUMIFS(SALIDAS_BIT,FECHA_BIT,"&gt;="&amp;AQ$2,FECHA_BIT,"&lt;="&amp;AQ$3,CLAVE_BIT,$A315)+SUMIFS(SALIDAS_BOV1,FECHA_BOV1,"&gt;="&amp;AQ$2,FECHA_BOV1,"&lt;="&amp;AQ$3,CLAVE_BOV1,$A315)+SUMIFS(SALIDAS_BOV2,FECHA_BOV2,"&gt;="&amp;AQ$2,FECHA_BOV2,"&lt;="&amp;AQ$3,CLAVE_BOV2,$A315)+SUMIFS(SALIDAS_BOV3,FECHA_BOV3,"&gt;="&amp;AQ$2,FECHA_BOV3,"&lt;="&amp;AQ$3,CLAVE_BOV3,$A315)+SUMIFS(SALIDAS_TC,FECHA_TC,"&gt;="&amp;AQ$2,FECHA_TC,"&lt;="&amp;AQ$3,CLAVE_TC,$A315)+SUMIFS(SALIDAS_COMB,FECHA_COMB,"&gt;="&amp;AQ$2,FECHA_COMB,"&lt;="&amp;AQ$3,CLAVE_COMB,$A315)+SUMIFS(SALIDAS_DES,FECHA_DESGLOSEN,"&gt;="&amp;AQ$2,FECHA_DESGLOSEN,"&lt;="&amp;AQ$3,CLAVE_DESGLOSE,$A315)</f>
        <v>0</v>
      </c>
      <c r="AR315" s="162">
        <f>SUMIFS(SALIDAS_BIT,FECHA_BIT,"&gt;="&amp;AR$2,FECHA_BIT,"&lt;="&amp;AR$3,CLAVE_BIT,$A315)+SUMIFS(SALIDAS_BOV1,FECHA_BOV1,"&gt;="&amp;AR$2,FECHA_BOV1,"&lt;="&amp;AR$3,CLAVE_BOV1,$A315)+SUMIFS(SALIDAS_BOV2,FECHA_BOV2,"&gt;="&amp;AR$2,FECHA_BOV2,"&lt;="&amp;AR$3,CLAVE_BOV2,$A315)+SUMIFS(SALIDAS_BOV3,FECHA_BOV3,"&gt;="&amp;AR$2,FECHA_BOV3,"&lt;="&amp;AR$3,CLAVE_BOV3,$A315)+SUMIFS(SALIDAS_TC,FECHA_TC,"&gt;="&amp;AR$2,FECHA_TC,"&lt;="&amp;AR$3,CLAVE_TC,$A315)+SUMIFS(SALIDAS_COMB,FECHA_COMB,"&gt;="&amp;AR$2,FECHA_COMB,"&lt;="&amp;AR$3,CLAVE_COMB,$A315)+SUMIFS(SALIDAS_DES,FECHA_DESGLOSEN,"&gt;="&amp;AR$2,FECHA_DESGLOSEN,"&lt;="&amp;AR$3,CLAVE_DESGLOSE,$A315)</f>
        <v>0</v>
      </c>
      <c r="AS315" s="162">
        <f>SUMIFS(SALIDAS_BIT,FECHA_BIT,"&gt;="&amp;AS$2,FECHA_BIT,"&lt;="&amp;AS$3,CLAVE_BIT,$A315)+SUMIFS(SALIDAS_BOV1,FECHA_BOV1,"&gt;="&amp;AS$2,FECHA_BOV1,"&lt;="&amp;AS$3,CLAVE_BOV1,$A315)+SUMIFS(SALIDAS_BOV2,FECHA_BOV2,"&gt;="&amp;AS$2,FECHA_BOV2,"&lt;="&amp;AS$3,CLAVE_BOV2,$A315)+SUMIFS(SALIDAS_BOV3,FECHA_BOV3,"&gt;="&amp;AS$2,FECHA_BOV3,"&lt;="&amp;AS$3,CLAVE_BOV3,$A315)+SUMIFS(SALIDAS_TC,FECHA_TC,"&gt;="&amp;AS$2,FECHA_TC,"&lt;="&amp;AS$3,CLAVE_TC,$A315)+SUMIFS(SALIDAS_COMB,FECHA_COMB,"&gt;="&amp;AS$2,FECHA_COMB,"&lt;="&amp;AS$3,CLAVE_COMB,$A315)+SUMIFS(SALIDAS_DES,FECHA_DESGLOSEN,"&gt;="&amp;AS$2,FECHA_DESGLOSEN,"&lt;="&amp;AS$3,CLAVE_DESGLOSE,$A315)</f>
        <v>0</v>
      </c>
      <c r="AT315" s="227">
        <f>AM315-AS315</f>
        <v>0</v>
      </c>
      <c r="AU315" s="301">
        <f>IFERROR((AS315/AM315),0)</f>
        <v>0</v>
      </c>
      <c r="AV315" s="162">
        <f>VLOOKUP($A315,T_PRESUPUESTO,MATCH(AV$6,E_PRESUPUESTO,0),FALSE)</f>
        <v>0</v>
      </c>
      <c r="AW315" s="162">
        <f>SUMIFS(SALIDAS_BIT,FECHA_BIT,"&gt;="&amp;AW$2,FECHA_BIT,"&lt;="&amp;AW$3,CLAVE_BIT,$A315)+SUMIFS(SALIDAS_BOV1,FECHA_BOV1,"&gt;="&amp;AW$2,FECHA_BOV1,"&lt;="&amp;AW$3,CLAVE_BOV1,$A315)+SUMIFS(SALIDAS_BOV2,FECHA_BOV2,"&gt;="&amp;AW$2,FECHA_BOV2,"&lt;="&amp;AW$3,CLAVE_BOV2,$A315)+SUMIFS(SALIDAS_BOV3,FECHA_BOV3,"&gt;="&amp;AW$2,FECHA_BOV3,"&lt;="&amp;AW$3,CLAVE_BOV3,$A315)+SUMIFS(SALIDAS_TC,FECHA_TC,"&gt;="&amp;AW$2,FECHA_TC,"&lt;="&amp;AW$3,CLAVE_TC,$A315)+SUMIFS(SALIDAS_COMB,FECHA_COMB,"&gt;="&amp;AW$2,FECHA_COMB,"&lt;="&amp;AW$3,CLAVE_COMB,$A315)+SUMIFS(SALIDAS_DES,FECHA_DESGLOSEN,"&gt;="&amp;AW$2,FECHA_DESGLOSEN,"&lt;="&amp;AW$3,CLAVE_DESGLOSE,$A315)</f>
        <v>0</v>
      </c>
      <c r="AX315" s="162">
        <f>SUMIFS(SALIDAS_BIT,FECHA_BIT,"&gt;="&amp;AX$2,FECHA_BIT,"&lt;="&amp;AX$3,CLAVE_BIT,$A315)+SUMIFS(SALIDAS_BOV1,FECHA_BOV1,"&gt;="&amp;AX$2,FECHA_BOV1,"&lt;="&amp;AX$3,CLAVE_BOV1,$A315)+SUMIFS(SALIDAS_BOV2,FECHA_BOV2,"&gt;="&amp;AX$2,FECHA_BOV2,"&lt;="&amp;AX$3,CLAVE_BOV2,$A315)+SUMIFS(SALIDAS_BOV3,FECHA_BOV3,"&gt;="&amp;AX$2,FECHA_BOV3,"&lt;="&amp;AX$3,CLAVE_BOV3,$A315)+SUMIFS(SALIDAS_TC,FECHA_TC,"&gt;="&amp;AX$2,FECHA_TC,"&lt;="&amp;AX$3,CLAVE_TC,$A315)+SUMIFS(SALIDAS_COMB,FECHA_COMB,"&gt;="&amp;AX$2,FECHA_COMB,"&lt;="&amp;AX$3,CLAVE_COMB,$A315)+SUMIFS(SALIDAS_DES,FECHA_DESGLOSEN,"&gt;="&amp;AX$2,FECHA_DESGLOSEN,"&lt;="&amp;AX$3,CLAVE_DESGLOSE,$A315)</f>
        <v>0</v>
      </c>
      <c r="AY315" s="162">
        <f>SUMIFS(SALIDAS_BIT,FECHA_BIT,"&gt;="&amp;AY$2,FECHA_BIT,"&lt;="&amp;AY$3,CLAVE_BIT,$A315)+SUMIFS(SALIDAS_BOV1,FECHA_BOV1,"&gt;="&amp;AY$2,FECHA_BOV1,"&lt;="&amp;AY$3,CLAVE_BOV1,$A315)+SUMIFS(SALIDAS_BOV2,FECHA_BOV2,"&gt;="&amp;AY$2,FECHA_BOV2,"&lt;="&amp;AY$3,CLAVE_BOV2,$A315)+SUMIFS(SALIDAS_BOV3,FECHA_BOV3,"&gt;="&amp;AY$2,FECHA_BOV3,"&lt;="&amp;AY$3,CLAVE_BOV3,$A315)+SUMIFS(SALIDAS_TC,FECHA_TC,"&gt;="&amp;AY$2,FECHA_TC,"&lt;="&amp;AY$3,CLAVE_TC,$A315)+SUMIFS(SALIDAS_COMB,FECHA_COMB,"&gt;="&amp;AY$2,FECHA_COMB,"&lt;="&amp;AY$3,CLAVE_COMB,$A315)+SUMIFS(SALIDAS_DES,FECHA_DESGLOSEN,"&gt;="&amp;AY$2,FECHA_DESGLOSEN,"&lt;="&amp;AY$3,CLAVE_DESGLOSE,$A315)</f>
        <v>7800</v>
      </c>
      <c r="AZ315" s="162">
        <f>SUMIFS(SALIDAS_BIT,FECHA_BIT,"&gt;="&amp;AZ$2,FECHA_BIT,"&lt;="&amp;AZ$3,CLAVE_BIT,$A315)+SUMIFS(SALIDAS_BOV1,FECHA_BOV1,"&gt;="&amp;AZ$2,FECHA_BOV1,"&lt;="&amp;AZ$3,CLAVE_BOV1,$A315)+SUMIFS(SALIDAS_BOV2,FECHA_BOV2,"&gt;="&amp;AZ$2,FECHA_BOV2,"&lt;="&amp;AZ$3,CLAVE_BOV2,$A315)+SUMIFS(SALIDAS_BOV3,FECHA_BOV3,"&gt;="&amp;AZ$2,FECHA_BOV3,"&lt;="&amp;AZ$3,CLAVE_BOV3,$A315)+SUMIFS(SALIDAS_TC,FECHA_TC,"&gt;="&amp;AZ$2,FECHA_TC,"&lt;="&amp;AZ$3,CLAVE_TC,$A315)+SUMIFS(SALIDAS_COMB,FECHA_COMB,"&gt;="&amp;AZ$2,FECHA_COMB,"&lt;="&amp;AZ$3,CLAVE_COMB,$A315)+SUMIFS(SALIDAS_DES,FECHA_DESGLOSEN,"&gt;="&amp;AZ$2,FECHA_DESGLOSEN,"&lt;="&amp;AZ$3,CLAVE_DESGLOSE,$A315)</f>
        <v>0</v>
      </c>
      <c r="BA315" s="162">
        <f>SUMIFS(SALIDAS_BIT,FECHA_BIT,"&gt;="&amp;BA$2,FECHA_BIT,"&lt;="&amp;BA$3,CLAVE_BIT,$A315)+SUMIFS(SALIDAS_BOV1,FECHA_BOV1,"&gt;="&amp;BA$2,FECHA_BOV1,"&lt;="&amp;BA$3,CLAVE_BOV1,$A315)+SUMIFS(SALIDAS_BOV2,FECHA_BOV2,"&gt;="&amp;BA$2,FECHA_BOV2,"&lt;="&amp;BA$3,CLAVE_BOV2,$A315)+SUMIFS(SALIDAS_BOV3,FECHA_BOV3,"&gt;="&amp;BA$2,FECHA_BOV3,"&lt;="&amp;BA$3,CLAVE_BOV3,$A315)+SUMIFS(SALIDAS_TC,FECHA_TC,"&gt;="&amp;BA$2,FECHA_TC,"&lt;="&amp;BA$3,CLAVE_TC,$A315)+SUMIFS(SALIDAS_COMB,FECHA_COMB,"&gt;="&amp;BA$2,FECHA_COMB,"&lt;="&amp;BA$3,CLAVE_COMB,$A315)+SUMIFS(SALIDAS_DES,FECHA_DESGLOSEN,"&gt;="&amp;BA$2,FECHA_DESGLOSEN,"&lt;="&amp;BA$3,CLAVE_DESGLOSE,$A315)</f>
        <v>7800</v>
      </c>
      <c r="BB315" s="227">
        <f>AV315-BA315</f>
        <v>-7800</v>
      </c>
      <c r="BC315" s="301">
        <f>IFERROR((BA315/AV315),0)</f>
        <v>0</v>
      </c>
      <c r="BD315" s="162">
        <f>VLOOKUP($A315,T_PRESUPUESTO,MATCH(BD$6,E_PRESUPUESTO,0),FALSE)</f>
        <v>0</v>
      </c>
      <c r="BE315" s="162">
        <f>SUMIFS(SALIDAS_BIT,FECHA_BIT,"&gt;="&amp;BE$2,FECHA_BIT,"&lt;="&amp;BE$3,CLAVE_BIT,$A315)+SUMIFS(SALIDAS_BOV1,FECHA_BOV1,"&gt;="&amp;BE$2,FECHA_BOV1,"&lt;="&amp;BE$3,CLAVE_BOV1,$A315)+SUMIFS(SALIDAS_BOV2,FECHA_BOV2,"&gt;="&amp;BE$2,FECHA_BOV2,"&lt;="&amp;BE$3,CLAVE_BOV2,$A315)+SUMIFS(SALIDAS_BOV3,FECHA_BOV3,"&gt;="&amp;BE$2,FECHA_BOV3,"&lt;="&amp;BE$3,CLAVE_BOV3,$A315)+SUMIFS(SALIDAS_TC,FECHA_TC,"&gt;="&amp;BE$2,FECHA_TC,"&lt;="&amp;BE$3,CLAVE_TC,$A315)+SUMIFS(SALIDAS_COMB,FECHA_COMB,"&gt;="&amp;BE$2,FECHA_COMB,"&lt;="&amp;BE$3,CLAVE_COMB,$A315)+SUMIFS(SALIDAS_DES,FECHA_DESGLOSEN,"&gt;="&amp;BE$2,FECHA_DESGLOSEN,"&lt;="&amp;BE$3,CLAVE_DESGLOSE,$A315)</f>
        <v>0</v>
      </c>
      <c r="BF315" s="162">
        <f>SUMIFS(SALIDAS_BIT,FECHA_BIT,"&gt;="&amp;BF$2,FECHA_BIT,"&lt;="&amp;BF$3,CLAVE_BIT,$A315)+SUMIFS(SALIDAS_BOV1,FECHA_BOV1,"&gt;="&amp;BF$2,FECHA_BOV1,"&lt;="&amp;BF$3,CLAVE_BOV1,$A315)+SUMIFS(SALIDAS_BOV2,FECHA_BOV2,"&gt;="&amp;BF$2,FECHA_BOV2,"&lt;="&amp;BF$3,CLAVE_BOV2,$A315)+SUMIFS(SALIDAS_BOV3,FECHA_BOV3,"&gt;="&amp;BF$2,FECHA_BOV3,"&lt;="&amp;BF$3,CLAVE_BOV3,$A315)+SUMIFS(SALIDAS_TC,FECHA_TC,"&gt;="&amp;BF$2,FECHA_TC,"&lt;="&amp;BF$3,CLAVE_TC,$A315)+SUMIFS(SALIDAS_COMB,FECHA_COMB,"&gt;="&amp;BF$2,FECHA_COMB,"&lt;="&amp;BF$3,CLAVE_COMB,$A315)+SUMIFS(SALIDAS_DES,FECHA_DESGLOSEN,"&gt;="&amp;BF$2,FECHA_DESGLOSEN,"&lt;="&amp;BF$3,CLAVE_DESGLOSE,$A315)</f>
        <v>0</v>
      </c>
      <c r="BG315" s="162">
        <f>SUMIFS(SALIDAS_BIT,FECHA_BIT,"&gt;="&amp;BG$2,FECHA_BIT,"&lt;="&amp;BG$3,CLAVE_BIT,$A315)+SUMIFS(SALIDAS_BOV1,FECHA_BOV1,"&gt;="&amp;BG$2,FECHA_BOV1,"&lt;="&amp;BG$3,CLAVE_BOV1,$A315)+SUMIFS(SALIDAS_BOV2,FECHA_BOV2,"&gt;="&amp;BG$2,FECHA_BOV2,"&lt;="&amp;BG$3,CLAVE_BOV2,$A315)+SUMIFS(SALIDAS_BOV3,FECHA_BOV3,"&gt;="&amp;BG$2,FECHA_BOV3,"&lt;="&amp;BG$3,CLAVE_BOV3,$A315)+SUMIFS(SALIDAS_TC,FECHA_TC,"&gt;="&amp;BG$2,FECHA_TC,"&lt;="&amp;BG$3,CLAVE_TC,$A315)+SUMIFS(SALIDAS_COMB,FECHA_COMB,"&gt;="&amp;BG$2,FECHA_COMB,"&lt;="&amp;BG$3,CLAVE_COMB,$A315)+SUMIFS(SALIDAS_DES,FECHA_DESGLOSEN,"&gt;="&amp;BG$2,FECHA_DESGLOSEN,"&lt;="&amp;BG$3,CLAVE_DESGLOSE,$A315)</f>
        <v>0</v>
      </c>
      <c r="BH315" s="162">
        <f>SUMIFS(SALIDAS_BIT,FECHA_BIT,"&gt;="&amp;BH$2,FECHA_BIT,"&lt;="&amp;BH$3,CLAVE_BIT,$A315)+SUMIFS(SALIDAS_BOV1,FECHA_BOV1,"&gt;="&amp;BH$2,FECHA_BOV1,"&lt;="&amp;BH$3,CLAVE_BOV1,$A315)+SUMIFS(SALIDAS_BOV2,FECHA_BOV2,"&gt;="&amp;BH$2,FECHA_BOV2,"&lt;="&amp;BH$3,CLAVE_BOV2,$A315)+SUMIFS(SALIDAS_BOV3,FECHA_BOV3,"&gt;="&amp;BH$2,FECHA_BOV3,"&lt;="&amp;BH$3,CLAVE_BOV3,$A315)+SUMIFS(SALIDAS_TC,FECHA_TC,"&gt;="&amp;BH$2,FECHA_TC,"&lt;="&amp;BH$3,CLAVE_TC,$A315)+SUMIFS(SALIDAS_COMB,FECHA_COMB,"&gt;="&amp;BH$2,FECHA_COMB,"&lt;="&amp;BH$3,CLAVE_COMB,$A315)+SUMIFS(SALIDAS_DES,FECHA_DESGLOSEN,"&gt;="&amp;BH$2,FECHA_DESGLOSEN,"&lt;="&amp;BH$3,CLAVE_DESGLOSE,$A315)</f>
        <v>0</v>
      </c>
      <c r="BI315" s="162">
        <f>SUMIFS(SALIDAS_BIT,FECHA_BIT,"&gt;="&amp;BI$2,FECHA_BIT,"&lt;="&amp;BI$3,CLAVE_BIT,$A315)+SUMIFS(SALIDAS_BOV1,FECHA_BOV1,"&gt;="&amp;BI$2,FECHA_BOV1,"&lt;="&amp;BI$3,CLAVE_BOV1,$A315)+SUMIFS(SALIDAS_BOV2,FECHA_BOV2,"&gt;="&amp;BI$2,FECHA_BOV2,"&lt;="&amp;BI$3,CLAVE_BOV2,$A315)+SUMIFS(SALIDAS_BOV3,FECHA_BOV3,"&gt;="&amp;BI$2,FECHA_BOV3,"&lt;="&amp;BI$3,CLAVE_BOV3,$A315)+SUMIFS(SALIDAS_TC,FECHA_TC,"&gt;="&amp;BI$2,FECHA_TC,"&lt;="&amp;BI$3,CLAVE_TC,$A315)+SUMIFS(SALIDAS_COMB,FECHA_COMB,"&gt;="&amp;BI$2,FECHA_COMB,"&lt;="&amp;BI$3,CLAVE_COMB,$A315)+SUMIFS(SALIDAS_DES,FECHA_DESGLOSEN,"&gt;="&amp;BI$2,FECHA_DESGLOSEN,"&lt;="&amp;BI$3,CLAVE_DESGLOSE,$A315)</f>
        <v>0</v>
      </c>
      <c r="BJ315" s="227">
        <f>BD315-BI315</f>
        <v>0</v>
      </c>
      <c r="BK315" s="301">
        <f>IFERROR((BI315/BD315),0)</f>
        <v>0</v>
      </c>
      <c r="BL315" s="162">
        <f>VLOOKUP($A315,T_PRESUPUESTO,MATCH(BL$6,E_PRESUPUESTO,0),FALSE)</f>
        <v>0</v>
      </c>
      <c r="BM315" s="162">
        <f>SUMIFS(SALIDAS_BIT,FECHA_BIT,"&gt;="&amp;BM$2,FECHA_BIT,"&lt;="&amp;BM$3,CLAVE_BIT,$A315)+SUMIFS(SALIDAS_BOV1,FECHA_BOV1,"&gt;="&amp;BM$2,FECHA_BOV1,"&lt;="&amp;BM$3,CLAVE_BOV1,$A315)+SUMIFS(SALIDAS_BOV2,FECHA_BOV2,"&gt;="&amp;BM$2,FECHA_BOV2,"&lt;="&amp;BM$3,CLAVE_BOV2,$A315)+SUMIFS(SALIDAS_BOV3,FECHA_BOV3,"&gt;="&amp;BM$2,FECHA_BOV3,"&lt;="&amp;BM$3,CLAVE_BOV3,$A315)+SUMIFS(SALIDAS_TC,FECHA_TC,"&gt;="&amp;BM$2,FECHA_TC,"&lt;="&amp;BM$3,CLAVE_TC,$A315)+SUMIFS(SALIDAS_COMB,FECHA_COMB,"&gt;="&amp;BM$2,FECHA_COMB,"&lt;="&amp;BM$3,CLAVE_COMB,$A315)+SUMIFS(SALIDAS_DES,FECHA_DESGLOSEN,"&gt;="&amp;BM$2,FECHA_DESGLOSEN,"&lt;="&amp;BM$3,CLAVE_DESGLOSE,$A315)</f>
        <v>0</v>
      </c>
      <c r="BN315" s="162">
        <f>SUMIFS(SALIDAS_BIT,FECHA_BIT,"&gt;="&amp;BN$2,FECHA_BIT,"&lt;="&amp;BN$3,CLAVE_BIT,$A315)+SUMIFS(SALIDAS_BOV1,FECHA_BOV1,"&gt;="&amp;BN$2,FECHA_BOV1,"&lt;="&amp;BN$3,CLAVE_BOV1,$A315)+SUMIFS(SALIDAS_BOV2,FECHA_BOV2,"&gt;="&amp;BN$2,FECHA_BOV2,"&lt;="&amp;BN$3,CLAVE_BOV2,$A315)+SUMIFS(SALIDAS_BOV3,FECHA_BOV3,"&gt;="&amp;BN$2,FECHA_BOV3,"&lt;="&amp;BN$3,CLAVE_BOV3,$A315)+SUMIFS(SALIDAS_TC,FECHA_TC,"&gt;="&amp;BN$2,FECHA_TC,"&lt;="&amp;BN$3,CLAVE_TC,$A315)+SUMIFS(SALIDAS_COMB,FECHA_COMB,"&gt;="&amp;BN$2,FECHA_COMB,"&lt;="&amp;BN$3,CLAVE_COMB,$A315)+SUMIFS(SALIDAS_DES,FECHA_DESGLOSEN,"&gt;="&amp;BN$2,FECHA_DESGLOSEN,"&lt;="&amp;BN$3,CLAVE_DESGLOSE,$A315)</f>
        <v>12090.87</v>
      </c>
      <c r="BO315" s="162">
        <f>SUMIFS(SALIDAS_BIT,FECHA_BIT,"&gt;="&amp;BO$2,FECHA_BIT,"&lt;="&amp;BO$3,CLAVE_BIT,$A315)+SUMIFS(SALIDAS_BOV1,FECHA_BOV1,"&gt;="&amp;BO$2,FECHA_BOV1,"&lt;="&amp;BO$3,CLAVE_BOV1,$A315)+SUMIFS(SALIDAS_BOV2,FECHA_BOV2,"&gt;="&amp;BO$2,FECHA_BOV2,"&lt;="&amp;BO$3,CLAVE_BOV2,$A315)+SUMIFS(SALIDAS_BOV3,FECHA_BOV3,"&gt;="&amp;BO$2,FECHA_BOV3,"&lt;="&amp;BO$3,CLAVE_BOV3,$A315)+SUMIFS(SALIDAS_TC,FECHA_TC,"&gt;="&amp;BO$2,FECHA_TC,"&lt;="&amp;BO$3,CLAVE_TC,$A315)+SUMIFS(SALIDAS_COMB,FECHA_COMB,"&gt;="&amp;BO$2,FECHA_COMB,"&lt;="&amp;BO$3,CLAVE_COMB,$A315)+SUMIFS(SALIDAS_DES,FECHA_DESGLOSEN,"&gt;="&amp;BO$2,FECHA_DESGLOSEN,"&lt;="&amp;BO$3,CLAVE_DESGLOSE,$A315)</f>
        <v>0</v>
      </c>
      <c r="BP315" s="162">
        <f>SUMIFS(SALIDAS_BIT,FECHA_BIT,"&gt;="&amp;BP$2,FECHA_BIT,"&lt;="&amp;BP$3,CLAVE_BIT,$A315)+SUMIFS(SALIDAS_BOV1,FECHA_BOV1,"&gt;="&amp;BP$2,FECHA_BOV1,"&lt;="&amp;BP$3,CLAVE_BOV1,$A315)+SUMIFS(SALIDAS_BOV2,FECHA_BOV2,"&gt;="&amp;BP$2,FECHA_BOV2,"&lt;="&amp;BP$3,CLAVE_BOV2,$A315)+SUMIFS(SALIDAS_BOV3,FECHA_BOV3,"&gt;="&amp;BP$2,FECHA_BOV3,"&lt;="&amp;BP$3,CLAVE_BOV3,$A315)+SUMIFS(SALIDAS_TC,FECHA_TC,"&gt;="&amp;BP$2,FECHA_TC,"&lt;="&amp;BP$3,CLAVE_TC,$A315)+SUMIFS(SALIDAS_COMB,FECHA_COMB,"&gt;="&amp;BP$2,FECHA_COMB,"&lt;="&amp;BP$3,CLAVE_COMB,$A315)+SUMIFS(SALIDAS_DES,FECHA_DESGLOSEN,"&gt;="&amp;BP$2,FECHA_DESGLOSEN,"&lt;="&amp;BP$3,CLAVE_DESGLOSE,$A315)</f>
        <v>5400</v>
      </c>
      <c r="BQ315" s="162">
        <f>SUMIFS(SALIDAS_BIT,FECHA_BIT,"&gt;="&amp;BQ$2,FECHA_BIT,"&lt;="&amp;BQ$3,CLAVE_BIT,$A315)+SUMIFS(SALIDAS_BOV1,FECHA_BOV1,"&gt;="&amp;BQ$2,FECHA_BOV1,"&lt;="&amp;BQ$3,CLAVE_BOV1,$A315)+SUMIFS(SALIDAS_BOV2,FECHA_BOV2,"&gt;="&amp;BQ$2,FECHA_BOV2,"&lt;="&amp;BQ$3,CLAVE_BOV2,$A315)+SUMIFS(SALIDAS_BOV3,FECHA_BOV3,"&gt;="&amp;BQ$2,FECHA_BOV3,"&lt;="&amp;BQ$3,CLAVE_BOV3,$A315)+SUMIFS(SALIDAS_TC,FECHA_TC,"&gt;="&amp;BQ$2,FECHA_TC,"&lt;="&amp;BQ$3,CLAVE_TC,$A315)+SUMIFS(SALIDAS_COMB,FECHA_COMB,"&gt;="&amp;BQ$2,FECHA_COMB,"&lt;="&amp;BQ$3,CLAVE_COMB,$A315)+SUMIFS(SALIDAS_DES,FECHA_DESGLOSEN,"&gt;="&amp;BQ$2,FECHA_DESGLOSEN,"&lt;="&amp;BQ$3,CLAVE_DESGLOSE,$A315)</f>
        <v>0</v>
      </c>
      <c r="BR315" s="162">
        <f>SUMIFS(SALIDAS_BIT,FECHA_BIT,"&gt;="&amp;BR$2,FECHA_BIT,"&lt;="&amp;BR$3,CLAVE_BIT,$A315)+SUMIFS(SALIDAS_BOV1,FECHA_BOV1,"&gt;="&amp;BR$2,FECHA_BOV1,"&lt;="&amp;BR$3,CLAVE_BOV1,$A315)+SUMIFS(SALIDAS_BOV2,FECHA_BOV2,"&gt;="&amp;BR$2,FECHA_BOV2,"&lt;="&amp;BR$3,CLAVE_BOV2,$A315)+SUMIFS(SALIDAS_BOV3,FECHA_BOV3,"&gt;="&amp;BR$2,FECHA_BOV3,"&lt;="&amp;BR$3,CLAVE_BOV3,$A315)+SUMIFS(SALIDAS_TC,FECHA_TC,"&gt;="&amp;BR$2,FECHA_TC,"&lt;="&amp;BR$3,CLAVE_TC,$A315)+SUMIFS(SALIDAS_COMB,FECHA_COMB,"&gt;="&amp;BR$2,FECHA_COMB,"&lt;="&amp;BR$3,CLAVE_COMB,$A315)+SUMIFS(SALIDAS_DES,FECHA_DESGLOSEN,"&gt;="&amp;BR$2,FECHA_DESGLOSEN,"&lt;="&amp;BR$3,CLAVE_DESGLOSE,$A315)</f>
        <v>17490.870000000003</v>
      </c>
      <c r="BS315" s="227">
        <f>BL315-BR315</f>
        <v>-17490.870000000003</v>
      </c>
      <c r="BT315" s="301">
        <f>IFERROR((BR315/BL315),0)</f>
        <v>0</v>
      </c>
      <c r="BU315" s="162">
        <f>VLOOKUP($A315,T_PRESUPUESTO,MATCH(BU$6,E_PRESUPUESTO,0),FALSE)</f>
        <v>0</v>
      </c>
      <c r="BV315" s="162">
        <f>SUMIFS(SALIDAS_BIT,FECHA_BIT,"&gt;="&amp;BV$2,FECHA_BIT,"&lt;="&amp;BV$3,CLAVE_BIT,$A315)+SUMIFS(SALIDAS_BOV1,FECHA_BOV1,"&gt;="&amp;BV$2,FECHA_BOV1,"&lt;="&amp;BV$3,CLAVE_BOV1,$A315)+SUMIFS(SALIDAS_BOV2,FECHA_BOV2,"&gt;="&amp;BV$2,FECHA_BOV2,"&lt;="&amp;BV$3,CLAVE_BOV2,$A315)+SUMIFS(SALIDAS_BOV3,FECHA_BOV3,"&gt;="&amp;BV$2,FECHA_BOV3,"&lt;="&amp;BV$3,CLAVE_BOV3,$A315)+SUMIFS(SALIDAS_TC,FECHA_TC,"&gt;="&amp;BV$2,FECHA_TC,"&lt;="&amp;BV$3,CLAVE_TC,$A315)+SUMIFS(SALIDAS_COMB,FECHA_COMB,"&gt;="&amp;BV$2,FECHA_COMB,"&lt;="&amp;BV$3,CLAVE_COMB,$A315)+SUMIFS(SALIDAS_DES,FECHA_DESGLOSEN,"&gt;="&amp;BV$2,FECHA_DESGLOSEN,"&lt;="&amp;BV$3,CLAVE_DESGLOSE,$A315)</f>
        <v>0</v>
      </c>
      <c r="BW315" s="162">
        <f>SUMIFS(SALIDAS_BIT,FECHA_BIT,"&gt;="&amp;BW$2,FECHA_BIT,"&lt;="&amp;BW$3,CLAVE_BIT,$A315)+SUMIFS(SALIDAS_BOV1,FECHA_BOV1,"&gt;="&amp;BW$2,FECHA_BOV1,"&lt;="&amp;BW$3,CLAVE_BOV1,$A315)+SUMIFS(SALIDAS_BOV2,FECHA_BOV2,"&gt;="&amp;BW$2,FECHA_BOV2,"&lt;="&amp;BW$3,CLAVE_BOV2,$A315)+SUMIFS(SALIDAS_BOV3,FECHA_BOV3,"&gt;="&amp;BW$2,FECHA_BOV3,"&lt;="&amp;BW$3,CLAVE_BOV3,$A315)+SUMIFS(SALIDAS_TC,FECHA_TC,"&gt;="&amp;BW$2,FECHA_TC,"&lt;="&amp;BW$3,CLAVE_TC,$A315)+SUMIFS(SALIDAS_COMB,FECHA_COMB,"&gt;="&amp;BW$2,FECHA_COMB,"&lt;="&amp;BW$3,CLAVE_COMB,$A315)+SUMIFS(SALIDAS_DES,FECHA_DESGLOSEN,"&gt;="&amp;BW$2,FECHA_DESGLOSEN,"&lt;="&amp;BW$3,CLAVE_DESGLOSE,$A315)</f>
        <v>0</v>
      </c>
      <c r="BX315" s="162">
        <f>SUMIFS(SALIDAS_BIT,FECHA_BIT,"&gt;="&amp;BX$2,FECHA_BIT,"&lt;="&amp;BX$3,CLAVE_BIT,$A315)+SUMIFS(SALIDAS_BOV1,FECHA_BOV1,"&gt;="&amp;BX$2,FECHA_BOV1,"&lt;="&amp;BX$3,CLAVE_BOV1,$A315)+SUMIFS(SALIDAS_BOV2,FECHA_BOV2,"&gt;="&amp;BX$2,FECHA_BOV2,"&lt;="&amp;BX$3,CLAVE_BOV2,$A315)+SUMIFS(SALIDAS_BOV3,FECHA_BOV3,"&gt;="&amp;BX$2,FECHA_BOV3,"&lt;="&amp;BX$3,CLAVE_BOV3,$A315)+SUMIFS(SALIDAS_TC,FECHA_TC,"&gt;="&amp;BX$2,FECHA_TC,"&lt;="&amp;BX$3,CLAVE_TC,$A315)+SUMIFS(SALIDAS_COMB,FECHA_COMB,"&gt;="&amp;BX$2,FECHA_COMB,"&lt;="&amp;BX$3,CLAVE_COMB,$A315)+SUMIFS(SALIDAS_DES,FECHA_DESGLOSEN,"&gt;="&amp;BX$2,FECHA_DESGLOSEN,"&lt;="&amp;BX$3,CLAVE_DESGLOSE,$A315)</f>
        <v>0</v>
      </c>
      <c r="BY315" s="162">
        <f>SUMIFS(SALIDAS_BIT,FECHA_BIT,"&gt;="&amp;BY$2,FECHA_BIT,"&lt;="&amp;BY$3,CLAVE_BIT,$A315)+SUMIFS(SALIDAS_BOV1,FECHA_BOV1,"&gt;="&amp;BY$2,FECHA_BOV1,"&lt;="&amp;BY$3,CLAVE_BOV1,$A315)+SUMIFS(SALIDAS_BOV2,FECHA_BOV2,"&gt;="&amp;BY$2,FECHA_BOV2,"&lt;="&amp;BY$3,CLAVE_BOV2,$A315)+SUMIFS(SALIDAS_BOV3,FECHA_BOV3,"&gt;="&amp;BY$2,FECHA_BOV3,"&lt;="&amp;BY$3,CLAVE_BOV3,$A315)+SUMIFS(SALIDAS_TC,FECHA_TC,"&gt;="&amp;BY$2,FECHA_TC,"&lt;="&amp;BY$3,CLAVE_TC,$A315)+SUMIFS(SALIDAS_COMB,FECHA_COMB,"&gt;="&amp;BY$2,FECHA_COMB,"&lt;="&amp;BY$3,CLAVE_COMB,$A315)+SUMIFS(SALIDAS_DES,FECHA_DESGLOSEN,"&gt;="&amp;BY$2,FECHA_DESGLOSEN,"&lt;="&amp;BY$3,CLAVE_DESGLOSE,$A315)</f>
        <v>6000</v>
      </c>
      <c r="BZ315" s="162">
        <f>SUMIFS(SALIDAS_BIT,FECHA_BIT,"&gt;="&amp;BZ$2,FECHA_BIT,"&lt;="&amp;BZ$3,CLAVE_BIT,$A315)+SUMIFS(SALIDAS_BOV1,FECHA_BOV1,"&gt;="&amp;BZ$2,FECHA_BOV1,"&lt;="&amp;BZ$3,CLAVE_BOV1,$A315)+SUMIFS(SALIDAS_BOV2,FECHA_BOV2,"&gt;="&amp;BZ$2,FECHA_BOV2,"&lt;="&amp;BZ$3,CLAVE_BOV2,$A315)+SUMIFS(SALIDAS_BOV3,FECHA_BOV3,"&gt;="&amp;BZ$2,FECHA_BOV3,"&lt;="&amp;BZ$3,CLAVE_BOV3,$A315)+SUMIFS(SALIDAS_TC,FECHA_TC,"&gt;="&amp;BZ$2,FECHA_TC,"&lt;="&amp;BZ$3,CLAVE_TC,$A315)+SUMIFS(SALIDAS_COMB,FECHA_COMB,"&gt;="&amp;BZ$2,FECHA_COMB,"&lt;="&amp;BZ$3,CLAVE_COMB,$A315)+SUMIFS(SALIDAS_DES,FECHA_DESGLOSEN,"&gt;="&amp;BZ$2,FECHA_DESGLOSEN,"&lt;="&amp;BZ$3,CLAVE_DESGLOSE,$A315)</f>
        <v>6000</v>
      </c>
      <c r="CA315" s="227">
        <f>BU315-BZ315</f>
        <v>-6000</v>
      </c>
      <c r="CB315" s="301">
        <f>IFERROR((BZ315/BU315),0)</f>
        <v>0</v>
      </c>
      <c r="CC315" s="162">
        <f>VLOOKUP($A315,T_PRESUPUESTO,MATCH(CC$6,E_PRESUPUESTO,0),FALSE)</f>
        <v>0</v>
      </c>
      <c r="CD315" s="162">
        <f>SUMIFS(SALIDAS_BIT,FECHA_BIT,"&gt;="&amp;CD$2,FECHA_BIT,"&lt;="&amp;CD$3,CLAVE_BIT,$A315)+SUMIFS(SALIDAS_BOV1,FECHA_BOV1,"&gt;="&amp;CD$2,FECHA_BOV1,"&lt;="&amp;CD$3,CLAVE_BOV1,$A315)+SUMIFS(SALIDAS_BOV2,FECHA_BOV2,"&gt;="&amp;CD$2,FECHA_BOV2,"&lt;="&amp;CD$3,CLAVE_BOV2,$A315)+SUMIFS(SALIDAS_BOV3,FECHA_BOV3,"&gt;="&amp;CD$2,FECHA_BOV3,"&lt;="&amp;CD$3,CLAVE_BOV3,$A315)+SUMIFS(SALIDAS_TC,FECHA_TC,"&gt;="&amp;CD$2,FECHA_TC,"&lt;="&amp;CD$3,CLAVE_TC,$A315)+SUMIFS(SALIDAS_COMB,FECHA_COMB,"&gt;="&amp;CD$2,FECHA_COMB,"&lt;="&amp;CD$3,CLAVE_COMB,$A315)+SUMIFS(SALIDAS_DES,FECHA_DESGLOSEN,"&gt;="&amp;CD$2,FECHA_DESGLOSEN,"&lt;="&amp;CD$3,CLAVE_DESGLOSE,$A315)</f>
        <v>5982</v>
      </c>
      <c r="CE315" s="162">
        <f>SUMIFS(SALIDAS_BIT,FECHA_BIT,"&gt;="&amp;CE$2,FECHA_BIT,"&lt;="&amp;CE$3,CLAVE_BIT,$A315)+SUMIFS(SALIDAS_BOV1,FECHA_BOV1,"&gt;="&amp;CE$2,FECHA_BOV1,"&lt;="&amp;CE$3,CLAVE_BOV1,$A315)+SUMIFS(SALIDAS_BOV2,FECHA_BOV2,"&gt;="&amp;CE$2,FECHA_BOV2,"&lt;="&amp;CE$3,CLAVE_BOV2,$A315)+SUMIFS(SALIDAS_BOV3,FECHA_BOV3,"&gt;="&amp;CE$2,FECHA_BOV3,"&lt;="&amp;CE$3,CLAVE_BOV3,$A315)+SUMIFS(SALIDAS_TC,FECHA_TC,"&gt;="&amp;CE$2,FECHA_TC,"&lt;="&amp;CE$3,CLAVE_TC,$A315)+SUMIFS(SALIDAS_COMB,FECHA_COMB,"&gt;="&amp;CE$2,FECHA_COMB,"&lt;="&amp;CE$3,CLAVE_COMB,$A315)+SUMIFS(SALIDAS_DES,FECHA_DESGLOSEN,"&gt;="&amp;CE$2,FECHA_DESGLOSEN,"&lt;="&amp;CE$3,CLAVE_DESGLOSE,$A315)</f>
        <v>0</v>
      </c>
      <c r="CF315" s="162">
        <f>SUMIFS(SALIDAS_BIT,FECHA_BIT,"&gt;="&amp;CF$2,FECHA_BIT,"&lt;="&amp;CF$3,CLAVE_BIT,$A315)+SUMIFS(SALIDAS_BOV1,FECHA_BOV1,"&gt;="&amp;CF$2,FECHA_BOV1,"&lt;="&amp;CF$3,CLAVE_BOV1,$A315)+SUMIFS(SALIDAS_BOV2,FECHA_BOV2,"&gt;="&amp;CF$2,FECHA_BOV2,"&lt;="&amp;CF$3,CLAVE_BOV2,$A315)+SUMIFS(SALIDAS_BOV3,FECHA_BOV3,"&gt;="&amp;CF$2,FECHA_BOV3,"&lt;="&amp;CF$3,CLAVE_BOV3,$A315)+SUMIFS(SALIDAS_TC,FECHA_TC,"&gt;="&amp;CF$2,FECHA_TC,"&lt;="&amp;CF$3,CLAVE_TC,$A315)+SUMIFS(SALIDAS_COMB,FECHA_COMB,"&gt;="&amp;CF$2,FECHA_COMB,"&lt;="&amp;CF$3,CLAVE_COMB,$A315)+SUMIFS(SALIDAS_DES,FECHA_DESGLOSEN,"&gt;="&amp;CF$2,FECHA_DESGLOSEN,"&lt;="&amp;CF$3,CLAVE_DESGLOSE,$A315)</f>
        <v>0</v>
      </c>
      <c r="CG315" s="162">
        <f>SUMIFS(SALIDAS_BIT,FECHA_BIT,"&gt;="&amp;CG$2,FECHA_BIT,"&lt;="&amp;CG$3,CLAVE_BIT,$A315)+SUMIFS(SALIDAS_BOV1,FECHA_BOV1,"&gt;="&amp;CG$2,FECHA_BOV1,"&lt;="&amp;CG$3,CLAVE_BOV1,$A315)+SUMIFS(SALIDAS_BOV2,FECHA_BOV2,"&gt;="&amp;CG$2,FECHA_BOV2,"&lt;="&amp;CG$3,CLAVE_BOV2,$A315)+SUMIFS(SALIDAS_BOV3,FECHA_BOV3,"&gt;="&amp;CG$2,FECHA_BOV3,"&lt;="&amp;CG$3,CLAVE_BOV3,$A315)+SUMIFS(SALIDAS_TC,FECHA_TC,"&gt;="&amp;CG$2,FECHA_TC,"&lt;="&amp;CG$3,CLAVE_TC,$A315)+SUMIFS(SALIDAS_COMB,FECHA_COMB,"&gt;="&amp;CG$2,FECHA_COMB,"&lt;="&amp;CG$3,CLAVE_COMB,$A315)+SUMIFS(SALIDAS_DES,FECHA_DESGLOSEN,"&gt;="&amp;CG$2,FECHA_DESGLOSEN,"&lt;="&amp;CG$3,CLAVE_DESGLOSE,$A315)</f>
        <v>0</v>
      </c>
      <c r="CH315" s="162">
        <f>SUMIFS(SALIDAS_BIT,FECHA_BIT,"&gt;="&amp;CH$2,FECHA_BIT,"&lt;="&amp;CH$3,CLAVE_BIT,$A315)+SUMIFS(SALIDAS_BOV1,FECHA_BOV1,"&gt;="&amp;CH$2,FECHA_BOV1,"&lt;="&amp;CH$3,CLAVE_BOV1,$A315)+SUMIFS(SALIDAS_BOV2,FECHA_BOV2,"&gt;="&amp;CH$2,FECHA_BOV2,"&lt;="&amp;CH$3,CLAVE_BOV2,$A315)+SUMIFS(SALIDAS_BOV3,FECHA_BOV3,"&gt;="&amp;CH$2,FECHA_BOV3,"&lt;="&amp;CH$3,CLAVE_BOV3,$A315)+SUMIFS(SALIDAS_TC,FECHA_TC,"&gt;="&amp;CH$2,FECHA_TC,"&lt;="&amp;CH$3,CLAVE_TC,$A315)+SUMIFS(SALIDAS_COMB,FECHA_COMB,"&gt;="&amp;CH$2,FECHA_COMB,"&lt;="&amp;CH$3,CLAVE_COMB,$A315)+SUMIFS(SALIDAS_DES,FECHA_DESGLOSEN,"&gt;="&amp;CH$2,FECHA_DESGLOSEN,"&lt;="&amp;CH$3,CLAVE_DESGLOSE,$A315)</f>
        <v>5982</v>
      </c>
      <c r="CI315" s="227">
        <f>CC315-CH315</f>
        <v>-5982</v>
      </c>
      <c r="CJ315" s="301">
        <f>IFERROR((CH315/CC315),0)</f>
        <v>0</v>
      </c>
      <c r="CK315" s="162">
        <f>VLOOKUP($A315,T_PRESUPUESTO,MATCH(CK$6,E_PRESUPUESTO,0),FALSE)</f>
        <v>0</v>
      </c>
      <c r="CL315" s="162">
        <f>SUMIFS(SALIDAS_BIT,FECHA_BIT,"&gt;="&amp;CL$2,FECHA_BIT,"&lt;="&amp;CL$3,CLAVE_BIT,$A315)+SUMIFS(SALIDAS_BOV1,FECHA_BOV1,"&gt;="&amp;CL$2,FECHA_BOV1,"&lt;="&amp;CL$3,CLAVE_BOV1,$A315)+SUMIFS(SALIDAS_BOV2,FECHA_BOV2,"&gt;="&amp;CL$2,FECHA_BOV2,"&lt;="&amp;CL$3,CLAVE_BOV2,$A315)+SUMIFS(SALIDAS_BOV3,FECHA_BOV3,"&gt;="&amp;CL$2,FECHA_BOV3,"&lt;="&amp;CL$3,CLAVE_BOV3,$A315)+SUMIFS(SALIDAS_TC,FECHA_TC,"&gt;="&amp;CL$2,FECHA_TC,"&lt;="&amp;CL$3,CLAVE_TC,$A315)+SUMIFS(SALIDAS_COMB,FECHA_COMB,"&gt;="&amp;CL$2,FECHA_COMB,"&lt;="&amp;CL$3,CLAVE_COMB,$A315)+SUMIFS(SALIDAS_DES,FECHA_DESGLOSEN,"&gt;="&amp;CL$2,FECHA_DESGLOSEN,"&lt;="&amp;CL$3,CLAVE_DESGLOSE,$A315)</f>
        <v>0</v>
      </c>
      <c r="CM315" s="162">
        <f>SUMIFS(SALIDAS_BIT,FECHA_BIT,"&gt;="&amp;CM$2,FECHA_BIT,"&lt;="&amp;CM$3,CLAVE_BIT,$A315)+SUMIFS(SALIDAS_BOV1,FECHA_BOV1,"&gt;="&amp;CM$2,FECHA_BOV1,"&lt;="&amp;CM$3,CLAVE_BOV1,$A315)+SUMIFS(SALIDAS_BOV2,FECHA_BOV2,"&gt;="&amp;CM$2,FECHA_BOV2,"&lt;="&amp;CM$3,CLAVE_BOV2,$A315)+SUMIFS(SALIDAS_BOV3,FECHA_BOV3,"&gt;="&amp;CM$2,FECHA_BOV3,"&lt;="&amp;CM$3,CLAVE_BOV3,$A315)+SUMIFS(SALIDAS_TC,FECHA_TC,"&gt;="&amp;CM$2,FECHA_TC,"&lt;="&amp;CM$3,CLAVE_TC,$A315)+SUMIFS(SALIDAS_COMB,FECHA_COMB,"&gt;="&amp;CM$2,FECHA_COMB,"&lt;="&amp;CM$3,CLAVE_COMB,$A315)+SUMIFS(SALIDAS_DES,FECHA_DESGLOSEN,"&gt;="&amp;CM$2,FECHA_DESGLOSEN,"&lt;="&amp;CM$3,CLAVE_DESGLOSE,$A315)</f>
        <v>43876.7</v>
      </c>
      <c r="CN315" s="162">
        <f>SUMIFS(SALIDAS_BIT,FECHA_BIT,"&gt;="&amp;CN$2,FECHA_BIT,"&lt;="&amp;CN$3,CLAVE_BIT,$A315)+SUMIFS(SALIDAS_BOV1,FECHA_BOV1,"&gt;="&amp;CN$2,FECHA_BOV1,"&lt;="&amp;CN$3,CLAVE_BOV1,$A315)+SUMIFS(SALIDAS_BOV2,FECHA_BOV2,"&gt;="&amp;CN$2,FECHA_BOV2,"&lt;="&amp;CN$3,CLAVE_BOV2,$A315)+SUMIFS(SALIDAS_BOV3,FECHA_BOV3,"&gt;="&amp;CN$2,FECHA_BOV3,"&lt;="&amp;CN$3,CLAVE_BOV3,$A315)+SUMIFS(SALIDAS_TC,FECHA_TC,"&gt;="&amp;CN$2,FECHA_TC,"&lt;="&amp;CN$3,CLAVE_TC,$A315)+SUMIFS(SALIDAS_COMB,FECHA_COMB,"&gt;="&amp;CN$2,FECHA_COMB,"&lt;="&amp;CN$3,CLAVE_COMB,$A315)+SUMIFS(SALIDAS_DES,FECHA_DESGLOSEN,"&gt;="&amp;CN$2,FECHA_DESGLOSEN,"&lt;="&amp;CN$3,CLAVE_DESGLOSE,$A315)</f>
        <v>0</v>
      </c>
      <c r="CO315" s="162">
        <f>SUMIFS(SALIDAS_BIT,FECHA_BIT,"&gt;="&amp;CO$2,FECHA_BIT,"&lt;="&amp;CO$3,CLAVE_BIT,$A315)+SUMIFS(SALIDAS_BOV1,FECHA_BOV1,"&gt;="&amp;CO$2,FECHA_BOV1,"&lt;="&amp;CO$3,CLAVE_BOV1,$A315)+SUMIFS(SALIDAS_BOV2,FECHA_BOV2,"&gt;="&amp;CO$2,FECHA_BOV2,"&lt;="&amp;CO$3,CLAVE_BOV2,$A315)+SUMIFS(SALIDAS_BOV3,FECHA_BOV3,"&gt;="&amp;CO$2,FECHA_BOV3,"&lt;="&amp;CO$3,CLAVE_BOV3,$A315)+SUMIFS(SALIDAS_TC,FECHA_TC,"&gt;="&amp;CO$2,FECHA_TC,"&lt;="&amp;CO$3,CLAVE_TC,$A315)+SUMIFS(SALIDAS_COMB,FECHA_COMB,"&gt;="&amp;CO$2,FECHA_COMB,"&lt;="&amp;CO$3,CLAVE_COMB,$A315)+SUMIFS(SALIDAS_DES,FECHA_DESGLOSEN,"&gt;="&amp;CO$2,FECHA_DESGLOSEN,"&lt;="&amp;CO$3,CLAVE_DESGLOSE,$A315)</f>
        <v>0</v>
      </c>
      <c r="CP315" s="162">
        <f>SUMIFS(SALIDAS_BIT,FECHA_BIT,"&gt;="&amp;CP$2,FECHA_BIT,"&lt;="&amp;CP$3,CLAVE_BIT,$A315)+SUMIFS(SALIDAS_BOV1,FECHA_BOV1,"&gt;="&amp;CP$2,FECHA_BOV1,"&lt;="&amp;CP$3,CLAVE_BOV1,$A315)+SUMIFS(SALIDAS_BOV2,FECHA_BOV2,"&gt;="&amp;CP$2,FECHA_BOV2,"&lt;="&amp;CP$3,CLAVE_BOV2,$A315)+SUMIFS(SALIDAS_BOV3,FECHA_BOV3,"&gt;="&amp;CP$2,FECHA_BOV3,"&lt;="&amp;CP$3,CLAVE_BOV3,$A315)+SUMIFS(SALIDAS_TC,FECHA_TC,"&gt;="&amp;CP$2,FECHA_TC,"&lt;="&amp;CP$3,CLAVE_TC,$A315)+SUMIFS(SALIDAS_COMB,FECHA_COMB,"&gt;="&amp;CP$2,FECHA_COMB,"&lt;="&amp;CP$3,CLAVE_COMB,$A315)+SUMIFS(SALIDAS_DES,FECHA_DESGLOSEN,"&gt;="&amp;CP$2,FECHA_DESGLOSEN,"&lt;="&amp;CP$3,CLAVE_DESGLOSE,$A315)</f>
        <v>0</v>
      </c>
      <c r="CQ315" s="162">
        <f>SUMIFS(SALIDAS_BIT,FECHA_BIT,"&gt;="&amp;CQ$2,FECHA_BIT,"&lt;="&amp;CQ$3,CLAVE_BIT,$A315)+SUMIFS(SALIDAS_BOV1,FECHA_BOV1,"&gt;="&amp;CQ$2,FECHA_BOV1,"&lt;="&amp;CQ$3,CLAVE_BOV1,$A315)+SUMIFS(SALIDAS_BOV2,FECHA_BOV2,"&gt;="&amp;CQ$2,FECHA_BOV2,"&lt;="&amp;CQ$3,CLAVE_BOV2,$A315)+SUMIFS(SALIDAS_BOV3,FECHA_BOV3,"&gt;="&amp;CQ$2,FECHA_BOV3,"&lt;="&amp;CQ$3,CLAVE_BOV3,$A315)+SUMIFS(SALIDAS_TC,FECHA_TC,"&gt;="&amp;CQ$2,FECHA_TC,"&lt;="&amp;CQ$3,CLAVE_TC,$A315)+SUMIFS(SALIDAS_COMB,FECHA_COMB,"&gt;="&amp;CQ$2,FECHA_COMB,"&lt;="&amp;CQ$3,CLAVE_COMB,$A315)+SUMIFS(SALIDAS_DES,FECHA_DESGLOSEN,"&gt;="&amp;CQ$2,FECHA_DESGLOSEN,"&lt;="&amp;CQ$3,CLAVE_DESGLOSE,$A315)</f>
        <v>43876.7</v>
      </c>
      <c r="CR315" s="227">
        <f>CK315-CQ315</f>
        <v>-43876.7</v>
      </c>
      <c r="CS315" s="301">
        <f>IFERROR((CQ315/CK315),0)</f>
        <v>0</v>
      </c>
      <c r="CT315" s="68">
        <f t="shared" si="446"/>
        <v>0</v>
      </c>
      <c r="CU315" s="13">
        <f>SUMIFS(SALIDAS_BIT,FECHA_BIT,"&gt;="&amp;CU$2,FECHA_BIT,"&lt;="&amp;CU$3,CLAVE_BIT,$A315)+SUMIFS(SALIDAS_BOV1,FECHA_BOV1,"&gt;="&amp;CU$2,FECHA_BOV1,"&lt;="&amp;CU$3,CLAVE_BOV1,$A315)+SUMIFS(SALIDAS_BOV2,FECHA_BOV2,"&gt;="&amp;CU$2,FECHA_BOV2,"&lt;="&amp;CU$3,CLAVE_BOV2,$A315)+SUMIFS(SALIDAS_BOV3,FECHA_BOV3,"&gt;="&amp;CU$2,FECHA_BOV3,"&lt;="&amp;CU$3,CLAVE_BOV3,$A315)+SUMIFS(SALIDAS_TC,FECHA_TC,"&gt;="&amp;CU$2,FECHA_TC,"&lt;="&amp;CU$3,CLAVE_TC,$A315)+SUMIFS(SALIDAS_COMB,FECHA_COMB,"&gt;="&amp;CU$2,FECHA_COMB,"&lt;="&amp;CU$3,CLAVE_COMB,$A315)+SUMIFS(SALIDAS_DES,FECHA_DESGLOSEN,"&gt;="&amp;CU$2,FECHA_DESGLOSEN,"&lt;="&amp;CU$3,CLAVE_DESGLOSE,$A315)</f>
        <v>0</v>
      </c>
      <c r="CV315" s="13">
        <f>SUMIFS(SALIDAS_BIT,FECHA_BIT,"&gt;="&amp;CV$2,FECHA_BIT,"&lt;="&amp;CV$3,CLAVE_BIT,$A315)+SUMIFS(SALIDAS_BOV1,FECHA_BOV1,"&gt;="&amp;CV$2,FECHA_BOV1,"&lt;="&amp;CV$3,CLAVE_BOV1,$A315)+SUMIFS(SALIDAS_BOV2,FECHA_BOV2,"&gt;="&amp;CV$2,FECHA_BOV2,"&lt;="&amp;CV$3,CLAVE_BOV2,$A315)+SUMIFS(SALIDAS_BOV3,FECHA_BOV3,"&gt;="&amp;CV$2,FECHA_BOV3,"&lt;="&amp;CV$3,CLAVE_BOV3,$A315)+SUMIFS(SALIDAS_TC,FECHA_TC,"&gt;="&amp;CV$2,FECHA_TC,"&lt;="&amp;CV$3,CLAVE_TC,$A315)+SUMIFS(SALIDAS_COMB,FECHA_COMB,"&gt;="&amp;CV$2,FECHA_COMB,"&lt;="&amp;CV$3,CLAVE_COMB,$A315)+SUMIFS(SALIDAS_DES,FECHA_DESGLOSEN,"&gt;="&amp;CV$2,FECHA_DESGLOSEN,"&lt;="&amp;CV$3,CLAVE_DESGLOSE,$A315)</f>
        <v>0</v>
      </c>
      <c r="CW315" s="13">
        <f>SUMIFS(SALIDAS_BIT,FECHA_BIT,"&gt;="&amp;CW$2,FECHA_BIT,"&lt;="&amp;CW$3,CLAVE_BIT,$A315)+SUMIFS(SALIDAS_BOV1,FECHA_BOV1,"&gt;="&amp;CW$2,FECHA_BOV1,"&lt;="&amp;CW$3,CLAVE_BOV1,$A315)+SUMIFS(SALIDAS_BOV2,FECHA_BOV2,"&gt;="&amp;CW$2,FECHA_BOV2,"&lt;="&amp;CW$3,CLAVE_BOV2,$A315)+SUMIFS(SALIDAS_BOV3,FECHA_BOV3,"&gt;="&amp;CW$2,FECHA_BOV3,"&lt;="&amp;CW$3,CLAVE_BOV3,$A315)+SUMIFS(SALIDAS_TC,FECHA_TC,"&gt;="&amp;CW$2,FECHA_TC,"&lt;="&amp;CW$3,CLAVE_TC,$A315)+SUMIFS(SALIDAS_COMB,FECHA_COMB,"&gt;="&amp;CW$2,FECHA_COMB,"&lt;="&amp;CW$3,CLAVE_COMB,$A315)+SUMIFS(SALIDAS_DES,FECHA_DESGLOSEN,"&gt;="&amp;CW$2,FECHA_DESGLOSEN,"&lt;="&amp;CW$3,CLAVE_DESGLOSE,$A315)</f>
        <v>0</v>
      </c>
      <c r="CX315" s="13">
        <f>SUMIFS(SALIDAS_BIT,FECHA_BIT,"&gt;="&amp;CX$2,FECHA_BIT,"&lt;="&amp;CX$3,CLAVE_BIT,$A315)+SUMIFS(SALIDAS_BOV1,FECHA_BOV1,"&gt;="&amp;CX$2,FECHA_BOV1,"&lt;="&amp;CX$3,CLAVE_BOV1,$A315)+SUMIFS(SALIDAS_BOV2,FECHA_BOV2,"&gt;="&amp;CX$2,FECHA_BOV2,"&lt;="&amp;CX$3,CLAVE_BOV2,$A315)+SUMIFS(SALIDAS_BOV3,FECHA_BOV3,"&gt;="&amp;CX$2,FECHA_BOV3,"&lt;="&amp;CX$3,CLAVE_BOV3,$A315)+SUMIFS(SALIDAS_TC,FECHA_TC,"&gt;="&amp;CX$2,FECHA_TC,"&lt;="&amp;CX$3,CLAVE_TC,$A315)+SUMIFS(SALIDAS_COMB,FECHA_COMB,"&gt;="&amp;CX$2,FECHA_COMB,"&lt;="&amp;CX$3,CLAVE_COMB,$A315)+SUMIFS(SALIDAS_DES,FECHA_DESGLOSEN,"&gt;="&amp;CX$2,FECHA_DESGLOSEN,"&lt;="&amp;CX$3,CLAVE_DESGLOSE,$A315)</f>
        <v>0</v>
      </c>
      <c r="CY315" s="13">
        <f>SUMIFS(SALIDAS_BIT,FECHA_BIT,"&gt;="&amp;CY$2,FECHA_BIT,"&lt;="&amp;CY$3,CLAVE_BIT,$A315)+SUMIFS(SALIDAS_BOV1,FECHA_BOV1,"&gt;="&amp;CY$2,FECHA_BOV1,"&lt;="&amp;CY$3,CLAVE_BOV1,$A315)+SUMIFS(SALIDAS_BOV2,FECHA_BOV2,"&gt;="&amp;CY$2,FECHA_BOV2,"&lt;="&amp;CY$3,CLAVE_BOV2,$A315)+SUMIFS(SALIDAS_BOV3,FECHA_BOV3,"&gt;="&amp;CY$2,FECHA_BOV3,"&lt;="&amp;CY$3,CLAVE_BOV3,$A315)+SUMIFS(SALIDAS_TC,FECHA_TC,"&gt;="&amp;CY$2,FECHA_TC,"&lt;="&amp;CY$3,CLAVE_TC,$A315)+SUMIFS(SALIDAS_COMB,FECHA_COMB,"&gt;="&amp;CY$2,FECHA_COMB,"&lt;="&amp;CY$3,CLAVE_COMB,$A315)+SUMIFS(SALIDAS_DES,FECHA_DESGLOSEN,"&gt;="&amp;CY$2,FECHA_DESGLOSEN,"&lt;="&amp;CY$3,CLAVE_DESGLOSE,$A315)</f>
        <v>0</v>
      </c>
      <c r="CZ315" s="68">
        <f t="shared" si="474"/>
        <v>0</v>
      </c>
      <c r="DB315" s="17">
        <f>F315+N315+W315+AE315+AM315+AV315+BD315+BL315+BU315+CC315+CK315</f>
        <v>0</v>
      </c>
      <c r="DC315" s="17">
        <f>K315+T315+AB315+AJ315+AS315+BA315+BI315+BR315+BZ315+CH315+CQ315</f>
        <v>81149.570000000007</v>
      </c>
    </row>
    <row r="316" spans="1:107" ht="15" hidden="1">
      <c r="A316" s="12" t="str">
        <f>C316&amp;D316&amp;E316</f>
        <v>MKTINSUMOSINSUMOS</v>
      </c>
      <c r="B316">
        <v>316</v>
      </c>
      <c r="C316" t="s">
        <v>19</v>
      </c>
      <c r="D316" t="s">
        <v>133</v>
      </c>
      <c r="E316" t="s">
        <v>133</v>
      </c>
      <c r="F316" s="260">
        <f>VLOOKUP($A316,T_PRESUPUESTO,MATCH(F$6,E_PRESUPUESTO,0),FALSE)</f>
        <v>0</v>
      </c>
      <c r="G316" s="162">
        <f>SUMIFS(SALIDAS_BIT,FECHA_BIT,"&gt;="&amp;G$2,FECHA_BIT,"&lt;="&amp;G$3,CLAVE_BIT,$A316)+SUMIFS(SALIDAS_BOV1,FECHA_BOV1,"&gt;="&amp;G$2,FECHA_BOV1,"&lt;="&amp;G$3,CLAVE_BOV1,$A316)+SUMIFS(SALIDAS_BOV2,FECHA_BOV2,"&gt;="&amp;G$2,FECHA_BOV2,"&lt;="&amp;G$3,CLAVE_BOV2,$A316)+SUMIFS(SALIDAS_BOV3,FECHA_BOV3,"&gt;="&amp;G$2,FECHA_BOV3,"&lt;="&amp;G$3,CLAVE_BOV3,$A316)+SUMIFS(SALIDAS_TC,FECHA_TC,"&gt;="&amp;G$2,FECHA_TC,"&lt;="&amp;G$3,CLAVE_TC,$A316)+SUMIFS(SALIDAS_COMB,FECHA_COMB,"&gt;="&amp;G$2,FECHA_COMB,"&lt;="&amp;G$3,CLAVE_COMB,$A316)+SUMIFS(SALIDAS_DES,FECHA_DESGLOSEN,"&gt;="&amp;G$2,FECHA_DESGLOSEN,"&lt;="&amp;G$3,CLAVE_DESGLOSE,$A316)</f>
        <v>0</v>
      </c>
      <c r="H316" s="162">
        <f>SUMIFS(SALIDAS_BIT,FECHA_BIT,"&gt;="&amp;H$2,FECHA_BIT,"&lt;="&amp;H$3,CLAVE_BIT,$A316)+SUMIFS(SALIDAS_BOV1,FECHA_BOV1,"&gt;="&amp;H$2,FECHA_BOV1,"&lt;="&amp;H$3,CLAVE_BOV1,$A316)+SUMIFS(SALIDAS_BOV2,FECHA_BOV2,"&gt;="&amp;H$2,FECHA_BOV2,"&lt;="&amp;H$3,CLAVE_BOV2,$A316)+SUMIFS(SALIDAS_BOV3,FECHA_BOV3,"&gt;="&amp;H$2,FECHA_BOV3,"&lt;="&amp;H$3,CLAVE_BOV3,$A316)+SUMIFS(SALIDAS_TC,FECHA_TC,"&gt;="&amp;H$2,FECHA_TC,"&lt;="&amp;H$3,CLAVE_TC,$A316)+SUMIFS(SALIDAS_COMB,FECHA_COMB,"&gt;="&amp;H$2,FECHA_COMB,"&lt;="&amp;H$3,CLAVE_COMB,$A316)+SUMIFS(SALIDAS_DES,FECHA_DESGLOSEN,"&gt;="&amp;H$2,FECHA_DESGLOSEN,"&lt;="&amp;H$3,CLAVE_DESGLOSE,$A316)</f>
        <v>0</v>
      </c>
      <c r="I316" s="162">
        <f>SUMIFS(SALIDAS_BIT,FECHA_BIT,"&gt;="&amp;I$2,FECHA_BIT,"&lt;="&amp;I$3,CLAVE_BIT,$A316)+SUMIFS(SALIDAS_BOV1,FECHA_BOV1,"&gt;="&amp;I$2,FECHA_BOV1,"&lt;="&amp;I$3,CLAVE_BOV1,$A316)+SUMIFS(SALIDAS_BOV2,FECHA_BOV2,"&gt;="&amp;I$2,FECHA_BOV2,"&lt;="&amp;I$3,CLAVE_BOV2,$A316)+SUMIFS(SALIDAS_BOV3,FECHA_BOV3,"&gt;="&amp;I$2,FECHA_BOV3,"&lt;="&amp;I$3,CLAVE_BOV3,$A316)+SUMIFS(SALIDAS_TC,FECHA_TC,"&gt;="&amp;I$2,FECHA_TC,"&lt;="&amp;I$3,CLAVE_TC,$A316)+SUMIFS(SALIDAS_COMB,FECHA_COMB,"&gt;="&amp;I$2,FECHA_COMB,"&lt;="&amp;I$3,CLAVE_COMB,$A316)+SUMIFS(SALIDAS_DES,FECHA_DESGLOSEN,"&gt;="&amp;I$2,FECHA_DESGLOSEN,"&lt;="&amp;I$3,CLAVE_DESGLOSE,$A316)</f>
        <v>0</v>
      </c>
      <c r="J316" s="162">
        <f>SUMIFS(SALIDAS_BIT,FECHA_BIT,"&gt;="&amp;J$2,FECHA_BIT,"&lt;="&amp;J$3,CLAVE_BIT,$A316)+SUMIFS(SALIDAS_BOV1,FECHA_BOV1,"&gt;="&amp;J$2,FECHA_BOV1,"&lt;="&amp;J$3,CLAVE_BOV1,$A316)+SUMIFS(SALIDAS_BOV2,FECHA_BOV2,"&gt;="&amp;J$2,FECHA_BOV2,"&lt;="&amp;J$3,CLAVE_BOV2,$A316)+SUMIFS(SALIDAS_BOV3,FECHA_BOV3,"&gt;="&amp;J$2,FECHA_BOV3,"&lt;="&amp;J$3,CLAVE_BOV3,$A316)+SUMIFS(SALIDAS_TC,FECHA_TC,"&gt;="&amp;J$2,FECHA_TC,"&lt;="&amp;J$3,CLAVE_TC,$A316)+SUMIFS(SALIDAS_COMB,FECHA_COMB,"&gt;="&amp;J$2,FECHA_COMB,"&lt;="&amp;J$3,CLAVE_COMB,$A316)+SUMIFS(SALIDAS_DES,FECHA_DESGLOSEN,"&gt;="&amp;J$2,FECHA_DESGLOSEN,"&lt;="&amp;J$3,CLAVE_DESGLOSE,$A316)</f>
        <v>0</v>
      </c>
      <c r="K316" s="162">
        <f>SUMIFS(SALIDAS_BIT,FECHA_BIT,"&gt;="&amp;K$2,FECHA_BIT,"&lt;="&amp;K$3,CLAVE_BIT,$A316)+SUMIFS(SALIDAS_BOV1,FECHA_BOV1,"&gt;="&amp;K$2,FECHA_BOV1,"&lt;="&amp;K$3,CLAVE_BOV1,$A316)+SUMIFS(SALIDAS_BOV2,FECHA_BOV2,"&gt;="&amp;K$2,FECHA_BOV2,"&lt;="&amp;K$3,CLAVE_BOV2,$A316)+SUMIFS(SALIDAS_BOV3,FECHA_BOV3,"&gt;="&amp;K$2,FECHA_BOV3,"&lt;="&amp;K$3,CLAVE_BOV3,$A316)+SUMIFS(SALIDAS_TC,FECHA_TC,"&gt;="&amp;K$2,FECHA_TC,"&lt;="&amp;K$3,CLAVE_TC,$A316)+SUMIFS(SALIDAS_COMB,FECHA_COMB,"&gt;="&amp;K$2,FECHA_COMB,"&lt;="&amp;K$3,CLAVE_COMB,$A316)+SUMIFS(SALIDAS_DES,FECHA_DESGLOSEN,"&gt;="&amp;K$2,FECHA_DESGLOSEN,"&lt;="&amp;K$3,CLAVE_DESGLOSE,$A316)</f>
        <v>0</v>
      </c>
      <c r="L316" s="227">
        <f>F316-K316</f>
        <v>0</v>
      </c>
      <c r="M316" s="301">
        <f>IFERROR((K316/F316),0)</f>
        <v>0</v>
      </c>
      <c r="N316" s="162">
        <f>VLOOKUP($A316,T_PRESUPUESTO,MATCH(N$6,E_PRESUPUESTO,0),FALSE)</f>
        <v>0</v>
      </c>
      <c r="O316" s="162">
        <f>SUMIFS(SALIDAS_BIT,FECHA_BIT,"&gt;="&amp;O$2,FECHA_BIT,"&lt;="&amp;O$3,CLAVE_BIT,$A316)+SUMIFS(SALIDAS_BOV1,FECHA_BOV1,"&gt;="&amp;O$2,FECHA_BOV1,"&lt;="&amp;O$3,CLAVE_BOV1,$A316)+SUMIFS(SALIDAS_BOV2,FECHA_BOV2,"&gt;="&amp;O$2,FECHA_BOV2,"&lt;="&amp;O$3,CLAVE_BOV2,$A316)+SUMIFS(SALIDAS_BOV3,FECHA_BOV3,"&gt;="&amp;O$2,FECHA_BOV3,"&lt;="&amp;O$3,CLAVE_BOV3,$A316)+SUMIFS(SALIDAS_TC,FECHA_TC,"&gt;="&amp;O$2,FECHA_TC,"&lt;="&amp;O$3,CLAVE_TC,$A316)+SUMIFS(SALIDAS_COMB,FECHA_COMB,"&gt;="&amp;O$2,FECHA_COMB,"&lt;="&amp;O$3,CLAVE_COMB,$A316)+SUMIFS(SALIDAS_DES,FECHA_DESGLOSEN,"&gt;="&amp;O$2,FECHA_DESGLOSEN,"&lt;="&amp;O$3,CLAVE_DESGLOSE,$A316)</f>
        <v>0</v>
      </c>
      <c r="P316" s="162">
        <f>SUMIFS(SALIDAS_BIT,FECHA_BIT,"&gt;="&amp;P$2,FECHA_BIT,"&lt;="&amp;P$3,CLAVE_BIT,$A316)+SUMIFS(SALIDAS_BOV1,FECHA_BOV1,"&gt;="&amp;P$2,FECHA_BOV1,"&lt;="&amp;P$3,CLAVE_BOV1,$A316)+SUMIFS(SALIDAS_BOV2,FECHA_BOV2,"&gt;="&amp;P$2,FECHA_BOV2,"&lt;="&amp;P$3,CLAVE_BOV2,$A316)+SUMIFS(SALIDAS_BOV3,FECHA_BOV3,"&gt;="&amp;P$2,FECHA_BOV3,"&lt;="&amp;P$3,CLAVE_BOV3,$A316)+SUMIFS(SALIDAS_TC,FECHA_TC,"&gt;="&amp;P$2,FECHA_TC,"&lt;="&amp;P$3,CLAVE_TC,$A316)+SUMIFS(SALIDAS_COMB,FECHA_COMB,"&gt;="&amp;P$2,FECHA_COMB,"&lt;="&amp;P$3,CLAVE_COMB,$A316)+SUMIFS(SALIDAS_DES,FECHA_DESGLOSEN,"&gt;="&amp;P$2,FECHA_DESGLOSEN,"&lt;="&amp;P$3,CLAVE_DESGLOSE,$A316)</f>
        <v>0</v>
      </c>
      <c r="Q316" s="162">
        <f>SUMIFS(SALIDAS_BIT,FECHA_BIT,"&gt;="&amp;Q$2,FECHA_BIT,"&lt;="&amp;Q$3,CLAVE_BIT,$A316)+SUMIFS(SALIDAS_BOV1,FECHA_BOV1,"&gt;="&amp;Q$2,FECHA_BOV1,"&lt;="&amp;Q$3,CLAVE_BOV1,$A316)+SUMIFS(SALIDAS_BOV2,FECHA_BOV2,"&gt;="&amp;Q$2,FECHA_BOV2,"&lt;="&amp;Q$3,CLAVE_BOV2,$A316)+SUMIFS(SALIDAS_BOV3,FECHA_BOV3,"&gt;="&amp;Q$2,FECHA_BOV3,"&lt;="&amp;Q$3,CLAVE_BOV3,$A316)+SUMIFS(SALIDAS_TC,FECHA_TC,"&gt;="&amp;Q$2,FECHA_TC,"&lt;="&amp;Q$3,CLAVE_TC,$A316)+SUMIFS(SALIDAS_COMB,FECHA_COMB,"&gt;="&amp;Q$2,FECHA_COMB,"&lt;="&amp;Q$3,CLAVE_COMB,$A316)+SUMIFS(SALIDAS_DES,FECHA_DESGLOSEN,"&gt;="&amp;Q$2,FECHA_DESGLOSEN,"&lt;="&amp;Q$3,CLAVE_DESGLOSE,$A316)</f>
        <v>0</v>
      </c>
      <c r="R316" s="162">
        <f>SUMIFS(SALIDAS_BIT,FECHA_BIT,"&gt;="&amp;R$2,FECHA_BIT,"&lt;="&amp;R$3,CLAVE_BIT,$A316)+SUMIFS(SALIDAS_BOV1,FECHA_BOV1,"&gt;="&amp;R$2,FECHA_BOV1,"&lt;="&amp;R$3,CLAVE_BOV1,$A316)+SUMIFS(SALIDAS_BOV2,FECHA_BOV2,"&gt;="&amp;R$2,FECHA_BOV2,"&lt;="&amp;R$3,CLAVE_BOV2,$A316)+SUMIFS(SALIDAS_BOV3,FECHA_BOV3,"&gt;="&amp;R$2,FECHA_BOV3,"&lt;="&amp;R$3,CLAVE_BOV3,$A316)+SUMIFS(SALIDAS_TC,FECHA_TC,"&gt;="&amp;R$2,FECHA_TC,"&lt;="&amp;R$3,CLAVE_TC,$A316)+SUMIFS(SALIDAS_COMB,FECHA_COMB,"&gt;="&amp;R$2,FECHA_COMB,"&lt;="&amp;R$3,CLAVE_COMB,$A316)+SUMIFS(SALIDAS_DES,FECHA_DESGLOSEN,"&gt;="&amp;R$2,FECHA_DESGLOSEN,"&lt;="&amp;R$3,CLAVE_DESGLOSE,$A316)</f>
        <v>0</v>
      </c>
      <c r="S316" s="162">
        <f>SUMIFS(SALIDAS_BIT,FECHA_BIT,"&gt;="&amp;S$2,FECHA_BIT,"&lt;="&amp;S$3,CLAVE_BIT,$A316)+SUMIFS(SALIDAS_BOV1,FECHA_BOV1,"&gt;="&amp;S$2,FECHA_BOV1,"&lt;="&amp;S$3,CLAVE_BOV1,$A316)+SUMIFS(SALIDAS_BOV2,FECHA_BOV2,"&gt;="&amp;S$2,FECHA_BOV2,"&lt;="&amp;S$3,CLAVE_BOV2,$A316)+SUMIFS(SALIDAS_BOV3,FECHA_BOV3,"&gt;="&amp;S$2,FECHA_BOV3,"&lt;="&amp;S$3,CLAVE_BOV3,$A316)+SUMIFS(SALIDAS_TC,FECHA_TC,"&gt;="&amp;S$2,FECHA_TC,"&lt;="&amp;S$3,CLAVE_TC,$A316)+SUMIFS(SALIDAS_COMB,FECHA_COMB,"&gt;="&amp;S$2,FECHA_COMB,"&lt;="&amp;S$3,CLAVE_COMB,$A316)+SUMIFS(SALIDAS_DES,FECHA_DESGLOSEN,"&gt;="&amp;S$2,FECHA_DESGLOSEN,"&lt;="&amp;S$3,CLAVE_DESGLOSE,$A316)</f>
        <v>0</v>
      </c>
      <c r="T316" s="162">
        <f>SUMIFS(SALIDAS_BIT,FECHA_BIT,"&gt;="&amp;T$2,FECHA_BIT,"&lt;="&amp;T$3,CLAVE_BIT,$A316)+SUMIFS(SALIDAS_BOV1,FECHA_BOV1,"&gt;="&amp;T$2,FECHA_BOV1,"&lt;="&amp;T$3,CLAVE_BOV1,$A316)+SUMIFS(SALIDAS_BOV2,FECHA_BOV2,"&gt;="&amp;T$2,FECHA_BOV2,"&lt;="&amp;T$3,CLAVE_BOV2,$A316)+SUMIFS(SALIDAS_BOV3,FECHA_BOV3,"&gt;="&amp;T$2,FECHA_BOV3,"&lt;="&amp;T$3,CLAVE_BOV3,$A316)+SUMIFS(SALIDAS_TC,FECHA_TC,"&gt;="&amp;T$2,FECHA_TC,"&lt;="&amp;T$3,CLAVE_TC,$A316)+SUMIFS(SALIDAS_COMB,FECHA_COMB,"&gt;="&amp;T$2,FECHA_COMB,"&lt;="&amp;T$3,CLAVE_COMB,$A316)+SUMIFS(SALIDAS_DES,FECHA_DESGLOSEN,"&gt;="&amp;T$2,FECHA_DESGLOSEN,"&lt;="&amp;T$3,CLAVE_DESGLOSE,$A316)</f>
        <v>0</v>
      </c>
      <c r="U316" s="227">
        <f>N316-T316</f>
        <v>0</v>
      </c>
      <c r="V316" s="301">
        <f>IFERROR((T316/N316),0)</f>
        <v>0</v>
      </c>
      <c r="W316" s="162">
        <f>VLOOKUP($A316,T_PRESUPUESTO,MATCH(W$6,E_PRESUPUESTO,0),FALSE)</f>
        <v>0</v>
      </c>
      <c r="X316" s="162">
        <f>SUMIFS(SALIDAS_BIT,FECHA_BIT,"&gt;="&amp;X$2,FECHA_BIT,"&lt;="&amp;X$3,CLAVE_BIT,$A316)+SUMIFS(SALIDAS_BOV1,FECHA_BOV1,"&gt;="&amp;X$2,FECHA_BOV1,"&lt;="&amp;X$3,CLAVE_BOV1,$A316)+SUMIFS(SALIDAS_BOV2,FECHA_BOV2,"&gt;="&amp;X$2,FECHA_BOV2,"&lt;="&amp;X$3,CLAVE_BOV2,$A316)+SUMIFS(SALIDAS_BOV3,FECHA_BOV3,"&gt;="&amp;X$2,FECHA_BOV3,"&lt;="&amp;X$3,CLAVE_BOV3,$A316)+SUMIFS(SALIDAS_TC,FECHA_TC,"&gt;="&amp;X$2,FECHA_TC,"&lt;="&amp;X$3,CLAVE_TC,$A316)+SUMIFS(SALIDAS_COMB,FECHA_COMB,"&gt;="&amp;X$2,FECHA_COMB,"&lt;="&amp;X$3,CLAVE_COMB,$A316)+SUMIFS(SALIDAS_DES,FECHA_DESGLOSEN,"&gt;="&amp;X$2,FECHA_DESGLOSEN,"&lt;="&amp;X$3,CLAVE_DESGLOSE,$A316)</f>
        <v>0</v>
      </c>
      <c r="Y316" s="162">
        <f>SUMIFS(SALIDAS_BIT,FECHA_BIT,"&gt;="&amp;Y$2,FECHA_BIT,"&lt;="&amp;Y$3,CLAVE_BIT,$A316)+SUMIFS(SALIDAS_BOV1,FECHA_BOV1,"&gt;="&amp;Y$2,FECHA_BOV1,"&lt;="&amp;Y$3,CLAVE_BOV1,$A316)+SUMIFS(SALIDAS_BOV2,FECHA_BOV2,"&gt;="&amp;Y$2,FECHA_BOV2,"&lt;="&amp;Y$3,CLAVE_BOV2,$A316)+SUMIFS(SALIDAS_BOV3,FECHA_BOV3,"&gt;="&amp;Y$2,FECHA_BOV3,"&lt;="&amp;Y$3,CLAVE_BOV3,$A316)+SUMIFS(SALIDAS_TC,FECHA_TC,"&gt;="&amp;Y$2,FECHA_TC,"&lt;="&amp;Y$3,CLAVE_TC,$A316)+SUMIFS(SALIDAS_COMB,FECHA_COMB,"&gt;="&amp;Y$2,FECHA_COMB,"&lt;="&amp;Y$3,CLAVE_COMB,$A316)+SUMIFS(SALIDAS_DES,FECHA_DESGLOSEN,"&gt;="&amp;Y$2,FECHA_DESGLOSEN,"&lt;="&amp;Y$3,CLAVE_DESGLOSE,$A316)</f>
        <v>0</v>
      </c>
      <c r="Z316" s="162">
        <f>SUMIFS(SALIDAS_BIT,FECHA_BIT,"&gt;="&amp;Z$2,FECHA_BIT,"&lt;="&amp;Z$3,CLAVE_BIT,$A316)+SUMIFS(SALIDAS_BOV1,FECHA_BOV1,"&gt;="&amp;Z$2,FECHA_BOV1,"&lt;="&amp;Z$3,CLAVE_BOV1,$A316)+SUMIFS(SALIDAS_BOV2,FECHA_BOV2,"&gt;="&amp;Z$2,FECHA_BOV2,"&lt;="&amp;Z$3,CLAVE_BOV2,$A316)+SUMIFS(SALIDAS_BOV3,FECHA_BOV3,"&gt;="&amp;Z$2,FECHA_BOV3,"&lt;="&amp;Z$3,CLAVE_BOV3,$A316)+SUMIFS(SALIDAS_TC,FECHA_TC,"&gt;="&amp;Z$2,FECHA_TC,"&lt;="&amp;Z$3,CLAVE_TC,$A316)+SUMIFS(SALIDAS_COMB,FECHA_COMB,"&gt;="&amp;Z$2,FECHA_COMB,"&lt;="&amp;Z$3,CLAVE_COMB,$A316)+SUMIFS(SALIDAS_DES,FECHA_DESGLOSEN,"&gt;="&amp;Z$2,FECHA_DESGLOSEN,"&lt;="&amp;Z$3,CLAVE_DESGLOSE,$A316)</f>
        <v>0</v>
      </c>
      <c r="AA316" s="162">
        <f>SUMIFS(SALIDAS_BIT,FECHA_BIT,"&gt;="&amp;AA$2,FECHA_BIT,"&lt;="&amp;AA$3,CLAVE_BIT,$A316)+SUMIFS(SALIDAS_BOV1,FECHA_BOV1,"&gt;="&amp;AA$2,FECHA_BOV1,"&lt;="&amp;AA$3,CLAVE_BOV1,$A316)+SUMIFS(SALIDAS_BOV2,FECHA_BOV2,"&gt;="&amp;AA$2,FECHA_BOV2,"&lt;="&amp;AA$3,CLAVE_BOV2,$A316)+SUMIFS(SALIDAS_BOV3,FECHA_BOV3,"&gt;="&amp;AA$2,FECHA_BOV3,"&lt;="&amp;AA$3,CLAVE_BOV3,$A316)+SUMIFS(SALIDAS_TC,FECHA_TC,"&gt;="&amp;AA$2,FECHA_TC,"&lt;="&amp;AA$3,CLAVE_TC,$A316)+SUMIFS(SALIDAS_COMB,FECHA_COMB,"&gt;="&amp;AA$2,FECHA_COMB,"&lt;="&amp;AA$3,CLAVE_COMB,$A316)+SUMIFS(SALIDAS_DES,FECHA_DESGLOSEN,"&gt;="&amp;AA$2,FECHA_DESGLOSEN,"&lt;="&amp;AA$3,CLAVE_DESGLOSE,$A316)</f>
        <v>0</v>
      </c>
      <c r="AB316" s="162">
        <f>SUMIFS(SALIDAS_BIT,FECHA_BIT,"&gt;="&amp;AB$2,FECHA_BIT,"&lt;="&amp;AB$3,CLAVE_BIT,$A316)+SUMIFS(SALIDAS_BOV1,FECHA_BOV1,"&gt;="&amp;AB$2,FECHA_BOV1,"&lt;="&amp;AB$3,CLAVE_BOV1,$A316)+SUMIFS(SALIDAS_BOV2,FECHA_BOV2,"&gt;="&amp;AB$2,FECHA_BOV2,"&lt;="&amp;AB$3,CLAVE_BOV2,$A316)+SUMIFS(SALIDAS_BOV3,FECHA_BOV3,"&gt;="&amp;AB$2,FECHA_BOV3,"&lt;="&amp;AB$3,CLAVE_BOV3,$A316)+SUMIFS(SALIDAS_TC,FECHA_TC,"&gt;="&amp;AB$2,FECHA_TC,"&lt;="&amp;AB$3,CLAVE_TC,$A316)+SUMIFS(SALIDAS_COMB,FECHA_COMB,"&gt;="&amp;AB$2,FECHA_COMB,"&lt;="&amp;AB$3,CLAVE_COMB,$A316)+SUMIFS(SALIDAS_DES,FECHA_DESGLOSEN,"&gt;="&amp;AB$2,FECHA_DESGLOSEN,"&lt;="&amp;AB$3,CLAVE_DESGLOSE,$A316)</f>
        <v>0</v>
      </c>
      <c r="AC316" s="227">
        <f>W316-AB316</f>
        <v>0</v>
      </c>
      <c r="AD316" s="301">
        <f>IFERROR((AB316/W316),0)</f>
        <v>0</v>
      </c>
      <c r="AE316" s="162">
        <f>VLOOKUP($A316,T_PRESUPUESTO,MATCH(AE$6,E_PRESUPUESTO,0),FALSE)</f>
        <v>0</v>
      </c>
      <c r="AF316" s="162">
        <f>SUMIFS(SALIDAS_BIT,FECHA_BIT,"&gt;="&amp;AF$2,FECHA_BIT,"&lt;="&amp;AF$3,CLAVE_BIT,$A316)+SUMIFS(SALIDAS_BOV1,FECHA_BOV1,"&gt;="&amp;AF$2,FECHA_BOV1,"&lt;="&amp;AF$3,CLAVE_BOV1,$A316)+SUMIFS(SALIDAS_BOV2,FECHA_BOV2,"&gt;="&amp;AF$2,FECHA_BOV2,"&lt;="&amp;AF$3,CLAVE_BOV2,$A316)+SUMIFS(SALIDAS_BOV3,FECHA_BOV3,"&gt;="&amp;AF$2,FECHA_BOV3,"&lt;="&amp;AF$3,CLAVE_BOV3,$A316)+SUMIFS(SALIDAS_TC,FECHA_TC,"&gt;="&amp;AF$2,FECHA_TC,"&lt;="&amp;AF$3,CLAVE_TC,$A316)+SUMIFS(SALIDAS_COMB,FECHA_COMB,"&gt;="&amp;AF$2,FECHA_COMB,"&lt;="&amp;AF$3,CLAVE_COMB,$A316)+SUMIFS(SALIDAS_DES,FECHA_DESGLOSEN,"&gt;="&amp;AF$2,FECHA_DESGLOSEN,"&lt;="&amp;AF$3,CLAVE_DESGLOSE,$A316)</f>
        <v>0</v>
      </c>
      <c r="AG316" s="162">
        <f>SUMIFS(SALIDAS_BIT,FECHA_BIT,"&gt;="&amp;AG$2,FECHA_BIT,"&lt;="&amp;AG$3,CLAVE_BIT,$A316)+SUMIFS(SALIDAS_BOV1,FECHA_BOV1,"&gt;="&amp;AG$2,FECHA_BOV1,"&lt;="&amp;AG$3,CLAVE_BOV1,$A316)+SUMIFS(SALIDAS_BOV2,FECHA_BOV2,"&gt;="&amp;AG$2,FECHA_BOV2,"&lt;="&amp;AG$3,CLAVE_BOV2,$A316)+SUMIFS(SALIDAS_BOV3,FECHA_BOV3,"&gt;="&amp;AG$2,FECHA_BOV3,"&lt;="&amp;AG$3,CLAVE_BOV3,$A316)+SUMIFS(SALIDAS_TC,FECHA_TC,"&gt;="&amp;AG$2,FECHA_TC,"&lt;="&amp;AG$3,CLAVE_TC,$A316)+SUMIFS(SALIDAS_COMB,FECHA_COMB,"&gt;="&amp;AG$2,FECHA_COMB,"&lt;="&amp;AG$3,CLAVE_COMB,$A316)+SUMIFS(SALIDAS_DES,FECHA_DESGLOSEN,"&gt;="&amp;AG$2,FECHA_DESGLOSEN,"&lt;="&amp;AG$3,CLAVE_DESGLOSE,$A316)</f>
        <v>0</v>
      </c>
      <c r="AH316" s="162">
        <f>SUMIFS(SALIDAS_BIT,FECHA_BIT,"&gt;="&amp;AH$2,FECHA_BIT,"&lt;="&amp;AH$3,CLAVE_BIT,$A316)+SUMIFS(SALIDAS_BOV1,FECHA_BOV1,"&gt;="&amp;AH$2,FECHA_BOV1,"&lt;="&amp;AH$3,CLAVE_BOV1,$A316)+SUMIFS(SALIDAS_BOV2,FECHA_BOV2,"&gt;="&amp;AH$2,FECHA_BOV2,"&lt;="&amp;AH$3,CLAVE_BOV2,$A316)+SUMIFS(SALIDAS_BOV3,FECHA_BOV3,"&gt;="&amp;AH$2,FECHA_BOV3,"&lt;="&amp;AH$3,CLAVE_BOV3,$A316)+SUMIFS(SALIDAS_TC,FECHA_TC,"&gt;="&amp;AH$2,FECHA_TC,"&lt;="&amp;AH$3,CLAVE_TC,$A316)+SUMIFS(SALIDAS_COMB,FECHA_COMB,"&gt;="&amp;AH$2,FECHA_COMB,"&lt;="&amp;AH$3,CLAVE_COMB,$A316)+SUMIFS(SALIDAS_DES,FECHA_DESGLOSEN,"&gt;="&amp;AH$2,FECHA_DESGLOSEN,"&lt;="&amp;AH$3,CLAVE_DESGLOSE,$A316)</f>
        <v>0</v>
      </c>
      <c r="AI316" s="162">
        <f>SUMIFS(SALIDAS_BIT,FECHA_BIT,"&gt;="&amp;AI$2,FECHA_BIT,"&lt;="&amp;AI$3,CLAVE_BIT,$A316)+SUMIFS(SALIDAS_BOV1,FECHA_BOV1,"&gt;="&amp;AI$2,FECHA_BOV1,"&lt;="&amp;AI$3,CLAVE_BOV1,$A316)+SUMIFS(SALIDAS_BOV2,FECHA_BOV2,"&gt;="&amp;AI$2,FECHA_BOV2,"&lt;="&amp;AI$3,CLAVE_BOV2,$A316)+SUMIFS(SALIDAS_BOV3,FECHA_BOV3,"&gt;="&amp;AI$2,FECHA_BOV3,"&lt;="&amp;AI$3,CLAVE_BOV3,$A316)+SUMIFS(SALIDAS_TC,FECHA_TC,"&gt;="&amp;AI$2,FECHA_TC,"&lt;="&amp;AI$3,CLAVE_TC,$A316)+SUMIFS(SALIDAS_COMB,FECHA_COMB,"&gt;="&amp;AI$2,FECHA_COMB,"&lt;="&amp;AI$3,CLAVE_COMB,$A316)+SUMIFS(SALIDAS_DES,FECHA_DESGLOSEN,"&gt;="&amp;AI$2,FECHA_DESGLOSEN,"&lt;="&amp;AI$3,CLAVE_DESGLOSE,$A316)</f>
        <v>0</v>
      </c>
      <c r="AJ316" s="162">
        <f>SUMIFS(SALIDAS_BIT,FECHA_BIT,"&gt;="&amp;AJ$2,FECHA_BIT,"&lt;="&amp;AJ$3,CLAVE_BIT,$A316)+SUMIFS(SALIDAS_BOV1,FECHA_BOV1,"&gt;="&amp;AJ$2,FECHA_BOV1,"&lt;="&amp;AJ$3,CLAVE_BOV1,$A316)+SUMIFS(SALIDAS_BOV2,FECHA_BOV2,"&gt;="&amp;AJ$2,FECHA_BOV2,"&lt;="&amp;AJ$3,CLAVE_BOV2,$A316)+SUMIFS(SALIDAS_BOV3,FECHA_BOV3,"&gt;="&amp;AJ$2,FECHA_BOV3,"&lt;="&amp;AJ$3,CLAVE_BOV3,$A316)+SUMIFS(SALIDAS_TC,FECHA_TC,"&gt;="&amp;AJ$2,FECHA_TC,"&lt;="&amp;AJ$3,CLAVE_TC,$A316)+SUMIFS(SALIDAS_COMB,FECHA_COMB,"&gt;="&amp;AJ$2,FECHA_COMB,"&lt;="&amp;AJ$3,CLAVE_COMB,$A316)+SUMIFS(SALIDAS_DES,FECHA_DESGLOSEN,"&gt;="&amp;AJ$2,FECHA_DESGLOSEN,"&lt;="&amp;AJ$3,CLAVE_DESGLOSE,$A316)</f>
        <v>0</v>
      </c>
      <c r="AK316" s="227">
        <f>AE316-AJ316</f>
        <v>0</v>
      </c>
      <c r="AL316" s="301">
        <f>IFERROR((AJ316/AE316),0)</f>
        <v>0</v>
      </c>
      <c r="AM316" s="162">
        <f>VLOOKUP($A316,T_PRESUPUESTO,MATCH(AM$6,E_PRESUPUESTO,0),FALSE)</f>
        <v>0</v>
      </c>
      <c r="AN316" s="162">
        <f>SUMIFS(SALIDAS_BIT,FECHA_BIT,"&gt;="&amp;AN$2,FECHA_BIT,"&lt;="&amp;AN$3,CLAVE_BIT,$A316)+SUMIFS(SALIDAS_BOV1,FECHA_BOV1,"&gt;="&amp;AN$2,FECHA_BOV1,"&lt;="&amp;AN$3,CLAVE_BOV1,$A316)+SUMIFS(SALIDAS_BOV2,FECHA_BOV2,"&gt;="&amp;AN$2,FECHA_BOV2,"&lt;="&amp;AN$3,CLAVE_BOV2,$A316)+SUMIFS(SALIDAS_BOV3,FECHA_BOV3,"&gt;="&amp;AN$2,FECHA_BOV3,"&lt;="&amp;AN$3,CLAVE_BOV3,$A316)+SUMIFS(SALIDAS_TC,FECHA_TC,"&gt;="&amp;AN$2,FECHA_TC,"&lt;="&amp;AN$3,CLAVE_TC,$A316)+SUMIFS(SALIDAS_COMB,FECHA_COMB,"&gt;="&amp;AN$2,FECHA_COMB,"&lt;="&amp;AN$3,CLAVE_COMB,$A316)+SUMIFS(SALIDAS_DES,FECHA_DESGLOSEN,"&gt;="&amp;AN$2,FECHA_DESGLOSEN,"&lt;="&amp;AN$3,CLAVE_DESGLOSE,$A316)</f>
        <v>0</v>
      </c>
      <c r="AO316" s="162">
        <f>SUMIFS(SALIDAS_BIT,FECHA_BIT,"&gt;="&amp;AO$2,FECHA_BIT,"&lt;="&amp;AO$3,CLAVE_BIT,$A316)+SUMIFS(SALIDAS_BOV1,FECHA_BOV1,"&gt;="&amp;AO$2,FECHA_BOV1,"&lt;="&amp;AO$3,CLAVE_BOV1,$A316)+SUMIFS(SALIDAS_BOV2,FECHA_BOV2,"&gt;="&amp;AO$2,FECHA_BOV2,"&lt;="&amp;AO$3,CLAVE_BOV2,$A316)+SUMIFS(SALIDAS_BOV3,FECHA_BOV3,"&gt;="&amp;AO$2,FECHA_BOV3,"&lt;="&amp;AO$3,CLAVE_BOV3,$A316)+SUMIFS(SALIDAS_TC,FECHA_TC,"&gt;="&amp;AO$2,FECHA_TC,"&lt;="&amp;AO$3,CLAVE_TC,$A316)+SUMIFS(SALIDAS_COMB,FECHA_COMB,"&gt;="&amp;AO$2,FECHA_COMB,"&lt;="&amp;AO$3,CLAVE_COMB,$A316)+SUMIFS(SALIDAS_DES,FECHA_DESGLOSEN,"&gt;="&amp;AO$2,FECHA_DESGLOSEN,"&lt;="&amp;AO$3,CLAVE_DESGLOSE,$A316)</f>
        <v>0</v>
      </c>
      <c r="AP316" s="162">
        <f>SUMIFS(SALIDAS_BIT,FECHA_BIT,"&gt;="&amp;AP$2,FECHA_BIT,"&lt;="&amp;AP$3,CLAVE_BIT,$A316)+SUMIFS(SALIDAS_BOV1,FECHA_BOV1,"&gt;="&amp;AP$2,FECHA_BOV1,"&lt;="&amp;AP$3,CLAVE_BOV1,$A316)+SUMIFS(SALIDAS_BOV2,FECHA_BOV2,"&gt;="&amp;AP$2,FECHA_BOV2,"&lt;="&amp;AP$3,CLAVE_BOV2,$A316)+SUMIFS(SALIDAS_BOV3,FECHA_BOV3,"&gt;="&amp;AP$2,FECHA_BOV3,"&lt;="&amp;AP$3,CLAVE_BOV3,$A316)+SUMIFS(SALIDAS_TC,FECHA_TC,"&gt;="&amp;AP$2,FECHA_TC,"&lt;="&amp;AP$3,CLAVE_TC,$A316)+SUMIFS(SALIDAS_COMB,FECHA_COMB,"&gt;="&amp;AP$2,FECHA_COMB,"&lt;="&amp;AP$3,CLAVE_COMB,$A316)+SUMIFS(SALIDAS_DES,FECHA_DESGLOSEN,"&gt;="&amp;AP$2,FECHA_DESGLOSEN,"&lt;="&amp;AP$3,CLAVE_DESGLOSE,$A316)</f>
        <v>0</v>
      </c>
      <c r="AQ316" s="162">
        <f>SUMIFS(SALIDAS_BIT,FECHA_BIT,"&gt;="&amp;AQ$2,FECHA_BIT,"&lt;="&amp;AQ$3,CLAVE_BIT,$A316)+SUMIFS(SALIDAS_BOV1,FECHA_BOV1,"&gt;="&amp;AQ$2,FECHA_BOV1,"&lt;="&amp;AQ$3,CLAVE_BOV1,$A316)+SUMIFS(SALIDAS_BOV2,FECHA_BOV2,"&gt;="&amp;AQ$2,FECHA_BOV2,"&lt;="&amp;AQ$3,CLAVE_BOV2,$A316)+SUMIFS(SALIDAS_BOV3,FECHA_BOV3,"&gt;="&amp;AQ$2,FECHA_BOV3,"&lt;="&amp;AQ$3,CLAVE_BOV3,$A316)+SUMIFS(SALIDAS_TC,FECHA_TC,"&gt;="&amp;AQ$2,FECHA_TC,"&lt;="&amp;AQ$3,CLAVE_TC,$A316)+SUMIFS(SALIDAS_COMB,FECHA_COMB,"&gt;="&amp;AQ$2,FECHA_COMB,"&lt;="&amp;AQ$3,CLAVE_COMB,$A316)+SUMIFS(SALIDAS_DES,FECHA_DESGLOSEN,"&gt;="&amp;AQ$2,FECHA_DESGLOSEN,"&lt;="&amp;AQ$3,CLAVE_DESGLOSE,$A316)</f>
        <v>0</v>
      </c>
      <c r="AR316" s="162">
        <f>SUMIFS(SALIDAS_BIT,FECHA_BIT,"&gt;="&amp;AR$2,FECHA_BIT,"&lt;="&amp;AR$3,CLAVE_BIT,$A316)+SUMIFS(SALIDAS_BOV1,FECHA_BOV1,"&gt;="&amp;AR$2,FECHA_BOV1,"&lt;="&amp;AR$3,CLAVE_BOV1,$A316)+SUMIFS(SALIDAS_BOV2,FECHA_BOV2,"&gt;="&amp;AR$2,FECHA_BOV2,"&lt;="&amp;AR$3,CLAVE_BOV2,$A316)+SUMIFS(SALIDAS_BOV3,FECHA_BOV3,"&gt;="&amp;AR$2,FECHA_BOV3,"&lt;="&amp;AR$3,CLAVE_BOV3,$A316)+SUMIFS(SALIDAS_TC,FECHA_TC,"&gt;="&amp;AR$2,FECHA_TC,"&lt;="&amp;AR$3,CLAVE_TC,$A316)+SUMIFS(SALIDAS_COMB,FECHA_COMB,"&gt;="&amp;AR$2,FECHA_COMB,"&lt;="&amp;AR$3,CLAVE_COMB,$A316)+SUMIFS(SALIDAS_DES,FECHA_DESGLOSEN,"&gt;="&amp;AR$2,FECHA_DESGLOSEN,"&lt;="&amp;AR$3,CLAVE_DESGLOSE,$A316)</f>
        <v>0</v>
      </c>
      <c r="AS316" s="162">
        <f>SUMIFS(SALIDAS_BIT,FECHA_BIT,"&gt;="&amp;AS$2,FECHA_BIT,"&lt;="&amp;AS$3,CLAVE_BIT,$A316)+SUMIFS(SALIDAS_BOV1,FECHA_BOV1,"&gt;="&amp;AS$2,FECHA_BOV1,"&lt;="&amp;AS$3,CLAVE_BOV1,$A316)+SUMIFS(SALIDAS_BOV2,FECHA_BOV2,"&gt;="&amp;AS$2,FECHA_BOV2,"&lt;="&amp;AS$3,CLAVE_BOV2,$A316)+SUMIFS(SALIDAS_BOV3,FECHA_BOV3,"&gt;="&amp;AS$2,FECHA_BOV3,"&lt;="&amp;AS$3,CLAVE_BOV3,$A316)+SUMIFS(SALIDAS_TC,FECHA_TC,"&gt;="&amp;AS$2,FECHA_TC,"&lt;="&amp;AS$3,CLAVE_TC,$A316)+SUMIFS(SALIDAS_COMB,FECHA_COMB,"&gt;="&amp;AS$2,FECHA_COMB,"&lt;="&amp;AS$3,CLAVE_COMB,$A316)+SUMIFS(SALIDAS_DES,FECHA_DESGLOSEN,"&gt;="&amp;AS$2,FECHA_DESGLOSEN,"&lt;="&amp;AS$3,CLAVE_DESGLOSE,$A316)</f>
        <v>0</v>
      </c>
      <c r="AT316" s="227">
        <f>AM316-AS316</f>
        <v>0</v>
      </c>
      <c r="AU316" s="301">
        <f>IFERROR((AS316/AM316),0)</f>
        <v>0</v>
      </c>
      <c r="AV316" s="162">
        <f>VLOOKUP($A316,T_PRESUPUESTO,MATCH(AV$6,E_PRESUPUESTO,0),FALSE)</f>
        <v>10000</v>
      </c>
      <c r="AW316" s="162">
        <f>SUMIFS(SALIDAS_BIT,FECHA_BIT,"&gt;="&amp;AW$2,FECHA_BIT,"&lt;="&amp;AW$3,CLAVE_BIT,$A316)+SUMIFS(SALIDAS_BOV1,FECHA_BOV1,"&gt;="&amp;AW$2,FECHA_BOV1,"&lt;="&amp;AW$3,CLAVE_BOV1,$A316)+SUMIFS(SALIDAS_BOV2,FECHA_BOV2,"&gt;="&amp;AW$2,FECHA_BOV2,"&lt;="&amp;AW$3,CLAVE_BOV2,$A316)+SUMIFS(SALIDAS_BOV3,FECHA_BOV3,"&gt;="&amp;AW$2,FECHA_BOV3,"&lt;="&amp;AW$3,CLAVE_BOV3,$A316)+SUMIFS(SALIDAS_TC,FECHA_TC,"&gt;="&amp;AW$2,FECHA_TC,"&lt;="&amp;AW$3,CLAVE_TC,$A316)+SUMIFS(SALIDAS_COMB,FECHA_COMB,"&gt;="&amp;AW$2,FECHA_COMB,"&lt;="&amp;AW$3,CLAVE_COMB,$A316)+SUMIFS(SALIDAS_DES,FECHA_DESGLOSEN,"&gt;="&amp;AW$2,FECHA_DESGLOSEN,"&lt;="&amp;AW$3,CLAVE_DESGLOSE,$A316)</f>
        <v>0</v>
      </c>
      <c r="AX316" s="162">
        <f>SUMIFS(SALIDAS_BIT,FECHA_BIT,"&gt;="&amp;AX$2,FECHA_BIT,"&lt;="&amp;AX$3,CLAVE_BIT,$A316)+SUMIFS(SALIDAS_BOV1,FECHA_BOV1,"&gt;="&amp;AX$2,FECHA_BOV1,"&lt;="&amp;AX$3,CLAVE_BOV1,$A316)+SUMIFS(SALIDAS_BOV2,FECHA_BOV2,"&gt;="&amp;AX$2,FECHA_BOV2,"&lt;="&amp;AX$3,CLAVE_BOV2,$A316)+SUMIFS(SALIDAS_BOV3,FECHA_BOV3,"&gt;="&amp;AX$2,FECHA_BOV3,"&lt;="&amp;AX$3,CLAVE_BOV3,$A316)+SUMIFS(SALIDAS_TC,FECHA_TC,"&gt;="&amp;AX$2,FECHA_TC,"&lt;="&amp;AX$3,CLAVE_TC,$A316)+SUMIFS(SALIDAS_COMB,FECHA_COMB,"&gt;="&amp;AX$2,FECHA_COMB,"&lt;="&amp;AX$3,CLAVE_COMB,$A316)+SUMIFS(SALIDAS_DES,FECHA_DESGLOSEN,"&gt;="&amp;AX$2,FECHA_DESGLOSEN,"&lt;="&amp;AX$3,CLAVE_DESGLOSE,$A316)</f>
        <v>2000</v>
      </c>
      <c r="AY316" s="162">
        <f>SUMIFS(SALIDAS_BIT,FECHA_BIT,"&gt;="&amp;AY$2,FECHA_BIT,"&lt;="&amp;AY$3,CLAVE_BIT,$A316)+SUMIFS(SALIDAS_BOV1,FECHA_BOV1,"&gt;="&amp;AY$2,FECHA_BOV1,"&lt;="&amp;AY$3,CLAVE_BOV1,$A316)+SUMIFS(SALIDAS_BOV2,FECHA_BOV2,"&gt;="&amp;AY$2,FECHA_BOV2,"&lt;="&amp;AY$3,CLAVE_BOV2,$A316)+SUMIFS(SALIDAS_BOV3,FECHA_BOV3,"&gt;="&amp;AY$2,FECHA_BOV3,"&lt;="&amp;AY$3,CLAVE_BOV3,$A316)+SUMIFS(SALIDAS_TC,FECHA_TC,"&gt;="&amp;AY$2,FECHA_TC,"&lt;="&amp;AY$3,CLAVE_TC,$A316)+SUMIFS(SALIDAS_COMB,FECHA_COMB,"&gt;="&amp;AY$2,FECHA_COMB,"&lt;="&amp;AY$3,CLAVE_COMB,$A316)+SUMIFS(SALIDAS_DES,FECHA_DESGLOSEN,"&gt;="&amp;AY$2,FECHA_DESGLOSEN,"&lt;="&amp;AY$3,CLAVE_DESGLOSE,$A316)</f>
        <v>2550</v>
      </c>
      <c r="AZ316" s="162">
        <f>SUMIFS(SALIDAS_BIT,FECHA_BIT,"&gt;="&amp;AZ$2,FECHA_BIT,"&lt;="&amp;AZ$3,CLAVE_BIT,$A316)+SUMIFS(SALIDAS_BOV1,FECHA_BOV1,"&gt;="&amp;AZ$2,FECHA_BOV1,"&lt;="&amp;AZ$3,CLAVE_BOV1,$A316)+SUMIFS(SALIDAS_BOV2,FECHA_BOV2,"&gt;="&amp;AZ$2,FECHA_BOV2,"&lt;="&amp;AZ$3,CLAVE_BOV2,$A316)+SUMIFS(SALIDAS_BOV3,FECHA_BOV3,"&gt;="&amp;AZ$2,FECHA_BOV3,"&lt;="&amp;AZ$3,CLAVE_BOV3,$A316)+SUMIFS(SALIDAS_TC,FECHA_TC,"&gt;="&amp;AZ$2,FECHA_TC,"&lt;="&amp;AZ$3,CLAVE_TC,$A316)+SUMIFS(SALIDAS_COMB,FECHA_COMB,"&gt;="&amp;AZ$2,FECHA_COMB,"&lt;="&amp;AZ$3,CLAVE_COMB,$A316)+SUMIFS(SALIDAS_DES,FECHA_DESGLOSEN,"&gt;="&amp;AZ$2,FECHA_DESGLOSEN,"&lt;="&amp;AZ$3,CLAVE_DESGLOSE,$A316)</f>
        <v>550</v>
      </c>
      <c r="BA316" s="162">
        <f>SUMIFS(SALIDAS_BIT,FECHA_BIT,"&gt;="&amp;BA$2,FECHA_BIT,"&lt;="&amp;BA$3,CLAVE_BIT,$A316)+SUMIFS(SALIDAS_BOV1,FECHA_BOV1,"&gt;="&amp;BA$2,FECHA_BOV1,"&lt;="&amp;BA$3,CLAVE_BOV1,$A316)+SUMIFS(SALIDAS_BOV2,FECHA_BOV2,"&gt;="&amp;BA$2,FECHA_BOV2,"&lt;="&amp;BA$3,CLAVE_BOV2,$A316)+SUMIFS(SALIDAS_BOV3,FECHA_BOV3,"&gt;="&amp;BA$2,FECHA_BOV3,"&lt;="&amp;BA$3,CLAVE_BOV3,$A316)+SUMIFS(SALIDAS_TC,FECHA_TC,"&gt;="&amp;BA$2,FECHA_TC,"&lt;="&amp;BA$3,CLAVE_TC,$A316)+SUMIFS(SALIDAS_COMB,FECHA_COMB,"&gt;="&amp;BA$2,FECHA_COMB,"&lt;="&amp;BA$3,CLAVE_COMB,$A316)+SUMIFS(SALIDAS_DES,FECHA_DESGLOSEN,"&gt;="&amp;BA$2,FECHA_DESGLOSEN,"&lt;="&amp;BA$3,CLAVE_DESGLOSE,$A316)</f>
        <v>5100</v>
      </c>
      <c r="BB316" s="227">
        <f>AV316-BA316</f>
        <v>4900</v>
      </c>
      <c r="BC316" s="301">
        <f>IFERROR((BA316/AV316),0)</f>
        <v>0.51</v>
      </c>
      <c r="BD316" s="162">
        <f>VLOOKUP($A316,T_PRESUPUESTO,MATCH(BD$6,E_PRESUPUESTO,0),FALSE)</f>
        <v>10000</v>
      </c>
      <c r="BE316" s="162">
        <f>SUMIFS(SALIDAS_BIT,FECHA_BIT,"&gt;="&amp;BE$2,FECHA_BIT,"&lt;="&amp;BE$3,CLAVE_BIT,$A316)+SUMIFS(SALIDAS_BOV1,FECHA_BOV1,"&gt;="&amp;BE$2,FECHA_BOV1,"&lt;="&amp;BE$3,CLAVE_BOV1,$A316)+SUMIFS(SALIDAS_BOV2,FECHA_BOV2,"&gt;="&amp;BE$2,FECHA_BOV2,"&lt;="&amp;BE$3,CLAVE_BOV2,$A316)+SUMIFS(SALIDAS_BOV3,FECHA_BOV3,"&gt;="&amp;BE$2,FECHA_BOV3,"&lt;="&amp;BE$3,CLAVE_BOV3,$A316)+SUMIFS(SALIDAS_TC,FECHA_TC,"&gt;="&amp;BE$2,FECHA_TC,"&lt;="&amp;BE$3,CLAVE_TC,$A316)+SUMIFS(SALIDAS_COMB,FECHA_COMB,"&gt;="&amp;BE$2,FECHA_COMB,"&lt;="&amp;BE$3,CLAVE_COMB,$A316)+SUMIFS(SALIDAS_DES,FECHA_DESGLOSEN,"&gt;="&amp;BE$2,FECHA_DESGLOSEN,"&lt;="&amp;BE$3,CLAVE_DESGLOSE,$A316)</f>
        <v>5500</v>
      </c>
      <c r="BF316" s="162">
        <f>SUMIFS(SALIDAS_BIT,FECHA_BIT,"&gt;="&amp;BF$2,FECHA_BIT,"&lt;="&amp;BF$3,CLAVE_BIT,$A316)+SUMIFS(SALIDAS_BOV1,FECHA_BOV1,"&gt;="&amp;BF$2,FECHA_BOV1,"&lt;="&amp;BF$3,CLAVE_BOV1,$A316)+SUMIFS(SALIDAS_BOV2,FECHA_BOV2,"&gt;="&amp;BF$2,FECHA_BOV2,"&lt;="&amp;BF$3,CLAVE_BOV2,$A316)+SUMIFS(SALIDAS_BOV3,FECHA_BOV3,"&gt;="&amp;BF$2,FECHA_BOV3,"&lt;="&amp;BF$3,CLAVE_BOV3,$A316)+SUMIFS(SALIDAS_TC,FECHA_TC,"&gt;="&amp;BF$2,FECHA_TC,"&lt;="&amp;BF$3,CLAVE_TC,$A316)+SUMIFS(SALIDAS_COMB,FECHA_COMB,"&gt;="&amp;BF$2,FECHA_COMB,"&lt;="&amp;BF$3,CLAVE_COMB,$A316)+SUMIFS(SALIDAS_DES,FECHA_DESGLOSEN,"&gt;="&amp;BF$2,FECHA_DESGLOSEN,"&lt;="&amp;BF$3,CLAVE_DESGLOSE,$A316)</f>
        <v>2250</v>
      </c>
      <c r="BG316" s="162">
        <f>SUMIFS(SALIDAS_BIT,FECHA_BIT,"&gt;="&amp;BG$2,FECHA_BIT,"&lt;="&amp;BG$3,CLAVE_BIT,$A316)+SUMIFS(SALIDAS_BOV1,FECHA_BOV1,"&gt;="&amp;BG$2,FECHA_BOV1,"&lt;="&amp;BG$3,CLAVE_BOV1,$A316)+SUMIFS(SALIDAS_BOV2,FECHA_BOV2,"&gt;="&amp;BG$2,FECHA_BOV2,"&lt;="&amp;BG$3,CLAVE_BOV2,$A316)+SUMIFS(SALIDAS_BOV3,FECHA_BOV3,"&gt;="&amp;BG$2,FECHA_BOV3,"&lt;="&amp;BG$3,CLAVE_BOV3,$A316)+SUMIFS(SALIDAS_TC,FECHA_TC,"&gt;="&amp;BG$2,FECHA_TC,"&lt;="&amp;BG$3,CLAVE_TC,$A316)+SUMIFS(SALIDAS_COMB,FECHA_COMB,"&gt;="&amp;BG$2,FECHA_COMB,"&lt;="&amp;BG$3,CLAVE_COMB,$A316)+SUMIFS(SALIDAS_DES,FECHA_DESGLOSEN,"&gt;="&amp;BG$2,FECHA_DESGLOSEN,"&lt;="&amp;BG$3,CLAVE_DESGLOSE,$A316)</f>
        <v>1500</v>
      </c>
      <c r="BH316" s="162">
        <f>SUMIFS(SALIDAS_BIT,FECHA_BIT,"&gt;="&amp;BH$2,FECHA_BIT,"&lt;="&amp;BH$3,CLAVE_BIT,$A316)+SUMIFS(SALIDAS_BOV1,FECHA_BOV1,"&gt;="&amp;BH$2,FECHA_BOV1,"&lt;="&amp;BH$3,CLAVE_BOV1,$A316)+SUMIFS(SALIDAS_BOV2,FECHA_BOV2,"&gt;="&amp;BH$2,FECHA_BOV2,"&lt;="&amp;BH$3,CLAVE_BOV2,$A316)+SUMIFS(SALIDAS_BOV3,FECHA_BOV3,"&gt;="&amp;BH$2,FECHA_BOV3,"&lt;="&amp;BH$3,CLAVE_BOV3,$A316)+SUMIFS(SALIDAS_TC,FECHA_TC,"&gt;="&amp;BH$2,FECHA_TC,"&lt;="&amp;BH$3,CLAVE_TC,$A316)+SUMIFS(SALIDAS_COMB,FECHA_COMB,"&gt;="&amp;BH$2,FECHA_COMB,"&lt;="&amp;BH$3,CLAVE_COMB,$A316)+SUMIFS(SALIDAS_DES,FECHA_DESGLOSEN,"&gt;="&amp;BH$2,FECHA_DESGLOSEN,"&lt;="&amp;BH$3,CLAVE_DESGLOSE,$A316)</f>
        <v>1021.2</v>
      </c>
      <c r="BI316" s="162">
        <f>SUMIFS(SALIDAS_BIT,FECHA_BIT,"&gt;="&amp;BI$2,FECHA_BIT,"&lt;="&amp;BI$3,CLAVE_BIT,$A316)+SUMIFS(SALIDAS_BOV1,FECHA_BOV1,"&gt;="&amp;BI$2,FECHA_BOV1,"&lt;="&amp;BI$3,CLAVE_BOV1,$A316)+SUMIFS(SALIDAS_BOV2,FECHA_BOV2,"&gt;="&amp;BI$2,FECHA_BOV2,"&lt;="&amp;BI$3,CLAVE_BOV2,$A316)+SUMIFS(SALIDAS_BOV3,FECHA_BOV3,"&gt;="&amp;BI$2,FECHA_BOV3,"&lt;="&amp;BI$3,CLAVE_BOV3,$A316)+SUMIFS(SALIDAS_TC,FECHA_TC,"&gt;="&amp;BI$2,FECHA_TC,"&lt;="&amp;BI$3,CLAVE_TC,$A316)+SUMIFS(SALIDAS_COMB,FECHA_COMB,"&gt;="&amp;BI$2,FECHA_COMB,"&lt;="&amp;BI$3,CLAVE_COMB,$A316)+SUMIFS(SALIDAS_DES,FECHA_DESGLOSEN,"&gt;="&amp;BI$2,FECHA_DESGLOSEN,"&lt;="&amp;BI$3,CLAVE_DESGLOSE,$A316)</f>
        <v>10271.200000000001</v>
      </c>
      <c r="BJ316" s="227">
        <f>BD316-BI316</f>
        <v>-271.20000000000073</v>
      </c>
      <c r="BK316" s="301">
        <f>IFERROR((BI316/BD316),0)</f>
        <v>1.02712</v>
      </c>
      <c r="BL316" s="162">
        <f>VLOOKUP($A316,T_PRESUPUESTO,MATCH(BL$6,E_PRESUPUESTO,0),FALSE)</f>
        <v>10000</v>
      </c>
      <c r="BM316" s="162">
        <f>SUMIFS(SALIDAS_BIT,FECHA_BIT,"&gt;="&amp;BM$2,FECHA_BIT,"&lt;="&amp;BM$3,CLAVE_BIT,$A316)+SUMIFS(SALIDAS_BOV1,FECHA_BOV1,"&gt;="&amp;BM$2,FECHA_BOV1,"&lt;="&amp;BM$3,CLAVE_BOV1,$A316)+SUMIFS(SALIDAS_BOV2,FECHA_BOV2,"&gt;="&amp;BM$2,FECHA_BOV2,"&lt;="&amp;BM$3,CLAVE_BOV2,$A316)+SUMIFS(SALIDAS_BOV3,FECHA_BOV3,"&gt;="&amp;BM$2,FECHA_BOV3,"&lt;="&amp;BM$3,CLAVE_BOV3,$A316)+SUMIFS(SALIDAS_TC,FECHA_TC,"&gt;="&amp;BM$2,FECHA_TC,"&lt;="&amp;BM$3,CLAVE_TC,$A316)+SUMIFS(SALIDAS_COMB,FECHA_COMB,"&gt;="&amp;BM$2,FECHA_COMB,"&lt;="&amp;BM$3,CLAVE_COMB,$A316)+SUMIFS(SALIDAS_DES,FECHA_DESGLOSEN,"&gt;="&amp;BM$2,FECHA_DESGLOSEN,"&lt;="&amp;BM$3,CLAVE_DESGLOSE,$A316)</f>
        <v>0</v>
      </c>
      <c r="BN316" s="162">
        <f>SUMIFS(SALIDAS_BIT,FECHA_BIT,"&gt;="&amp;BN$2,FECHA_BIT,"&lt;="&amp;BN$3,CLAVE_BIT,$A316)+SUMIFS(SALIDAS_BOV1,FECHA_BOV1,"&gt;="&amp;BN$2,FECHA_BOV1,"&lt;="&amp;BN$3,CLAVE_BOV1,$A316)+SUMIFS(SALIDAS_BOV2,FECHA_BOV2,"&gt;="&amp;BN$2,FECHA_BOV2,"&lt;="&amp;BN$3,CLAVE_BOV2,$A316)+SUMIFS(SALIDAS_BOV3,FECHA_BOV3,"&gt;="&amp;BN$2,FECHA_BOV3,"&lt;="&amp;BN$3,CLAVE_BOV3,$A316)+SUMIFS(SALIDAS_TC,FECHA_TC,"&gt;="&amp;BN$2,FECHA_TC,"&lt;="&amp;BN$3,CLAVE_TC,$A316)+SUMIFS(SALIDAS_COMB,FECHA_COMB,"&gt;="&amp;BN$2,FECHA_COMB,"&lt;="&amp;BN$3,CLAVE_COMB,$A316)+SUMIFS(SALIDAS_DES,FECHA_DESGLOSEN,"&gt;="&amp;BN$2,FECHA_DESGLOSEN,"&lt;="&amp;BN$3,CLAVE_DESGLOSE,$A316)</f>
        <v>0</v>
      </c>
      <c r="BO316" s="162">
        <f>SUMIFS(SALIDAS_BIT,FECHA_BIT,"&gt;="&amp;BO$2,FECHA_BIT,"&lt;="&amp;BO$3,CLAVE_BIT,$A316)+SUMIFS(SALIDAS_BOV1,FECHA_BOV1,"&gt;="&amp;BO$2,FECHA_BOV1,"&lt;="&amp;BO$3,CLAVE_BOV1,$A316)+SUMIFS(SALIDAS_BOV2,FECHA_BOV2,"&gt;="&amp;BO$2,FECHA_BOV2,"&lt;="&amp;BO$3,CLAVE_BOV2,$A316)+SUMIFS(SALIDAS_BOV3,FECHA_BOV3,"&gt;="&amp;BO$2,FECHA_BOV3,"&lt;="&amp;BO$3,CLAVE_BOV3,$A316)+SUMIFS(SALIDAS_TC,FECHA_TC,"&gt;="&amp;BO$2,FECHA_TC,"&lt;="&amp;BO$3,CLAVE_TC,$A316)+SUMIFS(SALIDAS_COMB,FECHA_COMB,"&gt;="&amp;BO$2,FECHA_COMB,"&lt;="&amp;BO$3,CLAVE_COMB,$A316)+SUMIFS(SALIDAS_DES,FECHA_DESGLOSEN,"&gt;="&amp;BO$2,FECHA_DESGLOSEN,"&lt;="&amp;BO$3,CLAVE_DESGLOSE,$A316)</f>
        <v>500</v>
      </c>
      <c r="BP316" s="162">
        <f>SUMIFS(SALIDAS_BIT,FECHA_BIT,"&gt;="&amp;BP$2,FECHA_BIT,"&lt;="&amp;BP$3,CLAVE_BIT,$A316)+SUMIFS(SALIDAS_BOV1,FECHA_BOV1,"&gt;="&amp;BP$2,FECHA_BOV1,"&lt;="&amp;BP$3,CLAVE_BOV1,$A316)+SUMIFS(SALIDAS_BOV2,FECHA_BOV2,"&gt;="&amp;BP$2,FECHA_BOV2,"&lt;="&amp;BP$3,CLAVE_BOV2,$A316)+SUMIFS(SALIDAS_BOV3,FECHA_BOV3,"&gt;="&amp;BP$2,FECHA_BOV3,"&lt;="&amp;BP$3,CLAVE_BOV3,$A316)+SUMIFS(SALIDAS_TC,FECHA_TC,"&gt;="&amp;BP$2,FECHA_TC,"&lt;="&amp;BP$3,CLAVE_TC,$A316)+SUMIFS(SALIDAS_COMB,FECHA_COMB,"&gt;="&amp;BP$2,FECHA_COMB,"&lt;="&amp;BP$3,CLAVE_COMB,$A316)+SUMIFS(SALIDAS_DES,FECHA_DESGLOSEN,"&gt;="&amp;BP$2,FECHA_DESGLOSEN,"&lt;="&amp;BP$3,CLAVE_DESGLOSE,$A316)</f>
        <v>1756</v>
      </c>
      <c r="BQ316" s="162">
        <f>SUMIFS(SALIDAS_BIT,FECHA_BIT,"&gt;="&amp;BQ$2,FECHA_BIT,"&lt;="&amp;BQ$3,CLAVE_BIT,$A316)+SUMIFS(SALIDAS_BOV1,FECHA_BOV1,"&gt;="&amp;BQ$2,FECHA_BOV1,"&lt;="&amp;BQ$3,CLAVE_BOV1,$A316)+SUMIFS(SALIDAS_BOV2,FECHA_BOV2,"&gt;="&amp;BQ$2,FECHA_BOV2,"&lt;="&amp;BQ$3,CLAVE_BOV2,$A316)+SUMIFS(SALIDAS_BOV3,FECHA_BOV3,"&gt;="&amp;BQ$2,FECHA_BOV3,"&lt;="&amp;BQ$3,CLAVE_BOV3,$A316)+SUMIFS(SALIDAS_TC,FECHA_TC,"&gt;="&amp;BQ$2,FECHA_TC,"&lt;="&amp;BQ$3,CLAVE_TC,$A316)+SUMIFS(SALIDAS_COMB,FECHA_COMB,"&gt;="&amp;BQ$2,FECHA_COMB,"&lt;="&amp;BQ$3,CLAVE_COMB,$A316)+SUMIFS(SALIDAS_DES,FECHA_DESGLOSEN,"&gt;="&amp;BQ$2,FECHA_DESGLOSEN,"&lt;="&amp;BQ$3,CLAVE_DESGLOSE,$A316)</f>
        <v>3050</v>
      </c>
      <c r="BR316" s="162">
        <f>SUMIFS(SALIDAS_BIT,FECHA_BIT,"&gt;="&amp;BR$2,FECHA_BIT,"&lt;="&amp;BR$3,CLAVE_BIT,$A316)+SUMIFS(SALIDAS_BOV1,FECHA_BOV1,"&gt;="&amp;BR$2,FECHA_BOV1,"&lt;="&amp;BR$3,CLAVE_BOV1,$A316)+SUMIFS(SALIDAS_BOV2,FECHA_BOV2,"&gt;="&amp;BR$2,FECHA_BOV2,"&lt;="&amp;BR$3,CLAVE_BOV2,$A316)+SUMIFS(SALIDAS_BOV3,FECHA_BOV3,"&gt;="&amp;BR$2,FECHA_BOV3,"&lt;="&amp;BR$3,CLAVE_BOV3,$A316)+SUMIFS(SALIDAS_TC,FECHA_TC,"&gt;="&amp;BR$2,FECHA_TC,"&lt;="&amp;BR$3,CLAVE_TC,$A316)+SUMIFS(SALIDAS_COMB,FECHA_COMB,"&gt;="&amp;BR$2,FECHA_COMB,"&lt;="&amp;BR$3,CLAVE_COMB,$A316)+SUMIFS(SALIDAS_DES,FECHA_DESGLOSEN,"&gt;="&amp;BR$2,FECHA_DESGLOSEN,"&lt;="&amp;BR$3,CLAVE_DESGLOSE,$A316)</f>
        <v>5306</v>
      </c>
      <c r="BS316" s="227">
        <f>BL316-BR316</f>
        <v>4694</v>
      </c>
      <c r="BT316" s="301">
        <f>IFERROR((BR316/BL316),0)</f>
        <v>0.53059999999999996</v>
      </c>
      <c r="BU316" s="162">
        <f>VLOOKUP($A316,T_PRESUPUESTO,MATCH(BU$6,E_PRESUPUESTO,0),FALSE)</f>
        <v>10000</v>
      </c>
      <c r="BV316" s="162">
        <f>SUMIFS(SALIDAS_BIT,FECHA_BIT,"&gt;="&amp;BV$2,FECHA_BIT,"&lt;="&amp;BV$3,CLAVE_BIT,$A316)+SUMIFS(SALIDAS_BOV1,FECHA_BOV1,"&gt;="&amp;BV$2,FECHA_BOV1,"&lt;="&amp;BV$3,CLAVE_BOV1,$A316)+SUMIFS(SALIDAS_BOV2,FECHA_BOV2,"&gt;="&amp;BV$2,FECHA_BOV2,"&lt;="&amp;BV$3,CLAVE_BOV2,$A316)+SUMIFS(SALIDAS_BOV3,FECHA_BOV3,"&gt;="&amp;BV$2,FECHA_BOV3,"&lt;="&amp;BV$3,CLAVE_BOV3,$A316)+SUMIFS(SALIDAS_TC,FECHA_TC,"&gt;="&amp;BV$2,FECHA_TC,"&lt;="&amp;BV$3,CLAVE_TC,$A316)+SUMIFS(SALIDAS_COMB,FECHA_COMB,"&gt;="&amp;BV$2,FECHA_COMB,"&lt;="&amp;BV$3,CLAVE_COMB,$A316)+SUMIFS(SALIDAS_DES,FECHA_DESGLOSEN,"&gt;="&amp;BV$2,FECHA_DESGLOSEN,"&lt;="&amp;BV$3,CLAVE_DESGLOSE,$A316)</f>
        <v>14295</v>
      </c>
      <c r="BW316" s="162">
        <f>SUMIFS(SALIDAS_BIT,FECHA_BIT,"&gt;="&amp;BW$2,FECHA_BIT,"&lt;="&amp;BW$3,CLAVE_BIT,$A316)+SUMIFS(SALIDAS_BOV1,FECHA_BOV1,"&gt;="&amp;BW$2,FECHA_BOV1,"&lt;="&amp;BW$3,CLAVE_BOV1,$A316)+SUMIFS(SALIDAS_BOV2,FECHA_BOV2,"&gt;="&amp;BW$2,FECHA_BOV2,"&lt;="&amp;BW$3,CLAVE_BOV2,$A316)+SUMIFS(SALIDAS_BOV3,FECHA_BOV3,"&gt;="&amp;BW$2,FECHA_BOV3,"&lt;="&amp;BW$3,CLAVE_BOV3,$A316)+SUMIFS(SALIDAS_TC,FECHA_TC,"&gt;="&amp;BW$2,FECHA_TC,"&lt;="&amp;BW$3,CLAVE_TC,$A316)+SUMIFS(SALIDAS_COMB,FECHA_COMB,"&gt;="&amp;BW$2,FECHA_COMB,"&lt;="&amp;BW$3,CLAVE_COMB,$A316)+SUMIFS(SALIDAS_DES,FECHA_DESGLOSEN,"&gt;="&amp;BW$2,FECHA_DESGLOSEN,"&lt;="&amp;BW$3,CLAVE_DESGLOSE,$A316)</f>
        <v>45490</v>
      </c>
      <c r="BX316" s="162">
        <f>SUMIFS(SALIDAS_BIT,FECHA_BIT,"&gt;="&amp;BX$2,FECHA_BIT,"&lt;="&amp;BX$3,CLAVE_BIT,$A316)+SUMIFS(SALIDAS_BOV1,FECHA_BOV1,"&gt;="&amp;BX$2,FECHA_BOV1,"&lt;="&amp;BX$3,CLAVE_BOV1,$A316)+SUMIFS(SALIDAS_BOV2,FECHA_BOV2,"&gt;="&amp;BX$2,FECHA_BOV2,"&lt;="&amp;BX$3,CLAVE_BOV2,$A316)+SUMIFS(SALIDAS_BOV3,FECHA_BOV3,"&gt;="&amp;BX$2,FECHA_BOV3,"&lt;="&amp;BX$3,CLAVE_BOV3,$A316)+SUMIFS(SALIDAS_TC,FECHA_TC,"&gt;="&amp;BX$2,FECHA_TC,"&lt;="&amp;BX$3,CLAVE_TC,$A316)+SUMIFS(SALIDAS_COMB,FECHA_COMB,"&gt;="&amp;BX$2,FECHA_COMB,"&lt;="&amp;BX$3,CLAVE_COMB,$A316)+SUMIFS(SALIDAS_DES,FECHA_DESGLOSEN,"&gt;="&amp;BX$2,FECHA_DESGLOSEN,"&lt;="&amp;BX$3,CLAVE_DESGLOSE,$A316)</f>
        <v>0</v>
      </c>
      <c r="BY316" s="162">
        <f>SUMIFS(SALIDAS_BIT,FECHA_BIT,"&gt;="&amp;BY$2,FECHA_BIT,"&lt;="&amp;BY$3,CLAVE_BIT,$A316)+SUMIFS(SALIDAS_BOV1,FECHA_BOV1,"&gt;="&amp;BY$2,FECHA_BOV1,"&lt;="&amp;BY$3,CLAVE_BOV1,$A316)+SUMIFS(SALIDAS_BOV2,FECHA_BOV2,"&gt;="&amp;BY$2,FECHA_BOV2,"&lt;="&amp;BY$3,CLAVE_BOV2,$A316)+SUMIFS(SALIDAS_BOV3,FECHA_BOV3,"&gt;="&amp;BY$2,FECHA_BOV3,"&lt;="&amp;BY$3,CLAVE_BOV3,$A316)+SUMIFS(SALIDAS_TC,FECHA_TC,"&gt;="&amp;BY$2,FECHA_TC,"&lt;="&amp;BY$3,CLAVE_TC,$A316)+SUMIFS(SALIDAS_COMB,FECHA_COMB,"&gt;="&amp;BY$2,FECHA_COMB,"&lt;="&amp;BY$3,CLAVE_COMB,$A316)+SUMIFS(SALIDAS_DES,FECHA_DESGLOSEN,"&gt;="&amp;BY$2,FECHA_DESGLOSEN,"&lt;="&amp;BY$3,CLAVE_DESGLOSE,$A316)</f>
        <v>2463.1999999999998</v>
      </c>
      <c r="BZ316" s="162">
        <f>SUMIFS(SALIDAS_BIT,FECHA_BIT,"&gt;="&amp;BZ$2,FECHA_BIT,"&lt;="&amp;BZ$3,CLAVE_BIT,$A316)+SUMIFS(SALIDAS_BOV1,FECHA_BOV1,"&gt;="&amp;BZ$2,FECHA_BOV1,"&lt;="&amp;BZ$3,CLAVE_BOV1,$A316)+SUMIFS(SALIDAS_BOV2,FECHA_BOV2,"&gt;="&amp;BZ$2,FECHA_BOV2,"&lt;="&amp;BZ$3,CLAVE_BOV2,$A316)+SUMIFS(SALIDAS_BOV3,FECHA_BOV3,"&gt;="&amp;BZ$2,FECHA_BOV3,"&lt;="&amp;BZ$3,CLAVE_BOV3,$A316)+SUMIFS(SALIDAS_TC,FECHA_TC,"&gt;="&amp;BZ$2,FECHA_TC,"&lt;="&amp;BZ$3,CLAVE_TC,$A316)+SUMIFS(SALIDAS_COMB,FECHA_COMB,"&gt;="&amp;BZ$2,FECHA_COMB,"&lt;="&amp;BZ$3,CLAVE_COMB,$A316)+SUMIFS(SALIDAS_DES,FECHA_DESGLOSEN,"&gt;="&amp;BZ$2,FECHA_DESGLOSEN,"&lt;="&amp;BZ$3,CLAVE_DESGLOSE,$A316)</f>
        <v>62248.2</v>
      </c>
      <c r="CA316" s="227">
        <f>BU316-BZ316</f>
        <v>-52248.2</v>
      </c>
      <c r="CB316" s="301">
        <f>IFERROR((BZ316/BU316),0)</f>
        <v>6.2248199999999994</v>
      </c>
      <c r="CC316" s="162">
        <f>VLOOKUP($A316,T_PRESUPUESTO,MATCH(CC$6,E_PRESUPUESTO,0),FALSE)</f>
        <v>10000</v>
      </c>
      <c r="CD316" s="162">
        <f>SUMIFS(SALIDAS_BIT,FECHA_BIT,"&gt;="&amp;CD$2,FECHA_BIT,"&lt;="&amp;CD$3,CLAVE_BIT,$A316)+SUMIFS(SALIDAS_BOV1,FECHA_BOV1,"&gt;="&amp;CD$2,FECHA_BOV1,"&lt;="&amp;CD$3,CLAVE_BOV1,$A316)+SUMIFS(SALIDAS_BOV2,FECHA_BOV2,"&gt;="&amp;CD$2,FECHA_BOV2,"&lt;="&amp;CD$3,CLAVE_BOV2,$A316)+SUMIFS(SALIDAS_BOV3,FECHA_BOV3,"&gt;="&amp;CD$2,FECHA_BOV3,"&lt;="&amp;CD$3,CLAVE_BOV3,$A316)+SUMIFS(SALIDAS_TC,FECHA_TC,"&gt;="&amp;CD$2,FECHA_TC,"&lt;="&amp;CD$3,CLAVE_TC,$A316)+SUMIFS(SALIDAS_COMB,FECHA_COMB,"&gt;="&amp;CD$2,FECHA_COMB,"&lt;="&amp;CD$3,CLAVE_COMB,$A316)+SUMIFS(SALIDAS_DES,FECHA_DESGLOSEN,"&gt;="&amp;CD$2,FECHA_DESGLOSEN,"&lt;="&amp;CD$3,CLAVE_DESGLOSE,$A316)</f>
        <v>1700</v>
      </c>
      <c r="CE316" s="162">
        <f>SUMIFS(SALIDAS_BIT,FECHA_BIT,"&gt;="&amp;CE$2,FECHA_BIT,"&lt;="&amp;CE$3,CLAVE_BIT,$A316)+SUMIFS(SALIDAS_BOV1,FECHA_BOV1,"&gt;="&amp;CE$2,FECHA_BOV1,"&lt;="&amp;CE$3,CLAVE_BOV1,$A316)+SUMIFS(SALIDAS_BOV2,FECHA_BOV2,"&gt;="&amp;CE$2,FECHA_BOV2,"&lt;="&amp;CE$3,CLAVE_BOV2,$A316)+SUMIFS(SALIDAS_BOV3,FECHA_BOV3,"&gt;="&amp;CE$2,FECHA_BOV3,"&lt;="&amp;CE$3,CLAVE_BOV3,$A316)+SUMIFS(SALIDAS_TC,FECHA_TC,"&gt;="&amp;CE$2,FECHA_TC,"&lt;="&amp;CE$3,CLAVE_TC,$A316)+SUMIFS(SALIDAS_COMB,FECHA_COMB,"&gt;="&amp;CE$2,FECHA_COMB,"&lt;="&amp;CE$3,CLAVE_COMB,$A316)+SUMIFS(SALIDAS_DES,FECHA_DESGLOSEN,"&gt;="&amp;CE$2,FECHA_DESGLOSEN,"&lt;="&amp;CE$3,CLAVE_DESGLOSE,$A316)</f>
        <v>4319</v>
      </c>
      <c r="CF316" s="162">
        <f>SUMIFS(SALIDAS_BIT,FECHA_BIT,"&gt;="&amp;CF$2,FECHA_BIT,"&lt;="&amp;CF$3,CLAVE_BIT,$A316)+SUMIFS(SALIDAS_BOV1,FECHA_BOV1,"&gt;="&amp;CF$2,FECHA_BOV1,"&lt;="&amp;CF$3,CLAVE_BOV1,$A316)+SUMIFS(SALIDAS_BOV2,FECHA_BOV2,"&gt;="&amp;CF$2,FECHA_BOV2,"&lt;="&amp;CF$3,CLAVE_BOV2,$A316)+SUMIFS(SALIDAS_BOV3,FECHA_BOV3,"&gt;="&amp;CF$2,FECHA_BOV3,"&lt;="&amp;CF$3,CLAVE_BOV3,$A316)+SUMIFS(SALIDAS_TC,FECHA_TC,"&gt;="&amp;CF$2,FECHA_TC,"&lt;="&amp;CF$3,CLAVE_TC,$A316)+SUMIFS(SALIDAS_COMB,FECHA_COMB,"&gt;="&amp;CF$2,FECHA_COMB,"&lt;="&amp;CF$3,CLAVE_COMB,$A316)+SUMIFS(SALIDAS_DES,FECHA_DESGLOSEN,"&gt;="&amp;CF$2,FECHA_DESGLOSEN,"&lt;="&amp;CF$3,CLAVE_DESGLOSE,$A316)</f>
        <v>11177</v>
      </c>
      <c r="CG316" s="162">
        <f>SUMIFS(SALIDAS_BIT,FECHA_BIT,"&gt;="&amp;CG$2,FECHA_BIT,"&lt;="&amp;CG$3,CLAVE_BIT,$A316)+SUMIFS(SALIDAS_BOV1,FECHA_BOV1,"&gt;="&amp;CG$2,FECHA_BOV1,"&lt;="&amp;CG$3,CLAVE_BOV1,$A316)+SUMIFS(SALIDAS_BOV2,FECHA_BOV2,"&gt;="&amp;CG$2,FECHA_BOV2,"&lt;="&amp;CG$3,CLAVE_BOV2,$A316)+SUMIFS(SALIDAS_BOV3,FECHA_BOV3,"&gt;="&amp;CG$2,FECHA_BOV3,"&lt;="&amp;CG$3,CLAVE_BOV3,$A316)+SUMIFS(SALIDAS_TC,FECHA_TC,"&gt;="&amp;CG$2,FECHA_TC,"&lt;="&amp;CG$3,CLAVE_TC,$A316)+SUMIFS(SALIDAS_COMB,FECHA_COMB,"&gt;="&amp;CG$2,FECHA_COMB,"&lt;="&amp;CG$3,CLAVE_COMB,$A316)+SUMIFS(SALIDAS_DES,FECHA_DESGLOSEN,"&gt;="&amp;CG$2,FECHA_DESGLOSEN,"&lt;="&amp;CG$3,CLAVE_DESGLOSE,$A316)</f>
        <v>1292.93</v>
      </c>
      <c r="CH316" s="162">
        <f>SUMIFS(SALIDAS_BIT,FECHA_BIT,"&gt;="&amp;CH$2,FECHA_BIT,"&lt;="&amp;CH$3,CLAVE_BIT,$A316)+SUMIFS(SALIDAS_BOV1,FECHA_BOV1,"&gt;="&amp;CH$2,FECHA_BOV1,"&lt;="&amp;CH$3,CLAVE_BOV1,$A316)+SUMIFS(SALIDAS_BOV2,FECHA_BOV2,"&gt;="&amp;CH$2,FECHA_BOV2,"&lt;="&amp;CH$3,CLAVE_BOV2,$A316)+SUMIFS(SALIDAS_BOV3,FECHA_BOV3,"&gt;="&amp;CH$2,FECHA_BOV3,"&lt;="&amp;CH$3,CLAVE_BOV3,$A316)+SUMIFS(SALIDAS_TC,FECHA_TC,"&gt;="&amp;CH$2,FECHA_TC,"&lt;="&amp;CH$3,CLAVE_TC,$A316)+SUMIFS(SALIDAS_COMB,FECHA_COMB,"&gt;="&amp;CH$2,FECHA_COMB,"&lt;="&amp;CH$3,CLAVE_COMB,$A316)+SUMIFS(SALIDAS_DES,FECHA_DESGLOSEN,"&gt;="&amp;CH$2,FECHA_DESGLOSEN,"&lt;="&amp;CH$3,CLAVE_DESGLOSE,$A316)</f>
        <v>18488.93</v>
      </c>
      <c r="CI316" s="227">
        <f>CC316-CH316</f>
        <v>-8488.93</v>
      </c>
      <c r="CJ316" s="301">
        <f>IFERROR((CH316/CC316),0)</f>
        <v>1.8488930000000001</v>
      </c>
      <c r="CK316" s="162">
        <f>VLOOKUP($A316,T_PRESUPUESTO,MATCH(CK$6,E_PRESUPUESTO,0),FALSE)</f>
        <v>10000</v>
      </c>
      <c r="CL316" s="162">
        <f>SUMIFS(SALIDAS_BIT,FECHA_BIT,"&gt;="&amp;CL$2,FECHA_BIT,"&lt;="&amp;CL$3,CLAVE_BIT,$A316)+SUMIFS(SALIDAS_BOV1,FECHA_BOV1,"&gt;="&amp;CL$2,FECHA_BOV1,"&lt;="&amp;CL$3,CLAVE_BOV1,$A316)+SUMIFS(SALIDAS_BOV2,FECHA_BOV2,"&gt;="&amp;CL$2,FECHA_BOV2,"&lt;="&amp;CL$3,CLAVE_BOV2,$A316)+SUMIFS(SALIDAS_BOV3,FECHA_BOV3,"&gt;="&amp;CL$2,FECHA_BOV3,"&lt;="&amp;CL$3,CLAVE_BOV3,$A316)+SUMIFS(SALIDAS_TC,FECHA_TC,"&gt;="&amp;CL$2,FECHA_TC,"&lt;="&amp;CL$3,CLAVE_TC,$A316)+SUMIFS(SALIDAS_COMB,FECHA_COMB,"&gt;="&amp;CL$2,FECHA_COMB,"&lt;="&amp;CL$3,CLAVE_COMB,$A316)+SUMIFS(SALIDAS_DES,FECHA_DESGLOSEN,"&gt;="&amp;CL$2,FECHA_DESGLOSEN,"&lt;="&amp;CL$3,CLAVE_DESGLOSE,$A316)</f>
        <v>1665</v>
      </c>
      <c r="CM316" s="162">
        <f>SUMIFS(SALIDAS_BIT,FECHA_BIT,"&gt;="&amp;CM$2,FECHA_BIT,"&lt;="&amp;CM$3,CLAVE_BIT,$A316)+SUMIFS(SALIDAS_BOV1,FECHA_BOV1,"&gt;="&amp;CM$2,FECHA_BOV1,"&lt;="&amp;CM$3,CLAVE_BOV1,$A316)+SUMIFS(SALIDAS_BOV2,FECHA_BOV2,"&gt;="&amp;CM$2,FECHA_BOV2,"&lt;="&amp;CM$3,CLAVE_BOV2,$A316)+SUMIFS(SALIDAS_BOV3,FECHA_BOV3,"&gt;="&amp;CM$2,FECHA_BOV3,"&lt;="&amp;CM$3,CLAVE_BOV3,$A316)+SUMIFS(SALIDAS_TC,FECHA_TC,"&gt;="&amp;CM$2,FECHA_TC,"&lt;="&amp;CM$3,CLAVE_TC,$A316)+SUMIFS(SALIDAS_COMB,FECHA_COMB,"&gt;="&amp;CM$2,FECHA_COMB,"&lt;="&amp;CM$3,CLAVE_COMB,$A316)+SUMIFS(SALIDAS_DES,FECHA_DESGLOSEN,"&gt;="&amp;CM$2,FECHA_DESGLOSEN,"&lt;="&amp;CM$3,CLAVE_DESGLOSE,$A316)</f>
        <v>0</v>
      </c>
      <c r="CN316" s="162">
        <f>SUMIFS(SALIDAS_BIT,FECHA_BIT,"&gt;="&amp;CN$2,FECHA_BIT,"&lt;="&amp;CN$3,CLAVE_BIT,$A316)+SUMIFS(SALIDAS_BOV1,FECHA_BOV1,"&gt;="&amp;CN$2,FECHA_BOV1,"&lt;="&amp;CN$3,CLAVE_BOV1,$A316)+SUMIFS(SALIDAS_BOV2,FECHA_BOV2,"&gt;="&amp;CN$2,FECHA_BOV2,"&lt;="&amp;CN$3,CLAVE_BOV2,$A316)+SUMIFS(SALIDAS_BOV3,FECHA_BOV3,"&gt;="&amp;CN$2,FECHA_BOV3,"&lt;="&amp;CN$3,CLAVE_BOV3,$A316)+SUMIFS(SALIDAS_TC,FECHA_TC,"&gt;="&amp;CN$2,FECHA_TC,"&lt;="&amp;CN$3,CLAVE_TC,$A316)+SUMIFS(SALIDAS_COMB,FECHA_COMB,"&gt;="&amp;CN$2,FECHA_COMB,"&lt;="&amp;CN$3,CLAVE_COMB,$A316)+SUMIFS(SALIDAS_DES,FECHA_DESGLOSEN,"&gt;="&amp;CN$2,FECHA_DESGLOSEN,"&lt;="&amp;CN$3,CLAVE_DESGLOSE,$A316)</f>
        <v>3050</v>
      </c>
      <c r="CO316" s="162">
        <f>SUMIFS(SALIDAS_BIT,FECHA_BIT,"&gt;="&amp;CO$2,FECHA_BIT,"&lt;="&amp;CO$3,CLAVE_BIT,$A316)+SUMIFS(SALIDAS_BOV1,FECHA_BOV1,"&gt;="&amp;CO$2,FECHA_BOV1,"&lt;="&amp;CO$3,CLAVE_BOV1,$A316)+SUMIFS(SALIDAS_BOV2,FECHA_BOV2,"&gt;="&amp;CO$2,FECHA_BOV2,"&lt;="&amp;CO$3,CLAVE_BOV2,$A316)+SUMIFS(SALIDAS_BOV3,FECHA_BOV3,"&gt;="&amp;CO$2,FECHA_BOV3,"&lt;="&amp;CO$3,CLAVE_BOV3,$A316)+SUMIFS(SALIDAS_TC,FECHA_TC,"&gt;="&amp;CO$2,FECHA_TC,"&lt;="&amp;CO$3,CLAVE_TC,$A316)+SUMIFS(SALIDAS_COMB,FECHA_COMB,"&gt;="&amp;CO$2,FECHA_COMB,"&lt;="&amp;CO$3,CLAVE_COMB,$A316)+SUMIFS(SALIDAS_DES,FECHA_DESGLOSEN,"&gt;="&amp;CO$2,FECHA_DESGLOSEN,"&lt;="&amp;CO$3,CLAVE_DESGLOSE,$A316)</f>
        <v>3161.06</v>
      </c>
      <c r="CP316" s="162">
        <f>SUMIFS(SALIDAS_BIT,FECHA_BIT,"&gt;="&amp;CP$2,FECHA_BIT,"&lt;="&amp;CP$3,CLAVE_BIT,$A316)+SUMIFS(SALIDAS_BOV1,FECHA_BOV1,"&gt;="&amp;CP$2,FECHA_BOV1,"&lt;="&amp;CP$3,CLAVE_BOV1,$A316)+SUMIFS(SALIDAS_BOV2,FECHA_BOV2,"&gt;="&amp;CP$2,FECHA_BOV2,"&lt;="&amp;CP$3,CLAVE_BOV2,$A316)+SUMIFS(SALIDAS_BOV3,FECHA_BOV3,"&gt;="&amp;CP$2,FECHA_BOV3,"&lt;="&amp;CP$3,CLAVE_BOV3,$A316)+SUMIFS(SALIDAS_TC,FECHA_TC,"&gt;="&amp;CP$2,FECHA_TC,"&lt;="&amp;CP$3,CLAVE_TC,$A316)+SUMIFS(SALIDAS_COMB,FECHA_COMB,"&gt;="&amp;CP$2,FECHA_COMB,"&lt;="&amp;CP$3,CLAVE_COMB,$A316)+SUMIFS(SALIDAS_DES,FECHA_DESGLOSEN,"&gt;="&amp;CP$2,FECHA_DESGLOSEN,"&lt;="&amp;CP$3,CLAVE_DESGLOSE,$A316)</f>
        <v>0</v>
      </c>
      <c r="CQ316" s="162">
        <f>SUMIFS(SALIDAS_BIT,FECHA_BIT,"&gt;="&amp;CQ$2,FECHA_BIT,"&lt;="&amp;CQ$3,CLAVE_BIT,$A316)+SUMIFS(SALIDAS_BOV1,FECHA_BOV1,"&gt;="&amp;CQ$2,FECHA_BOV1,"&lt;="&amp;CQ$3,CLAVE_BOV1,$A316)+SUMIFS(SALIDAS_BOV2,FECHA_BOV2,"&gt;="&amp;CQ$2,FECHA_BOV2,"&lt;="&amp;CQ$3,CLAVE_BOV2,$A316)+SUMIFS(SALIDAS_BOV3,FECHA_BOV3,"&gt;="&amp;CQ$2,FECHA_BOV3,"&lt;="&amp;CQ$3,CLAVE_BOV3,$A316)+SUMIFS(SALIDAS_TC,FECHA_TC,"&gt;="&amp;CQ$2,FECHA_TC,"&lt;="&amp;CQ$3,CLAVE_TC,$A316)+SUMIFS(SALIDAS_COMB,FECHA_COMB,"&gt;="&amp;CQ$2,FECHA_COMB,"&lt;="&amp;CQ$3,CLAVE_COMB,$A316)+SUMIFS(SALIDAS_DES,FECHA_DESGLOSEN,"&gt;="&amp;CQ$2,FECHA_DESGLOSEN,"&lt;="&amp;CQ$3,CLAVE_DESGLOSE,$A316)</f>
        <v>7876.0599999999995</v>
      </c>
      <c r="CR316" s="227">
        <f>CK316-CQ316</f>
        <v>2123.9400000000005</v>
      </c>
      <c r="CS316" s="301">
        <f>IFERROR((CQ316/CK316),0)</f>
        <v>0.78760599999999992</v>
      </c>
      <c r="CT316" s="68">
        <f t="shared" si="446"/>
        <v>5000</v>
      </c>
      <c r="CU316" s="13">
        <f>SUMIFS(SALIDAS_BIT,FECHA_BIT,"&gt;="&amp;CU$2,FECHA_BIT,"&lt;="&amp;CU$3,CLAVE_BIT,$A316)+SUMIFS(SALIDAS_BOV1,FECHA_BOV1,"&gt;="&amp;CU$2,FECHA_BOV1,"&lt;="&amp;CU$3,CLAVE_BOV1,$A316)+SUMIFS(SALIDAS_BOV2,FECHA_BOV2,"&gt;="&amp;CU$2,FECHA_BOV2,"&lt;="&amp;CU$3,CLAVE_BOV2,$A316)+SUMIFS(SALIDAS_BOV3,FECHA_BOV3,"&gt;="&amp;CU$2,FECHA_BOV3,"&lt;="&amp;CU$3,CLAVE_BOV3,$A316)+SUMIFS(SALIDAS_TC,FECHA_TC,"&gt;="&amp;CU$2,FECHA_TC,"&lt;="&amp;CU$3,CLAVE_TC,$A316)+SUMIFS(SALIDAS_COMB,FECHA_COMB,"&gt;="&amp;CU$2,FECHA_COMB,"&lt;="&amp;CU$3,CLAVE_COMB,$A316)+SUMIFS(SALIDAS_DES,FECHA_DESGLOSEN,"&gt;="&amp;CU$2,FECHA_DESGLOSEN,"&lt;="&amp;CU$3,CLAVE_DESGLOSE,$A316)</f>
        <v>3152</v>
      </c>
      <c r="CV316" s="13">
        <f>SUMIFS(SALIDAS_BIT,FECHA_BIT,"&gt;="&amp;CV$2,FECHA_BIT,"&lt;="&amp;CV$3,CLAVE_BIT,$A316)+SUMIFS(SALIDAS_BOV1,FECHA_BOV1,"&gt;="&amp;CV$2,FECHA_BOV1,"&lt;="&amp;CV$3,CLAVE_BOV1,$A316)+SUMIFS(SALIDAS_BOV2,FECHA_BOV2,"&gt;="&amp;CV$2,FECHA_BOV2,"&lt;="&amp;CV$3,CLAVE_BOV2,$A316)+SUMIFS(SALIDAS_BOV3,FECHA_BOV3,"&gt;="&amp;CV$2,FECHA_BOV3,"&lt;="&amp;CV$3,CLAVE_BOV3,$A316)+SUMIFS(SALIDAS_TC,FECHA_TC,"&gt;="&amp;CV$2,FECHA_TC,"&lt;="&amp;CV$3,CLAVE_TC,$A316)+SUMIFS(SALIDAS_COMB,FECHA_COMB,"&gt;="&amp;CV$2,FECHA_COMB,"&lt;="&amp;CV$3,CLAVE_COMB,$A316)+SUMIFS(SALIDAS_DES,FECHA_DESGLOSEN,"&gt;="&amp;CV$2,FECHA_DESGLOSEN,"&lt;="&amp;CV$3,CLAVE_DESGLOSE,$A316)</f>
        <v>2889.99</v>
      </c>
      <c r="CW316" s="13">
        <f>SUMIFS(SALIDAS_BIT,FECHA_BIT,"&gt;="&amp;CW$2,FECHA_BIT,"&lt;="&amp;CW$3,CLAVE_BIT,$A316)+SUMIFS(SALIDAS_BOV1,FECHA_BOV1,"&gt;="&amp;CW$2,FECHA_BOV1,"&lt;="&amp;CW$3,CLAVE_BOV1,$A316)+SUMIFS(SALIDAS_BOV2,FECHA_BOV2,"&gt;="&amp;CW$2,FECHA_BOV2,"&lt;="&amp;CW$3,CLAVE_BOV2,$A316)+SUMIFS(SALIDAS_BOV3,FECHA_BOV3,"&gt;="&amp;CW$2,FECHA_BOV3,"&lt;="&amp;CW$3,CLAVE_BOV3,$A316)+SUMIFS(SALIDAS_TC,FECHA_TC,"&gt;="&amp;CW$2,FECHA_TC,"&lt;="&amp;CW$3,CLAVE_TC,$A316)+SUMIFS(SALIDAS_COMB,FECHA_COMB,"&gt;="&amp;CW$2,FECHA_COMB,"&lt;="&amp;CW$3,CLAVE_COMB,$A316)+SUMIFS(SALIDAS_DES,FECHA_DESGLOSEN,"&gt;="&amp;CW$2,FECHA_DESGLOSEN,"&lt;="&amp;CW$3,CLAVE_DESGLOSE,$A316)</f>
        <v>13350</v>
      </c>
      <c r="CX316" s="13">
        <f>SUMIFS(SALIDAS_BIT,FECHA_BIT,"&gt;="&amp;CX$2,FECHA_BIT,"&lt;="&amp;CX$3,CLAVE_BIT,$A316)+SUMIFS(SALIDAS_BOV1,FECHA_BOV1,"&gt;="&amp;CX$2,FECHA_BOV1,"&lt;="&amp;CX$3,CLAVE_BOV1,$A316)+SUMIFS(SALIDAS_BOV2,FECHA_BOV2,"&gt;="&amp;CX$2,FECHA_BOV2,"&lt;="&amp;CX$3,CLAVE_BOV2,$A316)+SUMIFS(SALIDAS_BOV3,FECHA_BOV3,"&gt;="&amp;CX$2,FECHA_BOV3,"&lt;="&amp;CX$3,CLAVE_BOV3,$A316)+SUMIFS(SALIDAS_TC,FECHA_TC,"&gt;="&amp;CX$2,FECHA_TC,"&lt;="&amp;CX$3,CLAVE_TC,$A316)+SUMIFS(SALIDAS_COMB,FECHA_COMB,"&gt;="&amp;CX$2,FECHA_COMB,"&lt;="&amp;CX$3,CLAVE_COMB,$A316)+SUMIFS(SALIDAS_DES,FECHA_DESGLOSEN,"&gt;="&amp;CX$2,FECHA_DESGLOSEN,"&lt;="&amp;CX$3,CLAVE_DESGLOSE,$A316)</f>
        <v>3210.35</v>
      </c>
      <c r="CY316" s="13">
        <f>SUMIFS(SALIDAS_BIT,FECHA_BIT,"&gt;="&amp;CY$2,FECHA_BIT,"&lt;="&amp;CY$3,CLAVE_BIT,$A316)+SUMIFS(SALIDAS_BOV1,FECHA_BOV1,"&gt;="&amp;CY$2,FECHA_BOV1,"&lt;="&amp;CY$3,CLAVE_BOV1,$A316)+SUMIFS(SALIDAS_BOV2,FECHA_BOV2,"&gt;="&amp;CY$2,FECHA_BOV2,"&lt;="&amp;CY$3,CLAVE_BOV2,$A316)+SUMIFS(SALIDAS_BOV3,FECHA_BOV3,"&gt;="&amp;CY$2,FECHA_BOV3,"&lt;="&amp;CY$3,CLAVE_BOV3,$A316)+SUMIFS(SALIDAS_TC,FECHA_TC,"&gt;="&amp;CY$2,FECHA_TC,"&lt;="&amp;CY$3,CLAVE_TC,$A316)+SUMIFS(SALIDAS_COMB,FECHA_COMB,"&gt;="&amp;CY$2,FECHA_COMB,"&lt;="&amp;CY$3,CLAVE_COMB,$A316)+SUMIFS(SALIDAS_DES,FECHA_DESGLOSEN,"&gt;="&amp;CY$2,FECHA_DESGLOSEN,"&lt;="&amp;CY$3,CLAVE_DESGLOSE,$A316)</f>
        <v>22602.339999999997</v>
      </c>
      <c r="CZ316" s="68">
        <f t="shared" si="474"/>
        <v>-17602.339999999997</v>
      </c>
      <c r="DB316" s="17">
        <f>F316+N316+W316+AE316+AM316+AV316+BD316+BL316+BU316+CC316+CK316</f>
        <v>60000</v>
      </c>
      <c r="DC316" s="17">
        <f>K316+T316+AB316+AJ316+AS316+BA316+BI316+BR316+BZ316+CH316+CQ316</f>
        <v>109290.38999999998</v>
      </c>
    </row>
    <row r="317" spans="1:107" ht="15" hidden="1">
      <c r="A317" s="12" t="str">
        <f t="shared" ref="A317:A318" si="623">C317&amp;D317&amp;E317</f>
        <v>MKTCUOTAS Y SUSCRIPCIONESMOKKER APP</v>
      </c>
      <c r="B317">
        <v>317</v>
      </c>
      <c r="C317" t="s">
        <v>19</v>
      </c>
      <c r="D317" t="s">
        <v>51</v>
      </c>
      <c r="E317" t="s">
        <v>83</v>
      </c>
      <c r="F317" s="260">
        <f>VLOOKUP($A317,T_PRESUPUESTO,MATCH(F$6,E_PRESUPUESTO,0),FALSE)</f>
        <v>0</v>
      </c>
      <c r="G317" s="162">
        <f>SUMIFS(SALIDAS_BIT,FECHA_BIT,"&gt;="&amp;G$2,FECHA_BIT,"&lt;="&amp;G$3,CLAVE_BIT,$A317)+SUMIFS(SALIDAS_BOV1,FECHA_BOV1,"&gt;="&amp;G$2,FECHA_BOV1,"&lt;="&amp;G$3,CLAVE_BOV1,$A317)+SUMIFS(SALIDAS_BOV2,FECHA_BOV2,"&gt;="&amp;G$2,FECHA_BOV2,"&lt;="&amp;G$3,CLAVE_BOV2,$A317)+SUMIFS(SALIDAS_BOV3,FECHA_BOV3,"&gt;="&amp;G$2,FECHA_BOV3,"&lt;="&amp;G$3,CLAVE_BOV3,$A317)+SUMIFS(SALIDAS_TC,FECHA_TC,"&gt;="&amp;G$2,FECHA_TC,"&lt;="&amp;G$3,CLAVE_TC,$A317)+SUMIFS(SALIDAS_COMB,FECHA_COMB,"&gt;="&amp;G$2,FECHA_COMB,"&lt;="&amp;G$3,CLAVE_COMB,$A317)+SUMIFS(SALIDAS_DES,FECHA_DESGLOSEN,"&gt;="&amp;G$2,FECHA_DESGLOSEN,"&lt;="&amp;G$3,CLAVE_DESGLOSE,$A317)</f>
        <v>0</v>
      </c>
      <c r="H317" s="162">
        <f>SUMIFS(SALIDAS_BIT,FECHA_BIT,"&gt;="&amp;H$2,FECHA_BIT,"&lt;="&amp;H$3,CLAVE_BIT,$A317)+SUMIFS(SALIDAS_BOV1,FECHA_BOV1,"&gt;="&amp;H$2,FECHA_BOV1,"&lt;="&amp;H$3,CLAVE_BOV1,$A317)+SUMIFS(SALIDAS_BOV2,FECHA_BOV2,"&gt;="&amp;H$2,FECHA_BOV2,"&lt;="&amp;H$3,CLAVE_BOV2,$A317)+SUMIFS(SALIDAS_BOV3,FECHA_BOV3,"&gt;="&amp;H$2,FECHA_BOV3,"&lt;="&amp;H$3,CLAVE_BOV3,$A317)+SUMIFS(SALIDAS_TC,FECHA_TC,"&gt;="&amp;H$2,FECHA_TC,"&lt;="&amp;H$3,CLAVE_TC,$A317)+SUMIFS(SALIDAS_COMB,FECHA_COMB,"&gt;="&amp;H$2,FECHA_COMB,"&lt;="&amp;H$3,CLAVE_COMB,$A317)+SUMIFS(SALIDAS_DES,FECHA_DESGLOSEN,"&gt;="&amp;H$2,FECHA_DESGLOSEN,"&lt;="&amp;H$3,CLAVE_DESGLOSE,$A317)</f>
        <v>0</v>
      </c>
      <c r="I317" s="162">
        <f>SUMIFS(SALIDAS_BIT,FECHA_BIT,"&gt;="&amp;I$2,FECHA_BIT,"&lt;="&amp;I$3,CLAVE_BIT,$A317)+SUMIFS(SALIDAS_BOV1,FECHA_BOV1,"&gt;="&amp;I$2,FECHA_BOV1,"&lt;="&amp;I$3,CLAVE_BOV1,$A317)+SUMIFS(SALIDAS_BOV2,FECHA_BOV2,"&gt;="&amp;I$2,FECHA_BOV2,"&lt;="&amp;I$3,CLAVE_BOV2,$A317)+SUMIFS(SALIDAS_BOV3,FECHA_BOV3,"&gt;="&amp;I$2,FECHA_BOV3,"&lt;="&amp;I$3,CLAVE_BOV3,$A317)+SUMIFS(SALIDAS_TC,FECHA_TC,"&gt;="&amp;I$2,FECHA_TC,"&lt;="&amp;I$3,CLAVE_TC,$A317)+SUMIFS(SALIDAS_COMB,FECHA_COMB,"&gt;="&amp;I$2,FECHA_COMB,"&lt;="&amp;I$3,CLAVE_COMB,$A317)+SUMIFS(SALIDAS_DES,FECHA_DESGLOSEN,"&gt;="&amp;I$2,FECHA_DESGLOSEN,"&lt;="&amp;I$3,CLAVE_DESGLOSE,$A317)</f>
        <v>0</v>
      </c>
      <c r="J317" s="162">
        <f>SUMIFS(SALIDAS_BIT,FECHA_BIT,"&gt;="&amp;J$2,FECHA_BIT,"&lt;="&amp;J$3,CLAVE_BIT,$A317)+SUMIFS(SALIDAS_BOV1,FECHA_BOV1,"&gt;="&amp;J$2,FECHA_BOV1,"&lt;="&amp;J$3,CLAVE_BOV1,$A317)+SUMIFS(SALIDAS_BOV2,FECHA_BOV2,"&gt;="&amp;J$2,FECHA_BOV2,"&lt;="&amp;J$3,CLAVE_BOV2,$A317)+SUMIFS(SALIDAS_BOV3,FECHA_BOV3,"&gt;="&amp;J$2,FECHA_BOV3,"&lt;="&amp;J$3,CLAVE_BOV3,$A317)+SUMIFS(SALIDAS_TC,FECHA_TC,"&gt;="&amp;J$2,FECHA_TC,"&lt;="&amp;J$3,CLAVE_TC,$A317)+SUMIFS(SALIDAS_COMB,FECHA_COMB,"&gt;="&amp;J$2,FECHA_COMB,"&lt;="&amp;J$3,CLAVE_COMB,$A317)+SUMIFS(SALIDAS_DES,FECHA_DESGLOSEN,"&gt;="&amp;J$2,FECHA_DESGLOSEN,"&lt;="&amp;J$3,CLAVE_DESGLOSE,$A317)</f>
        <v>0</v>
      </c>
      <c r="K317" s="162">
        <f>SUMIFS(SALIDAS_BIT,FECHA_BIT,"&gt;="&amp;K$2,FECHA_BIT,"&lt;="&amp;K$3,CLAVE_BIT,$A317)+SUMIFS(SALIDAS_BOV1,FECHA_BOV1,"&gt;="&amp;K$2,FECHA_BOV1,"&lt;="&amp;K$3,CLAVE_BOV1,$A317)+SUMIFS(SALIDAS_BOV2,FECHA_BOV2,"&gt;="&amp;K$2,FECHA_BOV2,"&lt;="&amp;K$3,CLAVE_BOV2,$A317)+SUMIFS(SALIDAS_BOV3,FECHA_BOV3,"&gt;="&amp;K$2,FECHA_BOV3,"&lt;="&amp;K$3,CLAVE_BOV3,$A317)+SUMIFS(SALIDAS_TC,FECHA_TC,"&gt;="&amp;K$2,FECHA_TC,"&lt;="&amp;K$3,CLAVE_TC,$A317)+SUMIFS(SALIDAS_COMB,FECHA_COMB,"&gt;="&amp;K$2,FECHA_COMB,"&lt;="&amp;K$3,CLAVE_COMB,$A317)+SUMIFS(SALIDAS_DES,FECHA_DESGLOSEN,"&gt;="&amp;K$2,FECHA_DESGLOSEN,"&lt;="&amp;K$3,CLAVE_DESGLOSE,$A317)</f>
        <v>0</v>
      </c>
      <c r="L317" s="227">
        <f t="shared" ref="L317:L318" si="624">F317-K317</f>
        <v>0</v>
      </c>
      <c r="M317" s="301">
        <f t="shared" ref="M317:M318" si="625">IFERROR((K317/F317),0)</f>
        <v>0</v>
      </c>
      <c r="N317" s="162">
        <f>VLOOKUP($A317,T_PRESUPUESTO,MATCH(N$6,E_PRESUPUESTO,0),FALSE)</f>
        <v>0</v>
      </c>
      <c r="O317" s="162">
        <f>SUMIFS(SALIDAS_BIT,FECHA_BIT,"&gt;="&amp;O$2,FECHA_BIT,"&lt;="&amp;O$3,CLAVE_BIT,$A317)+SUMIFS(SALIDAS_BOV1,FECHA_BOV1,"&gt;="&amp;O$2,FECHA_BOV1,"&lt;="&amp;O$3,CLAVE_BOV1,$A317)+SUMIFS(SALIDAS_BOV2,FECHA_BOV2,"&gt;="&amp;O$2,FECHA_BOV2,"&lt;="&amp;O$3,CLAVE_BOV2,$A317)+SUMIFS(SALIDAS_BOV3,FECHA_BOV3,"&gt;="&amp;O$2,FECHA_BOV3,"&lt;="&amp;O$3,CLAVE_BOV3,$A317)+SUMIFS(SALIDAS_TC,FECHA_TC,"&gt;="&amp;O$2,FECHA_TC,"&lt;="&amp;O$3,CLAVE_TC,$A317)+SUMIFS(SALIDAS_COMB,FECHA_COMB,"&gt;="&amp;O$2,FECHA_COMB,"&lt;="&amp;O$3,CLAVE_COMB,$A317)+SUMIFS(SALIDAS_DES,FECHA_DESGLOSEN,"&gt;="&amp;O$2,FECHA_DESGLOSEN,"&lt;="&amp;O$3,CLAVE_DESGLOSE,$A317)</f>
        <v>0</v>
      </c>
      <c r="P317" s="162">
        <f>SUMIFS(SALIDAS_BIT,FECHA_BIT,"&gt;="&amp;P$2,FECHA_BIT,"&lt;="&amp;P$3,CLAVE_BIT,$A317)+SUMIFS(SALIDAS_BOV1,FECHA_BOV1,"&gt;="&amp;P$2,FECHA_BOV1,"&lt;="&amp;P$3,CLAVE_BOV1,$A317)+SUMIFS(SALIDAS_BOV2,FECHA_BOV2,"&gt;="&amp;P$2,FECHA_BOV2,"&lt;="&amp;P$3,CLAVE_BOV2,$A317)+SUMIFS(SALIDAS_BOV3,FECHA_BOV3,"&gt;="&amp;P$2,FECHA_BOV3,"&lt;="&amp;P$3,CLAVE_BOV3,$A317)+SUMIFS(SALIDAS_TC,FECHA_TC,"&gt;="&amp;P$2,FECHA_TC,"&lt;="&amp;P$3,CLAVE_TC,$A317)+SUMIFS(SALIDAS_COMB,FECHA_COMB,"&gt;="&amp;P$2,FECHA_COMB,"&lt;="&amp;P$3,CLAVE_COMB,$A317)+SUMIFS(SALIDAS_DES,FECHA_DESGLOSEN,"&gt;="&amp;P$2,FECHA_DESGLOSEN,"&lt;="&amp;P$3,CLAVE_DESGLOSE,$A317)</f>
        <v>0</v>
      </c>
      <c r="Q317" s="162">
        <f>SUMIFS(SALIDAS_BIT,FECHA_BIT,"&gt;="&amp;Q$2,FECHA_BIT,"&lt;="&amp;Q$3,CLAVE_BIT,$A317)+SUMIFS(SALIDAS_BOV1,FECHA_BOV1,"&gt;="&amp;Q$2,FECHA_BOV1,"&lt;="&amp;Q$3,CLAVE_BOV1,$A317)+SUMIFS(SALIDAS_BOV2,FECHA_BOV2,"&gt;="&amp;Q$2,FECHA_BOV2,"&lt;="&amp;Q$3,CLAVE_BOV2,$A317)+SUMIFS(SALIDAS_BOV3,FECHA_BOV3,"&gt;="&amp;Q$2,FECHA_BOV3,"&lt;="&amp;Q$3,CLAVE_BOV3,$A317)+SUMIFS(SALIDAS_TC,FECHA_TC,"&gt;="&amp;Q$2,FECHA_TC,"&lt;="&amp;Q$3,CLAVE_TC,$A317)+SUMIFS(SALIDAS_COMB,FECHA_COMB,"&gt;="&amp;Q$2,FECHA_COMB,"&lt;="&amp;Q$3,CLAVE_COMB,$A317)+SUMIFS(SALIDAS_DES,FECHA_DESGLOSEN,"&gt;="&amp;Q$2,FECHA_DESGLOSEN,"&lt;="&amp;Q$3,CLAVE_DESGLOSE,$A317)</f>
        <v>0</v>
      </c>
      <c r="R317" s="162">
        <f>SUMIFS(SALIDAS_BIT,FECHA_BIT,"&gt;="&amp;R$2,FECHA_BIT,"&lt;="&amp;R$3,CLAVE_BIT,$A317)+SUMIFS(SALIDAS_BOV1,FECHA_BOV1,"&gt;="&amp;R$2,FECHA_BOV1,"&lt;="&amp;R$3,CLAVE_BOV1,$A317)+SUMIFS(SALIDAS_BOV2,FECHA_BOV2,"&gt;="&amp;R$2,FECHA_BOV2,"&lt;="&amp;R$3,CLAVE_BOV2,$A317)+SUMIFS(SALIDAS_BOV3,FECHA_BOV3,"&gt;="&amp;R$2,FECHA_BOV3,"&lt;="&amp;R$3,CLAVE_BOV3,$A317)+SUMIFS(SALIDAS_TC,FECHA_TC,"&gt;="&amp;R$2,FECHA_TC,"&lt;="&amp;R$3,CLAVE_TC,$A317)+SUMIFS(SALIDAS_COMB,FECHA_COMB,"&gt;="&amp;R$2,FECHA_COMB,"&lt;="&amp;R$3,CLAVE_COMB,$A317)+SUMIFS(SALIDAS_DES,FECHA_DESGLOSEN,"&gt;="&amp;R$2,FECHA_DESGLOSEN,"&lt;="&amp;R$3,CLAVE_DESGLOSE,$A317)</f>
        <v>0</v>
      </c>
      <c r="S317" s="162">
        <f>SUMIFS(SALIDAS_BIT,FECHA_BIT,"&gt;="&amp;S$2,FECHA_BIT,"&lt;="&amp;S$3,CLAVE_BIT,$A317)+SUMIFS(SALIDAS_BOV1,FECHA_BOV1,"&gt;="&amp;S$2,FECHA_BOV1,"&lt;="&amp;S$3,CLAVE_BOV1,$A317)+SUMIFS(SALIDAS_BOV2,FECHA_BOV2,"&gt;="&amp;S$2,FECHA_BOV2,"&lt;="&amp;S$3,CLAVE_BOV2,$A317)+SUMIFS(SALIDAS_BOV3,FECHA_BOV3,"&gt;="&amp;S$2,FECHA_BOV3,"&lt;="&amp;S$3,CLAVE_BOV3,$A317)+SUMIFS(SALIDAS_TC,FECHA_TC,"&gt;="&amp;S$2,FECHA_TC,"&lt;="&amp;S$3,CLAVE_TC,$A317)+SUMIFS(SALIDAS_COMB,FECHA_COMB,"&gt;="&amp;S$2,FECHA_COMB,"&lt;="&amp;S$3,CLAVE_COMB,$A317)+SUMIFS(SALIDAS_DES,FECHA_DESGLOSEN,"&gt;="&amp;S$2,FECHA_DESGLOSEN,"&lt;="&amp;S$3,CLAVE_DESGLOSE,$A317)</f>
        <v>0</v>
      </c>
      <c r="T317" s="162">
        <f>SUMIFS(SALIDAS_BIT,FECHA_BIT,"&gt;="&amp;T$2,FECHA_BIT,"&lt;="&amp;T$3,CLAVE_BIT,$A317)+SUMIFS(SALIDAS_BOV1,FECHA_BOV1,"&gt;="&amp;T$2,FECHA_BOV1,"&lt;="&amp;T$3,CLAVE_BOV1,$A317)+SUMIFS(SALIDAS_BOV2,FECHA_BOV2,"&gt;="&amp;T$2,FECHA_BOV2,"&lt;="&amp;T$3,CLAVE_BOV2,$A317)+SUMIFS(SALIDAS_BOV3,FECHA_BOV3,"&gt;="&amp;T$2,FECHA_BOV3,"&lt;="&amp;T$3,CLAVE_BOV3,$A317)+SUMIFS(SALIDAS_TC,FECHA_TC,"&gt;="&amp;T$2,FECHA_TC,"&lt;="&amp;T$3,CLAVE_TC,$A317)+SUMIFS(SALIDAS_COMB,FECHA_COMB,"&gt;="&amp;T$2,FECHA_COMB,"&lt;="&amp;T$3,CLAVE_COMB,$A317)+SUMIFS(SALIDAS_DES,FECHA_DESGLOSEN,"&gt;="&amp;T$2,FECHA_DESGLOSEN,"&lt;="&amp;T$3,CLAVE_DESGLOSE,$A317)</f>
        <v>0</v>
      </c>
      <c r="U317" s="227">
        <f t="shared" ref="U317:U318" si="626">N317-T317</f>
        <v>0</v>
      </c>
      <c r="V317" s="301">
        <f t="shared" ref="V317:V318" si="627">IFERROR((T317/N317),0)</f>
        <v>0</v>
      </c>
      <c r="W317" s="162">
        <f>VLOOKUP($A317,T_PRESUPUESTO,MATCH(W$6,E_PRESUPUESTO,0),FALSE)</f>
        <v>0</v>
      </c>
      <c r="X317" s="162">
        <f>SUMIFS(SALIDAS_BIT,FECHA_BIT,"&gt;="&amp;X$2,FECHA_BIT,"&lt;="&amp;X$3,CLAVE_BIT,$A317)+SUMIFS(SALIDAS_BOV1,FECHA_BOV1,"&gt;="&amp;X$2,FECHA_BOV1,"&lt;="&amp;X$3,CLAVE_BOV1,$A317)+SUMIFS(SALIDAS_BOV2,FECHA_BOV2,"&gt;="&amp;X$2,FECHA_BOV2,"&lt;="&amp;X$3,CLAVE_BOV2,$A317)+SUMIFS(SALIDAS_BOV3,FECHA_BOV3,"&gt;="&amp;X$2,FECHA_BOV3,"&lt;="&amp;X$3,CLAVE_BOV3,$A317)+SUMIFS(SALIDAS_TC,FECHA_TC,"&gt;="&amp;X$2,FECHA_TC,"&lt;="&amp;X$3,CLAVE_TC,$A317)+SUMIFS(SALIDAS_COMB,FECHA_COMB,"&gt;="&amp;X$2,FECHA_COMB,"&lt;="&amp;X$3,CLAVE_COMB,$A317)+SUMIFS(SALIDAS_DES,FECHA_DESGLOSEN,"&gt;="&amp;X$2,FECHA_DESGLOSEN,"&lt;="&amp;X$3,CLAVE_DESGLOSE,$A317)</f>
        <v>0</v>
      </c>
      <c r="Y317" s="162">
        <f>SUMIFS(SALIDAS_BIT,FECHA_BIT,"&gt;="&amp;Y$2,FECHA_BIT,"&lt;="&amp;Y$3,CLAVE_BIT,$A317)+SUMIFS(SALIDAS_BOV1,FECHA_BOV1,"&gt;="&amp;Y$2,FECHA_BOV1,"&lt;="&amp;Y$3,CLAVE_BOV1,$A317)+SUMIFS(SALIDAS_BOV2,FECHA_BOV2,"&gt;="&amp;Y$2,FECHA_BOV2,"&lt;="&amp;Y$3,CLAVE_BOV2,$A317)+SUMIFS(SALIDAS_BOV3,FECHA_BOV3,"&gt;="&amp;Y$2,FECHA_BOV3,"&lt;="&amp;Y$3,CLAVE_BOV3,$A317)+SUMIFS(SALIDAS_TC,FECHA_TC,"&gt;="&amp;Y$2,FECHA_TC,"&lt;="&amp;Y$3,CLAVE_TC,$A317)+SUMIFS(SALIDAS_COMB,FECHA_COMB,"&gt;="&amp;Y$2,FECHA_COMB,"&lt;="&amp;Y$3,CLAVE_COMB,$A317)+SUMIFS(SALIDAS_DES,FECHA_DESGLOSEN,"&gt;="&amp;Y$2,FECHA_DESGLOSEN,"&lt;="&amp;Y$3,CLAVE_DESGLOSE,$A317)</f>
        <v>0</v>
      </c>
      <c r="Z317" s="162">
        <f>SUMIFS(SALIDAS_BIT,FECHA_BIT,"&gt;="&amp;Z$2,FECHA_BIT,"&lt;="&amp;Z$3,CLAVE_BIT,$A317)+SUMIFS(SALIDAS_BOV1,FECHA_BOV1,"&gt;="&amp;Z$2,FECHA_BOV1,"&lt;="&amp;Z$3,CLAVE_BOV1,$A317)+SUMIFS(SALIDAS_BOV2,FECHA_BOV2,"&gt;="&amp;Z$2,FECHA_BOV2,"&lt;="&amp;Z$3,CLAVE_BOV2,$A317)+SUMIFS(SALIDAS_BOV3,FECHA_BOV3,"&gt;="&amp;Z$2,FECHA_BOV3,"&lt;="&amp;Z$3,CLAVE_BOV3,$A317)+SUMIFS(SALIDAS_TC,FECHA_TC,"&gt;="&amp;Z$2,FECHA_TC,"&lt;="&amp;Z$3,CLAVE_TC,$A317)+SUMIFS(SALIDAS_COMB,FECHA_COMB,"&gt;="&amp;Z$2,FECHA_COMB,"&lt;="&amp;Z$3,CLAVE_COMB,$A317)+SUMIFS(SALIDAS_DES,FECHA_DESGLOSEN,"&gt;="&amp;Z$2,FECHA_DESGLOSEN,"&lt;="&amp;Z$3,CLAVE_DESGLOSE,$A317)</f>
        <v>0</v>
      </c>
      <c r="AA317" s="162">
        <f>SUMIFS(SALIDAS_BIT,FECHA_BIT,"&gt;="&amp;AA$2,FECHA_BIT,"&lt;="&amp;AA$3,CLAVE_BIT,$A317)+SUMIFS(SALIDAS_BOV1,FECHA_BOV1,"&gt;="&amp;AA$2,FECHA_BOV1,"&lt;="&amp;AA$3,CLAVE_BOV1,$A317)+SUMIFS(SALIDAS_BOV2,FECHA_BOV2,"&gt;="&amp;AA$2,FECHA_BOV2,"&lt;="&amp;AA$3,CLAVE_BOV2,$A317)+SUMIFS(SALIDAS_BOV3,FECHA_BOV3,"&gt;="&amp;AA$2,FECHA_BOV3,"&lt;="&amp;AA$3,CLAVE_BOV3,$A317)+SUMIFS(SALIDAS_TC,FECHA_TC,"&gt;="&amp;AA$2,FECHA_TC,"&lt;="&amp;AA$3,CLAVE_TC,$A317)+SUMIFS(SALIDAS_COMB,FECHA_COMB,"&gt;="&amp;AA$2,FECHA_COMB,"&lt;="&amp;AA$3,CLAVE_COMB,$A317)+SUMIFS(SALIDAS_DES,FECHA_DESGLOSEN,"&gt;="&amp;AA$2,FECHA_DESGLOSEN,"&lt;="&amp;AA$3,CLAVE_DESGLOSE,$A317)</f>
        <v>0</v>
      </c>
      <c r="AB317" s="162">
        <f>SUMIFS(SALIDAS_BIT,FECHA_BIT,"&gt;="&amp;AB$2,FECHA_BIT,"&lt;="&amp;AB$3,CLAVE_BIT,$A317)+SUMIFS(SALIDAS_BOV1,FECHA_BOV1,"&gt;="&amp;AB$2,FECHA_BOV1,"&lt;="&amp;AB$3,CLAVE_BOV1,$A317)+SUMIFS(SALIDAS_BOV2,FECHA_BOV2,"&gt;="&amp;AB$2,FECHA_BOV2,"&lt;="&amp;AB$3,CLAVE_BOV2,$A317)+SUMIFS(SALIDAS_BOV3,FECHA_BOV3,"&gt;="&amp;AB$2,FECHA_BOV3,"&lt;="&amp;AB$3,CLAVE_BOV3,$A317)+SUMIFS(SALIDAS_TC,FECHA_TC,"&gt;="&amp;AB$2,FECHA_TC,"&lt;="&amp;AB$3,CLAVE_TC,$A317)+SUMIFS(SALIDAS_COMB,FECHA_COMB,"&gt;="&amp;AB$2,FECHA_COMB,"&lt;="&amp;AB$3,CLAVE_COMB,$A317)+SUMIFS(SALIDAS_DES,FECHA_DESGLOSEN,"&gt;="&amp;AB$2,FECHA_DESGLOSEN,"&lt;="&amp;AB$3,CLAVE_DESGLOSE,$A317)</f>
        <v>0</v>
      </c>
      <c r="AC317" s="227">
        <f t="shared" ref="AC317:AC318" si="628">W317-AB317</f>
        <v>0</v>
      </c>
      <c r="AD317" s="301">
        <f t="shared" ref="AD317:AD318" si="629">IFERROR((AB317/W317),0)</f>
        <v>0</v>
      </c>
      <c r="AE317" s="162">
        <f>VLOOKUP($A317,T_PRESUPUESTO,MATCH(AE$6,E_PRESUPUESTO,0),FALSE)</f>
        <v>0</v>
      </c>
      <c r="AF317" s="162">
        <f>SUMIFS(SALIDAS_BIT,FECHA_BIT,"&gt;="&amp;AF$2,FECHA_BIT,"&lt;="&amp;AF$3,CLAVE_BIT,$A317)+SUMIFS(SALIDAS_BOV1,FECHA_BOV1,"&gt;="&amp;AF$2,FECHA_BOV1,"&lt;="&amp;AF$3,CLAVE_BOV1,$A317)+SUMIFS(SALIDAS_BOV2,FECHA_BOV2,"&gt;="&amp;AF$2,FECHA_BOV2,"&lt;="&amp;AF$3,CLAVE_BOV2,$A317)+SUMIFS(SALIDAS_BOV3,FECHA_BOV3,"&gt;="&amp;AF$2,FECHA_BOV3,"&lt;="&amp;AF$3,CLAVE_BOV3,$A317)+SUMIFS(SALIDAS_TC,FECHA_TC,"&gt;="&amp;AF$2,FECHA_TC,"&lt;="&amp;AF$3,CLAVE_TC,$A317)+SUMIFS(SALIDAS_COMB,FECHA_COMB,"&gt;="&amp;AF$2,FECHA_COMB,"&lt;="&amp;AF$3,CLAVE_COMB,$A317)+SUMIFS(SALIDAS_DES,FECHA_DESGLOSEN,"&gt;="&amp;AF$2,FECHA_DESGLOSEN,"&lt;="&amp;AF$3,CLAVE_DESGLOSE,$A317)</f>
        <v>0</v>
      </c>
      <c r="AG317" s="162">
        <f>SUMIFS(SALIDAS_BIT,FECHA_BIT,"&gt;="&amp;AG$2,FECHA_BIT,"&lt;="&amp;AG$3,CLAVE_BIT,$A317)+SUMIFS(SALIDAS_BOV1,FECHA_BOV1,"&gt;="&amp;AG$2,FECHA_BOV1,"&lt;="&amp;AG$3,CLAVE_BOV1,$A317)+SUMIFS(SALIDAS_BOV2,FECHA_BOV2,"&gt;="&amp;AG$2,FECHA_BOV2,"&lt;="&amp;AG$3,CLAVE_BOV2,$A317)+SUMIFS(SALIDAS_BOV3,FECHA_BOV3,"&gt;="&amp;AG$2,FECHA_BOV3,"&lt;="&amp;AG$3,CLAVE_BOV3,$A317)+SUMIFS(SALIDAS_TC,FECHA_TC,"&gt;="&amp;AG$2,FECHA_TC,"&lt;="&amp;AG$3,CLAVE_TC,$A317)+SUMIFS(SALIDAS_COMB,FECHA_COMB,"&gt;="&amp;AG$2,FECHA_COMB,"&lt;="&amp;AG$3,CLAVE_COMB,$A317)+SUMIFS(SALIDAS_DES,FECHA_DESGLOSEN,"&gt;="&amp;AG$2,FECHA_DESGLOSEN,"&lt;="&amp;AG$3,CLAVE_DESGLOSE,$A317)</f>
        <v>0</v>
      </c>
      <c r="AH317" s="162">
        <f>SUMIFS(SALIDAS_BIT,FECHA_BIT,"&gt;="&amp;AH$2,FECHA_BIT,"&lt;="&amp;AH$3,CLAVE_BIT,$A317)+SUMIFS(SALIDAS_BOV1,FECHA_BOV1,"&gt;="&amp;AH$2,FECHA_BOV1,"&lt;="&amp;AH$3,CLAVE_BOV1,$A317)+SUMIFS(SALIDAS_BOV2,FECHA_BOV2,"&gt;="&amp;AH$2,FECHA_BOV2,"&lt;="&amp;AH$3,CLAVE_BOV2,$A317)+SUMIFS(SALIDAS_BOV3,FECHA_BOV3,"&gt;="&amp;AH$2,FECHA_BOV3,"&lt;="&amp;AH$3,CLAVE_BOV3,$A317)+SUMIFS(SALIDAS_TC,FECHA_TC,"&gt;="&amp;AH$2,FECHA_TC,"&lt;="&amp;AH$3,CLAVE_TC,$A317)+SUMIFS(SALIDAS_COMB,FECHA_COMB,"&gt;="&amp;AH$2,FECHA_COMB,"&lt;="&amp;AH$3,CLAVE_COMB,$A317)+SUMIFS(SALIDAS_DES,FECHA_DESGLOSEN,"&gt;="&amp;AH$2,FECHA_DESGLOSEN,"&lt;="&amp;AH$3,CLAVE_DESGLOSE,$A317)</f>
        <v>0</v>
      </c>
      <c r="AI317" s="162">
        <f>SUMIFS(SALIDAS_BIT,FECHA_BIT,"&gt;="&amp;AI$2,FECHA_BIT,"&lt;="&amp;AI$3,CLAVE_BIT,$A317)+SUMIFS(SALIDAS_BOV1,FECHA_BOV1,"&gt;="&amp;AI$2,FECHA_BOV1,"&lt;="&amp;AI$3,CLAVE_BOV1,$A317)+SUMIFS(SALIDAS_BOV2,FECHA_BOV2,"&gt;="&amp;AI$2,FECHA_BOV2,"&lt;="&amp;AI$3,CLAVE_BOV2,$A317)+SUMIFS(SALIDAS_BOV3,FECHA_BOV3,"&gt;="&amp;AI$2,FECHA_BOV3,"&lt;="&amp;AI$3,CLAVE_BOV3,$A317)+SUMIFS(SALIDAS_TC,FECHA_TC,"&gt;="&amp;AI$2,FECHA_TC,"&lt;="&amp;AI$3,CLAVE_TC,$A317)+SUMIFS(SALIDAS_COMB,FECHA_COMB,"&gt;="&amp;AI$2,FECHA_COMB,"&lt;="&amp;AI$3,CLAVE_COMB,$A317)+SUMIFS(SALIDAS_DES,FECHA_DESGLOSEN,"&gt;="&amp;AI$2,FECHA_DESGLOSEN,"&lt;="&amp;AI$3,CLAVE_DESGLOSE,$A317)</f>
        <v>0</v>
      </c>
      <c r="AJ317" s="162">
        <f>SUMIFS(SALIDAS_BIT,FECHA_BIT,"&gt;="&amp;AJ$2,FECHA_BIT,"&lt;="&amp;AJ$3,CLAVE_BIT,$A317)+SUMIFS(SALIDAS_BOV1,FECHA_BOV1,"&gt;="&amp;AJ$2,FECHA_BOV1,"&lt;="&amp;AJ$3,CLAVE_BOV1,$A317)+SUMIFS(SALIDAS_BOV2,FECHA_BOV2,"&gt;="&amp;AJ$2,FECHA_BOV2,"&lt;="&amp;AJ$3,CLAVE_BOV2,$A317)+SUMIFS(SALIDAS_BOV3,FECHA_BOV3,"&gt;="&amp;AJ$2,FECHA_BOV3,"&lt;="&amp;AJ$3,CLAVE_BOV3,$A317)+SUMIFS(SALIDAS_TC,FECHA_TC,"&gt;="&amp;AJ$2,FECHA_TC,"&lt;="&amp;AJ$3,CLAVE_TC,$A317)+SUMIFS(SALIDAS_COMB,FECHA_COMB,"&gt;="&amp;AJ$2,FECHA_COMB,"&lt;="&amp;AJ$3,CLAVE_COMB,$A317)+SUMIFS(SALIDAS_DES,FECHA_DESGLOSEN,"&gt;="&amp;AJ$2,FECHA_DESGLOSEN,"&lt;="&amp;AJ$3,CLAVE_DESGLOSE,$A317)</f>
        <v>0</v>
      </c>
      <c r="AK317" s="227">
        <f t="shared" ref="AK317:AK318" si="630">AE317-AJ317</f>
        <v>0</v>
      </c>
      <c r="AL317" s="301">
        <f t="shared" ref="AL317:AL318" si="631">IFERROR((AJ317/AE317),0)</f>
        <v>0</v>
      </c>
      <c r="AM317" s="162">
        <f>VLOOKUP($A317,T_PRESUPUESTO,MATCH(AM$6,E_PRESUPUESTO,0),FALSE)</f>
        <v>0</v>
      </c>
      <c r="AN317" s="162">
        <f>SUMIFS(SALIDAS_BIT,FECHA_BIT,"&gt;="&amp;AN$2,FECHA_BIT,"&lt;="&amp;AN$3,CLAVE_BIT,$A317)+SUMIFS(SALIDAS_BOV1,FECHA_BOV1,"&gt;="&amp;AN$2,FECHA_BOV1,"&lt;="&amp;AN$3,CLAVE_BOV1,$A317)+SUMIFS(SALIDAS_BOV2,FECHA_BOV2,"&gt;="&amp;AN$2,FECHA_BOV2,"&lt;="&amp;AN$3,CLAVE_BOV2,$A317)+SUMIFS(SALIDAS_BOV3,FECHA_BOV3,"&gt;="&amp;AN$2,FECHA_BOV3,"&lt;="&amp;AN$3,CLAVE_BOV3,$A317)+SUMIFS(SALIDAS_TC,FECHA_TC,"&gt;="&amp;AN$2,FECHA_TC,"&lt;="&amp;AN$3,CLAVE_TC,$A317)+SUMIFS(SALIDAS_COMB,FECHA_COMB,"&gt;="&amp;AN$2,FECHA_COMB,"&lt;="&amp;AN$3,CLAVE_COMB,$A317)+SUMIFS(SALIDAS_DES,FECHA_DESGLOSEN,"&gt;="&amp;AN$2,FECHA_DESGLOSEN,"&lt;="&amp;AN$3,CLAVE_DESGLOSE,$A317)</f>
        <v>0</v>
      </c>
      <c r="AO317" s="162">
        <f>SUMIFS(SALIDAS_BIT,FECHA_BIT,"&gt;="&amp;AO$2,FECHA_BIT,"&lt;="&amp;AO$3,CLAVE_BIT,$A317)+SUMIFS(SALIDAS_BOV1,FECHA_BOV1,"&gt;="&amp;AO$2,FECHA_BOV1,"&lt;="&amp;AO$3,CLAVE_BOV1,$A317)+SUMIFS(SALIDAS_BOV2,FECHA_BOV2,"&gt;="&amp;AO$2,FECHA_BOV2,"&lt;="&amp;AO$3,CLAVE_BOV2,$A317)+SUMIFS(SALIDAS_BOV3,FECHA_BOV3,"&gt;="&amp;AO$2,FECHA_BOV3,"&lt;="&amp;AO$3,CLAVE_BOV3,$A317)+SUMIFS(SALIDAS_TC,FECHA_TC,"&gt;="&amp;AO$2,FECHA_TC,"&lt;="&amp;AO$3,CLAVE_TC,$A317)+SUMIFS(SALIDAS_COMB,FECHA_COMB,"&gt;="&amp;AO$2,FECHA_COMB,"&lt;="&amp;AO$3,CLAVE_COMB,$A317)+SUMIFS(SALIDAS_DES,FECHA_DESGLOSEN,"&gt;="&amp;AO$2,FECHA_DESGLOSEN,"&lt;="&amp;AO$3,CLAVE_DESGLOSE,$A317)</f>
        <v>0</v>
      </c>
      <c r="AP317" s="162">
        <f>SUMIFS(SALIDAS_BIT,FECHA_BIT,"&gt;="&amp;AP$2,FECHA_BIT,"&lt;="&amp;AP$3,CLAVE_BIT,$A317)+SUMIFS(SALIDAS_BOV1,FECHA_BOV1,"&gt;="&amp;AP$2,FECHA_BOV1,"&lt;="&amp;AP$3,CLAVE_BOV1,$A317)+SUMIFS(SALIDAS_BOV2,FECHA_BOV2,"&gt;="&amp;AP$2,FECHA_BOV2,"&lt;="&amp;AP$3,CLAVE_BOV2,$A317)+SUMIFS(SALIDAS_BOV3,FECHA_BOV3,"&gt;="&amp;AP$2,FECHA_BOV3,"&lt;="&amp;AP$3,CLAVE_BOV3,$A317)+SUMIFS(SALIDAS_TC,FECHA_TC,"&gt;="&amp;AP$2,FECHA_TC,"&lt;="&amp;AP$3,CLAVE_TC,$A317)+SUMIFS(SALIDAS_COMB,FECHA_COMB,"&gt;="&amp;AP$2,FECHA_COMB,"&lt;="&amp;AP$3,CLAVE_COMB,$A317)+SUMIFS(SALIDAS_DES,FECHA_DESGLOSEN,"&gt;="&amp;AP$2,FECHA_DESGLOSEN,"&lt;="&amp;AP$3,CLAVE_DESGLOSE,$A317)</f>
        <v>0</v>
      </c>
      <c r="AQ317" s="162">
        <f>SUMIFS(SALIDAS_BIT,FECHA_BIT,"&gt;="&amp;AQ$2,FECHA_BIT,"&lt;="&amp;AQ$3,CLAVE_BIT,$A317)+SUMIFS(SALIDAS_BOV1,FECHA_BOV1,"&gt;="&amp;AQ$2,FECHA_BOV1,"&lt;="&amp;AQ$3,CLAVE_BOV1,$A317)+SUMIFS(SALIDAS_BOV2,FECHA_BOV2,"&gt;="&amp;AQ$2,FECHA_BOV2,"&lt;="&amp;AQ$3,CLAVE_BOV2,$A317)+SUMIFS(SALIDAS_BOV3,FECHA_BOV3,"&gt;="&amp;AQ$2,FECHA_BOV3,"&lt;="&amp;AQ$3,CLAVE_BOV3,$A317)+SUMIFS(SALIDAS_TC,FECHA_TC,"&gt;="&amp;AQ$2,FECHA_TC,"&lt;="&amp;AQ$3,CLAVE_TC,$A317)+SUMIFS(SALIDAS_COMB,FECHA_COMB,"&gt;="&amp;AQ$2,FECHA_COMB,"&lt;="&amp;AQ$3,CLAVE_COMB,$A317)+SUMIFS(SALIDAS_DES,FECHA_DESGLOSEN,"&gt;="&amp;AQ$2,FECHA_DESGLOSEN,"&lt;="&amp;AQ$3,CLAVE_DESGLOSE,$A317)</f>
        <v>0</v>
      </c>
      <c r="AR317" s="162">
        <f>SUMIFS(SALIDAS_BIT,FECHA_BIT,"&gt;="&amp;AR$2,FECHA_BIT,"&lt;="&amp;AR$3,CLAVE_BIT,$A317)+SUMIFS(SALIDAS_BOV1,FECHA_BOV1,"&gt;="&amp;AR$2,FECHA_BOV1,"&lt;="&amp;AR$3,CLAVE_BOV1,$A317)+SUMIFS(SALIDAS_BOV2,FECHA_BOV2,"&gt;="&amp;AR$2,FECHA_BOV2,"&lt;="&amp;AR$3,CLAVE_BOV2,$A317)+SUMIFS(SALIDAS_BOV3,FECHA_BOV3,"&gt;="&amp;AR$2,FECHA_BOV3,"&lt;="&amp;AR$3,CLAVE_BOV3,$A317)+SUMIFS(SALIDAS_TC,FECHA_TC,"&gt;="&amp;AR$2,FECHA_TC,"&lt;="&amp;AR$3,CLAVE_TC,$A317)+SUMIFS(SALIDAS_COMB,FECHA_COMB,"&gt;="&amp;AR$2,FECHA_COMB,"&lt;="&amp;AR$3,CLAVE_COMB,$A317)+SUMIFS(SALIDAS_DES,FECHA_DESGLOSEN,"&gt;="&amp;AR$2,FECHA_DESGLOSEN,"&lt;="&amp;AR$3,CLAVE_DESGLOSE,$A317)</f>
        <v>0</v>
      </c>
      <c r="AS317" s="162">
        <f>SUMIFS(SALIDAS_BIT,FECHA_BIT,"&gt;="&amp;AS$2,FECHA_BIT,"&lt;="&amp;AS$3,CLAVE_BIT,$A317)+SUMIFS(SALIDAS_BOV1,FECHA_BOV1,"&gt;="&amp;AS$2,FECHA_BOV1,"&lt;="&amp;AS$3,CLAVE_BOV1,$A317)+SUMIFS(SALIDAS_BOV2,FECHA_BOV2,"&gt;="&amp;AS$2,FECHA_BOV2,"&lt;="&amp;AS$3,CLAVE_BOV2,$A317)+SUMIFS(SALIDAS_BOV3,FECHA_BOV3,"&gt;="&amp;AS$2,FECHA_BOV3,"&lt;="&amp;AS$3,CLAVE_BOV3,$A317)+SUMIFS(SALIDAS_TC,FECHA_TC,"&gt;="&amp;AS$2,FECHA_TC,"&lt;="&amp;AS$3,CLAVE_TC,$A317)+SUMIFS(SALIDAS_COMB,FECHA_COMB,"&gt;="&amp;AS$2,FECHA_COMB,"&lt;="&amp;AS$3,CLAVE_COMB,$A317)+SUMIFS(SALIDAS_DES,FECHA_DESGLOSEN,"&gt;="&amp;AS$2,FECHA_DESGLOSEN,"&lt;="&amp;AS$3,CLAVE_DESGLOSE,$A317)</f>
        <v>0</v>
      </c>
      <c r="AT317" s="227">
        <f t="shared" ref="AT317:AT318" si="632">AM317-AS317</f>
        <v>0</v>
      </c>
      <c r="AU317" s="301">
        <f t="shared" ref="AU317:AU318" si="633">IFERROR((AS317/AM317),0)</f>
        <v>0</v>
      </c>
      <c r="AV317" s="162">
        <f>VLOOKUP($A317,T_PRESUPUESTO,MATCH(AV$6,E_PRESUPUESTO,0),FALSE)</f>
        <v>0</v>
      </c>
      <c r="AW317" s="162">
        <f>SUMIFS(SALIDAS_BIT,FECHA_BIT,"&gt;="&amp;AW$2,FECHA_BIT,"&lt;="&amp;AW$3,CLAVE_BIT,$A317)+SUMIFS(SALIDAS_BOV1,FECHA_BOV1,"&gt;="&amp;AW$2,FECHA_BOV1,"&lt;="&amp;AW$3,CLAVE_BOV1,$A317)+SUMIFS(SALIDAS_BOV2,FECHA_BOV2,"&gt;="&amp;AW$2,FECHA_BOV2,"&lt;="&amp;AW$3,CLAVE_BOV2,$A317)+SUMIFS(SALIDAS_BOV3,FECHA_BOV3,"&gt;="&amp;AW$2,FECHA_BOV3,"&lt;="&amp;AW$3,CLAVE_BOV3,$A317)+SUMIFS(SALIDAS_TC,FECHA_TC,"&gt;="&amp;AW$2,FECHA_TC,"&lt;="&amp;AW$3,CLAVE_TC,$A317)+SUMIFS(SALIDAS_COMB,FECHA_COMB,"&gt;="&amp;AW$2,FECHA_COMB,"&lt;="&amp;AW$3,CLAVE_COMB,$A317)+SUMIFS(SALIDAS_DES,FECHA_DESGLOSEN,"&gt;="&amp;AW$2,FECHA_DESGLOSEN,"&lt;="&amp;AW$3,CLAVE_DESGLOSE,$A317)</f>
        <v>1030.5</v>
      </c>
      <c r="AX317" s="162">
        <f>SUMIFS(SALIDAS_BIT,FECHA_BIT,"&gt;="&amp;AX$2,FECHA_BIT,"&lt;="&amp;AX$3,CLAVE_BIT,$A317)+SUMIFS(SALIDAS_BOV1,FECHA_BOV1,"&gt;="&amp;AX$2,FECHA_BOV1,"&lt;="&amp;AX$3,CLAVE_BOV1,$A317)+SUMIFS(SALIDAS_BOV2,FECHA_BOV2,"&gt;="&amp;AX$2,FECHA_BOV2,"&lt;="&amp;AX$3,CLAVE_BOV2,$A317)+SUMIFS(SALIDAS_BOV3,FECHA_BOV3,"&gt;="&amp;AX$2,FECHA_BOV3,"&lt;="&amp;AX$3,CLAVE_BOV3,$A317)+SUMIFS(SALIDAS_TC,FECHA_TC,"&gt;="&amp;AX$2,FECHA_TC,"&lt;="&amp;AX$3,CLAVE_TC,$A317)+SUMIFS(SALIDAS_COMB,FECHA_COMB,"&gt;="&amp;AX$2,FECHA_COMB,"&lt;="&amp;AX$3,CLAVE_COMB,$A317)+SUMIFS(SALIDAS_DES,FECHA_DESGLOSEN,"&gt;="&amp;AX$2,FECHA_DESGLOSEN,"&lt;="&amp;AX$3,CLAVE_DESGLOSE,$A317)</f>
        <v>0</v>
      </c>
      <c r="AY317" s="162">
        <f>SUMIFS(SALIDAS_BIT,FECHA_BIT,"&gt;="&amp;AY$2,FECHA_BIT,"&lt;="&amp;AY$3,CLAVE_BIT,$A317)+SUMIFS(SALIDAS_BOV1,FECHA_BOV1,"&gt;="&amp;AY$2,FECHA_BOV1,"&lt;="&amp;AY$3,CLAVE_BOV1,$A317)+SUMIFS(SALIDAS_BOV2,FECHA_BOV2,"&gt;="&amp;AY$2,FECHA_BOV2,"&lt;="&amp;AY$3,CLAVE_BOV2,$A317)+SUMIFS(SALIDAS_BOV3,FECHA_BOV3,"&gt;="&amp;AY$2,FECHA_BOV3,"&lt;="&amp;AY$3,CLAVE_BOV3,$A317)+SUMIFS(SALIDAS_TC,FECHA_TC,"&gt;="&amp;AY$2,FECHA_TC,"&lt;="&amp;AY$3,CLAVE_TC,$A317)+SUMIFS(SALIDAS_COMB,FECHA_COMB,"&gt;="&amp;AY$2,FECHA_COMB,"&lt;="&amp;AY$3,CLAVE_COMB,$A317)+SUMIFS(SALIDAS_DES,FECHA_DESGLOSEN,"&gt;="&amp;AY$2,FECHA_DESGLOSEN,"&lt;="&amp;AY$3,CLAVE_DESGLOSE,$A317)</f>
        <v>0</v>
      </c>
      <c r="AZ317" s="162">
        <f>SUMIFS(SALIDAS_BIT,FECHA_BIT,"&gt;="&amp;AZ$2,FECHA_BIT,"&lt;="&amp;AZ$3,CLAVE_BIT,$A317)+SUMIFS(SALIDAS_BOV1,FECHA_BOV1,"&gt;="&amp;AZ$2,FECHA_BOV1,"&lt;="&amp;AZ$3,CLAVE_BOV1,$A317)+SUMIFS(SALIDAS_BOV2,FECHA_BOV2,"&gt;="&amp;AZ$2,FECHA_BOV2,"&lt;="&amp;AZ$3,CLAVE_BOV2,$A317)+SUMIFS(SALIDAS_BOV3,FECHA_BOV3,"&gt;="&amp;AZ$2,FECHA_BOV3,"&lt;="&amp;AZ$3,CLAVE_BOV3,$A317)+SUMIFS(SALIDAS_TC,FECHA_TC,"&gt;="&amp;AZ$2,FECHA_TC,"&lt;="&amp;AZ$3,CLAVE_TC,$A317)+SUMIFS(SALIDAS_COMB,FECHA_COMB,"&gt;="&amp;AZ$2,FECHA_COMB,"&lt;="&amp;AZ$3,CLAVE_COMB,$A317)+SUMIFS(SALIDAS_DES,FECHA_DESGLOSEN,"&gt;="&amp;AZ$2,FECHA_DESGLOSEN,"&lt;="&amp;AZ$3,CLAVE_DESGLOSE,$A317)</f>
        <v>0</v>
      </c>
      <c r="BA317" s="162">
        <f>SUMIFS(SALIDAS_BIT,FECHA_BIT,"&gt;="&amp;BA$2,FECHA_BIT,"&lt;="&amp;BA$3,CLAVE_BIT,$A317)+SUMIFS(SALIDAS_BOV1,FECHA_BOV1,"&gt;="&amp;BA$2,FECHA_BOV1,"&lt;="&amp;BA$3,CLAVE_BOV1,$A317)+SUMIFS(SALIDAS_BOV2,FECHA_BOV2,"&gt;="&amp;BA$2,FECHA_BOV2,"&lt;="&amp;BA$3,CLAVE_BOV2,$A317)+SUMIFS(SALIDAS_BOV3,FECHA_BOV3,"&gt;="&amp;BA$2,FECHA_BOV3,"&lt;="&amp;BA$3,CLAVE_BOV3,$A317)+SUMIFS(SALIDAS_TC,FECHA_TC,"&gt;="&amp;BA$2,FECHA_TC,"&lt;="&amp;BA$3,CLAVE_TC,$A317)+SUMIFS(SALIDAS_COMB,FECHA_COMB,"&gt;="&amp;BA$2,FECHA_COMB,"&lt;="&amp;BA$3,CLAVE_COMB,$A317)+SUMIFS(SALIDAS_DES,FECHA_DESGLOSEN,"&gt;="&amp;BA$2,FECHA_DESGLOSEN,"&lt;="&amp;BA$3,CLAVE_DESGLOSE,$A317)</f>
        <v>1030.5</v>
      </c>
      <c r="BB317" s="227">
        <f t="shared" ref="BB317:BB318" si="634">AV317-BA317</f>
        <v>-1030.5</v>
      </c>
      <c r="BC317" s="301">
        <f t="shared" ref="BC317:BC318" si="635">IFERROR((BA317/AV317),0)</f>
        <v>0</v>
      </c>
      <c r="BD317" s="162">
        <f>VLOOKUP($A317,T_PRESUPUESTO,MATCH(BD$6,E_PRESUPUESTO,0),FALSE)</f>
        <v>0</v>
      </c>
      <c r="BE317" s="162">
        <f>SUMIFS(SALIDAS_BIT,FECHA_BIT,"&gt;="&amp;BE$2,FECHA_BIT,"&lt;="&amp;BE$3,CLAVE_BIT,$A317)+SUMIFS(SALIDAS_BOV1,FECHA_BOV1,"&gt;="&amp;BE$2,FECHA_BOV1,"&lt;="&amp;BE$3,CLAVE_BOV1,$A317)+SUMIFS(SALIDAS_BOV2,FECHA_BOV2,"&gt;="&amp;BE$2,FECHA_BOV2,"&lt;="&amp;BE$3,CLAVE_BOV2,$A317)+SUMIFS(SALIDAS_BOV3,FECHA_BOV3,"&gt;="&amp;BE$2,FECHA_BOV3,"&lt;="&amp;BE$3,CLAVE_BOV3,$A317)+SUMIFS(SALIDAS_TC,FECHA_TC,"&gt;="&amp;BE$2,FECHA_TC,"&lt;="&amp;BE$3,CLAVE_TC,$A317)+SUMIFS(SALIDAS_COMB,FECHA_COMB,"&gt;="&amp;BE$2,FECHA_COMB,"&lt;="&amp;BE$3,CLAVE_COMB,$A317)+SUMIFS(SALIDAS_DES,FECHA_DESGLOSEN,"&gt;="&amp;BE$2,FECHA_DESGLOSEN,"&lt;="&amp;BE$3,CLAVE_DESGLOSE,$A317)</f>
        <v>1030.45</v>
      </c>
      <c r="BF317" s="162">
        <f>SUMIFS(SALIDAS_BIT,FECHA_BIT,"&gt;="&amp;BF$2,FECHA_BIT,"&lt;="&amp;BF$3,CLAVE_BIT,$A317)+SUMIFS(SALIDAS_BOV1,FECHA_BOV1,"&gt;="&amp;BF$2,FECHA_BOV1,"&lt;="&amp;BF$3,CLAVE_BOV1,$A317)+SUMIFS(SALIDAS_BOV2,FECHA_BOV2,"&gt;="&amp;BF$2,FECHA_BOV2,"&lt;="&amp;BF$3,CLAVE_BOV2,$A317)+SUMIFS(SALIDAS_BOV3,FECHA_BOV3,"&gt;="&amp;BF$2,FECHA_BOV3,"&lt;="&amp;BF$3,CLAVE_BOV3,$A317)+SUMIFS(SALIDAS_TC,FECHA_TC,"&gt;="&amp;BF$2,FECHA_TC,"&lt;="&amp;BF$3,CLAVE_TC,$A317)+SUMIFS(SALIDAS_COMB,FECHA_COMB,"&gt;="&amp;BF$2,FECHA_COMB,"&lt;="&amp;BF$3,CLAVE_COMB,$A317)+SUMIFS(SALIDAS_DES,FECHA_DESGLOSEN,"&gt;="&amp;BF$2,FECHA_DESGLOSEN,"&lt;="&amp;BF$3,CLAVE_DESGLOSE,$A317)</f>
        <v>0</v>
      </c>
      <c r="BG317" s="162">
        <f>SUMIFS(SALIDAS_BIT,FECHA_BIT,"&gt;="&amp;BG$2,FECHA_BIT,"&lt;="&amp;BG$3,CLAVE_BIT,$A317)+SUMIFS(SALIDAS_BOV1,FECHA_BOV1,"&gt;="&amp;BG$2,FECHA_BOV1,"&lt;="&amp;BG$3,CLAVE_BOV1,$A317)+SUMIFS(SALIDAS_BOV2,FECHA_BOV2,"&gt;="&amp;BG$2,FECHA_BOV2,"&lt;="&amp;BG$3,CLAVE_BOV2,$A317)+SUMIFS(SALIDAS_BOV3,FECHA_BOV3,"&gt;="&amp;BG$2,FECHA_BOV3,"&lt;="&amp;BG$3,CLAVE_BOV3,$A317)+SUMIFS(SALIDAS_TC,FECHA_TC,"&gt;="&amp;BG$2,FECHA_TC,"&lt;="&amp;BG$3,CLAVE_TC,$A317)+SUMIFS(SALIDAS_COMB,FECHA_COMB,"&gt;="&amp;BG$2,FECHA_COMB,"&lt;="&amp;BG$3,CLAVE_COMB,$A317)+SUMIFS(SALIDAS_DES,FECHA_DESGLOSEN,"&gt;="&amp;BG$2,FECHA_DESGLOSEN,"&lt;="&amp;BG$3,CLAVE_DESGLOSE,$A317)</f>
        <v>0</v>
      </c>
      <c r="BH317" s="162">
        <f>SUMIFS(SALIDAS_BIT,FECHA_BIT,"&gt;="&amp;BH$2,FECHA_BIT,"&lt;="&amp;BH$3,CLAVE_BIT,$A317)+SUMIFS(SALIDAS_BOV1,FECHA_BOV1,"&gt;="&amp;BH$2,FECHA_BOV1,"&lt;="&amp;BH$3,CLAVE_BOV1,$A317)+SUMIFS(SALIDAS_BOV2,FECHA_BOV2,"&gt;="&amp;BH$2,FECHA_BOV2,"&lt;="&amp;BH$3,CLAVE_BOV2,$A317)+SUMIFS(SALIDAS_BOV3,FECHA_BOV3,"&gt;="&amp;BH$2,FECHA_BOV3,"&lt;="&amp;BH$3,CLAVE_BOV3,$A317)+SUMIFS(SALIDAS_TC,FECHA_TC,"&gt;="&amp;BH$2,FECHA_TC,"&lt;="&amp;BH$3,CLAVE_TC,$A317)+SUMIFS(SALIDAS_COMB,FECHA_COMB,"&gt;="&amp;BH$2,FECHA_COMB,"&lt;="&amp;BH$3,CLAVE_COMB,$A317)+SUMIFS(SALIDAS_DES,FECHA_DESGLOSEN,"&gt;="&amp;BH$2,FECHA_DESGLOSEN,"&lt;="&amp;BH$3,CLAVE_DESGLOSE,$A317)</f>
        <v>0</v>
      </c>
      <c r="BI317" s="162">
        <f>SUMIFS(SALIDAS_BIT,FECHA_BIT,"&gt;="&amp;BI$2,FECHA_BIT,"&lt;="&amp;BI$3,CLAVE_BIT,$A317)+SUMIFS(SALIDAS_BOV1,FECHA_BOV1,"&gt;="&amp;BI$2,FECHA_BOV1,"&lt;="&amp;BI$3,CLAVE_BOV1,$A317)+SUMIFS(SALIDAS_BOV2,FECHA_BOV2,"&gt;="&amp;BI$2,FECHA_BOV2,"&lt;="&amp;BI$3,CLAVE_BOV2,$A317)+SUMIFS(SALIDAS_BOV3,FECHA_BOV3,"&gt;="&amp;BI$2,FECHA_BOV3,"&lt;="&amp;BI$3,CLAVE_BOV3,$A317)+SUMIFS(SALIDAS_TC,FECHA_TC,"&gt;="&amp;BI$2,FECHA_TC,"&lt;="&amp;BI$3,CLAVE_TC,$A317)+SUMIFS(SALIDAS_COMB,FECHA_COMB,"&gt;="&amp;BI$2,FECHA_COMB,"&lt;="&amp;BI$3,CLAVE_COMB,$A317)+SUMIFS(SALIDAS_DES,FECHA_DESGLOSEN,"&gt;="&amp;BI$2,FECHA_DESGLOSEN,"&lt;="&amp;BI$3,CLAVE_DESGLOSE,$A317)</f>
        <v>1030.45</v>
      </c>
      <c r="BJ317" s="227">
        <f t="shared" ref="BJ317:BJ318" si="636">BD317-BI317</f>
        <v>-1030.45</v>
      </c>
      <c r="BK317" s="301">
        <f t="shared" ref="BK317:BK318" si="637">IFERROR((BI317/BD317),0)</f>
        <v>0</v>
      </c>
      <c r="BL317" s="162">
        <f>VLOOKUP($A317,T_PRESUPUESTO,MATCH(BL$6,E_PRESUPUESTO,0),FALSE)</f>
        <v>0</v>
      </c>
      <c r="BM317" s="162">
        <f>SUMIFS(SALIDAS_BIT,FECHA_BIT,"&gt;="&amp;BM$2,FECHA_BIT,"&lt;="&amp;BM$3,CLAVE_BIT,$A317)+SUMIFS(SALIDAS_BOV1,FECHA_BOV1,"&gt;="&amp;BM$2,FECHA_BOV1,"&lt;="&amp;BM$3,CLAVE_BOV1,$A317)+SUMIFS(SALIDAS_BOV2,FECHA_BOV2,"&gt;="&amp;BM$2,FECHA_BOV2,"&lt;="&amp;BM$3,CLAVE_BOV2,$A317)+SUMIFS(SALIDAS_BOV3,FECHA_BOV3,"&gt;="&amp;BM$2,FECHA_BOV3,"&lt;="&amp;BM$3,CLAVE_BOV3,$A317)+SUMIFS(SALIDAS_TC,FECHA_TC,"&gt;="&amp;BM$2,FECHA_TC,"&lt;="&amp;BM$3,CLAVE_TC,$A317)+SUMIFS(SALIDAS_COMB,FECHA_COMB,"&gt;="&amp;BM$2,FECHA_COMB,"&lt;="&amp;BM$3,CLAVE_COMB,$A317)+SUMIFS(SALIDAS_DES,FECHA_DESGLOSEN,"&gt;="&amp;BM$2,FECHA_DESGLOSEN,"&lt;="&amp;BM$3,CLAVE_DESGLOSE,$A317)</f>
        <v>0</v>
      </c>
      <c r="BN317" s="162">
        <f>SUMIFS(SALIDAS_BIT,FECHA_BIT,"&gt;="&amp;BN$2,FECHA_BIT,"&lt;="&amp;BN$3,CLAVE_BIT,$A317)+SUMIFS(SALIDAS_BOV1,FECHA_BOV1,"&gt;="&amp;BN$2,FECHA_BOV1,"&lt;="&amp;BN$3,CLAVE_BOV1,$A317)+SUMIFS(SALIDAS_BOV2,FECHA_BOV2,"&gt;="&amp;BN$2,FECHA_BOV2,"&lt;="&amp;BN$3,CLAVE_BOV2,$A317)+SUMIFS(SALIDAS_BOV3,FECHA_BOV3,"&gt;="&amp;BN$2,FECHA_BOV3,"&lt;="&amp;BN$3,CLAVE_BOV3,$A317)+SUMIFS(SALIDAS_TC,FECHA_TC,"&gt;="&amp;BN$2,FECHA_TC,"&lt;="&amp;BN$3,CLAVE_TC,$A317)+SUMIFS(SALIDAS_COMB,FECHA_COMB,"&gt;="&amp;BN$2,FECHA_COMB,"&lt;="&amp;BN$3,CLAVE_COMB,$A317)+SUMIFS(SALIDAS_DES,FECHA_DESGLOSEN,"&gt;="&amp;BN$2,FECHA_DESGLOSEN,"&lt;="&amp;BN$3,CLAVE_DESGLOSE,$A317)</f>
        <v>0</v>
      </c>
      <c r="BO317" s="162">
        <f>SUMIFS(SALIDAS_BIT,FECHA_BIT,"&gt;="&amp;BO$2,FECHA_BIT,"&lt;="&amp;BO$3,CLAVE_BIT,$A317)+SUMIFS(SALIDAS_BOV1,FECHA_BOV1,"&gt;="&amp;BO$2,FECHA_BOV1,"&lt;="&amp;BO$3,CLAVE_BOV1,$A317)+SUMIFS(SALIDAS_BOV2,FECHA_BOV2,"&gt;="&amp;BO$2,FECHA_BOV2,"&lt;="&amp;BO$3,CLAVE_BOV2,$A317)+SUMIFS(SALIDAS_BOV3,FECHA_BOV3,"&gt;="&amp;BO$2,FECHA_BOV3,"&lt;="&amp;BO$3,CLAVE_BOV3,$A317)+SUMIFS(SALIDAS_TC,FECHA_TC,"&gt;="&amp;BO$2,FECHA_TC,"&lt;="&amp;BO$3,CLAVE_TC,$A317)+SUMIFS(SALIDAS_COMB,FECHA_COMB,"&gt;="&amp;BO$2,FECHA_COMB,"&lt;="&amp;BO$3,CLAVE_COMB,$A317)+SUMIFS(SALIDAS_DES,FECHA_DESGLOSEN,"&gt;="&amp;BO$2,FECHA_DESGLOSEN,"&lt;="&amp;BO$3,CLAVE_DESGLOSE,$A317)</f>
        <v>0</v>
      </c>
      <c r="BP317" s="162">
        <f>SUMIFS(SALIDAS_BIT,FECHA_BIT,"&gt;="&amp;BP$2,FECHA_BIT,"&lt;="&amp;BP$3,CLAVE_BIT,$A317)+SUMIFS(SALIDAS_BOV1,FECHA_BOV1,"&gt;="&amp;BP$2,FECHA_BOV1,"&lt;="&amp;BP$3,CLAVE_BOV1,$A317)+SUMIFS(SALIDAS_BOV2,FECHA_BOV2,"&gt;="&amp;BP$2,FECHA_BOV2,"&lt;="&amp;BP$3,CLAVE_BOV2,$A317)+SUMIFS(SALIDAS_BOV3,FECHA_BOV3,"&gt;="&amp;BP$2,FECHA_BOV3,"&lt;="&amp;BP$3,CLAVE_BOV3,$A317)+SUMIFS(SALIDAS_TC,FECHA_TC,"&gt;="&amp;BP$2,FECHA_TC,"&lt;="&amp;BP$3,CLAVE_TC,$A317)+SUMIFS(SALIDAS_COMB,FECHA_COMB,"&gt;="&amp;BP$2,FECHA_COMB,"&lt;="&amp;BP$3,CLAVE_COMB,$A317)+SUMIFS(SALIDAS_DES,FECHA_DESGLOSEN,"&gt;="&amp;BP$2,FECHA_DESGLOSEN,"&lt;="&amp;BP$3,CLAVE_DESGLOSE,$A317)</f>
        <v>0</v>
      </c>
      <c r="BQ317" s="162">
        <f>SUMIFS(SALIDAS_BIT,FECHA_BIT,"&gt;="&amp;BQ$2,FECHA_BIT,"&lt;="&amp;BQ$3,CLAVE_BIT,$A317)+SUMIFS(SALIDAS_BOV1,FECHA_BOV1,"&gt;="&amp;BQ$2,FECHA_BOV1,"&lt;="&amp;BQ$3,CLAVE_BOV1,$A317)+SUMIFS(SALIDAS_BOV2,FECHA_BOV2,"&gt;="&amp;BQ$2,FECHA_BOV2,"&lt;="&amp;BQ$3,CLAVE_BOV2,$A317)+SUMIFS(SALIDAS_BOV3,FECHA_BOV3,"&gt;="&amp;BQ$2,FECHA_BOV3,"&lt;="&amp;BQ$3,CLAVE_BOV3,$A317)+SUMIFS(SALIDAS_TC,FECHA_TC,"&gt;="&amp;BQ$2,FECHA_TC,"&lt;="&amp;BQ$3,CLAVE_TC,$A317)+SUMIFS(SALIDAS_COMB,FECHA_COMB,"&gt;="&amp;BQ$2,FECHA_COMB,"&lt;="&amp;BQ$3,CLAVE_COMB,$A317)+SUMIFS(SALIDAS_DES,FECHA_DESGLOSEN,"&gt;="&amp;BQ$2,FECHA_DESGLOSEN,"&lt;="&amp;BQ$3,CLAVE_DESGLOSE,$A317)</f>
        <v>0</v>
      </c>
      <c r="BR317" s="162">
        <f>SUMIFS(SALIDAS_BIT,FECHA_BIT,"&gt;="&amp;BR$2,FECHA_BIT,"&lt;="&amp;BR$3,CLAVE_BIT,$A317)+SUMIFS(SALIDAS_BOV1,FECHA_BOV1,"&gt;="&amp;BR$2,FECHA_BOV1,"&lt;="&amp;BR$3,CLAVE_BOV1,$A317)+SUMIFS(SALIDAS_BOV2,FECHA_BOV2,"&gt;="&amp;BR$2,FECHA_BOV2,"&lt;="&amp;BR$3,CLAVE_BOV2,$A317)+SUMIFS(SALIDAS_BOV3,FECHA_BOV3,"&gt;="&amp;BR$2,FECHA_BOV3,"&lt;="&amp;BR$3,CLAVE_BOV3,$A317)+SUMIFS(SALIDAS_TC,FECHA_TC,"&gt;="&amp;BR$2,FECHA_TC,"&lt;="&amp;BR$3,CLAVE_TC,$A317)+SUMIFS(SALIDAS_COMB,FECHA_COMB,"&gt;="&amp;BR$2,FECHA_COMB,"&lt;="&amp;BR$3,CLAVE_COMB,$A317)+SUMIFS(SALIDAS_DES,FECHA_DESGLOSEN,"&gt;="&amp;BR$2,FECHA_DESGLOSEN,"&lt;="&amp;BR$3,CLAVE_DESGLOSE,$A317)</f>
        <v>0</v>
      </c>
      <c r="BS317" s="227">
        <f t="shared" ref="BS317:BS318" si="638">BL317-BR317</f>
        <v>0</v>
      </c>
      <c r="BT317" s="301">
        <f t="shared" ref="BT317:BT318" si="639">IFERROR((BR317/BL317),0)</f>
        <v>0</v>
      </c>
      <c r="BU317" s="162">
        <f>VLOOKUP($A317,T_PRESUPUESTO,MATCH(BU$6,E_PRESUPUESTO,0),FALSE)</f>
        <v>0</v>
      </c>
      <c r="BV317" s="162">
        <f>SUMIFS(SALIDAS_BIT,FECHA_BIT,"&gt;="&amp;BV$2,FECHA_BIT,"&lt;="&amp;BV$3,CLAVE_BIT,$A317)+SUMIFS(SALIDAS_BOV1,FECHA_BOV1,"&gt;="&amp;BV$2,FECHA_BOV1,"&lt;="&amp;BV$3,CLAVE_BOV1,$A317)+SUMIFS(SALIDAS_BOV2,FECHA_BOV2,"&gt;="&amp;BV$2,FECHA_BOV2,"&lt;="&amp;BV$3,CLAVE_BOV2,$A317)+SUMIFS(SALIDAS_BOV3,FECHA_BOV3,"&gt;="&amp;BV$2,FECHA_BOV3,"&lt;="&amp;BV$3,CLAVE_BOV3,$A317)+SUMIFS(SALIDAS_TC,FECHA_TC,"&gt;="&amp;BV$2,FECHA_TC,"&lt;="&amp;BV$3,CLAVE_TC,$A317)+SUMIFS(SALIDAS_COMB,FECHA_COMB,"&gt;="&amp;BV$2,FECHA_COMB,"&lt;="&amp;BV$3,CLAVE_COMB,$A317)+SUMIFS(SALIDAS_DES,FECHA_DESGLOSEN,"&gt;="&amp;BV$2,FECHA_DESGLOSEN,"&lt;="&amp;BV$3,CLAVE_DESGLOSE,$A317)</f>
        <v>0</v>
      </c>
      <c r="BW317" s="162">
        <f>SUMIFS(SALIDAS_BIT,FECHA_BIT,"&gt;="&amp;BW$2,FECHA_BIT,"&lt;="&amp;BW$3,CLAVE_BIT,$A317)+SUMIFS(SALIDAS_BOV1,FECHA_BOV1,"&gt;="&amp;BW$2,FECHA_BOV1,"&lt;="&amp;BW$3,CLAVE_BOV1,$A317)+SUMIFS(SALIDAS_BOV2,FECHA_BOV2,"&gt;="&amp;BW$2,FECHA_BOV2,"&lt;="&amp;BW$3,CLAVE_BOV2,$A317)+SUMIFS(SALIDAS_BOV3,FECHA_BOV3,"&gt;="&amp;BW$2,FECHA_BOV3,"&lt;="&amp;BW$3,CLAVE_BOV3,$A317)+SUMIFS(SALIDAS_TC,FECHA_TC,"&gt;="&amp;BW$2,FECHA_TC,"&lt;="&amp;BW$3,CLAVE_TC,$A317)+SUMIFS(SALIDAS_COMB,FECHA_COMB,"&gt;="&amp;BW$2,FECHA_COMB,"&lt;="&amp;BW$3,CLAVE_COMB,$A317)+SUMIFS(SALIDAS_DES,FECHA_DESGLOSEN,"&gt;="&amp;BW$2,FECHA_DESGLOSEN,"&lt;="&amp;BW$3,CLAVE_DESGLOSE,$A317)</f>
        <v>0</v>
      </c>
      <c r="BX317" s="162">
        <f>SUMIFS(SALIDAS_BIT,FECHA_BIT,"&gt;="&amp;BX$2,FECHA_BIT,"&lt;="&amp;BX$3,CLAVE_BIT,$A317)+SUMIFS(SALIDAS_BOV1,FECHA_BOV1,"&gt;="&amp;BX$2,FECHA_BOV1,"&lt;="&amp;BX$3,CLAVE_BOV1,$A317)+SUMIFS(SALIDAS_BOV2,FECHA_BOV2,"&gt;="&amp;BX$2,FECHA_BOV2,"&lt;="&amp;BX$3,CLAVE_BOV2,$A317)+SUMIFS(SALIDAS_BOV3,FECHA_BOV3,"&gt;="&amp;BX$2,FECHA_BOV3,"&lt;="&amp;BX$3,CLAVE_BOV3,$A317)+SUMIFS(SALIDAS_TC,FECHA_TC,"&gt;="&amp;BX$2,FECHA_TC,"&lt;="&amp;BX$3,CLAVE_TC,$A317)+SUMIFS(SALIDAS_COMB,FECHA_COMB,"&gt;="&amp;BX$2,FECHA_COMB,"&lt;="&amp;BX$3,CLAVE_COMB,$A317)+SUMIFS(SALIDAS_DES,FECHA_DESGLOSEN,"&gt;="&amp;BX$2,FECHA_DESGLOSEN,"&lt;="&amp;BX$3,CLAVE_DESGLOSE,$A317)</f>
        <v>0</v>
      </c>
      <c r="BY317" s="162">
        <f>SUMIFS(SALIDAS_BIT,FECHA_BIT,"&gt;="&amp;BY$2,FECHA_BIT,"&lt;="&amp;BY$3,CLAVE_BIT,$A317)+SUMIFS(SALIDAS_BOV1,FECHA_BOV1,"&gt;="&amp;BY$2,FECHA_BOV1,"&lt;="&amp;BY$3,CLAVE_BOV1,$A317)+SUMIFS(SALIDAS_BOV2,FECHA_BOV2,"&gt;="&amp;BY$2,FECHA_BOV2,"&lt;="&amp;BY$3,CLAVE_BOV2,$A317)+SUMIFS(SALIDAS_BOV3,FECHA_BOV3,"&gt;="&amp;BY$2,FECHA_BOV3,"&lt;="&amp;BY$3,CLAVE_BOV3,$A317)+SUMIFS(SALIDAS_TC,FECHA_TC,"&gt;="&amp;BY$2,FECHA_TC,"&lt;="&amp;BY$3,CLAVE_TC,$A317)+SUMIFS(SALIDAS_COMB,FECHA_COMB,"&gt;="&amp;BY$2,FECHA_COMB,"&lt;="&amp;BY$3,CLAVE_COMB,$A317)+SUMIFS(SALIDAS_DES,FECHA_DESGLOSEN,"&gt;="&amp;BY$2,FECHA_DESGLOSEN,"&lt;="&amp;BY$3,CLAVE_DESGLOSE,$A317)</f>
        <v>0</v>
      </c>
      <c r="BZ317" s="162">
        <f>SUMIFS(SALIDAS_BIT,FECHA_BIT,"&gt;="&amp;BZ$2,FECHA_BIT,"&lt;="&amp;BZ$3,CLAVE_BIT,$A317)+SUMIFS(SALIDAS_BOV1,FECHA_BOV1,"&gt;="&amp;BZ$2,FECHA_BOV1,"&lt;="&amp;BZ$3,CLAVE_BOV1,$A317)+SUMIFS(SALIDAS_BOV2,FECHA_BOV2,"&gt;="&amp;BZ$2,FECHA_BOV2,"&lt;="&amp;BZ$3,CLAVE_BOV2,$A317)+SUMIFS(SALIDAS_BOV3,FECHA_BOV3,"&gt;="&amp;BZ$2,FECHA_BOV3,"&lt;="&amp;BZ$3,CLAVE_BOV3,$A317)+SUMIFS(SALIDAS_TC,FECHA_TC,"&gt;="&amp;BZ$2,FECHA_TC,"&lt;="&amp;BZ$3,CLAVE_TC,$A317)+SUMIFS(SALIDAS_COMB,FECHA_COMB,"&gt;="&amp;BZ$2,FECHA_COMB,"&lt;="&amp;BZ$3,CLAVE_COMB,$A317)+SUMIFS(SALIDAS_DES,FECHA_DESGLOSEN,"&gt;="&amp;BZ$2,FECHA_DESGLOSEN,"&lt;="&amp;BZ$3,CLAVE_DESGLOSE,$A317)</f>
        <v>0</v>
      </c>
      <c r="CA317" s="227">
        <f t="shared" ref="CA317:CA318" si="640">BU317-BZ317</f>
        <v>0</v>
      </c>
      <c r="CB317" s="301">
        <f t="shared" ref="CB317:CB318" si="641">IFERROR((BZ317/BU317),0)</f>
        <v>0</v>
      </c>
      <c r="CC317" s="162">
        <f>VLOOKUP($A317,T_PRESUPUESTO,MATCH(CC$6,E_PRESUPUESTO,0),FALSE)</f>
        <v>0</v>
      </c>
      <c r="CD317" s="162">
        <f>SUMIFS(SALIDAS_BIT,FECHA_BIT,"&gt;="&amp;CD$2,FECHA_BIT,"&lt;="&amp;CD$3,CLAVE_BIT,$A317)+SUMIFS(SALIDAS_BOV1,FECHA_BOV1,"&gt;="&amp;CD$2,FECHA_BOV1,"&lt;="&amp;CD$3,CLAVE_BOV1,$A317)+SUMIFS(SALIDAS_BOV2,FECHA_BOV2,"&gt;="&amp;CD$2,FECHA_BOV2,"&lt;="&amp;CD$3,CLAVE_BOV2,$A317)+SUMIFS(SALIDAS_BOV3,FECHA_BOV3,"&gt;="&amp;CD$2,FECHA_BOV3,"&lt;="&amp;CD$3,CLAVE_BOV3,$A317)+SUMIFS(SALIDAS_TC,FECHA_TC,"&gt;="&amp;CD$2,FECHA_TC,"&lt;="&amp;CD$3,CLAVE_TC,$A317)+SUMIFS(SALIDAS_COMB,FECHA_COMB,"&gt;="&amp;CD$2,FECHA_COMB,"&lt;="&amp;CD$3,CLAVE_COMB,$A317)+SUMIFS(SALIDAS_DES,FECHA_DESGLOSEN,"&gt;="&amp;CD$2,FECHA_DESGLOSEN,"&lt;="&amp;CD$3,CLAVE_DESGLOSE,$A317)</f>
        <v>0</v>
      </c>
      <c r="CE317" s="162">
        <f>SUMIFS(SALIDAS_BIT,FECHA_BIT,"&gt;="&amp;CE$2,FECHA_BIT,"&lt;="&amp;CE$3,CLAVE_BIT,$A317)+SUMIFS(SALIDAS_BOV1,FECHA_BOV1,"&gt;="&amp;CE$2,FECHA_BOV1,"&lt;="&amp;CE$3,CLAVE_BOV1,$A317)+SUMIFS(SALIDAS_BOV2,FECHA_BOV2,"&gt;="&amp;CE$2,FECHA_BOV2,"&lt;="&amp;CE$3,CLAVE_BOV2,$A317)+SUMIFS(SALIDAS_BOV3,FECHA_BOV3,"&gt;="&amp;CE$2,FECHA_BOV3,"&lt;="&amp;CE$3,CLAVE_BOV3,$A317)+SUMIFS(SALIDAS_TC,FECHA_TC,"&gt;="&amp;CE$2,FECHA_TC,"&lt;="&amp;CE$3,CLAVE_TC,$A317)+SUMIFS(SALIDAS_COMB,FECHA_COMB,"&gt;="&amp;CE$2,FECHA_COMB,"&lt;="&amp;CE$3,CLAVE_COMB,$A317)+SUMIFS(SALIDAS_DES,FECHA_DESGLOSEN,"&gt;="&amp;CE$2,FECHA_DESGLOSEN,"&lt;="&amp;CE$3,CLAVE_DESGLOSE,$A317)</f>
        <v>0</v>
      </c>
      <c r="CF317" s="162">
        <f>SUMIFS(SALIDAS_BIT,FECHA_BIT,"&gt;="&amp;CF$2,FECHA_BIT,"&lt;="&amp;CF$3,CLAVE_BIT,$A317)+SUMIFS(SALIDAS_BOV1,FECHA_BOV1,"&gt;="&amp;CF$2,FECHA_BOV1,"&lt;="&amp;CF$3,CLAVE_BOV1,$A317)+SUMIFS(SALIDAS_BOV2,FECHA_BOV2,"&gt;="&amp;CF$2,FECHA_BOV2,"&lt;="&amp;CF$3,CLAVE_BOV2,$A317)+SUMIFS(SALIDAS_BOV3,FECHA_BOV3,"&gt;="&amp;CF$2,FECHA_BOV3,"&lt;="&amp;CF$3,CLAVE_BOV3,$A317)+SUMIFS(SALIDAS_TC,FECHA_TC,"&gt;="&amp;CF$2,FECHA_TC,"&lt;="&amp;CF$3,CLAVE_TC,$A317)+SUMIFS(SALIDAS_COMB,FECHA_COMB,"&gt;="&amp;CF$2,FECHA_COMB,"&lt;="&amp;CF$3,CLAVE_COMB,$A317)+SUMIFS(SALIDAS_DES,FECHA_DESGLOSEN,"&gt;="&amp;CF$2,FECHA_DESGLOSEN,"&lt;="&amp;CF$3,CLAVE_DESGLOSE,$A317)</f>
        <v>0</v>
      </c>
      <c r="CG317" s="162">
        <f>SUMIFS(SALIDAS_BIT,FECHA_BIT,"&gt;="&amp;CG$2,FECHA_BIT,"&lt;="&amp;CG$3,CLAVE_BIT,$A317)+SUMIFS(SALIDAS_BOV1,FECHA_BOV1,"&gt;="&amp;CG$2,FECHA_BOV1,"&lt;="&amp;CG$3,CLAVE_BOV1,$A317)+SUMIFS(SALIDAS_BOV2,FECHA_BOV2,"&gt;="&amp;CG$2,FECHA_BOV2,"&lt;="&amp;CG$3,CLAVE_BOV2,$A317)+SUMIFS(SALIDAS_BOV3,FECHA_BOV3,"&gt;="&amp;CG$2,FECHA_BOV3,"&lt;="&amp;CG$3,CLAVE_BOV3,$A317)+SUMIFS(SALIDAS_TC,FECHA_TC,"&gt;="&amp;CG$2,FECHA_TC,"&lt;="&amp;CG$3,CLAVE_TC,$A317)+SUMIFS(SALIDAS_COMB,FECHA_COMB,"&gt;="&amp;CG$2,FECHA_COMB,"&lt;="&amp;CG$3,CLAVE_COMB,$A317)+SUMIFS(SALIDAS_DES,FECHA_DESGLOSEN,"&gt;="&amp;CG$2,FECHA_DESGLOSEN,"&lt;="&amp;CG$3,CLAVE_DESGLOSE,$A317)</f>
        <v>0</v>
      </c>
      <c r="CH317" s="162">
        <f>SUMIFS(SALIDAS_BIT,FECHA_BIT,"&gt;="&amp;CH$2,FECHA_BIT,"&lt;="&amp;CH$3,CLAVE_BIT,$A317)+SUMIFS(SALIDAS_BOV1,FECHA_BOV1,"&gt;="&amp;CH$2,FECHA_BOV1,"&lt;="&amp;CH$3,CLAVE_BOV1,$A317)+SUMIFS(SALIDAS_BOV2,FECHA_BOV2,"&gt;="&amp;CH$2,FECHA_BOV2,"&lt;="&amp;CH$3,CLAVE_BOV2,$A317)+SUMIFS(SALIDAS_BOV3,FECHA_BOV3,"&gt;="&amp;CH$2,FECHA_BOV3,"&lt;="&amp;CH$3,CLAVE_BOV3,$A317)+SUMIFS(SALIDAS_TC,FECHA_TC,"&gt;="&amp;CH$2,FECHA_TC,"&lt;="&amp;CH$3,CLAVE_TC,$A317)+SUMIFS(SALIDAS_COMB,FECHA_COMB,"&gt;="&amp;CH$2,FECHA_COMB,"&lt;="&amp;CH$3,CLAVE_COMB,$A317)+SUMIFS(SALIDAS_DES,FECHA_DESGLOSEN,"&gt;="&amp;CH$2,FECHA_DESGLOSEN,"&lt;="&amp;CH$3,CLAVE_DESGLOSE,$A317)</f>
        <v>0</v>
      </c>
      <c r="CI317" s="227">
        <f t="shared" ref="CI317:CI318" si="642">CC317-CH317</f>
        <v>0</v>
      </c>
      <c r="CJ317" s="301">
        <f t="shared" ref="CJ317:CJ318" si="643">IFERROR((CH317/CC317),0)</f>
        <v>0</v>
      </c>
      <c r="CK317" s="162">
        <f>VLOOKUP($A317,T_PRESUPUESTO,MATCH(CK$6,E_PRESUPUESTO,0),FALSE)</f>
        <v>0</v>
      </c>
      <c r="CL317" s="162">
        <f>SUMIFS(SALIDAS_BIT,FECHA_BIT,"&gt;="&amp;CL$2,FECHA_BIT,"&lt;="&amp;CL$3,CLAVE_BIT,$A317)+SUMIFS(SALIDAS_BOV1,FECHA_BOV1,"&gt;="&amp;CL$2,FECHA_BOV1,"&lt;="&amp;CL$3,CLAVE_BOV1,$A317)+SUMIFS(SALIDAS_BOV2,FECHA_BOV2,"&gt;="&amp;CL$2,FECHA_BOV2,"&lt;="&amp;CL$3,CLAVE_BOV2,$A317)+SUMIFS(SALIDAS_BOV3,FECHA_BOV3,"&gt;="&amp;CL$2,FECHA_BOV3,"&lt;="&amp;CL$3,CLAVE_BOV3,$A317)+SUMIFS(SALIDAS_TC,FECHA_TC,"&gt;="&amp;CL$2,FECHA_TC,"&lt;="&amp;CL$3,CLAVE_TC,$A317)+SUMIFS(SALIDAS_COMB,FECHA_COMB,"&gt;="&amp;CL$2,FECHA_COMB,"&lt;="&amp;CL$3,CLAVE_COMB,$A317)+SUMIFS(SALIDAS_DES,FECHA_DESGLOSEN,"&gt;="&amp;CL$2,FECHA_DESGLOSEN,"&lt;="&amp;CL$3,CLAVE_DESGLOSE,$A317)</f>
        <v>0</v>
      </c>
      <c r="CM317" s="162">
        <f>SUMIFS(SALIDAS_BIT,FECHA_BIT,"&gt;="&amp;CM$2,FECHA_BIT,"&lt;="&amp;CM$3,CLAVE_BIT,$A317)+SUMIFS(SALIDAS_BOV1,FECHA_BOV1,"&gt;="&amp;CM$2,FECHA_BOV1,"&lt;="&amp;CM$3,CLAVE_BOV1,$A317)+SUMIFS(SALIDAS_BOV2,FECHA_BOV2,"&gt;="&amp;CM$2,FECHA_BOV2,"&lt;="&amp;CM$3,CLAVE_BOV2,$A317)+SUMIFS(SALIDAS_BOV3,FECHA_BOV3,"&gt;="&amp;CM$2,FECHA_BOV3,"&lt;="&amp;CM$3,CLAVE_BOV3,$A317)+SUMIFS(SALIDAS_TC,FECHA_TC,"&gt;="&amp;CM$2,FECHA_TC,"&lt;="&amp;CM$3,CLAVE_TC,$A317)+SUMIFS(SALIDAS_COMB,FECHA_COMB,"&gt;="&amp;CM$2,FECHA_COMB,"&lt;="&amp;CM$3,CLAVE_COMB,$A317)+SUMIFS(SALIDAS_DES,FECHA_DESGLOSEN,"&gt;="&amp;CM$2,FECHA_DESGLOSEN,"&lt;="&amp;CM$3,CLAVE_DESGLOSE,$A317)</f>
        <v>0</v>
      </c>
      <c r="CN317" s="162">
        <f>SUMIFS(SALIDAS_BIT,FECHA_BIT,"&gt;="&amp;CN$2,FECHA_BIT,"&lt;="&amp;CN$3,CLAVE_BIT,$A317)+SUMIFS(SALIDAS_BOV1,FECHA_BOV1,"&gt;="&amp;CN$2,FECHA_BOV1,"&lt;="&amp;CN$3,CLAVE_BOV1,$A317)+SUMIFS(SALIDAS_BOV2,FECHA_BOV2,"&gt;="&amp;CN$2,FECHA_BOV2,"&lt;="&amp;CN$3,CLAVE_BOV2,$A317)+SUMIFS(SALIDAS_BOV3,FECHA_BOV3,"&gt;="&amp;CN$2,FECHA_BOV3,"&lt;="&amp;CN$3,CLAVE_BOV3,$A317)+SUMIFS(SALIDAS_TC,FECHA_TC,"&gt;="&amp;CN$2,FECHA_TC,"&lt;="&amp;CN$3,CLAVE_TC,$A317)+SUMIFS(SALIDAS_COMB,FECHA_COMB,"&gt;="&amp;CN$2,FECHA_COMB,"&lt;="&amp;CN$3,CLAVE_COMB,$A317)+SUMIFS(SALIDAS_DES,FECHA_DESGLOSEN,"&gt;="&amp;CN$2,FECHA_DESGLOSEN,"&lt;="&amp;CN$3,CLAVE_DESGLOSE,$A317)</f>
        <v>0</v>
      </c>
      <c r="CO317" s="162">
        <f>SUMIFS(SALIDAS_BIT,FECHA_BIT,"&gt;="&amp;CO$2,FECHA_BIT,"&lt;="&amp;CO$3,CLAVE_BIT,$A317)+SUMIFS(SALIDAS_BOV1,FECHA_BOV1,"&gt;="&amp;CO$2,FECHA_BOV1,"&lt;="&amp;CO$3,CLAVE_BOV1,$A317)+SUMIFS(SALIDAS_BOV2,FECHA_BOV2,"&gt;="&amp;CO$2,FECHA_BOV2,"&lt;="&amp;CO$3,CLAVE_BOV2,$A317)+SUMIFS(SALIDAS_BOV3,FECHA_BOV3,"&gt;="&amp;CO$2,FECHA_BOV3,"&lt;="&amp;CO$3,CLAVE_BOV3,$A317)+SUMIFS(SALIDAS_TC,FECHA_TC,"&gt;="&amp;CO$2,FECHA_TC,"&lt;="&amp;CO$3,CLAVE_TC,$A317)+SUMIFS(SALIDAS_COMB,FECHA_COMB,"&gt;="&amp;CO$2,FECHA_COMB,"&lt;="&amp;CO$3,CLAVE_COMB,$A317)+SUMIFS(SALIDAS_DES,FECHA_DESGLOSEN,"&gt;="&amp;CO$2,FECHA_DESGLOSEN,"&lt;="&amp;CO$3,CLAVE_DESGLOSE,$A317)</f>
        <v>0</v>
      </c>
      <c r="CP317" s="162">
        <f>SUMIFS(SALIDAS_BIT,FECHA_BIT,"&gt;="&amp;CP$2,FECHA_BIT,"&lt;="&amp;CP$3,CLAVE_BIT,$A317)+SUMIFS(SALIDAS_BOV1,FECHA_BOV1,"&gt;="&amp;CP$2,FECHA_BOV1,"&lt;="&amp;CP$3,CLAVE_BOV1,$A317)+SUMIFS(SALIDAS_BOV2,FECHA_BOV2,"&gt;="&amp;CP$2,FECHA_BOV2,"&lt;="&amp;CP$3,CLAVE_BOV2,$A317)+SUMIFS(SALIDAS_BOV3,FECHA_BOV3,"&gt;="&amp;CP$2,FECHA_BOV3,"&lt;="&amp;CP$3,CLAVE_BOV3,$A317)+SUMIFS(SALIDAS_TC,FECHA_TC,"&gt;="&amp;CP$2,FECHA_TC,"&lt;="&amp;CP$3,CLAVE_TC,$A317)+SUMIFS(SALIDAS_COMB,FECHA_COMB,"&gt;="&amp;CP$2,FECHA_COMB,"&lt;="&amp;CP$3,CLAVE_COMB,$A317)+SUMIFS(SALIDAS_DES,FECHA_DESGLOSEN,"&gt;="&amp;CP$2,FECHA_DESGLOSEN,"&lt;="&amp;CP$3,CLAVE_DESGLOSE,$A317)</f>
        <v>0</v>
      </c>
      <c r="CQ317" s="162">
        <f>SUMIFS(SALIDAS_BIT,FECHA_BIT,"&gt;="&amp;CQ$2,FECHA_BIT,"&lt;="&amp;CQ$3,CLAVE_BIT,$A317)+SUMIFS(SALIDAS_BOV1,FECHA_BOV1,"&gt;="&amp;CQ$2,FECHA_BOV1,"&lt;="&amp;CQ$3,CLAVE_BOV1,$A317)+SUMIFS(SALIDAS_BOV2,FECHA_BOV2,"&gt;="&amp;CQ$2,FECHA_BOV2,"&lt;="&amp;CQ$3,CLAVE_BOV2,$A317)+SUMIFS(SALIDAS_BOV3,FECHA_BOV3,"&gt;="&amp;CQ$2,FECHA_BOV3,"&lt;="&amp;CQ$3,CLAVE_BOV3,$A317)+SUMIFS(SALIDAS_TC,FECHA_TC,"&gt;="&amp;CQ$2,FECHA_TC,"&lt;="&amp;CQ$3,CLAVE_TC,$A317)+SUMIFS(SALIDAS_COMB,FECHA_COMB,"&gt;="&amp;CQ$2,FECHA_COMB,"&lt;="&amp;CQ$3,CLAVE_COMB,$A317)+SUMIFS(SALIDAS_DES,FECHA_DESGLOSEN,"&gt;="&amp;CQ$2,FECHA_DESGLOSEN,"&lt;="&amp;CQ$3,CLAVE_DESGLOSE,$A317)</f>
        <v>0</v>
      </c>
      <c r="CR317" s="227">
        <f t="shared" ref="CR317:CR318" si="644">CK317-CQ317</f>
        <v>0</v>
      </c>
      <c r="CS317" s="301">
        <f t="shared" ref="CS317:CS318" si="645">IFERROR((CQ317/CK317),0)</f>
        <v>0</v>
      </c>
      <c r="CT317" s="68">
        <f t="shared" si="446"/>
        <v>0</v>
      </c>
      <c r="CU317" s="13">
        <f>SUMIFS(SALIDAS_BIT,FECHA_BIT,"&gt;="&amp;CU$2,FECHA_BIT,"&lt;="&amp;CU$3,CLAVE_BIT,$A317)+SUMIFS(SALIDAS_BOV1,FECHA_BOV1,"&gt;="&amp;CU$2,FECHA_BOV1,"&lt;="&amp;CU$3,CLAVE_BOV1,$A317)+SUMIFS(SALIDAS_BOV2,FECHA_BOV2,"&gt;="&amp;CU$2,FECHA_BOV2,"&lt;="&amp;CU$3,CLAVE_BOV2,$A317)+SUMIFS(SALIDAS_BOV3,FECHA_BOV3,"&gt;="&amp;CU$2,FECHA_BOV3,"&lt;="&amp;CU$3,CLAVE_BOV3,$A317)+SUMIFS(SALIDAS_TC,FECHA_TC,"&gt;="&amp;CU$2,FECHA_TC,"&lt;="&amp;CU$3,CLAVE_TC,$A317)+SUMIFS(SALIDAS_COMB,FECHA_COMB,"&gt;="&amp;CU$2,FECHA_COMB,"&lt;="&amp;CU$3,CLAVE_COMB,$A317)+SUMIFS(SALIDAS_DES,FECHA_DESGLOSEN,"&gt;="&amp;CU$2,FECHA_DESGLOSEN,"&lt;="&amp;CU$3,CLAVE_DESGLOSE,$A317)</f>
        <v>0</v>
      </c>
      <c r="CV317" s="13">
        <f>SUMIFS(SALIDAS_BIT,FECHA_BIT,"&gt;="&amp;CV$2,FECHA_BIT,"&lt;="&amp;CV$3,CLAVE_BIT,$A317)+SUMIFS(SALIDAS_BOV1,FECHA_BOV1,"&gt;="&amp;CV$2,FECHA_BOV1,"&lt;="&amp;CV$3,CLAVE_BOV1,$A317)+SUMIFS(SALIDAS_BOV2,FECHA_BOV2,"&gt;="&amp;CV$2,FECHA_BOV2,"&lt;="&amp;CV$3,CLAVE_BOV2,$A317)+SUMIFS(SALIDAS_BOV3,FECHA_BOV3,"&gt;="&amp;CV$2,FECHA_BOV3,"&lt;="&amp;CV$3,CLAVE_BOV3,$A317)+SUMIFS(SALIDAS_TC,FECHA_TC,"&gt;="&amp;CV$2,FECHA_TC,"&lt;="&amp;CV$3,CLAVE_TC,$A317)+SUMIFS(SALIDAS_COMB,FECHA_COMB,"&gt;="&amp;CV$2,FECHA_COMB,"&lt;="&amp;CV$3,CLAVE_COMB,$A317)+SUMIFS(SALIDAS_DES,FECHA_DESGLOSEN,"&gt;="&amp;CV$2,FECHA_DESGLOSEN,"&lt;="&amp;CV$3,CLAVE_DESGLOSE,$A317)</f>
        <v>0</v>
      </c>
      <c r="CW317" s="13">
        <f>SUMIFS(SALIDAS_BIT,FECHA_BIT,"&gt;="&amp;CW$2,FECHA_BIT,"&lt;="&amp;CW$3,CLAVE_BIT,$A317)+SUMIFS(SALIDAS_BOV1,FECHA_BOV1,"&gt;="&amp;CW$2,FECHA_BOV1,"&lt;="&amp;CW$3,CLAVE_BOV1,$A317)+SUMIFS(SALIDAS_BOV2,FECHA_BOV2,"&gt;="&amp;CW$2,FECHA_BOV2,"&lt;="&amp;CW$3,CLAVE_BOV2,$A317)+SUMIFS(SALIDAS_BOV3,FECHA_BOV3,"&gt;="&amp;CW$2,FECHA_BOV3,"&lt;="&amp;CW$3,CLAVE_BOV3,$A317)+SUMIFS(SALIDAS_TC,FECHA_TC,"&gt;="&amp;CW$2,FECHA_TC,"&lt;="&amp;CW$3,CLAVE_TC,$A317)+SUMIFS(SALIDAS_COMB,FECHA_COMB,"&gt;="&amp;CW$2,FECHA_COMB,"&lt;="&amp;CW$3,CLAVE_COMB,$A317)+SUMIFS(SALIDAS_DES,FECHA_DESGLOSEN,"&gt;="&amp;CW$2,FECHA_DESGLOSEN,"&lt;="&amp;CW$3,CLAVE_DESGLOSE,$A317)</f>
        <v>0</v>
      </c>
      <c r="CX317" s="13">
        <f>SUMIFS(SALIDAS_BIT,FECHA_BIT,"&gt;="&amp;CX$2,FECHA_BIT,"&lt;="&amp;CX$3,CLAVE_BIT,$A317)+SUMIFS(SALIDAS_BOV1,FECHA_BOV1,"&gt;="&amp;CX$2,FECHA_BOV1,"&lt;="&amp;CX$3,CLAVE_BOV1,$A317)+SUMIFS(SALIDAS_BOV2,FECHA_BOV2,"&gt;="&amp;CX$2,FECHA_BOV2,"&lt;="&amp;CX$3,CLAVE_BOV2,$A317)+SUMIFS(SALIDAS_BOV3,FECHA_BOV3,"&gt;="&amp;CX$2,FECHA_BOV3,"&lt;="&amp;CX$3,CLAVE_BOV3,$A317)+SUMIFS(SALIDAS_TC,FECHA_TC,"&gt;="&amp;CX$2,FECHA_TC,"&lt;="&amp;CX$3,CLAVE_TC,$A317)+SUMIFS(SALIDAS_COMB,FECHA_COMB,"&gt;="&amp;CX$2,FECHA_COMB,"&lt;="&amp;CX$3,CLAVE_COMB,$A317)+SUMIFS(SALIDAS_DES,FECHA_DESGLOSEN,"&gt;="&amp;CX$2,FECHA_DESGLOSEN,"&lt;="&amp;CX$3,CLAVE_DESGLOSE,$A317)</f>
        <v>0</v>
      </c>
      <c r="CY317" s="13">
        <f>SUMIFS(SALIDAS_BIT,FECHA_BIT,"&gt;="&amp;CY$2,FECHA_BIT,"&lt;="&amp;CY$3,CLAVE_BIT,$A317)+SUMIFS(SALIDAS_BOV1,FECHA_BOV1,"&gt;="&amp;CY$2,FECHA_BOV1,"&lt;="&amp;CY$3,CLAVE_BOV1,$A317)+SUMIFS(SALIDAS_BOV2,FECHA_BOV2,"&gt;="&amp;CY$2,FECHA_BOV2,"&lt;="&amp;CY$3,CLAVE_BOV2,$A317)+SUMIFS(SALIDAS_BOV3,FECHA_BOV3,"&gt;="&amp;CY$2,FECHA_BOV3,"&lt;="&amp;CY$3,CLAVE_BOV3,$A317)+SUMIFS(SALIDAS_TC,FECHA_TC,"&gt;="&amp;CY$2,FECHA_TC,"&lt;="&amp;CY$3,CLAVE_TC,$A317)+SUMIFS(SALIDAS_COMB,FECHA_COMB,"&gt;="&amp;CY$2,FECHA_COMB,"&lt;="&amp;CY$3,CLAVE_COMB,$A317)+SUMIFS(SALIDAS_DES,FECHA_DESGLOSEN,"&gt;="&amp;CY$2,FECHA_DESGLOSEN,"&lt;="&amp;CY$3,CLAVE_DESGLOSE,$A317)</f>
        <v>0</v>
      </c>
      <c r="CZ317" s="68">
        <f t="shared" si="474"/>
        <v>0</v>
      </c>
      <c r="DB317" s="17">
        <f>F317+N317+W317+AE317+AM317+AV317+BD317+BL317+BU317+CC317+CK317</f>
        <v>0</v>
      </c>
      <c r="DC317" s="17">
        <f>K317+T317+AB317+AJ317+AS317+BA317+BI317+BR317+BZ317+CH317+CQ317</f>
        <v>2060.9499999999998</v>
      </c>
    </row>
    <row r="318" spans="1:107" ht="15" hidden="1">
      <c r="A318" s="12" t="str">
        <f t="shared" si="623"/>
        <v>SGECUOTAS Y SUSCRIPCIONESMIDJOURNEY APP</v>
      </c>
      <c r="B318">
        <v>318</v>
      </c>
      <c r="C318" t="s">
        <v>39</v>
      </c>
      <c r="D318" t="s">
        <v>51</v>
      </c>
      <c r="E318" t="s">
        <v>84</v>
      </c>
      <c r="F318" s="260">
        <f>VLOOKUP($A318,T_PRESUPUESTO,MATCH(F$6,E_PRESUPUESTO,0),FALSE)</f>
        <v>0</v>
      </c>
      <c r="G318" s="162">
        <f>SUMIFS(SALIDAS_BIT,FECHA_BIT,"&gt;="&amp;G$2,FECHA_BIT,"&lt;="&amp;G$3,CLAVE_BIT,$A318)+SUMIFS(SALIDAS_BOV1,FECHA_BOV1,"&gt;="&amp;G$2,FECHA_BOV1,"&lt;="&amp;G$3,CLAVE_BOV1,$A318)+SUMIFS(SALIDAS_BOV2,FECHA_BOV2,"&gt;="&amp;G$2,FECHA_BOV2,"&lt;="&amp;G$3,CLAVE_BOV2,$A318)+SUMIFS(SALIDAS_BOV3,FECHA_BOV3,"&gt;="&amp;G$2,FECHA_BOV3,"&lt;="&amp;G$3,CLAVE_BOV3,$A318)+SUMIFS(SALIDAS_TC,FECHA_TC,"&gt;="&amp;G$2,FECHA_TC,"&lt;="&amp;G$3,CLAVE_TC,$A318)+SUMIFS(SALIDAS_COMB,FECHA_COMB,"&gt;="&amp;G$2,FECHA_COMB,"&lt;="&amp;G$3,CLAVE_COMB,$A318)+SUMIFS(SALIDAS_DES,FECHA_DESGLOSEN,"&gt;="&amp;G$2,FECHA_DESGLOSEN,"&lt;="&amp;G$3,CLAVE_DESGLOSE,$A318)</f>
        <v>0</v>
      </c>
      <c r="H318" s="162">
        <f>SUMIFS(SALIDAS_BIT,FECHA_BIT,"&gt;="&amp;H$2,FECHA_BIT,"&lt;="&amp;H$3,CLAVE_BIT,$A318)+SUMIFS(SALIDAS_BOV1,FECHA_BOV1,"&gt;="&amp;H$2,FECHA_BOV1,"&lt;="&amp;H$3,CLAVE_BOV1,$A318)+SUMIFS(SALIDAS_BOV2,FECHA_BOV2,"&gt;="&amp;H$2,FECHA_BOV2,"&lt;="&amp;H$3,CLAVE_BOV2,$A318)+SUMIFS(SALIDAS_BOV3,FECHA_BOV3,"&gt;="&amp;H$2,FECHA_BOV3,"&lt;="&amp;H$3,CLAVE_BOV3,$A318)+SUMIFS(SALIDAS_TC,FECHA_TC,"&gt;="&amp;H$2,FECHA_TC,"&lt;="&amp;H$3,CLAVE_TC,$A318)+SUMIFS(SALIDAS_COMB,FECHA_COMB,"&gt;="&amp;H$2,FECHA_COMB,"&lt;="&amp;H$3,CLAVE_COMB,$A318)+SUMIFS(SALIDAS_DES,FECHA_DESGLOSEN,"&gt;="&amp;H$2,FECHA_DESGLOSEN,"&lt;="&amp;H$3,CLAVE_DESGLOSE,$A318)</f>
        <v>0</v>
      </c>
      <c r="I318" s="162">
        <f>SUMIFS(SALIDAS_BIT,FECHA_BIT,"&gt;="&amp;I$2,FECHA_BIT,"&lt;="&amp;I$3,CLAVE_BIT,$A318)+SUMIFS(SALIDAS_BOV1,FECHA_BOV1,"&gt;="&amp;I$2,FECHA_BOV1,"&lt;="&amp;I$3,CLAVE_BOV1,$A318)+SUMIFS(SALIDAS_BOV2,FECHA_BOV2,"&gt;="&amp;I$2,FECHA_BOV2,"&lt;="&amp;I$3,CLAVE_BOV2,$A318)+SUMIFS(SALIDAS_BOV3,FECHA_BOV3,"&gt;="&amp;I$2,FECHA_BOV3,"&lt;="&amp;I$3,CLAVE_BOV3,$A318)+SUMIFS(SALIDAS_TC,FECHA_TC,"&gt;="&amp;I$2,FECHA_TC,"&lt;="&amp;I$3,CLAVE_TC,$A318)+SUMIFS(SALIDAS_COMB,FECHA_COMB,"&gt;="&amp;I$2,FECHA_COMB,"&lt;="&amp;I$3,CLAVE_COMB,$A318)+SUMIFS(SALIDAS_DES,FECHA_DESGLOSEN,"&gt;="&amp;I$2,FECHA_DESGLOSEN,"&lt;="&amp;I$3,CLAVE_DESGLOSE,$A318)</f>
        <v>0</v>
      </c>
      <c r="J318" s="162">
        <f>SUMIFS(SALIDAS_BIT,FECHA_BIT,"&gt;="&amp;J$2,FECHA_BIT,"&lt;="&amp;J$3,CLAVE_BIT,$A318)+SUMIFS(SALIDAS_BOV1,FECHA_BOV1,"&gt;="&amp;J$2,FECHA_BOV1,"&lt;="&amp;J$3,CLAVE_BOV1,$A318)+SUMIFS(SALIDAS_BOV2,FECHA_BOV2,"&gt;="&amp;J$2,FECHA_BOV2,"&lt;="&amp;J$3,CLAVE_BOV2,$A318)+SUMIFS(SALIDAS_BOV3,FECHA_BOV3,"&gt;="&amp;J$2,FECHA_BOV3,"&lt;="&amp;J$3,CLAVE_BOV3,$A318)+SUMIFS(SALIDAS_TC,FECHA_TC,"&gt;="&amp;J$2,FECHA_TC,"&lt;="&amp;J$3,CLAVE_TC,$A318)+SUMIFS(SALIDAS_COMB,FECHA_COMB,"&gt;="&amp;J$2,FECHA_COMB,"&lt;="&amp;J$3,CLAVE_COMB,$A318)+SUMIFS(SALIDAS_DES,FECHA_DESGLOSEN,"&gt;="&amp;J$2,FECHA_DESGLOSEN,"&lt;="&amp;J$3,CLAVE_DESGLOSE,$A318)</f>
        <v>0</v>
      </c>
      <c r="K318" s="162">
        <f>SUMIFS(SALIDAS_BIT,FECHA_BIT,"&gt;="&amp;K$2,FECHA_BIT,"&lt;="&amp;K$3,CLAVE_BIT,$A318)+SUMIFS(SALIDAS_BOV1,FECHA_BOV1,"&gt;="&amp;K$2,FECHA_BOV1,"&lt;="&amp;K$3,CLAVE_BOV1,$A318)+SUMIFS(SALIDAS_BOV2,FECHA_BOV2,"&gt;="&amp;K$2,FECHA_BOV2,"&lt;="&amp;K$3,CLAVE_BOV2,$A318)+SUMIFS(SALIDAS_BOV3,FECHA_BOV3,"&gt;="&amp;K$2,FECHA_BOV3,"&lt;="&amp;K$3,CLAVE_BOV3,$A318)+SUMIFS(SALIDAS_TC,FECHA_TC,"&gt;="&amp;K$2,FECHA_TC,"&lt;="&amp;K$3,CLAVE_TC,$A318)+SUMIFS(SALIDAS_COMB,FECHA_COMB,"&gt;="&amp;K$2,FECHA_COMB,"&lt;="&amp;K$3,CLAVE_COMB,$A318)+SUMIFS(SALIDAS_DES,FECHA_DESGLOSEN,"&gt;="&amp;K$2,FECHA_DESGLOSEN,"&lt;="&amp;K$3,CLAVE_DESGLOSE,$A318)</f>
        <v>0</v>
      </c>
      <c r="L318" s="227">
        <f t="shared" si="624"/>
        <v>0</v>
      </c>
      <c r="M318" s="301">
        <f t="shared" si="625"/>
        <v>0</v>
      </c>
      <c r="N318" s="162">
        <f>VLOOKUP($A318,T_PRESUPUESTO,MATCH(N$6,E_PRESUPUESTO,0),FALSE)</f>
        <v>0</v>
      </c>
      <c r="O318" s="162">
        <f>SUMIFS(SALIDAS_BIT,FECHA_BIT,"&gt;="&amp;O$2,FECHA_BIT,"&lt;="&amp;O$3,CLAVE_BIT,$A318)+SUMIFS(SALIDAS_BOV1,FECHA_BOV1,"&gt;="&amp;O$2,FECHA_BOV1,"&lt;="&amp;O$3,CLAVE_BOV1,$A318)+SUMIFS(SALIDAS_BOV2,FECHA_BOV2,"&gt;="&amp;O$2,FECHA_BOV2,"&lt;="&amp;O$3,CLAVE_BOV2,$A318)+SUMIFS(SALIDAS_BOV3,FECHA_BOV3,"&gt;="&amp;O$2,FECHA_BOV3,"&lt;="&amp;O$3,CLAVE_BOV3,$A318)+SUMIFS(SALIDAS_TC,FECHA_TC,"&gt;="&amp;O$2,FECHA_TC,"&lt;="&amp;O$3,CLAVE_TC,$A318)+SUMIFS(SALIDAS_COMB,FECHA_COMB,"&gt;="&amp;O$2,FECHA_COMB,"&lt;="&amp;O$3,CLAVE_COMB,$A318)+SUMIFS(SALIDAS_DES,FECHA_DESGLOSEN,"&gt;="&amp;O$2,FECHA_DESGLOSEN,"&lt;="&amp;O$3,CLAVE_DESGLOSE,$A318)</f>
        <v>0</v>
      </c>
      <c r="P318" s="162">
        <f>SUMIFS(SALIDAS_BIT,FECHA_BIT,"&gt;="&amp;P$2,FECHA_BIT,"&lt;="&amp;P$3,CLAVE_BIT,$A318)+SUMIFS(SALIDAS_BOV1,FECHA_BOV1,"&gt;="&amp;P$2,FECHA_BOV1,"&lt;="&amp;P$3,CLAVE_BOV1,$A318)+SUMIFS(SALIDAS_BOV2,FECHA_BOV2,"&gt;="&amp;P$2,FECHA_BOV2,"&lt;="&amp;P$3,CLAVE_BOV2,$A318)+SUMIFS(SALIDAS_BOV3,FECHA_BOV3,"&gt;="&amp;P$2,FECHA_BOV3,"&lt;="&amp;P$3,CLAVE_BOV3,$A318)+SUMIFS(SALIDAS_TC,FECHA_TC,"&gt;="&amp;P$2,FECHA_TC,"&lt;="&amp;P$3,CLAVE_TC,$A318)+SUMIFS(SALIDAS_COMB,FECHA_COMB,"&gt;="&amp;P$2,FECHA_COMB,"&lt;="&amp;P$3,CLAVE_COMB,$A318)+SUMIFS(SALIDAS_DES,FECHA_DESGLOSEN,"&gt;="&amp;P$2,FECHA_DESGLOSEN,"&lt;="&amp;P$3,CLAVE_DESGLOSE,$A318)</f>
        <v>0</v>
      </c>
      <c r="Q318" s="162">
        <f>SUMIFS(SALIDAS_BIT,FECHA_BIT,"&gt;="&amp;Q$2,FECHA_BIT,"&lt;="&amp;Q$3,CLAVE_BIT,$A318)+SUMIFS(SALIDAS_BOV1,FECHA_BOV1,"&gt;="&amp;Q$2,FECHA_BOV1,"&lt;="&amp;Q$3,CLAVE_BOV1,$A318)+SUMIFS(SALIDAS_BOV2,FECHA_BOV2,"&gt;="&amp;Q$2,FECHA_BOV2,"&lt;="&amp;Q$3,CLAVE_BOV2,$A318)+SUMIFS(SALIDAS_BOV3,FECHA_BOV3,"&gt;="&amp;Q$2,FECHA_BOV3,"&lt;="&amp;Q$3,CLAVE_BOV3,$A318)+SUMIFS(SALIDAS_TC,FECHA_TC,"&gt;="&amp;Q$2,FECHA_TC,"&lt;="&amp;Q$3,CLAVE_TC,$A318)+SUMIFS(SALIDAS_COMB,FECHA_COMB,"&gt;="&amp;Q$2,FECHA_COMB,"&lt;="&amp;Q$3,CLAVE_COMB,$A318)+SUMIFS(SALIDAS_DES,FECHA_DESGLOSEN,"&gt;="&amp;Q$2,FECHA_DESGLOSEN,"&lt;="&amp;Q$3,CLAVE_DESGLOSE,$A318)</f>
        <v>0</v>
      </c>
      <c r="R318" s="162">
        <f>SUMIFS(SALIDAS_BIT,FECHA_BIT,"&gt;="&amp;R$2,FECHA_BIT,"&lt;="&amp;R$3,CLAVE_BIT,$A318)+SUMIFS(SALIDAS_BOV1,FECHA_BOV1,"&gt;="&amp;R$2,FECHA_BOV1,"&lt;="&amp;R$3,CLAVE_BOV1,$A318)+SUMIFS(SALIDAS_BOV2,FECHA_BOV2,"&gt;="&amp;R$2,FECHA_BOV2,"&lt;="&amp;R$3,CLAVE_BOV2,$A318)+SUMIFS(SALIDAS_BOV3,FECHA_BOV3,"&gt;="&amp;R$2,FECHA_BOV3,"&lt;="&amp;R$3,CLAVE_BOV3,$A318)+SUMIFS(SALIDAS_TC,FECHA_TC,"&gt;="&amp;R$2,FECHA_TC,"&lt;="&amp;R$3,CLAVE_TC,$A318)+SUMIFS(SALIDAS_COMB,FECHA_COMB,"&gt;="&amp;R$2,FECHA_COMB,"&lt;="&amp;R$3,CLAVE_COMB,$A318)+SUMIFS(SALIDAS_DES,FECHA_DESGLOSEN,"&gt;="&amp;R$2,FECHA_DESGLOSEN,"&lt;="&amp;R$3,CLAVE_DESGLOSE,$A318)</f>
        <v>0</v>
      </c>
      <c r="S318" s="162">
        <f>SUMIFS(SALIDAS_BIT,FECHA_BIT,"&gt;="&amp;S$2,FECHA_BIT,"&lt;="&amp;S$3,CLAVE_BIT,$A318)+SUMIFS(SALIDAS_BOV1,FECHA_BOV1,"&gt;="&amp;S$2,FECHA_BOV1,"&lt;="&amp;S$3,CLAVE_BOV1,$A318)+SUMIFS(SALIDAS_BOV2,FECHA_BOV2,"&gt;="&amp;S$2,FECHA_BOV2,"&lt;="&amp;S$3,CLAVE_BOV2,$A318)+SUMIFS(SALIDAS_BOV3,FECHA_BOV3,"&gt;="&amp;S$2,FECHA_BOV3,"&lt;="&amp;S$3,CLAVE_BOV3,$A318)+SUMIFS(SALIDAS_TC,FECHA_TC,"&gt;="&amp;S$2,FECHA_TC,"&lt;="&amp;S$3,CLAVE_TC,$A318)+SUMIFS(SALIDAS_COMB,FECHA_COMB,"&gt;="&amp;S$2,FECHA_COMB,"&lt;="&amp;S$3,CLAVE_COMB,$A318)+SUMIFS(SALIDAS_DES,FECHA_DESGLOSEN,"&gt;="&amp;S$2,FECHA_DESGLOSEN,"&lt;="&amp;S$3,CLAVE_DESGLOSE,$A318)</f>
        <v>0</v>
      </c>
      <c r="T318" s="162">
        <f>SUMIFS(SALIDAS_BIT,FECHA_BIT,"&gt;="&amp;T$2,FECHA_BIT,"&lt;="&amp;T$3,CLAVE_BIT,$A318)+SUMIFS(SALIDAS_BOV1,FECHA_BOV1,"&gt;="&amp;T$2,FECHA_BOV1,"&lt;="&amp;T$3,CLAVE_BOV1,$A318)+SUMIFS(SALIDAS_BOV2,FECHA_BOV2,"&gt;="&amp;T$2,FECHA_BOV2,"&lt;="&amp;T$3,CLAVE_BOV2,$A318)+SUMIFS(SALIDAS_BOV3,FECHA_BOV3,"&gt;="&amp;T$2,FECHA_BOV3,"&lt;="&amp;T$3,CLAVE_BOV3,$A318)+SUMIFS(SALIDAS_TC,FECHA_TC,"&gt;="&amp;T$2,FECHA_TC,"&lt;="&amp;T$3,CLAVE_TC,$A318)+SUMIFS(SALIDAS_COMB,FECHA_COMB,"&gt;="&amp;T$2,FECHA_COMB,"&lt;="&amp;T$3,CLAVE_COMB,$A318)+SUMIFS(SALIDAS_DES,FECHA_DESGLOSEN,"&gt;="&amp;T$2,FECHA_DESGLOSEN,"&lt;="&amp;T$3,CLAVE_DESGLOSE,$A318)</f>
        <v>0</v>
      </c>
      <c r="U318" s="227">
        <f t="shared" si="626"/>
        <v>0</v>
      </c>
      <c r="V318" s="301">
        <f t="shared" si="627"/>
        <v>0</v>
      </c>
      <c r="W318" s="162">
        <f>VLOOKUP($A318,T_PRESUPUESTO,MATCH(W$6,E_PRESUPUESTO,0),FALSE)</f>
        <v>0</v>
      </c>
      <c r="X318" s="162">
        <f>SUMIFS(SALIDAS_BIT,FECHA_BIT,"&gt;="&amp;X$2,FECHA_BIT,"&lt;="&amp;X$3,CLAVE_BIT,$A318)+SUMIFS(SALIDAS_BOV1,FECHA_BOV1,"&gt;="&amp;X$2,FECHA_BOV1,"&lt;="&amp;X$3,CLAVE_BOV1,$A318)+SUMIFS(SALIDAS_BOV2,FECHA_BOV2,"&gt;="&amp;X$2,FECHA_BOV2,"&lt;="&amp;X$3,CLAVE_BOV2,$A318)+SUMIFS(SALIDAS_BOV3,FECHA_BOV3,"&gt;="&amp;X$2,FECHA_BOV3,"&lt;="&amp;X$3,CLAVE_BOV3,$A318)+SUMIFS(SALIDAS_TC,FECHA_TC,"&gt;="&amp;X$2,FECHA_TC,"&lt;="&amp;X$3,CLAVE_TC,$A318)+SUMIFS(SALIDAS_COMB,FECHA_COMB,"&gt;="&amp;X$2,FECHA_COMB,"&lt;="&amp;X$3,CLAVE_COMB,$A318)+SUMIFS(SALIDAS_DES,FECHA_DESGLOSEN,"&gt;="&amp;X$2,FECHA_DESGLOSEN,"&lt;="&amp;X$3,CLAVE_DESGLOSE,$A318)</f>
        <v>0</v>
      </c>
      <c r="Y318" s="162">
        <f>SUMIFS(SALIDAS_BIT,FECHA_BIT,"&gt;="&amp;Y$2,FECHA_BIT,"&lt;="&amp;Y$3,CLAVE_BIT,$A318)+SUMIFS(SALIDAS_BOV1,FECHA_BOV1,"&gt;="&amp;Y$2,FECHA_BOV1,"&lt;="&amp;Y$3,CLAVE_BOV1,$A318)+SUMIFS(SALIDAS_BOV2,FECHA_BOV2,"&gt;="&amp;Y$2,FECHA_BOV2,"&lt;="&amp;Y$3,CLAVE_BOV2,$A318)+SUMIFS(SALIDAS_BOV3,FECHA_BOV3,"&gt;="&amp;Y$2,FECHA_BOV3,"&lt;="&amp;Y$3,CLAVE_BOV3,$A318)+SUMIFS(SALIDAS_TC,FECHA_TC,"&gt;="&amp;Y$2,FECHA_TC,"&lt;="&amp;Y$3,CLAVE_TC,$A318)+SUMIFS(SALIDAS_COMB,FECHA_COMB,"&gt;="&amp;Y$2,FECHA_COMB,"&lt;="&amp;Y$3,CLAVE_COMB,$A318)+SUMIFS(SALIDAS_DES,FECHA_DESGLOSEN,"&gt;="&amp;Y$2,FECHA_DESGLOSEN,"&lt;="&amp;Y$3,CLAVE_DESGLOSE,$A318)</f>
        <v>0</v>
      </c>
      <c r="Z318" s="162">
        <f>SUMIFS(SALIDAS_BIT,FECHA_BIT,"&gt;="&amp;Z$2,FECHA_BIT,"&lt;="&amp;Z$3,CLAVE_BIT,$A318)+SUMIFS(SALIDAS_BOV1,FECHA_BOV1,"&gt;="&amp;Z$2,FECHA_BOV1,"&lt;="&amp;Z$3,CLAVE_BOV1,$A318)+SUMIFS(SALIDAS_BOV2,FECHA_BOV2,"&gt;="&amp;Z$2,FECHA_BOV2,"&lt;="&amp;Z$3,CLAVE_BOV2,$A318)+SUMIFS(SALIDAS_BOV3,FECHA_BOV3,"&gt;="&amp;Z$2,FECHA_BOV3,"&lt;="&amp;Z$3,CLAVE_BOV3,$A318)+SUMIFS(SALIDAS_TC,FECHA_TC,"&gt;="&amp;Z$2,FECHA_TC,"&lt;="&amp;Z$3,CLAVE_TC,$A318)+SUMIFS(SALIDAS_COMB,FECHA_COMB,"&gt;="&amp;Z$2,FECHA_COMB,"&lt;="&amp;Z$3,CLAVE_COMB,$A318)+SUMIFS(SALIDAS_DES,FECHA_DESGLOSEN,"&gt;="&amp;Z$2,FECHA_DESGLOSEN,"&lt;="&amp;Z$3,CLAVE_DESGLOSE,$A318)</f>
        <v>0</v>
      </c>
      <c r="AA318" s="162">
        <f>SUMIFS(SALIDAS_BIT,FECHA_BIT,"&gt;="&amp;AA$2,FECHA_BIT,"&lt;="&amp;AA$3,CLAVE_BIT,$A318)+SUMIFS(SALIDAS_BOV1,FECHA_BOV1,"&gt;="&amp;AA$2,FECHA_BOV1,"&lt;="&amp;AA$3,CLAVE_BOV1,$A318)+SUMIFS(SALIDAS_BOV2,FECHA_BOV2,"&gt;="&amp;AA$2,FECHA_BOV2,"&lt;="&amp;AA$3,CLAVE_BOV2,$A318)+SUMIFS(SALIDAS_BOV3,FECHA_BOV3,"&gt;="&amp;AA$2,FECHA_BOV3,"&lt;="&amp;AA$3,CLAVE_BOV3,$A318)+SUMIFS(SALIDAS_TC,FECHA_TC,"&gt;="&amp;AA$2,FECHA_TC,"&lt;="&amp;AA$3,CLAVE_TC,$A318)+SUMIFS(SALIDAS_COMB,FECHA_COMB,"&gt;="&amp;AA$2,FECHA_COMB,"&lt;="&amp;AA$3,CLAVE_COMB,$A318)+SUMIFS(SALIDAS_DES,FECHA_DESGLOSEN,"&gt;="&amp;AA$2,FECHA_DESGLOSEN,"&lt;="&amp;AA$3,CLAVE_DESGLOSE,$A318)</f>
        <v>0</v>
      </c>
      <c r="AB318" s="162">
        <f>SUMIFS(SALIDAS_BIT,FECHA_BIT,"&gt;="&amp;AB$2,FECHA_BIT,"&lt;="&amp;AB$3,CLAVE_BIT,$A318)+SUMIFS(SALIDAS_BOV1,FECHA_BOV1,"&gt;="&amp;AB$2,FECHA_BOV1,"&lt;="&amp;AB$3,CLAVE_BOV1,$A318)+SUMIFS(SALIDAS_BOV2,FECHA_BOV2,"&gt;="&amp;AB$2,FECHA_BOV2,"&lt;="&amp;AB$3,CLAVE_BOV2,$A318)+SUMIFS(SALIDAS_BOV3,FECHA_BOV3,"&gt;="&amp;AB$2,FECHA_BOV3,"&lt;="&amp;AB$3,CLAVE_BOV3,$A318)+SUMIFS(SALIDAS_TC,FECHA_TC,"&gt;="&amp;AB$2,FECHA_TC,"&lt;="&amp;AB$3,CLAVE_TC,$A318)+SUMIFS(SALIDAS_COMB,FECHA_COMB,"&gt;="&amp;AB$2,FECHA_COMB,"&lt;="&amp;AB$3,CLAVE_COMB,$A318)+SUMIFS(SALIDAS_DES,FECHA_DESGLOSEN,"&gt;="&amp;AB$2,FECHA_DESGLOSEN,"&lt;="&amp;AB$3,CLAVE_DESGLOSE,$A318)</f>
        <v>0</v>
      </c>
      <c r="AC318" s="227">
        <f t="shared" si="628"/>
        <v>0</v>
      </c>
      <c r="AD318" s="301">
        <f t="shared" si="629"/>
        <v>0</v>
      </c>
      <c r="AE318" s="162">
        <f>VLOOKUP($A318,T_PRESUPUESTO,MATCH(AE$6,E_PRESUPUESTO,0),FALSE)</f>
        <v>0</v>
      </c>
      <c r="AF318" s="162">
        <f>SUMIFS(SALIDAS_BIT,FECHA_BIT,"&gt;="&amp;AF$2,FECHA_BIT,"&lt;="&amp;AF$3,CLAVE_BIT,$A318)+SUMIFS(SALIDAS_BOV1,FECHA_BOV1,"&gt;="&amp;AF$2,FECHA_BOV1,"&lt;="&amp;AF$3,CLAVE_BOV1,$A318)+SUMIFS(SALIDAS_BOV2,FECHA_BOV2,"&gt;="&amp;AF$2,FECHA_BOV2,"&lt;="&amp;AF$3,CLAVE_BOV2,$A318)+SUMIFS(SALIDAS_BOV3,FECHA_BOV3,"&gt;="&amp;AF$2,FECHA_BOV3,"&lt;="&amp;AF$3,CLAVE_BOV3,$A318)+SUMIFS(SALIDAS_TC,FECHA_TC,"&gt;="&amp;AF$2,FECHA_TC,"&lt;="&amp;AF$3,CLAVE_TC,$A318)+SUMIFS(SALIDAS_COMB,FECHA_COMB,"&gt;="&amp;AF$2,FECHA_COMB,"&lt;="&amp;AF$3,CLAVE_COMB,$A318)+SUMIFS(SALIDAS_DES,FECHA_DESGLOSEN,"&gt;="&amp;AF$2,FECHA_DESGLOSEN,"&lt;="&amp;AF$3,CLAVE_DESGLOSE,$A318)</f>
        <v>0</v>
      </c>
      <c r="AG318" s="162">
        <f>SUMIFS(SALIDAS_BIT,FECHA_BIT,"&gt;="&amp;AG$2,FECHA_BIT,"&lt;="&amp;AG$3,CLAVE_BIT,$A318)+SUMIFS(SALIDAS_BOV1,FECHA_BOV1,"&gt;="&amp;AG$2,FECHA_BOV1,"&lt;="&amp;AG$3,CLAVE_BOV1,$A318)+SUMIFS(SALIDAS_BOV2,FECHA_BOV2,"&gt;="&amp;AG$2,FECHA_BOV2,"&lt;="&amp;AG$3,CLAVE_BOV2,$A318)+SUMIFS(SALIDAS_BOV3,FECHA_BOV3,"&gt;="&amp;AG$2,FECHA_BOV3,"&lt;="&amp;AG$3,CLAVE_BOV3,$A318)+SUMIFS(SALIDAS_TC,FECHA_TC,"&gt;="&amp;AG$2,FECHA_TC,"&lt;="&amp;AG$3,CLAVE_TC,$A318)+SUMIFS(SALIDAS_COMB,FECHA_COMB,"&gt;="&amp;AG$2,FECHA_COMB,"&lt;="&amp;AG$3,CLAVE_COMB,$A318)+SUMIFS(SALIDAS_DES,FECHA_DESGLOSEN,"&gt;="&amp;AG$2,FECHA_DESGLOSEN,"&lt;="&amp;AG$3,CLAVE_DESGLOSE,$A318)</f>
        <v>0</v>
      </c>
      <c r="AH318" s="162">
        <f>SUMIFS(SALIDAS_BIT,FECHA_BIT,"&gt;="&amp;AH$2,FECHA_BIT,"&lt;="&amp;AH$3,CLAVE_BIT,$A318)+SUMIFS(SALIDAS_BOV1,FECHA_BOV1,"&gt;="&amp;AH$2,FECHA_BOV1,"&lt;="&amp;AH$3,CLAVE_BOV1,$A318)+SUMIFS(SALIDAS_BOV2,FECHA_BOV2,"&gt;="&amp;AH$2,FECHA_BOV2,"&lt;="&amp;AH$3,CLAVE_BOV2,$A318)+SUMIFS(SALIDAS_BOV3,FECHA_BOV3,"&gt;="&amp;AH$2,FECHA_BOV3,"&lt;="&amp;AH$3,CLAVE_BOV3,$A318)+SUMIFS(SALIDAS_TC,FECHA_TC,"&gt;="&amp;AH$2,FECHA_TC,"&lt;="&amp;AH$3,CLAVE_TC,$A318)+SUMIFS(SALIDAS_COMB,FECHA_COMB,"&gt;="&amp;AH$2,FECHA_COMB,"&lt;="&amp;AH$3,CLAVE_COMB,$A318)+SUMIFS(SALIDAS_DES,FECHA_DESGLOSEN,"&gt;="&amp;AH$2,FECHA_DESGLOSEN,"&lt;="&amp;AH$3,CLAVE_DESGLOSE,$A318)</f>
        <v>0</v>
      </c>
      <c r="AI318" s="162">
        <f>SUMIFS(SALIDAS_BIT,FECHA_BIT,"&gt;="&amp;AI$2,FECHA_BIT,"&lt;="&amp;AI$3,CLAVE_BIT,$A318)+SUMIFS(SALIDAS_BOV1,FECHA_BOV1,"&gt;="&amp;AI$2,FECHA_BOV1,"&lt;="&amp;AI$3,CLAVE_BOV1,$A318)+SUMIFS(SALIDAS_BOV2,FECHA_BOV2,"&gt;="&amp;AI$2,FECHA_BOV2,"&lt;="&amp;AI$3,CLAVE_BOV2,$A318)+SUMIFS(SALIDAS_BOV3,FECHA_BOV3,"&gt;="&amp;AI$2,FECHA_BOV3,"&lt;="&amp;AI$3,CLAVE_BOV3,$A318)+SUMIFS(SALIDAS_TC,FECHA_TC,"&gt;="&amp;AI$2,FECHA_TC,"&lt;="&amp;AI$3,CLAVE_TC,$A318)+SUMIFS(SALIDAS_COMB,FECHA_COMB,"&gt;="&amp;AI$2,FECHA_COMB,"&lt;="&amp;AI$3,CLAVE_COMB,$A318)+SUMIFS(SALIDAS_DES,FECHA_DESGLOSEN,"&gt;="&amp;AI$2,FECHA_DESGLOSEN,"&lt;="&amp;AI$3,CLAVE_DESGLOSE,$A318)</f>
        <v>0</v>
      </c>
      <c r="AJ318" s="162">
        <f>SUMIFS(SALIDAS_BIT,FECHA_BIT,"&gt;="&amp;AJ$2,FECHA_BIT,"&lt;="&amp;AJ$3,CLAVE_BIT,$A318)+SUMIFS(SALIDAS_BOV1,FECHA_BOV1,"&gt;="&amp;AJ$2,FECHA_BOV1,"&lt;="&amp;AJ$3,CLAVE_BOV1,$A318)+SUMIFS(SALIDAS_BOV2,FECHA_BOV2,"&gt;="&amp;AJ$2,FECHA_BOV2,"&lt;="&amp;AJ$3,CLAVE_BOV2,$A318)+SUMIFS(SALIDAS_BOV3,FECHA_BOV3,"&gt;="&amp;AJ$2,FECHA_BOV3,"&lt;="&amp;AJ$3,CLAVE_BOV3,$A318)+SUMIFS(SALIDAS_TC,FECHA_TC,"&gt;="&amp;AJ$2,FECHA_TC,"&lt;="&amp;AJ$3,CLAVE_TC,$A318)+SUMIFS(SALIDAS_COMB,FECHA_COMB,"&gt;="&amp;AJ$2,FECHA_COMB,"&lt;="&amp;AJ$3,CLAVE_COMB,$A318)+SUMIFS(SALIDAS_DES,FECHA_DESGLOSEN,"&gt;="&amp;AJ$2,FECHA_DESGLOSEN,"&lt;="&amp;AJ$3,CLAVE_DESGLOSE,$A318)</f>
        <v>0</v>
      </c>
      <c r="AK318" s="227">
        <f t="shared" si="630"/>
        <v>0</v>
      </c>
      <c r="AL318" s="301">
        <f t="shared" si="631"/>
        <v>0</v>
      </c>
      <c r="AM318" s="162">
        <f>VLOOKUP($A318,T_PRESUPUESTO,MATCH(AM$6,E_PRESUPUESTO,0),FALSE)</f>
        <v>0</v>
      </c>
      <c r="AN318" s="162">
        <f>SUMIFS(SALIDAS_BIT,FECHA_BIT,"&gt;="&amp;AN$2,FECHA_BIT,"&lt;="&amp;AN$3,CLAVE_BIT,$A318)+SUMIFS(SALIDAS_BOV1,FECHA_BOV1,"&gt;="&amp;AN$2,FECHA_BOV1,"&lt;="&amp;AN$3,CLAVE_BOV1,$A318)+SUMIFS(SALIDAS_BOV2,FECHA_BOV2,"&gt;="&amp;AN$2,FECHA_BOV2,"&lt;="&amp;AN$3,CLAVE_BOV2,$A318)+SUMIFS(SALIDAS_BOV3,FECHA_BOV3,"&gt;="&amp;AN$2,FECHA_BOV3,"&lt;="&amp;AN$3,CLAVE_BOV3,$A318)+SUMIFS(SALIDAS_TC,FECHA_TC,"&gt;="&amp;AN$2,FECHA_TC,"&lt;="&amp;AN$3,CLAVE_TC,$A318)+SUMIFS(SALIDAS_COMB,FECHA_COMB,"&gt;="&amp;AN$2,FECHA_COMB,"&lt;="&amp;AN$3,CLAVE_COMB,$A318)+SUMIFS(SALIDAS_DES,FECHA_DESGLOSEN,"&gt;="&amp;AN$2,FECHA_DESGLOSEN,"&lt;="&amp;AN$3,CLAVE_DESGLOSE,$A318)</f>
        <v>0</v>
      </c>
      <c r="AO318" s="162">
        <f>SUMIFS(SALIDAS_BIT,FECHA_BIT,"&gt;="&amp;AO$2,FECHA_BIT,"&lt;="&amp;AO$3,CLAVE_BIT,$A318)+SUMIFS(SALIDAS_BOV1,FECHA_BOV1,"&gt;="&amp;AO$2,FECHA_BOV1,"&lt;="&amp;AO$3,CLAVE_BOV1,$A318)+SUMIFS(SALIDAS_BOV2,FECHA_BOV2,"&gt;="&amp;AO$2,FECHA_BOV2,"&lt;="&amp;AO$3,CLAVE_BOV2,$A318)+SUMIFS(SALIDAS_BOV3,FECHA_BOV3,"&gt;="&amp;AO$2,FECHA_BOV3,"&lt;="&amp;AO$3,CLAVE_BOV3,$A318)+SUMIFS(SALIDAS_TC,FECHA_TC,"&gt;="&amp;AO$2,FECHA_TC,"&lt;="&amp;AO$3,CLAVE_TC,$A318)+SUMIFS(SALIDAS_COMB,FECHA_COMB,"&gt;="&amp;AO$2,FECHA_COMB,"&lt;="&amp;AO$3,CLAVE_COMB,$A318)+SUMIFS(SALIDAS_DES,FECHA_DESGLOSEN,"&gt;="&amp;AO$2,FECHA_DESGLOSEN,"&lt;="&amp;AO$3,CLAVE_DESGLOSE,$A318)</f>
        <v>0</v>
      </c>
      <c r="AP318" s="162">
        <f>SUMIFS(SALIDAS_BIT,FECHA_BIT,"&gt;="&amp;AP$2,FECHA_BIT,"&lt;="&amp;AP$3,CLAVE_BIT,$A318)+SUMIFS(SALIDAS_BOV1,FECHA_BOV1,"&gt;="&amp;AP$2,FECHA_BOV1,"&lt;="&amp;AP$3,CLAVE_BOV1,$A318)+SUMIFS(SALIDAS_BOV2,FECHA_BOV2,"&gt;="&amp;AP$2,FECHA_BOV2,"&lt;="&amp;AP$3,CLAVE_BOV2,$A318)+SUMIFS(SALIDAS_BOV3,FECHA_BOV3,"&gt;="&amp;AP$2,FECHA_BOV3,"&lt;="&amp;AP$3,CLAVE_BOV3,$A318)+SUMIFS(SALIDAS_TC,FECHA_TC,"&gt;="&amp;AP$2,FECHA_TC,"&lt;="&amp;AP$3,CLAVE_TC,$A318)+SUMIFS(SALIDAS_COMB,FECHA_COMB,"&gt;="&amp;AP$2,FECHA_COMB,"&lt;="&amp;AP$3,CLAVE_COMB,$A318)+SUMIFS(SALIDAS_DES,FECHA_DESGLOSEN,"&gt;="&amp;AP$2,FECHA_DESGLOSEN,"&lt;="&amp;AP$3,CLAVE_DESGLOSE,$A318)</f>
        <v>0</v>
      </c>
      <c r="AQ318" s="162">
        <f>SUMIFS(SALIDAS_BIT,FECHA_BIT,"&gt;="&amp;AQ$2,FECHA_BIT,"&lt;="&amp;AQ$3,CLAVE_BIT,$A318)+SUMIFS(SALIDAS_BOV1,FECHA_BOV1,"&gt;="&amp;AQ$2,FECHA_BOV1,"&lt;="&amp;AQ$3,CLAVE_BOV1,$A318)+SUMIFS(SALIDAS_BOV2,FECHA_BOV2,"&gt;="&amp;AQ$2,FECHA_BOV2,"&lt;="&amp;AQ$3,CLAVE_BOV2,$A318)+SUMIFS(SALIDAS_BOV3,FECHA_BOV3,"&gt;="&amp;AQ$2,FECHA_BOV3,"&lt;="&amp;AQ$3,CLAVE_BOV3,$A318)+SUMIFS(SALIDAS_TC,FECHA_TC,"&gt;="&amp;AQ$2,FECHA_TC,"&lt;="&amp;AQ$3,CLAVE_TC,$A318)+SUMIFS(SALIDAS_COMB,FECHA_COMB,"&gt;="&amp;AQ$2,FECHA_COMB,"&lt;="&amp;AQ$3,CLAVE_COMB,$A318)+SUMIFS(SALIDAS_DES,FECHA_DESGLOSEN,"&gt;="&amp;AQ$2,FECHA_DESGLOSEN,"&lt;="&amp;AQ$3,CLAVE_DESGLOSE,$A318)</f>
        <v>0</v>
      </c>
      <c r="AR318" s="162">
        <f>SUMIFS(SALIDAS_BIT,FECHA_BIT,"&gt;="&amp;AR$2,FECHA_BIT,"&lt;="&amp;AR$3,CLAVE_BIT,$A318)+SUMIFS(SALIDAS_BOV1,FECHA_BOV1,"&gt;="&amp;AR$2,FECHA_BOV1,"&lt;="&amp;AR$3,CLAVE_BOV1,$A318)+SUMIFS(SALIDAS_BOV2,FECHA_BOV2,"&gt;="&amp;AR$2,FECHA_BOV2,"&lt;="&amp;AR$3,CLAVE_BOV2,$A318)+SUMIFS(SALIDAS_BOV3,FECHA_BOV3,"&gt;="&amp;AR$2,FECHA_BOV3,"&lt;="&amp;AR$3,CLAVE_BOV3,$A318)+SUMIFS(SALIDAS_TC,FECHA_TC,"&gt;="&amp;AR$2,FECHA_TC,"&lt;="&amp;AR$3,CLAVE_TC,$A318)+SUMIFS(SALIDAS_COMB,FECHA_COMB,"&gt;="&amp;AR$2,FECHA_COMB,"&lt;="&amp;AR$3,CLAVE_COMB,$A318)+SUMIFS(SALIDAS_DES,FECHA_DESGLOSEN,"&gt;="&amp;AR$2,FECHA_DESGLOSEN,"&lt;="&amp;AR$3,CLAVE_DESGLOSE,$A318)</f>
        <v>0</v>
      </c>
      <c r="AS318" s="162">
        <f>SUMIFS(SALIDAS_BIT,FECHA_BIT,"&gt;="&amp;AS$2,FECHA_BIT,"&lt;="&amp;AS$3,CLAVE_BIT,$A318)+SUMIFS(SALIDAS_BOV1,FECHA_BOV1,"&gt;="&amp;AS$2,FECHA_BOV1,"&lt;="&amp;AS$3,CLAVE_BOV1,$A318)+SUMIFS(SALIDAS_BOV2,FECHA_BOV2,"&gt;="&amp;AS$2,FECHA_BOV2,"&lt;="&amp;AS$3,CLAVE_BOV2,$A318)+SUMIFS(SALIDAS_BOV3,FECHA_BOV3,"&gt;="&amp;AS$2,FECHA_BOV3,"&lt;="&amp;AS$3,CLAVE_BOV3,$A318)+SUMIFS(SALIDAS_TC,FECHA_TC,"&gt;="&amp;AS$2,FECHA_TC,"&lt;="&amp;AS$3,CLAVE_TC,$A318)+SUMIFS(SALIDAS_COMB,FECHA_COMB,"&gt;="&amp;AS$2,FECHA_COMB,"&lt;="&amp;AS$3,CLAVE_COMB,$A318)+SUMIFS(SALIDAS_DES,FECHA_DESGLOSEN,"&gt;="&amp;AS$2,FECHA_DESGLOSEN,"&lt;="&amp;AS$3,CLAVE_DESGLOSE,$A318)</f>
        <v>0</v>
      </c>
      <c r="AT318" s="227">
        <f t="shared" si="632"/>
        <v>0</v>
      </c>
      <c r="AU318" s="301">
        <f t="shared" si="633"/>
        <v>0</v>
      </c>
      <c r="AV318" s="162">
        <f>VLOOKUP($A318,T_PRESUPUESTO,MATCH(AV$6,E_PRESUPUESTO,0),FALSE)</f>
        <v>0</v>
      </c>
      <c r="AW318" s="162">
        <f>SUMIFS(SALIDAS_BIT,FECHA_BIT,"&gt;="&amp;AW$2,FECHA_BIT,"&lt;="&amp;AW$3,CLAVE_BIT,$A318)+SUMIFS(SALIDAS_BOV1,FECHA_BOV1,"&gt;="&amp;AW$2,FECHA_BOV1,"&lt;="&amp;AW$3,CLAVE_BOV1,$A318)+SUMIFS(SALIDAS_BOV2,FECHA_BOV2,"&gt;="&amp;AW$2,FECHA_BOV2,"&lt;="&amp;AW$3,CLAVE_BOV2,$A318)+SUMIFS(SALIDAS_BOV3,FECHA_BOV3,"&gt;="&amp;AW$2,FECHA_BOV3,"&lt;="&amp;AW$3,CLAVE_BOV3,$A318)+SUMIFS(SALIDAS_TC,FECHA_TC,"&gt;="&amp;AW$2,FECHA_TC,"&lt;="&amp;AW$3,CLAVE_TC,$A318)+SUMIFS(SALIDAS_COMB,FECHA_COMB,"&gt;="&amp;AW$2,FECHA_COMB,"&lt;="&amp;AW$3,CLAVE_COMB,$A318)+SUMIFS(SALIDAS_DES,FECHA_DESGLOSEN,"&gt;="&amp;AW$2,FECHA_DESGLOSEN,"&lt;="&amp;AW$3,CLAVE_DESGLOSE,$A318)</f>
        <v>231.82</v>
      </c>
      <c r="AX318" s="162">
        <f>SUMIFS(SALIDAS_BIT,FECHA_BIT,"&gt;="&amp;AX$2,FECHA_BIT,"&lt;="&amp;AX$3,CLAVE_BIT,$A318)+SUMIFS(SALIDAS_BOV1,FECHA_BOV1,"&gt;="&amp;AX$2,FECHA_BOV1,"&lt;="&amp;AX$3,CLAVE_BOV1,$A318)+SUMIFS(SALIDAS_BOV2,FECHA_BOV2,"&gt;="&amp;AX$2,FECHA_BOV2,"&lt;="&amp;AX$3,CLAVE_BOV2,$A318)+SUMIFS(SALIDAS_BOV3,FECHA_BOV3,"&gt;="&amp;AX$2,FECHA_BOV3,"&lt;="&amp;AX$3,CLAVE_BOV3,$A318)+SUMIFS(SALIDAS_TC,FECHA_TC,"&gt;="&amp;AX$2,FECHA_TC,"&lt;="&amp;AX$3,CLAVE_TC,$A318)+SUMIFS(SALIDAS_COMB,FECHA_COMB,"&gt;="&amp;AX$2,FECHA_COMB,"&lt;="&amp;AX$3,CLAVE_COMB,$A318)+SUMIFS(SALIDAS_DES,FECHA_DESGLOSEN,"&gt;="&amp;AX$2,FECHA_DESGLOSEN,"&lt;="&amp;AX$3,CLAVE_DESGLOSE,$A318)</f>
        <v>0</v>
      </c>
      <c r="AY318" s="162">
        <f>SUMIFS(SALIDAS_BIT,FECHA_BIT,"&gt;="&amp;AY$2,FECHA_BIT,"&lt;="&amp;AY$3,CLAVE_BIT,$A318)+SUMIFS(SALIDAS_BOV1,FECHA_BOV1,"&gt;="&amp;AY$2,FECHA_BOV1,"&lt;="&amp;AY$3,CLAVE_BOV1,$A318)+SUMIFS(SALIDAS_BOV2,FECHA_BOV2,"&gt;="&amp;AY$2,FECHA_BOV2,"&lt;="&amp;AY$3,CLAVE_BOV2,$A318)+SUMIFS(SALIDAS_BOV3,FECHA_BOV3,"&gt;="&amp;AY$2,FECHA_BOV3,"&lt;="&amp;AY$3,CLAVE_BOV3,$A318)+SUMIFS(SALIDAS_TC,FECHA_TC,"&gt;="&amp;AY$2,FECHA_TC,"&lt;="&amp;AY$3,CLAVE_TC,$A318)+SUMIFS(SALIDAS_COMB,FECHA_COMB,"&gt;="&amp;AY$2,FECHA_COMB,"&lt;="&amp;AY$3,CLAVE_COMB,$A318)+SUMIFS(SALIDAS_DES,FECHA_DESGLOSEN,"&gt;="&amp;AY$2,FECHA_DESGLOSEN,"&lt;="&amp;AY$3,CLAVE_DESGLOSE,$A318)</f>
        <v>0</v>
      </c>
      <c r="AZ318" s="162">
        <f>SUMIFS(SALIDAS_BIT,FECHA_BIT,"&gt;="&amp;AZ$2,FECHA_BIT,"&lt;="&amp;AZ$3,CLAVE_BIT,$A318)+SUMIFS(SALIDAS_BOV1,FECHA_BOV1,"&gt;="&amp;AZ$2,FECHA_BOV1,"&lt;="&amp;AZ$3,CLAVE_BOV1,$A318)+SUMIFS(SALIDAS_BOV2,FECHA_BOV2,"&gt;="&amp;AZ$2,FECHA_BOV2,"&lt;="&amp;AZ$3,CLAVE_BOV2,$A318)+SUMIFS(SALIDAS_BOV3,FECHA_BOV3,"&gt;="&amp;AZ$2,FECHA_BOV3,"&lt;="&amp;AZ$3,CLAVE_BOV3,$A318)+SUMIFS(SALIDAS_TC,FECHA_TC,"&gt;="&amp;AZ$2,FECHA_TC,"&lt;="&amp;AZ$3,CLAVE_TC,$A318)+SUMIFS(SALIDAS_COMB,FECHA_COMB,"&gt;="&amp;AZ$2,FECHA_COMB,"&lt;="&amp;AZ$3,CLAVE_COMB,$A318)+SUMIFS(SALIDAS_DES,FECHA_DESGLOSEN,"&gt;="&amp;AZ$2,FECHA_DESGLOSEN,"&lt;="&amp;AZ$3,CLAVE_DESGLOSE,$A318)</f>
        <v>0</v>
      </c>
      <c r="BA318" s="162">
        <f>SUMIFS(SALIDAS_BIT,FECHA_BIT,"&gt;="&amp;BA$2,FECHA_BIT,"&lt;="&amp;BA$3,CLAVE_BIT,$A318)+SUMIFS(SALIDAS_BOV1,FECHA_BOV1,"&gt;="&amp;BA$2,FECHA_BOV1,"&lt;="&amp;BA$3,CLAVE_BOV1,$A318)+SUMIFS(SALIDAS_BOV2,FECHA_BOV2,"&gt;="&amp;BA$2,FECHA_BOV2,"&lt;="&amp;BA$3,CLAVE_BOV2,$A318)+SUMIFS(SALIDAS_BOV3,FECHA_BOV3,"&gt;="&amp;BA$2,FECHA_BOV3,"&lt;="&amp;BA$3,CLAVE_BOV3,$A318)+SUMIFS(SALIDAS_TC,FECHA_TC,"&gt;="&amp;BA$2,FECHA_TC,"&lt;="&amp;BA$3,CLAVE_TC,$A318)+SUMIFS(SALIDAS_COMB,FECHA_COMB,"&gt;="&amp;BA$2,FECHA_COMB,"&lt;="&amp;BA$3,CLAVE_COMB,$A318)+SUMIFS(SALIDAS_DES,FECHA_DESGLOSEN,"&gt;="&amp;BA$2,FECHA_DESGLOSEN,"&lt;="&amp;BA$3,CLAVE_DESGLOSE,$A318)</f>
        <v>231.82</v>
      </c>
      <c r="BB318" s="227">
        <f t="shared" si="634"/>
        <v>-231.82</v>
      </c>
      <c r="BC318" s="301">
        <f t="shared" si="635"/>
        <v>0</v>
      </c>
      <c r="BD318" s="162">
        <f>VLOOKUP($A318,T_PRESUPUESTO,MATCH(BD$6,E_PRESUPUESTO,0),FALSE)</f>
        <v>0</v>
      </c>
      <c r="BE318" s="162">
        <f>SUMIFS(SALIDAS_BIT,FECHA_BIT,"&gt;="&amp;BE$2,FECHA_BIT,"&lt;="&amp;BE$3,CLAVE_BIT,$A318)+SUMIFS(SALIDAS_BOV1,FECHA_BOV1,"&gt;="&amp;BE$2,FECHA_BOV1,"&lt;="&amp;BE$3,CLAVE_BOV1,$A318)+SUMIFS(SALIDAS_BOV2,FECHA_BOV2,"&gt;="&amp;BE$2,FECHA_BOV2,"&lt;="&amp;BE$3,CLAVE_BOV2,$A318)+SUMIFS(SALIDAS_BOV3,FECHA_BOV3,"&gt;="&amp;BE$2,FECHA_BOV3,"&lt;="&amp;BE$3,CLAVE_BOV3,$A318)+SUMIFS(SALIDAS_TC,FECHA_TC,"&gt;="&amp;BE$2,FECHA_TC,"&lt;="&amp;BE$3,CLAVE_TC,$A318)+SUMIFS(SALIDAS_COMB,FECHA_COMB,"&gt;="&amp;BE$2,FECHA_COMB,"&lt;="&amp;BE$3,CLAVE_COMB,$A318)+SUMIFS(SALIDAS_DES,FECHA_DESGLOSEN,"&gt;="&amp;BE$2,FECHA_DESGLOSEN,"&lt;="&amp;BE$3,CLAVE_DESGLOSE,$A318)</f>
        <v>225.32</v>
      </c>
      <c r="BF318" s="162">
        <f>SUMIFS(SALIDAS_BIT,FECHA_BIT,"&gt;="&amp;BF$2,FECHA_BIT,"&lt;="&amp;BF$3,CLAVE_BIT,$A318)+SUMIFS(SALIDAS_BOV1,FECHA_BOV1,"&gt;="&amp;BF$2,FECHA_BOV1,"&lt;="&amp;BF$3,CLAVE_BOV1,$A318)+SUMIFS(SALIDAS_BOV2,FECHA_BOV2,"&gt;="&amp;BF$2,FECHA_BOV2,"&lt;="&amp;BF$3,CLAVE_BOV2,$A318)+SUMIFS(SALIDAS_BOV3,FECHA_BOV3,"&gt;="&amp;BF$2,FECHA_BOV3,"&lt;="&amp;BF$3,CLAVE_BOV3,$A318)+SUMIFS(SALIDAS_TC,FECHA_TC,"&gt;="&amp;BF$2,FECHA_TC,"&lt;="&amp;BF$3,CLAVE_TC,$A318)+SUMIFS(SALIDAS_COMB,FECHA_COMB,"&gt;="&amp;BF$2,FECHA_COMB,"&lt;="&amp;BF$3,CLAVE_COMB,$A318)+SUMIFS(SALIDAS_DES,FECHA_DESGLOSEN,"&gt;="&amp;BF$2,FECHA_DESGLOSEN,"&lt;="&amp;BF$3,CLAVE_DESGLOSE,$A318)</f>
        <v>0</v>
      </c>
      <c r="BG318" s="162">
        <f>SUMIFS(SALIDAS_BIT,FECHA_BIT,"&gt;="&amp;BG$2,FECHA_BIT,"&lt;="&amp;BG$3,CLAVE_BIT,$A318)+SUMIFS(SALIDAS_BOV1,FECHA_BOV1,"&gt;="&amp;BG$2,FECHA_BOV1,"&lt;="&amp;BG$3,CLAVE_BOV1,$A318)+SUMIFS(SALIDAS_BOV2,FECHA_BOV2,"&gt;="&amp;BG$2,FECHA_BOV2,"&lt;="&amp;BG$3,CLAVE_BOV2,$A318)+SUMIFS(SALIDAS_BOV3,FECHA_BOV3,"&gt;="&amp;BG$2,FECHA_BOV3,"&lt;="&amp;BG$3,CLAVE_BOV3,$A318)+SUMIFS(SALIDAS_TC,FECHA_TC,"&gt;="&amp;BG$2,FECHA_TC,"&lt;="&amp;BG$3,CLAVE_TC,$A318)+SUMIFS(SALIDAS_COMB,FECHA_COMB,"&gt;="&amp;BG$2,FECHA_COMB,"&lt;="&amp;BG$3,CLAVE_COMB,$A318)+SUMIFS(SALIDAS_DES,FECHA_DESGLOSEN,"&gt;="&amp;BG$2,FECHA_DESGLOSEN,"&lt;="&amp;BG$3,CLAVE_DESGLOSE,$A318)</f>
        <v>0</v>
      </c>
      <c r="BH318" s="162">
        <f>SUMIFS(SALIDAS_BIT,FECHA_BIT,"&gt;="&amp;BH$2,FECHA_BIT,"&lt;="&amp;BH$3,CLAVE_BIT,$A318)+SUMIFS(SALIDAS_BOV1,FECHA_BOV1,"&gt;="&amp;BH$2,FECHA_BOV1,"&lt;="&amp;BH$3,CLAVE_BOV1,$A318)+SUMIFS(SALIDAS_BOV2,FECHA_BOV2,"&gt;="&amp;BH$2,FECHA_BOV2,"&lt;="&amp;BH$3,CLAVE_BOV2,$A318)+SUMIFS(SALIDAS_BOV3,FECHA_BOV3,"&gt;="&amp;BH$2,FECHA_BOV3,"&lt;="&amp;BH$3,CLAVE_BOV3,$A318)+SUMIFS(SALIDAS_TC,FECHA_TC,"&gt;="&amp;BH$2,FECHA_TC,"&lt;="&amp;BH$3,CLAVE_TC,$A318)+SUMIFS(SALIDAS_COMB,FECHA_COMB,"&gt;="&amp;BH$2,FECHA_COMB,"&lt;="&amp;BH$3,CLAVE_COMB,$A318)+SUMIFS(SALIDAS_DES,FECHA_DESGLOSEN,"&gt;="&amp;BH$2,FECHA_DESGLOSEN,"&lt;="&amp;BH$3,CLAVE_DESGLOSE,$A318)</f>
        <v>0</v>
      </c>
      <c r="BI318" s="162">
        <f>SUMIFS(SALIDAS_BIT,FECHA_BIT,"&gt;="&amp;BI$2,FECHA_BIT,"&lt;="&amp;BI$3,CLAVE_BIT,$A318)+SUMIFS(SALIDAS_BOV1,FECHA_BOV1,"&gt;="&amp;BI$2,FECHA_BOV1,"&lt;="&amp;BI$3,CLAVE_BOV1,$A318)+SUMIFS(SALIDAS_BOV2,FECHA_BOV2,"&gt;="&amp;BI$2,FECHA_BOV2,"&lt;="&amp;BI$3,CLAVE_BOV2,$A318)+SUMIFS(SALIDAS_BOV3,FECHA_BOV3,"&gt;="&amp;BI$2,FECHA_BOV3,"&lt;="&amp;BI$3,CLAVE_BOV3,$A318)+SUMIFS(SALIDAS_TC,FECHA_TC,"&gt;="&amp;BI$2,FECHA_TC,"&lt;="&amp;BI$3,CLAVE_TC,$A318)+SUMIFS(SALIDAS_COMB,FECHA_COMB,"&gt;="&amp;BI$2,FECHA_COMB,"&lt;="&amp;BI$3,CLAVE_COMB,$A318)+SUMIFS(SALIDAS_DES,FECHA_DESGLOSEN,"&gt;="&amp;BI$2,FECHA_DESGLOSEN,"&lt;="&amp;BI$3,CLAVE_DESGLOSE,$A318)</f>
        <v>225.32</v>
      </c>
      <c r="BJ318" s="227">
        <f t="shared" si="636"/>
        <v>-225.32</v>
      </c>
      <c r="BK318" s="301">
        <f t="shared" si="637"/>
        <v>0</v>
      </c>
      <c r="BL318" s="162">
        <f>VLOOKUP($A318,T_PRESUPUESTO,MATCH(BL$6,E_PRESUPUESTO,0),FALSE)</f>
        <v>0</v>
      </c>
      <c r="BM318" s="162">
        <f>SUMIFS(SALIDAS_BIT,FECHA_BIT,"&gt;="&amp;BM$2,FECHA_BIT,"&lt;="&amp;BM$3,CLAVE_BIT,$A318)+SUMIFS(SALIDAS_BOV1,FECHA_BOV1,"&gt;="&amp;BM$2,FECHA_BOV1,"&lt;="&amp;BM$3,CLAVE_BOV1,$A318)+SUMIFS(SALIDAS_BOV2,FECHA_BOV2,"&gt;="&amp;BM$2,FECHA_BOV2,"&lt;="&amp;BM$3,CLAVE_BOV2,$A318)+SUMIFS(SALIDAS_BOV3,FECHA_BOV3,"&gt;="&amp;BM$2,FECHA_BOV3,"&lt;="&amp;BM$3,CLAVE_BOV3,$A318)+SUMIFS(SALIDAS_TC,FECHA_TC,"&gt;="&amp;BM$2,FECHA_TC,"&lt;="&amp;BM$3,CLAVE_TC,$A318)+SUMIFS(SALIDAS_COMB,FECHA_COMB,"&gt;="&amp;BM$2,FECHA_COMB,"&lt;="&amp;BM$3,CLAVE_COMB,$A318)+SUMIFS(SALIDAS_DES,FECHA_DESGLOSEN,"&gt;="&amp;BM$2,FECHA_DESGLOSEN,"&lt;="&amp;BM$3,CLAVE_DESGLOSE,$A318)</f>
        <v>0</v>
      </c>
      <c r="BN318" s="162">
        <f>SUMIFS(SALIDAS_BIT,FECHA_BIT,"&gt;="&amp;BN$2,FECHA_BIT,"&lt;="&amp;BN$3,CLAVE_BIT,$A318)+SUMIFS(SALIDAS_BOV1,FECHA_BOV1,"&gt;="&amp;BN$2,FECHA_BOV1,"&lt;="&amp;BN$3,CLAVE_BOV1,$A318)+SUMIFS(SALIDAS_BOV2,FECHA_BOV2,"&gt;="&amp;BN$2,FECHA_BOV2,"&lt;="&amp;BN$3,CLAVE_BOV2,$A318)+SUMIFS(SALIDAS_BOV3,FECHA_BOV3,"&gt;="&amp;BN$2,FECHA_BOV3,"&lt;="&amp;BN$3,CLAVE_BOV3,$A318)+SUMIFS(SALIDAS_TC,FECHA_TC,"&gt;="&amp;BN$2,FECHA_TC,"&lt;="&amp;BN$3,CLAVE_TC,$A318)+SUMIFS(SALIDAS_COMB,FECHA_COMB,"&gt;="&amp;BN$2,FECHA_COMB,"&lt;="&amp;BN$3,CLAVE_COMB,$A318)+SUMIFS(SALIDAS_DES,FECHA_DESGLOSEN,"&gt;="&amp;BN$2,FECHA_DESGLOSEN,"&lt;="&amp;BN$3,CLAVE_DESGLOSE,$A318)</f>
        <v>227.74</v>
      </c>
      <c r="BO318" s="162">
        <f>SUMIFS(SALIDAS_BIT,FECHA_BIT,"&gt;="&amp;BO$2,FECHA_BIT,"&lt;="&amp;BO$3,CLAVE_BIT,$A318)+SUMIFS(SALIDAS_BOV1,FECHA_BOV1,"&gt;="&amp;BO$2,FECHA_BOV1,"&lt;="&amp;BO$3,CLAVE_BOV1,$A318)+SUMIFS(SALIDAS_BOV2,FECHA_BOV2,"&gt;="&amp;BO$2,FECHA_BOV2,"&lt;="&amp;BO$3,CLAVE_BOV2,$A318)+SUMIFS(SALIDAS_BOV3,FECHA_BOV3,"&gt;="&amp;BO$2,FECHA_BOV3,"&lt;="&amp;BO$3,CLAVE_BOV3,$A318)+SUMIFS(SALIDAS_TC,FECHA_TC,"&gt;="&amp;BO$2,FECHA_TC,"&lt;="&amp;BO$3,CLAVE_TC,$A318)+SUMIFS(SALIDAS_COMB,FECHA_COMB,"&gt;="&amp;BO$2,FECHA_COMB,"&lt;="&amp;BO$3,CLAVE_COMB,$A318)+SUMIFS(SALIDAS_DES,FECHA_DESGLOSEN,"&gt;="&amp;BO$2,FECHA_DESGLOSEN,"&lt;="&amp;BO$3,CLAVE_DESGLOSE,$A318)</f>
        <v>0</v>
      </c>
      <c r="BP318" s="162">
        <f>SUMIFS(SALIDAS_BIT,FECHA_BIT,"&gt;="&amp;BP$2,FECHA_BIT,"&lt;="&amp;BP$3,CLAVE_BIT,$A318)+SUMIFS(SALIDAS_BOV1,FECHA_BOV1,"&gt;="&amp;BP$2,FECHA_BOV1,"&lt;="&amp;BP$3,CLAVE_BOV1,$A318)+SUMIFS(SALIDAS_BOV2,FECHA_BOV2,"&gt;="&amp;BP$2,FECHA_BOV2,"&lt;="&amp;BP$3,CLAVE_BOV2,$A318)+SUMIFS(SALIDAS_BOV3,FECHA_BOV3,"&gt;="&amp;BP$2,FECHA_BOV3,"&lt;="&amp;BP$3,CLAVE_BOV3,$A318)+SUMIFS(SALIDAS_TC,FECHA_TC,"&gt;="&amp;BP$2,FECHA_TC,"&lt;="&amp;BP$3,CLAVE_TC,$A318)+SUMIFS(SALIDAS_COMB,FECHA_COMB,"&gt;="&amp;BP$2,FECHA_COMB,"&lt;="&amp;BP$3,CLAVE_COMB,$A318)+SUMIFS(SALIDAS_DES,FECHA_DESGLOSEN,"&gt;="&amp;BP$2,FECHA_DESGLOSEN,"&lt;="&amp;BP$3,CLAVE_DESGLOSE,$A318)</f>
        <v>0</v>
      </c>
      <c r="BQ318" s="162">
        <f>SUMIFS(SALIDAS_BIT,FECHA_BIT,"&gt;="&amp;BQ$2,FECHA_BIT,"&lt;="&amp;BQ$3,CLAVE_BIT,$A318)+SUMIFS(SALIDAS_BOV1,FECHA_BOV1,"&gt;="&amp;BQ$2,FECHA_BOV1,"&lt;="&amp;BQ$3,CLAVE_BOV1,$A318)+SUMIFS(SALIDAS_BOV2,FECHA_BOV2,"&gt;="&amp;BQ$2,FECHA_BOV2,"&lt;="&amp;BQ$3,CLAVE_BOV2,$A318)+SUMIFS(SALIDAS_BOV3,FECHA_BOV3,"&gt;="&amp;BQ$2,FECHA_BOV3,"&lt;="&amp;BQ$3,CLAVE_BOV3,$A318)+SUMIFS(SALIDAS_TC,FECHA_TC,"&gt;="&amp;BQ$2,FECHA_TC,"&lt;="&amp;BQ$3,CLAVE_TC,$A318)+SUMIFS(SALIDAS_COMB,FECHA_COMB,"&gt;="&amp;BQ$2,FECHA_COMB,"&lt;="&amp;BQ$3,CLAVE_COMB,$A318)+SUMIFS(SALIDAS_DES,FECHA_DESGLOSEN,"&gt;="&amp;BQ$2,FECHA_DESGLOSEN,"&lt;="&amp;BQ$3,CLAVE_DESGLOSE,$A318)</f>
        <v>0</v>
      </c>
      <c r="BR318" s="162">
        <f>SUMIFS(SALIDAS_BIT,FECHA_BIT,"&gt;="&amp;BR$2,FECHA_BIT,"&lt;="&amp;BR$3,CLAVE_BIT,$A318)+SUMIFS(SALIDAS_BOV1,FECHA_BOV1,"&gt;="&amp;BR$2,FECHA_BOV1,"&lt;="&amp;BR$3,CLAVE_BOV1,$A318)+SUMIFS(SALIDAS_BOV2,FECHA_BOV2,"&gt;="&amp;BR$2,FECHA_BOV2,"&lt;="&amp;BR$3,CLAVE_BOV2,$A318)+SUMIFS(SALIDAS_BOV3,FECHA_BOV3,"&gt;="&amp;BR$2,FECHA_BOV3,"&lt;="&amp;BR$3,CLAVE_BOV3,$A318)+SUMIFS(SALIDAS_TC,FECHA_TC,"&gt;="&amp;BR$2,FECHA_TC,"&lt;="&amp;BR$3,CLAVE_TC,$A318)+SUMIFS(SALIDAS_COMB,FECHA_COMB,"&gt;="&amp;BR$2,FECHA_COMB,"&lt;="&amp;BR$3,CLAVE_COMB,$A318)+SUMIFS(SALIDAS_DES,FECHA_DESGLOSEN,"&gt;="&amp;BR$2,FECHA_DESGLOSEN,"&lt;="&amp;BR$3,CLAVE_DESGLOSE,$A318)</f>
        <v>227.74</v>
      </c>
      <c r="BS318" s="227">
        <f t="shared" si="638"/>
        <v>-227.74</v>
      </c>
      <c r="BT318" s="301">
        <f t="shared" si="639"/>
        <v>0</v>
      </c>
      <c r="BU318" s="162">
        <f>VLOOKUP($A318,T_PRESUPUESTO,MATCH(BU$6,E_PRESUPUESTO,0),FALSE)</f>
        <v>0</v>
      </c>
      <c r="BV318" s="162">
        <f>SUMIFS(SALIDAS_BIT,FECHA_BIT,"&gt;="&amp;BV$2,FECHA_BIT,"&lt;="&amp;BV$3,CLAVE_BIT,$A318)+SUMIFS(SALIDAS_BOV1,FECHA_BOV1,"&gt;="&amp;BV$2,FECHA_BOV1,"&lt;="&amp;BV$3,CLAVE_BOV1,$A318)+SUMIFS(SALIDAS_BOV2,FECHA_BOV2,"&gt;="&amp;BV$2,FECHA_BOV2,"&lt;="&amp;BV$3,CLAVE_BOV2,$A318)+SUMIFS(SALIDAS_BOV3,FECHA_BOV3,"&gt;="&amp;BV$2,FECHA_BOV3,"&lt;="&amp;BV$3,CLAVE_BOV3,$A318)+SUMIFS(SALIDAS_TC,FECHA_TC,"&gt;="&amp;BV$2,FECHA_TC,"&lt;="&amp;BV$3,CLAVE_TC,$A318)+SUMIFS(SALIDAS_COMB,FECHA_COMB,"&gt;="&amp;BV$2,FECHA_COMB,"&lt;="&amp;BV$3,CLAVE_COMB,$A318)+SUMIFS(SALIDAS_DES,FECHA_DESGLOSEN,"&gt;="&amp;BV$2,FECHA_DESGLOSEN,"&lt;="&amp;BV$3,CLAVE_DESGLOSE,$A318)</f>
        <v>226.86</v>
      </c>
      <c r="BW318" s="162">
        <f>SUMIFS(SALIDAS_BIT,FECHA_BIT,"&gt;="&amp;BW$2,FECHA_BIT,"&lt;="&amp;BW$3,CLAVE_BIT,$A318)+SUMIFS(SALIDAS_BOV1,FECHA_BOV1,"&gt;="&amp;BW$2,FECHA_BOV1,"&lt;="&amp;BW$3,CLAVE_BOV1,$A318)+SUMIFS(SALIDAS_BOV2,FECHA_BOV2,"&gt;="&amp;BW$2,FECHA_BOV2,"&lt;="&amp;BW$3,CLAVE_BOV2,$A318)+SUMIFS(SALIDAS_BOV3,FECHA_BOV3,"&gt;="&amp;BW$2,FECHA_BOV3,"&lt;="&amp;BW$3,CLAVE_BOV3,$A318)+SUMIFS(SALIDAS_TC,FECHA_TC,"&gt;="&amp;BW$2,FECHA_TC,"&lt;="&amp;BW$3,CLAVE_TC,$A318)+SUMIFS(SALIDAS_COMB,FECHA_COMB,"&gt;="&amp;BW$2,FECHA_COMB,"&lt;="&amp;BW$3,CLAVE_COMB,$A318)+SUMIFS(SALIDAS_DES,FECHA_DESGLOSEN,"&gt;="&amp;BW$2,FECHA_DESGLOSEN,"&lt;="&amp;BW$3,CLAVE_DESGLOSE,$A318)</f>
        <v>0</v>
      </c>
      <c r="BX318" s="162">
        <f>SUMIFS(SALIDAS_BIT,FECHA_BIT,"&gt;="&amp;BX$2,FECHA_BIT,"&lt;="&amp;BX$3,CLAVE_BIT,$A318)+SUMIFS(SALIDAS_BOV1,FECHA_BOV1,"&gt;="&amp;BX$2,FECHA_BOV1,"&lt;="&amp;BX$3,CLAVE_BOV1,$A318)+SUMIFS(SALIDAS_BOV2,FECHA_BOV2,"&gt;="&amp;BX$2,FECHA_BOV2,"&lt;="&amp;BX$3,CLAVE_BOV2,$A318)+SUMIFS(SALIDAS_BOV3,FECHA_BOV3,"&gt;="&amp;BX$2,FECHA_BOV3,"&lt;="&amp;BX$3,CLAVE_BOV3,$A318)+SUMIFS(SALIDAS_TC,FECHA_TC,"&gt;="&amp;BX$2,FECHA_TC,"&lt;="&amp;BX$3,CLAVE_TC,$A318)+SUMIFS(SALIDAS_COMB,FECHA_COMB,"&gt;="&amp;BX$2,FECHA_COMB,"&lt;="&amp;BX$3,CLAVE_COMB,$A318)+SUMIFS(SALIDAS_DES,FECHA_DESGLOSEN,"&gt;="&amp;BX$2,FECHA_DESGLOSEN,"&lt;="&amp;BX$3,CLAVE_DESGLOSE,$A318)</f>
        <v>0</v>
      </c>
      <c r="BY318" s="162">
        <f>SUMIFS(SALIDAS_BIT,FECHA_BIT,"&gt;="&amp;BY$2,FECHA_BIT,"&lt;="&amp;BY$3,CLAVE_BIT,$A318)+SUMIFS(SALIDAS_BOV1,FECHA_BOV1,"&gt;="&amp;BY$2,FECHA_BOV1,"&lt;="&amp;BY$3,CLAVE_BOV1,$A318)+SUMIFS(SALIDAS_BOV2,FECHA_BOV2,"&gt;="&amp;BY$2,FECHA_BOV2,"&lt;="&amp;BY$3,CLAVE_BOV2,$A318)+SUMIFS(SALIDAS_BOV3,FECHA_BOV3,"&gt;="&amp;BY$2,FECHA_BOV3,"&lt;="&amp;BY$3,CLAVE_BOV3,$A318)+SUMIFS(SALIDAS_TC,FECHA_TC,"&gt;="&amp;BY$2,FECHA_TC,"&lt;="&amp;BY$3,CLAVE_TC,$A318)+SUMIFS(SALIDAS_COMB,FECHA_COMB,"&gt;="&amp;BY$2,FECHA_COMB,"&lt;="&amp;BY$3,CLAVE_COMB,$A318)+SUMIFS(SALIDAS_DES,FECHA_DESGLOSEN,"&gt;="&amp;BY$2,FECHA_DESGLOSEN,"&lt;="&amp;BY$3,CLAVE_DESGLOSE,$A318)</f>
        <v>0</v>
      </c>
      <c r="BZ318" s="162">
        <f>SUMIFS(SALIDAS_BIT,FECHA_BIT,"&gt;="&amp;BZ$2,FECHA_BIT,"&lt;="&amp;BZ$3,CLAVE_BIT,$A318)+SUMIFS(SALIDAS_BOV1,FECHA_BOV1,"&gt;="&amp;BZ$2,FECHA_BOV1,"&lt;="&amp;BZ$3,CLAVE_BOV1,$A318)+SUMIFS(SALIDAS_BOV2,FECHA_BOV2,"&gt;="&amp;BZ$2,FECHA_BOV2,"&lt;="&amp;BZ$3,CLAVE_BOV2,$A318)+SUMIFS(SALIDAS_BOV3,FECHA_BOV3,"&gt;="&amp;BZ$2,FECHA_BOV3,"&lt;="&amp;BZ$3,CLAVE_BOV3,$A318)+SUMIFS(SALIDAS_TC,FECHA_TC,"&gt;="&amp;BZ$2,FECHA_TC,"&lt;="&amp;BZ$3,CLAVE_TC,$A318)+SUMIFS(SALIDAS_COMB,FECHA_COMB,"&gt;="&amp;BZ$2,FECHA_COMB,"&lt;="&amp;BZ$3,CLAVE_COMB,$A318)+SUMIFS(SALIDAS_DES,FECHA_DESGLOSEN,"&gt;="&amp;BZ$2,FECHA_DESGLOSEN,"&lt;="&amp;BZ$3,CLAVE_DESGLOSE,$A318)</f>
        <v>226.86</v>
      </c>
      <c r="CA318" s="227">
        <f t="shared" si="640"/>
        <v>-226.86</v>
      </c>
      <c r="CB318" s="301">
        <f t="shared" si="641"/>
        <v>0</v>
      </c>
      <c r="CC318" s="162">
        <f>VLOOKUP($A318,T_PRESUPUESTO,MATCH(CC$6,E_PRESUPUESTO,0),FALSE)</f>
        <v>0</v>
      </c>
      <c r="CD318" s="162">
        <f>SUMIFS(SALIDAS_BIT,FECHA_BIT,"&gt;="&amp;CD$2,FECHA_BIT,"&lt;="&amp;CD$3,CLAVE_BIT,$A318)+SUMIFS(SALIDAS_BOV1,FECHA_BOV1,"&gt;="&amp;CD$2,FECHA_BOV1,"&lt;="&amp;CD$3,CLAVE_BOV1,$A318)+SUMIFS(SALIDAS_BOV2,FECHA_BOV2,"&gt;="&amp;CD$2,FECHA_BOV2,"&lt;="&amp;CD$3,CLAVE_BOV2,$A318)+SUMIFS(SALIDAS_BOV3,FECHA_BOV3,"&gt;="&amp;CD$2,FECHA_BOV3,"&lt;="&amp;CD$3,CLAVE_BOV3,$A318)+SUMIFS(SALIDAS_TC,FECHA_TC,"&gt;="&amp;CD$2,FECHA_TC,"&lt;="&amp;CD$3,CLAVE_TC,$A318)+SUMIFS(SALIDAS_COMB,FECHA_COMB,"&gt;="&amp;CD$2,FECHA_COMB,"&lt;="&amp;CD$3,CLAVE_COMB,$A318)+SUMIFS(SALIDAS_DES,FECHA_DESGLOSEN,"&gt;="&amp;CD$2,FECHA_DESGLOSEN,"&lt;="&amp;CD$3,CLAVE_DESGLOSE,$A318)</f>
        <v>223.36</v>
      </c>
      <c r="CE318" s="162">
        <f>SUMIFS(SALIDAS_BIT,FECHA_BIT,"&gt;="&amp;CE$2,FECHA_BIT,"&lt;="&amp;CE$3,CLAVE_BIT,$A318)+SUMIFS(SALIDAS_BOV1,FECHA_BOV1,"&gt;="&amp;CE$2,FECHA_BOV1,"&lt;="&amp;CE$3,CLAVE_BOV1,$A318)+SUMIFS(SALIDAS_BOV2,FECHA_BOV2,"&gt;="&amp;CE$2,FECHA_BOV2,"&lt;="&amp;CE$3,CLAVE_BOV2,$A318)+SUMIFS(SALIDAS_BOV3,FECHA_BOV3,"&gt;="&amp;CE$2,FECHA_BOV3,"&lt;="&amp;CE$3,CLAVE_BOV3,$A318)+SUMIFS(SALIDAS_TC,FECHA_TC,"&gt;="&amp;CE$2,FECHA_TC,"&lt;="&amp;CE$3,CLAVE_TC,$A318)+SUMIFS(SALIDAS_COMB,FECHA_COMB,"&gt;="&amp;CE$2,FECHA_COMB,"&lt;="&amp;CE$3,CLAVE_COMB,$A318)+SUMIFS(SALIDAS_DES,FECHA_DESGLOSEN,"&gt;="&amp;CE$2,FECHA_DESGLOSEN,"&lt;="&amp;CE$3,CLAVE_DESGLOSE,$A318)</f>
        <v>0</v>
      </c>
      <c r="CF318" s="162">
        <f>SUMIFS(SALIDAS_BIT,FECHA_BIT,"&gt;="&amp;CF$2,FECHA_BIT,"&lt;="&amp;CF$3,CLAVE_BIT,$A318)+SUMIFS(SALIDAS_BOV1,FECHA_BOV1,"&gt;="&amp;CF$2,FECHA_BOV1,"&lt;="&amp;CF$3,CLAVE_BOV1,$A318)+SUMIFS(SALIDAS_BOV2,FECHA_BOV2,"&gt;="&amp;CF$2,FECHA_BOV2,"&lt;="&amp;CF$3,CLAVE_BOV2,$A318)+SUMIFS(SALIDAS_BOV3,FECHA_BOV3,"&gt;="&amp;CF$2,FECHA_BOV3,"&lt;="&amp;CF$3,CLAVE_BOV3,$A318)+SUMIFS(SALIDAS_TC,FECHA_TC,"&gt;="&amp;CF$2,FECHA_TC,"&lt;="&amp;CF$3,CLAVE_TC,$A318)+SUMIFS(SALIDAS_COMB,FECHA_COMB,"&gt;="&amp;CF$2,FECHA_COMB,"&lt;="&amp;CF$3,CLAVE_COMB,$A318)+SUMIFS(SALIDAS_DES,FECHA_DESGLOSEN,"&gt;="&amp;CF$2,FECHA_DESGLOSEN,"&lt;="&amp;CF$3,CLAVE_DESGLOSE,$A318)</f>
        <v>0</v>
      </c>
      <c r="CG318" s="162">
        <f>SUMIFS(SALIDAS_BIT,FECHA_BIT,"&gt;="&amp;CG$2,FECHA_BIT,"&lt;="&amp;CG$3,CLAVE_BIT,$A318)+SUMIFS(SALIDAS_BOV1,FECHA_BOV1,"&gt;="&amp;CG$2,FECHA_BOV1,"&lt;="&amp;CG$3,CLAVE_BOV1,$A318)+SUMIFS(SALIDAS_BOV2,FECHA_BOV2,"&gt;="&amp;CG$2,FECHA_BOV2,"&lt;="&amp;CG$3,CLAVE_BOV2,$A318)+SUMIFS(SALIDAS_BOV3,FECHA_BOV3,"&gt;="&amp;CG$2,FECHA_BOV3,"&lt;="&amp;CG$3,CLAVE_BOV3,$A318)+SUMIFS(SALIDAS_TC,FECHA_TC,"&gt;="&amp;CG$2,FECHA_TC,"&lt;="&amp;CG$3,CLAVE_TC,$A318)+SUMIFS(SALIDAS_COMB,FECHA_COMB,"&gt;="&amp;CG$2,FECHA_COMB,"&lt;="&amp;CG$3,CLAVE_COMB,$A318)+SUMIFS(SALIDAS_DES,FECHA_DESGLOSEN,"&gt;="&amp;CG$2,FECHA_DESGLOSEN,"&lt;="&amp;CG$3,CLAVE_DESGLOSE,$A318)</f>
        <v>0</v>
      </c>
      <c r="CH318" s="162">
        <f>SUMIFS(SALIDAS_BIT,FECHA_BIT,"&gt;="&amp;CH$2,FECHA_BIT,"&lt;="&amp;CH$3,CLAVE_BIT,$A318)+SUMIFS(SALIDAS_BOV1,FECHA_BOV1,"&gt;="&amp;CH$2,FECHA_BOV1,"&lt;="&amp;CH$3,CLAVE_BOV1,$A318)+SUMIFS(SALIDAS_BOV2,FECHA_BOV2,"&gt;="&amp;CH$2,FECHA_BOV2,"&lt;="&amp;CH$3,CLAVE_BOV2,$A318)+SUMIFS(SALIDAS_BOV3,FECHA_BOV3,"&gt;="&amp;CH$2,FECHA_BOV3,"&lt;="&amp;CH$3,CLAVE_BOV3,$A318)+SUMIFS(SALIDAS_TC,FECHA_TC,"&gt;="&amp;CH$2,FECHA_TC,"&lt;="&amp;CH$3,CLAVE_TC,$A318)+SUMIFS(SALIDAS_COMB,FECHA_COMB,"&gt;="&amp;CH$2,FECHA_COMB,"&lt;="&amp;CH$3,CLAVE_COMB,$A318)+SUMIFS(SALIDAS_DES,FECHA_DESGLOSEN,"&gt;="&amp;CH$2,FECHA_DESGLOSEN,"&lt;="&amp;CH$3,CLAVE_DESGLOSE,$A318)</f>
        <v>223.36</v>
      </c>
      <c r="CI318" s="227">
        <f t="shared" si="642"/>
        <v>-223.36</v>
      </c>
      <c r="CJ318" s="301">
        <f t="shared" si="643"/>
        <v>0</v>
      </c>
      <c r="CK318" s="162">
        <f>VLOOKUP($A318,T_PRESUPUESTO,MATCH(CK$6,E_PRESUPUESTO,0),FALSE)</f>
        <v>0</v>
      </c>
      <c r="CL318" s="162">
        <f>SUMIFS(SALIDAS_BIT,FECHA_BIT,"&gt;="&amp;CL$2,FECHA_BIT,"&lt;="&amp;CL$3,CLAVE_BIT,$A318)+SUMIFS(SALIDAS_BOV1,FECHA_BOV1,"&gt;="&amp;CL$2,FECHA_BOV1,"&lt;="&amp;CL$3,CLAVE_BOV1,$A318)+SUMIFS(SALIDAS_BOV2,FECHA_BOV2,"&gt;="&amp;CL$2,FECHA_BOV2,"&lt;="&amp;CL$3,CLAVE_BOV2,$A318)+SUMIFS(SALIDAS_BOV3,FECHA_BOV3,"&gt;="&amp;CL$2,FECHA_BOV3,"&lt;="&amp;CL$3,CLAVE_BOV3,$A318)+SUMIFS(SALIDAS_TC,FECHA_TC,"&gt;="&amp;CL$2,FECHA_TC,"&lt;="&amp;CL$3,CLAVE_TC,$A318)+SUMIFS(SALIDAS_COMB,FECHA_COMB,"&gt;="&amp;CL$2,FECHA_COMB,"&lt;="&amp;CL$3,CLAVE_COMB,$A318)+SUMIFS(SALIDAS_DES,FECHA_DESGLOSEN,"&gt;="&amp;CL$2,FECHA_DESGLOSEN,"&lt;="&amp;CL$3,CLAVE_DESGLOSE,$A318)</f>
        <v>0</v>
      </c>
      <c r="CM318" s="162">
        <f>SUMIFS(SALIDAS_BIT,FECHA_BIT,"&gt;="&amp;CM$2,FECHA_BIT,"&lt;="&amp;CM$3,CLAVE_BIT,$A318)+SUMIFS(SALIDAS_BOV1,FECHA_BOV1,"&gt;="&amp;CM$2,FECHA_BOV1,"&lt;="&amp;CM$3,CLAVE_BOV1,$A318)+SUMIFS(SALIDAS_BOV2,FECHA_BOV2,"&gt;="&amp;CM$2,FECHA_BOV2,"&lt;="&amp;CM$3,CLAVE_BOV2,$A318)+SUMIFS(SALIDAS_BOV3,FECHA_BOV3,"&gt;="&amp;CM$2,FECHA_BOV3,"&lt;="&amp;CM$3,CLAVE_BOV3,$A318)+SUMIFS(SALIDAS_TC,FECHA_TC,"&gt;="&amp;CM$2,FECHA_TC,"&lt;="&amp;CM$3,CLAVE_TC,$A318)+SUMIFS(SALIDAS_COMB,FECHA_COMB,"&gt;="&amp;CM$2,FECHA_COMB,"&lt;="&amp;CM$3,CLAVE_COMB,$A318)+SUMIFS(SALIDAS_DES,FECHA_DESGLOSEN,"&gt;="&amp;CM$2,FECHA_DESGLOSEN,"&lt;="&amp;CM$3,CLAVE_DESGLOSE,$A318)</f>
        <v>225.84</v>
      </c>
      <c r="CN318" s="162">
        <f>SUMIFS(SALIDAS_BIT,FECHA_BIT,"&gt;="&amp;CN$2,FECHA_BIT,"&lt;="&amp;CN$3,CLAVE_BIT,$A318)+SUMIFS(SALIDAS_BOV1,FECHA_BOV1,"&gt;="&amp;CN$2,FECHA_BOV1,"&lt;="&amp;CN$3,CLAVE_BOV1,$A318)+SUMIFS(SALIDAS_BOV2,FECHA_BOV2,"&gt;="&amp;CN$2,FECHA_BOV2,"&lt;="&amp;CN$3,CLAVE_BOV2,$A318)+SUMIFS(SALIDAS_BOV3,FECHA_BOV3,"&gt;="&amp;CN$2,FECHA_BOV3,"&lt;="&amp;CN$3,CLAVE_BOV3,$A318)+SUMIFS(SALIDAS_TC,FECHA_TC,"&gt;="&amp;CN$2,FECHA_TC,"&lt;="&amp;CN$3,CLAVE_TC,$A318)+SUMIFS(SALIDAS_COMB,FECHA_COMB,"&gt;="&amp;CN$2,FECHA_COMB,"&lt;="&amp;CN$3,CLAVE_COMB,$A318)+SUMIFS(SALIDAS_DES,FECHA_DESGLOSEN,"&gt;="&amp;CN$2,FECHA_DESGLOSEN,"&lt;="&amp;CN$3,CLAVE_DESGLOSE,$A318)</f>
        <v>0</v>
      </c>
      <c r="CO318" s="162">
        <f>SUMIFS(SALIDAS_BIT,FECHA_BIT,"&gt;="&amp;CO$2,FECHA_BIT,"&lt;="&amp;CO$3,CLAVE_BIT,$A318)+SUMIFS(SALIDAS_BOV1,FECHA_BOV1,"&gt;="&amp;CO$2,FECHA_BOV1,"&lt;="&amp;CO$3,CLAVE_BOV1,$A318)+SUMIFS(SALIDAS_BOV2,FECHA_BOV2,"&gt;="&amp;CO$2,FECHA_BOV2,"&lt;="&amp;CO$3,CLAVE_BOV2,$A318)+SUMIFS(SALIDAS_BOV3,FECHA_BOV3,"&gt;="&amp;CO$2,FECHA_BOV3,"&lt;="&amp;CO$3,CLAVE_BOV3,$A318)+SUMIFS(SALIDAS_TC,FECHA_TC,"&gt;="&amp;CO$2,FECHA_TC,"&lt;="&amp;CO$3,CLAVE_TC,$A318)+SUMIFS(SALIDAS_COMB,FECHA_COMB,"&gt;="&amp;CO$2,FECHA_COMB,"&lt;="&amp;CO$3,CLAVE_COMB,$A318)+SUMIFS(SALIDAS_DES,FECHA_DESGLOSEN,"&gt;="&amp;CO$2,FECHA_DESGLOSEN,"&lt;="&amp;CO$3,CLAVE_DESGLOSE,$A318)</f>
        <v>0</v>
      </c>
      <c r="CP318" s="162">
        <f>SUMIFS(SALIDAS_BIT,FECHA_BIT,"&gt;="&amp;CP$2,FECHA_BIT,"&lt;="&amp;CP$3,CLAVE_BIT,$A318)+SUMIFS(SALIDAS_BOV1,FECHA_BOV1,"&gt;="&amp;CP$2,FECHA_BOV1,"&lt;="&amp;CP$3,CLAVE_BOV1,$A318)+SUMIFS(SALIDAS_BOV2,FECHA_BOV2,"&gt;="&amp;CP$2,FECHA_BOV2,"&lt;="&amp;CP$3,CLAVE_BOV2,$A318)+SUMIFS(SALIDAS_BOV3,FECHA_BOV3,"&gt;="&amp;CP$2,FECHA_BOV3,"&lt;="&amp;CP$3,CLAVE_BOV3,$A318)+SUMIFS(SALIDAS_TC,FECHA_TC,"&gt;="&amp;CP$2,FECHA_TC,"&lt;="&amp;CP$3,CLAVE_TC,$A318)+SUMIFS(SALIDAS_COMB,FECHA_COMB,"&gt;="&amp;CP$2,FECHA_COMB,"&lt;="&amp;CP$3,CLAVE_COMB,$A318)+SUMIFS(SALIDAS_DES,FECHA_DESGLOSEN,"&gt;="&amp;CP$2,FECHA_DESGLOSEN,"&lt;="&amp;CP$3,CLAVE_DESGLOSE,$A318)</f>
        <v>0</v>
      </c>
      <c r="CQ318" s="162">
        <f>SUMIFS(SALIDAS_BIT,FECHA_BIT,"&gt;="&amp;CQ$2,FECHA_BIT,"&lt;="&amp;CQ$3,CLAVE_BIT,$A318)+SUMIFS(SALIDAS_BOV1,FECHA_BOV1,"&gt;="&amp;CQ$2,FECHA_BOV1,"&lt;="&amp;CQ$3,CLAVE_BOV1,$A318)+SUMIFS(SALIDAS_BOV2,FECHA_BOV2,"&gt;="&amp;CQ$2,FECHA_BOV2,"&lt;="&amp;CQ$3,CLAVE_BOV2,$A318)+SUMIFS(SALIDAS_BOV3,FECHA_BOV3,"&gt;="&amp;CQ$2,FECHA_BOV3,"&lt;="&amp;CQ$3,CLAVE_BOV3,$A318)+SUMIFS(SALIDAS_TC,FECHA_TC,"&gt;="&amp;CQ$2,FECHA_TC,"&lt;="&amp;CQ$3,CLAVE_TC,$A318)+SUMIFS(SALIDAS_COMB,FECHA_COMB,"&gt;="&amp;CQ$2,FECHA_COMB,"&lt;="&amp;CQ$3,CLAVE_COMB,$A318)+SUMIFS(SALIDAS_DES,FECHA_DESGLOSEN,"&gt;="&amp;CQ$2,FECHA_DESGLOSEN,"&lt;="&amp;CQ$3,CLAVE_DESGLOSE,$A318)</f>
        <v>225.84</v>
      </c>
      <c r="CR318" s="227">
        <f t="shared" si="644"/>
        <v>-225.84</v>
      </c>
      <c r="CS318" s="301">
        <f t="shared" si="645"/>
        <v>0</v>
      </c>
      <c r="CT318" s="68">
        <f t="shared" si="446"/>
        <v>0</v>
      </c>
      <c r="CU318" s="13">
        <f>SUMIFS(SALIDAS_BIT,FECHA_BIT,"&gt;="&amp;CU$2,FECHA_BIT,"&lt;="&amp;CU$3,CLAVE_BIT,$A318)+SUMIFS(SALIDAS_BOV1,FECHA_BOV1,"&gt;="&amp;CU$2,FECHA_BOV1,"&lt;="&amp;CU$3,CLAVE_BOV1,$A318)+SUMIFS(SALIDAS_BOV2,FECHA_BOV2,"&gt;="&amp;CU$2,FECHA_BOV2,"&lt;="&amp;CU$3,CLAVE_BOV2,$A318)+SUMIFS(SALIDAS_BOV3,FECHA_BOV3,"&gt;="&amp;CU$2,FECHA_BOV3,"&lt;="&amp;CU$3,CLAVE_BOV3,$A318)+SUMIFS(SALIDAS_TC,FECHA_TC,"&gt;="&amp;CU$2,FECHA_TC,"&lt;="&amp;CU$3,CLAVE_TC,$A318)+SUMIFS(SALIDAS_COMB,FECHA_COMB,"&gt;="&amp;CU$2,FECHA_COMB,"&lt;="&amp;CU$3,CLAVE_COMB,$A318)+SUMIFS(SALIDAS_DES,FECHA_DESGLOSEN,"&gt;="&amp;CU$2,FECHA_DESGLOSEN,"&lt;="&amp;CU$3,CLAVE_DESGLOSE,$A318)</f>
        <v>0</v>
      </c>
      <c r="CV318" s="13">
        <f>SUMIFS(SALIDAS_BIT,FECHA_BIT,"&gt;="&amp;CV$2,FECHA_BIT,"&lt;="&amp;CV$3,CLAVE_BIT,$A318)+SUMIFS(SALIDAS_BOV1,FECHA_BOV1,"&gt;="&amp;CV$2,FECHA_BOV1,"&lt;="&amp;CV$3,CLAVE_BOV1,$A318)+SUMIFS(SALIDAS_BOV2,FECHA_BOV2,"&gt;="&amp;CV$2,FECHA_BOV2,"&lt;="&amp;CV$3,CLAVE_BOV2,$A318)+SUMIFS(SALIDAS_BOV3,FECHA_BOV3,"&gt;="&amp;CV$2,FECHA_BOV3,"&lt;="&amp;CV$3,CLAVE_BOV3,$A318)+SUMIFS(SALIDAS_TC,FECHA_TC,"&gt;="&amp;CV$2,FECHA_TC,"&lt;="&amp;CV$3,CLAVE_TC,$A318)+SUMIFS(SALIDAS_COMB,FECHA_COMB,"&gt;="&amp;CV$2,FECHA_COMB,"&lt;="&amp;CV$3,CLAVE_COMB,$A318)+SUMIFS(SALIDAS_DES,FECHA_DESGLOSEN,"&gt;="&amp;CV$2,FECHA_DESGLOSEN,"&lt;="&amp;CV$3,CLAVE_DESGLOSE,$A318)</f>
        <v>0</v>
      </c>
      <c r="CW318" s="13">
        <f>SUMIFS(SALIDAS_BIT,FECHA_BIT,"&gt;="&amp;CW$2,FECHA_BIT,"&lt;="&amp;CW$3,CLAVE_BIT,$A318)+SUMIFS(SALIDAS_BOV1,FECHA_BOV1,"&gt;="&amp;CW$2,FECHA_BOV1,"&lt;="&amp;CW$3,CLAVE_BOV1,$A318)+SUMIFS(SALIDAS_BOV2,FECHA_BOV2,"&gt;="&amp;CW$2,FECHA_BOV2,"&lt;="&amp;CW$3,CLAVE_BOV2,$A318)+SUMIFS(SALIDAS_BOV3,FECHA_BOV3,"&gt;="&amp;CW$2,FECHA_BOV3,"&lt;="&amp;CW$3,CLAVE_BOV3,$A318)+SUMIFS(SALIDAS_TC,FECHA_TC,"&gt;="&amp;CW$2,FECHA_TC,"&lt;="&amp;CW$3,CLAVE_TC,$A318)+SUMIFS(SALIDAS_COMB,FECHA_COMB,"&gt;="&amp;CW$2,FECHA_COMB,"&lt;="&amp;CW$3,CLAVE_COMB,$A318)+SUMIFS(SALIDAS_DES,FECHA_DESGLOSEN,"&gt;="&amp;CW$2,FECHA_DESGLOSEN,"&lt;="&amp;CW$3,CLAVE_DESGLOSE,$A318)</f>
        <v>0</v>
      </c>
      <c r="CX318" s="13">
        <f>SUMIFS(SALIDAS_BIT,FECHA_BIT,"&gt;="&amp;CX$2,FECHA_BIT,"&lt;="&amp;CX$3,CLAVE_BIT,$A318)+SUMIFS(SALIDAS_BOV1,FECHA_BOV1,"&gt;="&amp;CX$2,FECHA_BOV1,"&lt;="&amp;CX$3,CLAVE_BOV1,$A318)+SUMIFS(SALIDAS_BOV2,FECHA_BOV2,"&gt;="&amp;CX$2,FECHA_BOV2,"&lt;="&amp;CX$3,CLAVE_BOV2,$A318)+SUMIFS(SALIDAS_BOV3,FECHA_BOV3,"&gt;="&amp;CX$2,FECHA_BOV3,"&lt;="&amp;CX$3,CLAVE_BOV3,$A318)+SUMIFS(SALIDAS_TC,FECHA_TC,"&gt;="&amp;CX$2,FECHA_TC,"&lt;="&amp;CX$3,CLAVE_TC,$A318)+SUMIFS(SALIDAS_COMB,FECHA_COMB,"&gt;="&amp;CX$2,FECHA_COMB,"&lt;="&amp;CX$3,CLAVE_COMB,$A318)+SUMIFS(SALIDAS_DES,FECHA_DESGLOSEN,"&gt;="&amp;CX$2,FECHA_DESGLOSEN,"&lt;="&amp;CX$3,CLAVE_DESGLOSE,$A318)</f>
        <v>0</v>
      </c>
      <c r="CY318" s="13">
        <f>SUMIFS(SALIDAS_BIT,FECHA_BIT,"&gt;="&amp;CY$2,FECHA_BIT,"&lt;="&amp;CY$3,CLAVE_BIT,$A318)+SUMIFS(SALIDAS_BOV1,FECHA_BOV1,"&gt;="&amp;CY$2,FECHA_BOV1,"&lt;="&amp;CY$3,CLAVE_BOV1,$A318)+SUMIFS(SALIDAS_BOV2,FECHA_BOV2,"&gt;="&amp;CY$2,FECHA_BOV2,"&lt;="&amp;CY$3,CLAVE_BOV2,$A318)+SUMIFS(SALIDAS_BOV3,FECHA_BOV3,"&gt;="&amp;CY$2,FECHA_BOV3,"&lt;="&amp;CY$3,CLAVE_BOV3,$A318)+SUMIFS(SALIDAS_TC,FECHA_TC,"&gt;="&amp;CY$2,FECHA_TC,"&lt;="&amp;CY$3,CLAVE_TC,$A318)+SUMIFS(SALIDAS_COMB,FECHA_COMB,"&gt;="&amp;CY$2,FECHA_COMB,"&lt;="&amp;CY$3,CLAVE_COMB,$A318)+SUMIFS(SALIDAS_DES,FECHA_DESGLOSEN,"&gt;="&amp;CY$2,FECHA_DESGLOSEN,"&lt;="&amp;CY$3,CLAVE_DESGLOSE,$A318)</f>
        <v>0</v>
      </c>
      <c r="CZ318" s="68">
        <f t="shared" si="474"/>
        <v>0</v>
      </c>
      <c r="DB318" s="17">
        <f>F318+N318+W318+AE318+AM318+AV318+BD318+BL318+BU318+CC318+CK318</f>
        <v>0</v>
      </c>
      <c r="DC318" s="17">
        <f>K318+T318+AB318+AJ318+AS318+BA318+BI318+BR318+BZ318+CH318+CQ318</f>
        <v>1360.9399999999998</v>
      </c>
    </row>
    <row r="319" spans="1:107" ht="15" hidden="1">
      <c r="A319" s="12" t="str">
        <f>C319&amp;D319&amp;E319</f>
        <v>MKTMKTMELISSA/ELILU</v>
      </c>
      <c r="B319">
        <v>319</v>
      </c>
      <c r="C319" t="s">
        <v>19</v>
      </c>
      <c r="D319" t="s">
        <v>19</v>
      </c>
      <c r="E319" t="s">
        <v>140</v>
      </c>
      <c r="F319" s="260">
        <f>VLOOKUP($A319,T_PRESUPUESTO,MATCH(F$6,E_PRESUPUESTO,0),FALSE)</f>
        <v>0</v>
      </c>
      <c r="G319" s="162">
        <f>SUMIFS(SALIDAS_BIT,FECHA_BIT,"&gt;="&amp;G$2,FECHA_BIT,"&lt;="&amp;G$3,CLAVE_BIT,$A319)+SUMIFS(SALIDAS_BOV1,FECHA_BOV1,"&gt;="&amp;G$2,FECHA_BOV1,"&lt;="&amp;G$3,CLAVE_BOV1,$A319)+SUMIFS(SALIDAS_BOV2,FECHA_BOV2,"&gt;="&amp;G$2,FECHA_BOV2,"&lt;="&amp;G$3,CLAVE_BOV2,$A319)+SUMIFS(SALIDAS_BOV3,FECHA_BOV3,"&gt;="&amp;G$2,FECHA_BOV3,"&lt;="&amp;G$3,CLAVE_BOV3,$A319)+SUMIFS(SALIDAS_TC,FECHA_TC,"&gt;="&amp;G$2,FECHA_TC,"&lt;="&amp;G$3,CLAVE_TC,$A319)+SUMIFS(SALIDAS_COMB,FECHA_COMB,"&gt;="&amp;G$2,FECHA_COMB,"&lt;="&amp;G$3,CLAVE_COMB,$A319)+SUMIFS(SALIDAS_DES,FECHA_DESGLOSEN,"&gt;="&amp;G$2,FECHA_DESGLOSEN,"&lt;="&amp;G$3,CLAVE_DESGLOSE,$A319)</f>
        <v>0</v>
      </c>
      <c r="H319" s="162">
        <f>SUMIFS(SALIDAS_BIT,FECHA_BIT,"&gt;="&amp;H$2,FECHA_BIT,"&lt;="&amp;H$3,CLAVE_BIT,$A319)+SUMIFS(SALIDAS_BOV1,FECHA_BOV1,"&gt;="&amp;H$2,FECHA_BOV1,"&lt;="&amp;H$3,CLAVE_BOV1,$A319)+SUMIFS(SALIDAS_BOV2,FECHA_BOV2,"&gt;="&amp;H$2,FECHA_BOV2,"&lt;="&amp;H$3,CLAVE_BOV2,$A319)+SUMIFS(SALIDAS_BOV3,FECHA_BOV3,"&gt;="&amp;H$2,FECHA_BOV3,"&lt;="&amp;H$3,CLAVE_BOV3,$A319)+SUMIFS(SALIDAS_TC,FECHA_TC,"&gt;="&amp;H$2,FECHA_TC,"&lt;="&amp;H$3,CLAVE_TC,$A319)+SUMIFS(SALIDAS_COMB,FECHA_COMB,"&gt;="&amp;H$2,FECHA_COMB,"&lt;="&amp;H$3,CLAVE_COMB,$A319)+SUMIFS(SALIDAS_DES,FECHA_DESGLOSEN,"&gt;="&amp;H$2,FECHA_DESGLOSEN,"&lt;="&amp;H$3,CLAVE_DESGLOSE,$A319)</f>
        <v>0</v>
      </c>
      <c r="I319" s="162">
        <f>SUMIFS(SALIDAS_BIT,FECHA_BIT,"&gt;="&amp;I$2,FECHA_BIT,"&lt;="&amp;I$3,CLAVE_BIT,$A319)+SUMIFS(SALIDAS_BOV1,FECHA_BOV1,"&gt;="&amp;I$2,FECHA_BOV1,"&lt;="&amp;I$3,CLAVE_BOV1,$A319)+SUMIFS(SALIDAS_BOV2,FECHA_BOV2,"&gt;="&amp;I$2,FECHA_BOV2,"&lt;="&amp;I$3,CLAVE_BOV2,$A319)+SUMIFS(SALIDAS_BOV3,FECHA_BOV3,"&gt;="&amp;I$2,FECHA_BOV3,"&lt;="&amp;I$3,CLAVE_BOV3,$A319)+SUMIFS(SALIDAS_TC,FECHA_TC,"&gt;="&amp;I$2,FECHA_TC,"&lt;="&amp;I$3,CLAVE_TC,$A319)+SUMIFS(SALIDAS_COMB,FECHA_COMB,"&gt;="&amp;I$2,FECHA_COMB,"&lt;="&amp;I$3,CLAVE_COMB,$A319)+SUMIFS(SALIDAS_DES,FECHA_DESGLOSEN,"&gt;="&amp;I$2,FECHA_DESGLOSEN,"&lt;="&amp;I$3,CLAVE_DESGLOSE,$A319)</f>
        <v>0</v>
      </c>
      <c r="J319" s="162">
        <f>SUMIFS(SALIDAS_BIT,FECHA_BIT,"&gt;="&amp;J$2,FECHA_BIT,"&lt;="&amp;J$3,CLAVE_BIT,$A319)+SUMIFS(SALIDAS_BOV1,FECHA_BOV1,"&gt;="&amp;J$2,FECHA_BOV1,"&lt;="&amp;J$3,CLAVE_BOV1,$A319)+SUMIFS(SALIDAS_BOV2,FECHA_BOV2,"&gt;="&amp;J$2,FECHA_BOV2,"&lt;="&amp;J$3,CLAVE_BOV2,$A319)+SUMIFS(SALIDAS_BOV3,FECHA_BOV3,"&gt;="&amp;J$2,FECHA_BOV3,"&lt;="&amp;J$3,CLAVE_BOV3,$A319)+SUMIFS(SALIDAS_TC,FECHA_TC,"&gt;="&amp;J$2,FECHA_TC,"&lt;="&amp;J$3,CLAVE_TC,$A319)+SUMIFS(SALIDAS_COMB,FECHA_COMB,"&gt;="&amp;J$2,FECHA_COMB,"&lt;="&amp;J$3,CLAVE_COMB,$A319)+SUMIFS(SALIDAS_DES,FECHA_DESGLOSEN,"&gt;="&amp;J$2,FECHA_DESGLOSEN,"&lt;="&amp;J$3,CLAVE_DESGLOSE,$A319)</f>
        <v>0</v>
      </c>
      <c r="K319" s="162">
        <f>SUMIFS(SALIDAS_BIT,FECHA_BIT,"&gt;="&amp;K$2,FECHA_BIT,"&lt;="&amp;K$3,CLAVE_BIT,$A319)+SUMIFS(SALIDAS_BOV1,FECHA_BOV1,"&gt;="&amp;K$2,FECHA_BOV1,"&lt;="&amp;K$3,CLAVE_BOV1,$A319)+SUMIFS(SALIDAS_BOV2,FECHA_BOV2,"&gt;="&amp;K$2,FECHA_BOV2,"&lt;="&amp;K$3,CLAVE_BOV2,$A319)+SUMIFS(SALIDAS_BOV3,FECHA_BOV3,"&gt;="&amp;K$2,FECHA_BOV3,"&lt;="&amp;K$3,CLAVE_BOV3,$A319)+SUMIFS(SALIDAS_TC,FECHA_TC,"&gt;="&amp;K$2,FECHA_TC,"&lt;="&amp;K$3,CLAVE_TC,$A319)+SUMIFS(SALIDAS_COMB,FECHA_COMB,"&gt;="&amp;K$2,FECHA_COMB,"&lt;="&amp;K$3,CLAVE_COMB,$A319)+SUMIFS(SALIDAS_DES,FECHA_DESGLOSEN,"&gt;="&amp;K$2,FECHA_DESGLOSEN,"&lt;="&amp;K$3,CLAVE_DESGLOSE,$A319)</f>
        <v>0</v>
      </c>
      <c r="L319" s="227">
        <f>F319-K319</f>
        <v>0</v>
      </c>
      <c r="M319" s="301">
        <f>IFERROR((K319/F319),0)</f>
        <v>0</v>
      </c>
      <c r="N319" s="162">
        <f>VLOOKUP($A319,T_PRESUPUESTO,MATCH(N$6,E_PRESUPUESTO,0),FALSE)</f>
        <v>0</v>
      </c>
      <c r="O319" s="162">
        <f>SUMIFS(SALIDAS_BIT,FECHA_BIT,"&gt;="&amp;O$2,FECHA_BIT,"&lt;="&amp;O$3,CLAVE_BIT,$A319)+SUMIFS(SALIDAS_BOV1,FECHA_BOV1,"&gt;="&amp;O$2,FECHA_BOV1,"&lt;="&amp;O$3,CLAVE_BOV1,$A319)+SUMIFS(SALIDAS_BOV2,FECHA_BOV2,"&gt;="&amp;O$2,FECHA_BOV2,"&lt;="&amp;O$3,CLAVE_BOV2,$A319)+SUMIFS(SALIDAS_BOV3,FECHA_BOV3,"&gt;="&amp;O$2,FECHA_BOV3,"&lt;="&amp;O$3,CLAVE_BOV3,$A319)+SUMIFS(SALIDAS_TC,FECHA_TC,"&gt;="&amp;O$2,FECHA_TC,"&lt;="&amp;O$3,CLAVE_TC,$A319)+SUMIFS(SALIDAS_COMB,FECHA_COMB,"&gt;="&amp;O$2,FECHA_COMB,"&lt;="&amp;O$3,CLAVE_COMB,$A319)+SUMIFS(SALIDAS_DES,FECHA_DESGLOSEN,"&gt;="&amp;O$2,FECHA_DESGLOSEN,"&lt;="&amp;O$3,CLAVE_DESGLOSE,$A319)</f>
        <v>0</v>
      </c>
      <c r="P319" s="162">
        <f>SUMIFS(SALIDAS_BIT,FECHA_BIT,"&gt;="&amp;P$2,FECHA_BIT,"&lt;="&amp;P$3,CLAVE_BIT,$A319)+SUMIFS(SALIDAS_BOV1,FECHA_BOV1,"&gt;="&amp;P$2,FECHA_BOV1,"&lt;="&amp;P$3,CLAVE_BOV1,$A319)+SUMIFS(SALIDAS_BOV2,FECHA_BOV2,"&gt;="&amp;P$2,FECHA_BOV2,"&lt;="&amp;P$3,CLAVE_BOV2,$A319)+SUMIFS(SALIDAS_BOV3,FECHA_BOV3,"&gt;="&amp;P$2,FECHA_BOV3,"&lt;="&amp;P$3,CLAVE_BOV3,$A319)+SUMIFS(SALIDAS_TC,FECHA_TC,"&gt;="&amp;P$2,FECHA_TC,"&lt;="&amp;P$3,CLAVE_TC,$A319)+SUMIFS(SALIDAS_COMB,FECHA_COMB,"&gt;="&amp;P$2,FECHA_COMB,"&lt;="&amp;P$3,CLAVE_COMB,$A319)+SUMIFS(SALIDAS_DES,FECHA_DESGLOSEN,"&gt;="&amp;P$2,FECHA_DESGLOSEN,"&lt;="&amp;P$3,CLAVE_DESGLOSE,$A319)</f>
        <v>0</v>
      </c>
      <c r="Q319" s="162">
        <f>SUMIFS(SALIDAS_BIT,FECHA_BIT,"&gt;="&amp;Q$2,FECHA_BIT,"&lt;="&amp;Q$3,CLAVE_BIT,$A319)+SUMIFS(SALIDAS_BOV1,FECHA_BOV1,"&gt;="&amp;Q$2,FECHA_BOV1,"&lt;="&amp;Q$3,CLAVE_BOV1,$A319)+SUMIFS(SALIDAS_BOV2,FECHA_BOV2,"&gt;="&amp;Q$2,FECHA_BOV2,"&lt;="&amp;Q$3,CLAVE_BOV2,$A319)+SUMIFS(SALIDAS_BOV3,FECHA_BOV3,"&gt;="&amp;Q$2,FECHA_BOV3,"&lt;="&amp;Q$3,CLAVE_BOV3,$A319)+SUMIFS(SALIDAS_TC,FECHA_TC,"&gt;="&amp;Q$2,FECHA_TC,"&lt;="&amp;Q$3,CLAVE_TC,$A319)+SUMIFS(SALIDAS_COMB,FECHA_COMB,"&gt;="&amp;Q$2,FECHA_COMB,"&lt;="&amp;Q$3,CLAVE_COMB,$A319)+SUMIFS(SALIDAS_DES,FECHA_DESGLOSEN,"&gt;="&amp;Q$2,FECHA_DESGLOSEN,"&lt;="&amp;Q$3,CLAVE_DESGLOSE,$A319)</f>
        <v>0</v>
      </c>
      <c r="R319" s="162">
        <f>SUMIFS(SALIDAS_BIT,FECHA_BIT,"&gt;="&amp;R$2,FECHA_BIT,"&lt;="&amp;R$3,CLAVE_BIT,$A319)+SUMIFS(SALIDAS_BOV1,FECHA_BOV1,"&gt;="&amp;R$2,FECHA_BOV1,"&lt;="&amp;R$3,CLAVE_BOV1,$A319)+SUMIFS(SALIDAS_BOV2,FECHA_BOV2,"&gt;="&amp;R$2,FECHA_BOV2,"&lt;="&amp;R$3,CLAVE_BOV2,$A319)+SUMIFS(SALIDAS_BOV3,FECHA_BOV3,"&gt;="&amp;R$2,FECHA_BOV3,"&lt;="&amp;R$3,CLAVE_BOV3,$A319)+SUMIFS(SALIDAS_TC,FECHA_TC,"&gt;="&amp;R$2,FECHA_TC,"&lt;="&amp;R$3,CLAVE_TC,$A319)+SUMIFS(SALIDAS_COMB,FECHA_COMB,"&gt;="&amp;R$2,FECHA_COMB,"&lt;="&amp;R$3,CLAVE_COMB,$A319)+SUMIFS(SALIDAS_DES,FECHA_DESGLOSEN,"&gt;="&amp;R$2,FECHA_DESGLOSEN,"&lt;="&amp;R$3,CLAVE_DESGLOSE,$A319)</f>
        <v>0</v>
      </c>
      <c r="S319" s="162">
        <f>SUMIFS(SALIDAS_BIT,FECHA_BIT,"&gt;="&amp;S$2,FECHA_BIT,"&lt;="&amp;S$3,CLAVE_BIT,$A319)+SUMIFS(SALIDAS_BOV1,FECHA_BOV1,"&gt;="&amp;S$2,FECHA_BOV1,"&lt;="&amp;S$3,CLAVE_BOV1,$A319)+SUMIFS(SALIDAS_BOV2,FECHA_BOV2,"&gt;="&amp;S$2,FECHA_BOV2,"&lt;="&amp;S$3,CLAVE_BOV2,$A319)+SUMIFS(SALIDAS_BOV3,FECHA_BOV3,"&gt;="&amp;S$2,FECHA_BOV3,"&lt;="&amp;S$3,CLAVE_BOV3,$A319)+SUMIFS(SALIDAS_TC,FECHA_TC,"&gt;="&amp;S$2,FECHA_TC,"&lt;="&amp;S$3,CLAVE_TC,$A319)+SUMIFS(SALIDAS_COMB,FECHA_COMB,"&gt;="&amp;S$2,FECHA_COMB,"&lt;="&amp;S$3,CLAVE_COMB,$A319)+SUMIFS(SALIDAS_DES,FECHA_DESGLOSEN,"&gt;="&amp;S$2,FECHA_DESGLOSEN,"&lt;="&amp;S$3,CLAVE_DESGLOSE,$A319)</f>
        <v>0</v>
      </c>
      <c r="T319" s="162">
        <f>SUMIFS(SALIDAS_BIT,FECHA_BIT,"&gt;="&amp;T$2,FECHA_BIT,"&lt;="&amp;T$3,CLAVE_BIT,$A319)+SUMIFS(SALIDAS_BOV1,FECHA_BOV1,"&gt;="&amp;T$2,FECHA_BOV1,"&lt;="&amp;T$3,CLAVE_BOV1,$A319)+SUMIFS(SALIDAS_BOV2,FECHA_BOV2,"&gt;="&amp;T$2,FECHA_BOV2,"&lt;="&amp;T$3,CLAVE_BOV2,$A319)+SUMIFS(SALIDAS_BOV3,FECHA_BOV3,"&gt;="&amp;T$2,FECHA_BOV3,"&lt;="&amp;T$3,CLAVE_BOV3,$A319)+SUMIFS(SALIDAS_TC,FECHA_TC,"&gt;="&amp;T$2,FECHA_TC,"&lt;="&amp;T$3,CLAVE_TC,$A319)+SUMIFS(SALIDAS_COMB,FECHA_COMB,"&gt;="&amp;T$2,FECHA_COMB,"&lt;="&amp;T$3,CLAVE_COMB,$A319)+SUMIFS(SALIDAS_DES,FECHA_DESGLOSEN,"&gt;="&amp;T$2,FECHA_DESGLOSEN,"&lt;="&amp;T$3,CLAVE_DESGLOSE,$A319)</f>
        <v>0</v>
      </c>
      <c r="U319" s="227">
        <f>N319-T319</f>
        <v>0</v>
      </c>
      <c r="V319" s="301">
        <f>IFERROR((T319/N319),0)</f>
        <v>0</v>
      </c>
      <c r="W319" s="162">
        <f>VLOOKUP($A319,T_PRESUPUESTO,MATCH(W$6,E_PRESUPUESTO,0),FALSE)</f>
        <v>0</v>
      </c>
      <c r="X319" s="162">
        <f>SUMIFS(SALIDAS_BIT,FECHA_BIT,"&gt;="&amp;X$2,FECHA_BIT,"&lt;="&amp;X$3,CLAVE_BIT,$A319)+SUMIFS(SALIDAS_BOV1,FECHA_BOV1,"&gt;="&amp;X$2,FECHA_BOV1,"&lt;="&amp;X$3,CLAVE_BOV1,$A319)+SUMIFS(SALIDAS_BOV2,FECHA_BOV2,"&gt;="&amp;X$2,FECHA_BOV2,"&lt;="&amp;X$3,CLAVE_BOV2,$A319)+SUMIFS(SALIDAS_BOV3,FECHA_BOV3,"&gt;="&amp;X$2,FECHA_BOV3,"&lt;="&amp;X$3,CLAVE_BOV3,$A319)+SUMIFS(SALIDAS_TC,FECHA_TC,"&gt;="&amp;X$2,FECHA_TC,"&lt;="&amp;X$3,CLAVE_TC,$A319)+SUMIFS(SALIDAS_COMB,FECHA_COMB,"&gt;="&amp;X$2,FECHA_COMB,"&lt;="&amp;X$3,CLAVE_COMB,$A319)+SUMIFS(SALIDAS_DES,FECHA_DESGLOSEN,"&gt;="&amp;X$2,FECHA_DESGLOSEN,"&lt;="&amp;X$3,CLAVE_DESGLOSE,$A319)</f>
        <v>0</v>
      </c>
      <c r="Y319" s="162">
        <f>SUMIFS(SALIDAS_BIT,FECHA_BIT,"&gt;="&amp;Y$2,FECHA_BIT,"&lt;="&amp;Y$3,CLAVE_BIT,$A319)+SUMIFS(SALIDAS_BOV1,FECHA_BOV1,"&gt;="&amp;Y$2,FECHA_BOV1,"&lt;="&amp;Y$3,CLAVE_BOV1,$A319)+SUMIFS(SALIDAS_BOV2,FECHA_BOV2,"&gt;="&amp;Y$2,FECHA_BOV2,"&lt;="&amp;Y$3,CLAVE_BOV2,$A319)+SUMIFS(SALIDAS_BOV3,FECHA_BOV3,"&gt;="&amp;Y$2,FECHA_BOV3,"&lt;="&amp;Y$3,CLAVE_BOV3,$A319)+SUMIFS(SALIDAS_TC,FECHA_TC,"&gt;="&amp;Y$2,FECHA_TC,"&lt;="&amp;Y$3,CLAVE_TC,$A319)+SUMIFS(SALIDAS_COMB,FECHA_COMB,"&gt;="&amp;Y$2,FECHA_COMB,"&lt;="&amp;Y$3,CLAVE_COMB,$A319)+SUMIFS(SALIDAS_DES,FECHA_DESGLOSEN,"&gt;="&amp;Y$2,FECHA_DESGLOSEN,"&lt;="&amp;Y$3,CLAVE_DESGLOSE,$A319)</f>
        <v>0</v>
      </c>
      <c r="Z319" s="162">
        <f>SUMIFS(SALIDAS_BIT,FECHA_BIT,"&gt;="&amp;Z$2,FECHA_BIT,"&lt;="&amp;Z$3,CLAVE_BIT,$A319)+SUMIFS(SALIDAS_BOV1,FECHA_BOV1,"&gt;="&amp;Z$2,FECHA_BOV1,"&lt;="&amp;Z$3,CLAVE_BOV1,$A319)+SUMIFS(SALIDAS_BOV2,FECHA_BOV2,"&gt;="&amp;Z$2,FECHA_BOV2,"&lt;="&amp;Z$3,CLAVE_BOV2,$A319)+SUMIFS(SALIDAS_BOV3,FECHA_BOV3,"&gt;="&amp;Z$2,FECHA_BOV3,"&lt;="&amp;Z$3,CLAVE_BOV3,$A319)+SUMIFS(SALIDAS_TC,FECHA_TC,"&gt;="&amp;Z$2,FECHA_TC,"&lt;="&amp;Z$3,CLAVE_TC,$A319)+SUMIFS(SALIDAS_COMB,FECHA_COMB,"&gt;="&amp;Z$2,FECHA_COMB,"&lt;="&amp;Z$3,CLAVE_COMB,$A319)+SUMIFS(SALIDAS_DES,FECHA_DESGLOSEN,"&gt;="&amp;Z$2,FECHA_DESGLOSEN,"&lt;="&amp;Z$3,CLAVE_DESGLOSE,$A319)</f>
        <v>0</v>
      </c>
      <c r="AA319" s="162">
        <f>SUMIFS(SALIDAS_BIT,FECHA_BIT,"&gt;="&amp;AA$2,FECHA_BIT,"&lt;="&amp;AA$3,CLAVE_BIT,$A319)+SUMIFS(SALIDAS_BOV1,FECHA_BOV1,"&gt;="&amp;AA$2,FECHA_BOV1,"&lt;="&amp;AA$3,CLAVE_BOV1,$A319)+SUMIFS(SALIDAS_BOV2,FECHA_BOV2,"&gt;="&amp;AA$2,FECHA_BOV2,"&lt;="&amp;AA$3,CLAVE_BOV2,$A319)+SUMIFS(SALIDAS_BOV3,FECHA_BOV3,"&gt;="&amp;AA$2,FECHA_BOV3,"&lt;="&amp;AA$3,CLAVE_BOV3,$A319)+SUMIFS(SALIDAS_TC,FECHA_TC,"&gt;="&amp;AA$2,FECHA_TC,"&lt;="&amp;AA$3,CLAVE_TC,$A319)+SUMIFS(SALIDAS_COMB,FECHA_COMB,"&gt;="&amp;AA$2,FECHA_COMB,"&lt;="&amp;AA$3,CLAVE_COMB,$A319)+SUMIFS(SALIDAS_DES,FECHA_DESGLOSEN,"&gt;="&amp;AA$2,FECHA_DESGLOSEN,"&lt;="&amp;AA$3,CLAVE_DESGLOSE,$A319)</f>
        <v>0</v>
      </c>
      <c r="AB319" s="162">
        <f>SUMIFS(SALIDAS_BIT,FECHA_BIT,"&gt;="&amp;AB$2,FECHA_BIT,"&lt;="&amp;AB$3,CLAVE_BIT,$A319)+SUMIFS(SALIDAS_BOV1,FECHA_BOV1,"&gt;="&amp;AB$2,FECHA_BOV1,"&lt;="&amp;AB$3,CLAVE_BOV1,$A319)+SUMIFS(SALIDAS_BOV2,FECHA_BOV2,"&gt;="&amp;AB$2,FECHA_BOV2,"&lt;="&amp;AB$3,CLAVE_BOV2,$A319)+SUMIFS(SALIDAS_BOV3,FECHA_BOV3,"&gt;="&amp;AB$2,FECHA_BOV3,"&lt;="&amp;AB$3,CLAVE_BOV3,$A319)+SUMIFS(SALIDAS_TC,FECHA_TC,"&gt;="&amp;AB$2,FECHA_TC,"&lt;="&amp;AB$3,CLAVE_TC,$A319)+SUMIFS(SALIDAS_COMB,FECHA_COMB,"&gt;="&amp;AB$2,FECHA_COMB,"&lt;="&amp;AB$3,CLAVE_COMB,$A319)+SUMIFS(SALIDAS_DES,FECHA_DESGLOSEN,"&gt;="&amp;AB$2,FECHA_DESGLOSEN,"&lt;="&amp;AB$3,CLAVE_DESGLOSE,$A319)</f>
        <v>0</v>
      </c>
      <c r="AC319" s="227">
        <f>W319-AB319</f>
        <v>0</v>
      </c>
      <c r="AD319" s="301">
        <f>IFERROR((AB319/W319),0)</f>
        <v>0</v>
      </c>
      <c r="AE319" s="162">
        <f>VLOOKUP($A319,T_PRESUPUESTO,MATCH(AE$6,E_PRESUPUESTO,0),FALSE)</f>
        <v>0</v>
      </c>
      <c r="AF319" s="162">
        <f>SUMIFS(SALIDAS_BIT,FECHA_BIT,"&gt;="&amp;AF$2,FECHA_BIT,"&lt;="&amp;AF$3,CLAVE_BIT,$A319)+SUMIFS(SALIDAS_BOV1,FECHA_BOV1,"&gt;="&amp;AF$2,FECHA_BOV1,"&lt;="&amp;AF$3,CLAVE_BOV1,$A319)+SUMIFS(SALIDAS_BOV2,FECHA_BOV2,"&gt;="&amp;AF$2,FECHA_BOV2,"&lt;="&amp;AF$3,CLAVE_BOV2,$A319)+SUMIFS(SALIDAS_BOV3,FECHA_BOV3,"&gt;="&amp;AF$2,FECHA_BOV3,"&lt;="&amp;AF$3,CLAVE_BOV3,$A319)+SUMIFS(SALIDAS_TC,FECHA_TC,"&gt;="&amp;AF$2,FECHA_TC,"&lt;="&amp;AF$3,CLAVE_TC,$A319)+SUMIFS(SALIDAS_COMB,FECHA_COMB,"&gt;="&amp;AF$2,FECHA_COMB,"&lt;="&amp;AF$3,CLAVE_COMB,$A319)+SUMIFS(SALIDAS_DES,FECHA_DESGLOSEN,"&gt;="&amp;AF$2,FECHA_DESGLOSEN,"&lt;="&amp;AF$3,CLAVE_DESGLOSE,$A319)</f>
        <v>0</v>
      </c>
      <c r="AG319" s="162">
        <f>SUMIFS(SALIDAS_BIT,FECHA_BIT,"&gt;="&amp;AG$2,FECHA_BIT,"&lt;="&amp;AG$3,CLAVE_BIT,$A319)+SUMIFS(SALIDAS_BOV1,FECHA_BOV1,"&gt;="&amp;AG$2,FECHA_BOV1,"&lt;="&amp;AG$3,CLAVE_BOV1,$A319)+SUMIFS(SALIDAS_BOV2,FECHA_BOV2,"&gt;="&amp;AG$2,FECHA_BOV2,"&lt;="&amp;AG$3,CLAVE_BOV2,$A319)+SUMIFS(SALIDAS_BOV3,FECHA_BOV3,"&gt;="&amp;AG$2,FECHA_BOV3,"&lt;="&amp;AG$3,CLAVE_BOV3,$A319)+SUMIFS(SALIDAS_TC,FECHA_TC,"&gt;="&amp;AG$2,FECHA_TC,"&lt;="&amp;AG$3,CLAVE_TC,$A319)+SUMIFS(SALIDAS_COMB,FECHA_COMB,"&gt;="&amp;AG$2,FECHA_COMB,"&lt;="&amp;AG$3,CLAVE_COMB,$A319)+SUMIFS(SALIDAS_DES,FECHA_DESGLOSEN,"&gt;="&amp;AG$2,FECHA_DESGLOSEN,"&lt;="&amp;AG$3,CLAVE_DESGLOSE,$A319)</f>
        <v>0</v>
      </c>
      <c r="AH319" s="162">
        <f>SUMIFS(SALIDAS_BIT,FECHA_BIT,"&gt;="&amp;AH$2,FECHA_BIT,"&lt;="&amp;AH$3,CLAVE_BIT,$A319)+SUMIFS(SALIDAS_BOV1,FECHA_BOV1,"&gt;="&amp;AH$2,FECHA_BOV1,"&lt;="&amp;AH$3,CLAVE_BOV1,$A319)+SUMIFS(SALIDAS_BOV2,FECHA_BOV2,"&gt;="&amp;AH$2,FECHA_BOV2,"&lt;="&amp;AH$3,CLAVE_BOV2,$A319)+SUMIFS(SALIDAS_BOV3,FECHA_BOV3,"&gt;="&amp;AH$2,FECHA_BOV3,"&lt;="&amp;AH$3,CLAVE_BOV3,$A319)+SUMIFS(SALIDAS_TC,FECHA_TC,"&gt;="&amp;AH$2,FECHA_TC,"&lt;="&amp;AH$3,CLAVE_TC,$A319)+SUMIFS(SALIDAS_COMB,FECHA_COMB,"&gt;="&amp;AH$2,FECHA_COMB,"&lt;="&amp;AH$3,CLAVE_COMB,$A319)+SUMIFS(SALIDAS_DES,FECHA_DESGLOSEN,"&gt;="&amp;AH$2,FECHA_DESGLOSEN,"&lt;="&amp;AH$3,CLAVE_DESGLOSE,$A319)</f>
        <v>0</v>
      </c>
      <c r="AI319" s="162">
        <f>SUMIFS(SALIDAS_BIT,FECHA_BIT,"&gt;="&amp;AI$2,FECHA_BIT,"&lt;="&amp;AI$3,CLAVE_BIT,$A319)+SUMIFS(SALIDAS_BOV1,FECHA_BOV1,"&gt;="&amp;AI$2,FECHA_BOV1,"&lt;="&amp;AI$3,CLAVE_BOV1,$A319)+SUMIFS(SALIDAS_BOV2,FECHA_BOV2,"&gt;="&amp;AI$2,FECHA_BOV2,"&lt;="&amp;AI$3,CLAVE_BOV2,$A319)+SUMIFS(SALIDAS_BOV3,FECHA_BOV3,"&gt;="&amp;AI$2,FECHA_BOV3,"&lt;="&amp;AI$3,CLAVE_BOV3,$A319)+SUMIFS(SALIDAS_TC,FECHA_TC,"&gt;="&amp;AI$2,FECHA_TC,"&lt;="&amp;AI$3,CLAVE_TC,$A319)+SUMIFS(SALIDAS_COMB,FECHA_COMB,"&gt;="&amp;AI$2,FECHA_COMB,"&lt;="&amp;AI$3,CLAVE_COMB,$A319)+SUMIFS(SALIDAS_DES,FECHA_DESGLOSEN,"&gt;="&amp;AI$2,FECHA_DESGLOSEN,"&lt;="&amp;AI$3,CLAVE_DESGLOSE,$A319)</f>
        <v>0</v>
      </c>
      <c r="AJ319" s="162">
        <f>SUMIFS(SALIDAS_BIT,FECHA_BIT,"&gt;="&amp;AJ$2,FECHA_BIT,"&lt;="&amp;AJ$3,CLAVE_BIT,$A319)+SUMIFS(SALIDAS_BOV1,FECHA_BOV1,"&gt;="&amp;AJ$2,FECHA_BOV1,"&lt;="&amp;AJ$3,CLAVE_BOV1,$A319)+SUMIFS(SALIDAS_BOV2,FECHA_BOV2,"&gt;="&amp;AJ$2,FECHA_BOV2,"&lt;="&amp;AJ$3,CLAVE_BOV2,$A319)+SUMIFS(SALIDAS_BOV3,FECHA_BOV3,"&gt;="&amp;AJ$2,FECHA_BOV3,"&lt;="&amp;AJ$3,CLAVE_BOV3,$A319)+SUMIFS(SALIDAS_TC,FECHA_TC,"&gt;="&amp;AJ$2,FECHA_TC,"&lt;="&amp;AJ$3,CLAVE_TC,$A319)+SUMIFS(SALIDAS_COMB,FECHA_COMB,"&gt;="&amp;AJ$2,FECHA_COMB,"&lt;="&amp;AJ$3,CLAVE_COMB,$A319)+SUMIFS(SALIDAS_DES,FECHA_DESGLOSEN,"&gt;="&amp;AJ$2,FECHA_DESGLOSEN,"&lt;="&amp;AJ$3,CLAVE_DESGLOSE,$A319)</f>
        <v>0</v>
      </c>
      <c r="AK319" s="227">
        <f>AE319-AJ319</f>
        <v>0</v>
      </c>
      <c r="AL319" s="301">
        <f>IFERROR((AJ319/AE319),0)</f>
        <v>0</v>
      </c>
      <c r="AM319" s="162">
        <f>VLOOKUP($A319,T_PRESUPUESTO,MATCH(AM$6,E_PRESUPUESTO,0),FALSE)</f>
        <v>0</v>
      </c>
      <c r="AN319" s="162">
        <f>SUMIFS(SALIDAS_BIT,FECHA_BIT,"&gt;="&amp;AN$2,FECHA_BIT,"&lt;="&amp;AN$3,CLAVE_BIT,$A319)+SUMIFS(SALIDAS_BOV1,FECHA_BOV1,"&gt;="&amp;AN$2,FECHA_BOV1,"&lt;="&amp;AN$3,CLAVE_BOV1,$A319)+SUMIFS(SALIDAS_BOV2,FECHA_BOV2,"&gt;="&amp;AN$2,FECHA_BOV2,"&lt;="&amp;AN$3,CLAVE_BOV2,$A319)+SUMIFS(SALIDAS_BOV3,FECHA_BOV3,"&gt;="&amp;AN$2,FECHA_BOV3,"&lt;="&amp;AN$3,CLAVE_BOV3,$A319)+SUMIFS(SALIDAS_TC,FECHA_TC,"&gt;="&amp;AN$2,FECHA_TC,"&lt;="&amp;AN$3,CLAVE_TC,$A319)+SUMIFS(SALIDAS_COMB,FECHA_COMB,"&gt;="&amp;AN$2,FECHA_COMB,"&lt;="&amp;AN$3,CLAVE_COMB,$A319)+SUMIFS(SALIDAS_DES,FECHA_DESGLOSEN,"&gt;="&amp;AN$2,FECHA_DESGLOSEN,"&lt;="&amp;AN$3,CLAVE_DESGLOSE,$A319)</f>
        <v>0</v>
      </c>
      <c r="AO319" s="162">
        <f>SUMIFS(SALIDAS_BIT,FECHA_BIT,"&gt;="&amp;AO$2,FECHA_BIT,"&lt;="&amp;AO$3,CLAVE_BIT,$A319)+SUMIFS(SALIDAS_BOV1,FECHA_BOV1,"&gt;="&amp;AO$2,FECHA_BOV1,"&lt;="&amp;AO$3,CLAVE_BOV1,$A319)+SUMIFS(SALIDAS_BOV2,FECHA_BOV2,"&gt;="&amp;AO$2,FECHA_BOV2,"&lt;="&amp;AO$3,CLAVE_BOV2,$A319)+SUMIFS(SALIDAS_BOV3,FECHA_BOV3,"&gt;="&amp;AO$2,FECHA_BOV3,"&lt;="&amp;AO$3,CLAVE_BOV3,$A319)+SUMIFS(SALIDAS_TC,FECHA_TC,"&gt;="&amp;AO$2,FECHA_TC,"&lt;="&amp;AO$3,CLAVE_TC,$A319)+SUMIFS(SALIDAS_COMB,FECHA_COMB,"&gt;="&amp;AO$2,FECHA_COMB,"&lt;="&amp;AO$3,CLAVE_COMB,$A319)+SUMIFS(SALIDAS_DES,FECHA_DESGLOSEN,"&gt;="&amp;AO$2,FECHA_DESGLOSEN,"&lt;="&amp;AO$3,CLAVE_DESGLOSE,$A319)</f>
        <v>0</v>
      </c>
      <c r="AP319" s="162">
        <f>SUMIFS(SALIDAS_BIT,FECHA_BIT,"&gt;="&amp;AP$2,FECHA_BIT,"&lt;="&amp;AP$3,CLAVE_BIT,$A319)+SUMIFS(SALIDAS_BOV1,FECHA_BOV1,"&gt;="&amp;AP$2,FECHA_BOV1,"&lt;="&amp;AP$3,CLAVE_BOV1,$A319)+SUMIFS(SALIDAS_BOV2,FECHA_BOV2,"&gt;="&amp;AP$2,FECHA_BOV2,"&lt;="&amp;AP$3,CLAVE_BOV2,$A319)+SUMIFS(SALIDAS_BOV3,FECHA_BOV3,"&gt;="&amp;AP$2,FECHA_BOV3,"&lt;="&amp;AP$3,CLAVE_BOV3,$A319)+SUMIFS(SALIDAS_TC,FECHA_TC,"&gt;="&amp;AP$2,FECHA_TC,"&lt;="&amp;AP$3,CLAVE_TC,$A319)+SUMIFS(SALIDAS_COMB,FECHA_COMB,"&gt;="&amp;AP$2,FECHA_COMB,"&lt;="&amp;AP$3,CLAVE_COMB,$A319)+SUMIFS(SALIDAS_DES,FECHA_DESGLOSEN,"&gt;="&amp;AP$2,FECHA_DESGLOSEN,"&lt;="&amp;AP$3,CLAVE_DESGLOSE,$A319)</f>
        <v>0</v>
      </c>
      <c r="AQ319" s="162">
        <f>SUMIFS(SALIDAS_BIT,FECHA_BIT,"&gt;="&amp;AQ$2,FECHA_BIT,"&lt;="&amp;AQ$3,CLAVE_BIT,$A319)+SUMIFS(SALIDAS_BOV1,FECHA_BOV1,"&gt;="&amp;AQ$2,FECHA_BOV1,"&lt;="&amp;AQ$3,CLAVE_BOV1,$A319)+SUMIFS(SALIDAS_BOV2,FECHA_BOV2,"&gt;="&amp;AQ$2,FECHA_BOV2,"&lt;="&amp;AQ$3,CLAVE_BOV2,$A319)+SUMIFS(SALIDAS_BOV3,FECHA_BOV3,"&gt;="&amp;AQ$2,FECHA_BOV3,"&lt;="&amp;AQ$3,CLAVE_BOV3,$A319)+SUMIFS(SALIDAS_TC,FECHA_TC,"&gt;="&amp;AQ$2,FECHA_TC,"&lt;="&amp;AQ$3,CLAVE_TC,$A319)+SUMIFS(SALIDAS_COMB,FECHA_COMB,"&gt;="&amp;AQ$2,FECHA_COMB,"&lt;="&amp;AQ$3,CLAVE_COMB,$A319)+SUMIFS(SALIDAS_DES,FECHA_DESGLOSEN,"&gt;="&amp;AQ$2,FECHA_DESGLOSEN,"&lt;="&amp;AQ$3,CLAVE_DESGLOSE,$A319)</f>
        <v>0</v>
      </c>
      <c r="AR319" s="162">
        <f>SUMIFS(SALIDAS_BIT,FECHA_BIT,"&gt;="&amp;AR$2,FECHA_BIT,"&lt;="&amp;AR$3,CLAVE_BIT,$A319)+SUMIFS(SALIDAS_BOV1,FECHA_BOV1,"&gt;="&amp;AR$2,FECHA_BOV1,"&lt;="&amp;AR$3,CLAVE_BOV1,$A319)+SUMIFS(SALIDAS_BOV2,FECHA_BOV2,"&gt;="&amp;AR$2,FECHA_BOV2,"&lt;="&amp;AR$3,CLAVE_BOV2,$A319)+SUMIFS(SALIDAS_BOV3,FECHA_BOV3,"&gt;="&amp;AR$2,FECHA_BOV3,"&lt;="&amp;AR$3,CLAVE_BOV3,$A319)+SUMIFS(SALIDAS_TC,FECHA_TC,"&gt;="&amp;AR$2,FECHA_TC,"&lt;="&amp;AR$3,CLAVE_TC,$A319)+SUMIFS(SALIDAS_COMB,FECHA_COMB,"&gt;="&amp;AR$2,FECHA_COMB,"&lt;="&amp;AR$3,CLAVE_COMB,$A319)+SUMIFS(SALIDAS_DES,FECHA_DESGLOSEN,"&gt;="&amp;AR$2,FECHA_DESGLOSEN,"&lt;="&amp;AR$3,CLAVE_DESGLOSE,$A319)</f>
        <v>0</v>
      </c>
      <c r="AS319" s="162">
        <f>SUMIFS(SALIDAS_BIT,FECHA_BIT,"&gt;="&amp;AS$2,FECHA_BIT,"&lt;="&amp;AS$3,CLAVE_BIT,$A319)+SUMIFS(SALIDAS_BOV1,FECHA_BOV1,"&gt;="&amp;AS$2,FECHA_BOV1,"&lt;="&amp;AS$3,CLAVE_BOV1,$A319)+SUMIFS(SALIDAS_BOV2,FECHA_BOV2,"&gt;="&amp;AS$2,FECHA_BOV2,"&lt;="&amp;AS$3,CLAVE_BOV2,$A319)+SUMIFS(SALIDAS_BOV3,FECHA_BOV3,"&gt;="&amp;AS$2,FECHA_BOV3,"&lt;="&amp;AS$3,CLAVE_BOV3,$A319)+SUMIFS(SALIDAS_TC,FECHA_TC,"&gt;="&amp;AS$2,FECHA_TC,"&lt;="&amp;AS$3,CLAVE_TC,$A319)+SUMIFS(SALIDAS_COMB,FECHA_COMB,"&gt;="&amp;AS$2,FECHA_COMB,"&lt;="&amp;AS$3,CLAVE_COMB,$A319)+SUMIFS(SALIDAS_DES,FECHA_DESGLOSEN,"&gt;="&amp;AS$2,FECHA_DESGLOSEN,"&lt;="&amp;AS$3,CLAVE_DESGLOSE,$A319)</f>
        <v>0</v>
      </c>
      <c r="AT319" s="227">
        <f>AM319-AS319</f>
        <v>0</v>
      </c>
      <c r="AU319" s="301">
        <f>IFERROR((AS319/AM319),0)</f>
        <v>0</v>
      </c>
      <c r="AV319" s="162">
        <f>VLOOKUP($A319,T_PRESUPUESTO,MATCH(AV$6,E_PRESUPUESTO,0),FALSE)</f>
        <v>0</v>
      </c>
      <c r="AW319" s="162">
        <f>SUMIFS(SALIDAS_BIT,FECHA_BIT,"&gt;="&amp;AW$2,FECHA_BIT,"&lt;="&amp;AW$3,CLAVE_BIT,$A319)+SUMIFS(SALIDAS_BOV1,FECHA_BOV1,"&gt;="&amp;AW$2,FECHA_BOV1,"&lt;="&amp;AW$3,CLAVE_BOV1,$A319)+SUMIFS(SALIDAS_BOV2,FECHA_BOV2,"&gt;="&amp;AW$2,FECHA_BOV2,"&lt;="&amp;AW$3,CLAVE_BOV2,$A319)+SUMIFS(SALIDAS_BOV3,FECHA_BOV3,"&gt;="&amp;AW$2,FECHA_BOV3,"&lt;="&amp;AW$3,CLAVE_BOV3,$A319)+SUMIFS(SALIDAS_TC,FECHA_TC,"&gt;="&amp;AW$2,FECHA_TC,"&lt;="&amp;AW$3,CLAVE_TC,$A319)+SUMIFS(SALIDAS_COMB,FECHA_COMB,"&gt;="&amp;AW$2,FECHA_COMB,"&lt;="&amp;AW$3,CLAVE_COMB,$A319)+SUMIFS(SALIDAS_DES,FECHA_DESGLOSEN,"&gt;="&amp;AW$2,FECHA_DESGLOSEN,"&lt;="&amp;AW$3,CLAVE_DESGLOSE,$A319)</f>
        <v>0</v>
      </c>
      <c r="AX319" s="162">
        <f>SUMIFS(SALIDAS_BIT,FECHA_BIT,"&gt;="&amp;AX$2,FECHA_BIT,"&lt;="&amp;AX$3,CLAVE_BIT,$A319)+SUMIFS(SALIDAS_BOV1,FECHA_BOV1,"&gt;="&amp;AX$2,FECHA_BOV1,"&lt;="&amp;AX$3,CLAVE_BOV1,$A319)+SUMIFS(SALIDAS_BOV2,FECHA_BOV2,"&gt;="&amp;AX$2,FECHA_BOV2,"&lt;="&amp;AX$3,CLAVE_BOV2,$A319)+SUMIFS(SALIDAS_BOV3,FECHA_BOV3,"&gt;="&amp;AX$2,FECHA_BOV3,"&lt;="&amp;AX$3,CLAVE_BOV3,$A319)+SUMIFS(SALIDAS_TC,FECHA_TC,"&gt;="&amp;AX$2,FECHA_TC,"&lt;="&amp;AX$3,CLAVE_TC,$A319)+SUMIFS(SALIDAS_COMB,FECHA_COMB,"&gt;="&amp;AX$2,FECHA_COMB,"&lt;="&amp;AX$3,CLAVE_COMB,$A319)+SUMIFS(SALIDAS_DES,FECHA_DESGLOSEN,"&gt;="&amp;AX$2,FECHA_DESGLOSEN,"&lt;="&amp;AX$3,CLAVE_DESGLOSE,$A319)</f>
        <v>0</v>
      </c>
      <c r="AY319" s="162">
        <f>SUMIFS(SALIDAS_BIT,FECHA_BIT,"&gt;="&amp;AY$2,FECHA_BIT,"&lt;="&amp;AY$3,CLAVE_BIT,$A319)+SUMIFS(SALIDAS_BOV1,FECHA_BOV1,"&gt;="&amp;AY$2,FECHA_BOV1,"&lt;="&amp;AY$3,CLAVE_BOV1,$A319)+SUMIFS(SALIDAS_BOV2,FECHA_BOV2,"&gt;="&amp;AY$2,FECHA_BOV2,"&lt;="&amp;AY$3,CLAVE_BOV2,$A319)+SUMIFS(SALIDAS_BOV3,FECHA_BOV3,"&gt;="&amp;AY$2,FECHA_BOV3,"&lt;="&amp;AY$3,CLAVE_BOV3,$A319)+SUMIFS(SALIDAS_TC,FECHA_TC,"&gt;="&amp;AY$2,FECHA_TC,"&lt;="&amp;AY$3,CLAVE_TC,$A319)+SUMIFS(SALIDAS_COMB,FECHA_COMB,"&gt;="&amp;AY$2,FECHA_COMB,"&lt;="&amp;AY$3,CLAVE_COMB,$A319)+SUMIFS(SALIDAS_DES,FECHA_DESGLOSEN,"&gt;="&amp;AY$2,FECHA_DESGLOSEN,"&lt;="&amp;AY$3,CLAVE_DESGLOSE,$A319)</f>
        <v>0</v>
      </c>
      <c r="AZ319" s="162">
        <f>SUMIFS(SALIDAS_BIT,FECHA_BIT,"&gt;="&amp;AZ$2,FECHA_BIT,"&lt;="&amp;AZ$3,CLAVE_BIT,$A319)+SUMIFS(SALIDAS_BOV1,FECHA_BOV1,"&gt;="&amp;AZ$2,FECHA_BOV1,"&lt;="&amp;AZ$3,CLAVE_BOV1,$A319)+SUMIFS(SALIDAS_BOV2,FECHA_BOV2,"&gt;="&amp;AZ$2,FECHA_BOV2,"&lt;="&amp;AZ$3,CLAVE_BOV2,$A319)+SUMIFS(SALIDAS_BOV3,FECHA_BOV3,"&gt;="&amp;AZ$2,FECHA_BOV3,"&lt;="&amp;AZ$3,CLAVE_BOV3,$A319)+SUMIFS(SALIDAS_TC,FECHA_TC,"&gt;="&amp;AZ$2,FECHA_TC,"&lt;="&amp;AZ$3,CLAVE_TC,$A319)+SUMIFS(SALIDAS_COMB,FECHA_COMB,"&gt;="&amp;AZ$2,FECHA_COMB,"&lt;="&amp;AZ$3,CLAVE_COMB,$A319)+SUMIFS(SALIDAS_DES,FECHA_DESGLOSEN,"&gt;="&amp;AZ$2,FECHA_DESGLOSEN,"&lt;="&amp;AZ$3,CLAVE_DESGLOSE,$A319)</f>
        <v>700</v>
      </c>
      <c r="BA319" s="162">
        <f>SUMIFS(SALIDAS_BIT,FECHA_BIT,"&gt;="&amp;BA$2,FECHA_BIT,"&lt;="&amp;BA$3,CLAVE_BIT,$A319)+SUMIFS(SALIDAS_BOV1,FECHA_BOV1,"&gt;="&amp;BA$2,FECHA_BOV1,"&lt;="&amp;BA$3,CLAVE_BOV1,$A319)+SUMIFS(SALIDAS_BOV2,FECHA_BOV2,"&gt;="&amp;BA$2,FECHA_BOV2,"&lt;="&amp;BA$3,CLAVE_BOV2,$A319)+SUMIFS(SALIDAS_BOV3,FECHA_BOV3,"&gt;="&amp;BA$2,FECHA_BOV3,"&lt;="&amp;BA$3,CLAVE_BOV3,$A319)+SUMIFS(SALIDAS_TC,FECHA_TC,"&gt;="&amp;BA$2,FECHA_TC,"&lt;="&amp;BA$3,CLAVE_TC,$A319)+SUMIFS(SALIDAS_COMB,FECHA_COMB,"&gt;="&amp;BA$2,FECHA_COMB,"&lt;="&amp;BA$3,CLAVE_COMB,$A319)+SUMIFS(SALIDAS_DES,FECHA_DESGLOSEN,"&gt;="&amp;BA$2,FECHA_DESGLOSEN,"&lt;="&amp;BA$3,CLAVE_DESGLOSE,$A319)</f>
        <v>700</v>
      </c>
      <c r="BB319" s="227">
        <f>AV319-BA319</f>
        <v>-700</v>
      </c>
      <c r="BC319" s="301">
        <f>IFERROR((BA319/AV319),0)</f>
        <v>0</v>
      </c>
      <c r="BD319" s="162">
        <f>VLOOKUP($A319,T_PRESUPUESTO,MATCH(BD$6,E_PRESUPUESTO,0),FALSE)</f>
        <v>0</v>
      </c>
      <c r="BE319" s="162">
        <f>SUMIFS(SALIDAS_BIT,FECHA_BIT,"&gt;="&amp;BE$2,FECHA_BIT,"&lt;="&amp;BE$3,CLAVE_BIT,$A319)+SUMIFS(SALIDAS_BOV1,FECHA_BOV1,"&gt;="&amp;BE$2,FECHA_BOV1,"&lt;="&amp;BE$3,CLAVE_BOV1,$A319)+SUMIFS(SALIDAS_BOV2,FECHA_BOV2,"&gt;="&amp;BE$2,FECHA_BOV2,"&lt;="&amp;BE$3,CLAVE_BOV2,$A319)+SUMIFS(SALIDAS_BOV3,FECHA_BOV3,"&gt;="&amp;BE$2,FECHA_BOV3,"&lt;="&amp;BE$3,CLAVE_BOV3,$A319)+SUMIFS(SALIDAS_TC,FECHA_TC,"&gt;="&amp;BE$2,FECHA_TC,"&lt;="&amp;BE$3,CLAVE_TC,$A319)+SUMIFS(SALIDAS_COMB,FECHA_COMB,"&gt;="&amp;BE$2,FECHA_COMB,"&lt;="&amp;BE$3,CLAVE_COMB,$A319)+SUMIFS(SALIDAS_DES,FECHA_DESGLOSEN,"&gt;="&amp;BE$2,FECHA_DESGLOSEN,"&lt;="&amp;BE$3,CLAVE_DESGLOSE,$A319)</f>
        <v>0</v>
      </c>
      <c r="BF319" s="162">
        <f>SUMIFS(SALIDAS_BIT,FECHA_BIT,"&gt;="&amp;BF$2,FECHA_BIT,"&lt;="&amp;BF$3,CLAVE_BIT,$A319)+SUMIFS(SALIDAS_BOV1,FECHA_BOV1,"&gt;="&amp;BF$2,FECHA_BOV1,"&lt;="&amp;BF$3,CLAVE_BOV1,$A319)+SUMIFS(SALIDAS_BOV2,FECHA_BOV2,"&gt;="&amp;BF$2,FECHA_BOV2,"&lt;="&amp;BF$3,CLAVE_BOV2,$A319)+SUMIFS(SALIDAS_BOV3,FECHA_BOV3,"&gt;="&amp;BF$2,FECHA_BOV3,"&lt;="&amp;BF$3,CLAVE_BOV3,$A319)+SUMIFS(SALIDAS_TC,FECHA_TC,"&gt;="&amp;BF$2,FECHA_TC,"&lt;="&amp;BF$3,CLAVE_TC,$A319)+SUMIFS(SALIDAS_COMB,FECHA_COMB,"&gt;="&amp;BF$2,FECHA_COMB,"&lt;="&amp;BF$3,CLAVE_COMB,$A319)+SUMIFS(SALIDAS_DES,FECHA_DESGLOSEN,"&gt;="&amp;BF$2,FECHA_DESGLOSEN,"&lt;="&amp;BF$3,CLAVE_DESGLOSE,$A319)</f>
        <v>0</v>
      </c>
      <c r="BG319" s="162">
        <f>SUMIFS(SALIDAS_BIT,FECHA_BIT,"&gt;="&amp;BG$2,FECHA_BIT,"&lt;="&amp;BG$3,CLAVE_BIT,$A319)+SUMIFS(SALIDAS_BOV1,FECHA_BOV1,"&gt;="&amp;BG$2,FECHA_BOV1,"&lt;="&amp;BG$3,CLAVE_BOV1,$A319)+SUMIFS(SALIDAS_BOV2,FECHA_BOV2,"&gt;="&amp;BG$2,FECHA_BOV2,"&lt;="&amp;BG$3,CLAVE_BOV2,$A319)+SUMIFS(SALIDAS_BOV3,FECHA_BOV3,"&gt;="&amp;BG$2,FECHA_BOV3,"&lt;="&amp;BG$3,CLAVE_BOV3,$A319)+SUMIFS(SALIDAS_TC,FECHA_TC,"&gt;="&amp;BG$2,FECHA_TC,"&lt;="&amp;BG$3,CLAVE_TC,$A319)+SUMIFS(SALIDAS_COMB,FECHA_COMB,"&gt;="&amp;BG$2,FECHA_COMB,"&lt;="&amp;BG$3,CLAVE_COMB,$A319)+SUMIFS(SALIDAS_DES,FECHA_DESGLOSEN,"&gt;="&amp;BG$2,FECHA_DESGLOSEN,"&lt;="&amp;BG$3,CLAVE_DESGLOSE,$A319)</f>
        <v>0</v>
      </c>
      <c r="BH319" s="162">
        <f>SUMIFS(SALIDAS_BIT,FECHA_BIT,"&gt;="&amp;BH$2,FECHA_BIT,"&lt;="&amp;BH$3,CLAVE_BIT,$A319)+SUMIFS(SALIDAS_BOV1,FECHA_BOV1,"&gt;="&amp;BH$2,FECHA_BOV1,"&lt;="&amp;BH$3,CLAVE_BOV1,$A319)+SUMIFS(SALIDAS_BOV2,FECHA_BOV2,"&gt;="&amp;BH$2,FECHA_BOV2,"&lt;="&amp;BH$3,CLAVE_BOV2,$A319)+SUMIFS(SALIDAS_BOV3,FECHA_BOV3,"&gt;="&amp;BH$2,FECHA_BOV3,"&lt;="&amp;BH$3,CLAVE_BOV3,$A319)+SUMIFS(SALIDAS_TC,FECHA_TC,"&gt;="&amp;BH$2,FECHA_TC,"&lt;="&amp;BH$3,CLAVE_TC,$A319)+SUMIFS(SALIDAS_COMB,FECHA_COMB,"&gt;="&amp;BH$2,FECHA_COMB,"&lt;="&amp;BH$3,CLAVE_COMB,$A319)+SUMIFS(SALIDAS_DES,FECHA_DESGLOSEN,"&gt;="&amp;BH$2,FECHA_DESGLOSEN,"&lt;="&amp;BH$3,CLAVE_DESGLOSE,$A319)</f>
        <v>0</v>
      </c>
      <c r="BI319" s="162">
        <f>SUMIFS(SALIDAS_BIT,FECHA_BIT,"&gt;="&amp;BI$2,FECHA_BIT,"&lt;="&amp;BI$3,CLAVE_BIT,$A319)+SUMIFS(SALIDAS_BOV1,FECHA_BOV1,"&gt;="&amp;BI$2,FECHA_BOV1,"&lt;="&amp;BI$3,CLAVE_BOV1,$A319)+SUMIFS(SALIDAS_BOV2,FECHA_BOV2,"&gt;="&amp;BI$2,FECHA_BOV2,"&lt;="&amp;BI$3,CLAVE_BOV2,$A319)+SUMIFS(SALIDAS_BOV3,FECHA_BOV3,"&gt;="&amp;BI$2,FECHA_BOV3,"&lt;="&amp;BI$3,CLAVE_BOV3,$A319)+SUMIFS(SALIDAS_TC,FECHA_TC,"&gt;="&amp;BI$2,FECHA_TC,"&lt;="&amp;BI$3,CLAVE_TC,$A319)+SUMIFS(SALIDAS_COMB,FECHA_COMB,"&gt;="&amp;BI$2,FECHA_COMB,"&lt;="&amp;BI$3,CLAVE_COMB,$A319)+SUMIFS(SALIDAS_DES,FECHA_DESGLOSEN,"&gt;="&amp;BI$2,FECHA_DESGLOSEN,"&lt;="&amp;BI$3,CLAVE_DESGLOSE,$A319)</f>
        <v>0</v>
      </c>
      <c r="BJ319" s="227">
        <f>BD319-BI319</f>
        <v>0</v>
      </c>
      <c r="BK319" s="301">
        <f>IFERROR((BI319/BD319),0)</f>
        <v>0</v>
      </c>
      <c r="BL319" s="162">
        <f>VLOOKUP($A319,T_PRESUPUESTO,MATCH(BL$6,E_PRESUPUESTO,0),FALSE)</f>
        <v>0</v>
      </c>
      <c r="BM319" s="162">
        <f>SUMIFS(SALIDAS_BIT,FECHA_BIT,"&gt;="&amp;BM$2,FECHA_BIT,"&lt;="&amp;BM$3,CLAVE_BIT,$A319)+SUMIFS(SALIDAS_BOV1,FECHA_BOV1,"&gt;="&amp;BM$2,FECHA_BOV1,"&lt;="&amp;BM$3,CLAVE_BOV1,$A319)+SUMIFS(SALIDAS_BOV2,FECHA_BOV2,"&gt;="&amp;BM$2,FECHA_BOV2,"&lt;="&amp;BM$3,CLAVE_BOV2,$A319)+SUMIFS(SALIDAS_BOV3,FECHA_BOV3,"&gt;="&amp;BM$2,FECHA_BOV3,"&lt;="&amp;BM$3,CLAVE_BOV3,$A319)+SUMIFS(SALIDAS_TC,FECHA_TC,"&gt;="&amp;BM$2,FECHA_TC,"&lt;="&amp;BM$3,CLAVE_TC,$A319)+SUMIFS(SALIDAS_COMB,FECHA_COMB,"&gt;="&amp;BM$2,FECHA_COMB,"&lt;="&amp;BM$3,CLAVE_COMB,$A319)+SUMIFS(SALIDAS_DES,FECHA_DESGLOSEN,"&gt;="&amp;BM$2,FECHA_DESGLOSEN,"&lt;="&amp;BM$3,CLAVE_DESGLOSE,$A319)</f>
        <v>0</v>
      </c>
      <c r="BN319" s="162">
        <f>SUMIFS(SALIDAS_BIT,FECHA_BIT,"&gt;="&amp;BN$2,FECHA_BIT,"&lt;="&amp;BN$3,CLAVE_BIT,$A319)+SUMIFS(SALIDAS_BOV1,FECHA_BOV1,"&gt;="&amp;BN$2,FECHA_BOV1,"&lt;="&amp;BN$3,CLAVE_BOV1,$A319)+SUMIFS(SALIDAS_BOV2,FECHA_BOV2,"&gt;="&amp;BN$2,FECHA_BOV2,"&lt;="&amp;BN$3,CLAVE_BOV2,$A319)+SUMIFS(SALIDAS_BOV3,FECHA_BOV3,"&gt;="&amp;BN$2,FECHA_BOV3,"&lt;="&amp;BN$3,CLAVE_BOV3,$A319)+SUMIFS(SALIDAS_TC,FECHA_TC,"&gt;="&amp;BN$2,FECHA_TC,"&lt;="&amp;BN$3,CLAVE_TC,$A319)+SUMIFS(SALIDAS_COMB,FECHA_COMB,"&gt;="&amp;BN$2,FECHA_COMB,"&lt;="&amp;BN$3,CLAVE_COMB,$A319)+SUMIFS(SALIDAS_DES,FECHA_DESGLOSEN,"&gt;="&amp;BN$2,FECHA_DESGLOSEN,"&lt;="&amp;BN$3,CLAVE_DESGLOSE,$A319)</f>
        <v>0</v>
      </c>
      <c r="BO319" s="162">
        <f>SUMIFS(SALIDAS_BIT,FECHA_BIT,"&gt;="&amp;BO$2,FECHA_BIT,"&lt;="&amp;BO$3,CLAVE_BIT,$A319)+SUMIFS(SALIDAS_BOV1,FECHA_BOV1,"&gt;="&amp;BO$2,FECHA_BOV1,"&lt;="&amp;BO$3,CLAVE_BOV1,$A319)+SUMIFS(SALIDAS_BOV2,FECHA_BOV2,"&gt;="&amp;BO$2,FECHA_BOV2,"&lt;="&amp;BO$3,CLAVE_BOV2,$A319)+SUMIFS(SALIDAS_BOV3,FECHA_BOV3,"&gt;="&amp;BO$2,FECHA_BOV3,"&lt;="&amp;BO$3,CLAVE_BOV3,$A319)+SUMIFS(SALIDAS_TC,FECHA_TC,"&gt;="&amp;BO$2,FECHA_TC,"&lt;="&amp;BO$3,CLAVE_TC,$A319)+SUMIFS(SALIDAS_COMB,FECHA_COMB,"&gt;="&amp;BO$2,FECHA_COMB,"&lt;="&amp;BO$3,CLAVE_COMB,$A319)+SUMIFS(SALIDAS_DES,FECHA_DESGLOSEN,"&gt;="&amp;BO$2,FECHA_DESGLOSEN,"&lt;="&amp;BO$3,CLAVE_DESGLOSE,$A319)</f>
        <v>0</v>
      </c>
      <c r="BP319" s="162">
        <f>SUMIFS(SALIDAS_BIT,FECHA_BIT,"&gt;="&amp;BP$2,FECHA_BIT,"&lt;="&amp;BP$3,CLAVE_BIT,$A319)+SUMIFS(SALIDAS_BOV1,FECHA_BOV1,"&gt;="&amp;BP$2,FECHA_BOV1,"&lt;="&amp;BP$3,CLAVE_BOV1,$A319)+SUMIFS(SALIDAS_BOV2,FECHA_BOV2,"&gt;="&amp;BP$2,FECHA_BOV2,"&lt;="&amp;BP$3,CLAVE_BOV2,$A319)+SUMIFS(SALIDAS_BOV3,FECHA_BOV3,"&gt;="&amp;BP$2,FECHA_BOV3,"&lt;="&amp;BP$3,CLAVE_BOV3,$A319)+SUMIFS(SALIDAS_TC,FECHA_TC,"&gt;="&amp;BP$2,FECHA_TC,"&lt;="&amp;BP$3,CLAVE_TC,$A319)+SUMIFS(SALIDAS_COMB,FECHA_COMB,"&gt;="&amp;BP$2,FECHA_COMB,"&lt;="&amp;BP$3,CLAVE_COMB,$A319)+SUMIFS(SALIDAS_DES,FECHA_DESGLOSEN,"&gt;="&amp;BP$2,FECHA_DESGLOSEN,"&lt;="&amp;BP$3,CLAVE_DESGLOSE,$A319)</f>
        <v>0</v>
      </c>
      <c r="BQ319" s="162">
        <f>SUMIFS(SALIDAS_BIT,FECHA_BIT,"&gt;="&amp;BQ$2,FECHA_BIT,"&lt;="&amp;BQ$3,CLAVE_BIT,$A319)+SUMIFS(SALIDAS_BOV1,FECHA_BOV1,"&gt;="&amp;BQ$2,FECHA_BOV1,"&lt;="&amp;BQ$3,CLAVE_BOV1,$A319)+SUMIFS(SALIDAS_BOV2,FECHA_BOV2,"&gt;="&amp;BQ$2,FECHA_BOV2,"&lt;="&amp;BQ$3,CLAVE_BOV2,$A319)+SUMIFS(SALIDAS_BOV3,FECHA_BOV3,"&gt;="&amp;BQ$2,FECHA_BOV3,"&lt;="&amp;BQ$3,CLAVE_BOV3,$A319)+SUMIFS(SALIDAS_TC,FECHA_TC,"&gt;="&amp;BQ$2,FECHA_TC,"&lt;="&amp;BQ$3,CLAVE_TC,$A319)+SUMIFS(SALIDAS_COMB,FECHA_COMB,"&gt;="&amp;BQ$2,FECHA_COMB,"&lt;="&amp;BQ$3,CLAVE_COMB,$A319)+SUMIFS(SALIDAS_DES,FECHA_DESGLOSEN,"&gt;="&amp;BQ$2,FECHA_DESGLOSEN,"&lt;="&amp;BQ$3,CLAVE_DESGLOSE,$A319)</f>
        <v>0</v>
      </c>
      <c r="BR319" s="162">
        <f>SUMIFS(SALIDAS_BIT,FECHA_BIT,"&gt;="&amp;BR$2,FECHA_BIT,"&lt;="&amp;BR$3,CLAVE_BIT,$A319)+SUMIFS(SALIDAS_BOV1,FECHA_BOV1,"&gt;="&amp;BR$2,FECHA_BOV1,"&lt;="&amp;BR$3,CLAVE_BOV1,$A319)+SUMIFS(SALIDAS_BOV2,FECHA_BOV2,"&gt;="&amp;BR$2,FECHA_BOV2,"&lt;="&amp;BR$3,CLAVE_BOV2,$A319)+SUMIFS(SALIDAS_BOV3,FECHA_BOV3,"&gt;="&amp;BR$2,FECHA_BOV3,"&lt;="&amp;BR$3,CLAVE_BOV3,$A319)+SUMIFS(SALIDAS_TC,FECHA_TC,"&gt;="&amp;BR$2,FECHA_TC,"&lt;="&amp;BR$3,CLAVE_TC,$A319)+SUMIFS(SALIDAS_COMB,FECHA_COMB,"&gt;="&amp;BR$2,FECHA_COMB,"&lt;="&amp;BR$3,CLAVE_COMB,$A319)+SUMIFS(SALIDAS_DES,FECHA_DESGLOSEN,"&gt;="&amp;BR$2,FECHA_DESGLOSEN,"&lt;="&amp;BR$3,CLAVE_DESGLOSE,$A319)</f>
        <v>0</v>
      </c>
      <c r="BS319" s="227">
        <f>BL319-BR319</f>
        <v>0</v>
      </c>
      <c r="BT319" s="301">
        <f>IFERROR((BR319/BL319),0)</f>
        <v>0</v>
      </c>
      <c r="BU319" s="162">
        <f>VLOOKUP($A319,T_PRESUPUESTO,MATCH(BU$6,E_PRESUPUESTO,0),FALSE)</f>
        <v>0</v>
      </c>
      <c r="BV319" s="162">
        <f>SUMIFS(SALIDAS_BIT,FECHA_BIT,"&gt;="&amp;BV$2,FECHA_BIT,"&lt;="&amp;BV$3,CLAVE_BIT,$A319)+SUMIFS(SALIDAS_BOV1,FECHA_BOV1,"&gt;="&amp;BV$2,FECHA_BOV1,"&lt;="&amp;BV$3,CLAVE_BOV1,$A319)+SUMIFS(SALIDAS_BOV2,FECHA_BOV2,"&gt;="&amp;BV$2,FECHA_BOV2,"&lt;="&amp;BV$3,CLAVE_BOV2,$A319)+SUMIFS(SALIDAS_BOV3,FECHA_BOV3,"&gt;="&amp;BV$2,FECHA_BOV3,"&lt;="&amp;BV$3,CLAVE_BOV3,$A319)+SUMIFS(SALIDAS_TC,FECHA_TC,"&gt;="&amp;BV$2,FECHA_TC,"&lt;="&amp;BV$3,CLAVE_TC,$A319)+SUMIFS(SALIDAS_COMB,FECHA_COMB,"&gt;="&amp;BV$2,FECHA_COMB,"&lt;="&amp;BV$3,CLAVE_COMB,$A319)+SUMIFS(SALIDAS_DES,FECHA_DESGLOSEN,"&gt;="&amp;BV$2,FECHA_DESGLOSEN,"&lt;="&amp;BV$3,CLAVE_DESGLOSE,$A319)</f>
        <v>0</v>
      </c>
      <c r="BW319" s="162">
        <f>SUMIFS(SALIDAS_BIT,FECHA_BIT,"&gt;="&amp;BW$2,FECHA_BIT,"&lt;="&amp;BW$3,CLAVE_BIT,$A319)+SUMIFS(SALIDAS_BOV1,FECHA_BOV1,"&gt;="&amp;BW$2,FECHA_BOV1,"&lt;="&amp;BW$3,CLAVE_BOV1,$A319)+SUMIFS(SALIDAS_BOV2,FECHA_BOV2,"&gt;="&amp;BW$2,FECHA_BOV2,"&lt;="&amp;BW$3,CLAVE_BOV2,$A319)+SUMIFS(SALIDAS_BOV3,FECHA_BOV3,"&gt;="&amp;BW$2,FECHA_BOV3,"&lt;="&amp;BW$3,CLAVE_BOV3,$A319)+SUMIFS(SALIDAS_TC,FECHA_TC,"&gt;="&amp;BW$2,FECHA_TC,"&lt;="&amp;BW$3,CLAVE_TC,$A319)+SUMIFS(SALIDAS_COMB,FECHA_COMB,"&gt;="&amp;BW$2,FECHA_COMB,"&lt;="&amp;BW$3,CLAVE_COMB,$A319)+SUMIFS(SALIDAS_DES,FECHA_DESGLOSEN,"&gt;="&amp;BW$2,FECHA_DESGLOSEN,"&lt;="&amp;BW$3,CLAVE_DESGLOSE,$A319)</f>
        <v>0</v>
      </c>
      <c r="BX319" s="162">
        <f>SUMIFS(SALIDAS_BIT,FECHA_BIT,"&gt;="&amp;BX$2,FECHA_BIT,"&lt;="&amp;BX$3,CLAVE_BIT,$A319)+SUMIFS(SALIDAS_BOV1,FECHA_BOV1,"&gt;="&amp;BX$2,FECHA_BOV1,"&lt;="&amp;BX$3,CLAVE_BOV1,$A319)+SUMIFS(SALIDAS_BOV2,FECHA_BOV2,"&gt;="&amp;BX$2,FECHA_BOV2,"&lt;="&amp;BX$3,CLAVE_BOV2,$A319)+SUMIFS(SALIDAS_BOV3,FECHA_BOV3,"&gt;="&amp;BX$2,FECHA_BOV3,"&lt;="&amp;BX$3,CLAVE_BOV3,$A319)+SUMIFS(SALIDAS_TC,FECHA_TC,"&gt;="&amp;BX$2,FECHA_TC,"&lt;="&amp;BX$3,CLAVE_TC,$A319)+SUMIFS(SALIDAS_COMB,FECHA_COMB,"&gt;="&amp;BX$2,FECHA_COMB,"&lt;="&amp;BX$3,CLAVE_COMB,$A319)+SUMIFS(SALIDAS_DES,FECHA_DESGLOSEN,"&gt;="&amp;BX$2,FECHA_DESGLOSEN,"&lt;="&amp;BX$3,CLAVE_DESGLOSE,$A319)</f>
        <v>0</v>
      </c>
      <c r="BY319" s="162">
        <f>SUMIFS(SALIDAS_BIT,FECHA_BIT,"&gt;="&amp;BY$2,FECHA_BIT,"&lt;="&amp;BY$3,CLAVE_BIT,$A319)+SUMIFS(SALIDAS_BOV1,FECHA_BOV1,"&gt;="&amp;BY$2,FECHA_BOV1,"&lt;="&amp;BY$3,CLAVE_BOV1,$A319)+SUMIFS(SALIDAS_BOV2,FECHA_BOV2,"&gt;="&amp;BY$2,FECHA_BOV2,"&lt;="&amp;BY$3,CLAVE_BOV2,$A319)+SUMIFS(SALIDAS_BOV3,FECHA_BOV3,"&gt;="&amp;BY$2,FECHA_BOV3,"&lt;="&amp;BY$3,CLAVE_BOV3,$A319)+SUMIFS(SALIDAS_TC,FECHA_TC,"&gt;="&amp;BY$2,FECHA_TC,"&lt;="&amp;BY$3,CLAVE_TC,$A319)+SUMIFS(SALIDAS_COMB,FECHA_COMB,"&gt;="&amp;BY$2,FECHA_COMB,"&lt;="&amp;BY$3,CLAVE_COMB,$A319)+SUMIFS(SALIDAS_DES,FECHA_DESGLOSEN,"&gt;="&amp;BY$2,FECHA_DESGLOSEN,"&lt;="&amp;BY$3,CLAVE_DESGLOSE,$A319)</f>
        <v>0</v>
      </c>
      <c r="BZ319" s="162">
        <f>SUMIFS(SALIDAS_BIT,FECHA_BIT,"&gt;="&amp;BZ$2,FECHA_BIT,"&lt;="&amp;BZ$3,CLAVE_BIT,$A319)+SUMIFS(SALIDAS_BOV1,FECHA_BOV1,"&gt;="&amp;BZ$2,FECHA_BOV1,"&lt;="&amp;BZ$3,CLAVE_BOV1,$A319)+SUMIFS(SALIDAS_BOV2,FECHA_BOV2,"&gt;="&amp;BZ$2,FECHA_BOV2,"&lt;="&amp;BZ$3,CLAVE_BOV2,$A319)+SUMIFS(SALIDAS_BOV3,FECHA_BOV3,"&gt;="&amp;BZ$2,FECHA_BOV3,"&lt;="&amp;BZ$3,CLAVE_BOV3,$A319)+SUMIFS(SALIDAS_TC,FECHA_TC,"&gt;="&amp;BZ$2,FECHA_TC,"&lt;="&amp;BZ$3,CLAVE_TC,$A319)+SUMIFS(SALIDAS_COMB,FECHA_COMB,"&gt;="&amp;BZ$2,FECHA_COMB,"&lt;="&amp;BZ$3,CLAVE_COMB,$A319)+SUMIFS(SALIDAS_DES,FECHA_DESGLOSEN,"&gt;="&amp;BZ$2,FECHA_DESGLOSEN,"&lt;="&amp;BZ$3,CLAVE_DESGLOSE,$A319)</f>
        <v>0</v>
      </c>
      <c r="CA319" s="227">
        <f>BU319-BZ319</f>
        <v>0</v>
      </c>
      <c r="CB319" s="301">
        <f>IFERROR((BZ319/BU319),0)</f>
        <v>0</v>
      </c>
      <c r="CC319" s="162">
        <f>VLOOKUP($A319,T_PRESUPUESTO,MATCH(CC$6,E_PRESUPUESTO,0),FALSE)</f>
        <v>0</v>
      </c>
      <c r="CD319" s="162">
        <f>SUMIFS(SALIDAS_BIT,FECHA_BIT,"&gt;="&amp;CD$2,FECHA_BIT,"&lt;="&amp;CD$3,CLAVE_BIT,$A319)+SUMIFS(SALIDAS_BOV1,FECHA_BOV1,"&gt;="&amp;CD$2,FECHA_BOV1,"&lt;="&amp;CD$3,CLAVE_BOV1,$A319)+SUMIFS(SALIDAS_BOV2,FECHA_BOV2,"&gt;="&amp;CD$2,FECHA_BOV2,"&lt;="&amp;CD$3,CLAVE_BOV2,$A319)+SUMIFS(SALIDAS_BOV3,FECHA_BOV3,"&gt;="&amp;CD$2,FECHA_BOV3,"&lt;="&amp;CD$3,CLAVE_BOV3,$A319)+SUMIFS(SALIDAS_TC,FECHA_TC,"&gt;="&amp;CD$2,FECHA_TC,"&lt;="&amp;CD$3,CLAVE_TC,$A319)+SUMIFS(SALIDAS_COMB,FECHA_COMB,"&gt;="&amp;CD$2,FECHA_COMB,"&lt;="&amp;CD$3,CLAVE_COMB,$A319)+SUMIFS(SALIDAS_DES,FECHA_DESGLOSEN,"&gt;="&amp;CD$2,FECHA_DESGLOSEN,"&lt;="&amp;CD$3,CLAVE_DESGLOSE,$A319)</f>
        <v>0</v>
      </c>
      <c r="CE319" s="162">
        <f>SUMIFS(SALIDAS_BIT,FECHA_BIT,"&gt;="&amp;CE$2,FECHA_BIT,"&lt;="&amp;CE$3,CLAVE_BIT,$A319)+SUMIFS(SALIDAS_BOV1,FECHA_BOV1,"&gt;="&amp;CE$2,FECHA_BOV1,"&lt;="&amp;CE$3,CLAVE_BOV1,$A319)+SUMIFS(SALIDAS_BOV2,FECHA_BOV2,"&gt;="&amp;CE$2,FECHA_BOV2,"&lt;="&amp;CE$3,CLAVE_BOV2,$A319)+SUMIFS(SALIDAS_BOV3,FECHA_BOV3,"&gt;="&amp;CE$2,FECHA_BOV3,"&lt;="&amp;CE$3,CLAVE_BOV3,$A319)+SUMIFS(SALIDAS_TC,FECHA_TC,"&gt;="&amp;CE$2,FECHA_TC,"&lt;="&amp;CE$3,CLAVE_TC,$A319)+SUMIFS(SALIDAS_COMB,FECHA_COMB,"&gt;="&amp;CE$2,FECHA_COMB,"&lt;="&amp;CE$3,CLAVE_COMB,$A319)+SUMIFS(SALIDAS_DES,FECHA_DESGLOSEN,"&gt;="&amp;CE$2,FECHA_DESGLOSEN,"&lt;="&amp;CE$3,CLAVE_DESGLOSE,$A319)</f>
        <v>0</v>
      </c>
      <c r="CF319" s="162">
        <f>SUMIFS(SALIDAS_BIT,FECHA_BIT,"&gt;="&amp;CF$2,FECHA_BIT,"&lt;="&amp;CF$3,CLAVE_BIT,$A319)+SUMIFS(SALIDAS_BOV1,FECHA_BOV1,"&gt;="&amp;CF$2,FECHA_BOV1,"&lt;="&amp;CF$3,CLAVE_BOV1,$A319)+SUMIFS(SALIDAS_BOV2,FECHA_BOV2,"&gt;="&amp;CF$2,FECHA_BOV2,"&lt;="&amp;CF$3,CLAVE_BOV2,$A319)+SUMIFS(SALIDAS_BOV3,FECHA_BOV3,"&gt;="&amp;CF$2,FECHA_BOV3,"&lt;="&amp;CF$3,CLAVE_BOV3,$A319)+SUMIFS(SALIDAS_TC,FECHA_TC,"&gt;="&amp;CF$2,FECHA_TC,"&lt;="&amp;CF$3,CLAVE_TC,$A319)+SUMIFS(SALIDAS_COMB,FECHA_COMB,"&gt;="&amp;CF$2,FECHA_COMB,"&lt;="&amp;CF$3,CLAVE_COMB,$A319)+SUMIFS(SALIDAS_DES,FECHA_DESGLOSEN,"&gt;="&amp;CF$2,FECHA_DESGLOSEN,"&lt;="&amp;CF$3,CLAVE_DESGLOSE,$A319)</f>
        <v>0</v>
      </c>
      <c r="CG319" s="162">
        <f>SUMIFS(SALIDAS_BIT,FECHA_BIT,"&gt;="&amp;CG$2,FECHA_BIT,"&lt;="&amp;CG$3,CLAVE_BIT,$A319)+SUMIFS(SALIDAS_BOV1,FECHA_BOV1,"&gt;="&amp;CG$2,FECHA_BOV1,"&lt;="&amp;CG$3,CLAVE_BOV1,$A319)+SUMIFS(SALIDAS_BOV2,FECHA_BOV2,"&gt;="&amp;CG$2,FECHA_BOV2,"&lt;="&amp;CG$3,CLAVE_BOV2,$A319)+SUMIFS(SALIDAS_BOV3,FECHA_BOV3,"&gt;="&amp;CG$2,FECHA_BOV3,"&lt;="&amp;CG$3,CLAVE_BOV3,$A319)+SUMIFS(SALIDAS_TC,FECHA_TC,"&gt;="&amp;CG$2,FECHA_TC,"&lt;="&amp;CG$3,CLAVE_TC,$A319)+SUMIFS(SALIDAS_COMB,FECHA_COMB,"&gt;="&amp;CG$2,FECHA_COMB,"&lt;="&amp;CG$3,CLAVE_COMB,$A319)+SUMIFS(SALIDAS_DES,FECHA_DESGLOSEN,"&gt;="&amp;CG$2,FECHA_DESGLOSEN,"&lt;="&amp;CG$3,CLAVE_DESGLOSE,$A319)</f>
        <v>0</v>
      </c>
      <c r="CH319" s="162">
        <f>SUMIFS(SALIDAS_BIT,FECHA_BIT,"&gt;="&amp;CH$2,FECHA_BIT,"&lt;="&amp;CH$3,CLAVE_BIT,$A319)+SUMIFS(SALIDAS_BOV1,FECHA_BOV1,"&gt;="&amp;CH$2,FECHA_BOV1,"&lt;="&amp;CH$3,CLAVE_BOV1,$A319)+SUMIFS(SALIDAS_BOV2,FECHA_BOV2,"&gt;="&amp;CH$2,FECHA_BOV2,"&lt;="&amp;CH$3,CLAVE_BOV2,$A319)+SUMIFS(SALIDAS_BOV3,FECHA_BOV3,"&gt;="&amp;CH$2,FECHA_BOV3,"&lt;="&amp;CH$3,CLAVE_BOV3,$A319)+SUMIFS(SALIDAS_TC,FECHA_TC,"&gt;="&amp;CH$2,FECHA_TC,"&lt;="&amp;CH$3,CLAVE_TC,$A319)+SUMIFS(SALIDAS_COMB,FECHA_COMB,"&gt;="&amp;CH$2,FECHA_COMB,"&lt;="&amp;CH$3,CLAVE_COMB,$A319)+SUMIFS(SALIDAS_DES,FECHA_DESGLOSEN,"&gt;="&amp;CH$2,FECHA_DESGLOSEN,"&lt;="&amp;CH$3,CLAVE_DESGLOSE,$A319)</f>
        <v>0</v>
      </c>
      <c r="CI319" s="227">
        <f>CC319-CH319</f>
        <v>0</v>
      </c>
      <c r="CJ319" s="301">
        <f>IFERROR((CH319/CC319),0)</f>
        <v>0</v>
      </c>
      <c r="CK319" s="162">
        <f>VLOOKUP($A319,T_PRESUPUESTO,MATCH(CK$6,E_PRESUPUESTO,0),FALSE)</f>
        <v>0</v>
      </c>
      <c r="CL319" s="162">
        <f>SUMIFS(SALIDAS_BIT,FECHA_BIT,"&gt;="&amp;CL$2,FECHA_BIT,"&lt;="&amp;CL$3,CLAVE_BIT,$A319)+SUMIFS(SALIDAS_BOV1,FECHA_BOV1,"&gt;="&amp;CL$2,FECHA_BOV1,"&lt;="&amp;CL$3,CLAVE_BOV1,$A319)+SUMIFS(SALIDAS_BOV2,FECHA_BOV2,"&gt;="&amp;CL$2,FECHA_BOV2,"&lt;="&amp;CL$3,CLAVE_BOV2,$A319)+SUMIFS(SALIDAS_BOV3,FECHA_BOV3,"&gt;="&amp;CL$2,FECHA_BOV3,"&lt;="&amp;CL$3,CLAVE_BOV3,$A319)+SUMIFS(SALIDAS_TC,FECHA_TC,"&gt;="&amp;CL$2,FECHA_TC,"&lt;="&amp;CL$3,CLAVE_TC,$A319)+SUMIFS(SALIDAS_COMB,FECHA_COMB,"&gt;="&amp;CL$2,FECHA_COMB,"&lt;="&amp;CL$3,CLAVE_COMB,$A319)+SUMIFS(SALIDAS_DES,FECHA_DESGLOSEN,"&gt;="&amp;CL$2,FECHA_DESGLOSEN,"&lt;="&amp;CL$3,CLAVE_DESGLOSE,$A319)</f>
        <v>0</v>
      </c>
      <c r="CM319" s="162">
        <f>SUMIFS(SALIDAS_BIT,FECHA_BIT,"&gt;="&amp;CM$2,FECHA_BIT,"&lt;="&amp;CM$3,CLAVE_BIT,$A319)+SUMIFS(SALIDAS_BOV1,FECHA_BOV1,"&gt;="&amp;CM$2,FECHA_BOV1,"&lt;="&amp;CM$3,CLAVE_BOV1,$A319)+SUMIFS(SALIDAS_BOV2,FECHA_BOV2,"&gt;="&amp;CM$2,FECHA_BOV2,"&lt;="&amp;CM$3,CLAVE_BOV2,$A319)+SUMIFS(SALIDAS_BOV3,FECHA_BOV3,"&gt;="&amp;CM$2,FECHA_BOV3,"&lt;="&amp;CM$3,CLAVE_BOV3,$A319)+SUMIFS(SALIDAS_TC,FECHA_TC,"&gt;="&amp;CM$2,FECHA_TC,"&lt;="&amp;CM$3,CLAVE_TC,$A319)+SUMIFS(SALIDAS_COMB,FECHA_COMB,"&gt;="&amp;CM$2,FECHA_COMB,"&lt;="&amp;CM$3,CLAVE_COMB,$A319)+SUMIFS(SALIDAS_DES,FECHA_DESGLOSEN,"&gt;="&amp;CM$2,FECHA_DESGLOSEN,"&lt;="&amp;CM$3,CLAVE_DESGLOSE,$A319)</f>
        <v>0</v>
      </c>
      <c r="CN319" s="162">
        <f>SUMIFS(SALIDAS_BIT,FECHA_BIT,"&gt;="&amp;CN$2,FECHA_BIT,"&lt;="&amp;CN$3,CLAVE_BIT,$A319)+SUMIFS(SALIDAS_BOV1,FECHA_BOV1,"&gt;="&amp;CN$2,FECHA_BOV1,"&lt;="&amp;CN$3,CLAVE_BOV1,$A319)+SUMIFS(SALIDAS_BOV2,FECHA_BOV2,"&gt;="&amp;CN$2,FECHA_BOV2,"&lt;="&amp;CN$3,CLAVE_BOV2,$A319)+SUMIFS(SALIDAS_BOV3,FECHA_BOV3,"&gt;="&amp;CN$2,FECHA_BOV3,"&lt;="&amp;CN$3,CLAVE_BOV3,$A319)+SUMIFS(SALIDAS_TC,FECHA_TC,"&gt;="&amp;CN$2,FECHA_TC,"&lt;="&amp;CN$3,CLAVE_TC,$A319)+SUMIFS(SALIDAS_COMB,FECHA_COMB,"&gt;="&amp;CN$2,FECHA_COMB,"&lt;="&amp;CN$3,CLAVE_COMB,$A319)+SUMIFS(SALIDAS_DES,FECHA_DESGLOSEN,"&gt;="&amp;CN$2,FECHA_DESGLOSEN,"&lt;="&amp;CN$3,CLAVE_DESGLOSE,$A319)</f>
        <v>0</v>
      </c>
      <c r="CO319" s="162">
        <f>SUMIFS(SALIDAS_BIT,FECHA_BIT,"&gt;="&amp;CO$2,FECHA_BIT,"&lt;="&amp;CO$3,CLAVE_BIT,$A319)+SUMIFS(SALIDAS_BOV1,FECHA_BOV1,"&gt;="&amp;CO$2,FECHA_BOV1,"&lt;="&amp;CO$3,CLAVE_BOV1,$A319)+SUMIFS(SALIDAS_BOV2,FECHA_BOV2,"&gt;="&amp;CO$2,FECHA_BOV2,"&lt;="&amp;CO$3,CLAVE_BOV2,$A319)+SUMIFS(SALIDAS_BOV3,FECHA_BOV3,"&gt;="&amp;CO$2,FECHA_BOV3,"&lt;="&amp;CO$3,CLAVE_BOV3,$A319)+SUMIFS(SALIDAS_TC,FECHA_TC,"&gt;="&amp;CO$2,FECHA_TC,"&lt;="&amp;CO$3,CLAVE_TC,$A319)+SUMIFS(SALIDAS_COMB,FECHA_COMB,"&gt;="&amp;CO$2,FECHA_COMB,"&lt;="&amp;CO$3,CLAVE_COMB,$A319)+SUMIFS(SALIDAS_DES,FECHA_DESGLOSEN,"&gt;="&amp;CO$2,FECHA_DESGLOSEN,"&lt;="&amp;CO$3,CLAVE_DESGLOSE,$A319)</f>
        <v>0</v>
      </c>
      <c r="CP319" s="162">
        <f>SUMIFS(SALIDAS_BIT,FECHA_BIT,"&gt;="&amp;CP$2,FECHA_BIT,"&lt;="&amp;CP$3,CLAVE_BIT,$A319)+SUMIFS(SALIDAS_BOV1,FECHA_BOV1,"&gt;="&amp;CP$2,FECHA_BOV1,"&lt;="&amp;CP$3,CLAVE_BOV1,$A319)+SUMIFS(SALIDAS_BOV2,FECHA_BOV2,"&gt;="&amp;CP$2,FECHA_BOV2,"&lt;="&amp;CP$3,CLAVE_BOV2,$A319)+SUMIFS(SALIDAS_BOV3,FECHA_BOV3,"&gt;="&amp;CP$2,FECHA_BOV3,"&lt;="&amp;CP$3,CLAVE_BOV3,$A319)+SUMIFS(SALIDAS_TC,FECHA_TC,"&gt;="&amp;CP$2,FECHA_TC,"&lt;="&amp;CP$3,CLAVE_TC,$A319)+SUMIFS(SALIDAS_COMB,FECHA_COMB,"&gt;="&amp;CP$2,FECHA_COMB,"&lt;="&amp;CP$3,CLAVE_COMB,$A319)+SUMIFS(SALIDAS_DES,FECHA_DESGLOSEN,"&gt;="&amp;CP$2,FECHA_DESGLOSEN,"&lt;="&amp;CP$3,CLAVE_DESGLOSE,$A319)</f>
        <v>0</v>
      </c>
      <c r="CQ319" s="162">
        <f>SUMIFS(SALIDAS_BIT,FECHA_BIT,"&gt;="&amp;CQ$2,FECHA_BIT,"&lt;="&amp;CQ$3,CLAVE_BIT,$A319)+SUMIFS(SALIDAS_BOV1,FECHA_BOV1,"&gt;="&amp;CQ$2,FECHA_BOV1,"&lt;="&amp;CQ$3,CLAVE_BOV1,$A319)+SUMIFS(SALIDAS_BOV2,FECHA_BOV2,"&gt;="&amp;CQ$2,FECHA_BOV2,"&lt;="&amp;CQ$3,CLAVE_BOV2,$A319)+SUMIFS(SALIDAS_BOV3,FECHA_BOV3,"&gt;="&amp;CQ$2,FECHA_BOV3,"&lt;="&amp;CQ$3,CLAVE_BOV3,$A319)+SUMIFS(SALIDAS_TC,FECHA_TC,"&gt;="&amp;CQ$2,FECHA_TC,"&lt;="&amp;CQ$3,CLAVE_TC,$A319)+SUMIFS(SALIDAS_COMB,FECHA_COMB,"&gt;="&amp;CQ$2,FECHA_COMB,"&lt;="&amp;CQ$3,CLAVE_COMB,$A319)+SUMIFS(SALIDAS_DES,FECHA_DESGLOSEN,"&gt;="&amp;CQ$2,FECHA_DESGLOSEN,"&lt;="&amp;CQ$3,CLAVE_DESGLOSE,$A319)</f>
        <v>0</v>
      </c>
      <c r="CR319" s="227">
        <f>CK319-CQ319</f>
        <v>0</v>
      </c>
      <c r="CS319" s="301">
        <f>IFERROR((CQ319/CK319),0)</f>
        <v>0</v>
      </c>
      <c r="CT319" s="68">
        <f t="shared" si="446"/>
        <v>0</v>
      </c>
      <c r="CU319" s="13">
        <f>SUMIFS(SALIDAS_BIT,FECHA_BIT,"&gt;="&amp;CU$2,FECHA_BIT,"&lt;="&amp;CU$3,CLAVE_BIT,$A319)+SUMIFS(SALIDAS_BOV1,FECHA_BOV1,"&gt;="&amp;CU$2,FECHA_BOV1,"&lt;="&amp;CU$3,CLAVE_BOV1,$A319)+SUMIFS(SALIDAS_BOV2,FECHA_BOV2,"&gt;="&amp;CU$2,FECHA_BOV2,"&lt;="&amp;CU$3,CLAVE_BOV2,$A319)+SUMIFS(SALIDAS_BOV3,FECHA_BOV3,"&gt;="&amp;CU$2,FECHA_BOV3,"&lt;="&amp;CU$3,CLAVE_BOV3,$A319)+SUMIFS(SALIDAS_TC,FECHA_TC,"&gt;="&amp;CU$2,FECHA_TC,"&lt;="&amp;CU$3,CLAVE_TC,$A319)+SUMIFS(SALIDAS_COMB,FECHA_COMB,"&gt;="&amp;CU$2,FECHA_COMB,"&lt;="&amp;CU$3,CLAVE_COMB,$A319)+SUMIFS(SALIDAS_DES,FECHA_DESGLOSEN,"&gt;="&amp;CU$2,FECHA_DESGLOSEN,"&lt;="&amp;CU$3,CLAVE_DESGLOSE,$A319)</f>
        <v>0</v>
      </c>
      <c r="CV319" s="13">
        <f>SUMIFS(SALIDAS_BIT,FECHA_BIT,"&gt;="&amp;CV$2,FECHA_BIT,"&lt;="&amp;CV$3,CLAVE_BIT,$A319)+SUMIFS(SALIDAS_BOV1,FECHA_BOV1,"&gt;="&amp;CV$2,FECHA_BOV1,"&lt;="&amp;CV$3,CLAVE_BOV1,$A319)+SUMIFS(SALIDAS_BOV2,FECHA_BOV2,"&gt;="&amp;CV$2,FECHA_BOV2,"&lt;="&amp;CV$3,CLAVE_BOV2,$A319)+SUMIFS(SALIDAS_BOV3,FECHA_BOV3,"&gt;="&amp;CV$2,FECHA_BOV3,"&lt;="&amp;CV$3,CLAVE_BOV3,$A319)+SUMIFS(SALIDAS_TC,FECHA_TC,"&gt;="&amp;CV$2,FECHA_TC,"&lt;="&amp;CV$3,CLAVE_TC,$A319)+SUMIFS(SALIDAS_COMB,FECHA_COMB,"&gt;="&amp;CV$2,FECHA_COMB,"&lt;="&amp;CV$3,CLAVE_COMB,$A319)+SUMIFS(SALIDAS_DES,FECHA_DESGLOSEN,"&gt;="&amp;CV$2,FECHA_DESGLOSEN,"&lt;="&amp;CV$3,CLAVE_DESGLOSE,$A319)</f>
        <v>0</v>
      </c>
      <c r="CW319" s="13">
        <f>SUMIFS(SALIDAS_BIT,FECHA_BIT,"&gt;="&amp;CW$2,FECHA_BIT,"&lt;="&amp;CW$3,CLAVE_BIT,$A319)+SUMIFS(SALIDAS_BOV1,FECHA_BOV1,"&gt;="&amp;CW$2,FECHA_BOV1,"&lt;="&amp;CW$3,CLAVE_BOV1,$A319)+SUMIFS(SALIDAS_BOV2,FECHA_BOV2,"&gt;="&amp;CW$2,FECHA_BOV2,"&lt;="&amp;CW$3,CLAVE_BOV2,$A319)+SUMIFS(SALIDAS_BOV3,FECHA_BOV3,"&gt;="&amp;CW$2,FECHA_BOV3,"&lt;="&amp;CW$3,CLAVE_BOV3,$A319)+SUMIFS(SALIDAS_TC,FECHA_TC,"&gt;="&amp;CW$2,FECHA_TC,"&lt;="&amp;CW$3,CLAVE_TC,$A319)+SUMIFS(SALIDAS_COMB,FECHA_COMB,"&gt;="&amp;CW$2,FECHA_COMB,"&lt;="&amp;CW$3,CLAVE_COMB,$A319)+SUMIFS(SALIDAS_DES,FECHA_DESGLOSEN,"&gt;="&amp;CW$2,FECHA_DESGLOSEN,"&lt;="&amp;CW$3,CLAVE_DESGLOSE,$A319)</f>
        <v>0</v>
      </c>
      <c r="CX319" s="13">
        <f>SUMIFS(SALIDAS_BIT,FECHA_BIT,"&gt;="&amp;CX$2,FECHA_BIT,"&lt;="&amp;CX$3,CLAVE_BIT,$A319)+SUMIFS(SALIDAS_BOV1,FECHA_BOV1,"&gt;="&amp;CX$2,FECHA_BOV1,"&lt;="&amp;CX$3,CLAVE_BOV1,$A319)+SUMIFS(SALIDAS_BOV2,FECHA_BOV2,"&gt;="&amp;CX$2,FECHA_BOV2,"&lt;="&amp;CX$3,CLAVE_BOV2,$A319)+SUMIFS(SALIDAS_BOV3,FECHA_BOV3,"&gt;="&amp;CX$2,FECHA_BOV3,"&lt;="&amp;CX$3,CLAVE_BOV3,$A319)+SUMIFS(SALIDAS_TC,FECHA_TC,"&gt;="&amp;CX$2,FECHA_TC,"&lt;="&amp;CX$3,CLAVE_TC,$A319)+SUMIFS(SALIDAS_COMB,FECHA_COMB,"&gt;="&amp;CX$2,FECHA_COMB,"&lt;="&amp;CX$3,CLAVE_COMB,$A319)+SUMIFS(SALIDAS_DES,FECHA_DESGLOSEN,"&gt;="&amp;CX$2,FECHA_DESGLOSEN,"&lt;="&amp;CX$3,CLAVE_DESGLOSE,$A319)</f>
        <v>0</v>
      </c>
      <c r="CY319" s="13">
        <f>SUMIFS(SALIDAS_BIT,FECHA_BIT,"&gt;="&amp;CY$2,FECHA_BIT,"&lt;="&amp;CY$3,CLAVE_BIT,$A319)+SUMIFS(SALIDAS_BOV1,FECHA_BOV1,"&gt;="&amp;CY$2,FECHA_BOV1,"&lt;="&amp;CY$3,CLAVE_BOV1,$A319)+SUMIFS(SALIDAS_BOV2,FECHA_BOV2,"&gt;="&amp;CY$2,FECHA_BOV2,"&lt;="&amp;CY$3,CLAVE_BOV2,$A319)+SUMIFS(SALIDAS_BOV3,FECHA_BOV3,"&gt;="&amp;CY$2,FECHA_BOV3,"&lt;="&amp;CY$3,CLAVE_BOV3,$A319)+SUMIFS(SALIDAS_TC,FECHA_TC,"&gt;="&amp;CY$2,FECHA_TC,"&lt;="&amp;CY$3,CLAVE_TC,$A319)+SUMIFS(SALIDAS_COMB,FECHA_COMB,"&gt;="&amp;CY$2,FECHA_COMB,"&lt;="&amp;CY$3,CLAVE_COMB,$A319)+SUMIFS(SALIDAS_DES,FECHA_DESGLOSEN,"&gt;="&amp;CY$2,FECHA_DESGLOSEN,"&lt;="&amp;CY$3,CLAVE_DESGLOSE,$A319)</f>
        <v>0</v>
      </c>
      <c r="CZ319" s="68">
        <f t="shared" si="474"/>
        <v>0</v>
      </c>
      <c r="DB319" s="17">
        <f>F319+N319+W319+AE319+AM319+AV319+BD319+BL319+BU319+CC319+CK319</f>
        <v>0</v>
      </c>
      <c r="DC319" s="17">
        <f>K319+T319+AB319+AJ319+AS319+BA319+BI319+BR319+BZ319+CH319+CQ319</f>
        <v>700</v>
      </c>
    </row>
    <row r="320" spans="1:107" ht="15" hidden="1">
      <c r="A320" s="12" t="str">
        <f>C320&amp;D320&amp;E320</f>
        <v>MKTVIATICOSMKT</v>
      </c>
      <c r="B320">
        <v>320</v>
      </c>
      <c r="C320" t="s">
        <v>19</v>
      </c>
      <c r="D320" t="s">
        <v>191</v>
      </c>
      <c r="E320" t="s">
        <v>19</v>
      </c>
      <c r="F320" s="260">
        <f>VLOOKUP($A320,T_PRESUPUESTO,MATCH(F$6,E_PRESUPUESTO,0),FALSE)</f>
        <v>0</v>
      </c>
      <c r="G320" s="162">
        <f>SUMIFS(SALIDAS_BIT,FECHA_BIT,"&gt;="&amp;G$2,FECHA_BIT,"&lt;="&amp;G$3,CLAVE_BIT,$A320)+SUMIFS(SALIDAS_BOV1,FECHA_BOV1,"&gt;="&amp;G$2,FECHA_BOV1,"&lt;="&amp;G$3,CLAVE_BOV1,$A320)+SUMIFS(SALIDAS_BOV2,FECHA_BOV2,"&gt;="&amp;G$2,FECHA_BOV2,"&lt;="&amp;G$3,CLAVE_BOV2,$A320)+SUMIFS(SALIDAS_BOV3,FECHA_BOV3,"&gt;="&amp;G$2,FECHA_BOV3,"&lt;="&amp;G$3,CLAVE_BOV3,$A320)+SUMIFS(SALIDAS_TC,FECHA_TC,"&gt;="&amp;G$2,FECHA_TC,"&lt;="&amp;G$3,CLAVE_TC,$A320)+SUMIFS(SALIDAS_COMB,FECHA_COMB,"&gt;="&amp;G$2,FECHA_COMB,"&lt;="&amp;G$3,CLAVE_COMB,$A320)+SUMIFS(SALIDAS_DES,FECHA_DESGLOSEN,"&gt;="&amp;G$2,FECHA_DESGLOSEN,"&lt;="&amp;G$3,CLAVE_DESGLOSE,$A320)</f>
        <v>0</v>
      </c>
      <c r="H320" s="162">
        <f>SUMIFS(SALIDAS_BIT,FECHA_BIT,"&gt;="&amp;H$2,FECHA_BIT,"&lt;="&amp;H$3,CLAVE_BIT,$A320)+SUMIFS(SALIDAS_BOV1,FECHA_BOV1,"&gt;="&amp;H$2,FECHA_BOV1,"&lt;="&amp;H$3,CLAVE_BOV1,$A320)+SUMIFS(SALIDAS_BOV2,FECHA_BOV2,"&gt;="&amp;H$2,FECHA_BOV2,"&lt;="&amp;H$3,CLAVE_BOV2,$A320)+SUMIFS(SALIDAS_BOV3,FECHA_BOV3,"&gt;="&amp;H$2,FECHA_BOV3,"&lt;="&amp;H$3,CLAVE_BOV3,$A320)+SUMIFS(SALIDAS_TC,FECHA_TC,"&gt;="&amp;H$2,FECHA_TC,"&lt;="&amp;H$3,CLAVE_TC,$A320)+SUMIFS(SALIDAS_COMB,FECHA_COMB,"&gt;="&amp;H$2,FECHA_COMB,"&lt;="&amp;H$3,CLAVE_COMB,$A320)+SUMIFS(SALIDAS_DES,FECHA_DESGLOSEN,"&gt;="&amp;H$2,FECHA_DESGLOSEN,"&lt;="&amp;H$3,CLAVE_DESGLOSE,$A320)</f>
        <v>0</v>
      </c>
      <c r="I320" s="162">
        <f>SUMIFS(SALIDAS_BIT,FECHA_BIT,"&gt;="&amp;I$2,FECHA_BIT,"&lt;="&amp;I$3,CLAVE_BIT,$A320)+SUMIFS(SALIDAS_BOV1,FECHA_BOV1,"&gt;="&amp;I$2,FECHA_BOV1,"&lt;="&amp;I$3,CLAVE_BOV1,$A320)+SUMIFS(SALIDAS_BOV2,FECHA_BOV2,"&gt;="&amp;I$2,FECHA_BOV2,"&lt;="&amp;I$3,CLAVE_BOV2,$A320)+SUMIFS(SALIDAS_BOV3,FECHA_BOV3,"&gt;="&amp;I$2,FECHA_BOV3,"&lt;="&amp;I$3,CLAVE_BOV3,$A320)+SUMIFS(SALIDAS_TC,FECHA_TC,"&gt;="&amp;I$2,FECHA_TC,"&lt;="&amp;I$3,CLAVE_TC,$A320)+SUMIFS(SALIDAS_COMB,FECHA_COMB,"&gt;="&amp;I$2,FECHA_COMB,"&lt;="&amp;I$3,CLAVE_COMB,$A320)+SUMIFS(SALIDAS_DES,FECHA_DESGLOSEN,"&gt;="&amp;I$2,FECHA_DESGLOSEN,"&lt;="&amp;I$3,CLAVE_DESGLOSE,$A320)</f>
        <v>0</v>
      </c>
      <c r="J320" s="162">
        <f>SUMIFS(SALIDAS_BIT,FECHA_BIT,"&gt;="&amp;J$2,FECHA_BIT,"&lt;="&amp;J$3,CLAVE_BIT,$A320)+SUMIFS(SALIDAS_BOV1,FECHA_BOV1,"&gt;="&amp;J$2,FECHA_BOV1,"&lt;="&amp;J$3,CLAVE_BOV1,$A320)+SUMIFS(SALIDAS_BOV2,FECHA_BOV2,"&gt;="&amp;J$2,FECHA_BOV2,"&lt;="&amp;J$3,CLAVE_BOV2,$A320)+SUMIFS(SALIDAS_BOV3,FECHA_BOV3,"&gt;="&amp;J$2,FECHA_BOV3,"&lt;="&amp;J$3,CLAVE_BOV3,$A320)+SUMIFS(SALIDAS_TC,FECHA_TC,"&gt;="&amp;J$2,FECHA_TC,"&lt;="&amp;J$3,CLAVE_TC,$A320)+SUMIFS(SALIDAS_COMB,FECHA_COMB,"&gt;="&amp;J$2,FECHA_COMB,"&lt;="&amp;J$3,CLAVE_COMB,$A320)+SUMIFS(SALIDAS_DES,FECHA_DESGLOSEN,"&gt;="&amp;J$2,FECHA_DESGLOSEN,"&lt;="&amp;J$3,CLAVE_DESGLOSE,$A320)</f>
        <v>0</v>
      </c>
      <c r="K320" s="162">
        <f>SUMIFS(SALIDAS_BIT,FECHA_BIT,"&gt;="&amp;K$2,FECHA_BIT,"&lt;="&amp;K$3,CLAVE_BIT,$A320)+SUMIFS(SALIDAS_BOV1,FECHA_BOV1,"&gt;="&amp;K$2,FECHA_BOV1,"&lt;="&amp;K$3,CLAVE_BOV1,$A320)+SUMIFS(SALIDAS_BOV2,FECHA_BOV2,"&gt;="&amp;K$2,FECHA_BOV2,"&lt;="&amp;K$3,CLAVE_BOV2,$A320)+SUMIFS(SALIDAS_BOV3,FECHA_BOV3,"&gt;="&amp;K$2,FECHA_BOV3,"&lt;="&amp;K$3,CLAVE_BOV3,$A320)+SUMIFS(SALIDAS_TC,FECHA_TC,"&gt;="&amp;K$2,FECHA_TC,"&lt;="&amp;K$3,CLAVE_TC,$A320)+SUMIFS(SALIDAS_COMB,FECHA_COMB,"&gt;="&amp;K$2,FECHA_COMB,"&lt;="&amp;K$3,CLAVE_COMB,$A320)+SUMIFS(SALIDAS_DES,FECHA_DESGLOSEN,"&gt;="&amp;K$2,FECHA_DESGLOSEN,"&lt;="&amp;K$3,CLAVE_DESGLOSE,$A320)</f>
        <v>0</v>
      </c>
      <c r="L320" s="227">
        <f>F320-K320</f>
        <v>0</v>
      </c>
      <c r="M320" s="301">
        <f>IFERROR((K320/F320),0)</f>
        <v>0</v>
      </c>
      <c r="N320" s="162">
        <f>VLOOKUP($A320,T_PRESUPUESTO,MATCH(N$6,E_PRESUPUESTO,0),FALSE)</f>
        <v>0</v>
      </c>
      <c r="O320" s="162">
        <f>SUMIFS(SALIDAS_BIT,FECHA_BIT,"&gt;="&amp;O$2,FECHA_BIT,"&lt;="&amp;O$3,CLAVE_BIT,$A320)+SUMIFS(SALIDAS_BOV1,FECHA_BOV1,"&gt;="&amp;O$2,FECHA_BOV1,"&lt;="&amp;O$3,CLAVE_BOV1,$A320)+SUMIFS(SALIDAS_BOV2,FECHA_BOV2,"&gt;="&amp;O$2,FECHA_BOV2,"&lt;="&amp;O$3,CLAVE_BOV2,$A320)+SUMIFS(SALIDAS_BOV3,FECHA_BOV3,"&gt;="&amp;O$2,FECHA_BOV3,"&lt;="&amp;O$3,CLAVE_BOV3,$A320)+SUMIFS(SALIDAS_TC,FECHA_TC,"&gt;="&amp;O$2,FECHA_TC,"&lt;="&amp;O$3,CLAVE_TC,$A320)+SUMIFS(SALIDAS_COMB,FECHA_COMB,"&gt;="&amp;O$2,FECHA_COMB,"&lt;="&amp;O$3,CLAVE_COMB,$A320)+SUMIFS(SALIDAS_DES,FECHA_DESGLOSEN,"&gt;="&amp;O$2,FECHA_DESGLOSEN,"&lt;="&amp;O$3,CLAVE_DESGLOSE,$A320)</f>
        <v>0</v>
      </c>
      <c r="P320" s="162">
        <f>SUMIFS(SALIDAS_BIT,FECHA_BIT,"&gt;="&amp;P$2,FECHA_BIT,"&lt;="&amp;P$3,CLAVE_BIT,$A320)+SUMIFS(SALIDAS_BOV1,FECHA_BOV1,"&gt;="&amp;P$2,FECHA_BOV1,"&lt;="&amp;P$3,CLAVE_BOV1,$A320)+SUMIFS(SALIDAS_BOV2,FECHA_BOV2,"&gt;="&amp;P$2,FECHA_BOV2,"&lt;="&amp;P$3,CLAVE_BOV2,$A320)+SUMIFS(SALIDAS_BOV3,FECHA_BOV3,"&gt;="&amp;P$2,FECHA_BOV3,"&lt;="&amp;P$3,CLAVE_BOV3,$A320)+SUMIFS(SALIDAS_TC,FECHA_TC,"&gt;="&amp;P$2,FECHA_TC,"&lt;="&amp;P$3,CLAVE_TC,$A320)+SUMIFS(SALIDAS_COMB,FECHA_COMB,"&gt;="&amp;P$2,FECHA_COMB,"&lt;="&amp;P$3,CLAVE_COMB,$A320)+SUMIFS(SALIDAS_DES,FECHA_DESGLOSEN,"&gt;="&amp;P$2,FECHA_DESGLOSEN,"&lt;="&amp;P$3,CLAVE_DESGLOSE,$A320)</f>
        <v>0</v>
      </c>
      <c r="Q320" s="162">
        <f>SUMIFS(SALIDAS_BIT,FECHA_BIT,"&gt;="&amp;Q$2,FECHA_BIT,"&lt;="&amp;Q$3,CLAVE_BIT,$A320)+SUMIFS(SALIDAS_BOV1,FECHA_BOV1,"&gt;="&amp;Q$2,FECHA_BOV1,"&lt;="&amp;Q$3,CLAVE_BOV1,$A320)+SUMIFS(SALIDAS_BOV2,FECHA_BOV2,"&gt;="&amp;Q$2,FECHA_BOV2,"&lt;="&amp;Q$3,CLAVE_BOV2,$A320)+SUMIFS(SALIDAS_BOV3,FECHA_BOV3,"&gt;="&amp;Q$2,FECHA_BOV3,"&lt;="&amp;Q$3,CLAVE_BOV3,$A320)+SUMIFS(SALIDAS_TC,FECHA_TC,"&gt;="&amp;Q$2,FECHA_TC,"&lt;="&amp;Q$3,CLAVE_TC,$A320)+SUMIFS(SALIDAS_COMB,FECHA_COMB,"&gt;="&amp;Q$2,FECHA_COMB,"&lt;="&amp;Q$3,CLAVE_COMB,$A320)+SUMIFS(SALIDAS_DES,FECHA_DESGLOSEN,"&gt;="&amp;Q$2,FECHA_DESGLOSEN,"&lt;="&amp;Q$3,CLAVE_DESGLOSE,$A320)</f>
        <v>0</v>
      </c>
      <c r="R320" s="162">
        <f>SUMIFS(SALIDAS_BIT,FECHA_BIT,"&gt;="&amp;R$2,FECHA_BIT,"&lt;="&amp;R$3,CLAVE_BIT,$A320)+SUMIFS(SALIDAS_BOV1,FECHA_BOV1,"&gt;="&amp;R$2,FECHA_BOV1,"&lt;="&amp;R$3,CLAVE_BOV1,$A320)+SUMIFS(SALIDAS_BOV2,FECHA_BOV2,"&gt;="&amp;R$2,FECHA_BOV2,"&lt;="&amp;R$3,CLAVE_BOV2,$A320)+SUMIFS(SALIDAS_BOV3,FECHA_BOV3,"&gt;="&amp;R$2,FECHA_BOV3,"&lt;="&amp;R$3,CLAVE_BOV3,$A320)+SUMIFS(SALIDAS_TC,FECHA_TC,"&gt;="&amp;R$2,FECHA_TC,"&lt;="&amp;R$3,CLAVE_TC,$A320)+SUMIFS(SALIDAS_COMB,FECHA_COMB,"&gt;="&amp;R$2,FECHA_COMB,"&lt;="&amp;R$3,CLAVE_COMB,$A320)+SUMIFS(SALIDAS_DES,FECHA_DESGLOSEN,"&gt;="&amp;R$2,FECHA_DESGLOSEN,"&lt;="&amp;R$3,CLAVE_DESGLOSE,$A320)</f>
        <v>0</v>
      </c>
      <c r="S320" s="162">
        <f>SUMIFS(SALIDAS_BIT,FECHA_BIT,"&gt;="&amp;S$2,FECHA_BIT,"&lt;="&amp;S$3,CLAVE_BIT,$A320)+SUMIFS(SALIDAS_BOV1,FECHA_BOV1,"&gt;="&amp;S$2,FECHA_BOV1,"&lt;="&amp;S$3,CLAVE_BOV1,$A320)+SUMIFS(SALIDAS_BOV2,FECHA_BOV2,"&gt;="&amp;S$2,FECHA_BOV2,"&lt;="&amp;S$3,CLAVE_BOV2,$A320)+SUMIFS(SALIDAS_BOV3,FECHA_BOV3,"&gt;="&amp;S$2,FECHA_BOV3,"&lt;="&amp;S$3,CLAVE_BOV3,$A320)+SUMIFS(SALIDAS_TC,FECHA_TC,"&gt;="&amp;S$2,FECHA_TC,"&lt;="&amp;S$3,CLAVE_TC,$A320)+SUMIFS(SALIDAS_COMB,FECHA_COMB,"&gt;="&amp;S$2,FECHA_COMB,"&lt;="&amp;S$3,CLAVE_COMB,$A320)+SUMIFS(SALIDAS_DES,FECHA_DESGLOSEN,"&gt;="&amp;S$2,FECHA_DESGLOSEN,"&lt;="&amp;S$3,CLAVE_DESGLOSE,$A320)</f>
        <v>0</v>
      </c>
      <c r="T320" s="162">
        <f>SUMIFS(SALIDAS_BIT,FECHA_BIT,"&gt;="&amp;T$2,FECHA_BIT,"&lt;="&amp;T$3,CLAVE_BIT,$A320)+SUMIFS(SALIDAS_BOV1,FECHA_BOV1,"&gt;="&amp;T$2,FECHA_BOV1,"&lt;="&amp;T$3,CLAVE_BOV1,$A320)+SUMIFS(SALIDAS_BOV2,FECHA_BOV2,"&gt;="&amp;T$2,FECHA_BOV2,"&lt;="&amp;T$3,CLAVE_BOV2,$A320)+SUMIFS(SALIDAS_BOV3,FECHA_BOV3,"&gt;="&amp;T$2,FECHA_BOV3,"&lt;="&amp;T$3,CLAVE_BOV3,$A320)+SUMIFS(SALIDAS_TC,FECHA_TC,"&gt;="&amp;T$2,FECHA_TC,"&lt;="&amp;T$3,CLAVE_TC,$A320)+SUMIFS(SALIDAS_COMB,FECHA_COMB,"&gt;="&amp;T$2,FECHA_COMB,"&lt;="&amp;T$3,CLAVE_COMB,$A320)+SUMIFS(SALIDAS_DES,FECHA_DESGLOSEN,"&gt;="&amp;T$2,FECHA_DESGLOSEN,"&lt;="&amp;T$3,CLAVE_DESGLOSE,$A320)</f>
        <v>0</v>
      </c>
      <c r="U320" s="227">
        <f>N320-T320</f>
        <v>0</v>
      </c>
      <c r="V320" s="301">
        <f>IFERROR((T320/N320),0)</f>
        <v>0</v>
      </c>
      <c r="W320" s="162">
        <f>VLOOKUP($A320,T_PRESUPUESTO,MATCH(W$6,E_PRESUPUESTO,0),FALSE)</f>
        <v>0</v>
      </c>
      <c r="X320" s="162">
        <f>SUMIFS(SALIDAS_BIT,FECHA_BIT,"&gt;="&amp;X$2,FECHA_BIT,"&lt;="&amp;X$3,CLAVE_BIT,$A320)+SUMIFS(SALIDAS_BOV1,FECHA_BOV1,"&gt;="&amp;X$2,FECHA_BOV1,"&lt;="&amp;X$3,CLAVE_BOV1,$A320)+SUMIFS(SALIDAS_BOV2,FECHA_BOV2,"&gt;="&amp;X$2,FECHA_BOV2,"&lt;="&amp;X$3,CLAVE_BOV2,$A320)+SUMIFS(SALIDAS_BOV3,FECHA_BOV3,"&gt;="&amp;X$2,FECHA_BOV3,"&lt;="&amp;X$3,CLAVE_BOV3,$A320)+SUMIFS(SALIDAS_TC,FECHA_TC,"&gt;="&amp;X$2,FECHA_TC,"&lt;="&amp;X$3,CLAVE_TC,$A320)+SUMIFS(SALIDAS_COMB,FECHA_COMB,"&gt;="&amp;X$2,FECHA_COMB,"&lt;="&amp;X$3,CLAVE_COMB,$A320)+SUMIFS(SALIDAS_DES,FECHA_DESGLOSEN,"&gt;="&amp;X$2,FECHA_DESGLOSEN,"&lt;="&amp;X$3,CLAVE_DESGLOSE,$A320)</f>
        <v>0</v>
      </c>
      <c r="Y320" s="162">
        <f>SUMIFS(SALIDAS_BIT,FECHA_BIT,"&gt;="&amp;Y$2,FECHA_BIT,"&lt;="&amp;Y$3,CLAVE_BIT,$A320)+SUMIFS(SALIDAS_BOV1,FECHA_BOV1,"&gt;="&amp;Y$2,FECHA_BOV1,"&lt;="&amp;Y$3,CLAVE_BOV1,$A320)+SUMIFS(SALIDAS_BOV2,FECHA_BOV2,"&gt;="&amp;Y$2,FECHA_BOV2,"&lt;="&amp;Y$3,CLAVE_BOV2,$A320)+SUMIFS(SALIDAS_BOV3,FECHA_BOV3,"&gt;="&amp;Y$2,FECHA_BOV3,"&lt;="&amp;Y$3,CLAVE_BOV3,$A320)+SUMIFS(SALIDAS_TC,FECHA_TC,"&gt;="&amp;Y$2,FECHA_TC,"&lt;="&amp;Y$3,CLAVE_TC,$A320)+SUMIFS(SALIDAS_COMB,FECHA_COMB,"&gt;="&amp;Y$2,FECHA_COMB,"&lt;="&amp;Y$3,CLAVE_COMB,$A320)+SUMIFS(SALIDAS_DES,FECHA_DESGLOSEN,"&gt;="&amp;Y$2,FECHA_DESGLOSEN,"&lt;="&amp;Y$3,CLAVE_DESGLOSE,$A320)</f>
        <v>0</v>
      </c>
      <c r="Z320" s="162">
        <f>SUMIFS(SALIDAS_BIT,FECHA_BIT,"&gt;="&amp;Z$2,FECHA_BIT,"&lt;="&amp;Z$3,CLAVE_BIT,$A320)+SUMIFS(SALIDAS_BOV1,FECHA_BOV1,"&gt;="&amp;Z$2,FECHA_BOV1,"&lt;="&amp;Z$3,CLAVE_BOV1,$A320)+SUMIFS(SALIDAS_BOV2,FECHA_BOV2,"&gt;="&amp;Z$2,FECHA_BOV2,"&lt;="&amp;Z$3,CLAVE_BOV2,$A320)+SUMIFS(SALIDAS_BOV3,FECHA_BOV3,"&gt;="&amp;Z$2,FECHA_BOV3,"&lt;="&amp;Z$3,CLAVE_BOV3,$A320)+SUMIFS(SALIDAS_TC,FECHA_TC,"&gt;="&amp;Z$2,FECHA_TC,"&lt;="&amp;Z$3,CLAVE_TC,$A320)+SUMIFS(SALIDAS_COMB,FECHA_COMB,"&gt;="&amp;Z$2,FECHA_COMB,"&lt;="&amp;Z$3,CLAVE_COMB,$A320)+SUMIFS(SALIDAS_DES,FECHA_DESGLOSEN,"&gt;="&amp;Z$2,FECHA_DESGLOSEN,"&lt;="&amp;Z$3,CLAVE_DESGLOSE,$A320)</f>
        <v>0</v>
      </c>
      <c r="AA320" s="162">
        <f>SUMIFS(SALIDAS_BIT,FECHA_BIT,"&gt;="&amp;AA$2,FECHA_BIT,"&lt;="&amp;AA$3,CLAVE_BIT,$A320)+SUMIFS(SALIDAS_BOV1,FECHA_BOV1,"&gt;="&amp;AA$2,FECHA_BOV1,"&lt;="&amp;AA$3,CLAVE_BOV1,$A320)+SUMIFS(SALIDAS_BOV2,FECHA_BOV2,"&gt;="&amp;AA$2,FECHA_BOV2,"&lt;="&amp;AA$3,CLAVE_BOV2,$A320)+SUMIFS(SALIDAS_BOV3,FECHA_BOV3,"&gt;="&amp;AA$2,FECHA_BOV3,"&lt;="&amp;AA$3,CLAVE_BOV3,$A320)+SUMIFS(SALIDAS_TC,FECHA_TC,"&gt;="&amp;AA$2,FECHA_TC,"&lt;="&amp;AA$3,CLAVE_TC,$A320)+SUMIFS(SALIDAS_COMB,FECHA_COMB,"&gt;="&amp;AA$2,FECHA_COMB,"&lt;="&amp;AA$3,CLAVE_COMB,$A320)+SUMIFS(SALIDAS_DES,FECHA_DESGLOSEN,"&gt;="&amp;AA$2,FECHA_DESGLOSEN,"&lt;="&amp;AA$3,CLAVE_DESGLOSE,$A320)</f>
        <v>0</v>
      </c>
      <c r="AB320" s="162">
        <f>SUMIFS(SALIDAS_BIT,FECHA_BIT,"&gt;="&amp;AB$2,FECHA_BIT,"&lt;="&amp;AB$3,CLAVE_BIT,$A320)+SUMIFS(SALIDAS_BOV1,FECHA_BOV1,"&gt;="&amp;AB$2,FECHA_BOV1,"&lt;="&amp;AB$3,CLAVE_BOV1,$A320)+SUMIFS(SALIDAS_BOV2,FECHA_BOV2,"&gt;="&amp;AB$2,FECHA_BOV2,"&lt;="&amp;AB$3,CLAVE_BOV2,$A320)+SUMIFS(SALIDAS_BOV3,FECHA_BOV3,"&gt;="&amp;AB$2,FECHA_BOV3,"&lt;="&amp;AB$3,CLAVE_BOV3,$A320)+SUMIFS(SALIDAS_TC,FECHA_TC,"&gt;="&amp;AB$2,FECHA_TC,"&lt;="&amp;AB$3,CLAVE_TC,$A320)+SUMIFS(SALIDAS_COMB,FECHA_COMB,"&gt;="&amp;AB$2,FECHA_COMB,"&lt;="&amp;AB$3,CLAVE_COMB,$A320)+SUMIFS(SALIDAS_DES,FECHA_DESGLOSEN,"&gt;="&amp;AB$2,FECHA_DESGLOSEN,"&lt;="&amp;AB$3,CLAVE_DESGLOSE,$A320)</f>
        <v>0</v>
      </c>
      <c r="AC320" s="227">
        <f>W320-AB320</f>
        <v>0</v>
      </c>
      <c r="AD320" s="301">
        <f>IFERROR((AB320/W320),0)</f>
        <v>0</v>
      </c>
      <c r="AE320" s="162">
        <f>VLOOKUP($A320,T_PRESUPUESTO,MATCH(AE$6,E_PRESUPUESTO,0),FALSE)</f>
        <v>0</v>
      </c>
      <c r="AF320" s="162">
        <f>SUMIFS(SALIDAS_BIT,FECHA_BIT,"&gt;="&amp;AF$2,FECHA_BIT,"&lt;="&amp;AF$3,CLAVE_BIT,$A320)+SUMIFS(SALIDAS_BOV1,FECHA_BOV1,"&gt;="&amp;AF$2,FECHA_BOV1,"&lt;="&amp;AF$3,CLAVE_BOV1,$A320)+SUMIFS(SALIDAS_BOV2,FECHA_BOV2,"&gt;="&amp;AF$2,FECHA_BOV2,"&lt;="&amp;AF$3,CLAVE_BOV2,$A320)+SUMIFS(SALIDAS_BOV3,FECHA_BOV3,"&gt;="&amp;AF$2,FECHA_BOV3,"&lt;="&amp;AF$3,CLAVE_BOV3,$A320)+SUMIFS(SALIDAS_TC,FECHA_TC,"&gt;="&amp;AF$2,FECHA_TC,"&lt;="&amp;AF$3,CLAVE_TC,$A320)+SUMIFS(SALIDAS_COMB,FECHA_COMB,"&gt;="&amp;AF$2,FECHA_COMB,"&lt;="&amp;AF$3,CLAVE_COMB,$A320)+SUMIFS(SALIDAS_DES,FECHA_DESGLOSEN,"&gt;="&amp;AF$2,FECHA_DESGLOSEN,"&lt;="&amp;AF$3,CLAVE_DESGLOSE,$A320)</f>
        <v>0</v>
      </c>
      <c r="AG320" s="162">
        <f>SUMIFS(SALIDAS_BIT,FECHA_BIT,"&gt;="&amp;AG$2,FECHA_BIT,"&lt;="&amp;AG$3,CLAVE_BIT,$A320)+SUMIFS(SALIDAS_BOV1,FECHA_BOV1,"&gt;="&amp;AG$2,FECHA_BOV1,"&lt;="&amp;AG$3,CLAVE_BOV1,$A320)+SUMIFS(SALIDAS_BOV2,FECHA_BOV2,"&gt;="&amp;AG$2,FECHA_BOV2,"&lt;="&amp;AG$3,CLAVE_BOV2,$A320)+SUMIFS(SALIDAS_BOV3,FECHA_BOV3,"&gt;="&amp;AG$2,FECHA_BOV3,"&lt;="&amp;AG$3,CLAVE_BOV3,$A320)+SUMIFS(SALIDAS_TC,FECHA_TC,"&gt;="&amp;AG$2,FECHA_TC,"&lt;="&amp;AG$3,CLAVE_TC,$A320)+SUMIFS(SALIDAS_COMB,FECHA_COMB,"&gt;="&amp;AG$2,FECHA_COMB,"&lt;="&amp;AG$3,CLAVE_COMB,$A320)+SUMIFS(SALIDAS_DES,FECHA_DESGLOSEN,"&gt;="&amp;AG$2,FECHA_DESGLOSEN,"&lt;="&amp;AG$3,CLAVE_DESGLOSE,$A320)</f>
        <v>0</v>
      </c>
      <c r="AH320" s="162">
        <f>SUMIFS(SALIDAS_BIT,FECHA_BIT,"&gt;="&amp;AH$2,FECHA_BIT,"&lt;="&amp;AH$3,CLAVE_BIT,$A320)+SUMIFS(SALIDAS_BOV1,FECHA_BOV1,"&gt;="&amp;AH$2,FECHA_BOV1,"&lt;="&amp;AH$3,CLAVE_BOV1,$A320)+SUMIFS(SALIDAS_BOV2,FECHA_BOV2,"&gt;="&amp;AH$2,FECHA_BOV2,"&lt;="&amp;AH$3,CLAVE_BOV2,$A320)+SUMIFS(SALIDAS_BOV3,FECHA_BOV3,"&gt;="&amp;AH$2,FECHA_BOV3,"&lt;="&amp;AH$3,CLAVE_BOV3,$A320)+SUMIFS(SALIDAS_TC,FECHA_TC,"&gt;="&amp;AH$2,FECHA_TC,"&lt;="&amp;AH$3,CLAVE_TC,$A320)+SUMIFS(SALIDAS_COMB,FECHA_COMB,"&gt;="&amp;AH$2,FECHA_COMB,"&lt;="&amp;AH$3,CLAVE_COMB,$A320)+SUMIFS(SALIDAS_DES,FECHA_DESGLOSEN,"&gt;="&amp;AH$2,FECHA_DESGLOSEN,"&lt;="&amp;AH$3,CLAVE_DESGLOSE,$A320)</f>
        <v>0</v>
      </c>
      <c r="AI320" s="162">
        <f>SUMIFS(SALIDAS_BIT,FECHA_BIT,"&gt;="&amp;AI$2,FECHA_BIT,"&lt;="&amp;AI$3,CLAVE_BIT,$A320)+SUMIFS(SALIDAS_BOV1,FECHA_BOV1,"&gt;="&amp;AI$2,FECHA_BOV1,"&lt;="&amp;AI$3,CLAVE_BOV1,$A320)+SUMIFS(SALIDAS_BOV2,FECHA_BOV2,"&gt;="&amp;AI$2,FECHA_BOV2,"&lt;="&amp;AI$3,CLAVE_BOV2,$A320)+SUMIFS(SALIDAS_BOV3,FECHA_BOV3,"&gt;="&amp;AI$2,FECHA_BOV3,"&lt;="&amp;AI$3,CLAVE_BOV3,$A320)+SUMIFS(SALIDAS_TC,FECHA_TC,"&gt;="&amp;AI$2,FECHA_TC,"&lt;="&amp;AI$3,CLAVE_TC,$A320)+SUMIFS(SALIDAS_COMB,FECHA_COMB,"&gt;="&amp;AI$2,FECHA_COMB,"&lt;="&amp;AI$3,CLAVE_COMB,$A320)+SUMIFS(SALIDAS_DES,FECHA_DESGLOSEN,"&gt;="&amp;AI$2,FECHA_DESGLOSEN,"&lt;="&amp;AI$3,CLAVE_DESGLOSE,$A320)</f>
        <v>0</v>
      </c>
      <c r="AJ320" s="162">
        <f>SUMIFS(SALIDAS_BIT,FECHA_BIT,"&gt;="&amp;AJ$2,FECHA_BIT,"&lt;="&amp;AJ$3,CLAVE_BIT,$A320)+SUMIFS(SALIDAS_BOV1,FECHA_BOV1,"&gt;="&amp;AJ$2,FECHA_BOV1,"&lt;="&amp;AJ$3,CLAVE_BOV1,$A320)+SUMIFS(SALIDAS_BOV2,FECHA_BOV2,"&gt;="&amp;AJ$2,FECHA_BOV2,"&lt;="&amp;AJ$3,CLAVE_BOV2,$A320)+SUMIFS(SALIDAS_BOV3,FECHA_BOV3,"&gt;="&amp;AJ$2,FECHA_BOV3,"&lt;="&amp;AJ$3,CLAVE_BOV3,$A320)+SUMIFS(SALIDAS_TC,FECHA_TC,"&gt;="&amp;AJ$2,FECHA_TC,"&lt;="&amp;AJ$3,CLAVE_TC,$A320)+SUMIFS(SALIDAS_COMB,FECHA_COMB,"&gt;="&amp;AJ$2,FECHA_COMB,"&lt;="&amp;AJ$3,CLAVE_COMB,$A320)+SUMIFS(SALIDAS_DES,FECHA_DESGLOSEN,"&gt;="&amp;AJ$2,FECHA_DESGLOSEN,"&lt;="&amp;AJ$3,CLAVE_DESGLOSE,$A320)</f>
        <v>0</v>
      </c>
      <c r="AK320" s="227">
        <f>AE320-AJ320</f>
        <v>0</v>
      </c>
      <c r="AL320" s="301">
        <f>IFERROR((AJ320/AE320),0)</f>
        <v>0</v>
      </c>
      <c r="AM320" s="162">
        <f>VLOOKUP($A320,T_PRESUPUESTO,MATCH(AM$6,E_PRESUPUESTO,0),FALSE)</f>
        <v>0</v>
      </c>
      <c r="AN320" s="162">
        <f>SUMIFS(SALIDAS_BIT,FECHA_BIT,"&gt;="&amp;AN$2,FECHA_BIT,"&lt;="&amp;AN$3,CLAVE_BIT,$A320)+SUMIFS(SALIDAS_BOV1,FECHA_BOV1,"&gt;="&amp;AN$2,FECHA_BOV1,"&lt;="&amp;AN$3,CLAVE_BOV1,$A320)+SUMIFS(SALIDAS_BOV2,FECHA_BOV2,"&gt;="&amp;AN$2,FECHA_BOV2,"&lt;="&amp;AN$3,CLAVE_BOV2,$A320)+SUMIFS(SALIDAS_BOV3,FECHA_BOV3,"&gt;="&amp;AN$2,FECHA_BOV3,"&lt;="&amp;AN$3,CLAVE_BOV3,$A320)+SUMIFS(SALIDAS_TC,FECHA_TC,"&gt;="&amp;AN$2,FECHA_TC,"&lt;="&amp;AN$3,CLAVE_TC,$A320)+SUMIFS(SALIDAS_COMB,FECHA_COMB,"&gt;="&amp;AN$2,FECHA_COMB,"&lt;="&amp;AN$3,CLAVE_COMB,$A320)+SUMIFS(SALIDAS_DES,FECHA_DESGLOSEN,"&gt;="&amp;AN$2,FECHA_DESGLOSEN,"&lt;="&amp;AN$3,CLAVE_DESGLOSE,$A320)</f>
        <v>0</v>
      </c>
      <c r="AO320" s="162">
        <f>SUMIFS(SALIDAS_BIT,FECHA_BIT,"&gt;="&amp;AO$2,FECHA_BIT,"&lt;="&amp;AO$3,CLAVE_BIT,$A320)+SUMIFS(SALIDAS_BOV1,FECHA_BOV1,"&gt;="&amp;AO$2,FECHA_BOV1,"&lt;="&amp;AO$3,CLAVE_BOV1,$A320)+SUMIFS(SALIDAS_BOV2,FECHA_BOV2,"&gt;="&amp;AO$2,FECHA_BOV2,"&lt;="&amp;AO$3,CLAVE_BOV2,$A320)+SUMIFS(SALIDAS_BOV3,FECHA_BOV3,"&gt;="&amp;AO$2,FECHA_BOV3,"&lt;="&amp;AO$3,CLAVE_BOV3,$A320)+SUMIFS(SALIDAS_TC,FECHA_TC,"&gt;="&amp;AO$2,FECHA_TC,"&lt;="&amp;AO$3,CLAVE_TC,$A320)+SUMIFS(SALIDAS_COMB,FECHA_COMB,"&gt;="&amp;AO$2,FECHA_COMB,"&lt;="&amp;AO$3,CLAVE_COMB,$A320)+SUMIFS(SALIDAS_DES,FECHA_DESGLOSEN,"&gt;="&amp;AO$2,FECHA_DESGLOSEN,"&lt;="&amp;AO$3,CLAVE_DESGLOSE,$A320)</f>
        <v>0</v>
      </c>
      <c r="AP320" s="162">
        <f>SUMIFS(SALIDAS_BIT,FECHA_BIT,"&gt;="&amp;AP$2,FECHA_BIT,"&lt;="&amp;AP$3,CLAVE_BIT,$A320)+SUMIFS(SALIDAS_BOV1,FECHA_BOV1,"&gt;="&amp;AP$2,FECHA_BOV1,"&lt;="&amp;AP$3,CLAVE_BOV1,$A320)+SUMIFS(SALIDAS_BOV2,FECHA_BOV2,"&gt;="&amp;AP$2,FECHA_BOV2,"&lt;="&amp;AP$3,CLAVE_BOV2,$A320)+SUMIFS(SALIDAS_BOV3,FECHA_BOV3,"&gt;="&amp;AP$2,FECHA_BOV3,"&lt;="&amp;AP$3,CLAVE_BOV3,$A320)+SUMIFS(SALIDAS_TC,FECHA_TC,"&gt;="&amp;AP$2,FECHA_TC,"&lt;="&amp;AP$3,CLAVE_TC,$A320)+SUMIFS(SALIDAS_COMB,FECHA_COMB,"&gt;="&amp;AP$2,FECHA_COMB,"&lt;="&amp;AP$3,CLAVE_COMB,$A320)+SUMIFS(SALIDAS_DES,FECHA_DESGLOSEN,"&gt;="&amp;AP$2,FECHA_DESGLOSEN,"&lt;="&amp;AP$3,CLAVE_DESGLOSE,$A320)</f>
        <v>0</v>
      </c>
      <c r="AQ320" s="162">
        <f>SUMIFS(SALIDAS_BIT,FECHA_BIT,"&gt;="&amp;AQ$2,FECHA_BIT,"&lt;="&amp;AQ$3,CLAVE_BIT,$A320)+SUMIFS(SALIDAS_BOV1,FECHA_BOV1,"&gt;="&amp;AQ$2,FECHA_BOV1,"&lt;="&amp;AQ$3,CLAVE_BOV1,$A320)+SUMIFS(SALIDAS_BOV2,FECHA_BOV2,"&gt;="&amp;AQ$2,FECHA_BOV2,"&lt;="&amp;AQ$3,CLAVE_BOV2,$A320)+SUMIFS(SALIDAS_BOV3,FECHA_BOV3,"&gt;="&amp;AQ$2,FECHA_BOV3,"&lt;="&amp;AQ$3,CLAVE_BOV3,$A320)+SUMIFS(SALIDAS_TC,FECHA_TC,"&gt;="&amp;AQ$2,FECHA_TC,"&lt;="&amp;AQ$3,CLAVE_TC,$A320)+SUMIFS(SALIDAS_COMB,FECHA_COMB,"&gt;="&amp;AQ$2,FECHA_COMB,"&lt;="&amp;AQ$3,CLAVE_COMB,$A320)+SUMIFS(SALIDAS_DES,FECHA_DESGLOSEN,"&gt;="&amp;AQ$2,FECHA_DESGLOSEN,"&lt;="&amp;AQ$3,CLAVE_DESGLOSE,$A320)</f>
        <v>0</v>
      </c>
      <c r="AR320" s="162">
        <f>SUMIFS(SALIDAS_BIT,FECHA_BIT,"&gt;="&amp;AR$2,FECHA_BIT,"&lt;="&amp;AR$3,CLAVE_BIT,$A320)+SUMIFS(SALIDAS_BOV1,FECHA_BOV1,"&gt;="&amp;AR$2,FECHA_BOV1,"&lt;="&amp;AR$3,CLAVE_BOV1,$A320)+SUMIFS(SALIDAS_BOV2,FECHA_BOV2,"&gt;="&amp;AR$2,FECHA_BOV2,"&lt;="&amp;AR$3,CLAVE_BOV2,$A320)+SUMIFS(SALIDAS_BOV3,FECHA_BOV3,"&gt;="&amp;AR$2,FECHA_BOV3,"&lt;="&amp;AR$3,CLAVE_BOV3,$A320)+SUMIFS(SALIDAS_TC,FECHA_TC,"&gt;="&amp;AR$2,FECHA_TC,"&lt;="&amp;AR$3,CLAVE_TC,$A320)+SUMIFS(SALIDAS_COMB,FECHA_COMB,"&gt;="&amp;AR$2,FECHA_COMB,"&lt;="&amp;AR$3,CLAVE_COMB,$A320)+SUMIFS(SALIDAS_DES,FECHA_DESGLOSEN,"&gt;="&amp;AR$2,FECHA_DESGLOSEN,"&lt;="&amp;AR$3,CLAVE_DESGLOSE,$A320)</f>
        <v>0</v>
      </c>
      <c r="AS320" s="162">
        <f>SUMIFS(SALIDAS_BIT,FECHA_BIT,"&gt;="&amp;AS$2,FECHA_BIT,"&lt;="&amp;AS$3,CLAVE_BIT,$A320)+SUMIFS(SALIDAS_BOV1,FECHA_BOV1,"&gt;="&amp;AS$2,FECHA_BOV1,"&lt;="&amp;AS$3,CLAVE_BOV1,$A320)+SUMIFS(SALIDAS_BOV2,FECHA_BOV2,"&gt;="&amp;AS$2,FECHA_BOV2,"&lt;="&amp;AS$3,CLAVE_BOV2,$A320)+SUMIFS(SALIDAS_BOV3,FECHA_BOV3,"&gt;="&amp;AS$2,FECHA_BOV3,"&lt;="&amp;AS$3,CLAVE_BOV3,$A320)+SUMIFS(SALIDAS_TC,FECHA_TC,"&gt;="&amp;AS$2,FECHA_TC,"&lt;="&amp;AS$3,CLAVE_TC,$A320)+SUMIFS(SALIDAS_COMB,FECHA_COMB,"&gt;="&amp;AS$2,FECHA_COMB,"&lt;="&amp;AS$3,CLAVE_COMB,$A320)+SUMIFS(SALIDAS_DES,FECHA_DESGLOSEN,"&gt;="&amp;AS$2,FECHA_DESGLOSEN,"&lt;="&amp;AS$3,CLAVE_DESGLOSE,$A320)</f>
        <v>0</v>
      </c>
      <c r="AT320" s="227">
        <f>AM320-AS320</f>
        <v>0</v>
      </c>
      <c r="AU320" s="301">
        <f>IFERROR((AS320/AM320),0)</f>
        <v>0</v>
      </c>
      <c r="AV320" s="162">
        <f>VLOOKUP($A320,T_PRESUPUESTO,MATCH(AV$6,E_PRESUPUESTO,0),FALSE)</f>
        <v>0</v>
      </c>
      <c r="AW320" s="162">
        <f>SUMIFS(SALIDAS_BIT,FECHA_BIT,"&gt;="&amp;AW$2,FECHA_BIT,"&lt;="&amp;AW$3,CLAVE_BIT,$A320)+SUMIFS(SALIDAS_BOV1,FECHA_BOV1,"&gt;="&amp;AW$2,FECHA_BOV1,"&lt;="&amp;AW$3,CLAVE_BOV1,$A320)+SUMIFS(SALIDAS_BOV2,FECHA_BOV2,"&gt;="&amp;AW$2,FECHA_BOV2,"&lt;="&amp;AW$3,CLAVE_BOV2,$A320)+SUMIFS(SALIDAS_BOV3,FECHA_BOV3,"&gt;="&amp;AW$2,FECHA_BOV3,"&lt;="&amp;AW$3,CLAVE_BOV3,$A320)+SUMIFS(SALIDAS_TC,FECHA_TC,"&gt;="&amp;AW$2,FECHA_TC,"&lt;="&amp;AW$3,CLAVE_TC,$A320)+SUMIFS(SALIDAS_COMB,FECHA_COMB,"&gt;="&amp;AW$2,FECHA_COMB,"&lt;="&amp;AW$3,CLAVE_COMB,$A320)+SUMIFS(SALIDAS_DES,FECHA_DESGLOSEN,"&gt;="&amp;AW$2,FECHA_DESGLOSEN,"&lt;="&amp;AW$3,CLAVE_DESGLOSE,$A320)</f>
        <v>0</v>
      </c>
      <c r="AX320" s="162">
        <f>SUMIFS(SALIDAS_BIT,FECHA_BIT,"&gt;="&amp;AX$2,FECHA_BIT,"&lt;="&amp;AX$3,CLAVE_BIT,$A320)+SUMIFS(SALIDAS_BOV1,FECHA_BOV1,"&gt;="&amp;AX$2,FECHA_BOV1,"&lt;="&amp;AX$3,CLAVE_BOV1,$A320)+SUMIFS(SALIDAS_BOV2,FECHA_BOV2,"&gt;="&amp;AX$2,FECHA_BOV2,"&lt;="&amp;AX$3,CLAVE_BOV2,$A320)+SUMIFS(SALIDAS_BOV3,FECHA_BOV3,"&gt;="&amp;AX$2,FECHA_BOV3,"&lt;="&amp;AX$3,CLAVE_BOV3,$A320)+SUMIFS(SALIDAS_TC,FECHA_TC,"&gt;="&amp;AX$2,FECHA_TC,"&lt;="&amp;AX$3,CLAVE_TC,$A320)+SUMIFS(SALIDAS_COMB,FECHA_COMB,"&gt;="&amp;AX$2,FECHA_COMB,"&lt;="&amp;AX$3,CLAVE_COMB,$A320)+SUMIFS(SALIDAS_DES,FECHA_DESGLOSEN,"&gt;="&amp;AX$2,FECHA_DESGLOSEN,"&lt;="&amp;AX$3,CLAVE_DESGLOSE,$A320)</f>
        <v>0</v>
      </c>
      <c r="AY320" s="162">
        <f>SUMIFS(SALIDAS_BIT,FECHA_BIT,"&gt;="&amp;AY$2,FECHA_BIT,"&lt;="&amp;AY$3,CLAVE_BIT,$A320)+SUMIFS(SALIDAS_BOV1,FECHA_BOV1,"&gt;="&amp;AY$2,FECHA_BOV1,"&lt;="&amp;AY$3,CLAVE_BOV1,$A320)+SUMIFS(SALIDAS_BOV2,FECHA_BOV2,"&gt;="&amp;AY$2,FECHA_BOV2,"&lt;="&amp;AY$3,CLAVE_BOV2,$A320)+SUMIFS(SALIDAS_BOV3,FECHA_BOV3,"&gt;="&amp;AY$2,FECHA_BOV3,"&lt;="&amp;AY$3,CLAVE_BOV3,$A320)+SUMIFS(SALIDAS_TC,FECHA_TC,"&gt;="&amp;AY$2,FECHA_TC,"&lt;="&amp;AY$3,CLAVE_TC,$A320)+SUMIFS(SALIDAS_COMB,FECHA_COMB,"&gt;="&amp;AY$2,FECHA_COMB,"&lt;="&amp;AY$3,CLAVE_COMB,$A320)+SUMIFS(SALIDAS_DES,FECHA_DESGLOSEN,"&gt;="&amp;AY$2,FECHA_DESGLOSEN,"&lt;="&amp;AY$3,CLAVE_DESGLOSE,$A320)</f>
        <v>0</v>
      </c>
      <c r="AZ320" s="162">
        <f>SUMIFS(SALIDAS_BIT,FECHA_BIT,"&gt;="&amp;AZ$2,FECHA_BIT,"&lt;="&amp;AZ$3,CLAVE_BIT,$A320)+SUMIFS(SALIDAS_BOV1,FECHA_BOV1,"&gt;="&amp;AZ$2,FECHA_BOV1,"&lt;="&amp;AZ$3,CLAVE_BOV1,$A320)+SUMIFS(SALIDAS_BOV2,FECHA_BOV2,"&gt;="&amp;AZ$2,FECHA_BOV2,"&lt;="&amp;AZ$3,CLAVE_BOV2,$A320)+SUMIFS(SALIDAS_BOV3,FECHA_BOV3,"&gt;="&amp;AZ$2,FECHA_BOV3,"&lt;="&amp;AZ$3,CLAVE_BOV3,$A320)+SUMIFS(SALIDAS_TC,FECHA_TC,"&gt;="&amp;AZ$2,FECHA_TC,"&lt;="&amp;AZ$3,CLAVE_TC,$A320)+SUMIFS(SALIDAS_COMB,FECHA_COMB,"&gt;="&amp;AZ$2,FECHA_COMB,"&lt;="&amp;AZ$3,CLAVE_COMB,$A320)+SUMIFS(SALIDAS_DES,FECHA_DESGLOSEN,"&gt;="&amp;AZ$2,FECHA_DESGLOSEN,"&lt;="&amp;AZ$3,CLAVE_DESGLOSE,$A320)</f>
        <v>2650</v>
      </c>
      <c r="BA320" s="162">
        <f>SUMIFS(SALIDAS_BIT,FECHA_BIT,"&gt;="&amp;BA$2,FECHA_BIT,"&lt;="&amp;BA$3,CLAVE_BIT,$A320)+SUMIFS(SALIDAS_BOV1,FECHA_BOV1,"&gt;="&amp;BA$2,FECHA_BOV1,"&lt;="&amp;BA$3,CLAVE_BOV1,$A320)+SUMIFS(SALIDAS_BOV2,FECHA_BOV2,"&gt;="&amp;BA$2,FECHA_BOV2,"&lt;="&amp;BA$3,CLAVE_BOV2,$A320)+SUMIFS(SALIDAS_BOV3,FECHA_BOV3,"&gt;="&amp;BA$2,FECHA_BOV3,"&lt;="&amp;BA$3,CLAVE_BOV3,$A320)+SUMIFS(SALIDAS_TC,FECHA_TC,"&gt;="&amp;BA$2,FECHA_TC,"&lt;="&amp;BA$3,CLAVE_TC,$A320)+SUMIFS(SALIDAS_COMB,FECHA_COMB,"&gt;="&amp;BA$2,FECHA_COMB,"&lt;="&amp;BA$3,CLAVE_COMB,$A320)+SUMIFS(SALIDAS_DES,FECHA_DESGLOSEN,"&gt;="&amp;BA$2,FECHA_DESGLOSEN,"&lt;="&amp;BA$3,CLAVE_DESGLOSE,$A320)</f>
        <v>2650</v>
      </c>
      <c r="BB320" s="227">
        <f>AV320-BA320</f>
        <v>-2650</v>
      </c>
      <c r="BC320" s="301">
        <f>IFERROR((BA320/AV320),0)</f>
        <v>0</v>
      </c>
      <c r="BD320" s="162">
        <f>VLOOKUP($A320,T_PRESUPUESTO,MATCH(BD$6,E_PRESUPUESTO,0),FALSE)</f>
        <v>0</v>
      </c>
      <c r="BE320" s="162">
        <f>SUMIFS(SALIDAS_BIT,FECHA_BIT,"&gt;="&amp;BE$2,FECHA_BIT,"&lt;="&amp;BE$3,CLAVE_BIT,$A320)+SUMIFS(SALIDAS_BOV1,FECHA_BOV1,"&gt;="&amp;BE$2,FECHA_BOV1,"&lt;="&amp;BE$3,CLAVE_BOV1,$A320)+SUMIFS(SALIDAS_BOV2,FECHA_BOV2,"&gt;="&amp;BE$2,FECHA_BOV2,"&lt;="&amp;BE$3,CLAVE_BOV2,$A320)+SUMIFS(SALIDAS_BOV3,FECHA_BOV3,"&gt;="&amp;BE$2,FECHA_BOV3,"&lt;="&amp;BE$3,CLAVE_BOV3,$A320)+SUMIFS(SALIDAS_TC,FECHA_TC,"&gt;="&amp;BE$2,FECHA_TC,"&lt;="&amp;BE$3,CLAVE_TC,$A320)+SUMIFS(SALIDAS_COMB,FECHA_COMB,"&gt;="&amp;BE$2,FECHA_COMB,"&lt;="&amp;BE$3,CLAVE_COMB,$A320)+SUMIFS(SALIDAS_DES,FECHA_DESGLOSEN,"&gt;="&amp;BE$2,FECHA_DESGLOSEN,"&lt;="&amp;BE$3,CLAVE_DESGLOSE,$A320)</f>
        <v>800</v>
      </c>
      <c r="BF320" s="162">
        <f>SUMIFS(SALIDAS_BIT,FECHA_BIT,"&gt;="&amp;BF$2,FECHA_BIT,"&lt;="&amp;BF$3,CLAVE_BIT,$A320)+SUMIFS(SALIDAS_BOV1,FECHA_BOV1,"&gt;="&amp;BF$2,FECHA_BOV1,"&lt;="&amp;BF$3,CLAVE_BOV1,$A320)+SUMIFS(SALIDAS_BOV2,FECHA_BOV2,"&gt;="&amp;BF$2,FECHA_BOV2,"&lt;="&amp;BF$3,CLAVE_BOV2,$A320)+SUMIFS(SALIDAS_BOV3,FECHA_BOV3,"&gt;="&amp;BF$2,FECHA_BOV3,"&lt;="&amp;BF$3,CLAVE_BOV3,$A320)+SUMIFS(SALIDAS_TC,FECHA_TC,"&gt;="&amp;BF$2,FECHA_TC,"&lt;="&amp;BF$3,CLAVE_TC,$A320)+SUMIFS(SALIDAS_COMB,FECHA_COMB,"&gt;="&amp;BF$2,FECHA_COMB,"&lt;="&amp;BF$3,CLAVE_COMB,$A320)+SUMIFS(SALIDAS_DES,FECHA_DESGLOSEN,"&gt;="&amp;BF$2,FECHA_DESGLOSEN,"&lt;="&amp;BF$3,CLAVE_DESGLOSE,$A320)</f>
        <v>0</v>
      </c>
      <c r="BG320" s="162">
        <f>SUMIFS(SALIDAS_BIT,FECHA_BIT,"&gt;="&amp;BG$2,FECHA_BIT,"&lt;="&amp;BG$3,CLAVE_BIT,$A320)+SUMIFS(SALIDAS_BOV1,FECHA_BOV1,"&gt;="&amp;BG$2,FECHA_BOV1,"&lt;="&amp;BG$3,CLAVE_BOV1,$A320)+SUMIFS(SALIDAS_BOV2,FECHA_BOV2,"&gt;="&amp;BG$2,FECHA_BOV2,"&lt;="&amp;BG$3,CLAVE_BOV2,$A320)+SUMIFS(SALIDAS_BOV3,FECHA_BOV3,"&gt;="&amp;BG$2,FECHA_BOV3,"&lt;="&amp;BG$3,CLAVE_BOV3,$A320)+SUMIFS(SALIDAS_TC,FECHA_TC,"&gt;="&amp;BG$2,FECHA_TC,"&lt;="&amp;BG$3,CLAVE_TC,$A320)+SUMIFS(SALIDAS_COMB,FECHA_COMB,"&gt;="&amp;BG$2,FECHA_COMB,"&lt;="&amp;BG$3,CLAVE_COMB,$A320)+SUMIFS(SALIDAS_DES,FECHA_DESGLOSEN,"&gt;="&amp;BG$2,FECHA_DESGLOSEN,"&lt;="&amp;BG$3,CLAVE_DESGLOSE,$A320)</f>
        <v>450</v>
      </c>
      <c r="BH320" s="162">
        <f>SUMIFS(SALIDAS_BIT,FECHA_BIT,"&gt;="&amp;BH$2,FECHA_BIT,"&lt;="&amp;BH$3,CLAVE_BIT,$A320)+SUMIFS(SALIDAS_BOV1,FECHA_BOV1,"&gt;="&amp;BH$2,FECHA_BOV1,"&lt;="&amp;BH$3,CLAVE_BOV1,$A320)+SUMIFS(SALIDAS_BOV2,FECHA_BOV2,"&gt;="&amp;BH$2,FECHA_BOV2,"&lt;="&amp;BH$3,CLAVE_BOV2,$A320)+SUMIFS(SALIDAS_BOV3,FECHA_BOV3,"&gt;="&amp;BH$2,FECHA_BOV3,"&lt;="&amp;BH$3,CLAVE_BOV3,$A320)+SUMIFS(SALIDAS_TC,FECHA_TC,"&gt;="&amp;BH$2,FECHA_TC,"&lt;="&amp;BH$3,CLAVE_TC,$A320)+SUMIFS(SALIDAS_COMB,FECHA_COMB,"&gt;="&amp;BH$2,FECHA_COMB,"&lt;="&amp;BH$3,CLAVE_COMB,$A320)+SUMIFS(SALIDAS_DES,FECHA_DESGLOSEN,"&gt;="&amp;BH$2,FECHA_DESGLOSEN,"&lt;="&amp;BH$3,CLAVE_DESGLOSE,$A320)</f>
        <v>500</v>
      </c>
      <c r="BI320" s="162">
        <f>SUMIFS(SALIDAS_BIT,FECHA_BIT,"&gt;="&amp;BI$2,FECHA_BIT,"&lt;="&amp;BI$3,CLAVE_BIT,$A320)+SUMIFS(SALIDAS_BOV1,FECHA_BOV1,"&gt;="&amp;BI$2,FECHA_BOV1,"&lt;="&amp;BI$3,CLAVE_BOV1,$A320)+SUMIFS(SALIDAS_BOV2,FECHA_BOV2,"&gt;="&amp;BI$2,FECHA_BOV2,"&lt;="&amp;BI$3,CLAVE_BOV2,$A320)+SUMIFS(SALIDAS_BOV3,FECHA_BOV3,"&gt;="&amp;BI$2,FECHA_BOV3,"&lt;="&amp;BI$3,CLAVE_BOV3,$A320)+SUMIFS(SALIDAS_TC,FECHA_TC,"&gt;="&amp;BI$2,FECHA_TC,"&lt;="&amp;BI$3,CLAVE_TC,$A320)+SUMIFS(SALIDAS_COMB,FECHA_COMB,"&gt;="&amp;BI$2,FECHA_COMB,"&lt;="&amp;BI$3,CLAVE_COMB,$A320)+SUMIFS(SALIDAS_DES,FECHA_DESGLOSEN,"&gt;="&amp;BI$2,FECHA_DESGLOSEN,"&lt;="&amp;BI$3,CLAVE_DESGLOSE,$A320)</f>
        <v>1750</v>
      </c>
      <c r="BJ320" s="227">
        <f>BD320-BI320</f>
        <v>-1750</v>
      </c>
      <c r="BK320" s="301">
        <f>IFERROR((BI320/BD320),0)</f>
        <v>0</v>
      </c>
      <c r="BL320" s="162">
        <f>VLOOKUP($A320,T_PRESUPUESTO,MATCH(BL$6,E_PRESUPUESTO,0),FALSE)</f>
        <v>0</v>
      </c>
      <c r="BM320" s="162">
        <f>SUMIFS(SALIDAS_BIT,FECHA_BIT,"&gt;="&amp;BM$2,FECHA_BIT,"&lt;="&amp;BM$3,CLAVE_BIT,$A320)+SUMIFS(SALIDAS_BOV1,FECHA_BOV1,"&gt;="&amp;BM$2,FECHA_BOV1,"&lt;="&amp;BM$3,CLAVE_BOV1,$A320)+SUMIFS(SALIDAS_BOV2,FECHA_BOV2,"&gt;="&amp;BM$2,FECHA_BOV2,"&lt;="&amp;BM$3,CLAVE_BOV2,$A320)+SUMIFS(SALIDAS_BOV3,FECHA_BOV3,"&gt;="&amp;BM$2,FECHA_BOV3,"&lt;="&amp;BM$3,CLAVE_BOV3,$A320)+SUMIFS(SALIDAS_TC,FECHA_TC,"&gt;="&amp;BM$2,FECHA_TC,"&lt;="&amp;BM$3,CLAVE_TC,$A320)+SUMIFS(SALIDAS_COMB,FECHA_COMB,"&gt;="&amp;BM$2,FECHA_COMB,"&lt;="&amp;BM$3,CLAVE_COMB,$A320)+SUMIFS(SALIDAS_DES,FECHA_DESGLOSEN,"&gt;="&amp;BM$2,FECHA_DESGLOSEN,"&lt;="&amp;BM$3,CLAVE_DESGLOSE,$A320)</f>
        <v>2000</v>
      </c>
      <c r="BN320" s="162">
        <f>SUMIFS(SALIDAS_BIT,FECHA_BIT,"&gt;="&amp;BN$2,FECHA_BIT,"&lt;="&amp;BN$3,CLAVE_BIT,$A320)+SUMIFS(SALIDAS_BOV1,FECHA_BOV1,"&gt;="&amp;BN$2,FECHA_BOV1,"&lt;="&amp;BN$3,CLAVE_BOV1,$A320)+SUMIFS(SALIDAS_BOV2,FECHA_BOV2,"&gt;="&amp;BN$2,FECHA_BOV2,"&lt;="&amp;BN$3,CLAVE_BOV2,$A320)+SUMIFS(SALIDAS_BOV3,FECHA_BOV3,"&gt;="&amp;BN$2,FECHA_BOV3,"&lt;="&amp;BN$3,CLAVE_BOV3,$A320)+SUMIFS(SALIDAS_TC,FECHA_TC,"&gt;="&amp;BN$2,FECHA_TC,"&lt;="&amp;BN$3,CLAVE_TC,$A320)+SUMIFS(SALIDAS_COMB,FECHA_COMB,"&gt;="&amp;BN$2,FECHA_COMB,"&lt;="&amp;BN$3,CLAVE_COMB,$A320)+SUMIFS(SALIDAS_DES,FECHA_DESGLOSEN,"&gt;="&amp;BN$2,FECHA_DESGLOSEN,"&lt;="&amp;BN$3,CLAVE_DESGLOSE,$A320)</f>
        <v>0</v>
      </c>
      <c r="BO320" s="162">
        <f>SUMIFS(SALIDAS_BIT,FECHA_BIT,"&gt;="&amp;BO$2,FECHA_BIT,"&lt;="&amp;BO$3,CLAVE_BIT,$A320)+SUMIFS(SALIDAS_BOV1,FECHA_BOV1,"&gt;="&amp;BO$2,FECHA_BOV1,"&lt;="&amp;BO$3,CLAVE_BOV1,$A320)+SUMIFS(SALIDAS_BOV2,FECHA_BOV2,"&gt;="&amp;BO$2,FECHA_BOV2,"&lt;="&amp;BO$3,CLAVE_BOV2,$A320)+SUMIFS(SALIDAS_BOV3,FECHA_BOV3,"&gt;="&amp;BO$2,FECHA_BOV3,"&lt;="&amp;BO$3,CLAVE_BOV3,$A320)+SUMIFS(SALIDAS_TC,FECHA_TC,"&gt;="&amp;BO$2,FECHA_TC,"&lt;="&amp;BO$3,CLAVE_TC,$A320)+SUMIFS(SALIDAS_COMB,FECHA_COMB,"&gt;="&amp;BO$2,FECHA_COMB,"&lt;="&amp;BO$3,CLAVE_COMB,$A320)+SUMIFS(SALIDAS_DES,FECHA_DESGLOSEN,"&gt;="&amp;BO$2,FECHA_DESGLOSEN,"&lt;="&amp;BO$3,CLAVE_DESGLOSE,$A320)</f>
        <v>0</v>
      </c>
      <c r="BP320" s="162">
        <f>SUMIFS(SALIDAS_BIT,FECHA_BIT,"&gt;="&amp;BP$2,FECHA_BIT,"&lt;="&amp;BP$3,CLAVE_BIT,$A320)+SUMIFS(SALIDAS_BOV1,FECHA_BOV1,"&gt;="&amp;BP$2,FECHA_BOV1,"&lt;="&amp;BP$3,CLAVE_BOV1,$A320)+SUMIFS(SALIDAS_BOV2,FECHA_BOV2,"&gt;="&amp;BP$2,FECHA_BOV2,"&lt;="&amp;BP$3,CLAVE_BOV2,$A320)+SUMIFS(SALIDAS_BOV3,FECHA_BOV3,"&gt;="&amp;BP$2,FECHA_BOV3,"&lt;="&amp;BP$3,CLAVE_BOV3,$A320)+SUMIFS(SALIDAS_TC,FECHA_TC,"&gt;="&amp;BP$2,FECHA_TC,"&lt;="&amp;BP$3,CLAVE_TC,$A320)+SUMIFS(SALIDAS_COMB,FECHA_COMB,"&gt;="&amp;BP$2,FECHA_COMB,"&lt;="&amp;BP$3,CLAVE_COMB,$A320)+SUMIFS(SALIDAS_DES,FECHA_DESGLOSEN,"&gt;="&amp;BP$2,FECHA_DESGLOSEN,"&lt;="&amp;BP$3,CLAVE_DESGLOSE,$A320)</f>
        <v>1750</v>
      </c>
      <c r="BQ320" s="162">
        <f>SUMIFS(SALIDAS_BIT,FECHA_BIT,"&gt;="&amp;BQ$2,FECHA_BIT,"&lt;="&amp;BQ$3,CLAVE_BIT,$A320)+SUMIFS(SALIDAS_BOV1,FECHA_BOV1,"&gt;="&amp;BQ$2,FECHA_BOV1,"&lt;="&amp;BQ$3,CLAVE_BOV1,$A320)+SUMIFS(SALIDAS_BOV2,FECHA_BOV2,"&gt;="&amp;BQ$2,FECHA_BOV2,"&lt;="&amp;BQ$3,CLAVE_BOV2,$A320)+SUMIFS(SALIDAS_BOV3,FECHA_BOV3,"&gt;="&amp;BQ$2,FECHA_BOV3,"&lt;="&amp;BQ$3,CLAVE_BOV3,$A320)+SUMIFS(SALIDAS_TC,FECHA_TC,"&gt;="&amp;BQ$2,FECHA_TC,"&lt;="&amp;BQ$3,CLAVE_TC,$A320)+SUMIFS(SALIDAS_COMB,FECHA_COMB,"&gt;="&amp;BQ$2,FECHA_COMB,"&lt;="&amp;BQ$3,CLAVE_COMB,$A320)+SUMIFS(SALIDAS_DES,FECHA_DESGLOSEN,"&gt;="&amp;BQ$2,FECHA_DESGLOSEN,"&lt;="&amp;BQ$3,CLAVE_DESGLOSE,$A320)</f>
        <v>0</v>
      </c>
      <c r="BR320" s="162">
        <f>SUMIFS(SALIDAS_BIT,FECHA_BIT,"&gt;="&amp;BR$2,FECHA_BIT,"&lt;="&amp;BR$3,CLAVE_BIT,$A320)+SUMIFS(SALIDAS_BOV1,FECHA_BOV1,"&gt;="&amp;BR$2,FECHA_BOV1,"&lt;="&amp;BR$3,CLAVE_BOV1,$A320)+SUMIFS(SALIDAS_BOV2,FECHA_BOV2,"&gt;="&amp;BR$2,FECHA_BOV2,"&lt;="&amp;BR$3,CLAVE_BOV2,$A320)+SUMIFS(SALIDAS_BOV3,FECHA_BOV3,"&gt;="&amp;BR$2,FECHA_BOV3,"&lt;="&amp;BR$3,CLAVE_BOV3,$A320)+SUMIFS(SALIDAS_TC,FECHA_TC,"&gt;="&amp;BR$2,FECHA_TC,"&lt;="&amp;BR$3,CLAVE_TC,$A320)+SUMIFS(SALIDAS_COMB,FECHA_COMB,"&gt;="&amp;BR$2,FECHA_COMB,"&lt;="&amp;BR$3,CLAVE_COMB,$A320)+SUMIFS(SALIDAS_DES,FECHA_DESGLOSEN,"&gt;="&amp;BR$2,FECHA_DESGLOSEN,"&lt;="&amp;BR$3,CLAVE_DESGLOSE,$A320)</f>
        <v>3750</v>
      </c>
      <c r="BS320" s="227">
        <f>BL320-BR320</f>
        <v>-3750</v>
      </c>
      <c r="BT320" s="301">
        <f>IFERROR((BR320/BL320),0)</f>
        <v>0</v>
      </c>
      <c r="BU320" s="162">
        <f>VLOOKUP($A320,T_PRESUPUESTO,MATCH(BU$6,E_PRESUPUESTO,0),FALSE)</f>
        <v>0</v>
      </c>
      <c r="BV320" s="162">
        <f>SUMIFS(SALIDAS_BIT,FECHA_BIT,"&gt;="&amp;BV$2,FECHA_BIT,"&lt;="&amp;BV$3,CLAVE_BIT,$A320)+SUMIFS(SALIDAS_BOV1,FECHA_BOV1,"&gt;="&amp;BV$2,FECHA_BOV1,"&lt;="&amp;BV$3,CLAVE_BOV1,$A320)+SUMIFS(SALIDAS_BOV2,FECHA_BOV2,"&gt;="&amp;BV$2,FECHA_BOV2,"&lt;="&amp;BV$3,CLAVE_BOV2,$A320)+SUMIFS(SALIDAS_BOV3,FECHA_BOV3,"&gt;="&amp;BV$2,FECHA_BOV3,"&lt;="&amp;BV$3,CLAVE_BOV3,$A320)+SUMIFS(SALIDAS_TC,FECHA_TC,"&gt;="&amp;BV$2,FECHA_TC,"&lt;="&amp;BV$3,CLAVE_TC,$A320)+SUMIFS(SALIDAS_COMB,FECHA_COMB,"&gt;="&amp;BV$2,FECHA_COMB,"&lt;="&amp;BV$3,CLAVE_COMB,$A320)+SUMIFS(SALIDAS_DES,FECHA_DESGLOSEN,"&gt;="&amp;BV$2,FECHA_DESGLOSEN,"&lt;="&amp;BV$3,CLAVE_DESGLOSE,$A320)</f>
        <v>0</v>
      </c>
      <c r="BW320" s="162">
        <f>SUMIFS(SALIDAS_BIT,FECHA_BIT,"&gt;="&amp;BW$2,FECHA_BIT,"&lt;="&amp;BW$3,CLAVE_BIT,$A320)+SUMIFS(SALIDAS_BOV1,FECHA_BOV1,"&gt;="&amp;BW$2,FECHA_BOV1,"&lt;="&amp;BW$3,CLAVE_BOV1,$A320)+SUMIFS(SALIDAS_BOV2,FECHA_BOV2,"&gt;="&amp;BW$2,FECHA_BOV2,"&lt;="&amp;BW$3,CLAVE_BOV2,$A320)+SUMIFS(SALIDAS_BOV3,FECHA_BOV3,"&gt;="&amp;BW$2,FECHA_BOV3,"&lt;="&amp;BW$3,CLAVE_BOV3,$A320)+SUMIFS(SALIDAS_TC,FECHA_TC,"&gt;="&amp;BW$2,FECHA_TC,"&lt;="&amp;BW$3,CLAVE_TC,$A320)+SUMIFS(SALIDAS_COMB,FECHA_COMB,"&gt;="&amp;BW$2,FECHA_COMB,"&lt;="&amp;BW$3,CLAVE_COMB,$A320)+SUMIFS(SALIDAS_DES,FECHA_DESGLOSEN,"&gt;="&amp;BW$2,FECHA_DESGLOSEN,"&lt;="&amp;BW$3,CLAVE_DESGLOSE,$A320)</f>
        <v>1550</v>
      </c>
      <c r="BX320" s="162">
        <f>SUMIFS(SALIDAS_BIT,FECHA_BIT,"&gt;="&amp;BX$2,FECHA_BIT,"&lt;="&amp;BX$3,CLAVE_BIT,$A320)+SUMIFS(SALIDAS_BOV1,FECHA_BOV1,"&gt;="&amp;BX$2,FECHA_BOV1,"&lt;="&amp;BX$3,CLAVE_BOV1,$A320)+SUMIFS(SALIDAS_BOV2,FECHA_BOV2,"&gt;="&amp;BX$2,FECHA_BOV2,"&lt;="&amp;BX$3,CLAVE_BOV2,$A320)+SUMIFS(SALIDAS_BOV3,FECHA_BOV3,"&gt;="&amp;BX$2,FECHA_BOV3,"&lt;="&amp;BX$3,CLAVE_BOV3,$A320)+SUMIFS(SALIDAS_TC,FECHA_TC,"&gt;="&amp;BX$2,FECHA_TC,"&lt;="&amp;BX$3,CLAVE_TC,$A320)+SUMIFS(SALIDAS_COMB,FECHA_COMB,"&gt;="&amp;BX$2,FECHA_COMB,"&lt;="&amp;BX$3,CLAVE_COMB,$A320)+SUMIFS(SALIDAS_DES,FECHA_DESGLOSEN,"&gt;="&amp;BX$2,FECHA_DESGLOSEN,"&lt;="&amp;BX$3,CLAVE_DESGLOSE,$A320)</f>
        <v>0</v>
      </c>
      <c r="BY320" s="162">
        <f>SUMIFS(SALIDAS_BIT,FECHA_BIT,"&gt;="&amp;BY$2,FECHA_BIT,"&lt;="&amp;BY$3,CLAVE_BIT,$A320)+SUMIFS(SALIDAS_BOV1,FECHA_BOV1,"&gt;="&amp;BY$2,FECHA_BOV1,"&lt;="&amp;BY$3,CLAVE_BOV1,$A320)+SUMIFS(SALIDAS_BOV2,FECHA_BOV2,"&gt;="&amp;BY$2,FECHA_BOV2,"&lt;="&amp;BY$3,CLAVE_BOV2,$A320)+SUMIFS(SALIDAS_BOV3,FECHA_BOV3,"&gt;="&amp;BY$2,FECHA_BOV3,"&lt;="&amp;BY$3,CLAVE_BOV3,$A320)+SUMIFS(SALIDAS_TC,FECHA_TC,"&gt;="&amp;BY$2,FECHA_TC,"&lt;="&amp;BY$3,CLAVE_TC,$A320)+SUMIFS(SALIDAS_COMB,FECHA_COMB,"&gt;="&amp;BY$2,FECHA_COMB,"&lt;="&amp;BY$3,CLAVE_COMB,$A320)+SUMIFS(SALIDAS_DES,FECHA_DESGLOSEN,"&gt;="&amp;BY$2,FECHA_DESGLOSEN,"&lt;="&amp;BY$3,CLAVE_DESGLOSE,$A320)</f>
        <v>3128</v>
      </c>
      <c r="BZ320" s="162">
        <f>SUMIFS(SALIDAS_BIT,FECHA_BIT,"&gt;="&amp;BZ$2,FECHA_BIT,"&lt;="&amp;BZ$3,CLAVE_BIT,$A320)+SUMIFS(SALIDAS_BOV1,FECHA_BOV1,"&gt;="&amp;BZ$2,FECHA_BOV1,"&lt;="&amp;BZ$3,CLAVE_BOV1,$A320)+SUMIFS(SALIDAS_BOV2,FECHA_BOV2,"&gt;="&amp;BZ$2,FECHA_BOV2,"&lt;="&amp;BZ$3,CLAVE_BOV2,$A320)+SUMIFS(SALIDAS_BOV3,FECHA_BOV3,"&gt;="&amp;BZ$2,FECHA_BOV3,"&lt;="&amp;BZ$3,CLAVE_BOV3,$A320)+SUMIFS(SALIDAS_TC,FECHA_TC,"&gt;="&amp;BZ$2,FECHA_TC,"&lt;="&amp;BZ$3,CLAVE_TC,$A320)+SUMIFS(SALIDAS_COMB,FECHA_COMB,"&gt;="&amp;BZ$2,FECHA_COMB,"&lt;="&amp;BZ$3,CLAVE_COMB,$A320)+SUMIFS(SALIDAS_DES,FECHA_DESGLOSEN,"&gt;="&amp;BZ$2,FECHA_DESGLOSEN,"&lt;="&amp;BZ$3,CLAVE_DESGLOSE,$A320)</f>
        <v>4678</v>
      </c>
      <c r="CA320" s="227">
        <f>BU320-BZ320</f>
        <v>-4678</v>
      </c>
      <c r="CB320" s="301">
        <f>IFERROR((BZ320/BU320),0)</f>
        <v>0</v>
      </c>
      <c r="CC320" s="162">
        <f>VLOOKUP($A320,T_PRESUPUESTO,MATCH(CC$6,E_PRESUPUESTO,0),FALSE)</f>
        <v>0</v>
      </c>
      <c r="CD320" s="162">
        <f>SUMIFS(SALIDAS_BIT,FECHA_BIT,"&gt;="&amp;CD$2,FECHA_BIT,"&lt;="&amp;CD$3,CLAVE_BIT,$A320)+SUMIFS(SALIDAS_BOV1,FECHA_BOV1,"&gt;="&amp;CD$2,FECHA_BOV1,"&lt;="&amp;CD$3,CLAVE_BOV1,$A320)+SUMIFS(SALIDAS_BOV2,FECHA_BOV2,"&gt;="&amp;CD$2,FECHA_BOV2,"&lt;="&amp;CD$3,CLAVE_BOV2,$A320)+SUMIFS(SALIDAS_BOV3,FECHA_BOV3,"&gt;="&amp;CD$2,FECHA_BOV3,"&lt;="&amp;CD$3,CLAVE_BOV3,$A320)+SUMIFS(SALIDAS_TC,FECHA_TC,"&gt;="&amp;CD$2,FECHA_TC,"&lt;="&amp;CD$3,CLAVE_TC,$A320)+SUMIFS(SALIDAS_COMB,FECHA_COMB,"&gt;="&amp;CD$2,FECHA_COMB,"&lt;="&amp;CD$3,CLAVE_COMB,$A320)+SUMIFS(SALIDAS_DES,FECHA_DESGLOSEN,"&gt;="&amp;CD$2,FECHA_DESGLOSEN,"&lt;="&amp;CD$3,CLAVE_DESGLOSE,$A320)</f>
        <v>0</v>
      </c>
      <c r="CE320" s="162">
        <f>SUMIFS(SALIDAS_BIT,FECHA_BIT,"&gt;="&amp;CE$2,FECHA_BIT,"&lt;="&amp;CE$3,CLAVE_BIT,$A320)+SUMIFS(SALIDAS_BOV1,FECHA_BOV1,"&gt;="&amp;CE$2,FECHA_BOV1,"&lt;="&amp;CE$3,CLAVE_BOV1,$A320)+SUMIFS(SALIDAS_BOV2,FECHA_BOV2,"&gt;="&amp;CE$2,FECHA_BOV2,"&lt;="&amp;CE$3,CLAVE_BOV2,$A320)+SUMIFS(SALIDAS_BOV3,FECHA_BOV3,"&gt;="&amp;CE$2,FECHA_BOV3,"&lt;="&amp;CE$3,CLAVE_BOV3,$A320)+SUMIFS(SALIDAS_TC,FECHA_TC,"&gt;="&amp;CE$2,FECHA_TC,"&lt;="&amp;CE$3,CLAVE_TC,$A320)+SUMIFS(SALIDAS_COMB,FECHA_COMB,"&gt;="&amp;CE$2,FECHA_COMB,"&lt;="&amp;CE$3,CLAVE_COMB,$A320)+SUMIFS(SALIDAS_DES,FECHA_DESGLOSEN,"&gt;="&amp;CE$2,FECHA_DESGLOSEN,"&lt;="&amp;CE$3,CLAVE_DESGLOSE,$A320)</f>
        <v>1700</v>
      </c>
      <c r="CF320" s="162">
        <f>SUMIFS(SALIDAS_BIT,FECHA_BIT,"&gt;="&amp;CF$2,FECHA_BIT,"&lt;="&amp;CF$3,CLAVE_BIT,$A320)+SUMIFS(SALIDAS_BOV1,FECHA_BOV1,"&gt;="&amp;CF$2,FECHA_BOV1,"&lt;="&amp;CF$3,CLAVE_BOV1,$A320)+SUMIFS(SALIDAS_BOV2,FECHA_BOV2,"&gt;="&amp;CF$2,FECHA_BOV2,"&lt;="&amp;CF$3,CLAVE_BOV2,$A320)+SUMIFS(SALIDAS_BOV3,FECHA_BOV3,"&gt;="&amp;CF$2,FECHA_BOV3,"&lt;="&amp;CF$3,CLAVE_BOV3,$A320)+SUMIFS(SALIDAS_TC,FECHA_TC,"&gt;="&amp;CF$2,FECHA_TC,"&lt;="&amp;CF$3,CLAVE_TC,$A320)+SUMIFS(SALIDAS_COMB,FECHA_COMB,"&gt;="&amp;CF$2,FECHA_COMB,"&lt;="&amp;CF$3,CLAVE_COMB,$A320)+SUMIFS(SALIDAS_DES,FECHA_DESGLOSEN,"&gt;="&amp;CF$2,FECHA_DESGLOSEN,"&lt;="&amp;CF$3,CLAVE_DESGLOSE,$A320)</f>
        <v>250</v>
      </c>
      <c r="CG320" s="162">
        <f>SUMIFS(SALIDAS_BIT,FECHA_BIT,"&gt;="&amp;CG$2,FECHA_BIT,"&lt;="&amp;CG$3,CLAVE_BIT,$A320)+SUMIFS(SALIDAS_BOV1,FECHA_BOV1,"&gt;="&amp;CG$2,FECHA_BOV1,"&lt;="&amp;CG$3,CLAVE_BOV1,$A320)+SUMIFS(SALIDAS_BOV2,FECHA_BOV2,"&gt;="&amp;CG$2,FECHA_BOV2,"&lt;="&amp;CG$3,CLAVE_BOV2,$A320)+SUMIFS(SALIDAS_BOV3,FECHA_BOV3,"&gt;="&amp;CG$2,FECHA_BOV3,"&lt;="&amp;CG$3,CLAVE_BOV3,$A320)+SUMIFS(SALIDAS_TC,FECHA_TC,"&gt;="&amp;CG$2,FECHA_TC,"&lt;="&amp;CG$3,CLAVE_TC,$A320)+SUMIFS(SALIDAS_COMB,FECHA_COMB,"&gt;="&amp;CG$2,FECHA_COMB,"&lt;="&amp;CG$3,CLAVE_COMB,$A320)+SUMIFS(SALIDAS_DES,FECHA_DESGLOSEN,"&gt;="&amp;CG$2,FECHA_DESGLOSEN,"&lt;="&amp;CG$3,CLAVE_DESGLOSE,$A320)</f>
        <v>20</v>
      </c>
      <c r="CH320" s="162">
        <f>SUMIFS(SALIDAS_BIT,FECHA_BIT,"&gt;="&amp;CH$2,FECHA_BIT,"&lt;="&amp;CH$3,CLAVE_BIT,$A320)+SUMIFS(SALIDAS_BOV1,FECHA_BOV1,"&gt;="&amp;CH$2,FECHA_BOV1,"&lt;="&amp;CH$3,CLAVE_BOV1,$A320)+SUMIFS(SALIDAS_BOV2,FECHA_BOV2,"&gt;="&amp;CH$2,FECHA_BOV2,"&lt;="&amp;CH$3,CLAVE_BOV2,$A320)+SUMIFS(SALIDAS_BOV3,FECHA_BOV3,"&gt;="&amp;CH$2,FECHA_BOV3,"&lt;="&amp;CH$3,CLAVE_BOV3,$A320)+SUMIFS(SALIDAS_TC,FECHA_TC,"&gt;="&amp;CH$2,FECHA_TC,"&lt;="&amp;CH$3,CLAVE_TC,$A320)+SUMIFS(SALIDAS_COMB,FECHA_COMB,"&gt;="&amp;CH$2,FECHA_COMB,"&lt;="&amp;CH$3,CLAVE_COMB,$A320)+SUMIFS(SALIDAS_DES,FECHA_DESGLOSEN,"&gt;="&amp;CH$2,FECHA_DESGLOSEN,"&lt;="&amp;CH$3,CLAVE_DESGLOSE,$A320)</f>
        <v>1970</v>
      </c>
      <c r="CI320" s="227">
        <f>CC320-CH320</f>
        <v>-1970</v>
      </c>
      <c r="CJ320" s="301">
        <f>IFERROR((CH320/CC320),0)</f>
        <v>0</v>
      </c>
      <c r="CK320" s="162">
        <f>VLOOKUP($A320,T_PRESUPUESTO,MATCH(CK$6,E_PRESUPUESTO,0),FALSE)</f>
        <v>0</v>
      </c>
      <c r="CL320" s="162">
        <f>SUMIFS(SALIDAS_BIT,FECHA_BIT,"&gt;="&amp;CL$2,FECHA_BIT,"&lt;="&amp;CL$3,CLAVE_BIT,$A320)+SUMIFS(SALIDAS_BOV1,FECHA_BOV1,"&gt;="&amp;CL$2,FECHA_BOV1,"&lt;="&amp;CL$3,CLAVE_BOV1,$A320)+SUMIFS(SALIDAS_BOV2,FECHA_BOV2,"&gt;="&amp;CL$2,FECHA_BOV2,"&lt;="&amp;CL$3,CLAVE_BOV2,$A320)+SUMIFS(SALIDAS_BOV3,FECHA_BOV3,"&gt;="&amp;CL$2,FECHA_BOV3,"&lt;="&amp;CL$3,CLAVE_BOV3,$A320)+SUMIFS(SALIDAS_TC,FECHA_TC,"&gt;="&amp;CL$2,FECHA_TC,"&lt;="&amp;CL$3,CLAVE_TC,$A320)+SUMIFS(SALIDAS_COMB,FECHA_COMB,"&gt;="&amp;CL$2,FECHA_COMB,"&lt;="&amp;CL$3,CLAVE_COMB,$A320)+SUMIFS(SALIDAS_DES,FECHA_DESGLOSEN,"&gt;="&amp;CL$2,FECHA_DESGLOSEN,"&lt;="&amp;CL$3,CLAVE_DESGLOSE,$A320)</f>
        <v>0</v>
      </c>
      <c r="CM320" s="162">
        <f>SUMIFS(SALIDAS_BIT,FECHA_BIT,"&gt;="&amp;CM$2,FECHA_BIT,"&lt;="&amp;CM$3,CLAVE_BIT,$A320)+SUMIFS(SALIDAS_BOV1,FECHA_BOV1,"&gt;="&amp;CM$2,FECHA_BOV1,"&lt;="&amp;CM$3,CLAVE_BOV1,$A320)+SUMIFS(SALIDAS_BOV2,FECHA_BOV2,"&gt;="&amp;CM$2,FECHA_BOV2,"&lt;="&amp;CM$3,CLAVE_BOV2,$A320)+SUMIFS(SALIDAS_BOV3,FECHA_BOV3,"&gt;="&amp;CM$2,FECHA_BOV3,"&lt;="&amp;CM$3,CLAVE_BOV3,$A320)+SUMIFS(SALIDAS_TC,FECHA_TC,"&gt;="&amp;CM$2,FECHA_TC,"&lt;="&amp;CM$3,CLAVE_TC,$A320)+SUMIFS(SALIDAS_COMB,FECHA_COMB,"&gt;="&amp;CM$2,FECHA_COMB,"&lt;="&amp;CM$3,CLAVE_COMB,$A320)+SUMIFS(SALIDAS_DES,FECHA_DESGLOSEN,"&gt;="&amp;CM$2,FECHA_DESGLOSEN,"&lt;="&amp;CM$3,CLAVE_DESGLOSE,$A320)</f>
        <v>1690</v>
      </c>
      <c r="CN320" s="162">
        <f>SUMIFS(SALIDAS_BIT,FECHA_BIT,"&gt;="&amp;CN$2,FECHA_BIT,"&lt;="&amp;CN$3,CLAVE_BIT,$A320)+SUMIFS(SALIDAS_BOV1,FECHA_BOV1,"&gt;="&amp;CN$2,FECHA_BOV1,"&lt;="&amp;CN$3,CLAVE_BOV1,$A320)+SUMIFS(SALIDAS_BOV2,FECHA_BOV2,"&gt;="&amp;CN$2,FECHA_BOV2,"&lt;="&amp;CN$3,CLAVE_BOV2,$A320)+SUMIFS(SALIDAS_BOV3,FECHA_BOV3,"&gt;="&amp;CN$2,FECHA_BOV3,"&lt;="&amp;CN$3,CLAVE_BOV3,$A320)+SUMIFS(SALIDAS_TC,FECHA_TC,"&gt;="&amp;CN$2,FECHA_TC,"&lt;="&amp;CN$3,CLAVE_TC,$A320)+SUMIFS(SALIDAS_COMB,FECHA_COMB,"&gt;="&amp;CN$2,FECHA_COMB,"&lt;="&amp;CN$3,CLAVE_COMB,$A320)+SUMIFS(SALIDAS_DES,FECHA_DESGLOSEN,"&gt;="&amp;CN$2,FECHA_DESGLOSEN,"&lt;="&amp;CN$3,CLAVE_DESGLOSE,$A320)</f>
        <v>2050</v>
      </c>
      <c r="CO320" s="162">
        <f>SUMIFS(SALIDAS_BIT,FECHA_BIT,"&gt;="&amp;CO$2,FECHA_BIT,"&lt;="&amp;CO$3,CLAVE_BIT,$A320)+SUMIFS(SALIDAS_BOV1,FECHA_BOV1,"&gt;="&amp;CO$2,FECHA_BOV1,"&lt;="&amp;CO$3,CLAVE_BOV1,$A320)+SUMIFS(SALIDAS_BOV2,FECHA_BOV2,"&gt;="&amp;CO$2,FECHA_BOV2,"&lt;="&amp;CO$3,CLAVE_BOV2,$A320)+SUMIFS(SALIDAS_BOV3,FECHA_BOV3,"&gt;="&amp;CO$2,FECHA_BOV3,"&lt;="&amp;CO$3,CLAVE_BOV3,$A320)+SUMIFS(SALIDAS_TC,FECHA_TC,"&gt;="&amp;CO$2,FECHA_TC,"&lt;="&amp;CO$3,CLAVE_TC,$A320)+SUMIFS(SALIDAS_COMB,FECHA_COMB,"&gt;="&amp;CO$2,FECHA_COMB,"&lt;="&amp;CO$3,CLAVE_COMB,$A320)+SUMIFS(SALIDAS_DES,FECHA_DESGLOSEN,"&gt;="&amp;CO$2,FECHA_DESGLOSEN,"&lt;="&amp;CO$3,CLAVE_DESGLOSE,$A320)</f>
        <v>0</v>
      </c>
      <c r="CP320" s="162">
        <f>SUMIFS(SALIDAS_BIT,FECHA_BIT,"&gt;="&amp;CP$2,FECHA_BIT,"&lt;="&amp;CP$3,CLAVE_BIT,$A320)+SUMIFS(SALIDAS_BOV1,FECHA_BOV1,"&gt;="&amp;CP$2,FECHA_BOV1,"&lt;="&amp;CP$3,CLAVE_BOV1,$A320)+SUMIFS(SALIDAS_BOV2,FECHA_BOV2,"&gt;="&amp;CP$2,FECHA_BOV2,"&lt;="&amp;CP$3,CLAVE_BOV2,$A320)+SUMIFS(SALIDAS_BOV3,FECHA_BOV3,"&gt;="&amp;CP$2,FECHA_BOV3,"&lt;="&amp;CP$3,CLAVE_BOV3,$A320)+SUMIFS(SALIDAS_TC,FECHA_TC,"&gt;="&amp;CP$2,FECHA_TC,"&lt;="&amp;CP$3,CLAVE_TC,$A320)+SUMIFS(SALIDAS_COMB,FECHA_COMB,"&gt;="&amp;CP$2,FECHA_COMB,"&lt;="&amp;CP$3,CLAVE_COMB,$A320)+SUMIFS(SALIDAS_DES,FECHA_DESGLOSEN,"&gt;="&amp;CP$2,FECHA_DESGLOSEN,"&lt;="&amp;CP$3,CLAVE_DESGLOSE,$A320)</f>
        <v>0</v>
      </c>
      <c r="CQ320" s="162">
        <f>SUMIFS(SALIDAS_BIT,FECHA_BIT,"&gt;="&amp;CQ$2,FECHA_BIT,"&lt;="&amp;CQ$3,CLAVE_BIT,$A320)+SUMIFS(SALIDAS_BOV1,FECHA_BOV1,"&gt;="&amp;CQ$2,FECHA_BOV1,"&lt;="&amp;CQ$3,CLAVE_BOV1,$A320)+SUMIFS(SALIDAS_BOV2,FECHA_BOV2,"&gt;="&amp;CQ$2,FECHA_BOV2,"&lt;="&amp;CQ$3,CLAVE_BOV2,$A320)+SUMIFS(SALIDAS_BOV3,FECHA_BOV3,"&gt;="&amp;CQ$2,FECHA_BOV3,"&lt;="&amp;CQ$3,CLAVE_BOV3,$A320)+SUMIFS(SALIDAS_TC,FECHA_TC,"&gt;="&amp;CQ$2,FECHA_TC,"&lt;="&amp;CQ$3,CLAVE_TC,$A320)+SUMIFS(SALIDAS_COMB,FECHA_COMB,"&gt;="&amp;CQ$2,FECHA_COMB,"&lt;="&amp;CQ$3,CLAVE_COMB,$A320)+SUMIFS(SALIDAS_DES,FECHA_DESGLOSEN,"&gt;="&amp;CQ$2,FECHA_DESGLOSEN,"&lt;="&amp;CQ$3,CLAVE_DESGLOSE,$A320)</f>
        <v>3740</v>
      </c>
      <c r="CR320" s="227">
        <f>CK320-CQ320</f>
        <v>-3740</v>
      </c>
      <c r="CS320" s="301">
        <f>IFERROR((CQ320/CK320),0)</f>
        <v>0</v>
      </c>
      <c r="CT320" s="68">
        <f t="shared" si="446"/>
        <v>4000</v>
      </c>
      <c r="CU320" s="13">
        <f>SUMIFS(SALIDAS_BIT,FECHA_BIT,"&gt;="&amp;CU$2,FECHA_BIT,"&lt;="&amp;CU$3,CLAVE_BIT,$A320)+SUMIFS(SALIDAS_BOV1,FECHA_BOV1,"&gt;="&amp;CU$2,FECHA_BOV1,"&lt;="&amp;CU$3,CLAVE_BOV1,$A320)+SUMIFS(SALIDAS_BOV2,FECHA_BOV2,"&gt;="&amp;CU$2,FECHA_BOV2,"&lt;="&amp;CU$3,CLAVE_BOV2,$A320)+SUMIFS(SALIDAS_BOV3,FECHA_BOV3,"&gt;="&amp;CU$2,FECHA_BOV3,"&lt;="&amp;CU$3,CLAVE_BOV3,$A320)+SUMIFS(SALIDAS_TC,FECHA_TC,"&gt;="&amp;CU$2,FECHA_TC,"&lt;="&amp;CU$3,CLAVE_TC,$A320)+SUMIFS(SALIDAS_COMB,FECHA_COMB,"&gt;="&amp;CU$2,FECHA_COMB,"&lt;="&amp;CU$3,CLAVE_COMB,$A320)+SUMIFS(SALIDAS_DES,FECHA_DESGLOSEN,"&gt;="&amp;CU$2,FECHA_DESGLOSEN,"&lt;="&amp;CU$3,CLAVE_DESGLOSE,$A320)</f>
        <v>500</v>
      </c>
      <c r="CV320" s="13">
        <f>SUMIFS(SALIDAS_BIT,FECHA_BIT,"&gt;="&amp;CV$2,FECHA_BIT,"&lt;="&amp;CV$3,CLAVE_BIT,$A320)+SUMIFS(SALIDAS_BOV1,FECHA_BOV1,"&gt;="&amp;CV$2,FECHA_BOV1,"&lt;="&amp;CV$3,CLAVE_BOV1,$A320)+SUMIFS(SALIDAS_BOV2,FECHA_BOV2,"&gt;="&amp;CV$2,FECHA_BOV2,"&lt;="&amp;CV$3,CLAVE_BOV2,$A320)+SUMIFS(SALIDAS_BOV3,FECHA_BOV3,"&gt;="&amp;CV$2,FECHA_BOV3,"&lt;="&amp;CV$3,CLAVE_BOV3,$A320)+SUMIFS(SALIDAS_TC,FECHA_TC,"&gt;="&amp;CV$2,FECHA_TC,"&lt;="&amp;CV$3,CLAVE_TC,$A320)+SUMIFS(SALIDAS_COMB,FECHA_COMB,"&gt;="&amp;CV$2,FECHA_COMB,"&lt;="&amp;CV$3,CLAVE_COMB,$A320)+SUMIFS(SALIDAS_DES,FECHA_DESGLOSEN,"&gt;="&amp;CV$2,FECHA_DESGLOSEN,"&lt;="&amp;CV$3,CLAVE_DESGLOSE,$A320)</f>
        <v>800</v>
      </c>
      <c r="CW320" s="13">
        <f>SUMIFS(SALIDAS_BIT,FECHA_BIT,"&gt;="&amp;CW$2,FECHA_BIT,"&lt;="&amp;CW$3,CLAVE_BIT,$A320)+SUMIFS(SALIDAS_BOV1,FECHA_BOV1,"&gt;="&amp;CW$2,FECHA_BOV1,"&lt;="&amp;CW$3,CLAVE_BOV1,$A320)+SUMIFS(SALIDAS_BOV2,FECHA_BOV2,"&gt;="&amp;CW$2,FECHA_BOV2,"&lt;="&amp;CW$3,CLAVE_BOV2,$A320)+SUMIFS(SALIDAS_BOV3,FECHA_BOV3,"&gt;="&amp;CW$2,FECHA_BOV3,"&lt;="&amp;CW$3,CLAVE_BOV3,$A320)+SUMIFS(SALIDAS_TC,FECHA_TC,"&gt;="&amp;CW$2,FECHA_TC,"&lt;="&amp;CW$3,CLAVE_TC,$A320)+SUMIFS(SALIDAS_COMB,FECHA_COMB,"&gt;="&amp;CW$2,FECHA_COMB,"&lt;="&amp;CW$3,CLAVE_COMB,$A320)+SUMIFS(SALIDAS_DES,FECHA_DESGLOSEN,"&gt;="&amp;CW$2,FECHA_DESGLOSEN,"&lt;="&amp;CW$3,CLAVE_DESGLOSE,$A320)</f>
        <v>1900</v>
      </c>
      <c r="CX320" s="13">
        <f>SUMIFS(SALIDAS_BIT,FECHA_BIT,"&gt;="&amp;CX$2,FECHA_BIT,"&lt;="&amp;CX$3,CLAVE_BIT,$A320)+SUMIFS(SALIDAS_BOV1,FECHA_BOV1,"&gt;="&amp;CX$2,FECHA_BOV1,"&lt;="&amp;CX$3,CLAVE_BOV1,$A320)+SUMIFS(SALIDAS_BOV2,FECHA_BOV2,"&gt;="&amp;CX$2,FECHA_BOV2,"&lt;="&amp;CX$3,CLAVE_BOV2,$A320)+SUMIFS(SALIDAS_BOV3,FECHA_BOV3,"&gt;="&amp;CX$2,FECHA_BOV3,"&lt;="&amp;CX$3,CLAVE_BOV3,$A320)+SUMIFS(SALIDAS_TC,FECHA_TC,"&gt;="&amp;CX$2,FECHA_TC,"&lt;="&amp;CX$3,CLAVE_TC,$A320)+SUMIFS(SALIDAS_COMB,FECHA_COMB,"&gt;="&amp;CX$2,FECHA_COMB,"&lt;="&amp;CX$3,CLAVE_COMB,$A320)+SUMIFS(SALIDAS_DES,FECHA_DESGLOSEN,"&gt;="&amp;CX$2,FECHA_DESGLOSEN,"&lt;="&amp;CX$3,CLAVE_DESGLOSE,$A320)</f>
        <v>1000</v>
      </c>
      <c r="CY320" s="13">
        <f>SUMIFS(SALIDAS_BIT,FECHA_BIT,"&gt;="&amp;CY$2,FECHA_BIT,"&lt;="&amp;CY$3,CLAVE_BIT,$A320)+SUMIFS(SALIDAS_BOV1,FECHA_BOV1,"&gt;="&amp;CY$2,FECHA_BOV1,"&lt;="&amp;CY$3,CLAVE_BOV1,$A320)+SUMIFS(SALIDAS_BOV2,FECHA_BOV2,"&gt;="&amp;CY$2,FECHA_BOV2,"&lt;="&amp;CY$3,CLAVE_BOV2,$A320)+SUMIFS(SALIDAS_BOV3,FECHA_BOV3,"&gt;="&amp;CY$2,FECHA_BOV3,"&lt;="&amp;CY$3,CLAVE_BOV3,$A320)+SUMIFS(SALIDAS_TC,FECHA_TC,"&gt;="&amp;CY$2,FECHA_TC,"&lt;="&amp;CY$3,CLAVE_TC,$A320)+SUMIFS(SALIDAS_COMB,FECHA_COMB,"&gt;="&amp;CY$2,FECHA_COMB,"&lt;="&amp;CY$3,CLAVE_COMB,$A320)+SUMIFS(SALIDAS_DES,FECHA_DESGLOSEN,"&gt;="&amp;CY$2,FECHA_DESGLOSEN,"&lt;="&amp;CY$3,CLAVE_DESGLOSE,$A320)</f>
        <v>4200</v>
      </c>
      <c r="CZ320" s="68">
        <f t="shared" si="474"/>
        <v>-200</v>
      </c>
      <c r="DB320" s="17">
        <f>F320+N320+W320+AE320+AM320+AV320+BD320+BL320+BU320+CC320+CK320</f>
        <v>0</v>
      </c>
      <c r="DC320" s="17">
        <f>K320+T320+AB320+AJ320+AS320+BA320+BI320+BR320+BZ320+CH320+CQ320</f>
        <v>18538</v>
      </c>
    </row>
    <row r="321" spans="1:107" ht="15" hidden="1">
      <c r="A321" s="12" t="str">
        <f>C321&amp;D321&amp;E321</f>
        <v>SERVICIOSOTROS GASTOS UNIFORMES</v>
      </c>
      <c r="B321">
        <v>321</v>
      </c>
      <c r="C321" t="s">
        <v>21</v>
      </c>
      <c r="D321" t="s">
        <v>158</v>
      </c>
      <c r="E321" t="s">
        <v>159</v>
      </c>
      <c r="F321" s="260">
        <f>VLOOKUP($A321,T_PRESUPUESTO,MATCH(F$6,E_PRESUPUESTO,0),FALSE)</f>
        <v>0</v>
      </c>
      <c r="G321" s="162">
        <f>SUMIFS(SALIDAS_BIT,FECHA_BIT,"&gt;="&amp;G$2,FECHA_BIT,"&lt;="&amp;G$3,CLAVE_BIT,$A321)+SUMIFS(SALIDAS_BOV1,FECHA_BOV1,"&gt;="&amp;G$2,FECHA_BOV1,"&lt;="&amp;G$3,CLAVE_BOV1,$A321)+SUMIFS(SALIDAS_BOV2,FECHA_BOV2,"&gt;="&amp;G$2,FECHA_BOV2,"&lt;="&amp;G$3,CLAVE_BOV2,$A321)+SUMIFS(SALIDAS_BOV3,FECHA_BOV3,"&gt;="&amp;G$2,FECHA_BOV3,"&lt;="&amp;G$3,CLAVE_BOV3,$A321)+SUMIFS(SALIDAS_TC,FECHA_TC,"&gt;="&amp;G$2,FECHA_TC,"&lt;="&amp;G$3,CLAVE_TC,$A321)+SUMIFS(SALIDAS_COMB,FECHA_COMB,"&gt;="&amp;G$2,FECHA_COMB,"&lt;="&amp;G$3,CLAVE_COMB,$A321)+SUMIFS(SALIDAS_DES,FECHA_DESGLOSEN,"&gt;="&amp;G$2,FECHA_DESGLOSEN,"&lt;="&amp;G$3,CLAVE_DESGLOSE,$A321)</f>
        <v>0</v>
      </c>
      <c r="H321" s="162">
        <f>SUMIFS(SALIDAS_BIT,FECHA_BIT,"&gt;="&amp;H$2,FECHA_BIT,"&lt;="&amp;H$3,CLAVE_BIT,$A321)+SUMIFS(SALIDAS_BOV1,FECHA_BOV1,"&gt;="&amp;H$2,FECHA_BOV1,"&lt;="&amp;H$3,CLAVE_BOV1,$A321)+SUMIFS(SALIDAS_BOV2,FECHA_BOV2,"&gt;="&amp;H$2,FECHA_BOV2,"&lt;="&amp;H$3,CLAVE_BOV2,$A321)+SUMIFS(SALIDAS_BOV3,FECHA_BOV3,"&gt;="&amp;H$2,FECHA_BOV3,"&lt;="&amp;H$3,CLAVE_BOV3,$A321)+SUMIFS(SALIDAS_TC,FECHA_TC,"&gt;="&amp;H$2,FECHA_TC,"&lt;="&amp;H$3,CLAVE_TC,$A321)+SUMIFS(SALIDAS_COMB,FECHA_COMB,"&gt;="&amp;H$2,FECHA_COMB,"&lt;="&amp;H$3,CLAVE_COMB,$A321)+SUMIFS(SALIDAS_DES,FECHA_DESGLOSEN,"&gt;="&amp;H$2,FECHA_DESGLOSEN,"&lt;="&amp;H$3,CLAVE_DESGLOSE,$A321)</f>
        <v>0</v>
      </c>
      <c r="I321" s="162">
        <f>SUMIFS(SALIDAS_BIT,FECHA_BIT,"&gt;="&amp;I$2,FECHA_BIT,"&lt;="&amp;I$3,CLAVE_BIT,$A321)+SUMIFS(SALIDAS_BOV1,FECHA_BOV1,"&gt;="&amp;I$2,FECHA_BOV1,"&lt;="&amp;I$3,CLAVE_BOV1,$A321)+SUMIFS(SALIDAS_BOV2,FECHA_BOV2,"&gt;="&amp;I$2,FECHA_BOV2,"&lt;="&amp;I$3,CLAVE_BOV2,$A321)+SUMIFS(SALIDAS_BOV3,FECHA_BOV3,"&gt;="&amp;I$2,FECHA_BOV3,"&lt;="&amp;I$3,CLAVE_BOV3,$A321)+SUMIFS(SALIDAS_TC,FECHA_TC,"&gt;="&amp;I$2,FECHA_TC,"&lt;="&amp;I$3,CLAVE_TC,$A321)+SUMIFS(SALIDAS_COMB,FECHA_COMB,"&gt;="&amp;I$2,FECHA_COMB,"&lt;="&amp;I$3,CLAVE_COMB,$A321)+SUMIFS(SALIDAS_DES,FECHA_DESGLOSEN,"&gt;="&amp;I$2,FECHA_DESGLOSEN,"&lt;="&amp;I$3,CLAVE_DESGLOSE,$A321)</f>
        <v>0</v>
      </c>
      <c r="J321" s="162">
        <f>SUMIFS(SALIDAS_BIT,FECHA_BIT,"&gt;="&amp;J$2,FECHA_BIT,"&lt;="&amp;J$3,CLAVE_BIT,$A321)+SUMIFS(SALIDAS_BOV1,FECHA_BOV1,"&gt;="&amp;J$2,FECHA_BOV1,"&lt;="&amp;J$3,CLAVE_BOV1,$A321)+SUMIFS(SALIDAS_BOV2,FECHA_BOV2,"&gt;="&amp;J$2,FECHA_BOV2,"&lt;="&amp;J$3,CLAVE_BOV2,$A321)+SUMIFS(SALIDAS_BOV3,FECHA_BOV3,"&gt;="&amp;J$2,FECHA_BOV3,"&lt;="&amp;J$3,CLAVE_BOV3,$A321)+SUMIFS(SALIDAS_TC,FECHA_TC,"&gt;="&amp;J$2,FECHA_TC,"&lt;="&amp;J$3,CLAVE_TC,$A321)+SUMIFS(SALIDAS_COMB,FECHA_COMB,"&gt;="&amp;J$2,FECHA_COMB,"&lt;="&amp;J$3,CLAVE_COMB,$A321)+SUMIFS(SALIDAS_DES,FECHA_DESGLOSEN,"&gt;="&amp;J$2,FECHA_DESGLOSEN,"&lt;="&amp;J$3,CLAVE_DESGLOSE,$A321)</f>
        <v>0</v>
      </c>
      <c r="K321" s="162">
        <f>SUMIFS(SALIDAS_BIT,FECHA_BIT,"&gt;="&amp;K$2,FECHA_BIT,"&lt;="&amp;K$3,CLAVE_BIT,$A321)+SUMIFS(SALIDAS_BOV1,FECHA_BOV1,"&gt;="&amp;K$2,FECHA_BOV1,"&lt;="&amp;K$3,CLAVE_BOV1,$A321)+SUMIFS(SALIDAS_BOV2,FECHA_BOV2,"&gt;="&amp;K$2,FECHA_BOV2,"&lt;="&amp;K$3,CLAVE_BOV2,$A321)+SUMIFS(SALIDAS_BOV3,FECHA_BOV3,"&gt;="&amp;K$2,FECHA_BOV3,"&lt;="&amp;K$3,CLAVE_BOV3,$A321)+SUMIFS(SALIDAS_TC,FECHA_TC,"&gt;="&amp;K$2,FECHA_TC,"&lt;="&amp;K$3,CLAVE_TC,$A321)+SUMIFS(SALIDAS_COMB,FECHA_COMB,"&gt;="&amp;K$2,FECHA_COMB,"&lt;="&amp;K$3,CLAVE_COMB,$A321)+SUMIFS(SALIDAS_DES,FECHA_DESGLOSEN,"&gt;="&amp;K$2,FECHA_DESGLOSEN,"&lt;="&amp;K$3,CLAVE_DESGLOSE,$A321)</f>
        <v>0</v>
      </c>
      <c r="L321" s="227">
        <f t="shared" ref="L321:L322" si="646">F321-K321</f>
        <v>0</v>
      </c>
      <c r="M321" s="301">
        <f t="shared" ref="M321:M322" si="647">IFERROR((K321/F321),0)</f>
        <v>0</v>
      </c>
      <c r="N321" s="162">
        <f>VLOOKUP($A321,T_PRESUPUESTO,MATCH(N$6,E_PRESUPUESTO,0),FALSE)</f>
        <v>0</v>
      </c>
      <c r="O321" s="162">
        <f>SUMIFS(SALIDAS_BIT,FECHA_BIT,"&gt;="&amp;O$2,FECHA_BIT,"&lt;="&amp;O$3,CLAVE_BIT,$A321)+SUMIFS(SALIDAS_BOV1,FECHA_BOV1,"&gt;="&amp;O$2,FECHA_BOV1,"&lt;="&amp;O$3,CLAVE_BOV1,$A321)+SUMIFS(SALIDAS_BOV2,FECHA_BOV2,"&gt;="&amp;O$2,FECHA_BOV2,"&lt;="&amp;O$3,CLAVE_BOV2,$A321)+SUMIFS(SALIDAS_BOV3,FECHA_BOV3,"&gt;="&amp;O$2,FECHA_BOV3,"&lt;="&amp;O$3,CLAVE_BOV3,$A321)+SUMIFS(SALIDAS_TC,FECHA_TC,"&gt;="&amp;O$2,FECHA_TC,"&lt;="&amp;O$3,CLAVE_TC,$A321)+SUMIFS(SALIDAS_COMB,FECHA_COMB,"&gt;="&amp;O$2,FECHA_COMB,"&lt;="&amp;O$3,CLAVE_COMB,$A321)+SUMIFS(SALIDAS_DES,FECHA_DESGLOSEN,"&gt;="&amp;O$2,FECHA_DESGLOSEN,"&lt;="&amp;O$3,CLAVE_DESGLOSE,$A321)</f>
        <v>0</v>
      </c>
      <c r="P321" s="162">
        <f>SUMIFS(SALIDAS_BIT,FECHA_BIT,"&gt;="&amp;P$2,FECHA_BIT,"&lt;="&amp;P$3,CLAVE_BIT,$A321)+SUMIFS(SALIDAS_BOV1,FECHA_BOV1,"&gt;="&amp;P$2,FECHA_BOV1,"&lt;="&amp;P$3,CLAVE_BOV1,$A321)+SUMIFS(SALIDAS_BOV2,FECHA_BOV2,"&gt;="&amp;P$2,FECHA_BOV2,"&lt;="&amp;P$3,CLAVE_BOV2,$A321)+SUMIFS(SALIDAS_BOV3,FECHA_BOV3,"&gt;="&amp;P$2,FECHA_BOV3,"&lt;="&amp;P$3,CLAVE_BOV3,$A321)+SUMIFS(SALIDAS_TC,FECHA_TC,"&gt;="&amp;P$2,FECHA_TC,"&lt;="&amp;P$3,CLAVE_TC,$A321)+SUMIFS(SALIDAS_COMB,FECHA_COMB,"&gt;="&amp;P$2,FECHA_COMB,"&lt;="&amp;P$3,CLAVE_COMB,$A321)+SUMIFS(SALIDAS_DES,FECHA_DESGLOSEN,"&gt;="&amp;P$2,FECHA_DESGLOSEN,"&lt;="&amp;P$3,CLAVE_DESGLOSE,$A321)</f>
        <v>0</v>
      </c>
      <c r="Q321" s="162">
        <f>SUMIFS(SALIDAS_BIT,FECHA_BIT,"&gt;="&amp;Q$2,FECHA_BIT,"&lt;="&amp;Q$3,CLAVE_BIT,$A321)+SUMIFS(SALIDAS_BOV1,FECHA_BOV1,"&gt;="&amp;Q$2,FECHA_BOV1,"&lt;="&amp;Q$3,CLAVE_BOV1,$A321)+SUMIFS(SALIDAS_BOV2,FECHA_BOV2,"&gt;="&amp;Q$2,FECHA_BOV2,"&lt;="&amp;Q$3,CLAVE_BOV2,$A321)+SUMIFS(SALIDAS_BOV3,FECHA_BOV3,"&gt;="&amp;Q$2,FECHA_BOV3,"&lt;="&amp;Q$3,CLAVE_BOV3,$A321)+SUMIFS(SALIDAS_TC,FECHA_TC,"&gt;="&amp;Q$2,FECHA_TC,"&lt;="&amp;Q$3,CLAVE_TC,$A321)+SUMIFS(SALIDAS_COMB,FECHA_COMB,"&gt;="&amp;Q$2,FECHA_COMB,"&lt;="&amp;Q$3,CLAVE_COMB,$A321)+SUMIFS(SALIDAS_DES,FECHA_DESGLOSEN,"&gt;="&amp;Q$2,FECHA_DESGLOSEN,"&lt;="&amp;Q$3,CLAVE_DESGLOSE,$A321)</f>
        <v>0</v>
      </c>
      <c r="R321" s="162">
        <f>SUMIFS(SALIDAS_BIT,FECHA_BIT,"&gt;="&amp;R$2,FECHA_BIT,"&lt;="&amp;R$3,CLAVE_BIT,$A321)+SUMIFS(SALIDAS_BOV1,FECHA_BOV1,"&gt;="&amp;R$2,FECHA_BOV1,"&lt;="&amp;R$3,CLAVE_BOV1,$A321)+SUMIFS(SALIDAS_BOV2,FECHA_BOV2,"&gt;="&amp;R$2,FECHA_BOV2,"&lt;="&amp;R$3,CLAVE_BOV2,$A321)+SUMIFS(SALIDAS_BOV3,FECHA_BOV3,"&gt;="&amp;R$2,FECHA_BOV3,"&lt;="&amp;R$3,CLAVE_BOV3,$A321)+SUMIFS(SALIDAS_TC,FECHA_TC,"&gt;="&amp;R$2,FECHA_TC,"&lt;="&amp;R$3,CLAVE_TC,$A321)+SUMIFS(SALIDAS_COMB,FECHA_COMB,"&gt;="&amp;R$2,FECHA_COMB,"&lt;="&amp;R$3,CLAVE_COMB,$A321)+SUMIFS(SALIDAS_DES,FECHA_DESGLOSEN,"&gt;="&amp;R$2,FECHA_DESGLOSEN,"&lt;="&amp;R$3,CLAVE_DESGLOSE,$A321)</f>
        <v>0</v>
      </c>
      <c r="S321" s="162">
        <f>SUMIFS(SALIDAS_BIT,FECHA_BIT,"&gt;="&amp;S$2,FECHA_BIT,"&lt;="&amp;S$3,CLAVE_BIT,$A321)+SUMIFS(SALIDAS_BOV1,FECHA_BOV1,"&gt;="&amp;S$2,FECHA_BOV1,"&lt;="&amp;S$3,CLAVE_BOV1,$A321)+SUMIFS(SALIDAS_BOV2,FECHA_BOV2,"&gt;="&amp;S$2,FECHA_BOV2,"&lt;="&amp;S$3,CLAVE_BOV2,$A321)+SUMIFS(SALIDAS_BOV3,FECHA_BOV3,"&gt;="&amp;S$2,FECHA_BOV3,"&lt;="&amp;S$3,CLAVE_BOV3,$A321)+SUMIFS(SALIDAS_TC,FECHA_TC,"&gt;="&amp;S$2,FECHA_TC,"&lt;="&amp;S$3,CLAVE_TC,$A321)+SUMIFS(SALIDAS_COMB,FECHA_COMB,"&gt;="&amp;S$2,FECHA_COMB,"&lt;="&amp;S$3,CLAVE_COMB,$A321)+SUMIFS(SALIDAS_DES,FECHA_DESGLOSEN,"&gt;="&amp;S$2,FECHA_DESGLOSEN,"&lt;="&amp;S$3,CLAVE_DESGLOSE,$A321)</f>
        <v>0</v>
      </c>
      <c r="T321" s="162">
        <f>SUMIFS(SALIDAS_BIT,FECHA_BIT,"&gt;="&amp;T$2,FECHA_BIT,"&lt;="&amp;T$3,CLAVE_BIT,$A321)+SUMIFS(SALIDAS_BOV1,FECHA_BOV1,"&gt;="&amp;T$2,FECHA_BOV1,"&lt;="&amp;T$3,CLAVE_BOV1,$A321)+SUMIFS(SALIDAS_BOV2,FECHA_BOV2,"&gt;="&amp;T$2,FECHA_BOV2,"&lt;="&amp;T$3,CLAVE_BOV2,$A321)+SUMIFS(SALIDAS_BOV3,FECHA_BOV3,"&gt;="&amp;T$2,FECHA_BOV3,"&lt;="&amp;T$3,CLAVE_BOV3,$A321)+SUMIFS(SALIDAS_TC,FECHA_TC,"&gt;="&amp;T$2,FECHA_TC,"&lt;="&amp;T$3,CLAVE_TC,$A321)+SUMIFS(SALIDAS_COMB,FECHA_COMB,"&gt;="&amp;T$2,FECHA_COMB,"&lt;="&amp;T$3,CLAVE_COMB,$A321)+SUMIFS(SALIDAS_DES,FECHA_DESGLOSEN,"&gt;="&amp;T$2,FECHA_DESGLOSEN,"&lt;="&amp;T$3,CLAVE_DESGLOSE,$A321)</f>
        <v>0</v>
      </c>
      <c r="U321" s="227">
        <f t="shared" ref="U321:U322" si="648">N321-T321</f>
        <v>0</v>
      </c>
      <c r="V321" s="301">
        <f t="shared" ref="V321:V322" si="649">IFERROR((T321/N321),0)</f>
        <v>0</v>
      </c>
      <c r="W321" s="162">
        <f>VLOOKUP($A321,T_PRESUPUESTO,MATCH(W$6,E_PRESUPUESTO,0),FALSE)</f>
        <v>0</v>
      </c>
      <c r="X321" s="162">
        <f>SUMIFS(SALIDAS_BIT,FECHA_BIT,"&gt;="&amp;X$2,FECHA_BIT,"&lt;="&amp;X$3,CLAVE_BIT,$A321)+SUMIFS(SALIDAS_BOV1,FECHA_BOV1,"&gt;="&amp;X$2,FECHA_BOV1,"&lt;="&amp;X$3,CLAVE_BOV1,$A321)+SUMIFS(SALIDAS_BOV2,FECHA_BOV2,"&gt;="&amp;X$2,FECHA_BOV2,"&lt;="&amp;X$3,CLAVE_BOV2,$A321)+SUMIFS(SALIDAS_BOV3,FECHA_BOV3,"&gt;="&amp;X$2,FECHA_BOV3,"&lt;="&amp;X$3,CLAVE_BOV3,$A321)+SUMIFS(SALIDAS_TC,FECHA_TC,"&gt;="&amp;X$2,FECHA_TC,"&lt;="&amp;X$3,CLAVE_TC,$A321)+SUMIFS(SALIDAS_COMB,FECHA_COMB,"&gt;="&amp;X$2,FECHA_COMB,"&lt;="&amp;X$3,CLAVE_COMB,$A321)+SUMIFS(SALIDAS_DES,FECHA_DESGLOSEN,"&gt;="&amp;X$2,FECHA_DESGLOSEN,"&lt;="&amp;X$3,CLAVE_DESGLOSE,$A321)</f>
        <v>0</v>
      </c>
      <c r="Y321" s="162">
        <f>SUMIFS(SALIDAS_BIT,FECHA_BIT,"&gt;="&amp;Y$2,FECHA_BIT,"&lt;="&amp;Y$3,CLAVE_BIT,$A321)+SUMIFS(SALIDAS_BOV1,FECHA_BOV1,"&gt;="&amp;Y$2,FECHA_BOV1,"&lt;="&amp;Y$3,CLAVE_BOV1,$A321)+SUMIFS(SALIDAS_BOV2,FECHA_BOV2,"&gt;="&amp;Y$2,FECHA_BOV2,"&lt;="&amp;Y$3,CLAVE_BOV2,$A321)+SUMIFS(SALIDAS_BOV3,FECHA_BOV3,"&gt;="&amp;Y$2,FECHA_BOV3,"&lt;="&amp;Y$3,CLAVE_BOV3,$A321)+SUMIFS(SALIDAS_TC,FECHA_TC,"&gt;="&amp;Y$2,FECHA_TC,"&lt;="&amp;Y$3,CLAVE_TC,$A321)+SUMIFS(SALIDAS_COMB,FECHA_COMB,"&gt;="&amp;Y$2,FECHA_COMB,"&lt;="&amp;Y$3,CLAVE_COMB,$A321)+SUMIFS(SALIDAS_DES,FECHA_DESGLOSEN,"&gt;="&amp;Y$2,FECHA_DESGLOSEN,"&lt;="&amp;Y$3,CLAVE_DESGLOSE,$A321)</f>
        <v>0</v>
      </c>
      <c r="Z321" s="162">
        <f>SUMIFS(SALIDAS_BIT,FECHA_BIT,"&gt;="&amp;Z$2,FECHA_BIT,"&lt;="&amp;Z$3,CLAVE_BIT,$A321)+SUMIFS(SALIDAS_BOV1,FECHA_BOV1,"&gt;="&amp;Z$2,FECHA_BOV1,"&lt;="&amp;Z$3,CLAVE_BOV1,$A321)+SUMIFS(SALIDAS_BOV2,FECHA_BOV2,"&gt;="&amp;Z$2,FECHA_BOV2,"&lt;="&amp;Z$3,CLAVE_BOV2,$A321)+SUMIFS(SALIDAS_BOV3,FECHA_BOV3,"&gt;="&amp;Z$2,FECHA_BOV3,"&lt;="&amp;Z$3,CLAVE_BOV3,$A321)+SUMIFS(SALIDAS_TC,FECHA_TC,"&gt;="&amp;Z$2,FECHA_TC,"&lt;="&amp;Z$3,CLAVE_TC,$A321)+SUMIFS(SALIDAS_COMB,FECHA_COMB,"&gt;="&amp;Z$2,FECHA_COMB,"&lt;="&amp;Z$3,CLAVE_COMB,$A321)+SUMIFS(SALIDAS_DES,FECHA_DESGLOSEN,"&gt;="&amp;Z$2,FECHA_DESGLOSEN,"&lt;="&amp;Z$3,CLAVE_DESGLOSE,$A321)</f>
        <v>0</v>
      </c>
      <c r="AA321" s="162">
        <f>SUMIFS(SALIDAS_BIT,FECHA_BIT,"&gt;="&amp;AA$2,FECHA_BIT,"&lt;="&amp;AA$3,CLAVE_BIT,$A321)+SUMIFS(SALIDAS_BOV1,FECHA_BOV1,"&gt;="&amp;AA$2,FECHA_BOV1,"&lt;="&amp;AA$3,CLAVE_BOV1,$A321)+SUMIFS(SALIDAS_BOV2,FECHA_BOV2,"&gt;="&amp;AA$2,FECHA_BOV2,"&lt;="&amp;AA$3,CLAVE_BOV2,$A321)+SUMIFS(SALIDAS_BOV3,FECHA_BOV3,"&gt;="&amp;AA$2,FECHA_BOV3,"&lt;="&amp;AA$3,CLAVE_BOV3,$A321)+SUMIFS(SALIDAS_TC,FECHA_TC,"&gt;="&amp;AA$2,FECHA_TC,"&lt;="&amp;AA$3,CLAVE_TC,$A321)+SUMIFS(SALIDAS_COMB,FECHA_COMB,"&gt;="&amp;AA$2,FECHA_COMB,"&lt;="&amp;AA$3,CLAVE_COMB,$A321)+SUMIFS(SALIDAS_DES,FECHA_DESGLOSEN,"&gt;="&amp;AA$2,FECHA_DESGLOSEN,"&lt;="&amp;AA$3,CLAVE_DESGLOSE,$A321)</f>
        <v>0</v>
      </c>
      <c r="AB321" s="162">
        <f>SUMIFS(SALIDAS_BIT,FECHA_BIT,"&gt;="&amp;AB$2,FECHA_BIT,"&lt;="&amp;AB$3,CLAVE_BIT,$A321)+SUMIFS(SALIDAS_BOV1,FECHA_BOV1,"&gt;="&amp;AB$2,FECHA_BOV1,"&lt;="&amp;AB$3,CLAVE_BOV1,$A321)+SUMIFS(SALIDAS_BOV2,FECHA_BOV2,"&gt;="&amp;AB$2,FECHA_BOV2,"&lt;="&amp;AB$3,CLAVE_BOV2,$A321)+SUMIFS(SALIDAS_BOV3,FECHA_BOV3,"&gt;="&amp;AB$2,FECHA_BOV3,"&lt;="&amp;AB$3,CLAVE_BOV3,$A321)+SUMIFS(SALIDAS_TC,FECHA_TC,"&gt;="&amp;AB$2,FECHA_TC,"&lt;="&amp;AB$3,CLAVE_TC,$A321)+SUMIFS(SALIDAS_COMB,FECHA_COMB,"&gt;="&amp;AB$2,FECHA_COMB,"&lt;="&amp;AB$3,CLAVE_COMB,$A321)+SUMIFS(SALIDAS_DES,FECHA_DESGLOSEN,"&gt;="&amp;AB$2,FECHA_DESGLOSEN,"&lt;="&amp;AB$3,CLAVE_DESGLOSE,$A321)</f>
        <v>0</v>
      </c>
      <c r="AC321" s="227">
        <f t="shared" ref="AC321:AC322" si="650">W321-AB321</f>
        <v>0</v>
      </c>
      <c r="AD321" s="301">
        <f t="shared" ref="AD321:AD322" si="651">IFERROR((AB321/W321),0)</f>
        <v>0</v>
      </c>
      <c r="AE321" s="162">
        <f>VLOOKUP($A321,T_PRESUPUESTO,MATCH(AE$6,E_PRESUPUESTO,0),FALSE)</f>
        <v>0</v>
      </c>
      <c r="AF321" s="162">
        <f>SUMIFS(SALIDAS_BIT,FECHA_BIT,"&gt;="&amp;AF$2,FECHA_BIT,"&lt;="&amp;AF$3,CLAVE_BIT,$A321)+SUMIFS(SALIDAS_BOV1,FECHA_BOV1,"&gt;="&amp;AF$2,FECHA_BOV1,"&lt;="&amp;AF$3,CLAVE_BOV1,$A321)+SUMIFS(SALIDAS_BOV2,FECHA_BOV2,"&gt;="&amp;AF$2,FECHA_BOV2,"&lt;="&amp;AF$3,CLAVE_BOV2,$A321)+SUMIFS(SALIDAS_BOV3,FECHA_BOV3,"&gt;="&amp;AF$2,FECHA_BOV3,"&lt;="&amp;AF$3,CLAVE_BOV3,$A321)+SUMIFS(SALIDAS_TC,FECHA_TC,"&gt;="&amp;AF$2,FECHA_TC,"&lt;="&amp;AF$3,CLAVE_TC,$A321)+SUMIFS(SALIDAS_COMB,FECHA_COMB,"&gt;="&amp;AF$2,FECHA_COMB,"&lt;="&amp;AF$3,CLAVE_COMB,$A321)+SUMIFS(SALIDAS_DES,FECHA_DESGLOSEN,"&gt;="&amp;AF$2,FECHA_DESGLOSEN,"&lt;="&amp;AF$3,CLAVE_DESGLOSE,$A321)</f>
        <v>0</v>
      </c>
      <c r="AG321" s="162">
        <f>SUMIFS(SALIDAS_BIT,FECHA_BIT,"&gt;="&amp;AG$2,FECHA_BIT,"&lt;="&amp;AG$3,CLAVE_BIT,$A321)+SUMIFS(SALIDAS_BOV1,FECHA_BOV1,"&gt;="&amp;AG$2,FECHA_BOV1,"&lt;="&amp;AG$3,CLAVE_BOV1,$A321)+SUMIFS(SALIDAS_BOV2,FECHA_BOV2,"&gt;="&amp;AG$2,FECHA_BOV2,"&lt;="&amp;AG$3,CLAVE_BOV2,$A321)+SUMIFS(SALIDAS_BOV3,FECHA_BOV3,"&gt;="&amp;AG$2,FECHA_BOV3,"&lt;="&amp;AG$3,CLAVE_BOV3,$A321)+SUMIFS(SALIDAS_TC,FECHA_TC,"&gt;="&amp;AG$2,FECHA_TC,"&lt;="&amp;AG$3,CLAVE_TC,$A321)+SUMIFS(SALIDAS_COMB,FECHA_COMB,"&gt;="&amp;AG$2,FECHA_COMB,"&lt;="&amp;AG$3,CLAVE_COMB,$A321)+SUMIFS(SALIDAS_DES,FECHA_DESGLOSEN,"&gt;="&amp;AG$2,FECHA_DESGLOSEN,"&lt;="&amp;AG$3,CLAVE_DESGLOSE,$A321)</f>
        <v>0</v>
      </c>
      <c r="AH321" s="162">
        <f>SUMIFS(SALIDAS_BIT,FECHA_BIT,"&gt;="&amp;AH$2,FECHA_BIT,"&lt;="&amp;AH$3,CLAVE_BIT,$A321)+SUMIFS(SALIDAS_BOV1,FECHA_BOV1,"&gt;="&amp;AH$2,FECHA_BOV1,"&lt;="&amp;AH$3,CLAVE_BOV1,$A321)+SUMIFS(SALIDAS_BOV2,FECHA_BOV2,"&gt;="&amp;AH$2,FECHA_BOV2,"&lt;="&amp;AH$3,CLAVE_BOV2,$A321)+SUMIFS(SALIDAS_BOV3,FECHA_BOV3,"&gt;="&amp;AH$2,FECHA_BOV3,"&lt;="&amp;AH$3,CLAVE_BOV3,$A321)+SUMIFS(SALIDAS_TC,FECHA_TC,"&gt;="&amp;AH$2,FECHA_TC,"&lt;="&amp;AH$3,CLAVE_TC,$A321)+SUMIFS(SALIDAS_COMB,FECHA_COMB,"&gt;="&amp;AH$2,FECHA_COMB,"&lt;="&amp;AH$3,CLAVE_COMB,$A321)+SUMIFS(SALIDAS_DES,FECHA_DESGLOSEN,"&gt;="&amp;AH$2,FECHA_DESGLOSEN,"&lt;="&amp;AH$3,CLAVE_DESGLOSE,$A321)</f>
        <v>0</v>
      </c>
      <c r="AI321" s="162">
        <f>SUMIFS(SALIDAS_BIT,FECHA_BIT,"&gt;="&amp;AI$2,FECHA_BIT,"&lt;="&amp;AI$3,CLAVE_BIT,$A321)+SUMIFS(SALIDAS_BOV1,FECHA_BOV1,"&gt;="&amp;AI$2,FECHA_BOV1,"&lt;="&amp;AI$3,CLAVE_BOV1,$A321)+SUMIFS(SALIDAS_BOV2,FECHA_BOV2,"&gt;="&amp;AI$2,FECHA_BOV2,"&lt;="&amp;AI$3,CLAVE_BOV2,$A321)+SUMIFS(SALIDAS_BOV3,FECHA_BOV3,"&gt;="&amp;AI$2,FECHA_BOV3,"&lt;="&amp;AI$3,CLAVE_BOV3,$A321)+SUMIFS(SALIDAS_TC,FECHA_TC,"&gt;="&amp;AI$2,FECHA_TC,"&lt;="&amp;AI$3,CLAVE_TC,$A321)+SUMIFS(SALIDAS_COMB,FECHA_COMB,"&gt;="&amp;AI$2,FECHA_COMB,"&lt;="&amp;AI$3,CLAVE_COMB,$A321)+SUMIFS(SALIDAS_DES,FECHA_DESGLOSEN,"&gt;="&amp;AI$2,FECHA_DESGLOSEN,"&lt;="&amp;AI$3,CLAVE_DESGLOSE,$A321)</f>
        <v>0</v>
      </c>
      <c r="AJ321" s="162">
        <f>SUMIFS(SALIDAS_BIT,FECHA_BIT,"&gt;="&amp;AJ$2,FECHA_BIT,"&lt;="&amp;AJ$3,CLAVE_BIT,$A321)+SUMIFS(SALIDAS_BOV1,FECHA_BOV1,"&gt;="&amp;AJ$2,FECHA_BOV1,"&lt;="&amp;AJ$3,CLAVE_BOV1,$A321)+SUMIFS(SALIDAS_BOV2,FECHA_BOV2,"&gt;="&amp;AJ$2,FECHA_BOV2,"&lt;="&amp;AJ$3,CLAVE_BOV2,$A321)+SUMIFS(SALIDAS_BOV3,FECHA_BOV3,"&gt;="&amp;AJ$2,FECHA_BOV3,"&lt;="&amp;AJ$3,CLAVE_BOV3,$A321)+SUMIFS(SALIDAS_TC,FECHA_TC,"&gt;="&amp;AJ$2,FECHA_TC,"&lt;="&amp;AJ$3,CLAVE_TC,$A321)+SUMIFS(SALIDAS_COMB,FECHA_COMB,"&gt;="&amp;AJ$2,FECHA_COMB,"&lt;="&amp;AJ$3,CLAVE_COMB,$A321)+SUMIFS(SALIDAS_DES,FECHA_DESGLOSEN,"&gt;="&amp;AJ$2,FECHA_DESGLOSEN,"&lt;="&amp;AJ$3,CLAVE_DESGLOSE,$A321)</f>
        <v>0</v>
      </c>
      <c r="AK321" s="227">
        <f t="shared" ref="AK321:AK322" si="652">AE321-AJ321</f>
        <v>0</v>
      </c>
      <c r="AL321" s="301">
        <f t="shared" ref="AL321:AL322" si="653">IFERROR((AJ321/AE321),0)</f>
        <v>0</v>
      </c>
      <c r="AM321" s="162">
        <f>VLOOKUP($A321,T_PRESUPUESTO,MATCH(AM$6,E_PRESUPUESTO,0),FALSE)</f>
        <v>0</v>
      </c>
      <c r="AN321" s="162">
        <f>SUMIFS(SALIDAS_BIT,FECHA_BIT,"&gt;="&amp;AN$2,FECHA_BIT,"&lt;="&amp;AN$3,CLAVE_BIT,$A321)+SUMIFS(SALIDAS_BOV1,FECHA_BOV1,"&gt;="&amp;AN$2,FECHA_BOV1,"&lt;="&amp;AN$3,CLAVE_BOV1,$A321)+SUMIFS(SALIDAS_BOV2,FECHA_BOV2,"&gt;="&amp;AN$2,FECHA_BOV2,"&lt;="&amp;AN$3,CLAVE_BOV2,$A321)+SUMIFS(SALIDAS_BOV3,FECHA_BOV3,"&gt;="&amp;AN$2,FECHA_BOV3,"&lt;="&amp;AN$3,CLAVE_BOV3,$A321)+SUMIFS(SALIDAS_TC,FECHA_TC,"&gt;="&amp;AN$2,FECHA_TC,"&lt;="&amp;AN$3,CLAVE_TC,$A321)+SUMIFS(SALIDAS_COMB,FECHA_COMB,"&gt;="&amp;AN$2,FECHA_COMB,"&lt;="&amp;AN$3,CLAVE_COMB,$A321)+SUMIFS(SALIDAS_DES,FECHA_DESGLOSEN,"&gt;="&amp;AN$2,FECHA_DESGLOSEN,"&lt;="&amp;AN$3,CLAVE_DESGLOSE,$A321)</f>
        <v>0</v>
      </c>
      <c r="AO321" s="162">
        <f>SUMIFS(SALIDAS_BIT,FECHA_BIT,"&gt;="&amp;AO$2,FECHA_BIT,"&lt;="&amp;AO$3,CLAVE_BIT,$A321)+SUMIFS(SALIDAS_BOV1,FECHA_BOV1,"&gt;="&amp;AO$2,FECHA_BOV1,"&lt;="&amp;AO$3,CLAVE_BOV1,$A321)+SUMIFS(SALIDAS_BOV2,FECHA_BOV2,"&gt;="&amp;AO$2,FECHA_BOV2,"&lt;="&amp;AO$3,CLAVE_BOV2,$A321)+SUMIFS(SALIDAS_BOV3,FECHA_BOV3,"&gt;="&amp;AO$2,FECHA_BOV3,"&lt;="&amp;AO$3,CLAVE_BOV3,$A321)+SUMIFS(SALIDAS_TC,FECHA_TC,"&gt;="&amp;AO$2,FECHA_TC,"&lt;="&amp;AO$3,CLAVE_TC,$A321)+SUMIFS(SALIDAS_COMB,FECHA_COMB,"&gt;="&amp;AO$2,FECHA_COMB,"&lt;="&amp;AO$3,CLAVE_COMB,$A321)+SUMIFS(SALIDAS_DES,FECHA_DESGLOSEN,"&gt;="&amp;AO$2,FECHA_DESGLOSEN,"&lt;="&amp;AO$3,CLAVE_DESGLOSE,$A321)</f>
        <v>0</v>
      </c>
      <c r="AP321" s="162">
        <f>SUMIFS(SALIDAS_BIT,FECHA_BIT,"&gt;="&amp;AP$2,FECHA_BIT,"&lt;="&amp;AP$3,CLAVE_BIT,$A321)+SUMIFS(SALIDAS_BOV1,FECHA_BOV1,"&gt;="&amp;AP$2,FECHA_BOV1,"&lt;="&amp;AP$3,CLAVE_BOV1,$A321)+SUMIFS(SALIDAS_BOV2,FECHA_BOV2,"&gt;="&amp;AP$2,FECHA_BOV2,"&lt;="&amp;AP$3,CLAVE_BOV2,$A321)+SUMIFS(SALIDAS_BOV3,FECHA_BOV3,"&gt;="&amp;AP$2,FECHA_BOV3,"&lt;="&amp;AP$3,CLAVE_BOV3,$A321)+SUMIFS(SALIDAS_TC,FECHA_TC,"&gt;="&amp;AP$2,FECHA_TC,"&lt;="&amp;AP$3,CLAVE_TC,$A321)+SUMIFS(SALIDAS_COMB,FECHA_COMB,"&gt;="&amp;AP$2,FECHA_COMB,"&lt;="&amp;AP$3,CLAVE_COMB,$A321)+SUMIFS(SALIDAS_DES,FECHA_DESGLOSEN,"&gt;="&amp;AP$2,FECHA_DESGLOSEN,"&lt;="&amp;AP$3,CLAVE_DESGLOSE,$A321)</f>
        <v>0</v>
      </c>
      <c r="AQ321" s="162">
        <f>SUMIFS(SALIDAS_BIT,FECHA_BIT,"&gt;="&amp;AQ$2,FECHA_BIT,"&lt;="&amp;AQ$3,CLAVE_BIT,$A321)+SUMIFS(SALIDAS_BOV1,FECHA_BOV1,"&gt;="&amp;AQ$2,FECHA_BOV1,"&lt;="&amp;AQ$3,CLAVE_BOV1,$A321)+SUMIFS(SALIDAS_BOV2,FECHA_BOV2,"&gt;="&amp;AQ$2,FECHA_BOV2,"&lt;="&amp;AQ$3,CLAVE_BOV2,$A321)+SUMIFS(SALIDAS_BOV3,FECHA_BOV3,"&gt;="&amp;AQ$2,FECHA_BOV3,"&lt;="&amp;AQ$3,CLAVE_BOV3,$A321)+SUMIFS(SALIDAS_TC,FECHA_TC,"&gt;="&amp;AQ$2,FECHA_TC,"&lt;="&amp;AQ$3,CLAVE_TC,$A321)+SUMIFS(SALIDAS_COMB,FECHA_COMB,"&gt;="&amp;AQ$2,FECHA_COMB,"&lt;="&amp;AQ$3,CLAVE_COMB,$A321)+SUMIFS(SALIDAS_DES,FECHA_DESGLOSEN,"&gt;="&amp;AQ$2,FECHA_DESGLOSEN,"&lt;="&amp;AQ$3,CLAVE_DESGLOSE,$A321)</f>
        <v>0</v>
      </c>
      <c r="AR321" s="162">
        <f>SUMIFS(SALIDAS_BIT,FECHA_BIT,"&gt;="&amp;AR$2,FECHA_BIT,"&lt;="&amp;AR$3,CLAVE_BIT,$A321)+SUMIFS(SALIDAS_BOV1,FECHA_BOV1,"&gt;="&amp;AR$2,FECHA_BOV1,"&lt;="&amp;AR$3,CLAVE_BOV1,$A321)+SUMIFS(SALIDAS_BOV2,FECHA_BOV2,"&gt;="&amp;AR$2,FECHA_BOV2,"&lt;="&amp;AR$3,CLAVE_BOV2,$A321)+SUMIFS(SALIDAS_BOV3,FECHA_BOV3,"&gt;="&amp;AR$2,FECHA_BOV3,"&lt;="&amp;AR$3,CLAVE_BOV3,$A321)+SUMIFS(SALIDAS_TC,FECHA_TC,"&gt;="&amp;AR$2,FECHA_TC,"&lt;="&amp;AR$3,CLAVE_TC,$A321)+SUMIFS(SALIDAS_COMB,FECHA_COMB,"&gt;="&amp;AR$2,FECHA_COMB,"&lt;="&amp;AR$3,CLAVE_COMB,$A321)+SUMIFS(SALIDAS_DES,FECHA_DESGLOSEN,"&gt;="&amp;AR$2,FECHA_DESGLOSEN,"&lt;="&amp;AR$3,CLAVE_DESGLOSE,$A321)</f>
        <v>0</v>
      </c>
      <c r="AS321" s="162">
        <f>SUMIFS(SALIDAS_BIT,FECHA_BIT,"&gt;="&amp;AS$2,FECHA_BIT,"&lt;="&amp;AS$3,CLAVE_BIT,$A321)+SUMIFS(SALIDAS_BOV1,FECHA_BOV1,"&gt;="&amp;AS$2,FECHA_BOV1,"&lt;="&amp;AS$3,CLAVE_BOV1,$A321)+SUMIFS(SALIDAS_BOV2,FECHA_BOV2,"&gt;="&amp;AS$2,FECHA_BOV2,"&lt;="&amp;AS$3,CLAVE_BOV2,$A321)+SUMIFS(SALIDAS_BOV3,FECHA_BOV3,"&gt;="&amp;AS$2,FECHA_BOV3,"&lt;="&amp;AS$3,CLAVE_BOV3,$A321)+SUMIFS(SALIDAS_TC,FECHA_TC,"&gt;="&amp;AS$2,FECHA_TC,"&lt;="&amp;AS$3,CLAVE_TC,$A321)+SUMIFS(SALIDAS_COMB,FECHA_COMB,"&gt;="&amp;AS$2,FECHA_COMB,"&lt;="&amp;AS$3,CLAVE_COMB,$A321)+SUMIFS(SALIDAS_DES,FECHA_DESGLOSEN,"&gt;="&amp;AS$2,FECHA_DESGLOSEN,"&lt;="&amp;AS$3,CLAVE_DESGLOSE,$A321)</f>
        <v>0</v>
      </c>
      <c r="AT321" s="227">
        <f t="shared" ref="AT321:AT322" si="654">AM321-AS321</f>
        <v>0</v>
      </c>
      <c r="AU321" s="301">
        <f t="shared" ref="AU321:AU322" si="655">IFERROR((AS321/AM321),0)</f>
        <v>0</v>
      </c>
      <c r="AV321" s="162">
        <f>VLOOKUP($A321,T_PRESUPUESTO,MATCH(AV$6,E_PRESUPUESTO,0),FALSE)</f>
        <v>0</v>
      </c>
      <c r="AW321" s="162">
        <f>SUMIFS(SALIDAS_BIT,FECHA_BIT,"&gt;="&amp;AW$2,FECHA_BIT,"&lt;="&amp;AW$3,CLAVE_BIT,$A321)+SUMIFS(SALIDAS_BOV1,FECHA_BOV1,"&gt;="&amp;AW$2,FECHA_BOV1,"&lt;="&amp;AW$3,CLAVE_BOV1,$A321)+SUMIFS(SALIDAS_BOV2,FECHA_BOV2,"&gt;="&amp;AW$2,FECHA_BOV2,"&lt;="&amp;AW$3,CLAVE_BOV2,$A321)+SUMIFS(SALIDAS_BOV3,FECHA_BOV3,"&gt;="&amp;AW$2,FECHA_BOV3,"&lt;="&amp;AW$3,CLAVE_BOV3,$A321)+SUMIFS(SALIDAS_TC,FECHA_TC,"&gt;="&amp;AW$2,FECHA_TC,"&lt;="&amp;AW$3,CLAVE_TC,$A321)+SUMIFS(SALIDAS_COMB,FECHA_COMB,"&gt;="&amp;AW$2,FECHA_COMB,"&lt;="&amp;AW$3,CLAVE_COMB,$A321)+SUMIFS(SALIDAS_DES,FECHA_DESGLOSEN,"&gt;="&amp;AW$2,FECHA_DESGLOSEN,"&lt;="&amp;AW$3,CLAVE_DESGLOSE,$A321)</f>
        <v>0</v>
      </c>
      <c r="AX321" s="162">
        <f>SUMIFS(SALIDAS_BIT,FECHA_BIT,"&gt;="&amp;AX$2,FECHA_BIT,"&lt;="&amp;AX$3,CLAVE_BIT,$A321)+SUMIFS(SALIDAS_BOV1,FECHA_BOV1,"&gt;="&amp;AX$2,FECHA_BOV1,"&lt;="&amp;AX$3,CLAVE_BOV1,$A321)+SUMIFS(SALIDAS_BOV2,FECHA_BOV2,"&gt;="&amp;AX$2,FECHA_BOV2,"&lt;="&amp;AX$3,CLAVE_BOV2,$A321)+SUMIFS(SALIDAS_BOV3,FECHA_BOV3,"&gt;="&amp;AX$2,FECHA_BOV3,"&lt;="&amp;AX$3,CLAVE_BOV3,$A321)+SUMIFS(SALIDAS_TC,FECHA_TC,"&gt;="&amp;AX$2,FECHA_TC,"&lt;="&amp;AX$3,CLAVE_TC,$A321)+SUMIFS(SALIDAS_COMB,FECHA_COMB,"&gt;="&amp;AX$2,FECHA_COMB,"&lt;="&amp;AX$3,CLAVE_COMB,$A321)+SUMIFS(SALIDAS_DES,FECHA_DESGLOSEN,"&gt;="&amp;AX$2,FECHA_DESGLOSEN,"&lt;="&amp;AX$3,CLAVE_DESGLOSE,$A321)</f>
        <v>0</v>
      </c>
      <c r="AY321" s="162">
        <f>SUMIFS(SALIDAS_BIT,FECHA_BIT,"&gt;="&amp;AY$2,FECHA_BIT,"&lt;="&amp;AY$3,CLAVE_BIT,$A321)+SUMIFS(SALIDAS_BOV1,FECHA_BOV1,"&gt;="&amp;AY$2,FECHA_BOV1,"&lt;="&amp;AY$3,CLAVE_BOV1,$A321)+SUMIFS(SALIDAS_BOV2,FECHA_BOV2,"&gt;="&amp;AY$2,FECHA_BOV2,"&lt;="&amp;AY$3,CLAVE_BOV2,$A321)+SUMIFS(SALIDAS_BOV3,FECHA_BOV3,"&gt;="&amp;AY$2,FECHA_BOV3,"&lt;="&amp;AY$3,CLAVE_BOV3,$A321)+SUMIFS(SALIDAS_TC,FECHA_TC,"&gt;="&amp;AY$2,FECHA_TC,"&lt;="&amp;AY$3,CLAVE_TC,$A321)+SUMIFS(SALIDAS_COMB,FECHA_COMB,"&gt;="&amp;AY$2,FECHA_COMB,"&lt;="&amp;AY$3,CLAVE_COMB,$A321)+SUMIFS(SALIDAS_DES,FECHA_DESGLOSEN,"&gt;="&amp;AY$2,FECHA_DESGLOSEN,"&lt;="&amp;AY$3,CLAVE_DESGLOSE,$A321)</f>
        <v>0</v>
      </c>
      <c r="AZ321" s="162">
        <f>SUMIFS(SALIDAS_BIT,FECHA_BIT,"&gt;="&amp;AZ$2,FECHA_BIT,"&lt;="&amp;AZ$3,CLAVE_BIT,$A321)+SUMIFS(SALIDAS_BOV1,FECHA_BOV1,"&gt;="&amp;AZ$2,FECHA_BOV1,"&lt;="&amp;AZ$3,CLAVE_BOV1,$A321)+SUMIFS(SALIDAS_BOV2,FECHA_BOV2,"&gt;="&amp;AZ$2,FECHA_BOV2,"&lt;="&amp;AZ$3,CLAVE_BOV2,$A321)+SUMIFS(SALIDAS_BOV3,FECHA_BOV3,"&gt;="&amp;AZ$2,FECHA_BOV3,"&lt;="&amp;AZ$3,CLAVE_BOV3,$A321)+SUMIFS(SALIDAS_TC,FECHA_TC,"&gt;="&amp;AZ$2,FECHA_TC,"&lt;="&amp;AZ$3,CLAVE_TC,$A321)+SUMIFS(SALIDAS_COMB,FECHA_COMB,"&gt;="&amp;AZ$2,FECHA_COMB,"&lt;="&amp;AZ$3,CLAVE_COMB,$A321)+SUMIFS(SALIDAS_DES,FECHA_DESGLOSEN,"&gt;="&amp;AZ$2,FECHA_DESGLOSEN,"&lt;="&amp;AZ$3,CLAVE_DESGLOSE,$A321)</f>
        <v>0</v>
      </c>
      <c r="BA321" s="162">
        <f>SUMIFS(SALIDAS_BIT,FECHA_BIT,"&gt;="&amp;BA$2,FECHA_BIT,"&lt;="&amp;BA$3,CLAVE_BIT,$A321)+SUMIFS(SALIDAS_BOV1,FECHA_BOV1,"&gt;="&amp;BA$2,FECHA_BOV1,"&lt;="&amp;BA$3,CLAVE_BOV1,$A321)+SUMIFS(SALIDAS_BOV2,FECHA_BOV2,"&gt;="&amp;BA$2,FECHA_BOV2,"&lt;="&amp;BA$3,CLAVE_BOV2,$A321)+SUMIFS(SALIDAS_BOV3,FECHA_BOV3,"&gt;="&amp;BA$2,FECHA_BOV3,"&lt;="&amp;BA$3,CLAVE_BOV3,$A321)+SUMIFS(SALIDAS_TC,FECHA_TC,"&gt;="&amp;BA$2,FECHA_TC,"&lt;="&amp;BA$3,CLAVE_TC,$A321)+SUMIFS(SALIDAS_COMB,FECHA_COMB,"&gt;="&amp;BA$2,FECHA_COMB,"&lt;="&amp;BA$3,CLAVE_COMB,$A321)+SUMIFS(SALIDAS_DES,FECHA_DESGLOSEN,"&gt;="&amp;BA$2,FECHA_DESGLOSEN,"&lt;="&amp;BA$3,CLAVE_DESGLOSE,$A321)</f>
        <v>0</v>
      </c>
      <c r="BB321" s="227">
        <f t="shared" ref="BB321:BB322" si="656">AV321-BA321</f>
        <v>0</v>
      </c>
      <c r="BC321" s="301">
        <f t="shared" ref="BC321:BC322" si="657">IFERROR((BA321/AV321),0)</f>
        <v>0</v>
      </c>
      <c r="BD321" s="162">
        <f>VLOOKUP($A321,T_PRESUPUESTO,MATCH(BD$6,E_PRESUPUESTO,0),FALSE)</f>
        <v>0</v>
      </c>
      <c r="BE321" s="162">
        <f>SUMIFS(SALIDAS_BIT,FECHA_BIT,"&gt;="&amp;BE$2,FECHA_BIT,"&lt;="&amp;BE$3,CLAVE_BIT,$A321)+SUMIFS(SALIDAS_BOV1,FECHA_BOV1,"&gt;="&amp;BE$2,FECHA_BOV1,"&lt;="&amp;BE$3,CLAVE_BOV1,$A321)+SUMIFS(SALIDAS_BOV2,FECHA_BOV2,"&gt;="&amp;BE$2,FECHA_BOV2,"&lt;="&amp;BE$3,CLAVE_BOV2,$A321)+SUMIFS(SALIDAS_BOV3,FECHA_BOV3,"&gt;="&amp;BE$2,FECHA_BOV3,"&lt;="&amp;BE$3,CLAVE_BOV3,$A321)+SUMIFS(SALIDAS_TC,FECHA_TC,"&gt;="&amp;BE$2,FECHA_TC,"&lt;="&amp;BE$3,CLAVE_TC,$A321)+SUMIFS(SALIDAS_COMB,FECHA_COMB,"&gt;="&amp;BE$2,FECHA_COMB,"&lt;="&amp;BE$3,CLAVE_COMB,$A321)+SUMIFS(SALIDAS_DES,FECHA_DESGLOSEN,"&gt;="&amp;BE$2,FECHA_DESGLOSEN,"&lt;="&amp;BE$3,CLAVE_DESGLOSE,$A321)</f>
        <v>542.1</v>
      </c>
      <c r="BF321" s="162">
        <f>SUMIFS(SALIDAS_BIT,FECHA_BIT,"&gt;="&amp;BF$2,FECHA_BIT,"&lt;="&amp;BF$3,CLAVE_BIT,$A321)+SUMIFS(SALIDAS_BOV1,FECHA_BOV1,"&gt;="&amp;BF$2,FECHA_BOV1,"&lt;="&amp;BF$3,CLAVE_BOV1,$A321)+SUMIFS(SALIDAS_BOV2,FECHA_BOV2,"&gt;="&amp;BF$2,FECHA_BOV2,"&lt;="&amp;BF$3,CLAVE_BOV2,$A321)+SUMIFS(SALIDAS_BOV3,FECHA_BOV3,"&gt;="&amp;BF$2,FECHA_BOV3,"&lt;="&amp;BF$3,CLAVE_BOV3,$A321)+SUMIFS(SALIDAS_TC,FECHA_TC,"&gt;="&amp;BF$2,FECHA_TC,"&lt;="&amp;BF$3,CLAVE_TC,$A321)+SUMIFS(SALIDAS_COMB,FECHA_COMB,"&gt;="&amp;BF$2,FECHA_COMB,"&lt;="&amp;BF$3,CLAVE_COMB,$A321)+SUMIFS(SALIDAS_DES,FECHA_DESGLOSEN,"&gt;="&amp;BF$2,FECHA_DESGLOSEN,"&lt;="&amp;BF$3,CLAVE_DESGLOSE,$A321)</f>
        <v>0</v>
      </c>
      <c r="BG321" s="162">
        <f>SUMIFS(SALIDAS_BIT,FECHA_BIT,"&gt;="&amp;BG$2,FECHA_BIT,"&lt;="&amp;BG$3,CLAVE_BIT,$A321)+SUMIFS(SALIDAS_BOV1,FECHA_BOV1,"&gt;="&amp;BG$2,FECHA_BOV1,"&lt;="&amp;BG$3,CLAVE_BOV1,$A321)+SUMIFS(SALIDAS_BOV2,FECHA_BOV2,"&gt;="&amp;BG$2,FECHA_BOV2,"&lt;="&amp;BG$3,CLAVE_BOV2,$A321)+SUMIFS(SALIDAS_BOV3,FECHA_BOV3,"&gt;="&amp;BG$2,FECHA_BOV3,"&lt;="&amp;BG$3,CLAVE_BOV3,$A321)+SUMIFS(SALIDAS_TC,FECHA_TC,"&gt;="&amp;BG$2,FECHA_TC,"&lt;="&amp;BG$3,CLAVE_TC,$A321)+SUMIFS(SALIDAS_COMB,FECHA_COMB,"&gt;="&amp;BG$2,FECHA_COMB,"&lt;="&amp;BG$3,CLAVE_COMB,$A321)+SUMIFS(SALIDAS_DES,FECHA_DESGLOSEN,"&gt;="&amp;BG$2,FECHA_DESGLOSEN,"&lt;="&amp;BG$3,CLAVE_DESGLOSE,$A321)</f>
        <v>0</v>
      </c>
      <c r="BH321" s="162">
        <f>SUMIFS(SALIDAS_BIT,FECHA_BIT,"&gt;="&amp;BH$2,FECHA_BIT,"&lt;="&amp;BH$3,CLAVE_BIT,$A321)+SUMIFS(SALIDAS_BOV1,FECHA_BOV1,"&gt;="&amp;BH$2,FECHA_BOV1,"&lt;="&amp;BH$3,CLAVE_BOV1,$A321)+SUMIFS(SALIDAS_BOV2,FECHA_BOV2,"&gt;="&amp;BH$2,FECHA_BOV2,"&lt;="&amp;BH$3,CLAVE_BOV2,$A321)+SUMIFS(SALIDAS_BOV3,FECHA_BOV3,"&gt;="&amp;BH$2,FECHA_BOV3,"&lt;="&amp;BH$3,CLAVE_BOV3,$A321)+SUMIFS(SALIDAS_TC,FECHA_TC,"&gt;="&amp;BH$2,FECHA_TC,"&lt;="&amp;BH$3,CLAVE_TC,$A321)+SUMIFS(SALIDAS_COMB,FECHA_COMB,"&gt;="&amp;BH$2,FECHA_COMB,"&lt;="&amp;BH$3,CLAVE_COMB,$A321)+SUMIFS(SALIDAS_DES,FECHA_DESGLOSEN,"&gt;="&amp;BH$2,FECHA_DESGLOSEN,"&lt;="&amp;BH$3,CLAVE_DESGLOSE,$A321)</f>
        <v>0</v>
      </c>
      <c r="BI321" s="162">
        <f>SUMIFS(SALIDAS_BIT,FECHA_BIT,"&gt;="&amp;BI$2,FECHA_BIT,"&lt;="&amp;BI$3,CLAVE_BIT,$A321)+SUMIFS(SALIDAS_BOV1,FECHA_BOV1,"&gt;="&amp;BI$2,FECHA_BOV1,"&lt;="&amp;BI$3,CLAVE_BOV1,$A321)+SUMIFS(SALIDAS_BOV2,FECHA_BOV2,"&gt;="&amp;BI$2,FECHA_BOV2,"&lt;="&amp;BI$3,CLAVE_BOV2,$A321)+SUMIFS(SALIDAS_BOV3,FECHA_BOV3,"&gt;="&amp;BI$2,FECHA_BOV3,"&lt;="&amp;BI$3,CLAVE_BOV3,$A321)+SUMIFS(SALIDAS_TC,FECHA_TC,"&gt;="&amp;BI$2,FECHA_TC,"&lt;="&amp;BI$3,CLAVE_TC,$A321)+SUMIFS(SALIDAS_COMB,FECHA_COMB,"&gt;="&amp;BI$2,FECHA_COMB,"&lt;="&amp;BI$3,CLAVE_COMB,$A321)+SUMIFS(SALIDAS_DES,FECHA_DESGLOSEN,"&gt;="&amp;BI$2,FECHA_DESGLOSEN,"&lt;="&amp;BI$3,CLAVE_DESGLOSE,$A321)</f>
        <v>542.1</v>
      </c>
      <c r="BJ321" s="227">
        <f t="shared" ref="BJ321:BJ322" si="658">BD321-BI321</f>
        <v>-542.1</v>
      </c>
      <c r="BK321" s="301">
        <f t="shared" ref="BK321:BK322" si="659">IFERROR((BI321/BD321),0)</f>
        <v>0</v>
      </c>
      <c r="BL321" s="162">
        <f>VLOOKUP($A321,T_PRESUPUESTO,MATCH(BL$6,E_PRESUPUESTO,0),FALSE)</f>
        <v>0</v>
      </c>
      <c r="BM321" s="162">
        <f>SUMIFS(SALIDAS_BIT,FECHA_BIT,"&gt;="&amp;BM$2,FECHA_BIT,"&lt;="&amp;BM$3,CLAVE_BIT,$A321)+SUMIFS(SALIDAS_BOV1,FECHA_BOV1,"&gt;="&amp;BM$2,FECHA_BOV1,"&lt;="&amp;BM$3,CLAVE_BOV1,$A321)+SUMIFS(SALIDAS_BOV2,FECHA_BOV2,"&gt;="&amp;BM$2,FECHA_BOV2,"&lt;="&amp;BM$3,CLAVE_BOV2,$A321)+SUMIFS(SALIDAS_BOV3,FECHA_BOV3,"&gt;="&amp;BM$2,FECHA_BOV3,"&lt;="&amp;BM$3,CLAVE_BOV3,$A321)+SUMIFS(SALIDAS_TC,FECHA_TC,"&gt;="&amp;BM$2,FECHA_TC,"&lt;="&amp;BM$3,CLAVE_TC,$A321)+SUMIFS(SALIDAS_COMB,FECHA_COMB,"&gt;="&amp;BM$2,FECHA_COMB,"&lt;="&amp;BM$3,CLAVE_COMB,$A321)+SUMIFS(SALIDAS_DES,FECHA_DESGLOSEN,"&gt;="&amp;BM$2,FECHA_DESGLOSEN,"&lt;="&amp;BM$3,CLAVE_DESGLOSE,$A321)</f>
        <v>0</v>
      </c>
      <c r="BN321" s="162">
        <f>SUMIFS(SALIDAS_BIT,FECHA_BIT,"&gt;="&amp;BN$2,FECHA_BIT,"&lt;="&amp;BN$3,CLAVE_BIT,$A321)+SUMIFS(SALIDAS_BOV1,FECHA_BOV1,"&gt;="&amp;BN$2,FECHA_BOV1,"&lt;="&amp;BN$3,CLAVE_BOV1,$A321)+SUMIFS(SALIDAS_BOV2,FECHA_BOV2,"&gt;="&amp;BN$2,FECHA_BOV2,"&lt;="&amp;BN$3,CLAVE_BOV2,$A321)+SUMIFS(SALIDAS_BOV3,FECHA_BOV3,"&gt;="&amp;BN$2,FECHA_BOV3,"&lt;="&amp;BN$3,CLAVE_BOV3,$A321)+SUMIFS(SALIDAS_TC,FECHA_TC,"&gt;="&amp;BN$2,FECHA_TC,"&lt;="&amp;BN$3,CLAVE_TC,$A321)+SUMIFS(SALIDAS_COMB,FECHA_COMB,"&gt;="&amp;BN$2,FECHA_COMB,"&lt;="&amp;BN$3,CLAVE_COMB,$A321)+SUMIFS(SALIDAS_DES,FECHA_DESGLOSEN,"&gt;="&amp;BN$2,FECHA_DESGLOSEN,"&lt;="&amp;BN$3,CLAVE_DESGLOSE,$A321)</f>
        <v>0</v>
      </c>
      <c r="BO321" s="162">
        <f>SUMIFS(SALIDAS_BIT,FECHA_BIT,"&gt;="&amp;BO$2,FECHA_BIT,"&lt;="&amp;BO$3,CLAVE_BIT,$A321)+SUMIFS(SALIDAS_BOV1,FECHA_BOV1,"&gt;="&amp;BO$2,FECHA_BOV1,"&lt;="&amp;BO$3,CLAVE_BOV1,$A321)+SUMIFS(SALIDAS_BOV2,FECHA_BOV2,"&gt;="&amp;BO$2,FECHA_BOV2,"&lt;="&amp;BO$3,CLAVE_BOV2,$A321)+SUMIFS(SALIDAS_BOV3,FECHA_BOV3,"&gt;="&amp;BO$2,FECHA_BOV3,"&lt;="&amp;BO$3,CLAVE_BOV3,$A321)+SUMIFS(SALIDAS_TC,FECHA_TC,"&gt;="&amp;BO$2,FECHA_TC,"&lt;="&amp;BO$3,CLAVE_TC,$A321)+SUMIFS(SALIDAS_COMB,FECHA_COMB,"&gt;="&amp;BO$2,FECHA_COMB,"&lt;="&amp;BO$3,CLAVE_COMB,$A321)+SUMIFS(SALIDAS_DES,FECHA_DESGLOSEN,"&gt;="&amp;BO$2,FECHA_DESGLOSEN,"&lt;="&amp;BO$3,CLAVE_DESGLOSE,$A321)</f>
        <v>0</v>
      </c>
      <c r="BP321" s="162">
        <f>SUMIFS(SALIDAS_BIT,FECHA_BIT,"&gt;="&amp;BP$2,FECHA_BIT,"&lt;="&amp;BP$3,CLAVE_BIT,$A321)+SUMIFS(SALIDAS_BOV1,FECHA_BOV1,"&gt;="&amp;BP$2,FECHA_BOV1,"&lt;="&amp;BP$3,CLAVE_BOV1,$A321)+SUMIFS(SALIDAS_BOV2,FECHA_BOV2,"&gt;="&amp;BP$2,FECHA_BOV2,"&lt;="&amp;BP$3,CLAVE_BOV2,$A321)+SUMIFS(SALIDAS_BOV3,FECHA_BOV3,"&gt;="&amp;BP$2,FECHA_BOV3,"&lt;="&amp;BP$3,CLAVE_BOV3,$A321)+SUMIFS(SALIDAS_TC,FECHA_TC,"&gt;="&amp;BP$2,FECHA_TC,"&lt;="&amp;BP$3,CLAVE_TC,$A321)+SUMIFS(SALIDAS_COMB,FECHA_COMB,"&gt;="&amp;BP$2,FECHA_COMB,"&lt;="&amp;BP$3,CLAVE_COMB,$A321)+SUMIFS(SALIDAS_DES,FECHA_DESGLOSEN,"&gt;="&amp;BP$2,FECHA_DESGLOSEN,"&lt;="&amp;BP$3,CLAVE_DESGLOSE,$A321)</f>
        <v>0</v>
      </c>
      <c r="BQ321" s="162">
        <f>SUMIFS(SALIDAS_BIT,FECHA_BIT,"&gt;="&amp;BQ$2,FECHA_BIT,"&lt;="&amp;BQ$3,CLAVE_BIT,$A321)+SUMIFS(SALIDAS_BOV1,FECHA_BOV1,"&gt;="&amp;BQ$2,FECHA_BOV1,"&lt;="&amp;BQ$3,CLAVE_BOV1,$A321)+SUMIFS(SALIDAS_BOV2,FECHA_BOV2,"&gt;="&amp;BQ$2,FECHA_BOV2,"&lt;="&amp;BQ$3,CLAVE_BOV2,$A321)+SUMIFS(SALIDAS_BOV3,FECHA_BOV3,"&gt;="&amp;BQ$2,FECHA_BOV3,"&lt;="&amp;BQ$3,CLAVE_BOV3,$A321)+SUMIFS(SALIDAS_TC,FECHA_TC,"&gt;="&amp;BQ$2,FECHA_TC,"&lt;="&amp;BQ$3,CLAVE_TC,$A321)+SUMIFS(SALIDAS_COMB,FECHA_COMB,"&gt;="&amp;BQ$2,FECHA_COMB,"&lt;="&amp;BQ$3,CLAVE_COMB,$A321)+SUMIFS(SALIDAS_DES,FECHA_DESGLOSEN,"&gt;="&amp;BQ$2,FECHA_DESGLOSEN,"&lt;="&amp;BQ$3,CLAVE_DESGLOSE,$A321)</f>
        <v>0</v>
      </c>
      <c r="BR321" s="162">
        <f>SUMIFS(SALIDAS_BIT,FECHA_BIT,"&gt;="&amp;BR$2,FECHA_BIT,"&lt;="&amp;BR$3,CLAVE_BIT,$A321)+SUMIFS(SALIDAS_BOV1,FECHA_BOV1,"&gt;="&amp;BR$2,FECHA_BOV1,"&lt;="&amp;BR$3,CLAVE_BOV1,$A321)+SUMIFS(SALIDAS_BOV2,FECHA_BOV2,"&gt;="&amp;BR$2,FECHA_BOV2,"&lt;="&amp;BR$3,CLAVE_BOV2,$A321)+SUMIFS(SALIDAS_BOV3,FECHA_BOV3,"&gt;="&amp;BR$2,FECHA_BOV3,"&lt;="&amp;BR$3,CLAVE_BOV3,$A321)+SUMIFS(SALIDAS_TC,FECHA_TC,"&gt;="&amp;BR$2,FECHA_TC,"&lt;="&amp;BR$3,CLAVE_TC,$A321)+SUMIFS(SALIDAS_COMB,FECHA_COMB,"&gt;="&amp;BR$2,FECHA_COMB,"&lt;="&amp;BR$3,CLAVE_COMB,$A321)+SUMIFS(SALIDAS_DES,FECHA_DESGLOSEN,"&gt;="&amp;BR$2,FECHA_DESGLOSEN,"&lt;="&amp;BR$3,CLAVE_DESGLOSE,$A321)</f>
        <v>0</v>
      </c>
      <c r="BS321" s="227">
        <f t="shared" ref="BS321:BS322" si="660">BL321-BR321</f>
        <v>0</v>
      </c>
      <c r="BT321" s="301">
        <f t="shared" ref="BT321:BT322" si="661">IFERROR((BR321/BL321),0)</f>
        <v>0</v>
      </c>
      <c r="BU321" s="162">
        <f>VLOOKUP($A321,T_PRESUPUESTO,MATCH(BU$6,E_PRESUPUESTO,0),FALSE)</f>
        <v>0</v>
      </c>
      <c r="BV321" s="162">
        <f>SUMIFS(SALIDAS_BIT,FECHA_BIT,"&gt;="&amp;BV$2,FECHA_BIT,"&lt;="&amp;BV$3,CLAVE_BIT,$A321)+SUMIFS(SALIDAS_BOV1,FECHA_BOV1,"&gt;="&amp;BV$2,FECHA_BOV1,"&lt;="&amp;BV$3,CLAVE_BOV1,$A321)+SUMIFS(SALIDAS_BOV2,FECHA_BOV2,"&gt;="&amp;BV$2,FECHA_BOV2,"&lt;="&amp;BV$3,CLAVE_BOV2,$A321)+SUMIFS(SALIDAS_BOV3,FECHA_BOV3,"&gt;="&amp;BV$2,FECHA_BOV3,"&lt;="&amp;BV$3,CLAVE_BOV3,$A321)+SUMIFS(SALIDAS_TC,FECHA_TC,"&gt;="&amp;BV$2,FECHA_TC,"&lt;="&amp;BV$3,CLAVE_TC,$A321)+SUMIFS(SALIDAS_COMB,FECHA_COMB,"&gt;="&amp;BV$2,FECHA_COMB,"&lt;="&amp;BV$3,CLAVE_COMB,$A321)+SUMIFS(SALIDAS_DES,FECHA_DESGLOSEN,"&gt;="&amp;BV$2,FECHA_DESGLOSEN,"&lt;="&amp;BV$3,CLAVE_DESGLOSE,$A321)</f>
        <v>0</v>
      </c>
      <c r="BW321" s="162">
        <f>SUMIFS(SALIDAS_BIT,FECHA_BIT,"&gt;="&amp;BW$2,FECHA_BIT,"&lt;="&amp;BW$3,CLAVE_BIT,$A321)+SUMIFS(SALIDAS_BOV1,FECHA_BOV1,"&gt;="&amp;BW$2,FECHA_BOV1,"&lt;="&amp;BW$3,CLAVE_BOV1,$A321)+SUMIFS(SALIDAS_BOV2,FECHA_BOV2,"&gt;="&amp;BW$2,FECHA_BOV2,"&lt;="&amp;BW$3,CLAVE_BOV2,$A321)+SUMIFS(SALIDAS_BOV3,FECHA_BOV3,"&gt;="&amp;BW$2,FECHA_BOV3,"&lt;="&amp;BW$3,CLAVE_BOV3,$A321)+SUMIFS(SALIDAS_TC,FECHA_TC,"&gt;="&amp;BW$2,FECHA_TC,"&lt;="&amp;BW$3,CLAVE_TC,$A321)+SUMIFS(SALIDAS_COMB,FECHA_COMB,"&gt;="&amp;BW$2,FECHA_COMB,"&lt;="&amp;BW$3,CLAVE_COMB,$A321)+SUMIFS(SALIDAS_DES,FECHA_DESGLOSEN,"&gt;="&amp;BW$2,FECHA_DESGLOSEN,"&lt;="&amp;BW$3,CLAVE_DESGLOSE,$A321)</f>
        <v>0</v>
      </c>
      <c r="BX321" s="162">
        <f>SUMIFS(SALIDAS_BIT,FECHA_BIT,"&gt;="&amp;BX$2,FECHA_BIT,"&lt;="&amp;BX$3,CLAVE_BIT,$A321)+SUMIFS(SALIDAS_BOV1,FECHA_BOV1,"&gt;="&amp;BX$2,FECHA_BOV1,"&lt;="&amp;BX$3,CLAVE_BOV1,$A321)+SUMIFS(SALIDAS_BOV2,FECHA_BOV2,"&gt;="&amp;BX$2,FECHA_BOV2,"&lt;="&amp;BX$3,CLAVE_BOV2,$A321)+SUMIFS(SALIDAS_BOV3,FECHA_BOV3,"&gt;="&amp;BX$2,FECHA_BOV3,"&lt;="&amp;BX$3,CLAVE_BOV3,$A321)+SUMIFS(SALIDAS_TC,FECHA_TC,"&gt;="&amp;BX$2,FECHA_TC,"&lt;="&amp;BX$3,CLAVE_TC,$A321)+SUMIFS(SALIDAS_COMB,FECHA_COMB,"&gt;="&amp;BX$2,FECHA_COMB,"&lt;="&amp;BX$3,CLAVE_COMB,$A321)+SUMIFS(SALIDAS_DES,FECHA_DESGLOSEN,"&gt;="&amp;BX$2,FECHA_DESGLOSEN,"&lt;="&amp;BX$3,CLAVE_DESGLOSE,$A321)</f>
        <v>0</v>
      </c>
      <c r="BY321" s="162">
        <f>SUMIFS(SALIDAS_BIT,FECHA_BIT,"&gt;="&amp;BY$2,FECHA_BIT,"&lt;="&amp;BY$3,CLAVE_BIT,$A321)+SUMIFS(SALIDAS_BOV1,FECHA_BOV1,"&gt;="&amp;BY$2,FECHA_BOV1,"&lt;="&amp;BY$3,CLAVE_BOV1,$A321)+SUMIFS(SALIDAS_BOV2,FECHA_BOV2,"&gt;="&amp;BY$2,FECHA_BOV2,"&lt;="&amp;BY$3,CLAVE_BOV2,$A321)+SUMIFS(SALIDAS_BOV3,FECHA_BOV3,"&gt;="&amp;BY$2,FECHA_BOV3,"&lt;="&amp;BY$3,CLAVE_BOV3,$A321)+SUMIFS(SALIDAS_TC,FECHA_TC,"&gt;="&amp;BY$2,FECHA_TC,"&lt;="&amp;BY$3,CLAVE_TC,$A321)+SUMIFS(SALIDAS_COMB,FECHA_COMB,"&gt;="&amp;BY$2,FECHA_COMB,"&lt;="&amp;BY$3,CLAVE_COMB,$A321)+SUMIFS(SALIDAS_DES,FECHA_DESGLOSEN,"&gt;="&amp;BY$2,FECHA_DESGLOSEN,"&lt;="&amp;BY$3,CLAVE_DESGLOSE,$A321)</f>
        <v>0</v>
      </c>
      <c r="BZ321" s="162">
        <f>SUMIFS(SALIDAS_BIT,FECHA_BIT,"&gt;="&amp;BZ$2,FECHA_BIT,"&lt;="&amp;BZ$3,CLAVE_BIT,$A321)+SUMIFS(SALIDAS_BOV1,FECHA_BOV1,"&gt;="&amp;BZ$2,FECHA_BOV1,"&lt;="&amp;BZ$3,CLAVE_BOV1,$A321)+SUMIFS(SALIDAS_BOV2,FECHA_BOV2,"&gt;="&amp;BZ$2,FECHA_BOV2,"&lt;="&amp;BZ$3,CLAVE_BOV2,$A321)+SUMIFS(SALIDAS_BOV3,FECHA_BOV3,"&gt;="&amp;BZ$2,FECHA_BOV3,"&lt;="&amp;BZ$3,CLAVE_BOV3,$A321)+SUMIFS(SALIDAS_TC,FECHA_TC,"&gt;="&amp;BZ$2,FECHA_TC,"&lt;="&amp;BZ$3,CLAVE_TC,$A321)+SUMIFS(SALIDAS_COMB,FECHA_COMB,"&gt;="&amp;BZ$2,FECHA_COMB,"&lt;="&amp;BZ$3,CLAVE_COMB,$A321)+SUMIFS(SALIDAS_DES,FECHA_DESGLOSEN,"&gt;="&amp;BZ$2,FECHA_DESGLOSEN,"&lt;="&amp;BZ$3,CLAVE_DESGLOSE,$A321)</f>
        <v>0</v>
      </c>
      <c r="CA321" s="227">
        <f t="shared" ref="CA321:CA322" si="662">BU321-BZ321</f>
        <v>0</v>
      </c>
      <c r="CB321" s="301">
        <f t="shared" ref="CB321:CB322" si="663">IFERROR((BZ321/BU321),0)</f>
        <v>0</v>
      </c>
      <c r="CC321" s="162">
        <f>VLOOKUP($A321,T_PRESUPUESTO,MATCH(CC$6,E_PRESUPUESTO,0),FALSE)</f>
        <v>0</v>
      </c>
      <c r="CD321" s="162">
        <f>SUMIFS(SALIDAS_BIT,FECHA_BIT,"&gt;="&amp;CD$2,FECHA_BIT,"&lt;="&amp;CD$3,CLAVE_BIT,$A321)+SUMIFS(SALIDAS_BOV1,FECHA_BOV1,"&gt;="&amp;CD$2,FECHA_BOV1,"&lt;="&amp;CD$3,CLAVE_BOV1,$A321)+SUMIFS(SALIDAS_BOV2,FECHA_BOV2,"&gt;="&amp;CD$2,FECHA_BOV2,"&lt;="&amp;CD$3,CLAVE_BOV2,$A321)+SUMIFS(SALIDAS_BOV3,FECHA_BOV3,"&gt;="&amp;CD$2,FECHA_BOV3,"&lt;="&amp;CD$3,CLAVE_BOV3,$A321)+SUMIFS(SALIDAS_TC,FECHA_TC,"&gt;="&amp;CD$2,FECHA_TC,"&lt;="&amp;CD$3,CLAVE_TC,$A321)+SUMIFS(SALIDAS_COMB,FECHA_COMB,"&gt;="&amp;CD$2,FECHA_COMB,"&lt;="&amp;CD$3,CLAVE_COMB,$A321)+SUMIFS(SALIDAS_DES,FECHA_DESGLOSEN,"&gt;="&amp;CD$2,FECHA_DESGLOSEN,"&lt;="&amp;CD$3,CLAVE_DESGLOSE,$A321)</f>
        <v>0</v>
      </c>
      <c r="CE321" s="162">
        <f>SUMIFS(SALIDAS_BIT,FECHA_BIT,"&gt;="&amp;CE$2,FECHA_BIT,"&lt;="&amp;CE$3,CLAVE_BIT,$A321)+SUMIFS(SALIDAS_BOV1,FECHA_BOV1,"&gt;="&amp;CE$2,FECHA_BOV1,"&lt;="&amp;CE$3,CLAVE_BOV1,$A321)+SUMIFS(SALIDAS_BOV2,FECHA_BOV2,"&gt;="&amp;CE$2,FECHA_BOV2,"&lt;="&amp;CE$3,CLAVE_BOV2,$A321)+SUMIFS(SALIDAS_BOV3,FECHA_BOV3,"&gt;="&amp;CE$2,FECHA_BOV3,"&lt;="&amp;CE$3,CLAVE_BOV3,$A321)+SUMIFS(SALIDAS_TC,FECHA_TC,"&gt;="&amp;CE$2,FECHA_TC,"&lt;="&amp;CE$3,CLAVE_TC,$A321)+SUMIFS(SALIDAS_COMB,FECHA_COMB,"&gt;="&amp;CE$2,FECHA_COMB,"&lt;="&amp;CE$3,CLAVE_COMB,$A321)+SUMIFS(SALIDAS_DES,FECHA_DESGLOSEN,"&gt;="&amp;CE$2,FECHA_DESGLOSEN,"&lt;="&amp;CE$3,CLAVE_DESGLOSE,$A321)</f>
        <v>0</v>
      </c>
      <c r="CF321" s="162">
        <f>SUMIFS(SALIDAS_BIT,FECHA_BIT,"&gt;="&amp;CF$2,FECHA_BIT,"&lt;="&amp;CF$3,CLAVE_BIT,$A321)+SUMIFS(SALIDAS_BOV1,FECHA_BOV1,"&gt;="&amp;CF$2,FECHA_BOV1,"&lt;="&amp;CF$3,CLAVE_BOV1,$A321)+SUMIFS(SALIDAS_BOV2,FECHA_BOV2,"&gt;="&amp;CF$2,FECHA_BOV2,"&lt;="&amp;CF$3,CLAVE_BOV2,$A321)+SUMIFS(SALIDAS_BOV3,FECHA_BOV3,"&gt;="&amp;CF$2,FECHA_BOV3,"&lt;="&amp;CF$3,CLAVE_BOV3,$A321)+SUMIFS(SALIDAS_TC,FECHA_TC,"&gt;="&amp;CF$2,FECHA_TC,"&lt;="&amp;CF$3,CLAVE_TC,$A321)+SUMIFS(SALIDAS_COMB,FECHA_COMB,"&gt;="&amp;CF$2,FECHA_COMB,"&lt;="&amp;CF$3,CLAVE_COMB,$A321)+SUMIFS(SALIDAS_DES,FECHA_DESGLOSEN,"&gt;="&amp;CF$2,FECHA_DESGLOSEN,"&lt;="&amp;CF$3,CLAVE_DESGLOSE,$A321)</f>
        <v>0</v>
      </c>
      <c r="CG321" s="162">
        <f>SUMIFS(SALIDAS_BIT,FECHA_BIT,"&gt;="&amp;CG$2,FECHA_BIT,"&lt;="&amp;CG$3,CLAVE_BIT,$A321)+SUMIFS(SALIDAS_BOV1,FECHA_BOV1,"&gt;="&amp;CG$2,FECHA_BOV1,"&lt;="&amp;CG$3,CLAVE_BOV1,$A321)+SUMIFS(SALIDAS_BOV2,FECHA_BOV2,"&gt;="&amp;CG$2,FECHA_BOV2,"&lt;="&amp;CG$3,CLAVE_BOV2,$A321)+SUMIFS(SALIDAS_BOV3,FECHA_BOV3,"&gt;="&amp;CG$2,FECHA_BOV3,"&lt;="&amp;CG$3,CLAVE_BOV3,$A321)+SUMIFS(SALIDAS_TC,FECHA_TC,"&gt;="&amp;CG$2,FECHA_TC,"&lt;="&amp;CG$3,CLAVE_TC,$A321)+SUMIFS(SALIDAS_COMB,FECHA_COMB,"&gt;="&amp;CG$2,FECHA_COMB,"&lt;="&amp;CG$3,CLAVE_COMB,$A321)+SUMIFS(SALIDAS_DES,FECHA_DESGLOSEN,"&gt;="&amp;CG$2,FECHA_DESGLOSEN,"&lt;="&amp;CG$3,CLAVE_DESGLOSE,$A321)</f>
        <v>0</v>
      </c>
      <c r="CH321" s="162">
        <f>SUMIFS(SALIDAS_BIT,FECHA_BIT,"&gt;="&amp;CH$2,FECHA_BIT,"&lt;="&amp;CH$3,CLAVE_BIT,$A321)+SUMIFS(SALIDAS_BOV1,FECHA_BOV1,"&gt;="&amp;CH$2,FECHA_BOV1,"&lt;="&amp;CH$3,CLAVE_BOV1,$A321)+SUMIFS(SALIDAS_BOV2,FECHA_BOV2,"&gt;="&amp;CH$2,FECHA_BOV2,"&lt;="&amp;CH$3,CLAVE_BOV2,$A321)+SUMIFS(SALIDAS_BOV3,FECHA_BOV3,"&gt;="&amp;CH$2,FECHA_BOV3,"&lt;="&amp;CH$3,CLAVE_BOV3,$A321)+SUMIFS(SALIDAS_TC,FECHA_TC,"&gt;="&amp;CH$2,FECHA_TC,"&lt;="&amp;CH$3,CLAVE_TC,$A321)+SUMIFS(SALIDAS_COMB,FECHA_COMB,"&gt;="&amp;CH$2,FECHA_COMB,"&lt;="&amp;CH$3,CLAVE_COMB,$A321)+SUMIFS(SALIDAS_DES,FECHA_DESGLOSEN,"&gt;="&amp;CH$2,FECHA_DESGLOSEN,"&lt;="&amp;CH$3,CLAVE_DESGLOSE,$A321)</f>
        <v>0</v>
      </c>
      <c r="CI321" s="227">
        <f t="shared" ref="CI321:CI322" si="664">CC321-CH321</f>
        <v>0</v>
      </c>
      <c r="CJ321" s="301">
        <f t="shared" ref="CJ321:CJ322" si="665">IFERROR((CH321/CC321),0)</f>
        <v>0</v>
      </c>
      <c r="CK321" s="162">
        <f>VLOOKUP($A321,T_PRESUPUESTO,MATCH(CK$6,E_PRESUPUESTO,0),FALSE)</f>
        <v>0</v>
      </c>
      <c r="CL321" s="162">
        <f>SUMIFS(SALIDAS_BIT,FECHA_BIT,"&gt;="&amp;CL$2,FECHA_BIT,"&lt;="&amp;CL$3,CLAVE_BIT,$A321)+SUMIFS(SALIDAS_BOV1,FECHA_BOV1,"&gt;="&amp;CL$2,FECHA_BOV1,"&lt;="&amp;CL$3,CLAVE_BOV1,$A321)+SUMIFS(SALIDAS_BOV2,FECHA_BOV2,"&gt;="&amp;CL$2,FECHA_BOV2,"&lt;="&amp;CL$3,CLAVE_BOV2,$A321)+SUMIFS(SALIDAS_BOV3,FECHA_BOV3,"&gt;="&amp;CL$2,FECHA_BOV3,"&lt;="&amp;CL$3,CLAVE_BOV3,$A321)+SUMIFS(SALIDAS_TC,FECHA_TC,"&gt;="&amp;CL$2,FECHA_TC,"&lt;="&amp;CL$3,CLAVE_TC,$A321)+SUMIFS(SALIDAS_COMB,FECHA_COMB,"&gt;="&amp;CL$2,FECHA_COMB,"&lt;="&amp;CL$3,CLAVE_COMB,$A321)+SUMIFS(SALIDAS_DES,FECHA_DESGLOSEN,"&gt;="&amp;CL$2,FECHA_DESGLOSEN,"&lt;="&amp;CL$3,CLAVE_DESGLOSE,$A321)</f>
        <v>0</v>
      </c>
      <c r="CM321" s="162">
        <f>SUMIFS(SALIDAS_BIT,FECHA_BIT,"&gt;="&amp;CM$2,FECHA_BIT,"&lt;="&amp;CM$3,CLAVE_BIT,$A321)+SUMIFS(SALIDAS_BOV1,FECHA_BOV1,"&gt;="&amp;CM$2,FECHA_BOV1,"&lt;="&amp;CM$3,CLAVE_BOV1,$A321)+SUMIFS(SALIDAS_BOV2,FECHA_BOV2,"&gt;="&amp;CM$2,FECHA_BOV2,"&lt;="&amp;CM$3,CLAVE_BOV2,$A321)+SUMIFS(SALIDAS_BOV3,FECHA_BOV3,"&gt;="&amp;CM$2,FECHA_BOV3,"&lt;="&amp;CM$3,CLAVE_BOV3,$A321)+SUMIFS(SALIDAS_TC,FECHA_TC,"&gt;="&amp;CM$2,FECHA_TC,"&lt;="&amp;CM$3,CLAVE_TC,$A321)+SUMIFS(SALIDAS_COMB,FECHA_COMB,"&gt;="&amp;CM$2,FECHA_COMB,"&lt;="&amp;CM$3,CLAVE_COMB,$A321)+SUMIFS(SALIDAS_DES,FECHA_DESGLOSEN,"&gt;="&amp;CM$2,FECHA_DESGLOSEN,"&lt;="&amp;CM$3,CLAVE_DESGLOSE,$A321)</f>
        <v>0</v>
      </c>
      <c r="CN321" s="162">
        <f>SUMIFS(SALIDAS_BIT,FECHA_BIT,"&gt;="&amp;CN$2,FECHA_BIT,"&lt;="&amp;CN$3,CLAVE_BIT,$A321)+SUMIFS(SALIDAS_BOV1,FECHA_BOV1,"&gt;="&amp;CN$2,FECHA_BOV1,"&lt;="&amp;CN$3,CLAVE_BOV1,$A321)+SUMIFS(SALIDAS_BOV2,FECHA_BOV2,"&gt;="&amp;CN$2,FECHA_BOV2,"&lt;="&amp;CN$3,CLAVE_BOV2,$A321)+SUMIFS(SALIDAS_BOV3,FECHA_BOV3,"&gt;="&amp;CN$2,FECHA_BOV3,"&lt;="&amp;CN$3,CLAVE_BOV3,$A321)+SUMIFS(SALIDAS_TC,FECHA_TC,"&gt;="&amp;CN$2,FECHA_TC,"&lt;="&amp;CN$3,CLAVE_TC,$A321)+SUMIFS(SALIDAS_COMB,FECHA_COMB,"&gt;="&amp;CN$2,FECHA_COMB,"&lt;="&amp;CN$3,CLAVE_COMB,$A321)+SUMIFS(SALIDAS_DES,FECHA_DESGLOSEN,"&gt;="&amp;CN$2,FECHA_DESGLOSEN,"&lt;="&amp;CN$3,CLAVE_DESGLOSE,$A321)</f>
        <v>0</v>
      </c>
      <c r="CO321" s="162">
        <f>SUMIFS(SALIDAS_BIT,FECHA_BIT,"&gt;="&amp;CO$2,FECHA_BIT,"&lt;="&amp;CO$3,CLAVE_BIT,$A321)+SUMIFS(SALIDAS_BOV1,FECHA_BOV1,"&gt;="&amp;CO$2,FECHA_BOV1,"&lt;="&amp;CO$3,CLAVE_BOV1,$A321)+SUMIFS(SALIDAS_BOV2,FECHA_BOV2,"&gt;="&amp;CO$2,FECHA_BOV2,"&lt;="&amp;CO$3,CLAVE_BOV2,$A321)+SUMIFS(SALIDAS_BOV3,FECHA_BOV3,"&gt;="&amp;CO$2,FECHA_BOV3,"&lt;="&amp;CO$3,CLAVE_BOV3,$A321)+SUMIFS(SALIDAS_TC,FECHA_TC,"&gt;="&amp;CO$2,FECHA_TC,"&lt;="&amp;CO$3,CLAVE_TC,$A321)+SUMIFS(SALIDAS_COMB,FECHA_COMB,"&gt;="&amp;CO$2,FECHA_COMB,"&lt;="&amp;CO$3,CLAVE_COMB,$A321)+SUMIFS(SALIDAS_DES,FECHA_DESGLOSEN,"&gt;="&amp;CO$2,FECHA_DESGLOSEN,"&lt;="&amp;CO$3,CLAVE_DESGLOSE,$A321)</f>
        <v>0</v>
      </c>
      <c r="CP321" s="162">
        <f>SUMIFS(SALIDAS_BIT,FECHA_BIT,"&gt;="&amp;CP$2,FECHA_BIT,"&lt;="&amp;CP$3,CLAVE_BIT,$A321)+SUMIFS(SALIDAS_BOV1,FECHA_BOV1,"&gt;="&amp;CP$2,FECHA_BOV1,"&lt;="&amp;CP$3,CLAVE_BOV1,$A321)+SUMIFS(SALIDAS_BOV2,FECHA_BOV2,"&gt;="&amp;CP$2,FECHA_BOV2,"&lt;="&amp;CP$3,CLAVE_BOV2,$A321)+SUMIFS(SALIDAS_BOV3,FECHA_BOV3,"&gt;="&amp;CP$2,FECHA_BOV3,"&lt;="&amp;CP$3,CLAVE_BOV3,$A321)+SUMIFS(SALIDAS_TC,FECHA_TC,"&gt;="&amp;CP$2,FECHA_TC,"&lt;="&amp;CP$3,CLAVE_TC,$A321)+SUMIFS(SALIDAS_COMB,FECHA_COMB,"&gt;="&amp;CP$2,FECHA_COMB,"&lt;="&amp;CP$3,CLAVE_COMB,$A321)+SUMIFS(SALIDAS_DES,FECHA_DESGLOSEN,"&gt;="&amp;CP$2,FECHA_DESGLOSEN,"&lt;="&amp;CP$3,CLAVE_DESGLOSE,$A321)</f>
        <v>0</v>
      </c>
      <c r="CQ321" s="162">
        <f>SUMIFS(SALIDAS_BIT,FECHA_BIT,"&gt;="&amp;CQ$2,FECHA_BIT,"&lt;="&amp;CQ$3,CLAVE_BIT,$A321)+SUMIFS(SALIDAS_BOV1,FECHA_BOV1,"&gt;="&amp;CQ$2,FECHA_BOV1,"&lt;="&amp;CQ$3,CLAVE_BOV1,$A321)+SUMIFS(SALIDAS_BOV2,FECHA_BOV2,"&gt;="&amp;CQ$2,FECHA_BOV2,"&lt;="&amp;CQ$3,CLAVE_BOV2,$A321)+SUMIFS(SALIDAS_BOV3,FECHA_BOV3,"&gt;="&amp;CQ$2,FECHA_BOV3,"&lt;="&amp;CQ$3,CLAVE_BOV3,$A321)+SUMIFS(SALIDAS_TC,FECHA_TC,"&gt;="&amp;CQ$2,FECHA_TC,"&lt;="&amp;CQ$3,CLAVE_TC,$A321)+SUMIFS(SALIDAS_COMB,FECHA_COMB,"&gt;="&amp;CQ$2,FECHA_COMB,"&lt;="&amp;CQ$3,CLAVE_COMB,$A321)+SUMIFS(SALIDAS_DES,FECHA_DESGLOSEN,"&gt;="&amp;CQ$2,FECHA_DESGLOSEN,"&lt;="&amp;CQ$3,CLAVE_DESGLOSE,$A321)</f>
        <v>0</v>
      </c>
      <c r="CR321" s="227">
        <f t="shared" ref="CR321:CR322" si="666">CK321-CQ321</f>
        <v>0</v>
      </c>
      <c r="CS321" s="301">
        <f t="shared" ref="CS321:CS322" si="667">IFERROR((CQ321/CK321),0)</f>
        <v>0</v>
      </c>
      <c r="CT321" s="68">
        <f t="shared" si="446"/>
        <v>0</v>
      </c>
      <c r="CU321" s="13">
        <f>SUMIFS(SALIDAS_BIT,FECHA_BIT,"&gt;="&amp;CU$2,FECHA_BIT,"&lt;="&amp;CU$3,CLAVE_BIT,$A321)+SUMIFS(SALIDAS_BOV1,FECHA_BOV1,"&gt;="&amp;CU$2,FECHA_BOV1,"&lt;="&amp;CU$3,CLAVE_BOV1,$A321)+SUMIFS(SALIDAS_BOV2,FECHA_BOV2,"&gt;="&amp;CU$2,FECHA_BOV2,"&lt;="&amp;CU$3,CLAVE_BOV2,$A321)+SUMIFS(SALIDAS_BOV3,FECHA_BOV3,"&gt;="&amp;CU$2,FECHA_BOV3,"&lt;="&amp;CU$3,CLAVE_BOV3,$A321)+SUMIFS(SALIDAS_TC,FECHA_TC,"&gt;="&amp;CU$2,FECHA_TC,"&lt;="&amp;CU$3,CLAVE_TC,$A321)+SUMIFS(SALIDAS_COMB,FECHA_COMB,"&gt;="&amp;CU$2,FECHA_COMB,"&lt;="&amp;CU$3,CLAVE_COMB,$A321)+SUMIFS(SALIDAS_DES,FECHA_DESGLOSEN,"&gt;="&amp;CU$2,FECHA_DESGLOSEN,"&lt;="&amp;CU$3,CLAVE_DESGLOSE,$A321)</f>
        <v>0</v>
      </c>
      <c r="CV321" s="13">
        <f>SUMIFS(SALIDAS_BIT,FECHA_BIT,"&gt;="&amp;CV$2,FECHA_BIT,"&lt;="&amp;CV$3,CLAVE_BIT,$A321)+SUMIFS(SALIDAS_BOV1,FECHA_BOV1,"&gt;="&amp;CV$2,FECHA_BOV1,"&lt;="&amp;CV$3,CLAVE_BOV1,$A321)+SUMIFS(SALIDAS_BOV2,FECHA_BOV2,"&gt;="&amp;CV$2,FECHA_BOV2,"&lt;="&amp;CV$3,CLAVE_BOV2,$A321)+SUMIFS(SALIDAS_BOV3,FECHA_BOV3,"&gt;="&amp;CV$2,FECHA_BOV3,"&lt;="&amp;CV$3,CLAVE_BOV3,$A321)+SUMIFS(SALIDAS_TC,FECHA_TC,"&gt;="&amp;CV$2,FECHA_TC,"&lt;="&amp;CV$3,CLAVE_TC,$A321)+SUMIFS(SALIDAS_COMB,FECHA_COMB,"&gt;="&amp;CV$2,FECHA_COMB,"&lt;="&amp;CV$3,CLAVE_COMB,$A321)+SUMIFS(SALIDAS_DES,FECHA_DESGLOSEN,"&gt;="&amp;CV$2,FECHA_DESGLOSEN,"&lt;="&amp;CV$3,CLAVE_DESGLOSE,$A321)</f>
        <v>0</v>
      </c>
      <c r="CW321" s="13">
        <f>SUMIFS(SALIDAS_BIT,FECHA_BIT,"&gt;="&amp;CW$2,FECHA_BIT,"&lt;="&amp;CW$3,CLAVE_BIT,$A321)+SUMIFS(SALIDAS_BOV1,FECHA_BOV1,"&gt;="&amp;CW$2,FECHA_BOV1,"&lt;="&amp;CW$3,CLAVE_BOV1,$A321)+SUMIFS(SALIDAS_BOV2,FECHA_BOV2,"&gt;="&amp;CW$2,FECHA_BOV2,"&lt;="&amp;CW$3,CLAVE_BOV2,$A321)+SUMIFS(SALIDAS_BOV3,FECHA_BOV3,"&gt;="&amp;CW$2,FECHA_BOV3,"&lt;="&amp;CW$3,CLAVE_BOV3,$A321)+SUMIFS(SALIDAS_TC,FECHA_TC,"&gt;="&amp;CW$2,FECHA_TC,"&lt;="&amp;CW$3,CLAVE_TC,$A321)+SUMIFS(SALIDAS_COMB,FECHA_COMB,"&gt;="&amp;CW$2,FECHA_COMB,"&lt;="&amp;CW$3,CLAVE_COMB,$A321)+SUMIFS(SALIDAS_DES,FECHA_DESGLOSEN,"&gt;="&amp;CW$2,FECHA_DESGLOSEN,"&lt;="&amp;CW$3,CLAVE_DESGLOSE,$A321)</f>
        <v>0</v>
      </c>
      <c r="CX321" s="13">
        <f>SUMIFS(SALIDAS_BIT,FECHA_BIT,"&gt;="&amp;CX$2,FECHA_BIT,"&lt;="&amp;CX$3,CLAVE_BIT,$A321)+SUMIFS(SALIDAS_BOV1,FECHA_BOV1,"&gt;="&amp;CX$2,FECHA_BOV1,"&lt;="&amp;CX$3,CLAVE_BOV1,$A321)+SUMIFS(SALIDAS_BOV2,FECHA_BOV2,"&gt;="&amp;CX$2,FECHA_BOV2,"&lt;="&amp;CX$3,CLAVE_BOV2,$A321)+SUMIFS(SALIDAS_BOV3,FECHA_BOV3,"&gt;="&amp;CX$2,FECHA_BOV3,"&lt;="&amp;CX$3,CLAVE_BOV3,$A321)+SUMIFS(SALIDAS_TC,FECHA_TC,"&gt;="&amp;CX$2,FECHA_TC,"&lt;="&amp;CX$3,CLAVE_TC,$A321)+SUMIFS(SALIDAS_COMB,FECHA_COMB,"&gt;="&amp;CX$2,FECHA_COMB,"&lt;="&amp;CX$3,CLAVE_COMB,$A321)+SUMIFS(SALIDAS_DES,FECHA_DESGLOSEN,"&gt;="&amp;CX$2,FECHA_DESGLOSEN,"&lt;="&amp;CX$3,CLAVE_DESGLOSE,$A321)</f>
        <v>0</v>
      </c>
      <c r="CY321" s="13">
        <f>SUMIFS(SALIDAS_BIT,FECHA_BIT,"&gt;="&amp;CY$2,FECHA_BIT,"&lt;="&amp;CY$3,CLAVE_BIT,$A321)+SUMIFS(SALIDAS_BOV1,FECHA_BOV1,"&gt;="&amp;CY$2,FECHA_BOV1,"&lt;="&amp;CY$3,CLAVE_BOV1,$A321)+SUMIFS(SALIDAS_BOV2,FECHA_BOV2,"&gt;="&amp;CY$2,FECHA_BOV2,"&lt;="&amp;CY$3,CLAVE_BOV2,$A321)+SUMIFS(SALIDAS_BOV3,FECHA_BOV3,"&gt;="&amp;CY$2,FECHA_BOV3,"&lt;="&amp;CY$3,CLAVE_BOV3,$A321)+SUMIFS(SALIDAS_TC,FECHA_TC,"&gt;="&amp;CY$2,FECHA_TC,"&lt;="&amp;CY$3,CLAVE_TC,$A321)+SUMIFS(SALIDAS_COMB,FECHA_COMB,"&gt;="&amp;CY$2,FECHA_COMB,"&lt;="&amp;CY$3,CLAVE_COMB,$A321)+SUMIFS(SALIDAS_DES,FECHA_DESGLOSEN,"&gt;="&amp;CY$2,FECHA_DESGLOSEN,"&lt;="&amp;CY$3,CLAVE_DESGLOSE,$A321)</f>
        <v>0</v>
      </c>
      <c r="CZ321" s="68">
        <f t="shared" si="474"/>
        <v>0</v>
      </c>
      <c r="DB321" s="17">
        <f>F321+N321+W321+AE321+AM321+AV321+BD321+BL321+BU321+CC321+CK321</f>
        <v>0</v>
      </c>
      <c r="DC321" s="17">
        <f>K321+T321+AB321+AJ321+AS321+BA321+BI321+BR321+BZ321+CH321+CQ321</f>
        <v>542.1</v>
      </c>
    </row>
    <row r="322" spans="1:107" ht="15" hidden="1">
      <c r="A322" s="12" t="str">
        <f>C322&amp;D322&amp;E322</f>
        <v>MKTNOMINA ADMONMKT</v>
      </c>
      <c r="B322">
        <v>322</v>
      </c>
      <c r="C322" t="s">
        <v>19</v>
      </c>
      <c r="D322" s="12" t="s">
        <v>147</v>
      </c>
      <c r="E322" t="s">
        <v>19</v>
      </c>
      <c r="F322" s="260">
        <f>VLOOKUP($A322,T_PRESUPUESTO,MATCH(F$6,E_PRESUPUESTO,0),FALSE)</f>
        <v>0</v>
      </c>
      <c r="G322" s="162">
        <f>SUMIFS(SALIDAS_BIT,FECHA_BIT,"&gt;="&amp;G$2,FECHA_BIT,"&lt;="&amp;G$3,CLAVE_BIT,$A322)+SUMIFS(SALIDAS_BOV1,FECHA_BOV1,"&gt;="&amp;G$2,FECHA_BOV1,"&lt;="&amp;G$3,CLAVE_BOV1,$A322)+SUMIFS(SALIDAS_BOV2,FECHA_BOV2,"&gt;="&amp;G$2,FECHA_BOV2,"&lt;="&amp;G$3,CLAVE_BOV2,$A322)+SUMIFS(SALIDAS_BOV3,FECHA_BOV3,"&gt;="&amp;G$2,FECHA_BOV3,"&lt;="&amp;G$3,CLAVE_BOV3,$A322)+SUMIFS(SALIDAS_TC,FECHA_TC,"&gt;="&amp;G$2,FECHA_TC,"&lt;="&amp;G$3,CLAVE_TC,$A322)+SUMIFS(SALIDAS_COMB,FECHA_COMB,"&gt;="&amp;G$2,FECHA_COMB,"&lt;="&amp;G$3,CLAVE_COMB,$A322)+SUMIFS(SALIDAS_DES,FECHA_DESGLOSEN,"&gt;="&amp;G$2,FECHA_DESGLOSEN,"&lt;="&amp;G$3,CLAVE_DESGLOSE,$A322)</f>
        <v>0</v>
      </c>
      <c r="H322" s="162">
        <f>SUMIFS(SALIDAS_BIT,FECHA_BIT,"&gt;="&amp;H$2,FECHA_BIT,"&lt;="&amp;H$3,CLAVE_BIT,$A322)+SUMIFS(SALIDAS_BOV1,FECHA_BOV1,"&gt;="&amp;H$2,FECHA_BOV1,"&lt;="&amp;H$3,CLAVE_BOV1,$A322)+SUMIFS(SALIDAS_BOV2,FECHA_BOV2,"&gt;="&amp;H$2,FECHA_BOV2,"&lt;="&amp;H$3,CLAVE_BOV2,$A322)+SUMIFS(SALIDAS_BOV3,FECHA_BOV3,"&gt;="&amp;H$2,FECHA_BOV3,"&lt;="&amp;H$3,CLAVE_BOV3,$A322)+SUMIFS(SALIDAS_TC,FECHA_TC,"&gt;="&amp;H$2,FECHA_TC,"&lt;="&amp;H$3,CLAVE_TC,$A322)+SUMIFS(SALIDAS_COMB,FECHA_COMB,"&gt;="&amp;H$2,FECHA_COMB,"&lt;="&amp;H$3,CLAVE_COMB,$A322)+SUMIFS(SALIDAS_DES,FECHA_DESGLOSEN,"&gt;="&amp;H$2,FECHA_DESGLOSEN,"&lt;="&amp;H$3,CLAVE_DESGLOSE,$A322)</f>
        <v>0</v>
      </c>
      <c r="I322" s="162">
        <f>SUMIFS(SALIDAS_BIT,FECHA_BIT,"&gt;="&amp;I$2,FECHA_BIT,"&lt;="&amp;I$3,CLAVE_BIT,$A322)+SUMIFS(SALIDAS_BOV1,FECHA_BOV1,"&gt;="&amp;I$2,FECHA_BOV1,"&lt;="&amp;I$3,CLAVE_BOV1,$A322)+SUMIFS(SALIDAS_BOV2,FECHA_BOV2,"&gt;="&amp;I$2,FECHA_BOV2,"&lt;="&amp;I$3,CLAVE_BOV2,$A322)+SUMIFS(SALIDAS_BOV3,FECHA_BOV3,"&gt;="&amp;I$2,FECHA_BOV3,"&lt;="&amp;I$3,CLAVE_BOV3,$A322)+SUMIFS(SALIDAS_TC,FECHA_TC,"&gt;="&amp;I$2,FECHA_TC,"&lt;="&amp;I$3,CLAVE_TC,$A322)+SUMIFS(SALIDAS_COMB,FECHA_COMB,"&gt;="&amp;I$2,FECHA_COMB,"&lt;="&amp;I$3,CLAVE_COMB,$A322)+SUMIFS(SALIDAS_DES,FECHA_DESGLOSEN,"&gt;="&amp;I$2,FECHA_DESGLOSEN,"&lt;="&amp;I$3,CLAVE_DESGLOSE,$A322)</f>
        <v>0</v>
      </c>
      <c r="J322" s="162">
        <f>SUMIFS(SALIDAS_BIT,FECHA_BIT,"&gt;="&amp;J$2,FECHA_BIT,"&lt;="&amp;J$3,CLAVE_BIT,$A322)+SUMIFS(SALIDAS_BOV1,FECHA_BOV1,"&gt;="&amp;J$2,FECHA_BOV1,"&lt;="&amp;J$3,CLAVE_BOV1,$A322)+SUMIFS(SALIDAS_BOV2,FECHA_BOV2,"&gt;="&amp;J$2,FECHA_BOV2,"&lt;="&amp;J$3,CLAVE_BOV2,$A322)+SUMIFS(SALIDAS_BOV3,FECHA_BOV3,"&gt;="&amp;J$2,FECHA_BOV3,"&lt;="&amp;J$3,CLAVE_BOV3,$A322)+SUMIFS(SALIDAS_TC,FECHA_TC,"&gt;="&amp;J$2,FECHA_TC,"&lt;="&amp;J$3,CLAVE_TC,$A322)+SUMIFS(SALIDAS_COMB,FECHA_COMB,"&gt;="&amp;J$2,FECHA_COMB,"&lt;="&amp;J$3,CLAVE_COMB,$A322)+SUMIFS(SALIDAS_DES,FECHA_DESGLOSEN,"&gt;="&amp;J$2,FECHA_DESGLOSEN,"&lt;="&amp;J$3,CLAVE_DESGLOSE,$A322)</f>
        <v>0</v>
      </c>
      <c r="K322" s="162">
        <f>SUMIFS(SALIDAS_BIT,FECHA_BIT,"&gt;="&amp;K$2,FECHA_BIT,"&lt;="&amp;K$3,CLAVE_BIT,$A322)+SUMIFS(SALIDAS_BOV1,FECHA_BOV1,"&gt;="&amp;K$2,FECHA_BOV1,"&lt;="&amp;K$3,CLAVE_BOV1,$A322)+SUMIFS(SALIDAS_BOV2,FECHA_BOV2,"&gt;="&amp;K$2,FECHA_BOV2,"&lt;="&amp;K$3,CLAVE_BOV2,$A322)+SUMIFS(SALIDAS_BOV3,FECHA_BOV3,"&gt;="&amp;K$2,FECHA_BOV3,"&lt;="&amp;K$3,CLAVE_BOV3,$A322)+SUMIFS(SALIDAS_TC,FECHA_TC,"&gt;="&amp;K$2,FECHA_TC,"&lt;="&amp;K$3,CLAVE_TC,$A322)+SUMIFS(SALIDAS_COMB,FECHA_COMB,"&gt;="&amp;K$2,FECHA_COMB,"&lt;="&amp;K$3,CLAVE_COMB,$A322)+SUMIFS(SALIDAS_DES,FECHA_DESGLOSEN,"&gt;="&amp;K$2,FECHA_DESGLOSEN,"&lt;="&amp;K$3,CLAVE_DESGLOSE,$A322)</f>
        <v>0</v>
      </c>
      <c r="L322" s="227">
        <f t="shared" si="646"/>
        <v>0</v>
      </c>
      <c r="M322" s="301">
        <f t="shared" si="647"/>
        <v>0</v>
      </c>
      <c r="N322" s="162">
        <f>VLOOKUP($A322,T_PRESUPUESTO,MATCH(N$6,E_PRESUPUESTO,0),FALSE)</f>
        <v>0</v>
      </c>
      <c r="O322" s="162">
        <f>SUMIFS(SALIDAS_BIT,FECHA_BIT,"&gt;="&amp;O$2,FECHA_BIT,"&lt;="&amp;O$3,CLAVE_BIT,$A322)+SUMIFS(SALIDAS_BOV1,FECHA_BOV1,"&gt;="&amp;O$2,FECHA_BOV1,"&lt;="&amp;O$3,CLAVE_BOV1,$A322)+SUMIFS(SALIDAS_BOV2,FECHA_BOV2,"&gt;="&amp;O$2,FECHA_BOV2,"&lt;="&amp;O$3,CLAVE_BOV2,$A322)+SUMIFS(SALIDAS_BOV3,FECHA_BOV3,"&gt;="&amp;O$2,FECHA_BOV3,"&lt;="&amp;O$3,CLAVE_BOV3,$A322)+SUMIFS(SALIDAS_TC,FECHA_TC,"&gt;="&amp;O$2,FECHA_TC,"&lt;="&amp;O$3,CLAVE_TC,$A322)+SUMIFS(SALIDAS_COMB,FECHA_COMB,"&gt;="&amp;O$2,FECHA_COMB,"&lt;="&amp;O$3,CLAVE_COMB,$A322)+SUMIFS(SALIDAS_DES,FECHA_DESGLOSEN,"&gt;="&amp;O$2,FECHA_DESGLOSEN,"&lt;="&amp;O$3,CLAVE_DESGLOSE,$A322)</f>
        <v>0</v>
      </c>
      <c r="P322" s="162">
        <f>SUMIFS(SALIDAS_BIT,FECHA_BIT,"&gt;="&amp;P$2,FECHA_BIT,"&lt;="&amp;P$3,CLAVE_BIT,$A322)+SUMIFS(SALIDAS_BOV1,FECHA_BOV1,"&gt;="&amp;P$2,FECHA_BOV1,"&lt;="&amp;P$3,CLAVE_BOV1,$A322)+SUMIFS(SALIDAS_BOV2,FECHA_BOV2,"&gt;="&amp;P$2,FECHA_BOV2,"&lt;="&amp;P$3,CLAVE_BOV2,$A322)+SUMIFS(SALIDAS_BOV3,FECHA_BOV3,"&gt;="&amp;P$2,FECHA_BOV3,"&lt;="&amp;P$3,CLAVE_BOV3,$A322)+SUMIFS(SALIDAS_TC,FECHA_TC,"&gt;="&amp;P$2,FECHA_TC,"&lt;="&amp;P$3,CLAVE_TC,$A322)+SUMIFS(SALIDAS_COMB,FECHA_COMB,"&gt;="&amp;P$2,FECHA_COMB,"&lt;="&amp;P$3,CLAVE_COMB,$A322)+SUMIFS(SALIDAS_DES,FECHA_DESGLOSEN,"&gt;="&amp;P$2,FECHA_DESGLOSEN,"&lt;="&amp;P$3,CLAVE_DESGLOSE,$A322)</f>
        <v>0</v>
      </c>
      <c r="Q322" s="162">
        <f>SUMIFS(SALIDAS_BIT,FECHA_BIT,"&gt;="&amp;Q$2,FECHA_BIT,"&lt;="&amp;Q$3,CLAVE_BIT,$A322)+SUMIFS(SALIDAS_BOV1,FECHA_BOV1,"&gt;="&amp;Q$2,FECHA_BOV1,"&lt;="&amp;Q$3,CLAVE_BOV1,$A322)+SUMIFS(SALIDAS_BOV2,FECHA_BOV2,"&gt;="&amp;Q$2,FECHA_BOV2,"&lt;="&amp;Q$3,CLAVE_BOV2,$A322)+SUMIFS(SALIDAS_BOV3,FECHA_BOV3,"&gt;="&amp;Q$2,FECHA_BOV3,"&lt;="&amp;Q$3,CLAVE_BOV3,$A322)+SUMIFS(SALIDAS_TC,FECHA_TC,"&gt;="&amp;Q$2,FECHA_TC,"&lt;="&amp;Q$3,CLAVE_TC,$A322)+SUMIFS(SALIDAS_COMB,FECHA_COMB,"&gt;="&amp;Q$2,FECHA_COMB,"&lt;="&amp;Q$3,CLAVE_COMB,$A322)+SUMIFS(SALIDAS_DES,FECHA_DESGLOSEN,"&gt;="&amp;Q$2,FECHA_DESGLOSEN,"&lt;="&amp;Q$3,CLAVE_DESGLOSE,$A322)</f>
        <v>0</v>
      </c>
      <c r="R322" s="162">
        <f>SUMIFS(SALIDAS_BIT,FECHA_BIT,"&gt;="&amp;R$2,FECHA_BIT,"&lt;="&amp;R$3,CLAVE_BIT,$A322)+SUMIFS(SALIDAS_BOV1,FECHA_BOV1,"&gt;="&amp;R$2,FECHA_BOV1,"&lt;="&amp;R$3,CLAVE_BOV1,$A322)+SUMIFS(SALIDAS_BOV2,FECHA_BOV2,"&gt;="&amp;R$2,FECHA_BOV2,"&lt;="&amp;R$3,CLAVE_BOV2,$A322)+SUMIFS(SALIDAS_BOV3,FECHA_BOV3,"&gt;="&amp;R$2,FECHA_BOV3,"&lt;="&amp;R$3,CLAVE_BOV3,$A322)+SUMIFS(SALIDAS_TC,FECHA_TC,"&gt;="&amp;R$2,FECHA_TC,"&lt;="&amp;R$3,CLAVE_TC,$A322)+SUMIFS(SALIDAS_COMB,FECHA_COMB,"&gt;="&amp;R$2,FECHA_COMB,"&lt;="&amp;R$3,CLAVE_COMB,$A322)+SUMIFS(SALIDAS_DES,FECHA_DESGLOSEN,"&gt;="&amp;R$2,FECHA_DESGLOSEN,"&lt;="&amp;R$3,CLAVE_DESGLOSE,$A322)</f>
        <v>0</v>
      </c>
      <c r="S322" s="162">
        <f>SUMIFS(SALIDAS_BIT,FECHA_BIT,"&gt;="&amp;S$2,FECHA_BIT,"&lt;="&amp;S$3,CLAVE_BIT,$A322)+SUMIFS(SALIDAS_BOV1,FECHA_BOV1,"&gt;="&amp;S$2,FECHA_BOV1,"&lt;="&amp;S$3,CLAVE_BOV1,$A322)+SUMIFS(SALIDAS_BOV2,FECHA_BOV2,"&gt;="&amp;S$2,FECHA_BOV2,"&lt;="&amp;S$3,CLAVE_BOV2,$A322)+SUMIFS(SALIDAS_BOV3,FECHA_BOV3,"&gt;="&amp;S$2,FECHA_BOV3,"&lt;="&amp;S$3,CLAVE_BOV3,$A322)+SUMIFS(SALIDAS_TC,FECHA_TC,"&gt;="&amp;S$2,FECHA_TC,"&lt;="&amp;S$3,CLAVE_TC,$A322)+SUMIFS(SALIDAS_COMB,FECHA_COMB,"&gt;="&amp;S$2,FECHA_COMB,"&lt;="&amp;S$3,CLAVE_COMB,$A322)+SUMIFS(SALIDAS_DES,FECHA_DESGLOSEN,"&gt;="&amp;S$2,FECHA_DESGLOSEN,"&lt;="&amp;S$3,CLAVE_DESGLOSE,$A322)</f>
        <v>0</v>
      </c>
      <c r="T322" s="162">
        <f>SUMIFS(SALIDAS_BIT,FECHA_BIT,"&gt;="&amp;T$2,FECHA_BIT,"&lt;="&amp;T$3,CLAVE_BIT,$A322)+SUMIFS(SALIDAS_BOV1,FECHA_BOV1,"&gt;="&amp;T$2,FECHA_BOV1,"&lt;="&amp;T$3,CLAVE_BOV1,$A322)+SUMIFS(SALIDAS_BOV2,FECHA_BOV2,"&gt;="&amp;T$2,FECHA_BOV2,"&lt;="&amp;T$3,CLAVE_BOV2,$A322)+SUMIFS(SALIDAS_BOV3,FECHA_BOV3,"&gt;="&amp;T$2,FECHA_BOV3,"&lt;="&amp;T$3,CLAVE_BOV3,$A322)+SUMIFS(SALIDAS_TC,FECHA_TC,"&gt;="&amp;T$2,FECHA_TC,"&lt;="&amp;T$3,CLAVE_TC,$A322)+SUMIFS(SALIDAS_COMB,FECHA_COMB,"&gt;="&amp;T$2,FECHA_COMB,"&lt;="&amp;T$3,CLAVE_COMB,$A322)+SUMIFS(SALIDAS_DES,FECHA_DESGLOSEN,"&gt;="&amp;T$2,FECHA_DESGLOSEN,"&lt;="&amp;T$3,CLAVE_DESGLOSE,$A322)</f>
        <v>0</v>
      </c>
      <c r="U322" s="227">
        <f t="shared" si="648"/>
        <v>0</v>
      </c>
      <c r="V322" s="301">
        <f t="shared" si="649"/>
        <v>0</v>
      </c>
      <c r="W322" s="162">
        <f>VLOOKUP($A322,T_PRESUPUESTO,MATCH(W$6,E_PRESUPUESTO,0),FALSE)</f>
        <v>0</v>
      </c>
      <c r="X322" s="162">
        <f>SUMIFS(SALIDAS_BIT,FECHA_BIT,"&gt;="&amp;X$2,FECHA_BIT,"&lt;="&amp;X$3,CLAVE_BIT,$A322)+SUMIFS(SALIDAS_BOV1,FECHA_BOV1,"&gt;="&amp;X$2,FECHA_BOV1,"&lt;="&amp;X$3,CLAVE_BOV1,$A322)+SUMIFS(SALIDAS_BOV2,FECHA_BOV2,"&gt;="&amp;X$2,FECHA_BOV2,"&lt;="&amp;X$3,CLAVE_BOV2,$A322)+SUMIFS(SALIDAS_BOV3,FECHA_BOV3,"&gt;="&amp;X$2,FECHA_BOV3,"&lt;="&amp;X$3,CLAVE_BOV3,$A322)+SUMIFS(SALIDAS_TC,FECHA_TC,"&gt;="&amp;X$2,FECHA_TC,"&lt;="&amp;X$3,CLAVE_TC,$A322)+SUMIFS(SALIDAS_COMB,FECHA_COMB,"&gt;="&amp;X$2,FECHA_COMB,"&lt;="&amp;X$3,CLAVE_COMB,$A322)+SUMIFS(SALIDAS_DES,FECHA_DESGLOSEN,"&gt;="&amp;X$2,FECHA_DESGLOSEN,"&lt;="&amp;X$3,CLAVE_DESGLOSE,$A322)</f>
        <v>0</v>
      </c>
      <c r="Y322" s="162">
        <f>SUMIFS(SALIDAS_BIT,FECHA_BIT,"&gt;="&amp;Y$2,FECHA_BIT,"&lt;="&amp;Y$3,CLAVE_BIT,$A322)+SUMIFS(SALIDAS_BOV1,FECHA_BOV1,"&gt;="&amp;Y$2,FECHA_BOV1,"&lt;="&amp;Y$3,CLAVE_BOV1,$A322)+SUMIFS(SALIDAS_BOV2,FECHA_BOV2,"&gt;="&amp;Y$2,FECHA_BOV2,"&lt;="&amp;Y$3,CLAVE_BOV2,$A322)+SUMIFS(SALIDAS_BOV3,FECHA_BOV3,"&gt;="&amp;Y$2,FECHA_BOV3,"&lt;="&amp;Y$3,CLAVE_BOV3,$A322)+SUMIFS(SALIDAS_TC,FECHA_TC,"&gt;="&amp;Y$2,FECHA_TC,"&lt;="&amp;Y$3,CLAVE_TC,$A322)+SUMIFS(SALIDAS_COMB,FECHA_COMB,"&gt;="&amp;Y$2,FECHA_COMB,"&lt;="&amp;Y$3,CLAVE_COMB,$A322)+SUMIFS(SALIDAS_DES,FECHA_DESGLOSEN,"&gt;="&amp;Y$2,FECHA_DESGLOSEN,"&lt;="&amp;Y$3,CLAVE_DESGLOSE,$A322)</f>
        <v>0</v>
      </c>
      <c r="Z322" s="162">
        <f>SUMIFS(SALIDAS_BIT,FECHA_BIT,"&gt;="&amp;Z$2,FECHA_BIT,"&lt;="&amp;Z$3,CLAVE_BIT,$A322)+SUMIFS(SALIDAS_BOV1,FECHA_BOV1,"&gt;="&amp;Z$2,FECHA_BOV1,"&lt;="&amp;Z$3,CLAVE_BOV1,$A322)+SUMIFS(SALIDAS_BOV2,FECHA_BOV2,"&gt;="&amp;Z$2,FECHA_BOV2,"&lt;="&amp;Z$3,CLAVE_BOV2,$A322)+SUMIFS(SALIDAS_BOV3,FECHA_BOV3,"&gt;="&amp;Z$2,FECHA_BOV3,"&lt;="&amp;Z$3,CLAVE_BOV3,$A322)+SUMIFS(SALIDAS_TC,FECHA_TC,"&gt;="&amp;Z$2,FECHA_TC,"&lt;="&amp;Z$3,CLAVE_TC,$A322)+SUMIFS(SALIDAS_COMB,FECHA_COMB,"&gt;="&amp;Z$2,FECHA_COMB,"&lt;="&amp;Z$3,CLAVE_COMB,$A322)+SUMIFS(SALIDAS_DES,FECHA_DESGLOSEN,"&gt;="&amp;Z$2,FECHA_DESGLOSEN,"&lt;="&amp;Z$3,CLAVE_DESGLOSE,$A322)</f>
        <v>0</v>
      </c>
      <c r="AA322" s="162">
        <f>SUMIFS(SALIDAS_BIT,FECHA_BIT,"&gt;="&amp;AA$2,FECHA_BIT,"&lt;="&amp;AA$3,CLAVE_BIT,$A322)+SUMIFS(SALIDAS_BOV1,FECHA_BOV1,"&gt;="&amp;AA$2,FECHA_BOV1,"&lt;="&amp;AA$3,CLAVE_BOV1,$A322)+SUMIFS(SALIDAS_BOV2,FECHA_BOV2,"&gt;="&amp;AA$2,FECHA_BOV2,"&lt;="&amp;AA$3,CLAVE_BOV2,$A322)+SUMIFS(SALIDAS_BOV3,FECHA_BOV3,"&gt;="&amp;AA$2,FECHA_BOV3,"&lt;="&amp;AA$3,CLAVE_BOV3,$A322)+SUMIFS(SALIDAS_TC,FECHA_TC,"&gt;="&amp;AA$2,FECHA_TC,"&lt;="&amp;AA$3,CLAVE_TC,$A322)+SUMIFS(SALIDAS_COMB,FECHA_COMB,"&gt;="&amp;AA$2,FECHA_COMB,"&lt;="&amp;AA$3,CLAVE_COMB,$A322)+SUMIFS(SALIDAS_DES,FECHA_DESGLOSEN,"&gt;="&amp;AA$2,FECHA_DESGLOSEN,"&lt;="&amp;AA$3,CLAVE_DESGLOSE,$A322)</f>
        <v>0</v>
      </c>
      <c r="AB322" s="162">
        <f>SUMIFS(SALIDAS_BIT,FECHA_BIT,"&gt;="&amp;AB$2,FECHA_BIT,"&lt;="&amp;AB$3,CLAVE_BIT,$A322)+SUMIFS(SALIDAS_BOV1,FECHA_BOV1,"&gt;="&amp;AB$2,FECHA_BOV1,"&lt;="&amp;AB$3,CLAVE_BOV1,$A322)+SUMIFS(SALIDAS_BOV2,FECHA_BOV2,"&gt;="&amp;AB$2,FECHA_BOV2,"&lt;="&amp;AB$3,CLAVE_BOV2,$A322)+SUMIFS(SALIDAS_BOV3,FECHA_BOV3,"&gt;="&amp;AB$2,FECHA_BOV3,"&lt;="&amp;AB$3,CLAVE_BOV3,$A322)+SUMIFS(SALIDAS_TC,FECHA_TC,"&gt;="&amp;AB$2,FECHA_TC,"&lt;="&amp;AB$3,CLAVE_TC,$A322)+SUMIFS(SALIDAS_COMB,FECHA_COMB,"&gt;="&amp;AB$2,FECHA_COMB,"&lt;="&amp;AB$3,CLAVE_COMB,$A322)+SUMIFS(SALIDAS_DES,FECHA_DESGLOSEN,"&gt;="&amp;AB$2,FECHA_DESGLOSEN,"&lt;="&amp;AB$3,CLAVE_DESGLOSE,$A322)</f>
        <v>0</v>
      </c>
      <c r="AC322" s="227">
        <f t="shared" si="650"/>
        <v>0</v>
      </c>
      <c r="AD322" s="301">
        <f t="shared" si="651"/>
        <v>0</v>
      </c>
      <c r="AE322" s="162">
        <f>VLOOKUP($A322,T_PRESUPUESTO,MATCH(AE$6,E_PRESUPUESTO,0),FALSE)</f>
        <v>0</v>
      </c>
      <c r="AF322" s="162">
        <f>SUMIFS(SALIDAS_BIT,FECHA_BIT,"&gt;="&amp;AF$2,FECHA_BIT,"&lt;="&amp;AF$3,CLAVE_BIT,$A322)+SUMIFS(SALIDAS_BOV1,FECHA_BOV1,"&gt;="&amp;AF$2,FECHA_BOV1,"&lt;="&amp;AF$3,CLAVE_BOV1,$A322)+SUMIFS(SALIDAS_BOV2,FECHA_BOV2,"&gt;="&amp;AF$2,FECHA_BOV2,"&lt;="&amp;AF$3,CLAVE_BOV2,$A322)+SUMIFS(SALIDAS_BOV3,FECHA_BOV3,"&gt;="&amp;AF$2,FECHA_BOV3,"&lt;="&amp;AF$3,CLAVE_BOV3,$A322)+SUMIFS(SALIDAS_TC,FECHA_TC,"&gt;="&amp;AF$2,FECHA_TC,"&lt;="&amp;AF$3,CLAVE_TC,$A322)+SUMIFS(SALIDAS_COMB,FECHA_COMB,"&gt;="&amp;AF$2,FECHA_COMB,"&lt;="&amp;AF$3,CLAVE_COMB,$A322)+SUMIFS(SALIDAS_DES,FECHA_DESGLOSEN,"&gt;="&amp;AF$2,FECHA_DESGLOSEN,"&lt;="&amp;AF$3,CLAVE_DESGLOSE,$A322)</f>
        <v>0</v>
      </c>
      <c r="AG322" s="162">
        <f>SUMIFS(SALIDAS_BIT,FECHA_BIT,"&gt;="&amp;AG$2,FECHA_BIT,"&lt;="&amp;AG$3,CLAVE_BIT,$A322)+SUMIFS(SALIDAS_BOV1,FECHA_BOV1,"&gt;="&amp;AG$2,FECHA_BOV1,"&lt;="&amp;AG$3,CLAVE_BOV1,$A322)+SUMIFS(SALIDAS_BOV2,FECHA_BOV2,"&gt;="&amp;AG$2,FECHA_BOV2,"&lt;="&amp;AG$3,CLAVE_BOV2,$A322)+SUMIFS(SALIDAS_BOV3,FECHA_BOV3,"&gt;="&amp;AG$2,FECHA_BOV3,"&lt;="&amp;AG$3,CLAVE_BOV3,$A322)+SUMIFS(SALIDAS_TC,FECHA_TC,"&gt;="&amp;AG$2,FECHA_TC,"&lt;="&amp;AG$3,CLAVE_TC,$A322)+SUMIFS(SALIDAS_COMB,FECHA_COMB,"&gt;="&amp;AG$2,FECHA_COMB,"&lt;="&amp;AG$3,CLAVE_COMB,$A322)+SUMIFS(SALIDAS_DES,FECHA_DESGLOSEN,"&gt;="&amp;AG$2,FECHA_DESGLOSEN,"&lt;="&amp;AG$3,CLAVE_DESGLOSE,$A322)</f>
        <v>0</v>
      </c>
      <c r="AH322" s="162">
        <f>SUMIFS(SALIDAS_BIT,FECHA_BIT,"&gt;="&amp;AH$2,FECHA_BIT,"&lt;="&amp;AH$3,CLAVE_BIT,$A322)+SUMIFS(SALIDAS_BOV1,FECHA_BOV1,"&gt;="&amp;AH$2,FECHA_BOV1,"&lt;="&amp;AH$3,CLAVE_BOV1,$A322)+SUMIFS(SALIDAS_BOV2,FECHA_BOV2,"&gt;="&amp;AH$2,FECHA_BOV2,"&lt;="&amp;AH$3,CLAVE_BOV2,$A322)+SUMIFS(SALIDAS_BOV3,FECHA_BOV3,"&gt;="&amp;AH$2,FECHA_BOV3,"&lt;="&amp;AH$3,CLAVE_BOV3,$A322)+SUMIFS(SALIDAS_TC,FECHA_TC,"&gt;="&amp;AH$2,FECHA_TC,"&lt;="&amp;AH$3,CLAVE_TC,$A322)+SUMIFS(SALIDAS_COMB,FECHA_COMB,"&gt;="&amp;AH$2,FECHA_COMB,"&lt;="&amp;AH$3,CLAVE_COMB,$A322)+SUMIFS(SALIDAS_DES,FECHA_DESGLOSEN,"&gt;="&amp;AH$2,FECHA_DESGLOSEN,"&lt;="&amp;AH$3,CLAVE_DESGLOSE,$A322)</f>
        <v>0</v>
      </c>
      <c r="AI322" s="162">
        <f>SUMIFS(SALIDAS_BIT,FECHA_BIT,"&gt;="&amp;AI$2,FECHA_BIT,"&lt;="&amp;AI$3,CLAVE_BIT,$A322)+SUMIFS(SALIDAS_BOV1,FECHA_BOV1,"&gt;="&amp;AI$2,FECHA_BOV1,"&lt;="&amp;AI$3,CLAVE_BOV1,$A322)+SUMIFS(SALIDAS_BOV2,FECHA_BOV2,"&gt;="&amp;AI$2,FECHA_BOV2,"&lt;="&amp;AI$3,CLAVE_BOV2,$A322)+SUMIFS(SALIDAS_BOV3,FECHA_BOV3,"&gt;="&amp;AI$2,FECHA_BOV3,"&lt;="&amp;AI$3,CLAVE_BOV3,$A322)+SUMIFS(SALIDAS_TC,FECHA_TC,"&gt;="&amp;AI$2,FECHA_TC,"&lt;="&amp;AI$3,CLAVE_TC,$A322)+SUMIFS(SALIDAS_COMB,FECHA_COMB,"&gt;="&amp;AI$2,FECHA_COMB,"&lt;="&amp;AI$3,CLAVE_COMB,$A322)+SUMIFS(SALIDAS_DES,FECHA_DESGLOSEN,"&gt;="&amp;AI$2,FECHA_DESGLOSEN,"&lt;="&amp;AI$3,CLAVE_DESGLOSE,$A322)</f>
        <v>0</v>
      </c>
      <c r="AJ322" s="162">
        <f>SUMIFS(SALIDAS_BIT,FECHA_BIT,"&gt;="&amp;AJ$2,FECHA_BIT,"&lt;="&amp;AJ$3,CLAVE_BIT,$A322)+SUMIFS(SALIDAS_BOV1,FECHA_BOV1,"&gt;="&amp;AJ$2,FECHA_BOV1,"&lt;="&amp;AJ$3,CLAVE_BOV1,$A322)+SUMIFS(SALIDAS_BOV2,FECHA_BOV2,"&gt;="&amp;AJ$2,FECHA_BOV2,"&lt;="&amp;AJ$3,CLAVE_BOV2,$A322)+SUMIFS(SALIDAS_BOV3,FECHA_BOV3,"&gt;="&amp;AJ$2,FECHA_BOV3,"&lt;="&amp;AJ$3,CLAVE_BOV3,$A322)+SUMIFS(SALIDAS_TC,FECHA_TC,"&gt;="&amp;AJ$2,FECHA_TC,"&lt;="&amp;AJ$3,CLAVE_TC,$A322)+SUMIFS(SALIDAS_COMB,FECHA_COMB,"&gt;="&amp;AJ$2,FECHA_COMB,"&lt;="&amp;AJ$3,CLAVE_COMB,$A322)+SUMIFS(SALIDAS_DES,FECHA_DESGLOSEN,"&gt;="&amp;AJ$2,FECHA_DESGLOSEN,"&lt;="&amp;AJ$3,CLAVE_DESGLOSE,$A322)</f>
        <v>0</v>
      </c>
      <c r="AK322" s="227">
        <f t="shared" si="652"/>
        <v>0</v>
      </c>
      <c r="AL322" s="301">
        <f t="shared" si="653"/>
        <v>0</v>
      </c>
      <c r="AM322" s="162">
        <f>VLOOKUP($A322,T_PRESUPUESTO,MATCH(AM$6,E_PRESUPUESTO,0),FALSE)</f>
        <v>0</v>
      </c>
      <c r="AN322" s="162">
        <f>SUMIFS(SALIDAS_BIT,FECHA_BIT,"&gt;="&amp;AN$2,FECHA_BIT,"&lt;="&amp;AN$3,CLAVE_BIT,$A322)+SUMIFS(SALIDAS_BOV1,FECHA_BOV1,"&gt;="&amp;AN$2,FECHA_BOV1,"&lt;="&amp;AN$3,CLAVE_BOV1,$A322)+SUMIFS(SALIDAS_BOV2,FECHA_BOV2,"&gt;="&amp;AN$2,FECHA_BOV2,"&lt;="&amp;AN$3,CLAVE_BOV2,$A322)+SUMIFS(SALIDAS_BOV3,FECHA_BOV3,"&gt;="&amp;AN$2,FECHA_BOV3,"&lt;="&amp;AN$3,CLAVE_BOV3,$A322)+SUMIFS(SALIDAS_TC,FECHA_TC,"&gt;="&amp;AN$2,FECHA_TC,"&lt;="&amp;AN$3,CLAVE_TC,$A322)+SUMIFS(SALIDAS_COMB,FECHA_COMB,"&gt;="&amp;AN$2,FECHA_COMB,"&lt;="&amp;AN$3,CLAVE_COMB,$A322)+SUMIFS(SALIDAS_DES,FECHA_DESGLOSEN,"&gt;="&amp;AN$2,FECHA_DESGLOSEN,"&lt;="&amp;AN$3,CLAVE_DESGLOSE,$A322)</f>
        <v>0</v>
      </c>
      <c r="AO322" s="162">
        <f>SUMIFS(SALIDAS_BIT,FECHA_BIT,"&gt;="&amp;AO$2,FECHA_BIT,"&lt;="&amp;AO$3,CLAVE_BIT,$A322)+SUMIFS(SALIDAS_BOV1,FECHA_BOV1,"&gt;="&amp;AO$2,FECHA_BOV1,"&lt;="&amp;AO$3,CLAVE_BOV1,$A322)+SUMIFS(SALIDAS_BOV2,FECHA_BOV2,"&gt;="&amp;AO$2,FECHA_BOV2,"&lt;="&amp;AO$3,CLAVE_BOV2,$A322)+SUMIFS(SALIDAS_BOV3,FECHA_BOV3,"&gt;="&amp;AO$2,FECHA_BOV3,"&lt;="&amp;AO$3,CLAVE_BOV3,$A322)+SUMIFS(SALIDAS_TC,FECHA_TC,"&gt;="&amp;AO$2,FECHA_TC,"&lt;="&amp;AO$3,CLAVE_TC,$A322)+SUMIFS(SALIDAS_COMB,FECHA_COMB,"&gt;="&amp;AO$2,FECHA_COMB,"&lt;="&amp;AO$3,CLAVE_COMB,$A322)+SUMIFS(SALIDAS_DES,FECHA_DESGLOSEN,"&gt;="&amp;AO$2,FECHA_DESGLOSEN,"&lt;="&amp;AO$3,CLAVE_DESGLOSE,$A322)</f>
        <v>0</v>
      </c>
      <c r="AP322" s="162">
        <f>SUMIFS(SALIDAS_BIT,FECHA_BIT,"&gt;="&amp;AP$2,FECHA_BIT,"&lt;="&amp;AP$3,CLAVE_BIT,$A322)+SUMIFS(SALIDAS_BOV1,FECHA_BOV1,"&gt;="&amp;AP$2,FECHA_BOV1,"&lt;="&amp;AP$3,CLAVE_BOV1,$A322)+SUMIFS(SALIDAS_BOV2,FECHA_BOV2,"&gt;="&amp;AP$2,FECHA_BOV2,"&lt;="&amp;AP$3,CLAVE_BOV2,$A322)+SUMIFS(SALIDAS_BOV3,FECHA_BOV3,"&gt;="&amp;AP$2,FECHA_BOV3,"&lt;="&amp;AP$3,CLAVE_BOV3,$A322)+SUMIFS(SALIDAS_TC,FECHA_TC,"&gt;="&amp;AP$2,FECHA_TC,"&lt;="&amp;AP$3,CLAVE_TC,$A322)+SUMIFS(SALIDAS_COMB,FECHA_COMB,"&gt;="&amp;AP$2,FECHA_COMB,"&lt;="&amp;AP$3,CLAVE_COMB,$A322)+SUMIFS(SALIDAS_DES,FECHA_DESGLOSEN,"&gt;="&amp;AP$2,FECHA_DESGLOSEN,"&lt;="&amp;AP$3,CLAVE_DESGLOSE,$A322)</f>
        <v>0</v>
      </c>
      <c r="AQ322" s="162">
        <f>SUMIFS(SALIDAS_BIT,FECHA_BIT,"&gt;="&amp;AQ$2,FECHA_BIT,"&lt;="&amp;AQ$3,CLAVE_BIT,$A322)+SUMIFS(SALIDAS_BOV1,FECHA_BOV1,"&gt;="&amp;AQ$2,FECHA_BOV1,"&lt;="&amp;AQ$3,CLAVE_BOV1,$A322)+SUMIFS(SALIDAS_BOV2,FECHA_BOV2,"&gt;="&amp;AQ$2,FECHA_BOV2,"&lt;="&amp;AQ$3,CLAVE_BOV2,$A322)+SUMIFS(SALIDAS_BOV3,FECHA_BOV3,"&gt;="&amp;AQ$2,FECHA_BOV3,"&lt;="&amp;AQ$3,CLAVE_BOV3,$A322)+SUMIFS(SALIDAS_TC,FECHA_TC,"&gt;="&amp;AQ$2,FECHA_TC,"&lt;="&amp;AQ$3,CLAVE_TC,$A322)+SUMIFS(SALIDAS_COMB,FECHA_COMB,"&gt;="&amp;AQ$2,FECHA_COMB,"&lt;="&amp;AQ$3,CLAVE_COMB,$A322)+SUMIFS(SALIDAS_DES,FECHA_DESGLOSEN,"&gt;="&amp;AQ$2,FECHA_DESGLOSEN,"&lt;="&amp;AQ$3,CLAVE_DESGLOSE,$A322)</f>
        <v>0</v>
      </c>
      <c r="AR322" s="162">
        <f>SUMIFS(SALIDAS_BIT,FECHA_BIT,"&gt;="&amp;AR$2,FECHA_BIT,"&lt;="&amp;AR$3,CLAVE_BIT,$A322)+SUMIFS(SALIDAS_BOV1,FECHA_BOV1,"&gt;="&amp;AR$2,FECHA_BOV1,"&lt;="&amp;AR$3,CLAVE_BOV1,$A322)+SUMIFS(SALIDAS_BOV2,FECHA_BOV2,"&gt;="&amp;AR$2,FECHA_BOV2,"&lt;="&amp;AR$3,CLAVE_BOV2,$A322)+SUMIFS(SALIDAS_BOV3,FECHA_BOV3,"&gt;="&amp;AR$2,FECHA_BOV3,"&lt;="&amp;AR$3,CLAVE_BOV3,$A322)+SUMIFS(SALIDAS_TC,FECHA_TC,"&gt;="&amp;AR$2,FECHA_TC,"&lt;="&amp;AR$3,CLAVE_TC,$A322)+SUMIFS(SALIDAS_COMB,FECHA_COMB,"&gt;="&amp;AR$2,FECHA_COMB,"&lt;="&amp;AR$3,CLAVE_COMB,$A322)+SUMIFS(SALIDAS_DES,FECHA_DESGLOSEN,"&gt;="&amp;AR$2,FECHA_DESGLOSEN,"&lt;="&amp;AR$3,CLAVE_DESGLOSE,$A322)</f>
        <v>0</v>
      </c>
      <c r="AS322" s="162">
        <f>SUMIFS(SALIDAS_BIT,FECHA_BIT,"&gt;="&amp;AS$2,FECHA_BIT,"&lt;="&amp;AS$3,CLAVE_BIT,$A322)+SUMIFS(SALIDAS_BOV1,FECHA_BOV1,"&gt;="&amp;AS$2,FECHA_BOV1,"&lt;="&amp;AS$3,CLAVE_BOV1,$A322)+SUMIFS(SALIDAS_BOV2,FECHA_BOV2,"&gt;="&amp;AS$2,FECHA_BOV2,"&lt;="&amp;AS$3,CLAVE_BOV2,$A322)+SUMIFS(SALIDAS_BOV3,FECHA_BOV3,"&gt;="&amp;AS$2,FECHA_BOV3,"&lt;="&amp;AS$3,CLAVE_BOV3,$A322)+SUMIFS(SALIDAS_TC,FECHA_TC,"&gt;="&amp;AS$2,FECHA_TC,"&lt;="&amp;AS$3,CLAVE_TC,$A322)+SUMIFS(SALIDAS_COMB,FECHA_COMB,"&gt;="&amp;AS$2,FECHA_COMB,"&lt;="&amp;AS$3,CLAVE_COMB,$A322)+SUMIFS(SALIDAS_DES,FECHA_DESGLOSEN,"&gt;="&amp;AS$2,FECHA_DESGLOSEN,"&lt;="&amp;AS$3,CLAVE_DESGLOSE,$A322)</f>
        <v>0</v>
      </c>
      <c r="AT322" s="227">
        <f t="shared" si="654"/>
        <v>0</v>
      </c>
      <c r="AU322" s="301">
        <f t="shared" si="655"/>
        <v>0</v>
      </c>
      <c r="AV322" s="162">
        <f>VLOOKUP($A322,T_PRESUPUESTO,MATCH(AV$6,E_PRESUPUESTO,0),FALSE)</f>
        <v>0</v>
      </c>
      <c r="AW322" s="162">
        <f>SUMIFS(SALIDAS_BIT,FECHA_BIT,"&gt;="&amp;AW$2,FECHA_BIT,"&lt;="&amp;AW$3,CLAVE_BIT,$A322)+SUMIFS(SALIDAS_BOV1,FECHA_BOV1,"&gt;="&amp;AW$2,FECHA_BOV1,"&lt;="&amp;AW$3,CLAVE_BOV1,$A322)+SUMIFS(SALIDAS_BOV2,FECHA_BOV2,"&gt;="&amp;AW$2,FECHA_BOV2,"&lt;="&amp;AW$3,CLAVE_BOV2,$A322)+SUMIFS(SALIDAS_BOV3,FECHA_BOV3,"&gt;="&amp;AW$2,FECHA_BOV3,"&lt;="&amp;AW$3,CLAVE_BOV3,$A322)+SUMIFS(SALIDAS_TC,FECHA_TC,"&gt;="&amp;AW$2,FECHA_TC,"&lt;="&amp;AW$3,CLAVE_TC,$A322)+SUMIFS(SALIDAS_COMB,FECHA_COMB,"&gt;="&amp;AW$2,FECHA_COMB,"&lt;="&amp;AW$3,CLAVE_COMB,$A322)+SUMIFS(SALIDAS_DES,FECHA_DESGLOSEN,"&gt;="&amp;AW$2,FECHA_DESGLOSEN,"&lt;="&amp;AW$3,CLAVE_DESGLOSE,$A322)</f>
        <v>0</v>
      </c>
      <c r="AX322" s="162">
        <f>SUMIFS(SALIDAS_BIT,FECHA_BIT,"&gt;="&amp;AX$2,FECHA_BIT,"&lt;="&amp;AX$3,CLAVE_BIT,$A322)+SUMIFS(SALIDAS_BOV1,FECHA_BOV1,"&gt;="&amp;AX$2,FECHA_BOV1,"&lt;="&amp;AX$3,CLAVE_BOV1,$A322)+SUMIFS(SALIDAS_BOV2,FECHA_BOV2,"&gt;="&amp;AX$2,FECHA_BOV2,"&lt;="&amp;AX$3,CLAVE_BOV2,$A322)+SUMIFS(SALIDAS_BOV3,FECHA_BOV3,"&gt;="&amp;AX$2,FECHA_BOV3,"&lt;="&amp;AX$3,CLAVE_BOV3,$A322)+SUMIFS(SALIDAS_TC,FECHA_TC,"&gt;="&amp;AX$2,FECHA_TC,"&lt;="&amp;AX$3,CLAVE_TC,$A322)+SUMIFS(SALIDAS_COMB,FECHA_COMB,"&gt;="&amp;AX$2,FECHA_COMB,"&lt;="&amp;AX$3,CLAVE_COMB,$A322)+SUMIFS(SALIDAS_DES,FECHA_DESGLOSEN,"&gt;="&amp;AX$2,FECHA_DESGLOSEN,"&lt;="&amp;AX$3,CLAVE_DESGLOSE,$A322)</f>
        <v>0</v>
      </c>
      <c r="AY322" s="162">
        <f>SUMIFS(SALIDAS_BIT,FECHA_BIT,"&gt;="&amp;AY$2,FECHA_BIT,"&lt;="&amp;AY$3,CLAVE_BIT,$A322)+SUMIFS(SALIDAS_BOV1,FECHA_BOV1,"&gt;="&amp;AY$2,FECHA_BOV1,"&lt;="&amp;AY$3,CLAVE_BOV1,$A322)+SUMIFS(SALIDAS_BOV2,FECHA_BOV2,"&gt;="&amp;AY$2,FECHA_BOV2,"&lt;="&amp;AY$3,CLAVE_BOV2,$A322)+SUMIFS(SALIDAS_BOV3,FECHA_BOV3,"&gt;="&amp;AY$2,FECHA_BOV3,"&lt;="&amp;AY$3,CLAVE_BOV3,$A322)+SUMIFS(SALIDAS_TC,FECHA_TC,"&gt;="&amp;AY$2,FECHA_TC,"&lt;="&amp;AY$3,CLAVE_TC,$A322)+SUMIFS(SALIDAS_COMB,FECHA_COMB,"&gt;="&amp;AY$2,FECHA_COMB,"&lt;="&amp;AY$3,CLAVE_COMB,$A322)+SUMIFS(SALIDAS_DES,FECHA_DESGLOSEN,"&gt;="&amp;AY$2,FECHA_DESGLOSEN,"&lt;="&amp;AY$3,CLAVE_DESGLOSE,$A322)</f>
        <v>0</v>
      </c>
      <c r="AZ322" s="162">
        <f>SUMIFS(SALIDAS_BIT,FECHA_BIT,"&gt;="&amp;AZ$2,FECHA_BIT,"&lt;="&amp;AZ$3,CLAVE_BIT,$A322)+SUMIFS(SALIDAS_BOV1,FECHA_BOV1,"&gt;="&amp;AZ$2,FECHA_BOV1,"&lt;="&amp;AZ$3,CLAVE_BOV1,$A322)+SUMIFS(SALIDAS_BOV2,FECHA_BOV2,"&gt;="&amp;AZ$2,FECHA_BOV2,"&lt;="&amp;AZ$3,CLAVE_BOV2,$A322)+SUMIFS(SALIDAS_BOV3,FECHA_BOV3,"&gt;="&amp;AZ$2,FECHA_BOV3,"&lt;="&amp;AZ$3,CLAVE_BOV3,$A322)+SUMIFS(SALIDAS_TC,FECHA_TC,"&gt;="&amp;AZ$2,FECHA_TC,"&lt;="&amp;AZ$3,CLAVE_TC,$A322)+SUMIFS(SALIDAS_COMB,FECHA_COMB,"&gt;="&amp;AZ$2,FECHA_COMB,"&lt;="&amp;AZ$3,CLAVE_COMB,$A322)+SUMIFS(SALIDAS_DES,FECHA_DESGLOSEN,"&gt;="&amp;AZ$2,FECHA_DESGLOSEN,"&lt;="&amp;AZ$3,CLAVE_DESGLOSE,$A322)</f>
        <v>0</v>
      </c>
      <c r="BA322" s="162">
        <f>SUMIFS(SALIDAS_BIT,FECHA_BIT,"&gt;="&amp;BA$2,FECHA_BIT,"&lt;="&amp;BA$3,CLAVE_BIT,$A322)+SUMIFS(SALIDAS_BOV1,FECHA_BOV1,"&gt;="&amp;BA$2,FECHA_BOV1,"&lt;="&amp;BA$3,CLAVE_BOV1,$A322)+SUMIFS(SALIDAS_BOV2,FECHA_BOV2,"&gt;="&amp;BA$2,FECHA_BOV2,"&lt;="&amp;BA$3,CLAVE_BOV2,$A322)+SUMIFS(SALIDAS_BOV3,FECHA_BOV3,"&gt;="&amp;BA$2,FECHA_BOV3,"&lt;="&amp;BA$3,CLAVE_BOV3,$A322)+SUMIFS(SALIDAS_TC,FECHA_TC,"&gt;="&amp;BA$2,FECHA_TC,"&lt;="&amp;BA$3,CLAVE_TC,$A322)+SUMIFS(SALIDAS_COMB,FECHA_COMB,"&gt;="&amp;BA$2,FECHA_COMB,"&lt;="&amp;BA$3,CLAVE_COMB,$A322)+SUMIFS(SALIDAS_DES,FECHA_DESGLOSEN,"&gt;="&amp;BA$2,FECHA_DESGLOSEN,"&lt;="&amp;BA$3,CLAVE_DESGLOSE,$A322)</f>
        <v>0</v>
      </c>
      <c r="BB322" s="227">
        <f t="shared" si="656"/>
        <v>0</v>
      </c>
      <c r="BC322" s="301">
        <f t="shared" si="657"/>
        <v>0</v>
      </c>
      <c r="BD322" s="162">
        <f>VLOOKUP($A322,T_PRESUPUESTO,MATCH(BD$6,E_PRESUPUESTO,0),FALSE)</f>
        <v>0</v>
      </c>
      <c r="BE322" s="162">
        <f>SUMIFS(SALIDAS_BIT,FECHA_BIT,"&gt;="&amp;BE$2,FECHA_BIT,"&lt;="&amp;BE$3,CLAVE_BIT,$A322)+SUMIFS(SALIDAS_BOV1,FECHA_BOV1,"&gt;="&amp;BE$2,FECHA_BOV1,"&lt;="&amp;BE$3,CLAVE_BOV1,$A322)+SUMIFS(SALIDAS_BOV2,FECHA_BOV2,"&gt;="&amp;BE$2,FECHA_BOV2,"&lt;="&amp;BE$3,CLAVE_BOV2,$A322)+SUMIFS(SALIDAS_BOV3,FECHA_BOV3,"&gt;="&amp;BE$2,FECHA_BOV3,"&lt;="&amp;BE$3,CLAVE_BOV3,$A322)+SUMIFS(SALIDAS_TC,FECHA_TC,"&gt;="&amp;BE$2,FECHA_TC,"&lt;="&amp;BE$3,CLAVE_TC,$A322)+SUMIFS(SALIDAS_COMB,FECHA_COMB,"&gt;="&amp;BE$2,FECHA_COMB,"&lt;="&amp;BE$3,CLAVE_COMB,$A322)+SUMIFS(SALIDAS_DES,FECHA_DESGLOSEN,"&gt;="&amp;BE$2,FECHA_DESGLOSEN,"&lt;="&amp;BE$3,CLAVE_DESGLOSE,$A322)</f>
        <v>2000</v>
      </c>
      <c r="BF322" s="162">
        <f>SUMIFS(SALIDAS_BIT,FECHA_BIT,"&gt;="&amp;BF$2,FECHA_BIT,"&lt;="&amp;BF$3,CLAVE_BIT,$A322)+SUMIFS(SALIDAS_BOV1,FECHA_BOV1,"&gt;="&amp;BF$2,FECHA_BOV1,"&lt;="&amp;BF$3,CLAVE_BOV1,$A322)+SUMIFS(SALIDAS_BOV2,FECHA_BOV2,"&gt;="&amp;BF$2,FECHA_BOV2,"&lt;="&amp;BF$3,CLAVE_BOV2,$A322)+SUMIFS(SALIDAS_BOV3,FECHA_BOV3,"&gt;="&amp;BF$2,FECHA_BOV3,"&lt;="&amp;BF$3,CLAVE_BOV3,$A322)+SUMIFS(SALIDAS_TC,FECHA_TC,"&gt;="&amp;BF$2,FECHA_TC,"&lt;="&amp;BF$3,CLAVE_TC,$A322)+SUMIFS(SALIDAS_COMB,FECHA_COMB,"&gt;="&amp;BF$2,FECHA_COMB,"&lt;="&amp;BF$3,CLAVE_COMB,$A322)+SUMIFS(SALIDAS_DES,FECHA_DESGLOSEN,"&gt;="&amp;BF$2,FECHA_DESGLOSEN,"&lt;="&amp;BF$3,CLAVE_DESGLOSE,$A322)</f>
        <v>21301.599999999999</v>
      </c>
      <c r="BG322" s="162">
        <f>SUMIFS(SALIDAS_BIT,FECHA_BIT,"&gt;="&amp;BG$2,FECHA_BIT,"&lt;="&amp;BG$3,CLAVE_BIT,$A322)+SUMIFS(SALIDAS_BOV1,FECHA_BOV1,"&gt;="&amp;BG$2,FECHA_BOV1,"&lt;="&amp;BG$3,CLAVE_BOV1,$A322)+SUMIFS(SALIDAS_BOV2,FECHA_BOV2,"&gt;="&amp;BG$2,FECHA_BOV2,"&lt;="&amp;BG$3,CLAVE_BOV2,$A322)+SUMIFS(SALIDAS_BOV3,FECHA_BOV3,"&gt;="&amp;BG$2,FECHA_BOV3,"&lt;="&amp;BG$3,CLAVE_BOV3,$A322)+SUMIFS(SALIDAS_TC,FECHA_TC,"&gt;="&amp;BG$2,FECHA_TC,"&lt;="&amp;BG$3,CLAVE_TC,$A322)+SUMIFS(SALIDAS_COMB,FECHA_COMB,"&gt;="&amp;BG$2,FECHA_COMB,"&lt;="&amp;BG$3,CLAVE_COMB,$A322)+SUMIFS(SALIDAS_DES,FECHA_DESGLOSEN,"&gt;="&amp;BG$2,FECHA_DESGLOSEN,"&lt;="&amp;BG$3,CLAVE_DESGLOSE,$A322)</f>
        <v>17301.2</v>
      </c>
      <c r="BH322" s="162">
        <f>SUMIFS(SALIDAS_BIT,FECHA_BIT,"&gt;="&amp;BH$2,FECHA_BIT,"&lt;="&amp;BH$3,CLAVE_BIT,$A322)+SUMIFS(SALIDAS_BOV1,FECHA_BOV1,"&gt;="&amp;BH$2,FECHA_BOV1,"&lt;="&amp;BH$3,CLAVE_BOV1,$A322)+SUMIFS(SALIDAS_BOV2,FECHA_BOV2,"&gt;="&amp;BH$2,FECHA_BOV2,"&lt;="&amp;BH$3,CLAVE_BOV2,$A322)+SUMIFS(SALIDAS_BOV3,FECHA_BOV3,"&gt;="&amp;BH$2,FECHA_BOV3,"&lt;="&amp;BH$3,CLAVE_BOV3,$A322)+SUMIFS(SALIDAS_TC,FECHA_TC,"&gt;="&amp;BH$2,FECHA_TC,"&lt;="&amp;BH$3,CLAVE_TC,$A322)+SUMIFS(SALIDAS_COMB,FECHA_COMB,"&gt;="&amp;BH$2,FECHA_COMB,"&lt;="&amp;BH$3,CLAVE_COMB,$A322)+SUMIFS(SALIDAS_DES,FECHA_DESGLOSEN,"&gt;="&amp;BH$2,FECHA_DESGLOSEN,"&lt;="&amp;BH$3,CLAVE_DESGLOSE,$A322)</f>
        <v>17303</v>
      </c>
      <c r="BI322" s="162">
        <f>SUMIFS(SALIDAS_BIT,FECHA_BIT,"&gt;="&amp;BI$2,FECHA_BIT,"&lt;="&amp;BI$3,CLAVE_BIT,$A322)+SUMIFS(SALIDAS_BOV1,FECHA_BOV1,"&gt;="&amp;BI$2,FECHA_BOV1,"&lt;="&amp;BI$3,CLAVE_BOV1,$A322)+SUMIFS(SALIDAS_BOV2,FECHA_BOV2,"&gt;="&amp;BI$2,FECHA_BOV2,"&lt;="&amp;BI$3,CLAVE_BOV2,$A322)+SUMIFS(SALIDAS_BOV3,FECHA_BOV3,"&gt;="&amp;BI$2,FECHA_BOV3,"&lt;="&amp;BI$3,CLAVE_BOV3,$A322)+SUMIFS(SALIDAS_TC,FECHA_TC,"&gt;="&amp;BI$2,FECHA_TC,"&lt;="&amp;BI$3,CLAVE_TC,$A322)+SUMIFS(SALIDAS_COMB,FECHA_COMB,"&gt;="&amp;BI$2,FECHA_COMB,"&lt;="&amp;BI$3,CLAVE_COMB,$A322)+SUMIFS(SALIDAS_DES,FECHA_DESGLOSEN,"&gt;="&amp;BI$2,FECHA_DESGLOSEN,"&lt;="&amp;BI$3,CLAVE_DESGLOSE,$A322)</f>
        <v>57905.8</v>
      </c>
      <c r="BJ322" s="227">
        <f t="shared" si="658"/>
        <v>-57905.8</v>
      </c>
      <c r="BK322" s="301">
        <f>IFERROR((BI322/BD322),0)</f>
        <v>0</v>
      </c>
      <c r="BL322" s="162">
        <f>VLOOKUP($A322,T_PRESUPUESTO,MATCH(BL$6,E_PRESUPUESTO,0),FALSE)</f>
        <v>0</v>
      </c>
      <c r="BM322" s="162">
        <f>SUMIFS(SALIDAS_BIT,FECHA_BIT,"&gt;="&amp;BM$2,FECHA_BIT,"&lt;="&amp;BM$3,CLAVE_BIT,$A322)+SUMIFS(SALIDAS_BOV1,FECHA_BOV1,"&gt;="&amp;BM$2,FECHA_BOV1,"&lt;="&amp;BM$3,CLAVE_BOV1,$A322)+SUMIFS(SALIDAS_BOV2,FECHA_BOV2,"&gt;="&amp;BM$2,FECHA_BOV2,"&lt;="&amp;BM$3,CLAVE_BOV2,$A322)+SUMIFS(SALIDAS_BOV3,FECHA_BOV3,"&gt;="&amp;BM$2,FECHA_BOV3,"&lt;="&amp;BM$3,CLAVE_BOV3,$A322)+SUMIFS(SALIDAS_TC,FECHA_TC,"&gt;="&amp;BM$2,FECHA_TC,"&lt;="&amp;BM$3,CLAVE_TC,$A322)+SUMIFS(SALIDAS_COMB,FECHA_COMB,"&gt;="&amp;BM$2,FECHA_COMB,"&lt;="&amp;BM$3,CLAVE_COMB,$A322)+SUMIFS(SALIDAS_DES,FECHA_DESGLOSEN,"&gt;="&amp;BM$2,FECHA_DESGLOSEN,"&lt;="&amp;BM$3,CLAVE_DESGLOSE,$A322)</f>
        <v>19318.8</v>
      </c>
      <c r="BN322" s="162">
        <f>SUMIFS(SALIDAS_BIT,FECHA_BIT,"&gt;="&amp;BN$2,FECHA_BIT,"&lt;="&amp;BN$3,CLAVE_BIT,$A322)+SUMIFS(SALIDAS_BOV1,FECHA_BOV1,"&gt;="&amp;BN$2,FECHA_BOV1,"&lt;="&amp;BN$3,CLAVE_BOV1,$A322)+SUMIFS(SALIDAS_BOV2,FECHA_BOV2,"&gt;="&amp;BN$2,FECHA_BOV2,"&lt;="&amp;BN$3,CLAVE_BOV2,$A322)+SUMIFS(SALIDAS_BOV3,FECHA_BOV3,"&gt;="&amp;BN$2,FECHA_BOV3,"&lt;="&amp;BN$3,CLAVE_BOV3,$A322)+SUMIFS(SALIDAS_TC,FECHA_TC,"&gt;="&amp;BN$2,FECHA_TC,"&lt;="&amp;BN$3,CLAVE_TC,$A322)+SUMIFS(SALIDAS_COMB,FECHA_COMB,"&gt;="&amp;BN$2,FECHA_COMB,"&lt;="&amp;BN$3,CLAVE_COMB,$A322)+SUMIFS(SALIDAS_DES,FECHA_DESGLOSEN,"&gt;="&amp;BN$2,FECHA_DESGLOSEN,"&lt;="&amp;BN$3,CLAVE_DESGLOSE,$A322)</f>
        <v>21001.4</v>
      </c>
      <c r="BO322" s="162">
        <f>SUMIFS(SALIDAS_BIT,FECHA_BIT,"&gt;="&amp;BO$2,FECHA_BIT,"&lt;="&amp;BO$3,CLAVE_BIT,$A322)+SUMIFS(SALIDAS_BOV1,FECHA_BOV1,"&gt;="&amp;BO$2,FECHA_BOV1,"&lt;="&amp;BO$3,CLAVE_BOV1,$A322)+SUMIFS(SALIDAS_BOV2,FECHA_BOV2,"&gt;="&amp;BO$2,FECHA_BOV2,"&lt;="&amp;BO$3,CLAVE_BOV2,$A322)+SUMIFS(SALIDAS_BOV3,FECHA_BOV3,"&gt;="&amp;BO$2,FECHA_BOV3,"&lt;="&amp;BO$3,CLAVE_BOV3,$A322)+SUMIFS(SALIDAS_TC,FECHA_TC,"&gt;="&amp;BO$2,FECHA_TC,"&lt;="&amp;BO$3,CLAVE_TC,$A322)+SUMIFS(SALIDAS_COMB,FECHA_COMB,"&gt;="&amp;BO$2,FECHA_COMB,"&lt;="&amp;BO$3,CLAVE_COMB,$A322)+SUMIFS(SALIDAS_DES,FECHA_DESGLOSEN,"&gt;="&amp;BO$2,FECHA_DESGLOSEN,"&lt;="&amp;BO$3,CLAVE_DESGLOSE,$A322)</f>
        <v>21000.400000000001</v>
      </c>
      <c r="BP322" s="162">
        <f>SUMIFS(SALIDAS_BIT,FECHA_BIT,"&gt;="&amp;BP$2,FECHA_BIT,"&lt;="&amp;BP$3,CLAVE_BIT,$A322)+SUMIFS(SALIDAS_BOV1,FECHA_BOV1,"&gt;="&amp;BP$2,FECHA_BOV1,"&lt;="&amp;BP$3,CLAVE_BOV1,$A322)+SUMIFS(SALIDAS_BOV2,FECHA_BOV2,"&gt;="&amp;BP$2,FECHA_BOV2,"&lt;="&amp;BP$3,CLAVE_BOV2,$A322)+SUMIFS(SALIDAS_BOV3,FECHA_BOV3,"&gt;="&amp;BP$2,FECHA_BOV3,"&lt;="&amp;BP$3,CLAVE_BOV3,$A322)+SUMIFS(SALIDAS_TC,FECHA_TC,"&gt;="&amp;BP$2,FECHA_TC,"&lt;="&amp;BP$3,CLAVE_TC,$A322)+SUMIFS(SALIDAS_COMB,FECHA_COMB,"&gt;="&amp;BP$2,FECHA_COMB,"&lt;="&amp;BP$3,CLAVE_COMB,$A322)+SUMIFS(SALIDAS_DES,FECHA_DESGLOSEN,"&gt;="&amp;BP$2,FECHA_DESGLOSEN,"&lt;="&amp;BP$3,CLAVE_DESGLOSE,$A322)</f>
        <v>21001.599999999999</v>
      </c>
      <c r="BQ322" s="162">
        <f>SUMIFS(SALIDAS_BIT,FECHA_BIT,"&gt;="&amp;BQ$2,FECHA_BIT,"&lt;="&amp;BQ$3,CLAVE_BIT,$A322)+SUMIFS(SALIDAS_BOV1,FECHA_BOV1,"&gt;="&amp;BQ$2,FECHA_BOV1,"&lt;="&amp;BQ$3,CLAVE_BOV1,$A322)+SUMIFS(SALIDAS_BOV2,FECHA_BOV2,"&gt;="&amp;BQ$2,FECHA_BOV2,"&lt;="&amp;BQ$3,CLAVE_BOV2,$A322)+SUMIFS(SALIDAS_BOV3,FECHA_BOV3,"&gt;="&amp;BQ$2,FECHA_BOV3,"&lt;="&amp;BQ$3,CLAVE_BOV3,$A322)+SUMIFS(SALIDAS_TC,FECHA_TC,"&gt;="&amp;BQ$2,FECHA_TC,"&lt;="&amp;BQ$3,CLAVE_TC,$A322)+SUMIFS(SALIDAS_COMB,FECHA_COMB,"&gt;="&amp;BQ$2,FECHA_COMB,"&lt;="&amp;BQ$3,CLAVE_COMB,$A322)+SUMIFS(SALIDAS_DES,FECHA_DESGLOSEN,"&gt;="&amp;BQ$2,FECHA_DESGLOSEN,"&lt;="&amp;BQ$3,CLAVE_DESGLOSE,$A322)</f>
        <v>23501.8</v>
      </c>
      <c r="BR322" s="162">
        <f>SUMIFS(SALIDAS_BIT,FECHA_BIT,"&gt;="&amp;BR$2,FECHA_BIT,"&lt;="&amp;BR$3,CLAVE_BIT,$A322)+SUMIFS(SALIDAS_BOV1,FECHA_BOV1,"&gt;="&amp;BR$2,FECHA_BOV1,"&lt;="&amp;BR$3,CLAVE_BOV1,$A322)+SUMIFS(SALIDAS_BOV2,FECHA_BOV2,"&gt;="&amp;BR$2,FECHA_BOV2,"&lt;="&amp;BR$3,CLAVE_BOV2,$A322)+SUMIFS(SALIDAS_BOV3,FECHA_BOV3,"&gt;="&amp;BR$2,FECHA_BOV3,"&lt;="&amp;BR$3,CLAVE_BOV3,$A322)+SUMIFS(SALIDAS_TC,FECHA_TC,"&gt;="&amp;BR$2,FECHA_TC,"&lt;="&amp;BR$3,CLAVE_TC,$A322)+SUMIFS(SALIDAS_COMB,FECHA_COMB,"&gt;="&amp;BR$2,FECHA_COMB,"&lt;="&amp;BR$3,CLAVE_COMB,$A322)+SUMIFS(SALIDAS_DES,FECHA_DESGLOSEN,"&gt;="&amp;BR$2,FECHA_DESGLOSEN,"&lt;="&amp;BR$3,CLAVE_DESGLOSE,$A322)</f>
        <v>105824</v>
      </c>
      <c r="BS322" s="227">
        <f t="shared" si="660"/>
        <v>-105824</v>
      </c>
      <c r="BT322" s="301">
        <f t="shared" si="661"/>
        <v>0</v>
      </c>
      <c r="BU322" s="162">
        <f>VLOOKUP($A322,T_PRESUPUESTO,MATCH(BU$6,E_PRESUPUESTO,0),FALSE)</f>
        <v>0</v>
      </c>
      <c r="BV322" s="162">
        <f>SUMIFS(SALIDAS_BIT,FECHA_BIT,"&gt;="&amp;BV$2,FECHA_BIT,"&lt;="&amp;BV$3,CLAVE_BIT,$A322)+SUMIFS(SALIDAS_BOV1,FECHA_BOV1,"&gt;="&amp;BV$2,FECHA_BOV1,"&lt;="&amp;BV$3,CLAVE_BOV1,$A322)+SUMIFS(SALIDAS_BOV2,FECHA_BOV2,"&gt;="&amp;BV$2,FECHA_BOV2,"&lt;="&amp;BV$3,CLAVE_BOV2,$A322)+SUMIFS(SALIDAS_BOV3,FECHA_BOV3,"&gt;="&amp;BV$2,FECHA_BOV3,"&lt;="&amp;BV$3,CLAVE_BOV3,$A322)+SUMIFS(SALIDAS_TC,FECHA_TC,"&gt;="&amp;BV$2,FECHA_TC,"&lt;="&amp;BV$3,CLAVE_TC,$A322)+SUMIFS(SALIDAS_COMB,FECHA_COMB,"&gt;="&amp;BV$2,FECHA_COMB,"&lt;="&amp;BV$3,CLAVE_COMB,$A322)+SUMIFS(SALIDAS_DES,FECHA_DESGLOSEN,"&gt;="&amp;BV$2,FECHA_DESGLOSEN,"&lt;="&amp;BV$3,CLAVE_DESGLOSE,$A322)</f>
        <v>23501.8</v>
      </c>
      <c r="BW322" s="162">
        <f>SUMIFS(SALIDAS_BIT,FECHA_BIT,"&gt;="&amp;BW$2,FECHA_BIT,"&lt;="&amp;BW$3,CLAVE_BIT,$A322)+SUMIFS(SALIDAS_BOV1,FECHA_BOV1,"&gt;="&amp;BW$2,FECHA_BOV1,"&lt;="&amp;BW$3,CLAVE_BOV1,$A322)+SUMIFS(SALIDAS_BOV2,FECHA_BOV2,"&gt;="&amp;BW$2,FECHA_BOV2,"&lt;="&amp;BW$3,CLAVE_BOV2,$A322)+SUMIFS(SALIDAS_BOV3,FECHA_BOV3,"&gt;="&amp;BW$2,FECHA_BOV3,"&lt;="&amp;BW$3,CLAVE_BOV3,$A322)+SUMIFS(SALIDAS_TC,FECHA_TC,"&gt;="&amp;BW$2,FECHA_TC,"&lt;="&amp;BW$3,CLAVE_TC,$A322)+SUMIFS(SALIDAS_COMB,FECHA_COMB,"&gt;="&amp;BW$2,FECHA_COMB,"&lt;="&amp;BW$3,CLAVE_COMB,$A322)+SUMIFS(SALIDAS_DES,FECHA_DESGLOSEN,"&gt;="&amp;BW$2,FECHA_DESGLOSEN,"&lt;="&amp;BW$3,CLAVE_DESGLOSE,$A322)</f>
        <v>23314.400000000001</v>
      </c>
      <c r="BX322" s="162">
        <f>SUMIFS(SALIDAS_BIT,FECHA_BIT,"&gt;="&amp;BX$2,FECHA_BIT,"&lt;="&amp;BX$3,CLAVE_BIT,$A322)+SUMIFS(SALIDAS_BOV1,FECHA_BOV1,"&gt;="&amp;BX$2,FECHA_BOV1,"&lt;="&amp;BX$3,CLAVE_BOV1,$A322)+SUMIFS(SALIDAS_BOV2,FECHA_BOV2,"&gt;="&amp;BX$2,FECHA_BOV2,"&lt;="&amp;BX$3,CLAVE_BOV2,$A322)+SUMIFS(SALIDAS_BOV3,FECHA_BOV3,"&gt;="&amp;BX$2,FECHA_BOV3,"&lt;="&amp;BX$3,CLAVE_BOV3,$A322)+SUMIFS(SALIDAS_TC,FECHA_TC,"&gt;="&amp;BX$2,FECHA_TC,"&lt;="&amp;BX$3,CLAVE_TC,$A322)+SUMIFS(SALIDAS_COMB,FECHA_COMB,"&gt;="&amp;BX$2,FECHA_COMB,"&lt;="&amp;BX$3,CLAVE_COMB,$A322)+SUMIFS(SALIDAS_DES,FECHA_DESGLOSEN,"&gt;="&amp;BX$2,FECHA_DESGLOSEN,"&lt;="&amp;BX$3,CLAVE_DESGLOSE,$A322)</f>
        <v>26003</v>
      </c>
      <c r="BY322" s="162">
        <f>SUMIFS(SALIDAS_BIT,FECHA_BIT,"&gt;="&amp;BY$2,FECHA_BIT,"&lt;="&amp;BY$3,CLAVE_BIT,$A322)+SUMIFS(SALIDAS_BOV1,FECHA_BOV1,"&gt;="&amp;BY$2,FECHA_BOV1,"&lt;="&amp;BY$3,CLAVE_BOV1,$A322)+SUMIFS(SALIDAS_BOV2,FECHA_BOV2,"&gt;="&amp;BY$2,FECHA_BOV2,"&lt;="&amp;BY$3,CLAVE_BOV2,$A322)+SUMIFS(SALIDAS_BOV3,FECHA_BOV3,"&gt;="&amp;BY$2,FECHA_BOV3,"&lt;="&amp;BY$3,CLAVE_BOV3,$A322)+SUMIFS(SALIDAS_TC,FECHA_TC,"&gt;="&amp;BY$2,FECHA_TC,"&lt;="&amp;BY$3,CLAVE_TC,$A322)+SUMIFS(SALIDAS_COMB,FECHA_COMB,"&gt;="&amp;BY$2,FECHA_COMB,"&lt;="&amp;BY$3,CLAVE_COMB,$A322)+SUMIFS(SALIDAS_DES,FECHA_DESGLOSEN,"&gt;="&amp;BY$2,FECHA_DESGLOSEN,"&lt;="&amp;BY$3,CLAVE_DESGLOSE,$A322)</f>
        <v>26003.599999999999</v>
      </c>
      <c r="BZ322" s="162">
        <f>SUMIFS(SALIDAS_BIT,FECHA_BIT,"&gt;="&amp;BZ$2,FECHA_BIT,"&lt;="&amp;BZ$3,CLAVE_BIT,$A322)+SUMIFS(SALIDAS_BOV1,FECHA_BOV1,"&gt;="&amp;BZ$2,FECHA_BOV1,"&lt;="&amp;BZ$3,CLAVE_BOV1,$A322)+SUMIFS(SALIDAS_BOV2,FECHA_BOV2,"&gt;="&amp;BZ$2,FECHA_BOV2,"&lt;="&amp;BZ$3,CLAVE_BOV2,$A322)+SUMIFS(SALIDAS_BOV3,FECHA_BOV3,"&gt;="&amp;BZ$2,FECHA_BOV3,"&lt;="&amp;BZ$3,CLAVE_BOV3,$A322)+SUMIFS(SALIDAS_TC,FECHA_TC,"&gt;="&amp;BZ$2,FECHA_TC,"&lt;="&amp;BZ$3,CLAVE_TC,$A322)+SUMIFS(SALIDAS_COMB,FECHA_COMB,"&gt;="&amp;BZ$2,FECHA_COMB,"&lt;="&amp;BZ$3,CLAVE_COMB,$A322)+SUMIFS(SALIDAS_DES,FECHA_DESGLOSEN,"&gt;="&amp;BZ$2,FECHA_DESGLOSEN,"&lt;="&amp;BZ$3,CLAVE_DESGLOSE,$A322)</f>
        <v>98822.799999999988</v>
      </c>
      <c r="CA322" s="227">
        <f t="shared" si="662"/>
        <v>-98822.799999999988</v>
      </c>
      <c r="CB322" s="301">
        <f t="shared" si="663"/>
        <v>0</v>
      </c>
      <c r="CC322" s="162">
        <f>VLOOKUP($A322,T_PRESUPUESTO,MATCH(CC$6,E_PRESUPUESTO,0),FALSE)</f>
        <v>0</v>
      </c>
      <c r="CD322" s="162">
        <f>SUMIFS(SALIDAS_BIT,FECHA_BIT,"&gt;="&amp;CD$2,FECHA_BIT,"&lt;="&amp;CD$3,CLAVE_BIT,$A322)+SUMIFS(SALIDAS_BOV1,FECHA_BOV1,"&gt;="&amp;CD$2,FECHA_BOV1,"&lt;="&amp;CD$3,CLAVE_BOV1,$A322)+SUMIFS(SALIDAS_BOV2,FECHA_BOV2,"&gt;="&amp;CD$2,FECHA_BOV2,"&lt;="&amp;CD$3,CLAVE_BOV2,$A322)+SUMIFS(SALIDAS_BOV3,FECHA_BOV3,"&gt;="&amp;CD$2,FECHA_BOV3,"&lt;="&amp;CD$3,CLAVE_BOV3,$A322)+SUMIFS(SALIDAS_TC,FECHA_TC,"&gt;="&amp;CD$2,FECHA_TC,"&lt;="&amp;CD$3,CLAVE_TC,$A322)+SUMIFS(SALIDAS_COMB,FECHA_COMB,"&gt;="&amp;CD$2,FECHA_COMB,"&lt;="&amp;CD$3,CLAVE_COMB,$A322)+SUMIFS(SALIDAS_DES,FECHA_DESGLOSEN,"&gt;="&amp;CD$2,FECHA_DESGLOSEN,"&lt;="&amp;CD$3,CLAVE_DESGLOSE,$A322)</f>
        <v>26001.4</v>
      </c>
      <c r="CE322" s="162">
        <f>SUMIFS(SALIDAS_BIT,FECHA_BIT,"&gt;="&amp;CE$2,FECHA_BIT,"&lt;="&amp;CE$3,CLAVE_BIT,$A322)+SUMIFS(SALIDAS_BOV1,FECHA_BOV1,"&gt;="&amp;CE$2,FECHA_BOV1,"&lt;="&amp;CE$3,CLAVE_BOV1,$A322)+SUMIFS(SALIDAS_BOV2,FECHA_BOV2,"&gt;="&amp;CE$2,FECHA_BOV2,"&lt;="&amp;CE$3,CLAVE_BOV2,$A322)+SUMIFS(SALIDAS_BOV3,FECHA_BOV3,"&gt;="&amp;CE$2,FECHA_BOV3,"&lt;="&amp;CE$3,CLAVE_BOV3,$A322)+SUMIFS(SALIDAS_TC,FECHA_TC,"&gt;="&amp;CE$2,FECHA_TC,"&lt;="&amp;CE$3,CLAVE_TC,$A322)+SUMIFS(SALIDAS_COMB,FECHA_COMB,"&gt;="&amp;CE$2,FECHA_COMB,"&lt;="&amp;CE$3,CLAVE_COMB,$A322)+SUMIFS(SALIDAS_DES,FECHA_DESGLOSEN,"&gt;="&amp;CE$2,FECHA_DESGLOSEN,"&lt;="&amp;CE$3,CLAVE_DESGLOSE,$A322)</f>
        <v>26002</v>
      </c>
      <c r="CF322" s="162">
        <f>SUMIFS(SALIDAS_BIT,FECHA_BIT,"&gt;="&amp;CF$2,FECHA_BIT,"&lt;="&amp;CF$3,CLAVE_BIT,$A322)+SUMIFS(SALIDAS_BOV1,FECHA_BOV1,"&gt;="&amp;CF$2,FECHA_BOV1,"&lt;="&amp;CF$3,CLAVE_BOV1,$A322)+SUMIFS(SALIDAS_BOV2,FECHA_BOV2,"&gt;="&amp;CF$2,FECHA_BOV2,"&lt;="&amp;CF$3,CLAVE_BOV2,$A322)+SUMIFS(SALIDAS_BOV3,FECHA_BOV3,"&gt;="&amp;CF$2,FECHA_BOV3,"&lt;="&amp;CF$3,CLAVE_BOV3,$A322)+SUMIFS(SALIDAS_TC,FECHA_TC,"&gt;="&amp;CF$2,FECHA_TC,"&lt;="&amp;CF$3,CLAVE_TC,$A322)+SUMIFS(SALIDAS_COMB,FECHA_COMB,"&gt;="&amp;CF$2,FECHA_COMB,"&lt;="&amp;CF$3,CLAVE_COMB,$A322)+SUMIFS(SALIDAS_DES,FECHA_DESGLOSEN,"&gt;="&amp;CF$2,FECHA_DESGLOSEN,"&lt;="&amp;CF$3,CLAVE_DESGLOSE,$A322)</f>
        <v>26001.8</v>
      </c>
      <c r="CG322" s="162">
        <f>SUMIFS(SALIDAS_BIT,FECHA_BIT,"&gt;="&amp;CG$2,FECHA_BIT,"&lt;="&amp;CG$3,CLAVE_BIT,$A322)+SUMIFS(SALIDAS_BOV1,FECHA_BOV1,"&gt;="&amp;CG$2,FECHA_BOV1,"&lt;="&amp;CG$3,CLAVE_BOV1,$A322)+SUMIFS(SALIDAS_BOV2,FECHA_BOV2,"&gt;="&amp;CG$2,FECHA_BOV2,"&lt;="&amp;CG$3,CLAVE_BOV2,$A322)+SUMIFS(SALIDAS_BOV3,FECHA_BOV3,"&gt;="&amp;CG$2,FECHA_BOV3,"&lt;="&amp;CG$3,CLAVE_BOV3,$A322)+SUMIFS(SALIDAS_TC,FECHA_TC,"&gt;="&amp;CG$2,FECHA_TC,"&lt;="&amp;CG$3,CLAVE_TC,$A322)+SUMIFS(SALIDAS_COMB,FECHA_COMB,"&gt;="&amp;CG$2,FECHA_COMB,"&lt;="&amp;CG$3,CLAVE_COMB,$A322)+SUMIFS(SALIDAS_DES,FECHA_DESGLOSEN,"&gt;="&amp;CG$2,FECHA_DESGLOSEN,"&lt;="&amp;CG$3,CLAVE_DESGLOSE,$A322)</f>
        <v>23289.4</v>
      </c>
      <c r="CH322" s="162">
        <f>SUMIFS(SALIDAS_BIT,FECHA_BIT,"&gt;="&amp;CH$2,FECHA_BIT,"&lt;="&amp;CH$3,CLAVE_BIT,$A322)+SUMIFS(SALIDAS_BOV1,FECHA_BOV1,"&gt;="&amp;CH$2,FECHA_BOV1,"&lt;="&amp;CH$3,CLAVE_BOV1,$A322)+SUMIFS(SALIDAS_BOV2,FECHA_BOV2,"&gt;="&amp;CH$2,FECHA_BOV2,"&lt;="&amp;CH$3,CLAVE_BOV2,$A322)+SUMIFS(SALIDAS_BOV3,FECHA_BOV3,"&gt;="&amp;CH$2,FECHA_BOV3,"&lt;="&amp;CH$3,CLAVE_BOV3,$A322)+SUMIFS(SALIDAS_TC,FECHA_TC,"&gt;="&amp;CH$2,FECHA_TC,"&lt;="&amp;CH$3,CLAVE_TC,$A322)+SUMIFS(SALIDAS_COMB,FECHA_COMB,"&gt;="&amp;CH$2,FECHA_COMB,"&lt;="&amp;CH$3,CLAVE_COMB,$A322)+SUMIFS(SALIDAS_DES,FECHA_DESGLOSEN,"&gt;="&amp;CH$2,FECHA_DESGLOSEN,"&lt;="&amp;CH$3,CLAVE_DESGLOSE,$A322)</f>
        <v>101294.6</v>
      </c>
      <c r="CI322" s="227">
        <f t="shared" si="664"/>
        <v>-101294.6</v>
      </c>
      <c r="CJ322" s="301">
        <f t="shared" si="665"/>
        <v>0</v>
      </c>
      <c r="CK322" s="162">
        <f>VLOOKUP($A322,T_PRESUPUESTO,MATCH(CK$6,E_PRESUPUESTO,0),FALSE)</f>
        <v>0</v>
      </c>
      <c r="CL322" s="162">
        <f>SUMIFS(SALIDAS_BIT,FECHA_BIT,"&gt;="&amp;CL$2,FECHA_BIT,"&lt;="&amp;CL$3,CLAVE_BIT,$A322)+SUMIFS(SALIDAS_BOV1,FECHA_BOV1,"&gt;="&amp;CL$2,FECHA_BOV1,"&lt;="&amp;CL$3,CLAVE_BOV1,$A322)+SUMIFS(SALIDAS_BOV2,FECHA_BOV2,"&gt;="&amp;CL$2,FECHA_BOV2,"&lt;="&amp;CL$3,CLAVE_BOV2,$A322)+SUMIFS(SALIDAS_BOV3,FECHA_BOV3,"&gt;="&amp;CL$2,FECHA_BOV3,"&lt;="&amp;CL$3,CLAVE_BOV3,$A322)+SUMIFS(SALIDAS_TC,FECHA_TC,"&gt;="&amp;CL$2,FECHA_TC,"&lt;="&amp;CL$3,CLAVE_TC,$A322)+SUMIFS(SALIDAS_COMB,FECHA_COMB,"&gt;="&amp;CL$2,FECHA_COMB,"&lt;="&amp;CL$3,CLAVE_COMB,$A322)+SUMIFS(SALIDAS_DES,FECHA_DESGLOSEN,"&gt;="&amp;CL$2,FECHA_DESGLOSEN,"&lt;="&amp;CL$3,CLAVE_DESGLOSE,$A322)</f>
        <v>24779.200000000001</v>
      </c>
      <c r="CM322" s="162">
        <f>SUMIFS(SALIDAS_BIT,FECHA_BIT,"&gt;="&amp;CM$2,FECHA_BIT,"&lt;="&amp;CM$3,CLAVE_BIT,$A322)+SUMIFS(SALIDAS_BOV1,FECHA_BOV1,"&gt;="&amp;CM$2,FECHA_BOV1,"&lt;="&amp;CM$3,CLAVE_BOV1,$A322)+SUMIFS(SALIDAS_BOV2,FECHA_BOV2,"&gt;="&amp;CM$2,FECHA_BOV2,"&lt;="&amp;CM$3,CLAVE_BOV2,$A322)+SUMIFS(SALIDAS_BOV3,FECHA_BOV3,"&gt;="&amp;CM$2,FECHA_BOV3,"&lt;="&amp;CM$3,CLAVE_BOV3,$A322)+SUMIFS(SALIDAS_TC,FECHA_TC,"&gt;="&amp;CM$2,FECHA_TC,"&lt;="&amp;CM$3,CLAVE_TC,$A322)+SUMIFS(SALIDAS_COMB,FECHA_COMB,"&gt;="&amp;CM$2,FECHA_COMB,"&lt;="&amp;CM$3,CLAVE_COMB,$A322)+SUMIFS(SALIDAS_DES,FECHA_DESGLOSEN,"&gt;="&amp;CM$2,FECHA_DESGLOSEN,"&lt;="&amp;CM$3,CLAVE_DESGLOSE,$A322)</f>
        <v>25231.4</v>
      </c>
      <c r="CN322" s="162">
        <f>SUMIFS(SALIDAS_BIT,FECHA_BIT,"&gt;="&amp;CN$2,FECHA_BIT,"&lt;="&amp;CN$3,CLAVE_BIT,$A322)+SUMIFS(SALIDAS_BOV1,FECHA_BOV1,"&gt;="&amp;CN$2,FECHA_BOV1,"&lt;="&amp;CN$3,CLAVE_BOV1,$A322)+SUMIFS(SALIDAS_BOV2,FECHA_BOV2,"&gt;="&amp;CN$2,FECHA_BOV2,"&lt;="&amp;CN$3,CLAVE_BOV2,$A322)+SUMIFS(SALIDAS_BOV3,FECHA_BOV3,"&gt;="&amp;CN$2,FECHA_BOV3,"&lt;="&amp;CN$3,CLAVE_BOV3,$A322)+SUMIFS(SALIDAS_TC,FECHA_TC,"&gt;="&amp;CN$2,FECHA_TC,"&lt;="&amp;CN$3,CLAVE_TC,$A322)+SUMIFS(SALIDAS_COMB,FECHA_COMB,"&gt;="&amp;CN$2,FECHA_COMB,"&lt;="&amp;CN$3,CLAVE_COMB,$A322)+SUMIFS(SALIDAS_DES,FECHA_DESGLOSEN,"&gt;="&amp;CN$2,FECHA_DESGLOSEN,"&lt;="&amp;CN$3,CLAVE_DESGLOSE,$A322)</f>
        <v>25311.599999999999</v>
      </c>
      <c r="CO322" s="162">
        <f>SUMIFS(SALIDAS_BIT,FECHA_BIT,"&gt;="&amp;CO$2,FECHA_BIT,"&lt;="&amp;CO$3,CLAVE_BIT,$A322)+SUMIFS(SALIDAS_BOV1,FECHA_BOV1,"&gt;="&amp;CO$2,FECHA_BOV1,"&lt;="&amp;CO$3,CLAVE_BOV1,$A322)+SUMIFS(SALIDAS_BOV2,FECHA_BOV2,"&gt;="&amp;CO$2,FECHA_BOV2,"&lt;="&amp;CO$3,CLAVE_BOV2,$A322)+SUMIFS(SALIDAS_BOV3,FECHA_BOV3,"&gt;="&amp;CO$2,FECHA_BOV3,"&lt;="&amp;CO$3,CLAVE_BOV3,$A322)+SUMIFS(SALIDAS_TC,FECHA_TC,"&gt;="&amp;CO$2,FECHA_TC,"&lt;="&amp;CO$3,CLAVE_TC,$A322)+SUMIFS(SALIDAS_COMB,FECHA_COMB,"&gt;="&amp;CO$2,FECHA_COMB,"&lt;="&amp;CO$3,CLAVE_COMB,$A322)+SUMIFS(SALIDAS_DES,FECHA_DESGLOSEN,"&gt;="&amp;CO$2,FECHA_DESGLOSEN,"&lt;="&amp;CO$3,CLAVE_DESGLOSE,$A322)</f>
        <v>25591.599999999999</v>
      </c>
      <c r="CP322" s="162">
        <f>SUMIFS(SALIDAS_BIT,FECHA_BIT,"&gt;="&amp;CP$2,FECHA_BIT,"&lt;="&amp;CP$3,CLAVE_BIT,$A322)+SUMIFS(SALIDAS_BOV1,FECHA_BOV1,"&gt;="&amp;CP$2,FECHA_BOV1,"&lt;="&amp;CP$3,CLAVE_BOV1,$A322)+SUMIFS(SALIDAS_BOV2,FECHA_BOV2,"&gt;="&amp;CP$2,FECHA_BOV2,"&lt;="&amp;CP$3,CLAVE_BOV2,$A322)+SUMIFS(SALIDAS_BOV3,FECHA_BOV3,"&gt;="&amp;CP$2,FECHA_BOV3,"&lt;="&amp;CP$3,CLAVE_BOV3,$A322)+SUMIFS(SALIDAS_TC,FECHA_TC,"&gt;="&amp;CP$2,FECHA_TC,"&lt;="&amp;CP$3,CLAVE_TC,$A322)+SUMIFS(SALIDAS_COMB,FECHA_COMB,"&gt;="&amp;CP$2,FECHA_COMB,"&lt;="&amp;CP$3,CLAVE_COMB,$A322)+SUMIFS(SALIDAS_DES,FECHA_DESGLOSEN,"&gt;="&amp;CP$2,FECHA_DESGLOSEN,"&lt;="&amp;CP$3,CLAVE_DESGLOSE,$A322)</f>
        <v>25126.400000000001</v>
      </c>
      <c r="CQ322" s="162">
        <f>SUMIFS(SALIDAS_BIT,FECHA_BIT,"&gt;="&amp;CQ$2,FECHA_BIT,"&lt;="&amp;CQ$3,CLAVE_BIT,$A322)+SUMIFS(SALIDAS_BOV1,FECHA_BOV1,"&gt;="&amp;CQ$2,FECHA_BOV1,"&lt;="&amp;CQ$3,CLAVE_BOV1,$A322)+SUMIFS(SALIDAS_BOV2,FECHA_BOV2,"&gt;="&amp;CQ$2,FECHA_BOV2,"&lt;="&amp;CQ$3,CLAVE_BOV2,$A322)+SUMIFS(SALIDAS_BOV3,FECHA_BOV3,"&gt;="&amp;CQ$2,FECHA_BOV3,"&lt;="&amp;CQ$3,CLAVE_BOV3,$A322)+SUMIFS(SALIDAS_TC,FECHA_TC,"&gt;="&amp;CQ$2,FECHA_TC,"&lt;="&amp;CQ$3,CLAVE_TC,$A322)+SUMIFS(SALIDAS_COMB,FECHA_COMB,"&gt;="&amp;CQ$2,FECHA_COMB,"&lt;="&amp;CQ$3,CLAVE_COMB,$A322)+SUMIFS(SALIDAS_DES,FECHA_DESGLOSEN,"&gt;="&amp;CQ$2,FECHA_DESGLOSEN,"&lt;="&amp;CQ$3,CLAVE_DESGLOSE,$A322)</f>
        <v>126040.20000000001</v>
      </c>
      <c r="CR322" s="227">
        <f t="shared" si="666"/>
        <v>-126040.20000000001</v>
      </c>
      <c r="CS322" s="301">
        <f t="shared" si="667"/>
        <v>0</v>
      </c>
      <c r="CT322" s="68">
        <f t="shared" si="446"/>
        <v>100000</v>
      </c>
      <c r="CU322" s="13">
        <f>SUMIFS(SALIDAS_BIT,FECHA_BIT,"&gt;="&amp;CU$2,FECHA_BIT,"&lt;="&amp;CU$3,CLAVE_BIT,$A322)+SUMIFS(SALIDAS_BOV1,FECHA_BOV1,"&gt;="&amp;CU$2,FECHA_BOV1,"&lt;="&amp;CU$3,CLAVE_BOV1,$A322)+SUMIFS(SALIDAS_BOV2,FECHA_BOV2,"&gt;="&amp;CU$2,FECHA_BOV2,"&lt;="&amp;CU$3,CLAVE_BOV2,$A322)+SUMIFS(SALIDAS_BOV3,FECHA_BOV3,"&gt;="&amp;CU$2,FECHA_BOV3,"&lt;="&amp;CU$3,CLAVE_BOV3,$A322)+SUMIFS(SALIDAS_TC,FECHA_TC,"&gt;="&amp;CU$2,FECHA_TC,"&lt;="&amp;CU$3,CLAVE_TC,$A322)+SUMIFS(SALIDAS_COMB,FECHA_COMB,"&gt;="&amp;CU$2,FECHA_COMB,"&lt;="&amp;CU$3,CLAVE_COMB,$A322)+SUMIFS(SALIDAS_DES,FECHA_DESGLOSEN,"&gt;="&amp;CU$2,FECHA_DESGLOSEN,"&lt;="&amp;CU$3,CLAVE_DESGLOSE,$A322)</f>
        <v>25126.2</v>
      </c>
      <c r="CV322" s="13">
        <f>SUMIFS(SALIDAS_BIT,FECHA_BIT,"&gt;="&amp;CV$2,FECHA_BIT,"&lt;="&amp;CV$3,CLAVE_BIT,$A322)+SUMIFS(SALIDAS_BOV1,FECHA_BOV1,"&gt;="&amp;CV$2,FECHA_BOV1,"&lt;="&amp;CV$3,CLAVE_BOV1,$A322)+SUMIFS(SALIDAS_BOV2,FECHA_BOV2,"&gt;="&amp;CV$2,FECHA_BOV2,"&lt;="&amp;CV$3,CLAVE_BOV2,$A322)+SUMIFS(SALIDAS_BOV3,FECHA_BOV3,"&gt;="&amp;CV$2,FECHA_BOV3,"&lt;="&amp;CV$3,CLAVE_BOV3,$A322)+SUMIFS(SALIDAS_TC,FECHA_TC,"&gt;="&amp;CV$2,FECHA_TC,"&lt;="&amp;CV$3,CLAVE_TC,$A322)+SUMIFS(SALIDAS_COMB,FECHA_COMB,"&gt;="&amp;CV$2,FECHA_COMB,"&lt;="&amp;CV$3,CLAVE_COMB,$A322)+SUMIFS(SALIDAS_DES,FECHA_DESGLOSEN,"&gt;="&amp;CV$2,FECHA_DESGLOSEN,"&lt;="&amp;CV$3,CLAVE_DESGLOSE,$A322)</f>
        <v>25126.400000000001</v>
      </c>
      <c r="CW322" s="13">
        <f>SUMIFS(SALIDAS_BIT,FECHA_BIT,"&gt;="&amp;CW$2,FECHA_BIT,"&lt;="&amp;CW$3,CLAVE_BIT,$A322)+SUMIFS(SALIDAS_BOV1,FECHA_BOV1,"&gt;="&amp;CW$2,FECHA_BOV1,"&lt;="&amp;CW$3,CLAVE_BOV1,$A322)+SUMIFS(SALIDAS_BOV2,FECHA_BOV2,"&gt;="&amp;CW$2,FECHA_BOV2,"&lt;="&amp;CW$3,CLAVE_BOV2,$A322)+SUMIFS(SALIDAS_BOV3,FECHA_BOV3,"&gt;="&amp;CW$2,FECHA_BOV3,"&lt;="&amp;CW$3,CLAVE_BOV3,$A322)+SUMIFS(SALIDAS_TC,FECHA_TC,"&gt;="&amp;CW$2,FECHA_TC,"&lt;="&amp;CW$3,CLAVE_TC,$A322)+SUMIFS(SALIDAS_COMB,FECHA_COMB,"&gt;="&amp;CW$2,FECHA_COMB,"&lt;="&amp;CW$3,CLAVE_COMB,$A322)+SUMIFS(SALIDAS_DES,FECHA_DESGLOSEN,"&gt;="&amp;CW$2,FECHA_DESGLOSEN,"&lt;="&amp;CW$3,CLAVE_DESGLOSE,$A322)</f>
        <v>25501.8</v>
      </c>
      <c r="CX322" s="13">
        <f>SUMIFS(SALIDAS_BIT,FECHA_BIT,"&gt;="&amp;CX$2,FECHA_BIT,"&lt;="&amp;CX$3,CLAVE_BIT,$A322)+SUMIFS(SALIDAS_BOV1,FECHA_BOV1,"&gt;="&amp;CX$2,FECHA_BOV1,"&lt;="&amp;CX$3,CLAVE_BOV1,$A322)+SUMIFS(SALIDAS_BOV2,FECHA_BOV2,"&gt;="&amp;CX$2,FECHA_BOV2,"&lt;="&amp;CX$3,CLAVE_BOV2,$A322)+SUMIFS(SALIDAS_BOV3,FECHA_BOV3,"&gt;="&amp;CX$2,FECHA_BOV3,"&lt;="&amp;CX$3,CLAVE_BOV3,$A322)+SUMIFS(SALIDAS_TC,FECHA_TC,"&gt;="&amp;CX$2,FECHA_TC,"&lt;="&amp;CX$3,CLAVE_TC,$A322)+SUMIFS(SALIDAS_COMB,FECHA_COMB,"&gt;="&amp;CX$2,FECHA_COMB,"&lt;="&amp;CX$3,CLAVE_COMB,$A322)+SUMIFS(SALIDAS_DES,FECHA_DESGLOSEN,"&gt;="&amp;CX$2,FECHA_DESGLOSEN,"&lt;="&amp;CX$3,CLAVE_DESGLOSE,$A322)</f>
        <v>26957</v>
      </c>
      <c r="CY322" s="13">
        <f>SUMIFS(SALIDAS_BIT,FECHA_BIT,"&gt;="&amp;CY$2,FECHA_BIT,"&lt;="&amp;CY$3,CLAVE_BIT,$A322)+SUMIFS(SALIDAS_BOV1,FECHA_BOV1,"&gt;="&amp;CY$2,FECHA_BOV1,"&lt;="&amp;CY$3,CLAVE_BOV1,$A322)+SUMIFS(SALIDAS_BOV2,FECHA_BOV2,"&gt;="&amp;CY$2,FECHA_BOV2,"&lt;="&amp;CY$3,CLAVE_BOV2,$A322)+SUMIFS(SALIDAS_BOV3,FECHA_BOV3,"&gt;="&amp;CY$2,FECHA_BOV3,"&lt;="&amp;CY$3,CLAVE_BOV3,$A322)+SUMIFS(SALIDAS_TC,FECHA_TC,"&gt;="&amp;CY$2,FECHA_TC,"&lt;="&amp;CY$3,CLAVE_TC,$A322)+SUMIFS(SALIDAS_COMB,FECHA_COMB,"&gt;="&amp;CY$2,FECHA_COMB,"&lt;="&amp;CY$3,CLAVE_COMB,$A322)+SUMIFS(SALIDAS_DES,FECHA_DESGLOSEN,"&gt;="&amp;CY$2,FECHA_DESGLOSEN,"&lt;="&amp;CY$3,CLAVE_DESGLOSE,$A322)</f>
        <v>102711.40000000001</v>
      </c>
      <c r="CZ322" s="68">
        <f t="shared" si="474"/>
        <v>-2711.4000000000087</v>
      </c>
      <c r="DB322" s="17">
        <f>F322+N322+W322+AE322+AM322+AV322+BD322+BL322+BU322+CC322+CK322</f>
        <v>0</v>
      </c>
      <c r="DC322" s="17">
        <f>K322+T322+AB322+AJ322+AS322+BA322+BI322+BR322+BZ322+CH322+CQ322</f>
        <v>489887.39999999997</v>
      </c>
    </row>
    <row r="323" spans="1:107" ht="15" hidden="1">
      <c r="A323" s="12" t="str">
        <f t="shared" ref="A323:A331" si="668">C323&amp;D323&amp;E323</f>
        <v>ANALISISNOMINA ADMONANALISIS DE DATOS</v>
      </c>
      <c r="B323">
        <v>323</v>
      </c>
      <c r="C323" t="s">
        <v>152</v>
      </c>
      <c r="D323" s="12" t="s">
        <v>147</v>
      </c>
      <c r="E323" t="s">
        <v>153</v>
      </c>
      <c r="F323" s="260">
        <f>VLOOKUP($A323,T_PRESUPUESTO,MATCH(F$6,E_PRESUPUESTO,0),FALSE)</f>
        <v>20000</v>
      </c>
      <c r="G323" s="162">
        <f>SUMIFS(SALIDAS_BIT,FECHA_BIT,"&gt;="&amp;G$2,FECHA_BIT,"&lt;="&amp;G$3,CLAVE_BIT,$A323)+SUMIFS(SALIDAS_BOV1,FECHA_BOV1,"&gt;="&amp;G$2,FECHA_BOV1,"&lt;="&amp;G$3,CLAVE_BOV1,$A323)+SUMIFS(SALIDAS_BOV2,FECHA_BOV2,"&gt;="&amp;G$2,FECHA_BOV2,"&lt;="&amp;G$3,CLAVE_BOV2,$A323)+SUMIFS(SALIDAS_BOV3,FECHA_BOV3,"&gt;="&amp;G$2,FECHA_BOV3,"&lt;="&amp;G$3,CLAVE_BOV3,$A323)+SUMIFS(SALIDAS_TC,FECHA_TC,"&gt;="&amp;G$2,FECHA_TC,"&lt;="&amp;G$3,CLAVE_TC,$A323)+SUMIFS(SALIDAS_COMB,FECHA_COMB,"&gt;="&amp;G$2,FECHA_COMB,"&lt;="&amp;G$3,CLAVE_COMB,$A323)+SUMIFS(SALIDAS_DES,FECHA_DESGLOSEN,"&gt;="&amp;G$2,FECHA_DESGLOSEN,"&lt;="&amp;G$3,CLAVE_DESGLOSE,$A323)</f>
        <v>0</v>
      </c>
      <c r="H323" s="162">
        <f>SUMIFS(SALIDAS_BIT,FECHA_BIT,"&gt;="&amp;H$2,FECHA_BIT,"&lt;="&amp;H$3,CLAVE_BIT,$A323)+SUMIFS(SALIDAS_BOV1,FECHA_BOV1,"&gt;="&amp;H$2,FECHA_BOV1,"&lt;="&amp;H$3,CLAVE_BOV1,$A323)+SUMIFS(SALIDAS_BOV2,FECHA_BOV2,"&gt;="&amp;H$2,FECHA_BOV2,"&lt;="&amp;H$3,CLAVE_BOV2,$A323)+SUMIFS(SALIDAS_BOV3,FECHA_BOV3,"&gt;="&amp;H$2,FECHA_BOV3,"&lt;="&amp;H$3,CLAVE_BOV3,$A323)+SUMIFS(SALIDAS_TC,FECHA_TC,"&gt;="&amp;H$2,FECHA_TC,"&lt;="&amp;H$3,CLAVE_TC,$A323)+SUMIFS(SALIDAS_COMB,FECHA_COMB,"&gt;="&amp;H$2,FECHA_COMB,"&lt;="&amp;H$3,CLAVE_COMB,$A323)+SUMIFS(SALIDAS_DES,FECHA_DESGLOSEN,"&gt;="&amp;H$2,FECHA_DESGLOSEN,"&lt;="&amp;H$3,CLAVE_DESGLOSE,$A323)</f>
        <v>0</v>
      </c>
      <c r="I323" s="162">
        <f>SUMIFS(SALIDAS_BIT,FECHA_BIT,"&gt;="&amp;I$2,FECHA_BIT,"&lt;="&amp;I$3,CLAVE_BIT,$A323)+SUMIFS(SALIDAS_BOV1,FECHA_BOV1,"&gt;="&amp;I$2,FECHA_BOV1,"&lt;="&amp;I$3,CLAVE_BOV1,$A323)+SUMIFS(SALIDAS_BOV2,FECHA_BOV2,"&gt;="&amp;I$2,FECHA_BOV2,"&lt;="&amp;I$3,CLAVE_BOV2,$A323)+SUMIFS(SALIDAS_BOV3,FECHA_BOV3,"&gt;="&amp;I$2,FECHA_BOV3,"&lt;="&amp;I$3,CLAVE_BOV3,$A323)+SUMIFS(SALIDAS_TC,FECHA_TC,"&gt;="&amp;I$2,FECHA_TC,"&lt;="&amp;I$3,CLAVE_TC,$A323)+SUMIFS(SALIDAS_COMB,FECHA_COMB,"&gt;="&amp;I$2,FECHA_COMB,"&lt;="&amp;I$3,CLAVE_COMB,$A323)+SUMIFS(SALIDAS_DES,FECHA_DESGLOSEN,"&gt;="&amp;I$2,FECHA_DESGLOSEN,"&lt;="&amp;I$3,CLAVE_DESGLOSE,$A323)</f>
        <v>0</v>
      </c>
      <c r="J323" s="162">
        <f>SUMIFS(SALIDAS_BIT,FECHA_BIT,"&gt;="&amp;J$2,FECHA_BIT,"&lt;="&amp;J$3,CLAVE_BIT,$A323)+SUMIFS(SALIDAS_BOV1,FECHA_BOV1,"&gt;="&amp;J$2,FECHA_BOV1,"&lt;="&amp;J$3,CLAVE_BOV1,$A323)+SUMIFS(SALIDAS_BOV2,FECHA_BOV2,"&gt;="&amp;J$2,FECHA_BOV2,"&lt;="&amp;J$3,CLAVE_BOV2,$A323)+SUMIFS(SALIDAS_BOV3,FECHA_BOV3,"&gt;="&amp;J$2,FECHA_BOV3,"&lt;="&amp;J$3,CLAVE_BOV3,$A323)+SUMIFS(SALIDAS_TC,FECHA_TC,"&gt;="&amp;J$2,FECHA_TC,"&lt;="&amp;J$3,CLAVE_TC,$A323)+SUMIFS(SALIDAS_COMB,FECHA_COMB,"&gt;="&amp;J$2,FECHA_COMB,"&lt;="&amp;J$3,CLAVE_COMB,$A323)+SUMIFS(SALIDAS_DES,FECHA_DESGLOSEN,"&gt;="&amp;J$2,FECHA_DESGLOSEN,"&lt;="&amp;J$3,CLAVE_DESGLOSE,$A323)</f>
        <v>0</v>
      </c>
      <c r="K323" s="162">
        <f>SUMIFS(SALIDAS_BIT,FECHA_BIT,"&gt;="&amp;K$2,FECHA_BIT,"&lt;="&amp;K$3,CLAVE_BIT,$A323)+SUMIFS(SALIDAS_BOV1,FECHA_BOV1,"&gt;="&amp;K$2,FECHA_BOV1,"&lt;="&amp;K$3,CLAVE_BOV1,$A323)+SUMIFS(SALIDAS_BOV2,FECHA_BOV2,"&gt;="&amp;K$2,FECHA_BOV2,"&lt;="&amp;K$3,CLAVE_BOV2,$A323)+SUMIFS(SALIDAS_BOV3,FECHA_BOV3,"&gt;="&amp;K$2,FECHA_BOV3,"&lt;="&amp;K$3,CLAVE_BOV3,$A323)+SUMIFS(SALIDAS_TC,FECHA_TC,"&gt;="&amp;K$2,FECHA_TC,"&lt;="&amp;K$3,CLAVE_TC,$A323)+SUMIFS(SALIDAS_COMB,FECHA_COMB,"&gt;="&amp;K$2,FECHA_COMB,"&lt;="&amp;K$3,CLAVE_COMB,$A323)+SUMIFS(SALIDAS_DES,FECHA_DESGLOSEN,"&gt;="&amp;K$2,FECHA_DESGLOSEN,"&lt;="&amp;K$3,CLAVE_DESGLOSE,$A323)</f>
        <v>0</v>
      </c>
      <c r="L323" s="227">
        <f t="shared" ref="L323" si="669">F323-K323</f>
        <v>20000</v>
      </c>
      <c r="M323" s="301">
        <f t="shared" ref="M323" si="670">IFERROR((K323/F323),0)</f>
        <v>0</v>
      </c>
      <c r="N323" s="162">
        <f>VLOOKUP($A323,T_PRESUPUESTO,MATCH(N$6,E_PRESUPUESTO,0),FALSE)</f>
        <v>25000</v>
      </c>
      <c r="O323" s="162">
        <f>SUMIFS(SALIDAS_BIT,FECHA_BIT,"&gt;="&amp;O$2,FECHA_BIT,"&lt;="&amp;O$3,CLAVE_BIT,$A323)+SUMIFS(SALIDAS_BOV1,FECHA_BOV1,"&gt;="&amp;O$2,FECHA_BOV1,"&lt;="&amp;O$3,CLAVE_BOV1,$A323)+SUMIFS(SALIDAS_BOV2,FECHA_BOV2,"&gt;="&amp;O$2,FECHA_BOV2,"&lt;="&amp;O$3,CLAVE_BOV2,$A323)+SUMIFS(SALIDAS_BOV3,FECHA_BOV3,"&gt;="&amp;O$2,FECHA_BOV3,"&lt;="&amp;O$3,CLAVE_BOV3,$A323)+SUMIFS(SALIDAS_TC,FECHA_TC,"&gt;="&amp;O$2,FECHA_TC,"&lt;="&amp;O$3,CLAVE_TC,$A323)+SUMIFS(SALIDAS_COMB,FECHA_COMB,"&gt;="&amp;O$2,FECHA_COMB,"&lt;="&amp;O$3,CLAVE_COMB,$A323)+SUMIFS(SALIDAS_DES,FECHA_DESGLOSEN,"&gt;="&amp;O$2,FECHA_DESGLOSEN,"&lt;="&amp;O$3,CLAVE_DESGLOSE,$A323)</f>
        <v>0</v>
      </c>
      <c r="P323" s="162">
        <f>SUMIFS(SALIDAS_BIT,FECHA_BIT,"&gt;="&amp;P$2,FECHA_BIT,"&lt;="&amp;P$3,CLAVE_BIT,$A323)+SUMIFS(SALIDAS_BOV1,FECHA_BOV1,"&gt;="&amp;P$2,FECHA_BOV1,"&lt;="&amp;P$3,CLAVE_BOV1,$A323)+SUMIFS(SALIDAS_BOV2,FECHA_BOV2,"&gt;="&amp;P$2,FECHA_BOV2,"&lt;="&amp;P$3,CLAVE_BOV2,$A323)+SUMIFS(SALIDAS_BOV3,FECHA_BOV3,"&gt;="&amp;P$2,FECHA_BOV3,"&lt;="&amp;P$3,CLAVE_BOV3,$A323)+SUMIFS(SALIDAS_TC,FECHA_TC,"&gt;="&amp;P$2,FECHA_TC,"&lt;="&amp;P$3,CLAVE_TC,$A323)+SUMIFS(SALIDAS_COMB,FECHA_COMB,"&gt;="&amp;P$2,FECHA_COMB,"&lt;="&amp;P$3,CLAVE_COMB,$A323)+SUMIFS(SALIDAS_DES,FECHA_DESGLOSEN,"&gt;="&amp;P$2,FECHA_DESGLOSEN,"&lt;="&amp;P$3,CLAVE_DESGLOSE,$A323)</f>
        <v>0</v>
      </c>
      <c r="Q323" s="162">
        <f>SUMIFS(SALIDAS_BIT,FECHA_BIT,"&gt;="&amp;Q$2,FECHA_BIT,"&lt;="&amp;Q$3,CLAVE_BIT,$A323)+SUMIFS(SALIDAS_BOV1,FECHA_BOV1,"&gt;="&amp;Q$2,FECHA_BOV1,"&lt;="&amp;Q$3,CLAVE_BOV1,$A323)+SUMIFS(SALIDAS_BOV2,FECHA_BOV2,"&gt;="&amp;Q$2,FECHA_BOV2,"&lt;="&amp;Q$3,CLAVE_BOV2,$A323)+SUMIFS(SALIDAS_BOV3,FECHA_BOV3,"&gt;="&amp;Q$2,FECHA_BOV3,"&lt;="&amp;Q$3,CLAVE_BOV3,$A323)+SUMIFS(SALIDAS_TC,FECHA_TC,"&gt;="&amp;Q$2,FECHA_TC,"&lt;="&amp;Q$3,CLAVE_TC,$A323)+SUMIFS(SALIDAS_COMB,FECHA_COMB,"&gt;="&amp;Q$2,FECHA_COMB,"&lt;="&amp;Q$3,CLAVE_COMB,$A323)+SUMIFS(SALIDAS_DES,FECHA_DESGLOSEN,"&gt;="&amp;Q$2,FECHA_DESGLOSEN,"&lt;="&amp;Q$3,CLAVE_DESGLOSE,$A323)</f>
        <v>0</v>
      </c>
      <c r="R323" s="162">
        <f>SUMIFS(SALIDAS_BIT,FECHA_BIT,"&gt;="&amp;R$2,FECHA_BIT,"&lt;="&amp;R$3,CLAVE_BIT,$A323)+SUMIFS(SALIDAS_BOV1,FECHA_BOV1,"&gt;="&amp;R$2,FECHA_BOV1,"&lt;="&amp;R$3,CLAVE_BOV1,$A323)+SUMIFS(SALIDAS_BOV2,FECHA_BOV2,"&gt;="&amp;R$2,FECHA_BOV2,"&lt;="&amp;R$3,CLAVE_BOV2,$A323)+SUMIFS(SALIDAS_BOV3,FECHA_BOV3,"&gt;="&amp;R$2,FECHA_BOV3,"&lt;="&amp;R$3,CLAVE_BOV3,$A323)+SUMIFS(SALIDAS_TC,FECHA_TC,"&gt;="&amp;R$2,FECHA_TC,"&lt;="&amp;R$3,CLAVE_TC,$A323)+SUMIFS(SALIDAS_COMB,FECHA_COMB,"&gt;="&amp;R$2,FECHA_COMB,"&lt;="&amp;R$3,CLAVE_COMB,$A323)+SUMIFS(SALIDAS_DES,FECHA_DESGLOSEN,"&gt;="&amp;R$2,FECHA_DESGLOSEN,"&lt;="&amp;R$3,CLAVE_DESGLOSE,$A323)</f>
        <v>0</v>
      </c>
      <c r="S323" s="162">
        <f>SUMIFS(SALIDAS_BIT,FECHA_BIT,"&gt;="&amp;S$2,FECHA_BIT,"&lt;="&amp;S$3,CLAVE_BIT,$A323)+SUMIFS(SALIDAS_BOV1,FECHA_BOV1,"&gt;="&amp;S$2,FECHA_BOV1,"&lt;="&amp;S$3,CLAVE_BOV1,$A323)+SUMIFS(SALIDAS_BOV2,FECHA_BOV2,"&gt;="&amp;S$2,FECHA_BOV2,"&lt;="&amp;S$3,CLAVE_BOV2,$A323)+SUMIFS(SALIDAS_BOV3,FECHA_BOV3,"&gt;="&amp;S$2,FECHA_BOV3,"&lt;="&amp;S$3,CLAVE_BOV3,$A323)+SUMIFS(SALIDAS_TC,FECHA_TC,"&gt;="&amp;S$2,FECHA_TC,"&lt;="&amp;S$3,CLAVE_TC,$A323)+SUMIFS(SALIDAS_COMB,FECHA_COMB,"&gt;="&amp;S$2,FECHA_COMB,"&lt;="&amp;S$3,CLAVE_COMB,$A323)+SUMIFS(SALIDAS_DES,FECHA_DESGLOSEN,"&gt;="&amp;S$2,FECHA_DESGLOSEN,"&lt;="&amp;S$3,CLAVE_DESGLOSE,$A323)</f>
        <v>0</v>
      </c>
      <c r="T323" s="162">
        <f>SUMIFS(SALIDAS_BIT,FECHA_BIT,"&gt;="&amp;T$2,FECHA_BIT,"&lt;="&amp;T$3,CLAVE_BIT,$A323)+SUMIFS(SALIDAS_BOV1,FECHA_BOV1,"&gt;="&amp;T$2,FECHA_BOV1,"&lt;="&amp;T$3,CLAVE_BOV1,$A323)+SUMIFS(SALIDAS_BOV2,FECHA_BOV2,"&gt;="&amp;T$2,FECHA_BOV2,"&lt;="&amp;T$3,CLAVE_BOV2,$A323)+SUMIFS(SALIDAS_BOV3,FECHA_BOV3,"&gt;="&amp;T$2,FECHA_BOV3,"&lt;="&amp;T$3,CLAVE_BOV3,$A323)+SUMIFS(SALIDAS_TC,FECHA_TC,"&gt;="&amp;T$2,FECHA_TC,"&lt;="&amp;T$3,CLAVE_TC,$A323)+SUMIFS(SALIDAS_COMB,FECHA_COMB,"&gt;="&amp;T$2,FECHA_COMB,"&lt;="&amp;T$3,CLAVE_COMB,$A323)+SUMIFS(SALIDAS_DES,FECHA_DESGLOSEN,"&gt;="&amp;T$2,FECHA_DESGLOSEN,"&lt;="&amp;T$3,CLAVE_DESGLOSE,$A323)</f>
        <v>0</v>
      </c>
      <c r="U323" s="227">
        <f t="shared" ref="U323" si="671">N323-T323</f>
        <v>25000</v>
      </c>
      <c r="V323" s="301">
        <f t="shared" ref="V323" si="672">IFERROR((T323/N323),0)</f>
        <v>0</v>
      </c>
      <c r="W323" s="162">
        <f>VLOOKUP($A323,T_PRESUPUESTO,MATCH(W$6,E_PRESUPUESTO,0),FALSE)</f>
        <v>20000</v>
      </c>
      <c r="X323" s="162">
        <f>SUMIFS(SALIDAS_BIT,FECHA_BIT,"&gt;="&amp;X$2,FECHA_BIT,"&lt;="&amp;X$3,CLAVE_BIT,$A323)+SUMIFS(SALIDAS_BOV1,FECHA_BOV1,"&gt;="&amp;X$2,FECHA_BOV1,"&lt;="&amp;X$3,CLAVE_BOV1,$A323)+SUMIFS(SALIDAS_BOV2,FECHA_BOV2,"&gt;="&amp;X$2,FECHA_BOV2,"&lt;="&amp;X$3,CLAVE_BOV2,$A323)+SUMIFS(SALIDAS_BOV3,FECHA_BOV3,"&gt;="&amp;X$2,FECHA_BOV3,"&lt;="&amp;X$3,CLAVE_BOV3,$A323)+SUMIFS(SALIDAS_TC,FECHA_TC,"&gt;="&amp;X$2,FECHA_TC,"&lt;="&amp;X$3,CLAVE_TC,$A323)+SUMIFS(SALIDAS_COMB,FECHA_COMB,"&gt;="&amp;X$2,FECHA_COMB,"&lt;="&amp;X$3,CLAVE_COMB,$A323)+SUMIFS(SALIDAS_DES,FECHA_DESGLOSEN,"&gt;="&amp;X$2,FECHA_DESGLOSEN,"&lt;="&amp;X$3,CLAVE_DESGLOSE,$A323)</f>
        <v>0</v>
      </c>
      <c r="Y323" s="162">
        <f>SUMIFS(SALIDAS_BIT,FECHA_BIT,"&gt;="&amp;Y$2,FECHA_BIT,"&lt;="&amp;Y$3,CLAVE_BIT,$A323)+SUMIFS(SALIDAS_BOV1,FECHA_BOV1,"&gt;="&amp;Y$2,FECHA_BOV1,"&lt;="&amp;Y$3,CLAVE_BOV1,$A323)+SUMIFS(SALIDAS_BOV2,FECHA_BOV2,"&gt;="&amp;Y$2,FECHA_BOV2,"&lt;="&amp;Y$3,CLAVE_BOV2,$A323)+SUMIFS(SALIDAS_BOV3,FECHA_BOV3,"&gt;="&amp;Y$2,FECHA_BOV3,"&lt;="&amp;Y$3,CLAVE_BOV3,$A323)+SUMIFS(SALIDAS_TC,FECHA_TC,"&gt;="&amp;Y$2,FECHA_TC,"&lt;="&amp;Y$3,CLAVE_TC,$A323)+SUMIFS(SALIDAS_COMB,FECHA_COMB,"&gt;="&amp;Y$2,FECHA_COMB,"&lt;="&amp;Y$3,CLAVE_COMB,$A323)+SUMIFS(SALIDAS_DES,FECHA_DESGLOSEN,"&gt;="&amp;Y$2,FECHA_DESGLOSEN,"&lt;="&amp;Y$3,CLAVE_DESGLOSE,$A323)</f>
        <v>0</v>
      </c>
      <c r="Z323" s="162">
        <f>SUMIFS(SALIDAS_BIT,FECHA_BIT,"&gt;="&amp;Z$2,FECHA_BIT,"&lt;="&amp;Z$3,CLAVE_BIT,$A323)+SUMIFS(SALIDAS_BOV1,FECHA_BOV1,"&gt;="&amp;Z$2,FECHA_BOV1,"&lt;="&amp;Z$3,CLAVE_BOV1,$A323)+SUMIFS(SALIDAS_BOV2,FECHA_BOV2,"&gt;="&amp;Z$2,FECHA_BOV2,"&lt;="&amp;Z$3,CLAVE_BOV2,$A323)+SUMIFS(SALIDAS_BOV3,FECHA_BOV3,"&gt;="&amp;Z$2,FECHA_BOV3,"&lt;="&amp;Z$3,CLAVE_BOV3,$A323)+SUMIFS(SALIDAS_TC,FECHA_TC,"&gt;="&amp;Z$2,FECHA_TC,"&lt;="&amp;Z$3,CLAVE_TC,$A323)+SUMIFS(SALIDAS_COMB,FECHA_COMB,"&gt;="&amp;Z$2,FECHA_COMB,"&lt;="&amp;Z$3,CLAVE_COMB,$A323)+SUMIFS(SALIDAS_DES,FECHA_DESGLOSEN,"&gt;="&amp;Z$2,FECHA_DESGLOSEN,"&lt;="&amp;Z$3,CLAVE_DESGLOSE,$A323)</f>
        <v>0</v>
      </c>
      <c r="AA323" s="162">
        <f>SUMIFS(SALIDAS_BIT,FECHA_BIT,"&gt;="&amp;AA$2,FECHA_BIT,"&lt;="&amp;AA$3,CLAVE_BIT,$A323)+SUMIFS(SALIDAS_BOV1,FECHA_BOV1,"&gt;="&amp;AA$2,FECHA_BOV1,"&lt;="&amp;AA$3,CLAVE_BOV1,$A323)+SUMIFS(SALIDAS_BOV2,FECHA_BOV2,"&gt;="&amp;AA$2,FECHA_BOV2,"&lt;="&amp;AA$3,CLAVE_BOV2,$A323)+SUMIFS(SALIDAS_BOV3,FECHA_BOV3,"&gt;="&amp;AA$2,FECHA_BOV3,"&lt;="&amp;AA$3,CLAVE_BOV3,$A323)+SUMIFS(SALIDAS_TC,FECHA_TC,"&gt;="&amp;AA$2,FECHA_TC,"&lt;="&amp;AA$3,CLAVE_TC,$A323)+SUMIFS(SALIDAS_COMB,FECHA_COMB,"&gt;="&amp;AA$2,FECHA_COMB,"&lt;="&amp;AA$3,CLAVE_COMB,$A323)+SUMIFS(SALIDAS_DES,FECHA_DESGLOSEN,"&gt;="&amp;AA$2,FECHA_DESGLOSEN,"&lt;="&amp;AA$3,CLAVE_DESGLOSE,$A323)</f>
        <v>0</v>
      </c>
      <c r="AB323" s="162">
        <f>SUMIFS(SALIDAS_BIT,FECHA_BIT,"&gt;="&amp;AB$2,FECHA_BIT,"&lt;="&amp;AB$3,CLAVE_BIT,$A323)+SUMIFS(SALIDAS_BOV1,FECHA_BOV1,"&gt;="&amp;AB$2,FECHA_BOV1,"&lt;="&amp;AB$3,CLAVE_BOV1,$A323)+SUMIFS(SALIDAS_BOV2,FECHA_BOV2,"&gt;="&amp;AB$2,FECHA_BOV2,"&lt;="&amp;AB$3,CLAVE_BOV2,$A323)+SUMIFS(SALIDAS_BOV3,FECHA_BOV3,"&gt;="&amp;AB$2,FECHA_BOV3,"&lt;="&amp;AB$3,CLAVE_BOV3,$A323)+SUMIFS(SALIDAS_TC,FECHA_TC,"&gt;="&amp;AB$2,FECHA_TC,"&lt;="&amp;AB$3,CLAVE_TC,$A323)+SUMIFS(SALIDAS_COMB,FECHA_COMB,"&gt;="&amp;AB$2,FECHA_COMB,"&lt;="&amp;AB$3,CLAVE_COMB,$A323)+SUMIFS(SALIDAS_DES,FECHA_DESGLOSEN,"&gt;="&amp;AB$2,FECHA_DESGLOSEN,"&lt;="&amp;AB$3,CLAVE_DESGLOSE,$A323)</f>
        <v>0</v>
      </c>
      <c r="AC323" s="227">
        <f t="shared" ref="AC323" si="673">W323-AB323</f>
        <v>20000</v>
      </c>
      <c r="AD323" s="301">
        <f t="shared" ref="AD323" si="674">IFERROR((AB323/W323),0)</f>
        <v>0</v>
      </c>
      <c r="AE323" s="162">
        <f>VLOOKUP($A323,T_PRESUPUESTO,MATCH(AE$6,E_PRESUPUESTO,0),FALSE)</f>
        <v>20000</v>
      </c>
      <c r="AF323" s="162">
        <f>SUMIFS(SALIDAS_BIT,FECHA_BIT,"&gt;="&amp;AF$2,FECHA_BIT,"&lt;="&amp;AF$3,CLAVE_BIT,$A323)+SUMIFS(SALIDAS_BOV1,FECHA_BOV1,"&gt;="&amp;AF$2,FECHA_BOV1,"&lt;="&amp;AF$3,CLAVE_BOV1,$A323)+SUMIFS(SALIDAS_BOV2,FECHA_BOV2,"&gt;="&amp;AF$2,FECHA_BOV2,"&lt;="&amp;AF$3,CLAVE_BOV2,$A323)+SUMIFS(SALIDAS_BOV3,FECHA_BOV3,"&gt;="&amp;AF$2,FECHA_BOV3,"&lt;="&amp;AF$3,CLAVE_BOV3,$A323)+SUMIFS(SALIDAS_TC,FECHA_TC,"&gt;="&amp;AF$2,FECHA_TC,"&lt;="&amp;AF$3,CLAVE_TC,$A323)+SUMIFS(SALIDAS_COMB,FECHA_COMB,"&gt;="&amp;AF$2,FECHA_COMB,"&lt;="&amp;AF$3,CLAVE_COMB,$A323)+SUMIFS(SALIDAS_DES,FECHA_DESGLOSEN,"&gt;="&amp;AF$2,FECHA_DESGLOSEN,"&lt;="&amp;AF$3,CLAVE_DESGLOSE,$A323)</f>
        <v>0</v>
      </c>
      <c r="AG323" s="162">
        <f>SUMIFS(SALIDAS_BIT,FECHA_BIT,"&gt;="&amp;AG$2,FECHA_BIT,"&lt;="&amp;AG$3,CLAVE_BIT,$A323)+SUMIFS(SALIDAS_BOV1,FECHA_BOV1,"&gt;="&amp;AG$2,FECHA_BOV1,"&lt;="&amp;AG$3,CLAVE_BOV1,$A323)+SUMIFS(SALIDAS_BOV2,FECHA_BOV2,"&gt;="&amp;AG$2,FECHA_BOV2,"&lt;="&amp;AG$3,CLAVE_BOV2,$A323)+SUMIFS(SALIDAS_BOV3,FECHA_BOV3,"&gt;="&amp;AG$2,FECHA_BOV3,"&lt;="&amp;AG$3,CLAVE_BOV3,$A323)+SUMIFS(SALIDAS_TC,FECHA_TC,"&gt;="&amp;AG$2,FECHA_TC,"&lt;="&amp;AG$3,CLAVE_TC,$A323)+SUMIFS(SALIDAS_COMB,FECHA_COMB,"&gt;="&amp;AG$2,FECHA_COMB,"&lt;="&amp;AG$3,CLAVE_COMB,$A323)+SUMIFS(SALIDAS_DES,FECHA_DESGLOSEN,"&gt;="&amp;AG$2,FECHA_DESGLOSEN,"&lt;="&amp;AG$3,CLAVE_DESGLOSE,$A323)</f>
        <v>0</v>
      </c>
      <c r="AH323" s="162">
        <f>SUMIFS(SALIDAS_BIT,FECHA_BIT,"&gt;="&amp;AH$2,FECHA_BIT,"&lt;="&amp;AH$3,CLAVE_BIT,$A323)+SUMIFS(SALIDAS_BOV1,FECHA_BOV1,"&gt;="&amp;AH$2,FECHA_BOV1,"&lt;="&amp;AH$3,CLAVE_BOV1,$A323)+SUMIFS(SALIDAS_BOV2,FECHA_BOV2,"&gt;="&amp;AH$2,FECHA_BOV2,"&lt;="&amp;AH$3,CLAVE_BOV2,$A323)+SUMIFS(SALIDAS_BOV3,FECHA_BOV3,"&gt;="&amp;AH$2,FECHA_BOV3,"&lt;="&amp;AH$3,CLAVE_BOV3,$A323)+SUMIFS(SALIDAS_TC,FECHA_TC,"&gt;="&amp;AH$2,FECHA_TC,"&lt;="&amp;AH$3,CLAVE_TC,$A323)+SUMIFS(SALIDAS_COMB,FECHA_COMB,"&gt;="&amp;AH$2,FECHA_COMB,"&lt;="&amp;AH$3,CLAVE_COMB,$A323)+SUMIFS(SALIDAS_DES,FECHA_DESGLOSEN,"&gt;="&amp;AH$2,FECHA_DESGLOSEN,"&lt;="&amp;AH$3,CLAVE_DESGLOSE,$A323)</f>
        <v>0</v>
      </c>
      <c r="AI323" s="162">
        <f>SUMIFS(SALIDAS_BIT,FECHA_BIT,"&gt;="&amp;AI$2,FECHA_BIT,"&lt;="&amp;AI$3,CLAVE_BIT,$A323)+SUMIFS(SALIDAS_BOV1,FECHA_BOV1,"&gt;="&amp;AI$2,FECHA_BOV1,"&lt;="&amp;AI$3,CLAVE_BOV1,$A323)+SUMIFS(SALIDAS_BOV2,FECHA_BOV2,"&gt;="&amp;AI$2,FECHA_BOV2,"&lt;="&amp;AI$3,CLAVE_BOV2,$A323)+SUMIFS(SALIDAS_BOV3,FECHA_BOV3,"&gt;="&amp;AI$2,FECHA_BOV3,"&lt;="&amp;AI$3,CLAVE_BOV3,$A323)+SUMIFS(SALIDAS_TC,FECHA_TC,"&gt;="&amp;AI$2,FECHA_TC,"&lt;="&amp;AI$3,CLAVE_TC,$A323)+SUMIFS(SALIDAS_COMB,FECHA_COMB,"&gt;="&amp;AI$2,FECHA_COMB,"&lt;="&amp;AI$3,CLAVE_COMB,$A323)+SUMIFS(SALIDAS_DES,FECHA_DESGLOSEN,"&gt;="&amp;AI$2,FECHA_DESGLOSEN,"&lt;="&amp;AI$3,CLAVE_DESGLOSE,$A323)</f>
        <v>0</v>
      </c>
      <c r="AJ323" s="162">
        <f>SUMIFS(SALIDAS_BIT,FECHA_BIT,"&gt;="&amp;AJ$2,FECHA_BIT,"&lt;="&amp;AJ$3,CLAVE_BIT,$A323)+SUMIFS(SALIDAS_BOV1,FECHA_BOV1,"&gt;="&amp;AJ$2,FECHA_BOV1,"&lt;="&amp;AJ$3,CLAVE_BOV1,$A323)+SUMIFS(SALIDAS_BOV2,FECHA_BOV2,"&gt;="&amp;AJ$2,FECHA_BOV2,"&lt;="&amp;AJ$3,CLAVE_BOV2,$A323)+SUMIFS(SALIDAS_BOV3,FECHA_BOV3,"&gt;="&amp;AJ$2,FECHA_BOV3,"&lt;="&amp;AJ$3,CLAVE_BOV3,$A323)+SUMIFS(SALIDAS_TC,FECHA_TC,"&gt;="&amp;AJ$2,FECHA_TC,"&lt;="&amp;AJ$3,CLAVE_TC,$A323)+SUMIFS(SALIDAS_COMB,FECHA_COMB,"&gt;="&amp;AJ$2,FECHA_COMB,"&lt;="&amp;AJ$3,CLAVE_COMB,$A323)+SUMIFS(SALIDAS_DES,FECHA_DESGLOSEN,"&gt;="&amp;AJ$2,FECHA_DESGLOSEN,"&lt;="&amp;AJ$3,CLAVE_DESGLOSE,$A323)</f>
        <v>0</v>
      </c>
      <c r="AK323" s="227">
        <f t="shared" ref="AK323" si="675">AE323-AJ323</f>
        <v>20000</v>
      </c>
      <c r="AL323" s="301">
        <f t="shared" ref="AL323" si="676">IFERROR((AJ323/AE323),0)</f>
        <v>0</v>
      </c>
      <c r="AM323" s="162">
        <f>VLOOKUP($A323,T_PRESUPUESTO,MATCH(AM$6,E_PRESUPUESTO,0),FALSE)</f>
        <v>25000</v>
      </c>
      <c r="AN323" s="162">
        <f>SUMIFS(SALIDAS_BIT,FECHA_BIT,"&gt;="&amp;AN$2,FECHA_BIT,"&lt;="&amp;AN$3,CLAVE_BIT,$A323)+SUMIFS(SALIDAS_BOV1,FECHA_BOV1,"&gt;="&amp;AN$2,FECHA_BOV1,"&lt;="&amp;AN$3,CLAVE_BOV1,$A323)+SUMIFS(SALIDAS_BOV2,FECHA_BOV2,"&gt;="&amp;AN$2,FECHA_BOV2,"&lt;="&amp;AN$3,CLAVE_BOV2,$A323)+SUMIFS(SALIDAS_BOV3,FECHA_BOV3,"&gt;="&amp;AN$2,FECHA_BOV3,"&lt;="&amp;AN$3,CLAVE_BOV3,$A323)+SUMIFS(SALIDAS_TC,FECHA_TC,"&gt;="&amp;AN$2,FECHA_TC,"&lt;="&amp;AN$3,CLAVE_TC,$A323)+SUMIFS(SALIDAS_COMB,FECHA_COMB,"&gt;="&amp;AN$2,FECHA_COMB,"&lt;="&amp;AN$3,CLAVE_COMB,$A323)+SUMIFS(SALIDAS_DES,FECHA_DESGLOSEN,"&gt;="&amp;AN$2,FECHA_DESGLOSEN,"&lt;="&amp;AN$3,CLAVE_DESGLOSE,$A323)</f>
        <v>0</v>
      </c>
      <c r="AO323" s="162">
        <f>SUMIFS(SALIDAS_BIT,FECHA_BIT,"&gt;="&amp;AO$2,FECHA_BIT,"&lt;="&amp;AO$3,CLAVE_BIT,$A323)+SUMIFS(SALIDAS_BOV1,FECHA_BOV1,"&gt;="&amp;AO$2,FECHA_BOV1,"&lt;="&amp;AO$3,CLAVE_BOV1,$A323)+SUMIFS(SALIDAS_BOV2,FECHA_BOV2,"&gt;="&amp;AO$2,FECHA_BOV2,"&lt;="&amp;AO$3,CLAVE_BOV2,$A323)+SUMIFS(SALIDAS_BOV3,FECHA_BOV3,"&gt;="&amp;AO$2,FECHA_BOV3,"&lt;="&amp;AO$3,CLAVE_BOV3,$A323)+SUMIFS(SALIDAS_TC,FECHA_TC,"&gt;="&amp;AO$2,FECHA_TC,"&lt;="&amp;AO$3,CLAVE_TC,$A323)+SUMIFS(SALIDAS_COMB,FECHA_COMB,"&gt;="&amp;AO$2,FECHA_COMB,"&lt;="&amp;AO$3,CLAVE_COMB,$A323)+SUMIFS(SALIDAS_DES,FECHA_DESGLOSEN,"&gt;="&amp;AO$2,FECHA_DESGLOSEN,"&lt;="&amp;AO$3,CLAVE_DESGLOSE,$A323)</f>
        <v>0</v>
      </c>
      <c r="AP323" s="162">
        <f>SUMIFS(SALIDAS_BIT,FECHA_BIT,"&gt;="&amp;AP$2,FECHA_BIT,"&lt;="&amp;AP$3,CLAVE_BIT,$A323)+SUMIFS(SALIDAS_BOV1,FECHA_BOV1,"&gt;="&amp;AP$2,FECHA_BOV1,"&lt;="&amp;AP$3,CLAVE_BOV1,$A323)+SUMIFS(SALIDAS_BOV2,FECHA_BOV2,"&gt;="&amp;AP$2,FECHA_BOV2,"&lt;="&amp;AP$3,CLAVE_BOV2,$A323)+SUMIFS(SALIDAS_BOV3,FECHA_BOV3,"&gt;="&amp;AP$2,FECHA_BOV3,"&lt;="&amp;AP$3,CLAVE_BOV3,$A323)+SUMIFS(SALIDAS_TC,FECHA_TC,"&gt;="&amp;AP$2,FECHA_TC,"&lt;="&amp;AP$3,CLAVE_TC,$A323)+SUMIFS(SALIDAS_COMB,FECHA_COMB,"&gt;="&amp;AP$2,FECHA_COMB,"&lt;="&amp;AP$3,CLAVE_COMB,$A323)+SUMIFS(SALIDAS_DES,FECHA_DESGLOSEN,"&gt;="&amp;AP$2,FECHA_DESGLOSEN,"&lt;="&amp;AP$3,CLAVE_DESGLOSE,$A323)</f>
        <v>0</v>
      </c>
      <c r="AQ323" s="162">
        <f>SUMIFS(SALIDAS_BIT,FECHA_BIT,"&gt;="&amp;AQ$2,FECHA_BIT,"&lt;="&amp;AQ$3,CLAVE_BIT,$A323)+SUMIFS(SALIDAS_BOV1,FECHA_BOV1,"&gt;="&amp;AQ$2,FECHA_BOV1,"&lt;="&amp;AQ$3,CLAVE_BOV1,$A323)+SUMIFS(SALIDAS_BOV2,FECHA_BOV2,"&gt;="&amp;AQ$2,FECHA_BOV2,"&lt;="&amp;AQ$3,CLAVE_BOV2,$A323)+SUMIFS(SALIDAS_BOV3,FECHA_BOV3,"&gt;="&amp;AQ$2,FECHA_BOV3,"&lt;="&amp;AQ$3,CLAVE_BOV3,$A323)+SUMIFS(SALIDAS_TC,FECHA_TC,"&gt;="&amp;AQ$2,FECHA_TC,"&lt;="&amp;AQ$3,CLAVE_TC,$A323)+SUMIFS(SALIDAS_COMB,FECHA_COMB,"&gt;="&amp;AQ$2,FECHA_COMB,"&lt;="&amp;AQ$3,CLAVE_COMB,$A323)+SUMIFS(SALIDAS_DES,FECHA_DESGLOSEN,"&gt;="&amp;AQ$2,FECHA_DESGLOSEN,"&lt;="&amp;AQ$3,CLAVE_DESGLOSE,$A323)</f>
        <v>0</v>
      </c>
      <c r="AR323" s="162">
        <f>SUMIFS(SALIDAS_BIT,FECHA_BIT,"&gt;="&amp;AR$2,FECHA_BIT,"&lt;="&amp;AR$3,CLAVE_BIT,$A323)+SUMIFS(SALIDAS_BOV1,FECHA_BOV1,"&gt;="&amp;AR$2,FECHA_BOV1,"&lt;="&amp;AR$3,CLAVE_BOV1,$A323)+SUMIFS(SALIDAS_BOV2,FECHA_BOV2,"&gt;="&amp;AR$2,FECHA_BOV2,"&lt;="&amp;AR$3,CLAVE_BOV2,$A323)+SUMIFS(SALIDAS_BOV3,FECHA_BOV3,"&gt;="&amp;AR$2,FECHA_BOV3,"&lt;="&amp;AR$3,CLAVE_BOV3,$A323)+SUMIFS(SALIDAS_TC,FECHA_TC,"&gt;="&amp;AR$2,FECHA_TC,"&lt;="&amp;AR$3,CLAVE_TC,$A323)+SUMIFS(SALIDAS_COMB,FECHA_COMB,"&gt;="&amp;AR$2,FECHA_COMB,"&lt;="&amp;AR$3,CLAVE_COMB,$A323)+SUMIFS(SALIDAS_DES,FECHA_DESGLOSEN,"&gt;="&amp;AR$2,FECHA_DESGLOSEN,"&lt;="&amp;AR$3,CLAVE_DESGLOSE,$A323)</f>
        <v>0</v>
      </c>
      <c r="AS323" s="162">
        <f>SUMIFS(SALIDAS_BIT,FECHA_BIT,"&gt;="&amp;AS$2,FECHA_BIT,"&lt;="&amp;AS$3,CLAVE_BIT,$A323)+SUMIFS(SALIDAS_BOV1,FECHA_BOV1,"&gt;="&amp;AS$2,FECHA_BOV1,"&lt;="&amp;AS$3,CLAVE_BOV1,$A323)+SUMIFS(SALIDAS_BOV2,FECHA_BOV2,"&gt;="&amp;AS$2,FECHA_BOV2,"&lt;="&amp;AS$3,CLAVE_BOV2,$A323)+SUMIFS(SALIDAS_BOV3,FECHA_BOV3,"&gt;="&amp;AS$2,FECHA_BOV3,"&lt;="&amp;AS$3,CLAVE_BOV3,$A323)+SUMIFS(SALIDAS_TC,FECHA_TC,"&gt;="&amp;AS$2,FECHA_TC,"&lt;="&amp;AS$3,CLAVE_TC,$A323)+SUMIFS(SALIDAS_COMB,FECHA_COMB,"&gt;="&amp;AS$2,FECHA_COMB,"&lt;="&amp;AS$3,CLAVE_COMB,$A323)+SUMIFS(SALIDAS_DES,FECHA_DESGLOSEN,"&gt;="&amp;AS$2,FECHA_DESGLOSEN,"&lt;="&amp;AS$3,CLAVE_DESGLOSE,$A323)</f>
        <v>0</v>
      </c>
      <c r="AT323" s="227">
        <f t="shared" ref="AT323" si="677">AM323-AS323</f>
        <v>25000</v>
      </c>
      <c r="AU323" s="301">
        <f t="shared" ref="AU323" si="678">IFERROR((AS323/AM323),0)</f>
        <v>0</v>
      </c>
      <c r="AV323" s="162">
        <f>VLOOKUP($A323,T_PRESUPUESTO,MATCH(AV$6,E_PRESUPUESTO,0),FALSE)</f>
        <v>20000</v>
      </c>
      <c r="AW323" s="162">
        <f>SUMIFS(SALIDAS_BIT,FECHA_BIT,"&gt;="&amp;AW$2,FECHA_BIT,"&lt;="&amp;AW$3,CLAVE_BIT,$A323)+SUMIFS(SALIDAS_BOV1,FECHA_BOV1,"&gt;="&amp;AW$2,FECHA_BOV1,"&lt;="&amp;AW$3,CLAVE_BOV1,$A323)+SUMIFS(SALIDAS_BOV2,FECHA_BOV2,"&gt;="&amp;AW$2,FECHA_BOV2,"&lt;="&amp;AW$3,CLAVE_BOV2,$A323)+SUMIFS(SALIDAS_BOV3,FECHA_BOV3,"&gt;="&amp;AW$2,FECHA_BOV3,"&lt;="&amp;AW$3,CLAVE_BOV3,$A323)+SUMIFS(SALIDAS_TC,FECHA_TC,"&gt;="&amp;AW$2,FECHA_TC,"&lt;="&amp;AW$3,CLAVE_TC,$A323)+SUMIFS(SALIDAS_COMB,FECHA_COMB,"&gt;="&amp;AW$2,FECHA_COMB,"&lt;="&amp;AW$3,CLAVE_COMB,$A323)+SUMIFS(SALIDAS_DES,FECHA_DESGLOSEN,"&gt;="&amp;AW$2,FECHA_DESGLOSEN,"&lt;="&amp;AW$3,CLAVE_DESGLOSE,$A323)</f>
        <v>0</v>
      </c>
      <c r="AX323" s="162">
        <f>SUMIFS(SALIDAS_BIT,FECHA_BIT,"&gt;="&amp;AX$2,FECHA_BIT,"&lt;="&amp;AX$3,CLAVE_BIT,$A323)+SUMIFS(SALIDAS_BOV1,FECHA_BOV1,"&gt;="&amp;AX$2,FECHA_BOV1,"&lt;="&amp;AX$3,CLAVE_BOV1,$A323)+SUMIFS(SALIDAS_BOV2,FECHA_BOV2,"&gt;="&amp;AX$2,FECHA_BOV2,"&lt;="&amp;AX$3,CLAVE_BOV2,$A323)+SUMIFS(SALIDAS_BOV3,FECHA_BOV3,"&gt;="&amp;AX$2,FECHA_BOV3,"&lt;="&amp;AX$3,CLAVE_BOV3,$A323)+SUMIFS(SALIDAS_TC,FECHA_TC,"&gt;="&amp;AX$2,FECHA_TC,"&lt;="&amp;AX$3,CLAVE_TC,$A323)+SUMIFS(SALIDAS_COMB,FECHA_COMB,"&gt;="&amp;AX$2,FECHA_COMB,"&lt;="&amp;AX$3,CLAVE_COMB,$A323)+SUMIFS(SALIDAS_DES,FECHA_DESGLOSEN,"&gt;="&amp;AX$2,FECHA_DESGLOSEN,"&lt;="&amp;AX$3,CLAVE_DESGLOSE,$A323)</f>
        <v>0</v>
      </c>
      <c r="AY323" s="162">
        <f>SUMIFS(SALIDAS_BIT,FECHA_BIT,"&gt;="&amp;AY$2,FECHA_BIT,"&lt;="&amp;AY$3,CLAVE_BIT,$A323)+SUMIFS(SALIDAS_BOV1,FECHA_BOV1,"&gt;="&amp;AY$2,FECHA_BOV1,"&lt;="&amp;AY$3,CLAVE_BOV1,$A323)+SUMIFS(SALIDAS_BOV2,FECHA_BOV2,"&gt;="&amp;AY$2,FECHA_BOV2,"&lt;="&amp;AY$3,CLAVE_BOV2,$A323)+SUMIFS(SALIDAS_BOV3,FECHA_BOV3,"&gt;="&amp;AY$2,FECHA_BOV3,"&lt;="&amp;AY$3,CLAVE_BOV3,$A323)+SUMIFS(SALIDAS_TC,FECHA_TC,"&gt;="&amp;AY$2,FECHA_TC,"&lt;="&amp;AY$3,CLAVE_TC,$A323)+SUMIFS(SALIDAS_COMB,FECHA_COMB,"&gt;="&amp;AY$2,FECHA_COMB,"&lt;="&amp;AY$3,CLAVE_COMB,$A323)+SUMIFS(SALIDAS_DES,FECHA_DESGLOSEN,"&gt;="&amp;AY$2,FECHA_DESGLOSEN,"&lt;="&amp;AY$3,CLAVE_DESGLOSE,$A323)</f>
        <v>0</v>
      </c>
      <c r="AZ323" s="162">
        <f>SUMIFS(SALIDAS_BIT,FECHA_BIT,"&gt;="&amp;AZ$2,FECHA_BIT,"&lt;="&amp;AZ$3,CLAVE_BIT,$A323)+SUMIFS(SALIDAS_BOV1,FECHA_BOV1,"&gt;="&amp;AZ$2,FECHA_BOV1,"&lt;="&amp;AZ$3,CLAVE_BOV1,$A323)+SUMIFS(SALIDAS_BOV2,FECHA_BOV2,"&gt;="&amp;AZ$2,FECHA_BOV2,"&lt;="&amp;AZ$3,CLAVE_BOV2,$A323)+SUMIFS(SALIDAS_BOV3,FECHA_BOV3,"&gt;="&amp;AZ$2,FECHA_BOV3,"&lt;="&amp;AZ$3,CLAVE_BOV3,$A323)+SUMIFS(SALIDAS_TC,FECHA_TC,"&gt;="&amp;AZ$2,FECHA_TC,"&lt;="&amp;AZ$3,CLAVE_TC,$A323)+SUMIFS(SALIDAS_COMB,FECHA_COMB,"&gt;="&amp;AZ$2,FECHA_COMB,"&lt;="&amp;AZ$3,CLAVE_COMB,$A323)+SUMIFS(SALIDAS_DES,FECHA_DESGLOSEN,"&gt;="&amp;AZ$2,FECHA_DESGLOSEN,"&lt;="&amp;AZ$3,CLAVE_DESGLOSE,$A323)</f>
        <v>0</v>
      </c>
      <c r="BA323" s="162">
        <f>SUMIFS(SALIDAS_BIT,FECHA_BIT,"&gt;="&amp;BA$2,FECHA_BIT,"&lt;="&amp;BA$3,CLAVE_BIT,$A323)+SUMIFS(SALIDAS_BOV1,FECHA_BOV1,"&gt;="&amp;BA$2,FECHA_BOV1,"&lt;="&amp;BA$3,CLAVE_BOV1,$A323)+SUMIFS(SALIDAS_BOV2,FECHA_BOV2,"&gt;="&amp;BA$2,FECHA_BOV2,"&lt;="&amp;BA$3,CLAVE_BOV2,$A323)+SUMIFS(SALIDAS_BOV3,FECHA_BOV3,"&gt;="&amp;BA$2,FECHA_BOV3,"&lt;="&amp;BA$3,CLAVE_BOV3,$A323)+SUMIFS(SALIDAS_TC,FECHA_TC,"&gt;="&amp;BA$2,FECHA_TC,"&lt;="&amp;BA$3,CLAVE_TC,$A323)+SUMIFS(SALIDAS_COMB,FECHA_COMB,"&gt;="&amp;BA$2,FECHA_COMB,"&lt;="&amp;BA$3,CLAVE_COMB,$A323)+SUMIFS(SALIDAS_DES,FECHA_DESGLOSEN,"&gt;="&amp;BA$2,FECHA_DESGLOSEN,"&lt;="&amp;BA$3,CLAVE_DESGLOSE,$A323)</f>
        <v>0</v>
      </c>
      <c r="BB323" s="227">
        <f t="shared" ref="BB323" si="679">AV323-BA323</f>
        <v>20000</v>
      </c>
      <c r="BC323" s="301">
        <f t="shared" ref="BC323" si="680">IFERROR((BA323/AV323),0)</f>
        <v>0</v>
      </c>
      <c r="BD323" s="162">
        <f>VLOOKUP($A323,T_PRESUPUESTO,MATCH(BD$6,E_PRESUPUESTO,0),FALSE)</f>
        <v>20000</v>
      </c>
      <c r="BE323" s="162">
        <f>SUMIFS(SALIDAS_BIT,FECHA_BIT,"&gt;="&amp;BE$2,FECHA_BIT,"&lt;="&amp;BE$3,CLAVE_BIT,$A323)+SUMIFS(SALIDAS_BOV1,FECHA_BOV1,"&gt;="&amp;BE$2,FECHA_BOV1,"&lt;="&amp;BE$3,CLAVE_BOV1,$A323)+SUMIFS(SALIDAS_BOV2,FECHA_BOV2,"&gt;="&amp;BE$2,FECHA_BOV2,"&lt;="&amp;BE$3,CLAVE_BOV2,$A323)+SUMIFS(SALIDAS_BOV3,FECHA_BOV3,"&gt;="&amp;BE$2,FECHA_BOV3,"&lt;="&amp;BE$3,CLAVE_BOV3,$A323)+SUMIFS(SALIDAS_TC,FECHA_TC,"&gt;="&amp;BE$2,FECHA_TC,"&lt;="&amp;BE$3,CLAVE_TC,$A323)+SUMIFS(SALIDAS_COMB,FECHA_COMB,"&gt;="&amp;BE$2,FECHA_COMB,"&lt;="&amp;BE$3,CLAVE_COMB,$A323)+SUMIFS(SALIDAS_DES,FECHA_DESGLOSEN,"&gt;="&amp;BE$2,FECHA_DESGLOSEN,"&lt;="&amp;BE$3,CLAVE_DESGLOSE,$A323)</f>
        <v>0</v>
      </c>
      <c r="BF323" s="162">
        <f>SUMIFS(SALIDAS_BIT,FECHA_BIT,"&gt;="&amp;BF$2,FECHA_BIT,"&lt;="&amp;BF$3,CLAVE_BIT,$A323)+SUMIFS(SALIDAS_BOV1,FECHA_BOV1,"&gt;="&amp;BF$2,FECHA_BOV1,"&lt;="&amp;BF$3,CLAVE_BOV1,$A323)+SUMIFS(SALIDAS_BOV2,FECHA_BOV2,"&gt;="&amp;BF$2,FECHA_BOV2,"&lt;="&amp;BF$3,CLAVE_BOV2,$A323)+SUMIFS(SALIDAS_BOV3,FECHA_BOV3,"&gt;="&amp;BF$2,FECHA_BOV3,"&lt;="&amp;BF$3,CLAVE_BOV3,$A323)+SUMIFS(SALIDAS_TC,FECHA_TC,"&gt;="&amp;BF$2,FECHA_TC,"&lt;="&amp;BF$3,CLAVE_TC,$A323)+SUMIFS(SALIDAS_COMB,FECHA_COMB,"&gt;="&amp;BF$2,FECHA_COMB,"&lt;="&amp;BF$3,CLAVE_COMB,$A323)+SUMIFS(SALIDAS_DES,FECHA_DESGLOSEN,"&gt;="&amp;BF$2,FECHA_DESGLOSEN,"&lt;="&amp;BF$3,CLAVE_DESGLOSE,$A323)</f>
        <v>5000.2</v>
      </c>
      <c r="BG323" s="162">
        <f>SUMIFS(SALIDAS_BIT,FECHA_BIT,"&gt;="&amp;BG$2,FECHA_BIT,"&lt;="&amp;BG$3,CLAVE_BIT,$A323)+SUMIFS(SALIDAS_BOV1,FECHA_BOV1,"&gt;="&amp;BG$2,FECHA_BOV1,"&lt;="&amp;BG$3,CLAVE_BOV1,$A323)+SUMIFS(SALIDAS_BOV2,FECHA_BOV2,"&gt;="&amp;BG$2,FECHA_BOV2,"&lt;="&amp;BG$3,CLAVE_BOV2,$A323)+SUMIFS(SALIDAS_BOV3,FECHA_BOV3,"&gt;="&amp;BG$2,FECHA_BOV3,"&lt;="&amp;BG$3,CLAVE_BOV3,$A323)+SUMIFS(SALIDAS_TC,FECHA_TC,"&gt;="&amp;BG$2,FECHA_TC,"&lt;="&amp;BG$3,CLAVE_TC,$A323)+SUMIFS(SALIDAS_COMB,FECHA_COMB,"&gt;="&amp;BG$2,FECHA_COMB,"&lt;="&amp;BG$3,CLAVE_COMB,$A323)+SUMIFS(SALIDAS_DES,FECHA_DESGLOSEN,"&gt;="&amp;BG$2,FECHA_DESGLOSEN,"&lt;="&amp;BG$3,CLAVE_DESGLOSE,$A323)</f>
        <v>2200</v>
      </c>
      <c r="BH323" s="162">
        <f>SUMIFS(SALIDAS_BIT,FECHA_BIT,"&gt;="&amp;BH$2,FECHA_BIT,"&lt;="&amp;BH$3,CLAVE_BIT,$A323)+SUMIFS(SALIDAS_BOV1,FECHA_BOV1,"&gt;="&amp;BH$2,FECHA_BOV1,"&lt;="&amp;BH$3,CLAVE_BOV1,$A323)+SUMIFS(SALIDAS_BOV2,FECHA_BOV2,"&gt;="&amp;BH$2,FECHA_BOV2,"&lt;="&amp;BH$3,CLAVE_BOV2,$A323)+SUMIFS(SALIDAS_BOV3,FECHA_BOV3,"&gt;="&amp;BH$2,FECHA_BOV3,"&lt;="&amp;BH$3,CLAVE_BOV3,$A323)+SUMIFS(SALIDAS_TC,FECHA_TC,"&gt;="&amp;BH$2,FECHA_TC,"&lt;="&amp;BH$3,CLAVE_TC,$A323)+SUMIFS(SALIDAS_COMB,FECHA_COMB,"&gt;="&amp;BH$2,FECHA_COMB,"&lt;="&amp;BH$3,CLAVE_COMB,$A323)+SUMIFS(SALIDAS_DES,FECHA_DESGLOSEN,"&gt;="&amp;BH$2,FECHA_DESGLOSEN,"&lt;="&amp;BH$3,CLAVE_DESGLOSE,$A323)</f>
        <v>3800</v>
      </c>
      <c r="BI323" s="162">
        <f>SUMIFS(SALIDAS_BIT,FECHA_BIT,"&gt;="&amp;BI$2,FECHA_BIT,"&lt;="&amp;BI$3,CLAVE_BIT,$A323)+SUMIFS(SALIDAS_BOV1,FECHA_BOV1,"&gt;="&amp;BI$2,FECHA_BOV1,"&lt;="&amp;BI$3,CLAVE_BOV1,$A323)+SUMIFS(SALIDAS_BOV2,FECHA_BOV2,"&gt;="&amp;BI$2,FECHA_BOV2,"&lt;="&amp;BI$3,CLAVE_BOV2,$A323)+SUMIFS(SALIDAS_BOV3,FECHA_BOV3,"&gt;="&amp;BI$2,FECHA_BOV3,"&lt;="&amp;BI$3,CLAVE_BOV3,$A323)+SUMIFS(SALIDAS_TC,FECHA_TC,"&gt;="&amp;BI$2,FECHA_TC,"&lt;="&amp;BI$3,CLAVE_TC,$A323)+SUMIFS(SALIDAS_COMB,FECHA_COMB,"&gt;="&amp;BI$2,FECHA_COMB,"&lt;="&amp;BI$3,CLAVE_COMB,$A323)+SUMIFS(SALIDAS_DES,FECHA_DESGLOSEN,"&gt;="&amp;BI$2,FECHA_DESGLOSEN,"&lt;="&amp;BI$3,CLAVE_DESGLOSE,$A323)</f>
        <v>11000.2</v>
      </c>
      <c r="BJ323" s="227">
        <f t="shared" ref="BJ323" si="681">BD323-BI323</f>
        <v>8999.7999999999993</v>
      </c>
      <c r="BK323" s="301">
        <f>IFERROR((BI323/BD323),0)</f>
        <v>0.55001</v>
      </c>
      <c r="BL323" s="162">
        <f>VLOOKUP($A323,T_PRESUPUESTO,MATCH(BL$6,E_PRESUPUESTO,0),FALSE)</f>
        <v>25000</v>
      </c>
      <c r="BM323" s="162">
        <f>SUMIFS(SALIDAS_BIT,FECHA_BIT,"&gt;="&amp;BM$2,FECHA_BIT,"&lt;="&amp;BM$3,CLAVE_BIT,$A323)+SUMIFS(SALIDAS_BOV1,FECHA_BOV1,"&gt;="&amp;BM$2,FECHA_BOV1,"&lt;="&amp;BM$3,CLAVE_BOV1,$A323)+SUMIFS(SALIDAS_BOV2,FECHA_BOV2,"&gt;="&amp;BM$2,FECHA_BOV2,"&lt;="&amp;BM$3,CLAVE_BOV2,$A323)+SUMIFS(SALIDAS_BOV3,FECHA_BOV3,"&gt;="&amp;BM$2,FECHA_BOV3,"&lt;="&amp;BM$3,CLAVE_BOV3,$A323)+SUMIFS(SALIDAS_TC,FECHA_TC,"&gt;="&amp;BM$2,FECHA_TC,"&lt;="&amp;BM$3,CLAVE_TC,$A323)+SUMIFS(SALIDAS_COMB,FECHA_COMB,"&gt;="&amp;BM$2,FECHA_COMB,"&lt;="&amp;BM$3,CLAVE_COMB,$A323)+SUMIFS(SALIDAS_DES,FECHA_DESGLOSEN,"&gt;="&amp;BM$2,FECHA_DESGLOSEN,"&lt;="&amp;BM$3,CLAVE_DESGLOSE,$A323)</f>
        <v>3800</v>
      </c>
      <c r="BN323" s="162">
        <f>SUMIFS(SALIDAS_BIT,FECHA_BIT,"&gt;="&amp;BN$2,FECHA_BIT,"&lt;="&amp;BN$3,CLAVE_BIT,$A323)+SUMIFS(SALIDAS_BOV1,FECHA_BOV1,"&gt;="&amp;BN$2,FECHA_BOV1,"&lt;="&amp;BN$3,CLAVE_BOV1,$A323)+SUMIFS(SALIDAS_BOV2,FECHA_BOV2,"&gt;="&amp;BN$2,FECHA_BOV2,"&lt;="&amp;BN$3,CLAVE_BOV2,$A323)+SUMIFS(SALIDAS_BOV3,FECHA_BOV3,"&gt;="&amp;BN$2,FECHA_BOV3,"&lt;="&amp;BN$3,CLAVE_BOV3,$A323)+SUMIFS(SALIDAS_TC,FECHA_TC,"&gt;="&amp;BN$2,FECHA_TC,"&lt;="&amp;BN$3,CLAVE_TC,$A323)+SUMIFS(SALIDAS_COMB,FECHA_COMB,"&gt;="&amp;BN$2,FECHA_COMB,"&lt;="&amp;BN$3,CLAVE_COMB,$A323)+SUMIFS(SALIDAS_DES,FECHA_DESGLOSEN,"&gt;="&amp;BN$2,FECHA_DESGLOSEN,"&lt;="&amp;BN$3,CLAVE_DESGLOSE,$A323)</f>
        <v>3800</v>
      </c>
      <c r="BO323" s="162">
        <f>SUMIFS(SALIDAS_BIT,FECHA_BIT,"&gt;="&amp;BO$2,FECHA_BIT,"&lt;="&amp;BO$3,CLAVE_BIT,$A323)+SUMIFS(SALIDAS_BOV1,FECHA_BOV1,"&gt;="&amp;BO$2,FECHA_BOV1,"&lt;="&amp;BO$3,CLAVE_BOV1,$A323)+SUMIFS(SALIDAS_BOV2,FECHA_BOV2,"&gt;="&amp;BO$2,FECHA_BOV2,"&lt;="&amp;BO$3,CLAVE_BOV2,$A323)+SUMIFS(SALIDAS_BOV3,FECHA_BOV3,"&gt;="&amp;BO$2,FECHA_BOV3,"&lt;="&amp;BO$3,CLAVE_BOV3,$A323)+SUMIFS(SALIDAS_TC,FECHA_TC,"&gt;="&amp;BO$2,FECHA_TC,"&lt;="&amp;BO$3,CLAVE_TC,$A323)+SUMIFS(SALIDAS_COMB,FECHA_COMB,"&gt;="&amp;BO$2,FECHA_COMB,"&lt;="&amp;BO$3,CLAVE_COMB,$A323)+SUMIFS(SALIDAS_DES,FECHA_DESGLOSEN,"&gt;="&amp;BO$2,FECHA_DESGLOSEN,"&lt;="&amp;BO$3,CLAVE_DESGLOSE,$A323)</f>
        <v>2332</v>
      </c>
      <c r="BP323" s="162">
        <f>SUMIFS(SALIDAS_BIT,FECHA_BIT,"&gt;="&amp;BP$2,FECHA_BIT,"&lt;="&amp;BP$3,CLAVE_BIT,$A323)+SUMIFS(SALIDAS_BOV1,FECHA_BOV1,"&gt;="&amp;BP$2,FECHA_BOV1,"&lt;="&amp;BP$3,CLAVE_BOV1,$A323)+SUMIFS(SALIDAS_BOV2,FECHA_BOV2,"&gt;="&amp;BP$2,FECHA_BOV2,"&lt;="&amp;BP$3,CLAVE_BOV2,$A323)+SUMIFS(SALIDAS_BOV3,FECHA_BOV3,"&gt;="&amp;BP$2,FECHA_BOV3,"&lt;="&amp;BP$3,CLAVE_BOV3,$A323)+SUMIFS(SALIDAS_TC,FECHA_TC,"&gt;="&amp;BP$2,FECHA_TC,"&lt;="&amp;BP$3,CLAVE_TC,$A323)+SUMIFS(SALIDAS_COMB,FECHA_COMB,"&gt;="&amp;BP$2,FECHA_COMB,"&lt;="&amp;BP$3,CLAVE_COMB,$A323)+SUMIFS(SALIDAS_DES,FECHA_DESGLOSEN,"&gt;="&amp;BP$2,FECHA_DESGLOSEN,"&lt;="&amp;BP$3,CLAVE_DESGLOSE,$A323)</f>
        <v>3800</v>
      </c>
      <c r="BQ323" s="162">
        <f>SUMIFS(SALIDAS_BIT,FECHA_BIT,"&gt;="&amp;BQ$2,FECHA_BIT,"&lt;="&amp;BQ$3,CLAVE_BIT,$A323)+SUMIFS(SALIDAS_BOV1,FECHA_BOV1,"&gt;="&amp;BQ$2,FECHA_BOV1,"&lt;="&amp;BQ$3,CLAVE_BOV1,$A323)+SUMIFS(SALIDAS_BOV2,FECHA_BOV2,"&gt;="&amp;BQ$2,FECHA_BOV2,"&lt;="&amp;BQ$3,CLAVE_BOV2,$A323)+SUMIFS(SALIDAS_BOV3,FECHA_BOV3,"&gt;="&amp;BQ$2,FECHA_BOV3,"&lt;="&amp;BQ$3,CLAVE_BOV3,$A323)+SUMIFS(SALIDAS_TC,FECHA_TC,"&gt;="&amp;BQ$2,FECHA_TC,"&lt;="&amp;BQ$3,CLAVE_TC,$A323)+SUMIFS(SALIDAS_COMB,FECHA_COMB,"&gt;="&amp;BQ$2,FECHA_COMB,"&lt;="&amp;BQ$3,CLAVE_COMB,$A323)+SUMIFS(SALIDAS_DES,FECHA_DESGLOSEN,"&gt;="&amp;BQ$2,FECHA_DESGLOSEN,"&lt;="&amp;BQ$3,CLAVE_DESGLOSE,$A323)</f>
        <v>2864.2</v>
      </c>
      <c r="BR323" s="162">
        <f>SUMIFS(SALIDAS_BIT,FECHA_BIT,"&gt;="&amp;BR$2,FECHA_BIT,"&lt;="&amp;BR$3,CLAVE_BIT,$A323)+SUMIFS(SALIDAS_BOV1,FECHA_BOV1,"&gt;="&amp;BR$2,FECHA_BOV1,"&lt;="&amp;BR$3,CLAVE_BOV1,$A323)+SUMIFS(SALIDAS_BOV2,FECHA_BOV2,"&gt;="&amp;BR$2,FECHA_BOV2,"&lt;="&amp;BR$3,CLAVE_BOV2,$A323)+SUMIFS(SALIDAS_BOV3,FECHA_BOV3,"&gt;="&amp;BR$2,FECHA_BOV3,"&lt;="&amp;BR$3,CLAVE_BOV3,$A323)+SUMIFS(SALIDAS_TC,FECHA_TC,"&gt;="&amp;BR$2,FECHA_TC,"&lt;="&amp;BR$3,CLAVE_TC,$A323)+SUMIFS(SALIDAS_COMB,FECHA_COMB,"&gt;="&amp;BR$2,FECHA_COMB,"&lt;="&amp;BR$3,CLAVE_COMB,$A323)+SUMIFS(SALIDAS_DES,FECHA_DESGLOSEN,"&gt;="&amp;BR$2,FECHA_DESGLOSEN,"&lt;="&amp;BR$3,CLAVE_DESGLOSE,$A323)</f>
        <v>16596.2</v>
      </c>
      <c r="BS323" s="227">
        <f t="shared" ref="BS323" si="682">BL323-BR323</f>
        <v>8403.7999999999993</v>
      </c>
      <c r="BT323" s="301">
        <f t="shared" ref="BT323" si="683">IFERROR((BR323/BL323),0)</f>
        <v>0.66384799999999999</v>
      </c>
      <c r="BU323" s="162">
        <f>VLOOKUP($A323,T_PRESUPUESTO,MATCH(BU$6,E_PRESUPUESTO,0),FALSE)</f>
        <v>20000</v>
      </c>
      <c r="BV323" s="162">
        <f>SUMIFS(SALIDAS_BIT,FECHA_BIT,"&gt;="&amp;BV$2,FECHA_BIT,"&lt;="&amp;BV$3,CLAVE_BIT,$A323)+SUMIFS(SALIDAS_BOV1,FECHA_BOV1,"&gt;="&amp;BV$2,FECHA_BOV1,"&lt;="&amp;BV$3,CLAVE_BOV1,$A323)+SUMIFS(SALIDAS_BOV2,FECHA_BOV2,"&gt;="&amp;BV$2,FECHA_BOV2,"&lt;="&amp;BV$3,CLAVE_BOV2,$A323)+SUMIFS(SALIDAS_BOV3,FECHA_BOV3,"&gt;="&amp;BV$2,FECHA_BOV3,"&lt;="&amp;BV$3,CLAVE_BOV3,$A323)+SUMIFS(SALIDAS_TC,FECHA_TC,"&gt;="&amp;BV$2,FECHA_TC,"&lt;="&amp;BV$3,CLAVE_TC,$A323)+SUMIFS(SALIDAS_COMB,FECHA_COMB,"&gt;="&amp;BV$2,FECHA_COMB,"&lt;="&amp;BV$3,CLAVE_COMB,$A323)+SUMIFS(SALIDAS_DES,FECHA_DESGLOSEN,"&gt;="&amp;BV$2,FECHA_DESGLOSEN,"&lt;="&amp;BV$3,CLAVE_DESGLOSE,$A323)</f>
        <v>1464.6</v>
      </c>
      <c r="BW323" s="162">
        <f>SUMIFS(SALIDAS_BIT,FECHA_BIT,"&gt;="&amp;BW$2,FECHA_BIT,"&lt;="&amp;BW$3,CLAVE_BIT,$A323)+SUMIFS(SALIDAS_BOV1,FECHA_BOV1,"&gt;="&amp;BW$2,FECHA_BOV1,"&lt;="&amp;BW$3,CLAVE_BOV1,$A323)+SUMIFS(SALIDAS_BOV2,FECHA_BOV2,"&gt;="&amp;BW$2,FECHA_BOV2,"&lt;="&amp;BW$3,CLAVE_BOV2,$A323)+SUMIFS(SALIDAS_BOV3,FECHA_BOV3,"&gt;="&amp;BW$2,FECHA_BOV3,"&lt;="&amp;BW$3,CLAVE_BOV3,$A323)+SUMIFS(SALIDAS_TC,FECHA_TC,"&gt;="&amp;BW$2,FECHA_TC,"&lt;="&amp;BW$3,CLAVE_TC,$A323)+SUMIFS(SALIDAS_COMB,FECHA_COMB,"&gt;="&amp;BW$2,FECHA_COMB,"&lt;="&amp;BW$3,CLAVE_COMB,$A323)+SUMIFS(SALIDAS_DES,FECHA_DESGLOSEN,"&gt;="&amp;BW$2,FECHA_DESGLOSEN,"&lt;="&amp;BW$3,CLAVE_DESGLOSE,$A323)</f>
        <v>3800</v>
      </c>
      <c r="BX323" s="162">
        <f>SUMIFS(SALIDAS_BIT,FECHA_BIT,"&gt;="&amp;BX$2,FECHA_BIT,"&lt;="&amp;BX$3,CLAVE_BIT,$A323)+SUMIFS(SALIDAS_BOV1,FECHA_BOV1,"&gt;="&amp;BX$2,FECHA_BOV1,"&lt;="&amp;BX$3,CLAVE_BOV1,$A323)+SUMIFS(SALIDAS_BOV2,FECHA_BOV2,"&gt;="&amp;BX$2,FECHA_BOV2,"&lt;="&amp;BX$3,CLAVE_BOV2,$A323)+SUMIFS(SALIDAS_BOV3,FECHA_BOV3,"&gt;="&amp;BX$2,FECHA_BOV3,"&lt;="&amp;BX$3,CLAVE_BOV3,$A323)+SUMIFS(SALIDAS_TC,FECHA_TC,"&gt;="&amp;BX$2,FECHA_TC,"&lt;="&amp;BX$3,CLAVE_TC,$A323)+SUMIFS(SALIDAS_COMB,FECHA_COMB,"&gt;="&amp;BX$2,FECHA_COMB,"&lt;="&amp;BX$3,CLAVE_COMB,$A323)+SUMIFS(SALIDAS_DES,FECHA_DESGLOSEN,"&gt;="&amp;BX$2,FECHA_DESGLOSEN,"&lt;="&amp;BX$3,CLAVE_DESGLOSE,$A323)</f>
        <v>3893.8</v>
      </c>
      <c r="BY323" s="162">
        <f>SUMIFS(SALIDAS_BIT,FECHA_BIT,"&gt;="&amp;BY$2,FECHA_BIT,"&lt;="&amp;BY$3,CLAVE_BIT,$A323)+SUMIFS(SALIDAS_BOV1,FECHA_BOV1,"&gt;="&amp;BY$2,FECHA_BOV1,"&lt;="&amp;BY$3,CLAVE_BOV1,$A323)+SUMIFS(SALIDAS_BOV2,FECHA_BOV2,"&gt;="&amp;BY$2,FECHA_BOV2,"&lt;="&amp;BY$3,CLAVE_BOV2,$A323)+SUMIFS(SALIDAS_BOV3,FECHA_BOV3,"&gt;="&amp;BY$2,FECHA_BOV3,"&lt;="&amp;BY$3,CLAVE_BOV3,$A323)+SUMIFS(SALIDAS_TC,FECHA_TC,"&gt;="&amp;BY$2,FECHA_TC,"&lt;="&amp;BY$3,CLAVE_TC,$A323)+SUMIFS(SALIDAS_COMB,FECHA_COMB,"&gt;="&amp;BY$2,FECHA_COMB,"&lt;="&amp;BY$3,CLAVE_COMB,$A323)+SUMIFS(SALIDAS_DES,FECHA_DESGLOSEN,"&gt;="&amp;BY$2,FECHA_DESGLOSEN,"&lt;="&amp;BY$3,CLAVE_DESGLOSE,$A323)</f>
        <v>3800</v>
      </c>
      <c r="BZ323" s="162">
        <f>SUMIFS(SALIDAS_BIT,FECHA_BIT,"&gt;="&amp;BZ$2,FECHA_BIT,"&lt;="&amp;BZ$3,CLAVE_BIT,$A323)+SUMIFS(SALIDAS_BOV1,FECHA_BOV1,"&gt;="&amp;BZ$2,FECHA_BOV1,"&lt;="&amp;BZ$3,CLAVE_BOV1,$A323)+SUMIFS(SALIDAS_BOV2,FECHA_BOV2,"&gt;="&amp;BZ$2,FECHA_BOV2,"&lt;="&amp;BZ$3,CLAVE_BOV2,$A323)+SUMIFS(SALIDAS_BOV3,FECHA_BOV3,"&gt;="&amp;BZ$2,FECHA_BOV3,"&lt;="&amp;BZ$3,CLAVE_BOV3,$A323)+SUMIFS(SALIDAS_TC,FECHA_TC,"&gt;="&amp;BZ$2,FECHA_TC,"&lt;="&amp;BZ$3,CLAVE_TC,$A323)+SUMIFS(SALIDAS_COMB,FECHA_COMB,"&gt;="&amp;BZ$2,FECHA_COMB,"&lt;="&amp;BZ$3,CLAVE_COMB,$A323)+SUMIFS(SALIDAS_DES,FECHA_DESGLOSEN,"&gt;="&amp;BZ$2,FECHA_DESGLOSEN,"&lt;="&amp;BZ$3,CLAVE_DESGLOSE,$A323)</f>
        <v>12958.400000000001</v>
      </c>
      <c r="CA323" s="227">
        <f t="shared" ref="CA323" si="684">BU323-BZ323</f>
        <v>7041.5999999999985</v>
      </c>
      <c r="CB323" s="301">
        <f t="shared" ref="CB323" si="685">IFERROR((BZ323/BU323),0)</f>
        <v>0.64792000000000005</v>
      </c>
      <c r="CC323" s="162">
        <f>VLOOKUP($A323,T_PRESUPUESTO,MATCH(CC$6,E_PRESUPUESTO,0),FALSE)</f>
        <v>20000</v>
      </c>
      <c r="CD323" s="162">
        <f>SUMIFS(SALIDAS_BIT,FECHA_BIT,"&gt;="&amp;CD$2,FECHA_BIT,"&lt;="&amp;CD$3,CLAVE_BIT,$A323)+SUMIFS(SALIDAS_BOV1,FECHA_BOV1,"&gt;="&amp;CD$2,FECHA_BOV1,"&lt;="&amp;CD$3,CLAVE_BOV1,$A323)+SUMIFS(SALIDAS_BOV2,FECHA_BOV2,"&gt;="&amp;CD$2,FECHA_BOV2,"&lt;="&amp;CD$3,CLAVE_BOV2,$A323)+SUMIFS(SALIDAS_BOV3,FECHA_BOV3,"&gt;="&amp;CD$2,FECHA_BOV3,"&lt;="&amp;CD$3,CLAVE_BOV3,$A323)+SUMIFS(SALIDAS_TC,FECHA_TC,"&gt;="&amp;CD$2,FECHA_TC,"&lt;="&amp;CD$3,CLAVE_TC,$A323)+SUMIFS(SALIDAS_COMB,FECHA_COMB,"&gt;="&amp;CD$2,FECHA_COMB,"&lt;="&amp;CD$3,CLAVE_COMB,$A323)+SUMIFS(SALIDAS_DES,FECHA_DESGLOSEN,"&gt;="&amp;CD$2,FECHA_DESGLOSEN,"&lt;="&amp;CD$3,CLAVE_DESGLOSE,$A323)</f>
        <v>5410.4</v>
      </c>
      <c r="CE323" s="162">
        <f>SUMIFS(SALIDAS_BIT,FECHA_BIT,"&gt;="&amp;CE$2,FECHA_BIT,"&lt;="&amp;CE$3,CLAVE_BIT,$A323)+SUMIFS(SALIDAS_BOV1,FECHA_BOV1,"&gt;="&amp;CE$2,FECHA_BOV1,"&lt;="&amp;CE$3,CLAVE_BOV1,$A323)+SUMIFS(SALIDAS_BOV2,FECHA_BOV2,"&gt;="&amp;CE$2,FECHA_BOV2,"&lt;="&amp;CE$3,CLAVE_BOV2,$A323)+SUMIFS(SALIDAS_BOV3,FECHA_BOV3,"&gt;="&amp;CE$2,FECHA_BOV3,"&lt;="&amp;CE$3,CLAVE_BOV3,$A323)+SUMIFS(SALIDAS_TC,FECHA_TC,"&gt;="&amp;CE$2,FECHA_TC,"&lt;="&amp;CE$3,CLAVE_TC,$A323)+SUMIFS(SALIDAS_COMB,FECHA_COMB,"&gt;="&amp;CE$2,FECHA_COMB,"&lt;="&amp;CE$3,CLAVE_COMB,$A323)+SUMIFS(SALIDAS_DES,FECHA_DESGLOSEN,"&gt;="&amp;CE$2,FECHA_DESGLOSEN,"&lt;="&amp;CE$3,CLAVE_DESGLOSE,$A323)</f>
        <v>3893</v>
      </c>
      <c r="CF323" s="162">
        <f>SUMIFS(SALIDAS_BIT,FECHA_BIT,"&gt;="&amp;CF$2,FECHA_BIT,"&lt;="&amp;CF$3,CLAVE_BIT,$A323)+SUMIFS(SALIDAS_BOV1,FECHA_BOV1,"&gt;="&amp;CF$2,FECHA_BOV1,"&lt;="&amp;CF$3,CLAVE_BOV1,$A323)+SUMIFS(SALIDAS_BOV2,FECHA_BOV2,"&gt;="&amp;CF$2,FECHA_BOV2,"&lt;="&amp;CF$3,CLAVE_BOV2,$A323)+SUMIFS(SALIDAS_BOV3,FECHA_BOV3,"&gt;="&amp;CF$2,FECHA_BOV3,"&lt;="&amp;CF$3,CLAVE_BOV3,$A323)+SUMIFS(SALIDAS_TC,FECHA_TC,"&gt;="&amp;CF$2,FECHA_TC,"&lt;="&amp;CF$3,CLAVE_TC,$A323)+SUMIFS(SALIDAS_COMB,FECHA_COMB,"&gt;="&amp;CF$2,FECHA_COMB,"&lt;="&amp;CF$3,CLAVE_COMB,$A323)+SUMIFS(SALIDAS_DES,FECHA_DESGLOSEN,"&gt;="&amp;CF$2,FECHA_DESGLOSEN,"&lt;="&amp;CF$3,CLAVE_DESGLOSE,$A323)</f>
        <v>3894</v>
      </c>
      <c r="CG323" s="162">
        <f>SUMIFS(SALIDAS_BIT,FECHA_BIT,"&gt;="&amp;CG$2,FECHA_BIT,"&lt;="&amp;CG$3,CLAVE_BIT,$A323)+SUMIFS(SALIDAS_BOV1,FECHA_BOV1,"&gt;="&amp;CG$2,FECHA_BOV1,"&lt;="&amp;CG$3,CLAVE_BOV1,$A323)+SUMIFS(SALIDAS_BOV2,FECHA_BOV2,"&gt;="&amp;CG$2,FECHA_BOV2,"&lt;="&amp;CG$3,CLAVE_BOV2,$A323)+SUMIFS(SALIDAS_BOV3,FECHA_BOV3,"&gt;="&amp;CG$2,FECHA_BOV3,"&lt;="&amp;CG$3,CLAVE_BOV3,$A323)+SUMIFS(SALIDAS_TC,FECHA_TC,"&gt;="&amp;CG$2,FECHA_TC,"&lt;="&amp;CG$3,CLAVE_TC,$A323)+SUMIFS(SALIDAS_COMB,FECHA_COMB,"&gt;="&amp;CG$2,FECHA_COMB,"&lt;="&amp;CG$3,CLAVE_COMB,$A323)+SUMIFS(SALIDAS_DES,FECHA_DESGLOSEN,"&gt;="&amp;CG$2,FECHA_DESGLOSEN,"&lt;="&amp;CG$3,CLAVE_DESGLOSE,$A323)</f>
        <v>4287.05</v>
      </c>
      <c r="CH323" s="162">
        <f>SUMIFS(SALIDAS_BIT,FECHA_BIT,"&gt;="&amp;CH$2,FECHA_BIT,"&lt;="&amp;CH$3,CLAVE_BIT,$A323)+SUMIFS(SALIDAS_BOV1,FECHA_BOV1,"&gt;="&amp;CH$2,FECHA_BOV1,"&lt;="&amp;CH$3,CLAVE_BOV1,$A323)+SUMIFS(SALIDAS_BOV2,FECHA_BOV2,"&gt;="&amp;CH$2,FECHA_BOV2,"&lt;="&amp;CH$3,CLAVE_BOV2,$A323)+SUMIFS(SALIDAS_BOV3,FECHA_BOV3,"&gt;="&amp;CH$2,FECHA_BOV3,"&lt;="&amp;CH$3,CLAVE_BOV3,$A323)+SUMIFS(SALIDAS_TC,FECHA_TC,"&gt;="&amp;CH$2,FECHA_TC,"&lt;="&amp;CH$3,CLAVE_TC,$A323)+SUMIFS(SALIDAS_COMB,FECHA_COMB,"&gt;="&amp;CH$2,FECHA_COMB,"&lt;="&amp;CH$3,CLAVE_COMB,$A323)+SUMIFS(SALIDAS_DES,FECHA_DESGLOSEN,"&gt;="&amp;CH$2,FECHA_DESGLOSEN,"&lt;="&amp;CH$3,CLAVE_DESGLOSE,$A323)</f>
        <v>17484.45</v>
      </c>
      <c r="CI323" s="227">
        <f t="shared" ref="CI323" si="686">CC323-CH323</f>
        <v>2515.5499999999993</v>
      </c>
      <c r="CJ323" s="301">
        <f t="shared" ref="CJ323" si="687">IFERROR((CH323/CC323),0)</f>
        <v>0.87422250000000001</v>
      </c>
      <c r="CK323" s="162">
        <f>VLOOKUP($A323,T_PRESUPUESTO,MATCH(CK$6,E_PRESUPUESTO,0),FALSE)</f>
        <v>25000</v>
      </c>
      <c r="CL323" s="162">
        <f>SUMIFS(SALIDAS_BIT,FECHA_BIT,"&gt;="&amp;CL$2,FECHA_BIT,"&lt;="&amp;CL$3,CLAVE_BIT,$A323)+SUMIFS(SALIDAS_BOV1,FECHA_BOV1,"&gt;="&amp;CL$2,FECHA_BOV1,"&lt;="&amp;CL$3,CLAVE_BOV1,$A323)+SUMIFS(SALIDAS_BOV2,FECHA_BOV2,"&gt;="&amp;CL$2,FECHA_BOV2,"&lt;="&amp;CL$3,CLAVE_BOV2,$A323)+SUMIFS(SALIDAS_BOV3,FECHA_BOV3,"&gt;="&amp;CL$2,FECHA_BOV3,"&lt;="&amp;CL$3,CLAVE_BOV3,$A323)+SUMIFS(SALIDAS_TC,FECHA_TC,"&gt;="&amp;CL$2,FECHA_TC,"&lt;="&amp;CL$3,CLAVE_TC,$A323)+SUMIFS(SALIDAS_COMB,FECHA_COMB,"&gt;="&amp;CL$2,FECHA_COMB,"&lt;="&amp;CL$3,CLAVE_COMB,$A323)+SUMIFS(SALIDAS_DES,FECHA_DESGLOSEN,"&gt;="&amp;CL$2,FECHA_DESGLOSEN,"&lt;="&amp;CL$3,CLAVE_DESGLOSE,$A323)</f>
        <v>4175.3999999999996</v>
      </c>
      <c r="CM323" s="162">
        <f>SUMIFS(SALIDAS_BIT,FECHA_BIT,"&gt;="&amp;CM$2,FECHA_BIT,"&lt;="&amp;CM$3,CLAVE_BIT,$A323)+SUMIFS(SALIDAS_BOV1,FECHA_BOV1,"&gt;="&amp;CM$2,FECHA_BOV1,"&lt;="&amp;CM$3,CLAVE_BOV1,$A323)+SUMIFS(SALIDAS_BOV2,FECHA_BOV2,"&gt;="&amp;CM$2,FECHA_BOV2,"&lt;="&amp;CM$3,CLAVE_BOV2,$A323)+SUMIFS(SALIDAS_BOV3,FECHA_BOV3,"&gt;="&amp;CM$2,FECHA_BOV3,"&lt;="&amp;CM$3,CLAVE_BOV3,$A323)+SUMIFS(SALIDAS_TC,FECHA_TC,"&gt;="&amp;CM$2,FECHA_TC,"&lt;="&amp;CM$3,CLAVE_TC,$A323)+SUMIFS(SALIDAS_COMB,FECHA_COMB,"&gt;="&amp;CM$2,FECHA_COMB,"&lt;="&amp;CM$3,CLAVE_COMB,$A323)+SUMIFS(SALIDAS_DES,FECHA_DESGLOSEN,"&gt;="&amp;CM$2,FECHA_DESGLOSEN,"&lt;="&amp;CM$3,CLAVE_DESGLOSE,$A323)</f>
        <v>5366</v>
      </c>
      <c r="CN323" s="162">
        <f>SUMIFS(SALIDAS_BIT,FECHA_BIT,"&gt;="&amp;CN$2,FECHA_BIT,"&lt;="&amp;CN$3,CLAVE_BIT,$A323)+SUMIFS(SALIDAS_BOV1,FECHA_BOV1,"&gt;="&amp;CN$2,FECHA_BOV1,"&lt;="&amp;CN$3,CLAVE_BOV1,$A323)+SUMIFS(SALIDAS_BOV2,FECHA_BOV2,"&gt;="&amp;CN$2,FECHA_BOV2,"&lt;="&amp;CN$3,CLAVE_BOV2,$A323)+SUMIFS(SALIDAS_BOV3,FECHA_BOV3,"&gt;="&amp;CN$2,FECHA_BOV3,"&lt;="&amp;CN$3,CLAVE_BOV3,$A323)+SUMIFS(SALIDAS_TC,FECHA_TC,"&gt;="&amp;CN$2,FECHA_TC,"&lt;="&amp;CN$3,CLAVE_TC,$A323)+SUMIFS(SALIDAS_COMB,FECHA_COMB,"&gt;="&amp;CN$2,FECHA_COMB,"&lt;="&amp;CN$3,CLAVE_COMB,$A323)+SUMIFS(SALIDAS_DES,FECHA_DESGLOSEN,"&gt;="&amp;CN$2,FECHA_DESGLOSEN,"&lt;="&amp;CN$3,CLAVE_DESGLOSE,$A323)</f>
        <v>5100</v>
      </c>
      <c r="CO323" s="162">
        <f>SUMIFS(SALIDAS_BIT,FECHA_BIT,"&gt;="&amp;CO$2,FECHA_BIT,"&lt;="&amp;CO$3,CLAVE_BIT,$A323)+SUMIFS(SALIDAS_BOV1,FECHA_BOV1,"&gt;="&amp;CO$2,FECHA_BOV1,"&lt;="&amp;CO$3,CLAVE_BOV1,$A323)+SUMIFS(SALIDAS_BOV2,FECHA_BOV2,"&gt;="&amp;CO$2,FECHA_BOV2,"&lt;="&amp;CO$3,CLAVE_BOV2,$A323)+SUMIFS(SALIDAS_BOV3,FECHA_BOV3,"&gt;="&amp;CO$2,FECHA_BOV3,"&lt;="&amp;CO$3,CLAVE_BOV3,$A323)+SUMIFS(SALIDAS_TC,FECHA_TC,"&gt;="&amp;CO$2,FECHA_TC,"&lt;="&amp;CO$3,CLAVE_TC,$A323)+SUMIFS(SALIDAS_COMB,FECHA_COMB,"&gt;="&amp;CO$2,FECHA_COMB,"&lt;="&amp;CO$3,CLAVE_COMB,$A323)+SUMIFS(SALIDAS_DES,FECHA_DESGLOSEN,"&gt;="&amp;CO$2,FECHA_DESGLOSEN,"&lt;="&amp;CO$3,CLAVE_DESGLOSE,$A323)</f>
        <v>5980</v>
      </c>
      <c r="CP323" s="162">
        <f>SUMIFS(SALIDAS_BIT,FECHA_BIT,"&gt;="&amp;CP$2,FECHA_BIT,"&lt;="&amp;CP$3,CLAVE_BIT,$A323)+SUMIFS(SALIDAS_BOV1,FECHA_BOV1,"&gt;="&amp;CP$2,FECHA_BOV1,"&lt;="&amp;CP$3,CLAVE_BOV1,$A323)+SUMIFS(SALIDAS_BOV2,FECHA_BOV2,"&gt;="&amp;CP$2,FECHA_BOV2,"&lt;="&amp;CP$3,CLAVE_BOV2,$A323)+SUMIFS(SALIDAS_BOV3,FECHA_BOV3,"&gt;="&amp;CP$2,FECHA_BOV3,"&lt;="&amp;CP$3,CLAVE_BOV3,$A323)+SUMIFS(SALIDAS_TC,FECHA_TC,"&gt;="&amp;CP$2,FECHA_TC,"&lt;="&amp;CP$3,CLAVE_TC,$A323)+SUMIFS(SALIDAS_COMB,FECHA_COMB,"&gt;="&amp;CP$2,FECHA_COMB,"&lt;="&amp;CP$3,CLAVE_COMB,$A323)+SUMIFS(SALIDAS_DES,FECHA_DESGLOSEN,"&gt;="&amp;CP$2,FECHA_DESGLOSEN,"&lt;="&amp;CP$3,CLAVE_DESGLOSE,$A323)</f>
        <v>5150</v>
      </c>
      <c r="CQ323" s="162">
        <f>SUMIFS(SALIDAS_BIT,FECHA_BIT,"&gt;="&amp;CQ$2,FECHA_BIT,"&lt;="&amp;CQ$3,CLAVE_BIT,$A323)+SUMIFS(SALIDAS_BOV1,FECHA_BOV1,"&gt;="&amp;CQ$2,FECHA_BOV1,"&lt;="&amp;CQ$3,CLAVE_BOV1,$A323)+SUMIFS(SALIDAS_BOV2,FECHA_BOV2,"&gt;="&amp;CQ$2,FECHA_BOV2,"&lt;="&amp;CQ$3,CLAVE_BOV2,$A323)+SUMIFS(SALIDAS_BOV3,FECHA_BOV3,"&gt;="&amp;CQ$2,FECHA_BOV3,"&lt;="&amp;CQ$3,CLAVE_BOV3,$A323)+SUMIFS(SALIDAS_TC,FECHA_TC,"&gt;="&amp;CQ$2,FECHA_TC,"&lt;="&amp;CQ$3,CLAVE_TC,$A323)+SUMIFS(SALIDAS_COMB,FECHA_COMB,"&gt;="&amp;CQ$2,FECHA_COMB,"&lt;="&amp;CQ$3,CLAVE_COMB,$A323)+SUMIFS(SALIDAS_DES,FECHA_DESGLOSEN,"&gt;="&amp;CQ$2,FECHA_DESGLOSEN,"&lt;="&amp;CQ$3,CLAVE_DESGLOSE,$A323)</f>
        <v>25771.4</v>
      </c>
      <c r="CR323" s="227">
        <f t="shared" ref="CR323" si="688">CK323-CQ323</f>
        <v>-771.40000000000146</v>
      </c>
      <c r="CS323" s="301">
        <f t="shared" ref="CS323" si="689">IFERROR((CQ323/CK323),0)</f>
        <v>1.030856</v>
      </c>
      <c r="CT323" s="68">
        <f t="shared" si="446"/>
        <v>20000</v>
      </c>
      <c r="CU323" s="13">
        <f>SUMIFS(SALIDAS_BIT,FECHA_BIT,"&gt;="&amp;CU$2,FECHA_BIT,"&lt;="&amp;CU$3,CLAVE_BIT,$A323)+SUMIFS(SALIDAS_BOV1,FECHA_BOV1,"&gt;="&amp;CU$2,FECHA_BOV1,"&lt;="&amp;CU$3,CLAVE_BOV1,$A323)+SUMIFS(SALIDAS_BOV2,FECHA_BOV2,"&gt;="&amp;CU$2,FECHA_BOV2,"&lt;="&amp;CU$3,CLAVE_BOV2,$A323)+SUMIFS(SALIDAS_BOV3,FECHA_BOV3,"&gt;="&amp;CU$2,FECHA_BOV3,"&lt;="&amp;CU$3,CLAVE_BOV3,$A323)+SUMIFS(SALIDAS_TC,FECHA_TC,"&gt;="&amp;CU$2,FECHA_TC,"&lt;="&amp;CU$3,CLAVE_TC,$A323)+SUMIFS(SALIDAS_COMB,FECHA_COMB,"&gt;="&amp;CU$2,FECHA_COMB,"&lt;="&amp;CU$3,CLAVE_COMB,$A323)+SUMIFS(SALIDAS_DES,FECHA_DESGLOSEN,"&gt;="&amp;CU$2,FECHA_DESGLOSEN,"&lt;="&amp;CU$3,CLAVE_DESGLOSE,$A323)</f>
        <v>5150.2</v>
      </c>
      <c r="CV323" s="13">
        <f>SUMIFS(SALIDAS_BIT,FECHA_BIT,"&gt;="&amp;CV$2,FECHA_BIT,"&lt;="&amp;CV$3,CLAVE_BIT,$A323)+SUMIFS(SALIDAS_BOV1,FECHA_BOV1,"&gt;="&amp;CV$2,FECHA_BOV1,"&lt;="&amp;CV$3,CLAVE_BOV1,$A323)+SUMIFS(SALIDAS_BOV2,FECHA_BOV2,"&gt;="&amp;CV$2,FECHA_BOV2,"&lt;="&amp;CV$3,CLAVE_BOV2,$A323)+SUMIFS(SALIDAS_BOV3,FECHA_BOV3,"&gt;="&amp;CV$2,FECHA_BOV3,"&lt;="&amp;CV$3,CLAVE_BOV3,$A323)+SUMIFS(SALIDAS_TC,FECHA_TC,"&gt;="&amp;CV$2,FECHA_TC,"&lt;="&amp;CV$3,CLAVE_TC,$A323)+SUMIFS(SALIDAS_COMB,FECHA_COMB,"&gt;="&amp;CV$2,FECHA_COMB,"&lt;="&amp;CV$3,CLAVE_COMB,$A323)+SUMIFS(SALIDAS_DES,FECHA_DESGLOSEN,"&gt;="&amp;CV$2,FECHA_DESGLOSEN,"&lt;="&amp;CV$3,CLAVE_DESGLOSE,$A323)</f>
        <v>5150</v>
      </c>
      <c r="CW323" s="13">
        <f>SUMIFS(SALIDAS_BIT,FECHA_BIT,"&gt;="&amp;CW$2,FECHA_BIT,"&lt;="&amp;CW$3,CLAVE_BIT,$A323)+SUMIFS(SALIDAS_BOV1,FECHA_BOV1,"&gt;="&amp;CW$2,FECHA_BOV1,"&lt;="&amp;CW$3,CLAVE_BOV1,$A323)+SUMIFS(SALIDAS_BOV2,FECHA_BOV2,"&gt;="&amp;CW$2,FECHA_BOV2,"&lt;="&amp;CW$3,CLAVE_BOV2,$A323)+SUMIFS(SALIDAS_BOV3,FECHA_BOV3,"&gt;="&amp;CW$2,FECHA_BOV3,"&lt;="&amp;CW$3,CLAVE_BOV3,$A323)+SUMIFS(SALIDAS_TC,FECHA_TC,"&gt;="&amp;CW$2,FECHA_TC,"&lt;="&amp;CW$3,CLAVE_TC,$A323)+SUMIFS(SALIDAS_COMB,FECHA_COMB,"&gt;="&amp;CW$2,FECHA_COMB,"&lt;="&amp;CW$3,CLAVE_COMB,$A323)+SUMIFS(SALIDAS_DES,FECHA_DESGLOSEN,"&gt;="&amp;CW$2,FECHA_DESGLOSEN,"&lt;="&amp;CW$3,CLAVE_DESGLOSE,$A323)</f>
        <v>6205.6</v>
      </c>
      <c r="CX323" s="13">
        <f>SUMIFS(SALIDAS_BIT,FECHA_BIT,"&gt;="&amp;CX$2,FECHA_BIT,"&lt;="&amp;CX$3,CLAVE_BIT,$A323)+SUMIFS(SALIDAS_BOV1,FECHA_BOV1,"&gt;="&amp;CX$2,FECHA_BOV1,"&lt;="&amp;CX$3,CLAVE_BOV1,$A323)+SUMIFS(SALIDAS_BOV2,FECHA_BOV2,"&gt;="&amp;CX$2,FECHA_BOV2,"&lt;="&amp;CX$3,CLAVE_BOV2,$A323)+SUMIFS(SALIDAS_BOV3,FECHA_BOV3,"&gt;="&amp;CX$2,FECHA_BOV3,"&lt;="&amp;CX$3,CLAVE_BOV3,$A323)+SUMIFS(SALIDAS_TC,FECHA_TC,"&gt;="&amp;CX$2,FECHA_TC,"&lt;="&amp;CX$3,CLAVE_TC,$A323)+SUMIFS(SALIDAS_COMB,FECHA_COMB,"&gt;="&amp;CX$2,FECHA_COMB,"&lt;="&amp;CX$3,CLAVE_COMB,$A323)+SUMIFS(SALIDAS_DES,FECHA_DESGLOSEN,"&gt;="&amp;CX$2,FECHA_DESGLOSEN,"&lt;="&amp;CX$3,CLAVE_DESGLOSE,$A323)</f>
        <v>7000.6</v>
      </c>
      <c r="CY323" s="13">
        <f>SUMIFS(SALIDAS_BIT,FECHA_BIT,"&gt;="&amp;CY$2,FECHA_BIT,"&lt;="&amp;CY$3,CLAVE_BIT,$A323)+SUMIFS(SALIDAS_BOV1,FECHA_BOV1,"&gt;="&amp;CY$2,FECHA_BOV1,"&lt;="&amp;CY$3,CLAVE_BOV1,$A323)+SUMIFS(SALIDAS_BOV2,FECHA_BOV2,"&gt;="&amp;CY$2,FECHA_BOV2,"&lt;="&amp;CY$3,CLAVE_BOV2,$A323)+SUMIFS(SALIDAS_BOV3,FECHA_BOV3,"&gt;="&amp;CY$2,FECHA_BOV3,"&lt;="&amp;CY$3,CLAVE_BOV3,$A323)+SUMIFS(SALIDAS_TC,FECHA_TC,"&gt;="&amp;CY$2,FECHA_TC,"&lt;="&amp;CY$3,CLAVE_TC,$A323)+SUMIFS(SALIDAS_COMB,FECHA_COMB,"&gt;="&amp;CY$2,FECHA_COMB,"&lt;="&amp;CY$3,CLAVE_COMB,$A323)+SUMIFS(SALIDAS_DES,FECHA_DESGLOSEN,"&gt;="&amp;CY$2,FECHA_DESGLOSEN,"&lt;="&amp;CY$3,CLAVE_DESGLOSE,$A323)</f>
        <v>23506.400000000001</v>
      </c>
      <c r="CZ323" s="68">
        <f t="shared" si="474"/>
        <v>-3506.4000000000015</v>
      </c>
      <c r="DB323" s="17">
        <f>F323+N323+W323+AE323+AM323+AV323+BD323+BL323+BU323+CC323+CK323</f>
        <v>240000</v>
      </c>
      <c r="DC323" s="17">
        <f>K323+T323+AB323+AJ323+AS323+BA323+BI323+BR323+BZ323+CH323+CQ323</f>
        <v>83810.649999999994</v>
      </c>
    </row>
    <row r="324" spans="1:107" ht="15" hidden="1">
      <c r="A324" s="12" t="str">
        <f>C324&amp;D324&amp;E324</f>
        <v>MKTMKTINFLUENCERS</v>
      </c>
      <c r="B324">
        <v>324</v>
      </c>
      <c r="C324" t="s">
        <v>19</v>
      </c>
      <c r="D324" t="s">
        <v>19</v>
      </c>
      <c r="E324" t="s">
        <v>141</v>
      </c>
      <c r="F324" s="260">
        <f>VLOOKUP($A324,T_PRESUPUESTO,MATCH(F$6,E_PRESUPUESTO,0),FALSE)</f>
        <v>0</v>
      </c>
      <c r="G324" s="162">
        <f>SUMIFS(SALIDAS_BIT,FECHA_BIT,"&gt;="&amp;G$2,FECHA_BIT,"&lt;="&amp;G$3,CLAVE_BIT,$A324)+SUMIFS(SALIDAS_BOV1,FECHA_BOV1,"&gt;="&amp;G$2,FECHA_BOV1,"&lt;="&amp;G$3,CLAVE_BOV1,$A324)+SUMIFS(SALIDAS_BOV2,FECHA_BOV2,"&gt;="&amp;G$2,FECHA_BOV2,"&lt;="&amp;G$3,CLAVE_BOV2,$A324)+SUMIFS(SALIDAS_BOV3,FECHA_BOV3,"&gt;="&amp;G$2,FECHA_BOV3,"&lt;="&amp;G$3,CLAVE_BOV3,$A324)+SUMIFS(SALIDAS_TC,FECHA_TC,"&gt;="&amp;G$2,FECHA_TC,"&lt;="&amp;G$3,CLAVE_TC,$A324)+SUMIFS(SALIDAS_COMB,FECHA_COMB,"&gt;="&amp;G$2,FECHA_COMB,"&lt;="&amp;G$3,CLAVE_COMB,$A324)+SUMIFS(SALIDAS_DES,FECHA_DESGLOSEN,"&gt;="&amp;G$2,FECHA_DESGLOSEN,"&lt;="&amp;G$3,CLAVE_DESGLOSE,$A324)</f>
        <v>0</v>
      </c>
      <c r="H324" s="162">
        <f>SUMIFS(SALIDAS_BIT,FECHA_BIT,"&gt;="&amp;H$2,FECHA_BIT,"&lt;="&amp;H$3,CLAVE_BIT,$A324)+SUMIFS(SALIDAS_BOV1,FECHA_BOV1,"&gt;="&amp;H$2,FECHA_BOV1,"&lt;="&amp;H$3,CLAVE_BOV1,$A324)+SUMIFS(SALIDAS_BOV2,FECHA_BOV2,"&gt;="&amp;H$2,FECHA_BOV2,"&lt;="&amp;H$3,CLAVE_BOV2,$A324)+SUMIFS(SALIDAS_BOV3,FECHA_BOV3,"&gt;="&amp;H$2,FECHA_BOV3,"&lt;="&amp;H$3,CLAVE_BOV3,$A324)+SUMIFS(SALIDAS_TC,FECHA_TC,"&gt;="&amp;H$2,FECHA_TC,"&lt;="&amp;H$3,CLAVE_TC,$A324)+SUMIFS(SALIDAS_COMB,FECHA_COMB,"&gt;="&amp;H$2,FECHA_COMB,"&lt;="&amp;H$3,CLAVE_COMB,$A324)+SUMIFS(SALIDAS_DES,FECHA_DESGLOSEN,"&gt;="&amp;H$2,FECHA_DESGLOSEN,"&lt;="&amp;H$3,CLAVE_DESGLOSE,$A324)</f>
        <v>0</v>
      </c>
      <c r="I324" s="162">
        <f>SUMIFS(SALIDAS_BIT,FECHA_BIT,"&gt;="&amp;I$2,FECHA_BIT,"&lt;="&amp;I$3,CLAVE_BIT,$A324)+SUMIFS(SALIDAS_BOV1,FECHA_BOV1,"&gt;="&amp;I$2,FECHA_BOV1,"&lt;="&amp;I$3,CLAVE_BOV1,$A324)+SUMIFS(SALIDAS_BOV2,FECHA_BOV2,"&gt;="&amp;I$2,FECHA_BOV2,"&lt;="&amp;I$3,CLAVE_BOV2,$A324)+SUMIFS(SALIDAS_BOV3,FECHA_BOV3,"&gt;="&amp;I$2,FECHA_BOV3,"&lt;="&amp;I$3,CLAVE_BOV3,$A324)+SUMIFS(SALIDAS_TC,FECHA_TC,"&gt;="&amp;I$2,FECHA_TC,"&lt;="&amp;I$3,CLAVE_TC,$A324)+SUMIFS(SALIDAS_COMB,FECHA_COMB,"&gt;="&amp;I$2,FECHA_COMB,"&lt;="&amp;I$3,CLAVE_COMB,$A324)+SUMIFS(SALIDAS_DES,FECHA_DESGLOSEN,"&gt;="&amp;I$2,FECHA_DESGLOSEN,"&lt;="&amp;I$3,CLAVE_DESGLOSE,$A324)</f>
        <v>0</v>
      </c>
      <c r="J324" s="162">
        <f>SUMIFS(SALIDAS_BIT,FECHA_BIT,"&gt;="&amp;J$2,FECHA_BIT,"&lt;="&amp;J$3,CLAVE_BIT,$A324)+SUMIFS(SALIDAS_BOV1,FECHA_BOV1,"&gt;="&amp;J$2,FECHA_BOV1,"&lt;="&amp;J$3,CLAVE_BOV1,$A324)+SUMIFS(SALIDAS_BOV2,FECHA_BOV2,"&gt;="&amp;J$2,FECHA_BOV2,"&lt;="&amp;J$3,CLAVE_BOV2,$A324)+SUMIFS(SALIDAS_BOV3,FECHA_BOV3,"&gt;="&amp;J$2,FECHA_BOV3,"&lt;="&amp;J$3,CLAVE_BOV3,$A324)+SUMIFS(SALIDAS_TC,FECHA_TC,"&gt;="&amp;J$2,FECHA_TC,"&lt;="&amp;J$3,CLAVE_TC,$A324)+SUMIFS(SALIDAS_COMB,FECHA_COMB,"&gt;="&amp;J$2,FECHA_COMB,"&lt;="&amp;J$3,CLAVE_COMB,$A324)+SUMIFS(SALIDAS_DES,FECHA_DESGLOSEN,"&gt;="&amp;J$2,FECHA_DESGLOSEN,"&lt;="&amp;J$3,CLAVE_DESGLOSE,$A324)</f>
        <v>0</v>
      </c>
      <c r="K324" s="162">
        <f>SUMIFS(SALIDAS_BIT,FECHA_BIT,"&gt;="&amp;K$2,FECHA_BIT,"&lt;="&amp;K$3,CLAVE_BIT,$A324)+SUMIFS(SALIDAS_BOV1,FECHA_BOV1,"&gt;="&amp;K$2,FECHA_BOV1,"&lt;="&amp;K$3,CLAVE_BOV1,$A324)+SUMIFS(SALIDAS_BOV2,FECHA_BOV2,"&gt;="&amp;K$2,FECHA_BOV2,"&lt;="&amp;K$3,CLAVE_BOV2,$A324)+SUMIFS(SALIDAS_BOV3,FECHA_BOV3,"&gt;="&amp;K$2,FECHA_BOV3,"&lt;="&amp;K$3,CLAVE_BOV3,$A324)+SUMIFS(SALIDAS_TC,FECHA_TC,"&gt;="&amp;K$2,FECHA_TC,"&lt;="&amp;K$3,CLAVE_TC,$A324)+SUMIFS(SALIDAS_COMB,FECHA_COMB,"&gt;="&amp;K$2,FECHA_COMB,"&lt;="&amp;K$3,CLAVE_COMB,$A324)+SUMIFS(SALIDAS_DES,FECHA_DESGLOSEN,"&gt;="&amp;K$2,FECHA_DESGLOSEN,"&lt;="&amp;K$3,CLAVE_DESGLOSE,$A324)</f>
        <v>0</v>
      </c>
      <c r="L324" s="227">
        <f>F324-K324</f>
        <v>0</v>
      </c>
      <c r="M324" s="301">
        <f>IFERROR((K324/F324),0)</f>
        <v>0</v>
      </c>
      <c r="N324" s="162">
        <f>VLOOKUP($A324,T_PRESUPUESTO,MATCH(N$6,E_PRESUPUESTO,0),FALSE)</f>
        <v>0</v>
      </c>
      <c r="O324" s="162">
        <f>SUMIFS(SALIDAS_BIT,FECHA_BIT,"&gt;="&amp;O$2,FECHA_BIT,"&lt;="&amp;O$3,CLAVE_BIT,$A324)+SUMIFS(SALIDAS_BOV1,FECHA_BOV1,"&gt;="&amp;O$2,FECHA_BOV1,"&lt;="&amp;O$3,CLAVE_BOV1,$A324)+SUMIFS(SALIDAS_BOV2,FECHA_BOV2,"&gt;="&amp;O$2,FECHA_BOV2,"&lt;="&amp;O$3,CLAVE_BOV2,$A324)+SUMIFS(SALIDAS_BOV3,FECHA_BOV3,"&gt;="&amp;O$2,FECHA_BOV3,"&lt;="&amp;O$3,CLAVE_BOV3,$A324)+SUMIFS(SALIDAS_TC,FECHA_TC,"&gt;="&amp;O$2,FECHA_TC,"&lt;="&amp;O$3,CLAVE_TC,$A324)+SUMIFS(SALIDAS_COMB,FECHA_COMB,"&gt;="&amp;O$2,FECHA_COMB,"&lt;="&amp;O$3,CLAVE_COMB,$A324)+SUMIFS(SALIDAS_DES,FECHA_DESGLOSEN,"&gt;="&amp;O$2,FECHA_DESGLOSEN,"&lt;="&amp;O$3,CLAVE_DESGLOSE,$A324)</f>
        <v>0</v>
      </c>
      <c r="P324" s="162">
        <f>SUMIFS(SALIDAS_BIT,FECHA_BIT,"&gt;="&amp;P$2,FECHA_BIT,"&lt;="&amp;P$3,CLAVE_BIT,$A324)+SUMIFS(SALIDAS_BOV1,FECHA_BOV1,"&gt;="&amp;P$2,FECHA_BOV1,"&lt;="&amp;P$3,CLAVE_BOV1,$A324)+SUMIFS(SALIDAS_BOV2,FECHA_BOV2,"&gt;="&amp;P$2,FECHA_BOV2,"&lt;="&amp;P$3,CLAVE_BOV2,$A324)+SUMIFS(SALIDAS_BOV3,FECHA_BOV3,"&gt;="&amp;P$2,FECHA_BOV3,"&lt;="&amp;P$3,CLAVE_BOV3,$A324)+SUMIFS(SALIDAS_TC,FECHA_TC,"&gt;="&amp;P$2,FECHA_TC,"&lt;="&amp;P$3,CLAVE_TC,$A324)+SUMIFS(SALIDAS_COMB,FECHA_COMB,"&gt;="&amp;P$2,FECHA_COMB,"&lt;="&amp;P$3,CLAVE_COMB,$A324)+SUMIFS(SALIDAS_DES,FECHA_DESGLOSEN,"&gt;="&amp;P$2,FECHA_DESGLOSEN,"&lt;="&amp;P$3,CLAVE_DESGLOSE,$A324)</f>
        <v>0</v>
      </c>
      <c r="Q324" s="162">
        <f>SUMIFS(SALIDAS_BIT,FECHA_BIT,"&gt;="&amp;Q$2,FECHA_BIT,"&lt;="&amp;Q$3,CLAVE_BIT,$A324)+SUMIFS(SALIDAS_BOV1,FECHA_BOV1,"&gt;="&amp;Q$2,FECHA_BOV1,"&lt;="&amp;Q$3,CLAVE_BOV1,$A324)+SUMIFS(SALIDAS_BOV2,FECHA_BOV2,"&gt;="&amp;Q$2,FECHA_BOV2,"&lt;="&amp;Q$3,CLAVE_BOV2,$A324)+SUMIFS(SALIDAS_BOV3,FECHA_BOV3,"&gt;="&amp;Q$2,FECHA_BOV3,"&lt;="&amp;Q$3,CLAVE_BOV3,$A324)+SUMIFS(SALIDAS_TC,FECHA_TC,"&gt;="&amp;Q$2,FECHA_TC,"&lt;="&amp;Q$3,CLAVE_TC,$A324)+SUMIFS(SALIDAS_COMB,FECHA_COMB,"&gt;="&amp;Q$2,FECHA_COMB,"&lt;="&amp;Q$3,CLAVE_COMB,$A324)+SUMIFS(SALIDAS_DES,FECHA_DESGLOSEN,"&gt;="&amp;Q$2,FECHA_DESGLOSEN,"&lt;="&amp;Q$3,CLAVE_DESGLOSE,$A324)</f>
        <v>0</v>
      </c>
      <c r="R324" s="162">
        <f>SUMIFS(SALIDAS_BIT,FECHA_BIT,"&gt;="&amp;R$2,FECHA_BIT,"&lt;="&amp;R$3,CLAVE_BIT,$A324)+SUMIFS(SALIDAS_BOV1,FECHA_BOV1,"&gt;="&amp;R$2,FECHA_BOV1,"&lt;="&amp;R$3,CLAVE_BOV1,$A324)+SUMIFS(SALIDAS_BOV2,FECHA_BOV2,"&gt;="&amp;R$2,FECHA_BOV2,"&lt;="&amp;R$3,CLAVE_BOV2,$A324)+SUMIFS(SALIDAS_BOV3,FECHA_BOV3,"&gt;="&amp;R$2,FECHA_BOV3,"&lt;="&amp;R$3,CLAVE_BOV3,$A324)+SUMIFS(SALIDAS_TC,FECHA_TC,"&gt;="&amp;R$2,FECHA_TC,"&lt;="&amp;R$3,CLAVE_TC,$A324)+SUMIFS(SALIDAS_COMB,FECHA_COMB,"&gt;="&amp;R$2,FECHA_COMB,"&lt;="&amp;R$3,CLAVE_COMB,$A324)+SUMIFS(SALIDAS_DES,FECHA_DESGLOSEN,"&gt;="&amp;R$2,FECHA_DESGLOSEN,"&lt;="&amp;R$3,CLAVE_DESGLOSE,$A324)</f>
        <v>0</v>
      </c>
      <c r="S324" s="162">
        <f>SUMIFS(SALIDAS_BIT,FECHA_BIT,"&gt;="&amp;S$2,FECHA_BIT,"&lt;="&amp;S$3,CLAVE_BIT,$A324)+SUMIFS(SALIDAS_BOV1,FECHA_BOV1,"&gt;="&amp;S$2,FECHA_BOV1,"&lt;="&amp;S$3,CLAVE_BOV1,$A324)+SUMIFS(SALIDAS_BOV2,FECHA_BOV2,"&gt;="&amp;S$2,FECHA_BOV2,"&lt;="&amp;S$3,CLAVE_BOV2,$A324)+SUMIFS(SALIDAS_BOV3,FECHA_BOV3,"&gt;="&amp;S$2,FECHA_BOV3,"&lt;="&amp;S$3,CLAVE_BOV3,$A324)+SUMIFS(SALIDAS_TC,FECHA_TC,"&gt;="&amp;S$2,FECHA_TC,"&lt;="&amp;S$3,CLAVE_TC,$A324)+SUMIFS(SALIDAS_COMB,FECHA_COMB,"&gt;="&amp;S$2,FECHA_COMB,"&lt;="&amp;S$3,CLAVE_COMB,$A324)+SUMIFS(SALIDAS_DES,FECHA_DESGLOSEN,"&gt;="&amp;S$2,FECHA_DESGLOSEN,"&lt;="&amp;S$3,CLAVE_DESGLOSE,$A324)</f>
        <v>0</v>
      </c>
      <c r="T324" s="162">
        <f>SUMIFS(SALIDAS_BIT,FECHA_BIT,"&gt;="&amp;T$2,FECHA_BIT,"&lt;="&amp;T$3,CLAVE_BIT,$A324)+SUMIFS(SALIDAS_BOV1,FECHA_BOV1,"&gt;="&amp;T$2,FECHA_BOV1,"&lt;="&amp;T$3,CLAVE_BOV1,$A324)+SUMIFS(SALIDAS_BOV2,FECHA_BOV2,"&gt;="&amp;T$2,FECHA_BOV2,"&lt;="&amp;T$3,CLAVE_BOV2,$A324)+SUMIFS(SALIDAS_BOV3,FECHA_BOV3,"&gt;="&amp;T$2,FECHA_BOV3,"&lt;="&amp;T$3,CLAVE_BOV3,$A324)+SUMIFS(SALIDAS_TC,FECHA_TC,"&gt;="&amp;T$2,FECHA_TC,"&lt;="&amp;T$3,CLAVE_TC,$A324)+SUMIFS(SALIDAS_COMB,FECHA_COMB,"&gt;="&amp;T$2,FECHA_COMB,"&lt;="&amp;T$3,CLAVE_COMB,$A324)+SUMIFS(SALIDAS_DES,FECHA_DESGLOSEN,"&gt;="&amp;T$2,FECHA_DESGLOSEN,"&lt;="&amp;T$3,CLAVE_DESGLOSE,$A324)</f>
        <v>0</v>
      </c>
      <c r="U324" s="227">
        <f>N324-T324</f>
        <v>0</v>
      </c>
      <c r="V324" s="301">
        <f>IFERROR((T324/N324),0)</f>
        <v>0</v>
      </c>
      <c r="W324" s="162">
        <f>VLOOKUP($A324,T_PRESUPUESTO,MATCH(W$6,E_PRESUPUESTO,0),FALSE)</f>
        <v>0</v>
      </c>
      <c r="X324" s="162">
        <f>SUMIFS(SALIDAS_BIT,FECHA_BIT,"&gt;="&amp;X$2,FECHA_BIT,"&lt;="&amp;X$3,CLAVE_BIT,$A324)+SUMIFS(SALIDAS_BOV1,FECHA_BOV1,"&gt;="&amp;X$2,FECHA_BOV1,"&lt;="&amp;X$3,CLAVE_BOV1,$A324)+SUMIFS(SALIDAS_BOV2,FECHA_BOV2,"&gt;="&amp;X$2,FECHA_BOV2,"&lt;="&amp;X$3,CLAVE_BOV2,$A324)+SUMIFS(SALIDAS_BOV3,FECHA_BOV3,"&gt;="&amp;X$2,FECHA_BOV3,"&lt;="&amp;X$3,CLAVE_BOV3,$A324)+SUMIFS(SALIDAS_TC,FECHA_TC,"&gt;="&amp;X$2,FECHA_TC,"&lt;="&amp;X$3,CLAVE_TC,$A324)+SUMIFS(SALIDAS_COMB,FECHA_COMB,"&gt;="&amp;X$2,FECHA_COMB,"&lt;="&amp;X$3,CLAVE_COMB,$A324)+SUMIFS(SALIDAS_DES,FECHA_DESGLOSEN,"&gt;="&amp;X$2,FECHA_DESGLOSEN,"&lt;="&amp;X$3,CLAVE_DESGLOSE,$A324)</f>
        <v>0</v>
      </c>
      <c r="Y324" s="162">
        <f>SUMIFS(SALIDAS_BIT,FECHA_BIT,"&gt;="&amp;Y$2,FECHA_BIT,"&lt;="&amp;Y$3,CLAVE_BIT,$A324)+SUMIFS(SALIDAS_BOV1,FECHA_BOV1,"&gt;="&amp;Y$2,FECHA_BOV1,"&lt;="&amp;Y$3,CLAVE_BOV1,$A324)+SUMIFS(SALIDAS_BOV2,FECHA_BOV2,"&gt;="&amp;Y$2,FECHA_BOV2,"&lt;="&amp;Y$3,CLAVE_BOV2,$A324)+SUMIFS(SALIDAS_BOV3,FECHA_BOV3,"&gt;="&amp;Y$2,FECHA_BOV3,"&lt;="&amp;Y$3,CLAVE_BOV3,$A324)+SUMIFS(SALIDAS_TC,FECHA_TC,"&gt;="&amp;Y$2,FECHA_TC,"&lt;="&amp;Y$3,CLAVE_TC,$A324)+SUMIFS(SALIDAS_COMB,FECHA_COMB,"&gt;="&amp;Y$2,FECHA_COMB,"&lt;="&amp;Y$3,CLAVE_COMB,$A324)+SUMIFS(SALIDAS_DES,FECHA_DESGLOSEN,"&gt;="&amp;Y$2,FECHA_DESGLOSEN,"&lt;="&amp;Y$3,CLAVE_DESGLOSE,$A324)</f>
        <v>0</v>
      </c>
      <c r="Z324" s="162">
        <f>SUMIFS(SALIDAS_BIT,FECHA_BIT,"&gt;="&amp;Z$2,FECHA_BIT,"&lt;="&amp;Z$3,CLAVE_BIT,$A324)+SUMIFS(SALIDAS_BOV1,FECHA_BOV1,"&gt;="&amp;Z$2,FECHA_BOV1,"&lt;="&amp;Z$3,CLAVE_BOV1,$A324)+SUMIFS(SALIDAS_BOV2,FECHA_BOV2,"&gt;="&amp;Z$2,FECHA_BOV2,"&lt;="&amp;Z$3,CLAVE_BOV2,$A324)+SUMIFS(SALIDAS_BOV3,FECHA_BOV3,"&gt;="&amp;Z$2,FECHA_BOV3,"&lt;="&amp;Z$3,CLAVE_BOV3,$A324)+SUMIFS(SALIDAS_TC,FECHA_TC,"&gt;="&amp;Z$2,FECHA_TC,"&lt;="&amp;Z$3,CLAVE_TC,$A324)+SUMIFS(SALIDAS_COMB,FECHA_COMB,"&gt;="&amp;Z$2,FECHA_COMB,"&lt;="&amp;Z$3,CLAVE_COMB,$A324)+SUMIFS(SALIDAS_DES,FECHA_DESGLOSEN,"&gt;="&amp;Z$2,FECHA_DESGLOSEN,"&lt;="&amp;Z$3,CLAVE_DESGLOSE,$A324)</f>
        <v>0</v>
      </c>
      <c r="AA324" s="162">
        <f>SUMIFS(SALIDAS_BIT,FECHA_BIT,"&gt;="&amp;AA$2,FECHA_BIT,"&lt;="&amp;AA$3,CLAVE_BIT,$A324)+SUMIFS(SALIDAS_BOV1,FECHA_BOV1,"&gt;="&amp;AA$2,FECHA_BOV1,"&lt;="&amp;AA$3,CLAVE_BOV1,$A324)+SUMIFS(SALIDAS_BOV2,FECHA_BOV2,"&gt;="&amp;AA$2,FECHA_BOV2,"&lt;="&amp;AA$3,CLAVE_BOV2,$A324)+SUMIFS(SALIDAS_BOV3,FECHA_BOV3,"&gt;="&amp;AA$2,FECHA_BOV3,"&lt;="&amp;AA$3,CLAVE_BOV3,$A324)+SUMIFS(SALIDAS_TC,FECHA_TC,"&gt;="&amp;AA$2,FECHA_TC,"&lt;="&amp;AA$3,CLAVE_TC,$A324)+SUMIFS(SALIDAS_COMB,FECHA_COMB,"&gt;="&amp;AA$2,FECHA_COMB,"&lt;="&amp;AA$3,CLAVE_COMB,$A324)+SUMIFS(SALIDAS_DES,FECHA_DESGLOSEN,"&gt;="&amp;AA$2,FECHA_DESGLOSEN,"&lt;="&amp;AA$3,CLAVE_DESGLOSE,$A324)</f>
        <v>0</v>
      </c>
      <c r="AB324" s="162">
        <f>SUMIFS(SALIDAS_BIT,FECHA_BIT,"&gt;="&amp;AB$2,FECHA_BIT,"&lt;="&amp;AB$3,CLAVE_BIT,$A324)+SUMIFS(SALIDAS_BOV1,FECHA_BOV1,"&gt;="&amp;AB$2,FECHA_BOV1,"&lt;="&amp;AB$3,CLAVE_BOV1,$A324)+SUMIFS(SALIDAS_BOV2,FECHA_BOV2,"&gt;="&amp;AB$2,FECHA_BOV2,"&lt;="&amp;AB$3,CLAVE_BOV2,$A324)+SUMIFS(SALIDAS_BOV3,FECHA_BOV3,"&gt;="&amp;AB$2,FECHA_BOV3,"&lt;="&amp;AB$3,CLAVE_BOV3,$A324)+SUMIFS(SALIDAS_TC,FECHA_TC,"&gt;="&amp;AB$2,FECHA_TC,"&lt;="&amp;AB$3,CLAVE_TC,$A324)+SUMIFS(SALIDAS_COMB,FECHA_COMB,"&gt;="&amp;AB$2,FECHA_COMB,"&lt;="&amp;AB$3,CLAVE_COMB,$A324)+SUMIFS(SALIDAS_DES,FECHA_DESGLOSEN,"&gt;="&amp;AB$2,FECHA_DESGLOSEN,"&lt;="&amp;AB$3,CLAVE_DESGLOSE,$A324)</f>
        <v>0</v>
      </c>
      <c r="AC324" s="227">
        <f>W324-AB324</f>
        <v>0</v>
      </c>
      <c r="AD324" s="301">
        <f>IFERROR((AB324/W324),0)</f>
        <v>0</v>
      </c>
      <c r="AE324" s="162">
        <f>VLOOKUP($A324,T_PRESUPUESTO,MATCH(AE$6,E_PRESUPUESTO,0),FALSE)</f>
        <v>0</v>
      </c>
      <c r="AF324" s="162">
        <f>SUMIFS(SALIDAS_BIT,FECHA_BIT,"&gt;="&amp;AF$2,FECHA_BIT,"&lt;="&amp;AF$3,CLAVE_BIT,$A324)+SUMIFS(SALIDAS_BOV1,FECHA_BOV1,"&gt;="&amp;AF$2,FECHA_BOV1,"&lt;="&amp;AF$3,CLAVE_BOV1,$A324)+SUMIFS(SALIDAS_BOV2,FECHA_BOV2,"&gt;="&amp;AF$2,FECHA_BOV2,"&lt;="&amp;AF$3,CLAVE_BOV2,$A324)+SUMIFS(SALIDAS_BOV3,FECHA_BOV3,"&gt;="&amp;AF$2,FECHA_BOV3,"&lt;="&amp;AF$3,CLAVE_BOV3,$A324)+SUMIFS(SALIDAS_TC,FECHA_TC,"&gt;="&amp;AF$2,FECHA_TC,"&lt;="&amp;AF$3,CLAVE_TC,$A324)+SUMIFS(SALIDAS_COMB,FECHA_COMB,"&gt;="&amp;AF$2,FECHA_COMB,"&lt;="&amp;AF$3,CLAVE_COMB,$A324)+SUMIFS(SALIDAS_DES,FECHA_DESGLOSEN,"&gt;="&amp;AF$2,FECHA_DESGLOSEN,"&lt;="&amp;AF$3,CLAVE_DESGLOSE,$A324)</f>
        <v>0</v>
      </c>
      <c r="AG324" s="162">
        <f>SUMIFS(SALIDAS_BIT,FECHA_BIT,"&gt;="&amp;AG$2,FECHA_BIT,"&lt;="&amp;AG$3,CLAVE_BIT,$A324)+SUMIFS(SALIDAS_BOV1,FECHA_BOV1,"&gt;="&amp;AG$2,FECHA_BOV1,"&lt;="&amp;AG$3,CLAVE_BOV1,$A324)+SUMIFS(SALIDAS_BOV2,FECHA_BOV2,"&gt;="&amp;AG$2,FECHA_BOV2,"&lt;="&amp;AG$3,CLAVE_BOV2,$A324)+SUMIFS(SALIDAS_BOV3,FECHA_BOV3,"&gt;="&amp;AG$2,FECHA_BOV3,"&lt;="&amp;AG$3,CLAVE_BOV3,$A324)+SUMIFS(SALIDAS_TC,FECHA_TC,"&gt;="&amp;AG$2,FECHA_TC,"&lt;="&amp;AG$3,CLAVE_TC,$A324)+SUMIFS(SALIDAS_COMB,FECHA_COMB,"&gt;="&amp;AG$2,FECHA_COMB,"&lt;="&amp;AG$3,CLAVE_COMB,$A324)+SUMIFS(SALIDAS_DES,FECHA_DESGLOSEN,"&gt;="&amp;AG$2,FECHA_DESGLOSEN,"&lt;="&amp;AG$3,CLAVE_DESGLOSE,$A324)</f>
        <v>0</v>
      </c>
      <c r="AH324" s="162">
        <f>SUMIFS(SALIDAS_BIT,FECHA_BIT,"&gt;="&amp;AH$2,FECHA_BIT,"&lt;="&amp;AH$3,CLAVE_BIT,$A324)+SUMIFS(SALIDAS_BOV1,FECHA_BOV1,"&gt;="&amp;AH$2,FECHA_BOV1,"&lt;="&amp;AH$3,CLAVE_BOV1,$A324)+SUMIFS(SALIDAS_BOV2,FECHA_BOV2,"&gt;="&amp;AH$2,FECHA_BOV2,"&lt;="&amp;AH$3,CLAVE_BOV2,$A324)+SUMIFS(SALIDAS_BOV3,FECHA_BOV3,"&gt;="&amp;AH$2,FECHA_BOV3,"&lt;="&amp;AH$3,CLAVE_BOV3,$A324)+SUMIFS(SALIDAS_TC,FECHA_TC,"&gt;="&amp;AH$2,FECHA_TC,"&lt;="&amp;AH$3,CLAVE_TC,$A324)+SUMIFS(SALIDAS_COMB,FECHA_COMB,"&gt;="&amp;AH$2,FECHA_COMB,"&lt;="&amp;AH$3,CLAVE_COMB,$A324)+SUMIFS(SALIDAS_DES,FECHA_DESGLOSEN,"&gt;="&amp;AH$2,FECHA_DESGLOSEN,"&lt;="&amp;AH$3,CLAVE_DESGLOSE,$A324)</f>
        <v>0</v>
      </c>
      <c r="AI324" s="162">
        <f>SUMIFS(SALIDAS_BIT,FECHA_BIT,"&gt;="&amp;AI$2,FECHA_BIT,"&lt;="&amp;AI$3,CLAVE_BIT,$A324)+SUMIFS(SALIDAS_BOV1,FECHA_BOV1,"&gt;="&amp;AI$2,FECHA_BOV1,"&lt;="&amp;AI$3,CLAVE_BOV1,$A324)+SUMIFS(SALIDAS_BOV2,FECHA_BOV2,"&gt;="&amp;AI$2,FECHA_BOV2,"&lt;="&amp;AI$3,CLAVE_BOV2,$A324)+SUMIFS(SALIDAS_BOV3,FECHA_BOV3,"&gt;="&amp;AI$2,FECHA_BOV3,"&lt;="&amp;AI$3,CLAVE_BOV3,$A324)+SUMIFS(SALIDAS_TC,FECHA_TC,"&gt;="&amp;AI$2,FECHA_TC,"&lt;="&amp;AI$3,CLAVE_TC,$A324)+SUMIFS(SALIDAS_COMB,FECHA_COMB,"&gt;="&amp;AI$2,FECHA_COMB,"&lt;="&amp;AI$3,CLAVE_COMB,$A324)+SUMIFS(SALIDAS_DES,FECHA_DESGLOSEN,"&gt;="&amp;AI$2,FECHA_DESGLOSEN,"&lt;="&amp;AI$3,CLAVE_DESGLOSE,$A324)</f>
        <v>0</v>
      </c>
      <c r="AJ324" s="162">
        <f>SUMIFS(SALIDAS_BIT,FECHA_BIT,"&gt;="&amp;AJ$2,FECHA_BIT,"&lt;="&amp;AJ$3,CLAVE_BIT,$A324)+SUMIFS(SALIDAS_BOV1,FECHA_BOV1,"&gt;="&amp;AJ$2,FECHA_BOV1,"&lt;="&amp;AJ$3,CLAVE_BOV1,$A324)+SUMIFS(SALIDAS_BOV2,FECHA_BOV2,"&gt;="&amp;AJ$2,FECHA_BOV2,"&lt;="&amp;AJ$3,CLAVE_BOV2,$A324)+SUMIFS(SALIDAS_BOV3,FECHA_BOV3,"&gt;="&amp;AJ$2,FECHA_BOV3,"&lt;="&amp;AJ$3,CLAVE_BOV3,$A324)+SUMIFS(SALIDAS_TC,FECHA_TC,"&gt;="&amp;AJ$2,FECHA_TC,"&lt;="&amp;AJ$3,CLAVE_TC,$A324)+SUMIFS(SALIDAS_COMB,FECHA_COMB,"&gt;="&amp;AJ$2,FECHA_COMB,"&lt;="&amp;AJ$3,CLAVE_COMB,$A324)+SUMIFS(SALIDAS_DES,FECHA_DESGLOSEN,"&gt;="&amp;AJ$2,FECHA_DESGLOSEN,"&lt;="&amp;AJ$3,CLAVE_DESGLOSE,$A324)</f>
        <v>0</v>
      </c>
      <c r="AK324" s="227">
        <f>AE324-AJ324</f>
        <v>0</v>
      </c>
      <c r="AL324" s="301">
        <f>IFERROR((AJ324/AE324),0)</f>
        <v>0</v>
      </c>
      <c r="AM324" s="162">
        <f>VLOOKUP($A324,T_PRESUPUESTO,MATCH(AM$6,E_PRESUPUESTO,0),FALSE)</f>
        <v>0</v>
      </c>
      <c r="AN324" s="162">
        <f>SUMIFS(SALIDAS_BIT,FECHA_BIT,"&gt;="&amp;AN$2,FECHA_BIT,"&lt;="&amp;AN$3,CLAVE_BIT,$A324)+SUMIFS(SALIDAS_BOV1,FECHA_BOV1,"&gt;="&amp;AN$2,FECHA_BOV1,"&lt;="&amp;AN$3,CLAVE_BOV1,$A324)+SUMIFS(SALIDAS_BOV2,FECHA_BOV2,"&gt;="&amp;AN$2,FECHA_BOV2,"&lt;="&amp;AN$3,CLAVE_BOV2,$A324)+SUMIFS(SALIDAS_BOV3,FECHA_BOV3,"&gt;="&amp;AN$2,FECHA_BOV3,"&lt;="&amp;AN$3,CLAVE_BOV3,$A324)+SUMIFS(SALIDAS_TC,FECHA_TC,"&gt;="&amp;AN$2,FECHA_TC,"&lt;="&amp;AN$3,CLAVE_TC,$A324)+SUMIFS(SALIDAS_COMB,FECHA_COMB,"&gt;="&amp;AN$2,FECHA_COMB,"&lt;="&amp;AN$3,CLAVE_COMB,$A324)+SUMIFS(SALIDAS_DES,FECHA_DESGLOSEN,"&gt;="&amp;AN$2,FECHA_DESGLOSEN,"&lt;="&amp;AN$3,CLAVE_DESGLOSE,$A324)</f>
        <v>0</v>
      </c>
      <c r="AO324" s="162">
        <f>SUMIFS(SALIDAS_BIT,FECHA_BIT,"&gt;="&amp;AO$2,FECHA_BIT,"&lt;="&amp;AO$3,CLAVE_BIT,$A324)+SUMIFS(SALIDAS_BOV1,FECHA_BOV1,"&gt;="&amp;AO$2,FECHA_BOV1,"&lt;="&amp;AO$3,CLAVE_BOV1,$A324)+SUMIFS(SALIDAS_BOV2,FECHA_BOV2,"&gt;="&amp;AO$2,FECHA_BOV2,"&lt;="&amp;AO$3,CLAVE_BOV2,$A324)+SUMIFS(SALIDAS_BOV3,FECHA_BOV3,"&gt;="&amp;AO$2,FECHA_BOV3,"&lt;="&amp;AO$3,CLAVE_BOV3,$A324)+SUMIFS(SALIDAS_TC,FECHA_TC,"&gt;="&amp;AO$2,FECHA_TC,"&lt;="&amp;AO$3,CLAVE_TC,$A324)+SUMIFS(SALIDAS_COMB,FECHA_COMB,"&gt;="&amp;AO$2,FECHA_COMB,"&lt;="&amp;AO$3,CLAVE_COMB,$A324)+SUMIFS(SALIDAS_DES,FECHA_DESGLOSEN,"&gt;="&amp;AO$2,FECHA_DESGLOSEN,"&lt;="&amp;AO$3,CLAVE_DESGLOSE,$A324)</f>
        <v>0</v>
      </c>
      <c r="AP324" s="162">
        <f>SUMIFS(SALIDAS_BIT,FECHA_BIT,"&gt;="&amp;AP$2,FECHA_BIT,"&lt;="&amp;AP$3,CLAVE_BIT,$A324)+SUMIFS(SALIDAS_BOV1,FECHA_BOV1,"&gt;="&amp;AP$2,FECHA_BOV1,"&lt;="&amp;AP$3,CLAVE_BOV1,$A324)+SUMIFS(SALIDAS_BOV2,FECHA_BOV2,"&gt;="&amp;AP$2,FECHA_BOV2,"&lt;="&amp;AP$3,CLAVE_BOV2,$A324)+SUMIFS(SALIDAS_BOV3,FECHA_BOV3,"&gt;="&amp;AP$2,FECHA_BOV3,"&lt;="&amp;AP$3,CLAVE_BOV3,$A324)+SUMIFS(SALIDAS_TC,FECHA_TC,"&gt;="&amp;AP$2,FECHA_TC,"&lt;="&amp;AP$3,CLAVE_TC,$A324)+SUMIFS(SALIDAS_COMB,FECHA_COMB,"&gt;="&amp;AP$2,FECHA_COMB,"&lt;="&amp;AP$3,CLAVE_COMB,$A324)+SUMIFS(SALIDAS_DES,FECHA_DESGLOSEN,"&gt;="&amp;AP$2,FECHA_DESGLOSEN,"&lt;="&amp;AP$3,CLAVE_DESGLOSE,$A324)</f>
        <v>0</v>
      </c>
      <c r="AQ324" s="162">
        <f>SUMIFS(SALIDAS_BIT,FECHA_BIT,"&gt;="&amp;AQ$2,FECHA_BIT,"&lt;="&amp;AQ$3,CLAVE_BIT,$A324)+SUMIFS(SALIDAS_BOV1,FECHA_BOV1,"&gt;="&amp;AQ$2,FECHA_BOV1,"&lt;="&amp;AQ$3,CLAVE_BOV1,$A324)+SUMIFS(SALIDAS_BOV2,FECHA_BOV2,"&gt;="&amp;AQ$2,FECHA_BOV2,"&lt;="&amp;AQ$3,CLAVE_BOV2,$A324)+SUMIFS(SALIDAS_BOV3,FECHA_BOV3,"&gt;="&amp;AQ$2,FECHA_BOV3,"&lt;="&amp;AQ$3,CLAVE_BOV3,$A324)+SUMIFS(SALIDAS_TC,FECHA_TC,"&gt;="&amp;AQ$2,FECHA_TC,"&lt;="&amp;AQ$3,CLAVE_TC,$A324)+SUMIFS(SALIDAS_COMB,FECHA_COMB,"&gt;="&amp;AQ$2,FECHA_COMB,"&lt;="&amp;AQ$3,CLAVE_COMB,$A324)+SUMIFS(SALIDAS_DES,FECHA_DESGLOSEN,"&gt;="&amp;AQ$2,FECHA_DESGLOSEN,"&lt;="&amp;AQ$3,CLAVE_DESGLOSE,$A324)</f>
        <v>0</v>
      </c>
      <c r="AR324" s="162">
        <f>SUMIFS(SALIDAS_BIT,FECHA_BIT,"&gt;="&amp;AR$2,FECHA_BIT,"&lt;="&amp;AR$3,CLAVE_BIT,$A324)+SUMIFS(SALIDAS_BOV1,FECHA_BOV1,"&gt;="&amp;AR$2,FECHA_BOV1,"&lt;="&amp;AR$3,CLAVE_BOV1,$A324)+SUMIFS(SALIDAS_BOV2,FECHA_BOV2,"&gt;="&amp;AR$2,FECHA_BOV2,"&lt;="&amp;AR$3,CLAVE_BOV2,$A324)+SUMIFS(SALIDAS_BOV3,FECHA_BOV3,"&gt;="&amp;AR$2,FECHA_BOV3,"&lt;="&amp;AR$3,CLAVE_BOV3,$A324)+SUMIFS(SALIDAS_TC,FECHA_TC,"&gt;="&amp;AR$2,FECHA_TC,"&lt;="&amp;AR$3,CLAVE_TC,$A324)+SUMIFS(SALIDAS_COMB,FECHA_COMB,"&gt;="&amp;AR$2,FECHA_COMB,"&lt;="&amp;AR$3,CLAVE_COMB,$A324)+SUMIFS(SALIDAS_DES,FECHA_DESGLOSEN,"&gt;="&amp;AR$2,FECHA_DESGLOSEN,"&lt;="&amp;AR$3,CLAVE_DESGLOSE,$A324)</f>
        <v>0</v>
      </c>
      <c r="AS324" s="162">
        <f>SUMIFS(SALIDAS_BIT,FECHA_BIT,"&gt;="&amp;AS$2,FECHA_BIT,"&lt;="&amp;AS$3,CLAVE_BIT,$A324)+SUMIFS(SALIDAS_BOV1,FECHA_BOV1,"&gt;="&amp;AS$2,FECHA_BOV1,"&lt;="&amp;AS$3,CLAVE_BOV1,$A324)+SUMIFS(SALIDAS_BOV2,FECHA_BOV2,"&gt;="&amp;AS$2,FECHA_BOV2,"&lt;="&amp;AS$3,CLAVE_BOV2,$A324)+SUMIFS(SALIDAS_BOV3,FECHA_BOV3,"&gt;="&amp;AS$2,FECHA_BOV3,"&lt;="&amp;AS$3,CLAVE_BOV3,$A324)+SUMIFS(SALIDAS_TC,FECHA_TC,"&gt;="&amp;AS$2,FECHA_TC,"&lt;="&amp;AS$3,CLAVE_TC,$A324)+SUMIFS(SALIDAS_COMB,FECHA_COMB,"&gt;="&amp;AS$2,FECHA_COMB,"&lt;="&amp;AS$3,CLAVE_COMB,$A324)+SUMIFS(SALIDAS_DES,FECHA_DESGLOSEN,"&gt;="&amp;AS$2,FECHA_DESGLOSEN,"&lt;="&amp;AS$3,CLAVE_DESGLOSE,$A324)</f>
        <v>0</v>
      </c>
      <c r="AT324" s="227">
        <f>AM324-AS324</f>
        <v>0</v>
      </c>
      <c r="AU324" s="301">
        <f>IFERROR((AS324/AM324),0)</f>
        <v>0</v>
      </c>
      <c r="AV324" s="162">
        <f>VLOOKUP($A324,T_PRESUPUESTO,MATCH(AV$6,E_PRESUPUESTO,0),FALSE)</f>
        <v>0</v>
      </c>
      <c r="AW324" s="162">
        <f>SUMIFS(SALIDAS_BIT,FECHA_BIT,"&gt;="&amp;AW$2,FECHA_BIT,"&lt;="&amp;AW$3,CLAVE_BIT,$A324)+SUMIFS(SALIDAS_BOV1,FECHA_BOV1,"&gt;="&amp;AW$2,FECHA_BOV1,"&lt;="&amp;AW$3,CLAVE_BOV1,$A324)+SUMIFS(SALIDAS_BOV2,FECHA_BOV2,"&gt;="&amp;AW$2,FECHA_BOV2,"&lt;="&amp;AW$3,CLAVE_BOV2,$A324)+SUMIFS(SALIDAS_BOV3,FECHA_BOV3,"&gt;="&amp;AW$2,FECHA_BOV3,"&lt;="&amp;AW$3,CLAVE_BOV3,$A324)+SUMIFS(SALIDAS_TC,FECHA_TC,"&gt;="&amp;AW$2,FECHA_TC,"&lt;="&amp;AW$3,CLAVE_TC,$A324)+SUMIFS(SALIDAS_COMB,FECHA_COMB,"&gt;="&amp;AW$2,FECHA_COMB,"&lt;="&amp;AW$3,CLAVE_COMB,$A324)+SUMIFS(SALIDAS_DES,FECHA_DESGLOSEN,"&gt;="&amp;AW$2,FECHA_DESGLOSEN,"&lt;="&amp;AW$3,CLAVE_DESGLOSE,$A324)</f>
        <v>0</v>
      </c>
      <c r="AX324" s="162">
        <f>SUMIFS(SALIDAS_BIT,FECHA_BIT,"&gt;="&amp;AX$2,FECHA_BIT,"&lt;="&amp;AX$3,CLAVE_BIT,$A324)+SUMIFS(SALIDAS_BOV1,FECHA_BOV1,"&gt;="&amp;AX$2,FECHA_BOV1,"&lt;="&amp;AX$3,CLAVE_BOV1,$A324)+SUMIFS(SALIDAS_BOV2,FECHA_BOV2,"&gt;="&amp;AX$2,FECHA_BOV2,"&lt;="&amp;AX$3,CLAVE_BOV2,$A324)+SUMIFS(SALIDAS_BOV3,FECHA_BOV3,"&gt;="&amp;AX$2,FECHA_BOV3,"&lt;="&amp;AX$3,CLAVE_BOV3,$A324)+SUMIFS(SALIDAS_TC,FECHA_TC,"&gt;="&amp;AX$2,FECHA_TC,"&lt;="&amp;AX$3,CLAVE_TC,$A324)+SUMIFS(SALIDAS_COMB,FECHA_COMB,"&gt;="&amp;AX$2,FECHA_COMB,"&lt;="&amp;AX$3,CLAVE_COMB,$A324)+SUMIFS(SALIDAS_DES,FECHA_DESGLOSEN,"&gt;="&amp;AX$2,FECHA_DESGLOSEN,"&lt;="&amp;AX$3,CLAVE_DESGLOSE,$A324)</f>
        <v>0</v>
      </c>
      <c r="AY324" s="162">
        <f>SUMIFS(SALIDAS_BIT,FECHA_BIT,"&gt;="&amp;AY$2,FECHA_BIT,"&lt;="&amp;AY$3,CLAVE_BIT,$A324)+SUMIFS(SALIDAS_BOV1,FECHA_BOV1,"&gt;="&amp;AY$2,FECHA_BOV1,"&lt;="&amp;AY$3,CLAVE_BOV1,$A324)+SUMIFS(SALIDAS_BOV2,FECHA_BOV2,"&gt;="&amp;AY$2,FECHA_BOV2,"&lt;="&amp;AY$3,CLAVE_BOV2,$A324)+SUMIFS(SALIDAS_BOV3,FECHA_BOV3,"&gt;="&amp;AY$2,FECHA_BOV3,"&lt;="&amp;AY$3,CLAVE_BOV3,$A324)+SUMIFS(SALIDAS_TC,FECHA_TC,"&gt;="&amp;AY$2,FECHA_TC,"&lt;="&amp;AY$3,CLAVE_TC,$A324)+SUMIFS(SALIDAS_COMB,FECHA_COMB,"&gt;="&amp;AY$2,FECHA_COMB,"&lt;="&amp;AY$3,CLAVE_COMB,$A324)+SUMIFS(SALIDAS_DES,FECHA_DESGLOSEN,"&gt;="&amp;AY$2,FECHA_DESGLOSEN,"&lt;="&amp;AY$3,CLAVE_DESGLOSE,$A324)</f>
        <v>0</v>
      </c>
      <c r="AZ324" s="162">
        <f>SUMIFS(SALIDAS_BIT,FECHA_BIT,"&gt;="&amp;AZ$2,FECHA_BIT,"&lt;="&amp;AZ$3,CLAVE_BIT,$A324)+SUMIFS(SALIDAS_BOV1,FECHA_BOV1,"&gt;="&amp;AZ$2,FECHA_BOV1,"&lt;="&amp;AZ$3,CLAVE_BOV1,$A324)+SUMIFS(SALIDAS_BOV2,FECHA_BOV2,"&gt;="&amp;AZ$2,FECHA_BOV2,"&lt;="&amp;AZ$3,CLAVE_BOV2,$A324)+SUMIFS(SALIDAS_BOV3,FECHA_BOV3,"&gt;="&amp;AZ$2,FECHA_BOV3,"&lt;="&amp;AZ$3,CLAVE_BOV3,$A324)+SUMIFS(SALIDAS_TC,FECHA_TC,"&gt;="&amp;AZ$2,FECHA_TC,"&lt;="&amp;AZ$3,CLAVE_TC,$A324)+SUMIFS(SALIDAS_COMB,FECHA_COMB,"&gt;="&amp;AZ$2,FECHA_COMB,"&lt;="&amp;AZ$3,CLAVE_COMB,$A324)+SUMIFS(SALIDAS_DES,FECHA_DESGLOSEN,"&gt;="&amp;AZ$2,FECHA_DESGLOSEN,"&lt;="&amp;AZ$3,CLAVE_DESGLOSE,$A324)</f>
        <v>0</v>
      </c>
      <c r="BA324" s="162">
        <f>SUMIFS(SALIDAS_BIT,FECHA_BIT,"&gt;="&amp;BA$2,FECHA_BIT,"&lt;="&amp;BA$3,CLAVE_BIT,$A324)+SUMIFS(SALIDAS_BOV1,FECHA_BOV1,"&gt;="&amp;BA$2,FECHA_BOV1,"&lt;="&amp;BA$3,CLAVE_BOV1,$A324)+SUMIFS(SALIDAS_BOV2,FECHA_BOV2,"&gt;="&amp;BA$2,FECHA_BOV2,"&lt;="&amp;BA$3,CLAVE_BOV2,$A324)+SUMIFS(SALIDAS_BOV3,FECHA_BOV3,"&gt;="&amp;BA$2,FECHA_BOV3,"&lt;="&amp;BA$3,CLAVE_BOV3,$A324)+SUMIFS(SALIDAS_TC,FECHA_TC,"&gt;="&amp;BA$2,FECHA_TC,"&lt;="&amp;BA$3,CLAVE_TC,$A324)+SUMIFS(SALIDAS_COMB,FECHA_COMB,"&gt;="&amp;BA$2,FECHA_COMB,"&lt;="&amp;BA$3,CLAVE_COMB,$A324)+SUMIFS(SALIDAS_DES,FECHA_DESGLOSEN,"&gt;="&amp;BA$2,FECHA_DESGLOSEN,"&lt;="&amp;BA$3,CLAVE_DESGLOSE,$A324)</f>
        <v>0</v>
      </c>
      <c r="BB324" s="227">
        <f>AV324-BA324</f>
        <v>0</v>
      </c>
      <c r="BC324" s="301">
        <f>IFERROR((BA324/AV324),0)</f>
        <v>0</v>
      </c>
      <c r="BD324" s="162">
        <f>VLOOKUP($A324,T_PRESUPUESTO,MATCH(BD$6,E_PRESUPUESTO,0),FALSE)</f>
        <v>16000</v>
      </c>
      <c r="BE324" s="162">
        <f>SUMIFS(SALIDAS_BIT,FECHA_BIT,"&gt;="&amp;BE$2,FECHA_BIT,"&lt;="&amp;BE$3,CLAVE_BIT,$A324)+SUMIFS(SALIDAS_BOV1,FECHA_BOV1,"&gt;="&amp;BE$2,FECHA_BOV1,"&lt;="&amp;BE$3,CLAVE_BOV1,$A324)+SUMIFS(SALIDAS_BOV2,FECHA_BOV2,"&gt;="&amp;BE$2,FECHA_BOV2,"&lt;="&amp;BE$3,CLAVE_BOV2,$A324)+SUMIFS(SALIDAS_BOV3,FECHA_BOV3,"&gt;="&amp;BE$2,FECHA_BOV3,"&lt;="&amp;BE$3,CLAVE_BOV3,$A324)+SUMIFS(SALIDAS_TC,FECHA_TC,"&gt;="&amp;BE$2,FECHA_TC,"&lt;="&amp;BE$3,CLAVE_TC,$A324)+SUMIFS(SALIDAS_COMB,FECHA_COMB,"&gt;="&amp;BE$2,FECHA_COMB,"&lt;="&amp;BE$3,CLAVE_COMB,$A324)+SUMIFS(SALIDAS_DES,FECHA_DESGLOSEN,"&gt;="&amp;BE$2,FECHA_DESGLOSEN,"&lt;="&amp;BE$3,CLAVE_DESGLOSE,$A324)</f>
        <v>0</v>
      </c>
      <c r="BF324" s="162">
        <f>SUMIFS(SALIDAS_BIT,FECHA_BIT,"&gt;="&amp;BF$2,FECHA_BIT,"&lt;="&amp;BF$3,CLAVE_BIT,$A324)+SUMIFS(SALIDAS_BOV1,FECHA_BOV1,"&gt;="&amp;BF$2,FECHA_BOV1,"&lt;="&amp;BF$3,CLAVE_BOV1,$A324)+SUMIFS(SALIDAS_BOV2,FECHA_BOV2,"&gt;="&amp;BF$2,FECHA_BOV2,"&lt;="&amp;BF$3,CLAVE_BOV2,$A324)+SUMIFS(SALIDAS_BOV3,FECHA_BOV3,"&gt;="&amp;BF$2,FECHA_BOV3,"&lt;="&amp;BF$3,CLAVE_BOV3,$A324)+SUMIFS(SALIDAS_TC,FECHA_TC,"&gt;="&amp;BF$2,FECHA_TC,"&lt;="&amp;BF$3,CLAVE_TC,$A324)+SUMIFS(SALIDAS_COMB,FECHA_COMB,"&gt;="&amp;BF$2,FECHA_COMB,"&lt;="&amp;BF$3,CLAVE_COMB,$A324)+SUMIFS(SALIDAS_DES,FECHA_DESGLOSEN,"&gt;="&amp;BF$2,FECHA_DESGLOSEN,"&lt;="&amp;BF$3,CLAVE_DESGLOSE,$A324)</f>
        <v>0</v>
      </c>
      <c r="BG324" s="162">
        <f>SUMIFS(SALIDAS_BIT,FECHA_BIT,"&gt;="&amp;BG$2,FECHA_BIT,"&lt;="&amp;BG$3,CLAVE_BIT,$A324)+SUMIFS(SALIDAS_BOV1,FECHA_BOV1,"&gt;="&amp;BG$2,FECHA_BOV1,"&lt;="&amp;BG$3,CLAVE_BOV1,$A324)+SUMIFS(SALIDAS_BOV2,FECHA_BOV2,"&gt;="&amp;BG$2,FECHA_BOV2,"&lt;="&amp;BG$3,CLAVE_BOV2,$A324)+SUMIFS(SALIDAS_BOV3,FECHA_BOV3,"&gt;="&amp;BG$2,FECHA_BOV3,"&lt;="&amp;BG$3,CLAVE_BOV3,$A324)+SUMIFS(SALIDAS_TC,FECHA_TC,"&gt;="&amp;BG$2,FECHA_TC,"&lt;="&amp;BG$3,CLAVE_TC,$A324)+SUMIFS(SALIDAS_COMB,FECHA_COMB,"&gt;="&amp;BG$2,FECHA_COMB,"&lt;="&amp;BG$3,CLAVE_COMB,$A324)+SUMIFS(SALIDAS_DES,FECHA_DESGLOSEN,"&gt;="&amp;BG$2,FECHA_DESGLOSEN,"&lt;="&amp;BG$3,CLAVE_DESGLOSE,$A324)</f>
        <v>0</v>
      </c>
      <c r="BH324" s="162">
        <f>SUMIFS(SALIDAS_BIT,FECHA_BIT,"&gt;="&amp;BH$2,FECHA_BIT,"&lt;="&amp;BH$3,CLAVE_BIT,$A324)+SUMIFS(SALIDAS_BOV1,FECHA_BOV1,"&gt;="&amp;BH$2,FECHA_BOV1,"&lt;="&amp;BH$3,CLAVE_BOV1,$A324)+SUMIFS(SALIDAS_BOV2,FECHA_BOV2,"&gt;="&amp;BH$2,FECHA_BOV2,"&lt;="&amp;BH$3,CLAVE_BOV2,$A324)+SUMIFS(SALIDAS_BOV3,FECHA_BOV3,"&gt;="&amp;BH$2,FECHA_BOV3,"&lt;="&amp;BH$3,CLAVE_BOV3,$A324)+SUMIFS(SALIDAS_TC,FECHA_TC,"&gt;="&amp;BH$2,FECHA_TC,"&lt;="&amp;BH$3,CLAVE_TC,$A324)+SUMIFS(SALIDAS_COMB,FECHA_COMB,"&gt;="&amp;BH$2,FECHA_COMB,"&lt;="&amp;BH$3,CLAVE_COMB,$A324)+SUMIFS(SALIDAS_DES,FECHA_DESGLOSEN,"&gt;="&amp;BH$2,FECHA_DESGLOSEN,"&lt;="&amp;BH$3,CLAVE_DESGLOSE,$A324)</f>
        <v>8150</v>
      </c>
      <c r="BI324" s="162">
        <f>SUMIFS(SALIDAS_BIT,FECHA_BIT,"&gt;="&amp;BI$2,FECHA_BIT,"&lt;="&amp;BI$3,CLAVE_BIT,$A324)+SUMIFS(SALIDAS_BOV1,FECHA_BOV1,"&gt;="&amp;BI$2,FECHA_BOV1,"&lt;="&amp;BI$3,CLAVE_BOV1,$A324)+SUMIFS(SALIDAS_BOV2,FECHA_BOV2,"&gt;="&amp;BI$2,FECHA_BOV2,"&lt;="&amp;BI$3,CLAVE_BOV2,$A324)+SUMIFS(SALIDAS_BOV3,FECHA_BOV3,"&gt;="&amp;BI$2,FECHA_BOV3,"&lt;="&amp;BI$3,CLAVE_BOV3,$A324)+SUMIFS(SALIDAS_TC,FECHA_TC,"&gt;="&amp;BI$2,FECHA_TC,"&lt;="&amp;BI$3,CLAVE_TC,$A324)+SUMIFS(SALIDAS_COMB,FECHA_COMB,"&gt;="&amp;BI$2,FECHA_COMB,"&lt;="&amp;BI$3,CLAVE_COMB,$A324)+SUMIFS(SALIDAS_DES,FECHA_DESGLOSEN,"&gt;="&amp;BI$2,FECHA_DESGLOSEN,"&lt;="&amp;BI$3,CLAVE_DESGLOSE,$A324)</f>
        <v>8150</v>
      </c>
      <c r="BJ324" s="227">
        <f>BD324-BI324</f>
        <v>7850</v>
      </c>
      <c r="BK324" s="301">
        <f>IFERROR((BI324/BD324),0)</f>
        <v>0.50937500000000002</v>
      </c>
      <c r="BL324" s="162">
        <f>VLOOKUP($A324,T_PRESUPUESTO,MATCH(BL$6,E_PRESUPUESTO,0),FALSE)</f>
        <v>15000</v>
      </c>
      <c r="BM324" s="162">
        <f>SUMIFS(SALIDAS_BIT,FECHA_BIT,"&gt;="&amp;BM$2,FECHA_BIT,"&lt;="&amp;BM$3,CLAVE_BIT,$A324)+SUMIFS(SALIDAS_BOV1,FECHA_BOV1,"&gt;="&amp;BM$2,FECHA_BOV1,"&lt;="&amp;BM$3,CLAVE_BOV1,$A324)+SUMIFS(SALIDAS_BOV2,FECHA_BOV2,"&gt;="&amp;BM$2,FECHA_BOV2,"&lt;="&amp;BM$3,CLAVE_BOV2,$A324)+SUMIFS(SALIDAS_BOV3,FECHA_BOV3,"&gt;="&amp;BM$2,FECHA_BOV3,"&lt;="&amp;BM$3,CLAVE_BOV3,$A324)+SUMIFS(SALIDAS_TC,FECHA_TC,"&gt;="&amp;BM$2,FECHA_TC,"&lt;="&amp;BM$3,CLAVE_TC,$A324)+SUMIFS(SALIDAS_COMB,FECHA_COMB,"&gt;="&amp;BM$2,FECHA_COMB,"&lt;="&amp;BM$3,CLAVE_COMB,$A324)+SUMIFS(SALIDAS_DES,FECHA_DESGLOSEN,"&gt;="&amp;BM$2,FECHA_DESGLOSEN,"&lt;="&amp;BM$3,CLAVE_DESGLOSE,$A324)</f>
        <v>0</v>
      </c>
      <c r="BN324" s="162">
        <f>SUMIFS(SALIDAS_BIT,FECHA_BIT,"&gt;="&amp;BN$2,FECHA_BIT,"&lt;="&amp;BN$3,CLAVE_BIT,$A324)+SUMIFS(SALIDAS_BOV1,FECHA_BOV1,"&gt;="&amp;BN$2,FECHA_BOV1,"&lt;="&amp;BN$3,CLAVE_BOV1,$A324)+SUMIFS(SALIDAS_BOV2,FECHA_BOV2,"&gt;="&amp;BN$2,FECHA_BOV2,"&lt;="&amp;BN$3,CLAVE_BOV2,$A324)+SUMIFS(SALIDAS_BOV3,FECHA_BOV3,"&gt;="&amp;BN$2,FECHA_BOV3,"&lt;="&amp;BN$3,CLAVE_BOV3,$A324)+SUMIFS(SALIDAS_TC,FECHA_TC,"&gt;="&amp;BN$2,FECHA_TC,"&lt;="&amp;BN$3,CLAVE_TC,$A324)+SUMIFS(SALIDAS_COMB,FECHA_COMB,"&gt;="&amp;BN$2,FECHA_COMB,"&lt;="&amp;BN$3,CLAVE_COMB,$A324)+SUMIFS(SALIDAS_DES,FECHA_DESGLOSEN,"&gt;="&amp;BN$2,FECHA_DESGLOSEN,"&lt;="&amp;BN$3,CLAVE_DESGLOSE,$A324)</f>
        <v>0</v>
      </c>
      <c r="BO324" s="162">
        <f>SUMIFS(SALIDAS_BIT,FECHA_BIT,"&gt;="&amp;BO$2,FECHA_BIT,"&lt;="&amp;BO$3,CLAVE_BIT,$A324)+SUMIFS(SALIDAS_BOV1,FECHA_BOV1,"&gt;="&amp;BO$2,FECHA_BOV1,"&lt;="&amp;BO$3,CLAVE_BOV1,$A324)+SUMIFS(SALIDAS_BOV2,FECHA_BOV2,"&gt;="&amp;BO$2,FECHA_BOV2,"&lt;="&amp;BO$3,CLAVE_BOV2,$A324)+SUMIFS(SALIDAS_BOV3,FECHA_BOV3,"&gt;="&amp;BO$2,FECHA_BOV3,"&lt;="&amp;BO$3,CLAVE_BOV3,$A324)+SUMIFS(SALIDAS_TC,FECHA_TC,"&gt;="&amp;BO$2,FECHA_TC,"&lt;="&amp;BO$3,CLAVE_TC,$A324)+SUMIFS(SALIDAS_COMB,FECHA_COMB,"&gt;="&amp;BO$2,FECHA_COMB,"&lt;="&amp;BO$3,CLAVE_COMB,$A324)+SUMIFS(SALIDAS_DES,FECHA_DESGLOSEN,"&gt;="&amp;BO$2,FECHA_DESGLOSEN,"&lt;="&amp;BO$3,CLAVE_DESGLOSE,$A324)</f>
        <v>6000</v>
      </c>
      <c r="BP324" s="162">
        <f>SUMIFS(SALIDAS_BIT,FECHA_BIT,"&gt;="&amp;BP$2,FECHA_BIT,"&lt;="&amp;BP$3,CLAVE_BIT,$A324)+SUMIFS(SALIDAS_BOV1,FECHA_BOV1,"&gt;="&amp;BP$2,FECHA_BOV1,"&lt;="&amp;BP$3,CLAVE_BOV1,$A324)+SUMIFS(SALIDAS_BOV2,FECHA_BOV2,"&gt;="&amp;BP$2,FECHA_BOV2,"&lt;="&amp;BP$3,CLAVE_BOV2,$A324)+SUMIFS(SALIDAS_BOV3,FECHA_BOV3,"&gt;="&amp;BP$2,FECHA_BOV3,"&lt;="&amp;BP$3,CLAVE_BOV3,$A324)+SUMIFS(SALIDAS_TC,FECHA_TC,"&gt;="&amp;BP$2,FECHA_TC,"&lt;="&amp;BP$3,CLAVE_TC,$A324)+SUMIFS(SALIDAS_COMB,FECHA_COMB,"&gt;="&amp;BP$2,FECHA_COMB,"&lt;="&amp;BP$3,CLAVE_COMB,$A324)+SUMIFS(SALIDAS_DES,FECHA_DESGLOSEN,"&gt;="&amp;BP$2,FECHA_DESGLOSEN,"&lt;="&amp;BP$3,CLAVE_DESGLOSE,$A324)</f>
        <v>0</v>
      </c>
      <c r="BQ324" s="162">
        <f>SUMIFS(SALIDAS_BIT,FECHA_BIT,"&gt;="&amp;BQ$2,FECHA_BIT,"&lt;="&amp;BQ$3,CLAVE_BIT,$A324)+SUMIFS(SALIDAS_BOV1,FECHA_BOV1,"&gt;="&amp;BQ$2,FECHA_BOV1,"&lt;="&amp;BQ$3,CLAVE_BOV1,$A324)+SUMIFS(SALIDAS_BOV2,FECHA_BOV2,"&gt;="&amp;BQ$2,FECHA_BOV2,"&lt;="&amp;BQ$3,CLAVE_BOV2,$A324)+SUMIFS(SALIDAS_BOV3,FECHA_BOV3,"&gt;="&amp;BQ$2,FECHA_BOV3,"&lt;="&amp;BQ$3,CLAVE_BOV3,$A324)+SUMIFS(SALIDAS_TC,FECHA_TC,"&gt;="&amp;BQ$2,FECHA_TC,"&lt;="&amp;BQ$3,CLAVE_TC,$A324)+SUMIFS(SALIDAS_COMB,FECHA_COMB,"&gt;="&amp;BQ$2,FECHA_COMB,"&lt;="&amp;BQ$3,CLAVE_COMB,$A324)+SUMIFS(SALIDAS_DES,FECHA_DESGLOSEN,"&gt;="&amp;BQ$2,FECHA_DESGLOSEN,"&lt;="&amp;BQ$3,CLAVE_DESGLOSE,$A324)</f>
        <v>0</v>
      </c>
      <c r="BR324" s="162">
        <f>SUMIFS(SALIDAS_BIT,FECHA_BIT,"&gt;="&amp;BR$2,FECHA_BIT,"&lt;="&amp;BR$3,CLAVE_BIT,$A324)+SUMIFS(SALIDAS_BOV1,FECHA_BOV1,"&gt;="&amp;BR$2,FECHA_BOV1,"&lt;="&amp;BR$3,CLAVE_BOV1,$A324)+SUMIFS(SALIDAS_BOV2,FECHA_BOV2,"&gt;="&amp;BR$2,FECHA_BOV2,"&lt;="&amp;BR$3,CLAVE_BOV2,$A324)+SUMIFS(SALIDAS_BOV3,FECHA_BOV3,"&gt;="&amp;BR$2,FECHA_BOV3,"&lt;="&amp;BR$3,CLAVE_BOV3,$A324)+SUMIFS(SALIDAS_TC,FECHA_TC,"&gt;="&amp;BR$2,FECHA_TC,"&lt;="&amp;BR$3,CLAVE_TC,$A324)+SUMIFS(SALIDAS_COMB,FECHA_COMB,"&gt;="&amp;BR$2,FECHA_COMB,"&lt;="&amp;BR$3,CLAVE_COMB,$A324)+SUMIFS(SALIDAS_DES,FECHA_DESGLOSEN,"&gt;="&amp;BR$2,FECHA_DESGLOSEN,"&lt;="&amp;BR$3,CLAVE_DESGLOSE,$A324)</f>
        <v>6000</v>
      </c>
      <c r="BS324" s="227">
        <f>BL324-BR324</f>
        <v>9000</v>
      </c>
      <c r="BT324" s="301">
        <f>IFERROR((BR324/BL324),0)</f>
        <v>0.4</v>
      </c>
      <c r="BU324" s="162">
        <f>VLOOKUP($A324,T_PRESUPUESTO,MATCH(BU$6,E_PRESUPUESTO,0),FALSE)</f>
        <v>15000</v>
      </c>
      <c r="BV324" s="162">
        <f>SUMIFS(SALIDAS_BIT,FECHA_BIT,"&gt;="&amp;BV$2,FECHA_BIT,"&lt;="&amp;BV$3,CLAVE_BIT,$A324)+SUMIFS(SALIDAS_BOV1,FECHA_BOV1,"&gt;="&amp;BV$2,FECHA_BOV1,"&lt;="&amp;BV$3,CLAVE_BOV1,$A324)+SUMIFS(SALIDAS_BOV2,FECHA_BOV2,"&gt;="&amp;BV$2,FECHA_BOV2,"&lt;="&amp;BV$3,CLAVE_BOV2,$A324)+SUMIFS(SALIDAS_BOV3,FECHA_BOV3,"&gt;="&amp;BV$2,FECHA_BOV3,"&lt;="&amp;BV$3,CLAVE_BOV3,$A324)+SUMIFS(SALIDAS_TC,FECHA_TC,"&gt;="&amp;BV$2,FECHA_TC,"&lt;="&amp;BV$3,CLAVE_TC,$A324)+SUMIFS(SALIDAS_COMB,FECHA_COMB,"&gt;="&amp;BV$2,FECHA_COMB,"&lt;="&amp;BV$3,CLAVE_COMB,$A324)+SUMIFS(SALIDAS_DES,FECHA_DESGLOSEN,"&gt;="&amp;BV$2,FECHA_DESGLOSEN,"&lt;="&amp;BV$3,CLAVE_DESGLOSE,$A324)</f>
        <v>0</v>
      </c>
      <c r="BW324" s="162">
        <f>SUMIFS(SALIDAS_BIT,FECHA_BIT,"&gt;="&amp;BW$2,FECHA_BIT,"&lt;="&amp;BW$3,CLAVE_BIT,$A324)+SUMIFS(SALIDAS_BOV1,FECHA_BOV1,"&gt;="&amp;BW$2,FECHA_BOV1,"&lt;="&amp;BW$3,CLAVE_BOV1,$A324)+SUMIFS(SALIDAS_BOV2,FECHA_BOV2,"&gt;="&amp;BW$2,FECHA_BOV2,"&lt;="&amp;BW$3,CLAVE_BOV2,$A324)+SUMIFS(SALIDAS_BOV3,FECHA_BOV3,"&gt;="&amp;BW$2,FECHA_BOV3,"&lt;="&amp;BW$3,CLAVE_BOV3,$A324)+SUMIFS(SALIDAS_TC,FECHA_TC,"&gt;="&amp;BW$2,FECHA_TC,"&lt;="&amp;BW$3,CLAVE_TC,$A324)+SUMIFS(SALIDAS_COMB,FECHA_COMB,"&gt;="&amp;BW$2,FECHA_COMB,"&lt;="&amp;BW$3,CLAVE_COMB,$A324)+SUMIFS(SALIDAS_DES,FECHA_DESGLOSEN,"&gt;="&amp;BW$2,FECHA_DESGLOSEN,"&lt;="&amp;BW$3,CLAVE_DESGLOSE,$A324)</f>
        <v>2500</v>
      </c>
      <c r="BX324" s="162">
        <f>SUMIFS(SALIDAS_BIT,FECHA_BIT,"&gt;="&amp;BX$2,FECHA_BIT,"&lt;="&amp;BX$3,CLAVE_BIT,$A324)+SUMIFS(SALIDAS_BOV1,FECHA_BOV1,"&gt;="&amp;BX$2,FECHA_BOV1,"&lt;="&amp;BX$3,CLAVE_BOV1,$A324)+SUMIFS(SALIDAS_BOV2,FECHA_BOV2,"&gt;="&amp;BX$2,FECHA_BOV2,"&lt;="&amp;BX$3,CLAVE_BOV2,$A324)+SUMIFS(SALIDAS_BOV3,FECHA_BOV3,"&gt;="&amp;BX$2,FECHA_BOV3,"&lt;="&amp;BX$3,CLAVE_BOV3,$A324)+SUMIFS(SALIDAS_TC,FECHA_TC,"&gt;="&amp;BX$2,FECHA_TC,"&lt;="&amp;BX$3,CLAVE_TC,$A324)+SUMIFS(SALIDAS_COMB,FECHA_COMB,"&gt;="&amp;BX$2,FECHA_COMB,"&lt;="&amp;BX$3,CLAVE_COMB,$A324)+SUMIFS(SALIDAS_DES,FECHA_DESGLOSEN,"&gt;="&amp;BX$2,FECHA_DESGLOSEN,"&lt;="&amp;BX$3,CLAVE_DESGLOSE,$A324)</f>
        <v>0</v>
      </c>
      <c r="BY324" s="162">
        <f>SUMIFS(SALIDAS_BIT,FECHA_BIT,"&gt;="&amp;BY$2,FECHA_BIT,"&lt;="&amp;BY$3,CLAVE_BIT,$A324)+SUMIFS(SALIDAS_BOV1,FECHA_BOV1,"&gt;="&amp;BY$2,FECHA_BOV1,"&lt;="&amp;BY$3,CLAVE_BOV1,$A324)+SUMIFS(SALIDAS_BOV2,FECHA_BOV2,"&gt;="&amp;BY$2,FECHA_BOV2,"&lt;="&amp;BY$3,CLAVE_BOV2,$A324)+SUMIFS(SALIDAS_BOV3,FECHA_BOV3,"&gt;="&amp;BY$2,FECHA_BOV3,"&lt;="&amp;BY$3,CLAVE_BOV3,$A324)+SUMIFS(SALIDAS_TC,FECHA_TC,"&gt;="&amp;BY$2,FECHA_TC,"&lt;="&amp;BY$3,CLAVE_TC,$A324)+SUMIFS(SALIDAS_COMB,FECHA_COMB,"&gt;="&amp;BY$2,FECHA_COMB,"&lt;="&amp;BY$3,CLAVE_COMB,$A324)+SUMIFS(SALIDAS_DES,FECHA_DESGLOSEN,"&gt;="&amp;BY$2,FECHA_DESGLOSEN,"&lt;="&amp;BY$3,CLAVE_DESGLOSE,$A324)</f>
        <v>500</v>
      </c>
      <c r="BZ324" s="162">
        <f>SUMIFS(SALIDAS_BIT,FECHA_BIT,"&gt;="&amp;BZ$2,FECHA_BIT,"&lt;="&amp;BZ$3,CLAVE_BIT,$A324)+SUMIFS(SALIDAS_BOV1,FECHA_BOV1,"&gt;="&amp;BZ$2,FECHA_BOV1,"&lt;="&amp;BZ$3,CLAVE_BOV1,$A324)+SUMIFS(SALIDAS_BOV2,FECHA_BOV2,"&gt;="&amp;BZ$2,FECHA_BOV2,"&lt;="&amp;BZ$3,CLAVE_BOV2,$A324)+SUMIFS(SALIDAS_BOV3,FECHA_BOV3,"&gt;="&amp;BZ$2,FECHA_BOV3,"&lt;="&amp;BZ$3,CLAVE_BOV3,$A324)+SUMIFS(SALIDAS_TC,FECHA_TC,"&gt;="&amp;BZ$2,FECHA_TC,"&lt;="&amp;BZ$3,CLAVE_TC,$A324)+SUMIFS(SALIDAS_COMB,FECHA_COMB,"&gt;="&amp;BZ$2,FECHA_COMB,"&lt;="&amp;BZ$3,CLAVE_COMB,$A324)+SUMIFS(SALIDAS_DES,FECHA_DESGLOSEN,"&gt;="&amp;BZ$2,FECHA_DESGLOSEN,"&lt;="&amp;BZ$3,CLAVE_DESGLOSE,$A324)</f>
        <v>3000</v>
      </c>
      <c r="CA324" s="227">
        <f>BU324-BZ324</f>
        <v>12000</v>
      </c>
      <c r="CB324" s="301">
        <f>IFERROR((BZ324/BU324),0)</f>
        <v>0.2</v>
      </c>
      <c r="CC324" s="162">
        <f>VLOOKUP($A324,T_PRESUPUESTO,MATCH(CC$6,E_PRESUPUESTO,0),FALSE)</f>
        <v>15000</v>
      </c>
      <c r="CD324" s="162">
        <f>SUMIFS(SALIDAS_BIT,FECHA_BIT,"&gt;="&amp;CD$2,FECHA_BIT,"&lt;="&amp;CD$3,CLAVE_BIT,$A324)+SUMIFS(SALIDAS_BOV1,FECHA_BOV1,"&gt;="&amp;CD$2,FECHA_BOV1,"&lt;="&amp;CD$3,CLAVE_BOV1,$A324)+SUMIFS(SALIDAS_BOV2,FECHA_BOV2,"&gt;="&amp;CD$2,FECHA_BOV2,"&lt;="&amp;CD$3,CLAVE_BOV2,$A324)+SUMIFS(SALIDAS_BOV3,FECHA_BOV3,"&gt;="&amp;CD$2,FECHA_BOV3,"&lt;="&amp;CD$3,CLAVE_BOV3,$A324)+SUMIFS(SALIDAS_TC,FECHA_TC,"&gt;="&amp;CD$2,FECHA_TC,"&lt;="&amp;CD$3,CLAVE_TC,$A324)+SUMIFS(SALIDAS_COMB,FECHA_COMB,"&gt;="&amp;CD$2,FECHA_COMB,"&lt;="&amp;CD$3,CLAVE_COMB,$A324)+SUMIFS(SALIDAS_DES,FECHA_DESGLOSEN,"&gt;="&amp;CD$2,FECHA_DESGLOSEN,"&lt;="&amp;CD$3,CLAVE_DESGLOSE,$A324)</f>
        <v>3000</v>
      </c>
      <c r="CE324" s="162">
        <f>SUMIFS(SALIDAS_BIT,FECHA_BIT,"&gt;="&amp;CE$2,FECHA_BIT,"&lt;="&amp;CE$3,CLAVE_BIT,$A324)+SUMIFS(SALIDAS_BOV1,FECHA_BOV1,"&gt;="&amp;CE$2,FECHA_BOV1,"&lt;="&amp;CE$3,CLAVE_BOV1,$A324)+SUMIFS(SALIDAS_BOV2,FECHA_BOV2,"&gt;="&amp;CE$2,FECHA_BOV2,"&lt;="&amp;CE$3,CLAVE_BOV2,$A324)+SUMIFS(SALIDAS_BOV3,FECHA_BOV3,"&gt;="&amp;CE$2,FECHA_BOV3,"&lt;="&amp;CE$3,CLAVE_BOV3,$A324)+SUMIFS(SALIDAS_TC,FECHA_TC,"&gt;="&amp;CE$2,FECHA_TC,"&lt;="&amp;CE$3,CLAVE_TC,$A324)+SUMIFS(SALIDAS_COMB,FECHA_COMB,"&gt;="&amp;CE$2,FECHA_COMB,"&lt;="&amp;CE$3,CLAVE_COMB,$A324)+SUMIFS(SALIDAS_DES,FECHA_DESGLOSEN,"&gt;="&amp;CE$2,FECHA_DESGLOSEN,"&lt;="&amp;CE$3,CLAVE_DESGLOSE,$A324)</f>
        <v>0</v>
      </c>
      <c r="CF324" s="162">
        <f>SUMIFS(SALIDAS_BIT,FECHA_BIT,"&gt;="&amp;CF$2,FECHA_BIT,"&lt;="&amp;CF$3,CLAVE_BIT,$A324)+SUMIFS(SALIDAS_BOV1,FECHA_BOV1,"&gt;="&amp;CF$2,FECHA_BOV1,"&lt;="&amp;CF$3,CLAVE_BOV1,$A324)+SUMIFS(SALIDAS_BOV2,FECHA_BOV2,"&gt;="&amp;CF$2,FECHA_BOV2,"&lt;="&amp;CF$3,CLAVE_BOV2,$A324)+SUMIFS(SALIDAS_BOV3,FECHA_BOV3,"&gt;="&amp;CF$2,FECHA_BOV3,"&lt;="&amp;CF$3,CLAVE_BOV3,$A324)+SUMIFS(SALIDAS_TC,FECHA_TC,"&gt;="&amp;CF$2,FECHA_TC,"&lt;="&amp;CF$3,CLAVE_TC,$A324)+SUMIFS(SALIDAS_COMB,FECHA_COMB,"&gt;="&amp;CF$2,FECHA_COMB,"&lt;="&amp;CF$3,CLAVE_COMB,$A324)+SUMIFS(SALIDAS_DES,FECHA_DESGLOSEN,"&gt;="&amp;CF$2,FECHA_DESGLOSEN,"&lt;="&amp;CF$3,CLAVE_DESGLOSE,$A324)</f>
        <v>5000</v>
      </c>
      <c r="CG324" s="162">
        <f>SUMIFS(SALIDAS_BIT,FECHA_BIT,"&gt;="&amp;CG$2,FECHA_BIT,"&lt;="&amp;CG$3,CLAVE_BIT,$A324)+SUMIFS(SALIDAS_BOV1,FECHA_BOV1,"&gt;="&amp;CG$2,FECHA_BOV1,"&lt;="&amp;CG$3,CLAVE_BOV1,$A324)+SUMIFS(SALIDAS_BOV2,FECHA_BOV2,"&gt;="&amp;CG$2,FECHA_BOV2,"&lt;="&amp;CG$3,CLAVE_BOV2,$A324)+SUMIFS(SALIDAS_BOV3,FECHA_BOV3,"&gt;="&amp;CG$2,FECHA_BOV3,"&lt;="&amp;CG$3,CLAVE_BOV3,$A324)+SUMIFS(SALIDAS_TC,FECHA_TC,"&gt;="&amp;CG$2,FECHA_TC,"&lt;="&amp;CG$3,CLAVE_TC,$A324)+SUMIFS(SALIDAS_COMB,FECHA_COMB,"&gt;="&amp;CG$2,FECHA_COMB,"&lt;="&amp;CG$3,CLAVE_COMB,$A324)+SUMIFS(SALIDAS_DES,FECHA_DESGLOSEN,"&gt;="&amp;CG$2,FECHA_DESGLOSEN,"&lt;="&amp;CG$3,CLAVE_DESGLOSE,$A324)</f>
        <v>0</v>
      </c>
      <c r="CH324" s="162">
        <f>SUMIFS(SALIDAS_BIT,FECHA_BIT,"&gt;="&amp;CH$2,FECHA_BIT,"&lt;="&amp;CH$3,CLAVE_BIT,$A324)+SUMIFS(SALIDAS_BOV1,FECHA_BOV1,"&gt;="&amp;CH$2,FECHA_BOV1,"&lt;="&amp;CH$3,CLAVE_BOV1,$A324)+SUMIFS(SALIDAS_BOV2,FECHA_BOV2,"&gt;="&amp;CH$2,FECHA_BOV2,"&lt;="&amp;CH$3,CLAVE_BOV2,$A324)+SUMIFS(SALIDAS_BOV3,FECHA_BOV3,"&gt;="&amp;CH$2,FECHA_BOV3,"&lt;="&amp;CH$3,CLAVE_BOV3,$A324)+SUMIFS(SALIDAS_TC,FECHA_TC,"&gt;="&amp;CH$2,FECHA_TC,"&lt;="&amp;CH$3,CLAVE_TC,$A324)+SUMIFS(SALIDAS_COMB,FECHA_COMB,"&gt;="&amp;CH$2,FECHA_COMB,"&lt;="&amp;CH$3,CLAVE_COMB,$A324)+SUMIFS(SALIDAS_DES,FECHA_DESGLOSEN,"&gt;="&amp;CH$2,FECHA_DESGLOSEN,"&lt;="&amp;CH$3,CLAVE_DESGLOSE,$A324)</f>
        <v>8000</v>
      </c>
      <c r="CI324" s="227">
        <f>CC324-CH324</f>
        <v>7000</v>
      </c>
      <c r="CJ324" s="301">
        <f>IFERROR((CH324/CC324),0)</f>
        <v>0.53333333333333333</v>
      </c>
      <c r="CK324" s="162">
        <f>VLOOKUP($A324,T_PRESUPUESTO,MATCH(CK$6,E_PRESUPUESTO,0),FALSE)</f>
        <v>15000</v>
      </c>
      <c r="CL324" s="162">
        <f>SUMIFS(SALIDAS_BIT,FECHA_BIT,"&gt;="&amp;CL$2,FECHA_BIT,"&lt;="&amp;CL$3,CLAVE_BIT,$A324)+SUMIFS(SALIDAS_BOV1,FECHA_BOV1,"&gt;="&amp;CL$2,FECHA_BOV1,"&lt;="&amp;CL$3,CLAVE_BOV1,$A324)+SUMIFS(SALIDAS_BOV2,FECHA_BOV2,"&gt;="&amp;CL$2,FECHA_BOV2,"&lt;="&amp;CL$3,CLAVE_BOV2,$A324)+SUMIFS(SALIDAS_BOV3,FECHA_BOV3,"&gt;="&amp;CL$2,FECHA_BOV3,"&lt;="&amp;CL$3,CLAVE_BOV3,$A324)+SUMIFS(SALIDAS_TC,FECHA_TC,"&gt;="&amp;CL$2,FECHA_TC,"&lt;="&amp;CL$3,CLAVE_TC,$A324)+SUMIFS(SALIDAS_COMB,FECHA_COMB,"&gt;="&amp;CL$2,FECHA_COMB,"&lt;="&amp;CL$3,CLAVE_COMB,$A324)+SUMIFS(SALIDAS_DES,FECHA_DESGLOSEN,"&gt;="&amp;CL$2,FECHA_DESGLOSEN,"&lt;="&amp;CL$3,CLAVE_DESGLOSE,$A324)</f>
        <v>5500</v>
      </c>
      <c r="CM324" s="162">
        <f>SUMIFS(SALIDAS_BIT,FECHA_BIT,"&gt;="&amp;CM$2,FECHA_BIT,"&lt;="&amp;CM$3,CLAVE_BIT,$A324)+SUMIFS(SALIDAS_BOV1,FECHA_BOV1,"&gt;="&amp;CM$2,FECHA_BOV1,"&lt;="&amp;CM$3,CLAVE_BOV1,$A324)+SUMIFS(SALIDAS_BOV2,FECHA_BOV2,"&gt;="&amp;CM$2,FECHA_BOV2,"&lt;="&amp;CM$3,CLAVE_BOV2,$A324)+SUMIFS(SALIDAS_BOV3,FECHA_BOV3,"&gt;="&amp;CM$2,FECHA_BOV3,"&lt;="&amp;CM$3,CLAVE_BOV3,$A324)+SUMIFS(SALIDAS_TC,FECHA_TC,"&gt;="&amp;CM$2,FECHA_TC,"&lt;="&amp;CM$3,CLAVE_TC,$A324)+SUMIFS(SALIDAS_COMB,FECHA_COMB,"&gt;="&amp;CM$2,FECHA_COMB,"&lt;="&amp;CM$3,CLAVE_COMB,$A324)+SUMIFS(SALIDAS_DES,FECHA_DESGLOSEN,"&gt;="&amp;CM$2,FECHA_DESGLOSEN,"&lt;="&amp;CM$3,CLAVE_DESGLOSE,$A324)</f>
        <v>450</v>
      </c>
      <c r="CN324" s="162">
        <f>SUMIFS(SALIDAS_BIT,FECHA_BIT,"&gt;="&amp;CN$2,FECHA_BIT,"&lt;="&amp;CN$3,CLAVE_BIT,$A324)+SUMIFS(SALIDAS_BOV1,FECHA_BOV1,"&gt;="&amp;CN$2,FECHA_BOV1,"&lt;="&amp;CN$3,CLAVE_BOV1,$A324)+SUMIFS(SALIDAS_BOV2,FECHA_BOV2,"&gt;="&amp;CN$2,FECHA_BOV2,"&lt;="&amp;CN$3,CLAVE_BOV2,$A324)+SUMIFS(SALIDAS_BOV3,FECHA_BOV3,"&gt;="&amp;CN$2,FECHA_BOV3,"&lt;="&amp;CN$3,CLAVE_BOV3,$A324)+SUMIFS(SALIDAS_TC,FECHA_TC,"&gt;="&amp;CN$2,FECHA_TC,"&lt;="&amp;CN$3,CLAVE_TC,$A324)+SUMIFS(SALIDAS_COMB,FECHA_COMB,"&gt;="&amp;CN$2,FECHA_COMB,"&lt;="&amp;CN$3,CLAVE_COMB,$A324)+SUMIFS(SALIDAS_DES,FECHA_DESGLOSEN,"&gt;="&amp;CN$2,FECHA_DESGLOSEN,"&lt;="&amp;CN$3,CLAVE_DESGLOSE,$A324)</f>
        <v>0</v>
      </c>
      <c r="CO324" s="162">
        <f>SUMIFS(SALIDAS_BIT,FECHA_BIT,"&gt;="&amp;CO$2,FECHA_BIT,"&lt;="&amp;CO$3,CLAVE_BIT,$A324)+SUMIFS(SALIDAS_BOV1,FECHA_BOV1,"&gt;="&amp;CO$2,FECHA_BOV1,"&lt;="&amp;CO$3,CLAVE_BOV1,$A324)+SUMIFS(SALIDAS_BOV2,FECHA_BOV2,"&gt;="&amp;CO$2,FECHA_BOV2,"&lt;="&amp;CO$3,CLAVE_BOV2,$A324)+SUMIFS(SALIDAS_BOV3,FECHA_BOV3,"&gt;="&amp;CO$2,FECHA_BOV3,"&lt;="&amp;CO$3,CLAVE_BOV3,$A324)+SUMIFS(SALIDAS_TC,FECHA_TC,"&gt;="&amp;CO$2,FECHA_TC,"&lt;="&amp;CO$3,CLAVE_TC,$A324)+SUMIFS(SALIDAS_COMB,FECHA_COMB,"&gt;="&amp;CO$2,FECHA_COMB,"&lt;="&amp;CO$3,CLAVE_COMB,$A324)+SUMIFS(SALIDAS_DES,FECHA_DESGLOSEN,"&gt;="&amp;CO$2,FECHA_DESGLOSEN,"&lt;="&amp;CO$3,CLAVE_DESGLOSE,$A324)</f>
        <v>0</v>
      </c>
      <c r="CP324" s="162">
        <f>SUMIFS(SALIDAS_BIT,FECHA_BIT,"&gt;="&amp;CP$2,FECHA_BIT,"&lt;="&amp;CP$3,CLAVE_BIT,$A324)+SUMIFS(SALIDAS_BOV1,FECHA_BOV1,"&gt;="&amp;CP$2,FECHA_BOV1,"&lt;="&amp;CP$3,CLAVE_BOV1,$A324)+SUMIFS(SALIDAS_BOV2,FECHA_BOV2,"&gt;="&amp;CP$2,FECHA_BOV2,"&lt;="&amp;CP$3,CLAVE_BOV2,$A324)+SUMIFS(SALIDAS_BOV3,FECHA_BOV3,"&gt;="&amp;CP$2,FECHA_BOV3,"&lt;="&amp;CP$3,CLAVE_BOV3,$A324)+SUMIFS(SALIDAS_TC,FECHA_TC,"&gt;="&amp;CP$2,FECHA_TC,"&lt;="&amp;CP$3,CLAVE_TC,$A324)+SUMIFS(SALIDAS_COMB,FECHA_COMB,"&gt;="&amp;CP$2,FECHA_COMB,"&lt;="&amp;CP$3,CLAVE_COMB,$A324)+SUMIFS(SALIDAS_DES,FECHA_DESGLOSEN,"&gt;="&amp;CP$2,FECHA_DESGLOSEN,"&lt;="&amp;CP$3,CLAVE_DESGLOSE,$A324)</f>
        <v>0</v>
      </c>
      <c r="CQ324" s="162">
        <f>SUMIFS(SALIDAS_BIT,FECHA_BIT,"&gt;="&amp;CQ$2,FECHA_BIT,"&lt;="&amp;CQ$3,CLAVE_BIT,$A324)+SUMIFS(SALIDAS_BOV1,FECHA_BOV1,"&gt;="&amp;CQ$2,FECHA_BOV1,"&lt;="&amp;CQ$3,CLAVE_BOV1,$A324)+SUMIFS(SALIDAS_BOV2,FECHA_BOV2,"&gt;="&amp;CQ$2,FECHA_BOV2,"&lt;="&amp;CQ$3,CLAVE_BOV2,$A324)+SUMIFS(SALIDAS_BOV3,FECHA_BOV3,"&gt;="&amp;CQ$2,FECHA_BOV3,"&lt;="&amp;CQ$3,CLAVE_BOV3,$A324)+SUMIFS(SALIDAS_TC,FECHA_TC,"&gt;="&amp;CQ$2,FECHA_TC,"&lt;="&amp;CQ$3,CLAVE_TC,$A324)+SUMIFS(SALIDAS_COMB,FECHA_COMB,"&gt;="&amp;CQ$2,FECHA_COMB,"&lt;="&amp;CQ$3,CLAVE_COMB,$A324)+SUMIFS(SALIDAS_DES,FECHA_DESGLOSEN,"&gt;="&amp;CQ$2,FECHA_DESGLOSEN,"&lt;="&amp;CQ$3,CLAVE_DESGLOSE,$A324)</f>
        <v>5950</v>
      </c>
      <c r="CR324" s="227">
        <f>CK324-CQ324</f>
        <v>9050</v>
      </c>
      <c r="CS324" s="301">
        <f>IFERROR((CQ324/CK324),0)</f>
        <v>0.39666666666666667</v>
      </c>
      <c r="CT324" s="68">
        <f t="shared" si="446"/>
        <v>8000</v>
      </c>
      <c r="CU324" s="13">
        <f>SUMIFS(SALIDAS_BIT,FECHA_BIT,"&gt;="&amp;CU$2,FECHA_BIT,"&lt;="&amp;CU$3,CLAVE_BIT,$A324)+SUMIFS(SALIDAS_BOV1,FECHA_BOV1,"&gt;="&amp;CU$2,FECHA_BOV1,"&lt;="&amp;CU$3,CLAVE_BOV1,$A324)+SUMIFS(SALIDAS_BOV2,FECHA_BOV2,"&gt;="&amp;CU$2,FECHA_BOV2,"&lt;="&amp;CU$3,CLAVE_BOV2,$A324)+SUMIFS(SALIDAS_BOV3,FECHA_BOV3,"&gt;="&amp;CU$2,FECHA_BOV3,"&lt;="&amp;CU$3,CLAVE_BOV3,$A324)+SUMIFS(SALIDAS_TC,FECHA_TC,"&gt;="&amp;CU$2,FECHA_TC,"&lt;="&amp;CU$3,CLAVE_TC,$A324)+SUMIFS(SALIDAS_COMB,FECHA_COMB,"&gt;="&amp;CU$2,FECHA_COMB,"&lt;="&amp;CU$3,CLAVE_COMB,$A324)+SUMIFS(SALIDAS_DES,FECHA_DESGLOSEN,"&gt;="&amp;CU$2,FECHA_DESGLOSEN,"&lt;="&amp;CU$3,CLAVE_DESGLOSE,$A324)</f>
        <v>0</v>
      </c>
      <c r="CV324" s="13">
        <f>SUMIFS(SALIDAS_BIT,FECHA_BIT,"&gt;="&amp;CV$2,FECHA_BIT,"&lt;="&amp;CV$3,CLAVE_BIT,$A324)+SUMIFS(SALIDAS_BOV1,FECHA_BOV1,"&gt;="&amp;CV$2,FECHA_BOV1,"&lt;="&amp;CV$3,CLAVE_BOV1,$A324)+SUMIFS(SALIDAS_BOV2,FECHA_BOV2,"&gt;="&amp;CV$2,FECHA_BOV2,"&lt;="&amp;CV$3,CLAVE_BOV2,$A324)+SUMIFS(SALIDAS_BOV3,FECHA_BOV3,"&gt;="&amp;CV$2,FECHA_BOV3,"&lt;="&amp;CV$3,CLAVE_BOV3,$A324)+SUMIFS(SALIDAS_TC,FECHA_TC,"&gt;="&amp;CV$2,FECHA_TC,"&lt;="&amp;CV$3,CLAVE_TC,$A324)+SUMIFS(SALIDAS_COMB,FECHA_COMB,"&gt;="&amp;CV$2,FECHA_COMB,"&lt;="&amp;CV$3,CLAVE_COMB,$A324)+SUMIFS(SALIDAS_DES,FECHA_DESGLOSEN,"&gt;="&amp;CV$2,FECHA_DESGLOSEN,"&lt;="&amp;CV$3,CLAVE_DESGLOSE,$A324)</f>
        <v>500</v>
      </c>
      <c r="CW324" s="13">
        <f>SUMIFS(SALIDAS_BIT,FECHA_BIT,"&gt;="&amp;CW$2,FECHA_BIT,"&lt;="&amp;CW$3,CLAVE_BIT,$A324)+SUMIFS(SALIDAS_BOV1,FECHA_BOV1,"&gt;="&amp;CW$2,FECHA_BOV1,"&lt;="&amp;CW$3,CLAVE_BOV1,$A324)+SUMIFS(SALIDAS_BOV2,FECHA_BOV2,"&gt;="&amp;CW$2,FECHA_BOV2,"&lt;="&amp;CW$3,CLAVE_BOV2,$A324)+SUMIFS(SALIDAS_BOV3,FECHA_BOV3,"&gt;="&amp;CW$2,FECHA_BOV3,"&lt;="&amp;CW$3,CLAVE_BOV3,$A324)+SUMIFS(SALIDAS_TC,FECHA_TC,"&gt;="&amp;CW$2,FECHA_TC,"&lt;="&amp;CW$3,CLAVE_TC,$A324)+SUMIFS(SALIDAS_COMB,FECHA_COMB,"&gt;="&amp;CW$2,FECHA_COMB,"&lt;="&amp;CW$3,CLAVE_COMB,$A324)+SUMIFS(SALIDAS_DES,FECHA_DESGLOSEN,"&gt;="&amp;CW$2,FECHA_DESGLOSEN,"&lt;="&amp;CW$3,CLAVE_DESGLOSE,$A324)</f>
        <v>950</v>
      </c>
      <c r="CX324" s="13">
        <f>SUMIFS(SALIDAS_BIT,FECHA_BIT,"&gt;="&amp;CX$2,FECHA_BIT,"&lt;="&amp;CX$3,CLAVE_BIT,$A324)+SUMIFS(SALIDAS_BOV1,FECHA_BOV1,"&gt;="&amp;CX$2,FECHA_BOV1,"&lt;="&amp;CX$3,CLAVE_BOV1,$A324)+SUMIFS(SALIDAS_BOV2,FECHA_BOV2,"&gt;="&amp;CX$2,FECHA_BOV2,"&lt;="&amp;CX$3,CLAVE_BOV2,$A324)+SUMIFS(SALIDAS_BOV3,FECHA_BOV3,"&gt;="&amp;CX$2,FECHA_BOV3,"&lt;="&amp;CX$3,CLAVE_BOV3,$A324)+SUMIFS(SALIDAS_TC,FECHA_TC,"&gt;="&amp;CX$2,FECHA_TC,"&lt;="&amp;CX$3,CLAVE_TC,$A324)+SUMIFS(SALIDAS_COMB,FECHA_COMB,"&gt;="&amp;CX$2,FECHA_COMB,"&lt;="&amp;CX$3,CLAVE_COMB,$A324)+SUMIFS(SALIDAS_DES,FECHA_DESGLOSEN,"&gt;="&amp;CX$2,FECHA_DESGLOSEN,"&lt;="&amp;CX$3,CLAVE_DESGLOSE,$A324)</f>
        <v>9000</v>
      </c>
      <c r="CY324" s="13">
        <f>SUMIFS(SALIDAS_BIT,FECHA_BIT,"&gt;="&amp;CY$2,FECHA_BIT,"&lt;="&amp;CY$3,CLAVE_BIT,$A324)+SUMIFS(SALIDAS_BOV1,FECHA_BOV1,"&gt;="&amp;CY$2,FECHA_BOV1,"&lt;="&amp;CY$3,CLAVE_BOV1,$A324)+SUMIFS(SALIDAS_BOV2,FECHA_BOV2,"&gt;="&amp;CY$2,FECHA_BOV2,"&lt;="&amp;CY$3,CLAVE_BOV2,$A324)+SUMIFS(SALIDAS_BOV3,FECHA_BOV3,"&gt;="&amp;CY$2,FECHA_BOV3,"&lt;="&amp;CY$3,CLAVE_BOV3,$A324)+SUMIFS(SALIDAS_TC,FECHA_TC,"&gt;="&amp;CY$2,FECHA_TC,"&lt;="&amp;CY$3,CLAVE_TC,$A324)+SUMIFS(SALIDAS_COMB,FECHA_COMB,"&gt;="&amp;CY$2,FECHA_COMB,"&lt;="&amp;CY$3,CLAVE_COMB,$A324)+SUMIFS(SALIDAS_DES,FECHA_DESGLOSEN,"&gt;="&amp;CY$2,FECHA_DESGLOSEN,"&lt;="&amp;CY$3,CLAVE_DESGLOSE,$A324)</f>
        <v>10450</v>
      </c>
      <c r="CZ324" s="68">
        <f t="shared" si="474"/>
        <v>-2450</v>
      </c>
      <c r="DB324" s="17">
        <f>F324+N324+W324+AE324+AM324+AV324+BD324+BL324+BU324+CC324+CK324</f>
        <v>76000</v>
      </c>
      <c r="DC324" s="17">
        <f>K324+T324+AB324+AJ324+AS324+BA324+BI324+BR324+BZ324+CH324+CQ324</f>
        <v>31100</v>
      </c>
    </row>
    <row r="325" spans="1:107" ht="15" hidden="1">
      <c r="A325" s="12" t="str">
        <f>C325&amp;D325&amp;E325</f>
        <v>CAPSGMCAPRICHOS</v>
      </c>
      <c r="B325">
        <v>325</v>
      </c>
      <c r="C325" t="s">
        <v>31</v>
      </c>
      <c r="D325" t="s">
        <v>176</v>
      </c>
      <c r="E325" s="12" t="s">
        <v>33</v>
      </c>
      <c r="F325" s="260">
        <f>VLOOKUP($A325,T_PRESUPUESTO,MATCH(F$6,E_PRESUPUESTO,0),FALSE)</f>
        <v>0</v>
      </c>
      <c r="G325" s="162">
        <f>SUMIFS(SALIDAS_BIT,FECHA_BIT,"&gt;="&amp;G$2,FECHA_BIT,"&lt;="&amp;G$3,CLAVE_BIT,$A325)+SUMIFS(SALIDAS_BOV1,FECHA_BOV1,"&gt;="&amp;G$2,FECHA_BOV1,"&lt;="&amp;G$3,CLAVE_BOV1,$A325)+SUMIFS(SALIDAS_BOV2,FECHA_BOV2,"&gt;="&amp;G$2,FECHA_BOV2,"&lt;="&amp;G$3,CLAVE_BOV2,$A325)+SUMIFS(SALIDAS_BOV3,FECHA_BOV3,"&gt;="&amp;G$2,FECHA_BOV3,"&lt;="&amp;G$3,CLAVE_BOV3,$A325)+SUMIFS(SALIDAS_TC,FECHA_TC,"&gt;="&amp;G$2,FECHA_TC,"&lt;="&amp;G$3,CLAVE_TC,$A325)+SUMIFS(SALIDAS_COMB,FECHA_COMB,"&gt;="&amp;G$2,FECHA_COMB,"&lt;="&amp;G$3,CLAVE_COMB,$A325)+SUMIFS(SALIDAS_DES,FECHA_DESGLOSEN,"&gt;="&amp;G$2,FECHA_DESGLOSEN,"&lt;="&amp;G$3,CLAVE_DESGLOSE,$A325)</f>
        <v>0</v>
      </c>
      <c r="H325" s="162">
        <f>SUMIFS(SALIDAS_BIT,FECHA_BIT,"&gt;="&amp;H$2,FECHA_BIT,"&lt;="&amp;H$3,CLAVE_BIT,$A325)+SUMIFS(SALIDAS_BOV1,FECHA_BOV1,"&gt;="&amp;H$2,FECHA_BOV1,"&lt;="&amp;H$3,CLAVE_BOV1,$A325)+SUMIFS(SALIDAS_BOV2,FECHA_BOV2,"&gt;="&amp;H$2,FECHA_BOV2,"&lt;="&amp;H$3,CLAVE_BOV2,$A325)+SUMIFS(SALIDAS_BOV3,FECHA_BOV3,"&gt;="&amp;H$2,FECHA_BOV3,"&lt;="&amp;H$3,CLAVE_BOV3,$A325)+SUMIFS(SALIDAS_TC,FECHA_TC,"&gt;="&amp;H$2,FECHA_TC,"&lt;="&amp;H$3,CLAVE_TC,$A325)+SUMIFS(SALIDAS_COMB,FECHA_COMB,"&gt;="&amp;H$2,FECHA_COMB,"&lt;="&amp;H$3,CLAVE_COMB,$A325)+SUMIFS(SALIDAS_DES,FECHA_DESGLOSEN,"&gt;="&amp;H$2,FECHA_DESGLOSEN,"&lt;="&amp;H$3,CLAVE_DESGLOSE,$A325)</f>
        <v>0</v>
      </c>
      <c r="I325" s="162">
        <f>SUMIFS(SALIDAS_BIT,FECHA_BIT,"&gt;="&amp;I$2,FECHA_BIT,"&lt;="&amp;I$3,CLAVE_BIT,$A325)+SUMIFS(SALIDAS_BOV1,FECHA_BOV1,"&gt;="&amp;I$2,FECHA_BOV1,"&lt;="&amp;I$3,CLAVE_BOV1,$A325)+SUMIFS(SALIDAS_BOV2,FECHA_BOV2,"&gt;="&amp;I$2,FECHA_BOV2,"&lt;="&amp;I$3,CLAVE_BOV2,$A325)+SUMIFS(SALIDAS_BOV3,FECHA_BOV3,"&gt;="&amp;I$2,FECHA_BOV3,"&lt;="&amp;I$3,CLAVE_BOV3,$A325)+SUMIFS(SALIDAS_TC,FECHA_TC,"&gt;="&amp;I$2,FECHA_TC,"&lt;="&amp;I$3,CLAVE_TC,$A325)+SUMIFS(SALIDAS_COMB,FECHA_COMB,"&gt;="&amp;I$2,FECHA_COMB,"&lt;="&amp;I$3,CLAVE_COMB,$A325)+SUMIFS(SALIDAS_DES,FECHA_DESGLOSEN,"&gt;="&amp;I$2,FECHA_DESGLOSEN,"&lt;="&amp;I$3,CLAVE_DESGLOSE,$A325)</f>
        <v>0</v>
      </c>
      <c r="J325" s="162">
        <f>SUMIFS(SALIDAS_BIT,FECHA_BIT,"&gt;="&amp;J$2,FECHA_BIT,"&lt;="&amp;J$3,CLAVE_BIT,$A325)+SUMIFS(SALIDAS_BOV1,FECHA_BOV1,"&gt;="&amp;J$2,FECHA_BOV1,"&lt;="&amp;J$3,CLAVE_BOV1,$A325)+SUMIFS(SALIDAS_BOV2,FECHA_BOV2,"&gt;="&amp;J$2,FECHA_BOV2,"&lt;="&amp;J$3,CLAVE_BOV2,$A325)+SUMIFS(SALIDAS_BOV3,FECHA_BOV3,"&gt;="&amp;J$2,FECHA_BOV3,"&lt;="&amp;J$3,CLAVE_BOV3,$A325)+SUMIFS(SALIDAS_TC,FECHA_TC,"&gt;="&amp;J$2,FECHA_TC,"&lt;="&amp;J$3,CLAVE_TC,$A325)+SUMIFS(SALIDAS_COMB,FECHA_COMB,"&gt;="&amp;J$2,FECHA_COMB,"&lt;="&amp;J$3,CLAVE_COMB,$A325)+SUMIFS(SALIDAS_DES,FECHA_DESGLOSEN,"&gt;="&amp;J$2,FECHA_DESGLOSEN,"&lt;="&amp;J$3,CLAVE_DESGLOSE,$A325)</f>
        <v>0</v>
      </c>
      <c r="K325" s="162">
        <f>SUMIFS(SALIDAS_BIT,FECHA_BIT,"&gt;="&amp;K$2,FECHA_BIT,"&lt;="&amp;K$3,CLAVE_BIT,$A325)+SUMIFS(SALIDAS_BOV1,FECHA_BOV1,"&gt;="&amp;K$2,FECHA_BOV1,"&lt;="&amp;K$3,CLAVE_BOV1,$A325)+SUMIFS(SALIDAS_BOV2,FECHA_BOV2,"&gt;="&amp;K$2,FECHA_BOV2,"&lt;="&amp;K$3,CLAVE_BOV2,$A325)+SUMIFS(SALIDAS_BOV3,FECHA_BOV3,"&gt;="&amp;K$2,FECHA_BOV3,"&lt;="&amp;K$3,CLAVE_BOV3,$A325)+SUMIFS(SALIDAS_TC,FECHA_TC,"&gt;="&amp;K$2,FECHA_TC,"&lt;="&amp;K$3,CLAVE_TC,$A325)+SUMIFS(SALIDAS_COMB,FECHA_COMB,"&gt;="&amp;K$2,FECHA_COMB,"&lt;="&amp;K$3,CLAVE_COMB,$A325)+SUMIFS(SALIDAS_DES,FECHA_DESGLOSEN,"&gt;="&amp;K$2,FECHA_DESGLOSEN,"&lt;="&amp;K$3,CLAVE_DESGLOSE,$A325)</f>
        <v>0</v>
      </c>
      <c r="L325" s="227">
        <f>F325-K325</f>
        <v>0</v>
      </c>
      <c r="M325" s="301">
        <f>IFERROR((K325/F325),0)</f>
        <v>0</v>
      </c>
      <c r="N325" s="162">
        <f>VLOOKUP($A325,T_PRESUPUESTO,MATCH(N$6,E_PRESUPUESTO,0),FALSE)</f>
        <v>0</v>
      </c>
      <c r="O325" s="162">
        <f>SUMIFS(SALIDAS_BIT,FECHA_BIT,"&gt;="&amp;O$2,FECHA_BIT,"&lt;="&amp;O$3,CLAVE_BIT,$A325)+SUMIFS(SALIDAS_BOV1,FECHA_BOV1,"&gt;="&amp;O$2,FECHA_BOV1,"&lt;="&amp;O$3,CLAVE_BOV1,$A325)+SUMIFS(SALIDAS_BOV2,FECHA_BOV2,"&gt;="&amp;O$2,FECHA_BOV2,"&lt;="&amp;O$3,CLAVE_BOV2,$A325)+SUMIFS(SALIDAS_BOV3,FECHA_BOV3,"&gt;="&amp;O$2,FECHA_BOV3,"&lt;="&amp;O$3,CLAVE_BOV3,$A325)+SUMIFS(SALIDAS_TC,FECHA_TC,"&gt;="&amp;O$2,FECHA_TC,"&lt;="&amp;O$3,CLAVE_TC,$A325)+SUMIFS(SALIDAS_COMB,FECHA_COMB,"&gt;="&amp;O$2,FECHA_COMB,"&lt;="&amp;O$3,CLAVE_COMB,$A325)+SUMIFS(SALIDAS_DES,FECHA_DESGLOSEN,"&gt;="&amp;O$2,FECHA_DESGLOSEN,"&lt;="&amp;O$3,CLAVE_DESGLOSE,$A325)</f>
        <v>0</v>
      </c>
      <c r="P325" s="162">
        <f>SUMIFS(SALIDAS_BIT,FECHA_BIT,"&gt;="&amp;P$2,FECHA_BIT,"&lt;="&amp;P$3,CLAVE_BIT,$A325)+SUMIFS(SALIDAS_BOV1,FECHA_BOV1,"&gt;="&amp;P$2,FECHA_BOV1,"&lt;="&amp;P$3,CLAVE_BOV1,$A325)+SUMIFS(SALIDAS_BOV2,FECHA_BOV2,"&gt;="&amp;P$2,FECHA_BOV2,"&lt;="&amp;P$3,CLAVE_BOV2,$A325)+SUMIFS(SALIDAS_BOV3,FECHA_BOV3,"&gt;="&amp;P$2,FECHA_BOV3,"&lt;="&amp;P$3,CLAVE_BOV3,$A325)+SUMIFS(SALIDAS_TC,FECHA_TC,"&gt;="&amp;P$2,FECHA_TC,"&lt;="&amp;P$3,CLAVE_TC,$A325)+SUMIFS(SALIDAS_COMB,FECHA_COMB,"&gt;="&amp;P$2,FECHA_COMB,"&lt;="&amp;P$3,CLAVE_COMB,$A325)+SUMIFS(SALIDAS_DES,FECHA_DESGLOSEN,"&gt;="&amp;P$2,FECHA_DESGLOSEN,"&lt;="&amp;P$3,CLAVE_DESGLOSE,$A325)</f>
        <v>0</v>
      </c>
      <c r="Q325" s="162">
        <f>SUMIFS(SALIDAS_BIT,FECHA_BIT,"&gt;="&amp;Q$2,FECHA_BIT,"&lt;="&amp;Q$3,CLAVE_BIT,$A325)+SUMIFS(SALIDAS_BOV1,FECHA_BOV1,"&gt;="&amp;Q$2,FECHA_BOV1,"&lt;="&amp;Q$3,CLAVE_BOV1,$A325)+SUMIFS(SALIDAS_BOV2,FECHA_BOV2,"&gt;="&amp;Q$2,FECHA_BOV2,"&lt;="&amp;Q$3,CLAVE_BOV2,$A325)+SUMIFS(SALIDAS_BOV3,FECHA_BOV3,"&gt;="&amp;Q$2,FECHA_BOV3,"&lt;="&amp;Q$3,CLAVE_BOV3,$A325)+SUMIFS(SALIDAS_TC,FECHA_TC,"&gt;="&amp;Q$2,FECHA_TC,"&lt;="&amp;Q$3,CLAVE_TC,$A325)+SUMIFS(SALIDAS_COMB,FECHA_COMB,"&gt;="&amp;Q$2,FECHA_COMB,"&lt;="&amp;Q$3,CLAVE_COMB,$A325)+SUMIFS(SALIDAS_DES,FECHA_DESGLOSEN,"&gt;="&amp;Q$2,FECHA_DESGLOSEN,"&lt;="&amp;Q$3,CLAVE_DESGLOSE,$A325)</f>
        <v>0</v>
      </c>
      <c r="R325" s="162">
        <f>SUMIFS(SALIDAS_BIT,FECHA_BIT,"&gt;="&amp;R$2,FECHA_BIT,"&lt;="&amp;R$3,CLAVE_BIT,$A325)+SUMIFS(SALIDAS_BOV1,FECHA_BOV1,"&gt;="&amp;R$2,FECHA_BOV1,"&lt;="&amp;R$3,CLAVE_BOV1,$A325)+SUMIFS(SALIDAS_BOV2,FECHA_BOV2,"&gt;="&amp;R$2,FECHA_BOV2,"&lt;="&amp;R$3,CLAVE_BOV2,$A325)+SUMIFS(SALIDAS_BOV3,FECHA_BOV3,"&gt;="&amp;R$2,FECHA_BOV3,"&lt;="&amp;R$3,CLAVE_BOV3,$A325)+SUMIFS(SALIDAS_TC,FECHA_TC,"&gt;="&amp;R$2,FECHA_TC,"&lt;="&amp;R$3,CLAVE_TC,$A325)+SUMIFS(SALIDAS_COMB,FECHA_COMB,"&gt;="&amp;R$2,FECHA_COMB,"&lt;="&amp;R$3,CLAVE_COMB,$A325)+SUMIFS(SALIDAS_DES,FECHA_DESGLOSEN,"&gt;="&amp;R$2,FECHA_DESGLOSEN,"&lt;="&amp;R$3,CLAVE_DESGLOSE,$A325)</f>
        <v>0</v>
      </c>
      <c r="S325" s="162">
        <f>SUMIFS(SALIDAS_BIT,FECHA_BIT,"&gt;="&amp;S$2,FECHA_BIT,"&lt;="&amp;S$3,CLAVE_BIT,$A325)+SUMIFS(SALIDAS_BOV1,FECHA_BOV1,"&gt;="&amp;S$2,FECHA_BOV1,"&lt;="&amp;S$3,CLAVE_BOV1,$A325)+SUMIFS(SALIDAS_BOV2,FECHA_BOV2,"&gt;="&amp;S$2,FECHA_BOV2,"&lt;="&amp;S$3,CLAVE_BOV2,$A325)+SUMIFS(SALIDAS_BOV3,FECHA_BOV3,"&gt;="&amp;S$2,FECHA_BOV3,"&lt;="&amp;S$3,CLAVE_BOV3,$A325)+SUMIFS(SALIDAS_TC,FECHA_TC,"&gt;="&amp;S$2,FECHA_TC,"&lt;="&amp;S$3,CLAVE_TC,$A325)+SUMIFS(SALIDAS_COMB,FECHA_COMB,"&gt;="&amp;S$2,FECHA_COMB,"&lt;="&amp;S$3,CLAVE_COMB,$A325)+SUMIFS(SALIDAS_DES,FECHA_DESGLOSEN,"&gt;="&amp;S$2,FECHA_DESGLOSEN,"&lt;="&amp;S$3,CLAVE_DESGLOSE,$A325)</f>
        <v>0</v>
      </c>
      <c r="T325" s="162">
        <f>SUMIFS(SALIDAS_BIT,FECHA_BIT,"&gt;="&amp;T$2,FECHA_BIT,"&lt;="&amp;T$3,CLAVE_BIT,$A325)+SUMIFS(SALIDAS_BOV1,FECHA_BOV1,"&gt;="&amp;T$2,FECHA_BOV1,"&lt;="&amp;T$3,CLAVE_BOV1,$A325)+SUMIFS(SALIDAS_BOV2,FECHA_BOV2,"&gt;="&amp;T$2,FECHA_BOV2,"&lt;="&amp;T$3,CLAVE_BOV2,$A325)+SUMIFS(SALIDAS_BOV3,FECHA_BOV3,"&gt;="&amp;T$2,FECHA_BOV3,"&lt;="&amp;T$3,CLAVE_BOV3,$A325)+SUMIFS(SALIDAS_TC,FECHA_TC,"&gt;="&amp;T$2,FECHA_TC,"&lt;="&amp;T$3,CLAVE_TC,$A325)+SUMIFS(SALIDAS_COMB,FECHA_COMB,"&gt;="&amp;T$2,FECHA_COMB,"&lt;="&amp;T$3,CLAVE_COMB,$A325)+SUMIFS(SALIDAS_DES,FECHA_DESGLOSEN,"&gt;="&amp;T$2,FECHA_DESGLOSEN,"&lt;="&amp;T$3,CLAVE_DESGLOSE,$A325)</f>
        <v>0</v>
      </c>
      <c r="U325" s="227">
        <f>N325-T325</f>
        <v>0</v>
      </c>
      <c r="V325" s="301">
        <f>IFERROR((T325/N325),0)</f>
        <v>0</v>
      </c>
      <c r="W325" s="162">
        <f>VLOOKUP($A325,T_PRESUPUESTO,MATCH(W$6,E_PRESUPUESTO,0),FALSE)</f>
        <v>0</v>
      </c>
      <c r="X325" s="162">
        <f>SUMIFS(SALIDAS_BIT,FECHA_BIT,"&gt;="&amp;X$2,FECHA_BIT,"&lt;="&amp;X$3,CLAVE_BIT,$A325)+SUMIFS(SALIDAS_BOV1,FECHA_BOV1,"&gt;="&amp;X$2,FECHA_BOV1,"&lt;="&amp;X$3,CLAVE_BOV1,$A325)+SUMIFS(SALIDAS_BOV2,FECHA_BOV2,"&gt;="&amp;X$2,FECHA_BOV2,"&lt;="&amp;X$3,CLAVE_BOV2,$A325)+SUMIFS(SALIDAS_BOV3,FECHA_BOV3,"&gt;="&amp;X$2,FECHA_BOV3,"&lt;="&amp;X$3,CLAVE_BOV3,$A325)+SUMIFS(SALIDAS_TC,FECHA_TC,"&gt;="&amp;X$2,FECHA_TC,"&lt;="&amp;X$3,CLAVE_TC,$A325)+SUMIFS(SALIDAS_COMB,FECHA_COMB,"&gt;="&amp;X$2,FECHA_COMB,"&lt;="&amp;X$3,CLAVE_COMB,$A325)+SUMIFS(SALIDAS_DES,FECHA_DESGLOSEN,"&gt;="&amp;X$2,FECHA_DESGLOSEN,"&lt;="&amp;X$3,CLAVE_DESGLOSE,$A325)</f>
        <v>0</v>
      </c>
      <c r="Y325" s="162">
        <f>SUMIFS(SALIDAS_BIT,FECHA_BIT,"&gt;="&amp;Y$2,FECHA_BIT,"&lt;="&amp;Y$3,CLAVE_BIT,$A325)+SUMIFS(SALIDAS_BOV1,FECHA_BOV1,"&gt;="&amp;Y$2,FECHA_BOV1,"&lt;="&amp;Y$3,CLAVE_BOV1,$A325)+SUMIFS(SALIDAS_BOV2,FECHA_BOV2,"&gt;="&amp;Y$2,FECHA_BOV2,"&lt;="&amp;Y$3,CLAVE_BOV2,$A325)+SUMIFS(SALIDAS_BOV3,FECHA_BOV3,"&gt;="&amp;Y$2,FECHA_BOV3,"&lt;="&amp;Y$3,CLAVE_BOV3,$A325)+SUMIFS(SALIDAS_TC,FECHA_TC,"&gt;="&amp;Y$2,FECHA_TC,"&lt;="&amp;Y$3,CLAVE_TC,$A325)+SUMIFS(SALIDAS_COMB,FECHA_COMB,"&gt;="&amp;Y$2,FECHA_COMB,"&lt;="&amp;Y$3,CLAVE_COMB,$A325)+SUMIFS(SALIDAS_DES,FECHA_DESGLOSEN,"&gt;="&amp;Y$2,FECHA_DESGLOSEN,"&lt;="&amp;Y$3,CLAVE_DESGLOSE,$A325)</f>
        <v>0</v>
      </c>
      <c r="Z325" s="162">
        <f>SUMIFS(SALIDAS_BIT,FECHA_BIT,"&gt;="&amp;Z$2,FECHA_BIT,"&lt;="&amp;Z$3,CLAVE_BIT,$A325)+SUMIFS(SALIDAS_BOV1,FECHA_BOV1,"&gt;="&amp;Z$2,FECHA_BOV1,"&lt;="&amp;Z$3,CLAVE_BOV1,$A325)+SUMIFS(SALIDAS_BOV2,FECHA_BOV2,"&gt;="&amp;Z$2,FECHA_BOV2,"&lt;="&amp;Z$3,CLAVE_BOV2,$A325)+SUMIFS(SALIDAS_BOV3,FECHA_BOV3,"&gt;="&amp;Z$2,FECHA_BOV3,"&lt;="&amp;Z$3,CLAVE_BOV3,$A325)+SUMIFS(SALIDAS_TC,FECHA_TC,"&gt;="&amp;Z$2,FECHA_TC,"&lt;="&amp;Z$3,CLAVE_TC,$A325)+SUMIFS(SALIDAS_COMB,FECHA_COMB,"&gt;="&amp;Z$2,FECHA_COMB,"&lt;="&amp;Z$3,CLAVE_COMB,$A325)+SUMIFS(SALIDAS_DES,FECHA_DESGLOSEN,"&gt;="&amp;Z$2,FECHA_DESGLOSEN,"&lt;="&amp;Z$3,CLAVE_DESGLOSE,$A325)</f>
        <v>0</v>
      </c>
      <c r="AA325" s="162">
        <f>SUMIFS(SALIDAS_BIT,FECHA_BIT,"&gt;="&amp;AA$2,FECHA_BIT,"&lt;="&amp;AA$3,CLAVE_BIT,$A325)+SUMIFS(SALIDAS_BOV1,FECHA_BOV1,"&gt;="&amp;AA$2,FECHA_BOV1,"&lt;="&amp;AA$3,CLAVE_BOV1,$A325)+SUMIFS(SALIDAS_BOV2,FECHA_BOV2,"&gt;="&amp;AA$2,FECHA_BOV2,"&lt;="&amp;AA$3,CLAVE_BOV2,$A325)+SUMIFS(SALIDAS_BOV3,FECHA_BOV3,"&gt;="&amp;AA$2,FECHA_BOV3,"&lt;="&amp;AA$3,CLAVE_BOV3,$A325)+SUMIFS(SALIDAS_TC,FECHA_TC,"&gt;="&amp;AA$2,FECHA_TC,"&lt;="&amp;AA$3,CLAVE_TC,$A325)+SUMIFS(SALIDAS_COMB,FECHA_COMB,"&gt;="&amp;AA$2,FECHA_COMB,"&lt;="&amp;AA$3,CLAVE_COMB,$A325)+SUMIFS(SALIDAS_DES,FECHA_DESGLOSEN,"&gt;="&amp;AA$2,FECHA_DESGLOSEN,"&lt;="&amp;AA$3,CLAVE_DESGLOSE,$A325)</f>
        <v>0</v>
      </c>
      <c r="AB325" s="162">
        <f>SUMIFS(SALIDAS_BIT,FECHA_BIT,"&gt;="&amp;AB$2,FECHA_BIT,"&lt;="&amp;AB$3,CLAVE_BIT,$A325)+SUMIFS(SALIDAS_BOV1,FECHA_BOV1,"&gt;="&amp;AB$2,FECHA_BOV1,"&lt;="&amp;AB$3,CLAVE_BOV1,$A325)+SUMIFS(SALIDAS_BOV2,FECHA_BOV2,"&gt;="&amp;AB$2,FECHA_BOV2,"&lt;="&amp;AB$3,CLAVE_BOV2,$A325)+SUMIFS(SALIDAS_BOV3,FECHA_BOV3,"&gt;="&amp;AB$2,FECHA_BOV3,"&lt;="&amp;AB$3,CLAVE_BOV3,$A325)+SUMIFS(SALIDAS_TC,FECHA_TC,"&gt;="&amp;AB$2,FECHA_TC,"&lt;="&amp;AB$3,CLAVE_TC,$A325)+SUMIFS(SALIDAS_COMB,FECHA_COMB,"&gt;="&amp;AB$2,FECHA_COMB,"&lt;="&amp;AB$3,CLAVE_COMB,$A325)+SUMIFS(SALIDAS_DES,FECHA_DESGLOSEN,"&gt;="&amp;AB$2,FECHA_DESGLOSEN,"&lt;="&amp;AB$3,CLAVE_DESGLOSE,$A325)</f>
        <v>0</v>
      </c>
      <c r="AC325" s="227">
        <f>W325-AB325</f>
        <v>0</v>
      </c>
      <c r="AD325" s="301">
        <f>IFERROR((AB325/W325),0)</f>
        <v>0</v>
      </c>
      <c r="AE325" s="162">
        <f>VLOOKUP($A325,T_PRESUPUESTO,MATCH(AE$6,E_PRESUPUESTO,0),FALSE)</f>
        <v>0</v>
      </c>
      <c r="AF325" s="162">
        <f>SUMIFS(SALIDAS_BIT,FECHA_BIT,"&gt;="&amp;AF$2,FECHA_BIT,"&lt;="&amp;AF$3,CLAVE_BIT,$A325)+SUMIFS(SALIDAS_BOV1,FECHA_BOV1,"&gt;="&amp;AF$2,FECHA_BOV1,"&lt;="&amp;AF$3,CLAVE_BOV1,$A325)+SUMIFS(SALIDAS_BOV2,FECHA_BOV2,"&gt;="&amp;AF$2,FECHA_BOV2,"&lt;="&amp;AF$3,CLAVE_BOV2,$A325)+SUMIFS(SALIDAS_BOV3,FECHA_BOV3,"&gt;="&amp;AF$2,FECHA_BOV3,"&lt;="&amp;AF$3,CLAVE_BOV3,$A325)+SUMIFS(SALIDAS_TC,FECHA_TC,"&gt;="&amp;AF$2,FECHA_TC,"&lt;="&amp;AF$3,CLAVE_TC,$A325)+SUMIFS(SALIDAS_COMB,FECHA_COMB,"&gt;="&amp;AF$2,FECHA_COMB,"&lt;="&amp;AF$3,CLAVE_COMB,$A325)+SUMIFS(SALIDAS_DES,FECHA_DESGLOSEN,"&gt;="&amp;AF$2,FECHA_DESGLOSEN,"&lt;="&amp;AF$3,CLAVE_DESGLOSE,$A325)</f>
        <v>0</v>
      </c>
      <c r="AG325" s="162">
        <f>SUMIFS(SALIDAS_BIT,FECHA_BIT,"&gt;="&amp;AG$2,FECHA_BIT,"&lt;="&amp;AG$3,CLAVE_BIT,$A325)+SUMIFS(SALIDAS_BOV1,FECHA_BOV1,"&gt;="&amp;AG$2,FECHA_BOV1,"&lt;="&amp;AG$3,CLAVE_BOV1,$A325)+SUMIFS(SALIDAS_BOV2,FECHA_BOV2,"&gt;="&amp;AG$2,FECHA_BOV2,"&lt;="&amp;AG$3,CLAVE_BOV2,$A325)+SUMIFS(SALIDAS_BOV3,FECHA_BOV3,"&gt;="&amp;AG$2,FECHA_BOV3,"&lt;="&amp;AG$3,CLAVE_BOV3,$A325)+SUMIFS(SALIDAS_TC,FECHA_TC,"&gt;="&amp;AG$2,FECHA_TC,"&lt;="&amp;AG$3,CLAVE_TC,$A325)+SUMIFS(SALIDAS_COMB,FECHA_COMB,"&gt;="&amp;AG$2,FECHA_COMB,"&lt;="&amp;AG$3,CLAVE_COMB,$A325)+SUMIFS(SALIDAS_DES,FECHA_DESGLOSEN,"&gt;="&amp;AG$2,FECHA_DESGLOSEN,"&lt;="&amp;AG$3,CLAVE_DESGLOSE,$A325)</f>
        <v>0</v>
      </c>
      <c r="AH325" s="162">
        <f>SUMIFS(SALIDAS_BIT,FECHA_BIT,"&gt;="&amp;AH$2,FECHA_BIT,"&lt;="&amp;AH$3,CLAVE_BIT,$A325)+SUMIFS(SALIDAS_BOV1,FECHA_BOV1,"&gt;="&amp;AH$2,FECHA_BOV1,"&lt;="&amp;AH$3,CLAVE_BOV1,$A325)+SUMIFS(SALIDAS_BOV2,FECHA_BOV2,"&gt;="&amp;AH$2,FECHA_BOV2,"&lt;="&amp;AH$3,CLAVE_BOV2,$A325)+SUMIFS(SALIDAS_BOV3,FECHA_BOV3,"&gt;="&amp;AH$2,FECHA_BOV3,"&lt;="&amp;AH$3,CLAVE_BOV3,$A325)+SUMIFS(SALIDAS_TC,FECHA_TC,"&gt;="&amp;AH$2,FECHA_TC,"&lt;="&amp;AH$3,CLAVE_TC,$A325)+SUMIFS(SALIDAS_COMB,FECHA_COMB,"&gt;="&amp;AH$2,FECHA_COMB,"&lt;="&amp;AH$3,CLAVE_COMB,$A325)+SUMIFS(SALIDAS_DES,FECHA_DESGLOSEN,"&gt;="&amp;AH$2,FECHA_DESGLOSEN,"&lt;="&amp;AH$3,CLAVE_DESGLOSE,$A325)</f>
        <v>0</v>
      </c>
      <c r="AI325" s="162">
        <f>SUMIFS(SALIDAS_BIT,FECHA_BIT,"&gt;="&amp;AI$2,FECHA_BIT,"&lt;="&amp;AI$3,CLAVE_BIT,$A325)+SUMIFS(SALIDAS_BOV1,FECHA_BOV1,"&gt;="&amp;AI$2,FECHA_BOV1,"&lt;="&amp;AI$3,CLAVE_BOV1,$A325)+SUMIFS(SALIDAS_BOV2,FECHA_BOV2,"&gt;="&amp;AI$2,FECHA_BOV2,"&lt;="&amp;AI$3,CLAVE_BOV2,$A325)+SUMIFS(SALIDAS_BOV3,FECHA_BOV3,"&gt;="&amp;AI$2,FECHA_BOV3,"&lt;="&amp;AI$3,CLAVE_BOV3,$A325)+SUMIFS(SALIDAS_TC,FECHA_TC,"&gt;="&amp;AI$2,FECHA_TC,"&lt;="&amp;AI$3,CLAVE_TC,$A325)+SUMIFS(SALIDAS_COMB,FECHA_COMB,"&gt;="&amp;AI$2,FECHA_COMB,"&lt;="&amp;AI$3,CLAVE_COMB,$A325)+SUMIFS(SALIDAS_DES,FECHA_DESGLOSEN,"&gt;="&amp;AI$2,FECHA_DESGLOSEN,"&lt;="&amp;AI$3,CLAVE_DESGLOSE,$A325)</f>
        <v>0</v>
      </c>
      <c r="AJ325" s="162">
        <f>SUMIFS(SALIDAS_BIT,FECHA_BIT,"&gt;="&amp;AJ$2,FECHA_BIT,"&lt;="&amp;AJ$3,CLAVE_BIT,$A325)+SUMIFS(SALIDAS_BOV1,FECHA_BOV1,"&gt;="&amp;AJ$2,FECHA_BOV1,"&lt;="&amp;AJ$3,CLAVE_BOV1,$A325)+SUMIFS(SALIDAS_BOV2,FECHA_BOV2,"&gt;="&amp;AJ$2,FECHA_BOV2,"&lt;="&amp;AJ$3,CLAVE_BOV2,$A325)+SUMIFS(SALIDAS_BOV3,FECHA_BOV3,"&gt;="&amp;AJ$2,FECHA_BOV3,"&lt;="&amp;AJ$3,CLAVE_BOV3,$A325)+SUMIFS(SALIDAS_TC,FECHA_TC,"&gt;="&amp;AJ$2,FECHA_TC,"&lt;="&amp;AJ$3,CLAVE_TC,$A325)+SUMIFS(SALIDAS_COMB,FECHA_COMB,"&gt;="&amp;AJ$2,FECHA_COMB,"&lt;="&amp;AJ$3,CLAVE_COMB,$A325)+SUMIFS(SALIDAS_DES,FECHA_DESGLOSEN,"&gt;="&amp;AJ$2,FECHA_DESGLOSEN,"&lt;="&amp;AJ$3,CLAVE_DESGLOSE,$A325)</f>
        <v>0</v>
      </c>
      <c r="AK325" s="227">
        <f>AE325-AJ325</f>
        <v>0</v>
      </c>
      <c r="AL325" s="301">
        <f>IFERROR((AJ325/AE325),0)</f>
        <v>0</v>
      </c>
      <c r="AM325" s="162">
        <f>VLOOKUP($A325,T_PRESUPUESTO,MATCH(AM$6,E_PRESUPUESTO,0),FALSE)</f>
        <v>0</v>
      </c>
      <c r="AN325" s="162">
        <f>SUMIFS(SALIDAS_BIT,FECHA_BIT,"&gt;="&amp;AN$2,FECHA_BIT,"&lt;="&amp;AN$3,CLAVE_BIT,$A325)+SUMIFS(SALIDAS_BOV1,FECHA_BOV1,"&gt;="&amp;AN$2,FECHA_BOV1,"&lt;="&amp;AN$3,CLAVE_BOV1,$A325)+SUMIFS(SALIDAS_BOV2,FECHA_BOV2,"&gt;="&amp;AN$2,FECHA_BOV2,"&lt;="&amp;AN$3,CLAVE_BOV2,$A325)+SUMIFS(SALIDAS_BOV3,FECHA_BOV3,"&gt;="&amp;AN$2,FECHA_BOV3,"&lt;="&amp;AN$3,CLAVE_BOV3,$A325)+SUMIFS(SALIDAS_TC,FECHA_TC,"&gt;="&amp;AN$2,FECHA_TC,"&lt;="&amp;AN$3,CLAVE_TC,$A325)+SUMIFS(SALIDAS_COMB,FECHA_COMB,"&gt;="&amp;AN$2,FECHA_COMB,"&lt;="&amp;AN$3,CLAVE_COMB,$A325)+SUMIFS(SALIDAS_DES,FECHA_DESGLOSEN,"&gt;="&amp;AN$2,FECHA_DESGLOSEN,"&lt;="&amp;AN$3,CLAVE_DESGLOSE,$A325)</f>
        <v>0</v>
      </c>
      <c r="AO325" s="162">
        <f>SUMIFS(SALIDAS_BIT,FECHA_BIT,"&gt;="&amp;AO$2,FECHA_BIT,"&lt;="&amp;AO$3,CLAVE_BIT,$A325)+SUMIFS(SALIDAS_BOV1,FECHA_BOV1,"&gt;="&amp;AO$2,FECHA_BOV1,"&lt;="&amp;AO$3,CLAVE_BOV1,$A325)+SUMIFS(SALIDAS_BOV2,FECHA_BOV2,"&gt;="&amp;AO$2,FECHA_BOV2,"&lt;="&amp;AO$3,CLAVE_BOV2,$A325)+SUMIFS(SALIDAS_BOV3,FECHA_BOV3,"&gt;="&amp;AO$2,FECHA_BOV3,"&lt;="&amp;AO$3,CLAVE_BOV3,$A325)+SUMIFS(SALIDAS_TC,FECHA_TC,"&gt;="&amp;AO$2,FECHA_TC,"&lt;="&amp;AO$3,CLAVE_TC,$A325)+SUMIFS(SALIDAS_COMB,FECHA_COMB,"&gt;="&amp;AO$2,FECHA_COMB,"&lt;="&amp;AO$3,CLAVE_COMB,$A325)+SUMIFS(SALIDAS_DES,FECHA_DESGLOSEN,"&gt;="&amp;AO$2,FECHA_DESGLOSEN,"&lt;="&amp;AO$3,CLAVE_DESGLOSE,$A325)</f>
        <v>0</v>
      </c>
      <c r="AP325" s="162">
        <f>SUMIFS(SALIDAS_BIT,FECHA_BIT,"&gt;="&amp;AP$2,FECHA_BIT,"&lt;="&amp;AP$3,CLAVE_BIT,$A325)+SUMIFS(SALIDAS_BOV1,FECHA_BOV1,"&gt;="&amp;AP$2,FECHA_BOV1,"&lt;="&amp;AP$3,CLAVE_BOV1,$A325)+SUMIFS(SALIDAS_BOV2,FECHA_BOV2,"&gt;="&amp;AP$2,FECHA_BOV2,"&lt;="&amp;AP$3,CLAVE_BOV2,$A325)+SUMIFS(SALIDAS_BOV3,FECHA_BOV3,"&gt;="&amp;AP$2,FECHA_BOV3,"&lt;="&amp;AP$3,CLAVE_BOV3,$A325)+SUMIFS(SALIDAS_TC,FECHA_TC,"&gt;="&amp;AP$2,FECHA_TC,"&lt;="&amp;AP$3,CLAVE_TC,$A325)+SUMIFS(SALIDAS_COMB,FECHA_COMB,"&gt;="&amp;AP$2,FECHA_COMB,"&lt;="&amp;AP$3,CLAVE_COMB,$A325)+SUMIFS(SALIDAS_DES,FECHA_DESGLOSEN,"&gt;="&amp;AP$2,FECHA_DESGLOSEN,"&lt;="&amp;AP$3,CLAVE_DESGLOSE,$A325)</f>
        <v>0</v>
      </c>
      <c r="AQ325" s="162">
        <f>SUMIFS(SALIDAS_BIT,FECHA_BIT,"&gt;="&amp;AQ$2,FECHA_BIT,"&lt;="&amp;AQ$3,CLAVE_BIT,$A325)+SUMIFS(SALIDAS_BOV1,FECHA_BOV1,"&gt;="&amp;AQ$2,FECHA_BOV1,"&lt;="&amp;AQ$3,CLAVE_BOV1,$A325)+SUMIFS(SALIDAS_BOV2,FECHA_BOV2,"&gt;="&amp;AQ$2,FECHA_BOV2,"&lt;="&amp;AQ$3,CLAVE_BOV2,$A325)+SUMIFS(SALIDAS_BOV3,FECHA_BOV3,"&gt;="&amp;AQ$2,FECHA_BOV3,"&lt;="&amp;AQ$3,CLAVE_BOV3,$A325)+SUMIFS(SALIDAS_TC,FECHA_TC,"&gt;="&amp;AQ$2,FECHA_TC,"&lt;="&amp;AQ$3,CLAVE_TC,$A325)+SUMIFS(SALIDAS_COMB,FECHA_COMB,"&gt;="&amp;AQ$2,FECHA_COMB,"&lt;="&amp;AQ$3,CLAVE_COMB,$A325)+SUMIFS(SALIDAS_DES,FECHA_DESGLOSEN,"&gt;="&amp;AQ$2,FECHA_DESGLOSEN,"&lt;="&amp;AQ$3,CLAVE_DESGLOSE,$A325)</f>
        <v>0</v>
      </c>
      <c r="AR325" s="162">
        <f>SUMIFS(SALIDAS_BIT,FECHA_BIT,"&gt;="&amp;AR$2,FECHA_BIT,"&lt;="&amp;AR$3,CLAVE_BIT,$A325)+SUMIFS(SALIDAS_BOV1,FECHA_BOV1,"&gt;="&amp;AR$2,FECHA_BOV1,"&lt;="&amp;AR$3,CLAVE_BOV1,$A325)+SUMIFS(SALIDAS_BOV2,FECHA_BOV2,"&gt;="&amp;AR$2,FECHA_BOV2,"&lt;="&amp;AR$3,CLAVE_BOV2,$A325)+SUMIFS(SALIDAS_BOV3,FECHA_BOV3,"&gt;="&amp;AR$2,FECHA_BOV3,"&lt;="&amp;AR$3,CLAVE_BOV3,$A325)+SUMIFS(SALIDAS_TC,FECHA_TC,"&gt;="&amp;AR$2,FECHA_TC,"&lt;="&amp;AR$3,CLAVE_TC,$A325)+SUMIFS(SALIDAS_COMB,FECHA_COMB,"&gt;="&amp;AR$2,FECHA_COMB,"&lt;="&amp;AR$3,CLAVE_COMB,$A325)+SUMIFS(SALIDAS_DES,FECHA_DESGLOSEN,"&gt;="&amp;AR$2,FECHA_DESGLOSEN,"&lt;="&amp;AR$3,CLAVE_DESGLOSE,$A325)</f>
        <v>0</v>
      </c>
      <c r="AS325" s="162">
        <f>SUMIFS(SALIDAS_BIT,FECHA_BIT,"&gt;="&amp;AS$2,FECHA_BIT,"&lt;="&amp;AS$3,CLAVE_BIT,$A325)+SUMIFS(SALIDAS_BOV1,FECHA_BOV1,"&gt;="&amp;AS$2,FECHA_BOV1,"&lt;="&amp;AS$3,CLAVE_BOV1,$A325)+SUMIFS(SALIDAS_BOV2,FECHA_BOV2,"&gt;="&amp;AS$2,FECHA_BOV2,"&lt;="&amp;AS$3,CLAVE_BOV2,$A325)+SUMIFS(SALIDAS_BOV3,FECHA_BOV3,"&gt;="&amp;AS$2,FECHA_BOV3,"&lt;="&amp;AS$3,CLAVE_BOV3,$A325)+SUMIFS(SALIDAS_TC,FECHA_TC,"&gt;="&amp;AS$2,FECHA_TC,"&lt;="&amp;AS$3,CLAVE_TC,$A325)+SUMIFS(SALIDAS_COMB,FECHA_COMB,"&gt;="&amp;AS$2,FECHA_COMB,"&lt;="&amp;AS$3,CLAVE_COMB,$A325)+SUMIFS(SALIDAS_DES,FECHA_DESGLOSEN,"&gt;="&amp;AS$2,FECHA_DESGLOSEN,"&lt;="&amp;AS$3,CLAVE_DESGLOSE,$A325)</f>
        <v>0</v>
      </c>
      <c r="AT325" s="227">
        <f>AM325-AS325</f>
        <v>0</v>
      </c>
      <c r="AU325" s="301">
        <f>IFERROR((AS325/AM325),0)</f>
        <v>0</v>
      </c>
      <c r="AV325" s="162">
        <f>VLOOKUP($A325,T_PRESUPUESTO,MATCH(AV$6,E_PRESUPUESTO,0),FALSE)</f>
        <v>0</v>
      </c>
      <c r="AW325" s="162">
        <f>SUMIFS(SALIDAS_BIT,FECHA_BIT,"&gt;="&amp;AW$2,FECHA_BIT,"&lt;="&amp;AW$3,CLAVE_BIT,$A325)+SUMIFS(SALIDAS_BOV1,FECHA_BOV1,"&gt;="&amp;AW$2,FECHA_BOV1,"&lt;="&amp;AW$3,CLAVE_BOV1,$A325)+SUMIFS(SALIDAS_BOV2,FECHA_BOV2,"&gt;="&amp;AW$2,FECHA_BOV2,"&lt;="&amp;AW$3,CLAVE_BOV2,$A325)+SUMIFS(SALIDAS_BOV3,FECHA_BOV3,"&gt;="&amp;AW$2,FECHA_BOV3,"&lt;="&amp;AW$3,CLAVE_BOV3,$A325)+SUMIFS(SALIDAS_TC,FECHA_TC,"&gt;="&amp;AW$2,FECHA_TC,"&lt;="&amp;AW$3,CLAVE_TC,$A325)+SUMIFS(SALIDAS_COMB,FECHA_COMB,"&gt;="&amp;AW$2,FECHA_COMB,"&lt;="&amp;AW$3,CLAVE_COMB,$A325)+SUMIFS(SALIDAS_DES,FECHA_DESGLOSEN,"&gt;="&amp;AW$2,FECHA_DESGLOSEN,"&lt;="&amp;AW$3,CLAVE_DESGLOSE,$A325)</f>
        <v>224</v>
      </c>
      <c r="AX325" s="162">
        <f>SUMIFS(SALIDAS_BIT,FECHA_BIT,"&gt;="&amp;AX$2,FECHA_BIT,"&lt;="&amp;AX$3,CLAVE_BIT,$A325)+SUMIFS(SALIDAS_BOV1,FECHA_BOV1,"&gt;="&amp;AX$2,FECHA_BOV1,"&lt;="&amp;AX$3,CLAVE_BOV1,$A325)+SUMIFS(SALIDAS_BOV2,FECHA_BOV2,"&gt;="&amp;AX$2,FECHA_BOV2,"&lt;="&amp;AX$3,CLAVE_BOV2,$A325)+SUMIFS(SALIDAS_BOV3,FECHA_BOV3,"&gt;="&amp;AX$2,FECHA_BOV3,"&lt;="&amp;AX$3,CLAVE_BOV3,$A325)+SUMIFS(SALIDAS_TC,FECHA_TC,"&gt;="&amp;AX$2,FECHA_TC,"&lt;="&amp;AX$3,CLAVE_TC,$A325)+SUMIFS(SALIDAS_COMB,FECHA_COMB,"&gt;="&amp;AX$2,FECHA_COMB,"&lt;="&amp;AX$3,CLAVE_COMB,$A325)+SUMIFS(SALIDAS_DES,FECHA_DESGLOSEN,"&gt;="&amp;AX$2,FECHA_DESGLOSEN,"&lt;="&amp;AX$3,CLAVE_DESGLOSE,$A325)</f>
        <v>0</v>
      </c>
      <c r="AY325" s="162">
        <f>SUMIFS(SALIDAS_BIT,FECHA_BIT,"&gt;="&amp;AY$2,FECHA_BIT,"&lt;="&amp;AY$3,CLAVE_BIT,$A325)+SUMIFS(SALIDAS_BOV1,FECHA_BOV1,"&gt;="&amp;AY$2,FECHA_BOV1,"&lt;="&amp;AY$3,CLAVE_BOV1,$A325)+SUMIFS(SALIDAS_BOV2,FECHA_BOV2,"&gt;="&amp;AY$2,FECHA_BOV2,"&lt;="&amp;AY$3,CLAVE_BOV2,$A325)+SUMIFS(SALIDAS_BOV3,FECHA_BOV3,"&gt;="&amp;AY$2,FECHA_BOV3,"&lt;="&amp;AY$3,CLAVE_BOV3,$A325)+SUMIFS(SALIDAS_TC,FECHA_TC,"&gt;="&amp;AY$2,FECHA_TC,"&lt;="&amp;AY$3,CLAVE_TC,$A325)+SUMIFS(SALIDAS_COMB,FECHA_COMB,"&gt;="&amp;AY$2,FECHA_COMB,"&lt;="&amp;AY$3,CLAVE_COMB,$A325)+SUMIFS(SALIDAS_DES,FECHA_DESGLOSEN,"&gt;="&amp;AY$2,FECHA_DESGLOSEN,"&lt;="&amp;AY$3,CLAVE_DESGLOSE,$A325)</f>
        <v>0</v>
      </c>
      <c r="AZ325" s="162">
        <f>SUMIFS(SALIDAS_BIT,FECHA_BIT,"&gt;="&amp;AZ$2,FECHA_BIT,"&lt;="&amp;AZ$3,CLAVE_BIT,$A325)+SUMIFS(SALIDAS_BOV1,FECHA_BOV1,"&gt;="&amp;AZ$2,FECHA_BOV1,"&lt;="&amp;AZ$3,CLAVE_BOV1,$A325)+SUMIFS(SALIDAS_BOV2,FECHA_BOV2,"&gt;="&amp;AZ$2,FECHA_BOV2,"&lt;="&amp;AZ$3,CLAVE_BOV2,$A325)+SUMIFS(SALIDAS_BOV3,FECHA_BOV3,"&gt;="&amp;AZ$2,FECHA_BOV3,"&lt;="&amp;AZ$3,CLAVE_BOV3,$A325)+SUMIFS(SALIDAS_TC,FECHA_TC,"&gt;="&amp;AZ$2,FECHA_TC,"&lt;="&amp;AZ$3,CLAVE_TC,$A325)+SUMIFS(SALIDAS_COMB,FECHA_COMB,"&gt;="&amp;AZ$2,FECHA_COMB,"&lt;="&amp;AZ$3,CLAVE_COMB,$A325)+SUMIFS(SALIDAS_DES,FECHA_DESGLOSEN,"&gt;="&amp;AZ$2,FECHA_DESGLOSEN,"&lt;="&amp;AZ$3,CLAVE_DESGLOSE,$A325)</f>
        <v>0</v>
      </c>
      <c r="BA325" s="162">
        <f>SUMIFS(SALIDAS_BIT,FECHA_BIT,"&gt;="&amp;BA$2,FECHA_BIT,"&lt;="&amp;BA$3,CLAVE_BIT,$A325)+SUMIFS(SALIDAS_BOV1,FECHA_BOV1,"&gt;="&amp;BA$2,FECHA_BOV1,"&lt;="&amp;BA$3,CLAVE_BOV1,$A325)+SUMIFS(SALIDAS_BOV2,FECHA_BOV2,"&gt;="&amp;BA$2,FECHA_BOV2,"&lt;="&amp;BA$3,CLAVE_BOV2,$A325)+SUMIFS(SALIDAS_BOV3,FECHA_BOV3,"&gt;="&amp;BA$2,FECHA_BOV3,"&lt;="&amp;BA$3,CLAVE_BOV3,$A325)+SUMIFS(SALIDAS_TC,FECHA_TC,"&gt;="&amp;BA$2,FECHA_TC,"&lt;="&amp;BA$3,CLAVE_TC,$A325)+SUMIFS(SALIDAS_COMB,FECHA_COMB,"&gt;="&amp;BA$2,FECHA_COMB,"&lt;="&amp;BA$3,CLAVE_COMB,$A325)+SUMIFS(SALIDAS_DES,FECHA_DESGLOSEN,"&gt;="&amp;BA$2,FECHA_DESGLOSEN,"&lt;="&amp;BA$3,CLAVE_DESGLOSE,$A325)</f>
        <v>224</v>
      </c>
      <c r="BB325" s="227">
        <f>AV325-BA325</f>
        <v>-224</v>
      </c>
      <c r="BC325" s="301">
        <f>IFERROR((BA325/AV325),0)</f>
        <v>0</v>
      </c>
      <c r="BD325" s="162">
        <f>VLOOKUP($A325,T_PRESUPUESTO,MATCH(BD$6,E_PRESUPUESTO,0),FALSE)</f>
        <v>0</v>
      </c>
      <c r="BE325" s="162">
        <f>SUMIFS(SALIDAS_BIT,FECHA_BIT,"&gt;="&amp;BE$2,FECHA_BIT,"&lt;="&amp;BE$3,CLAVE_BIT,$A325)+SUMIFS(SALIDAS_BOV1,FECHA_BOV1,"&gt;="&amp;BE$2,FECHA_BOV1,"&lt;="&amp;BE$3,CLAVE_BOV1,$A325)+SUMIFS(SALIDAS_BOV2,FECHA_BOV2,"&gt;="&amp;BE$2,FECHA_BOV2,"&lt;="&amp;BE$3,CLAVE_BOV2,$A325)+SUMIFS(SALIDAS_BOV3,FECHA_BOV3,"&gt;="&amp;BE$2,FECHA_BOV3,"&lt;="&amp;BE$3,CLAVE_BOV3,$A325)+SUMIFS(SALIDAS_TC,FECHA_TC,"&gt;="&amp;BE$2,FECHA_TC,"&lt;="&amp;BE$3,CLAVE_TC,$A325)+SUMIFS(SALIDAS_COMB,FECHA_COMB,"&gt;="&amp;BE$2,FECHA_COMB,"&lt;="&amp;BE$3,CLAVE_COMB,$A325)+SUMIFS(SALIDAS_DES,FECHA_DESGLOSEN,"&gt;="&amp;BE$2,FECHA_DESGLOSEN,"&lt;="&amp;BE$3,CLAVE_DESGLOSE,$A325)</f>
        <v>0</v>
      </c>
      <c r="BF325" s="162">
        <f>SUMIFS(SALIDAS_BIT,FECHA_BIT,"&gt;="&amp;BF$2,FECHA_BIT,"&lt;="&amp;BF$3,CLAVE_BIT,$A325)+SUMIFS(SALIDAS_BOV1,FECHA_BOV1,"&gt;="&amp;BF$2,FECHA_BOV1,"&lt;="&amp;BF$3,CLAVE_BOV1,$A325)+SUMIFS(SALIDAS_BOV2,FECHA_BOV2,"&gt;="&amp;BF$2,FECHA_BOV2,"&lt;="&amp;BF$3,CLAVE_BOV2,$A325)+SUMIFS(SALIDAS_BOV3,FECHA_BOV3,"&gt;="&amp;BF$2,FECHA_BOV3,"&lt;="&amp;BF$3,CLAVE_BOV3,$A325)+SUMIFS(SALIDAS_TC,FECHA_TC,"&gt;="&amp;BF$2,FECHA_TC,"&lt;="&amp;BF$3,CLAVE_TC,$A325)+SUMIFS(SALIDAS_COMB,FECHA_COMB,"&gt;="&amp;BF$2,FECHA_COMB,"&lt;="&amp;BF$3,CLAVE_COMB,$A325)+SUMIFS(SALIDAS_DES,FECHA_DESGLOSEN,"&gt;="&amp;BF$2,FECHA_DESGLOSEN,"&lt;="&amp;BF$3,CLAVE_DESGLOSE,$A325)</f>
        <v>0</v>
      </c>
      <c r="BG325" s="162">
        <f>SUMIFS(SALIDAS_BIT,FECHA_BIT,"&gt;="&amp;BG$2,FECHA_BIT,"&lt;="&amp;BG$3,CLAVE_BIT,$A325)+SUMIFS(SALIDAS_BOV1,FECHA_BOV1,"&gt;="&amp;BG$2,FECHA_BOV1,"&lt;="&amp;BG$3,CLAVE_BOV1,$A325)+SUMIFS(SALIDAS_BOV2,FECHA_BOV2,"&gt;="&amp;BG$2,FECHA_BOV2,"&lt;="&amp;BG$3,CLAVE_BOV2,$A325)+SUMIFS(SALIDAS_BOV3,FECHA_BOV3,"&gt;="&amp;BG$2,FECHA_BOV3,"&lt;="&amp;BG$3,CLAVE_BOV3,$A325)+SUMIFS(SALIDAS_TC,FECHA_TC,"&gt;="&amp;BG$2,FECHA_TC,"&lt;="&amp;BG$3,CLAVE_TC,$A325)+SUMIFS(SALIDAS_COMB,FECHA_COMB,"&gt;="&amp;BG$2,FECHA_COMB,"&lt;="&amp;BG$3,CLAVE_COMB,$A325)+SUMIFS(SALIDAS_DES,FECHA_DESGLOSEN,"&gt;="&amp;BG$2,FECHA_DESGLOSEN,"&lt;="&amp;BG$3,CLAVE_DESGLOSE,$A325)</f>
        <v>450</v>
      </c>
      <c r="BH325" s="162">
        <f>SUMIFS(SALIDAS_BIT,FECHA_BIT,"&gt;="&amp;BH$2,FECHA_BIT,"&lt;="&amp;BH$3,CLAVE_BIT,$A325)+SUMIFS(SALIDAS_BOV1,FECHA_BOV1,"&gt;="&amp;BH$2,FECHA_BOV1,"&lt;="&amp;BH$3,CLAVE_BOV1,$A325)+SUMIFS(SALIDAS_BOV2,FECHA_BOV2,"&gt;="&amp;BH$2,FECHA_BOV2,"&lt;="&amp;BH$3,CLAVE_BOV2,$A325)+SUMIFS(SALIDAS_BOV3,FECHA_BOV3,"&gt;="&amp;BH$2,FECHA_BOV3,"&lt;="&amp;BH$3,CLAVE_BOV3,$A325)+SUMIFS(SALIDAS_TC,FECHA_TC,"&gt;="&amp;BH$2,FECHA_TC,"&lt;="&amp;BH$3,CLAVE_TC,$A325)+SUMIFS(SALIDAS_COMB,FECHA_COMB,"&gt;="&amp;BH$2,FECHA_COMB,"&lt;="&amp;BH$3,CLAVE_COMB,$A325)+SUMIFS(SALIDAS_DES,FECHA_DESGLOSEN,"&gt;="&amp;BH$2,FECHA_DESGLOSEN,"&lt;="&amp;BH$3,CLAVE_DESGLOSE,$A325)</f>
        <v>0</v>
      </c>
      <c r="BI325" s="162">
        <f>SUMIFS(SALIDAS_BIT,FECHA_BIT,"&gt;="&amp;BI$2,FECHA_BIT,"&lt;="&amp;BI$3,CLAVE_BIT,$A325)+SUMIFS(SALIDAS_BOV1,FECHA_BOV1,"&gt;="&amp;BI$2,FECHA_BOV1,"&lt;="&amp;BI$3,CLAVE_BOV1,$A325)+SUMIFS(SALIDAS_BOV2,FECHA_BOV2,"&gt;="&amp;BI$2,FECHA_BOV2,"&lt;="&amp;BI$3,CLAVE_BOV2,$A325)+SUMIFS(SALIDAS_BOV3,FECHA_BOV3,"&gt;="&amp;BI$2,FECHA_BOV3,"&lt;="&amp;BI$3,CLAVE_BOV3,$A325)+SUMIFS(SALIDAS_TC,FECHA_TC,"&gt;="&amp;BI$2,FECHA_TC,"&lt;="&amp;BI$3,CLAVE_TC,$A325)+SUMIFS(SALIDAS_COMB,FECHA_COMB,"&gt;="&amp;BI$2,FECHA_COMB,"&lt;="&amp;BI$3,CLAVE_COMB,$A325)+SUMIFS(SALIDAS_DES,FECHA_DESGLOSEN,"&gt;="&amp;BI$2,FECHA_DESGLOSEN,"&lt;="&amp;BI$3,CLAVE_DESGLOSE,$A325)</f>
        <v>450</v>
      </c>
      <c r="BJ325" s="227">
        <f>BD325-BI325</f>
        <v>-450</v>
      </c>
      <c r="BK325" s="301">
        <f>IFERROR((BI325/BD325),0)</f>
        <v>0</v>
      </c>
      <c r="BL325" s="162">
        <f>VLOOKUP($A325,T_PRESUPUESTO,MATCH(BL$6,E_PRESUPUESTO,0),FALSE)</f>
        <v>0</v>
      </c>
      <c r="BM325" s="162">
        <f>SUMIFS(SALIDAS_BIT,FECHA_BIT,"&gt;="&amp;BM$2,FECHA_BIT,"&lt;="&amp;BM$3,CLAVE_BIT,$A325)+SUMIFS(SALIDAS_BOV1,FECHA_BOV1,"&gt;="&amp;BM$2,FECHA_BOV1,"&lt;="&amp;BM$3,CLAVE_BOV1,$A325)+SUMIFS(SALIDAS_BOV2,FECHA_BOV2,"&gt;="&amp;BM$2,FECHA_BOV2,"&lt;="&amp;BM$3,CLAVE_BOV2,$A325)+SUMIFS(SALIDAS_BOV3,FECHA_BOV3,"&gt;="&amp;BM$2,FECHA_BOV3,"&lt;="&amp;BM$3,CLAVE_BOV3,$A325)+SUMIFS(SALIDAS_TC,FECHA_TC,"&gt;="&amp;BM$2,FECHA_TC,"&lt;="&amp;BM$3,CLAVE_TC,$A325)+SUMIFS(SALIDAS_COMB,FECHA_COMB,"&gt;="&amp;BM$2,FECHA_COMB,"&lt;="&amp;BM$3,CLAVE_COMB,$A325)+SUMIFS(SALIDAS_DES,FECHA_DESGLOSEN,"&gt;="&amp;BM$2,FECHA_DESGLOSEN,"&lt;="&amp;BM$3,CLAVE_DESGLOSE,$A325)</f>
        <v>0</v>
      </c>
      <c r="BN325" s="162">
        <f>SUMIFS(SALIDAS_BIT,FECHA_BIT,"&gt;="&amp;BN$2,FECHA_BIT,"&lt;="&amp;BN$3,CLAVE_BIT,$A325)+SUMIFS(SALIDAS_BOV1,FECHA_BOV1,"&gt;="&amp;BN$2,FECHA_BOV1,"&lt;="&amp;BN$3,CLAVE_BOV1,$A325)+SUMIFS(SALIDAS_BOV2,FECHA_BOV2,"&gt;="&amp;BN$2,FECHA_BOV2,"&lt;="&amp;BN$3,CLAVE_BOV2,$A325)+SUMIFS(SALIDAS_BOV3,FECHA_BOV3,"&gt;="&amp;BN$2,FECHA_BOV3,"&lt;="&amp;BN$3,CLAVE_BOV3,$A325)+SUMIFS(SALIDAS_TC,FECHA_TC,"&gt;="&amp;BN$2,FECHA_TC,"&lt;="&amp;BN$3,CLAVE_TC,$A325)+SUMIFS(SALIDAS_COMB,FECHA_COMB,"&gt;="&amp;BN$2,FECHA_COMB,"&lt;="&amp;BN$3,CLAVE_COMB,$A325)+SUMIFS(SALIDAS_DES,FECHA_DESGLOSEN,"&gt;="&amp;BN$2,FECHA_DESGLOSEN,"&lt;="&amp;BN$3,CLAVE_DESGLOSE,$A325)</f>
        <v>0</v>
      </c>
      <c r="BO325" s="162">
        <f>SUMIFS(SALIDAS_BIT,FECHA_BIT,"&gt;="&amp;BO$2,FECHA_BIT,"&lt;="&amp;BO$3,CLAVE_BIT,$A325)+SUMIFS(SALIDAS_BOV1,FECHA_BOV1,"&gt;="&amp;BO$2,FECHA_BOV1,"&lt;="&amp;BO$3,CLAVE_BOV1,$A325)+SUMIFS(SALIDAS_BOV2,FECHA_BOV2,"&gt;="&amp;BO$2,FECHA_BOV2,"&lt;="&amp;BO$3,CLAVE_BOV2,$A325)+SUMIFS(SALIDAS_BOV3,FECHA_BOV3,"&gt;="&amp;BO$2,FECHA_BOV3,"&lt;="&amp;BO$3,CLAVE_BOV3,$A325)+SUMIFS(SALIDAS_TC,FECHA_TC,"&gt;="&amp;BO$2,FECHA_TC,"&lt;="&amp;BO$3,CLAVE_TC,$A325)+SUMIFS(SALIDAS_COMB,FECHA_COMB,"&gt;="&amp;BO$2,FECHA_COMB,"&lt;="&amp;BO$3,CLAVE_COMB,$A325)+SUMIFS(SALIDAS_DES,FECHA_DESGLOSEN,"&gt;="&amp;BO$2,FECHA_DESGLOSEN,"&lt;="&amp;BO$3,CLAVE_DESGLOSE,$A325)</f>
        <v>0</v>
      </c>
      <c r="BP325" s="162">
        <f>SUMIFS(SALIDAS_BIT,FECHA_BIT,"&gt;="&amp;BP$2,FECHA_BIT,"&lt;="&amp;BP$3,CLAVE_BIT,$A325)+SUMIFS(SALIDAS_BOV1,FECHA_BOV1,"&gt;="&amp;BP$2,FECHA_BOV1,"&lt;="&amp;BP$3,CLAVE_BOV1,$A325)+SUMIFS(SALIDAS_BOV2,FECHA_BOV2,"&gt;="&amp;BP$2,FECHA_BOV2,"&lt;="&amp;BP$3,CLAVE_BOV2,$A325)+SUMIFS(SALIDAS_BOV3,FECHA_BOV3,"&gt;="&amp;BP$2,FECHA_BOV3,"&lt;="&amp;BP$3,CLAVE_BOV3,$A325)+SUMIFS(SALIDAS_TC,FECHA_TC,"&gt;="&amp;BP$2,FECHA_TC,"&lt;="&amp;BP$3,CLAVE_TC,$A325)+SUMIFS(SALIDAS_COMB,FECHA_COMB,"&gt;="&amp;BP$2,FECHA_COMB,"&lt;="&amp;BP$3,CLAVE_COMB,$A325)+SUMIFS(SALIDAS_DES,FECHA_DESGLOSEN,"&gt;="&amp;BP$2,FECHA_DESGLOSEN,"&lt;="&amp;BP$3,CLAVE_DESGLOSE,$A325)</f>
        <v>0</v>
      </c>
      <c r="BQ325" s="162">
        <f>SUMIFS(SALIDAS_BIT,FECHA_BIT,"&gt;="&amp;BQ$2,FECHA_BIT,"&lt;="&amp;BQ$3,CLAVE_BIT,$A325)+SUMIFS(SALIDAS_BOV1,FECHA_BOV1,"&gt;="&amp;BQ$2,FECHA_BOV1,"&lt;="&amp;BQ$3,CLAVE_BOV1,$A325)+SUMIFS(SALIDAS_BOV2,FECHA_BOV2,"&gt;="&amp;BQ$2,FECHA_BOV2,"&lt;="&amp;BQ$3,CLAVE_BOV2,$A325)+SUMIFS(SALIDAS_BOV3,FECHA_BOV3,"&gt;="&amp;BQ$2,FECHA_BOV3,"&lt;="&amp;BQ$3,CLAVE_BOV3,$A325)+SUMIFS(SALIDAS_TC,FECHA_TC,"&gt;="&amp;BQ$2,FECHA_TC,"&lt;="&amp;BQ$3,CLAVE_TC,$A325)+SUMIFS(SALIDAS_COMB,FECHA_COMB,"&gt;="&amp;BQ$2,FECHA_COMB,"&lt;="&amp;BQ$3,CLAVE_COMB,$A325)+SUMIFS(SALIDAS_DES,FECHA_DESGLOSEN,"&gt;="&amp;BQ$2,FECHA_DESGLOSEN,"&lt;="&amp;BQ$3,CLAVE_DESGLOSE,$A325)</f>
        <v>0</v>
      </c>
      <c r="BR325" s="162">
        <f>SUMIFS(SALIDAS_BIT,FECHA_BIT,"&gt;="&amp;BR$2,FECHA_BIT,"&lt;="&amp;BR$3,CLAVE_BIT,$A325)+SUMIFS(SALIDAS_BOV1,FECHA_BOV1,"&gt;="&amp;BR$2,FECHA_BOV1,"&lt;="&amp;BR$3,CLAVE_BOV1,$A325)+SUMIFS(SALIDAS_BOV2,FECHA_BOV2,"&gt;="&amp;BR$2,FECHA_BOV2,"&lt;="&amp;BR$3,CLAVE_BOV2,$A325)+SUMIFS(SALIDAS_BOV3,FECHA_BOV3,"&gt;="&amp;BR$2,FECHA_BOV3,"&lt;="&amp;BR$3,CLAVE_BOV3,$A325)+SUMIFS(SALIDAS_TC,FECHA_TC,"&gt;="&amp;BR$2,FECHA_TC,"&lt;="&amp;BR$3,CLAVE_TC,$A325)+SUMIFS(SALIDAS_COMB,FECHA_COMB,"&gt;="&amp;BR$2,FECHA_COMB,"&lt;="&amp;BR$3,CLAVE_COMB,$A325)+SUMIFS(SALIDAS_DES,FECHA_DESGLOSEN,"&gt;="&amp;BR$2,FECHA_DESGLOSEN,"&lt;="&amp;BR$3,CLAVE_DESGLOSE,$A325)</f>
        <v>0</v>
      </c>
      <c r="BS325" s="227">
        <f>BL325-BR325</f>
        <v>0</v>
      </c>
      <c r="BT325" s="301">
        <f>IFERROR((BR325/BL325),0)</f>
        <v>0</v>
      </c>
      <c r="BU325" s="162">
        <f>VLOOKUP($A325,T_PRESUPUESTO,MATCH(BU$6,E_PRESUPUESTO,0),FALSE)</f>
        <v>0</v>
      </c>
      <c r="BV325" s="162">
        <f>SUMIFS(SALIDAS_BIT,FECHA_BIT,"&gt;="&amp;BV$2,FECHA_BIT,"&lt;="&amp;BV$3,CLAVE_BIT,$A325)+SUMIFS(SALIDAS_BOV1,FECHA_BOV1,"&gt;="&amp;BV$2,FECHA_BOV1,"&lt;="&amp;BV$3,CLAVE_BOV1,$A325)+SUMIFS(SALIDAS_BOV2,FECHA_BOV2,"&gt;="&amp;BV$2,FECHA_BOV2,"&lt;="&amp;BV$3,CLAVE_BOV2,$A325)+SUMIFS(SALIDAS_BOV3,FECHA_BOV3,"&gt;="&amp;BV$2,FECHA_BOV3,"&lt;="&amp;BV$3,CLAVE_BOV3,$A325)+SUMIFS(SALIDAS_TC,FECHA_TC,"&gt;="&amp;BV$2,FECHA_TC,"&lt;="&amp;BV$3,CLAVE_TC,$A325)+SUMIFS(SALIDAS_COMB,FECHA_COMB,"&gt;="&amp;BV$2,FECHA_COMB,"&lt;="&amp;BV$3,CLAVE_COMB,$A325)+SUMIFS(SALIDAS_DES,FECHA_DESGLOSEN,"&gt;="&amp;BV$2,FECHA_DESGLOSEN,"&lt;="&amp;BV$3,CLAVE_DESGLOSE,$A325)</f>
        <v>0</v>
      </c>
      <c r="BW325" s="162">
        <f>SUMIFS(SALIDAS_BIT,FECHA_BIT,"&gt;="&amp;BW$2,FECHA_BIT,"&lt;="&amp;BW$3,CLAVE_BIT,$A325)+SUMIFS(SALIDAS_BOV1,FECHA_BOV1,"&gt;="&amp;BW$2,FECHA_BOV1,"&lt;="&amp;BW$3,CLAVE_BOV1,$A325)+SUMIFS(SALIDAS_BOV2,FECHA_BOV2,"&gt;="&amp;BW$2,FECHA_BOV2,"&lt;="&amp;BW$3,CLAVE_BOV2,$A325)+SUMIFS(SALIDAS_BOV3,FECHA_BOV3,"&gt;="&amp;BW$2,FECHA_BOV3,"&lt;="&amp;BW$3,CLAVE_BOV3,$A325)+SUMIFS(SALIDAS_TC,FECHA_TC,"&gt;="&amp;BW$2,FECHA_TC,"&lt;="&amp;BW$3,CLAVE_TC,$A325)+SUMIFS(SALIDAS_COMB,FECHA_COMB,"&gt;="&amp;BW$2,FECHA_COMB,"&lt;="&amp;BW$3,CLAVE_COMB,$A325)+SUMIFS(SALIDAS_DES,FECHA_DESGLOSEN,"&gt;="&amp;BW$2,FECHA_DESGLOSEN,"&lt;="&amp;BW$3,CLAVE_DESGLOSE,$A325)</f>
        <v>4600</v>
      </c>
      <c r="BX325" s="162">
        <f>SUMIFS(SALIDAS_BIT,FECHA_BIT,"&gt;="&amp;BX$2,FECHA_BIT,"&lt;="&amp;BX$3,CLAVE_BIT,$A325)+SUMIFS(SALIDAS_BOV1,FECHA_BOV1,"&gt;="&amp;BX$2,FECHA_BOV1,"&lt;="&amp;BX$3,CLAVE_BOV1,$A325)+SUMIFS(SALIDAS_BOV2,FECHA_BOV2,"&gt;="&amp;BX$2,FECHA_BOV2,"&lt;="&amp;BX$3,CLAVE_BOV2,$A325)+SUMIFS(SALIDAS_BOV3,FECHA_BOV3,"&gt;="&amp;BX$2,FECHA_BOV3,"&lt;="&amp;BX$3,CLAVE_BOV3,$A325)+SUMIFS(SALIDAS_TC,FECHA_TC,"&gt;="&amp;BX$2,FECHA_TC,"&lt;="&amp;BX$3,CLAVE_TC,$A325)+SUMIFS(SALIDAS_COMB,FECHA_COMB,"&gt;="&amp;BX$2,FECHA_COMB,"&lt;="&amp;BX$3,CLAVE_COMB,$A325)+SUMIFS(SALIDAS_DES,FECHA_DESGLOSEN,"&gt;="&amp;BX$2,FECHA_DESGLOSEN,"&lt;="&amp;BX$3,CLAVE_DESGLOSE,$A325)</f>
        <v>0</v>
      </c>
      <c r="BY325" s="162">
        <f>SUMIFS(SALIDAS_BIT,FECHA_BIT,"&gt;="&amp;BY$2,FECHA_BIT,"&lt;="&amp;BY$3,CLAVE_BIT,$A325)+SUMIFS(SALIDAS_BOV1,FECHA_BOV1,"&gt;="&amp;BY$2,FECHA_BOV1,"&lt;="&amp;BY$3,CLAVE_BOV1,$A325)+SUMIFS(SALIDAS_BOV2,FECHA_BOV2,"&gt;="&amp;BY$2,FECHA_BOV2,"&lt;="&amp;BY$3,CLAVE_BOV2,$A325)+SUMIFS(SALIDAS_BOV3,FECHA_BOV3,"&gt;="&amp;BY$2,FECHA_BOV3,"&lt;="&amp;BY$3,CLAVE_BOV3,$A325)+SUMIFS(SALIDAS_TC,FECHA_TC,"&gt;="&amp;BY$2,FECHA_TC,"&lt;="&amp;BY$3,CLAVE_TC,$A325)+SUMIFS(SALIDAS_COMB,FECHA_COMB,"&gt;="&amp;BY$2,FECHA_COMB,"&lt;="&amp;BY$3,CLAVE_COMB,$A325)+SUMIFS(SALIDAS_DES,FECHA_DESGLOSEN,"&gt;="&amp;BY$2,FECHA_DESGLOSEN,"&lt;="&amp;BY$3,CLAVE_DESGLOSE,$A325)</f>
        <v>0</v>
      </c>
      <c r="BZ325" s="162">
        <f>SUMIFS(SALIDAS_BIT,FECHA_BIT,"&gt;="&amp;BZ$2,FECHA_BIT,"&lt;="&amp;BZ$3,CLAVE_BIT,$A325)+SUMIFS(SALIDAS_BOV1,FECHA_BOV1,"&gt;="&amp;BZ$2,FECHA_BOV1,"&lt;="&amp;BZ$3,CLAVE_BOV1,$A325)+SUMIFS(SALIDAS_BOV2,FECHA_BOV2,"&gt;="&amp;BZ$2,FECHA_BOV2,"&lt;="&amp;BZ$3,CLAVE_BOV2,$A325)+SUMIFS(SALIDAS_BOV3,FECHA_BOV3,"&gt;="&amp;BZ$2,FECHA_BOV3,"&lt;="&amp;BZ$3,CLAVE_BOV3,$A325)+SUMIFS(SALIDAS_TC,FECHA_TC,"&gt;="&amp;BZ$2,FECHA_TC,"&lt;="&amp;BZ$3,CLAVE_TC,$A325)+SUMIFS(SALIDAS_COMB,FECHA_COMB,"&gt;="&amp;BZ$2,FECHA_COMB,"&lt;="&amp;BZ$3,CLAVE_COMB,$A325)+SUMIFS(SALIDAS_DES,FECHA_DESGLOSEN,"&gt;="&amp;BZ$2,FECHA_DESGLOSEN,"&lt;="&amp;BZ$3,CLAVE_DESGLOSE,$A325)</f>
        <v>4600</v>
      </c>
      <c r="CA325" s="227">
        <f>BU325-BZ325</f>
        <v>-4600</v>
      </c>
      <c r="CB325" s="301">
        <f>IFERROR((BZ325/BU325),0)</f>
        <v>0</v>
      </c>
      <c r="CC325" s="162">
        <f>VLOOKUP($A325,T_PRESUPUESTO,MATCH(CC$6,E_PRESUPUESTO,0),FALSE)</f>
        <v>0</v>
      </c>
      <c r="CD325" s="162">
        <f>SUMIFS(SALIDAS_BIT,FECHA_BIT,"&gt;="&amp;CD$2,FECHA_BIT,"&lt;="&amp;CD$3,CLAVE_BIT,$A325)+SUMIFS(SALIDAS_BOV1,FECHA_BOV1,"&gt;="&amp;CD$2,FECHA_BOV1,"&lt;="&amp;CD$3,CLAVE_BOV1,$A325)+SUMIFS(SALIDAS_BOV2,FECHA_BOV2,"&gt;="&amp;CD$2,FECHA_BOV2,"&lt;="&amp;CD$3,CLAVE_BOV2,$A325)+SUMIFS(SALIDAS_BOV3,FECHA_BOV3,"&gt;="&amp;CD$2,FECHA_BOV3,"&lt;="&amp;CD$3,CLAVE_BOV3,$A325)+SUMIFS(SALIDAS_TC,FECHA_TC,"&gt;="&amp;CD$2,FECHA_TC,"&lt;="&amp;CD$3,CLAVE_TC,$A325)+SUMIFS(SALIDAS_COMB,FECHA_COMB,"&gt;="&amp;CD$2,FECHA_COMB,"&lt;="&amp;CD$3,CLAVE_COMB,$A325)+SUMIFS(SALIDAS_DES,FECHA_DESGLOSEN,"&gt;="&amp;CD$2,FECHA_DESGLOSEN,"&lt;="&amp;CD$3,CLAVE_DESGLOSE,$A325)</f>
        <v>0</v>
      </c>
      <c r="CE325" s="162">
        <f>SUMIFS(SALIDAS_BIT,FECHA_BIT,"&gt;="&amp;CE$2,FECHA_BIT,"&lt;="&amp;CE$3,CLAVE_BIT,$A325)+SUMIFS(SALIDAS_BOV1,FECHA_BOV1,"&gt;="&amp;CE$2,FECHA_BOV1,"&lt;="&amp;CE$3,CLAVE_BOV1,$A325)+SUMIFS(SALIDAS_BOV2,FECHA_BOV2,"&gt;="&amp;CE$2,FECHA_BOV2,"&lt;="&amp;CE$3,CLAVE_BOV2,$A325)+SUMIFS(SALIDAS_BOV3,FECHA_BOV3,"&gt;="&amp;CE$2,FECHA_BOV3,"&lt;="&amp;CE$3,CLAVE_BOV3,$A325)+SUMIFS(SALIDAS_TC,FECHA_TC,"&gt;="&amp;CE$2,FECHA_TC,"&lt;="&amp;CE$3,CLAVE_TC,$A325)+SUMIFS(SALIDAS_COMB,FECHA_COMB,"&gt;="&amp;CE$2,FECHA_COMB,"&lt;="&amp;CE$3,CLAVE_COMB,$A325)+SUMIFS(SALIDAS_DES,FECHA_DESGLOSEN,"&gt;="&amp;CE$2,FECHA_DESGLOSEN,"&lt;="&amp;CE$3,CLAVE_DESGLOSE,$A325)</f>
        <v>0</v>
      </c>
      <c r="CF325" s="162">
        <f>SUMIFS(SALIDAS_BIT,FECHA_BIT,"&gt;="&amp;CF$2,FECHA_BIT,"&lt;="&amp;CF$3,CLAVE_BIT,$A325)+SUMIFS(SALIDAS_BOV1,FECHA_BOV1,"&gt;="&amp;CF$2,FECHA_BOV1,"&lt;="&amp;CF$3,CLAVE_BOV1,$A325)+SUMIFS(SALIDAS_BOV2,FECHA_BOV2,"&gt;="&amp;CF$2,FECHA_BOV2,"&lt;="&amp;CF$3,CLAVE_BOV2,$A325)+SUMIFS(SALIDAS_BOV3,FECHA_BOV3,"&gt;="&amp;CF$2,FECHA_BOV3,"&lt;="&amp;CF$3,CLAVE_BOV3,$A325)+SUMIFS(SALIDAS_TC,FECHA_TC,"&gt;="&amp;CF$2,FECHA_TC,"&lt;="&amp;CF$3,CLAVE_TC,$A325)+SUMIFS(SALIDAS_COMB,FECHA_COMB,"&gt;="&amp;CF$2,FECHA_COMB,"&lt;="&amp;CF$3,CLAVE_COMB,$A325)+SUMIFS(SALIDAS_DES,FECHA_DESGLOSEN,"&gt;="&amp;CF$2,FECHA_DESGLOSEN,"&lt;="&amp;CF$3,CLAVE_DESGLOSE,$A325)</f>
        <v>0</v>
      </c>
      <c r="CG325" s="162">
        <f>SUMIFS(SALIDAS_BIT,FECHA_BIT,"&gt;="&amp;CG$2,FECHA_BIT,"&lt;="&amp;CG$3,CLAVE_BIT,$A325)+SUMIFS(SALIDAS_BOV1,FECHA_BOV1,"&gt;="&amp;CG$2,FECHA_BOV1,"&lt;="&amp;CG$3,CLAVE_BOV1,$A325)+SUMIFS(SALIDAS_BOV2,FECHA_BOV2,"&gt;="&amp;CG$2,FECHA_BOV2,"&lt;="&amp;CG$3,CLAVE_BOV2,$A325)+SUMIFS(SALIDAS_BOV3,FECHA_BOV3,"&gt;="&amp;CG$2,FECHA_BOV3,"&lt;="&amp;CG$3,CLAVE_BOV3,$A325)+SUMIFS(SALIDAS_TC,FECHA_TC,"&gt;="&amp;CG$2,FECHA_TC,"&lt;="&amp;CG$3,CLAVE_TC,$A325)+SUMIFS(SALIDAS_COMB,FECHA_COMB,"&gt;="&amp;CG$2,FECHA_COMB,"&lt;="&amp;CG$3,CLAVE_COMB,$A325)+SUMIFS(SALIDAS_DES,FECHA_DESGLOSEN,"&gt;="&amp;CG$2,FECHA_DESGLOSEN,"&lt;="&amp;CG$3,CLAVE_DESGLOSE,$A325)</f>
        <v>0</v>
      </c>
      <c r="CH325" s="162">
        <f>SUMIFS(SALIDAS_BIT,FECHA_BIT,"&gt;="&amp;CH$2,FECHA_BIT,"&lt;="&amp;CH$3,CLAVE_BIT,$A325)+SUMIFS(SALIDAS_BOV1,FECHA_BOV1,"&gt;="&amp;CH$2,FECHA_BOV1,"&lt;="&amp;CH$3,CLAVE_BOV1,$A325)+SUMIFS(SALIDAS_BOV2,FECHA_BOV2,"&gt;="&amp;CH$2,FECHA_BOV2,"&lt;="&amp;CH$3,CLAVE_BOV2,$A325)+SUMIFS(SALIDAS_BOV3,FECHA_BOV3,"&gt;="&amp;CH$2,FECHA_BOV3,"&lt;="&amp;CH$3,CLAVE_BOV3,$A325)+SUMIFS(SALIDAS_TC,FECHA_TC,"&gt;="&amp;CH$2,FECHA_TC,"&lt;="&amp;CH$3,CLAVE_TC,$A325)+SUMIFS(SALIDAS_COMB,FECHA_COMB,"&gt;="&amp;CH$2,FECHA_COMB,"&lt;="&amp;CH$3,CLAVE_COMB,$A325)+SUMIFS(SALIDAS_DES,FECHA_DESGLOSEN,"&gt;="&amp;CH$2,FECHA_DESGLOSEN,"&lt;="&amp;CH$3,CLAVE_DESGLOSE,$A325)</f>
        <v>0</v>
      </c>
      <c r="CI325" s="227">
        <f>CC325-CH325</f>
        <v>0</v>
      </c>
      <c r="CJ325" s="301">
        <f>IFERROR((CH325/CC325),0)</f>
        <v>0</v>
      </c>
      <c r="CK325" s="162">
        <f>VLOOKUP($A325,T_PRESUPUESTO,MATCH(CK$6,E_PRESUPUESTO,0),FALSE)</f>
        <v>0</v>
      </c>
      <c r="CL325" s="162">
        <f>SUMIFS(SALIDAS_BIT,FECHA_BIT,"&gt;="&amp;CL$2,FECHA_BIT,"&lt;="&amp;CL$3,CLAVE_BIT,$A325)+SUMIFS(SALIDAS_BOV1,FECHA_BOV1,"&gt;="&amp;CL$2,FECHA_BOV1,"&lt;="&amp;CL$3,CLAVE_BOV1,$A325)+SUMIFS(SALIDAS_BOV2,FECHA_BOV2,"&gt;="&amp;CL$2,FECHA_BOV2,"&lt;="&amp;CL$3,CLAVE_BOV2,$A325)+SUMIFS(SALIDAS_BOV3,FECHA_BOV3,"&gt;="&amp;CL$2,FECHA_BOV3,"&lt;="&amp;CL$3,CLAVE_BOV3,$A325)+SUMIFS(SALIDAS_TC,FECHA_TC,"&gt;="&amp;CL$2,FECHA_TC,"&lt;="&amp;CL$3,CLAVE_TC,$A325)+SUMIFS(SALIDAS_COMB,FECHA_COMB,"&gt;="&amp;CL$2,FECHA_COMB,"&lt;="&amp;CL$3,CLAVE_COMB,$A325)+SUMIFS(SALIDAS_DES,FECHA_DESGLOSEN,"&gt;="&amp;CL$2,FECHA_DESGLOSEN,"&lt;="&amp;CL$3,CLAVE_DESGLOSE,$A325)</f>
        <v>0</v>
      </c>
      <c r="CM325" s="162">
        <f>SUMIFS(SALIDAS_BIT,FECHA_BIT,"&gt;="&amp;CM$2,FECHA_BIT,"&lt;="&amp;CM$3,CLAVE_BIT,$A325)+SUMIFS(SALIDAS_BOV1,FECHA_BOV1,"&gt;="&amp;CM$2,FECHA_BOV1,"&lt;="&amp;CM$3,CLAVE_BOV1,$A325)+SUMIFS(SALIDAS_BOV2,FECHA_BOV2,"&gt;="&amp;CM$2,FECHA_BOV2,"&lt;="&amp;CM$3,CLAVE_BOV2,$A325)+SUMIFS(SALIDAS_BOV3,FECHA_BOV3,"&gt;="&amp;CM$2,FECHA_BOV3,"&lt;="&amp;CM$3,CLAVE_BOV3,$A325)+SUMIFS(SALIDAS_TC,FECHA_TC,"&gt;="&amp;CM$2,FECHA_TC,"&lt;="&amp;CM$3,CLAVE_TC,$A325)+SUMIFS(SALIDAS_COMB,FECHA_COMB,"&gt;="&amp;CM$2,FECHA_COMB,"&lt;="&amp;CM$3,CLAVE_COMB,$A325)+SUMIFS(SALIDAS_DES,FECHA_DESGLOSEN,"&gt;="&amp;CM$2,FECHA_DESGLOSEN,"&lt;="&amp;CM$3,CLAVE_DESGLOSE,$A325)</f>
        <v>0</v>
      </c>
      <c r="CN325" s="162">
        <f>SUMIFS(SALIDAS_BIT,FECHA_BIT,"&gt;="&amp;CN$2,FECHA_BIT,"&lt;="&amp;CN$3,CLAVE_BIT,$A325)+SUMIFS(SALIDAS_BOV1,FECHA_BOV1,"&gt;="&amp;CN$2,FECHA_BOV1,"&lt;="&amp;CN$3,CLAVE_BOV1,$A325)+SUMIFS(SALIDAS_BOV2,FECHA_BOV2,"&gt;="&amp;CN$2,FECHA_BOV2,"&lt;="&amp;CN$3,CLAVE_BOV2,$A325)+SUMIFS(SALIDAS_BOV3,FECHA_BOV3,"&gt;="&amp;CN$2,FECHA_BOV3,"&lt;="&amp;CN$3,CLAVE_BOV3,$A325)+SUMIFS(SALIDAS_TC,FECHA_TC,"&gt;="&amp;CN$2,FECHA_TC,"&lt;="&amp;CN$3,CLAVE_TC,$A325)+SUMIFS(SALIDAS_COMB,FECHA_COMB,"&gt;="&amp;CN$2,FECHA_COMB,"&lt;="&amp;CN$3,CLAVE_COMB,$A325)+SUMIFS(SALIDAS_DES,FECHA_DESGLOSEN,"&gt;="&amp;CN$2,FECHA_DESGLOSEN,"&lt;="&amp;CN$3,CLAVE_DESGLOSE,$A325)</f>
        <v>0</v>
      </c>
      <c r="CO325" s="162">
        <f>SUMIFS(SALIDAS_BIT,FECHA_BIT,"&gt;="&amp;CO$2,FECHA_BIT,"&lt;="&amp;CO$3,CLAVE_BIT,$A325)+SUMIFS(SALIDAS_BOV1,FECHA_BOV1,"&gt;="&amp;CO$2,FECHA_BOV1,"&lt;="&amp;CO$3,CLAVE_BOV1,$A325)+SUMIFS(SALIDAS_BOV2,FECHA_BOV2,"&gt;="&amp;CO$2,FECHA_BOV2,"&lt;="&amp;CO$3,CLAVE_BOV2,$A325)+SUMIFS(SALIDAS_BOV3,FECHA_BOV3,"&gt;="&amp;CO$2,FECHA_BOV3,"&lt;="&amp;CO$3,CLAVE_BOV3,$A325)+SUMIFS(SALIDAS_TC,FECHA_TC,"&gt;="&amp;CO$2,FECHA_TC,"&lt;="&amp;CO$3,CLAVE_TC,$A325)+SUMIFS(SALIDAS_COMB,FECHA_COMB,"&gt;="&amp;CO$2,FECHA_COMB,"&lt;="&amp;CO$3,CLAVE_COMB,$A325)+SUMIFS(SALIDAS_DES,FECHA_DESGLOSEN,"&gt;="&amp;CO$2,FECHA_DESGLOSEN,"&lt;="&amp;CO$3,CLAVE_DESGLOSE,$A325)</f>
        <v>0</v>
      </c>
      <c r="CP325" s="162">
        <f>SUMIFS(SALIDAS_BIT,FECHA_BIT,"&gt;="&amp;CP$2,FECHA_BIT,"&lt;="&amp;CP$3,CLAVE_BIT,$A325)+SUMIFS(SALIDAS_BOV1,FECHA_BOV1,"&gt;="&amp;CP$2,FECHA_BOV1,"&lt;="&amp;CP$3,CLAVE_BOV1,$A325)+SUMIFS(SALIDAS_BOV2,FECHA_BOV2,"&gt;="&amp;CP$2,FECHA_BOV2,"&lt;="&amp;CP$3,CLAVE_BOV2,$A325)+SUMIFS(SALIDAS_BOV3,FECHA_BOV3,"&gt;="&amp;CP$2,FECHA_BOV3,"&lt;="&amp;CP$3,CLAVE_BOV3,$A325)+SUMIFS(SALIDAS_TC,FECHA_TC,"&gt;="&amp;CP$2,FECHA_TC,"&lt;="&amp;CP$3,CLAVE_TC,$A325)+SUMIFS(SALIDAS_COMB,FECHA_COMB,"&gt;="&amp;CP$2,FECHA_COMB,"&lt;="&amp;CP$3,CLAVE_COMB,$A325)+SUMIFS(SALIDAS_DES,FECHA_DESGLOSEN,"&gt;="&amp;CP$2,FECHA_DESGLOSEN,"&lt;="&amp;CP$3,CLAVE_DESGLOSE,$A325)</f>
        <v>0</v>
      </c>
      <c r="CQ325" s="162">
        <f>SUMIFS(SALIDAS_BIT,FECHA_BIT,"&gt;="&amp;CQ$2,FECHA_BIT,"&lt;="&amp;CQ$3,CLAVE_BIT,$A325)+SUMIFS(SALIDAS_BOV1,FECHA_BOV1,"&gt;="&amp;CQ$2,FECHA_BOV1,"&lt;="&amp;CQ$3,CLAVE_BOV1,$A325)+SUMIFS(SALIDAS_BOV2,FECHA_BOV2,"&gt;="&amp;CQ$2,FECHA_BOV2,"&lt;="&amp;CQ$3,CLAVE_BOV2,$A325)+SUMIFS(SALIDAS_BOV3,FECHA_BOV3,"&gt;="&amp;CQ$2,FECHA_BOV3,"&lt;="&amp;CQ$3,CLAVE_BOV3,$A325)+SUMIFS(SALIDAS_TC,FECHA_TC,"&gt;="&amp;CQ$2,FECHA_TC,"&lt;="&amp;CQ$3,CLAVE_TC,$A325)+SUMIFS(SALIDAS_COMB,FECHA_COMB,"&gt;="&amp;CQ$2,FECHA_COMB,"&lt;="&amp;CQ$3,CLAVE_COMB,$A325)+SUMIFS(SALIDAS_DES,FECHA_DESGLOSEN,"&gt;="&amp;CQ$2,FECHA_DESGLOSEN,"&lt;="&amp;CQ$3,CLAVE_DESGLOSE,$A325)</f>
        <v>0</v>
      </c>
      <c r="CR325" s="227">
        <f>CK325-CQ325</f>
        <v>0</v>
      </c>
      <c r="CS325" s="301">
        <f>IFERROR((CQ325/CK325),0)</f>
        <v>0</v>
      </c>
      <c r="CT325" s="68">
        <f t="shared" si="446"/>
        <v>0</v>
      </c>
      <c r="CU325" s="13">
        <f>SUMIFS(SALIDAS_BIT,FECHA_BIT,"&gt;="&amp;CU$2,FECHA_BIT,"&lt;="&amp;CU$3,CLAVE_BIT,$A325)+SUMIFS(SALIDAS_BOV1,FECHA_BOV1,"&gt;="&amp;CU$2,FECHA_BOV1,"&lt;="&amp;CU$3,CLAVE_BOV1,$A325)+SUMIFS(SALIDAS_BOV2,FECHA_BOV2,"&gt;="&amp;CU$2,FECHA_BOV2,"&lt;="&amp;CU$3,CLAVE_BOV2,$A325)+SUMIFS(SALIDAS_BOV3,FECHA_BOV3,"&gt;="&amp;CU$2,FECHA_BOV3,"&lt;="&amp;CU$3,CLAVE_BOV3,$A325)+SUMIFS(SALIDAS_TC,FECHA_TC,"&gt;="&amp;CU$2,FECHA_TC,"&lt;="&amp;CU$3,CLAVE_TC,$A325)+SUMIFS(SALIDAS_COMB,FECHA_COMB,"&gt;="&amp;CU$2,FECHA_COMB,"&lt;="&amp;CU$3,CLAVE_COMB,$A325)+SUMIFS(SALIDAS_DES,FECHA_DESGLOSEN,"&gt;="&amp;CU$2,FECHA_DESGLOSEN,"&lt;="&amp;CU$3,CLAVE_DESGLOSE,$A325)</f>
        <v>0</v>
      </c>
      <c r="CV325" s="13">
        <f>SUMIFS(SALIDAS_BIT,FECHA_BIT,"&gt;="&amp;CV$2,FECHA_BIT,"&lt;="&amp;CV$3,CLAVE_BIT,$A325)+SUMIFS(SALIDAS_BOV1,FECHA_BOV1,"&gt;="&amp;CV$2,FECHA_BOV1,"&lt;="&amp;CV$3,CLAVE_BOV1,$A325)+SUMIFS(SALIDAS_BOV2,FECHA_BOV2,"&gt;="&amp;CV$2,FECHA_BOV2,"&lt;="&amp;CV$3,CLAVE_BOV2,$A325)+SUMIFS(SALIDAS_BOV3,FECHA_BOV3,"&gt;="&amp;CV$2,FECHA_BOV3,"&lt;="&amp;CV$3,CLAVE_BOV3,$A325)+SUMIFS(SALIDAS_TC,FECHA_TC,"&gt;="&amp;CV$2,FECHA_TC,"&lt;="&amp;CV$3,CLAVE_TC,$A325)+SUMIFS(SALIDAS_COMB,FECHA_COMB,"&gt;="&amp;CV$2,FECHA_COMB,"&lt;="&amp;CV$3,CLAVE_COMB,$A325)+SUMIFS(SALIDAS_DES,FECHA_DESGLOSEN,"&gt;="&amp;CV$2,FECHA_DESGLOSEN,"&lt;="&amp;CV$3,CLAVE_DESGLOSE,$A325)</f>
        <v>24411.57</v>
      </c>
      <c r="CW325" s="13">
        <f>SUMIFS(SALIDAS_BIT,FECHA_BIT,"&gt;="&amp;CW$2,FECHA_BIT,"&lt;="&amp;CW$3,CLAVE_BIT,$A325)+SUMIFS(SALIDAS_BOV1,FECHA_BOV1,"&gt;="&amp;CW$2,FECHA_BOV1,"&lt;="&amp;CW$3,CLAVE_BOV1,$A325)+SUMIFS(SALIDAS_BOV2,FECHA_BOV2,"&gt;="&amp;CW$2,FECHA_BOV2,"&lt;="&amp;CW$3,CLAVE_BOV2,$A325)+SUMIFS(SALIDAS_BOV3,FECHA_BOV3,"&gt;="&amp;CW$2,FECHA_BOV3,"&lt;="&amp;CW$3,CLAVE_BOV3,$A325)+SUMIFS(SALIDAS_TC,FECHA_TC,"&gt;="&amp;CW$2,FECHA_TC,"&lt;="&amp;CW$3,CLAVE_TC,$A325)+SUMIFS(SALIDAS_COMB,FECHA_COMB,"&gt;="&amp;CW$2,FECHA_COMB,"&lt;="&amp;CW$3,CLAVE_COMB,$A325)+SUMIFS(SALIDAS_DES,FECHA_DESGLOSEN,"&gt;="&amp;CW$2,FECHA_DESGLOSEN,"&lt;="&amp;CW$3,CLAVE_DESGLOSE,$A325)</f>
        <v>0</v>
      </c>
      <c r="CX325" s="13">
        <f>SUMIFS(SALIDAS_BIT,FECHA_BIT,"&gt;="&amp;CX$2,FECHA_BIT,"&lt;="&amp;CX$3,CLAVE_BIT,$A325)+SUMIFS(SALIDAS_BOV1,FECHA_BOV1,"&gt;="&amp;CX$2,FECHA_BOV1,"&lt;="&amp;CX$3,CLAVE_BOV1,$A325)+SUMIFS(SALIDAS_BOV2,FECHA_BOV2,"&gt;="&amp;CX$2,FECHA_BOV2,"&lt;="&amp;CX$3,CLAVE_BOV2,$A325)+SUMIFS(SALIDAS_BOV3,FECHA_BOV3,"&gt;="&amp;CX$2,FECHA_BOV3,"&lt;="&amp;CX$3,CLAVE_BOV3,$A325)+SUMIFS(SALIDAS_TC,FECHA_TC,"&gt;="&amp;CX$2,FECHA_TC,"&lt;="&amp;CX$3,CLAVE_TC,$A325)+SUMIFS(SALIDAS_COMB,FECHA_COMB,"&gt;="&amp;CX$2,FECHA_COMB,"&lt;="&amp;CX$3,CLAVE_COMB,$A325)+SUMIFS(SALIDAS_DES,FECHA_DESGLOSEN,"&gt;="&amp;CX$2,FECHA_DESGLOSEN,"&lt;="&amp;CX$3,CLAVE_DESGLOSE,$A325)</f>
        <v>0</v>
      </c>
      <c r="CY325" s="13">
        <f>SUMIFS(SALIDAS_BIT,FECHA_BIT,"&gt;="&amp;CY$2,FECHA_BIT,"&lt;="&amp;CY$3,CLAVE_BIT,$A325)+SUMIFS(SALIDAS_BOV1,FECHA_BOV1,"&gt;="&amp;CY$2,FECHA_BOV1,"&lt;="&amp;CY$3,CLAVE_BOV1,$A325)+SUMIFS(SALIDAS_BOV2,FECHA_BOV2,"&gt;="&amp;CY$2,FECHA_BOV2,"&lt;="&amp;CY$3,CLAVE_BOV2,$A325)+SUMIFS(SALIDAS_BOV3,FECHA_BOV3,"&gt;="&amp;CY$2,FECHA_BOV3,"&lt;="&amp;CY$3,CLAVE_BOV3,$A325)+SUMIFS(SALIDAS_TC,FECHA_TC,"&gt;="&amp;CY$2,FECHA_TC,"&lt;="&amp;CY$3,CLAVE_TC,$A325)+SUMIFS(SALIDAS_COMB,FECHA_COMB,"&gt;="&amp;CY$2,FECHA_COMB,"&lt;="&amp;CY$3,CLAVE_COMB,$A325)+SUMIFS(SALIDAS_DES,FECHA_DESGLOSEN,"&gt;="&amp;CY$2,FECHA_DESGLOSEN,"&lt;="&amp;CY$3,CLAVE_DESGLOSE,$A325)</f>
        <v>24411.57</v>
      </c>
      <c r="CZ325" s="68">
        <f t="shared" si="474"/>
        <v>-24411.57</v>
      </c>
      <c r="DB325" s="17">
        <f>F325+N325+W325+AE325+AM325+AV325+BD325+BL325+BU325+CC325+CK325</f>
        <v>0</v>
      </c>
      <c r="DC325" s="17">
        <f>K325+T325+AB325+AJ325+AS325+BA325+BI325+BR325+BZ325+CH325+CQ325</f>
        <v>5274</v>
      </c>
    </row>
    <row r="326" spans="1:107" ht="15" hidden="1">
      <c r="A326" s="12" t="str">
        <f>C326&amp;D326&amp;E326</f>
        <v>MKTACTIVACION MKT</v>
      </c>
      <c r="B326">
        <v>326</v>
      </c>
      <c r="C326" t="s">
        <v>19</v>
      </c>
      <c r="D326" t="s">
        <v>20</v>
      </c>
      <c r="E326" t="s">
        <v>19</v>
      </c>
      <c r="F326" s="260">
        <f>VLOOKUP($A326,T_PRESUPUESTO,MATCH(F$6,E_PRESUPUESTO,0),FALSE)</f>
        <v>0</v>
      </c>
      <c r="G326" s="162">
        <f>SUMIFS(SALIDAS_BIT,FECHA_BIT,"&gt;="&amp;G$2,FECHA_BIT,"&lt;="&amp;G$3,CLAVE_BIT,$A326)+SUMIFS(SALIDAS_BOV1,FECHA_BOV1,"&gt;="&amp;G$2,FECHA_BOV1,"&lt;="&amp;G$3,CLAVE_BOV1,$A326)+SUMIFS(SALIDAS_BOV2,FECHA_BOV2,"&gt;="&amp;G$2,FECHA_BOV2,"&lt;="&amp;G$3,CLAVE_BOV2,$A326)+SUMIFS(SALIDAS_BOV3,FECHA_BOV3,"&gt;="&amp;G$2,FECHA_BOV3,"&lt;="&amp;G$3,CLAVE_BOV3,$A326)+SUMIFS(SALIDAS_TC,FECHA_TC,"&gt;="&amp;G$2,FECHA_TC,"&lt;="&amp;G$3,CLAVE_TC,$A326)+SUMIFS(SALIDAS_COMB,FECHA_COMB,"&gt;="&amp;G$2,FECHA_COMB,"&lt;="&amp;G$3,CLAVE_COMB,$A326)+SUMIFS(SALIDAS_DES,FECHA_DESGLOSEN,"&gt;="&amp;G$2,FECHA_DESGLOSEN,"&lt;="&amp;G$3,CLAVE_DESGLOSE,$A326)</f>
        <v>0</v>
      </c>
      <c r="H326" s="162">
        <f>SUMIFS(SALIDAS_BIT,FECHA_BIT,"&gt;="&amp;H$2,FECHA_BIT,"&lt;="&amp;H$3,CLAVE_BIT,$A326)+SUMIFS(SALIDAS_BOV1,FECHA_BOV1,"&gt;="&amp;H$2,FECHA_BOV1,"&lt;="&amp;H$3,CLAVE_BOV1,$A326)+SUMIFS(SALIDAS_BOV2,FECHA_BOV2,"&gt;="&amp;H$2,FECHA_BOV2,"&lt;="&amp;H$3,CLAVE_BOV2,$A326)+SUMIFS(SALIDAS_BOV3,FECHA_BOV3,"&gt;="&amp;H$2,FECHA_BOV3,"&lt;="&amp;H$3,CLAVE_BOV3,$A326)+SUMIFS(SALIDAS_TC,FECHA_TC,"&gt;="&amp;H$2,FECHA_TC,"&lt;="&amp;H$3,CLAVE_TC,$A326)+SUMIFS(SALIDAS_COMB,FECHA_COMB,"&gt;="&amp;H$2,FECHA_COMB,"&lt;="&amp;H$3,CLAVE_COMB,$A326)+SUMIFS(SALIDAS_DES,FECHA_DESGLOSEN,"&gt;="&amp;H$2,FECHA_DESGLOSEN,"&lt;="&amp;H$3,CLAVE_DESGLOSE,$A326)</f>
        <v>0</v>
      </c>
      <c r="I326" s="162">
        <f>SUMIFS(SALIDAS_BIT,FECHA_BIT,"&gt;="&amp;I$2,FECHA_BIT,"&lt;="&amp;I$3,CLAVE_BIT,$A326)+SUMIFS(SALIDAS_BOV1,FECHA_BOV1,"&gt;="&amp;I$2,FECHA_BOV1,"&lt;="&amp;I$3,CLAVE_BOV1,$A326)+SUMIFS(SALIDAS_BOV2,FECHA_BOV2,"&gt;="&amp;I$2,FECHA_BOV2,"&lt;="&amp;I$3,CLAVE_BOV2,$A326)+SUMIFS(SALIDAS_BOV3,FECHA_BOV3,"&gt;="&amp;I$2,FECHA_BOV3,"&lt;="&amp;I$3,CLAVE_BOV3,$A326)+SUMIFS(SALIDAS_TC,FECHA_TC,"&gt;="&amp;I$2,FECHA_TC,"&lt;="&amp;I$3,CLAVE_TC,$A326)+SUMIFS(SALIDAS_COMB,FECHA_COMB,"&gt;="&amp;I$2,FECHA_COMB,"&lt;="&amp;I$3,CLAVE_COMB,$A326)+SUMIFS(SALIDAS_DES,FECHA_DESGLOSEN,"&gt;="&amp;I$2,FECHA_DESGLOSEN,"&lt;="&amp;I$3,CLAVE_DESGLOSE,$A326)</f>
        <v>0</v>
      </c>
      <c r="J326" s="162">
        <f>SUMIFS(SALIDAS_BIT,FECHA_BIT,"&gt;="&amp;J$2,FECHA_BIT,"&lt;="&amp;J$3,CLAVE_BIT,$A326)+SUMIFS(SALIDAS_BOV1,FECHA_BOV1,"&gt;="&amp;J$2,FECHA_BOV1,"&lt;="&amp;J$3,CLAVE_BOV1,$A326)+SUMIFS(SALIDAS_BOV2,FECHA_BOV2,"&gt;="&amp;J$2,FECHA_BOV2,"&lt;="&amp;J$3,CLAVE_BOV2,$A326)+SUMIFS(SALIDAS_BOV3,FECHA_BOV3,"&gt;="&amp;J$2,FECHA_BOV3,"&lt;="&amp;J$3,CLAVE_BOV3,$A326)+SUMIFS(SALIDAS_TC,FECHA_TC,"&gt;="&amp;J$2,FECHA_TC,"&lt;="&amp;J$3,CLAVE_TC,$A326)+SUMIFS(SALIDAS_COMB,FECHA_COMB,"&gt;="&amp;J$2,FECHA_COMB,"&lt;="&amp;J$3,CLAVE_COMB,$A326)+SUMIFS(SALIDAS_DES,FECHA_DESGLOSEN,"&gt;="&amp;J$2,FECHA_DESGLOSEN,"&lt;="&amp;J$3,CLAVE_DESGLOSE,$A326)</f>
        <v>0</v>
      </c>
      <c r="K326" s="162">
        <f>SUMIFS(SALIDAS_BIT,FECHA_BIT,"&gt;="&amp;K$2,FECHA_BIT,"&lt;="&amp;K$3,CLAVE_BIT,$A326)+SUMIFS(SALIDAS_BOV1,FECHA_BOV1,"&gt;="&amp;K$2,FECHA_BOV1,"&lt;="&amp;K$3,CLAVE_BOV1,$A326)+SUMIFS(SALIDAS_BOV2,FECHA_BOV2,"&gt;="&amp;K$2,FECHA_BOV2,"&lt;="&amp;K$3,CLAVE_BOV2,$A326)+SUMIFS(SALIDAS_BOV3,FECHA_BOV3,"&gt;="&amp;K$2,FECHA_BOV3,"&lt;="&amp;K$3,CLAVE_BOV3,$A326)+SUMIFS(SALIDAS_TC,FECHA_TC,"&gt;="&amp;K$2,FECHA_TC,"&lt;="&amp;K$3,CLAVE_TC,$A326)+SUMIFS(SALIDAS_COMB,FECHA_COMB,"&gt;="&amp;K$2,FECHA_COMB,"&lt;="&amp;K$3,CLAVE_COMB,$A326)+SUMIFS(SALIDAS_DES,FECHA_DESGLOSEN,"&gt;="&amp;K$2,FECHA_DESGLOSEN,"&lt;="&amp;K$3,CLAVE_DESGLOSE,$A326)</f>
        <v>0</v>
      </c>
      <c r="L326" s="227">
        <f>F326-K326</f>
        <v>0</v>
      </c>
      <c r="M326" s="301">
        <f>IFERROR((K326/F326),0)</f>
        <v>0</v>
      </c>
      <c r="N326" s="162">
        <f>VLOOKUP($A326,T_PRESUPUESTO,MATCH(N$6,E_PRESUPUESTO,0),FALSE)</f>
        <v>0</v>
      </c>
      <c r="O326" s="162">
        <f>SUMIFS(SALIDAS_BIT,FECHA_BIT,"&gt;="&amp;O$2,FECHA_BIT,"&lt;="&amp;O$3,CLAVE_BIT,$A326)+SUMIFS(SALIDAS_BOV1,FECHA_BOV1,"&gt;="&amp;O$2,FECHA_BOV1,"&lt;="&amp;O$3,CLAVE_BOV1,$A326)+SUMIFS(SALIDAS_BOV2,FECHA_BOV2,"&gt;="&amp;O$2,FECHA_BOV2,"&lt;="&amp;O$3,CLAVE_BOV2,$A326)+SUMIFS(SALIDAS_BOV3,FECHA_BOV3,"&gt;="&amp;O$2,FECHA_BOV3,"&lt;="&amp;O$3,CLAVE_BOV3,$A326)+SUMIFS(SALIDAS_TC,FECHA_TC,"&gt;="&amp;O$2,FECHA_TC,"&lt;="&amp;O$3,CLAVE_TC,$A326)+SUMIFS(SALIDAS_COMB,FECHA_COMB,"&gt;="&amp;O$2,FECHA_COMB,"&lt;="&amp;O$3,CLAVE_COMB,$A326)+SUMIFS(SALIDAS_DES,FECHA_DESGLOSEN,"&gt;="&amp;O$2,FECHA_DESGLOSEN,"&lt;="&amp;O$3,CLAVE_DESGLOSE,$A326)</f>
        <v>0</v>
      </c>
      <c r="P326" s="162">
        <f>SUMIFS(SALIDAS_BIT,FECHA_BIT,"&gt;="&amp;P$2,FECHA_BIT,"&lt;="&amp;P$3,CLAVE_BIT,$A326)+SUMIFS(SALIDAS_BOV1,FECHA_BOV1,"&gt;="&amp;P$2,FECHA_BOV1,"&lt;="&amp;P$3,CLAVE_BOV1,$A326)+SUMIFS(SALIDAS_BOV2,FECHA_BOV2,"&gt;="&amp;P$2,FECHA_BOV2,"&lt;="&amp;P$3,CLAVE_BOV2,$A326)+SUMIFS(SALIDAS_BOV3,FECHA_BOV3,"&gt;="&amp;P$2,FECHA_BOV3,"&lt;="&amp;P$3,CLAVE_BOV3,$A326)+SUMIFS(SALIDAS_TC,FECHA_TC,"&gt;="&amp;P$2,FECHA_TC,"&lt;="&amp;P$3,CLAVE_TC,$A326)+SUMIFS(SALIDAS_COMB,FECHA_COMB,"&gt;="&amp;P$2,FECHA_COMB,"&lt;="&amp;P$3,CLAVE_COMB,$A326)+SUMIFS(SALIDAS_DES,FECHA_DESGLOSEN,"&gt;="&amp;P$2,FECHA_DESGLOSEN,"&lt;="&amp;P$3,CLAVE_DESGLOSE,$A326)</f>
        <v>0</v>
      </c>
      <c r="Q326" s="162">
        <f>SUMIFS(SALIDAS_BIT,FECHA_BIT,"&gt;="&amp;Q$2,FECHA_BIT,"&lt;="&amp;Q$3,CLAVE_BIT,$A326)+SUMIFS(SALIDAS_BOV1,FECHA_BOV1,"&gt;="&amp;Q$2,FECHA_BOV1,"&lt;="&amp;Q$3,CLAVE_BOV1,$A326)+SUMIFS(SALIDAS_BOV2,FECHA_BOV2,"&gt;="&amp;Q$2,FECHA_BOV2,"&lt;="&amp;Q$3,CLAVE_BOV2,$A326)+SUMIFS(SALIDAS_BOV3,FECHA_BOV3,"&gt;="&amp;Q$2,FECHA_BOV3,"&lt;="&amp;Q$3,CLAVE_BOV3,$A326)+SUMIFS(SALIDAS_TC,FECHA_TC,"&gt;="&amp;Q$2,FECHA_TC,"&lt;="&amp;Q$3,CLAVE_TC,$A326)+SUMIFS(SALIDAS_COMB,FECHA_COMB,"&gt;="&amp;Q$2,FECHA_COMB,"&lt;="&amp;Q$3,CLAVE_COMB,$A326)+SUMIFS(SALIDAS_DES,FECHA_DESGLOSEN,"&gt;="&amp;Q$2,FECHA_DESGLOSEN,"&lt;="&amp;Q$3,CLAVE_DESGLOSE,$A326)</f>
        <v>0</v>
      </c>
      <c r="R326" s="162">
        <f>SUMIFS(SALIDAS_BIT,FECHA_BIT,"&gt;="&amp;R$2,FECHA_BIT,"&lt;="&amp;R$3,CLAVE_BIT,$A326)+SUMIFS(SALIDAS_BOV1,FECHA_BOV1,"&gt;="&amp;R$2,FECHA_BOV1,"&lt;="&amp;R$3,CLAVE_BOV1,$A326)+SUMIFS(SALIDAS_BOV2,FECHA_BOV2,"&gt;="&amp;R$2,FECHA_BOV2,"&lt;="&amp;R$3,CLAVE_BOV2,$A326)+SUMIFS(SALIDAS_BOV3,FECHA_BOV3,"&gt;="&amp;R$2,FECHA_BOV3,"&lt;="&amp;R$3,CLAVE_BOV3,$A326)+SUMIFS(SALIDAS_TC,FECHA_TC,"&gt;="&amp;R$2,FECHA_TC,"&lt;="&amp;R$3,CLAVE_TC,$A326)+SUMIFS(SALIDAS_COMB,FECHA_COMB,"&gt;="&amp;R$2,FECHA_COMB,"&lt;="&amp;R$3,CLAVE_COMB,$A326)+SUMIFS(SALIDAS_DES,FECHA_DESGLOSEN,"&gt;="&amp;R$2,FECHA_DESGLOSEN,"&lt;="&amp;R$3,CLAVE_DESGLOSE,$A326)</f>
        <v>0</v>
      </c>
      <c r="S326" s="162">
        <f>SUMIFS(SALIDAS_BIT,FECHA_BIT,"&gt;="&amp;S$2,FECHA_BIT,"&lt;="&amp;S$3,CLAVE_BIT,$A326)+SUMIFS(SALIDAS_BOV1,FECHA_BOV1,"&gt;="&amp;S$2,FECHA_BOV1,"&lt;="&amp;S$3,CLAVE_BOV1,$A326)+SUMIFS(SALIDAS_BOV2,FECHA_BOV2,"&gt;="&amp;S$2,FECHA_BOV2,"&lt;="&amp;S$3,CLAVE_BOV2,$A326)+SUMIFS(SALIDAS_BOV3,FECHA_BOV3,"&gt;="&amp;S$2,FECHA_BOV3,"&lt;="&amp;S$3,CLAVE_BOV3,$A326)+SUMIFS(SALIDAS_TC,FECHA_TC,"&gt;="&amp;S$2,FECHA_TC,"&lt;="&amp;S$3,CLAVE_TC,$A326)+SUMIFS(SALIDAS_COMB,FECHA_COMB,"&gt;="&amp;S$2,FECHA_COMB,"&lt;="&amp;S$3,CLAVE_COMB,$A326)+SUMIFS(SALIDAS_DES,FECHA_DESGLOSEN,"&gt;="&amp;S$2,FECHA_DESGLOSEN,"&lt;="&amp;S$3,CLAVE_DESGLOSE,$A326)</f>
        <v>0</v>
      </c>
      <c r="T326" s="162">
        <f>SUMIFS(SALIDAS_BIT,FECHA_BIT,"&gt;="&amp;T$2,FECHA_BIT,"&lt;="&amp;T$3,CLAVE_BIT,$A326)+SUMIFS(SALIDAS_BOV1,FECHA_BOV1,"&gt;="&amp;T$2,FECHA_BOV1,"&lt;="&amp;T$3,CLAVE_BOV1,$A326)+SUMIFS(SALIDAS_BOV2,FECHA_BOV2,"&gt;="&amp;T$2,FECHA_BOV2,"&lt;="&amp;T$3,CLAVE_BOV2,$A326)+SUMIFS(SALIDAS_BOV3,FECHA_BOV3,"&gt;="&amp;T$2,FECHA_BOV3,"&lt;="&amp;T$3,CLAVE_BOV3,$A326)+SUMIFS(SALIDAS_TC,FECHA_TC,"&gt;="&amp;T$2,FECHA_TC,"&lt;="&amp;T$3,CLAVE_TC,$A326)+SUMIFS(SALIDAS_COMB,FECHA_COMB,"&gt;="&amp;T$2,FECHA_COMB,"&lt;="&amp;T$3,CLAVE_COMB,$A326)+SUMIFS(SALIDAS_DES,FECHA_DESGLOSEN,"&gt;="&amp;T$2,FECHA_DESGLOSEN,"&lt;="&amp;T$3,CLAVE_DESGLOSE,$A326)</f>
        <v>0</v>
      </c>
      <c r="U326" s="227">
        <f>N326-T326</f>
        <v>0</v>
      </c>
      <c r="V326" s="301">
        <f>IFERROR((T326/N326),0)</f>
        <v>0</v>
      </c>
      <c r="W326" s="162">
        <f>VLOOKUP($A326,T_PRESUPUESTO,MATCH(W$6,E_PRESUPUESTO,0),FALSE)</f>
        <v>0</v>
      </c>
      <c r="X326" s="162">
        <f>SUMIFS(SALIDAS_BIT,FECHA_BIT,"&gt;="&amp;X$2,FECHA_BIT,"&lt;="&amp;X$3,CLAVE_BIT,$A326)+SUMIFS(SALIDAS_BOV1,FECHA_BOV1,"&gt;="&amp;X$2,FECHA_BOV1,"&lt;="&amp;X$3,CLAVE_BOV1,$A326)+SUMIFS(SALIDAS_BOV2,FECHA_BOV2,"&gt;="&amp;X$2,FECHA_BOV2,"&lt;="&amp;X$3,CLAVE_BOV2,$A326)+SUMIFS(SALIDAS_BOV3,FECHA_BOV3,"&gt;="&amp;X$2,FECHA_BOV3,"&lt;="&amp;X$3,CLAVE_BOV3,$A326)+SUMIFS(SALIDAS_TC,FECHA_TC,"&gt;="&amp;X$2,FECHA_TC,"&lt;="&amp;X$3,CLAVE_TC,$A326)+SUMIFS(SALIDAS_COMB,FECHA_COMB,"&gt;="&amp;X$2,FECHA_COMB,"&lt;="&amp;X$3,CLAVE_COMB,$A326)+SUMIFS(SALIDAS_DES,FECHA_DESGLOSEN,"&gt;="&amp;X$2,FECHA_DESGLOSEN,"&lt;="&amp;X$3,CLAVE_DESGLOSE,$A326)</f>
        <v>0</v>
      </c>
      <c r="Y326" s="162">
        <f>SUMIFS(SALIDAS_BIT,FECHA_BIT,"&gt;="&amp;Y$2,FECHA_BIT,"&lt;="&amp;Y$3,CLAVE_BIT,$A326)+SUMIFS(SALIDAS_BOV1,FECHA_BOV1,"&gt;="&amp;Y$2,FECHA_BOV1,"&lt;="&amp;Y$3,CLAVE_BOV1,$A326)+SUMIFS(SALIDAS_BOV2,FECHA_BOV2,"&gt;="&amp;Y$2,FECHA_BOV2,"&lt;="&amp;Y$3,CLAVE_BOV2,$A326)+SUMIFS(SALIDAS_BOV3,FECHA_BOV3,"&gt;="&amp;Y$2,FECHA_BOV3,"&lt;="&amp;Y$3,CLAVE_BOV3,$A326)+SUMIFS(SALIDAS_TC,FECHA_TC,"&gt;="&amp;Y$2,FECHA_TC,"&lt;="&amp;Y$3,CLAVE_TC,$A326)+SUMIFS(SALIDAS_COMB,FECHA_COMB,"&gt;="&amp;Y$2,FECHA_COMB,"&lt;="&amp;Y$3,CLAVE_COMB,$A326)+SUMIFS(SALIDAS_DES,FECHA_DESGLOSEN,"&gt;="&amp;Y$2,FECHA_DESGLOSEN,"&lt;="&amp;Y$3,CLAVE_DESGLOSE,$A326)</f>
        <v>0</v>
      </c>
      <c r="Z326" s="162">
        <f>SUMIFS(SALIDAS_BIT,FECHA_BIT,"&gt;="&amp;Z$2,FECHA_BIT,"&lt;="&amp;Z$3,CLAVE_BIT,$A326)+SUMIFS(SALIDAS_BOV1,FECHA_BOV1,"&gt;="&amp;Z$2,FECHA_BOV1,"&lt;="&amp;Z$3,CLAVE_BOV1,$A326)+SUMIFS(SALIDAS_BOV2,FECHA_BOV2,"&gt;="&amp;Z$2,FECHA_BOV2,"&lt;="&amp;Z$3,CLAVE_BOV2,$A326)+SUMIFS(SALIDAS_BOV3,FECHA_BOV3,"&gt;="&amp;Z$2,FECHA_BOV3,"&lt;="&amp;Z$3,CLAVE_BOV3,$A326)+SUMIFS(SALIDAS_TC,FECHA_TC,"&gt;="&amp;Z$2,FECHA_TC,"&lt;="&amp;Z$3,CLAVE_TC,$A326)+SUMIFS(SALIDAS_COMB,FECHA_COMB,"&gt;="&amp;Z$2,FECHA_COMB,"&lt;="&amp;Z$3,CLAVE_COMB,$A326)+SUMIFS(SALIDAS_DES,FECHA_DESGLOSEN,"&gt;="&amp;Z$2,FECHA_DESGLOSEN,"&lt;="&amp;Z$3,CLAVE_DESGLOSE,$A326)</f>
        <v>0</v>
      </c>
      <c r="AA326" s="162">
        <f>SUMIFS(SALIDAS_BIT,FECHA_BIT,"&gt;="&amp;AA$2,FECHA_BIT,"&lt;="&amp;AA$3,CLAVE_BIT,$A326)+SUMIFS(SALIDAS_BOV1,FECHA_BOV1,"&gt;="&amp;AA$2,FECHA_BOV1,"&lt;="&amp;AA$3,CLAVE_BOV1,$A326)+SUMIFS(SALIDAS_BOV2,FECHA_BOV2,"&gt;="&amp;AA$2,FECHA_BOV2,"&lt;="&amp;AA$3,CLAVE_BOV2,$A326)+SUMIFS(SALIDAS_BOV3,FECHA_BOV3,"&gt;="&amp;AA$2,FECHA_BOV3,"&lt;="&amp;AA$3,CLAVE_BOV3,$A326)+SUMIFS(SALIDAS_TC,FECHA_TC,"&gt;="&amp;AA$2,FECHA_TC,"&lt;="&amp;AA$3,CLAVE_TC,$A326)+SUMIFS(SALIDAS_COMB,FECHA_COMB,"&gt;="&amp;AA$2,FECHA_COMB,"&lt;="&amp;AA$3,CLAVE_COMB,$A326)+SUMIFS(SALIDAS_DES,FECHA_DESGLOSEN,"&gt;="&amp;AA$2,FECHA_DESGLOSEN,"&lt;="&amp;AA$3,CLAVE_DESGLOSE,$A326)</f>
        <v>0</v>
      </c>
      <c r="AB326" s="162">
        <f>SUMIFS(SALIDAS_BIT,FECHA_BIT,"&gt;="&amp;AB$2,FECHA_BIT,"&lt;="&amp;AB$3,CLAVE_BIT,$A326)+SUMIFS(SALIDAS_BOV1,FECHA_BOV1,"&gt;="&amp;AB$2,FECHA_BOV1,"&lt;="&amp;AB$3,CLAVE_BOV1,$A326)+SUMIFS(SALIDAS_BOV2,FECHA_BOV2,"&gt;="&amp;AB$2,FECHA_BOV2,"&lt;="&amp;AB$3,CLAVE_BOV2,$A326)+SUMIFS(SALIDAS_BOV3,FECHA_BOV3,"&gt;="&amp;AB$2,FECHA_BOV3,"&lt;="&amp;AB$3,CLAVE_BOV3,$A326)+SUMIFS(SALIDAS_TC,FECHA_TC,"&gt;="&amp;AB$2,FECHA_TC,"&lt;="&amp;AB$3,CLAVE_TC,$A326)+SUMIFS(SALIDAS_COMB,FECHA_COMB,"&gt;="&amp;AB$2,FECHA_COMB,"&lt;="&amp;AB$3,CLAVE_COMB,$A326)+SUMIFS(SALIDAS_DES,FECHA_DESGLOSEN,"&gt;="&amp;AB$2,FECHA_DESGLOSEN,"&lt;="&amp;AB$3,CLAVE_DESGLOSE,$A326)</f>
        <v>0</v>
      </c>
      <c r="AC326" s="227">
        <f>W326-AB326</f>
        <v>0</v>
      </c>
      <c r="AD326" s="301">
        <f>IFERROR((AB326/W326),0)</f>
        <v>0</v>
      </c>
      <c r="AE326" s="162">
        <f>VLOOKUP($A326,T_PRESUPUESTO,MATCH(AE$6,E_PRESUPUESTO,0),FALSE)</f>
        <v>0</v>
      </c>
      <c r="AF326" s="162">
        <f>SUMIFS(SALIDAS_BIT,FECHA_BIT,"&gt;="&amp;AF$2,FECHA_BIT,"&lt;="&amp;AF$3,CLAVE_BIT,$A326)+SUMIFS(SALIDAS_BOV1,FECHA_BOV1,"&gt;="&amp;AF$2,FECHA_BOV1,"&lt;="&amp;AF$3,CLAVE_BOV1,$A326)+SUMIFS(SALIDAS_BOV2,FECHA_BOV2,"&gt;="&amp;AF$2,FECHA_BOV2,"&lt;="&amp;AF$3,CLAVE_BOV2,$A326)+SUMIFS(SALIDAS_BOV3,FECHA_BOV3,"&gt;="&amp;AF$2,FECHA_BOV3,"&lt;="&amp;AF$3,CLAVE_BOV3,$A326)+SUMIFS(SALIDAS_TC,FECHA_TC,"&gt;="&amp;AF$2,FECHA_TC,"&lt;="&amp;AF$3,CLAVE_TC,$A326)+SUMIFS(SALIDAS_COMB,FECHA_COMB,"&gt;="&amp;AF$2,FECHA_COMB,"&lt;="&amp;AF$3,CLAVE_COMB,$A326)+SUMIFS(SALIDAS_DES,FECHA_DESGLOSEN,"&gt;="&amp;AF$2,FECHA_DESGLOSEN,"&lt;="&amp;AF$3,CLAVE_DESGLOSE,$A326)</f>
        <v>0</v>
      </c>
      <c r="AG326" s="162">
        <f>SUMIFS(SALIDAS_BIT,FECHA_BIT,"&gt;="&amp;AG$2,FECHA_BIT,"&lt;="&amp;AG$3,CLAVE_BIT,$A326)+SUMIFS(SALIDAS_BOV1,FECHA_BOV1,"&gt;="&amp;AG$2,FECHA_BOV1,"&lt;="&amp;AG$3,CLAVE_BOV1,$A326)+SUMIFS(SALIDAS_BOV2,FECHA_BOV2,"&gt;="&amp;AG$2,FECHA_BOV2,"&lt;="&amp;AG$3,CLAVE_BOV2,$A326)+SUMIFS(SALIDAS_BOV3,FECHA_BOV3,"&gt;="&amp;AG$2,FECHA_BOV3,"&lt;="&amp;AG$3,CLAVE_BOV3,$A326)+SUMIFS(SALIDAS_TC,FECHA_TC,"&gt;="&amp;AG$2,FECHA_TC,"&lt;="&amp;AG$3,CLAVE_TC,$A326)+SUMIFS(SALIDAS_COMB,FECHA_COMB,"&gt;="&amp;AG$2,FECHA_COMB,"&lt;="&amp;AG$3,CLAVE_COMB,$A326)+SUMIFS(SALIDAS_DES,FECHA_DESGLOSEN,"&gt;="&amp;AG$2,FECHA_DESGLOSEN,"&lt;="&amp;AG$3,CLAVE_DESGLOSE,$A326)</f>
        <v>0</v>
      </c>
      <c r="AH326" s="162">
        <f>SUMIFS(SALIDAS_BIT,FECHA_BIT,"&gt;="&amp;AH$2,FECHA_BIT,"&lt;="&amp;AH$3,CLAVE_BIT,$A326)+SUMIFS(SALIDAS_BOV1,FECHA_BOV1,"&gt;="&amp;AH$2,FECHA_BOV1,"&lt;="&amp;AH$3,CLAVE_BOV1,$A326)+SUMIFS(SALIDAS_BOV2,FECHA_BOV2,"&gt;="&amp;AH$2,FECHA_BOV2,"&lt;="&amp;AH$3,CLAVE_BOV2,$A326)+SUMIFS(SALIDAS_BOV3,FECHA_BOV3,"&gt;="&amp;AH$2,FECHA_BOV3,"&lt;="&amp;AH$3,CLAVE_BOV3,$A326)+SUMIFS(SALIDAS_TC,FECHA_TC,"&gt;="&amp;AH$2,FECHA_TC,"&lt;="&amp;AH$3,CLAVE_TC,$A326)+SUMIFS(SALIDAS_COMB,FECHA_COMB,"&gt;="&amp;AH$2,FECHA_COMB,"&lt;="&amp;AH$3,CLAVE_COMB,$A326)+SUMIFS(SALIDAS_DES,FECHA_DESGLOSEN,"&gt;="&amp;AH$2,FECHA_DESGLOSEN,"&lt;="&amp;AH$3,CLAVE_DESGLOSE,$A326)</f>
        <v>0</v>
      </c>
      <c r="AI326" s="162">
        <f>SUMIFS(SALIDAS_BIT,FECHA_BIT,"&gt;="&amp;AI$2,FECHA_BIT,"&lt;="&amp;AI$3,CLAVE_BIT,$A326)+SUMIFS(SALIDAS_BOV1,FECHA_BOV1,"&gt;="&amp;AI$2,FECHA_BOV1,"&lt;="&amp;AI$3,CLAVE_BOV1,$A326)+SUMIFS(SALIDAS_BOV2,FECHA_BOV2,"&gt;="&amp;AI$2,FECHA_BOV2,"&lt;="&amp;AI$3,CLAVE_BOV2,$A326)+SUMIFS(SALIDAS_BOV3,FECHA_BOV3,"&gt;="&amp;AI$2,FECHA_BOV3,"&lt;="&amp;AI$3,CLAVE_BOV3,$A326)+SUMIFS(SALIDAS_TC,FECHA_TC,"&gt;="&amp;AI$2,FECHA_TC,"&lt;="&amp;AI$3,CLAVE_TC,$A326)+SUMIFS(SALIDAS_COMB,FECHA_COMB,"&gt;="&amp;AI$2,FECHA_COMB,"&lt;="&amp;AI$3,CLAVE_COMB,$A326)+SUMIFS(SALIDAS_DES,FECHA_DESGLOSEN,"&gt;="&amp;AI$2,FECHA_DESGLOSEN,"&lt;="&amp;AI$3,CLAVE_DESGLOSE,$A326)</f>
        <v>0</v>
      </c>
      <c r="AJ326" s="162">
        <f>SUMIFS(SALIDAS_BIT,FECHA_BIT,"&gt;="&amp;AJ$2,FECHA_BIT,"&lt;="&amp;AJ$3,CLAVE_BIT,$A326)+SUMIFS(SALIDAS_BOV1,FECHA_BOV1,"&gt;="&amp;AJ$2,FECHA_BOV1,"&lt;="&amp;AJ$3,CLAVE_BOV1,$A326)+SUMIFS(SALIDAS_BOV2,FECHA_BOV2,"&gt;="&amp;AJ$2,FECHA_BOV2,"&lt;="&amp;AJ$3,CLAVE_BOV2,$A326)+SUMIFS(SALIDAS_BOV3,FECHA_BOV3,"&gt;="&amp;AJ$2,FECHA_BOV3,"&lt;="&amp;AJ$3,CLAVE_BOV3,$A326)+SUMIFS(SALIDAS_TC,FECHA_TC,"&gt;="&amp;AJ$2,FECHA_TC,"&lt;="&amp;AJ$3,CLAVE_TC,$A326)+SUMIFS(SALIDAS_COMB,FECHA_COMB,"&gt;="&amp;AJ$2,FECHA_COMB,"&lt;="&amp;AJ$3,CLAVE_COMB,$A326)+SUMIFS(SALIDAS_DES,FECHA_DESGLOSEN,"&gt;="&amp;AJ$2,FECHA_DESGLOSEN,"&lt;="&amp;AJ$3,CLAVE_DESGLOSE,$A326)</f>
        <v>0</v>
      </c>
      <c r="AK326" s="227">
        <f>AE326-AJ326</f>
        <v>0</v>
      </c>
      <c r="AL326" s="301">
        <f>IFERROR((AJ326/AE326),0)</f>
        <v>0</v>
      </c>
      <c r="AM326" s="162">
        <f>VLOOKUP($A326,T_PRESUPUESTO,MATCH(AM$6,E_PRESUPUESTO,0),FALSE)</f>
        <v>0</v>
      </c>
      <c r="AN326" s="162">
        <f>SUMIFS(SALIDAS_BIT,FECHA_BIT,"&gt;="&amp;AN$2,FECHA_BIT,"&lt;="&amp;AN$3,CLAVE_BIT,$A326)+SUMIFS(SALIDAS_BOV1,FECHA_BOV1,"&gt;="&amp;AN$2,FECHA_BOV1,"&lt;="&amp;AN$3,CLAVE_BOV1,$A326)+SUMIFS(SALIDAS_BOV2,FECHA_BOV2,"&gt;="&amp;AN$2,FECHA_BOV2,"&lt;="&amp;AN$3,CLAVE_BOV2,$A326)+SUMIFS(SALIDAS_BOV3,FECHA_BOV3,"&gt;="&amp;AN$2,FECHA_BOV3,"&lt;="&amp;AN$3,CLAVE_BOV3,$A326)+SUMIFS(SALIDAS_TC,FECHA_TC,"&gt;="&amp;AN$2,FECHA_TC,"&lt;="&amp;AN$3,CLAVE_TC,$A326)+SUMIFS(SALIDAS_COMB,FECHA_COMB,"&gt;="&amp;AN$2,FECHA_COMB,"&lt;="&amp;AN$3,CLAVE_COMB,$A326)+SUMIFS(SALIDAS_DES,FECHA_DESGLOSEN,"&gt;="&amp;AN$2,FECHA_DESGLOSEN,"&lt;="&amp;AN$3,CLAVE_DESGLOSE,$A326)</f>
        <v>0</v>
      </c>
      <c r="AO326" s="162">
        <f>SUMIFS(SALIDAS_BIT,FECHA_BIT,"&gt;="&amp;AO$2,FECHA_BIT,"&lt;="&amp;AO$3,CLAVE_BIT,$A326)+SUMIFS(SALIDAS_BOV1,FECHA_BOV1,"&gt;="&amp;AO$2,FECHA_BOV1,"&lt;="&amp;AO$3,CLAVE_BOV1,$A326)+SUMIFS(SALIDAS_BOV2,FECHA_BOV2,"&gt;="&amp;AO$2,FECHA_BOV2,"&lt;="&amp;AO$3,CLAVE_BOV2,$A326)+SUMIFS(SALIDAS_BOV3,FECHA_BOV3,"&gt;="&amp;AO$2,FECHA_BOV3,"&lt;="&amp;AO$3,CLAVE_BOV3,$A326)+SUMIFS(SALIDAS_TC,FECHA_TC,"&gt;="&amp;AO$2,FECHA_TC,"&lt;="&amp;AO$3,CLAVE_TC,$A326)+SUMIFS(SALIDAS_COMB,FECHA_COMB,"&gt;="&amp;AO$2,FECHA_COMB,"&lt;="&amp;AO$3,CLAVE_COMB,$A326)+SUMIFS(SALIDAS_DES,FECHA_DESGLOSEN,"&gt;="&amp;AO$2,FECHA_DESGLOSEN,"&lt;="&amp;AO$3,CLAVE_DESGLOSE,$A326)</f>
        <v>0</v>
      </c>
      <c r="AP326" s="162">
        <f>SUMIFS(SALIDAS_BIT,FECHA_BIT,"&gt;="&amp;AP$2,FECHA_BIT,"&lt;="&amp;AP$3,CLAVE_BIT,$A326)+SUMIFS(SALIDAS_BOV1,FECHA_BOV1,"&gt;="&amp;AP$2,FECHA_BOV1,"&lt;="&amp;AP$3,CLAVE_BOV1,$A326)+SUMIFS(SALIDAS_BOV2,FECHA_BOV2,"&gt;="&amp;AP$2,FECHA_BOV2,"&lt;="&amp;AP$3,CLAVE_BOV2,$A326)+SUMIFS(SALIDAS_BOV3,FECHA_BOV3,"&gt;="&amp;AP$2,FECHA_BOV3,"&lt;="&amp;AP$3,CLAVE_BOV3,$A326)+SUMIFS(SALIDAS_TC,FECHA_TC,"&gt;="&amp;AP$2,FECHA_TC,"&lt;="&amp;AP$3,CLAVE_TC,$A326)+SUMIFS(SALIDAS_COMB,FECHA_COMB,"&gt;="&amp;AP$2,FECHA_COMB,"&lt;="&amp;AP$3,CLAVE_COMB,$A326)+SUMIFS(SALIDAS_DES,FECHA_DESGLOSEN,"&gt;="&amp;AP$2,FECHA_DESGLOSEN,"&lt;="&amp;AP$3,CLAVE_DESGLOSE,$A326)</f>
        <v>0</v>
      </c>
      <c r="AQ326" s="162">
        <f>SUMIFS(SALIDAS_BIT,FECHA_BIT,"&gt;="&amp;AQ$2,FECHA_BIT,"&lt;="&amp;AQ$3,CLAVE_BIT,$A326)+SUMIFS(SALIDAS_BOV1,FECHA_BOV1,"&gt;="&amp;AQ$2,FECHA_BOV1,"&lt;="&amp;AQ$3,CLAVE_BOV1,$A326)+SUMIFS(SALIDAS_BOV2,FECHA_BOV2,"&gt;="&amp;AQ$2,FECHA_BOV2,"&lt;="&amp;AQ$3,CLAVE_BOV2,$A326)+SUMIFS(SALIDAS_BOV3,FECHA_BOV3,"&gt;="&amp;AQ$2,FECHA_BOV3,"&lt;="&amp;AQ$3,CLAVE_BOV3,$A326)+SUMIFS(SALIDAS_TC,FECHA_TC,"&gt;="&amp;AQ$2,FECHA_TC,"&lt;="&amp;AQ$3,CLAVE_TC,$A326)+SUMIFS(SALIDAS_COMB,FECHA_COMB,"&gt;="&amp;AQ$2,FECHA_COMB,"&lt;="&amp;AQ$3,CLAVE_COMB,$A326)+SUMIFS(SALIDAS_DES,FECHA_DESGLOSEN,"&gt;="&amp;AQ$2,FECHA_DESGLOSEN,"&lt;="&amp;AQ$3,CLAVE_DESGLOSE,$A326)</f>
        <v>0</v>
      </c>
      <c r="AR326" s="162">
        <f>SUMIFS(SALIDAS_BIT,FECHA_BIT,"&gt;="&amp;AR$2,FECHA_BIT,"&lt;="&amp;AR$3,CLAVE_BIT,$A326)+SUMIFS(SALIDAS_BOV1,FECHA_BOV1,"&gt;="&amp;AR$2,FECHA_BOV1,"&lt;="&amp;AR$3,CLAVE_BOV1,$A326)+SUMIFS(SALIDAS_BOV2,FECHA_BOV2,"&gt;="&amp;AR$2,FECHA_BOV2,"&lt;="&amp;AR$3,CLAVE_BOV2,$A326)+SUMIFS(SALIDAS_BOV3,FECHA_BOV3,"&gt;="&amp;AR$2,FECHA_BOV3,"&lt;="&amp;AR$3,CLAVE_BOV3,$A326)+SUMIFS(SALIDAS_TC,FECHA_TC,"&gt;="&amp;AR$2,FECHA_TC,"&lt;="&amp;AR$3,CLAVE_TC,$A326)+SUMIFS(SALIDAS_COMB,FECHA_COMB,"&gt;="&amp;AR$2,FECHA_COMB,"&lt;="&amp;AR$3,CLAVE_COMB,$A326)+SUMIFS(SALIDAS_DES,FECHA_DESGLOSEN,"&gt;="&amp;AR$2,FECHA_DESGLOSEN,"&lt;="&amp;AR$3,CLAVE_DESGLOSE,$A326)</f>
        <v>0</v>
      </c>
      <c r="AS326" s="162">
        <f>SUMIFS(SALIDAS_BIT,FECHA_BIT,"&gt;="&amp;AS$2,FECHA_BIT,"&lt;="&amp;AS$3,CLAVE_BIT,$A326)+SUMIFS(SALIDAS_BOV1,FECHA_BOV1,"&gt;="&amp;AS$2,FECHA_BOV1,"&lt;="&amp;AS$3,CLAVE_BOV1,$A326)+SUMIFS(SALIDAS_BOV2,FECHA_BOV2,"&gt;="&amp;AS$2,FECHA_BOV2,"&lt;="&amp;AS$3,CLAVE_BOV2,$A326)+SUMIFS(SALIDAS_BOV3,FECHA_BOV3,"&gt;="&amp;AS$2,FECHA_BOV3,"&lt;="&amp;AS$3,CLAVE_BOV3,$A326)+SUMIFS(SALIDAS_TC,FECHA_TC,"&gt;="&amp;AS$2,FECHA_TC,"&lt;="&amp;AS$3,CLAVE_TC,$A326)+SUMIFS(SALIDAS_COMB,FECHA_COMB,"&gt;="&amp;AS$2,FECHA_COMB,"&lt;="&amp;AS$3,CLAVE_COMB,$A326)+SUMIFS(SALIDAS_DES,FECHA_DESGLOSEN,"&gt;="&amp;AS$2,FECHA_DESGLOSEN,"&lt;="&amp;AS$3,CLAVE_DESGLOSE,$A326)</f>
        <v>0</v>
      </c>
      <c r="AT326" s="227">
        <f>AM326-AS326</f>
        <v>0</v>
      </c>
      <c r="AU326" s="301">
        <f>IFERROR((AS326/AM326),0)</f>
        <v>0</v>
      </c>
      <c r="AV326" s="162">
        <f>VLOOKUP($A326,T_PRESUPUESTO,MATCH(AV$6,E_PRESUPUESTO,0),FALSE)</f>
        <v>0</v>
      </c>
      <c r="AW326" s="162">
        <f>SUMIFS(SALIDAS_BIT,FECHA_BIT,"&gt;="&amp;AW$2,FECHA_BIT,"&lt;="&amp;AW$3,CLAVE_BIT,$A326)+SUMIFS(SALIDAS_BOV1,FECHA_BOV1,"&gt;="&amp;AW$2,FECHA_BOV1,"&lt;="&amp;AW$3,CLAVE_BOV1,$A326)+SUMIFS(SALIDAS_BOV2,FECHA_BOV2,"&gt;="&amp;AW$2,FECHA_BOV2,"&lt;="&amp;AW$3,CLAVE_BOV2,$A326)+SUMIFS(SALIDAS_BOV3,FECHA_BOV3,"&gt;="&amp;AW$2,FECHA_BOV3,"&lt;="&amp;AW$3,CLAVE_BOV3,$A326)+SUMIFS(SALIDAS_TC,FECHA_TC,"&gt;="&amp;AW$2,FECHA_TC,"&lt;="&amp;AW$3,CLAVE_TC,$A326)+SUMIFS(SALIDAS_COMB,FECHA_COMB,"&gt;="&amp;AW$2,FECHA_COMB,"&lt;="&amp;AW$3,CLAVE_COMB,$A326)+SUMIFS(SALIDAS_DES,FECHA_DESGLOSEN,"&gt;="&amp;AW$2,FECHA_DESGLOSEN,"&lt;="&amp;AW$3,CLAVE_DESGLOSE,$A326)</f>
        <v>0</v>
      </c>
      <c r="AX326" s="162">
        <f>SUMIFS(SALIDAS_BIT,FECHA_BIT,"&gt;="&amp;AX$2,FECHA_BIT,"&lt;="&amp;AX$3,CLAVE_BIT,$A326)+SUMIFS(SALIDAS_BOV1,FECHA_BOV1,"&gt;="&amp;AX$2,FECHA_BOV1,"&lt;="&amp;AX$3,CLAVE_BOV1,$A326)+SUMIFS(SALIDAS_BOV2,FECHA_BOV2,"&gt;="&amp;AX$2,FECHA_BOV2,"&lt;="&amp;AX$3,CLAVE_BOV2,$A326)+SUMIFS(SALIDAS_BOV3,FECHA_BOV3,"&gt;="&amp;AX$2,FECHA_BOV3,"&lt;="&amp;AX$3,CLAVE_BOV3,$A326)+SUMIFS(SALIDAS_TC,FECHA_TC,"&gt;="&amp;AX$2,FECHA_TC,"&lt;="&amp;AX$3,CLAVE_TC,$A326)+SUMIFS(SALIDAS_COMB,FECHA_COMB,"&gt;="&amp;AX$2,FECHA_COMB,"&lt;="&amp;AX$3,CLAVE_COMB,$A326)+SUMIFS(SALIDAS_DES,FECHA_DESGLOSEN,"&gt;="&amp;AX$2,FECHA_DESGLOSEN,"&lt;="&amp;AX$3,CLAVE_DESGLOSE,$A326)</f>
        <v>0</v>
      </c>
      <c r="AY326" s="162">
        <f>SUMIFS(SALIDAS_BIT,FECHA_BIT,"&gt;="&amp;AY$2,FECHA_BIT,"&lt;="&amp;AY$3,CLAVE_BIT,$A326)+SUMIFS(SALIDAS_BOV1,FECHA_BOV1,"&gt;="&amp;AY$2,FECHA_BOV1,"&lt;="&amp;AY$3,CLAVE_BOV1,$A326)+SUMIFS(SALIDAS_BOV2,FECHA_BOV2,"&gt;="&amp;AY$2,FECHA_BOV2,"&lt;="&amp;AY$3,CLAVE_BOV2,$A326)+SUMIFS(SALIDAS_BOV3,FECHA_BOV3,"&gt;="&amp;AY$2,FECHA_BOV3,"&lt;="&amp;AY$3,CLAVE_BOV3,$A326)+SUMIFS(SALIDAS_TC,FECHA_TC,"&gt;="&amp;AY$2,FECHA_TC,"&lt;="&amp;AY$3,CLAVE_TC,$A326)+SUMIFS(SALIDAS_COMB,FECHA_COMB,"&gt;="&amp;AY$2,FECHA_COMB,"&lt;="&amp;AY$3,CLAVE_COMB,$A326)+SUMIFS(SALIDAS_DES,FECHA_DESGLOSEN,"&gt;="&amp;AY$2,FECHA_DESGLOSEN,"&lt;="&amp;AY$3,CLAVE_DESGLOSE,$A326)</f>
        <v>0</v>
      </c>
      <c r="AZ326" s="162">
        <f>SUMIFS(SALIDAS_BIT,FECHA_BIT,"&gt;="&amp;AZ$2,FECHA_BIT,"&lt;="&amp;AZ$3,CLAVE_BIT,$A326)+SUMIFS(SALIDAS_BOV1,FECHA_BOV1,"&gt;="&amp;AZ$2,FECHA_BOV1,"&lt;="&amp;AZ$3,CLAVE_BOV1,$A326)+SUMIFS(SALIDAS_BOV2,FECHA_BOV2,"&gt;="&amp;AZ$2,FECHA_BOV2,"&lt;="&amp;AZ$3,CLAVE_BOV2,$A326)+SUMIFS(SALIDAS_BOV3,FECHA_BOV3,"&gt;="&amp;AZ$2,FECHA_BOV3,"&lt;="&amp;AZ$3,CLAVE_BOV3,$A326)+SUMIFS(SALIDAS_TC,FECHA_TC,"&gt;="&amp;AZ$2,FECHA_TC,"&lt;="&amp;AZ$3,CLAVE_TC,$A326)+SUMIFS(SALIDAS_COMB,FECHA_COMB,"&gt;="&amp;AZ$2,FECHA_COMB,"&lt;="&amp;AZ$3,CLAVE_COMB,$A326)+SUMIFS(SALIDAS_DES,FECHA_DESGLOSEN,"&gt;="&amp;AZ$2,FECHA_DESGLOSEN,"&lt;="&amp;AZ$3,CLAVE_DESGLOSE,$A326)</f>
        <v>0</v>
      </c>
      <c r="BA326" s="162">
        <f>SUMIFS(SALIDAS_BIT,FECHA_BIT,"&gt;="&amp;BA$2,FECHA_BIT,"&lt;="&amp;BA$3,CLAVE_BIT,$A326)+SUMIFS(SALIDAS_BOV1,FECHA_BOV1,"&gt;="&amp;BA$2,FECHA_BOV1,"&lt;="&amp;BA$3,CLAVE_BOV1,$A326)+SUMIFS(SALIDAS_BOV2,FECHA_BOV2,"&gt;="&amp;BA$2,FECHA_BOV2,"&lt;="&amp;BA$3,CLAVE_BOV2,$A326)+SUMIFS(SALIDAS_BOV3,FECHA_BOV3,"&gt;="&amp;BA$2,FECHA_BOV3,"&lt;="&amp;BA$3,CLAVE_BOV3,$A326)+SUMIFS(SALIDAS_TC,FECHA_TC,"&gt;="&amp;BA$2,FECHA_TC,"&lt;="&amp;BA$3,CLAVE_TC,$A326)+SUMIFS(SALIDAS_COMB,FECHA_COMB,"&gt;="&amp;BA$2,FECHA_COMB,"&lt;="&amp;BA$3,CLAVE_COMB,$A326)+SUMIFS(SALIDAS_DES,FECHA_DESGLOSEN,"&gt;="&amp;BA$2,FECHA_DESGLOSEN,"&lt;="&amp;BA$3,CLAVE_DESGLOSE,$A326)</f>
        <v>0</v>
      </c>
      <c r="BB326" s="227">
        <f>AV326-BA326</f>
        <v>0</v>
      </c>
      <c r="BC326" s="301">
        <f>IFERROR((BA326/AV326),0)</f>
        <v>0</v>
      </c>
      <c r="BD326" s="162">
        <f>VLOOKUP($A326,T_PRESUPUESTO,MATCH(BD$6,E_PRESUPUESTO,0),FALSE)</f>
        <v>0</v>
      </c>
      <c r="BE326" s="162">
        <f>SUMIFS(SALIDAS_BIT,FECHA_BIT,"&gt;="&amp;BE$2,FECHA_BIT,"&lt;="&amp;BE$3,CLAVE_BIT,$A326)+SUMIFS(SALIDAS_BOV1,FECHA_BOV1,"&gt;="&amp;BE$2,FECHA_BOV1,"&lt;="&amp;BE$3,CLAVE_BOV1,$A326)+SUMIFS(SALIDAS_BOV2,FECHA_BOV2,"&gt;="&amp;BE$2,FECHA_BOV2,"&lt;="&amp;BE$3,CLAVE_BOV2,$A326)+SUMIFS(SALIDAS_BOV3,FECHA_BOV3,"&gt;="&amp;BE$2,FECHA_BOV3,"&lt;="&amp;BE$3,CLAVE_BOV3,$A326)+SUMIFS(SALIDAS_TC,FECHA_TC,"&gt;="&amp;BE$2,FECHA_TC,"&lt;="&amp;BE$3,CLAVE_TC,$A326)+SUMIFS(SALIDAS_COMB,FECHA_COMB,"&gt;="&amp;BE$2,FECHA_COMB,"&lt;="&amp;BE$3,CLAVE_COMB,$A326)+SUMIFS(SALIDAS_DES,FECHA_DESGLOSEN,"&gt;="&amp;BE$2,FECHA_DESGLOSEN,"&lt;="&amp;BE$3,CLAVE_DESGLOSE,$A326)</f>
        <v>0</v>
      </c>
      <c r="BF326" s="162">
        <f>SUMIFS(SALIDAS_BIT,FECHA_BIT,"&gt;="&amp;BF$2,FECHA_BIT,"&lt;="&amp;BF$3,CLAVE_BIT,$A326)+SUMIFS(SALIDAS_BOV1,FECHA_BOV1,"&gt;="&amp;BF$2,FECHA_BOV1,"&lt;="&amp;BF$3,CLAVE_BOV1,$A326)+SUMIFS(SALIDAS_BOV2,FECHA_BOV2,"&gt;="&amp;BF$2,FECHA_BOV2,"&lt;="&amp;BF$3,CLAVE_BOV2,$A326)+SUMIFS(SALIDAS_BOV3,FECHA_BOV3,"&gt;="&amp;BF$2,FECHA_BOV3,"&lt;="&amp;BF$3,CLAVE_BOV3,$A326)+SUMIFS(SALIDAS_TC,FECHA_TC,"&gt;="&amp;BF$2,FECHA_TC,"&lt;="&amp;BF$3,CLAVE_TC,$A326)+SUMIFS(SALIDAS_COMB,FECHA_COMB,"&gt;="&amp;BF$2,FECHA_COMB,"&lt;="&amp;BF$3,CLAVE_COMB,$A326)+SUMIFS(SALIDAS_DES,FECHA_DESGLOSEN,"&gt;="&amp;BF$2,FECHA_DESGLOSEN,"&lt;="&amp;BF$3,CLAVE_DESGLOSE,$A326)</f>
        <v>0</v>
      </c>
      <c r="BG326" s="162">
        <f>SUMIFS(SALIDAS_BIT,FECHA_BIT,"&gt;="&amp;BG$2,FECHA_BIT,"&lt;="&amp;BG$3,CLAVE_BIT,$A326)+SUMIFS(SALIDAS_BOV1,FECHA_BOV1,"&gt;="&amp;BG$2,FECHA_BOV1,"&lt;="&amp;BG$3,CLAVE_BOV1,$A326)+SUMIFS(SALIDAS_BOV2,FECHA_BOV2,"&gt;="&amp;BG$2,FECHA_BOV2,"&lt;="&amp;BG$3,CLAVE_BOV2,$A326)+SUMIFS(SALIDAS_BOV3,FECHA_BOV3,"&gt;="&amp;BG$2,FECHA_BOV3,"&lt;="&amp;BG$3,CLAVE_BOV3,$A326)+SUMIFS(SALIDAS_TC,FECHA_TC,"&gt;="&amp;BG$2,FECHA_TC,"&lt;="&amp;BG$3,CLAVE_TC,$A326)+SUMIFS(SALIDAS_COMB,FECHA_COMB,"&gt;="&amp;BG$2,FECHA_COMB,"&lt;="&amp;BG$3,CLAVE_COMB,$A326)+SUMIFS(SALIDAS_DES,FECHA_DESGLOSEN,"&gt;="&amp;BG$2,FECHA_DESGLOSEN,"&lt;="&amp;BG$3,CLAVE_DESGLOSE,$A326)</f>
        <v>0</v>
      </c>
      <c r="BH326" s="162">
        <f>SUMIFS(SALIDAS_BIT,FECHA_BIT,"&gt;="&amp;BH$2,FECHA_BIT,"&lt;="&amp;BH$3,CLAVE_BIT,$A326)+SUMIFS(SALIDAS_BOV1,FECHA_BOV1,"&gt;="&amp;BH$2,FECHA_BOV1,"&lt;="&amp;BH$3,CLAVE_BOV1,$A326)+SUMIFS(SALIDAS_BOV2,FECHA_BOV2,"&gt;="&amp;BH$2,FECHA_BOV2,"&lt;="&amp;BH$3,CLAVE_BOV2,$A326)+SUMIFS(SALIDAS_BOV3,FECHA_BOV3,"&gt;="&amp;BH$2,FECHA_BOV3,"&lt;="&amp;BH$3,CLAVE_BOV3,$A326)+SUMIFS(SALIDAS_TC,FECHA_TC,"&gt;="&amp;BH$2,FECHA_TC,"&lt;="&amp;BH$3,CLAVE_TC,$A326)+SUMIFS(SALIDAS_COMB,FECHA_COMB,"&gt;="&amp;BH$2,FECHA_COMB,"&lt;="&amp;BH$3,CLAVE_COMB,$A326)+SUMIFS(SALIDAS_DES,FECHA_DESGLOSEN,"&gt;="&amp;BH$2,FECHA_DESGLOSEN,"&lt;="&amp;BH$3,CLAVE_DESGLOSE,$A326)</f>
        <v>1500</v>
      </c>
      <c r="BI326" s="162">
        <f>SUMIFS(SALIDAS_BIT,FECHA_BIT,"&gt;="&amp;BI$2,FECHA_BIT,"&lt;="&amp;BI$3,CLAVE_BIT,$A326)+SUMIFS(SALIDAS_BOV1,FECHA_BOV1,"&gt;="&amp;BI$2,FECHA_BOV1,"&lt;="&amp;BI$3,CLAVE_BOV1,$A326)+SUMIFS(SALIDAS_BOV2,FECHA_BOV2,"&gt;="&amp;BI$2,FECHA_BOV2,"&lt;="&amp;BI$3,CLAVE_BOV2,$A326)+SUMIFS(SALIDAS_BOV3,FECHA_BOV3,"&gt;="&amp;BI$2,FECHA_BOV3,"&lt;="&amp;BI$3,CLAVE_BOV3,$A326)+SUMIFS(SALIDAS_TC,FECHA_TC,"&gt;="&amp;BI$2,FECHA_TC,"&lt;="&amp;BI$3,CLAVE_TC,$A326)+SUMIFS(SALIDAS_COMB,FECHA_COMB,"&gt;="&amp;BI$2,FECHA_COMB,"&lt;="&amp;BI$3,CLAVE_COMB,$A326)+SUMIFS(SALIDAS_DES,FECHA_DESGLOSEN,"&gt;="&amp;BI$2,FECHA_DESGLOSEN,"&lt;="&amp;BI$3,CLAVE_DESGLOSE,$A326)</f>
        <v>1500</v>
      </c>
      <c r="BJ326" s="227">
        <f>BD326-BI326</f>
        <v>-1500</v>
      </c>
      <c r="BK326" s="301">
        <f>IFERROR((BI326/BD326),0)</f>
        <v>0</v>
      </c>
      <c r="BL326" s="162">
        <f>VLOOKUP($A326,T_PRESUPUESTO,MATCH(BL$6,E_PRESUPUESTO,0),FALSE)</f>
        <v>20000</v>
      </c>
      <c r="BM326" s="162">
        <f>SUMIFS(SALIDAS_BIT,FECHA_BIT,"&gt;="&amp;BM$2,FECHA_BIT,"&lt;="&amp;BM$3,CLAVE_BIT,$A326)+SUMIFS(SALIDAS_BOV1,FECHA_BOV1,"&gt;="&amp;BM$2,FECHA_BOV1,"&lt;="&amp;BM$3,CLAVE_BOV1,$A326)+SUMIFS(SALIDAS_BOV2,FECHA_BOV2,"&gt;="&amp;BM$2,FECHA_BOV2,"&lt;="&amp;BM$3,CLAVE_BOV2,$A326)+SUMIFS(SALIDAS_BOV3,FECHA_BOV3,"&gt;="&amp;BM$2,FECHA_BOV3,"&lt;="&amp;BM$3,CLAVE_BOV3,$A326)+SUMIFS(SALIDAS_TC,FECHA_TC,"&gt;="&amp;BM$2,FECHA_TC,"&lt;="&amp;BM$3,CLAVE_TC,$A326)+SUMIFS(SALIDAS_COMB,FECHA_COMB,"&gt;="&amp;BM$2,FECHA_COMB,"&lt;="&amp;BM$3,CLAVE_COMB,$A326)+SUMIFS(SALIDAS_DES,FECHA_DESGLOSEN,"&gt;="&amp;BM$2,FECHA_DESGLOSEN,"&lt;="&amp;BM$3,CLAVE_DESGLOSE,$A326)</f>
        <v>800</v>
      </c>
      <c r="BN326" s="162">
        <f>SUMIFS(SALIDAS_BIT,FECHA_BIT,"&gt;="&amp;BN$2,FECHA_BIT,"&lt;="&amp;BN$3,CLAVE_BIT,$A326)+SUMIFS(SALIDAS_BOV1,FECHA_BOV1,"&gt;="&amp;BN$2,FECHA_BOV1,"&lt;="&amp;BN$3,CLAVE_BOV1,$A326)+SUMIFS(SALIDAS_BOV2,FECHA_BOV2,"&gt;="&amp;BN$2,FECHA_BOV2,"&lt;="&amp;BN$3,CLAVE_BOV2,$A326)+SUMIFS(SALIDAS_BOV3,FECHA_BOV3,"&gt;="&amp;BN$2,FECHA_BOV3,"&lt;="&amp;BN$3,CLAVE_BOV3,$A326)+SUMIFS(SALIDAS_TC,FECHA_TC,"&gt;="&amp;BN$2,FECHA_TC,"&lt;="&amp;BN$3,CLAVE_TC,$A326)+SUMIFS(SALIDAS_COMB,FECHA_COMB,"&gt;="&amp;BN$2,FECHA_COMB,"&lt;="&amp;BN$3,CLAVE_COMB,$A326)+SUMIFS(SALIDAS_DES,FECHA_DESGLOSEN,"&gt;="&amp;BN$2,FECHA_DESGLOSEN,"&lt;="&amp;BN$3,CLAVE_DESGLOSE,$A326)</f>
        <v>0</v>
      </c>
      <c r="BO326" s="162">
        <f>SUMIFS(SALIDAS_BIT,FECHA_BIT,"&gt;="&amp;BO$2,FECHA_BIT,"&lt;="&amp;BO$3,CLAVE_BIT,$A326)+SUMIFS(SALIDAS_BOV1,FECHA_BOV1,"&gt;="&amp;BO$2,FECHA_BOV1,"&lt;="&amp;BO$3,CLAVE_BOV1,$A326)+SUMIFS(SALIDAS_BOV2,FECHA_BOV2,"&gt;="&amp;BO$2,FECHA_BOV2,"&lt;="&amp;BO$3,CLAVE_BOV2,$A326)+SUMIFS(SALIDAS_BOV3,FECHA_BOV3,"&gt;="&amp;BO$2,FECHA_BOV3,"&lt;="&amp;BO$3,CLAVE_BOV3,$A326)+SUMIFS(SALIDAS_TC,FECHA_TC,"&gt;="&amp;BO$2,FECHA_TC,"&lt;="&amp;BO$3,CLAVE_TC,$A326)+SUMIFS(SALIDAS_COMB,FECHA_COMB,"&gt;="&amp;BO$2,FECHA_COMB,"&lt;="&amp;BO$3,CLAVE_COMB,$A326)+SUMIFS(SALIDAS_DES,FECHA_DESGLOSEN,"&gt;="&amp;BO$2,FECHA_DESGLOSEN,"&lt;="&amp;BO$3,CLAVE_DESGLOSE,$A326)</f>
        <v>750</v>
      </c>
      <c r="BP326" s="162">
        <f>SUMIFS(SALIDAS_BIT,FECHA_BIT,"&gt;="&amp;BP$2,FECHA_BIT,"&lt;="&amp;BP$3,CLAVE_BIT,$A326)+SUMIFS(SALIDAS_BOV1,FECHA_BOV1,"&gt;="&amp;BP$2,FECHA_BOV1,"&lt;="&amp;BP$3,CLAVE_BOV1,$A326)+SUMIFS(SALIDAS_BOV2,FECHA_BOV2,"&gt;="&amp;BP$2,FECHA_BOV2,"&lt;="&amp;BP$3,CLAVE_BOV2,$A326)+SUMIFS(SALIDAS_BOV3,FECHA_BOV3,"&gt;="&amp;BP$2,FECHA_BOV3,"&lt;="&amp;BP$3,CLAVE_BOV3,$A326)+SUMIFS(SALIDAS_TC,FECHA_TC,"&gt;="&amp;BP$2,FECHA_TC,"&lt;="&amp;BP$3,CLAVE_TC,$A326)+SUMIFS(SALIDAS_COMB,FECHA_COMB,"&gt;="&amp;BP$2,FECHA_COMB,"&lt;="&amp;BP$3,CLAVE_COMB,$A326)+SUMIFS(SALIDAS_DES,FECHA_DESGLOSEN,"&gt;="&amp;BP$2,FECHA_DESGLOSEN,"&lt;="&amp;BP$3,CLAVE_DESGLOSE,$A326)</f>
        <v>0</v>
      </c>
      <c r="BQ326" s="162">
        <f>SUMIFS(SALIDAS_BIT,FECHA_BIT,"&gt;="&amp;BQ$2,FECHA_BIT,"&lt;="&amp;BQ$3,CLAVE_BIT,$A326)+SUMIFS(SALIDAS_BOV1,FECHA_BOV1,"&gt;="&amp;BQ$2,FECHA_BOV1,"&lt;="&amp;BQ$3,CLAVE_BOV1,$A326)+SUMIFS(SALIDAS_BOV2,FECHA_BOV2,"&gt;="&amp;BQ$2,FECHA_BOV2,"&lt;="&amp;BQ$3,CLAVE_BOV2,$A326)+SUMIFS(SALIDAS_BOV3,FECHA_BOV3,"&gt;="&amp;BQ$2,FECHA_BOV3,"&lt;="&amp;BQ$3,CLAVE_BOV3,$A326)+SUMIFS(SALIDAS_TC,FECHA_TC,"&gt;="&amp;BQ$2,FECHA_TC,"&lt;="&amp;BQ$3,CLAVE_TC,$A326)+SUMIFS(SALIDAS_COMB,FECHA_COMB,"&gt;="&amp;BQ$2,FECHA_COMB,"&lt;="&amp;BQ$3,CLAVE_COMB,$A326)+SUMIFS(SALIDAS_DES,FECHA_DESGLOSEN,"&gt;="&amp;BQ$2,FECHA_DESGLOSEN,"&lt;="&amp;BQ$3,CLAVE_DESGLOSE,$A326)</f>
        <v>0</v>
      </c>
      <c r="BR326" s="162">
        <f>SUMIFS(SALIDAS_BIT,FECHA_BIT,"&gt;="&amp;BR$2,FECHA_BIT,"&lt;="&amp;BR$3,CLAVE_BIT,$A326)+SUMIFS(SALIDAS_BOV1,FECHA_BOV1,"&gt;="&amp;BR$2,FECHA_BOV1,"&lt;="&amp;BR$3,CLAVE_BOV1,$A326)+SUMIFS(SALIDAS_BOV2,FECHA_BOV2,"&gt;="&amp;BR$2,FECHA_BOV2,"&lt;="&amp;BR$3,CLAVE_BOV2,$A326)+SUMIFS(SALIDAS_BOV3,FECHA_BOV3,"&gt;="&amp;BR$2,FECHA_BOV3,"&lt;="&amp;BR$3,CLAVE_BOV3,$A326)+SUMIFS(SALIDAS_TC,FECHA_TC,"&gt;="&amp;BR$2,FECHA_TC,"&lt;="&amp;BR$3,CLAVE_TC,$A326)+SUMIFS(SALIDAS_COMB,FECHA_COMB,"&gt;="&amp;BR$2,FECHA_COMB,"&lt;="&amp;BR$3,CLAVE_COMB,$A326)+SUMIFS(SALIDAS_DES,FECHA_DESGLOSEN,"&gt;="&amp;BR$2,FECHA_DESGLOSEN,"&lt;="&amp;BR$3,CLAVE_DESGLOSE,$A326)</f>
        <v>1550</v>
      </c>
      <c r="BS326" s="227">
        <f>BL326-BR326</f>
        <v>18450</v>
      </c>
      <c r="BT326" s="301">
        <f>IFERROR((BR326/BL326),0)</f>
        <v>7.7499999999999999E-2</v>
      </c>
      <c r="BU326" s="162">
        <f>VLOOKUP($A326,T_PRESUPUESTO,MATCH(BU$6,E_PRESUPUESTO,0),FALSE)</f>
        <v>20000</v>
      </c>
      <c r="BV326" s="162">
        <f>SUMIFS(SALIDAS_BIT,FECHA_BIT,"&gt;="&amp;BV$2,FECHA_BIT,"&lt;="&amp;BV$3,CLAVE_BIT,$A326)+SUMIFS(SALIDAS_BOV1,FECHA_BOV1,"&gt;="&amp;BV$2,FECHA_BOV1,"&lt;="&amp;BV$3,CLAVE_BOV1,$A326)+SUMIFS(SALIDAS_BOV2,FECHA_BOV2,"&gt;="&amp;BV$2,FECHA_BOV2,"&lt;="&amp;BV$3,CLAVE_BOV2,$A326)+SUMIFS(SALIDAS_BOV3,FECHA_BOV3,"&gt;="&amp;BV$2,FECHA_BOV3,"&lt;="&amp;BV$3,CLAVE_BOV3,$A326)+SUMIFS(SALIDAS_TC,FECHA_TC,"&gt;="&amp;BV$2,FECHA_TC,"&lt;="&amp;BV$3,CLAVE_TC,$A326)+SUMIFS(SALIDAS_COMB,FECHA_COMB,"&gt;="&amp;BV$2,FECHA_COMB,"&lt;="&amp;BV$3,CLAVE_COMB,$A326)+SUMIFS(SALIDAS_DES,FECHA_DESGLOSEN,"&gt;="&amp;BV$2,FECHA_DESGLOSEN,"&lt;="&amp;BV$3,CLAVE_DESGLOSE,$A326)</f>
        <v>0</v>
      </c>
      <c r="BW326" s="162">
        <f>SUMIFS(SALIDAS_BIT,FECHA_BIT,"&gt;="&amp;BW$2,FECHA_BIT,"&lt;="&amp;BW$3,CLAVE_BIT,$A326)+SUMIFS(SALIDAS_BOV1,FECHA_BOV1,"&gt;="&amp;BW$2,FECHA_BOV1,"&lt;="&amp;BW$3,CLAVE_BOV1,$A326)+SUMIFS(SALIDAS_BOV2,FECHA_BOV2,"&gt;="&amp;BW$2,FECHA_BOV2,"&lt;="&amp;BW$3,CLAVE_BOV2,$A326)+SUMIFS(SALIDAS_BOV3,FECHA_BOV3,"&gt;="&amp;BW$2,FECHA_BOV3,"&lt;="&amp;BW$3,CLAVE_BOV3,$A326)+SUMIFS(SALIDAS_TC,FECHA_TC,"&gt;="&amp;BW$2,FECHA_TC,"&lt;="&amp;BW$3,CLAVE_TC,$A326)+SUMIFS(SALIDAS_COMB,FECHA_COMB,"&gt;="&amp;BW$2,FECHA_COMB,"&lt;="&amp;BW$3,CLAVE_COMB,$A326)+SUMIFS(SALIDAS_DES,FECHA_DESGLOSEN,"&gt;="&amp;BW$2,FECHA_DESGLOSEN,"&lt;="&amp;BW$3,CLAVE_DESGLOSE,$A326)</f>
        <v>9805</v>
      </c>
      <c r="BX326" s="162">
        <f>SUMIFS(SALIDAS_BIT,FECHA_BIT,"&gt;="&amp;BX$2,FECHA_BIT,"&lt;="&amp;BX$3,CLAVE_BIT,$A326)+SUMIFS(SALIDAS_BOV1,FECHA_BOV1,"&gt;="&amp;BX$2,FECHA_BOV1,"&lt;="&amp;BX$3,CLAVE_BOV1,$A326)+SUMIFS(SALIDAS_BOV2,FECHA_BOV2,"&gt;="&amp;BX$2,FECHA_BOV2,"&lt;="&amp;BX$3,CLAVE_BOV2,$A326)+SUMIFS(SALIDAS_BOV3,FECHA_BOV3,"&gt;="&amp;BX$2,FECHA_BOV3,"&lt;="&amp;BX$3,CLAVE_BOV3,$A326)+SUMIFS(SALIDAS_TC,FECHA_TC,"&gt;="&amp;BX$2,FECHA_TC,"&lt;="&amp;BX$3,CLAVE_TC,$A326)+SUMIFS(SALIDAS_COMB,FECHA_COMB,"&gt;="&amp;BX$2,FECHA_COMB,"&lt;="&amp;BX$3,CLAVE_COMB,$A326)+SUMIFS(SALIDAS_DES,FECHA_DESGLOSEN,"&gt;="&amp;BX$2,FECHA_DESGLOSEN,"&lt;="&amp;BX$3,CLAVE_DESGLOSE,$A326)</f>
        <v>2318</v>
      </c>
      <c r="BY326" s="162">
        <f>SUMIFS(SALIDAS_BIT,FECHA_BIT,"&gt;="&amp;BY$2,FECHA_BIT,"&lt;="&amp;BY$3,CLAVE_BIT,$A326)+SUMIFS(SALIDAS_BOV1,FECHA_BOV1,"&gt;="&amp;BY$2,FECHA_BOV1,"&lt;="&amp;BY$3,CLAVE_BOV1,$A326)+SUMIFS(SALIDAS_BOV2,FECHA_BOV2,"&gt;="&amp;BY$2,FECHA_BOV2,"&lt;="&amp;BY$3,CLAVE_BOV2,$A326)+SUMIFS(SALIDAS_BOV3,FECHA_BOV3,"&gt;="&amp;BY$2,FECHA_BOV3,"&lt;="&amp;BY$3,CLAVE_BOV3,$A326)+SUMIFS(SALIDAS_TC,FECHA_TC,"&gt;="&amp;BY$2,FECHA_TC,"&lt;="&amp;BY$3,CLAVE_TC,$A326)+SUMIFS(SALIDAS_COMB,FECHA_COMB,"&gt;="&amp;BY$2,FECHA_COMB,"&lt;="&amp;BY$3,CLAVE_COMB,$A326)+SUMIFS(SALIDAS_DES,FECHA_DESGLOSEN,"&gt;="&amp;BY$2,FECHA_DESGLOSEN,"&lt;="&amp;BY$3,CLAVE_DESGLOSE,$A326)</f>
        <v>1160</v>
      </c>
      <c r="BZ326" s="162">
        <f>SUMIFS(SALIDAS_BIT,FECHA_BIT,"&gt;="&amp;BZ$2,FECHA_BIT,"&lt;="&amp;BZ$3,CLAVE_BIT,$A326)+SUMIFS(SALIDAS_BOV1,FECHA_BOV1,"&gt;="&amp;BZ$2,FECHA_BOV1,"&lt;="&amp;BZ$3,CLAVE_BOV1,$A326)+SUMIFS(SALIDAS_BOV2,FECHA_BOV2,"&gt;="&amp;BZ$2,FECHA_BOV2,"&lt;="&amp;BZ$3,CLAVE_BOV2,$A326)+SUMIFS(SALIDAS_BOV3,FECHA_BOV3,"&gt;="&amp;BZ$2,FECHA_BOV3,"&lt;="&amp;BZ$3,CLAVE_BOV3,$A326)+SUMIFS(SALIDAS_TC,FECHA_TC,"&gt;="&amp;BZ$2,FECHA_TC,"&lt;="&amp;BZ$3,CLAVE_TC,$A326)+SUMIFS(SALIDAS_COMB,FECHA_COMB,"&gt;="&amp;BZ$2,FECHA_COMB,"&lt;="&amp;BZ$3,CLAVE_COMB,$A326)+SUMIFS(SALIDAS_DES,FECHA_DESGLOSEN,"&gt;="&amp;BZ$2,FECHA_DESGLOSEN,"&lt;="&amp;BZ$3,CLAVE_DESGLOSE,$A326)</f>
        <v>13283</v>
      </c>
      <c r="CA326" s="227">
        <f>BU326-BZ326</f>
        <v>6717</v>
      </c>
      <c r="CB326" s="301">
        <f>IFERROR((BZ326/BU326),0)</f>
        <v>0.66415000000000002</v>
      </c>
      <c r="CC326" s="162">
        <f>VLOOKUP($A326,T_PRESUPUESTO,MATCH(CC$6,E_PRESUPUESTO,0),FALSE)</f>
        <v>20000</v>
      </c>
      <c r="CD326" s="162">
        <f>SUMIFS(SALIDAS_BIT,FECHA_BIT,"&gt;="&amp;CD$2,FECHA_BIT,"&lt;="&amp;CD$3,CLAVE_BIT,$A326)+SUMIFS(SALIDAS_BOV1,FECHA_BOV1,"&gt;="&amp;CD$2,FECHA_BOV1,"&lt;="&amp;CD$3,CLAVE_BOV1,$A326)+SUMIFS(SALIDAS_BOV2,FECHA_BOV2,"&gt;="&amp;CD$2,FECHA_BOV2,"&lt;="&amp;CD$3,CLAVE_BOV2,$A326)+SUMIFS(SALIDAS_BOV3,FECHA_BOV3,"&gt;="&amp;CD$2,FECHA_BOV3,"&lt;="&amp;CD$3,CLAVE_BOV3,$A326)+SUMIFS(SALIDAS_TC,FECHA_TC,"&gt;="&amp;CD$2,FECHA_TC,"&lt;="&amp;CD$3,CLAVE_TC,$A326)+SUMIFS(SALIDAS_COMB,FECHA_COMB,"&gt;="&amp;CD$2,FECHA_COMB,"&lt;="&amp;CD$3,CLAVE_COMB,$A326)+SUMIFS(SALIDAS_DES,FECHA_DESGLOSEN,"&gt;="&amp;CD$2,FECHA_DESGLOSEN,"&lt;="&amp;CD$3,CLAVE_DESGLOSE,$A326)</f>
        <v>4500</v>
      </c>
      <c r="CE326" s="162">
        <f>SUMIFS(SALIDAS_BIT,FECHA_BIT,"&gt;="&amp;CE$2,FECHA_BIT,"&lt;="&amp;CE$3,CLAVE_BIT,$A326)+SUMIFS(SALIDAS_BOV1,FECHA_BOV1,"&gt;="&amp;CE$2,FECHA_BOV1,"&lt;="&amp;CE$3,CLAVE_BOV1,$A326)+SUMIFS(SALIDAS_BOV2,FECHA_BOV2,"&gt;="&amp;CE$2,FECHA_BOV2,"&lt;="&amp;CE$3,CLAVE_BOV2,$A326)+SUMIFS(SALIDAS_BOV3,FECHA_BOV3,"&gt;="&amp;CE$2,FECHA_BOV3,"&lt;="&amp;CE$3,CLAVE_BOV3,$A326)+SUMIFS(SALIDAS_TC,FECHA_TC,"&gt;="&amp;CE$2,FECHA_TC,"&lt;="&amp;CE$3,CLAVE_TC,$A326)+SUMIFS(SALIDAS_COMB,FECHA_COMB,"&gt;="&amp;CE$2,FECHA_COMB,"&lt;="&amp;CE$3,CLAVE_COMB,$A326)+SUMIFS(SALIDAS_DES,FECHA_DESGLOSEN,"&gt;="&amp;CE$2,FECHA_DESGLOSEN,"&lt;="&amp;CE$3,CLAVE_DESGLOSE,$A326)</f>
        <v>1150</v>
      </c>
      <c r="CF326" s="162">
        <f>SUMIFS(SALIDAS_BIT,FECHA_BIT,"&gt;="&amp;CF$2,FECHA_BIT,"&lt;="&amp;CF$3,CLAVE_BIT,$A326)+SUMIFS(SALIDAS_BOV1,FECHA_BOV1,"&gt;="&amp;CF$2,FECHA_BOV1,"&lt;="&amp;CF$3,CLAVE_BOV1,$A326)+SUMIFS(SALIDAS_BOV2,FECHA_BOV2,"&gt;="&amp;CF$2,FECHA_BOV2,"&lt;="&amp;CF$3,CLAVE_BOV2,$A326)+SUMIFS(SALIDAS_BOV3,FECHA_BOV3,"&gt;="&amp;CF$2,FECHA_BOV3,"&lt;="&amp;CF$3,CLAVE_BOV3,$A326)+SUMIFS(SALIDAS_TC,FECHA_TC,"&gt;="&amp;CF$2,FECHA_TC,"&lt;="&amp;CF$3,CLAVE_TC,$A326)+SUMIFS(SALIDAS_COMB,FECHA_COMB,"&gt;="&amp;CF$2,FECHA_COMB,"&lt;="&amp;CF$3,CLAVE_COMB,$A326)+SUMIFS(SALIDAS_DES,FECHA_DESGLOSEN,"&gt;="&amp;CF$2,FECHA_DESGLOSEN,"&lt;="&amp;CF$3,CLAVE_DESGLOSE,$A326)</f>
        <v>6108</v>
      </c>
      <c r="CG326" s="162">
        <f>SUMIFS(SALIDAS_BIT,FECHA_BIT,"&gt;="&amp;CG$2,FECHA_BIT,"&lt;="&amp;CG$3,CLAVE_BIT,$A326)+SUMIFS(SALIDAS_BOV1,FECHA_BOV1,"&gt;="&amp;CG$2,FECHA_BOV1,"&lt;="&amp;CG$3,CLAVE_BOV1,$A326)+SUMIFS(SALIDAS_BOV2,FECHA_BOV2,"&gt;="&amp;CG$2,FECHA_BOV2,"&lt;="&amp;CG$3,CLAVE_BOV2,$A326)+SUMIFS(SALIDAS_BOV3,FECHA_BOV3,"&gt;="&amp;CG$2,FECHA_BOV3,"&lt;="&amp;CG$3,CLAVE_BOV3,$A326)+SUMIFS(SALIDAS_TC,FECHA_TC,"&gt;="&amp;CG$2,FECHA_TC,"&lt;="&amp;CG$3,CLAVE_TC,$A326)+SUMIFS(SALIDAS_COMB,FECHA_COMB,"&gt;="&amp;CG$2,FECHA_COMB,"&lt;="&amp;CG$3,CLAVE_COMB,$A326)+SUMIFS(SALIDAS_DES,FECHA_DESGLOSEN,"&gt;="&amp;CG$2,FECHA_DESGLOSEN,"&lt;="&amp;CG$3,CLAVE_DESGLOSE,$A326)</f>
        <v>600</v>
      </c>
      <c r="CH326" s="162">
        <f>SUMIFS(SALIDAS_BIT,FECHA_BIT,"&gt;="&amp;CH$2,FECHA_BIT,"&lt;="&amp;CH$3,CLAVE_BIT,$A326)+SUMIFS(SALIDAS_BOV1,FECHA_BOV1,"&gt;="&amp;CH$2,FECHA_BOV1,"&lt;="&amp;CH$3,CLAVE_BOV1,$A326)+SUMIFS(SALIDAS_BOV2,FECHA_BOV2,"&gt;="&amp;CH$2,FECHA_BOV2,"&lt;="&amp;CH$3,CLAVE_BOV2,$A326)+SUMIFS(SALIDAS_BOV3,FECHA_BOV3,"&gt;="&amp;CH$2,FECHA_BOV3,"&lt;="&amp;CH$3,CLAVE_BOV3,$A326)+SUMIFS(SALIDAS_TC,FECHA_TC,"&gt;="&amp;CH$2,FECHA_TC,"&lt;="&amp;CH$3,CLAVE_TC,$A326)+SUMIFS(SALIDAS_COMB,FECHA_COMB,"&gt;="&amp;CH$2,FECHA_COMB,"&lt;="&amp;CH$3,CLAVE_COMB,$A326)+SUMIFS(SALIDAS_DES,FECHA_DESGLOSEN,"&gt;="&amp;CH$2,FECHA_DESGLOSEN,"&lt;="&amp;CH$3,CLAVE_DESGLOSE,$A326)</f>
        <v>12358</v>
      </c>
      <c r="CI326" s="227">
        <f>CC326-CH326</f>
        <v>7642</v>
      </c>
      <c r="CJ326" s="301">
        <f>IFERROR((CH326/CC326),0)</f>
        <v>0.6179</v>
      </c>
      <c r="CK326" s="162">
        <f>VLOOKUP($A326,T_PRESUPUESTO,MATCH(CK$6,E_PRESUPUESTO,0),FALSE)</f>
        <v>20000</v>
      </c>
      <c r="CL326" s="162">
        <f>SUMIFS(SALIDAS_BIT,FECHA_BIT,"&gt;="&amp;CL$2,FECHA_BIT,"&lt;="&amp;CL$3,CLAVE_BIT,$A326)+SUMIFS(SALIDAS_BOV1,FECHA_BOV1,"&gt;="&amp;CL$2,FECHA_BOV1,"&lt;="&amp;CL$3,CLAVE_BOV1,$A326)+SUMIFS(SALIDAS_BOV2,FECHA_BOV2,"&gt;="&amp;CL$2,FECHA_BOV2,"&lt;="&amp;CL$3,CLAVE_BOV2,$A326)+SUMIFS(SALIDAS_BOV3,FECHA_BOV3,"&gt;="&amp;CL$2,FECHA_BOV3,"&lt;="&amp;CL$3,CLAVE_BOV3,$A326)+SUMIFS(SALIDAS_TC,FECHA_TC,"&gt;="&amp;CL$2,FECHA_TC,"&lt;="&amp;CL$3,CLAVE_TC,$A326)+SUMIFS(SALIDAS_COMB,FECHA_COMB,"&gt;="&amp;CL$2,FECHA_COMB,"&lt;="&amp;CL$3,CLAVE_COMB,$A326)+SUMIFS(SALIDAS_DES,FECHA_DESGLOSEN,"&gt;="&amp;CL$2,FECHA_DESGLOSEN,"&lt;="&amp;CL$3,CLAVE_DESGLOSE,$A326)</f>
        <v>15519</v>
      </c>
      <c r="CM326" s="162">
        <f>SUMIFS(SALIDAS_BIT,FECHA_BIT,"&gt;="&amp;CM$2,FECHA_BIT,"&lt;="&amp;CM$3,CLAVE_BIT,$A326)+SUMIFS(SALIDAS_BOV1,FECHA_BOV1,"&gt;="&amp;CM$2,FECHA_BOV1,"&lt;="&amp;CM$3,CLAVE_BOV1,$A326)+SUMIFS(SALIDAS_BOV2,FECHA_BOV2,"&gt;="&amp;CM$2,FECHA_BOV2,"&lt;="&amp;CM$3,CLAVE_BOV2,$A326)+SUMIFS(SALIDAS_BOV3,FECHA_BOV3,"&gt;="&amp;CM$2,FECHA_BOV3,"&lt;="&amp;CM$3,CLAVE_BOV3,$A326)+SUMIFS(SALIDAS_TC,FECHA_TC,"&gt;="&amp;CM$2,FECHA_TC,"&lt;="&amp;CM$3,CLAVE_TC,$A326)+SUMIFS(SALIDAS_COMB,FECHA_COMB,"&gt;="&amp;CM$2,FECHA_COMB,"&lt;="&amp;CM$3,CLAVE_COMB,$A326)+SUMIFS(SALIDAS_DES,FECHA_DESGLOSEN,"&gt;="&amp;CM$2,FECHA_DESGLOSEN,"&lt;="&amp;CM$3,CLAVE_DESGLOSE,$A326)</f>
        <v>0</v>
      </c>
      <c r="CN326" s="162">
        <f>SUMIFS(SALIDAS_BIT,FECHA_BIT,"&gt;="&amp;CN$2,FECHA_BIT,"&lt;="&amp;CN$3,CLAVE_BIT,$A326)+SUMIFS(SALIDAS_BOV1,FECHA_BOV1,"&gt;="&amp;CN$2,FECHA_BOV1,"&lt;="&amp;CN$3,CLAVE_BOV1,$A326)+SUMIFS(SALIDAS_BOV2,FECHA_BOV2,"&gt;="&amp;CN$2,FECHA_BOV2,"&lt;="&amp;CN$3,CLAVE_BOV2,$A326)+SUMIFS(SALIDAS_BOV3,FECHA_BOV3,"&gt;="&amp;CN$2,FECHA_BOV3,"&lt;="&amp;CN$3,CLAVE_BOV3,$A326)+SUMIFS(SALIDAS_TC,FECHA_TC,"&gt;="&amp;CN$2,FECHA_TC,"&lt;="&amp;CN$3,CLAVE_TC,$A326)+SUMIFS(SALIDAS_COMB,FECHA_COMB,"&gt;="&amp;CN$2,FECHA_COMB,"&lt;="&amp;CN$3,CLAVE_COMB,$A326)+SUMIFS(SALIDAS_DES,FECHA_DESGLOSEN,"&gt;="&amp;CN$2,FECHA_DESGLOSEN,"&lt;="&amp;CN$3,CLAVE_DESGLOSE,$A326)</f>
        <v>0</v>
      </c>
      <c r="CO326" s="162">
        <f>SUMIFS(SALIDAS_BIT,FECHA_BIT,"&gt;="&amp;CO$2,FECHA_BIT,"&lt;="&amp;CO$3,CLAVE_BIT,$A326)+SUMIFS(SALIDAS_BOV1,FECHA_BOV1,"&gt;="&amp;CO$2,FECHA_BOV1,"&lt;="&amp;CO$3,CLAVE_BOV1,$A326)+SUMIFS(SALIDAS_BOV2,FECHA_BOV2,"&gt;="&amp;CO$2,FECHA_BOV2,"&lt;="&amp;CO$3,CLAVE_BOV2,$A326)+SUMIFS(SALIDAS_BOV3,FECHA_BOV3,"&gt;="&amp;CO$2,FECHA_BOV3,"&lt;="&amp;CO$3,CLAVE_BOV3,$A326)+SUMIFS(SALIDAS_TC,FECHA_TC,"&gt;="&amp;CO$2,FECHA_TC,"&lt;="&amp;CO$3,CLAVE_TC,$A326)+SUMIFS(SALIDAS_COMB,FECHA_COMB,"&gt;="&amp;CO$2,FECHA_COMB,"&lt;="&amp;CO$3,CLAVE_COMB,$A326)+SUMIFS(SALIDAS_DES,FECHA_DESGLOSEN,"&gt;="&amp;CO$2,FECHA_DESGLOSEN,"&lt;="&amp;CO$3,CLAVE_DESGLOSE,$A326)</f>
        <v>0</v>
      </c>
      <c r="CP326" s="162">
        <f>SUMIFS(SALIDAS_BIT,FECHA_BIT,"&gt;="&amp;CP$2,FECHA_BIT,"&lt;="&amp;CP$3,CLAVE_BIT,$A326)+SUMIFS(SALIDAS_BOV1,FECHA_BOV1,"&gt;="&amp;CP$2,FECHA_BOV1,"&lt;="&amp;CP$3,CLAVE_BOV1,$A326)+SUMIFS(SALIDAS_BOV2,FECHA_BOV2,"&gt;="&amp;CP$2,FECHA_BOV2,"&lt;="&amp;CP$3,CLAVE_BOV2,$A326)+SUMIFS(SALIDAS_BOV3,FECHA_BOV3,"&gt;="&amp;CP$2,FECHA_BOV3,"&lt;="&amp;CP$3,CLAVE_BOV3,$A326)+SUMIFS(SALIDAS_TC,FECHA_TC,"&gt;="&amp;CP$2,FECHA_TC,"&lt;="&amp;CP$3,CLAVE_TC,$A326)+SUMIFS(SALIDAS_COMB,FECHA_COMB,"&gt;="&amp;CP$2,FECHA_COMB,"&lt;="&amp;CP$3,CLAVE_COMB,$A326)+SUMIFS(SALIDAS_DES,FECHA_DESGLOSEN,"&gt;="&amp;CP$2,FECHA_DESGLOSEN,"&lt;="&amp;CP$3,CLAVE_DESGLOSE,$A326)</f>
        <v>0</v>
      </c>
      <c r="CQ326" s="162">
        <f>SUMIFS(SALIDAS_BIT,FECHA_BIT,"&gt;="&amp;CQ$2,FECHA_BIT,"&lt;="&amp;CQ$3,CLAVE_BIT,$A326)+SUMIFS(SALIDAS_BOV1,FECHA_BOV1,"&gt;="&amp;CQ$2,FECHA_BOV1,"&lt;="&amp;CQ$3,CLAVE_BOV1,$A326)+SUMIFS(SALIDAS_BOV2,FECHA_BOV2,"&gt;="&amp;CQ$2,FECHA_BOV2,"&lt;="&amp;CQ$3,CLAVE_BOV2,$A326)+SUMIFS(SALIDAS_BOV3,FECHA_BOV3,"&gt;="&amp;CQ$2,FECHA_BOV3,"&lt;="&amp;CQ$3,CLAVE_BOV3,$A326)+SUMIFS(SALIDAS_TC,FECHA_TC,"&gt;="&amp;CQ$2,FECHA_TC,"&lt;="&amp;CQ$3,CLAVE_TC,$A326)+SUMIFS(SALIDAS_COMB,FECHA_COMB,"&gt;="&amp;CQ$2,FECHA_COMB,"&lt;="&amp;CQ$3,CLAVE_COMB,$A326)+SUMIFS(SALIDAS_DES,FECHA_DESGLOSEN,"&gt;="&amp;CQ$2,FECHA_DESGLOSEN,"&lt;="&amp;CQ$3,CLAVE_DESGLOSE,$A326)</f>
        <v>15519</v>
      </c>
      <c r="CR326" s="227">
        <f>CK326-CQ326</f>
        <v>4481</v>
      </c>
      <c r="CS326" s="301">
        <f>IFERROR((CQ326/CK326),0)</f>
        <v>0.77595000000000003</v>
      </c>
      <c r="CT326" s="68">
        <f t="shared" si="446"/>
        <v>20000</v>
      </c>
      <c r="CU326" s="13">
        <f>SUMIFS(SALIDAS_BIT,FECHA_BIT,"&gt;="&amp;CU$2,FECHA_BIT,"&lt;="&amp;CU$3,CLAVE_BIT,$A326)+SUMIFS(SALIDAS_BOV1,FECHA_BOV1,"&gt;="&amp;CU$2,FECHA_BOV1,"&lt;="&amp;CU$3,CLAVE_BOV1,$A326)+SUMIFS(SALIDAS_BOV2,FECHA_BOV2,"&gt;="&amp;CU$2,FECHA_BOV2,"&lt;="&amp;CU$3,CLAVE_BOV2,$A326)+SUMIFS(SALIDAS_BOV3,FECHA_BOV3,"&gt;="&amp;CU$2,FECHA_BOV3,"&lt;="&amp;CU$3,CLAVE_BOV3,$A326)+SUMIFS(SALIDAS_TC,FECHA_TC,"&gt;="&amp;CU$2,FECHA_TC,"&lt;="&amp;CU$3,CLAVE_TC,$A326)+SUMIFS(SALIDAS_COMB,FECHA_COMB,"&gt;="&amp;CU$2,FECHA_COMB,"&lt;="&amp;CU$3,CLAVE_COMB,$A326)+SUMIFS(SALIDAS_DES,FECHA_DESGLOSEN,"&gt;="&amp;CU$2,FECHA_DESGLOSEN,"&lt;="&amp;CU$3,CLAVE_DESGLOSE,$A326)</f>
        <v>0</v>
      </c>
      <c r="CV326" s="13">
        <f>SUMIFS(SALIDAS_BIT,FECHA_BIT,"&gt;="&amp;CV$2,FECHA_BIT,"&lt;="&amp;CV$3,CLAVE_BIT,$A326)+SUMIFS(SALIDAS_BOV1,FECHA_BOV1,"&gt;="&amp;CV$2,FECHA_BOV1,"&lt;="&amp;CV$3,CLAVE_BOV1,$A326)+SUMIFS(SALIDAS_BOV2,FECHA_BOV2,"&gt;="&amp;CV$2,FECHA_BOV2,"&lt;="&amp;CV$3,CLAVE_BOV2,$A326)+SUMIFS(SALIDAS_BOV3,FECHA_BOV3,"&gt;="&amp;CV$2,FECHA_BOV3,"&lt;="&amp;CV$3,CLAVE_BOV3,$A326)+SUMIFS(SALIDAS_TC,FECHA_TC,"&gt;="&amp;CV$2,FECHA_TC,"&lt;="&amp;CV$3,CLAVE_TC,$A326)+SUMIFS(SALIDAS_COMB,FECHA_COMB,"&gt;="&amp;CV$2,FECHA_COMB,"&lt;="&amp;CV$3,CLAVE_COMB,$A326)+SUMIFS(SALIDAS_DES,FECHA_DESGLOSEN,"&gt;="&amp;CV$2,FECHA_DESGLOSEN,"&lt;="&amp;CV$3,CLAVE_DESGLOSE,$A326)</f>
        <v>0</v>
      </c>
      <c r="CW326" s="13">
        <f>SUMIFS(SALIDAS_BIT,FECHA_BIT,"&gt;="&amp;CW$2,FECHA_BIT,"&lt;="&amp;CW$3,CLAVE_BIT,$A326)+SUMIFS(SALIDAS_BOV1,FECHA_BOV1,"&gt;="&amp;CW$2,FECHA_BOV1,"&lt;="&amp;CW$3,CLAVE_BOV1,$A326)+SUMIFS(SALIDAS_BOV2,FECHA_BOV2,"&gt;="&amp;CW$2,FECHA_BOV2,"&lt;="&amp;CW$3,CLAVE_BOV2,$A326)+SUMIFS(SALIDAS_BOV3,FECHA_BOV3,"&gt;="&amp;CW$2,FECHA_BOV3,"&lt;="&amp;CW$3,CLAVE_BOV3,$A326)+SUMIFS(SALIDAS_TC,FECHA_TC,"&gt;="&amp;CW$2,FECHA_TC,"&lt;="&amp;CW$3,CLAVE_TC,$A326)+SUMIFS(SALIDAS_COMB,FECHA_COMB,"&gt;="&amp;CW$2,FECHA_COMB,"&lt;="&amp;CW$3,CLAVE_COMB,$A326)+SUMIFS(SALIDAS_DES,FECHA_DESGLOSEN,"&gt;="&amp;CW$2,FECHA_DESGLOSEN,"&lt;="&amp;CW$3,CLAVE_DESGLOSE,$A326)</f>
        <v>0</v>
      </c>
      <c r="CX326" s="13">
        <f>SUMIFS(SALIDAS_BIT,FECHA_BIT,"&gt;="&amp;CX$2,FECHA_BIT,"&lt;="&amp;CX$3,CLAVE_BIT,$A326)+SUMIFS(SALIDAS_BOV1,FECHA_BOV1,"&gt;="&amp;CX$2,FECHA_BOV1,"&lt;="&amp;CX$3,CLAVE_BOV1,$A326)+SUMIFS(SALIDAS_BOV2,FECHA_BOV2,"&gt;="&amp;CX$2,FECHA_BOV2,"&lt;="&amp;CX$3,CLAVE_BOV2,$A326)+SUMIFS(SALIDAS_BOV3,FECHA_BOV3,"&gt;="&amp;CX$2,FECHA_BOV3,"&lt;="&amp;CX$3,CLAVE_BOV3,$A326)+SUMIFS(SALIDAS_TC,FECHA_TC,"&gt;="&amp;CX$2,FECHA_TC,"&lt;="&amp;CX$3,CLAVE_TC,$A326)+SUMIFS(SALIDAS_COMB,FECHA_COMB,"&gt;="&amp;CX$2,FECHA_COMB,"&lt;="&amp;CX$3,CLAVE_COMB,$A326)+SUMIFS(SALIDAS_DES,FECHA_DESGLOSEN,"&gt;="&amp;CX$2,FECHA_DESGLOSEN,"&lt;="&amp;CX$3,CLAVE_DESGLOSE,$A326)</f>
        <v>0</v>
      </c>
      <c r="CY326" s="13">
        <f>SUMIFS(SALIDAS_BIT,FECHA_BIT,"&gt;="&amp;CY$2,FECHA_BIT,"&lt;="&amp;CY$3,CLAVE_BIT,$A326)+SUMIFS(SALIDAS_BOV1,FECHA_BOV1,"&gt;="&amp;CY$2,FECHA_BOV1,"&lt;="&amp;CY$3,CLAVE_BOV1,$A326)+SUMIFS(SALIDAS_BOV2,FECHA_BOV2,"&gt;="&amp;CY$2,FECHA_BOV2,"&lt;="&amp;CY$3,CLAVE_BOV2,$A326)+SUMIFS(SALIDAS_BOV3,FECHA_BOV3,"&gt;="&amp;CY$2,FECHA_BOV3,"&lt;="&amp;CY$3,CLAVE_BOV3,$A326)+SUMIFS(SALIDAS_TC,FECHA_TC,"&gt;="&amp;CY$2,FECHA_TC,"&lt;="&amp;CY$3,CLAVE_TC,$A326)+SUMIFS(SALIDAS_COMB,FECHA_COMB,"&gt;="&amp;CY$2,FECHA_COMB,"&lt;="&amp;CY$3,CLAVE_COMB,$A326)+SUMIFS(SALIDAS_DES,FECHA_DESGLOSEN,"&gt;="&amp;CY$2,FECHA_DESGLOSEN,"&lt;="&amp;CY$3,CLAVE_DESGLOSE,$A326)</f>
        <v>0</v>
      </c>
      <c r="CZ326" s="68">
        <f t="shared" si="474"/>
        <v>20000</v>
      </c>
      <c r="DB326" s="17">
        <f>F326+N326+W326+AE326+AM326+AV326+BD326+BL326+BU326+CC326+CK326</f>
        <v>80000</v>
      </c>
      <c r="DC326" s="17">
        <f>K326+T326+AB326+AJ326+AS326+BA326+BI326+BR326+BZ326+CH326+CQ326</f>
        <v>44210</v>
      </c>
    </row>
    <row r="327" spans="1:107" ht="15" hidden="1">
      <c r="A327" s="12" t="str">
        <f>C327&amp;D327&amp;E327</f>
        <v>MKTVACACIONES/FINIQUITOSMKT</v>
      </c>
      <c r="B327">
        <v>327</v>
      </c>
      <c r="C327" t="s">
        <v>19</v>
      </c>
      <c r="D327" s="12" t="s">
        <v>190</v>
      </c>
      <c r="E327" s="12" t="s">
        <v>19</v>
      </c>
      <c r="F327" s="260">
        <f>VLOOKUP($A327,T_PRESUPUESTO,MATCH(F$6,E_PRESUPUESTO,0),FALSE)</f>
        <v>0</v>
      </c>
      <c r="G327" s="162">
        <f>SUMIFS(SALIDAS_BIT,FECHA_BIT,"&gt;="&amp;G$2,FECHA_BIT,"&lt;="&amp;G$3,CLAVE_BIT,$A327)+SUMIFS(SALIDAS_BOV1,FECHA_BOV1,"&gt;="&amp;G$2,FECHA_BOV1,"&lt;="&amp;G$3,CLAVE_BOV1,$A327)+SUMIFS(SALIDAS_BOV2,FECHA_BOV2,"&gt;="&amp;G$2,FECHA_BOV2,"&lt;="&amp;G$3,CLAVE_BOV2,$A327)+SUMIFS(SALIDAS_BOV3,FECHA_BOV3,"&gt;="&amp;G$2,FECHA_BOV3,"&lt;="&amp;G$3,CLAVE_BOV3,$A327)+SUMIFS(SALIDAS_TC,FECHA_TC,"&gt;="&amp;G$2,FECHA_TC,"&lt;="&amp;G$3,CLAVE_TC,$A327)+SUMIFS(SALIDAS_COMB,FECHA_COMB,"&gt;="&amp;G$2,FECHA_COMB,"&lt;="&amp;G$3,CLAVE_COMB,$A327)+SUMIFS(SALIDAS_DES,FECHA_DESGLOSEN,"&gt;="&amp;G$2,FECHA_DESGLOSEN,"&lt;="&amp;G$3,CLAVE_DESGLOSE,$A327)</f>
        <v>0</v>
      </c>
      <c r="H327" s="162">
        <f>SUMIFS(SALIDAS_BIT,FECHA_BIT,"&gt;="&amp;H$2,FECHA_BIT,"&lt;="&amp;H$3,CLAVE_BIT,$A327)+SUMIFS(SALIDAS_BOV1,FECHA_BOV1,"&gt;="&amp;H$2,FECHA_BOV1,"&lt;="&amp;H$3,CLAVE_BOV1,$A327)+SUMIFS(SALIDAS_BOV2,FECHA_BOV2,"&gt;="&amp;H$2,FECHA_BOV2,"&lt;="&amp;H$3,CLAVE_BOV2,$A327)+SUMIFS(SALIDAS_BOV3,FECHA_BOV3,"&gt;="&amp;H$2,FECHA_BOV3,"&lt;="&amp;H$3,CLAVE_BOV3,$A327)+SUMIFS(SALIDAS_TC,FECHA_TC,"&gt;="&amp;H$2,FECHA_TC,"&lt;="&amp;H$3,CLAVE_TC,$A327)+SUMIFS(SALIDAS_COMB,FECHA_COMB,"&gt;="&amp;H$2,FECHA_COMB,"&lt;="&amp;H$3,CLAVE_COMB,$A327)+SUMIFS(SALIDAS_DES,FECHA_DESGLOSEN,"&gt;="&amp;H$2,FECHA_DESGLOSEN,"&lt;="&amp;H$3,CLAVE_DESGLOSE,$A327)</f>
        <v>0</v>
      </c>
      <c r="I327" s="162">
        <f>SUMIFS(SALIDAS_BIT,FECHA_BIT,"&gt;="&amp;I$2,FECHA_BIT,"&lt;="&amp;I$3,CLAVE_BIT,$A327)+SUMIFS(SALIDAS_BOV1,FECHA_BOV1,"&gt;="&amp;I$2,FECHA_BOV1,"&lt;="&amp;I$3,CLAVE_BOV1,$A327)+SUMIFS(SALIDAS_BOV2,FECHA_BOV2,"&gt;="&amp;I$2,FECHA_BOV2,"&lt;="&amp;I$3,CLAVE_BOV2,$A327)+SUMIFS(SALIDAS_BOV3,FECHA_BOV3,"&gt;="&amp;I$2,FECHA_BOV3,"&lt;="&amp;I$3,CLAVE_BOV3,$A327)+SUMIFS(SALIDAS_TC,FECHA_TC,"&gt;="&amp;I$2,FECHA_TC,"&lt;="&amp;I$3,CLAVE_TC,$A327)+SUMIFS(SALIDAS_COMB,FECHA_COMB,"&gt;="&amp;I$2,FECHA_COMB,"&lt;="&amp;I$3,CLAVE_COMB,$A327)+SUMIFS(SALIDAS_DES,FECHA_DESGLOSEN,"&gt;="&amp;I$2,FECHA_DESGLOSEN,"&lt;="&amp;I$3,CLAVE_DESGLOSE,$A327)</f>
        <v>0</v>
      </c>
      <c r="J327" s="162">
        <f>SUMIFS(SALIDAS_BIT,FECHA_BIT,"&gt;="&amp;J$2,FECHA_BIT,"&lt;="&amp;J$3,CLAVE_BIT,$A327)+SUMIFS(SALIDAS_BOV1,FECHA_BOV1,"&gt;="&amp;J$2,FECHA_BOV1,"&lt;="&amp;J$3,CLAVE_BOV1,$A327)+SUMIFS(SALIDAS_BOV2,FECHA_BOV2,"&gt;="&amp;J$2,FECHA_BOV2,"&lt;="&amp;J$3,CLAVE_BOV2,$A327)+SUMIFS(SALIDAS_BOV3,FECHA_BOV3,"&gt;="&amp;J$2,FECHA_BOV3,"&lt;="&amp;J$3,CLAVE_BOV3,$A327)+SUMIFS(SALIDAS_TC,FECHA_TC,"&gt;="&amp;J$2,FECHA_TC,"&lt;="&amp;J$3,CLAVE_TC,$A327)+SUMIFS(SALIDAS_COMB,FECHA_COMB,"&gt;="&amp;J$2,FECHA_COMB,"&lt;="&amp;J$3,CLAVE_COMB,$A327)+SUMIFS(SALIDAS_DES,FECHA_DESGLOSEN,"&gt;="&amp;J$2,FECHA_DESGLOSEN,"&lt;="&amp;J$3,CLAVE_DESGLOSE,$A327)</f>
        <v>0</v>
      </c>
      <c r="K327" s="162">
        <f>SUMIFS(SALIDAS_BIT,FECHA_BIT,"&gt;="&amp;K$2,FECHA_BIT,"&lt;="&amp;K$3,CLAVE_BIT,$A327)+SUMIFS(SALIDAS_BOV1,FECHA_BOV1,"&gt;="&amp;K$2,FECHA_BOV1,"&lt;="&amp;K$3,CLAVE_BOV1,$A327)+SUMIFS(SALIDAS_BOV2,FECHA_BOV2,"&gt;="&amp;K$2,FECHA_BOV2,"&lt;="&amp;K$3,CLAVE_BOV2,$A327)+SUMIFS(SALIDAS_BOV3,FECHA_BOV3,"&gt;="&amp;K$2,FECHA_BOV3,"&lt;="&amp;K$3,CLAVE_BOV3,$A327)+SUMIFS(SALIDAS_TC,FECHA_TC,"&gt;="&amp;K$2,FECHA_TC,"&lt;="&amp;K$3,CLAVE_TC,$A327)+SUMIFS(SALIDAS_COMB,FECHA_COMB,"&gt;="&amp;K$2,FECHA_COMB,"&lt;="&amp;K$3,CLAVE_COMB,$A327)+SUMIFS(SALIDAS_DES,FECHA_DESGLOSEN,"&gt;="&amp;K$2,FECHA_DESGLOSEN,"&lt;="&amp;K$3,CLAVE_DESGLOSE,$A327)</f>
        <v>0</v>
      </c>
      <c r="L327" s="227">
        <f t="shared" ref="L327:L328" si="690">F327-K327</f>
        <v>0</v>
      </c>
      <c r="M327" s="301">
        <f t="shared" ref="M327:M328" si="691">IFERROR((K327/F327),0)</f>
        <v>0</v>
      </c>
      <c r="N327" s="162">
        <f>VLOOKUP($A327,T_PRESUPUESTO,MATCH(N$6,E_PRESUPUESTO,0),FALSE)</f>
        <v>0</v>
      </c>
      <c r="O327" s="162">
        <f>SUMIFS(SALIDAS_BIT,FECHA_BIT,"&gt;="&amp;O$2,FECHA_BIT,"&lt;="&amp;O$3,CLAVE_BIT,$A327)+SUMIFS(SALIDAS_BOV1,FECHA_BOV1,"&gt;="&amp;O$2,FECHA_BOV1,"&lt;="&amp;O$3,CLAVE_BOV1,$A327)+SUMIFS(SALIDAS_BOV2,FECHA_BOV2,"&gt;="&amp;O$2,FECHA_BOV2,"&lt;="&amp;O$3,CLAVE_BOV2,$A327)+SUMIFS(SALIDAS_BOV3,FECHA_BOV3,"&gt;="&amp;O$2,FECHA_BOV3,"&lt;="&amp;O$3,CLAVE_BOV3,$A327)+SUMIFS(SALIDAS_TC,FECHA_TC,"&gt;="&amp;O$2,FECHA_TC,"&lt;="&amp;O$3,CLAVE_TC,$A327)+SUMIFS(SALIDAS_COMB,FECHA_COMB,"&gt;="&amp;O$2,FECHA_COMB,"&lt;="&amp;O$3,CLAVE_COMB,$A327)+SUMIFS(SALIDAS_DES,FECHA_DESGLOSEN,"&gt;="&amp;O$2,FECHA_DESGLOSEN,"&lt;="&amp;O$3,CLAVE_DESGLOSE,$A327)</f>
        <v>0</v>
      </c>
      <c r="P327" s="162">
        <f>SUMIFS(SALIDAS_BIT,FECHA_BIT,"&gt;="&amp;P$2,FECHA_BIT,"&lt;="&amp;P$3,CLAVE_BIT,$A327)+SUMIFS(SALIDAS_BOV1,FECHA_BOV1,"&gt;="&amp;P$2,FECHA_BOV1,"&lt;="&amp;P$3,CLAVE_BOV1,$A327)+SUMIFS(SALIDAS_BOV2,FECHA_BOV2,"&gt;="&amp;P$2,FECHA_BOV2,"&lt;="&amp;P$3,CLAVE_BOV2,$A327)+SUMIFS(SALIDAS_BOV3,FECHA_BOV3,"&gt;="&amp;P$2,FECHA_BOV3,"&lt;="&amp;P$3,CLAVE_BOV3,$A327)+SUMIFS(SALIDAS_TC,FECHA_TC,"&gt;="&amp;P$2,FECHA_TC,"&lt;="&amp;P$3,CLAVE_TC,$A327)+SUMIFS(SALIDAS_COMB,FECHA_COMB,"&gt;="&amp;P$2,FECHA_COMB,"&lt;="&amp;P$3,CLAVE_COMB,$A327)+SUMIFS(SALIDAS_DES,FECHA_DESGLOSEN,"&gt;="&amp;P$2,FECHA_DESGLOSEN,"&lt;="&amp;P$3,CLAVE_DESGLOSE,$A327)</f>
        <v>0</v>
      </c>
      <c r="Q327" s="162">
        <f>SUMIFS(SALIDAS_BIT,FECHA_BIT,"&gt;="&amp;Q$2,FECHA_BIT,"&lt;="&amp;Q$3,CLAVE_BIT,$A327)+SUMIFS(SALIDAS_BOV1,FECHA_BOV1,"&gt;="&amp;Q$2,FECHA_BOV1,"&lt;="&amp;Q$3,CLAVE_BOV1,$A327)+SUMIFS(SALIDAS_BOV2,FECHA_BOV2,"&gt;="&amp;Q$2,FECHA_BOV2,"&lt;="&amp;Q$3,CLAVE_BOV2,$A327)+SUMIFS(SALIDAS_BOV3,FECHA_BOV3,"&gt;="&amp;Q$2,FECHA_BOV3,"&lt;="&amp;Q$3,CLAVE_BOV3,$A327)+SUMIFS(SALIDAS_TC,FECHA_TC,"&gt;="&amp;Q$2,FECHA_TC,"&lt;="&amp;Q$3,CLAVE_TC,$A327)+SUMIFS(SALIDAS_COMB,FECHA_COMB,"&gt;="&amp;Q$2,FECHA_COMB,"&lt;="&amp;Q$3,CLAVE_COMB,$A327)+SUMIFS(SALIDAS_DES,FECHA_DESGLOSEN,"&gt;="&amp;Q$2,FECHA_DESGLOSEN,"&lt;="&amp;Q$3,CLAVE_DESGLOSE,$A327)</f>
        <v>0</v>
      </c>
      <c r="R327" s="162">
        <f>SUMIFS(SALIDAS_BIT,FECHA_BIT,"&gt;="&amp;R$2,FECHA_BIT,"&lt;="&amp;R$3,CLAVE_BIT,$A327)+SUMIFS(SALIDAS_BOV1,FECHA_BOV1,"&gt;="&amp;R$2,FECHA_BOV1,"&lt;="&amp;R$3,CLAVE_BOV1,$A327)+SUMIFS(SALIDAS_BOV2,FECHA_BOV2,"&gt;="&amp;R$2,FECHA_BOV2,"&lt;="&amp;R$3,CLAVE_BOV2,$A327)+SUMIFS(SALIDAS_BOV3,FECHA_BOV3,"&gt;="&amp;R$2,FECHA_BOV3,"&lt;="&amp;R$3,CLAVE_BOV3,$A327)+SUMIFS(SALIDAS_TC,FECHA_TC,"&gt;="&amp;R$2,FECHA_TC,"&lt;="&amp;R$3,CLAVE_TC,$A327)+SUMIFS(SALIDAS_COMB,FECHA_COMB,"&gt;="&amp;R$2,FECHA_COMB,"&lt;="&amp;R$3,CLAVE_COMB,$A327)+SUMIFS(SALIDAS_DES,FECHA_DESGLOSEN,"&gt;="&amp;R$2,FECHA_DESGLOSEN,"&lt;="&amp;R$3,CLAVE_DESGLOSE,$A327)</f>
        <v>0</v>
      </c>
      <c r="S327" s="162">
        <f>SUMIFS(SALIDAS_BIT,FECHA_BIT,"&gt;="&amp;S$2,FECHA_BIT,"&lt;="&amp;S$3,CLAVE_BIT,$A327)+SUMIFS(SALIDAS_BOV1,FECHA_BOV1,"&gt;="&amp;S$2,FECHA_BOV1,"&lt;="&amp;S$3,CLAVE_BOV1,$A327)+SUMIFS(SALIDAS_BOV2,FECHA_BOV2,"&gt;="&amp;S$2,FECHA_BOV2,"&lt;="&amp;S$3,CLAVE_BOV2,$A327)+SUMIFS(SALIDAS_BOV3,FECHA_BOV3,"&gt;="&amp;S$2,FECHA_BOV3,"&lt;="&amp;S$3,CLAVE_BOV3,$A327)+SUMIFS(SALIDAS_TC,FECHA_TC,"&gt;="&amp;S$2,FECHA_TC,"&lt;="&amp;S$3,CLAVE_TC,$A327)+SUMIFS(SALIDAS_COMB,FECHA_COMB,"&gt;="&amp;S$2,FECHA_COMB,"&lt;="&amp;S$3,CLAVE_COMB,$A327)+SUMIFS(SALIDAS_DES,FECHA_DESGLOSEN,"&gt;="&amp;S$2,FECHA_DESGLOSEN,"&lt;="&amp;S$3,CLAVE_DESGLOSE,$A327)</f>
        <v>0</v>
      </c>
      <c r="T327" s="162">
        <f>SUMIFS(SALIDAS_BIT,FECHA_BIT,"&gt;="&amp;T$2,FECHA_BIT,"&lt;="&amp;T$3,CLAVE_BIT,$A327)+SUMIFS(SALIDAS_BOV1,FECHA_BOV1,"&gt;="&amp;T$2,FECHA_BOV1,"&lt;="&amp;T$3,CLAVE_BOV1,$A327)+SUMIFS(SALIDAS_BOV2,FECHA_BOV2,"&gt;="&amp;T$2,FECHA_BOV2,"&lt;="&amp;T$3,CLAVE_BOV2,$A327)+SUMIFS(SALIDAS_BOV3,FECHA_BOV3,"&gt;="&amp;T$2,FECHA_BOV3,"&lt;="&amp;T$3,CLAVE_BOV3,$A327)+SUMIFS(SALIDAS_TC,FECHA_TC,"&gt;="&amp;T$2,FECHA_TC,"&lt;="&amp;T$3,CLAVE_TC,$A327)+SUMIFS(SALIDAS_COMB,FECHA_COMB,"&gt;="&amp;T$2,FECHA_COMB,"&lt;="&amp;T$3,CLAVE_COMB,$A327)+SUMIFS(SALIDAS_DES,FECHA_DESGLOSEN,"&gt;="&amp;T$2,FECHA_DESGLOSEN,"&lt;="&amp;T$3,CLAVE_DESGLOSE,$A327)</f>
        <v>0</v>
      </c>
      <c r="U327" s="227">
        <f t="shared" ref="U327:U328" si="692">N327-T327</f>
        <v>0</v>
      </c>
      <c r="V327" s="301">
        <f t="shared" ref="V327:V328" si="693">IFERROR((T327/N327),0)</f>
        <v>0</v>
      </c>
      <c r="W327" s="162">
        <f>VLOOKUP($A327,T_PRESUPUESTO,MATCH(W$6,E_PRESUPUESTO,0),FALSE)</f>
        <v>0</v>
      </c>
      <c r="X327" s="162">
        <f>SUMIFS(SALIDAS_BIT,FECHA_BIT,"&gt;="&amp;X$2,FECHA_BIT,"&lt;="&amp;X$3,CLAVE_BIT,$A327)+SUMIFS(SALIDAS_BOV1,FECHA_BOV1,"&gt;="&amp;X$2,FECHA_BOV1,"&lt;="&amp;X$3,CLAVE_BOV1,$A327)+SUMIFS(SALIDAS_BOV2,FECHA_BOV2,"&gt;="&amp;X$2,FECHA_BOV2,"&lt;="&amp;X$3,CLAVE_BOV2,$A327)+SUMIFS(SALIDAS_BOV3,FECHA_BOV3,"&gt;="&amp;X$2,FECHA_BOV3,"&lt;="&amp;X$3,CLAVE_BOV3,$A327)+SUMIFS(SALIDAS_TC,FECHA_TC,"&gt;="&amp;X$2,FECHA_TC,"&lt;="&amp;X$3,CLAVE_TC,$A327)+SUMIFS(SALIDAS_COMB,FECHA_COMB,"&gt;="&amp;X$2,FECHA_COMB,"&lt;="&amp;X$3,CLAVE_COMB,$A327)+SUMIFS(SALIDAS_DES,FECHA_DESGLOSEN,"&gt;="&amp;X$2,FECHA_DESGLOSEN,"&lt;="&amp;X$3,CLAVE_DESGLOSE,$A327)</f>
        <v>0</v>
      </c>
      <c r="Y327" s="162">
        <f>SUMIFS(SALIDAS_BIT,FECHA_BIT,"&gt;="&amp;Y$2,FECHA_BIT,"&lt;="&amp;Y$3,CLAVE_BIT,$A327)+SUMIFS(SALIDAS_BOV1,FECHA_BOV1,"&gt;="&amp;Y$2,FECHA_BOV1,"&lt;="&amp;Y$3,CLAVE_BOV1,$A327)+SUMIFS(SALIDAS_BOV2,FECHA_BOV2,"&gt;="&amp;Y$2,FECHA_BOV2,"&lt;="&amp;Y$3,CLAVE_BOV2,$A327)+SUMIFS(SALIDAS_BOV3,FECHA_BOV3,"&gt;="&amp;Y$2,FECHA_BOV3,"&lt;="&amp;Y$3,CLAVE_BOV3,$A327)+SUMIFS(SALIDAS_TC,FECHA_TC,"&gt;="&amp;Y$2,FECHA_TC,"&lt;="&amp;Y$3,CLAVE_TC,$A327)+SUMIFS(SALIDAS_COMB,FECHA_COMB,"&gt;="&amp;Y$2,FECHA_COMB,"&lt;="&amp;Y$3,CLAVE_COMB,$A327)+SUMIFS(SALIDAS_DES,FECHA_DESGLOSEN,"&gt;="&amp;Y$2,FECHA_DESGLOSEN,"&lt;="&amp;Y$3,CLAVE_DESGLOSE,$A327)</f>
        <v>0</v>
      </c>
      <c r="Z327" s="162">
        <f>SUMIFS(SALIDAS_BIT,FECHA_BIT,"&gt;="&amp;Z$2,FECHA_BIT,"&lt;="&amp;Z$3,CLAVE_BIT,$A327)+SUMIFS(SALIDAS_BOV1,FECHA_BOV1,"&gt;="&amp;Z$2,FECHA_BOV1,"&lt;="&amp;Z$3,CLAVE_BOV1,$A327)+SUMIFS(SALIDAS_BOV2,FECHA_BOV2,"&gt;="&amp;Z$2,FECHA_BOV2,"&lt;="&amp;Z$3,CLAVE_BOV2,$A327)+SUMIFS(SALIDAS_BOV3,FECHA_BOV3,"&gt;="&amp;Z$2,FECHA_BOV3,"&lt;="&amp;Z$3,CLAVE_BOV3,$A327)+SUMIFS(SALIDAS_TC,FECHA_TC,"&gt;="&amp;Z$2,FECHA_TC,"&lt;="&amp;Z$3,CLAVE_TC,$A327)+SUMIFS(SALIDAS_COMB,FECHA_COMB,"&gt;="&amp;Z$2,FECHA_COMB,"&lt;="&amp;Z$3,CLAVE_COMB,$A327)+SUMIFS(SALIDAS_DES,FECHA_DESGLOSEN,"&gt;="&amp;Z$2,FECHA_DESGLOSEN,"&lt;="&amp;Z$3,CLAVE_DESGLOSE,$A327)</f>
        <v>0</v>
      </c>
      <c r="AA327" s="162">
        <f>SUMIFS(SALIDAS_BIT,FECHA_BIT,"&gt;="&amp;AA$2,FECHA_BIT,"&lt;="&amp;AA$3,CLAVE_BIT,$A327)+SUMIFS(SALIDAS_BOV1,FECHA_BOV1,"&gt;="&amp;AA$2,FECHA_BOV1,"&lt;="&amp;AA$3,CLAVE_BOV1,$A327)+SUMIFS(SALIDAS_BOV2,FECHA_BOV2,"&gt;="&amp;AA$2,FECHA_BOV2,"&lt;="&amp;AA$3,CLAVE_BOV2,$A327)+SUMIFS(SALIDAS_BOV3,FECHA_BOV3,"&gt;="&amp;AA$2,FECHA_BOV3,"&lt;="&amp;AA$3,CLAVE_BOV3,$A327)+SUMIFS(SALIDAS_TC,FECHA_TC,"&gt;="&amp;AA$2,FECHA_TC,"&lt;="&amp;AA$3,CLAVE_TC,$A327)+SUMIFS(SALIDAS_COMB,FECHA_COMB,"&gt;="&amp;AA$2,FECHA_COMB,"&lt;="&amp;AA$3,CLAVE_COMB,$A327)+SUMIFS(SALIDAS_DES,FECHA_DESGLOSEN,"&gt;="&amp;AA$2,FECHA_DESGLOSEN,"&lt;="&amp;AA$3,CLAVE_DESGLOSE,$A327)</f>
        <v>0</v>
      </c>
      <c r="AB327" s="162">
        <f>SUMIFS(SALIDAS_BIT,FECHA_BIT,"&gt;="&amp;AB$2,FECHA_BIT,"&lt;="&amp;AB$3,CLAVE_BIT,$A327)+SUMIFS(SALIDAS_BOV1,FECHA_BOV1,"&gt;="&amp;AB$2,FECHA_BOV1,"&lt;="&amp;AB$3,CLAVE_BOV1,$A327)+SUMIFS(SALIDAS_BOV2,FECHA_BOV2,"&gt;="&amp;AB$2,FECHA_BOV2,"&lt;="&amp;AB$3,CLAVE_BOV2,$A327)+SUMIFS(SALIDAS_BOV3,FECHA_BOV3,"&gt;="&amp;AB$2,FECHA_BOV3,"&lt;="&amp;AB$3,CLAVE_BOV3,$A327)+SUMIFS(SALIDAS_TC,FECHA_TC,"&gt;="&amp;AB$2,FECHA_TC,"&lt;="&amp;AB$3,CLAVE_TC,$A327)+SUMIFS(SALIDAS_COMB,FECHA_COMB,"&gt;="&amp;AB$2,FECHA_COMB,"&lt;="&amp;AB$3,CLAVE_COMB,$A327)+SUMIFS(SALIDAS_DES,FECHA_DESGLOSEN,"&gt;="&amp;AB$2,FECHA_DESGLOSEN,"&lt;="&amp;AB$3,CLAVE_DESGLOSE,$A327)</f>
        <v>0</v>
      </c>
      <c r="AC327" s="227">
        <f t="shared" ref="AC327:AC328" si="694">W327-AB327</f>
        <v>0</v>
      </c>
      <c r="AD327" s="301">
        <f t="shared" ref="AD327:AD328" si="695">IFERROR((AB327/W327),0)</f>
        <v>0</v>
      </c>
      <c r="AE327" s="162">
        <f>VLOOKUP($A327,T_PRESUPUESTO,MATCH(AE$6,E_PRESUPUESTO,0),FALSE)</f>
        <v>0</v>
      </c>
      <c r="AF327" s="162">
        <f>SUMIFS(SALIDAS_BIT,FECHA_BIT,"&gt;="&amp;AF$2,FECHA_BIT,"&lt;="&amp;AF$3,CLAVE_BIT,$A327)+SUMIFS(SALIDAS_BOV1,FECHA_BOV1,"&gt;="&amp;AF$2,FECHA_BOV1,"&lt;="&amp;AF$3,CLAVE_BOV1,$A327)+SUMIFS(SALIDAS_BOV2,FECHA_BOV2,"&gt;="&amp;AF$2,FECHA_BOV2,"&lt;="&amp;AF$3,CLAVE_BOV2,$A327)+SUMIFS(SALIDAS_BOV3,FECHA_BOV3,"&gt;="&amp;AF$2,FECHA_BOV3,"&lt;="&amp;AF$3,CLAVE_BOV3,$A327)+SUMIFS(SALIDAS_TC,FECHA_TC,"&gt;="&amp;AF$2,FECHA_TC,"&lt;="&amp;AF$3,CLAVE_TC,$A327)+SUMIFS(SALIDAS_COMB,FECHA_COMB,"&gt;="&amp;AF$2,FECHA_COMB,"&lt;="&amp;AF$3,CLAVE_COMB,$A327)+SUMIFS(SALIDAS_DES,FECHA_DESGLOSEN,"&gt;="&amp;AF$2,FECHA_DESGLOSEN,"&lt;="&amp;AF$3,CLAVE_DESGLOSE,$A327)</f>
        <v>0</v>
      </c>
      <c r="AG327" s="162">
        <f>SUMIFS(SALIDAS_BIT,FECHA_BIT,"&gt;="&amp;AG$2,FECHA_BIT,"&lt;="&amp;AG$3,CLAVE_BIT,$A327)+SUMIFS(SALIDAS_BOV1,FECHA_BOV1,"&gt;="&amp;AG$2,FECHA_BOV1,"&lt;="&amp;AG$3,CLAVE_BOV1,$A327)+SUMIFS(SALIDAS_BOV2,FECHA_BOV2,"&gt;="&amp;AG$2,FECHA_BOV2,"&lt;="&amp;AG$3,CLAVE_BOV2,$A327)+SUMIFS(SALIDAS_BOV3,FECHA_BOV3,"&gt;="&amp;AG$2,FECHA_BOV3,"&lt;="&amp;AG$3,CLAVE_BOV3,$A327)+SUMIFS(SALIDAS_TC,FECHA_TC,"&gt;="&amp;AG$2,FECHA_TC,"&lt;="&amp;AG$3,CLAVE_TC,$A327)+SUMIFS(SALIDAS_COMB,FECHA_COMB,"&gt;="&amp;AG$2,FECHA_COMB,"&lt;="&amp;AG$3,CLAVE_COMB,$A327)+SUMIFS(SALIDAS_DES,FECHA_DESGLOSEN,"&gt;="&amp;AG$2,FECHA_DESGLOSEN,"&lt;="&amp;AG$3,CLAVE_DESGLOSE,$A327)</f>
        <v>0</v>
      </c>
      <c r="AH327" s="162">
        <f>SUMIFS(SALIDAS_BIT,FECHA_BIT,"&gt;="&amp;AH$2,FECHA_BIT,"&lt;="&amp;AH$3,CLAVE_BIT,$A327)+SUMIFS(SALIDAS_BOV1,FECHA_BOV1,"&gt;="&amp;AH$2,FECHA_BOV1,"&lt;="&amp;AH$3,CLAVE_BOV1,$A327)+SUMIFS(SALIDAS_BOV2,FECHA_BOV2,"&gt;="&amp;AH$2,FECHA_BOV2,"&lt;="&amp;AH$3,CLAVE_BOV2,$A327)+SUMIFS(SALIDAS_BOV3,FECHA_BOV3,"&gt;="&amp;AH$2,FECHA_BOV3,"&lt;="&amp;AH$3,CLAVE_BOV3,$A327)+SUMIFS(SALIDAS_TC,FECHA_TC,"&gt;="&amp;AH$2,FECHA_TC,"&lt;="&amp;AH$3,CLAVE_TC,$A327)+SUMIFS(SALIDAS_COMB,FECHA_COMB,"&gt;="&amp;AH$2,FECHA_COMB,"&lt;="&amp;AH$3,CLAVE_COMB,$A327)+SUMIFS(SALIDAS_DES,FECHA_DESGLOSEN,"&gt;="&amp;AH$2,FECHA_DESGLOSEN,"&lt;="&amp;AH$3,CLAVE_DESGLOSE,$A327)</f>
        <v>0</v>
      </c>
      <c r="AI327" s="162">
        <f>SUMIFS(SALIDAS_BIT,FECHA_BIT,"&gt;="&amp;AI$2,FECHA_BIT,"&lt;="&amp;AI$3,CLAVE_BIT,$A327)+SUMIFS(SALIDAS_BOV1,FECHA_BOV1,"&gt;="&amp;AI$2,FECHA_BOV1,"&lt;="&amp;AI$3,CLAVE_BOV1,$A327)+SUMIFS(SALIDAS_BOV2,FECHA_BOV2,"&gt;="&amp;AI$2,FECHA_BOV2,"&lt;="&amp;AI$3,CLAVE_BOV2,$A327)+SUMIFS(SALIDAS_BOV3,FECHA_BOV3,"&gt;="&amp;AI$2,FECHA_BOV3,"&lt;="&amp;AI$3,CLAVE_BOV3,$A327)+SUMIFS(SALIDAS_TC,FECHA_TC,"&gt;="&amp;AI$2,FECHA_TC,"&lt;="&amp;AI$3,CLAVE_TC,$A327)+SUMIFS(SALIDAS_COMB,FECHA_COMB,"&gt;="&amp;AI$2,FECHA_COMB,"&lt;="&amp;AI$3,CLAVE_COMB,$A327)+SUMIFS(SALIDAS_DES,FECHA_DESGLOSEN,"&gt;="&amp;AI$2,FECHA_DESGLOSEN,"&lt;="&amp;AI$3,CLAVE_DESGLOSE,$A327)</f>
        <v>0</v>
      </c>
      <c r="AJ327" s="162">
        <f>SUMIFS(SALIDAS_BIT,FECHA_BIT,"&gt;="&amp;AJ$2,FECHA_BIT,"&lt;="&amp;AJ$3,CLAVE_BIT,$A327)+SUMIFS(SALIDAS_BOV1,FECHA_BOV1,"&gt;="&amp;AJ$2,FECHA_BOV1,"&lt;="&amp;AJ$3,CLAVE_BOV1,$A327)+SUMIFS(SALIDAS_BOV2,FECHA_BOV2,"&gt;="&amp;AJ$2,FECHA_BOV2,"&lt;="&amp;AJ$3,CLAVE_BOV2,$A327)+SUMIFS(SALIDAS_BOV3,FECHA_BOV3,"&gt;="&amp;AJ$2,FECHA_BOV3,"&lt;="&amp;AJ$3,CLAVE_BOV3,$A327)+SUMIFS(SALIDAS_TC,FECHA_TC,"&gt;="&amp;AJ$2,FECHA_TC,"&lt;="&amp;AJ$3,CLAVE_TC,$A327)+SUMIFS(SALIDAS_COMB,FECHA_COMB,"&gt;="&amp;AJ$2,FECHA_COMB,"&lt;="&amp;AJ$3,CLAVE_COMB,$A327)+SUMIFS(SALIDAS_DES,FECHA_DESGLOSEN,"&gt;="&amp;AJ$2,FECHA_DESGLOSEN,"&lt;="&amp;AJ$3,CLAVE_DESGLOSE,$A327)</f>
        <v>0</v>
      </c>
      <c r="AK327" s="227">
        <f t="shared" ref="AK327:AK328" si="696">AE327-AJ327</f>
        <v>0</v>
      </c>
      <c r="AL327" s="301">
        <f t="shared" ref="AL327:AL328" si="697">IFERROR((AJ327/AE327),0)</f>
        <v>0</v>
      </c>
      <c r="AM327" s="162">
        <f>VLOOKUP($A327,T_PRESUPUESTO,MATCH(AM$6,E_PRESUPUESTO,0),FALSE)</f>
        <v>0</v>
      </c>
      <c r="AN327" s="162">
        <f>SUMIFS(SALIDAS_BIT,FECHA_BIT,"&gt;="&amp;AN$2,FECHA_BIT,"&lt;="&amp;AN$3,CLAVE_BIT,$A327)+SUMIFS(SALIDAS_BOV1,FECHA_BOV1,"&gt;="&amp;AN$2,FECHA_BOV1,"&lt;="&amp;AN$3,CLAVE_BOV1,$A327)+SUMIFS(SALIDAS_BOV2,FECHA_BOV2,"&gt;="&amp;AN$2,FECHA_BOV2,"&lt;="&amp;AN$3,CLAVE_BOV2,$A327)+SUMIFS(SALIDAS_BOV3,FECHA_BOV3,"&gt;="&amp;AN$2,FECHA_BOV3,"&lt;="&amp;AN$3,CLAVE_BOV3,$A327)+SUMIFS(SALIDAS_TC,FECHA_TC,"&gt;="&amp;AN$2,FECHA_TC,"&lt;="&amp;AN$3,CLAVE_TC,$A327)+SUMIFS(SALIDAS_COMB,FECHA_COMB,"&gt;="&amp;AN$2,FECHA_COMB,"&lt;="&amp;AN$3,CLAVE_COMB,$A327)+SUMIFS(SALIDAS_DES,FECHA_DESGLOSEN,"&gt;="&amp;AN$2,FECHA_DESGLOSEN,"&lt;="&amp;AN$3,CLAVE_DESGLOSE,$A327)</f>
        <v>0</v>
      </c>
      <c r="AO327" s="162">
        <f>SUMIFS(SALIDAS_BIT,FECHA_BIT,"&gt;="&amp;AO$2,FECHA_BIT,"&lt;="&amp;AO$3,CLAVE_BIT,$A327)+SUMIFS(SALIDAS_BOV1,FECHA_BOV1,"&gt;="&amp;AO$2,FECHA_BOV1,"&lt;="&amp;AO$3,CLAVE_BOV1,$A327)+SUMIFS(SALIDAS_BOV2,FECHA_BOV2,"&gt;="&amp;AO$2,FECHA_BOV2,"&lt;="&amp;AO$3,CLAVE_BOV2,$A327)+SUMIFS(SALIDAS_BOV3,FECHA_BOV3,"&gt;="&amp;AO$2,FECHA_BOV3,"&lt;="&amp;AO$3,CLAVE_BOV3,$A327)+SUMIFS(SALIDAS_TC,FECHA_TC,"&gt;="&amp;AO$2,FECHA_TC,"&lt;="&amp;AO$3,CLAVE_TC,$A327)+SUMIFS(SALIDAS_COMB,FECHA_COMB,"&gt;="&amp;AO$2,FECHA_COMB,"&lt;="&amp;AO$3,CLAVE_COMB,$A327)+SUMIFS(SALIDAS_DES,FECHA_DESGLOSEN,"&gt;="&amp;AO$2,FECHA_DESGLOSEN,"&lt;="&amp;AO$3,CLAVE_DESGLOSE,$A327)</f>
        <v>0</v>
      </c>
      <c r="AP327" s="162">
        <f>SUMIFS(SALIDAS_BIT,FECHA_BIT,"&gt;="&amp;AP$2,FECHA_BIT,"&lt;="&amp;AP$3,CLAVE_BIT,$A327)+SUMIFS(SALIDAS_BOV1,FECHA_BOV1,"&gt;="&amp;AP$2,FECHA_BOV1,"&lt;="&amp;AP$3,CLAVE_BOV1,$A327)+SUMIFS(SALIDAS_BOV2,FECHA_BOV2,"&gt;="&amp;AP$2,FECHA_BOV2,"&lt;="&amp;AP$3,CLAVE_BOV2,$A327)+SUMIFS(SALIDAS_BOV3,FECHA_BOV3,"&gt;="&amp;AP$2,FECHA_BOV3,"&lt;="&amp;AP$3,CLAVE_BOV3,$A327)+SUMIFS(SALIDAS_TC,FECHA_TC,"&gt;="&amp;AP$2,FECHA_TC,"&lt;="&amp;AP$3,CLAVE_TC,$A327)+SUMIFS(SALIDAS_COMB,FECHA_COMB,"&gt;="&amp;AP$2,FECHA_COMB,"&lt;="&amp;AP$3,CLAVE_COMB,$A327)+SUMIFS(SALIDAS_DES,FECHA_DESGLOSEN,"&gt;="&amp;AP$2,FECHA_DESGLOSEN,"&lt;="&amp;AP$3,CLAVE_DESGLOSE,$A327)</f>
        <v>0</v>
      </c>
      <c r="AQ327" s="162">
        <f>SUMIFS(SALIDAS_BIT,FECHA_BIT,"&gt;="&amp;AQ$2,FECHA_BIT,"&lt;="&amp;AQ$3,CLAVE_BIT,$A327)+SUMIFS(SALIDAS_BOV1,FECHA_BOV1,"&gt;="&amp;AQ$2,FECHA_BOV1,"&lt;="&amp;AQ$3,CLAVE_BOV1,$A327)+SUMIFS(SALIDAS_BOV2,FECHA_BOV2,"&gt;="&amp;AQ$2,FECHA_BOV2,"&lt;="&amp;AQ$3,CLAVE_BOV2,$A327)+SUMIFS(SALIDAS_BOV3,FECHA_BOV3,"&gt;="&amp;AQ$2,FECHA_BOV3,"&lt;="&amp;AQ$3,CLAVE_BOV3,$A327)+SUMIFS(SALIDAS_TC,FECHA_TC,"&gt;="&amp;AQ$2,FECHA_TC,"&lt;="&amp;AQ$3,CLAVE_TC,$A327)+SUMIFS(SALIDAS_COMB,FECHA_COMB,"&gt;="&amp;AQ$2,FECHA_COMB,"&lt;="&amp;AQ$3,CLAVE_COMB,$A327)+SUMIFS(SALIDAS_DES,FECHA_DESGLOSEN,"&gt;="&amp;AQ$2,FECHA_DESGLOSEN,"&lt;="&amp;AQ$3,CLAVE_DESGLOSE,$A327)</f>
        <v>0</v>
      </c>
      <c r="AR327" s="162">
        <f>SUMIFS(SALIDAS_BIT,FECHA_BIT,"&gt;="&amp;AR$2,FECHA_BIT,"&lt;="&amp;AR$3,CLAVE_BIT,$A327)+SUMIFS(SALIDAS_BOV1,FECHA_BOV1,"&gt;="&amp;AR$2,FECHA_BOV1,"&lt;="&amp;AR$3,CLAVE_BOV1,$A327)+SUMIFS(SALIDAS_BOV2,FECHA_BOV2,"&gt;="&amp;AR$2,FECHA_BOV2,"&lt;="&amp;AR$3,CLAVE_BOV2,$A327)+SUMIFS(SALIDAS_BOV3,FECHA_BOV3,"&gt;="&amp;AR$2,FECHA_BOV3,"&lt;="&amp;AR$3,CLAVE_BOV3,$A327)+SUMIFS(SALIDAS_TC,FECHA_TC,"&gt;="&amp;AR$2,FECHA_TC,"&lt;="&amp;AR$3,CLAVE_TC,$A327)+SUMIFS(SALIDAS_COMB,FECHA_COMB,"&gt;="&amp;AR$2,FECHA_COMB,"&lt;="&amp;AR$3,CLAVE_COMB,$A327)+SUMIFS(SALIDAS_DES,FECHA_DESGLOSEN,"&gt;="&amp;AR$2,FECHA_DESGLOSEN,"&lt;="&amp;AR$3,CLAVE_DESGLOSE,$A327)</f>
        <v>0</v>
      </c>
      <c r="AS327" s="162">
        <f>SUMIFS(SALIDAS_BIT,FECHA_BIT,"&gt;="&amp;AS$2,FECHA_BIT,"&lt;="&amp;AS$3,CLAVE_BIT,$A327)+SUMIFS(SALIDAS_BOV1,FECHA_BOV1,"&gt;="&amp;AS$2,FECHA_BOV1,"&lt;="&amp;AS$3,CLAVE_BOV1,$A327)+SUMIFS(SALIDAS_BOV2,FECHA_BOV2,"&gt;="&amp;AS$2,FECHA_BOV2,"&lt;="&amp;AS$3,CLAVE_BOV2,$A327)+SUMIFS(SALIDAS_BOV3,FECHA_BOV3,"&gt;="&amp;AS$2,FECHA_BOV3,"&lt;="&amp;AS$3,CLAVE_BOV3,$A327)+SUMIFS(SALIDAS_TC,FECHA_TC,"&gt;="&amp;AS$2,FECHA_TC,"&lt;="&amp;AS$3,CLAVE_TC,$A327)+SUMIFS(SALIDAS_COMB,FECHA_COMB,"&gt;="&amp;AS$2,FECHA_COMB,"&lt;="&amp;AS$3,CLAVE_COMB,$A327)+SUMIFS(SALIDAS_DES,FECHA_DESGLOSEN,"&gt;="&amp;AS$2,FECHA_DESGLOSEN,"&lt;="&amp;AS$3,CLAVE_DESGLOSE,$A327)</f>
        <v>0</v>
      </c>
      <c r="AT327" s="227">
        <f t="shared" ref="AT327:AT328" si="698">AM327-AS327</f>
        <v>0</v>
      </c>
      <c r="AU327" s="301">
        <f t="shared" ref="AU327:AU328" si="699">IFERROR((AS327/AM327),0)</f>
        <v>0</v>
      </c>
      <c r="AV327" s="162">
        <f>VLOOKUP($A327,T_PRESUPUESTO,MATCH(AV$6,E_PRESUPUESTO,0),FALSE)</f>
        <v>0</v>
      </c>
      <c r="AW327" s="162">
        <f>SUMIFS(SALIDAS_BIT,FECHA_BIT,"&gt;="&amp;AW$2,FECHA_BIT,"&lt;="&amp;AW$3,CLAVE_BIT,$A327)+SUMIFS(SALIDAS_BOV1,FECHA_BOV1,"&gt;="&amp;AW$2,FECHA_BOV1,"&lt;="&amp;AW$3,CLAVE_BOV1,$A327)+SUMIFS(SALIDAS_BOV2,FECHA_BOV2,"&gt;="&amp;AW$2,FECHA_BOV2,"&lt;="&amp;AW$3,CLAVE_BOV2,$A327)+SUMIFS(SALIDAS_BOV3,FECHA_BOV3,"&gt;="&amp;AW$2,FECHA_BOV3,"&lt;="&amp;AW$3,CLAVE_BOV3,$A327)+SUMIFS(SALIDAS_TC,FECHA_TC,"&gt;="&amp;AW$2,FECHA_TC,"&lt;="&amp;AW$3,CLAVE_TC,$A327)+SUMIFS(SALIDAS_COMB,FECHA_COMB,"&gt;="&amp;AW$2,FECHA_COMB,"&lt;="&amp;AW$3,CLAVE_COMB,$A327)+SUMIFS(SALIDAS_DES,FECHA_DESGLOSEN,"&gt;="&amp;AW$2,FECHA_DESGLOSEN,"&lt;="&amp;AW$3,CLAVE_DESGLOSE,$A327)</f>
        <v>0</v>
      </c>
      <c r="AX327" s="162">
        <f>SUMIFS(SALIDAS_BIT,FECHA_BIT,"&gt;="&amp;AX$2,FECHA_BIT,"&lt;="&amp;AX$3,CLAVE_BIT,$A327)+SUMIFS(SALIDAS_BOV1,FECHA_BOV1,"&gt;="&amp;AX$2,FECHA_BOV1,"&lt;="&amp;AX$3,CLAVE_BOV1,$A327)+SUMIFS(SALIDAS_BOV2,FECHA_BOV2,"&gt;="&amp;AX$2,FECHA_BOV2,"&lt;="&amp;AX$3,CLAVE_BOV2,$A327)+SUMIFS(SALIDAS_BOV3,FECHA_BOV3,"&gt;="&amp;AX$2,FECHA_BOV3,"&lt;="&amp;AX$3,CLAVE_BOV3,$A327)+SUMIFS(SALIDAS_TC,FECHA_TC,"&gt;="&amp;AX$2,FECHA_TC,"&lt;="&amp;AX$3,CLAVE_TC,$A327)+SUMIFS(SALIDAS_COMB,FECHA_COMB,"&gt;="&amp;AX$2,FECHA_COMB,"&lt;="&amp;AX$3,CLAVE_COMB,$A327)+SUMIFS(SALIDAS_DES,FECHA_DESGLOSEN,"&gt;="&amp;AX$2,FECHA_DESGLOSEN,"&lt;="&amp;AX$3,CLAVE_DESGLOSE,$A327)</f>
        <v>0</v>
      </c>
      <c r="AY327" s="162">
        <f>SUMIFS(SALIDAS_BIT,FECHA_BIT,"&gt;="&amp;AY$2,FECHA_BIT,"&lt;="&amp;AY$3,CLAVE_BIT,$A327)+SUMIFS(SALIDAS_BOV1,FECHA_BOV1,"&gt;="&amp;AY$2,FECHA_BOV1,"&lt;="&amp;AY$3,CLAVE_BOV1,$A327)+SUMIFS(SALIDAS_BOV2,FECHA_BOV2,"&gt;="&amp;AY$2,FECHA_BOV2,"&lt;="&amp;AY$3,CLAVE_BOV2,$A327)+SUMIFS(SALIDAS_BOV3,FECHA_BOV3,"&gt;="&amp;AY$2,FECHA_BOV3,"&lt;="&amp;AY$3,CLAVE_BOV3,$A327)+SUMIFS(SALIDAS_TC,FECHA_TC,"&gt;="&amp;AY$2,FECHA_TC,"&lt;="&amp;AY$3,CLAVE_TC,$A327)+SUMIFS(SALIDAS_COMB,FECHA_COMB,"&gt;="&amp;AY$2,FECHA_COMB,"&lt;="&amp;AY$3,CLAVE_COMB,$A327)+SUMIFS(SALIDAS_DES,FECHA_DESGLOSEN,"&gt;="&amp;AY$2,FECHA_DESGLOSEN,"&lt;="&amp;AY$3,CLAVE_DESGLOSE,$A327)</f>
        <v>0</v>
      </c>
      <c r="AZ327" s="162">
        <f>SUMIFS(SALIDAS_BIT,FECHA_BIT,"&gt;="&amp;AZ$2,FECHA_BIT,"&lt;="&amp;AZ$3,CLAVE_BIT,$A327)+SUMIFS(SALIDAS_BOV1,FECHA_BOV1,"&gt;="&amp;AZ$2,FECHA_BOV1,"&lt;="&amp;AZ$3,CLAVE_BOV1,$A327)+SUMIFS(SALIDAS_BOV2,FECHA_BOV2,"&gt;="&amp;AZ$2,FECHA_BOV2,"&lt;="&amp;AZ$3,CLAVE_BOV2,$A327)+SUMIFS(SALIDAS_BOV3,FECHA_BOV3,"&gt;="&amp;AZ$2,FECHA_BOV3,"&lt;="&amp;AZ$3,CLAVE_BOV3,$A327)+SUMIFS(SALIDAS_TC,FECHA_TC,"&gt;="&amp;AZ$2,FECHA_TC,"&lt;="&amp;AZ$3,CLAVE_TC,$A327)+SUMIFS(SALIDAS_COMB,FECHA_COMB,"&gt;="&amp;AZ$2,FECHA_COMB,"&lt;="&amp;AZ$3,CLAVE_COMB,$A327)+SUMIFS(SALIDAS_DES,FECHA_DESGLOSEN,"&gt;="&amp;AZ$2,FECHA_DESGLOSEN,"&lt;="&amp;AZ$3,CLAVE_DESGLOSE,$A327)</f>
        <v>0</v>
      </c>
      <c r="BA327" s="162">
        <f>SUMIFS(SALIDAS_BIT,FECHA_BIT,"&gt;="&amp;BA$2,FECHA_BIT,"&lt;="&amp;BA$3,CLAVE_BIT,$A327)+SUMIFS(SALIDAS_BOV1,FECHA_BOV1,"&gt;="&amp;BA$2,FECHA_BOV1,"&lt;="&amp;BA$3,CLAVE_BOV1,$A327)+SUMIFS(SALIDAS_BOV2,FECHA_BOV2,"&gt;="&amp;BA$2,FECHA_BOV2,"&lt;="&amp;BA$3,CLAVE_BOV2,$A327)+SUMIFS(SALIDAS_BOV3,FECHA_BOV3,"&gt;="&amp;BA$2,FECHA_BOV3,"&lt;="&amp;BA$3,CLAVE_BOV3,$A327)+SUMIFS(SALIDAS_TC,FECHA_TC,"&gt;="&amp;BA$2,FECHA_TC,"&lt;="&amp;BA$3,CLAVE_TC,$A327)+SUMIFS(SALIDAS_COMB,FECHA_COMB,"&gt;="&amp;BA$2,FECHA_COMB,"&lt;="&amp;BA$3,CLAVE_COMB,$A327)+SUMIFS(SALIDAS_DES,FECHA_DESGLOSEN,"&gt;="&amp;BA$2,FECHA_DESGLOSEN,"&lt;="&amp;BA$3,CLAVE_DESGLOSE,$A327)</f>
        <v>0</v>
      </c>
      <c r="BB327" s="227">
        <f t="shared" ref="BB327:BB328" si="700">AV327-BA327</f>
        <v>0</v>
      </c>
      <c r="BC327" s="301">
        <f t="shared" ref="BC327:BC328" si="701">IFERROR((BA327/AV327),0)</f>
        <v>0</v>
      </c>
      <c r="BD327" s="162">
        <f>VLOOKUP($A327,T_PRESUPUESTO,MATCH(BD$6,E_PRESUPUESTO,0),FALSE)</f>
        <v>0</v>
      </c>
      <c r="BE327" s="162">
        <f>SUMIFS(SALIDAS_BIT,FECHA_BIT,"&gt;="&amp;BE$2,FECHA_BIT,"&lt;="&amp;BE$3,CLAVE_BIT,$A327)+SUMIFS(SALIDAS_BOV1,FECHA_BOV1,"&gt;="&amp;BE$2,FECHA_BOV1,"&lt;="&amp;BE$3,CLAVE_BOV1,$A327)+SUMIFS(SALIDAS_BOV2,FECHA_BOV2,"&gt;="&amp;BE$2,FECHA_BOV2,"&lt;="&amp;BE$3,CLAVE_BOV2,$A327)+SUMIFS(SALIDAS_BOV3,FECHA_BOV3,"&gt;="&amp;BE$2,FECHA_BOV3,"&lt;="&amp;BE$3,CLAVE_BOV3,$A327)+SUMIFS(SALIDAS_TC,FECHA_TC,"&gt;="&amp;BE$2,FECHA_TC,"&lt;="&amp;BE$3,CLAVE_TC,$A327)+SUMIFS(SALIDAS_COMB,FECHA_COMB,"&gt;="&amp;BE$2,FECHA_COMB,"&lt;="&amp;BE$3,CLAVE_COMB,$A327)+SUMIFS(SALIDAS_DES,FECHA_DESGLOSEN,"&gt;="&amp;BE$2,FECHA_DESGLOSEN,"&lt;="&amp;BE$3,CLAVE_DESGLOSE,$A327)</f>
        <v>0</v>
      </c>
      <c r="BF327" s="162">
        <f>SUMIFS(SALIDAS_BIT,FECHA_BIT,"&gt;="&amp;BF$2,FECHA_BIT,"&lt;="&amp;BF$3,CLAVE_BIT,$A327)+SUMIFS(SALIDAS_BOV1,FECHA_BOV1,"&gt;="&amp;BF$2,FECHA_BOV1,"&lt;="&amp;BF$3,CLAVE_BOV1,$A327)+SUMIFS(SALIDAS_BOV2,FECHA_BOV2,"&gt;="&amp;BF$2,FECHA_BOV2,"&lt;="&amp;BF$3,CLAVE_BOV2,$A327)+SUMIFS(SALIDAS_BOV3,FECHA_BOV3,"&gt;="&amp;BF$2,FECHA_BOV3,"&lt;="&amp;BF$3,CLAVE_BOV3,$A327)+SUMIFS(SALIDAS_TC,FECHA_TC,"&gt;="&amp;BF$2,FECHA_TC,"&lt;="&amp;BF$3,CLAVE_TC,$A327)+SUMIFS(SALIDAS_COMB,FECHA_COMB,"&gt;="&amp;BF$2,FECHA_COMB,"&lt;="&amp;BF$3,CLAVE_COMB,$A327)+SUMIFS(SALIDAS_DES,FECHA_DESGLOSEN,"&gt;="&amp;BF$2,FECHA_DESGLOSEN,"&lt;="&amp;BF$3,CLAVE_DESGLOSE,$A327)</f>
        <v>0</v>
      </c>
      <c r="BG327" s="162">
        <f>SUMIFS(SALIDAS_BIT,FECHA_BIT,"&gt;="&amp;BG$2,FECHA_BIT,"&lt;="&amp;BG$3,CLAVE_BIT,$A327)+SUMIFS(SALIDAS_BOV1,FECHA_BOV1,"&gt;="&amp;BG$2,FECHA_BOV1,"&lt;="&amp;BG$3,CLAVE_BOV1,$A327)+SUMIFS(SALIDAS_BOV2,FECHA_BOV2,"&gt;="&amp;BG$2,FECHA_BOV2,"&lt;="&amp;BG$3,CLAVE_BOV2,$A327)+SUMIFS(SALIDAS_BOV3,FECHA_BOV3,"&gt;="&amp;BG$2,FECHA_BOV3,"&lt;="&amp;BG$3,CLAVE_BOV3,$A327)+SUMIFS(SALIDAS_TC,FECHA_TC,"&gt;="&amp;BG$2,FECHA_TC,"&lt;="&amp;BG$3,CLAVE_TC,$A327)+SUMIFS(SALIDAS_COMB,FECHA_COMB,"&gt;="&amp;BG$2,FECHA_COMB,"&lt;="&amp;BG$3,CLAVE_COMB,$A327)+SUMIFS(SALIDAS_DES,FECHA_DESGLOSEN,"&gt;="&amp;BG$2,FECHA_DESGLOSEN,"&lt;="&amp;BG$3,CLAVE_DESGLOSE,$A327)</f>
        <v>0</v>
      </c>
      <c r="BH327" s="162">
        <f>SUMIFS(SALIDAS_BIT,FECHA_BIT,"&gt;="&amp;BH$2,FECHA_BIT,"&lt;="&amp;BH$3,CLAVE_BIT,$A327)+SUMIFS(SALIDAS_BOV1,FECHA_BOV1,"&gt;="&amp;BH$2,FECHA_BOV1,"&lt;="&amp;BH$3,CLAVE_BOV1,$A327)+SUMIFS(SALIDAS_BOV2,FECHA_BOV2,"&gt;="&amp;BH$2,FECHA_BOV2,"&lt;="&amp;BH$3,CLAVE_BOV2,$A327)+SUMIFS(SALIDAS_BOV3,FECHA_BOV3,"&gt;="&amp;BH$2,FECHA_BOV3,"&lt;="&amp;BH$3,CLAVE_BOV3,$A327)+SUMIFS(SALIDAS_TC,FECHA_TC,"&gt;="&amp;BH$2,FECHA_TC,"&lt;="&amp;BH$3,CLAVE_TC,$A327)+SUMIFS(SALIDAS_COMB,FECHA_COMB,"&gt;="&amp;BH$2,FECHA_COMB,"&lt;="&amp;BH$3,CLAVE_COMB,$A327)+SUMIFS(SALIDAS_DES,FECHA_DESGLOSEN,"&gt;="&amp;BH$2,FECHA_DESGLOSEN,"&lt;="&amp;BH$3,CLAVE_DESGLOSE,$A327)</f>
        <v>0</v>
      </c>
      <c r="BI327" s="162">
        <f>SUMIFS(SALIDAS_BIT,FECHA_BIT,"&gt;="&amp;BI$2,FECHA_BIT,"&lt;="&amp;BI$3,CLAVE_BIT,$A327)+SUMIFS(SALIDAS_BOV1,FECHA_BOV1,"&gt;="&amp;BI$2,FECHA_BOV1,"&lt;="&amp;BI$3,CLAVE_BOV1,$A327)+SUMIFS(SALIDAS_BOV2,FECHA_BOV2,"&gt;="&amp;BI$2,FECHA_BOV2,"&lt;="&amp;BI$3,CLAVE_BOV2,$A327)+SUMIFS(SALIDAS_BOV3,FECHA_BOV3,"&gt;="&amp;BI$2,FECHA_BOV3,"&lt;="&amp;BI$3,CLAVE_BOV3,$A327)+SUMIFS(SALIDAS_TC,FECHA_TC,"&gt;="&amp;BI$2,FECHA_TC,"&lt;="&amp;BI$3,CLAVE_TC,$A327)+SUMIFS(SALIDAS_COMB,FECHA_COMB,"&gt;="&amp;BI$2,FECHA_COMB,"&lt;="&amp;BI$3,CLAVE_COMB,$A327)+SUMIFS(SALIDAS_DES,FECHA_DESGLOSEN,"&gt;="&amp;BI$2,FECHA_DESGLOSEN,"&lt;="&amp;BI$3,CLAVE_DESGLOSE,$A327)</f>
        <v>0</v>
      </c>
      <c r="BJ327" s="227">
        <f t="shared" ref="BJ327:BJ328" si="702">BD327-BI327</f>
        <v>0</v>
      </c>
      <c r="BK327" s="301">
        <f t="shared" ref="BK327:BK328" si="703">IFERROR((BI327/BD327),0)</f>
        <v>0</v>
      </c>
      <c r="BL327" s="162">
        <f>VLOOKUP($A327,T_PRESUPUESTO,MATCH(BL$6,E_PRESUPUESTO,0),FALSE)</f>
        <v>0</v>
      </c>
      <c r="BM327" s="162">
        <f>SUMIFS(SALIDAS_BIT,FECHA_BIT,"&gt;="&amp;BM$2,FECHA_BIT,"&lt;="&amp;BM$3,CLAVE_BIT,$A327)+SUMIFS(SALIDAS_BOV1,FECHA_BOV1,"&gt;="&amp;BM$2,FECHA_BOV1,"&lt;="&amp;BM$3,CLAVE_BOV1,$A327)+SUMIFS(SALIDAS_BOV2,FECHA_BOV2,"&gt;="&amp;BM$2,FECHA_BOV2,"&lt;="&amp;BM$3,CLAVE_BOV2,$A327)+SUMIFS(SALIDAS_BOV3,FECHA_BOV3,"&gt;="&amp;BM$2,FECHA_BOV3,"&lt;="&amp;BM$3,CLAVE_BOV3,$A327)+SUMIFS(SALIDAS_TC,FECHA_TC,"&gt;="&amp;BM$2,FECHA_TC,"&lt;="&amp;BM$3,CLAVE_TC,$A327)+SUMIFS(SALIDAS_COMB,FECHA_COMB,"&gt;="&amp;BM$2,FECHA_COMB,"&lt;="&amp;BM$3,CLAVE_COMB,$A327)+SUMIFS(SALIDAS_DES,FECHA_DESGLOSEN,"&gt;="&amp;BM$2,FECHA_DESGLOSEN,"&lt;="&amp;BM$3,CLAVE_DESGLOSE,$A327)</f>
        <v>4557</v>
      </c>
      <c r="BN327" s="162">
        <f>SUMIFS(SALIDAS_BIT,FECHA_BIT,"&gt;="&amp;BN$2,FECHA_BIT,"&lt;="&amp;BN$3,CLAVE_BIT,$A327)+SUMIFS(SALIDAS_BOV1,FECHA_BOV1,"&gt;="&amp;BN$2,FECHA_BOV1,"&lt;="&amp;BN$3,CLAVE_BOV1,$A327)+SUMIFS(SALIDAS_BOV2,FECHA_BOV2,"&gt;="&amp;BN$2,FECHA_BOV2,"&lt;="&amp;BN$3,CLAVE_BOV2,$A327)+SUMIFS(SALIDAS_BOV3,FECHA_BOV3,"&gt;="&amp;BN$2,FECHA_BOV3,"&lt;="&amp;BN$3,CLAVE_BOV3,$A327)+SUMIFS(SALIDAS_TC,FECHA_TC,"&gt;="&amp;BN$2,FECHA_TC,"&lt;="&amp;BN$3,CLAVE_TC,$A327)+SUMIFS(SALIDAS_COMB,FECHA_COMB,"&gt;="&amp;BN$2,FECHA_COMB,"&lt;="&amp;BN$3,CLAVE_COMB,$A327)+SUMIFS(SALIDAS_DES,FECHA_DESGLOSEN,"&gt;="&amp;BN$2,FECHA_DESGLOSEN,"&lt;="&amp;BN$3,CLAVE_DESGLOSE,$A327)</f>
        <v>0</v>
      </c>
      <c r="BO327" s="162">
        <f>SUMIFS(SALIDAS_BIT,FECHA_BIT,"&gt;="&amp;BO$2,FECHA_BIT,"&lt;="&amp;BO$3,CLAVE_BIT,$A327)+SUMIFS(SALIDAS_BOV1,FECHA_BOV1,"&gt;="&amp;BO$2,FECHA_BOV1,"&lt;="&amp;BO$3,CLAVE_BOV1,$A327)+SUMIFS(SALIDAS_BOV2,FECHA_BOV2,"&gt;="&amp;BO$2,FECHA_BOV2,"&lt;="&amp;BO$3,CLAVE_BOV2,$A327)+SUMIFS(SALIDAS_BOV3,FECHA_BOV3,"&gt;="&amp;BO$2,FECHA_BOV3,"&lt;="&amp;BO$3,CLAVE_BOV3,$A327)+SUMIFS(SALIDAS_TC,FECHA_TC,"&gt;="&amp;BO$2,FECHA_TC,"&lt;="&amp;BO$3,CLAVE_TC,$A327)+SUMIFS(SALIDAS_COMB,FECHA_COMB,"&gt;="&amp;BO$2,FECHA_COMB,"&lt;="&amp;BO$3,CLAVE_COMB,$A327)+SUMIFS(SALIDAS_DES,FECHA_DESGLOSEN,"&gt;="&amp;BO$2,FECHA_DESGLOSEN,"&lt;="&amp;BO$3,CLAVE_DESGLOSE,$A327)</f>
        <v>0</v>
      </c>
      <c r="BP327" s="162">
        <f>SUMIFS(SALIDAS_BIT,FECHA_BIT,"&gt;="&amp;BP$2,FECHA_BIT,"&lt;="&amp;BP$3,CLAVE_BIT,$A327)+SUMIFS(SALIDAS_BOV1,FECHA_BOV1,"&gt;="&amp;BP$2,FECHA_BOV1,"&lt;="&amp;BP$3,CLAVE_BOV1,$A327)+SUMIFS(SALIDAS_BOV2,FECHA_BOV2,"&gt;="&amp;BP$2,FECHA_BOV2,"&lt;="&amp;BP$3,CLAVE_BOV2,$A327)+SUMIFS(SALIDAS_BOV3,FECHA_BOV3,"&gt;="&amp;BP$2,FECHA_BOV3,"&lt;="&amp;BP$3,CLAVE_BOV3,$A327)+SUMIFS(SALIDAS_TC,FECHA_TC,"&gt;="&amp;BP$2,FECHA_TC,"&lt;="&amp;BP$3,CLAVE_TC,$A327)+SUMIFS(SALIDAS_COMB,FECHA_COMB,"&gt;="&amp;BP$2,FECHA_COMB,"&lt;="&amp;BP$3,CLAVE_COMB,$A327)+SUMIFS(SALIDAS_DES,FECHA_DESGLOSEN,"&gt;="&amp;BP$2,FECHA_DESGLOSEN,"&lt;="&amp;BP$3,CLAVE_DESGLOSE,$A327)</f>
        <v>0</v>
      </c>
      <c r="BQ327" s="162">
        <f>SUMIFS(SALIDAS_BIT,FECHA_BIT,"&gt;="&amp;BQ$2,FECHA_BIT,"&lt;="&amp;BQ$3,CLAVE_BIT,$A327)+SUMIFS(SALIDAS_BOV1,FECHA_BOV1,"&gt;="&amp;BQ$2,FECHA_BOV1,"&lt;="&amp;BQ$3,CLAVE_BOV1,$A327)+SUMIFS(SALIDAS_BOV2,FECHA_BOV2,"&gt;="&amp;BQ$2,FECHA_BOV2,"&lt;="&amp;BQ$3,CLAVE_BOV2,$A327)+SUMIFS(SALIDAS_BOV3,FECHA_BOV3,"&gt;="&amp;BQ$2,FECHA_BOV3,"&lt;="&amp;BQ$3,CLAVE_BOV3,$A327)+SUMIFS(SALIDAS_TC,FECHA_TC,"&gt;="&amp;BQ$2,FECHA_TC,"&lt;="&amp;BQ$3,CLAVE_TC,$A327)+SUMIFS(SALIDAS_COMB,FECHA_COMB,"&gt;="&amp;BQ$2,FECHA_COMB,"&lt;="&amp;BQ$3,CLAVE_COMB,$A327)+SUMIFS(SALIDAS_DES,FECHA_DESGLOSEN,"&gt;="&amp;BQ$2,FECHA_DESGLOSEN,"&lt;="&amp;BQ$3,CLAVE_DESGLOSE,$A327)</f>
        <v>0</v>
      </c>
      <c r="BR327" s="162">
        <f>SUMIFS(SALIDAS_BIT,FECHA_BIT,"&gt;="&amp;BR$2,FECHA_BIT,"&lt;="&amp;BR$3,CLAVE_BIT,$A327)+SUMIFS(SALIDAS_BOV1,FECHA_BOV1,"&gt;="&amp;BR$2,FECHA_BOV1,"&lt;="&amp;BR$3,CLAVE_BOV1,$A327)+SUMIFS(SALIDAS_BOV2,FECHA_BOV2,"&gt;="&amp;BR$2,FECHA_BOV2,"&lt;="&amp;BR$3,CLAVE_BOV2,$A327)+SUMIFS(SALIDAS_BOV3,FECHA_BOV3,"&gt;="&amp;BR$2,FECHA_BOV3,"&lt;="&amp;BR$3,CLAVE_BOV3,$A327)+SUMIFS(SALIDAS_TC,FECHA_TC,"&gt;="&amp;BR$2,FECHA_TC,"&lt;="&amp;BR$3,CLAVE_TC,$A327)+SUMIFS(SALIDAS_COMB,FECHA_COMB,"&gt;="&amp;BR$2,FECHA_COMB,"&lt;="&amp;BR$3,CLAVE_COMB,$A327)+SUMIFS(SALIDAS_DES,FECHA_DESGLOSEN,"&gt;="&amp;BR$2,FECHA_DESGLOSEN,"&lt;="&amp;BR$3,CLAVE_DESGLOSE,$A327)</f>
        <v>4557</v>
      </c>
      <c r="BS327" s="227">
        <f t="shared" ref="BS327:BS328" si="704">BL327-BR327</f>
        <v>-4557</v>
      </c>
      <c r="BT327" s="301">
        <f t="shared" ref="BT327:BT328" si="705">IFERROR((BR327/BL327),0)</f>
        <v>0</v>
      </c>
      <c r="BU327" s="162">
        <f>VLOOKUP($A327,T_PRESUPUESTO,MATCH(BU$6,E_PRESUPUESTO,0),FALSE)</f>
        <v>0</v>
      </c>
      <c r="BV327" s="162">
        <f>SUMIFS(SALIDAS_BIT,FECHA_BIT,"&gt;="&amp;BV$2,FECHA_BIT,"&lt;="&amp;BV$3,CLAVE_BIT,$A327)+SUMIFS(SALIDAS_BOV1,FECHA_BOV1,"&gt;="&amp;BV$2,FECHA_BOV1,"&lt;="&amp;BV$3,CLAVE_BOV1,$A327)+SUMIFS(SALIDAS_BOV2,FECHA_BOV2,"&gt;="&amp;BV$2,FECHA_BOV2,"&lt;="&amp;BV$3,CLAVE_BOV2,$A327)+SUMIFS(SALIDAS_BOV3,FECHA_BOV3,"&gt;="&amp;BV$2,FECHA_BOV3,"&lt;="&amp;BV$3,CLAVE_BOV3,$A327)+SUMIFS(SALIDAS_TC,FECHA_TC,"&gt;="&amp;BV$2,FECHA_TC,"&lt;="&amp;BV$3,CLAVE_TC,$A327)+SUMIFS(SALIDAS_COMB,FECHA_COMB,"&gt;="&amp;BV$2,FECHA_COMB,"&lt;="&amp;BV$3,CLAVE_COMB,$A327)+SUMIFS(SALIDAS_DES,FECHA_DESGLOSEN,"&gt;="&amp;BV$2,FECHA_DESGLOSEN,"&lt;="&amp;BV$3,CLAVE_DESGLOSE,$A327)</f>
        <v>0</v>
      </c>
      <c r="BW327" s="162">
        <f>SUMIFS(SALIDAS_BIT,FECHA_BIT,"&gt;="&amp;BW$2,FECHA_BIT,"&lt;="&amp;BW$3,CLAVE_BIT,$A327)+SUMIFS(SALIDAS_BOV1,FECHA_BOV1,"&gt;="&amp;BW$2,FECHA_BOV1,"&lt;="&amp;BW$3,CLAVE_BOV1,$A327)+SUMIFS(SALIDAS_BOV2,FECHA_BOV2,"&gt;="&amp;BW$2,FECHA_BOV2,"&lt;="&amp;BW$3,CLAVE_BOV2,$A327)+SUMIFS(SALIDAS_BOV3,FECHA_BOV3,"&gt;="&amp;BW$2,FECHA_BOV3,"&lt;="&amp;BW$3,CLAVE_BOV3,$A327)+SUMIFS(SALIDAS_TC,FECHA_TC,"&gt;="&amp;BW$2,FECHA_TC,"&lt;="&amp;BW$3,CLAVE_TC,$A327)+SUMIFS(SALIDAS_COMB,FECHA_COMB,"&gt;="&amp;BW$2,FECHA_COMB,"&lt;="&amp;BW$3,CLAVE_COMB,$A327)+SUMIFS(SALIDAS_DES,FECHA_DESGLOSEN,"&gt;="&amp;BW$2,FECHA_DESGLOSEN,"&lt;="&amp;BW$3,CLAVE_DESGLOSE,$A327)</f>
        <v>0</v>
      </c>
      <c r="BX327" s="162">
        <f>SUMIFS(SALIDAS_BIT,FECHA_BIT,"&gt;="&amp;BX$2,FECHA_BIT,"&lt;="&amp;BX$3,CLAVE_BIT,$A327)+SUMIFS(SALIDAS_BOV1,FECHA_BOV1,"&gt;="&amp;BX$2,FECHA_BOV1,"&lt;="&amp;BX$3,CLAVE_BOV1,$A327)+SUMIFS(SALIDAS_BOV2,FECHA_BOV2,"&gt;="&amp;BX$2,FECHA_BOV2,"&lt;="&amp;BX$3,CLAVE_BOV2,$A327)+SUMIFS(SALIDAS_BOV3,FECHA_BOV3,"&gt;="&amp;BX$2,FECHA_BOV3,"&lt;="&amp;BX$3,CLAVE_BOV3,$A327)+SUMIFS(SALIDAS_TC,FECHA_TC,"&gt;="&amp;BX$2,FECHA_TC,"&lt;="&amp;BX$3,CLAVE_TC,$A327)+SUMIFS(SALIDAS_COMB,FECHA_COMB,"&gt;="&amp;BX$2,FECHA_COMB,"&lt;="&amp;BX$3,CLAVE_COMB,$A327)+SUMIFS(SALIDAS_DES,FECHA_DESGLOSEN,"&gt;="&amp;BX$2,FECHA_DESGLOSEN,"&lt;="&amp;BX$3,CLAVE_DESGLOSE,$A327)</f>
        <v>0</v>
      </c>
      <c r="BY327" s="162">
        <f>SUMIFS(SALIDAS_BIT,FECHA_BIT,"&gt;="&amp;BY$2,FECHA_BIT,"&lt;="&amp;BY$3,CLAVE_BIT,$A327)+SUMIFS(SALIDAS_BOV1,FECHA_BOV1,"&gt;="&amp;BY$2,FECHA_BOV1,"&lt;="&amp;BY$3,CLAVE_BOV1,$A327)+SUMIFS(SALIDAS_BOV2,FECHA_BOV2,"&gt;="&amp;BY$2,FECHA_BOV2,"&lt;="&amp;BY$3,CLAVE_BOV2,$A327)+SUMIFS(SALIDAS_BOV3,FECHA_BOV3,"&gt;="&amp;BY$2,FECHA_BOV3,"&lt;="&amp;BY$3,CLAVE_BOV3,$A327)+SUMIFS(SALIDAS_TC,FECHA_TC,"&gt;="&amp;BY$2,FECHA_TC,"&lt;="&amp;BY$3,CLAVE_TC,$A327)+SUMIFS(SALIDAS_COMB,FECHA_COMB,"&gt;="&amp;BY$2,FECHA_COMB,"&lt;="&amp;BY$3,CLAVE_COMB,$A327)+SUMIFS(SALIDAS_DES,FECHA_DESGLOSEN,"&gt;="&amp;BY$2,FECHA_DESGLOSEN,"&lt;="&amp;BY$3,CLAVE_DESGLOSE,$A327)</f>
        <v>0</v>
      </c>
      <c r="BZ327" s="162">
        <f>SUMIFS(SALIDAS_BIT,FECHA_BIT,"&gt;="&amp;BZ$2,FECHA_BIT,"&lt;="&amp;BZ$3,CLAVE_BIT,$A327)+SUMIFS(SALIDAS_BOV1,FECHA_BOV1,"&gt;="&amp;BZ$2,FECHA_BOV1,"&lt;="&amp;BZ$3,CLAVE_BOV1,$A327)+SUMIFS(SALIDAS_BOV2,FECHA_BOV2,"&gt;="&amp;BZ$2,FECHA_BOV2,"&lt;="&amp;BZ$3,CLAVE_BOV2,$A327)+SUMIFS(SALIDAS_BOV3,FECHA_BOV3,"&gt;="&amp;BZ$2,FECHA_BOV3,"&lt;="&amp;BZ$3,CLAVE_BOV3,$A327)+SUMIFS(SALIDAS_TC,FECHA_TC,"&gt;="&amp;BZ$2,FECHA_TC,"&lt;="&amp;BZ$3,CLAVE_TC,$A327)+SUMIFS(SALIDAS_COMB,FECHA_COMB,"&gt;="&amp;BZ$2,FECHA_COMB,"&lt;="&amp;BZ$3,CLAVE_COMB,$A327)+SUMIFS(SALIDAS_DES,FECHA_DESGLOSEN,"&gt;="&amp;BZ$2,FECHA_DESGLOSEN,"&lt;="&amp;BZ$3,CLAVE_DESGLOSE,$A327)</f>
        <v>0</v>
      </c>
      <c r="CA327" s="227">
        <f t="shared" ref="CA327:CA328" si="706">BU327-BZ327</f>
        <v>0</v>
      </c>
      <c r="CB327" s="301">
        <f t="shared" ref="CB327:CB328" si="707">IFERROR((BZ327/BU327),0)</f>
        <v>0</v>
      </c>
      <c r="CC327" s="162">
        <f>VLOOKUP($A327,T_PRESUPUESTO,MATCH(CC$6,E_PRESUPUESTO,0),FALSE)</f>
        <v>0</v>
      </c>
      <c r="CD327" s="162">
        <f>SUMIFS(SALIDAS_BIT,FECHA_BIT,"&gt;="&amp;CD$2,FECHA_BIT,"&lt;="&amp;CD$3,CLAVE_BIT,$A327)+SUMIFS(SALIDAS_BOV1,FECHA_BOV1,"&gt;="&amp;CD$2,FECHA_BOV1,"&lt;="&amp;CD$3,CLAVE_BOV1,$A327)+SUMIFS(SALIDAS_BOV2,FECHA_BOV2,"&gt;="&amp;CD$2,FECHA_BOV2,"&lt;="&amp;CD$3,CLAVE_BOV2,$A327)+SUMIFS(SALIDAS_BOV3,FECHA_BOV3,"&gt;="&amp;CD$2,FECHA_BOV3,"&lt;="&amp;CD$3,CLAVE_BOV3,$A327)+SUMIFS(SALIDAS_TC,FECHA_TC,"&gt;="&amp;CD$2,FECHA_TC,"&lt;="&amp;CD$3,CLAVE_TC,$A327)+SUMIFS(SALIDAS_COMB,FECHA_COMB,"&gt;="&amp;CD$2,FECHA_COMB,"&lt;="&amp;CD$3,CLAVE_COMB,$A327)+SUMIFS(SALIDAS_DES,FECHA_DESGLOSEN,"&gt;="&amp;CD$2,FECHA_DESGLOSEN,"&lt;="&amp;CD$3,CLAVE_DESGLOSE,$A327)</f>
        <v>0</v>
      </c>
      <c r="CE327" s="162">
        <f>SUMIFS(SALIDAS_BIT,FECHA_BIT,"&gt;="&amp;CE$2,FECHA_BIT,"&lt;="&amp;CE$3,CLAVE_BIT,$A327)+SUMIFS(SALIDAS_BOV1,FECHA_BOV1,"&gt;="&amp;CE$2,FECHA_BOV1,"&lt;="&amp;CE$3,CLAVE_BOV1,$A327)+SUMIFS(SALIDAS_BOV2,FECHA_BOV2,"&gt;="&amp;CE$2,FECHA_BOV2,"&lt;="&amp;CE$3,CLAVE_BOV2,$A327)+SUMIFS(SALIDAS_BOV3,FECHA_BOV3,"&gt;="&amp;CE$2,FECHA_BOV3,"&lt;="&amp;CE$3,CLAVE_BOV3,$A327)+SUMIFS(SALIDAS_TC,FECHA_TC,"&gt;="&amp;CE$2,FECHA_TC,"&lt;="&amp;CE$3,CLAVE_TC,$A327)+SUMIFS(SALIDAS_COMB,FECHA_COMB,"&gt;="&amp;CE$2,FECHA_COMB,"&lt;="&amp;CE$3,CLAVE_COMB,$A327)+SUMIFS(SALIDAS_DES,FECHA_DESGLOSEN,"&gt;="&amp;CE$2,FECHA_DESGLOSEN,"&lt;="&amp;CE$3,CLAVE_DESGLOSE,$A327)</f>
        <v>0</v>
      </c>
      <c r="CF327" s="162">
        <f>SUMIFS(SALIDAS_BIT,FECHA_BIT,"&gt;="&amp;CF$2,FECHA_BIT,"&lt;="&amp;CF$3,CLAVE_BIT,$A327)+SUMIFS(SALIDAS_BOV1,FECHA_BOV1,"&gt;="&amp;CF$2,FECHA_BOV1,"&lt;="&amp;CF$3,CLAVE_BOV1,$A327)+SUMIFS(SALIDAS_BOV2,FECHA_BOV2,"&gt;="&amp;CF$2,FECHA_BOV2,"&lt;="&amp;CF$3,CLAVE_BOV2,$A327)+SUMIFS(SALIDAS_BOV3,FECHA_BOV3,"&gt;="&amp;CF$2,FECHA_BOV3,"&lt;="&amp;CF$3,CLAVE_BOV3,$A327)+SUMIFS(SALIDAS_TC,FECHA_TC,"&gt;="&amp;CF$2,FECHA_TC,"&lt;="&amp;CF$3,CLAVE_TC,$A327)+SUMIFS(SALIDAS_COMB,FECHA_COMB,"&gt;="&amp;CF$2,FECHA_COMB,"&lt;="&amp;CF$3,CLAVE_COMB,$A327)+SUMIFS(SALIDAS_DES,FECHA_DESGLOSEN,"&gt;="&amp;CF$2,FECHA_DESGLOSEN,"&lt;="&amp;CF$3,CLAVE_DESGLOSE,$A327)</f>
        <v>0</v>
      </c>
      <c r="CG327" s="162">
        <f>SUMIFS(SALIDAS_BIT,FECHA_BIT,"&gt;="&amp;CG$2,FECHA_BIT,"&lt;="&amp;CG$3,CLAVE_BIT,$A327)+SUMIFS(SALIDAS_BOV1,FECHA_BOV1,"&gt;="&amp;CG$2,FECHA_BOV1,"&lt;="&amp;CG$3,CLAVE_BOV1,$A327)+SUMIFS(SALIDAS_BOV2,FECHA_BOV2,"&gt;="&amp;CG$2,FECHA_BOV2,"&lt;="&amp;CG$3,CLAVE_BOV2,$A327)+SUMIFS(SALIDAS_BOV3,FECHA_BOV3,"&gt;="&amp;CG$2,FECHA_BOV3,"&lt;="&amp;CG$3,CLAVE_BOV3,$A327)+SUMIFS(SALIDAS_TC,FECHA_TC,"&gt;="&amp;CG$2,FECHA_TC,"&lt;="&amp;CG$3,CLAVE_TC,$A327)+SUMIFS(SALIDAS_COMB,FECHA_COMB,"&gt;="&amp;CG$2,FECHA_COMB,"&lt;="&amp;CG$3,CLAVE_COMB,$A327)+SUMIFS(SALIDAS_DES,FECHA_DESGLOSEN,"&gt;="&amp;CG$2,FECHA_DESGLOSEN,"&lt;="&amp;CG$3,CLAVE_DESGLOSE,$A327)</f>
        <v>0</v>
      </c>
      <c r="CH327" s="162">
        <f>SUMIFS(SALIDAS_BIT,FECHA_BIT,"&gt;="&amp;CH$2,FECHA_BIT,"&lt;="&amp;CH$3,CLAVE_BIT,$A327)+SUMIFS(SALIDAS_BOV1,FECHA_BOV1,"&gt;="&amp;CH$2,FECHA_BOV1,"&lt;="&amp;CH$3,CLAVE_BOV1,$A327)+SUMIFS(SALIDAS_BOV2,FECHA_BOV2,"&gt;="&amp;CH$2,FECHA_BOV2,"&lt;="&amp;CH$3,CLAVE_BOV2,$A327)+SUMIFS(SALIDAS_BOV3,FECHA_BOV3,"&gt;="&amp;CH$2,FECHA_BOV3,"&lt;="&amp;CH$3,CLAVE_BOV3,$A327)+SUMIFS(SALIDAS_TC,FECHA_TC,"&gt;="&amp;CH$2,FECHA_TC,"&lt;="&amp;CH$3,CLAVE_TC,$A327)+SUMIFS(SALIDAS_COMB,FECHA_COMB,"&gt;="&amp;CH$2,FECHA_COMB,"&lt;="&amp;CH$3,CLAVE_COMB,$A327)+SUMIFS(SALIDAS_DES,FECHA_DESGLOSEN,"&gt;="&amp;CH$2,FECHA_DESGLOSEN,"&lt;="&amp;CH$3,CLAVE_DESGLOSE,$A327)</f>
        <v>0</v>
      </c>
      <c r="CI327" s="227">
        <f t="shared" ref="CI327:CI328" si="708">CC327-CH327</f>
        <v>0</v>
      </c>
      <c r="CJ327" s="301">
        <f t="shared" ref="CJ327:CJ328" si="709">IFERROR((CH327/CC327),0)</f>
        <v>0</v>
      </c>
      <c r="CK327" s="162">
        <f>VLOOKUP($A327,T_PRESUPUESTO,MATCH(CK$6,E_PRESUPUESTO,0),FALSE)</f>
        <v>0</v>
      </c>
      <c r="CL327" s="162">
        <f>SUMIFS(SALIDAS_BIT,FECHA_BIT,"&gt;="&amp;CL$2,FECHA_BIT,"&lt;="&amp;CL$3,CLAVE_BIT,$A327)+SUMIFS(SALIDAS_BOV1,FECHA_BOV1,"&gt;="&amp;CL$2,FECHA_BOV1,"&lt;="&amp;CL$3,CLAVE_BOV1,$A327)+SUMIFS(SALIDAS_BOV2,FECHA_BOV2,"&gt;="&amp;CL$2,FECHA_BOV2,"&lt;="&amp;CL$3,CLAVE_BOV2,$A327)+SUMIFS(SALIDAS_BOV3,FECHA_BOV3,"&gt;="&amp;CL$2,FECHA_BOV3,"&lt;="&amp;CL$3,CLAVE_BOV3,$A327)+SUMIFS(SALIDAS_TC,FECHA_TC,"&gt;="&amp;CL$2,FECHA_TC,"&lt;="&amp;CL$3,CLAVE_TC,$A327)+SUMIFS(SALIDAS_COMB,FECHA_COMB,"&gt;="&amp;CL$2,FECHA_COMB,"&lt;="&amp;CL$3,CLAVE_COMB,$A327)+SUMIFS(SALIDAS_DES,FECHA_DESGLOSEN,"&gt;="&amp;CL$2,FECHA_DESGLOSEN,"&lt;="&amp;CL$3,CLAVE_DESGLOSE,$A327)</f>
        <v>0</v>
      </c>
      <c r="CM327" s="162">
        <f>SUMIFS(SALIDAS_BIT,FECHA_BIT,"&gt;="&amp;CM$2,FECHA_BIT,"&lt;="&amp;CM$3,CLAVE_BIT,$A327)+SUMIFS(SALIDAS_BOV1,FECHA_BOV1,"&gt;="&amp;CM$2,FECHA_BOV1,"&lt;="&amp;CM$3,CLAVE_BOV1,$A327)+SUMIFS(SALIDAS_BOV2,FECHA_BOV2,"&gt;="&amp;CM$2,FECHA_BOV2,"&lt;="&amp;CM$3,CLAVE_BOV2,$A327)+SUMIFS(SALIDAS_BOV3,FECHA_BOV3,"&gt;="&amp;CM$2,FECHA_BOV3,"&lt;="&amp;CM$3,CLAVE_BOV3,$A327)+SUMIFS(SALIDAS_TC,FECHA_TC,"&gt;="&amp;CM$2,FECHA_TC,"&lt;="&amp;CM$3,CLAVE_TC,$A327)+SUMIFS(SALIDAS_COMB,FECHA_COMB,"&gt;="&amp;CM$2,FECHA_COMB,"&lt;="&amp;CM$3,CLAVE_COMB,$A327)+SUMIFS(SALIDAS_DES,FECHA_DESGLOSEN,"&gt;="&amp;CM$2,FECHA_DESGLOSEN,"&lt;="&amp;CM$3,CLAVE_DESGLOSE,$A327)</f>
        <v>0</v>
      </c>
      <c r="CN327" s="162">
        <f>SUMIFS(SALIDAS_BIT,FECHA_BIT,"&gt;="&amp;CN$2,FECHA_BIT,"&lt;="&amp;CN$3,CLAVE_BIT,$A327)+SUMIFS(SALIDAS_BOV1,FECHA_BOV1,"&gt;="&amp;CN$2,FECHA_BOV1,"&lt;="&amp;CN$3,CLAVE_BOV1,$A327)+SUMIFS(SALIDAS_BOV2,FECHA_BOV2,"&gt;="&amp;CN$2,FECHA_BOV2,"&lt;="&amp;CN$3,CLAVE_BOV2,$A327)+SUMIFS(SALIDAS_BOV3,FECHA_BOV3,"&gt;="&amp;CN$2,FECHA_BOV3,"&lt;="&amp;CN$3,CLAVE_BOV3,$A327)+SUMIFS(SALIDAS_TC,FECHA_TC,"&gt;="&amp;CN$2,FECHA_TC,"&lt;="&amp;CN$3,CLAVE_TC,$A327)+SUMIFS(SALIDAS_COMB,FECHA_COMB,"&gt;="&amp;CN$2,FECHA_COMB,"&lt;="&amp;CN$3,CLAVE_COMB,$A327)+SUMIFS(SALIDAS_DES,FECHA_DESGLOSEN,"&gt;="&amp;CN$2,FECHA_DESGLOSEN,"&lt;="&amp;CN$3,CLAVE_DESGLOSE,$A327)</f>
        <v>0</v>
      </c>
      <c r="CO327" s="162">
        <f>SUMIFS(SALIDAS_BIT,FECHA_BIT,"&gt;="&amp;CO$2,FECHA_BIT,"&lt;="&amp;CO$3,CLAVE_BIT,$A327)+SUMIFS(SALIDAS_BOV1,FECHA_BOV1,"&gt;="&amp;CO$2,FECHA_BOV1,"&lt;="&amp;CO$3,CLAVE_BOV1,$A327)+SUMIFS(SALIDAS_BOV2,FECHA_BOV2,"&gt;="&amp;CO$2,FECHA_BOV2,"&lt;="&amp;CO$3,CLAVE_BOV2,$A327)+SUMIFS(SALIDAS_BOV3,FECHA_BOV3,"&gt;="&amp;CO$2,FECHA_BOV3,"&lt;="&amp;CO$3,CLAVE_BOV3,$A327)+SUMIFS(SALIDAS_TC,FECHA_TC,"&gt;="&amp;CO$2,FECHA_TC,"&lt;="&amp;CO$3,CLAVE_TC,$A327)+SUMIFS(SALIDAS_COMB,FECHA_COMB,"&gt;="&amp;CO$2,FECHA_COMB,"&lt;="&amp;CO$3,CLAVE_COMB,$A327)+SUMIFS(SALIDAS_DES,FECHA_DESGLOSEN,"&gt;="&amp;CO$2,FECHA_DESGLOSEN,"&lt;="&amp;CO$3,CLAVE_DESGLOSE,$A327)</f>
        <v>0</v>
      </c>
      <c r="CP327" s="162">
        <f>SUMIFS(SALIDAS_BIT,FECHA_BIT,"&gt;="&amp;CP$2,FECHA_BIT,"&lt;="&amp;CP$3,CLAVE_BIT,$A327)+SUMIFS(SALIDAS_BOV1,FECHA_BOV1,"&gt;="&amp;CP$2,FECHA_BOV1,"&lt;="&amp;CP$3,CLAVE_BOV1,$A327)+SUMIFS(SALIDAS_BOV2,FECHA_BOV2,"&gt;="&amp;CP$2,FECHA_BOV2,"&lt;="&amp;CP$3,CLAVE_BOV2,$A327)+SUMIFS(SALIDAS_BOV3,FECHA_BOV3,"&gt;="&amp;CP$2,FECHA_BOV3,"&lt;="&amp;CP$3,CLAVE_BOV3,$A327)+SUMIFS(SALIDAS_TC,FECHA_TC,"&gt;="&amp;CP$2,FECHA_TC,"&lt;="&amp;CP$3,CLAVE_TC,$A327)+SUMIFS(SALIDAS_COMB,FECHA_COMB,"&gt;="&amp;CP$2,FECHA_COMB,"&lt;="&amp;CP$3,CLAVE_COMB,$A327)+SUMIFS(SALIDAS_DES,FECHA_DESGLOSEN,"&gt;="&amp;CP$2,FECHA_DESGLOSEN,"&lt;="&amp;CP$3,CLAVE_DESGLOSE,$A327)</f>
        <v>0</v>
      </c>
      <c r="CQ327" s="162">
        <f>SUMIFS(SALIDAS_BIT,FECHA_BIT,"&gt;="&amp;CQ$2,FECHA_BIT,"&lt;="&amp;CQ$3,CLAVE_BIT,$A327)+SUMIFS(SALIDAS_BOV1,FECHA_BOV1,"&gt;="&amp;CQ$2,FECHA_BOV1,"&lt;="&amp;CQ$3,CLAVE_BOV1,$A327)+SUMIFS(SALIDAS_BOV2,FECHA_BOV2,"&gt;="&amp;CQ$2,FECHA_BOV2,"&lt;="&amp;CQ$3,CLAVE_BOV2,$A327)+SUMIFS(SALIDAS_BOV3,FECHA_BOV3,"&gt;="&amp;CQ$2,FECHA_BOV3,"&lt;="&amp;CQ$3,CLAVE_BOV3,$A327)+SUMIFS(SALIDAS_TC,FECHA_TC,"&gt;="&amp;CQ$2,FECHA_TC,"&lt;="&amp;CQ$3,CLAVE_TC,$A327)+SUMIFS(SALIDAS_COMB,FECHA_COMB,"&gt;="&amp;CQ$2,FECHA_COMB,"&lt;="&amp;CQ$3,CLAVE_COMB,$A327)+SUMIFS(SALIDAS_DES,FECHA_DESGLOSEN,"&gt;="&amp;CQ$2,FECHA_DESGLOSEN,"&lt;="&amp;CQ$3,CLAVE_DESGLOSE,$A327)</f>
        <v>0</v>
      </c>
      <c r="CR327" s="227">
        <f t="shared" ref="CR327:CR328" si="710">CK327-CQ327</f>
        <v>0</v>
      </c>
      <c r="CS327" s="301">
        <f t="shared" ref="CS327:CS328" si="711">IFERROR((CQ327/CK327),0)</f>
        <v>0</v>
      </c>
      <c r="CT327" s="68">
        <f t="shared" ref="CT327:CT339" si="712">VLOOKUP($A327,T_PRESUPUESTO,MATCH(CT$6,E_PRESUPUESTO,0),FALSE)</f>
        <v>0</v>
      </c>
      <c r="CU327" s="13">
        <f>SUMIFS(SALIDAS_BIT,FECHA_BIT,"&gt;="&amp;CU$2,FECHA_BIT,"&lt;="&amp;CU$3,CLAVE_BIT,$A327)+SUMIFS(SALIDAS_BOV1,FECHA_BOV1,"&gt;="&amp;CU$2,FECHA_BOV1,"&lt;="&amp;CU$3,CLAVE_BOV1,$A327)+SUMIFS(SALIDAS_BOV2,FECHA_BOV2,"&gt;="&amp;CU$2,FECHA_BOV2,"&lt;="&amp;CU$3,CLAVE_BOV2,$A327)+SUMIFS(SALIDAS_BOV3,FECHA_BOV3,"&gt;="&amp;CU$2,FECHA_BOV3,"&lt;="&amp;CU$3,CLAVE_BOV3,$A327)+SUMIFS(SALIDAS_TC,FECHA_TC,"&gt;="&amp;CU$2,FECHA_TC,"&lt;="&amp;CU$3,CLAVE_TC,$A327)+SUMIFS(SALIDAS_COMB,FECHA_COMB,"&gt;="&amp;CU$2,FECHA_COMB,"&lt;="&amp;CU$3,CLAVE_COMB,$A327)+SUMIFS(SALIDAS_DES,FECHA_DESGLOSEN,"&gt;="&amp;CU$2,FECHA_DESGLOSEN,"&lt;="&amp;CU$3,CLAVE_DESGLOSE,$A327)</f>
        <v>0</v>
      </c>
      <c r="CV327" s="13">
        <f>SUMIFS(SALIDAS_BIT,FECHA_BIT,"&gt;="&amp;CV$2,FECHA_BIT,"&lt;="&amp;CV$3,CLAVE_BIT,$A327)+SUMIFS(SALIDAS_BOV1,FECHA_BOV1,"&gt;="&amp;CV$2,FECHA_BOV1,"&lt;="&amp;CV$3,CLAVE_BOV1,$A327)+SUMIFS(SALIDAS_BOV2,FECHA_BOV2,"&gt;="&amp;CV$2,FECHA_BOV2,"&lt;="&amp;CV$3,CLAVE_BOV2,$A327)+SUMIFS(SALIDAS_BOV3,FECHA_BOV3,"&gt;="&amp;CV$2,FECHA_BOV3,"&lt;="&amp;CV$3,CLAVE_BOV3,$A327)+SUMIFS(SALIDAS_TC,FECHA_TC,"&gt;="&amp;CV$2,FECHA_TC,"&lt;="&amp;CV$3,CLAVE_TC,$A327)+SUMIFS(SALIDAS_COMB,FECHA_COMB,"&gt;="&amp;CV$2,FECHA_COMB,"&lt;="&amp;CV$3,CLAVE_COMB,$A327)+SUMIFS(SALIDAS_DES,FECHA_DESGLOSEN,"&gt;="&amp;CV$2,FECHA_DESGLOSEN,"&lt;="&amp;CV$3,CLAVE_DESGLOSE,$A327)</f>
        <v>0</v>
      </c>
      <c r="CW327" s="13">
        <f>SUMIFS(SALIDAS_BIT,FECHA_BIT,"&gt;="&amp;CW$2,FECHA_BIT,"&lt;="&amp;CW$3,CLAVE_BIT,$A327)+SUMIFS(SALIDAS_BOV1,FECHA_BOV1,"&gt;="&amp;CW$2,FECHA_BOV1,"&lt;="&amp;CW$3,CLAVE_BOV1,$A327)+SUMIFS(SALIDAS_BOV2,FECHA_BOV2,"&gt;="&amp;CW$2,FECHA_BOV2,"&lt;="&amp;CW$3,CLAVE_BOV2,$A327)+SUMIFS(SALIDAS_BOV3,FECHA_BOV3,"&gt;="&amp;CW$2,FECHA_BOV3,"&lt;="&amp;CW$3,CLAVE_BOV3,$A327)+SUMIFS(SALIDAS_TC,FECHA_TC,"&gt;="&amp;CW$2,FECHA_TC,"&lt;="&amp;CW$3,CLAVE_TC,$A327)+SUMIFS(SALIDAS_COMB,FECHA_COMB,"&gt;="&amp;CW$2,FECHA_COMB,"&lt;="&amp;CW$3,CLAVE_COMB,$A327)+SUMIFS(SALIDAS_DES,FECHA_DESGLOSEN,"&gt;="&amp;CW$2,FECHA_DESGLOSEN,"&lt;="&amp;CW$3,CLAVE_DESGLOSE,$A327)</f>
        <v>0</v>
      </c>
      <c r="CX327" s="13">
        <f>SUMIFS(SALIDAS_BIT,FECHA_BIT,"&gt;="&amp;CX$2,FECHA_BIT,"&lt;="&amp;CX$3,CLAVE_BIT,$A327)+SUMIFS(SALIDAS_BOV1,FECHA_BOV1,"&gt;="&amp;CX$2,FECHA_BOV1,"&lt;="&amp;CX$3,CLAVE_BOV1,$A327)+SUMIFS(SALIDAS_BOV2,FECHA_BOV2,"&gt;="&amp;CX$2,FECHA_BOV2,"&lt;="&amp;CX$3,CLAVE_BOV2,$A327)+SUMIFS(SALIDAS_BOV3,FECHA_BOV3,"&gt;="&amp;CX$2,FECHA_BOV3,"&lt;="&amp;CX$3,CLAVE_BOV3,$A327)+SUMIFS(SALIDAS_TC,FECHA_TC,"&gt;="&amp;CX$2,FECHA_TC,"&lt;="&amp;CX$3,CLAVE_TC,$A327)+SUMIFS(SALIDAS_COMB,FECHA_COMB,"&gt;="&amp;CX$2,FECHA_COMB,"&lt;="&amp;CX$3,CLAVE_COMB,$A327)+SUMIFS(SALIDAS_DES,FECHA_DESGLOSEN,"&gt;="&amp;CX$2,FECHA_DESGLOSEN,"&lt;="&amp;CX$3,CLAVE_DESGLOSE,$A327)</f>
        <v>0</v>
      </c>
      <c r="CY327" s="13">
        <f>SUMIFS(SALIDAS_BIT,FECHA_BIT,"&gt;="&amp;CY$2,FECHA_BIT,"&lt;="&amp;CY$3,CLAVE_BIT,$A327)+SUMIFS(SALIDAS_BOV1,FECHA_BOV1,"&gt;="&amp;CY$2,FECHA_BOV1,"&lt;="&amp;CY$3,CLAVE_BOV1,$A327)+SUMIFS(SALIDAS_BOV2,FECHA_BOV2,"&gt;="&amp;CY$2,FECHA_BOV2,"&lt;="&amp;CY$3,CLAVE_BOV2,$A327)+SUMIFS(SALIDAS_BOV3,FECHA_BOV3,"&gt;="&amp;CY$2,FECHA_BOV3,"&lt;="&amp;CY$3,CLAVE_BOV3,$A327)+SUMIFS(SALIDAS_TC,FECHA_TC,"&gt;="&amp;CY$2,FECHA_TC,"&lt;="&amp;CY$3,CLAVE_TC,$A327)+SUMIFS(SALIDAS_COMB,FECHA_COMB,"&gt;="&amp;CY$2,FECHA_COMB,"&lt;="&amp;CY$3,CLAVE_COMB,$A327)+SUMIFS(SALIDAS_DES,FECHA_DESGLOSEN,"&gt;="&amp;CY$2,FECHA_DESGLOSEN,"&lt;="&amp;CY$3,CLAVE_DESGLOSE,$A327)</f>
        <v>0</v>
      </c>
      <c r="CZ327" s="68">
        <f t="shared" si="474"/>
        <v>0</v>
      </c>
      <c r="DB327" s="17">
        <f>F327+N327+W327+AE327+AM327+AV327+BD327+BL327+BU327+CC327+CK327</f>
        <v>0</v>
      </c>
      <c r="DC327" s="17">
        <f>K327+T327+AB327+AJ327+AS327+BA327+BI327+BR327+BZ327+CH327+CQ327</f>
        <v>4557</v>
      </c>
    </row>
    <row r="328" spans="1:107" ht="15" hidden="1">
      <c r="A328" s="12" t="str">
        <f>C328&amp;D328&amp;E328</f>
        <v>MKTCOMBUSTIBLEMKT</v>
      </c>
      <c r="B328">
        <v>328</v>
      </c>
      <c r="C328" t="s">
        <v>19</v>
      </c>
      <c r="D328" t="s">
        <v>32</v>
      </c>
      <c r="E328" t="s">
        <v>19</v>
      </c>
      <c r="F328" s="260">
        <f>VLOOKUP($A328,T_PRESUPUESTO,MATCH(F$6,E_PRESUPUESTO,0),FALSE)</f>
        <v>0</v>
      </c>
      <c r="G328" s="162">
        <f>SUMIFS(SALIDAS_BIT,FECHA_BIT,"&gt;="&amp;G$2,FECHA_BIT,"&lt;="&amp;G$3,CLAVE_BIT,$A328)+SUMIFS(SALIDAS_BOV1,FECHA_BOV1,"&gt;="&amp;G$2,FECHA_BOV1,"&lt;="&amp;G$3,CLAVE_BOV1,$A328)+SUMIFS(SALIDAS_BOV2,FECHA_BOV2,"&gt;="&amp;G$2,FECHA_BOV2,"&lt;="&amp;G$3,CLAVE_BOV2,$A328)+SUMIFS(SALIDAS_BOV3,FECHA_BOV3,"&gt;="&amp;G$2,FECHA_BOV3,"&lt;="&amp;G$3,CLAVE_BOV3,$A328)+SUMIFS(SALIDAS_TC,FECHA_TC,"&gt;="&amp;G$2,FECHA_TC,"&lt;="&amp;G$3,CLAVE_TC,$A328)+SUMIFS(SALIDAS_COMB,FECHA_COMB,"&gt;="&amp;G$2,FECHA_COMB,"&lt;="&amp;G$3,CLAVE_COMB,$A328)+SUMIFS(SALIDAS_DES,FECHA_DESGLOSEN,"&gt;="&amp;G$2,FECHA_DESGLOSEN,"&lt;="&amp;G$3,CLAVE_DESGLOSE,$A328)</f>
        <v>0</v>
      </c>
      <c r="H328" s="162">
        <f>SUMIFS(SALIDAS_BIT,FECHA_BIT,"&gt;="&amp;H$2,FECHA_BIT,"&lt;="&amp;H$3,CLAVE_BIT,$A328)+SUMIFS(SALIDAS_BOV1,FECHA_BOV1,"&gt;="&amp;H$2,FECHA_BOV1,"&lt;="&amp;H$3,CLAVE_BOV1,$A328)+SUMIFS(SALIDAS_BOV2,FECHA_BOV2,"&gt;="&amp;H$2,FECHA_BOV2,"&lt;="&amp;H$3,CLAVE_BOV2,$A328)+SUMIFS(SALIDAS_BOV3,FECHA_BOV3,"&gt;="&amp;H$2,FECHA_BOV3,"&lt;="&amp;H$3,CLAVE_BOV3,$A328)+SUMIFS(SALIDAS_TC,FECHA_TC,"&gt;="&amp;H$2,FECHA_TC,"&lt;="&amp;H$3,CLAVE_TC,$A328)+SUMIFS(SALIDAS_COMB,FECHA_COMB,"&gt;="&amp;H$2,FECHA_COMB,"&lt;="&amp;H$3,CLAVE_COMB,$A328)+SUMIFS(SALIDAS_DES,FECHA_DESGLOSEN,"&gt;="&amp;H$2,FECHA_DESGLOSEN,"&lt;="&amp;H$3,CLAVE_DESGLOSE,$A328)</f>
        <v>0</v>
      </c>
      <c r="I328" s="162">
        <f>SUMIFS(SALIDAS_BIT,FECHA_BIT,"&gt;="&amp;I$2,FECHA_BIT,"&lt;="&amp;I$3,CLAVE_BIT,$A328)+SUMIFS(SALIDAS_BOV1,FECHA_BOV1,"&gt;="&amp;I$2,FECHA_BOV1,"&lt;="&amp;I$3,CLAVE_BOV1,$A328)+SUMIFS(SALIDAS_BOV2,FECHA_BOV2,"&gt;="&amp;I$2,FECHA_BOV2,"&lt;="&amp;I$3,CLAVE_BOV2,$A328)+SUMIFS(SALIDAS_BOV3,FECHA_BOV3,"&gt;="&amp;I$2,FECHA_BOV3,"&lt;="&amp;I$3,CLAVE_BOV3,$A328)+SUMIFS(SALIDAS_TC,FECHA_TC,"&gt;="&amp;I$2,FECHA_TC,"&lt;="&amp;I$3,CLAVE_TC,$A328)+SUMIFS(SALIDAS_COMB,FECHA_COMB,"&gt;="&amp;I$2,FECHA_COMB,"&lt;="&amp;I$3,CLAVE_COMB,$A328)+SUMIFS(SALIDAS_DES,FECHA_DESGLOSEN,"&gt;="&amp;I$2,FECHA_DESGLOSEN,"&lt;="&amp;I$3,CLAVE_DESGLOSE,$A328)</f>
        <v>0</v>
      </c>
      <c r="J328" s="162">
        <f>SUMIFS(SALIDAS_BIT,FECHA_BIT,"&gt;="&amp;J$2,FECHA_BIT,"&lt;="&amp;J$3,CLAVE_BIT,$A328)+SUMIFS(SALIDAS_BOV1,FECHA_BOV1,"&gt;="&amp;J$2,FECHA_BOV1,"&lt;="&amp;J$3,CLAVE_BOV1,$A328)+SUMIFS(SALIDAS_BOV2,FECHA_BOV2,"&gt;="&amp;J$2,FECHA_BOV2,"&lt;="&amp;J$3,CLAVE_BOV2,$A328)+SUMIFS(SALIDAS_BOV3,FECHA_BOV3,"&gt;="&amp;J$2,FECHA_BOV3,"&lt;="&amp;J$3,CLAVE_BOV3,$A328)+SUMIFS(SALIDAS_TC,FECHA_TC,"&gt;="&amp;J$2,FECHA_TC,"&lt;="&amp;J$3,CLAVE_TC,$A328)+SUMIFS(SALIDAS_COMB,FECHA_COMB,"&gt;="&amp;J$2,FECHA_COMB,"&lt;="&amp;J$3,CLAVE_COMB,$A328)+SUMIFS(SALIDAS_DES,FECHA_DESGLOSEN,"&gt;="&amp;J$2,FECHA_DESGLOSEN,"&lt;="&amp;J$3,CLAVE_DESGLOSE,$A328)</f>
        <v>0</v>
      </c>
      <c r="K328" s="162">
        <f>SUMIFS(SALIDAS_BIT,FECHA_BIT,"&gt;="&amp;K$2,FECHA_BIT,"&lt;="&amp;K$3,CLAVE_BIT,$A328)+SUMIFS(SALIDAS_BOV1,FECHA_BOV1,"&gt;="&amp;K$2,FECHA_BOV1,"&lt;="&amp;K$3,CLAVE_BOV1,$A328)+SUMIFS(SALIDAS_BOV2,FECHA_BOV2,"&gt;="&amp;K$2,FECHA_BOV2,"&lt;="&amp;K$3,CLAVE_BOV2,$A328)+SUMIFS(SALIDAS_BOV3,FECHA_BOV3,"&gt;="&amp;K$2,FECHA_BOV3,"&lt;="&amp;K$3,CLAVE_BOV3,$A328)+SUMIFS(SALIDAS_TC,FECHA_TC,"&gt;="&amp;K$2,FECHA_TC,"&lt;="&amp;K$3,CLAVE_TC,$A328)+SUMIFS(SALIDAS_COMB,FECHA_COMB,"&gt;="&amp;K$2,FECHA_COMB,"&lt;="&amp;K$3,CLAVE_COMB,$A328)+SUMIFS(SALIDAS_DES,FECHA_DESGLOSEN,"&gt;="&amp;K$2,FECHA_DESGLOSEN,"&lt;="&amp;K$3,CLAVE_DESGLOSE,$A328)</f>
        <v>0</v>
      </c>
      <c r="L328" s="227">
        <f t="shared" si="690"/>
        <v>0</v>
      </c>
      <c r="M328" s="301">
        <f t="shared" si="691"/>
        <v>0</v>
      </c>
      <c r="N328" s="162">
        <f>VLOOKUP($A328,T_PRESUPUESTO,MATCH(N$6,E_PRESUPUESTO,0),FALSE)</f>
        <v>0</v>
      </c>
      <c r="O328" s="162">
        <f>SUMIFS(SALIDAS_BIT,FECHA_BIT,"&gt;="&amp;O$2,FECHA_BIT,"&lt;="&amp;O$3,CLAVE_BIT,$A328)+SUMIFS(SALIDAS_BOV1,FECHA_BOV1,"&gt;="&amp;O$2,FECHA_BOV1,"&lt;="&amp;O$3,CLAVE_BOV1,$A328)+SUMIFS(SALIDAS_BOV2,FECHA_BOV2,"&gt;="&amp;O$2,FECHA_BOV2,"&lt;="&amp;O$3,CLAVE_BOV2,$A328)+SUMIFS(SALIDAS_BOV3,FECHA_BOV3,"&gt;="&amp;O$2,FECHA_BOV3,"&lt;="&amp;O$3,CLAVE_BOV3,$A328)+SUMIFS(SALIDAS_TC,FECHA_TC,"&gt;="&amp;O$2,FECHA_TC,"&lt;="&amp;O$3,CLAVE_TC,$A328)+SUMIFS(SALIDAS_COMB,FECHA_COMB,"&gt;="&amp;O$2,FECHA_COMB,"&lt;="&amp;O$3,CLAVE_COMB,$A328)+SUMIFS(SALIDAS_DES,FECHA_DESGLOSEN,"&gt;="&amp;O$2,FECHA_DESGLOSEN,"&lt;="&amp;O$3,CLAVE_DESGLOSE,$A328)</f>
        <v>0</v>
      </c>
      <c r="P328" s="162">
        <f>SUMIFS(SALIDAS_BIT,FECHA_BIT,"&gt;="&amp;P$2,FECHA_BIT,"&lt;="&amp;P$3,CLAVE_BIT,$A328)+SUMIFS(SALIDAS_BOV1,FECHA_BOV1,"&gt;="&amp;P$2,FECHA_BOV1,"&lt;="&amp;P$3,CLAVE_BOV1,$A328)+SUMIFS(SALIDAS_BOV2,FECHA_BOV2,"&gt;="&amp;P$2,FECHA_BOV2,"&lt;="&amp;P$3,CLAVE_BOV2,$A328)+SUMIFS(SALIDAS_BOV3,FECHA_BOV3,"&gt;="&amp;P$2,FECHA_BOV3,"&lt;="&amp;P$3,CLAVE_BOV3,$A328)+SUMIFS(SALIDAS_TC,FECHA_TC,"&gt;="&amp;P$2,FECHA_TC,"&lt;="&amp;P$3,CLAVE_TC,$A328)+SUMIFS(SALIDAS_COMB,FECHA_COMB,"&gt;="&amp;P$2,FECHA_COMB,"&lt;="&amp;P$3,CLAVE_COMB,$A328)+SUMIFS(SALIDAS_DES,FECHA_DESGLOSEN,"&gt;="&amp;P$2,FECHA_DESGLOSEN,"&lt;="&amp;P$3,CLAVE_DESGLOSE,$A328)</f>
        <v>0</v>
      </c>
      <c r="Q328" s="162">
        <f>SUMIFS(SALIDAS_BIT,FECHA_BIT,"&gt;="&amp;Q$2,FECHA_BIT,"&lt;="&amp;Q$3,CLAVE_BIT,$A328)+SUMIFS(SALIDAS_BOV1,FECHA_BOV1,"&gt;="&amp;Q$2,FECHA_BOV1,"&lt;="&amp;Q$3,CLAVE_BOV1,$A328)+SUMIFS(SALIDAS_BOV2,FECHA_BOV2,"&gt;="&amp;Q$2,FECHA_BOV2,"&lt;="&amp;Q$3,CLAVE_BOV2,$A328)+SUMIFS(SALIDAS_BOV3,FECHA_BOV3,"&gt;="&amp;Q$2,FECHA_BOV3,"&lt;="&amp;Q$3,CLAVE_BOV3,$A328)+SUMIFS(SALIDAS_TC,FECHA_TC,"&gt;="&amp;Q$2,FECHA_TC,"&lt;="&amp;Q$3,CLAVE_TC,$A328)+SUMIFS(SALIDAS_COMB,FECHA_COMB,"&gt;="&amp;Q$2,FECHA_COMB,"&lt;="&amp;Q$3,CLAVE_COMB,$A328)+SUMIFS(SALIDAS_DES,FECHA_DESGLOSEN,"&gt;="&amp;Q$2,FECHA_DESGLOSEN,"&lt;="&amp;Q$3,CLAVE_DESGLOSE,$A328)</f>
        <v>0</v>
      </c>
      <c r="R328" s="162">
        <f>SUMIFS(SALIDAS_BIT,FECHA_BIT,"&gt;="&amp;R$2,FECHA_BIT,"&lt;="&amp;R$3,CLAVE_BIT,$A328)+SUMIFS(SALIDAS_BOV1,FECHA_BOV1,"&gt;="&amp;R$2,FECHA_BOV1,"&lt;="&amp;R$3,CLAVE_BOV1,$A328)+SUMIFS(SALIDAS_BOV2,FECHA_BOV2,"&gt;="&amp;R$2,FECHA_BOV2,"&lt;="&amp;R$3,CLAVE_BOV2,$A328)+SUMIFS(SALIDAS_BOV3,FECHA_BOV3,"&gt;="&amp;R$2,FECHA_BOV3,"&lt;="&amp;R$3,CLAVE_BOV3,$A328)+SUMIFS(SALIDAS_TC,FECHA_TC,"&gt;="&amp;R$2,FECHA_TC,"&lt;="&amp;R$3,CLAVE_TC,$A328)+SUMIFS(SALIDAS_COMB,FECHA_COMB,"&gt;="&amp;R$2,FECHA_COMB,"&lt;="&amp;R$3,CLAVE_COMB,$A328)+SUMIFS(SALIDAS_DES,FECHA_DESGLOSEN,"&gt;="&amp;R$2,FECHA_DESGLOSEN,"&lt;="&amp;R$3,CLAVE_DESGLOSE,$A328)</f>
        <v>0</v>
      </c>
      <c r="S328" s="162">
        <f>SUMIFS(SALIDAS_BIT,FECHA_BIT,"&gt;="&amp;S$2,FECHA_BIT,"&lt;="&amp;S$3,CLAVE_BIT,$A328)+SUMIFS(SALIDAS_BOV1,FECHA_BOV1,"&gt;="&amp;S$2,FECHA_BOV1,"&lt;="&amp;S$3,CLAVE_BOV1,$A328)+SUMIFS(SALIDAS_BOV2,FECHA_BOV2,"&gt;="&amp;S$2,FECHA_BOV2,"&lt;="&amp;S$3,CLAVE_BOV2,$A328)+SUMIFS(SALIDAS_BOV3,FECHA_BOV3,"&gt;="&amp;S$2,FECHA_BOV3,"&lt;="&amp;S$3,CLAVE_BOV3,$A328)+SUMIFS(SALIDAS_TC,FECHA_TC,"&gt;="&amp;S$2,FECHA_TC,"&lt;="&amp;S$3,CLAVE_TC,$A328)+SUMIFS(SALIDAS_COMB,FECHA_COMB,"&gt;="&amp;S$2,FECHA_COMB,"&lt;="&amp;S$3,CLAVE_COMB,$A328)+SUMIFS(SALIDAS_DES,FECHA_DESGLOSEN,"&gt;="&amp;S$2,FECHA_DESGLOSEN,"&lt;="&amp;S$3,CLAVE_DESGLOSE,$A328)</f>
        <v>0</v>
      </c>
      <c r="T328" s="162">
        <f>SUMIFS(SALIDAS_BIT,FECHA_BIT,"&gt;="&amp;T$2,FECHA_BIT,"&lt;="&amp;T$3,CLAVE_BIT,$A328)+SUMIFS(SALIDAS_BOV1,FECHA_BOV1,"&gt;="&amp;T$2,FECHA_BOV1,"&lt;="&amp;T$3,CLAVE_BOV1,$A328)+SUMIFS(SALIDAS_BOV2,FECHA_BOV2,"&gt;="&amp;T$2,FECHA_BOV2,"&lt;="&amp;T$3,CLAVE_BOV2,$A328)+SUMIFS(SALIDAS_BOV3,FECHA_BOV3,"&gt;="&amp;T$2,FECHA_BOV3,"&lt;="&amp;T$3,CLAVE_BOV3,$A328)+SUMIFS(SALIDAS_TC,FECHA_TC,"&gt;="&amp;T$2,FECHA_TC,"&lt;="&amp;T$3,CLAVE_TC,$A328)+SUMIFS(SALIDAS_COMB,FECHA_COMB,"&gt;="&amp;T$2,FECHA_COMB,"&lt;="&amp;T$3,CLAVE_COMB,$A328)+SUMIFS(SALIDAS_DES,FECHA_DESGLOSEN,"&gt;="&amp;T$2,FECHA_DESGLOSEN,"&lt;="&amp;T$3,CLAVE_DESGLOSE,$A328)</f>
        <v>0</v>
      </c>
      <c r="U328" s="227">
        <f t="shared" si="692"/>
        <v>0</v>
      </c>
      <c r="V328" s="301">
        <f t="shared" si="693"/>
        <v>0</v>
      </c>
      <c r="W328" s="162">
        <f>VLOOKUP($A328,T_PRESUPUESTO,MATCH(W$6,E_PRESUPUESTO,0),FALSE)</f>
        <v>0</v>
      </c>
      <c r="X328" s="162">
        <f>SUMIFS(SALIDAS_BIT,FECHA_BIT,"&gt;="&amp;X$2,FECHA_BIT,"&lt;="&amp;X$3,CLAVE_BIT,$A328)+SUMIFS(SALIDAS_BOV1,FECHA_BOV1,"&gt;="&amp;X$2,FECHA_BOV1,"&lt;="&amp;X$3,CLAVE_BOV1,$A328)+SUMIFS(SALIDAS_BOV2,FECHA_BOV2,"&gt;="&amp;X$2,FECHA_BOV2,"&lt;="&amp;X$3,CLAVE_BOV2,$A328)+SUMIFS(SALIDAS_BOV3,FECHA_BOV3,"&gt;="&amp;X$2,FECHA_BOV3,"&lt;="&amp;X$3,CLAVE_BOV3,$A328)+SUMIFS(SALIDAS_TC,FECHA_TC,"&gt;="&amp;X$2,FECHA_TC,"&lt;="&amp;X$3,CLAVE_TC,$A328)+SUMIFS(SALIDAS_COMB,FECHA_COMB,"&gt;="&amp;X$2,FECHA_COMB,"&lt;="&amp;X$3,CLAVE_COMB,$A328)+SUMIFS(SALIDAS_DES,FECHA_DESGLOSEN,"&gt;="&amp;X$2,FECHA_DESGLOSEN,"&lt;="&amp;X$3,CLAVE_DESGLOSE,$A328)</f>
        <v>0</v>
      </c>
      <c r="Y328" s="162">
        <f>SUMIFS(SALIDAS_BIT,FECHA_BIT,"&gt;="&amp;Y$2,FECHA_BIT,"&lt;="&amp;Y$3,CLAVE_BIT,$A328)+SUMIFS(SALIDAS_BOV1,FECHA_BOV1,"&gt;="&amp;Y$2,FECHA_BOV1,"&lt;="&amp;Y$3,CLAVE_BOV1,$A328)+SUMIFS(SALIDAS_BOV2,FECHA_BOV2,"&gt;="&amp;Y$2,FECHA_BOV2,"&lt;="&amp;Y$3,CLAVE_BOV2,$A328)+SUMIFS(SALIDAS_BOV3,FECHA_BOV3,"&gt;="&amp;Y$2,FECHA_BOV3,"&lt;="&amp;Y$3,CLAVE_BOV3,$A328)+SUMIFS(SALIDAS_TC,FECHA_TC,"&gt;="&amp;Y$2,FECHA_TC,"&lt;="&amp;Y$3,CLAVE_TC,$A328)+SUMIFS(SALIDAS_COMB,FECHA_COMB,"&gt;="&amp;Y$2,FECHA_COMB,"&lt;="&amp;Y$3,CLAVE_COMB,$A328)+SUMIFS(SALIDAS_DES,FECHA_DESGLOSEN,"&gt;="&amp;Y$2,FECHA_DESGLOSEN,"&lt;="&amp;Y$3,CLAVE_DESGLOSE,$A328)</f>
        <v>0</v>
      </c>
      <c r="Z328" s="162">
        <f>SUMIFS(SALIDAS_BIT,FECHA_BIT,"&gt;="&amp;Z$2,FECHA_BIT,"&lt;="&amp;Z$3,CLAVE_BIT,$A328)+SUMIFS(SALIDAS_BOV1,FECHA_BOV1,"&gt;="&amp;Z$2,FECHA_BOV1,"&lt;="&amp;Z$3,CLAVE_BOV1,$A328)+SUMIFS(SALIDAS_BOV2,FECHA_BOV2,"&gt;="&amp;Z$2,FECHA_BOV2,"&lt;="&amp;Z$3,CLAVE_BOV2,$A328)+SUMIFS(SALIDAS_BOV3,FECHA_BOV3,"&gt;="&amp;Z$2,FECHA_BOV3,"&lt;="&amp;Z$3,CLAVE_BOV3,$A328)+SUMIFS(SALIDAS_TC,FECHA_TC,"&gt;="&amp;Z$2,FECHA_TC,"&lt;="&amp;Z$3,CLAVE_TC,$A328)+SUMIFS(SALIDAS_COMB,FECHA_COMB,"&gt;="&amp;Z$2,FECHA_COMB,"&lt;="&amp;Z$3,CLAVE_COMB,$A328)+SUMIFS(SALIDAS_DES,FECHA_DESGLOSEN,"&gt;="&amp;Z$2,FECHA_DESGLOSEN,"&lt;="&amp;Z$3,CLAVE_DESGLOSE,$A328)</f>
        <v>0</v>
      </c>
      <c r="AA328" s="162">
        <f>SUMIFS(SALIDAS_BIT,FECHA_BIT,"&gt;="&amp;AA$2,FECHA_BIT,"&lt;="&amp;AA$3,CLAVE_BIT,$A328)+SUMIFS(SALIDAS_BOV1,FECHA_BOV1,"&gt;="&amp;AA$2,FECHA_BOV1,"&lt;="&amp;AA$3,CLAVE_BOV1,$A328)+SUMIFS(SALIDAS_BOV2,FECHA_BOV2,"&gt;="&amp;AA$2,FECHA_BOV2,"&lt;="&amp;AA$3,CLAVE_BOV2,$A328)+SUMIFS(SALIDAS_BOV3,FECHA_BOV3,"&gt;="&amp;AA$2,FECHA_BOV3,"&lt;="&amp;AA$3,CLAVE_BOV3,$A328)+SUMIFS(SALIDAS_TC,FECHA_TC,"&gt;="&amp;AA$2,FECHA_TC,"&lt;="&amp;AA$3,CLAVE_TC,$A328)+SUMIFS(SALIDAS_COMB,FECHA_COMB,"&gt;="&amp;AA$2,FECHA_COMB,"&lt;="&amp;AA$3,CLAVE_COMB,$A328)+SUMIFS(SALIDAS_DES,FECHA_DESGLOSEN,"&gt;="&amp;AA$2,FECHA_DESGLOSEN,"&lt;="&amp;AA$3,CLAVE_DESGLOSE,$A328)</f>
        <v>0</v>
      </c>
      <c r="AB328" s="162">
        <f>SUMIFS(SALIDAS_BIT,FECHA_BIT,"&gt;="&amp;AB$2,FECHA_BIT,"&lt;="&amp;AB$3,CLAVE_BIT,$A328)+SUMIFS(SALIDAS_BOV1,FECHA_BOV1,"&gt;="&amp;AB$2,FECHA_BOV1,"&lt;="&amp;AB$3,CLAVE_BOV1,$A328)+SUMIFS(SALIDAS_BOV2,FECHA_BOV2,"&gt;="&amp;AB$2,FECHA_BOV2,"&lt;="&amp;AB$3,CLAVE_BOV2,$A328)+SUMIFS(SALIDAS_BOV3,FECHA_BOV3,"&gt;="&amp;AB$2,FECHA_BOV3,"&lt;="&amp;AB$3,CLAVE_BOV3,$A328)+SUMIFS(SALIDAS_TC,FECHA_TC,"&gt;="&amp;AB$2,FECHA_TC,"&lt;="&amp;AB$3,CLAVE_TC,$A328)+SUMIFS(SALIDAS_COMB,FECHA_COMB,"&gt;="&amp;AB$2,FECHA_COMB,"&lt;="&amp;AB$3,CLAVE_COMB,$A328)+SUMIFS(SALIDAS_DES,FECHA_DESGLOSEN,"&gt;="&amp;AB$2,FECHA_DESGLOSEN,"&lt;="&amp;AB$3,CLAVE_DESGLOSE,$A328)</f>
        <v>0</v>
      </c>
      <c r="AC328" s="227">
        <f t="shared" si="694"/>
        <v>0</v>
      </c>
      <c r="AD328" s="301">
        <f t="shared" si="695"/>
        <v>0</v>
      </c>
      <c r="AE328" s="162">
        <f>VLOOKUP($A328,T_PRESUPUESTO,MATCH(AE$6,E_PRESUPUESTO,0),FALSE)</f>
        <v>0</v>
      </c>
      <c r="AF328" s="162">
        <f>SUMIFS(SALIDAS_BIT,FECHA_BIT,"&gt;="&amp;AF$2,FECHA_BIT,"&lt;="&amp;AF$3,CLAVE_BIT,$A328)+SUMIFS(SALIDAS_BOV1,FECHA_BOV1,"&gt;="&amp;AF$2,FECHA_BOV1,"&lt;="&amp;AF$3,CLAVE_BOV1,$A328)+SUMIFS(SALIDAS_BOV2,FECHA_BOV2,"&gt;="&amp;AF$2,FECHA_BOV2,"&lt;="&amp;AF$3,CLAVE_BOV2,$A328)+SUMIFS(SALIDAS_BOV3,FECHA_BOV3,"&gt;="&amp;AF$2,FECHA_BOV3,"&lt;="&amp;AF$3,CLAVE_BOV3,$A328)+SUMIFS(SALIDAS_TC,FECHA_TC,"&gt;="&amp;AF$2,FECHA_TC,"&lt;="&amp;AF$3,CLAVE_TC,$A328)+SUMIFS(SALIDAS_COMB,FECHA_COMB,"&gt;="&amp;AF$2,FECHA_COMB,"&lt;="&amp;AF$3,CLAVE_COMB,$A328)+SUMIFS(SALIDAS_DES,FECHA_DESGLOSEN,"&gt;="&amp;AF$2,FECHA_DESGLOSEN,"&lt;="&amp;AF$3,CLAVE_DESGLOSE,$A328)</f>
        <v>0</v>
      </c>
      <c r="AG328" s="162">
        <f>SUMIFS(SALIDAS_BIT,FECHA_BIT,"&gt;="&amp;AG$2,FECHA_BIT,"&lt;="&amp;AG$3,CLAVE_BIT,$A328)+SUMIFS(SALIDAS_BOV1,FECHA_BOV1,"&gt;="&amp;AG$2,FECHA_BOV1,"&lt;="&amp;AG$3,CLAVE_BOV1,$A328)+SUMIFS(SALIDAS_BOV2,FECHA_BOV2,"&gt;="&amp;AG$2,FECHA_BOV2,"&lt;="&amp;AG$3,CLAVE_BOV2,$A328)+SUMIFS(SALIDAS_BOV3,FECHA_BOV3,"&gt;="&amp;AG$2,FECHA_BOV3,"&lt;="&amp;AG$3,CLAVE_BOV3,$A328)+SUMIFS(SALIDAS_TC,FECHA_TC,"&gt;="&amp;AG$2,FECHA_TC,"&lt;="&amp;AG$3,CLAVE_TC,$A328)+SUMIFS(SALIDAS_COMB,FECHA_COMB,"&gt;="&amp;AG$2,FECHA_COMB,"&lt;="&amp;AG$3,CLAVE_COMB,$A328)+SUMIFS(SALIDAS_DES,FECHA_DESGLOSEN,"&gt;="&amp;AG$2,FECHA_DESGLOSEN,"&lt;="&amp;AG$3,CLAVE_DESGLOSE,$A328)</f>
        <v>0</v>
      </c>
      <c r="AH328" s="162">
        <f>SUMIFS(SALIDAS_BIT,FECHA_BIT,"&gt;="&amp;AH$2,FECHA_BIT,"&lt;="&amp;AH$3,CLAVE_BIT,$A328)+SUMIFS(SALIDAS_BOV1,FECHA_BOV1,"&gt;="&amp;AH$2,FECHA_BOV1,"&lt;="&amp;AH$3,CLAVE_BOV1,$A328)+SUMIFS(SALIDAS_BOV2,FECHA_BOV2,"&gt;="&amp;AH$2,FECHA_BOV2,"&lt;="&amp;AH$3,CLAVE_BOV2,$A328)+SUMIFS(SALIDAS_BOV3,FECHA_BOV3,"&gt;="&amp;AH$2,FECHA_BOV3,"&lt;="&amp;AH$3,CLAVE_BOV3,$A328)+SUMIFS(SALIDAS_TC,FECHA_TC,"&gt;="&amp;AH$2,FECHA_TC,"&lt;="&amp;AH$3,CLAVE_TC,$A328)+SUMIFS(SALIDAS_COMB,FECHA_COMB,"&gt;="&amp;AH$2,FECHA_COMB,"&lt;="&amp;AH$3,CLAVE_COMB,$A328)+SUMIFS(SALIDAS_DES,FECHA_DESGLOSEN,"&gt;="&amp;AH$2,FECHA_DESGLOSEN,"&lt;="&amp;AH$3,CLAVE_DESGLOSE,$A328)</f>
        <v>0</v>
      </c>
      <c r="AI328" s="162">
        <f>SUMIFS(SALIDAS_BIT,FECHA_BIT,"&gt;="&amp;AI$2,FECHA_BIT,"&lt;="&amp;AI$3,CLAVE_BIT,$A328)+SUMIFS(SALIDAS_BOV1,FECHA_BOV1,"&gt;="&amp;AI$2,FECHA_BOV1,"&lt;="&amp;AI$3,CLAVE_BOV1,$A328)+SUMIFS(SALIDAS_BOV2,FECHA_BOV2,"&gt;="&amp;AI$2,FECHA_BOV2,"&lt;="&amp;AI$3,CLAVE_BOV2,$A328)+SUMIFS(SALIDAS_BOV3,FECHA_BOV3,"&gt;="&amp;AI$2,FECHA_BOV3,"&lt;="&amp;AI$3,CLAVE_BOV3,$A328)+SUMIFS(SALIDAS_TC,FECHA_TC,"&gt;="&amp;AI$2,FECHA_TC,"&lt;="&amp;AI$3,CLAVE_TC,$A328)+SUMIFS(SALIDAS_COMB,FECHA_COMB,"&gt;="&amp;AI$2,FECHA_COMB,"&lt;="&amp;AI$3,CLAVE_COMB,$A328)+SUMIFS(SALIDAS_DES,FECHA_DESGLOSEN,"&gt;="&amp;AI$2,FECHA_DESGLOSEN,"&lt;="&amp;AI$3,CLAVE_DESGLOSE,$A328)</f>
        <v>0</v>
      </c>
      <c r="AJ328" s="162">
        <f>SUMIFS(SALIDAS_BIT,FECHA_BIT,"&gt;="&amp;AJ$2,FECHA_BIT,"&lt;="&amp;AJ$3,CLAVE_BIT,$A328)+SUMIFS(SALIDAS_BOV1,FECHA_BOV1,"&gt;="&amp;AJ$2,FECHA_BOV1,"&lt;="&amp;AJ$3,CLAVE_BOV1,$A328)+SUMIFS(SALIDAS_BOV2,FECHA_BOV2,"&gt;="&amp;AJ$2,FECHA_BOV2,"&lt;="&amp;AJ$3,CLAVE_BOV2,$A328)+SUMIFS(SALIDAS_BOV3,FECHA_BOV3,"&gt;="&amp;AJ$2,FECHA_BOV3,"&lt;="&amp;AJ$3,CLAVE_BOV3,$A328)+SUMIFS(SALIDAS_TC,FECHA_TC,"&gt;="&amp;AJ$2,FECHA_TC,"&lt;="&amp;AJ$3,CLAVE_TC,$A328)+SUMIFS(SALIDAS_COMB,FECHA_COMB,"&gt;="&amp;AJ$2,FECHA_COMB,"&lt;="&amp;AJ$3,CLAVE_COMB,$A328)+SUMIFS(SALIDAS_DES,FECHA_DESGLOSEN,"&gt;="&amp;AJ$2,FECHA_DESGLOSEN,"&lt;="&amp;AJ$3,CLAVE_DESGLOSE,$A328)</f>
        <v>0</v>
      </c>
      <c r="AK328" s="227">
        <f t="shared" si="696"/>
        <v>0</v>
      </c>
      <c r="AL328" s="301">
        <f t="shared" si="697"/>
        <v>0</v>
      </c>
      <c r="AM328" s="162">
        <f>VLOOKUP($A328,T_PRESUPUESTO,MATCH(AM$6,E_PRESUPUESTO,0),FALSE)</f>
        <v>0</v>
      </c>
      <c r="AN328" s="162">
        <f>SUMIFS(SALIDAS_BIT,FECHA_BIT,"&gt;="&amp;AN$2,FECHA_BIT,"&lt;="&amp;AN$3,CLAVE_BIT,$A328)+SUMIFS(SALIDAS_BOV1,FECHA_BOV1,"&gt;="&amp;AN$2,FECHA_BOV1,"&lt;="&amp;AN$3,CLAVE_BOV1,$A328)+SUMIFS(SALIDAS_BOV2,FECHA_BOV2,"&gt;="&amp;AN$2,FECHA_BOV2,"&lt;="&amp;AN$3,CLAVE_BOV2,$A328)+SUMIFS(SALIDAS_BOV3,FECHA_BOV3,"&gt;="&amp;AN$2,FECHA_BOV3,"&lt;="&amp;AN$3,CLAVE_BOV3,$A328)+SUMIFS(SALIDAS_TC,FECHA_TC,"&gt;="&amp;AN$2,FECHA_TC,"&lt;="&amp;AN$3,CLAVE_TC,$A328)+SUMIFS(SALIDAS_COMB,FECHA_COMB,"&gt;="&amp;AN$2,FECHA_COMB,"&lt;="&amp;AN$3,CLAVE_COMB,$A328)+SUMIFS(SALIDAS_DES,FECHA_DESGLOSEN,"&gt;="&amp;AN$2,FECHA_DESGLOSEN,"&lt;="&amp;AN$3,CLAVE_DESGLOSE,$A328)</f>
        <v>0</v>
      </c>
      <c r="AO328" s="162">
        <f>SUMIFS(SALIDAS_BIT,FECHA_BIT,"&gt;="&amp;AO$2,FECHA_BIT,"&lt;="&amp;AO$3,CLAVE_BIT,$A328)+SUMIFS(SALIDAS_BOV1,FECHA_BOV1,"&gt;="&amp;AO$2,FECHA_BOV1,"&lt;="&amp;AO$3,CLAVE_BOV1,$A328)+SUMIFS(SALIDAS_BOV2,FECHA_BOV2,"&gt;="&amp;AO$2,FECHA_BOV2,"&lt;="&amp;AO$3,CLAVE_BOV2,$A328)+SUMIFS(SALIDAS_BOV3,FECHA_BOV3,"&gt;="&amp;AO$2,FECHA_BOV3,"&lt;="&amp;AO$3,CLAVE_BOV3,$A328)+SUMIFS(SALIDAS_TC,FECHA_TC,"&gt;="&amp;AO$2,FECHA_TC,"&lt;="&amp;AO$3,CLAVE_TC,$A328)+SUMIFS(SALIDAS_COMB,FECHA_COMB,"&gt;="&amp;AO$2,FECHA_COMB,"&lt;="&amp;AO$3,CLAVE_COMB,$A328)+SUMIFS(SALIDAS_DES,FECHA_DESGLOSEN,"&gt;="&amp;AO$2,FECHA_DESGLOSEN,"&lt;="&amp;AO$3,CLAVE_DESGLOSE,$A328)</f>
        <v>0</v>
      </c>
      <c r="AP328" s="162">
        <f>SUMIFS(SALIDAS_BIT,FECHA_BIT,"&gt;="&amp;AP$2,FECHA_BIT,"&lt;="&amp;AP$3,CLAVE_BIT,$A328)+SUMIFS(SALIDAS_BOV1,FECHA_BOV1,"&gt;="&amp;AP$2,FECHA_BOV1,"&lt;="&amp;AP$3,CLAVE_BOV1,$A328)+SUMIFS(SALIDAS_BOV2,FECHA_BOV2,"&gt;="&amp;AP$2,FECHA_BOV2,"&lt;="&amp;AP$3,CLAVE_BOV2,$A328)+SUMIFS(SALIDAS_BOV3,FECHA_BOV3,"&gt;="&amp;AP$2,FECHA_BOV3,"&lt;="&amp;AP$3,CLAVE_BOV3,$A328)+SUMIFS(SALIDAS_TC,FECHA_TC,"&gt;="&amp;AP$2,FECHA_TC,"&lt;="&amp;AP$3,CLAVE_TC,$A328)+SUMIFS(SALIDAS_COMB,FECHA_COMB,"&gt;="&amp;AP$2,FECHA_COMB,"&lt;="&amp;AP$3,CLAVE_COMB,$A328)+SUMIFS(SALIDAS_DES,FECHA_DESGLOSEN,"&gt;="&amp;AP$2,FECHA_DESGLOSEN,"&lt;="&amp;AP$3,CLAVE_DESGLOSE,$A328)</f>
        <v>0</v>
      </c>
      <c r="AQ328" s="162">
        <f>SUMIFS(SALIDAS_BIT,FECHA_BIT,"&gt;="&amp;AQ$2,FECHA_BIT,"&lt;="&amp;AQ$3,CLAVE_BIT,$A328)+SUMIFS(SALIDAS_BOV1,FECHA_BOV1,"&gt;="&amp;AQ$2,FECHA_BOV1,"&lt;="&amp;AQ$3,CLAVE_BOV1,$A328)+SUMIFS(SALIDAS_BOV2,FECHA_BOV2,"&gt;="&amp;AQ$2,FECHA_BOV2,"&lt;="&amp;AQ$3,CLAVE_BOV2,$A328)+SUMIFS(SALIDAS_BOV3,FECHA_BOV3,"&gt;="&amp;AQ$2,FECHA_BOV3,"&lt;="&amp;AQ$3,CLAVE_BOV3,$A328)+SUMIFS(SALIDAS_TC,FECHA_TC,"&gt;="&amp;AQ$2,FECHA_TC,"&lt;="&amp;AQ$3,CLAVE_TC,$A328)+SUMIFS(SALIDAS_COMB,FECHA_COMB,"&gt;="&amp;AQ$2,FECHA_COMB,"&lt;="&amp;AQ$3,CLAVE_COMB,$A328)+SUMIFS(SALIDAS_DES,FECHA_DESGLOSEN,"&gt;="&amp;AQ$2,FECHA_DESGLOSEN,"&lt;="&amp;AQ$3,CLAVE_DESGLOSE,$A328)</f>
        <v>0</v>
      </c>
      <c r="AR328" s="162">
        <f>SUMIFS(SALIDAS_BIT,FECHA_BIT,"&gt;="&amp;AR$2,FECHA_BIT,"&lt;="&amp;AR$3,CLAVE_BIT,$A328)+SUMIFS(SALIDAS_BOV1,FECHA_BOV1,"&gt;="&amp;AR$2,FECHA_BOV1,"&lt;="&amp;AR$3,CLAVE_BOV1,$A328)+SUMIFS(SALIDAS_BOV2,FECHA_BOV2,"&gt;="&amp;AR$2,FECHA_BOV2,"&lt;="&amp;AR$3,CLAVE_BOV2,$A328)+SUMIFS(SALIDAS_BOV3,FECHA_BOV3,"&gt;="&amp;AR$2,FECHA_BOV3,"&lt;="&amp;AR$3,CLAVE_BOV3,$A328)+SUMIFS(SALIDAS_TC,FECHA_TC,"&gt;="&amp;AR$2,FECHA_TC,"&lt;="&amp;AR$3,CLAVE_TC,$A328)+SUMIFS(SALIDAS_COMB,FECHA_COMB,"&gt;="&amp;AR$2,FECHA_COMB,"&lt;="&amp;AR$3,CLAVE_COMB,$A328)+SUMIFS(SALIDAS_DES,FECHA_DESGLOSEN,"&gt;="&amp;AR$2,FECHA_DESGLOSEN,"&lt;="&amp;AR$3,CLAVE_DESGLOSE,$A328)</f>
        <v>0</v>
      </c>
      <c r="AS328" s="162">
        <f>SUMIFS(SALIDAS_BIT,FECHA_BIT,"&gt;="&amp;AS$2,FECHA_BIT,"&lt;="&amp;AS$3,CLAVE_BIT,$A328)+SUMIFS(SALIDAS_BOV1,FECHA_BOV1,"&gt;="&amp;AS$2,FECHA_BOV1,"&lt;="&amp;AS$3,CLAVE_BOV1,$A328)+SUMIFS(SALIDAS_BOV2,FECHA_BOV2,"&gt;="&amp;AS$2,FECHA_BOV2,"&lt;="&amp;AS$3,CLAVE_BOV2,$A328)+SUMIFS(SALIDAS_BOV3,FECHA_BOV3,"&gt;="&amp;AS$2,FECHA_BOV3,"&lt;="&amp;AS$3,CLAVE_BOV3,$A328)+SUMIFS(SALIDAS_TC,FECHA_TC,"&gt;="&amp;AS$2,FECHA_TC,"&lt;="&amp;AS$3,CLAVE_TC,$A328)+SUMIFS(SALIDAS_COMB,FECHA_COMB,"&gt;="&amp;AS$2,FECHA_COMB,"&lt;="&amp;AS$3,CLAVE_COMB,$A328)+SUMIFS(SALIDAS_DES,FECHA_DESGLOSEN,"&gt;="&amp;AS$2,FECHA_DESGLOSEN,"&lt;="&amp;AS$3,CLAVE_DESGLOSE,$A328)</f>
        <v>0</v>
      </c>
      <c r="AT328" s="227">
        <f t="shared" si="698"/>
        <v>0</v>
      </c>
      <c r="AU328" s="301">
        <f t="shared" si="699"/>
        <v>0</v>
      </c>
      <c r="AV328" s="162">
        <f>VLOOKUP($A328,T_PRESUPUESTO,MATCH(AV$6,E_PRESUPUESTO,0),FALSE)</f>
        <v>0</v>
      </c>
      <c r="AW328" s="162">
        <f>SUMIFS(SALIDAS_BIT,FECHA_BIT,"&gt;="&amp;AW$2,FECHA_BIT,"&lt;="&amp;AW$3,CLAVE_BIT,$A328)+SUMIFS(SALIDAS_BOV1,FECHA_BOV1,"&gt;="&amp;AW$2,FECHA_BOV1,"&lt;="&amp;AW$3,CLAVE_BOV1,$A328)+SUMIFS(SALIDAS_BOV2,FECHA_BOV2,"&gt;="&amp;AW$2,FECHA_BOV2,"&lt;="&amp;AW$3,CLAVE_BOV2,$A328)+SUMIFS(SALIDAS_BOV3,FECHA_BOV3,"&gt;="&amp;AW$2,FECHA_BOV3,"&lt;="&amp;AW$3,CLAVE_BOV3,$A328)+SUMIFS(SALIDAS_TC,FECHA_TC,"&gt;="&amp;AW$2,FECHA_TC,"&lt;="&amp;AW$3,CLAVE_TC,$A328)+SUMIFS(SALIDAS_COMB,FECHA_COMB,"&gt;="&amp;AW$2,FECHA_COMB,"&lt;="&amp;AW$3,CLAVE_COMB,$A328)+SUMIFS(SALIDAS_DES,FECHA_DESGLOSEN,"&gt;="&amp;AW$2,FECHA_DESGLOSEN,"&lt;="&amp;AW$3,CLAVE_DESGLOSE,$A328)</f>
        <v>0</v>
      </c>
      <c r="AX328" s="162">
        <f>SUMIFS(SALIDAS_BIT,FECHA_BIT,"&gt;="&amp;AX$2,FECHA_BIT,"&lt;="&amp;AX$3,CLAVE_BIT,$A328)+SUMIFS(SALIDAS_BOV1,FECHA_BOV1,"&gt;="&amp;AX$2,FECHA_BOV1,"&lt;="&amp;AX$3,CLAVE_BOV1,$A328)+SUMIFS(SALIDAS_BOV2,FECHA_BOV2,"&gt;="&amp;AX$2,FECHA_BOV2,"&lt;="&amp;AX$3,CLAVE_BOV2,$A328)+SUMIFS(SALIDAS_BOV3,FECHA_BOV3,"&gt;="&amp;AX$2,FECHA_BOV3,"&lt;="&amp;AX$3,CLAVE_BOV3,$A328)+SUMIFS(SALIDAS_TC,FECHA_TC,"&gt;="&amp;AX$2,FECHA_TC,"&lt;="&amp;AX$3,CLAVE_TC,$A328)+SUMIFS(SALIDAS_COMB,FECHA_COMB,"&gt;="&amp;AX$2,FECHA_COMB,"&lt;="&amp;AX$3,CLAVE_COMB,$A328)+SUMIFS(SALIDAS_DES,FECHA_DESGLOSEN,"&gt;="&amp;AX$2,FECHA_DESGLOSEN,"&lt;="&amp;AX$3,CLAVE_DESGLOSE,$A328)</f>
        <v>0</v>
      </c>
      <c r="AY328" s="162">
        <f>SUMIFS(SALIDAS_BIT,FECHA_BIT,"&gt;="&amp;AY$2,FECHA_BIT,"&lt;="&amp;AY$3,CLAVE_BIT,$A328)+SUMIFS(SALIDAS_BOV1,FECHA_BOV1,"&gt;="&amp;AY$2,FECHA_BOV1,"&lt;="&amp;AY$3,CLAVE_BOV1,$A328)+SUMIFS(SALIDAS_BOV2,FECHA_BOV2,"&gt;="&amp;AY$2,FECHA_BOV2,"&lt;="&amp;AY$3,CLAVE_BOV2,$A328)+SUMIFS(SALIDAS_BOV3,FECHA_BOV3,"&gt;="&amp;AY$2,FECHA_BOV3,"&lt;="&amp;AY$3,CLAVE_BOV3,$A328)+SUMIFS(SALIDAS_TC,FECHA_TC,"&gt;="&amp;AY$2,FECHA_TC,"&lt;="&amp;AY$3,CLAVE_TC,$A328)+SUMIFS(SALIDAS_COMB,FECHA_COMB,"&gt;="&amp;AY$2,FECHA_COMB,"&lt;="&amp;AY$3,CLAVE_COMB,$A328)+SUMIFS(SALIDAS_DES,FECHA_DESGLOSEN,"&gt;="&amp;AY$2,FECHA_DESGLOSEN,"&lt;="&amp;AY$3,CLAVE_DESGLOSE,$A328)</f>
        <v>0</v>
      </c>
      <c r="AZ328" s="162">
        <f>SUMIFS(SALIDAS_BIT,FECHA_BIT,"&gt;="&amp;AZ$2,FECHA_BIT,"&lt;="&amp;AZ$3,CLAVE_BIT,$A328)+SUMIFS(SALIDAS_BOV1,FECHA_BOV1,"&gt;="&amp;AZ$2,FECHA_BOV1,"&lt;="&amp;AZ$3,CLAVE_BOV1,$A328)+SUMIFS(SALIDAS_BOV2,FECHA_BOV2,"&gt;="&amp;AZ$2,FECHA_BOV2,"&lt;="&amp;AZ$3,CLAVE_BOV2,$A328)+SUMIFS(SALIDAS_BOV3,FECHA_BOV3,"&gt;="&amp;AZ$2,FECHA_BOV3,"&lt;="&amp;AZ$3,CLAVE_BOV3,$A328)+SUMIFS(SALIDAS_TC,FECHA_TC,"&gt;="&amp;AZ$2,FECHA_TC,"&lt;="&amp;AZ$3,CLAVE_TC,$A328)+SUMIFS(SALIDAS_COMB,FECHA_COMB,"&gt;="&amp;AZ$2,FECHA_COMB,"&lt;="&amp;AZ$3,CLAVE_COMB,$A328)+SUMIFS(SALIDAS_DES,FECHA_DESGLOSEN,"&gt;="&amp;AZ$2,FECHA_DESGLOSEN,"&lt;="&amp;AZ$3,CLAVE_DESGLOSE,$A328)</f>
        <v>0</v>
      </c>
      <c r="BA328" s="162">
        <f>SUMIFS(SALIDAS_BIT,FECHA_BIT,"&gt;="&amp;BA$2,FECHA_BIT,"&lt;="&amp;BA$3,CLAVE_BIT,$A328)+SUMIFS(SALIDAS_BOV1,FECHA_BOV1,"&gt;="&amp;BA$2,FECHA_BOV1,"&lt;="&amp;BA$3,CLAVE_BOV1,$A328)+SUMIFS(SALIDAS_BOV2,FECHA_BOV2,"&gt;="&amp;BA$2,FECHA_BOV2,"&lt;="&amp;BA$3,CLAVE_BOV2,$A328)+SUMIFS(SALIDAS_BOV3,FECHA_BOV3,"&gt;="&amp;BA$2,FECHA_BOV3,"&lt;="&amp;BA$3,CLAVE_BOV3,$A328)+SUMIFS(SALIDAS_TC,FECHA_TC,"&gt;="&amp;BA$2,FECHA_TC,"&lt;="&amp;BA$3,CLAVE_TC,$A328)+SUMIFS(SALIDAS_COMB,FECHA_COMB,"&gt;="&amp;BA$2,FECHA_COMB,"&lt;="&amp;BA$3,CLAVE_COMB,$A328)+SUMIFS(SALIDAS_DES,FECHA_DESGLOSEN,"&gt;="&amp;BA$2,FECHA_DESGLOSEN,"&lt;="&amp;BA$3,CLAVE_DESGLOSE,$A328)</f>
        <v>0</v>
      </c>
      <c r="BB328" s="227">
        <f t="shared" si="700"/>
        <v>0</v>
      </c>
      <c r="BC328" s="301">
        <f t="shared" si="701"/>
        <v>0</v>
      </c>
      <c r="BD328" s="162">
        <f>VLOOKUP($A328,T_PRESUPUESTO,MATCH(BD$6,E_PRESUPUESTO,0),FALSE)</f>
        <v>0</v>
      </c>
      <c r="BE328" s="162">
        <f>SUMIFS(SALIDAS_BIT,FECHA_BIT,"&gt;="&amp;BE$2,FECHA_BIT,"&lt;="&amp;BE$3,CLAVE_BIT,$A328)+SUMIFS(SALIDAS_BOV1,FECHA_BOV1,"&gt;="&amp;BE$2,FECHA_BOV1,"&lt;="&amp;BE$3,CLAVE_BOV1,$A328)+SUMIFS(SALIDAS_BOV2,FECHA_BOV2,"&gt;="&amp;BE$2,FECHA_BOV2,"&lt;="&amp;BE$3,CLAVE_BOV2,$A328)+SUMIFS(SALIDAS_BOV3,FECHA_BOV3,"&gt;="&amp;BE$2,FECHA_BOV3,"&lt;="&amp;BE$3,CLAVE_BOV3,$A328)+SUMIFS(SALIDAS_TC,FECHA_TC,"&gt;="&amp;BE$2,FECHA_TC,"&lt;="&amp;BE$3,CLAVE_TC,$A328)+SUMIFS(SALIDAS_COMB,FECHA_COMB,"&gt;="&amp;BE$2,FECHA_COMB,"&lt;="&amp;BE$3,CLAVE_COMB,$A328)+SUMIFS(SALIDAS_DES,FECHA_DESGLOSEN,"&gt;="&amp;BE$2,FECHA_DESGLOSEN,"&lt;="&amp;BE$3,CLAVE_DESGLOSE,$A328)</f>
        <v>0</v>
      </c>
      <c r="BF328" s="162">
        <f>SUMIFS(SALIDAS_BIT,FECHA_BIT,"&gt;="&amp;BF$2,FECHA_BIT,"&lt;="&amp;BF$3,CLAVE_BIT,$A328)+SUMIFS(SALIDAS_BOV1,FECHA_BOV1,"&gt;="&amp;BF$2,FECHA_BOV1,"&lt;="&amp;BF$3,CLAVE_BOV1,$A328)+SUMIFS(SALIDAS_BOV2,FECHA_BOV2,"&gt;="&amp;BF$2,FECHA_BOV2,"&lt;="&amp;BF$3,CLAVE_BOV2,$A328)+SUMIFS(SALIDAS_BOV3,FECHA_BOV3,"&gt;="&amp;BF$2,FECHA_BOV3,"&lt;="&amp;BF$3,CLAVE_BOV3,$A328)+SUMIFS(SALIDAS_TC,FECHA_TC,"&gt;="&amp;BF$2,FECHA_TC,"&lt;="&amp;BF$3,CLAVE_TC,$A328)+SUMIFS(SALIDAS_COMB,FECHA_COMB,"&gt;="&amp;BF$2,FECHA_COMB,"&lt;="&amp;BF$3,CLAVE_COMB,$A328)+SUMIFS(SALIDAS_DES,FECHA_DESGLOSEN,"&gt;="&amp;BF$2,FECHA_DESGLOSEN,"&lt;="&amp;BF$3,CLAVE_DESGLOSE,$A328)</f>
        <v>0</v>
      </c>
      <c r="BG328" s="162">
        <f>SUMIFS(SALIDAS_BIT,FECHA_BIT,"&gt;="&amp;BG$2,FECHA_BIT,"&lt;="&amp;BG$3,CLAVE_BIT,$A328)+SUMIFS(SALIDAS_BOV1,FECHA_BOV1,"&gt;="&amp;BG$2,FECHA_BOV1,"&lt;="&amp;BG$3,CLAVE_BOV1,$A328)+SUMIFS(SALIDAS_BOV2,FECHA_BOV2,"&gt;="&amp;BG$2,FECHA_BOV2,"&lt;="&amp;BG$3,CLAVE_BOV2,$A328)+SUMIFS(SALIDAS_BOV3,FECHA_BOV3,"&gt;="&amp;BG$2,FECHA_BOV3,"&lt;="&amp;BG$3,CLAVE_BOV3,$A328)+SUMIFS(SALIDAS_TC,FECHA_TC,"&gt;="&amp;BG$2,FECHA_TC,"&lt;="&amp;BG$3,CLAVE_TC,$A328)+SUMIFS(SALIDAS_COMB,FECHA_COMB,"&gt;="&amp;BG$2,FECHA_COMB,"&lt;="&amp;BG$3,CLAVE_COMB,$A328)+SUMIFS(SALIDAS_DES,FECHA_DESGLOSEN,"&gt;="&amp;BG$2,FECHA_DESGLOSEN,"&lt;="&amp;BG$3,CLAVE_DESGLOSE,$A328)</f>
        <v>0</v>
      </c>
      <c r="BH328" s="162">
        <f>SUMIFS(SALIDAS_BIT,FECHA_BIT,"&gt;="&amp;BH$2,FECHA_BIT,"&lt;="&amp;BH$3,CLAVE_BIT,$A328)+SUMIFS(SALIDAS_BOV1,FECHA_BOV1,"&gt;="&amp;BH$2,FECHA_BOV1,"&lt;="&amp;BH$3,CLAVE_BOV1,$A328)+SUMIFS(SALIDAS_BOV2,FECHA_BOV2,"&gt;="&amp;BH$2,FECHA_BOV2,"&lt;="&amp;BH$3,CLAVE_BOV2,$A328)+SUMIFS(SALIDAS_BOV3,FECHA_BOV3,"&gt;="&amp;BH$2,FECHA_BOV3,"&lt;="&amp;BH$3,CLAVE_BOV3,$A328)+SUMIFS(SALIDAS_TC,FECHA_TC,"&gt;="&amp;BH$2,FECHA_TC,"&lt;="&amp;BH$3,CLAVE_TC,$A328)+SUMIFS(SALIDAS_COMB,FECHA_COMB,"&gt;="&amp;BH$2,FECHA_COMB,"&lt;="&amp;BH$3,CLAVE_COMB,$A328)+SUMIFS(SALIDAS_DES,FECHA_DESGLOSEN,"&gt;="&amp;BH$2,FECHA_DESGLOSEN,"&lt;="&amp;BH$3,CLAVE_DESGLOSE,$A328)</f>
        <v>0</v>
      </c>
      <c r="BI328" s="162">
        <f>SUMIFS(SALIDAS_BIT,FECHA_BIT,"&gt;="&amp;BI$2,FECHA_BIT,"&lt;="&amp;BI$3,CLAVE_BIT,$A328)+SUMIFS(SALIDAS_BOV1,FECHA_BOV1,"&gt;="&amp;BI$2,FECHA_BOV1,"&lt;="&amp;BI$3,CLAVE_BOV1,$A328)+SUMIFS(SALIDAS_BOV2,FECHA_BOV2,"&gt;="&amp;BI$2,FECHA_BOV2,"&lt;="&amp;BI$3,CLAVE_BOV2,$A328)+SUMIFS(SALIDAS_BOV3,FECHA_BOV3,"&gt;="&amp;BI$2,FECHA_BOV3,"&lt;="&amp;BI$3,CLAVE_BOV3,$A328)+SUMIFS(SALIDAS_TC,FECHA_TC,"&gt;="&amp;BI$2,FECHA_TC,"&lt;="&amp;BI$3,CLAVE_TC,$A328)+SUMIFS(SALIDAS_COMB,FECHA_COMB,"&gt;="&amp;BI$2,FECHA_COMB,"&lt;="&amp;BI$3,CLAVE_COMB,$A328)+SUMIFS(SALIDAS_DES,FECHA_DESGLOSEN,"&gt;="&amp;BI$2,FECHA_DESGLOSEN,"&lt;="&amp;BI$3,CLAVE_DESGLOSE,$A328)</f>
        <v>0</v>
      </c>
      <c r="BJ328" s="227">
        <f t="shared" si="702"/>
        <v>0</v>
      </c>
      <c r="BK328" s="301">
        <f t="shared" si="703"/>
        <v>0</v>
      </c>
      <c r="BL328" s="162">
        <f>VLOOKUP($A328,T_PRESUPUESTO,MATCH(BL$6,E_PRESUPUESTO,0),FALSE)</f>
        <v>0</v>
      </c>
      <c r="BM328" s="162">
        <f>SUMIFS(SALIDAS_BIT,FECHA_BIT,"&gt;="&amp;BM$2,FECHA_BIT,"&lt;="&amp;BM$3,CLAVE_BIT,$A328)+SUMIFS(SALIDAS_BOV1,FECHA_BOV1,"&gt;="&amp;BM$2,FECHA_BOV1,"&lt;="&amp;BM$3,CLAVE_BOV1,$A328)+SUMIFS(SALIDAS_BOV2,FECHA_BOV2,"&gt;="&amp;BM$2,FECHA_BOV2,"&lt;="&amp;BM$3,CLAVE_BOV2,$A328)+SUMIFS(SALIDAS_BOV3,FECHA_BOV3,"&gt;="&amp;BM$2,FECHA_BOV3,"&lt;="&amp;BM$3,CLAVE_BOV3,$A328)+SUMIFS(SALIDAS_TC,FECHA_TC,"&gt;="&amp;BM$2,FECHA_TC,"&lt;="&amp;BM$3,CLAVE_TC,$A328)+SUMIFS(SALIDAS_COMB,FECHA_COMB,"&gt;="&amp;BM$2,FECHA_COMB,"&lt;="&amp;BM$3,CLAVE_COMB,$A328)+SUMIFS(SALIDAS_DES,FECHA_DESGLOSEN,"&gt;="&amp;BM$2,FECHA_DESGLOSEN,"&lt;="&amp;BM$3,CLAVE_DESGLOSE,$A328)</f>
        <v>500</v>
      </c>
      <c r="BN328" s="162">
        <f>SUMIFS(SALIDAS_BIT,FECHA_BIT,"&gt;="&amp;BN$2,FECHA_BIT,"&lt;="&amp;BN$3,CLAVE_BIT,$A328)+SUMIFS(SALIDAS_BOV1,FECHA_BOV1,"&gt;="&amp;BN$2,FECHA_BOV1,"&lt;="&amp;BN$3,CLAVE_BOV1,$A328)+SUMIFS(SALIDAS_BOV2,FECHA_BOV2,"&gt;="&amp;BN$2,FECHA_BOV2,"&lt;="&amp;BN$3,CLAVE_BOV2,$A328)+SUMIFS(SALIDAS_BOV3,FECHA_BOV3,"&gt;="&amp;BN$2,FECHA_BOV3,"&lt;="&amp;BN$3,CLAVE_BOV3,$A328)+SUMIFS(SALIDAS_TC,FECHA_TC,"&gt;="&amp;BN$2,FECHA_TC,"&lt;="&amp;BN$3,CLAVE_TC,$A328)+SUMIFS(SALIDAS_COMB,FECHA_COMB,"&gt;="&amp;BN$2,FECHA_COMB,"&lt;="&amp;BN$3,CLAVE_COMB,$A328)+SUMIFS(SALIDAS_DES,FECHA_DESGLOSEN,"&gt;="&amp;BN$2,FECHA_DESGLOSEN,"&lt;="&amp;BN$3,CLAVE_DESGLOSE,$A328)</f>
        <v>0</v>
      </c>
      <c r="BO328" s="162">
        <f>SUMIFS(SALIDAS_BIT,FECHA_BIT,"&gt;="&amp;BO$2,FECHA_BIT,"&lt;="&amp;BO$3,CLAVE_BIT,$A328)+SUMIFS(SALIDAS_BOV1,FECHA_BOV1,"&gt;="&amp;BO$2,FECHA_BOV1,"&lt;="&amp;BO$3,CLAVE_BOV1,$A328)+SUMIFS(SALIDAS_BOV2,FECHA_BOV2,"&gt;="&amp;BO$2,FECHA_BOV2,"&lt;="&amp;BO$3,CLAVE_BOV2,$A328)+SUMIFS(SALIDAS_BOV3,FECHA_BOV3,"&gt;="&amp;BO$2,FECHA_BOV3,"&lt;="&amp;BO$3,CLAVE_BOV3,$A328)+SUMIFS(SALIDAS_TC,FECHA_TC,"&gt;="&amp;BO$2,FECHA_TC,"&lt;="&amp;BO$3,CLAVE_TC,$A328)+SUMIFS(SALIDAS_COMB,FECHA_COMB,"&gt;="&amp;BO$2,FECHA_COMB,"&lt;="&amp;BO$3,CLAVE_COMB,$A328)+SUMIFS(SALIDAS_DES,FECHA_DESGLOSEN,"&gt;="&amp;BO$2,FECHA_DESGLOSEN,"&lt;="&amp;BO$3,CLAVE_DESGLOSE,$A328)</f>
        <v>0</v>
      </c>
      <c r="BP328" s="162">
        <f>SUMIFS(SALIDAS_BIT,FECHA_BIT,"&gt;="&amp;BP$2,FECHA_BIT,"&lt;="&amp;BP$3,CLAVE_BIT,$A328)+SUMIFS(SALIDAS_BOV1,FECHA_BOV1,"&gt;="&amp;BP$2,FECHA_BOV1,"&lt;="&amp;BP$3,CLAVE_BOV1,$A328)+SUMIFS(SALIDAS_BOV2,FECHA_BOV2,"&gt;="&amp;BP$2,FECHA_BOV2,"&lt;="&amp;BP$3,CLAVE_BOV2,$A328)+SUMIFS(SALIDAS_BOV3,FECHA_BOV3,"&gt;="&amp;BP$2,FECHA_BOV3,"&lt;="&amp;BP$3,CLAVE_BOV3,$A328)+SUMIFS(SALIDAS_TC,FECHA_TC,"&gt;="&amp;BP$2,FECHA_TC,"&lt;="&amp;BP$3,CLAVE_TC,$A328)+SUMIFS(SALIDAS_COMB,FECHA_COMB,"&gt;="&amp;BP$2,FECHA_COMB,"&lt;="&amp;BP$3,CLAVE_COMB,$A328)+SUMIFS(SALIDAS_DES,FECHA_DESGLOSEN,"&gt;="&amp;BP$2,FECHA_DESGLOSEN,"&lt;="&amp;BP$3,CLAVE_DESGLOSE,$A328)</f>
        <v>650</v>
      </c>
      <c r="BQ328" s="162">
        <f>SUMIFS(SALIDAS_BIT,FECHA_BIT,"&gt;="&amp;BQ$2,FECHA_BIT,"&lt;="&amp;BQ$3,CLAVE_BIT,$A328)+SUMIFS(SALIDAS_BOV1,FECHA_BOV1,"&gt;="&amp;BQ$2,FECHA_BOV1,"&lt;="&amp;BQ$3,CLAVE_BOV1,$A328)+SUMIFS(SALIDAS_BOV2,FECHA_BOV2,"&gt;="&amp;BQ$2,FECHA_BOV2,"&lt;="&amp;BQ$3,CLAVE_BOV2,$A328)+SUMIFS(SALIDAS_BOV3,FECHA_BOV3,"&gt;="&amp;BQ$2,FECHA_BOV3,"&lt;="&amp;BQ$3,CLAVE_BOV3,$A328)+SUMIFS(SALIDAS_TC,FECHA_TC,"&gt;="&amp;BQ$2,FECHA_TC,"&lt;="&amp;BQ$3,CLAVE_TC,$A328)+SUMIFS(SALIDAS_COMB,FECHA_COMB,"&gt;="&amp;BQ$2,FECHA_COMB,"&lt;="&amp;BQ$3,CLAVE_COMB,$A328)+SUMIFS(SALIDAS_DES,FECHA_DESGLOSEN,"&gt;="&amp;BQ$2,FECHA_DESGLOSEN,"&lt;="&amp;BQ$3,CLAVE_DESGLOSE,$A328)</f>
        <v>0</v>
      </c>
      <c r="BR328" s="162">
        <f>SUMIFS(SALIDAS_BIT,FECHA_BIT,"&gt;="&amp;BR$2,FECHA_BIT,"&lt;="&amp;BR$3,CLAVE_BIT,$A328)+SUMIFS(SALIDAS_BOV1,FECHA_BOV1,"&gt;="&amp;BR$2,FECHA_BOV1,"&lt;="&amp;BR$3,CLAVE_BOV1,$A328)+SUMIFS(SALIDAS_BOV2,FECHA_BOV2,"&gt;="&amp;BR$2,FECHA_BOV2,"&lt;="&amp;BR$3,CLAVE_BOV2,$A328)+SUMIFS(SALIDAS_BOV3,FECHA_BOV3,"&gt;="&amp;BR$2,FECHA_BOV3,"&lt;="&amp;BR$3,CLAVE_BOV3,$A328)+SUMIFS(SALIDAS_TC,FECHA_TC,"&gt;="&amp;BR$2,FECHA_TC,"&lt;="&amp;BR$3,CLAVE_TC,$A328)+SUMIFS(SALIDAS_COMB,FECHA_COMB,"&gt;="&amp;BR$2,FECHA_COMB,"&lt;="&amp;BR$3,CLAVE_COMB,$A328)+SUMIFS(SALIDAS_DES,FECHA_DESGLOSEN,"&gt;="&amp;BR$2,FECHA_DESGLOSEN,"&lt;="&amp;BR$3,CLAVE_DESGLOSE,$A328)</f>
        <v>1150</v>
      </c>
      <c r="BS328" s="227">
        <f t="shared" si="704"/>
        <v>-1150</v>
      </c>
      <c r="BT328" s="301">
        <f t="shared" si="705"/>
        <v>0</v>
      </c>
      <c r="BU328" s="162">
        <f>VLOOKUP($A328,T_PRESUPUESTO,MATCH(BU$6,E_PRESUPUESTO,0),FALSE)</f>
        <v>0</v>
      </c>
      <c r="BV328" s="162">
        <f>SUMIFS(SALIDAS_BIT,FECHA_BIT,"&gt;="&amp;BV$2,FECHA_BIT,"&lt;="&amp;BV$3,CLAVE_BIT,$A328)+SUMIFS(SALIDAS_BOV1,FECHA_BOV1,"&gt;="&amp;BV$2,FECHA_BOV1,"&lt;="&amp;BV$3,CLAVE_BOV1,$A328)+SUMIFS(SALIDAS_BOV2,FECHA_BOV2,"&gt;="&amp;BV$2,FECHA_BOV2,"&lt;="&amp;BV$3,CLAVE_BOV2,$A328)+SUMIFS(SALIDAS_BOV3,FECHA_BOV3,"&gt;="&amp;BV$2,FECHA_BOV3,"&lt;="&amp;BV$3,CLAVE_BOV3,$A328)+SUMIFS(SALIDAS_TC,FECHA_TC,"&gt;="&amp;BV$2,FECHA_TC,"&lt;="&amp;BV$3,CLAVE_TC,$A328)+SUMIFS(SALIDAS_COMB,FECHA_COMB,"&gt;="&amp;BV$2,FECHA_COMB,"&lt;="&amp;BV$3,CLAVE_COMB,$A328)+SUMIFS(SALIDAS_DES,FECHA_DESGLOSEN,"&gt;="&amp;BV$2,FECHA_DESGLOSEN,"&lt;="&amp;BV$3,CLAVE_DESGLOSE,$A328)</f>
        <v>0</v>
      </c>
      <c r="BW328" s="162">
        <f>SUMIFS(SALIDAS_BIT,FECHA_BIT,"&gt;="&amp;BW$2,FECHA_BIT,"&lt;="&amp;BW$3,CLAVE_BIT,$A328)+SUMIFS(SALIDAS_BOV1,FECHA_BOV1,"&gt;="&amp;BW$2,FECHA_BOV1,"&lt;="&amp;BW$3,CLAVE_BOV1,$A328)+SUMIFS(SALIDAS_BOV2,FECHA_BOV2,"&gt;="&amp;BW$2,FECHA_BOV2,"&lt;="&amp;BW$3,CLAVE_BOV2,$A328)+SUMIFS(SALIDAS_BOV3,FECHA_BOV3,"&gt;="&amp;BW$2,FECHA_BOV3,"&lt;="&amp;BW$3,CLAVE_BOV3,$A328)+SUMIFS(SALIDAS_TC,FECHA_TC,"&gt;="&amp;BW$2,FECHA_TC,"&lt;="&amp;BW$3,CLAVE_TC,$A328)+SUMIFS(SALIDAS_COMB,FECHA_COMB,"&gt;="&amp;BW$2,FECHA_COMB,"&lt;="&amp;BW$3,CLAVE_COMB,$A328)+SUMIFS(SALIDAS_DES,FECHA_DESGLOSEN,"&gt;="&amp;BW$2,FECHA_DESGLOSEN,"&lt;="&amp;BW$3,CLAVE_DESGLOSE,$A328)</f>
        <v>0</v>
      </c>
      <c r="BX328" s="162">
        <f>SUMIFS(SALIDAS_BIT,FECHA_BIT,"&gt;="&amp;BX$2,FECHA_BIT,"&lt;="&amp;BX$3,CLAVE_BIT,$A328)+SUMIFS(SALIDAS_BOV1,FECHA_BOV1,"&gt;="&amp;BX$2,FECHA_BOV1,"&lt;="&amp;BX$3,CLAVE_BOV1,$A328)+SUMIFS(SALIDAS_BOV2,FECHA_BOV2,"&gt;="&amp;BX$2,FECHA_BOV2,"&lt;="&amp;BX$3,CLAVE_BOV2,$A328)+SUMIFS(SALIDAS_BOV3,FECHA_BOV3,"&gt;="&amp;BX$2,FECHA_BOV3,"&lt;="&amp;BX$3,CLAVE_BOV3,$A328)+SUMIFS(SALIDAS_TC,FECHA_TC,"&gt;="&amp;BX$2,FECHA_TC,"&lt;="&amp;BX$3,CLAVE_TC,$A328)+SUMIFS(SALIDAS_COMB,FECHA_COMB,"&gt;="&amp;BX$2,FECHA_COMB,"&lt;="&amp;BX$3,CLAVE_COMB,$A328)+SUMIFS(SALIDAS_DES,FECHA_DESGLOSEN,"&gt;="&amp;BX$2,FECHA_DESGLOSEN,"&lt;="&amp;BX$3,CLAVE_DESGLOSE,$A328)</f>
        <v>0</v>
      </c>
      <c r="BY328" s="162">
        <f>SUMIFS(SALIDAS_BIT,FECHA_BIT,"&gt;="&amp;BY$2,FECHA_BIT,"&lt;="&amp;BY$3,CLAVE_BIT,$A328)+SUMIFS(SALIDAS_BOV1,FECHA_BOV1,"&gt;="&amp;BY$2,FECHA_BOV1,"&lt;="&amp;BY$3,CLAVE_BOV1,$A328)+SUMIFS(SALIDAS_BOV2,FECHA_BOV2,"&gt;="&amp;BY$2,FECHA_BOV2,"&lt;="&amp;BY$3,CLAVE_BOV2,$A328)+SUMIFS(SALIDAS_BOV3,FECHA_BOV3,"&gt;="&amp;BY$2,FECHA_BOV3,"&lt;="&amp;BY$3,CLAVE_BOV3,$A328)+SUMIFS(SALIDAS_TC,FECHA_TC,"&gt;="&amp;BY$2,FECHA_TC,"&lt;="&amp;BY$3,CLAVE_TC,$A328)+SUMIFS(SALIDAS_COMB,FECHA_COMB,"&gt;="&amp;BY$2,FECHA_COMB,"&lt;="&amp;BY$3,CLAVE_COMB,$A328)+SUMIFS(SALIDAS_DES,FECHA_DESGLOSEN,"&gt;="&amp;BY$2,FECHA_DESGLOSEN,"&lt;="&amp;BY$3,CLAVE_DESGLOSE,$A328)</f>
        <v>400</v>
      </c>
      <c r="BZ328" s="162">
        <f>SUMIFS(SALIDAS_BIT,FECHA_BIT,"&gt;="&amp;BZ$2,FECHA_BIT,"&lt;="&amp;BZ$3,CLAVE_BIT,$A328)+SUMIFS(SALIDAS_BOV1,FECHA_BOV1,"&gt;="&amp;BZ$2,FECHA_BOV1,"&lt;="&amp;BZ$3,CLAVE_BOV1,$A328)+SUMIFS(SALIDAS_BOV2,FECHA_BOV2,"&gt;="&amp;BZ$2,FECHA_BOV2,"&lt;="&amp;BZ$3,CLAVE_BOV2,$A328)+SUMIFS(SALIDAS_BOV3,FECHA_BOV3,"&gt;="&amp;BZ$2,FECHA_BOV3,"&lt;="&amp;BZ$3,CLAVE_BOV3,$A328)+SUMIFS(SALIDAS_TC,FECHA_TC,"&gt;="&amp;BZ$2,FECHA_TC,"&lt;="&amp;BZ$3,CLAVE_TC,$A328)+SUMIFS(SALIDAS_COMB,FECHA_COMB,"&gt;="&amp;BZ$2,FECHA_COMB,"&lt;="&amp;BZ$3,CLAVE_COMB,$A328)+SUMIFS(SALIDAS_DES,FECHA_DESGLOSEN,"&gt;="&amp;BZ$2,FECHA_DESGLOSEN,"&lt;="&amp;BZ$3,CLAVE_DESGLOSE,$A328)</f>
        <v>400</v>
      </c>
      <c r="CA328" s="227">
        <f t="shared" si="706"/>
        <v>-400</v>
      </c>
      <c r="CB328" s="301">
        <f t="shared" si="707"/>
        <v>0</v>
      </c>
      <c r="CC328" s="162">
        <f>VLOOKUP($A328,T_PRESUPUESTO,MATCH(CC$6,E_PRESUPUESTO,0),FALSE)</f>
        <v>0</v>
      </c>
      <c r="CD328" s="162">
        <f>SUMIFS(SALIDAS_BIT,FECHA_BIT,"&gt;="&amp;CD$2,FECHA_BIT,"&lt;="&amp;CD$3,CLAVE_BIT,$A328)+SUMIFS(SALIDAS_BOV1,FECHA_BOV1,"&gt;="&amp;CD$2,FECHA_BOV1,"&lt;="&amp;CD$3,CLAVE_BOV1,$A328)+SUMIFS(SALIDAS_BOV2,FECHA_BOV2,"&gt;="&amp;CD$2,FECHA_BOV2,"&lt;="&amp;CD$3,CLAVE_BOV2,$A328)+SUMIFS(SALIDAS_BOV3,FECHA_BOV3,"&gt;="&amp;CD$2,FECHA_BOV3,"&lt;="&amp;CD$3,CLAVE_BOV3,$A328)+SUMIFS(SALIDAS_TC,FECHA_TC,"&gt;="&amp;CD$2,FECHA_TC,"&lt;="&amp;CD$3,CLAVE_TC,$A328)+SUMIFS(SALIDAS_COMB,FECHA_COMB,"&gt;="&amp;CD$2,FECHA_COMB,"&lt;="&amp;CD$3,CLAVE_COMB,$A328)+SUMIFS(SALIDAS_DES,FECHA_DESGLOSEN,"&gt;="&amp;CD$2,FECHA_DESGLOSEN,"&lt;="&amp;CD$3,CLAVE_DESGLOSE,$A328)</f>
        <v>0</v>
      </c>
      <c r="CE328" s="162">
        <f>SUMIFS(SALIDAS_BIT,FECHA_BIT,"&gt;="&amp;CE$2,FECHA_BIT,"&lt;="&amp;CE$3,CLAVE_BIT,$A328)+SUMIFS(SALIDAS_BOV1,FECHA_BOV1,"&gt;="&amp;CE$2,FECHA_BOV1,"&lt;="&amp;CE$3,CLAVE_BOV1,$A328)+SUMIFS(SALIDAS_BOV2,FECHA_BOV2,"&gt;="&amp;CE$2,FECHA_BOV2,"&lt;="&amp;CE$3,CLAVE_BOV2,$A328)+SUMIFS(SALIDAS_BOV3,FECHA_BOV3,"&gt;="&amp;CE$2,FECHA_BOV3,"&lt;="&amp;CE$3,CLAVE_BOV3,$A328)+SUMIFS(SALIDAS_TC,FECHA_TC,"&gt;="&amp;CE$2,FECHA_TC,"&lt;="&amp;CE$3,CLAVE_TC,$A328)+SUMIFS(SALIDAS_COMB,FECHA_COMB,"&gt;="&amp;CE$2,FECHA_COMB,"&lt;="&amp;CE$3,CLAVE_COMB,$A328)+SUMIFS(SALIDAS_DES,FECHA_DESGLOSEN,"&gt;="&amp;CE$2,FECHA_DESGLOSEN,"&lt;="&amp;CE$3,CLAVE_DESGLOSE,$A328)</f>
        <v>200</v>
      </c>
      <c r="CF328" s="162">
        <f>SUMIFS(SALIDAS_BIT,FECHA_BIT,"&gt;="&amp;CF$2,FECHA_BIT,"&lt;="&amp;CF$3,CLAVE_BIT,$A328)+SUMIFS(SALIDAS_BOV1,FECHA_BOV1,"&gt;="&amp;CF$2,FECHA_BOV1,"&lt;="&amp;CF$3,CLAVE_BOV1,$A328)+SUMIFS(SALIDAS_BOV2,FECHA_BOV2,"&gt;="&amp;CF$2,FECHA_BOV2,"&lt;="&amp;CF$3,CLAVE_BOV2,$A328)+SUMIFS(SALIDAS_BOV3,FECHA_BOV3,"&gt;="&amp;CF$2,FECHA_BOV3,"&lt;="&amp;CF$3,CLAVE_BOV3,$A328)+SUMIFS(SALIDAS_TC,FECHA_TC,"&gt;="&amp;CF$2,FECHA_TC,"&lt;="&amp;CF$3,CLAVE_TC,$A328)+SUMIFS(SALIDAS_COMB,FECHA_COMB,"&gt;="&amp;CF$2,FECHA_COMB,"&lt;="&amp;CF$3,CLAVE_COMB,$A328)+SUMIFS(SALIDAS_DES,FECHA_DESGLOSEN,"&gt;="&amp;CF$2,FECHA_DESGLOSEN,"&lt;="&amp;CF$3,CLAVE_DESGLOSE,$A328)</f>
        <v>0</v>
      </c>
      <c r="CG328" s="162">
        <f>SUMIFS(SALIDAS_BIT,FECHA_BIT,"&gt;="&amp;CG$2,FECHA_BIT,"&lt;="&amp;CG$3,CLAVE_BIT,$A328)+SUMIFS(SALIDAS_BOV1,FECHA_BOV1,"&gt;="&amp;CG$2,FECHA_BOV1,"&lt;="&amp;CG$3,CLAVE_BOV1,$A328)+SUMIFS(SALIDAS_BOV2,FECHA_BOV2,"&gt;="&amp;CG$2,FECHA_BOV2,"&lt;="&amp;CG$3,CLAVE_BOV2,$A328)+SUMIFS(SALIDAS_BOV3,FECHA_BOV3,"&gt;="&amp;CG$2,FECHA_BOV3,"&lt;="&amp;CG$3,CLAVE_BOV3,$A328)+SUMIFS(SALIDAS_TC,FECHA_TC,"&gt;="&amp;CG$2,FECHA_TC,"&lt;="&amp;CG$3,CLAVE_TC,$A328)+SUMIFS(SALIDAS_COMB,FECHA_COMB,"&gt;="&amp;CG$2,FECHA_COMB,"&lt;="&amp;CG$3,CLAVE_COMB,$A328)+SUMIFS(SALIDAS_DES,FECHA_DESGLOSEN,"&gt;="&amp;CG$2,FECHA_DESGLOSEN,"&lt;="&amp;CG$3,CLAVE_DESGLOSE,$A328)</f>
        <v>0</v>
      </c>
      <c r="CH328" s="162">
        <f>SUMIFS(SALIDAS_BIT,FECHA_BIT,"&gt;="&amp;CH$2,FECHA_BIT,"&lt;="&amp;CH$3,CLAVE_BIT,$A328)+SUMIFS(SALIDAS_BOV1,FECHA_BOV1,"&gt;="&amp;CH$2,FECHA_BOV1,"&lt;="&amp;CH$3,CLAVE_BOV1,$A328)+SUMIFS(SALIDAS_BOV2,FECHA_BOV2,"&gt;="&amp;CH$2,FECHA_BOV2,"&lt;="&amp;CH$3,CLAVE_BOV2,$A328)+SUMIFS(SALIDAS_BOV3,FECHA_BOV3,"&gt;="&amp;CH$2,FECHA_BOV3,"&lt;="&amp;CH$3,CLAVE_BOV3,$A328)+SUMIFS(SALIDAS_TC,FECHA_TC,"&gt;="&amp;CH$2,FECHA_TC,"&lt;="&amp;CH$3,CLAVE_TC,$A328)+SUMIFS(SALIDAS_COMB,FECHA_COMB,"&gt;="&amp;CH$2,FECHA_COMB,"&lt;="&amp;CH$3,CLAVE_COMB,$A328)+SUMIFS(SALIDAS_DES,FECHA_DESGLOSEN,"&gt;="&amp;CH$2,FECHA_DESGLOSEN,"&lt;="&amp;CH$3,CLAVE_DESGLOSE,$A328)</f>
        <v>200</v>
      </c>
      <c r="CI328" s="227">
        <f t="shared" si="708"/>
        <v>-200</v>
      </c>
      <c r="CJ328" s="301">
        <f t="shared" si="709"/>
        <v>0</v>
      </c>
      <c r="CK328" s="162">
        <f>VLOOKUP($A328,T_PRESUPUESTO,MATCH(CK$6,E_PRESUPUESTO,0),FALSE)</f>
        <v>0</v>
      </c>
      <c r="CL328" s="162">
        <f>SUMIFS(SALIDAS_BIT,FECHA_BIT,"&gt;="&amp;CL$2,FECHA_BIT,"&lt;="&amp;CL$3,CLAVE_BIT,$A328)+SUMIFS(SALIDAS_BOV1,FECHA_BOV1,"&gt;="&amp;CL$2,FECHA_BOV1,"&lt;="&amp;CL$3,CLAVE_BOV1,$A328)+SUMIFS(SALIDAS_BOV2,FECHA_BOV2,"&gt;="&amp;CL$2,FECHA_BOV2,"&lt;="&amp;CL$3,CLAVE_BOV2,$A328)+SUMIFS(SALIDAS_BOV3,FECHA_BOV3,"&gt;="&amp;CL$2,FECHA_BOV3,"&lt;="&amp;CL$3,CLAVE_BOV3,$A328)+SUMIFS(SALIDAS_TC,FECHA_TC,"&gt;="&amp;CL$2,FECHA_TC,"&lt;="&amp;CL$3,CLAVE_TC,$A328)+SUMIFS(SALIDAS_COMB,FECHA_COMB,"&gt;="&amp;CL$2,FECHA_COMB,"&lt;="&amp;CL$3,CLAVE_COMB,$A328)+SUMIFS(SALIDAS_DES,FECHA_DESGLOSEN,"&gt;="&amp;CL$2,FECHA_DESGLOSEN,"&lt;="&amp;CL$3,CLAVE_DESGLOSE,$A328)</f>
        <v>0</v>
      </c>
      <c r="CM328" s="162">
        <f>SUMIFS(SALIDAS_BIT,FECHA_BIT,"&gt;="&amp;CM$2,FECHA_BIT,"&lt;="&amp;CM$3,CLAVE_BIT,$A328)+SUMIFS(SALIDAS_BOV1,FECHA_BOV1,"&gt;="&amp;CM$2,FECHA_BOV1,"&lt;="&amp;CM$3,CLAVE_BOV1,$A328)+SUMIFS(SALIDAS_BOV2,FECHA_BOV2,"&gt;="&amp;CM$2,FECHA_BOV2,"&lt;="&amp;CM$3,CLAVE_BOV2,$A328)+SUMIFS(SALIDAS_BOV3,FECHA_BOV3,"&gt;="&amp;CM$2,FECHA_BOV3,"&lt;="&amp;CM$3,CLAVE_BOV3,$A328)+SUMIFS(SALIDAS_TC,FECHA_TC,"&gt;="&amp;CM$2,FECHA_TC,"&lt;="&amp;CM$3,CLAVE_TC,$A328)+SUMIFS(SALIDAS_COMB,FECHA_COMB,"&gt;="&amp;CM$2,FECHA_COMB,"&lt;="&amp;CM$3,CLAVE_COMB,$A328)+SUMIFS(SALIDAS_DES,FECHA_DESGLOSEN,"&gt;="&amp;CM$2,FECHA_DESGLOSEN,"&lt;="&amp;CM$3,CLAVE_DESGLOSE,$A328)</f>
        <v>0</v>
      </c>
      <c r="CN328" s="162">
        <f>SUMIFS(SALIDAS_BIT,FECHA_BIT,"&gt;="&amp;CN$2,FECHA_BIT,"&lt;="&amp;CN$3,CLAVE_BIT,$A328)+SUMIFS(SALIDAS_BOV1,FECHA_BOV1,"&gt;="&amp;CN$2,FECHA_BOV1,"&lt;="&amp;CN$3,CLAVE_BOV1,$A328)+SUMIFS(SALIDAS_BOV2,FECHA_BOV2,"&gt;="&amp;CN$2,FECHA_BOV2,"&lt;="&amp;CN$3,CLAVE_BOV2,$A328)+SUMIFS(SALIDAS_BOV3,FECHA_BOV3,"&gt;="&amp;CN$2,FECHA_BOV3,"&lt;="&amp;CN$3,CLAVE_BOV3,$A328)+SUMIFS(SALIDAS_TC,FECHA_TC,"&gt;="&amp;CN$2,FECHA_TC,"&lt;="&amp;CN$3,CLAVE_TC,$A328)+SUMIFS(SALIDAS_COMB,FECHA_COMB,"&gt;="&amp;CN$2,FECHA_COMB,"&lt;="&amp;CN$3,CLAVE_COMB,$A328)+SUMIFS(SALIDAS_DES,FECHA_DESGLOSEN,"&gt;="&amp;CN$2,FECHA_DESGLOSEN,"&lt;="&amp;CN$3,CLAVE_DESGLOSE,$A328)</f>
        <v>0</v>
      </c>
      <c r="CO328" s="162">
        <f>SUMIFS(SALIDAS_BIT,FECHA_BIT,"&gt;="&amp;CO$2,FECHA_BIT,"&lt;="&amp;CO$3,CLAVE_BIT,$A328)+SUMIFS(SALIDAS_BOV1,FECHA_BOV1,"&gt;="&amp;CO$2,FECHA_BOV1,"&lt;="&amp;CO$3,CLAVE_BOV1,$A328)+SUMIFS(SALIDAS_BOV2,FECHA_BOV2,"&gt;="&amp;CO$2,FECHA_BOV2,"&lt;="&amp;CO$3,CLAVE_BOV2,$A328)+SUMIFS(SALIDAS_BOV3,FECHA_BOV3,"&gt;="&amp;CO$2,FECHA_BOV3,"&lt;="&amp;CO$3,CLAVE_BOV3,$A328)+SUMIFS(SALIDAS_TC,FECHA_TC,"&gt;="&amp;CO$2,FECHA_TC,"&lt;="&amp;CO$3,CLAVE_TC,$A328)+SUMIFS(SALIDAS_COMB,FECHA_COMB,"&gt;="&amp;CO$2,FECHA_COMB,"&lt;="&amp;CO$3,CLAVE_COMB,$A328)+SUMIFS(SALIDAS_DES,FECHA_DESGLOSEN,"&gt;="&amp;CO$2,FECHA_DESGLOSEN,"&lt;="&amp;CO$3,CLAVE_DESGLOSE,$A328)</f>
        <v>0</v>
      </c>
      <c r="CP328" s="162">
        <f>SUMIFS(SALIDAS_BIT,FECHA_BIT,"&gt;="&amp;CP$2,FECHA_BIT,"&lt;="&amp;CP$3,CLAVE_BIT,$A328)+SUMIFS(SALIDAS_BOV1,FECHA_BOV1,"&gt;="&amp;CP$2,FECHA_BOV1,"&lt;="&amp;CP$3,CLAVE_BOV1,$A328)+SUMIFS(SALIDAS_BOV2,FECHA_BOV2,"&gt;="&amp;CP$2,FECHA_BOV2,"&lt;="&amp;CP$3,CLAVE_BOV2,$A328)+SUMIFS(SALIDAS_BOV3,FECHA_BOV3,"&gt;="&amp;CP$2,FECHA_BOV3,"&lt;="&amp;CP$3,CLAVE_BOV3,$A328)+SUMIFS(SALIDAS_TC,FECHA_TC,"&gt;="&amp;CP$2,FECHA_TC,"&lt;="&amp;CP$3,CLAVE_TC,$A328)+SUMIFS(SALIDAS_COMB,FECHA_COMB,"&gt;="&amp;CP$2,FECHA_COMB,"&lt;="&amp;CP$3,CLAVE_COMB,$A328)+SUMIFS(SALIDAS_DES,FECHA_DESGLOSEN,"&gt;="&amp;CP$2,FECHA_DESGLOSEN,"&lt;="&amp;CP$3,CLAVE_DESGLOSE,$A328)</f>
        <v>0</v>
      </c>
      <c r="CQ328" s="162">
        <f>SUMIFS(SALIDAS_BIT,FECHA_BIT,"&gt;="&amp;CQ$2,FECHA_BIT,"&lt;="&amp;CQ$3,CLAVE_BIT,$A328)+SUMIFS(SALIDAS_BOV1,FECHA_BOV1,"&gt;="&amp;CQ$2,FECHA_BOV1,"&lt;="&amp;CQ$3,CLAVE_BOV1,$A328)+SUMIFS(SALIDAS_BOV2,FECHA_BOV2,"&gt;="&amp;CQ$2,FECHA_BOV2,"&lt;="&amp;CQ$3,CLAVE_BOV2,$A328)+SUMIFS(SALIDAS_BOV3,FECHA_BOV3,"&gt;="&amp;CQ$2,FECHA_BOV3,"&lt;="&amp;CQ$3,CLAVE_BOV3,$A328)+SUMIFS(SALIDAS_TC,FECHA_TC,"&gt;="&amp;CQ$2,FECHA_TC,"&lt;="&amp;CQ$3,CLAVE_TC,$A328)+SUMIFS(SALIDAS_COMB,FECHA_COMB,"&gt;="&amp;CQ$2,FECHA_COMB,"&lt;="&amp;CQ$3,CLAVE_COMB,$A328)+SUMIFS(SALIDAS_DES,FECHA_DESGLOSEN,"&gt;="&amp;CQ$2,FECHA_DESGLOSEN,"&lt;="&amp;CQ$3,CLAVE_DESGLOSE,$A328)</f>
        <v>0</v>
      </c>
      <c r="CR328" s="227">
        <f t="shared" si="710"/>
        <v>0</v>
      </c>
      <c r="CS328" s="301">
        <f t="shared" si="711"/>
        <v>0</v>
      </c>
      <c r="CT328" s="68">
        <f t="shared" si="712"/>
        <v>3000</v>
      </c>
      <c r="CU328" s="13">
        <f>SUMIFS(SALIDAS_BIT,FECHA_BIT,"&gt;="&amp;CU$2,FECHA_BIT,"&lt;="&amp;CU$3,CLAVE_BIT,$A328)+SUMIFS(SALIDAS_BOV1,FECHA_BOV1,"&gt;="&amp;CU$2,FECHA_BOV1,"&lt;="&amp;CU$3,CLAVE_BOV1,$A328)+SUMIFS(SALIDAS_BOV2,FECHA_BOV2,"&gt;="&amp;CU$2,FECHA_BOV2,"&lt;="&amp;CU$3,CLAVE_BOV2,$A328)+SUMIFS(SALIDAS_BOV3,FECHA_BOV3,"&gt;="&amp;CU$2,FECHA_BOV3,"&lt;="&amp;CU$3,CLAVE_BOV3,$A328)+SUMIFS(SALIDAS_TC,FECHA_TC,"&gt;="&amp;CU$2,FECHA_TC,"&lt;="&amp;CU$3,CLAVE_TC,$A328)+SUMIFS(SALIDAS_COMB,FECHA_COMB,"&gt;="&amp;CU$2,FECHA_COMB,"&lt;="&amp;CU$3,CLAVE_COMB,$A328)+SUMIFS(SALIDAS_DES,FECHA_DESGLOSEN,"&gt;="&amp;CU$2,FECHA_DESGLOSEN,"&lt;="&amp;CU$3,CLAVE_DESGLOSE,$A328)</f>
        <v>0</v>
      </c>
      <c r="CV328" s="13">
        <f>SUMIFS(SALIDAS_BIT,FECHA_BIT,"&gt;="&amp;CV$2,FECHA_BIT,"&lt;="&amp;CV$3,CLAVE_BIT,$A328)+SUMIFS(SALIDAS_BOV1,FECHA_BOV1,"&gt;="&amp;CV$2,FECHA_BOV1,"&lt;="&amp;CV$3,CLAVE_BOV1,$A328)+SUMIFS(SALIDAS_BOV2,FECHA_BOV2,"&gt;="&amp;CV$2,FECHA_BOV2,"&lt;="&amp;CV$3,CLAVE_BOV2,$A328)+SUMIFS(SALIDAS_BOV3,FECHA_BOV3,"&gt;="&amp;CV$2,FECHA_BOV3,"&lt;="&amp;CV$3,CLAVE_BOV3,$A328)+SUMIFS(SALIDAS_TC,FECHA_TC,"&gt;="&amp;CV$2,FECHA_TC,"&lt;="&amp;CV$3,CLAVE_TC,$A328)+SUMIFS(SALIDAS_COMB,FECHA_COMB,"&gt;="&amp;CV$2,FECHA_COMB,"&lt;="&amp;CV$3,CLAVE_COMB,$A328)+SUMIFS(SALIDAS_DES,FECHA_DESGLOSEN,"&gt;="&amp;CV$2,FECHA_DESGLOSEN,"&lt;="&amp;CV$3,CLAVE_DESGLOSE,$A328)</f>
        <v>0</v>
      </c>
      <c r="CW328" s="13">
        <f>SUMIFS(SALIDAS_BIT,FECHA_BIT,"&gt;="&amp;CW$2,FECHA_BIT,"&lt;="&amp;CW$3,CLAVE_BIT,$A328)+SUMIFS(SALIDAS_BOV1,FECHA_BOV1,"&gt;="&amp;CW$2,FECHA_BOV1,"&lt;="&amp;CW$3,CLAVE_BOV1,$A328)+SUMIFS(SALIDAS_BOV2,FECHA_BOV2,"&gt;="&amp;CW$2,FECHA_BOV2,"&lt;="&amp;CW$3,CLAVE_BOV2,$A328)+SUMIFS(SALIDAS_BOV3,FECHA_BOV3,"&gt;="&amp;CW$2,FECHA_BOV3,"&lt;="&amp;CW$3,CLAVE_BOV3,$A328)+SUMIFS(SALIDAS_TC,FECHA_TC,"&gt;="&amp;CW$2,FECHA_TC,"&lt;="&amp;CW$3,CLAVE_TC,$A328)+SUMIFS(SALIDAS_COMB,FECHA_COMB,"&gt;="&amp;CW$2,FECHA_COMB,"&lt;="&amp;CW$3,CLAVE_COMB,$A328)+SUMIFS(SALIDAS_DES,FECHA_DESGLOSEN,"&gt;="&amp;CW$2,FECHA_DESGLOSEN,"&lt;="&amp;CW$3,CLAVE_DESGLOSE,$A328)</f>
        <v>0</v>
      </c>
      <c r="CX328" s="13">
        <f>SUMIFS(SALIDAS_BIT,FECHA_BIT,"&gt;="&amp;CX$2,FECHA_BIT,"&lt;="&amp;CX$3,CLAVE_BIT,$A328)+SUMIFS(SALIDAS_BOV1,FECHA_BOV1,"&gt;="&amp;CX$2,FECHA_BOV1,"&lt;="&amp;CX$3,CLAVE_BOV1,$A328)+SUMIFS(SALIDAS_BOV2,FECHA_BOV2,"&gt;="&amp;CX$2,FECHA_BOV2,"&lt;="&amp;CX$3,CLAVE_BOV2,$A328)+SUMIFS(SALIDAS_BOV3,FECHA_BOV3,"&gt;="&amp;CX$2,FECHA_BOV3,"&lt;="&amp;CX$3,CLAVE_BOV3,$A328)+SUMIFS(SALIDAS_TC,FECHA_TC,"&gt;="&amp;CX$2,FECHA_TC,"&lt;="&amp;CX$3,CLAVE_TC,$A328)+SUMIFS(SALIDAS_COMB,FECHA_COMB,"&gt;="&amp;CX$2,FECHA_COMB,"&lt;="&amp;CX$3,CLAVE_COMB,$A328)+SUMIFS(SALIDAS_DES,FECHA_DESGLOSEN,"&gt;="&amp;CX$2,FECHA_DESGLOSEN,"&lt;="&amp;CX$3,CLAVE_DESGLOSE,$A328)</f>
        <v>0</v>
      </c>
      <c r="CY328" s="13">
        <f>SUMIFS(SALIDAS_BIT,FECHA_BIT,"&gt;="&amp;CY$2,FECHA_BIT,"&lt;="&amp;CY$3,CLAVE_BIT,$A328)+SUMIFS(SALIDAS_BOV1,FECHA_BOV1,"&gt;="&amp;CY$2,FECHA_BOV1,"&lt;="&amp;CY$3,CLAVE_BOV1,$A328)+SUMIFS(SALIDAS_BOV2,FECHA_BOV2,"&gt;="&amp;CY$2,FECHA_BOV2,"&lt;="&amp;CY$3,CLAVE_BOV2,$A328)+SUMIFS(SALIDAS_BOV3,FECHA_BOV3,"&gt;="&amp;CY$2,FECHA_BOV3,"&lt;="&amp;CY$3,CLAVE_BOV3,$A328)+SUMIFS(SALIDAS_TC,FECHA_TC,"&gt;="&amp;CY$2,FECHA_TC,"&lt;="&amp;CY$3,CLAVE_TC,$A328)+SUMIFS(SALIDAS_COMB,FECHA_COMB,"&gt;="&amp;CY$2,FECHA_COMB,"&lt;="&amp;CY$3,CLAVE_COMB,$A328)+SUMIFS(SALIDAS_DES,FECHA_DESGLOSEN,"&gt;="&amp;CY$2,FECHA_DESGLOSEN,"&lt;="&amp;CY$3,CLAVE_DESGLOSE,$A328)</f>
        <v>0</v>
      </c>
      <c r="CZ328" s="68">
        <f t="shared" ref="CZ328:CZ339" si="713">CT328-CY328</f>
        <v>3000</v>
      </c>
      <c r="DB328" s="17">
        <f>F328+N328+W328+AE328+AM328+AV328+BD328+BL328+BU328+CC328+CK328</f>
        <v>0</v>
      </c>
      <c r="DC328" s="17">
        <f>K328+T328+AB328+AJ328+AS328+BA328+BI328+BR328+BZ328+CH328+CQ328</f>
        <v>1750</v>
      </c>
    </row>
    <row r="329" spans="1:107" ht="15" hidden="1">
      <c r="A329" s="12" t="str">
        <f>C329&amp;D329&amp;E329</f>
        <v>MKTCUOTAS Y SUSCRIPCIONESAPP</v>
      </c>
      <c r="B329">
        <v>329</v>
      </c>
      <c r="C329" t="s">
        <v>19</v>
      </c>
      <c r="D329" t="s">
        <v>51</v>
      </c>
      <c r="E329" t="s">
        <v>70</v>
      </c>
      <c r="F329" s="260">
        <f>VLOOKUP($A329,T_PRESUPUESTO,MATCH(F$6,E_PRESUPUESTO,0),FALSE)</f>
        <v>0</v>
      </c>
      <c r="G329" s="162">
        <f>SUMIFS(SALIDAS_BIT,FECHA_BIT,"&gt;="&amp;G$2,FECHA_BIT,"&lt;="&amp;G$3,CLAVE_BIT,$A329)+SUMIFS(SALIDAS_BOV1,FECHA_BOV1,"&gt;="&amp;G$2,FECHA_BOV1,"&lt;="&amp;G$3,CLAVE_BOV1,$A329)+SUMIFS(SALIDAS_BOV2,FECHA_BOV2,"&gt;="&amp;G$2,FECHA_BOV2,"&lt;="&amp;G$3,CLAVE_BOV2,$A329)+SUMIFS(SALIDAS_BOV3,FECHA_BOV3,"&gt;="&amp;G$2,FECHA_BOV3,"&lt;="&amp;G$3,CLAVE_BOV3,$A329)+SUMIFS(SALIDAS_TC,FECHA_TC,"&gt;="&amp;G$2,FECHA_TC,"&lt;="&amp;G$3,CLAVE_TC,$A329)+SUMIFS(SALIDAS_COMB,FECHA_COMB,"&gt;="&amp;G$2,FECHA_COMB,"&lt;="&amp;G$3,CLAVE_COMB,$A329)+SUMIFS(SALIDAS_DES,FECHA_DESGLOSEN,"&gt;="&amp;G$2,FECHA_DESGLOSEN,"&lt;="&amp;G$3,CLAVE_DESGLOSE,$A329)</f>
        <v>0</v>
      </c>
      <c r="H329" s="162">
        <f>SUMIFS(SALIDAS_BIT,FECHA_BIT,"&gt;="&amp;H$2,FECHA_BIT,"&lt;="&amp;H$3,CLAVE_BIT,$A329)+SUMIFS(SALIDAS_BOV1,FECHA_BOV1,"&gt;="&amp;H$2,FECHA_BOV1,"&lt;="&amp;H$3,CLAVE_BOV1,$A329)+SUMIFS(SALIDAS_BOV2,FECHA_BOV2,"&gt;="&amp;H$2,FECHA_BOV2,"&lt;="&amp;H$3,CLAVE_BOV2,$A329)+SUMIFS(SALIDAS_BOV3,FECHA_BOV3,"&gt;="&amp;H$2,FECHA_BOV3,"&lt;="&amp;H$3,CLAVE_BOV3,$A329)+SUMIFS(SALIDAS_TC,FECHA_TC,"&gt;="&amp;H$2,FECHA_TC,"&lt;="&amp;H$3,CLAVE_TC,$A329)+SUMIFS(SALIDAS_COMB,FECHA_COMB,"&gt;="&amp;H$2,FECHA_COMB,"&lt;="&amp;H$3,CLAVE_COMB,$A329)+SUMIFS(SALIDAS_DES,FECHA_DESGLOSEN,"&gt;="&amp;H$2,FECHA_DESGLOSEN,"&lt;="&amp;H$3,CLAVE_DESGLOSE,$A329)</f>
        <v>0</v>
      </c>
      <c r="I329" s="162">
        <f>SUMIFS(SALIDAS_BIT,FECHA_BIT,"&gt;="&amp;I$2,FECHA_BIT,"&lt;="&amp;I$3,CLAVE_BIT,$A329)+SUMIFS(SALIDAS_BOV1,FECHA_BOV1,"&gt;="&amp;I$2,FECHA_BOV1,"&lt;="&amp;I$3,CLAVE_BOV1,$A329)+SUMIFS(SALIDAS_BOV2,FECHA_BOV2,"&gt;="&amp;I$2,FECHA_BOV2,"&lt;="&amp;I$3,CLAVE_BOV2,$A329)+SUMIFS(SALIDAS_BOV3,FECHA_BOV3,"&gt;="&amp;I$2,FECHA_BOV3,"&lt;="&amp;I$3,CLAVE_BOV3,$A329)+SUMIFS(SALIDAS_TC,FECHA_TC,"&gt;="&amp;I$2,FECHA_TC,"&lt;="&amp;I$3,CLAVE_TC,$A329)+SUMIFS(SALIDAS_COMB,FECHA_COMB,"&gt;="&amp;I$2,FECHA_COMB,"&lt;="&amp;I$3,CLAVE_COMB,$A329)+SUMIFS(SALIDAS_DES,FECHA_DESGLOSEN,"&gt;="&amp;I$2,FECHA_DESGLOSEN,"&lt;="&amp;I$3,CLAVE_DESGLOSE,$A329)</f>
        <v>0</v>
      </c>
      <c r="J329" s="162">
        <f>SUMIFS(SALIDAS_BIT,FECHA_BIT,"&gt;="&amp;J$2,FECHA_BIT,"&lt;="&amp;J$3,CLAVE_BIT,$A329)+SUMIFS(SALIDAS_BOV1,FECHA_BOV1,"&gt;="&amp;J$2,FECHA_BOV1,"&lt;="&amp;J$3,CLAVE_BOV1,$A329)+SUMIFS(SALIDAS_BOV2,FECHA_BOV2,"&gt;="&amp;J$2,FECHA_BOV2,"&lt;="&amp;J$3,CLAVE_BOV2,$A329)+SUMIFS(SALIDAS_BOV3,FECHA_BOV3,"&gt;="&amp;J$2,FECHA_BOV3,"&lt;="&amp;J$3,CLAVE_BOV3,$A329)+SUMIFS(SALIDAS_TC,FECHA_TC,"&gt;="&amp;J$2,FECHA_TC,"&lt;="&amp;J$3,CLAVE_TC,$A329)+SUMIFS(SALIDAS_COMB,FECHA_COMB,"&gt;="&amp;J$2,FECHA_COMB,"&lt;="&amp;J$3,CLAVE_COMB,$A329)+SUMIFS(SALIDAS_DES,FECHA_DESGLOSEN,"&gt;="&amp;J$2,FECHA_DESGLOSEN,"&lt;="&amp;J$3,CLAVE_DESGLOSE,$A329)</f>
        <v>0</v>
      </c>
      <c r="K329" s="162">
        <f>SUMIFS(SALIDAS_BIT,FECHA_BIT,"&gt;="&amp;K$2,FECHA_BIT,"&lt;="&amp;K$3,CLAVE_BIT,$A329)+SUMIFS(SALIDAS_BOV1,FECHA_BOV1,"&gt;="&amp;K$2,FECHA_BOV1,"&lt;="&amp;K$3,CLAVE_BOV1,$A329)+SUMIFS(SALIDAS_BOV2,FECHA_BOV2,"&gt;="&amp;K$2,FECHA_BOV2,"&lt;="&amp;K$3,CLAVE_BOV2,$A329)+SUMIFS(SALIDAS_BOV3,FECHA_BOV3,"&gt;="&amp;K$2,FECHA_BOV3,"&lt;="&amp;K$3,CLAVE_BOV3,$A329)+SUMIFS(SALIDAS_TC,FECHA_TC,"&gt;="&amp;K$2,FECHA_TC,"&lt;="&amp;K$3,CLAVE_TC,$A329)+SUMIFS(SALIDAS_COMB,FECHA_COMB,"&gt;="&amp;K$2,FECHA_COMB,"&lt;="&amp;K$3,CLAVE_COMB,$A329)+SUMIFS(SALIDAS_DES,FECHA_DESGLOSEN,"&gt;="&amp;K$2,FECHA_DESGLOSEN,"&lt;="&amp;K$3,CLAVE_DESGLOSE,$A329)</f>
        <v>0</v>
      </c>
      <c r="L329" s="227">
        <f t="shared" ref="L329" si="714">F329-K329</f>
        <v>0</v>
      </c>
      <c r="M329" s="301">
        <f t="shared" ref="M329" si="715">IFERROR((K329/F329),0)</f>
        <v>0</v>
      </c>
      <c r="N329" s="162">
        <f>VLOOKUP($A329,T_PRESUPUESTO,MATCH(N$6,E_PRESUPUESTO,0),FALSE)</f>
        <v>0</v>
      </c>
      <c r="O329" s="162">
        <f>SUMIFS(SALIDAS_BIT,FECHA_BIT,"&gt;="&amp;O$2,FECHA_BIT,"&lt;="&amp;O$3,CLAVE_BIT,$A329)+SUMIFS(SALIDAS_BOV1,FECHA_BOV1,"&gt;="&amp;O$2,FECHA_BOV1,"&lt;="&amp;O$3,CLAVE_BOV1,$A329)+SUMIFS(SALIDAS_BOV2,FECHA_BOV2,"&gt;="&amp;O$2,FECHA_BOV2,"&lt;="&amp;O$3,CLAVE_BOV2,$A329)+SUMIFS(SALIDAS_BOV3,FECHA_BOV3,"&gt;="&amp;O$2,FECHA_BOV3,"&lt;="&amp;O$3,CLAVE_BOV3,$A329)+SUMIFS(SALIDAS_TC,FECHA_TC,"&gt;="&amp;O$2,FECHA_TC,"&lt;="&amp;O$3,CLAVE_TC,$A329)+SUMIFS(SALIDAS_COMB,FECHA_COMB,"&gt;="&amp;O$2,FECHA_COMB,"&lt;="&amp;O$3,CLAVE_COMB,$A329)+SUMIFS(SALIDAS_DES,FECHA_DESGLOSEN,"&gt;="&amp;O$2,FECHA_DESGLOSEN,"&lt;="&amp;O$3,CLAVE_DESGLOSE,$A329)</f>
        <v>0</v>
      </c>
      <c r="P329" s="162">
        <f>SUMIFS(SALIDAS_BIT,FECHA_BIT,"&gt;="&amp;P$2,FECHA_BIT,"&lt;="&amp;P$3,CLAVE_BIT,$A329)+SUMIFS(SALIDAS_BOV1,FECHA_BOV1,"&gt;="&amp;P$2,FECHA_BOV1,"&lt;="&amp;P$3,CLAVE_BOV1,$A329)+SUMIFS(SALIDAS_BOV2,FECHA_BOV2,"&gt;="&amp;P$2,FECHA_BOV2,"&lt;="&amp;P$3,CLAVE_BOV2,$A329)+SUMIFS(SALIDAS_BOV3,FECHA_BOV3,"&gt;="&amp;P$2,FECHA_BOV3,"&lt;="&amp;P$3,CLAVE_BOV3,$A329)+SUMIFS(SALIDAS_TC,FECHA_TC,"&gt;="&amp;P$2,FECHA_TC,"&lt;="&amp;P$3,CLAVE_TC,$A329)+SUMIFS(SALIDAS_COMB,FECHA_COMB,"&gt;="&amp;P$2,FECHA_COMB,"&lt;="&amp;P$3,CLAVE_COMB,$A329)+SUMIFS(SALIDAS_DES,FECHA_DESGLOSEN,"&gt;="&amp;P$2,FECHA_DESGLOSEN,"&lt;="&amp;P$3,CLAVE_DESGLOSE,$A329)</f>
        <v>0</v>
      </c>
      <c r="Q329" s="162">
        <f>SUMIFS(SALIDAS_BIT,FECHA_BIT,"&gt;="&amp;Q$2,FECHA_BIT,"&lt;="&amp;Q$3,CLAVE_BIT,$A329)+SUMIFS(SALIDAS_BOV1,FECHA_BOV1,"&gt;="&amp;Q$2,FECHA_BOV1,"&lt;="&amp;Q$3,CLAVE_BOV1,$A329)+SUMIFS(SALIDAS_BOV2,FECHA_BOV2,"&gt;="&amp;Q$2,FECHA_BOV2,"&lt;="&amp;Q$3,CLAVE_BOV2,$A329)+SUMIFS(SALIDAS_BOV3,FECHA_BOV3,"&gt;="&amp;Q$2,FECHA_BOV3,"&lt;="&amp;Q$3,CLAVE_BOV3,$A329)+SUMIFS(SALIDAS_TC,FECHA_TC,"&gt;="&amp;Q$2,FECHA_TC,"&lt;="&amp;Q$3,CLAVE_TC,$A329)+SUMIFS(SALIDAS_COMB,FECHA_COMB,"&gt;="&amp;Q$2,FECHA_COMB,"&lt;="&amp;Q$3,CLAVE_COMB,$A329)+SUMIFS(SALIDAS_DES,FECHA_DESGLOSEN,"&gt;="&amp;Q$2,FECHA_DESGLOSEN,"&lt;="&amp;Q$3,CLAVE_DESGLOSE,$A329)</f>
        <v>0</v>
      </c>
      <c r="R329" s="162">
        <f>SUMIFS(SALIDAS_BIT,FECHA_BIT,"&gt;="&amp;R$2,FECHA_BIT,"&lt;="&amp;R$3,CLAVE_BIT,$A329)+SUMIFS(SALIDAS_BOV1,FECHA_BOV1,"&gt;="&amp;R$2,FECHA_BOV1,"&lt;="&amp;R$3,CLAVE_BOV1,$A329)+SUMIFS(SALIDAS_BOV2,FECHA_BOV2,"&gt;="&amp;R$2,FECHA_BOV2,"&lt;="&amp;R$3,CLAVE_BOV2,$A329)+SUMIFS(SALIDAS_BOV3,FECHA_BOV3,"&gt;="&amp;R$2,FECHA_BOV3,"&lt;="&amp;R$3,CLAVE_BOV3,$A329)+SUMIFS(SALIDAS_TC,FECHA_TC,"&gt;="&amp;R$2,FECHA_TC,"&lt;="&amp;R$3,CLAVE_TC,$A329)+SUMIFS(SALIDAS_COMB,FECHA_COMB,"&gt;="&amp;R$2,FECHA_COMB,"&lt;="&amp;R$3,CLAVE_COMB,$A329)+SUMIFS(SALIDAS_DES,FECHA_DESGLOSEN,"&gt;="&amp;R$2,FECHA_DESGLOSEN,"&lt;="&amp;R$3,CLAVE_DESGLOSE,$A329)</f>
        <v>0</v>
      </c>
      <c r="S329" s="162">
        <f>SUMIFS(SALIDAS_BIT,FECHA_BIT,"&gt;="&amp;S$2,FECHA_BIT,"&lt;="&amp;S$3,CLAVE_BIT,$A329)+SUMIFS(SALIDAS_BOV1,FECHA_BOV1,"&gt;="&amp;S$2,FECHA_BOV1,"&lt;="&amp;S$3,CLAVE_BOV1,$A329)+SUMIFS(SALIDAS_BOV2,FECHA_BOV2,"&gt;="&amp;S$2,FECHA_BOV2,"&lt;="&amp;S$3,CLAVE_BOV2,$A329)+SUMIFS(SALIDAS_BOV3,FECHA_BOV3,"&gt;="&amp;S$2,FECHA_BOV3,"&lt;="&amp;S$3,CLAVE_BOV3,$A329)+SUMIFS(SALIDAS_TC,FECHA_TC,"&gt;="&amp;S$2,FECHA_TC,"&lt;="&amp;S$3,CLAVE_TC,$A329)+SUMIFS(SALIDAS_COMB,FECHA_COMB,"&gt;="&amp;S$2,FECHA_COMB,"&lt;="&amp;S$3,CLAVE_COMB,$A329)+SUMIFS(SALIDAS_DES,FECHA_DESGLOSEN,"&gt;="&amp;S$2,FECHA_DESGLOSEN,"&lt;="&amp;S$3,CLAVE_DESGLOSE,$A329)</f>
        <v>0</v>
      </c>
      <c r="T329" s="162">
        <f>SUMIFS(SALIDAS_BIT,FECHA_BIT,"&gt;="&amp;T$2,FECHA_BIT,"&lt;="&amp;T$3,CLAVE_BIT,$A329)+SUMIFS(SALIDAS_BOV1,FECHA_BOV1,"&gt;="&amp;T$2,FECHA_BOV1,"&lt;="&amp;T$3,CLAVE_BOV1,$A329)+SUMIFS(SALIDAS_BOV2,FECHA_BOV2,"&gt;="&amp;T$2,FECHA_BOV2,"&lt;="&amp;T$3,CLAVE_BOV2,$A329)+SUMIFS(SALIDAS_BOV3,FECHA_BOV3,"&gt;="&amp;T$2,FECHA_BOV3,"&lt;="&amp;T$3,CLAVE_BOV3,$A329)+SUMIFS(SALIDAS_TC,FECHA_TC,"&gt;="&amp;T$2,FECHA_TC,"&lt;="&amp;T$3,CLAVE_TC,$A329)+SUMIFS(SALIDAS_COMB,FECHA_COMB,"&gt;="&amp;T$2,FECHA_COMB,"&lt;="&amp;T$3,CLAVE_COMB,$A329)+SUMIFS(SALIDAS_DES,FECHA_DESGLOSEN,"&gt;="&amp;T$2,FECHA_DESGLOSEN,"&lt;="&amp;T$3,CLAVE_DESGLOSE,$A329)</f>
        <v>0</v>
      </c>
      <c r="U329" s="227">
        <f t="shared" ref="U329" si="716">N329-T329</f>
        <v>0</v>
      </c>
      <c r="V329" s="301">
        <f t="shared" ref="V329" si="717">IFERROR((T329/N329),0)</f>
        <v>0</v>
      </c>
      <c r="W329" s="162">
        <f>VLOOKUP($A329,T_PRESUPUESTO,MATCH(W$6,E_PRESUPUESTO,0),FALSE)</f>
        <v>0</v>
      </c>
      <c r="X329" s="162">
        <f>SUMIFS(SALIDAS_BIT,FECHA_BIT,"&gt;="&amp;X$2,FECHA_BIT,"&lt;="&amp;X$3,CLAVE_BIT,$A329)+SUMIFS(SALIDAS_BOV1,FECHA_BOV1,"&gt;="&amp;X$2,FECHA_BOV1,"&lt;="&amp;X$3,CLAVE_BOV1,$A329)+SUMIFS(SALIDAS_BOV2,FECHA_BOV2,"&gt;="&amp;X$2,FECHA_BOV2,"&lt;="&amp;X$3,CLAVE_BOV2,$A329)+SUMIFS(SALIDAS_BOV3,FECHA_BOV3,"&gt;="&amp;X$2,FECHA_BOV3,"&lt;="&amp;X$3,CLAVE_BOV3,$A329)+SUMIFS(SALIDAS_TC,FECHA_TC,"&gt;="&amp;X$2,FECHA_TC,"&lt;="&amp;X$3,CLAVE_TC,$A329)+SUMIFS(SALIDAS_COMB,FECHA_COMB,"&gt;="&amp;X$2,FECHA_COMB,"&lt;="&amp;X$3,CLAVE_COMB,$A329)+SUMIFS(SALIDAS_DES,FECHA_DESGLOSEN,"&gt;="&amp;X$2,FECHA_DESGLOSEN,"&lt;="&amp;X$3,CLAVE_DESGLOSE,$A329)</f>
        <v>0</v>
      </c>
      <c r="Y329" s="162">
        <f>SUMIFS(SALIDAS_BIT,FECHA_BIT,"&gt;="&amp;Y$2,FECHA_BIT,"&lt;="&amp;Y$3,CLAVE_BIT,$A329)+SUMIFS(SALIDAS_BOV1,FECHA_BOV1,"&gt;="&amp;Y$2,FECHA_BOV1,"&lt;="&amp;Y$3,CLAVE_BOV1,$A329)+SUMIFS(SALIDAS_BOV2,FECHA_BOV2,"&gt;="&amp;Y$2,FECHA_BOV2,"&lt;="&amp;Y$3,CLAVE_BOV2,$A329)+SUMIFS(SALIDAS_BOV3,FECHA_BOV3,"&gt;="&amp;Y$2,FECHA_BOV3,"&lt;="&amp;Y$3,CLAVE_BOV3,$A329)+SUMIFS(SALIDAS_TC,FECHA_TC,"&gt;="&amp;Y$2,FECHA_TC,"&lt;="&amp;Y$3,CLAVE_TC,$A329)+SUMIFS(SALIDAS_COMB,FECHA_COMB,"&gt;="&amp;Y$2,FECHA_COMB,"&lt;="&amp;Y$3,CLAVE_COMB,$A329)+SUMIFS(SALIDAS_DES,FECHA_DESGLOSEN,"&gt;="&amp;Y$2,FECHA_DESGLOSEN,"&lt;="&amp;Y$3,CLAVE_DESGLOSE,$A329)</f>
        <v>0</v>
      </c>
      <c r="Z329" s="162">
        <f>SUMIFS(SALIDAS_BIT,FECHA_BIT,"&gt;="&amp;Z$2,FECHA_BIT,"&lt;="&amp;Z$3,CLAVE_BIT,$A329)+SUMIFS(SALIDAS_BOV1,FECHA_BOV1,"&gt;="&amp;Z$2,FECHA_BOV1,"&lt;="&amp;Z$3,CLAVE_BOV1,$A329)+SUMIFS(SALIDAS_BOV2,FECHA_BOV2,"&gt;="&amp;Z$2,FECHA_BOV2,"&lt;="&amp;Z$3,CLAVE_BOV2,$A329)+SUMIFS(SALIDAS_BOV3,FECHA_BOV3,"&gt;="&amp;Z$2,FECHA_BOV3,"&lt;="&amp;Z$3,CLAVE_BOV3,$A329)+SUMIFS(SALIDAS_TC,FECHA_TC,"&gt;="&amp;Z$2,FECHA_TC,"&lt;="&amp;Z$3,CLAVE_TC,$A329)+SUMIFS(SALIDAS_COMB,FECHA_COMB,"&gt;="&amp;Z$2,FECHA_COMB,"&lt;="&amp;Z$3,CLAVE_COMB,$A329)+SUMIFS(SALIDAS_DES,FECHA_DESGLOSEN,"&gt;="&amp;Z$2,FECHA_DESGLOSEN,"&lt;="&amp;Z$3,CLAVE_DESGLOSE,$A329)</f>
        <v>0</v>
      </c>
      <c r="AA329" s="162">
        <f>SUMIFS(SALIDAS_BIT,FECHA_BIT,"&gt;="&amp;AA$2,FECHA_BIT,"&lt;="&amp;AA$3,CLAVE_BIT,$A329)+SUMIFS(SALIDAS_BOV1,FECHA_BOV1,"&gt;="&amp;AA$2,FECHA_BOV1,"&lt;="&amp;AA$3,CLAVE_BOV1,$A329)+SUMIFS(SALIDAS_BOV2,FECHA_BOV2,"&gt;="&amp;AA$2,FECHA_BOV2,"&lt;="&amp;AA$3,CLAVE_BOV2,$A329)+SUMIFS(SALIDAS_BOV3,FECHA_BOV3,"&gt;="&amp;AA$2,FECHA_BOV3,"&lt;="&amp;AA$3,CLAVE_BOV3,$A329)+SUMIFS(SALIDAS_TC,FECHA_TC,"&gt;="&amp;AA$2,FECHA_TC,"&lt;="&amp;AA$3,CLAVE_TC,$A329)+SUMIFS(SALIDAS_COMB,FECHA_COMB,"&gt;="&amp;AA$2,FECHA_COMB,"&lt;="&amp;AA$3,CLAVE_COMB,$A329)+SUMIFS(SALIDAS_DES,FECHA_DESGLOSEN,"&gt;="&amp;AA$2,FECHA_DESGLOSEN,"&lt;="&amp;AA$3,CLAVE_DESGLOSE,$A329)</f>
        <v>0</v>
      </c>
      <c r="AB329" s="162">
        <f>SUMIFS(SALIDAS_BIT,FECHA_BIT,"&gt;="&amp;AB$2,FECHA_BIT,"&lt;="&amp;AB$3,CLAVE_BIT,$A329)+SUMIFS(SALIDAS_BOV1,FECHA_BOV1,"&gt;="&amp;AB$2,FECHA_BOV1,"&lt;="&amp;AB$3,CLAVE_BOV1,$A329)+SUMIFS(SALIDAS_BOV2,FECHA_BOV2,"&gt;="&amp;AB$2,FECHA_BOV2,"&lt;="&amp;AB$3,CLAVE_BOV2,$A329)+SUMIFS(SALIDAS_BOV3,FECHA_BOV3,"&gt;="&amp;AB$2,FECHA_BOV3,"&lt;="&amp;AB$3,CLAVE_BOV3,$A329)+SUMIFS(SALIDAS_TC,FECHA_TC,"&gt;="&amp;AB$2,FECHA_TC,"&lt;="&amp;AB$3,CLAVE_TC,$A329)+SUMIFS(SALIDAS_COMB,FECHA_COMB,"&gt;="&amp;AB$2,FECHA_COMB,"&lt;="&amp;AB$3,CLAVE_COMB,$A329)+SUMIFS(SALIDAS_DES,FECHA_DESGLOSEN,"&gt;="&amp;AB$2,FECHA_DESGLOSEN,"&lt;="&amp;AB$3,CLAVE_DESGLOSE,$A329)</f>
        <v>0</v>
      </c>
      <c r="AC329" s="227">
        <f t="shared" ref="AC329" si="718">W329-AB329</f>
        <v>0</v>
      </c>
      <c r="AD329" s="301">
        <f t="shared" ref="AD329" si="719">IFERROR((AB329/W329),0)</f>
        <v>0</v>
      </c>
      <c r="AE329" s="162">
        <f>VLOOKUP($A329,T_PRESUPUESTO,MATCH(AE$6,E_PRESUPUESTO,0),FALSE)</f>
        <v>0</v>
      </c>
      <c r="AF329" s="162">
        <f>SUMIFS(SALIDAS_BIT,FECHA_BIT,"&gt;="&amp;AF$2,FECHA_BIT,"&lt;="&amp;AF$3,CLAVE_BIT,$A329)+SUMIFS(SALIDAS_BOV1,FECHA_BOV1,"&gt;="&amp;AF$2,FECHA_BOV1,"&lt;="&amp;AF$3,CLAVE_BOV1,$A329)+SUMIFS(SALIDAS_BOV2,FECHA_BOV2,"&gt;="&amp;AF$2,FECHA_BOV2,"&lt;="&amp;AF$3,CLAVE_BOV2,$A329)+SUMIFS(SALIDAS_BOV3,FECHA_BOV3,"&gt;="&amp;AF$2,FECHA_BOV3,"&lt;="&amp;AF$3,CLAVE_BOV3,$A329)+SUMIFS(SALIDAS_TC,FECHA_TC,"&gt;="&amp;AF$2,FECHA_TC,"&lt;="&amp;AF$3,CLAVE_TC,$A329)+SUMIFS(SALIDAS_COMB,FECHA_COMB,"&gt;="&amp;AF$2,FECHA_COMB,"&lt;="&amp;AF$3,CLAVE_COMB,$A329)+SUMIFS(SALIDAS_DES,FECHA_DESGLOSEN,"&gt;="&amp;AF$2,FECHA_DESGLOSEN,"&lt;="&amp;AF$3,CLAVE_DESGLOSE,$A329)</f>
        <v>0</v>
      </c>
      <c r="AG329" s="162">
        <f>SUMIFS(SALIDAS_BIT,FECHA_BIT,"&gt;="&amp;AG$2,FECHA_BIT,"&lt;="&amp;AG$3,CLAVE_BIT,$A329)+SUMIFS(SALIDAS_BOV1,FECHA_BOV1,"&gt;="&amp;AG$2,FECHA_BOV1,"&lt;="&amp;AG$3,CLAVE_BOV1,$A329)+SUMIFS(SALIDAS_BOV2,FECHA_BOV2,"&gt;="&amp;AG$2,FECHA_BOV2,"&lt;="&amp;AG$3,CLAVE_BOV2,$A329)+SUMIFS(SALIDAS_BOV3,FECHA_BOV3,"&gt;="&amp;AG$2,FECHA_BOV3,"&lt;="&amp;AG$3,CLAVE_BOV3,$A329)+SUMIFS(SALIDAS_TC,FECHA_TC,"&gt;="&amp;AG$2,FECHA_TC,"&lt;="&amp;AG$3,CLAVE_TC,$A329)+SUMIFS(SALIDAS_COMB,FECHA_COMB,"&gt;="&amp;AG$2,FECHA_COMB,"&lt;="&amp;AG$3,CLAVE_COMB,$A329)+SUMIFS(SALIDAS_DES,FECHA_DESGLOSEN,"&gt;="&amp;AG$2,FECHA_DESGLOSEN,"&lt;="&amp;AG$3,CLAVE_DESGLOSE,$A329)</f>
        <v>0</v>
      </c>
      <c r="AH329" s="162">
        <f>SUMIFS(SALIDAS_BIT,FECHA_BIT,"&gt;="&amp;AH$2,FECHA_BIT,"&lt;="&amp;AH$3,CLAVE_BIT,$A329)+SUMIFS(SALIDAS_BOV1,FECHA_BOV1,"&gt;="&amp;AH$2,FECHA_BOV1,"&lt;="&amp;AH$3,CLAVE_BOV1,$A329)+SUMIFS(SALIDAS_BOV2,FECHA_BOV2,"&gt;="&amp;AH$2,FECHA_BOV2,"&lt;="&amp;AH$3,CLAVE_BOV2,$A329)+SUMIFS(SALIDAS_BOV3,FECHA_BOV3,"&gt;="&amp;AH$2,FECHA_BOV3,"&lt;="&amp;AH$3,CLAVE_BOV3,$A329)+SUMIFS(SALIDAS_TC,FECHA_TC,"&gt;="&amp;AH$2,FECHA_TC,"&lt;="&amp;AH$3,CLAVE_TC,$A329)+SUMIFS(SALIDAS_COMB,FECHA_COMB,"&gt;="&amp;AH$2,FECHA_COMB,"&lt;="&amp;AH$3,CLAVE_COMB,$A329)+SUMIFS(SALIDAS_DES,FECHA_DESGLOSEN,"&gt;="&amp;AH$2,FECHA_DESGLOSEN,"&lt;="&amp;AH$3,CLAVE_DESGLOSE,$A329)</f>
        <v>0</v>
      </c>
      <c r="AI329" s="162">
        <f>SUMIFS(SALIDAS_BIT,FECHA_BIT,"&gt;="&amp;AI$2,FECHA_BIT,"&lt;="&amp;AI$3,CLAVE_BIT,$A329)+SUMIFS(SALIDAS_BOV1,FECHA_BOV1,"&gt;="&amp;AI$2,FECHA_BOV1,"&lt;="&amp;AI$3,CLAVE_BOV1,$A329)+SUMIFS(SALIDAS_BOV2,FECHA_BOV2,"&gt;="&amp;AI$2,FECHA_BOV2,"&lt;="&amp;AI$3,CLAVE_BOV2,$A329)+SUMIFS(SALIDAS_BOV3,FECHA_BOV3,"&gt;="&amp;AI$2,FECHA_BOV3,"&lt;="&amp;AI$3,CLAVE_BOV3,$A329)+SUMIFS(SALIDAS_TC,FECHA_TC,"&gt;="&amp;AI$2,FECHA_TC,"&lt;="&amp;AI$3,CLAVE_TC,$A329)+SUMIFS(SALIDAS_COMB,FECHA_COMB,"&gt;="&amp;AI$2,FECHA_COMB,"&lt;="&amp;AI$3,CLAVE_COMB,$A329)+SUMIFS(SALIDAS_DES,FECHA_DESGLOSEN,"&gt;="&amp;AI$2,FECHA_DESGLOSEN,"&lt;="&amp;AI$3,CLAVE_DESGLOSE,$A329)</f>
        <v>0</v>
      </c>
      <c r="AJ329" s="162">
        <f>SUMIFS(SALIDAS_BIT,FECHA_BIT,"&gt;="&amp;AJ$2,FECHA_BIT,"&lt;="&amp;AJ$3,CLAVE_BIT,$A329)+SUMIFS(SALIDAS_BOV1,FECHA_BOV1,"&gt;="&amp;AJ$2,FECHA_BOV1,"&lt;="&amp;AJ$3,CLAVE_BOV1,$A329)+SUMIFS(SALIDAS_BOV2,FECHA_BOV2,"&gt;="&amp;AJ$2,FECHA_BOV2,"&lt;="&amp;AJ$3,CLAVE_BOV2,$A329)+SUMIFS(SALIDAS_BOV3,FECHA_BOV3,"&gt;="&amp;AJ$2,FECHA_BOV3,"&lt;="&amp;AJ$3,CLAVE_BOV3,$A329)+SUMIFS(SALIDAS_TC,FECHA_TC,"&gt;="&amp;AJ$2,FECHA_TC,"&lt;="&amp;AJ$3,CLAVE_TC,$A329)+SUMIFS(SALIDAS_COMB,FECHA_COMB,"&gt;="&amp;AJ$2,FECHA_COMB,"&lt;="&amp;AJ$3,CLAVE_COMB,$A329)+SUMIFS(SALIDAS_DES,FECHA_DESGLOSEN,"&gt;="&amp;AJ$2,FECHA_DESGLOSEN,"&lt;="&amp;AJ$3,CLAVE_DESGLOSE,$A329)</f>
        <v>0</v>
      </c>
      <c r="AK329" s="227">
        <f t="shared" ref="AK329" si="720">AE329-AJ329</f>
        <v>0</v>
      </c>
      <c r="AL329" s="301">
        <f t="shared" ref="AL329" si="721">IFERROR((AJ329/AE329),0)</f>
        <v>0</v>
      </c>
      <c r="AM329" s="162">
        <f>VLOOKUP($A329,T_PRESUPUESTO,MATCH(AM$6,E_PRESUPUESTO,0),FALSE)</f>
        <v>0</v>
      </c>
      <c r="AN329" s="162">
        <f>SUMIFS(SALIDAS_BIT,FECHA_BIT,"&gt;="&amp;AN$2,FECHA_BIT,"&lt;="&amp;AN$3,CLAVE_BIT,$A329)+SUMIFS(SALIDAS_BOV1,FECHA_BOV1,"&gt;="&amp;AN$2,FECHA_BOV1,"&lt;="&amp;AN$3,CLAVE_BOV1,$A329)+SUMIFS(SALIDAS_BOV2,FECHA_BOV2,"&gt;="&amp;AN$2,FECHA_BOV2,"&lt;="&amp;AN$3,CLAVE_BOV2,$A329)+SUMIFS(SALIDAS_BOV3,FECHA_BOV3,"&gt;="&amp;AN$2,FECHA_BOV3,"&lt;="&amp;AN$3,CLAVE_BOV3,$A329)+SUMIFS(SALIDAS_TC,FECHA_TC,"&gt;="&amp;AN$2,FECHA_TC,"&lt;="&amp;AN$3,CLAVE_TC,$A329)+SUMIFS(SALIDAS_COMB,FECHA_COMB,"&gt;="&amp;AN$2,FECHA_COMB,"&lt;="&amp;AN$3,CLAVE_COMB,$A329)+SUMIFS(SALIDAS_DES,FECHA_DESGLOSEN,"&gt;="&amp;AN$2,FECHA_DESGLOSEN,"&lt;="&amp;AN$3,CLAVE_DESGLOSE,$A329)</f>
        <v>0</v>
      </c>
      <c r="AO329" s="162">
        <f>SUMIFS(SALIDAS_BIT,FECHA_BIT,"&gt;="&amp;AO$2,FECHA_BIT,"&lt;="&amp;AO$3,CLAVE_BIT,$A329)+SUMIFS(SALIDAS_BOV1,FECHA_BOV1,"&gt;="&amp;AO$2,FECHA_BOV1,"&lt;="&amp;AO$3,CLAVE_BOV1,$A329)+SUMIFS(SALIDAS_BOV2,FECHA_BOV2,"&gt;="&amp;AO$2,FECHA_BOV2,"&lt;="&amp;AO$3,CLAVE_BOV2,$A329)+SUMIFS(SALIDAS_BOV3,FECHA_BOV3,"&gt;="&amp;AO$2,FECHA_BOV3,"&lt;="&amp;AO$3,CLAVE_BOV3,$A329)+SUMIFS(SALIDAS_TC,FECHA_TC,"&gt;="&amp;AO$2,FECHA_TC,"&lt;="&amp;AO$3,CLAVE_TC,$A329)+SUMIFS(SALIDAS_COMB,FECHA_COMB,"&gt;="&amp;AO$2,FECHA_COMB,"&lt;="&amp;AO$3,CLAVE_COMB,$A329)+SUMIFS(SALIDAS_DES,FECHA_DESGLOSEN,"&gt;="&amp;AO$2,FECHA_DESGLOSEN,"&lt;="&amp;AO$3,CLAVE_DESGLOSE,$A329)</f>
        <v>0</v>
      </c>
      <c r="AP329" s="162">
        <f>SUMIFS(SALIDAS_BIT,FECHA_BIT,"&gt;="&amp;AP$2,FECHA_BIT,"&lt;="&amp;AP$3,CLAVE_BIT,$A329)+SUMIFS(SALIDAS_BOV1,FECHA_BOV1,"&gt;="&amp;AP$2,FECHA_BOV1,"&lt;="&amp;AP$3,CLAVE_BOV1,$A329)+SUMIFS(SALIDAS_BOV2,FECHA_BOV2,"&gt;="&amp;AP$2,FECHA_BOV2,"&lt;="&amp;AP$3,CLAVE_BOV2,$A329)+SUMIFS(SALIDAS_BOV3,FECHA_BOV3,"&gt;="&amp;AP$2,FECHA_BOV3,"&lt;="&amp;AP$3,CLAVE_BOV3,$A329)+SUMIFS(SALIDAS_TC,FECHA_TC,"&gt;="&amp;AP$2,FECHA_TC,"&lt;="&amp;AP$3,CLAVE_TC,$A329)+SUMIFS(SALIDAS_COMB,FECHA_COMB,"&gt;="&amp;AP$2,FECHA_COMB,"&lt;="&amp;AP$3,CLAVE_COMB,$A329)+SUMIFS(SALIDAS_DES,FECHA_DESGLOSEN,"&gt;="&amp;AP$2,FECHA_DESGLOSEN,"&lt;="&amp;AP$3,CLAVE_DESGLOSE,$A329)</f>
        <v>0</v>
      </c>
      <c r="AQ329" s="162">
        <f>SUMIFS(SALIDAS_BIT,FECHA_BIT,"&gt;="&amp;AQ$2,FECHA_BIT,"&lt;="&amp;AQ$3,CLAVE_BIT,$A329)+SUMIFS(SALIDAS_BOV1,FECHA_BOV1,"&gt;="&amp;AQ$2,FECHA_BOV1,"&lt;="&amp;AQ$3,CLAVE_BOV1,$A329)+SUMIFS(SALIDAS_BOV2,FECHA_BOV2,"&gt;="&amp;AQ$2,FECHA_BOV2,"&lt;="&amp;AQ$3,CLAVE_BOV2,$A329)+SUMIFS(SALIDAS_BOV3,FECHA_BOV3,"&gt;="&amp;AQ$2,FECHA_BOV3,"&lt;="&amp;AQ$3,CLAVE_BOV3,$A329)+SUMIFS(SALIDAS_TC,FECHA_TC,"&gt;="&amp;AQ$2,FECHA_TC,"&lt;="&amp;AQ$3,CLAVE_TC,$A329)+SUMIFS(SALIDAS_COMB,FECHA_COMB,"&gt;="&amp;AQ$2,FECHA_COMB,"&lt;="&amp;AQ$3,CLAVE_COMB,$A329)+SUMIFS(SALIDAS_DES,FECHA_DESGLOSEN,"&gt;="&amp;AQ$2,FECHA_DESGLOSEN,"&lt;="&amp;AQ$3,CLAVE_DESGLOSE,$A329)</f>
        <v>0</v>
      </c>
      <c r="AR329" s="162">
        <f>SUMIFS(SALIDAS_BIT,FECHA_BIT,"&gt;="&amp;AR$2,FECHA_BIT,"&lt;="&amp;AR$3,CLAVE_BIT,$A329)+SUMIFS(SALIDAS_BOV1,FECHA_BOV1,"&gt;="&amp;AR$2,FECHA_BOV1,"&lt;="&amp;AR$3,CLAVE_BOV1,$A329)+SUMIFS(SALIDAS_BOV2,FECHA_BOV2,"&gt;="&amp;AR$2,FECHA_BOV2,"&lt;="&amp;AR$3,CLAVE_BOV2,$A329)+SUMIFS(SALIDAS_BOV3,FECHA_BOV3,"&gt;="&amp;AR$2,FECHA_BOV3,"&lt;="&amp;AR$3,CLAVE_BOV3,$A329)+SUMIFS(SALIDAS_TC,FECHA_TC,"&gt;="&amp;AR$2,FECHA_TC,"&lt;="&amp;AR$3,CLAVE_TC,$A329)+SUMIFS(SALIDAS_COMB,FECHA_COMB,"&gt;="&amp;AR$2,FECHA_COMB,"&lt;="&amp;AR$3,CLAVE_COMB,$A329)+SUMIFS(SALIDAS_DES,FECHA_DESGLOSEN,"&gt;="&amp;AR$2,FECHA_DESGLOSEN,"&lt;="&amp;AR$3,CLAVE_DESGLOSE,$A329)</f>
        <v>0</v>
      </c>
      <c r="AS329" s="162">
        <f>SUMIFS(SALIDAS_BIT,FECHA_BIT,"&gt;="&amp;AS$2,FECHA_BIT,"&lt;="&amp;AS$3,CLAVE_BIT,$A329)+SUMIFS(SALIDAS_BOV1,FECHA_BOV1,"&gt;="&amp;AS$2,FECHA_BOV1,"&lt;="&amp;AS$3,CLAVE_BOV1,$A329)+SUMIFS(SALIDAS_BOV2,FECHA_BOV2,"&gt;="&amp;AS$2,FECHA_BOV2,"&lt;="&amp;AS$3,CLAVE_BOV2,$A329)+SUMIFS(SALIDAS_BOV3,FECHA_BOV3,"&gt;="&amp;AS$2,FECHA_BOV3,"&lt;="&amp;AS$3,CLAVE_BOV3,$A329)+SUMIFS(SALIDAS_TC,FECHA_TC,"&gt;="&amp;AS$2,FECHA_TC,"&lt;="&amp;AS$3,CLAVE_TC,$A329)+SUMIFS(SALIDAS_COMB,FECHA_COMB,"&gt;="&amp;AS$2,FECHA_COMB,"&lt;="&amp;AS$3,CLAVE_COMB,$A329)+SUMIFS(SALIDAS_DES,FECHA_DESGLOSEN,"&gt;="&amp;AS$2,FECHA_DESGLOSEN,"&lt;="&amp;AS$3,CLAVE_DESGLOSE,$A329)</f>
        <v>0</v>
      </c>
      <c r="AT329" s="227">
        <f t="shared" ref="AT329" si="722">AM329-AS329</f>
        <v>0</v>
      </c>
      <c r="AU329" s="301">
        <f t="shared" ref="AU329" si="723">IFERROR((AS329/AM329),0)</f>
        <v>0</v>
      </c>
      <c r="AV329" s="162">
        <f>VLOOKUP($A329,T_PRESUPUESTO,MATCH(AV$6,E_PRESUPUESTO,0),FALSE)</f>
        <v>0</v>
      </c>
      <c r="AW329" s="162">
        <f>SUMIFS(SALIDAS_BIT,FECHA_BIT,"&gt;="&amp;AW$2,FECHA_BIT,"&lt;="&amp;AW$3,CLAVE_BIT,$A329)+SUMIFS(SALIDAS_BOV1,FECHA_BOV1,"&gt;="&amp;AW$2,FECHA_BOV1,"&lt;="&amp;AW$3,CLAVE_BOV1,$A329)+SUMIFS(SALIDAS_BOV2,FECHA_BOV2,"&gt;="&amp;AW$2,FECHA_BOV2,"&lt;="&amp;AW$3,CLAVE_BOV2,$A329)+SUMIFS(SALIDAS_BOV3,FECHA_BOV3,"&gt;="&amp;AW$2,FECHA_BOV3,"&lt;="&amp;AW$3,CLAVE_BOV3,$A329)+SUMIFS(SALIDAS_TC,FECHA_TC,"&gt;="&amp;AW$2,FECHA_TC,"&lt;="&amp;AW$3,CLAVE_TC,$A329)+SUMIFS(SALIDAS_COMB,FECHA_COMB,"&gt;="&amp;AW$2,FECHA_COMB,"&lt;="&amp;AW$3,CLAVE_COMB,$A329)+SUMIFS(SALIDAS_DES,FECHA_DESGLOSEN,"&gt;="&amp;AW$2,FECHA_DESGLOSEN,"&lt;="&amp;AW$3,CLAVE_DESGLOSE,$A329)</f>
        <v>0</v>
      </c>
      <c r="AX329" s="162">
        <f>SUMIFS(SALIDAS_BIT,FECHA_BIT,"&gt;="&amp;AX$2,FECHA_BIT,"&lt;="&amp;AX$3,CLAVE_BIT,$A329)+SUMIFS(SALIDAS_BOV1,FECHA_BOV1,"&gt;="&amp;AX$2,FECHA_BOV1,"&lt;="&amp;AX$3,CLAVE_BOV1,$A329)+SUMIFS(SALIDAS_BOV2,FECHA_BOV2,"&gt;="&amp;AX$2,FECHA_BOV2,"&lt;="&amp;AX$3,CLAVE_BOV2,$A329)+SUMIFS(SALIDAS_BOV3,FECHA_BOV3,"&gt;="&amp;AX$2,FECHA_BOV3,"&lt;="&amp;AX$3,CLAVE_BOV3,$A329)+SUMIFS(SALIDAS_TC,FECHA_TC,"&gt;="&amp;AX$2,FECHA_TC,"&lt;="&amp;AX$3,CLAVE_TC,$A329)+SUMIFS(SALIDAS_COMB,FECHA_COMB,"&gt;="&amp;AX$2,FECHA_COMB,"&lt;="&amp;AX$3,CLAVE_COMB,$A329)+SUMIFS(SALIDAS_DES,FECHA_DESGLOSEN,"&gt;="&amp;AX$2,FECHA_DESGLOSEN,"&lt;="&amp;AX$3,CLAVE_DESGLOSE,$A329)</f>
        <v>0</v>
      </c>
      <c r="AY329" s="162">
        <f>SUMIFS(SALIDAS_BIT,FECHA_BIT,"&gt;="&amp;AY$2,FECHA_BIT,"&lt;="&amp;AY$3,CLAVE_BIT,$A329)+SUMIFS(SALIDAS_BOV1,FECHA_BOV1,"&gt;="&amp;AY$2,FECHA_BOV1,"&lt;="&amp;AY$3,CLAVE_BOV1,$A329)+SUMIFS(SALIDAS_BOV2,FECHA_BOV2,"&gt;="&amp;AY$2,FECHA_BOV2,"&lt;="&amp;AY$3,CLAVE_BOV2,$A329)+SUMIFS(SALIDAS_BOV3,FECHA_BOV3,"&gt;="&amp;AY$2,FECHA_BOV3,"&lt;="&amp;AY$3,CLAVE_BOV3,$A329)+SUMIFS(SALIDAS_TC,FECHA_TC,"&gt;="&amp;AY$2,FECHA_TC,"&lt;="&amp;AY$3,CLAVE_TC,$A329)+SUMIFS(SALIDAS_COMB,FECHA_COMB,"&gt;="&amp;AY$2,FECHA_COMB,"&lt;="&amp;AY$3,CLAVE_COMB,$A329)+SUMIFS(SALIDAS_DES,FECHA_DESGLOSEN,"&gt;="&amp;AY$2,FECHA_DESGLOSEN,"&lt;="&amp;AY$3,CLAVE_DESGLOSE,$A329)</f>
        <v>0</v>
      </c>
      <c r="AZ329" s="162">
        <f>SUMIFS(SALIDAS_BIT,FECHA_BIT,"&gt;="&amp;AZ$2,FECHA_BIT,"&lt;="&amp;AZ$3,CLAVE_BIT,$A329)+SUMIFS(SALIDAS_BOV1,FECHA_BOV1,"&gt;="&amp;AZ$2,FECHA_BOV1,"&lt;="&amp;AZ$3,CLAVE_BOV1,$A329)+SUMIFS(SALIDAS_BOV2,FECHA_BOV2,"&gt;="&amp;AZ$2,FECHA_BOV2,"&lt;="&amp;AZ$3,CLAVE_BOV2,$A329)+SUMIFS(SALIDAS_BOV3,FECHA_BOV3,"&gt;="&amp;AZ$2,FECHA_BOV3,"&lt;="&amp;AZ$3,CLAVE_BOV3,$A329)+SUMIFS(SALIDAS_TC,FECHA_TC,"&gt;="&amp;AZ$2,FECHA_TC,"&lt;="&amp;AZ$3,CLAVE_TC,$A329)+SUMIFS(SALIDAS_COMB,FECHA_COMB,"&gt;="&amp;AZ$2,FECHA_COMB,"&lt;="&amp;AZ$3,CLAVE_COMB,$A329)+SUMIFS(SALIDAS_DES,FECHA_DESGLOSEN,"&gt;="&amp;AZ$2,FECHA_DESGLOSEN,"&lt;="&amp;AZ$3,CLAVE_DESGLOSE,$A329)</f>
        <v>0</v>
      </c>
      <c r="BA329" s="162">
        <f>SUMIFS(SALIDAS_BIT,FECHA_BIT,"&gt;="&amp;BA$2,FECHA_BIT,"&lt;="&amp;BA$3,CLAVE_BIT,$A329)+SUMIFS(SALIDAS_BOV1,FECHA_BOV1,"&gt;="&amp;BA$2,FECHA_BOV1,"&lt;="&amp;BA$3,CLAVE_BOV1,$A329)+SUMIFS(SALIDAS_BOV2,FECHA_BOV2,"&gt;="&amp;BA$2,FECHA_BOV2,"&lt;="&amp;BA$3,CLAVE_BOV2,$A329)+SUMIFS(SALIDAS_BOV3,FECHA_BOV3,"&gt;="&amp;BA$2,FECHA_BOV3,"&lt;="&amp;BA$3,CLAVE_BOV3,$A329)+SUMIFS(SALIDAS_TC,FECHA_TC,"&gt;="&amp;BA$2,FECHA_TC,"&lt;="&amp;BA$3,CLAVE_TC,$A329)+SUMIFS(SALIDAS_COMB,FECHA_COMB,"&gt;="&amp;BA$2,FECHA_COMB,"&lt;="&amp;BA$3,CLAVE_COMB,$A329)+SUMIFS(SALIDAS_DES,FECHA_DESGLOSEN,"&gt;="&amp;BA$2,FECHA_DESGLOSEN,"&lt;="&amp;BA$3,CLAVE_DESGLOSE,$A329)</f>
        <v>0</v>
      </c>
      <c r="BB329" s="227">
        <f t="shared" ref="BB329" si="724">AV329-BA329</f>
        <v>0</v>
      </c>
      <c r="BC329" s="301">
        <f t="shared" ref="BC329" si="725">IFERROR((BA329/AV329),0)</f>
        <v>0</v>
      </c>
      <c r="BD329" s="162">
        <f>VLOOKUP($A329,T_PRESUPUESTO,MATCH(BD$6,E_PRESUPUESTO,0),FALSE)</f>
        <v>0</v>
      </c>
      <c r="BE329" s="162">
        <f>SUMIFS(SALIDAS_BIT,FECHA_BIT,"&gt;="&amp;BE$2,FECHA_BIT,"&lt;="&amp;BE$3,CLAVE_BIT,$A329)+SUMIFS(SALIDAS_BOV1,FECHA_BOV1,"&gt;="&amp;BE$2,FECHA_BOV1,"&lt;="&amp;BE$3,CLAVE_BOV1,$A329)+SUMIFS(SALIDAS_BOV2,FECHA_BOV2,"&gt;="&amp;BE$2,FECHA_BOV2,"&lt;="&amp;BE$3,CLAVE_BOV2,$A329)+SUMIFS(SALIDAS_BOV3,FECHA_BOV3,"&gt;="&amp;BE$2,FECHA_BOV3,"&lt;="&amp;BE$3,CLAVE_BOV3,$A329)+SUMIFS(SALIDAS_TC,FECHA_TC,"&gt;="&amp;BE$2,FECHA_TC,"&lt;="&amp;BE$3,CLAVE_TC,$A329)+SUMIFS(SALIDAS_COMB,FECHA_COMB,"&gt;="&amp;BE$2,FECHA_COMB,"&lt;="&amp;BE$3,CLAVE_COMB,$A329)+SUMIFS(SALIDAS_DES,FECHA_DESGLOSEN,"&gt;="&amp;BE$2,FECHA_DESGLOSEN,"&lt;="&amp;BE$3,CLAVE_DESGLOSE,$A329)</f>
        <v>0</v>
      </c>
      <c r="BF329" s="162">
        <f>SUMIFS(SALIDAS_BIT,FECHA_BIT,"&gt;="&amp;BF$2,FECHA_BIT,"&lt;="&amp;BF$3,CLAVE_BIT,$A329)+SUMIFS(SALIDAS_BOV1,FECHA_BOV1,"&gt;="&amp;BF$2,FECHA_BOV1,"&lt;="&amp;BF$3,CLAVE_BOV1,$A329)+SUMIFS(SALIDAS_BOV2,FECHA_BOV2,"&gt;="&amp;BF$2,FECHA_BOV2,"&lt;="&amp;BF$3,CLAVE_BOV2,$A329)+SUMIFS(SALIDAS_BOV3,FECHA_BOV3,"&gt;="&amp;BF$2,FECHA_BOV3,"&lt;="&amp;BF$3,CLAVE_BOV3,$A329)+SUMIFS(SALIDAS_TC,FECHA_TC,"&gt;="&amp;BF$2,FECHA_TC,"&lt;="&amp;BF$3,CLAVE_TC,$A329)+SUMIFS(SALIDAS_COMB,FECHA_COMB,"&gt;="&amp;BF$2,FECHA_COMB,"&lt;="&amp;BF$3,CLAVE_COMB,$A329)+SUMIFS(SALIDAS_DES,FECHA_DESGLOSEN,"&gt;="&amp;BF$2,FECHA_DESGLOSEN,"&lt;="&amp;BF$3,CLAVE_DESGLOSE,$A329)</f>
        <v>0</v>
      </c>
      <c r="BG329" s="162">
        <f>SUMIFS(SALIDAS_BIT,FECHA_BIT,"&gt;="&amp;BG$2,FECHA_BIT,"&lt;="&amp;BG$3,CLAVE_BIT,$A329)+SUMIFS(SALIDAS_BOV1,FECHA_BOV1,"&gt;="&amp;BG$2,FECHA_BOV1,"&lt;="&amp;BG$3,CLAVE_BOV1,$A329)+SUMIFS(SALIDAS_BOV2,FECHA_BOV2,"&gt;="&amp;BG$2,FECHA_BOV2,"&lt;="&amp;BG$3,CLAVE_BOV2,$A329)+SUMIFS(SALIDAS_BOV3,FECHA_BOV3,"&gt;="&amp;BG$2,FECHA_BOV3,"&lt;="&amp;BG$3,CLAVE_BOV3,$A329)+SUMIFS(SALIDAS_TC,FECHA_TC,"&gt;="&amp;BG$2,FECHA_TC,"&lt;="&amp;BG$3,CLAVE_TC,$A329)+SUMIFS(SALIDAS_COMB,FECHA_COMB,"&gt;="&amp;BG$2,FECHA_COMB,"&lt;="&amp;BG$3,CLAVE_COMB,$A329)+SUMIFS(SALIDAS_DES,FECHA_DESGLOSEN,"&gt;="&amp;BG$2,FECHA_DESGLOSEN,"&lt;="&amp;BG$3,CLAVE_DESGLOSE,$A329)</f>
        <v>0</v>
      </c>
      <c r="BH329" s="162">
        <f>SUMIFS(SALIDAS_BIT,FECHA_BIT,"&gt;="&amp;BH$2,FECHA_BIT,"&lt;="&amp;BH$3,CLAVE_BIT,$A329)+SUMIFS(SALIDAS_BOV1,FECHA_BOV1,"&gt;="&amp;BH$2,FECHA_BOV1,"&lt;="&amp;BH$3,CLAVE_BOV1,$A329)+SUMIFS(SALIDAS_BOV2,FECHA_BOV2,"&gt;="&amp;BH$2,FECHA_BOV2,"&lt;="&amp;BH$3,CLAVE_BOV2,$A329)+SUMIFS(SALIDAS_BOV3,FECHA_BOV3,"&gt;="&amp;BH$2,FECHA_BOV3,"&lt;="&amp;BH$3,CLAVE_BOV3,$A329)+SUMIFS(SALIDAS_TC,FECHA_TC,"&gt;="&amp;BH$2,FECHA_TC,"&lt;="&amp;BH$3,CLAVE_TC,$A329)+SUMIFS(SALIDAS_COMB,FECHA_COMB,"&gt;="&amp;BH$2,FECHA_COMB,"&lt;="&amp;BH$3,CLAVE_COMB,$A329)+SUMIFS(SALIDAS_DES,FECHA_DESGLOSEN,"&gt;="&amp;BH$2,FECHA_DESGLOSEN,"&lt;="&amp;BH$3,CLAVE_DESGLOSE,$A329)</f>
        <v>2843.8399999999997</v>
      </c>
      <c r="BI329" s="162">
        <f>SUMIFS(SALIDAS_BIT,FECHA_BIT,"&gt;="&amp;BI$2,FECHA_BIT,"&lt;="&amp;BI$3,CLAVE_BIT,$A329)+SUMIFS(SALIDAS_BOV1,FECHA_BOV1,"&gt;="&amp;BI$2,FECHA_BOV1,"&lt;="&amp;BI$3,CLAVE_BOV1,$A329)+SUMIFS(SALIDAS_BOV2,FECHA_BOV2,"&gt;="&amp;BI$2,FECHA_BOV2,"&lt;="&amp;BI$3,CLAVE_BOV2,$A329)+SUMIFS(SALIDAS_BOV3,FECHA_BOV3,"&gt;="&amp;BI$2,FECHA_BOV3,"&lt;="&amp;BI$3,CLAVE_BOV3,$A329)+SUMIFS(SALIDAS_TC,FECHA_TC,"&gt;="&amp;BI$2,FECHA_TC,"&lt;="&amp;BI$3,CLAVE_TC,$A329)+SUMIFS(SALIDAS_COMB,FECHA_COMB,"&gt;="&amp;BI$2,FECHA_COMB,"&lt;="&amp;BI$3,CLAVE_COMB,$A329)+SUMIFS(SALIDAS_DES,FECHA_DESGLOSEN,"&gt;="&amp;BI$2,FECHA_DESGLOSEN,"&lt;="&amp;BI$3,CLAVE_DESGLOSE,$A329)</f>
        <v>2843.8399999999997</v>
      </c>
      <c r="BJ329" s="227">
        <f t="shared" ref="BJ329" si="726">BD329-BI329</f>
        <v>-2843.8399999999997</v>
      </c>
      <c r="BK329" s="301">
        <f t="shared" ref="BK329" si="727">IFERROR((BI329/BD329),0)</f>
        <v>0</v>
      </c>
      <c r="BL329" s="162">
        <f>VLOOKUP($A329,T_PRESUPUESTO,MATCH(BL$6,E_PRESUPUESTO,0),FALSE)</f>
        <v>0</v>
      </c>
      <c r="BM329" s="162">
        <f>SUMIFS(SALIDAS_BIT,FECHA_BIT,"&gt;="&amp;BM$2,FECHA_BIT,"&lt;="&amp;BM$3,CLAVE_BIT,$A329)+SUMIFS(SALIDAS_BOV1,FECHA_BOV1,"&gt;="&amp;BM$2,FECHA_BOV1,"&lt;="&amp;BM$3,CLAVE_BOV1,$A329)+SUMIFS(SALIDAS_BOV2,FECHA_BOV2,"&gt;="&amp;BM$2,FECHA_BOV2,"&lt;="&amp;BM$3,CLAVE_BOV2,$A329)+SUMIFS(SALIDAS_BOV3,FECHA_BOV3,"&gt;="&amp;BM$2,FECHA_BOV3,"&lt;="&amp;BM$3,CLAVE_BOV3,$A329)+SUMIFS(SALIDAS_TC,FECHA_TC,"&gt;="&amp;BM$2,FECHA_TC,"&lt;="&amp;BM$3,CLAVE_TC,$A329)+SUMIFS(SALIDAS_COMB,FECHA_COMB,"&gt;="&amp;BM$2,FECHA_COMB,"&lt;="&amp;BM$3,CLAVE_COMB,$A329)+SUMIFS(SALIDAS_DES,FECHA_DESGLOSEN,"&gt;="&amp;BM$2,FECHA_DESGLOSEN,"&lt;="&amp;BM$3,CLAVE_DESGLOSE,$A329)</f>
        <v>0</v>
      </c>
      <c r="BN329" s="162">
        <f>SUMIFS(SALIDAS_BIT,FECHA_BIT,"&gt;="&amp;BN$2,FECHA_BIT,"&lt;="&amp;BN$3,CLAVE_BIT,$A329)+SUMIFS(SALIDAS_BOV1,FECHA_BOV1,"&gt;="&amp;BN$2,FECHA_BOV1,"&lt;="&amp;BN$3,CLAVE_BOV1,$A329)+SUMIFS(SALIDAS_BOV2,FECHA_BOV2,"&gt;="&amp;BN$2,FECHA_BOV2,"&lt;="&amp;BN$3,CLAVE_BOV2,$A329)+SUMIFS(SALIDAS_BOV3,FECHA_BOV3,"&gt;="&amp;BN$2,FECHA_BOV3,"&lt;="&amp;BN$3,CLAVE_BOV3,$A329)+SUMIFS(SALIDAS_TC,FECHA_TC,"&gt;="&amp;BN$2,FECHA_TC,"&lt;="&amp;BN$3,CLAVE_TC,$A329)+SUMIFS(SALIDAS_COMB,FECHA_COMB,"&gt;="&amp;BN$2,FECHA_COMB,"&lt;="&amp;BN$3,CLAVE_COMB,$A329)+SUMIFS(SALIDAS_DES,FECHA_DESGLOSEN,"&gt;="&amp;BN$2,FECHA_DESGLOSEN,"&lt;="&amp;BN$3,CLAVE_DESGLOSE,$A329)</f>
        <v>0</v>
      </c>
      <c r="BO329" s="162">
        <f>SUMIFS(SALIDAS_BIT,FECHA_BIT,"&gt;="&amp;BO$2,FECHA_BIT,"&lt;="&amp;BO$3,CLAVE_BIT,$A329)+SUMIFS(SALIDAS_BOV1,FECHA_BOV1,"&gt;="&amp;BO$2,FECHA_BOV1,"&lt;="&amp;BO$3,CLAVE_BOV1,$A329)+SUMIFS(SALIDAS_BOV2,FECHA_BOV2,"&gt;="&amp;BO$2,FECHA_BOV2,"&lt;="&amp;BO$3,CLAVE_BOV2,$A329)+SUMIFS(SALIDAS_BOV3,FECHA_BOV3,"&gt;="&amp;BO$2,FECHA_BOV3,"&lt;="&amp;BO$3,CLAVE_BOV3,$A329)+SUMIFS(SALIDAS_TC,FECHA_TC,"&gt;="&amp;BO$2,FECHA_TC,"&lt;="&amp;BO$3,CLAVE_TC,$A329)+SUMIFS(SALIDAS_COMB,FECHA_COMB,"&gt;="&amp;BO$2,FECHA_COMB,"&lt;="&amp;BO$3,CLAVE_COMB,$A329)+SUMIFS(SALIDAS_DES,FECHA_DESGLOSEN,"&gt;="&amp;BO$2,FECHA_DESGLOSEN,"&lt;="&amp;BO$3,CLAVE_DESGLOSE,$A329)</f>
        <v>0</v>
      </c>
      <c r="BP329" s="162">
        <f>SUMIFS(SALIDAS_BIT,FECHA_BIT,"&gt;="&amp;BP$2,FECHA_BIT,"&lt;="&amp;BP$3,CLAVE_BIT,$A329)+SUMIFS(SALIDAS_BOV1,FECHA_BOV1,"&gt;="&amp;BP$2,FECHA_BOV1,"&lt;="&amp;BP$3,CLAVE_BOV1,$A329)+SUMIFS(SALIDAS_BOV2,FECHA_BOV2,"&gt;="&amp;BP$2,FECHA_BOV2,"&lt;="&amp;BP$3,CLAVE_BOV2,$A329)+SUMIFS(SALIDAS_BOV3,FECHA_BOV3,"&gt;="&amp;BP$2,FECHA_BOV3,"&lt;="&amp;BP$3,CLAVE_BOV3,$A329)+SUMIFS(SALIDAS_TC,FECHA_TC,"&gt;="&amp;BP$2,FECHA_TC,"&lt;="&amp;BP$3,CLAVE_TC,$A329)+SUMIFS(SALIDAS_COMB,FECHA_COMB,"&gt;="&amp;BP$2,FECHA_COMB,"&lt;="&amp;BP$3,CLAVE_COMB,$A329)+SUMIFS(SALIDAS_DES,FECHA_DESGLOSEN,"&gt;="&amp;BP$2,FECHA_DESGLOSEN,"&lt;="&amp;BP$3,CLAVE_DESGLOSE,$A329)</f>
        <v>3521.34</v>
      </c>
      <c r="BQ329" s="162">
        <f>SUMIFS(SALIDAS_BIT,FECHA_BIT,"&gt;="&amp;BQ$2,FECHA_BIT,"&lt;="&amp;BQ$3,CLAVE_BIT,$A329)+SUMIFS(SALIDAS_BOV1,FECHA_BOV1,"&gt;="&amp;BQ$2,FECHA_BOV1,"&lt;="&amp;BQ$3,CLAVE_BOV1,$A329)+SUMIFS(SALIDAS_BOV2,FECHA_BOV2,"&gt;="&amp;BQ$2,FECHA_BOV2,"&lt;="&amp;BQ$3,CLAVE_BOV2,$A329)+SUMIFS(SALIDAS_BOV3,FECHA_BOV3,"&gt;="&amp;BQ$2,FECHA_BOV3,"&lt;="&amp;BQ$3,CLAVE_BOV3,$A329)+SUMIFS(SALIDAS_TC,FECHA_TC,"&gt;="&amp;BQ$2,FECHA_TC,"&lt;="&amp;BQ$3,CLAVE_TC,$A329)+SUMIFS(SALIDAS_COMB,FECHA_COMB,"&gt;="&amp;BQ$2,FECHA_COMB,"&lt;="&amp;BQ$3,CLAVE_COMB,$A329)+SUMIFS(SALIDAS_DES,FECHA_DESGLOSEN,"&gt;="&amp;BQ$2,FECHA_DESGLOSEN,"&lt;="&amp;BQ$3,CLAVE_DESGLOSE,$A329)</f>
        <v>0</v>
      </c>
      <c r="BR329" s="162">
        <f>SUMIFS(SALIDAS_BIT,FECHA_BIT,"&gt;="&amp;BR$2,FECHA_BIT,"&lt;="&amp;BR$3,CLAVE_BIT,$A329)+SUMIFS(SALIDAS_BOV1,FECHA_BOV1,"&gt;="&amp;BR$2,FECHA_BOV1,"&lt;="&amp;BR$3,CLAVE_BOV1,$A329)+SUMIFS(SALIDAS_BOV2,FECHA_BOV2,"&gt;="&amp;BR$2,FECHA_BOV2,"&lt;="&amp;BR$3,CLAVE_BOV2,$A329)+SUMIFS(SALIDAS_BOV3,FECHA_BOV3,"&gt;="&amp;BR$2,FECHA_BOV3,"&lt;="&amp;BR$3,CLAVE_BOV3,$A329)+SUMIFS(SALIDAS_TC,FECHA_TC,"&gt;="&amp;BR$2,FECHA_TC,"&lt;="&amp;BR$3,CLAVE_TC,$A329)+SUMIFS(SALIDAS_COMB,FECHA_COMB,"&gt;="&amp;BR$2,FECHA_COMB,"&lt;="&amp;BR$3,CLAVE_COMB,$A329)+SUMIFS(SALIDAS_DES,FECHA_DESGLOSEN,"&gt;="&amp;BR$2,FECHA_DESGLOSEN,"&lt;="&amp;BR$3,CLAVE_DESGLOSE,$A329)</f>
        <v>3521.34</v>
      </c>
      <c r="BS329" s="227">
        <f t="shared" ref="BS329" si="728">BL329-BR329</f>
        <v>-3521.34</v>
      </c>
      <c r="BT329" s="301">
        <f t="shared" ref="BT329" si="729">IFERROR((BR329/BL329),0)</f>
        <v>0</v>
      </c>
      <c r="BU329" s="162">
        <f>VLOOKUP($A329,T_PRESUPUESTO,MATCH(BU$6,E_PRESUPUESTO,0),FALSE)</f>
        <v>0</v>
      </c>
      <c r="BV329" s="162">
        <f>SUMIFS(SALIDAS_BIT,FECHA_BIT,"&gt;="&amp;BV$2,FECHA_BIT,"&lt;="&amp;BV$3,CLAVE_BIT,$A329)+SUMIFS(SALIDAS_BOV1,FECHA_BOV1,"&gt;="&amp;BV$2,FECHA_BOV1,"&lt;="&amp;BV$3,CLAVE_BOV1,$A329)+SUMIFS(SALIDAS_BOV2,FECHA_BOV2,"&gt;="&amp;BV$2,FECHA_BOV2,"&lt;="&amp;BV$3,CLAVE_BOV2,$A329)+SUMIFS(SALIDAS_BOV3,FECHA_BOV3,"&gt;="&amp;BV$2,FECHA_BOV3,"&lt;="&amp;BV$3,CLAVE_BOV3,$A329)+SUMIFS(SALIDAS_TC,FECHA_TC,"&gt;="&amp;BV$2,FECHA_TC,"&lt;="&amp;BV$3,CLAVE_TC,$A329)+SUMIFS(SALIDAS_COMB,FECHA_COMB,"&gt;="&amp;BV$2,FECHA_COMB,"&lt;="&amp;BV$3,CLAVE_COMB,$A329)+SUMIFS(SALIDAS_DES,FECHA_DESGLOSEN,"&gt;="&amp;BV$2,FECHA_DESGLOSEN,"&lt;="&amp;BV$3,CLAVE_DESGLOSE,$A329)</f>
        <v>0</v>
      </c>
      <c r="BW329" s="162">
        <f>SUMIFS(SALIDAS_BIT,FECHA_BIT,"&gt;="&amp;BW$2,FECHA_BIT,"&lt;="&amp;BW$3,CLAVE_BIT,$A329)+SUMIFS(SALIDAS_BOV1,FECHA_BOV1,"&gt;="&amp;BW$2,FECHA_BOV1,"&lt;="&amp;BW$3,CLAVE_BOV1,$A329)+SUMIFS(SALIDAS_BOV2,FECHA_BOV2,"&gt;="&amp;BW$2,FECHA_BOV2,"&lt;="&amp;BW$3,CLAVE_BOV2,$A329)+SUMIFS(SALIDAS_BOV3,FECHA_BOV3,"&gt;="&amp;BW$2,FECHA_BOV3,"&lt;="&amp;BW$3,CLAVE_BOV3,$A329)+SUMIFS(SALIDAS_TC,FECHA_TC,"&gt;="&amp;BW$2,FECHA_TC,"&lt;="&amp;BW$3,CLAVE_TC,$A329)+SUMIFS(SALIDAS_COMB,FECHA_COMB,"&gt;="&amp;BW$2,FECHA_COMB,"&lt;="&amp;BW$3,CLAVE_COMB,$A329)+SUMIFS(SALIDAS_DES,FECHA_DESGLOSEN,"&gt;="&amp;BW$2,FECHA_DESGLOSEN,"&lt;="&amp;BW$3,CLAVE_DESGLOSE,$A329)</f>
        <v>0</v>
      </c>
      <c r="BX329" s="162">
        <f>SUMIFS(SALIDAS_BIT,FECHA_BIT,"&gt;="&amp;BX$2,FECHA_BIT,"&lt;="&amp;BX$3,CLAVE_BIT,$A329)+SUMIFS(SALIDAS_BOV1,FECHA_BOV1,"&gt;="&amp;BX$2,FECHA_BOV1,"&lt;="&amp;BX$3,CLAVE_BOV1,$A329)+SUMIFS(SALIDAS_BOV2,FECHA_BOV2,"&gt;="&amp;BX$2,FECHA_BOV2,"&lt;="&amp;BX$3,CLAVE_BOV2,$A329)+SUMIFS(SALIDAS_BOV3,FECHA_BOV3,"&gt;="&amp;BX$2,FECHA_BOV3,"&lt;="&amp;BX$3,CLAVE_BOV3,$A329)+SUMIFS(SALIDAS_TC,FECHA_TC,"&gt;="&amp;BX$2,FECHA_TC,"&lt;="&amp;BX$3,CLAVE_TC,$A329)+SUMIFS(SALIDAS_COMB,FECHA_COMB,"&gt;="&amp;BX$2,FECHA_COMB,"&lt;="&amp;BX$3,CLAVE_COMB,$A329)+SUMIFS(SALIDAS_DES,FECHA_DESGLOSEN,"&gt;="&amp;BX$2,FECHA_DESGLOSEN,"&lt;="&amp;BX$3,CLAVE_DESGLOSE,$A329)</f>
        <v>0</v>
      </c>
      <c r="BY329" s="162">
        <f>SUMIFS(SALIDAS_BIT,FECHA_BIT,"&gt;="&amp;BY$2,FECHA_BIT,"&lt;="&amp;BY$3,CLAVE_BIT,$A329)+SUMIFS(SALIDAS_BOV1,FECHA_BOV1,"&gt;="&amp;BY$2,FECHA_BOV1,"&lt;="&amp;BY$3,CLAVE_BOV1,$A329)+SUMIFS(SALIDAS_BOV2,FECHA_BOV2,"&gt;="&amp;BY$2,FECHA_BOV2,"&lt;="&amp;BY$3,CLAVE_BOV2,$A329)+SUMIFS(SALIDAS_BOV3,FECHA_BOV3,"&gt;="&amp;BY$2,FECHA_BOV3,"&lt;="&amp;BY$3,CLAVE_BOV3,$A329)+SUMIFS(SALIDAS_TC,FECHA_TC,"&gt;="&amp;BY$2,FECHA_TC,"&lt;="&amp;BY$3,CLAVE_TC,$A329)+SUMIFS(SALIDAS_COMB,FECHA_COMB,"&gt;="&amp;BY$2,FECHA_COMB,"&lt;="&amp;BY$3,CLAVE_COMB,$A329)+SUMIFS(SALIDAS_DES,FECHA_DESGLOSEN,"&gt;="&amp;BY$2,FECHA_DESGLOSEN,"&lt;="&amp;BY$3,CLAVE_DESGLOSE,$A329)</f>
        <v>20334.030000000002</v>
      </c>
      <c r="BZ329" s="162">
        <f>SUMIFS(SALIDAS_BIT,FECHA_BIT,"&gt;="&amp;BZ$2,FECHA_BIT,"&lt;="&amp;BZ$3,CLAVE_BIT,$A329)+SUMIFS(SALIDAS_BOV1,FECHA_BOV1,"&gt;="&amp;BZ$2,FECHA_BOV1,"&lt;="&amp;BZ$3,CLAVE_BOV1,$A329)+SUMIFS(SALIDAS_BOV2,FECHA_BOV2,"&gt;="&amp;BZ$2,FECHA_BOV2,"&lt;="&amp;BZ$3,CLAVE_BOV2,$A329)+SUMIFS(SALIDAS_BOV3,FECHA_BOV3,"&gt;="&amp;BZ$2,FECHA_BOV3,"&lt;="&amp;BZ$3,CLAVE_BOV3,$A329)+SUMIFS(SALIDAS_TC,FECHA_TC,"&gt;="&amp;BZ$2,FECHA_TC,"&lt;="&amp;BZ$3,CLAVE_TC,$A329)+SUMIFS(SALIDAS_COMB,FECHA_COMB,"&gt;="&amp;BZ$2,FECHA_COMB,"&lt;="&amp;BZ$3,CLAVE_COMB,$A329)+SUMIFS(SALIDAS_DES,FECHA_DESGLOSEN,"&gt;="&amp;BZ$2,FECHA_DESGLOSEN,"&lt;="&amp;BZ$3,CLAVE_DESGLOSE,$A329)</f>
        <v>20334.030000000002</v>
      </c>
      <c r="CA329" s="227">
        <f t="shared" ref="CA329" si="730">BU329-BZ329</f>
        <v>-20334.030000000002</v>
      </c>
      <c r="CB329" s="301">
        <f t="shared" ref="CB329" si="731">IFERROR((BZ329/BU329),0)</f>
        <v>0</v>
      </c>
      <c r="CC329" s="162">
        <f>VLOOKUP($A329,T_PRESUPUESTO,MATCH(CC$6,E_PRESUPUESTO,0),FALSE)</f>
        <v>0</v>
      </c>
      <c r="CD329" s="162">
        <f>SUMIFS(SALIDAS_BIT,FECHA_BIT,"&gt;="&amp;CD$2,FECHA_BIT,"&lt;="&amp;CD$3,CLAVE_BIT,$A329)+SUMIFS(SALIDAS_BOV1,FECHA_BOV1,"&gt;="&amp;CD$2,FECHA_BOV1,"&lt;="&amp;CD$3,CLAVE_BOV1,$A329)+SUMIFS(SALIDAS_BOV2,FECHA_BOV2,"&gt;="&amp;CD$2,FECHA_BOV2,"&lt;="&amp;CD$3,CLAVE_BOV2,$A329)+SUMIFS(SALIDAS_BOV3,FECHA_BOV3,"&gt;="&amp;CD$2,FECHA_BOV3,"&lt;="&amp;CD$3,CLAVE_BOV3,$A329)+SUMIFS(SALIDAS_TC,FECHA_TC,"&gt;="&amp;CD$2,FECHA_TC,"&lt;="&amp;CD$3,CLAVE_TC,$A329)+SUMIFS(SALIDAS_COMB,FECHA_COMB,"&gt;="&amp;CD$2,FECHA_COMB,"&lt;="&amp;CD$3,CLAVE_COMB,$A329)+SUMIFS(SALIDAS_DES,FECHA_DESGLOSEN,"&gt;="&amp;CD$2,FECHA_DESGLOSEN,"&lt;="&amp;CD$3,CLAVE_DESGLOSE,$A329)</f>
        <v>0</v>
      </c>
      <c r="CE329" s="162">
        <f>SUMIFS(SALIDAS_BIT,FECHA_BIT,"&gt;="&amp;CE$2,FECHA_BIT,"&lt;="&amp;CE$3,CLAVE_BIT,$A329)+SUMIFS(SALIDAS_BOV1,FECHA_BOV1,"&gt;="&amp;CE$2,FECHA_BOV1,"&lt;="&amp;CE$3,CLAVE_BOV1,$A329)+SUMIFS(SALIDAS_BOV2,FECHA_BOV2,"&gt;="&amp;CE$2,FECHA_BOV2,"&lt;="&amp;CE$3,CLAVE_BOV2,$A329)+SUMIFS(SALIDAS_BOV3,FECHA_BOV3,"&gt;="&amp;CE$2,FECHA_BOV3,"&lt;="&amp;CE$3,CLAVE_BOV3,$A329)+SUMIFS(SALIDAS_TC,FECHA_TC,"&gt;="&amp;CE$2,FECHA_TC,"&lt;="&amp;CE$3,CLAVE_TC,$A329)+SUMIFS(SALIDAS_COMB,FECHA_COMB,"&gt;="&amp;CE$2,FECHA_COMB,"&lt;="&amp;CE$3,CLAVE_COMB,$A329)+SUMIFS(SALIDAS_DES,FECHA_DESGLOSEN,"&gt;="&amp;CE$2,FECHA_DESGLOSEN,"&lt;="&amp;CE$3,CLAVE_DESGLOSE,$A329)</f>
        <v>0</v>
      </c>
      <c r="CF329" s="162">
        <f>SUMIFS(SALIDAS_BIT,FECHA_BIT,"&gt;="&amp;CF$2,FECHA_BIT,"&lt;="&amp;CF$3,CLAVE_BIT,$A329)+SUMIFS(SALIDAS_BOV1,FECHA_BOV1,"&gt;="&amp;CF$2,FECHA_BOV1,"&lt;="&amp;CF$3,CLAVE_BOV1,$A329)+SUMIFS(SALIDAS_BOV2,FECHA_BOV2,"&gt;="&amp;CF$2,FECHA_BOV2,"&lt;="&amp;CF$3,CLAVE_BOV2,$A329)+SUMIFS(SALIDAS_BOV3,FECHA_BOV3,"&gt;="&amp;CF$2,FECHA_BOV3,"&lt;="&amp;CF$3,CLAVE_BOV3,$A329)+SUMIFS(SALIDAS_TC,FECHA_TC,"&gt;="&amp;CF$2,FECHA_TC,"&lt;="&amp;CF$3,CLAVE_TC,$A329)+SUMIFS(SALIDAS_COMB,FECHA_COMB,"&gt;="&amp;CF$2,FECHA_COMB,"&lt;="&amp;CF$3,CLAVE_COMB,$A329)+SUMIFS(SALIDAS_DES,FECHA_DESGLOSEN,"&gt;="&amp;CF$2,FECHA_DESGLOSEN,"&lt;="&amp;CF$3,CLAVE_DESGLOSE,$A329)</f>
        <v>0</v>
      </c>
      <c r="CG329" s="162">
        <f>SUMIFS(SALIDAS_BIT,FECHA_BIT,"&gt;="&amp;CG$2,FECHA_BIT,"&lt;="&amp;CG$3,CLAVE_BIT,$A329)+SUMIFS(SALIDAS_BOV1,FECHA_BOV1,"&gt;="&amp;CG$2,FECHA_BOV1,"&lt;="&amp;CG$3,CLAVE_BOV1,$A329)+SUMIFS(SALIDAS_BOV2,FECHA_BOV2,"&gt;="&amp;CG$2,FECHA_BOV2,"&lt;="&amp;CG$3,CLAVE_BOV2,$A329)+SUMIFS(SALIDAS_BOV3,FECHA_BOV3,"&gt;="&amp;CG$2,FECHA_BOV3,"&lt;="&amp;CG$3,CLAVE_BOV3,$A329)+SUMIFS(SALIDAS_TC,FECHA_TC,"&gt;="&amp;CG$2,FECHA_TC,"&lt;="&amp;CG$3,CLAVE_TC,$A329)+SUMIFS(SALIDAS_COMB,FECHA_COMB,"&gt;="&amp;CG$2,FECHA_COMB,"&lt;="&amp;CG$3,CLAVE_COMB,$A329)+SUMIFS(SALIDAS_DES,FECHA_DESGLOSEN,"&gt;="&amp;CG$2,FECHA_DESGLOSEN,"&lt;="&amp;CG$3,CLAVE_DESGLOSE,$A329)</f>
        <v>20334.04</v>
      </c>
      <c r="CH329" s="162">
        <f>SUMIFS(SALIDAS_BIT,FECHA_BIT,"&gt;="&amp;CH$2,FECHA_BIT,"&lt;="&amp;CH$3,CLAVE_BIT,$A329)+SUMIFS(SALIDAS_BOV1,FECHA_BOV1,"&gt;="&amp;CH$2,FECHA_BOV1,"&lt;="&amp;CH$3,CLAVE_BOV1,$A329)+SUMIFS(SALIDAS_BOV2,FECHA_BOV2,"&gt;="&amp;CH$2,FECHA_BOV2,"&lt;="&amp;CH$3,CLAVE_BOV2,$A329)+SUMIFS(SALIDAS_BOV3,FECHA_BOV3,"&gt;="&amp;CH$2,FECHA_BOV3,"&lt;="&amp;CH$3,CLAVE_BOV3,$A329)+SUMIFS(SALIDAS_TC,FECHA_TC,"&gt;="&amp;CH$2,FECHA_TC,"&lt;="&amp;CH$3,CLAVE_TC,$A329)+SUMIFS(SALIDAS_COMB,FECHA_COMB,"&gt;="&amp;CH$2,FECHA_COMB,"&lt;="&amp;CH$3,CLAVE_COMB,$A329)+SUMIFS(SALIDAS_DES,FECHA_DESGLOSEN,"&gt;="&amp;CH$2,FECHA_DESGLOSEN,"&lt;="&amp;CH$3,CLAVE_DESGLOSE,$A329)</f>
        <v>20334.04</v>
      </c>
      <c r="CI329" s="227">
        <f t="shared" ref="CI329" si="732">CC329-CH329</f>
        <v>-20334.04</v>
      </c>
      <c r="CJ329" s="301">
        <f t="shared" ref="CJ329" si="733">IFERROR((CH329/CC329),0)</f>
        <v>0</v>
      </c>
      <c r="CK329" s="162">
        <f>VLOOKUP($A329,T_PRESUPUESTO,MATCH(CK$6,E_PRESUPUESTO,0),FALSE)</f>
        <v>0</v>
      </c>
      <c r="CL329" s="162">
        <f>SUMIFS(SALIDAS_BIT,FECHA_BIT,"&gt;="&amp;CL$2,FECHA_BIT,"&lt;="&amp;CL$3,CLAVE_BIT,$A329)+SUMIFS(SALIDAS_BOV1,FECHA_BOV1,"&gt;="&amp;CL$2,FECHA_BOV1,"&lt;="&amp;CL$3,CLAVE_BOV1,$A329)+SUMIFS(SALIDAS_BOV2,FECHA_BOV2,"&gt;="&amp;CL$2,FECHA_BOV2,"&lt;="&amp;CL$3,CLAVE_BOV2,$A329)+SUMIFS(SALIDAS_BOV3,FECHA_BOV3,"&gt;="&amp;CL$2,FECHA_BOV3,"&lt;="&amp;CL$3,CLAVE_BOV3,$A329)+SUMIFS(SALIDAS_TC,FECHA_TC,"&gt;="&amp;CL$2,FECHA_TC,"&lt;="&amp;CL$3,CLAVE_TC,$A329)+SUMIFS(SALIDAS_COMB,FECHA_COMB,"&gt;="&amp;CL$2,FECHA_COMB,"&lt;="&amp;CL$3,CLAVE_COMB,$A329)+SUMIFS(SALIDAS_DES,FECHA_DESGLOSEN,"&gt;="&amp;CL$2,FECHA_DESGLOSEN,"&lt;="&amp;CL$3,CLAVE_DESGLOSE,$A329)</f>
        <v>0</v>
      </c>
      <c r="CM329" s="162">
        <f>SUMIFS(SALIDAS_BIT,FECHA_BIT,"&gt;="&amp;CM$2,FECHA_BIT,"&lt;="&amp;CM$3,CLAVE_BIT,$A329)+SUMIFS(SALIDAS_BOV1,FECHA_BOV1,"&gt;="&amp;CM$2,FECHA_BOV1,"&lt;="&amp;CM$3,CLAVE_BOV1,$A329)+SUMIFS(SALIDAS_BOV2,FECHA_BOV2,"&gt;="&amp;CM$2,FECHA_BOV2,"&lt;="&amp;CM$3,CLAVE_BOV2,$A329)+SUMIFS(SALIDAS_BOV3,FECHA_BOV3,"&gt;="&amp;CM$2,FECHA_BOV3,"&lt;="&amp;CM$3,CLAVE_BOV3,$A329)+SUMIFS(SALIDAS_TC,FECHA_TC,"&gt;="&amp;CM$2,FECHA_TC,"&lt;="&amp;CM$3,CLAVE_TC,$A329)+SUMIFS(SALIDAS_COMB,FECHA_COMB,"&gt;="&amp;CM$2,FECHA_COMB,"&lt;="&amp;CM$3,CLAVE_COMB,$A329)+SUMIFS(SALIDAS_DES,FECHA_DESGLOSEN,"&gt;="&amp;CM$2,FECHA_DESGLOSEN,"&lt;="&amp;CM$3,CLAVE_DESGLOSE,$A329)</f>
        <v>900</v>
      </c>
      <c r="CN329" s="162">
        <f>SUMIFS(SALIDAS_BIT,FECHA_BIT,"&gt;="&amp;CN$2,FECHA_BIT,"&lt;="&amp;CN$3,CLAVE_BIT,$A329)+SUMIFS(SALIDAS_BOV1,FECHA_BOV1,"&gt;="&amp;CN$2,FECHA_BOV1,"&lt;="&amp;CN$3,CLAVE_BOV1,$A329)+SUMIFS(SALIDAS_BOV2,FECHA_BOV2,"&gt;="&amp;CN$2,FECHA_BOV2,"&lt;="&amp;CN$3,CLAVE_BOV2,$A329)+SUMIFS(SALIDAS_BOV3,FECHA_BOV3,"&gt;="&amp;CN$2,FECHA_BOV3,"&lt;="&amp;CN$3,CLAVE_BOV3,$A329)+SUMIFS(SALIDAS_TC,FECHA_TC,"&gt;="&amp;CN$2,FECHA_TC,"&lt;="&amp;CN$3,CLAVE_TC,$A329)+SUMIFS(SALIDAS_COMB,FECHA_COMB,"&gt;="&amp;CN$2,FECHA_COMB,"&lt;="&amp;CN$3,CLAVE_COMB,$A329)+SUMIFS(SALIDAS_DES,FECHA_DESGLOSEN,"&gt;="&amp;CN$2,FECHA_DESGLOSEN,"&lt;="&amp;CN$3,CLAVE_DESGLOSE,$A329)</f>
        <v>0</v>
      </c>
      <c r="CO329" s="162">
        <f>SUMIFS(SALIDAS_BIT,FECHA_BIT,"&gt;="&amp;CO$2,FECHA_BIT,"&lt;="&amp;CO$3,CLAVE_BIT,$A329)+SUMIFS(SALIDAS_BOV1,FECHA_BOV1,"&gt;="&amp;CO$2,FECHA_BOV1,"&lt;="&amp;CO$3,CLAVE_BOV1,$A329)+SUMIFS(SALIDAS_BOV2,FECHA_BOV2,"&gt;="&amp;CO$2,FECHA_BOV2,"&lt;="&amp;CO$3,CLAVE_BOV2,$A329)+SUMIFS(SALIDAS_BOV3,FECHA_BOV3,"&gt;="&amp;CO$2,FECHA_BOV3,"&lt;="&amp;CO$3,CLAVE_BOV3,$A329)+SUMIFS(SALIDAS_TC,FECHA_TC,"&gt;="&amp;CO$2,FECHA_TC,"&lt;="&amp;CO$3,CLAVE_TC,$A329)+SUMIFS(SALIDAS_COMB,FECHA_COMB,"&gt;="&amp;CO$2,FECHA_COMB,"&lt;="&amp;CO$3,CLAVE_COMB,$A329)+SUMIFS(SALIDAS_DES,FECHA_DESGLOSEN,"&gt;="&amp;CO$2,FECHA_DESGLOSEN,"&lt;="&amp;CO$3,CLAVE_DESGLOSE,$A329)</f>
        <v>11921.09</v>
      </c>
      <c r="CP329" s="162">
        <f>SUMIFS(SALIDAS_BIT,FECHA_BIT,"&gt;="&amp;CP$2,FECHA_BIT,"&lt;="&amp;CP$3,CLAVE_BIT,$A329)+SUMIFS(SALIDAS_BOV1,FECHA_BOV1,"&gt;="&amp;CP$2,FECHA_BOV1,"&lt;="&amp;CP$3,CLAVE_BOV1,$A329)+SUMIFS(SALIDAS_BOV2,FECHA_BOV2,"&gt;="&amp;CP$2,FECHA_BOV2,"&lt;="&amp;CP$3,CLAVE_BOV2,$A329)+SUMIFS(SALIDAS_BOV3,FECHA_BOV3,"&gt;="&amp;CP$2,FECHA_BOV3,"&lt;="&amp;CP$3,CLAVE_BOV3,$A329)+SUMIFS(SALIDAS_TC,FECHA_TC,"&gt;="&amp;CP$2,FECHA_TC,"&lt;="&amp;CP$3,CLAVE_TC,$A329)+SUMIFS(SALIDAS_COMB,FECHA_COMB,"&gt;="&amp;CP$2,FECHA_COMB,"&lt;="&amp;CP$3,CLAVE_COMB,$A329)+SUMIFS(SALIDAS_DES,FECHA_DESGLOSEN,"&gt;="&amp;CP$2,FECHA_DESGLOSEN,"&lt;="&amp;CP$3,CLAVE_DESGLOSE,$A329)</f>
        <v>0</v>
      </c>
      <c r="CQ329" s="162">
        <f>SUMIFS(SALIDAS_BIT,FECHA_BIT,"&gt;="&amp;CQ$2,FECHA_BIT,"&lt;="&amp;CQ$3,CLAVE_BIT,$A329)+SUMIFS(SALIDAS_BOV1,FECHA_BOV1,"&gt;="&amp;CQ$2,FECHA_BOV1,"&lt;="&amp;CQ$3,CLAVE_BOV1,$A329)+SUMIFS(SALIDAS_BOV2,FECHA_BOV2,"&gt;="&amp;CQ$2,FECHA_BOV2,"&lt;="&amp;CQ$3,CLAVE_BOV2,$A329)+SUMIFS(SALIDAS_BOV3,FECHA_BOV3,"&gt;="&amp;CQ$2,FECHA_BOV3,"&lt;="&amp;CQ$3,CLAVE_BOV3,$A329)+SUMIFS(SALIDAS_TC,FECHA_TC,"&gt;="&amp;CQ$2,FECHA_TC,"&lt;="&amp;CQ$3,CLAVE_TC,$A329)+SUMIFS(SALIDAS_COMB,FECHA_COMB,"&gt;="&amp;CQ$2,FECHA_COMB,"&lt;="&amp;CQ$3,CLAVE_COMB,$A329)+SUMIFS(SALIDAS_DES,FECHA_DESGLOSEN,"&gt;="&amp;CQ$2,FECHA_DESGLOSEN,"&lt;="&amp;CQ$3,CLAVE_DESGLOSE,$A329)</f>
        <v>12821.09</v>
      </c>
      <c r="CR329" s="227">
        <f t="shared" ref="CR329" si="734">CK329-CQ329</f>
        <v>-12821.09</v>
      </c>
      <c r="CS329" s="301">
        <f t="shared" ref="CS329" si="735">IFERROR((CQ329/CK329),0)</f>
        <v>0</v>
      </c>
      <c r="CT329" s="68">
        <f t="shared" si="712"/>
        <v>1000</v>
      </c>
      <c r="CU329" s="13">
        <f>SUMIFS(SALIDAS_BIT,FECHA_BIT,"&gt;="&amp;CU$2,FECHA_BIT,"&lt;="&amp;CU$3,CLAVE_BIT,$A329)+SUMIFS(SALIDAS_BOV1,FECHA_BOV1,"&gt;="&amp;CU$2,FECHA_BOV1,"&lt;="&amp;CU$3,CLAVE_BOV1,$A329)+SUMIFS(SALIDAS_BOV2,FECHA_BOV2,"&gt;="&amp;CU$2,FECHA_BOV2,"&lt;="&amp;CU$3,CLAVE_BOV2,$A329)+SUMIFS(SALIDAS_BOV3,FECHA_BOV3,"&gt;="&amp;CU$2,FECHA_BOV3,"&lt;="&amp;CU$3,CLAVE_BOV3,$A329)+SUMIFS(SALIDAS_TC,FECHA_TC,"&gt;="&amp;CU$2,FECHA_TC,"&lt;="&amp;CU$3,CLAVE_TC,$A329)+SUMIFS(SALIDAS_COMB,FECHA_COMB,"&gt;="&amp;CU$2,FECHA_COMB,"&lt;="&amp;CU$3,CLAVE_COMB,$A329)+SUMIFS(SALIDAS_DES,FECHA_DESGLOSEN,"&gt;="&amp;CU$2,FECHA_DESGLOSEN,"&lt;="&amp;CU$3,CLAVE_DESGLOSE,$A329)</f>
        <v>0</v>
      </c>
      <c r="CV329" s="13">
        <f>SUMIFS(SALIDAS_BIT,FECHA_BIT,"&gt;="&amp;CV$2,FECHA_BIT,"&lt;="&amp;CV$3,CLAVE_BIT,$A329)+SUMIFS(SALIDAS_BOV1,FECHA_BOV1,"&gt;="&amp;CV$2,FECHA_BOV1,"&lt;="&amp;CV$3,CLAVE_BOV1,$A329)+SUMIFS(SALIDAS_BOV2,FECHA_BOV2,"&gt;="&amp;CV$2,FECHA_BOV2,"&lt;="&amp;CV$3,CLAVE_BOV2,$A329)+SUMIFS(SALIDAS_BOV3,FECHA_BOV3,"&gt;="&amp;CV$2,FECHA_BOV3,"&lt;="&amp;CV$3,CLAVE_BOV3,$A329)+SUMIFS(SALIDAS_TC,FECHA_TC,"&gt;="&amp;CV$2,FECHA_TC,"&lt;="&amp;CV$3,CLAVE_TC,$A329)+SUMIFS(SALIDAS_COMB,FECHA_COMB,"&gt;="&amp;CV$2,FECHA_COMB,"&lt;="&amp;CV$3,CLAVE_COMB,$A329)+SUMIFS(SALIDAS_DES,FECHA_DESGLOSEN,"&gt;="&amp;CV$2,FECHA_DESGLOSEN,"&lt;="&amp;CV$3,CLAVE_DESGLOSE,$A329)</f>
        <v>0</v>
      </c>
      <c r="CW329" s="13">
        <f>SUMIFS(SALIDAS_BIT,FECHA_BIT,"&gt;="&amp;CW$2,FECHA_BIT,"&lt;="&amp;CW$3,CLAVE_BIT,$A329)+SUMIFS(SALIDAS_BOV1,FECHA_BOV1,"&gt;="&amp;CW$2,FECHA_BOV1,"&lt;="&amp;CW$3,CLAVE_BOV1,$A329)+SUMIFS(SALIDAS_BOV2,FECHA_BOV2,"&gt;="&amp;CW$2,FECHA_BOV2,"&lt;="&amp;CW$3,CLAVE_BOV2,$A329)+SUMIFS(SALIDAS_BOV3,FECHA_BOV3,"&gt;="&amp;CW$2,FECHA_BOV3,"&lt;="&amp;CW$3,CLAVE_BOV3,$A329)+SUMIFS(SALIDAS_TC,FECHA_TC,"&gt;="&amp;CW$2,FECHA_TC,"&lt;="&amp;CW$3,CLAVE_TC,$A329)+SUMIFS(SALIDAS_COMB,FECHA_COMB,"&gt;="&amp;CW$2,FECHA_COMB,"&lt;="&amp;CW$3,CLAVE_COMB,$A329)+SUMIFS(SALIDAS_DES,FECHA_DESGLOSEN,"&gt;="&amp;CW$2,FECHA_DESGLOSEN,"&lt;="&amp;CW$3,CLAVE_DESGLOSE,$A329)</f>
        <v>0</v>
      </c>
      <c r="CX329" s="13">
        <f>SUMIFS(SALIDAS_BIT,FECHA_BIT,"&gt;="&amp;CX$2,FECHA_BIT,"&lt;="&amp;CX$3,CLAVE_BIT,$A329)+SUMIFS(SALIDAS_BOV1,FECHA_BOV1,"&gt;="&amp;CX$2,FECHA_BOV1,"&lt;="&amp;CX$3,CLAVE_BOV1,$A329)+SUMIFS(SALIDAS_BOV2,FECHA_BOV2,"&gt;="&amp;CX$2,FECHA_BOV2,"&lt;="&amp;CX$3,CLAVE_BOV2,$A329)+SUMIFS(SALIDAS_BOV3,FECHA_BOV3,"&gt;="&amp;CX$2,FECHA_BOV3,"&lt;="&amp;CX$3,CLAVE_BOV3,$A329)+SUMIFS(SALIDAS_TC,FECHA_TC,"&gt;="&amp;CX$2,FECHA_TC,"&lt;="&amp;CX$3,CLAVE_TC,$A329)+SUMIFS(SALIDAS_COMB,FECHA_COMB,"&gt;="&amp;CX$2,FECHA_COMB,"&lt;="&amp;CX$3,CLAVE_COMB,$A329)+SUMIFS(SALIDAS_DES,FECHA_DESGLOSEN,"&gt;="&amp;CX$2,FECHA_DESGLOSEN,"&lt;="&amp;CX$3,CLAVE_DESGLOSE,$A329)</f>
        <v>12550.79</v>
      </c>
      <c r="CY329" s="13">
        <f>SUMIFS(SALIDAS_BIT,FECHA_BIT,"&gt;="&amp;CY$2,FECHA_BIT,"&lt;="&amp;CY$3,CLAVE_BIT,$A329)+SUMIFS(SALIDAS_BOV1,FECHA_BOV1,"&gt;="&amp;CY$2,FECHA_BOV1,"&lt;="&amp;CY$3,CLAVE_BOV1,$A329)+SUMIFS(SALIDAS_BOV2,FECHA_BOV2,"&gt;="&amp;CY$2,FECHA_BOV2,"&lt;="&amp;CY$3,CLAVE_BOV2,$A329)+SUMIFS(SALIDAS_BOV3,FECHA_BOV3,"&gt;="&amp;CY$2,FECHA_BOV3,"&lt;="&amp;CY$3,CLAVE_BOV3,$A329)+SUMIFS(SALIDAS_TC,FECHA_TC,"&gt;="&amp;CY$2,FECHA_TC,"&lt;="&amp;CY$3,CLAVE_TC,$A329)+SUMIFS(SALIDAS_COMB,FECHA_COMB,"&gt;="&amp;CY$2,FECHA_COMB,"&lt;="&amp;CY$3,CLAVE_COMB,$A329)+SUMIFS(SALIDAS_DES,FECHA_DESGLOSEN,"&gt;="&amp;CY$2,FECHA_DESGLOSEN,"&lt;="&amp;CY$3,CLAVE_DESGLOSE,$A329)</f>
        <v>12550.79</v>
      </c>
      <c r="CZ329" s="68">
        <f t="shared" si="713"/>
        <v>-11550.79</v>
      </c>
      <c r="DB329" s="17">
        <f>F329+N329+W329+AE329+AM329+AV329+BD329+BL329+BU329+CC329+CK329</f>
        <v>0</v>
      </c>
      <c r="DC329" s="17">
        <f>K329+T329+AB329+AJ329+AS329+BA329+BI329+BR329+BZ329+CH329+CQ329</f>
        <v>59854.34</v>
      </c>
    </row>
    <row r="330" spans="1:107" ht="15" hidden="1">
      <c r="A330" s="12" t="str">
        <f>C330&amp;D330&amp;E330</f>
        <v>FINANZASRENTASE11</v>
      </c>
      <c r="B330">
        <v>330</v>
      </c>
      <c r="C330" t="s">
        <v>23</v>
      </c>
      <c r="D330" t="s">
        <v>169</v>
      </c>
      <c r="E330" t="s">
        <v>118</v>
      </c>
      <c r="F330" s="260">
        <f>VLOOKUP($A330,T_PRESUPUESTO,MATCH(F$6,E_PRESUPUESTO,0),FALSE)</f>
        <v>0</v>
      </c>
      <c r="G330" s="162">
        <f>SUMIFS(SALIDAS_BIT,FECHA_BIT,"&gt;="&amp;G$2,FECHA_BIT,"&lt;="&amp;G$3,CLAVE_BIT,$A330)+SUMIFS(SALIDAS_BOV1,FECHA_BOV1,"&gt;="&amp;G$2,FECHA_BOV1,"&lt;="&amp;G$3,CLAVE_BOV1,$A330)+SUMIFS(SALIDAS_BOV2,FECHA_BOV2,"&gt;="&amp;G$2,FECHA_BOV2,"&lt;="&amp;G$3,CLAVE_BOV2,$A330)+SUMIFS(SALIDAS_BOV3,FECHA_BOV3,"&gt;="&amp;G$2,FECHA_BOV3,"&lt;="&amp;G$3,CLAVE_BOV3,$A330)+SUMIFS(SALIDAS_TC,FECHA_TC,"&gt;="&amp;G$2,FECHA_TC,"&lt;="&amp;G$3,CLAVE_TC,$A330)+SUMIFS(SALIDAS_COMB,FECHA_COMB,"&gt;="&amp;G$2,FECHA_COMB,"&lt;="&amp;G$3,CLAVE_COMB,$A330)+SUMIFS(SALIDAS_DES,FECHA_DESGLOSEN,"&gt;="&amp;G$2,FECHA_DESGLOSEN,"&lt;="&amp;G$3,CLAVE_DESGLOSE,$A330)</f>
        <v>0</v>
      </c>
      <c r="H330" s="162">
        <f>SUMIFS(SALIDAS_BIT,FECHA_BIT,"&gt;="&amp;H$2,FECHA_BIT,"&lt;="&amp;H$3,CLAVE_BIT,$A330)+SUMIFS(SALIDAS_BOV1,FECHA_BOV1,"&gt;="&amp;H$2,FECHA_BOV1,"&lt;="&amp;H$3,CLAVE_BOV1,$A330)+SUMIFS(SALIDAS_BOV2,FECHA_BOV2,"&gt;="&amp;H$2,FECHA_BOV2,"&lt;="&amp;H$3,CLAVE_BOV2,$A330)+SUMIFS(SALIDAS_BOV3,FECHA_BOV3,"&gt;="&amp;H$2,FECHA_BOV3,"&lt;="&amp;H$3,CLAVE_BOV3,$A330)+SUMIFS(SALIDAS_TC,FECHA_TC,"&gt;="&amp;H$2,FECHA_TC,"&lt;="&amp;H$3,CLAVE_TC,$A330)+SUMIFS(SALIDAS_COMB,FECHA_COMB,"&gt;="&amp;H$2,FECHA_COMB,"&lt;="&amp;H$3,CLAVE_COMB,$A330)+SUMIFS(SALIDAS_DES,FECHA_DESGLOSEN,"&gt;="&amp;H$2,FECHA_DESGLOSEN,"&lt;="&amp;H$3,CLAVE_DESGLOSE,$A330)</f>
        <v>0</v>
      </c>
      <c r="I330" s="162">
        <f>SUMIFS(SALIDAS_BIT,FECHA_BIT,"&gt;="&amp;I$2,FECHA_BIT,"&lt;="&amp;I$3,CLAVE_BIT,$A330)+SUMIFS(SALIDAS_BOV1,FECHA_BOV1,"&gt;="&amp;I$2,FECHA_BOV1,"&lt;="&amp;I$3,CLAVE_BOV1,$A330)+SUMIFS(SALIDAS_BOV2,FECHA_BOV2,"&gt;="&amp;I$2,FECHA_BOV2,"&lt;="&amp;I$3,CLAVE_BOV2,$A330)+SUMIFS(SALIDAS_BOV3,FECHA_BOV3,"&gt;="&amp;I$2,FECHA_BOV3,"&lt;="&amp;I$3,CLAVE_BOV3,$A330)+SUMIFS(SALIDAS_TC,FECHA_TC,"&gt;="&amp;I$2,FECHA_TC,"&lt;="&amp;I$3,CLAVE_TC,$A330)+SUMIFS(SALIDAS_COMB,FECHA_COMB,"&gt;="&amp;I$2,FECHA_COMB,"&lt;="&amp;I$3,CLAVE_COMB,$A330)+SUMIFS(SALIDAS_DES,FECHA_DESGLOSEN,"&gt;="&amp;I$2,FECHA_DESGLOSEN,"&lt;="&amp;I$3,CLAVE_DESGLOSE,$A330)</f>
        <v>0</v>
      </c>
      <c r="J330" s="162">
        <f>SUMIFS(SALIDAS_BIT,FECHA_BIT,"&gt;="&amp;J$2,FECHA_BIT,"&lt;="&amp;J$3,CLAVE_BIT,$A330)+SUMIFS(SALIDAS_BOV1,FECHA_BOV1,"&gt;="&amp;J$2,FECHA_BOV1,"&lt;="&amp;J$3,CLAVE_BOV1,$A330)+SUMIFS(SALIDAS_BOV2,FECHA_BOV2,"&gt;="&amp;J$2,FECHA_BOV2,"&lt;="&amp;J$3,CLAVE_BOV2,$A330)+SUMIFS(SALIDAS_BOV3,FECHA_BOV3,"&gt;="&amp;J$2,FECHA_BOV3,"&lt;="&amp;J$3,CLAVE_BOV3,$A330)+SUMIFS(SALIDAS_TC,FECHA_TC,"&gt;="&amp;J$2,FECHA_TC,"&lt;="&amp;J$3,CLAVE_TC,$A330)+SUMIFS(SALIDAS_COMB,FECHA_COMB,"&gt;="&amp;J$2,FECHA_COMB,"&lt;="&amp;J$3,CLAVE_COMB,$A330)+SUMIFS(SALIDAS_DES,FECHA_DESGLOSEN,"&gt;="&amp;J$2,FECHA_DESGLOSEN,"&lt;="&amp;J$3,CLAVE_DESGLOSE,$A330)</f>
        <v>0</v>
      </c>
      <c r="K330" s="162">
        <f>SUMIFS(SALIDAS_BIT,FECHA_BIT,"&gt;="&amp;K$2,FECHA_BIT,"&lt;="&amp;K$3,CLAVE_BIT,$A330)+SUMIFS(SALIDAS_BOV1,FECHA_BOV1,"&gt;="&amp;K$2,FECHA_BOV1,"&lt;="&amp;K$3,CLAVE_BOV1,$A330)+SUMIFS(SALIDAS_BOV2,FECHA_BOV2,"&gt;="&amp;K$2,FECHA_BOV2,"&lt;="&amp;K$3,CLAVE_BOV2,$A330)+SUMIFS(SALIDAS_BOV3,FECHA_BOV3,"&gt;="&amp;K$2,FECHA_BOV3,"&lt;="&amp;K$3,CLAVE_BOV3,$A330)+SUMIFS(SALIDAS_TC,FECHA_TC,"&gt;="&amp;K$2,FECHA_TC,"&lt;="&amp;K$3,CLAVE_TC,$A330)+SUMIFS(SALIDAS_COMB,FECHA_COMB,"&gt;="&amp;K$2,FECHA_COMB,"&lt;="&amp;K$3,CLAVE_COMB,$A330)+SUMIFS(SALIDAS_DES,FECHA_DESGLOSEN,"&gt;="&amp;K$2,FECHA_DESGLOSEN,"&lt;="&amp;K$3,CLAVE_DESGLOSE,$A330)</f>
        <v>0</v>
      </c>
      <c r="L330" s="227">
        <f>F330-K330</f>
        <v>0</v>
      </c>
      <c r="M330" s="301">
        <f>IFERROR((K330/F330),0)</f>
        <v>0</v>
      </c>
      <c r="N330" s="162">
        <f>VLOOKUP($A330,T_PRESUPUESTO,MATCH(N$6,E_PRESUPUESTO,0),FALSE)</f>
        <v>0</v>
      </c>
      <c r="O330" s="162">
        <f>SUMIFS(SALIDAS_BIT,FECHA_BIT,"&gt;="&amp;O$2,FECHA_BIT,"&lt;="&amp;O$3,CLAVE_BIT,$A330)+SUMIFS(SALIDAS_BOV1,FECHA_BOV1,"&gt;="&amp;O$2,FECHA_BOV1,"&lt;="&amp;O$3,CLAVE_BOV1,$A330)+SUMIFS(SALIDAS_BOV2,FECHA_BOV2,"&gt;="&amp;O$2,FECHA_BOV2,"&lt;="&amp;O$3,CLAVE_BOV2,$A330)+SUMIFS(SALIDAS_BOV3,FECHA_BOV3,"&gt;="&amp;O$2,FECHA_BOV3,"&lt;="&amp;O$3,CLAVE_BOV3,$A330)+SUMIFS(SALIDAS_TC,FECHA_TC,"&gt;="&amp;O$2,FECHA_TC,"&lt;="&amp;O$3,CLAVE_TC,$A330)+SUMIFS(SALIDAS_COMB,FECHA_COMB,"&gt;="&amp;O$2,FECHA_COMB,"&lt;="&amp;O$3,CLAVE_COMB,$A330)+SUMIFS(SALIDAS_DES,FECHA_DESGLOSEN,"&gt;="&amp;O$2,FECHA_DESGLOSEN,"&lt;="&amp;O$3,CLAVE_DESGLOSE,$A330)</f>
        <v>0</v>
      </c>
      <c r="P330" s="162">
        <f>SUMIFS(SALIDAS_BIT,FECHA_BIT,"&gt;="&amp;P$2,FECHA_BIT,"&lt;="&amp;P$3,CLAVE_BIT,$A330)+SUMIFS(SALIDAS_BOV1,FECHA_BOV1,"&gt;="&amp;P$2,FECHA_BOV1,"&lt;="&amp;P$3,CLAVE_BOV1,$A330)+SUMIFS(SALIDAS_BOV2,FECHA_BOV2,"&gt;="&amp;P$2,FECHA_BOV2,"&lt;="&amp;P$3,CLAVE_BOV2,$A330)+SUMIFS(SALIDAS_BOV3,FECHA_BOV3,"&gt;="&amp;P$2,FECHA_BOV3,"&lt;="&amp;P$3,CLAVE_BOV3,$A330)+SUMIFS(SALIDAS_TC,FECHA_TC,"&gt;="&amp;P$2,FECHA_TC,"&lt;="&amp;P$3,CLAVE_TC,$A330)+SUMIFS(SALIDAS_COMB,FECHA_COMB,"&gt;="&amp;P$2,FECHA_COMB,"&lt;="&amp;P$3,CLAVE_COMB,$A330)+SUMIFS(SALIDAS_DES,FECHA_DESGLOSEN,"&gt;="&amp;P$2,FECHA_DESGLOSEN,"&lt;="&amp;P$3,CLAVE_DESGLOSE,$A330)</f>
        <v>0</v>
      </c>
      <c r="Q330" s="162">
        <f>SUMIFS(SALIDAS_BIT,FECHA_BIT,"&gt;="&amp;Q$2,FECHA_BIT,"&lt;="&amp;Q$3,CLAVE_BIT,$A330)+SUMIFS(SALIDAS_BOV1,FECHA_BOV1,"&gt;="&amp;Q$2,FECHA_BOV1,"&lt;="&amp;Q$3,CLAVE_BOV1,$A330)+SUMIFS(SALIDAS_BOV2,FECHA_BOV2,"&gt;="&amp;Q$2,FECHA_BOV2,"&lt;="&amp;Q$3,CLAVE_BOV2,$A330)+SUMIFS(SALIDAS_BOV3,FECHA_BOV3,"&gt;="&amp;Q$2,FECHA_BOV3,"&lt;="&amp;Q$3,CLAVE_BOV3,$A330)+SUMIFS(SALIDAS_TC,FECHA_TC,"&gt;="&amp;Q$2,FECHA_TC,"&lt;="&amp;Q$3,CLAVE_TC,$A330)+SUMIFS(SALIDAS_COMB,FECHA_COMB,"&gt;="&amp;Q$2,FECHA_COMB,"&lt;="&amp;Q$3,CLAVE_COMB,$A330)+SUMIFS(SALIDAS_DES,FECHA_DESGLOSEN,"&gt;="&amp;Q$2,FECHA_DESGLOSEN,"&lt;="&amp;Q$3,CLAVE_DESGLOSE,$A330)</f>
        <v>0</v>
      </c>
      <c r="R330" s="162">
        <f>SUMIFS(SALIDAS_BIT,FECHA_BIT,"&gt;="&amp;R$2,FECHA_BIT,"&lt;="&amp;R$3,CLAVE_BIT,$A330)+SUMIFS(SALIDAS_BOV1,FECHA_BOV1,"&gt;="&amp;R$2,FECHA_BOV1,"&lt;="&amp;R$3,CLAVE_BOV1,$A330)+SUMIFS(SALIDAS_BOV2,FECHA_BOV2,"&gt;="&amp;R$2,FECHA_BOV2,"&lt;="&amp;R$3,CLAVE_BOV2,$A330)+SUMIFS(SALIDAS_BOV3,FECHA_BOV3,"&gt;="&amp;R$2,FECHA_BOV3,"&lt;="&amp;R$3,CLAVE_BOV3,$A330)+SUMIFS(SALIDAS_TC,FECHA_TC,"&gt;="&amp;R$2,FECHA_TC,"&lt;="&amp;R$3,CLAVE_TC,$A330)+SUMIFS(SALIDAS_COMB,FECHA_COMB,"&gt;="&amp;R$2,FECHA_COMB,"&lt;="&amp;R$3,CLAVE_COMB,$A330)+SUMIFS(SALIDAS_DES,FECHA_DESGLOSEN,"&gt;="&amp;R$2,FECHA_DESGLOSEN,"&lt;="&amp;R$3,CLAVE_DESGLOSE,$A330)</f>
        <v>0</v>
      </c>
      <c r="S330" s="162">
        <f>SUMIFS(SALIDAS_BIT,FECHA_BIT,"&gt;="&amp;S$2,FECHA_BIT,"&lt;="&amp;S$3,CLAVE_BIT,$A330)+SUMIFS(SALIDAS_BOV1,FECHA_BOV1,"&gt;="&amp;S$2,FECHA_BOV1,"&lt;="&amp;S$3,CLAVE_BOV1,$A330)+SUMIFS(SALIDAS_BOV2,FECHA_BOV2,"&gt;="&amp;S$2,FECHA_BOV2,"&lt;="&amp;S$3,CLAVE_BOV2,$A330)+SUMIFS(SALIDAS_BOV3,FECHA_BOV3,"&gt;="&amp;S$2,FECHA_BOV3,"&lt;="&amp;S$3,CLAVE_BOV3,$A330)+SUMIFS(SALIDAS_TC,FECHA_TC,"&gt;="&amp;S$2,FECHA_TC,"&lt;="&amp;S$3,CLAVE_TC,$A330)+SUMIFS(SALIDAS_COMB,FECHA_COMB,"&gt;="&amp;S$2,FECHA_COMB,"&lt;="&amp;S$3,CLAVE_COMB,$A330)+SUMIFS(SALIDAS_DES,FECHA_DESGLOSEN,"&gt;="&amp;S$2,FECHA_DESGLOSEN,"&lt;="&amp;S$3,CLAVE_DESGLOSE,$A330)</f>
        <v>0</v>
      </c>
      <c r="T330" s="162">
        <f>SUMIFS(SALIDAS_BIT,FECHA_BIT,"&gt;="&amp;T$2,FECHA_BIT,"&lt;="&amp;T$3,CLAVE_BIT,$A330)+SUMIFS(SALIDAS_BOV1,FECHA_BOV1,"&gt;="&amp;T$2,FECHA_BOV1,"&lt;="&amp;T$3,CLAVE_BOV1,$A330)+SUMIFS(SALIDAS_BOV2,FECHA_BOV2,"&gt;="&amp;T$2,FECHA_BOV2,"&lt;="&amp;T$3,CLAVE_BOV2,$A330)+SUMIFS(SALIDAS_BOV3,FECHA_BOV3,"&gt;="&amp;T$2,FECHA_BOV3,"&lt;="&amp;T$3,CLAVE_BOV3,$A330)+SUMIFS(SALIDAS_TC,FECHA_TC,"&gt;="&amp;T$2,FECHA_TC,"&lt;="&amp;T$3,CLAVE_TC,$A330)+SUMIFS(SALIDAS_COMB,FECHA_COMB,"&gt;="&amp;T$2,FECHA_COMB,"&lt;="&amp;T$3,CLAVE_COMB,$A330)+SUMIFS(SALIDAS_DES,FECHA_DESGLOSEN,"&gt;="&amp;T$2,FECHA_DESGLOSEN,"&lt;="&amp;T$3,CLAVE_DESGLOSE,$A330)</f>
        <v>0</v>
      </c>
      <c r="U330" s="227">
        <f>N330-T330</f>
        <v>0</v>
      </c>
      <c r="V330" s="301">
        <f>IFERROR((T330/N330),0)</f>
        <v>0</v>
      </c>
      <c r="W330" s="162">
        <f>VLOOKUP($A330,T_PRESUPUESTO,MATCH(W$6,E_PRESUPUESTO,0),FALSE)</f>
        <v>0</v>
      </c>
      <c r="X330" s="162">
        <f>SUMIFS(SALIDAS_BIT,FECHA_BIT,"&gt;="&amp;X$2,FECHA_BIT,"&lt;="&amp;X$3,CLAVE_BIT,$A330)+SUMIFS(SALIDAS_BOV1,FECHA_BOV1,"&gt;="&amp;X$2,FECHA_BOV1,"&lt;="&amp;X$3,CLAVE_BOV1,$A330)+SUMIFS(SALIDAS_BOV2,FECHA_BOV2,"&gt;="&amp;X$2,FECHA_BOV2,"&lt;="&amp;X$3,CLAVE_BOV2,$A330)+SUMIFS(SALIDAS_BOV3,FECHA_BOV3,"&gt;="&amp;X$2,FECHA_BOV3,"&lt;="&amp;X$3,CLAVE_BOV3,$A330)+SUMIFS(SALIDAS_TC,FECHA_TC,"&gt;="&amp;X$2,FECHA_TC,"&lt;="&amp;X$3,CLAVE_TC,$A330)+SUMIFS(SALIDAS_COMB,FECHA_COMB,"&gt;="&amp;X$2,FECHA_COMB,"&lt;="&amp;X$3,CLAVE_COMB,$A330)+SUMIFS(SALIDAS_DES,FECHA_DESGLOSEN,"&gt;="&amp;X$2,FECHA_DESGLOSEN,"&lt;="&amp;X$3,CLAVE_DESGLOSE,$A330)</f>
        <v>0</v>
      </c>
      <c r="Y330" s="162">
        <f>SUMIFS(SALIDAS_BIT,FECHA_BIT,"&gt;="&amp;Y$2,FECHA_BIT,"&lt;="&amp;Y$3,CLAVE_BIT,$A330)+SUMIFS(SALIDAS_BOV1,FECHA_BOV1,"&gt;="&amp;Y$2,FECHA_BOV1,"&lt;="&amp;Y$3,CLAVE_BOV1,$A330)+SUMIFS(SALIDAS_BOV2,FECHA_BOV2,"&gt;="&amp;Y$2,FECHA_BOV2,"&lt;="&amp;Y$3,CLAVE_BOV2,$A330)+SUMIFS(SALIDAS_BOV3,FECHA_BOV3,"&gt;="&amp;Y$2,FECHA_BOV3,"&lt;="&amp;Y$3,CLAVE_BOV3,$A330)+SUMIFS(SALIDAS_TC,FECHA_TC,"&gt;="&amp;Y$2,FECHA_TC,"&lt;="&amp;Y$3,CLAVE_TC,$A330)+SUMIFS(SALIDAS_COMB,FECHA_COMB,"&gt;="&amp;Y$2,FECHA_COMB,"&lt;="&amp;Y$3,CLAVE_COMB,$A330)+SUMIFS(SALIDAS_DES,FECHA_DESGLOSEN,"&gt;="&amp;Y$2,FECHA_DESGLOSEN,"&lt;="&amp;Y$3,CLAVE_DESGLOSE,$A330)</f>
        <v>0</v>
      </c>
      <c r="Z330" s="162">
        <f>SUMIFS(SALIDAS_BIT,FECHA_BIT,"&gt;="&amp;Z$2,FECHA_BIT,"&lt;="&amp;Z$3,CLAVE_BIT,$A330)+SUMIFS(SALIDAS_BOV1,FECHA_BOV1,"&gt;="&amp;Z$2,FECHA_BOV1,"&lt;="&amp;Z$3,CLAVE_BOV1,$A330)+SUMIFS(SALIDAS_BOV2,FECHA_BOV2,"&gt;="&amp;Z$2,FECHA_BOV2,"&lt;="&amp;Z$3,CLAVE_BOV2,$A330)+SUMIFS(SALIDAS_BOV3,FECHA_BOV3,"&gt;="&amp;Z$2,FECHA_BOV3,"&lt;="&amp;Z$3,CLAVE_BOV3,$A330)+SUMIFS(SALIDAS_TC,FECHA_TC,"&gt;="&amp;Z$2,FECHA_TC,"&lt;="&amp;Z$3,CLAVE_TC,$A330)+SUMIFS(SALIDAS_COMB,FECHA_COMB,"&gt;="&amp;Z$2,FECHA_COMB,"&lt;="&amp;Z$3,CLAVE_COMB,$A330)+SUMIFS(SALIDAS_DES,FECHA_DESGLOSEN,"&gt;="&amp;Z$2,FECHA_DESGLOSEN,"&lt;="&amp;Z$3,CLAVE_DESGLOSE,$A330)</f>
        <v>0</v>
      </c>
      <c r="AA330" s="162">
        <f>SUMIFS(SALIDAS_BIT,FECHA_BIT,"&gt;="&amp;AA$2,FECHA_BIT,"&lt;="&amp;AA$3,CLAVE_BIT,$A330)+SUMIFS(SALIDAS_BOV1,FECHA_BOV1,"&gt;="&amp;AA$2,FECHA_BOV1,"&lt;="&amp;AA$3,CLAVE_BOV1,$A330)+SUMIFS(SALIDAS_BOV2,FECHA_BOV2,"&gt;="&amp;AA$2,FECHA_BOV2,"&lt;="&amp;AA$3,CLAVE_BOV2,$A330)+SUMIFS(SALIDAS_BOV3,FECHA_BOV3,"&gt;="&amp;AA$2,FECHA_BOV3,"&lt;="&amp;AA$3,CLAVE_BOV3,$A330)+SUMIFS(SALIDAS_TC,FECHA_TC,"&gt;="&amp;AA$2,FECHA_TC,"&lt;="&amp;AA$3,CLAVE_TC,$A330)+SUMIFS(SALIDAS_COMB,FECHA_COMB,"&gt;="&amp;AA$2,FECHA_COMB,"&lt;="&amp;AA$3,CLAVE_COMB,$A330)+SUMIFS(SALIDAS_DES,FECHA_DESGLOSEN,"&gt;="&amp;AA$2,FECHA_DESGLOSEN,"&lt;="&amp;AA$3,CLAVE_DESGLOSE,$A330)</f>
        <v>0</v>
      </c>
      <c r="AB330" s="162">
        <f>SUMIFS(SALIDAS_BIT,FECHA_BIT,"&gt;="&amp;AB$2,FECHA_BIT,"&lt;="&amp;AB$3,CLAVE_BIT,$A330)+SUMIFS(SALIDAS_BOV1,FECHA_BOV1,"&gt;="&amp;AB$2,FECHA_BOV1,"&lt;="&amp;AB$3,CLAVE_BOV1,$A330)+SUMIFS(SALIDAS_BOV2,FECHA_BOV2,"&gt;="&amp;AB$2,FECHA_BOV2,"&lt;="&amp;AB$3,CLAVE_BOV2,$A330)+SUMIFS(SALIDAS_BOV3,FECHA_BOV3,"&gt;="&amp;AB$2,FECHA_BOV3,"&lt;="&amp;AB$3,CLAVE_BOV3,$A330)+SUMIFS(SALIDAS_TC,FECHA_TC,"&gt;="&amp;AB$2,FECHA_TC,"&lt;="&amp;AB$3,CLAVE_TC,$A330)+SUMIFS(SALIDAS_COMB,FECHA_COMB,"&gt;="&amp;AB$2,FECHA_COMB,"&lt;="&amp;AB$3,CLAVE_COMB,$A330)+SUMIFS(SALIDAS_DES,FECHA_DESGLOSEN,"&gt;="&amp;AB$2,FECHA_DESGLOSEN,"&lt;="&amp;AB$3,CLAVE_DESGLOSE,$A330)</f>
        <v>0</v>
      </c>
      <c r="AC330" s="227">
        <f>W330-AB330</f>
        <v>0</v>
      </c>
      <c r="AD330" s="301">
        <f>IFERROR((AB330/W330),0)</f>
        <v>0</v>
      </c>
      <c r="AE330" s="162">
        <f>VLOOKUP($A330,T_PRESUPUESTO,MATCH(AE$6,E_PRESUPUESTO,0),FALSE)</f>
        <v>0</v>
      </c>
      <c r="AF330" s="162">
        <f>SUMIFS(SALIDAS_BIT,FECHA_BIT,"&gt;="&amp;AF$2,FECHA_BIT,"&lt;="&amp;AF$3,CLAVE_BIT,$A330)+SUMIFS(SALIDAS_BOV1,FECHA_BOV1,"&gt;="&amp;AF$2,FECHA_BOV1,"&lt;="&amp;AF$3,CLAVE_BOV1,$A330)+SUMIFS(SALIDAS_BOV2,FECHA_BOV2,"&gt;="&amp;AF$2,FECHA_BOV2,"&lt;="&amp;AF$3,CLAVE_BOV2,$A330)+SUMIFS(SALIDAS_BOV3,FECHA_BOV3,"&gt;="&amp;AF$2,FECHA_BOV3,"&lt;="&amp;AF$3,CLAVE_BOV3,$A330)+SUMIFS(SALIDAS_TC,FECHA_TC,"&gt;="&amp;AF$2,FECHA_TC,"&lt;="&amp;AF$3,CLAVE_TC,$A330)+SUMIFS(SALIDAS_COMB,FECHA_COMB,"&gt;="&amp;AF$2,FECHA_COMB,"&lt;="&amp;AF$3,CLAVE_COMB,$A330)+SUMIFS(SALIDAS_DES,FECHA_DESGLOSEN,"&gt;="&amp;AF$2,FECHA_DESGLOSEN,"&lt;="&amp;AF$3,CLAVE_DESGLOSE,$A330)</f>
        <v>0</v>
      </c>
      <c r="AG330" s="162">
        <f>SUMIFS(SALIDAS_BIT,FECHA_BIT,"&gt;="&amp;AG$2,FECHA_BIT,"&lt;="&amp;AG$3,CLAVE_BIT,$A330)+SUMIFS(SALIDAS_BOV1,FECHA_BOV1,"&gt;="&amp;AG$2,FECHA_BOV1,"&lt;="&amp;AG$3,CLAVE_BOV1,$A330)+SUMIFS(SALIDAS_BOV2,FECHA_BOV2,"&gt;="&amp;AG$2,FECHA_BOV2,"&lt;="&amp;AG$3,CLAVE_BOV2,$A330)+SUMIFS(SALIDAS_BOV3,FECHA_BOV3,"&gt;="&amp;AG$2,FECHA_BOV3,"&lt;="&amp;AG$3,CLAVE_BOV3,$A330)+SUMIFS(SALIDAS_TC,FECHA_TC,"&gt;="&amp;AG$2,FECHA_TC,"&lt;="&amp;AG$3,CLAVE_TC,$A330)+SUMIFS(SALIDAS_COMB,FECHA_COMB,"&gt;="&amp;AG$2,FECHA_COMB,"&lt;="&amp;AG$3,CLAVE_COMB,$A330)+SUMIFS(SALIDAS_DES,FECHA_DESGLOSEN,"&gt;="&amp;AG$2,FECHA_DESGLOSEN,"&lt;="&amp;AG$3,CLAVE_DESGLOSE,$A330)</f>
        <v>0</v>
      </c>
      <c r="AH330" s="162">
        <f>SUMIFS(SALIDAS_BIT,FECHA_BIT,"&gt;="&amp;AH$2,FECHA_BIT,"&lt;="&amp;AH$3,CLAVE_BIT,$A330)+SUMIFS(SALIDAS_BOV1,FECHA_BOV1,"&gt;="&amp;AH$2,FECHA_BOV1,"&lt;="&amp;AH$3,CLAVE_BOV1,$A330)+SUMIFS(SALIDAS_BOV2,FECHA_BOV2,"&gt;="&amp;AH$2,FECHA_BOV2,"&lt;="&amp;AH$3,CLAVE_BOV2,$A330)+SUMIFS(SALIDAS_BOV3,FECHA_BOV3,"&gt;="&amp;AH$2,FECHA_BOV3,"&lt;="&amp;AH$3,CLAVE_BOV3,$A330)+SUMIFS(SALIDAS_TC,FECHA_TC,"&gt;="&amp;AH$2,FECHA_TC,"&lt;="&amp;AH$3,CLAVE_TC,$A330)+SUMIFS(SALIDAS_COMB,FECHA_COMB,"&gt;="&amp;AH$2,FECHA_COMB,"&lt;="&amp;AH$3,CLAVE_COMB,$A330)+SUMIFS(SALIDAS_DES,FECHA_DESGLOSEN,"&gt;="&amp;AH$2,FECHA_DESGLOSEN,"&lt;="&amp;AH$3,CLAVE_DESGLOSE,$A330)</f>
        <v>0</v>
      </c>
      <c r="AI330" s="162">
        <f>SUMIFS(SALIDAS_BIT,FECHA_BIT,"&gt;="&amp;AI$2,FECHA_BIT,"&lt;="&amp;AI$3,CLAVE_BIT,$A330)+SUMIFS(SALIDAS_BOV1,FECHA_BOV1,"&gt;="&amp;AI$2,FECHA_BOV1,"&lt;="&amp;AI$3,CLAVE_BOV1,$A330)+SUMIFS(SALIDAS_BOV2,FECHA_BOV2,"&gt;="&amp;AI$2,FECHA_BOV2,"&lt;="&amp;AI$3,CLAVE_BOV2,$A330)+SUMIFS(SALIDAS_BOV3,FECHA_BOV3,"&gt;="&amp;AI$2,FECHA_BOV3,"&lt;="&amp;AI$3,CLAVE_BOV3,$A330)+SUMIFS(SALIDAS_TC,FECHA_TC,"&gt;="&amp;AI$2,FECHA_TC,"&lt;="&amp;AI$3,CLAVE_TC,$A330)+SUMIFS(SALIDAS_COMB,FECHA_COMB,"&gt;="&amp;AI$2,FECHA_COMB,"&lt;="&amp;AI$3,CLAVE_COMB,$A330)+SUMIFS(SALIDAS_DES,FECHA_DESGLOSEN,"&gt;="&amp;AI$2,FECHA_DESGLOSEN,"&lt;="&amp;AI$3,CLAVE_DESGLOSE,$A330)</f>
        <v>0</v>
      </c>
      <c r="AJ330" s="162">
        <f>SUMIFS(SALIDAS_BIT,FECHA_BIT,"&gt;="&amp;AJ$2,FECHA_BIT,"&lt;="&amp;AJ$3,CLAVE_BIT,$A330)+SUMIFS(SALIDAS_BOV1,FECHA_BOV1,"&gt;="&amp;AJ$2,FECHA_BOV1,"&lt;="&amp;AJ$3,CLAVE_BOV1,$A330)+SUMIFS(SALIDAS_BOV2,FECHA_BOV2,"&gt;="&amp;AJ$2,FECHA_BOV2,"&lt;="&amp;AJ$3,CLAVE_BOV2,$A330)+SUMIFS(SALIDAS_BOV3,FECHA_BOV3,"&gt;="&amp;AJ$2,FECHA_BOV3,"&lt;="&amp;AJ$3,CLAVE_BOV3,$A330)+SUMIFS(SALIDAS_TC,FECHA_TC,"&gt;="&amp;AJ$2,FECHA_TC,"&lt;="&amp;AJ$3,CLAVE_TC,$A330)+SUMIFS(SALIDAS_COMB,FECHA_COMB,"&gt;="&amp;AJ$2,FECHA_COMB,"&lt;="&amp;AJ$3,CLAVE_COMB,$A330)+SUMIFS(SALIDAS_DES,FECHA_DESGLOSEN,"&gt;="&amp;AJ$2,FECHA_DESGLOSEN,"&lt;="&amp;AJ$3,CLAVE_DESGLOSE,$A330)</f>
        <v>0</v>
      </c>
      <c r="AK330" s="227">
        <f>AE330-AJ330</f>
        <v>0</v>
      </c>
      <c r="AL330" s="301">
        <f>IFERROR((AJ330/AE330),0)</f>
        <v>0</v>
      </c>
      <c r="AM330" s="162">
        <f>VLOOKUP($A330,T_PRESUPUESTO,MATCH(AM$6,E_PRESUPUESTO,0),FALSE)</f>
        <v>0</v>
      </c>
      <c r="AN330" s="162">
        <f>SUMIFS(SALIDAS_BIT,FECHA_BIT,"&gt;="&amp;AN$2,FECHA_BIT,"&lt;="&amp;AN$3,CLAVE_BIT,$A330)+SUMIFS(SALIDAS_BOV1,FECHA_BOV1,"&gt;="&amp;AN$2,FECHA_BOV1,"&lt;="&amp;AN$3,CLAVE_BOV1,$A330)+SUMIFS(SALIDAS_BOV2,FECHA_BOV2,"&gt;="&amp;AN$2,FECHA_BOV2,"&lt;="&amp;AN$3,CLAVE_BOV2,$A330)+SUMIFS(SALIDAS_BOV3,FECHA_BOV3,"&gt;="&amp;AN$2,FECHA_BOV3,"&lt;="&amp;AN$3,CLAVE_BOV3,$A330)+SUMIFS(SALIDAS_TC,FECHA_TC,"&gt;="&amp;AN$2,FECHA_TC,"&lt;="&amp;AN$3,CLAVE_TC,$A330)+SUMIFS(SALIDAS_COMB,FECHA_COMB,"&gt;="&amp;AN$2,FECHA_COMB,"&lt;="&amp;AN$3,CLAVE_COMB,$A330)+SUMIFS(SALIDAS_DES,FECHA_DESGLOSEN,"&gt;="&amp;AN$2,FECHA_DESGLOSEN,"&lt;="&amp;AN$3,CLAVE_DESGLOSE,$A330)</f>
        <v>0</v>
      </c>
      <c r="AO330" s="162">
        <f>SUMIFS(SALIDAS_BIT,FECHA_BIT,"&gt;="&amp;AO$2,FECHA_BIT,"&lt;="&amp;AO$3,CLAVE_BIT,$A330)+SUMIFS(SALIDAS_BOV1,FECHA_BOV1,"&gt;="&amp;AO$2,FECHA_BOV1,"&lt;="&amp;AO$3,CLAVE_BOV1,$A330)+SUMIFS(SALIDAS_BOV2,FECHA_BOV2,"&gt;="&amp;AO$2,FECHA_BOV2,"&lt;="&amp;AO$3,CLAVE_BOV2,$A330)+SUMIFS(SALIDAS_BOV3,FECHA_BOV3,"&gt;="&amp;AO$2,FECHA_BOV3,"&lt;="&amp;AO$3,CLAVE_BOV3,$A330)+SUMIFS(SALIDAS_TC,FECHA_TC,"&gt;="&amp;AO$2,FECHA_TC,"&lt;="&amp;AO$3,CLAVE_TC,$A330)+SUMIFS(SALIDAS_COMB,FECHA_COMB,"&gt;="&amp;AO$2,FECHA_COMB,"&lt;="&amp;AO$3,CLAVE_COMB,$A330)+SUMIFS(SALIDAS_DES,FECHA_DESGLOSEN,"&gt;="&amp;AO$2,FECHA_DESGLOSEN,"&lt;="&amp;AO$3,CLAVE_DESGLOSE,$A330)</f>
        <v>0</v>
      </c>
      <c r="AP330" s="162">
        <f>SUMIFS(SALIDAS_BIT,FECHA_BIT,"&gt;="&amp;AP$2,FECHA_BIT,"&lt;="&amp;AP$3,CLAVE_BIT,$A330)+SUMIFS(SALIDAS_BOV1,FECHA_BOV1,"&gt;="&amp;AP$2,FECHA_BOV1,"&lt;="&amp;AP$3,CLAVE_BOV1,$A330)+SUMIFS(SALIDAS_BOV2,FECHA_BOV2,"&gt;="&amp;AP$2,FECHA_BOV2,"&lt;="&amp;AP$3,CLAVE_BOV2,$A330)+SUMIFS(SALIDAS_BOV3,FECHA_BOV3,"&gt;="&amp;AP$2,FECHA_BOV3,"&lt;="&amp;AP$3,CLAVE_BOV3,$A330)+SUMIFS(SALIDAS_TC,FECHA_TC,"&gt;="&amp;AP$2,FECHA_TC,"&lt;="&amp;AP$3,CLAVE_TC,$A330)+SUMIFS(SALIDAS_COMB,FECHA_COMB,"&gt;="&amp;AP$2,FECHA_COMB,"&lt;="&amp;AP$3,CLAVE_COMB,$A330)+SUMIFS(SALIDAS_DES,FECHA_DESGLOSEN,"&gt;="&amp;AP$2,FECHA_DESGLOSEN,"&lt;="&amp;AP$3,CLAVE_DESGLOSE,$A330)</f>
        <v>0</v>
      </c>
      <c r="AQ330" s="162">
        <f>SUMIFS(SALIDAS_BIT,FECHA_BIT,"&gt;="&amp;AQ$2,FECHA_BIT,"&lt;="&amp;AQ$3,CLAVE_BIT,$A330)+SUMIFS(SALIDAS_BOV1,FECHA_BOV1,"&gt;="&amp;AQ$2,FECHA_BOV1,"&lt;="&amp;AQ$3,CLAVE_BOV1,$A330)+SUMIFS(SALIDAS_BOV2,FECHA_BOV2,"&gt;="&amp;AQ$2,FECHA_BOV2,"&lt;="&amp;AQ$3,CLAVE_BOV2,$A330)+SUMIFS(SALIDAS_BOV3,FECHA_BOV3,"&gt;="&amp;AQ$2,FECHA_BOV3,"&lt;="&amp;AQ$3,CLAVE_BOV3,$A330)+SUMIFS(SALIDAS_TC,FECHA_TC,"&gt;="&amp;AQ$2,FECHA_TC,"&lt;="&amp;AQ$3,CLAVE_TC,$A330)+SUMIFS(SALIDAS_COMB,FECHA_COMB,"&gt;="&amp;AQ$2,FECHA_COMB,"&lt;="&amp;AQ$3,CLAVE_COMB,$A330)+SUMIFS(SALIDAS_DES,FECHA_DESGLOSEN,"&gt;="&amp;AQ$2,FECHA_DESGLOSEN,"&lt;="&amp;AQ$3,CLAVE_DESGLOSE,$A330)</f>
        <v>0</v>
      </c>
      <c r="AR330" s="162">
        <f>SUMIFS(SALIDAS_BIT,FECHA_BIT,"&gt;="&amp;AR$2,FECHA_BIT,"&lt;="&amp;AR$3,CLAVE_BIT,$A330)+SUMIFS(SALIDAS_BOV1,FECHA_BOV1,"&gt;="&amp;AR$2,FECHA_BOV1,"&lt;="&amp;AR$3,CLAVE_BOV1,$A330)+SUMIFS(SALIDAS_BOV2,FECHA_BOV2,"&gt;="&amp;AR$2,FECHA_BOV2,"&lt;="&amp;AR$3,CLAVE_BOV2,$A330)+SUMIFS(SALIDAS_BOV3,FECHA_BOV3,"&gt;="&amp;AR$2,FECHA_BOV3,"&lt;="&amp;AR$3,CLAVE_BOV3,$A330)+SUMIFS(SALIDAS_TC,FECHA_TC,"&gt;="&amp;AR$2,FECHA_TC,"&lt;="&amp;AR$3,CLAVE_TC,$A330)+SUMIFS(SALIDAS_COMB,FECHA_COMB,"&gt;="&amp;AR$2,FECHA_COMB,"&lt;="&amp;AR$3,CLAVE_COMB,$A330)+SUMIFS(SALIDAS_DES,FECHA_DESGLOSEN,"&gt;="&amp;AR$2,FECHA_DESGLOSEN,"&lt;="&amp;AR$3,CLAVE_DESGLOSE,$A330)</f>
        <v>0</v>
      </c>
      <c r="AS330" s="162">
        <f>SUMIFS(SALIDAS_BIT,FECHA_BIT,"&gt;="&amp;AS$2,FECHA_BIT,"&lt;="&amp;AS$3,CLAVE_BIT,$A330)+SUMIFS(SALIDAS_BOV1,FECHA_BOV1,"&gt;="&amp;AS$2,FECHA_BOV1,"&lt;="&amp;AS$3,CLAVE_BOV1,$A330)+SUMIFS(SALIDAS_BOV2,FECHA_BOV2,"&gt;="&amp;AS$2,FECHA_BOV2,"&lt;="&amp;AS$3,CLAVE_BOV2,$A330)+SUMIFS(SALIDAS_BOV3,FECHA_BOV3,"&gt;="&amp;AS$2,FECHA_BOV3,"&lt;="&amp;AS$3,CLAVE_BOV3,$A330)+SUMIFS(SALIDAS_TC,FECHA_TC,"&gt;="&amp;AS$2,FECHA_TC,"&lt;="&amp;AS$3,CLAVE_TC,$A330)+SUMIFS(SALIDAS_COMB,FECHA_COMB,"&gt;="&amp;AS$2,FECHA_COMB,"&lt;="&amp;AS$3,CLAVE_COMB,$A330)+SUMIFS(SALIDAS_DES,FECHA_DESGLOSEN,"&gt;="&amp;AS$2,FECHA_DESGLOSEN,"&lt;="&amp;AS$3,CLAVE_DESGLOSE,$A330)</f>
        <v>0</v>
      </c>
      <c r="AT330" s="227">
        <f>AM330-AS330</f>
        <v>0</v>
      </c>
      <c r="AU330" s="301">
        <f>IFERROR((AS330/AM330),0)</f>
        <v>0</v>
      </c>
      <c r="AV330" s="162">
        <f>VLOOKUP($A330,T_PRESUPUESTO,MATCH(AV$6,E_PRESUPUESTO,0),FALSE)</f>
        <v>0</v>
      </c>
      <c r="AW330" s="162">
        <f>SUMIFS(SALIDAS_BIT,FECHA_BIT,"&gt;="&amp;AW$2,FECHA_BIT,"&lt;="&amp;AW$3,CLAVE_BIT,$A330)+SUMIFS(SALIDAS_BOV1,FECHA_BOV1,"&gt;="&amp;AW$2,FECHA_BOV1,"&lt;="&amp;AW$3,CLAVE_BOV1,$A330)+SUMIFS(SALIDAS_BOV2,FECHA_BOV2,"&gt;="&amp;AW$2,FECHA_BOV2,"&lt;="&amp;AW$3,CLAVE_BOV2,$A330)+SUMIFS(SALIDAS_BOV3,FECHA_BOV3,"&gt;="&amp;AW$2,FECHA_BOV3,"&lt;="&amp;AW$3,CLAVE_BOV3,$A330)+SUMIFS(SALIDAS_TC,FECHA_TC,"&gt;="&amp;AW$2,FECHA_TC,"&lt;="&amp;AW$3,CLAVE_TC,$A330)+SUMIFS(SALIDAS_COMB,FECHA_COMB,"&gt;="&amp;AW$2,FECHA_COMB,"&lt;="&amp;AW$3,CLAVE_COMB,$A330)+SUMIFS(SALIDAS_DES,FECHA_DESGLOSEN,"&gt;="&amp;AW$2,FECHA_DESGLOSEN,"&lt;="&amp;AW$3,CLAVE_DESGLOSE,$A330)</f>
        <v>0</v>
      </c>
      <c r="AX330" s="162">
        <f>SUMIFS(SALIDAS_BIT,FECHA_BIT,"&gt;="&amp;AX$2,FECHA_BIT,"&lt;="&amp;AX$3,CLAVE_BIT,$A330)+SUMIFS(SALIDAS_BOV1,FECHA_BOV1,"&gt;="&amp;AX$2,FECHA_BOV1,"&lt;="&amp;AX$3,CLAVE_BOV1,$A330)+SUMIFS(SALIDAS_BOV2,FECHA_BOV2,"&gt;="&amp;AX$2,FECHA_BOV2,"&lt;="&amp;AX$3,CLAVE_BOV2,$A330)+SUMIFS(SALIDAS_BOV3,FECHA_BOV3,"&gt;="&amp;AX$2,FECHA_BOV3,"&lt;="&amp;AX$3,CLAVE_BOV3,$A330)+SUMIFS(SALIDAS_TC,FECHA_TC,"&gt;="&amp;AX$2,FECHA_TC,"&lt;="&amp;AX$3,CLAVE_TC,$A330)+SUMIFS(SALIDAS_COMB,FECHA_COMB,"&gt;="&amp;AX$2,FECHA_COMB,"&lt;="&amp;AX$3,CLAVE_COMB,$A330)+SUMIFS(SALIDAS_DES,FECHA_DESGLOSEN,"&gt;="&amp;AX$2,FECHA_DESGLOSEN,"&lt;="&amp;AX$3,CLAVE_DESGLOSE,$A330)</f>
        <v>0</v>
      </c>
      <c r="AY330" s="162">
        <f>SUMIFS(SALIDAS_BIT,FECHA_BIT,"&gt;="&amp;AY$2,FECHA_BIT,"&lt;="&amp;AY$3,CLAVE_BIT,$A330)+SUMIFS(SALIDAS_BOV1,FECHA_BOV1,"&gt;="&amp;AY$2,FECHA_BOV1,"&lt;="&amp;AY$3,CLAVE_BOV1,$A330)+SUMIFS(SALIDAS_BOV2,FECHA_BOV2,"&gt;="&amp;AY$2,FECHA_BOV2,"&lt;="&amp;AY$3,CLAVE_BOV2,$A330)+SUMIFS(SALIDAS_BOV3,FECHA_BOV3,"&gt;="&amp;AY$2,FECHA_BOV3,"&lt;="&amp;AY$3,CLAVE_BOV3,$A330)+SUMIFS(SALIDAS_TC,FECHA_TC,"&gt;="&amp;AY$2,FECHA_TC,"&lt;="&amp;AY$3,CLAVE_TC,$A330)+SUMIFS(SALIDAS_COMB,FECHA_COMB,"&gt;="&amp;AY$2,FECHA_COMB,"&lt;="&amp;AY$3,CLAVE_COMB,$A330)+SUMIFS(SALIDAS_DES,FECHA_DESGLOSEN,"&gt;="&amp;AY$2,FECHA_DESGLOSEN,"&lt;="&amp;AY$3,CLAVE_DESGLOSE,$A330)</f>
        <v>0</v>
      </c>
      <c r="AZ330" s="162">
        <f>SUMIFS(SALIDAS_BIT,FECHA_BIT,"&gt;="&amp;AZ$2,FECHA_BIT,"&lt;="&amp;AZ$3,CLAVE_BIT,$A330)+SUMIFS(SALIDAS_BOV1,FECHA_BOV1,"&gt;="&amp;AZ$2,FECHA_BOV1,"&lt;="&amp;AZ$3,CLAVE_BOV1,$A330)+SUMIFS(SALIDAS_BOV2,FECHA_BOV2,"&gt;="&amp;AZ$2,FECHA_BOV2,"&lt;="&amp;AZ$3,CLAVE_BOV2,$A330)+SUMIFS(SALIDAS_BOV3,FECHA_BOV3,"&gt;="&amp;AZ$2,FECHA_BOV3,"&lt;="&amp;AZ$3,CLAVE_BOV3,$A330)+SUMIFS(SALIDAS_TC,FECHA_TC,"&gt;="&amp;AZ$2,FECHA_TC,"&lt;="&amp;AZ$3,CLAVE_TC,$A330)+SUMIFS(SALIDAS_COMB,FECHA_COMB,"&gt;="&amp;AZ$2,FECHA_COMB,"&lt;="&amp;AZ$3,CLAVE_COMB,$A330)+SUMIFS(SALIDAS_DES,FECHA_DESGLOSEN,"&gt;="&amp;AZ$2,FECHA_DESGLOSEN,"&lt;="&amp;AZ$3,CLAVE_DESGLOSE,$A330)</f>
        <v>0</v>
      </c>
      <c r="BA330" s="162">
        <f>SUMIFS(SALIDAS_BIT,FECHA_BIT,"&gt;="&amp;BA$2,FECHA_BIT,"&lt;="&amp;BA$3,CLAVE_BIT,$A330)+SUMIFS(SALIDAS_BOV1,FECHA_BOV1,"&gt;="&amp;BA$2,FECHA_BOV1,"&lt;="&amp;BA$3,CLAVE_BOV1,$A330)+SUMIFS(SALIDAS_BOV2,FECHA_BOV2,"&gt;="&amp;BA$2,FECHA_BOV2,"&lt;="&amp;BA$3,CLAVE_BOV2,$A330)+SUMIFS(SALIDAS_BOV3,FECHA_BOV3,"&gt;="&amp;BA$2,FECHA_BOV3,"&lt;="&amp;BA$3,CLAVE_BOV3,$A330)+SUMIFS(SALIDAS_TC,FECHA_TC,"&gt;="&amp;BA$2,FECHA_TC,"&lt;="&amp;BA$3,CLAVE_TC,$A330)+SUMIFS(SALIDAS_COMB,FECHA_COMB,"&gt;="&amp;BA$2,FECHA_COMB,"&lt;="&amp;BA$3,CLAVE_COMB,$A330)+SUMIFS(SALIDAS_DES,FECHA_DESGLOSEN,"&gt;="&amp;BA$2,FECHA_DESGLOSEN,"&lt;="&amp;BA$3,CLAVE_DESGLOSE,$A330)</f>
        <v>0</v>
      </c>
      <c r="BB330" s="227">
        <f>AV330-BA330</f>
        <v>0</v>
      </c>
      <c r="BC330" s="301">
        <f>IFERROR((BA330/AV330),0)</f>
        <v>0</v>
      </c>
      <c r="BD330" s="162">
        <f>VLOOKUP($A330,T_PRESUPUESTO,MATCH(BD$6,E_PRESUPUESTO,0),FALSE)</f>
        <v>0</v>
      </c>
      <c r="BE330" s="162">
        <f>SUMIFS(SALIDAS_BIT,FECHA_BIT,"&gt;="&amp;BE$2,FECHA_BIT,"&lt;="&amp;BE$3,CLAVE_BIT,$A330)+SUMIFS(SALIDAS_BOV1,FECHA_BOV1,"&gt;="&amp;BE$2,FECHA_BOV1,"&lt;="&amp;BE$3,CLAVE_BOV1,$A330)+SUMIFS(SALIDAS_BOV2,FECHA_BOV2,"&gt;="&amp;BE$2,FECHA_BOV2,"&lt;="&amp;BE$3,CLAVE_BOV2,$A330)+SUMIFS(SALIDAS_BOV3,FECHA_BOV3,"&gt;="&amp;BE$2,FECHA_BOV3,"&lt;="&amp;BE$3,CLAVE_BOV3,$A330)+SUMIFS(SALIDAS_TC,FECHA_TC,"&gt;="&amp;BE$2,FECHA_TC,"&lt;="&amp;BE$3,CLAVE_TC,$A330)+SUMIFS(SALIDAS_COMB,FECHA_COMB,"&gt;="&amp;BE$2,FECHA_COMB,"&lt;="&amp;BE$3,CLAVE_COMB,$A330)+SUMIFS(SALIDAS_DES,FECHA_DESGLOSEN,"&gt;="&amp;BE$2,FECHA_DESGLOSEN,"&lt;="&amp;BE$3,CLAVE_DESGLOSE,$A330)</f>
        <v>0</v>
      </c>
      <c r="BF330" s="162">
        <f>SUMIFS(SALIDAS_BIT,FECHA_BIT,"&gt;="&amp;BF$2,FECHA_BIT,"&lt;="&amp;BF$3,CLAVE_BIT,$A330)+SUMIFS(SALIDAS_BOV1,FECHA_BOV1,"&gt;="&amp;BF$2,FECHA_BOV1,"&lt;="&amp;BF$3,CLAVE_BOV1,$A330)+SUMIFS(SALIDAS_BOV2,FECHA_BOV2,"&gt;="&amp;BF$2,FECHA_BOV2,"&lt;="&amp;BF$3,CLAVE_BOV2,$A330)+SUMIFS(SALIDAS_BOV3,FECHA_BOV3,"&gt;="&amp;BF$2,FECHA_BOV3,"&lt;="&amp;BF$3,CLAVE_BOV3,$A330)+SUMIFS(SALIDAS_TC,FECHA_TC,"&gt;="&amp;BF$2,FECHA_TC,"&lt;="&amp;BF$3,CLAVE_TC,$A330)+SUMIFS(SALIDAS_COMB,FECHA_COMB,"&gt;="&amp;BF$2,FECHA_COMB,"&lt;="&amp;BF$3,CLAVE_COMB,$A330)+SUMIFS(SALIDAS_DES,FECHA_DESGLOSEN,"&gt;="&amp;BF$2,FECHA_DESGLOSEN,"&lt;="&amp;BF$3,CLAVE_DESGLOSE,$A330)</f>
        <v>0</v>
      </c>
      <c r="BG330" s="162">
        <f>SUMIFS(SALIDAS_BIT,FECHA_BIT,"&gt;="&amp;BG$2,FECHA_BIT,"&lt;="&amp;BG$3,CLAVE_BIT,$A330)+SUMIFS(SALIDAS_BOV1,FECHA_BOV1,"&gt;="&amp;BG$2,FECHA_BOV1,"&lt;="&amp;BG$3,CLAVE_BOV1,$A330)+SUMIFS(SALIDAS_BOV2,FECHA_BOV2,"&gt;="&amp;BG$2,FECHA_BOV2,"&lt;="&amp;BG$3,CLAVE_BOV2,$A330)+SUMIFS(SALIDAS_BOV3,FECHA_BOV3,"&gt;="&amp;BG$2,FECHA_BOV3,"&lt;="&amp;BG$3,CLAVE_BOV3,$A330)+SUMIFS(SALIDAS_TC,FECHA_TC,"&gt;="&amp;BG$2,FECHA_TC,"&lt;="&amp;BG$3,CLAVE_TC,$A330)+SUMIFS(SALIDAS_COMB,FECHA_COMB,"&gt;="&amp;BG$2,FECHA_COMB,"&lt;="&amp;BG$3,CLAVE_COMB,$A330)+SUMIFS(SALIDAS_DES,FECHA_DESGLOSEN,"&gt;="&amp;BG$2,FECHA_DESGLOSEN,"&lt;="&amp;BG$3,CLAVE_DESGLOSE,$A330)</f>
        <v>0</v>
      </c>
      <c r="BH330" s="162">
        <f>SUMIFS(SALIDAS_BIT,FECHA_BIT,"&gt;="&amp;BH$2,FECHA_BIT,"&lt;="&amp;BH$3,CLAVE_BIT,$A330)+SUMIFS(SALIDAS_BOV1,FECHA_BOV1,"&gt;="&amp;BH$2,FECHA_BOV1,"&lt;="&amp;BH$3,CLAVE_BOV1,$A330)+SUMIFS(SALIDAS_BOV2,FECHA_BOV2,"&gt;="&amp;BH$2,FECHA_BOV2,"&lt;="&amp;BH$3,CLAVE_BOV2,$A330)+SUMIFS(SALIDAS_BOV3,FECHA_BOV3,"&gt;="&amp;BH$2,FECHA_BOV3,"&lt;="&amp;BH$3,CLAVE_BOV3,$A330)+SUMIFS(SALIDAS_TC,FECHA_TC,"&gt;="&amp;BH$2,FECHA_TC,"&lt;="&amp;BH$3,CLAVE_TC,$A330)+SUMIFS(SALIDAS_COMB,FECHA_COMB,"&gt;="&amp;BH$2,FECHA_COMB,"&lt;="&amp;BH$3,CLAVE_COMB,$A330)+SUMIFS(SALIDAS_DES,FECHA_DESGLOSEN,"&gt;="&amp;BH$2,FECHA_DESGLOSEN,"&lt;="&amp;BH$3,CLAVE_DESGLOSE,$A330)</f>
        <v>0</v>
      </c>
      <c r="BI330" s="162">
        <f>SUMIFS(SALIDAS_BIT,FECHA_BIT,"&gt;="&amp;BI$2,FECHA_BIT,"&lt;="&amp;BI$3,CLAVE_BIT,$A330)+SUMIFS(SALIDAS_BOV1,FECHA_BOV1,"&gt;="&amp;BI$2,FECHA_BOV1,"&lt;="&amp;BI$3,CLAVE_BOV1,$A330)+SUMIFS(SALIDAS_BOV2,FECHA_BOV2,"&gt;="&amp;BI$2,FECHA_BOV2,"&lt;="&amp;BI$3,CLAVE_BOV2,$A330)+SUMIFS(SALIDAS_BOV3,FECHA_BOV3,"&gt;="&amp;BI$2,FECHA_BOV3,"&lt;="&amp;BI$3,CLAVE_BOV3,$A330)+SUMIFS(SALIDAS_TC,FECHA_TC,"&gt;="&amp;BI$2,FECHA_TC,"&lt;="&amp;BI$3,CLAVE_TC,$A330)+SUMIFS(SALIDAS_COMB,FECHA_COMB,"&gt;="&amp;BI$2,FECHA_COMB,"&lt;="&amp;BI$3,CLAVE_COMB,$A330)+SUMIFS(SALIDAS_DES,FECHA_DESGLOSEN,"&gt;="&amp;BI$2,FECHA_DESGLOSEN,"&lt;="&amp;BI$3,CLAVE_DESGLOSE,$A330)</f>
        <v>0</v>
      </c>
      <c r="BJ330" s="227">
        <f>BD330-BI330</f>
        <v>0</v>
      </c>
      <c r="BK330" s="301">
        <f>IFERROR((BI330/BD330),0)</f>
        <v>0</v>
      </c>
      <c r="BL330" s="162">
        <f>VLOOKUP($A330,T_PRESUPUESTO,MATCH(BL$6,E_PRESUPUESTO,0),FALSE)</f>
        <v>155000</v>
      </c>
      <c r="BM330" s="162">
        <f>SUMIFS(SALIDAS_BIT,FECHA_BIT,"&gt;="&amp;BM$2,FECHA_BIT,"&lt;="&amp;BM$3,CLAVE_BIT,$A330)+SUMIFS(SALIDAS_BOV1,FECHA_BOV1,"&gt;="&amp;BM$2,FECHA_BOV1,"&lt;="&amp;BM$3,CLAVE_BOV1,$A330)+SUMIFS(SALIDAS_BOV2,FECHA_BOV2,"&gt;="&amp;BM$2,FECHA_BOV2,"&lt;="&amp;BM$3,CLAVE_BOV2,$A330)+SUMIFS(SALIDAS_BOV3,FECHA_BOV3,"&gt;="&amp;BM$2,FECHA_BOV3,"&lt;="&amp;BM$3,CLAVE_BOV3,$A330)+SUMIFS(SALIDAS_TC,FECHA_TC,"&gt;="&amp;BM$2,FECHA_TC,"&lt;="&amp;BM$3,CLAVE_TC,$A330)+SUMIFS(SALIDAS_COMB,FECHA_COMB,"&gt;="&amp;BM$2,FECHA_COMB,"&lt;="&amp;BM$3,CLAVE_COMB,$A330)+SUMIFS(SALIDAS_DES,FECHA_DESGLOSEN,"&gt;="&amp;BM$2,FECHA_DESGLOSEN,"&lt;="&amp;BM$3,CLAVE_DESGLOSE,$A330)</f>
        <v>0</v>
      </c>
      <c r="BN330" s="162">
        <f>SUMIFS(SALIDAS_BIT,FECHA_BIT,"&gt;="&amp;BN$2,FECHA_BIT,"&lt;="&amp;BN$3,CLAVE_BIT,$A330)+SUMIFS(SALIDAS_BOV1,FECHA_BOV1,"&gt;="&amp;BN$2,FECHA_BOV1,"&lt;="&amp;BN$3,CLAVE_BOV1,$A330)+SUMIFS(SALIDAS_BOV2,FECHA_BOV2,"&gt;="&amp;BN$2,FECHA_BOV2,"&lt;="&amp;BN$3,CLAVE_BOV2,$A330)+SUMIFS(SALIDAS_BOV3,FECHA_BOV3,"&gt;="&amp;BN$2,FECHA_BOV3,"&lt;="&amp;BN$3,CLAVE_BOV3,$A330)+SUMIFS(SALIDAS_TC,FECHA_TC,"&gt;="&amp;BN$2,FECHA_TC,"&lt;="&amp;BN$3,CLAVE_TC,$A330)+SUMIFS(SALIDAS_COMB,FECHA_COMB,"&gt;="&amp;BN$2,FECHA_COMB,"&lt;="&amp;BN$3,CLAVE_COMB,$A330)+SUMIFS(SALIDAS_DES,FECHA_DESGLOSEN,"&gt;="&amp;BN$2,FECHA_DESGLOSEN,"&lt;="&amp;BN$3,CLAVE_DESGLOSE,$A330)</f>
        <v>0</v>
      </c>
      <c r="BO330" s="162">
        <f>SUMIFS(SALIDAS_BIT,FECHA_BIT,"&gt;="&amp;BO$2,FECHA_BIT,"&lt;="&amp;BO$3,CLAVE_BIT,$A330)+SUMIFS(SALIDAS_BOV1,FECHA_BOV1,"&gt;="&amp;BO$2,FECHA_BOV1,"&lt;="&amp;BO$3,CLAVE_BOV1,$A330)+SUMIFS(SALIDAS_BOV2,FECHA_BOV2,"&gt;="&amp;BO$2,FECHA_BOV2,"&lt;="&amp;BO$3,CLAVE_BOV2,$A330)+SUMIFS(SALIDAS_BOV3,FECHA_BOV3,"&gt;="&amp;BO$2,FECHA_BOV3,"&lt;="&amp;BO$3,CLAVE_BOV3,$A330)+SUMIFS(SALIDAS_TC,FECHA_TC,"&gt;="&amp;BO$2,FECHA_TC,"&lt;="&amp;BO$3,CLAVE_TC,$A330)+SUMIFS(SALIDAS_COMB,FECHA_COMB,"&gt;="&amp;BO$2,FECHA_COMB,"&lt;="&amp;BO$3,CLAVE_COMB,$A330)+SUMIFS(SALIDAS_DES,FECHA_DESGLOSEN,"&gt;="&amp;BO$2,FECHA_DESGLOSEN,"&lt;="&amp;BO$3,CLAVE_DESGLOSE,$A330)</f>
        <v>0</v>
      </c>
      <c r="BP330" s="162">
        <f>SUMIFS(SALIDAS_BIT,FECHA_BIT,"&gt;="&amp;BP$2,FECHA_BIT,"&lt;="&amp;BP$3,CLAVE_BIT,$A330)+SUMIFS(SALIDAS_BOV1,FECHA_BOV1,"&gt;="&amp;BP$2,FECHA_BOV1,"&lt;="&amp;BP$3,CLAVE_BOV1,$A330)+SUMIFS(SALIDAS_BOV2,FECHA_BOV2,"&gt;="&amp;BP$2,FECHA_BOV2,"&lt;="&amp;BP$3,CLAVE_BOV2,$A330)+SUMIFS(SALIDAS_BOV3,FECHA_BOV3,"&gt;="&amp;BP$2,FECHA_BOV3,"&lt;="&amp;BP$3,CLAVE_BOV3,$A330)+SUMIFS(SALIDAS_TC,FECHA_TC,"&gt;="&amp;BP$2,FECHA_TC,"&lt;="&amp;BP$3,CLAVE_TC,$A330)+SUMIFS(SALIDAS_COMB,FECHA_COMB,"&gt;="&amp;BP$2,FECHA_COMB,"&lt;="&amp;BP$3,CLAVE_COMB,$A330)+SUMIFS(SALIDAS_DES,FECHA_DESGLOSEN,"&gt;="&amp;BP$2,FECHA_DESGLOSEN,"&lt;="&amp;BP$3,CLAVE_DESGLOSE,$A330)</f>
        <v>0</v>
      </c>
      <c r="BQ330" s="162">
        <f>SUMIFS(SALIDAS_BIT,FECHA_BIT,"&gt;="&amp;BQ$2,FECHA_BIT,"&lt;="&amp;BQ$3,CLAVE_BIT,$A330)+SUMIFS(SALIDAS_BOV1,FECHA_BOV1,"&gt;="&amp;BQ$2,FECHA_BOV1,"&lt;="&amp;BQ$3,CLAVE_BOV1,$A330)+SUMIFS(SALIDAS_BOV2,FECHA_BOV2,"&gt;="&amp;BQ$2,FECHA_BOV2,"&lt;="&amp;BQ$3,CLAVE_BOV2,$A330)+SUMIFS(SALIDAS_BOV3,FECHA_BOV3,"&gt;="&amp;BQ$2,FECHA_BOV3,"&lt;="&amp;BQ$3,CLAVE_BOV3,$A330)+SUMIFS(SALIDAS_TC,FECHA_TC,"&gt;="&amp;BQ$2,FECHA_TC,"&lt;="&amp;BQ$3,CLAVE_TC,$A330)+SUMIFS(SALIDAS_COMB,FECHA_COMB,"&gt;="&amp;BQ$2,FECHA_COMB,"&lt;="&amp;BQ$3,CLAVE_COMB,$A330)+SUMIFS(SALIDAS_DES,FECHA_DESGLOSEN,"&gt;="&amp;BQ$2,FECHA_DESGLOSEN,"&lt;="&amp;BQ$3,CLAVE_DESGLOSE,$A330)</f>
        <v>0</v>
      </c>
      <c r="BR330" s="162">
        <f>SUMIFS(SALIDAS_BIT,FECHA_BIT,"&gt;="&amp;BR$2,FECHA_BIT,"&lt;="&amp;BR$3,CLAVE_BIT,$A330)+SUMIFS(SALIDAS_BOV1,FECHA_BOV1,"&gt;="&amp;BR$2,FECHA_BOV1,"&lt;="&amp;BR$3,CLAVE_BOV1,$A330)+SUMIFS(SALIDAS_BOV2,FECHA_BOV2,"&gt;="&amp;BR$2,FECHA_BOV2,"&lt;="&amp;BR$3,CLAVE_BOV2,$A330)+SUMIFS(SALIDAS_BOV3,FECHA_BOV3,"&gt;="&amp;BR$2,FECHA_BOV3,"&lt;="&amp;BR$3,CLAVE_BOV3,$A330)+SUMIFS(SALIDAS_TC,FECHA_TC,"&gt;="&amp;BR$2,FECHA_TC,"&lt;="&amp;BR$3,CLAVE_TC,$A330)+SUMIFS(SALIDAS_COMB,FECHA_COMB,"&gt;="&amp;BR$2,FECHA_COMB,"&lt;="&amp;BR$3,CLAVE_COMB,$A330)+SUMIFS(SALIDAS_DES,FECHA_DESGLOSEN,"&gt;="&amp;BR$2,FECHA_DESGLOSEN,"&lt;="&amp;BR$3,CLAVE_DESGLOSE,$A330)</f>
        <v>0</v>
      </c>
      <c r="BS330" s="227">
        <f>BL330-BR330</f>
        <v>155000</v>
      </c>
      <c r="BT330" s="301">
        <f>IFERROR((BR330/BL330),0)</f>
        <v>0</v>
      </c>
      <c r="BU330" s="162">
        <f>VLOOKUP($A330,T_PRESUPUESTO,MATCH(BU$6,E_PRESUPUESTO,0),FALSE)</f>
        <v>147766.60999999999</v>
      </c>
      <c r="BV330" s="162">
        <f>SUMIFS(SALIDAS_BIT,FECHA_BIT,"&gt;="&amp;BV$2,FECHA_BIT,"&lt;="&amp;BV$3,CLAVE_BIT,$A330)+SUMIFS(SALIDAS_BOV1,FECHA_BOV1,"&gt;="&amp;BV$2,FECHA_BOV1,"&lt;="&amp;BV$3,CLAVE_BOV1,$A330)+SUMIFS(SALIDAS_BOV2,FECHA_BOV2,"&gt;="&amp;BV$2,FECHA_BOV2,"&lt;="&amp;BV$3,CLAVE_BOV2,$A330)+SUMIFS(SALIDAS_BOV3,FECHA_BOV3,"&gt;="&amp;BV$2,FECHA_BOV3,"&lt;="&amp;BV$3,CLAVE_BOV3,$A330)+SUMIFS(SALIDAS_TC,FECHA_TC,"&gt;="&amp;BV$2,FECHA_TC,"&lt;="&amp;BV$3,CLAVE_TC,$A330)+SUMIFS(SALIDAS_COMB,FECHA_COMB,"&gt;="&amp;BV$2,FECHA_COMB,"&lt;="&amp;BV$3,CLAVE_COMB,$A330)+SUMIFS(SALIDAS_DES,FECHA_DESGLOSEN,"&gt;="&amp;BV$2,FECHA_DESGLOSEN,"&lt;="&amp;BV$3,CLAVE_DESGLOSE,$A330)</f>
        <v>0</v>
      </c>
      <c r="BW330" s="162">
        <f>SUMIFS(SALIDAS_BIT,FECHA_BIT,"&gt;="&amp;BW$2,FECHA_BIT,"&lt;="&amp;BW$3,CLAVE_BIT,$A330)+SUMIFS(SALIDAS_BOV1,FECHA_BOV1,"&gt;="&amp;BW$2,FECHA_BOV1,"&lt;="&amp;BW$3,CLAVE_BOV1,$A330)+SUMIFS(SALIDAS_BOV2,FECHA_BOV2,"&gt;="&amp;BW$2,FECHA_BOV2,"&lt;="&amp;BW$3,CLAVE_BOV2,$A330)+SUMIFS(SALIDAS_BOV3,FECHA_BOV3,"&gt;="&amp;BW$2,FECHA_BOV3,"&lt;="&amp;BW$3,CLAVE_BOV3,$A330)+SUMIFS(SALIDAS_TC,FECHA_TC,"&gt;="&amp;BW$2,FECHA_TC,"&lt;="&amp;BW$3,CLAVE_TC,$A330)+SUMIFS(SALIDAS_COMB,FECHA_COMB,"&gt;="&amp;BW$2,FECHA_COMB,"&lt;="&amp;BW$3,CLAVE_COMB,$A330)+SUMIFS(SALIDAS_DES,FECHA_DESGLOSEN,"&gt;="&amp;BW$2,FECHA_DESGLOSEN,"&lt;="&amp;BW$3,CLAVE_DESGLOSE,$A330)</f>
        <v>112000</v>
      </c>
      <c r="BX330" s="162">
        <f>SUMIFS(SALIDAS_BIT,FECHA_BIT,"&gt;="&amp;BX$2,FECHA_BIT,"&lt;="&amp;BX$3,CLAVE_BIT,$A330)+SUMIFS(SALIDAS_BOV1,FECHA_BOV1,"&gt;="&amp;BX$2,FECHA_BOV1,"&lt;="&amp;BX$3,CLAVE_BOV1,$A330)+SUMIFS(SALIDAS_BOV2,FECHA_BOV2,"&gt;="&amp;BX$2,FECHA_BOV2,"&lt;="&amp;BX$3,CLAVE_BOV2,$A330)+SUMIFS(SALIDAS_BOV3,FECHA_BOV3,"&gt;="&amp;BX$2,FECHA_BOV3,"&lt;="&amp;BX$3,CLAVE_BOV3,$A330)+SUMIFS(SALIDAS_TC,FECHA_TC,"&gt;="&amp;BX$2,FECHA_TC,"&lt;="&amp;BX$3,CLAVE_TC,$A330)+SUMIFS(SALIDAS_COMB,FECHA_COMB,"&gt;="&amp;BX$2,FECHA_COMB,"&lt;="&amp;BX$3,CLAVE_COMB,$A330)+SUMIFS(SALIDAS_DES,FECHA_DESGLOSEN,"&gt;="&amp;BX$2,FECHA_DESGLOSEN,"&lt;="&amp;BX$3,CLAVE_DESGLOSE,$A330)</f>
        <v>190766.61</v>
      </c>
      <c r="BY330" s="162">
        <f>SUMIFS(SALIDAS_BIT,FECHA_BIT,"&gt;="&amp;BY$2,FECHA_BIT,"&lt;="&amp;BY$3,CLAVE_BIT,$A330)+SUMIFS(SALIDAS_BOV1,FECHA_BOV1,"&gt;="&amp;BY$2,FECHA_BOV1,"&lt;="&amp;BY$3,CLAVE_BOV1,$A330)+SUMIFS(SALIDAS_BOV2,FECHA_BOV2,"&gt;="&amp;BY$2,FECHA_BOV2,"&lt;="&amp;BY$3,CLAVE_BOV2,$A330)+SUMIFS(SALIDAS_BOV3,FECHA_BOV3,"&gt;="&amp;BY$2,FECHA_BOV3,"&lt;="&amp;BY$3,CLAVE_BOV3,$A330)+SUMIFS(SALIDAS_TC,FECHA_TC,"&gt;="&amp;BY$2,FECHA_TC,"&lt;="&amp;BY$3,CLAVE_TC,$A330)+SUMIFS(SALIDAS_COMB,FECHA_COMB,"&gt;="&amp;BY$2,FECHA_COMB,"&lt;="&amp;BY$3,CLAVE_COMB,$A330)+SUMIFS(SALIDAS_DES,FECHA_DESGLOSEN,"&gt;="&amp;BY$2,FECHA_DESGLOSEN,"&lt;="&amp;BY$3,CLAVE_DESGLOSE,$A330)</f>
        <v>0</v>
      </c>
      <c r="BZ330" s="162">
        <f>SUMIFS(SALIDAS_BIT,FECHA_BIT,"&gt;="&amp;BZ$2,FECHA_BIT,"&lt;="&amp;BZ$3,CLAVE_BIT,$A330)+SUMIFS(SALIDAS_BOV1,FECHA_BOV1,"&gt;="&amp;BZ$2,FECHA_BOV1,"&lt;="&amp;BZ$3,CLAVE_BOV1,$A330)+SUMIFS(SALIDAS_BOV2,FECHA_BOV2,"&gt;="&amp;BZ$2,FECHA_BOV2,"&lt;="&amp;BZ$3,CLAVE_BOV2,$A330)+SUMIFS(SALIDAS_BOV3,FECHA_BOV3,"&gt;="&amp;BZ$2,FECHA_BOV3,"&lt;="&amp;BZ$3,CLAVE_BOV3,$A330)+SUMIFS(SALIDAS_TC,FECHA_TC,"&gt;="&amp;BZ$2,FECHA_TC,"&lt;="&amp;BZ$3,CLAVE_TC,$A330)+SUMIFS(SALIDAS_COMB,FECHA_COMB,"&gt;="&amp;BZ$2,FECHA_COMB,"&lt;="&amp;BZ$3,CLAVE_COMB,$A330)+SUMIFS(SALIDAS_DES,FECHA_DESGLOSEN,"&gt;="&amp;BZ$2,FECHA_DESGLOSEN,"&lt;="&amp;BZ$3,CLAVE_DESGLOSE,$A330)</f>
        <v>302766.61</v>
      </c>
      <c r="CA330" s="227">
        <f>BU330-BZ330</f>
        <v>-155000</v>
      </c>
      <c r="CB330" s="301">
        <f>IFERROR((BZ330/BU330),0)</f>
        <v>2.0489514512107978</v>
      </c>
      <c r="CC330" s="162">
        <f>VLOOKUP($A330,T_PRESUPUESTO,MATCH(CC$6,E_PRESUPUESTO,0),FALSE)</f>
        <v>147766.60999999999</v>
      </c>
      <c r="CD330" s="162">
        <f>SUMIFS(SALIDAS_BIT,FECHA_BIT,"&gt;="&amp;CD$2,FECHA_BIT,"&lt;="&amp;CD$3,CLAVE_BIT,$A330)+SUMIFS(SALIDAS_BOV1,FECHA_BOV1,"&gt;="&amp;CD$2,FECHA_BOV1,"&lt;="&amp;CD$3,CLAVE_BOV1,$A330)+SUMIFS(SALIDAS_BOV2,FECHA_BOV2,"&gt;="&amp;CD$2,FECHA_BOV2,"&lt;="&amp;CD$3,CLAVE_BOV2,$A330)+SUMIFS(SALIDAS_BOV3,FECHA_BOV3,"&gt;="&amp;CD$2,FECHA_BOV3,"&lt;="&amp;CD$3,CLAVE_BOV3,$A330)+SUMIFS(SALIDAS_TC,FECHA_TC,"&gt;="&amp;CD$2,FECHA_TC,"&lt;="&amp;CD$3,CLAVE_TC,$A330)+SUMIFS(SALIDAS_COMB,FECHA_COMB,"&gt;="&amp;CD$2,FECHA_COMB,"&lt;="&amp;CD$3,CLAVE_COMB,$A330)+SUMIFS(SALIDAS_DES,FECHA_DESGLOSEN,"&gt;="&amp;CD$2,FECHA_DESGLOSEN,"&lt;="&amp;CD$3,CLAVE_DESGLOSE,$A330)</f>
        <v>0</v>
      </c>
      <c r="CE330" s="162">
        <f>SUMIFS(SALIDAS_BIT,FECHA_BIT,"&gt;="&amp;CE$2,FECHA_BIT,"&lt;="&amp;CE$3,CLAVE_BIT,$A330)+SUMIFS(SALIDAS_BOV1,FECHA_BOV1,"&gt;="&amp;CE$2,FECHA_BOV1,"&lt;="&amp;CE$3,CLAVE_BOV1,$A330)+SUMIFS(SALIDAS_BOV2,FECHA_BOV2,"&gt;="&amp;CE$2,FECHA_BOV2,"&lt;="&amp;CE$3,CLAVE_BOV2,$A330)+SUMIFS(SALIDAS_BOV3,FECHA_BOV3,"&gt;="&amp;CE$2,FECHA_BOV3,"&lt;="&amp;CE$3,CLAVE_BOV3,$A330)+SUMIFS(SALIDAS_TC,FECHA_TC,"&gt;="&amp;CE$2,FECHA_TC,"&lt;="&amp;CE$3,CLAVE_TC,$A330)+SUMIFS(SALIDAS_COMB,FECHA_COMB,"&gt;="&amp;CE$2,FECHA_COMB,"&lt;="&amp;CE$3,CLAVE_COMB,$A330)+SUMIFS(SALIDAS_DES,FECHA_DESGLOSEN,"&gt;="&amp;CE$2,FECHA_DESGLOSEN,"&lt;="&amp;CE$3,CLAVE_DESGLOSE,$A330)</f>
        <v>147766.60999999999</v>
      </c>
      <c r="CF330" s="162">
        <f>SUMIFS(SALIDAS_BIT,FECHA_BIT,"&gt;="&amp;CF$2,FECHA_BIT,"&lt;="&amp;CF$3,CLAVE_BIT,$A330)+SUMIFS(SALIDAS_BOV1,FECHA_BOV1,"&gt;="&amp;CF$2,FECHA_BOV1,"&lt;="&amp;CF$3,CLAVE_BOV1,$A330)+SUMIFS(SALIDAS_BOV2,FECHA_BOV2,"&gt;="&amp;CF$2,FECHA_BOV2,"&lt;="&amp;CF$3,CLAVE_BOV2,$A330)+SUMIFS(SALIDAS_BOV3,FECHA_BOV3,"&gt;="&amp;CF$2,FECHA_BOV3,"&lt;="&amp;CF$3,CLAVE_BOV3,$A330)+SUMIFS(SALIDAS_TC,FECHA_TC,"&gt;="&amp;CF$2,FECHA_TC,"&lt;="&amp;CF$3,CLAVE_TC,$A330)+SUMIFS(SALIDAS_COMB,FECHA_COMB,"&gt;="&amp;CF$2,FECHA_COMB,"&lt;="&amp;CF$3,CLAVE_COMB,$A330)+SUMIFS(SALIDAS_DES,FECHA_DESGLOSEN,"&gt;="&amp;CF$2,FECHA_DESGLOSEN,"&lt;="&amp;CF$3,CLAVE_DESGLOSE,$A330)</f>
        <v>0</v>
      </c>
      <c r="CG330" s="162">
        <f>SUMIFS(SALIDAS_BIT,FECHA_BIT,"&gt;="&amp;CG$2,FECHA_BIT,"&lt;="&amp;CG$3,CLAVE_BIT,$A330)+SUMIFS(SALIDAS_BOV1,FECHA_BOV1,"&gt;="&amp;CG$2,FECHA_BOV1,"&lt;="&amp;CG$3,CLAVE_BOV1,$A330)+SUMIFS(SALIDAS_BOV2,FECHA_BOV2,"&gt;="&amp;CG$2,FECHA_BOV2,"&lt;="&amp;CG$3,CLAVE_BOV2,$A330)+SUMIFS(SALIDAS_BOV3,FECHA_BOV3,"&gt;="&amp;CG$2,FECHA_BOV3,"&lt;="&amp;CG$3,CLAVE_BOV3,$A330)+SUMIFS(SALIDAS_TC,FECHA_TC,"&gt;="&amp;CG$2,FECHA_TC,"&lt;="&amp;CG$3,CLAVE_TC,$A330)+SUMIFS(SALIDAS_COMB,FECHA_COMB,"&gt;="&amp;CG$2,FECHA_COMB,"&lt;="&amp;CG$3,CLAVE_COMB,$A330)+SUMIFS(SALIDAS_DES,FECHA_DESGLOSEN,"&gt;="&amp;CG$2,FECHA_DESGLOSEN,"&lt;="&amp;CG$3,CLAVE_DESGLOSE,$A330)</f>
        <v>0</v>
      </c>
      <c r="CH330" s="162">
        <f>SUMIFS(SALIDAS_BIT,FECHA_BIT,"&gt;="&amp;CH$2,FECHA_BIT,"&lt;="&amp;CH$3,CLAVE_BIT,$A330)+SUMIFS(SALIDAS_BOV1,FECHA_BOV1,"&gt;="&amp;CH$2,FECHA_BOV1,"&lt;="&amp;CH$3,CLAVE_BOV1,$A330)+SUMIFS(SALIDAS_BOV2,FECHA_BOV2,"&gt;="&amp;CH$2,FECHA_BOV2,"&lt;="&amp;CH$3,CLAVE_BOV2,$A330)+SUMIFS(SALIDAS_BOV3,FECHA_BOV3,"&gt;="&amp;CH$2,FECHA_BOV3,"&lt;="&amp;CH$3,CLAVE_BOV3,$A330)+SUMIFS(SALIDAS_TC,FECHA_TC,"&gt;="&amp;CH$2,FECHA_TC,"&lt;="&amp;CH$3,CLAVE_TC,$A330)+SUMIFS(SALIDAS_COMB,FECHA_COMB,"&gt;="&amp;CH$2,FECHA_COMB,"&lt;="&amp;CH$3,CLAVE_COMB,$A330)+SUMIFS(SALIDAS_DES,FECHA_DESGLOSEN,"&gt;="&amp;CH$2,FECHA_DESGLOSEN,"&lt;="&amp;CH$3,CLAVE_DESGLOSE,$A330)</f>
        <v>147766.60999999999</v>
      </c>
      <c r="CI330" s="227">
        <f>CC330-CH330</f>
        <v>0</v>
      </c>
      <c r="CJ330" s="301">
        <f>IFERROR((CH330/CC330),0)</f>
        <v>1</v>
      </c>
      <c r="CK330" s="162">
        <f>VLOOKUP($A330,T_PRESUPUESTO,MATCH(CK$6,E_PRESUPUESTO,0),FALSE)</f>
        <v>147766.60999999999</v>
      </c>
      <c r="CL330" s="162">
        <f>SUMIFS(SALIDAS_BIT,FECHA_BIT,"&gt;="&amp;CL$2,FECHA_BIT,"&lt;="&amp;CL$3,CLAVE_BIT,$A330)+SUMIFS(SALIDAS_BOV1,FECHA_BOV1,"&gt;="&amp;CL$2,FECHA_BOV1,"&lt;="&amp;CL$3,CLAVE_BOV1,$A330)+SUMIFS(SALIDAS_BOV2,FECHA_BOV2,"&gt;="&amp;CL$2,FECHA_BOV2,"&lt;="&amp;CL$3,CLAVE_BOV2,$A330)+SUMIFS(SALIDAS_BOV3,FECHA_BOV3,"&gt;="&amp;CL$2,FECHA_BOV3,"&lt;="&amp;CL$3,CLAVE_BOV3,$A330)+SUMIFS(SALIDAS_TC,FECHA_TC,"&gt;="&amp;CL$2,FECHA_TC,"&lt;="&amp;CL$3,CLAVE_TC,$A330)+SUMIFS(SALIDAS_COMB,FECHA_COMB,"&gt;="&amp;CL$2,FECHA_COMB,"&lt;="&amp;CL$3,CLAVE_COMB,$A330)+SUMIFS(SALIDAS_DES,FECHA_DESGLOSEN,"&gt;="&amp;CL$2,FECHA_DESGLOSEN,"&lt;="&amp;CL$3,CLAVE_DESGLOSE,$A330)</f>
        <v>0</v>
      </c>
      <c r="CM330" s="162">
        <f>SUMIFS(SALIDAS_BIT,FECHA_BIT,"&gt;="&amp;CM$2,FECHA_BIT,"&lt;="&amp;CM$3,CLAVE_BIT,$A330)+SUMIFS(SALIDAS_BOV1,FECHA_BOV1,"&gt;="&amp;CM$2,FECHA_BOV1,"&lt;="&amp;CM$3,CLAVE_BOV1,$A330)+SUMIFS(SALIDAS_BOV2,FECHA_BOV2,"&gt;="&amp;CM$2,FECHA_BOV2,"&lt;="&amp;CM$3,CLAVE_BOV2,$A330)+SUMIFS(SALIDAS_BOV3,FECHA_BOV3,"&gt;="&amp;CM$2,FECHA_BOV3,"&lt;="&amp;CM$3,CLAVE_BOV3,$A330)+SUMIFS(SALIDAS_TC,FECHA_TC,"&gt;="&amp;CM$2,FECHA_TC,"&lt;="&amp;CM$3,CLAVE_TC,$A330)+SUMIFS(SALIDAS_COMB,FECHA_COMB,"&gt;="&amp;CM$2,FECHA_COMB,"&lt;="&amp;CM$3,CLAVE_COMB,$A330)+SUMIFS(SALIDAS_DES,FECHA_DESGLOSEN,"&gt;="&amp;CM$2,FECHA_DESGLOSEN,"&lt;="&amp;CM$3,CLAVE_DESGLOSE,$A330)</f>
        <v>0</v>
      </c>
      <c r="CN330" s="162">
        <f>SUMIFS(SALIDAS_BIT,FECHA_BIT,"&gt;="&amp;CN$2,FECHA_BIT,"&lt;="&amp;CN$3,CLAVE_BIT,$A330)+SUMIFS(SALIDAS_BOV1,FECHA_BOV1,"&gt;="&amp;CN$2,FECHA_BOV1,"&lt;="&amp;CN$3,CLAVE_BOV1,$A330)+SUMIFS(SALIDAS_BOV2,FECHA_BOV2,"&gt;="&amp;CN$2,FECHA_BOV2,"&lt;="&amp;CN$3,CLAVE_BOV2,$A330)+SUMIFS(SALIDAS_BOV3,FECHA_BOV3,"&gt;="&amp;CN$2,FECHA_BOV3,"&lt;="&amp;CN$3,CLAVE_BOV3,$A330)+SUMIFS(SALIDAS_TC,FECHA_TC,"&gt;="&amp;CN$2,FECHA_TC,"&lt;="&amp;CN$3,CLAVE_TC,$A330)+SUMIFS(SALIDAS_COMB,FECHA_COMB,"&gt;="&amp;CN$2,FECHA_COMB,"&lt;="&amp;CN$3,CLAVE_COMB,$A330)+SUMIFS(SALIDAS_DES,FECHA_DESGLOSEN,"&gt;="&amp;CN$2,FECHA_DESGLOSEN,"&lt;="&amp;CN$3,CLAVE_DESGLOSE,$A330)</f>
        <v>147766.60999999999</v>
      </c>
      <c r="CO330" s="162">
        <f>SUMIFS(SALIDAS_BIT,FECHA_BIT,"&gt;="&amp;CO$2,FECHA_BIT,"&lt;="&amp;CO$3,CLAVE_BIT,$A330)+SUMIFS(SALIDAS_BOV1,FECHA_BOV1,"&gt;="&amp;CO$2,FECHA_BOV1,"&lt;="&amp;CO$3,CLAVE_BOV1,$A330)+SUMIFS(SALIDAS_BOV2,FECHA_BOV2,"&gt;="&amp;CO$2,FECHA_BOV2,"&lt;="&amp;CO$3,CLAVE_BOV2,$A330)+SUMIFS(SALIDAS_BOV3,FECHA_BOV3,"&gt;="&amp;CO$2,FECHA_BOV3,"&lt;="&amp;CO$3,CLAVE_BOV3,$A330)+SUMIFS(SALIDAS_TC,FECHA_TC,"&gt;="&amp;CO$2,FECHA_TC,"&lt;="&amp;CO$3,CLAVE_TC,$A330)+SUMIFS(SALIDAS_COMB,FECHA_COMB,"&gt;="&amp;CO$2,FECHA_COMB,"&lt;="&amp;CO$3,CLAVE_COMB,$A330)+SUMIFS(SALIDAS_DES,FECHA_DESGLOSEN,"&gt;="&amp;CO$2,FECHA_DESGLOSEN,"&lt;="&amp;CO$3,CLAVE_DESGLOSE,$A330)</f>
        <v>0</v>
      </c>
      <c r="CP330" s="162">
        <f>SUMIFS(SALIDAS_BIT,FECHA_BIT,"&gt;="&amp;CP$2,FECHA_BIT,"&lt;="&amp;CP$3,CLAVE_BIT,$A330)+SUMIFS(SALIDAS_BOV1,FECHA_BOV1,"&gt;="&amp;CP$2,FECHA_BOV1,"&lt;="&amp;CP$3,CLAVE_BOV1,$A330)+SUMIFS(SALIDAS_BOV2,FECHA_BOV2,"&gt;="&amp;CP$2,FECHA_BOV2,"&lt;="&amp;CP$3,CLAVE_BOV2,$A330)+SUMIFS(SALIDAS_BOV3,FECHA_BOV3,"&gt;="&amp;CP$2,FECHA_BOV3,"&lt;="&amp;CP$3,CLAVE_BOV3,$A330)+SUMIFS(SALIDAS_TC,FECHA_TC,"&gt;="&amp;CP$2,FECHA_TC,"&lt;="&amp;CP$3,CLAVE_TC,$A330)+SUMIFS(SALIDAS_COMB,FECHA_COMB,"&gt;="&amp;CP$2,FECHA_COMB,"&lt;="&amp;CP$3,CLAVE_COMB,$A330)+SUMIFS(SALIDAS_DES,FECHA_DESGLOSEN,"&gt;="&amp;CP$2,FECHA_DESGLOSEN,"&lt;="&amp;CP$3,CLAVE_DESGLOSE,$A330)</f>
        <v>0</v>
      </c>
      <c r="CQ330" s="162">
        <f>SUMIFS(SALIDAS_BIT,FECHA_BIT,"&gt;="&amp;CQ$2,FECHA_BIT,"&lt;="&amp;CQ$3,CLAVE_BIT,$A330)+SUMIFS(SALIDAS_BOV1,FECHA_BOV1,"&gt;="&amp;CQ$2,FECHA_BOV1,"&lt;="&amp;CQ$3,CLAVE_BOV1,$A330)+SUMIFS(SALIDAS_BOV2,FECHA_BOV2,"&gt;="&amp;CQ$2,FECHA_BOV2,"&lt;="&amp;CQ$3,CLAVE_BOV2,$A330)+SUMIFS(SALIDAS_BOV3,FECHA_BOV3,"&gt;="&amp;CQ$2,FECHA_BOV3,"&lt;="&amp;CQ$3,CLAVE_BOV3,$A330)+SUMIFS(SALIDAS_TC,FECHA_TC,"&gt;="&amp;CQ$2,FECHA_TC,"&lt;="&amp;CQ$3,CLAVE_TC,$A330)+SUMIFS(SALIDAS_COMB,FECHA_COMB,"&gt;="&amp;CQ$2,FECHA_COMB,"&lt;="&amp;CQ$3,CLAVE_COMB,$A330)+SUMIFS(SALIDAS_DES,FECHA_DESGLOSEN,"&gt;="&amp;CQ$2,FECHA_DESGLOSEN,"&lt;="&amp;CQ$3,CLAVE_DESGLOSE,$A330)</f>
        <v>147766.60999999999</v>
      </c>
      <c r="CR330" s="227">
        <f>CK330-CQ330</f>
        <v>0</v>
      </c>
      <c r="CS330" s="301">
        <f>IFERROR((CQ330/CK330),0)</f>
        <v>1</v>
      </c>
      <c r="CT330" s="68">
        <f t="shared" si="712"/>
        <v>147767</v>
      </c>
      <c r="CU330" s="13">
        <f>SUMIFS(SALIDAS_BIT,FECHA_BIT,"&gt;="&amp;CU$2,FECHA_BIT,"&lt;="&amp;CU$3,CLAVE_BIT,$A330)+SUMIFS(SALIDAS_BOV1,FECHA_BOV1,"&gt;="&amp;CU$2,FECHA_BOV1,"&lt;="&amp;CU$3,CLAVE_BOV1,$A330)+SUMIFS(SALIDAS_BOV2,FECHA_BOV2,"&gt;="&amp;CU$2,FECHA_BOV2,"&lt;="&amp;CU$3,CLAVE_BOV2,$A330)+SUMIFS(SALIDAS_BOV3,FECHA_BOV3,"&gt;="&amp;CU$2,FECHA_BOV3,"&lt;="&amp;CU$3,CLAVE_BOV3,$A330)+SUMIFS(SALIDAS_TC,FECHA_TC,"&gt;="&amp;CU$2,FECHA_TC,"&lt;="&amp;CU$3,CLAVE_TC,$A330)+SUMIFS(SALIDAS_COMB,FECHA_COMB,"&gt;="&amp;CU$2,FECHA_COMB,"&lt;="&amp;CU$3,CLAVE_COMB,$A330)+SUMIFS(SALIDAS_DES,FECHA_DESGLOSEN,"&gt;="&amp;CU$2,FECHA_DESGLOSEN,"&lt;="&amp;CU$3,CLAVE_DESGLOSE,$A330)</f>
        <v>0</v>
      </c>
      <c r="CV330" s="13">
        <f>SUMIFS(SALIDAS_BIT,FECHA_BIT,"&gt;="&amp;CV$2,FECHA_BIT,"&lt;="&amp;CV$3,CLAVE_BIT,$A330)+SUMIFS(SALIDAS_BOV1,FECHA_BOV1,"&gt;="&amp;CV$2,FECHA_BOV1,"&lt;="&amp;CV$3,CLAVE_BOV1,$A330)+SUMIFS(SALIDAS_BOV2,FECHA_BOV2,"&gt;="&amp;CV$2,FECHA_BOV2,"&lt;="&amp;CV$3,CLAVE_BOV2,$A330)+SUMIFS(SALIDAS_BOV3,FECHA_BOV3,"&gt;="&amp;CV$2,FECHA_BOV3,"&lt;="&amp;CV$3,CLAVE_BOV3,$A330)+SUMIFS(SALIDAS_TC,FECHA_TC,"&gt;="&amp;CV$2,FECHA_TC,"&lt;="&amp;CV$3,CLAVE_TC,$A330)+SUMIFS(SALIDAS_COMB,FECHA_COMB,"&gt;="&amp;CV$2,FECHA_COMB,"&lt;="&amp;CV$3,CLAVE_COMB,$A330)+SUMIFS(SALIDAS_DES,FECHA_DESGLOSEN,"&gt;="&amp;CV$2,FECHA_DESGLOSEN,"&lt;="&amp;CV$3,CLAVE_DESGLOSE,$A330)</f>
        <v>147766.60999999999</v>
      </c>
      <c r="CW330" s="13">
        <f>SUMIFS(SALIDAS_BIT,FECHA_BIT,"&gt;="&amp;CW$2,FECHA_BIT,"&lt;="&amp;CW$3,CLAVE_BIT,$A330)+SUMIFS(SALIDAS_BOV1,FECHA_BOV1,"&gt;="&amp;CW$2,FECHA_BOV1,"&lt;="&amp;CW$3,CLAVE_BOV1,$A330)+SUMIFS(SALIDAS_BOV2,FECHA_BOV2,"&gt;="&amp;CW$2,FECHA_BOV2,"&lt;="&amp;CW$3,CLAVE_BOV2,$A330)+SUMIFS(SALIDAS_BOV3,FECHA_BOV3,"&gt;="&amp;CW$2,FECHA_BOV3,"&lt;="&amp;CW$3,CLAVE_BOV3,$A330)+SUMIFS(SALIDAS_TC,FECHA_TC,"&gt;="&amp;CW$2,FECHA_TC,"&lt;="&amp;CW$3,CLAVE_TC,$A330)+SUMIFS(SALIDAS_COMB,FECHA_COMB,"&gt;="&amp;CW$2,FECHA_COMB,"&lt;="&amp;CW$3,CLAVE_COMB,$A330)+SUMIFS(SALIDAS_DES,FECHA_DESGLOSEN,"&gt;="&amp;CW$2,FECHA_DESGLOSEN,"&lt;="&amp;CW$3,CLAVE_DESGLOSE,$A330)</f>
        <v>0</v>
      </c>
      <c r="CX330" s="13">
        <f>SUMIFS(SALIDAS_BIT,FECHA_BIT,"&gt;="&amp;CX$2,FECHA_BIT,"&lt;="&amp;CX$3,CLAVE_BIT,$A330)+SUMIFS(SALIDAS_BOV1,FECHA_BOV1,"&gt;="&amp;CX$2,FECHA_BOV1,"&lt;="&amp;CX$3,CLAVE_BOV1,$A330)+SUMIFS(SALIDAS_BOV2,FECHA_BOV2,"&gt;="&amp;CX$2,FECHA_BOV2,"&lt;="&amp;CX$3,CLAVE_BOV2,$A330)+SUMIFS(SALIDAS_BOV3,FECHA_BOV3,"&gt;="&amp;CX$2,FECHA_BOV3,"&lt;="&amp;CX$3,CLAVE_BOV3,$A330)+SUMIFS(SALIDAS_TC,FECHA_TC,"&gt;="&amp;CX$2,FECHA_TC,"&lt;="&amp;CX$3,CLAVE_TC,$A330)+SUMIFS(SALIDAS_COMB,FECHA_COMB,"&gt;="&amp;CX$2,FECHA_COMB,"&lt;="&amp;CX$3,CLAVE_COMB,$A330)+SUMIFS(SALIDAS_DES,FECHA_DESGLOSEN,"&gt;="&amp;CX$2,FECHA_DESGLOSEN,"&lt;="&amp;CX$3,CLAVE_DESGLOSE,$A330)</f>
        <v>122579.52</v>
      </c>
      <c r="CY330" s="13">
        <f>SUMIFS(SALIDAS_BIT,FECHA_BIT,"&gt;="&amp;CY$2,FECHA_BIT,"&lt;="&amp;CY$3,CLAVE_BIT,$A330)+SUMIFS(SALIDAS_BOV1,FECHA_BOV1,"&gt;="&amp;CY$2,FECHA_BOV1,"&lt;="&amp;CY$3,CLAVE_BOV1,$A330)+SUMIFS(SALIDAS_BOV2,FECHA_BOV2,"&gt;="&amp;CY$2,FECHA_BOV2,"&lt;="&amp;CY$3,CLAVE_BOV2,$A330)+SUMIFS(SALIDAS_BOV3,FECHA_BOV3,"&gt;="&amp;CY$2,FECHA_BOV3,"&lt;="&amp;CY$3,CLAVE_BOV3,$A330)+SUMIFS(SALIDAS_TC,FECHA_TC,"&gt;="&amp;CY$2,FECHA_TC,"&lt;="&amp;CY$3,CLAVE_TC,$A330)+SUMIFS(SALIDAS_COMB,FECHA_COMB,"&gt;="&amp;CY$2,FECHA_COMB,"&lt;="&amp;CY$3,CLAVE_COMB,$A330)+SUMIFS(SALIDAS_DES,FECHA_DESGLOSEN,"&gt;="&amp;CY$2,FECHA_DESGLOSEN,"&lt;="&amp;CY$3,CLAVE_DESGLOSE,$A330)</f>
        <v>270346.13</v>
      </c>
      <c r="CZ330" s="68">
        <f t="shared" si="713"/>
        <v>-122579.13</v>
      </c>
      <c r="DB330" s="17">
        <f>F330+N330+W330+AE330+AM330+AV330+BD330+BL330+BU330+CC330+CK330</f>
        <v>598299.82999999996</v>
      </c>
      <c r="DC330" s="17">
        <f>K330+T330+AB330+AJ330+AS330+BA330+BI330+BR330+BZ330+CH330+CQ330</f>
        <v>598299.82999999996</v>
      </c>
    </row>
    <row r="331" spans="1:107" ht="15" hidden="1">
      <c r="A331" s="12" t="str">
        <f>C331&amp;D331&amp;E331</f>
        <v>FINANZASRENTASE10</v>
      </c>
      <c r="B331">
        <v>331</v>
      </c>
      <c r="C331" t="s">
        <v>23</v>
      </c>
      <c r="D331" t="s">
        <v>169</v>
      </c>
      <c r="E331" t="s">
        <v>117</v>
      </c>
      <c r="F331" s="260">
        <f>VLOOKUP($A331,T_PRESUPUESTO,MATCH(F$6,E_PRESUPUESTO,0),FALSE)</f>
        <v>0</v>
      </c>
      <c r="G331" s="162">
        <f>SUMIFS(SALIDAS_BIT,FECHA_BIT,"&gt;="&amp;G$2,FECHA_BIT,"&lt;="&amp;G$3,CLAVE_BIT,$A331)+SUMIFS(SALIDAS_BOV1,FECHA_BOV1,"&gt;="&amp;G$2,FECHA_BOV1,"&lt;="&amp;G$3,CLAVE_BOV1,$A331)+SUMIFS(SALIDAS_BOV2,FECHA_BOV2,"&gt;="&amp;G$2,FECHA_BOV2,"&lt;="&amp;G$3,CLAVE_BOV2,$A331)+SUMIFS(SALIDAS_BOV3,FECHA_BOV3,"&gt;="&amp;G$2,FECHA_BOV3,"&lt;="&amp;G$3,CLAVE_BOV3,$A331)+SUMIFS(SALIDAS_TC,FECHA_TC,"&gt;="&amp;G$2,FECHA_TC,"&lt;="&amp;G$3,CLAVE_TC,$A331)+SUMIFS(SALIDAS_COMB,FECHA_COMB,"&gt;="&amp;G$2,FECHA_COMB,"&lt;="&amp;G$3,CLAVE_COMB,$A331)+SUMIFS(SALIDAS_DES,FECHA_DESGLOSEN,"&gt;="&amp;G$2,FECHA_DESGLOSEN,"&lt;="&amp;G$3,CLAVE_DESGLOSE,$A331)</f>
        <v>0</v>
      </c>
      <c r="H331" s="162">
        <f>SUMIFS(SALIDAS_BIT,FECHA_BIT,"&gt;="&amp;H$2,FECHA_BIT,"&lt;="&amp;H$3,CLAVE_BIT,$A331)+SUMIFS(SALIDAS_BOV1,FECHA_BOV1,"&gt;="&amp;H$2,FECHA_BOV1,"&lt;="&amp;H$3,CLAVE_BOV1,$A331)+SUMIFS(SALIDAS_BOV2,FECHA_BOV2,"&gt;="&amp;H$2,FECHA_BOV2,"&lt;="&amp;H$3,CLAVE_BOV2,$A331)+SUMIFS(SALIDAS_BOV3,FECHA_BOV3,"&gt;="&amp;H$2,FECHA_BOV3,"&lt;="&amp;H$3,CLAVE_BOV3,$A331)+SUMIFS(SALIDAS_TC,FECHA_TC,"&gt;="&amp;H$2,FECHA_TC,"&lt;="&amp;H$3,CLAVE_TC,$A331)+SUMIFS(SALIDAS_COMB,FECHA_COMB,"&gt;="&amp;H$2,FECHA_COMB,"&lt;="&amp;H$3,CLAVE_COMB,$A331)+SUMIFS(SALIDAS_DES,FECHA_DESGLOSEN,"&gt;="&amp;H$2,FECHA_DESGLOSEN,"&lt;="&amp;H$3,CLAVE_DESGLOSE,$A331)</f>
        <v>0</v>
      </c>
      <c r="I331" s="162">
        <f>SUMIFS(SALIDAS_BIT,FECHA_BIT,"&gt;="&amp;I$2,FECHA_BIT,"&lt;="&amp;I$3,CLAVE_BIT,$A331)+SUMIFS(SALIDAS_BOV1,FECHA_BOV1,"&gt;="&amp;I$2,FECHA_BOV1,"&lt;="&amp;I$3,CLAVE_BOV1,$A331)+SUMIFS(SALIDAS_BOV2,FECHA_BOV2,"&gt;="&amp;I$2,FECHA_BOV2,"&lt;="&amp;I$3,CLAVE_BOV2,$A331)+SUMIFS(SALIDAS_BOV3,FECHA_BOV3,"&gt;="&amp;I$2,FECHA_BOV3,"&lt;="&amp;I$3,CLAVE_BOV3,$A331)+SUMIFS(SALIDAS_TC,FECHA_TC,"&gt;="&amp;I$2,FECHA_TC,"&lt;="&amp;I$3,CLAVE_TC,$A331)+SUMIFS(SALIDAS_COMB,FECHA_COMB,"&gt;="&amp;I$2,FECHA_COMB,"&lt;="&amp;I$3,CLAVE_COMB,$A331)+SUMIFS(SALIDAS_DES,FECHA_DESGLOSEN,"&gt;="&amp;I$2,FECHA_DESGLOSEN,"&lt;="&amp;I$3,CLAVE_DESGLOSE,$A331)</f>
        <v>0</v>
      </c>
      <c r="J331" s="162">
        <f>SUMIFS(SALIDAS_BIT,FECHA_BIT,"&gt;="&amp;J$2,FECHA_BIT,"&lt;="&amp;J$3,CLAVE_BIT,$A331)+SUMIFS(SALIDAS_BOV1,FECHA_BOV1,"&gt;="&amp;J$2,FECHA_BOV1,"&lt;="&amp;J$3,CLAVE_BOV1,$A331)+SUMIFS(SALIDAS_BOV2,FECHA_BOV2,"&gt;="&amp;J$2,FECHA_BOV2,"&lt;="&amp;J$3,CLAVE_BOV2,$A331)+SUMIFS(SALIDAS_BOV3,FECHA_BOV3,"&gt;="&amp;J$2,FECHA_BOV3,"&lt;="&amp;J$3,CLAVE_BOV3,$A331)+SUMIFS(SALIDAS_TC,FECHA_TC,"&gt;="&amp;J$2,FECHA_TC,"&lt;="&amp;J$3,CLAVE_TC,$A331)+SUMIFS(SALIDAS_COMB,FECHA_COMB,"&gt;="&amp;J$2,FECHA_COMB,"&lt;="&amp;J$3,CLAVE_COMB,$A331)+SUMIFS(SALIDAS_DES,FECHA_DESGLOSEN,"&gt;="&amp;J$2,FECHA_DESGLOSEN,"&lt;="&amp;J$3,CLAVE_DESGLOSE,$A331)</f>
        <v>0</v>
      </c>
      <c r="K331" s="162">
        <f>SUMIFS(SALIDAS_BIT,FECHA_BIT,"&gt;="&amp;K$2,FECHA_BIT,"&lt;="&amp;K$3,CLAVE_BIT,$A331)+SUMIFS(SALIDAS_BOV1,FECHA_BOV1,"&gt;="&amp;K$2,FECHA_BOV1,"&lt;="&amp;K$3,CLAVE_BOV1,$A331)+SUMIFS(SALIDAS_BOV2,FECHA_BOV2,"&gt;="&amp;K$2,FECHA_BOV2,"&lt;="&amp;K$3,CLAVE_BOV2,$A331)+SUMIFS(SALIDAS_BOV3,FECHA_BOV3,"&gt;="&amp;K$2,FECHA_BOV3,"&lt;="&amp;K$3,CLAVE_BOV3,$A331)+SUMIFS(SALIDAS_TC,FECHA_TC,"&gt;="&amp;K$2,FECHA_TC,"&lt;="&amp;K$3,CLAVE_TC,$A331)+SUMIFS(SALIDAS_COMB,FECHA_COMB,"&gt;="&amp;K$2,FECHA_COMB,"&lt;="&amp;K$3,CLAVE_COMB,$A331)+SUMIFS(SALIDAS_DES,FECHA_DESGLOSEN,"&gt;="&amp;K$2,FECHA_DESGLOSEN,"&lt;="&amp;K$3,CLAVE_DESGLOSE,$A331)</f>
        <v>0</v>
      </c>
      <c r="L331" s="227">
        <f>F331-K331</f>
        <v>0</v>
      </c>
      <c r="M331" s="301">
        <f>IFERROR((K331/F331),0)</f>
        <v>0</v>
      </c>
      <c r="N331" s="162">
        <f>VLOOKUP($A331,T_PRESUPUESTO,MATCH(N$6,E_PRESUPUESTO,0),FALSE)</f>
        <v>0</v>
      </c>
      <c r="O331" s="162">
        <f>SUMIFS(SALIDAS_BIT,FECHA_BIT,"&gt;="&amp;O$2,FECHA_BIT,"&lt;="&amp;O$3,CLAVE_BIT,$A331)+SUMIFS(SALIDAS_BOV1,FECHA_BOV1,"&gt;="&amp;O$2,FECHA_BOV1,"&lt;="&amp;O$3,CLAVE_BOV1,$A331)+SUMIFS(SALIDAS_BOV2,FECHA_BOV2,"&gt;="&amp;O$2,FECHA_BOV2,"&lt;="&amp;O$3,CLAVE_BOV2,$A331)+SUMIFS(SALIDAS_BOV3,FECHA_BOV3,"&gt;="&amp;O$2,FECHA_BOV3,"&lt;="&amp;O$3,CLAVE_BOV3,$A331)+SUMIFS(SALIDAS_TC,FECHA_TC,"&gt;="&amp;O$2,FECHA_TC,"&lt;="&amp;O$3,CLAVE_TC,$A331)+SUMIFS(SALIDAS_COMB,FECHA_COMB,"&gt;="&amp;O$2,FECHA_COMB,"&lt;="&amp;O$3,CLAVE_COMB,$A331)+SUMIFS(SALIDAS_DES,FECHA_DESGLOSEN,"&gt;="&amp;O$2,FECHA_DESGLOSEN,"&lt;="&amp;O$3,CLAVE_DESGLOSE,$A331)</f>
        <v>0</v>
      </c>
      <c r="P331" s="162">
        <f>SUMIFS(SALIDAS_BIT,FECHA_BIT,"&gt;="&amp;P$2,FECHA_BIT,"&lt;="&amp;P$3,CLAVE_BIT,$A331)+SUMIFS(SALIDAS_BOV1,FECHA_BOV1,"&gt;="&amp;P$2,FECHA_BOV1,"&lt;="&amp;P$3,CLAVE_BOV1,$A331)+SUMIFS(SALIDAS_BOV2,FECHA_BOV2,"&gt;="&amp;P$2,FECHA_BOV2,"&lt;="&amp;P$3,CLAVE_BOV2,$A331)+SUMIFS(SALIDAS_BOV3,FECHA_BOV3,"&gt;="&amp;P$2,FECHA_BOV3,"&lt;="&amp;P$3,CLAVE_BOV3,$A331)+SUMIFS(SALIDAS_TC,FECHA_TC,"&gt;="&amp;P$2,FECHA_TC,"&lt;="&amp;P$3,CLAVE_TC,$A331)+SUMIFS(SALIDAS_COMB,FECHA_COMB,"&gt;="&amp;P$2,FECHA_COMB,"&lt;="&amp;P$3,CLAVE_COMB,$A331)+SUMIFS(SALIDAS_DES,FECHA_DESGLOSEN,"&gt;="&amp;P$2,FECHA_DESGLOSEN,"&lt;="&amp;P$3,CLAVE_DESGLOSE,$A331)</f>
        <v>0</v>
      </c>
      <c r="Q331" s="162">
        <f>SUMIFS(SALIDAS_BIT,FECHA_BIT,"&gt;="&amp;Q$2,FECHA_BIT,"&lt;="&amp;Q$3,CLAVE_BIT,$A331)+SUMIFS(SALIDAS_BOV1,FECHA_BOV1,"&gt;="&amp;Q$2,FECHA_BOV1,"&lt;="&amp;Q$3,CLAVE_BOV1,$A331)+SUMIFS(SALIDAS_BOV2,FECHA_BOV2,"&gt;="&amp;Q$2,FECHA_BOV2,"&lt;="&amp;Q$3,CLAVE_BOV2,$A331)+SUMIFS(SALIDAS_BOV3,FECHA_BOV3,"&gt;="&amp;Q$2,FECHA_BOV3,"&lt;="&amp;Q$3,CLAVE_BOV3,$A331)+SUMIFS(SALIDAS_TC,FECHA_TC,"&gt;="&amp;Q$2,FECHA_TC,"&lt;="&amp;Q$3,CLAVE_TC,$A331)+SUMIFS(SALIDAS_COMB,FECHA_COMB,"&gt;="&amp;Q$2,FECHA_COMB,"&lt;="&amp;Q$3,CLAVE_COMB,$A331)+SUMIFS(SALIDAS_DES,FECHA_DESGLOSEN,"&gt;="&amp;Q$2,FECHA_DESGLOSEN,"&lt;="&amp;Q$3,CLAVE_DESGLOSE,$A331)</f>
        <v>0</v>
      </c>
      <c r="R331" s="162">
        <f>SUMIFS(SALIDAS_BIT,FECHA_BIT,"&gt;="&amp;R$2,FECHA_BIT,"&lt;="&amp;R$3,CLAVE_BIT,$A331)+SUMIFS(SALIDAS_BOV1,FECHA_BOV1,"&gt;="&amp;R$2,FECHA_BOV1,"&lt;="&amp;R$3,CLAVE_BOV1,$A331)+SUMIFS(SALIDAS_BOV2,FECHA_BOV2,"&gt;="&amp;R$2,FECHA_BOV2,"&lt;="&amp;R$3,CLAVE_BOV2,$A331)+SUMIFS(SALIDAS_BOV3,FECHA_BOV3,"&gt;="&amp;R$2,FECHA_BOV3,"&lt;="&amp;R$3,CLAVE_BOV3,$A331)+SUMIFS(SALIDAS_TC,FECHA_TC,"&gt;="&amp;R$2,FECHA_TC,"&lt;="&amp;R$3,CLAVE_TC,$A331)+SUMIFS(SALIDAS_COMB,FECHA_COMB,"&gt;="&amp;R$2,FECHA_COMB,"&lt;="&amp;R$3,CLAVE_COMB,$A331)+SUMIFS(SALIDAS_DES,FECHA_DESGLOSEN,"&gt;="&amp;R$2,FECHA_DESGLOSEN,"&lt;="&amp;R$3,CLAVE_DESGLOSE,$A331)</f>
        <v>0</v>
      </c>
      <c r="S331" s="162">
        <f>SUMIFS(SALIDAS_BIT,FECHA_BIT,"&gt;="&amp;S$2,FECHA_BIT,"&lt;="&amp;S$3,CLAVE_BIT,$A331)+SUMIFS(SALIDAS_BOV1,FECHA_BOV1,"&gt;="&amp;S$2,FECHA_BOV1,"&lt;="&amp;S$3,CLAVE_BOV1,$A331)+SUMIFS(SALIDAS_BOV2,FECHA_BOV2,"&gt;="&amp;S$2,FECHA_BOV2,"&lt;="&amp;S$3,CLAVE_BOV2,$A331)+SUMIFS(SALIDAS_BOV3,FECHA_BOV3,"&gt;="&amp;S$2,FECHA_BOV3,"&lt;="&amp;S$3,CLAVE_BOV3,$A331)+SUMIFS(SALIDAS_TC,FECHA_TC,"&gt;="&amp;S$2,FECHA_TC,"&lt;="&amp;S$3,CLAVE_TC,$A331)+SUMIFS(SALIDAS_COMB,FECHA_COMB,"&gt;="&amp;S$2,FECHA_COMB,"&lt;="&amp;S$3,CLAVE_COMB,$A331)+SUMIFS(SALIDAS_DES,FECHA_DESGLOSEN,"&gt;="&amp;S$2,FECHA_DESGLOSEN,"&lt;="&amp;S$3,CLAVE_DESGLOSE,$A331)</f>
        <v>0</v>
      </c>
      <c r="T331" s="162">
        <f>SUMIFS(SALIDAS_BIT,FECHA_BIT,"&gt;="&amp;T$2,FECHA_BIT,"&lt;="&amp;T$3,CLAVE_BIT,$A331)+SUMIFS(SALIDAS_BOV1,FECHA_BOV1,"&gt;="&amp;T$2,FECHA_BOV1,"&lt;="&amp;T$3,CLAVE_BOV1,$A331)+SUMIFS(SALIDAS_BOV2,FECHA_BOV2,"&gt;="&amp;T$2,FECHA_BOV2,"&lt;="&amp;T$3,CLAVE_BOV2,$A331)+SUMIFS(SALIDAS_BOV3,FECHA_BOV3,"&gt;="&amp;T$2,FECHA_BOV3,"&lt;="&amp;T$3,CLAVE_BOV3,$A331)+SUMIFS(SALIDAS_TC,FECHA_TC,"&gt;="&amp;T$2,FECHA_TC,"&lt;="&amp;T$3,CLAVE_TC,$A331)+SUMIFS(SALIDAS_COMB,FECHA_COMB,"&gt;="&amp;T$2,FECHA_COMB,"&lt;="&amp;T$3,CLAVE_COMB,$A331)+SUMIFS(SALIDAS_DES,FECHA_DESGLOSEN,"&gt;="&amp;T$2,FECHA_DESGLOSEN,"&lt;="&amp;T$3,CLAVE_DESGLOSE,$A331)</f>
        <v>0</v>
      </c>
      <c r="U331" s="227">
        <f>N331-T331</f>
        <v>0</v>
      </c>
      <c r="V331" s="301">
        <f>IFERROR((T331/N331),0)</f>
        <v>0</v>
      </c>
      <c r="W331" s="162">
        <f>VLOOKUP($A331,T_PRESUPUESTO,MATCH(W$6,E_PRESUPUESTO,0),FALSE)</f>
        <v>0</v>
      </c>
      <c r="X331" s="162">
        <f>SUMIFS(SALIDAS_BIT,FECHA_BIT,"&gt;="&amp;X$2,FECHA_BIT,"&lt;="&amp;X$3,CLAVE_BIT,$A331)+SUMIFS(SALIDAS_BOV1,FECHA_BOV1,"&gt;="&amp;X$2,FECHA_BOV1,"&lt;="&amp;X$3,CLAVE_BOV1,$A331)+SUMIFS(SALIDAS_BOV2,FECHA_BOV2,"&gt;="&amp;X$2,FECHA_BOV2,"&lt;="&amp;X$3,CLAVE_BOV2,$A331)+SUMIFS(SALIDAS_BOV3,FECHA_BOV3,"&gt;="&amp;X$2,FECHA_BOV3,"&lt;="&amp;X$3,CLAVE_BOV3,$A331)+SUMIFS(SALIDAS_TC,FECHA_TC,"&gt;="&amp;X$2,FECHA_TC,"&lt;="&amp;X$3,CLAVE_TC,$A331)+SUMIFS(SALIDAS_COMB,FECHA_COMB,"&gt;="&amp;X$2,FECHA_COMB,"&lt;="&amp;X$3,CLAVE_COMB,$A331)+SUMIFS(SALIDAS_DES,FECHA_DESGLOSEN,"&gt;="&amp;X$2,FECHA_DESGLOSEN,"&lt;="&amp;X$3,CLAVE_DESGLOSE,$A331)</f>
        <v>0</v>
      </c>
      <c r="Y331" s="162">
        <f>SUMIFS(SALIDAS_BIT,FECHA_BIT,"&gt;="&amp;Y$2,FECHA_BIT,"&lt;="&amp;Y$3,CLAVE_BIT,$A331)+SUMIFS(SALIDAS_BOV1,FECHA_BOV1,"&gt;="&amp;Y$2,FECHA_BOV1,"&lt;="&amp;Y$3,CLAVE_BOV1,$A331)+SUMIFS(SALIDAS_BOV2,FECHA_BOV2,"&gt;="&amp;Y$2,FECHA_BOV2,"&lt;="&amp;Y$3,CLAVE_BOV2,$A331)+SUMIFS(SALIDAS_BOV3,FECHA_BOV3,"&gt;="&amp;Y$2,FECHA_BOV3,"&lt;="&amp;Y$3,CLAVE_BOV3,$A331)+SUMIFS(SALIDAS_TC,FECHA_TC,"&gt;="&amp;Y$2,FECHA_TC,"&lt;="&amp;Y$3,CLAVE_TC,$A331)+SUMIFS(SALIDAS_COMB,FECHA_COMB,"&gt;="&amp;Y$2,FECHA_COMB,"&lt;="&amp;Y$3,CLAVE_COMB,$A331)+SUMIFS(SALIDAS_DES,FECHA_DESGLOSEN,"&gt;="&amp;Y$2,FECHA_DESGLOSEN,"&lt;="&amp;Y$3,CLAVE_DESGLOSE,$A331)</f>
        <v>0</v>
      </c>
      <c r="Z331" s="162">
        <f>SUMIFS(SALIDAS_BIT,FECHA_BIT,"&gt;="&amp;Z$2,FECHA_BIT,"&lt;="&amp;Z$3,CLAVE_BIT,$A331)+SUMIFS(SALIDAS_BOV1,FECHA_BOV1,"&gt;="&amp;Z$2,FECHA_BOV1,"&lt;="&amp;Z$3,CLAVE_BOV1,$A331)+SUMIFS(SALIDAS_BOV2,FECHA_BOV2,"&gt;="&amp;Z$2,FECHA_BOV2,"&lt;="&amp;Z$3,CLAVE_BOV2,$A331)+SUMIFS(SALIDAS_BOV3,FECHA_BOV3,"&gt;="&amp;Z$2,FECHA_BOV3,"&lt;="&amp;Z$3,CLAVE_BOV3,$A331)+SUMIFS(SALIDAS_TC,FECHA_TC,"&gt;="&amp;Z$2,FECHA_TC,"&lt;="&amp;Z$3,CLAVE_TC,$A331)+SUMIFS(SALIDAS_COMB,FECHA_COMB,"&gt;="&amp;Z$2,FECHA_COMB,"&lt;="&amp;Z$3,CLAVE_COMB,$A331)+SUMIFS(SALIDAS_DES,FECHA_DESGLOSEN,"&gt;="&amp;Z$2,FECHA_DESGLOSEN,"&lt;="&amp;Z$3,CLAVE_DESGLOSE,$A331)</f>
        <v>0</v>
      </c>
      <c r="AA331" s="162">
        <f>SUMIFS(SALIDAS_BIT,FECHA_BIT,"&gt;="&amp;AA$2,FECHA_BIT,"&lt;="&amp;AA$3,CLAVE_BIT,$A331)+SUMIFS(SALIDAS_BOV1,FECHA_BOV1,"&gt;="&amp;AA$2,FECHA_BOV1,"&lt;="&amp;AA$3,CLAVE_BOV1,$A331)+SUMIFS(SALIDAS_BOV2,FECHA_BOV2,"&gt;="&amp;AA$2,FECHA_BOV2,"&lt;="&amp;AA$3,CLAVE_BOV2,$A331)+SUMIFS(SALIDAS_BOV3,FECHA_BOV3,"&gt;="&amp;AA$2,FECHA_BOV3,"&lt;="&amp;AA$3,CLAVE_BOV3,$A331)+SUMIFS(SALIDAS_TC,FECHA_TC,"&gt;="&amp;AA$2,FECHA_TC,"&lt;="&amp;AA$3,CLAVE_TC,$A331)+SUMIFS(SALIDAS_COMB,FECHA_COMB,"&gt;="&amp;AA$2,FECHA_COMB,"&lt;="&amp;AA$3,CLAVE_COMB,$A331)+SUMIFS(SALIDAS_DES,FECHA_DESGLOSEN,"&gt;="&amp;AA$2,FECHA_DESGLOSEN,"&lt;="&amp;AA$3,CLAVE_DESGLOSE,$A331)</f>
        <v>0</v>
      </c>
      <c r="AB331" s="162">
        <f>SUMIFS(SALIDAS_BIT,FECHA_BIT,"&gt;="&amp;AB$2,FECHA_BIT,"&lt;="&amp;AB$3,CLAVE_BIT,$A331)+SUMIFS(SALIDAS_BOV1,FECHA_BOV1,"&gt;="&amp;AB$2,FECHA_BOV1,"&lt;="&amp;AB$3,CLAVE_BOV1,$A331)+SUMIFS(SALIDAS_BOV2,FECHA_BOV2,"&gt;="&amp;AB$2,FECHA_BOV2,"&lt;="&amp;AB$3,CLAVE_BOV2,$A331)+SUMIFS(SALIDAS_BOV3,FECHA_BOV3,"&gt;="&amp;AB$2,FECHA_BOV3,"&lt;="&amp;AB$3,CLAVE_BOV3,$A331)+SUMIFS(SALIDAS_TC,FECHA_TC,"&gt;="&amp;AB$2,FECHA_TC,"&lt;="&amp;AB$3,CLAVE_TC,$A331)+SUMIFS(SALIDAS_COMB,FECHA_COMB,"&gt;="&amp;AB$2,FECHA_COMB,"&lt;="&amp;AB$3,CLAVE_COMB,$A331)+SUMIFS(SALIDAS_DES,FECHA_DESGLOSEN,"&gt;="&amp;AB$2,FECHA_DESGLOSEN,"&lt;="&amp;AB$3,CLAVE_DESGLOSE,$A331)</f>
        <v>0</v>
      </c>
      <c r="AC331" s="227">
        <f>W331-AB331</f>
        <v>0</v>
      </c>
      <c r="AD331" s="301">
        <f>IFERROR((AB331/W331),0)</f>
        <v>0</v>
      </c>
      <c r="AE331" s="162">
        <f>VLOOKUP($A331,T_PRESUPUESTO,MATCH(AE$6,E_PRESUPUESTO,0),FALSE)</f>
        <v>0</v>
      </c>
      <c r="AF331" s="162">
        <f>SUMIFS(SALIDAS_BIT,FECHA_BIT,"&gt;="&amp;AF$2,FECHA_BIT,"&lt;="&amp;AF$3,CLAVE_BIT,$A331)+SUMIFS(SALIDAS_BOV1,FECHA_BOV1,"&gt;="&amp;AF$2,FECHA_BOV1,"&lt;="&amp;AF$3,CLAVE_BOV1,$A331)+SUMIFS(SALIDAS_BOV2,FECHA_BOV2,"&gt;="&amp;AF$2,FECHA_BOV2,"&lt;="&amp;AF$3,CLAVE_BOV2,$A331)+SUMIFS(SALIDAS_BOV3,FECHA_BOV3,"&gt;="&amp;AF$2,FECHA_BOV3,"&lt;="&amp;AF$3,CLAVE_BOV3,$A331)+SUMIFS(SALIDAS_TC,FECHA_TC,"&gt;="&amp;AF$2,FECHA_TC,"&lt;="&amp;AF$3,CLAVE_TC,$A331)+SUMIFS(SALIDAS_COMB,FECHA_COMB,"&gt;="&amp;AF$2,FECHA_COMB,"&lt;="&amp;AF$3,CLAVE_COMB,$A331)+SUMIFS(SALIDAS_DES,FECHA_DESGLOSEN,"&gt;="&amp;AF$2,FECHA_DESGLOSEN,"&lt;="&amp;AF$3,CLAVE_DESGLOSE,$A331)</f>
        <v>0</v>
      </c>
      <c r="AG331" s="162">
        <f>SUMIFS(SALIDAS_BIT,FECHA_BIT,"&gt;="&amp;AG$2,FECHA_BIT,"&lt;="&amp;AG$3,CLAVE_BIT,$A331)+SUMIFS(SALIDAS_BOV1,FECHA_BOV1,"&gt;="&amp;AG$2,FECHA_BOV1,"&lt;="&amp;AG$3,CLAVE_BOV1,$A331)+SUMIFS(SALIDAS_BOV2,FECHA_BOV2,"&gt;="&amp;AG$2,FECHA_BOV2,"&lt;="&amp;AG$3,CLAVE_BOV2,$A331)+SUMIFS(SALIDAS_BOV3,FECHA_BOV3,"&gt;="&amp;AG$2,FECHA_BOV3,"&lt;="&amp;AG$3,CLAVE_BOV3,$A331)+SUMIFS(SALIDAS_TC,FECHA_TC,"&gt;="&amp;AG$2,FECHA_TC,"&lt;="&amp;AG$3,CLAVE_TC,$A331)+SUMIFS(SALIDAS_COMB,FECHA_COMB,"&gt;="&amp;AG$2,FECHA_COMB,"&lt;="&amp;AG$3,CLAVE_COMB,$A331)+SUMIFS(SALIDAS_DES,FECHA_DESGLOSEN,"&gt;="&amp;AG$2,FECHA_DESGLOSEN,"&lt;="&amp;AG$3,CLAVE_DESGLOSE,$A331)</f>
        <v>0</v>
      </c>
      <c r="AH331" s="162">
        <f>SUMIFS(SALIDAS_BIT,FECHA_BIT,"&gt;="&amp;AH$2,FECHA_BIT,"&lt;="&amp;AH$3,CLAVE_BIT,$A331)+SUMIFS(SALIDAS_BOV1,FECHA_BOV1,"&gt;="&amp;AH$2,FECHA_BOV1,"&lt;="&amp;AH$3,CLAVE_BOV1,$A331)+SUMIFS(SALIDAS_BOV2,FECHA_BOV2,"&gt;="&amp;AH$2,FECHA_BOV2,"&lt;="&amp;AH$3,CLAVE_BOV2,$A331)+SUMIFS(SALIDAS_BOV3,FECHA_BOV3,"&gt;="&amp;AH$2,FECHA_BOV3,"&lt;="&amp;AH$3,CLAVE_BOV3,$A331)+SUMIFS(SALIDAS_TC,FECHA_TC,"&gt;="&amp;AH$2,FECHA_TC,"&lt;="&amp;AH$3,CLAVE_TC,$A331)+SUMIFS(SALIDAS_COMB,FECHA_COMB,"&gt;="&amp;AH$2,FECHA_COMB,"&lt;="&amp;AH$3,CLAVE_COMB,$A331)+SUMIFS(SALIDAS_DES,FECHA_DESGLOSEN,"&gt;="&amp;AH$2,FECHA_DESGLOSEN,"&lt;="&amp;AH$3,CLAVE_DESGLOSE,$A331)</f>
        <v>0</v>
      </c>
      <c r="AI331" s="162">
        <f>SUMIFS(SALIDAS_BIT,FECHA_BIT,"&gt;="&amp;AI$2,FECHA_BIT,"&lt;="&amp;AI$3,CLAVE_BIT,$A331)+SUMIFS(SALIDAS_BOV1,FECHA_BOV1,"&gt;="&amp;AI$2,FECHA_BOV1,"&lt;="&amp;AI$3,CLAVE_BOV1,$A331)+SUMIFS(SALIDAS_BOV2,FECHA_BOV2,"&gt;="&amp;AI$2,FECHA_BOV2,"&lt;="&amp;AI$3,CLAVE_BOV2,$A331)+SUMIFS(SALIDAS_BOV3,FECHA_BOV3,"&gt;="&amp;AI$2,FECHA_BOV3,"&lt;="&amp;AI$3,CLAVE_BOV3,$A331)+SUMIFS(SALIDAS_TC,FECHA_TC,"&gt;="&amp;AI$2,FECHA_TC,"&lt;="&amp;AI$3,CLAVE_TC,$A331)+SUMIFS(SALIDAS_COMB,FECHA_COMB,"&gt;="&amp;AI$2,FECHA_COMB,"&lt;="&amp;AI$3,CLAVE_COMB,$A331)+SUMIFS(SALIDAS_DES,FECHA_DESGLOSEN,"&gt;="&amp;AI$2,FECHA_DESGLOSEN,"&lt;="&amp;AI$3,CLAVE_DESGLOSE,$A331)</f>
        <v>0</v>
      </c>
      <c r="AJ331" s="162">
        <f>SUMIFS(SALIDAS_BIT,FECHA_BIT,"&gt;="&amp;AJ$2,FECHA_BIT,"&lt;="&amp;AJ$3,CLAVE_BIT,$A331)+SUMIFS(SALIDAS_BOV1,FECHA_BOV1,"&gt;="&amp;AJ$2,FECHA_BOV1,"&lt;="&amp;AJ$3,CLAVE_BOV1,$A331)+SUMIFS(SALIDAS_BOV2,FECHA_BOV2,"&gt;="&amp;AJ$2,FECHA_BOV2,"&lt;="&amp;AJ$3,CLAVE_BOV2,$A331)+SUMIFS(SALIDAS_BOV3,FECHA_BOV3,"&gt;="&amp;AJ$2,FECHA_BOV3,"&lt;="&amp;AJ$3,CLAVE_BOV3,$A331)+SUMIFS(SALIDAS_TC,FECHA_TC,"&gt;="&amp;AJ$2,FECHA_TC,"&lt;="&amp;AJ$3,CLAVE_TC,$A331)+SUMIFS(SALIDAS_COMB,FECHA_COMB,"&gt;="&amp;AJ$2,FECHA_COMB,"&lt;="&amp;AJ$3,CLAVE_COMB,$A331)+SUMIFS(SALIDAS_DES,FECHA_DESGLOSEN,"&gt;="&amp;AJ$2,FECHA_DESGLOSEN,"&lt;="&amp;AJ$3,CLAVE_DESGLOSE,$A331)</f>
        <v>0</v>
      </c>
      <c r="AK331" s="227">
        <f>AE331-AJ331</f>
        <v>0</v>
      </c>
      <c r="AL331" s="301">
        <f>IFERROR((AJ331/AE331),0)</f>
        <v>0</v>
      </c>
      <c r="AM331" s="162">
        <f>VLOOKUP($A331,T_PRESUPUESTO,MATCH(AM$6,E_PRESUPUESTO,0),FALSE)</f>
        <v>0</v>
      </c>
      <c r="AN331" s="162">
        <f>SUMIFS(SALIDAS_BIT,FECHA_BIT,"&gt;="&amp;AN$2,FECHA_BIT,"&lt;="&amp;AN$3,CLAVE_BIT,$A331)+SUMIFS(SALIDAS_BOV1,FECHA_BOV1,"&gt;="&amp;AN$2,FECHA_BOV1,"&lt;="&amp;AN$3,CLAVE_BOV1,$A331)+SUMIFS(SALIDAS_BOV2,FECHA_BOV2,"&gt;="&amp;AN$2,FECHA_BOV2,"&lt;="&amp;AN$3,CLAVE_BOV2,$A331)+SUMIFS(SALIDAS_BOV3,FECHA_BOV3,"&gt;="&amp;AN$2,FECHA_BOV3,"&lt;="&amp;AN$3,CLAVE_BOV3,$A331)+SUMIFS(SALIDAS_TC,FECHA_TC,"&gt;="&amp;AN$2,FECHA_TC,"&lt;="&amp;AN$3,CLAVE_TC,$A331)+SUMIFS(SALIDAS_COMB,FECHA_COMB,"&gt;="&amp;AN$2,FECHA_COMB,"&lt;="&amp;AN$3,CLAVE_COMB,$A331)+SUMIFS(SALIDAS_DES,FECHA_DESGLOSEN,"&gt;="&amp;AN$2,FECHA_DESGLOSEN,"&lt;="&amp;AN$3,CLAVE_DESGLOSE,$A331)</f>
        <v>0</v>
      </c>
      <c r="AO331" s="162">
        <f>SUMIFS(SALIDAS_BIT,FECHA_BIT,"&gt;="&amp;AO$2,FECHA_BIT,"&lt;="&amp;AO$3,CLAVE_BIT,$A331)+SUMIFS(SALIDAS_BOV1,FECHA_BOV1,"&gt;="&amp;AO$2,FECHA_BOV1,"&lt;="&amp;AO$3,CLAVE_BOV1,$A331)+SUMIFS(SALIDAS_BOV2,FECHA_BOV2,"&gt;="&amp;AO$2,FECHA_BOV2,"&lt;="&amp;AO$3,CLAVE_BOV2,$A331)+SUMIFS(SALIDAS_BOV3,FECHA_BOV3,"&gt;="&amp;AO$2,FECHA_BOV3,"&lt;="&amp;AO$3,CLAVE_BOV3,$A331)+SUMIFS(SALIDAS_TC,FECHA_TC,"&gt;="&amp;AO$2,FECHA_TC,"&lt;="&amp;AO$3,CLAVE_TC,$A331)+SUMIFS(SALIDAS_COMB,FECHA_COMB,"&gt;="&amp;AO$2,FECHA_COMB,"&lt;="&amp;AO$3,CLAVE_COMB,$A331)+SUMIFS(SALIDAS_DES,FECHA_DESGLOSEN,"&gt;="&amp;AO$2,FECHA_DESGLOSEN,"&lt;="&amp;AO$3,CLAVE_DESGLOSE,$A331)</f>
        <v>0</v>
      </c>
      <c r="AP331" s="162">
        <f>SUMIFS(SALIDAS_BIT,FECHA_BIT,"&gt;="&amp;AP$2,FECHA_BIT,"&lt;="&amp;AP$3,CLAVE_BIT,$A331)+SUMIFS(SALIDAS_BOV1,FECHA_BOV1,"&gt;="&amp;AP$2,FECHA_BOV1,"&lt;="&amp;AP$3,CLAVE_BOV1,$A331)+SUMIFS(SALIDAS_BOV2,FECHA_BOV2,"&gt;="&amp;AP$2,FECHA_BOV2,"&lt;="&amp;AP$3,CLAVE_BOV2,$A331)+SUMIFS(SALIDAS_BOV3,FECHA_BOV3,"&gt;="&amp;AP$2,FECHA_BOV3,"&lt;="&amp;AP$3,CLAVE_BOV3,$A331)+SUMIFS(SALIDAS_TC,FECHA_TC,"&gt;="&amp;AP$2,FECHA_TC,"&lt;="&amp;AP$3,CLAVE_TC,$A331)+SUMIFS(SALIDAS_COMB,FECHA_COMB,"&gt;="&amp;AP$2,FECHA_COMB,"&lt;="&amp;AP$3,CLAVE_COMB,$A331)+SUMIFS(SALIDAS_DES,FECHA_DESGLOSEN,"&gt;="&amp;AP$2,FECHA_DESGLOSEN,"&lt;="&amp;AP$3,CLAVE_DESGLOSE,$A331)</f>
        <v>0</v>
      </c>
      <c r="AQ331" s="162">
        <f>SUMIFS(SALIDAS_BIT,FECHA_BIT,"&gt;="&amp;AQ$2,FECHA_BIT,"&lt;="&amp;AQ$3,CLAVE_BIT,$A331)+SUMIFS(SALIDAS_BOV1,FECHA_BOV1,"&gt;="&amp;AQ$2,FECHA_BOV1,"&lt;="&amp;AQ$3,CLAVE_BOV1,$A331)+SUMIFS(SALIDAS_BOV2,FECHA_BOV2,"&gt;="&amp;AQ$2,FECHA_BOV2,"&lt;="&amp;AQ$3,CLAVE_BOV2,$A331)+SUMIFS(SALIDAS_BOV3,FECHA_BOV3,"&gt;="&amp;AQ$2,FECHA_BOV3,"&lt;="&amp;AQ$3,CLAVE_BOV3,$A331)+SUMIFS(SALIDAS_TC,FECHA_TC,"&gt;="&amp;AQ$2,FECHA_TC,"&lt;="&amp;AQ$3,CLAVE_TC,$A331)+SUMIFS(SALIDAS_COMB,FECHA_COMB,"&gt;="&amp;AQ$2,FECHA_COMB,"&lt;="&amp;AQ$3,CLAVE_COMB,$A331)+SUMIFS(SALIDAS_DES,FECHA_DESGLOSEN,"&gt;="&amp;AQ$2,FECHA_DESGLOSEN,"&lt;="&amp;AQ$3,CLAVE_DESGLOSE,$A331)</f>
        <v>0</v>
      </c>
      <c r="AR331" s="162">
        <f>SUMIFS(SALIDAS_BIT,FECHA_BIT,"&gt;="&amp;AR$2,FECHA_BIT,"&lt;="&amp;AR$3,CLAVE_BIT,$A331)+SUMIFS(SALIDAS_BOV1,FECHA_BOV1,"&gt;="&amp;AR$2,FECHA_BOV1,"&lt;="&amp;AR$3,CLAVE_BOV1,$A331)+SUMIFS(SALIDAS_BOV2,FECHA_BOV2,"&gt;="&amp;AR$2,FECHA_BOV2,"&lt;="&amp;AR$3,CLAVE_BOV2,$A331)+SUMIFS(SALIDAS_BOV3,FECHA_BOV3,"&gt;="&amp;AR$2,FECHA_BOV3,"&lt;="&amp;AR$3,CLAVE_BOV3,$A331)+SUMIFS(SALIDAS_TC,FECHA_TC,"&gt;="&amp;AR$2,FECHA_TC,"&lt;="&amp;AR$3,CLAVE_TC,$A331)+SUMIFS(SALIDAS_COMB,FECHA_COMB,"&gt;="&amp;AR$2,FECHA_COMB,"&lt;="&amp;AR$3,CLAVE_COMB,$A331)+SUMIFS(SALIDAS_DES,FECHA_DESGLOSEN,"&gt;="&amp;AR$2,FECHA_DESGLOSEN,"&lt;="&amp;AR$3,CLAVE_DESGLOSE,$A331)</f>
        <v>0</v>
      </c>
      <c r="AS331" s="162">
        <f>SUMIFS(SALIDAS_BIT,FECHA_BIT,"&gt;="&amp;AS$2,FECHA_BIT,"&lt;="&amp;AS$3,CLAVE_BIT,$A331)+SUMIFS(SALIDAS_BOV1,FECHA_BOV1,"&gt;="&amp;AS$2,FECHA_BOV1,"&lt;="&amp;AS$3,CLAVE_BOV1,$A331)+SUMIFS(SALIDAS_BOV2,FECHA_BOV2,"&gt;="&amp;AS$2,FECHA_BOV2,"&lt;="&amp;AS$3,CLAVE_BOV2,$A331)+SUMIFS(SALIDAS_BOV3,FECHA_BOV3,"&gt;="&amp;AS$2,FECHA_BOV3,"&lt;="&amp;AS$3,CLAVE_BOV3,$A331)+SUMIFS(SALIDAS_TC,FECHA_TC,"&gt;="&amp;AS$2,FECHA_TC,"&lt;="&amp;AS$3,CLAVE_TC,$A331)+SUMIFS(SALIDAS_COMB,FECHA_COMB,"&gt;="&amp;AS$2,FECHA_COMB,"&lt;="&amp;AS$3,CLAVE_COMB,$A331)+SUMIFS(SALIDAS_DES,FECHA_DESGLOSEN,"&gt;="&amp;AS$2,FECHA_DESGLOSEN,"&lt;="&amp;AS$3,CLAVE_DESGLOSE,$A331)</f>
        <v>0</v>
      </c>
      <c r="AT331" s="227">
        <f>AM331-AS331</f>
        <v>0</v>
      </c>
      <c r="AU331" s="301">
        <f>IFERROR((AS331/AM331),0)</f>
        <v>0</v>
      </c>
      <c r="AV331" s="162">
        <f>VLOOKUP($A331,T_PRESUPUESTO,MATCH(AV$6,E_PRESUPUESTO,0),FALSE)</f>
        <v>0</v>
      </c>
      <c r="AW331" s="162">
        <f>SUMIFS(SALIDAS_BIT,FECHA_BIT,"&gt;="&amp;AW$2,FECHA_BIT,"&lt;="&amp;AW$3,CLAVE_BIT,$A331)+SUMIFS(SALIDAS_BOV1,FECHA_BOV1,"&gt;="&amp;AW$2,FECHA_BOV1,"&lt;="&amp;AW$3,CLAVE_BOV1,$A331)+SUMIFS(SALIDAS_BOV2,FECHA_BOV2,"&gt;="&amp;AW$2,FECHA_BOV2,"&lt;="&amp;AW$3,CLAVE_BOV2,$A331)+SUMIFS(SALIDAS_BOV3,FECHA_BOV3,"&gt;="&amp;AW$2,FECHA_BOV3,"&lt;="&amp;AW$3,CLAVE_BOV3,$A331)+SUMIFS(SALIDAS_TC,FECHA_TC,"&gt;="&amp;AW$2,FECHA_TC,"&lt;="&amp;AW$3,CLAVE_TC,$A331)+SUMIFS(SALIDAS_COMB,FECHA_COMB,"&gt;="&amp;AW$2,FECHA_COMB,"&lt;="&amp;AW$3,CLAVE_COMB,$A331)+SUMIFS(SALIDAS_DES,FECHA_DESGLOSEN,"&gt;="&amp;AW$2,FECHA_DESGLOSEN,"&lt;="&amp;AW$3,CLAVE_DESGLOSE,$A331)</f>
        <v>0</v>
      </c>
      <c r="AX331" s="162">
        <f>SUMIFS(SALIDAS_BIT,FECHA_BIT,"&gt;="&amp;AX$2,FECHA_BIT,"&lt;="&amp;AX$3,CLAVE_BIT,$A331)+SUMIFS(SALIDAS_BOV1,FECHA_BOV1,"&gt;="&amp;AX$2,FECHA_BOV1,"&lt;="&amp;AX$3,CLAVE_BOV1,$A331)+SUMIFS(SALIDAS_BOV2,FECHA_BOV2,"&gt;="&amp;AX$2,FECHA_BOV2,"&lt;="&amp;AX$3,CLAVE_BOV2,$A331)+SUMIFS(SALIDAS_BOV3,FECHA_BOV3,"&gt;="&amp;AX$2,FECHA_BOV3,"&lt;="&amp;AX$3,CLAVE_BOV3,$A331)+SUMIFS(SALIDAS_TC,FECHA_TC,"&gt;="&amp;AX$2,FECHA_TC,"&lt;="&amp;AX$3,CLAVE_TC,$A331)+SUMIFS(SALIDAS_COMB,FECHA_COMB,"&gt;="&amp;AX$2,FECHA_COMB,"&lt;="&amp;AX$3,CLAVE_COMB,$A331)+SUMIFS(SALIDAS_DES,FECHA_DESGLOSEN,"&gt;="&amp;AX$2,FECHA_DESGLOSEN,"&lt;="&amp;AX$3,CLAVE_DESGLOSE,$A331)</f>
        <v>0</v>
      </c>
      <c r="AY331" s="162">
        <f>SUMIFS(SALIDAS_BIT,FECHA_BIT,"&gt;="&amp;AY$2,FECHA_BIT,"&lt;="&amp;AY$3,CLAVE_BIT,$A331)+SUMIFS(SALIDAS_BOV1,FECHA_BOV1,"&gt;="&amp;AY$2,FECHA_BOV1,"&lt;="&amp;AY$3,CLAVE_BOV1,$A331)+SUMIFS(SALIDAS_BOV2,FECHA_BOV2,"&gt;="&amp;AY$2,FECHA_BOV2,"&lt;="&amp;AY$3,CLAVE_BOV2,$A331)+SUMIFS(SALIDAS_BOV3,FECHA_BOV3,"&gt;="&amp;AY$2,FECHA_BOV3,"&lt;="&amp;AY$3,CLAVE_BOV3,$A331)+SUMIFS(SALIDAS_TC,FECHA_TC,"&gt;="&amp;AY$2,FECHA_TC,"&lt;="&amp;AY$3,CLAVE_TC,$A331)+SUMIFS(SALIDAS_COMB,FECHA_COMB,"&gt;="&amp;AY$2,FECHA_COMB,"&lt;="&amp;AY$3,CLAVE_COMB,$A331)+SUMIFS(SALIDAS_DES,FECHA_DESGLOSEN,"&gt;="&amp;AY$2,FECHA_DESGLOSEN,"&lt;="&amp;AY$3,CLAVE_DESGLOSE,$A331)</f>
        <v>0</v>
      </c>
      <c r="AZ331" s="162">
        <f>SUMIFS(SALIDAS_BIT,FECHA_BIT,"&gt;="&amp;AZ$2,FECHA_BIT,"&lt;="&amp;AZ$3,CLAVE_BIT,$A331)+SUMIFS(SALIDAS_BOV1,FECHA_BOV1,"&gt;="&amp;AZ$2,FECHA_BOV1,"&lt;="&amp;AZ$3,CLAVE_BOV1,$A331)+SUMIFS(SALIDAS_BOV2,FECHA_BOV2,"&gt;="&amp;AZ$2,FECHA_BOV2,"&lt;="&amp;AZ$3,CLAVE_BOV2,$A331)+SUMIFS(SALIDAS_BOV3,FECHA_BOV3,"&gt;="&amp;AZ$2,FECHA_BOV3,"&lt;="&amp;AZ$3,CLAVE_BOV3,$A331)+SUMIFS(SALIDAS_TC,FECHA_TC,"&gt;="&amp;AZ$2,FECHA_TC,"&lt;="&amp;AZ$3,CLAVE_TC,$A331)+SUMIFS(SALIDAS_COMB,FECHA_COMB,"&gt;="&amp;AZ$2,FECHA_COMB,"&lt;="&amp;AZ$3,CLAVE_COMB,$A331)+SUMIFS(SALIDAS_DES,FECHA_DESGLOSEN,"&gt;="&amp;AZ$2,FECHA_DESGLOSEN,"&lt;="&amp;AZ$3,CLAVE_DESGLOSE,$A331)</f>
        <v>0</v>
      </c>
      <c r="BA331" s="162">
        <f>SUMIFS(SALIDAS_BIT,FECHA_BIT,"&gt;="&amp;BA$2,FECHA_BIT,"&lt;="&amp;BA$3,CLAVE_BIT,$A331)+SUMIFS(SALIDAS_BOV1,FECHA_BOV1,"&gt;="&amp;BA$2,FECHA_BOV1,"&lt;="&amp;BA$3,CLAVE_BOV1,$A331)+SUMIFS(SALIDAS_BOV2,FECHA_BOV2,"&gt;="&amp;BA$2,FECHA_BOV2,"&lt;="&amp;BA$3,CLAVE_BOV2,$A331)+SUMIFS(SALIDAS_BOV3,FECHA_BOV3,"&gt;="&amp;BA$2,FECHA_BOV3,"&lt;="&amp;BA$3,CLAVE_BOV3,$A331)+SUMIFS(SALIDAS_TC,FECHA_TC,"&gt;="&amp;BA$2,FECHA_TC,"&lt;="&amp;BA$3,CLAVE_TC,$A331)+SUMIFS(SALIDAS_COMB,FECHA_COMB,"&gt;="&amp;BA$2,FECHA_COMB,"&lt;="&amp;BA$3,CLAVE_COMB,$A331)+SUMIFS(SALIDAS_DES,FECHA_DESGLOSEN,"&gt;="&amp;BA$2,FECHA_DESGLOSEN,"&lt;="&amp;BA$3,CLAVE_DESGLOSE,$A331)</f>
        <v>0</v>
      </c>
      <c r="BB331" s="227">
        <f>AV331-BA331</f>
        <v>0</v>
      </c>
      <c r="BC331" s="301">
        <f>IFERROR((BA331/AV331),0)</f>
        <v>0</v>
      </c>
      <c r="BD331" s="162">
        <f>VLOOKUP($A331,T_PRESUPUESTO,MATCH(BD$6,E_PRESUPUESTO,0),FALSE)</f>
        <v>0</v>
      </c>
      <c r="BE331" s="162">
        <f>SUMIFS(SALIDAS_BIT,FECHA_BIT,"&gt;="&amp;BE$2,FECHA_BIT,"&lt;="&amp;BE$3,CLAVE_BIT,$A331)+SUMIFS(SALIDAS_BOV1,FECHA_BOV1,"&gt;="&amp;BE$2,FECHA_BOV1,"&lt;="&amp;BE$3,CLAVE_BOV1,$A331)+SUMIFS(SALIDAS_BOV2,FECHA_BOV2,"&gt;="&amp;BE$2,FECHA_BOV2,"&lt;="&amp;BE$3,CLAVE_BOV2,$A331)+SUMIFS(SALIDAS_BOV3,FECHA_BOV3,"&gt;="&amp;BE$2,FECHA_BOV3,"&lt;="&amp;BE$3,CLAVE_BOV3,$A331)+SUMIFS(SALIDAS_TC,FECHA_TC,"&gt;="&amp;BE$2,FECHA_TC,"&lt;="&amp;BE$3,CLAVE_TC,$A331)+SUMIFS(SALIDAS_COMB,FECHA_COMB,"&gt;="&amp;BE$2,FECHA_COMB,"&lt;="&amp;BE$3,CLAVE_COMB,$A331)+SUMIFS(SALIDAS_DES,FECHA_DESGLOSEN,"&gt;="&amp;BE$2,FECHA_DESGLOSEN,"&lt;="&amp;BE$3,CLAVE_DESGLOSE,$A331)</f>
        <v>0</v>
      </c>
      <c r="BF331" s="162">
        <f>SUMIFS(SALIDAS_BIT,FECHA_BIT,"&gt;="&amp;BF$2,FECHA_BIT,"&lt;="&amp;BF$3,CLAVE_BIT,$A331)+SUMIFS(SALIDAS_BOV1,FECHA_BOV1,"&gt;="&amp;BF$2,FECHA_BOV1,"&lt;="&amp;BF$3,CLAVE_BOV1,$A331)+SUMIFS(SALIDAS_BOV2,FECHA_BOV2,"&gt;="&amp;BF$2,FECHA_BOV2,"&lt;="&amp;BF$3,CLAVE_BOV2,$A331)+SUMIFS(SALIDAS_BOV3,FECHA_BOV3,"&gt;="&amp;BF$2,FECHA_BOV3,"&lt;="&amp;BF$3,CLAVE_BOV3,$A331)+SUMIFS(SALIDAS_TC,FECHA_TC,"&gt;="&amp;BF$2,FECHA_TC,"&lt;="&amp;BF$3,CLAVE_TC,$A331)+SUMIFS(SALIDAS_COMB,FECHA_COMB,"&gt;="&amp;BF$2,FECHA_COMB,"&lt;="&amp;BF$3,CLAVE_COMB,$A331)+SUMIFS(SALIDAS_DES,FECHA_DESGLOSEN,"&gt;="&amp;BF$2,FECHA_DESGLOSEN,"&lt;="&amp;BF$3,CLAVE_DESGLOSE,$A331)</f>
        <v>0</v>
      </c>
      <c r="BG331" s="162">
        <f>SUMIFS(SALIDAS_BIT,FECHA_BIT,"&gt;="&amp;BG$2,FECHA_BIT,"&lt;="&amp;BG$3,CLAVE_BIT,$A331)+SUMIFS(SALIDAS_BOV1,FECHA_BOV1,"&gt;="&amp;BG$2,FECHA_BOV1,"&lt;="&amp;BG$3,CLAVE_BOV1,$A331)+SUMIFS(SALIDAS_BOV2,FECHA_BOV2,"&gt;="&amp;BG$2,FECHA_BOV2,"&lt;="&amp;BG$3,CLAVE_BOV2,$A331)+SUMIFS(SALIDAS_BOV3,FECHA_BOV3,"&gt;="&amp;BG$2,FECHA_BOV3,"&lt;="&amp;BG$3,CLAVE_BOV3,$A331)+SUMIFS(SALIDAS_TC,FECHA_TC,"&gt;="&amp;BG$2,FECHA_TC,"&lt;="&amp;BG$3,CLAVE_TC,$A331)+SUMIFS(SALIDAS_COMB,FECHA_COMB,"&gt;="&amp;BG$2,FECHA_COMB,"&lt;="&amp;BG$3,CLAVE_COMB,$A331)+SUMIFS(SALIDAS_DES,FECHA_DESGLOSEN,"&gt;="&amp;BG$2,FECHA_DESGLOSEN,"&lt;="&amp;BG$3,CLAVE_DESGLOSE,$A331)</f>
        <v>0</v>
      </c>
      <c r="BH331" s="162">
        <f>SUMIFS(SALIDAS_BIT,FECHA_BIT,"&gt;="&amp;BH$2,FECHA_BIT,"&lt;="&amp;BH$3,CLAVE_BIT,$A331)+SUMIFS(SALIDAS_BOV1,FECHA_BOV1,"&gt;="&amp;BH$2,FECHA_BOV1,"&lt;="&amp;BH$3,CLAVE_BOV1,$A331)+SUMIFS(SALIDAS_BOV2,FECHA_BOV2,"&gt;="&amp;BH$2,FECHA_BOV2,"&lt;="&amp;BH$3,CLAVE_BOV2,$A331)+SUMIFS(SALIDAS_BOV3,FECHA_BOV3,"&gt;="&amp;BH$2,FECHA_BOV3,"&lt;="&amp;BH$3,CLAVE_BOV3,$A331)+SUMIFS(SALIDAS_TC,FECHA_TC,"&gt;="&amp;BH$2,FECHA_TC,"&lt;="&amp;BH$3,CLAVE_TC,$A331)+SUMIFS(SALIDAS_COMB,FECHA_COMB,"&gt;="&amp;BH$2,FECHA_COMB,"&lt;="&amp;BH$3,CLAVE_COMB,$A331)+SUMIFS(SALIDAS_DES,FECHA_DESGLOSEN,"&gt;="&amp;BH$2,FECHA_DESGLOSEN,"&lt;="&amp;BH$3,CLAVE_DESGLOSE,$A331)</f>
        <v>0</v>
      </c>
      <c r="BI331" s="162">
        <f>SUMIFS(SALIDAS_BIT,FECHA_BIT,"&gt;="&amp;BI$2,FECHA_BIT,"&lt;="&amp;BI$3,CLAVE_BIT,$A331)+SUMIFS(SALIDAS_BOV1,FECHA_BOV1,"&gt;="&amp;BI$2,FECHA_BOV1,"&lt;="&amp;BI$3,CLAVE_BOV1,$A331)+SUMIFS(SALIDAS_BOV2,FECHA_BOV2,"&gt;="&amp;BI$2,FECHA_BOV2,"&lt;="&amp;BI$3,CLAVE_BOV2,$A331)+SUMIFS(SALIDAS_BOV3,FECHA_BOV3,"&gt;="&amp;BI$2,FECHA_BOV3,"&lt;="&amp;BI$3,CLAVE_BOV3,$A331)+SUMIFS(SALIDAS_TC,FECHA_TC,"&gt;="&amp;BI$2,FECHA_TC,"&lt;="&amp;BI$3,CLAVE_TC,$A331)+SUMIFS(SALIDAS_COMB,FECHA_COMB,"&gt;="&amp;BI$2,FECHA_COMB,"&lt;="&amp;BI$3,CLAVE_COMB,$A331)+SUMIFS(SALIDAS_DES,FECHA_DESGLOSEN,"&gt;="&amp;BI$2,FECHA_DESGLOSEN,"&lt;="&amp;BI$3,CLAVE_DESGLOSE,$A331)</f>
        <v>0</v>
      </c>
      <c r="BJ331" s="227">
        <f>BD331-BI331</f>
        <v>0</v>
      </c>
      <c r="BK331" s="301">
        <f>IFERROR((BI331/BD331),0)</f>
        <v>0</v>
      </c>
      <c r="BL331" s="162">
        <f>VLOOKUP($A331,T_PRESUPUESTO,MATCH(BL$6,E_PRESUPUESTO,0),FALSE)</f>
        <v>0</v>
      </c>
      <c r="BM331" s="162">
        <f>SUMIFS(SALIDAS_BIT,FECHA_BIT,"&gt;="&amp;BM$2,FECHA_BIT,"&lt;="&amp;BM$3,CLAVE_BIT,$A331)+SUMIFS(SALIDAS_BOV1,FECHA_BOV1,"&gt;="&amp;BM$2,FECHA_BOV1,"&lt;="&amp;BM$3,CLAVE_BOV1,$A331)+SUMIFS(SALIDAS_BOV2,FECHA_BOV2,"&gt;="&amp;BM$2,FECHA_BOV2,"&lt;="&amp;BM$3,CLAVE_BOV2,$A331)+SUMIFS(SALIDAS_BOV3,FECHA_BOV3,"&gt;="&amp;BM$2,FECHA_BOV3,"&lt;="&amp;BM$3,CLAVE_BOV3,$A331)+SUMIFS(SALIDAS_TC,FECHA_TC,"&gt;="&amp;BM$2,FECHA_TC,"&lt;="&amp;BM$3,CLAVE_TC,$A331)+SUMIFS(SALIDAS_COMB,FECHA_COMB,"&gt;="&amp;BM$2,FECHA_COMB,"&lt;="&amp;BM$3,CLAVE_COMB,$A331)+SUMIFS(SALIDAS_DES,FECHA_DESGLOSEN,"&gt;="&amp;BM$2,FECHA_DESGLOSEN,"&lt;="&amp;BM$3,CLAVE_DESGLOSE,$A331)</f>
        <v>0</v>
      </c>
      <c r="BN331" s="162">
        <f>SUMIFS(SALIDAS_BIT,FECHA_BIT,"&gt;="&amp;BN$2,FECHA_BIT,"&lt;="&amp;BN$3,CLAVE_BIT,$A331)+SUMIFS(SALIDAS_BOV1,FECHA_BOV1,"&gt;="&amp;BN$2,FECHA_BOV1,"&lt;="&amp;BN$3,CLAVE_BOV1,$A331)+SUMIFS(SALIDAS_BOV2,FECHA_BOV2,"&gt;="&amp;BN$2,FECHA_BOV2,"&lt;="&amp;BN$3,CLAVE_BOV2,$A331)+SUMIFS(SALIDAS_BOV3,FECHA_BOV3,"&gt;="&amp;BN$2,FECHA_BOV3,"&lt;="&amp;BN$3,CLAVE_BOV3,$A331)+SUMIFS(SALIDAS_TC,FECHA_TC,"&gt;="&amp;BN$2,FECHA_TC,"&lt;="&amp;BN$3,CLAVE_TC,$A331)+SUMIFS(SALIDAS_COMB,FECHA_COMB,"&gt;="&amp;BN$2,FECHA_COMB,"&lt;="&amp;BN$3,CLAVE_COMB,$A331)+SUMIFS(SALIDAS_DES,FECHA_DESGLOSEN,"&gt;="&amp;BN$2,FECHA_DESGLOSEN,"&lt;="&amp;BN$3,CLAVE_DESGLOSE,$A331)</f>
        <v>0</v>
      </c>
      <c r="BO331" s="162">
        <f>SUMIFS(SALIDAS_BIT,FECHA_BIT,"&gt;="&amp;BO$2,FECHA_BIT,"&lt;="&amp;BO$3,CLAVE_BIT,$A331)+SUMIFS(SALIDAS_BOV1,FECHA_BOV1,"&gt;="&amp;BO$2,FECHA_BOV1,"&lt;="&amp;BO$3,CLAVE_BOV1,$A331)+SUMIFS(SALIDAS_BOV2,FECHA_BOV2,"&gt;="&amp;BO$2,FECHA_BOV2,"&lt;="&amp;BO$3,CLAVE_BOV2,$A331)+SUMIFS(SALIDAS_BOV3,FECHA_BOV3,"&gt;="&amp;BO$2,FECHA_BOV3,"&lt;="&amp;BO$3,CLAVE_BOV3,$A331)+SUMIFS(SALIDAS_TC,FECHA_TC,"&gt;="&amp;BO$2,FECHA_TC,"&lt;="&amp;BO$3,CLAVE_TC,$A331)+SUMIFS(SALIDAS_COMB,FECHA_COMB,"&gt;="&amp;BO$2,FECHA_COMB,"&lt;="&amp;BO$3,CLAVE_COMB,$A331)+SUMIFS(SALIDAS_DES,FECHA_DESGLOSEN,"&gt;="&amp;BO$2,FECHA_DESGLOSEN,"&lt;="&amp;BO$3,CLAVE_DESGLOSE,$A331)</f>
        <v>0</v>
      </c>
      <c r="BP331" s="162">
        <f>SUMIFS(SALIDAS_BIT,FECHA_BIT,"&gt;="&amp;BP$2,FECHA_BIT,"&lt;="&amp;BP$3,CLAVE_BIT,$A331)+SUMIFS(SALIDAS_BOV1,FECHA_BOV1,"&gt;="&amp;BP$2,FECHA_BOV1,"&lt;="&amp;BP$3,CLAVE_BOV1,$A331)+SUMIFS(SALIDAS_BOV2,FECHA_BOV2,"&gt;="&amp;BP$2,FECHA_BOV2,"&lt;="&amp;BP$3,CLAVE_BOV2,$A331)+SUMIFS(SALIDAS_BOV3,FECHA_BOV3,"&gt;="&amp;BP$2,FECHA_BOV3,"&lt;="&amp;BP$3,CLAVE_BOV3,$A331)+SUMIFS(SALIDAS_TC,FECHA_TC,"&gt;="&amp;BP$2,FECHA_TC,"&lt;="&amp;BP$3,CLAVE_TC,$A331)+SUMIFS(SALIDAS_COMB,FECHA_COMB,"&gt;="&amp;BP$2,FECHA_COMB,"&lt;="&amp;BP$3,CLAVE_COMB,$A331)+SUMIFS(SALIDAS_DES,FECHA_DESGLOSEN,"&gt;="&amp;BP$2,FECHA_DESGLOSEN,"&lt;="&amp;BP$3,CLAVE_DESGLOSE,$A331)</f>
        <v>0</v>
      </c>
      <c r="BQ331" s="162">
        <f>SUMIFS(SALIDAS_BIT,FECHA_BIT,"&gt;="&amp;BQ$2,FECHA_BIT,"&lt;="&amp;BQ$3,CLAVE_BIT,$A331)+SUMIFS(SALIDAS_BOV1,FECHA_BOV1,"&gt;="&amp;BQ$2,FECHA_BOV1,"&lt;="&amp;BQ$3,CLAVE_BOV1,$A331)+SUMIFS(SALIDAS_BOV2,FECHA_BOV2,"&gt;="&amp;BQ$2,FECHA_BOV2,"&lt;="&amp;BQ$3,CLAVE_BOV2,$A331)+SUMIFS(SALIDAS_BOV3,FECHA_BOV3,"&gt;="&amp;BQ$2,FECHA_BOV3,"&lt;="&amp;BQ$3,CLAVE_BOV3,$A331)+SUMIFS(SALIDAS_TC,FECHA_TC,"&gt;="&amp;BQ$2,FECHA_TC,"&lt;="&amp;BQ$3,CLAVE_TC,$A331)+SUMIFS(SALIDAS_COMB,FECHA_COMB,"&gt;="&amp;BQ$2,FECHA_COMB,"&lt;="&amp;BQ$3,CLAVE_COMB,$A331)+SUMIFS(SALIDAS_DES,FECHA_DESGLOSEN,"&gt;="&amp;BQ$2,FECHA_DESGLOSEN,"&lt;="&amp;BQ$3,CLAVE_DESGLOSE,$A331)</f>
        <v>0</v>
      </c>
      <c r="BR331" s="162">
        <f>SUMIFS(SALIDAS_BIT,FECHA_BIT,"&gt;="&amp;BR$2,FECHA_BIT,"&lt;="&amp;BR$3,CLAVE_BIT,$A331)+SUMIFS(SALIDAS_BOV1,FECHA_BOV1,"&gt;="&amp;BR$2,FECHA_BOV1,"&lt;="&amp;BR$3,CLAVE_BOV1,$A331)+SUMIFS(SALIDAS_BOV2,FECHA_BOV2,"&gt;="&amp;BR$2,FECHA_BOV2,"&lt;="&amp;BR$3,CLAVE_BOV2,$A331)+SUMIFS(SALIDAS_BOV3,FECHA_BOV3,"&gt;="&amp;BR$2,FECHA_BOV3,"&lt;="&amp;BR$3,CLAVE_BOV3,$A331)+SUMIFS(SALIDAS_TC,FECHA_TC,"&gt;="&amp;BR$2,FECHA_TC,"&lt;="&amp;BR$3,CLAVE_TC,$A331)+SUMIFS(SALIDAS_COMB,FECHA_COMB,"&gt;="&amp;BR$2,FECHA_COMB,"&lt;="&amp;BR$3,CLAVE_COMB,$A331)+SUMIFS(SALIDAS_DES,FECHA_DESGLOSEN,"&gt;="&amp;BR$2,FECHA_DESGLOSEN,"&lt;="&amp;BR$3,CLAVE_DESGLOSE,$A331)</f>
        <v>0</v>
      </c>
      <c r="BS331" s="227">
        <f>BL331-BR331</f>
        <v>0</v>
      </c>
      <c r="BT331" s="301">
        <f>IFERROR((BR331/BL331),0)</f>
        <v>0</v>
      </c>
      <c r="BU331" s="162">
        <f>VLOOKUP($A331,T_PRESUPUESTO,MATCH(BU$6,E_PRESUPUESTO,0),FALSE)</f>
        <v>0</v>
      </c>
      <c r="BV331" s="162">
        <f>SUMIFS(SALIDAS_BIT,FECHA_BIT,"&gt;="&amp;BV$2,FECHA_BIT,"&lt;="&amp;BV$3,CLAVE_BIT,$A331)+SUMIFS(SALIDAS_BOV1,FECHA_BOV1,"&gt;="&amp;BV$2,FECHA_BOV1,"&lt;="&amp;BV$3,CLAVE_BOV1,$A331)+SUMIFS(SALIDAS_BOV2,FECHA_BOV2,"&gt;="&amp;BV$2,FECHA_BOV2,"&lt;="&amp;BV$3,CLAVE_BOV2,$A331)+SUMIFS(SALIDAS_BOV3,FECHA_BOV3,"&gt;="&amp;BV$2,FECHA_BOV3,"&lt;="&amp;BV$3,CLAVE_BOV3,$A331)+SUMIFS(SALIDAS_TC,FECHA_TC,"&gt;="&amp;BV$2,FECHA_TC,"&lt;="&amp;BV$3,CLAVE_TC,$A331)+SUMIFS(SALIDAS_COMB,FECHA_COMB,"&gt;="&amp;BV$2,FECHA_COMB,"&lt;="&amp;BV$3,CLAVE_COMB,$A331)+SUMIFS(SALIDAS_DES,FECHA_DESGLOSEN,"&gt;="&amp;BV$2,FECHA_DESGLOSEN,"&lt;="&amp;BV$3,CLAVE_DESGLOSE,$A331)</f>
        <v>0</v>
      </c>
      <c r="BW331" s="162">
        <f>SUMIFS(SALIDAS_BIT,FECHA_BIT,"&gt;="&amp;BW$2,FECHA_BIT,"&lt;="&amp;BW$3,CLAVE_BIT,$A331)+SUMIFS(SALIDAS_BOV1,FECHA_BOV1,"&gt;="&amp;BW$2,FECHA_BOV1,"&lt;="&amp;BW$3,CLAVE_BOV1,$A331)+SUMIFS(SALIDAS_BOV2,FECHA_BOV2,"&gt;="&amp;BW$2,FECHA_BOV2,"&lt;="&amp;BW$3,CLAVE_BOV2,$A331)+SUMIFS(SALIDAS_BOV3,FECHA_BOV3,"&gt;="&amp;BW$2,FECHA_BOV3,"&lt;="&amp;BW$3,CLAVE_BOV3,$A331)+SUMIFS(SALIDAS_TC,FECHA_TC,"&gt;="&amp;BW$2,FECHA_TC,"&lt;="&amp;BW$3,CLAVE_TC,$A331)+SUMIFS(SALIDAS_COMB,FECHA_COMB,"&gt;="&amp;BW$2,FECHA_COMB,"&lt;="&amp;BW$3,CLAVE_COMB,$A331)+SUMIFS(SALIDAS_DES,FECHA_DESGLOSEN,"&gt;="&amp;BW$2,FECHA_DESGLOSEN,"&lt;="&amp;BW$3,CLAVE_DESGLOSE,$A331)</f>
        <v>0</v>
      </c>
      <c r="BX331" s="162">
        <f>SUMIFS(SALIDAS_BIT,FECHA_BIT,"&gt;="&amp;BX$2,FECHA_BIT,"&lt;="&amp;BX$3,CLAVE_BIT,$A331)+SUMIFS(SALIDAS_BOV1,FECHA_BOV1,"&gt;="&amp;BX$2,FECHA_BOV1,"&lt;="&amp;BX$3,CLAVE_BOV1,$A331)+SUMIFS(SALIDAS_BOV2,FECHA_BOV2,"&gt;="&amp;BX$2,FECHA_BOV2,"&lt;="&amp;BX$3,CLAVE_BOV2,$A331)+SUMIFS(SALIDAS_BOV3,FECHA_BOV3,"&gt;="&amp;BX$2,FECHA_BOV3,"&lt;="&amp;BX$3,CLAVE_BOV3,$A331)+SUMIFS(SALIDAS_TC,FECHA_TC,"&gt;="&amp;BX$2,FECHA_TC,"&lt;="&amp;BX$3,CLAVE_TC,$A331)+SUMIFS(SALIDAS_COMB,FECHA_COMB,"&gt;="&amp;BX$2,FECHA_COMB,"&lt;="&amp;BX$3,CLAVE_COMB,$A331)+SUMIFS(SALIDAS_DES,FECHA_DESGLOSEN,"&gt;="&amp;BX$2,FECHA_DESGLOSEN,"&lt;="&amp;BX$3,CLAVE_DESGLOSE,$A331)</f>
        <v>0</v>
      </c>
      <c r="BY331" s="162">
        <f>SUMIFS(SALIDAS_BIT,FECHA_BIT,"&gt;="&amp;BY$2,FECHA_BIT,"&lt;="&amp;BY$3,CLAVE_BIT,$A331)+SUMIFS(SALIDAS_BOV1,FECHA_BOV1,"&gt;="&amp;BY$2,FECHA_BOV1,"&lt;="&amp;BY$3,CLAVE_BOV1,$A331)+SUMIFS(SALIDAS_BOV2,FECHA_BOV2,"&gt;="&amp;BY$2,FECHA_BOV2,"&lt;="&amp;BY$3,CLAVE_BOV2,$A331)+SUMIFS(SALIDAS_BOV3,FECHA_BOV3,"&gt;="&amp;BY$2,FECHA_BOV3,"&lt;="&amp;BY$3,CLAVE_BOV3,$A331)+SUMIFS(SALIDAS_TC,FECHA_TC,"&gt;="&amp;BY$2,FECHA_TC,"&lt;="&amp;BY$3,CLAVE_TC,$A331)+SUMIFS(SALIDAS_COMB,FECHA_COMB,"&gt;="&amp;BY$2,FECHA_COMB,"&lt;="&amp;BY$3,CLAVE_COMB,$A331)+SUMIFS(SALIDAS_DES,FECHA_DESGLOSEN,"&gt;="&amp;BY$2,FECHA_DESGLOSEN,"&lt;="&amp;BY$3,CLAVE_DESGLOSE,$A331)</f>
        <v>0</v>
      </c>
      <c r="BZ331" s="162">
        <f>SUMIFS(SALIDAS_BIT,FECHA_BIT,"&gt;="&amp;BZ$2,FECHA_BIT,"&lt;="&amp;BZ$3,CLAVE_BIT,$A331)+SUMIFS(SALIDAS_BOV1,FECHA_BOV1,"&gt;="&amp;BZ$2,FECHA_BOV1,"&lt;="&amp;BZ$3,CLAVE_BOV1,$A331)+SUMIFS(SALIDAS_BOV2,FECHA_BOV2,"&gt;="&amp;BZ$2,FECHA_BOV2,"&lt;="&amp;BZ$3,CLAVE_BOV2,$A331)+SUMIFS(SALIDAS_BOV3,FECHA_BOV3,"&gt;="&amp;BZ$2,FECHA_BOV3,"&lt;="&amp;BZ$3,CLAVE_BOV3,$A331)+SUMIFS(SALIDAS_TC,FECHA_TC,"&gt;="&amp;BZ$2,FECHA_TC,"&lt;="&amp;BZ$3,CLAVE_TC,$A331)+SUMIFS(SALIDAS_COMB,FECHA_COMB,"&gt;="&amp;BZ$2,FECHA_COMB,"&lt;="&amp;BZ$3,CLAVE_COMB,$A331)+SUMIFS(SALIDAS_DES,FECHA_DESGLOSEN,"&gt;="&amp;BZ$2,FECHA_DESGLOSEN,"&lt;="&amp;BZ$3,CLAVE_DESGLOSE,$A331)</f>
        <v>0</v>
      </c>
      <c r="CA331" s="227">
        <f>BU331-BZ331</f>
        <v>0</v>
      </c>
      <c r="CB331" s="301">
        <f>IFERROR((BZ331/BU331),0)</f>
        <v>0</v>
      </c>
      <c r="CC331" s="162">
        <f>VLOOKUP($A331,T_PRESUPUESTO,MATCH(CC$6,E_PRESUPUESTO,0),FALSE)</f>
        <v>0</v>
      </c>
      <c r="CD331" s="162">
        <f>SUMIFS(SALIDAS_BIT,FECHA_BIT,"&gt;="&amp;CD$2,FECHA_BIT,"&lt;="&amp;CD$3,CLAVE_BIT,$A331)+SUMIFS(SALIDAS_BOV1,FECHA_BOV1,"&gt;="&amp;CD$2,FECHA_BOV1,"&lt;="&amp;CD$3,CLAVE_BOV1,$A331)+SUMIFS(SALIDAS_BOV2,FECHA_BOV2,"&gt;="&amp;CD$2,FECHA_BOV2,"&lt;="&amp;CD$3,CLAVE_BOV2,$A331)+SUMIFS(SALIDAS_BOV3,FECHA_BOV3,"&gt;="&amp;CD$2,FECHA_BOV3,"&lt;="&amp;CD$3,CLAVE_BOV3,$A331)+SUMIFS(SALIDAS_TC,FECHA_TC,"&gt;="&amp;CD$2,FECHA_TC,"&lt;="&amp;CD$3,CLAVE_TC,$A331)+SUMIFS(SALIDAS_COMB,FECHA_COMB,"&gt;="&amp;CD$2,FECHA_COMB,"&lt;="&amp;CD$3,CLAVE_COMB,$A331)+SUMIFS(SALIDAS_DES,FECHA_DESGLOSEN,"&gt;="&amp;CD$2,FECHA_DESGLOSEN,"&lt;="&amp;CD$3,CLAVE_DESGLOSE,$A331)</f>
        <v>0</v>
      </c>
      <c r="CE331" s="162">
        <f>SUMIFS(SALIDAS_BIT,FECHA_BIT,"&gt;="&amp;CE$2,FECHA_BIT,"&lt;="&amp;CE$3,CLAVE_BIT,$A331)+SUMIFS(SALIDAS_BOV1,FECHA_BOV1,"&gt;="&amp;CE$2,FECHA_BOV1,"&lt;="&amp;CE$3,CLAVE_BOV1,$A331)+SUMIFS(SALIDAS_BOV2,FECHA_BOV2,"&gt;="&amp;CE$2,FECHA_BOV2,"&lt;="&amp;CE$3,CLAVE_BOV2,$A331)+SUMIFS(SALIDAS_BOV3,FECHA_BOV3,"&gt;="&amp;CE$2,FECHA_BOV3,"&lt;="&amp;CE$3,CLAVE_BOV3,$A331)+SUMIFS(SALIDAS_TC,FECHA_TC,"&gt;="&amp;CE$2,FECHA_TC,"&lt;="&amp;CE$3,CLAVE_TC,$A331)+SUMIFS(SALIDAS_COMB,FECHA_COMB,"&gt;="&amp;CE$2,FECHA_COMB,"&lt;="&amp;CE$3,CLAVE_COMB,$A331)+SUMIFS(SALIDAS_DES,FECHA_DESGLOSEN,"&gt;="&amp;CE$2,FECHA_DESGLOSEN,"&lt;="&amp;CE$3,CLAVE_DESGLOSE,$A331)</f>
        <v>0</v>
      </c>
      <c r="CF331" s="162">
        <f>SUMIFS(SALIDAS_BIT,FECHA_BIT,"&gt;="&amp;CF$2,FECHA_BIT,"&lt;="&amp;CF$3,CLAVE_BIT,$A331)+SUMIFS(SALIDAS_BOV1,FECHA_BOV1,"&gt;="&amp;CF$2,FECHA_BOV1,"&lt;="&amp;CF$3,CLAVE_BOV1,$A331)+SUMIFS(SALIDAS_BOV2,FECHA_BOV2,"&gt;="&amp;CF$2,FECHA_BOV2,"&lt;="&amp;CF$3,CLAVE_BOV2,$A331)+SUMIFS(SALIDAS_BOV3,FECHA_BOV3,"&gt;="&amp;CF$2,FECHA_BOV3,"&lt;="&amp;CF$3,CLAVE_BOV3,$A331)+SUMIFS(SALIDAS_TC,FECHA_TC,"&gt;="&amp;CF$2,FECHA_TC,"&lt;="&amp;CF$3,CLAVE_TC,$A331)+SUMIFS(SALIDAS_COMB,FECHA_COMB,"&gt;="&amp;CF$2,FECHA_COMB,"&lt;="&amp;CF$3,CLAVE_COMB,$A331)+SUMIFS(SALIDAS_DES,FECHA_DESGLOSEN,"&gt;="&amp;CF$2,FECHA_DESGLOSEN,"&lt;="&amp;CF$3,CLAVE_DESGLOSE,$A331)</f>
        <v>0</v>
      </c>
      <c r="CG331" s="162">
        <f>SUMIFS(SALIDAS_BIT,FECHA_BIT,"&gt;="&amp;CG$2,FECHA_BIT,"&lt;="&amp;CG$3,CLAVE_BIT,$A331)+SUMIFS(SALIDAS_BOV1,FECHA_BOV1,"&gt;="&amp;CG$2,FECHA_BOV1,"&lt;="&amp;CG$3,CLAVE_BOV1,$A331)+SUMIFS(SALIDAS_BOV2,FECHA_BOV2,"&gt;="&amp;CG$2,FECHA_BOV2,"&lt;="&amp;CG$3,CLAVE_BOV2,$A331)+SUMIFS(SALIDAS_BOV3,FECHA_BOV3,"&gt;="&amp;CG$2,FECHA_BOV3,"&lt;="&amp;CG$3,CLAVE_BOV3,$A331)+SUMIFS(SALIDAS_TC,FECHA_TC,"&gt;="&amp;CG$2,FECHA_TC,"&lt;="&amp;CG$3,CLAVE_TC,$A331)+SUMIFS(SALIDAS_COMB,FECHA_COMB,"&gt;="&amp;CG$2,FECHA_COMB,"&lt;="&amp;CG$3,CLAVE_COMB,$A331)+SUMIFS(SALIDAS_DES,FECHA_DESGLOSEN,"&gt;="&amp;CG$2,FECHA_DESGLOSEN,"&lt;="&amp;CG$3,CLAVE_DESGLOSE,$A331)</f>
        <v>0</v>
      </c>
      <c r="CH331" s="162">
        <f>SUMIFS(SALIDAS_BIT,FECHA_BIT,"&gt;="&amp;CH$2,FECHA_BIT,"&lt;="&amp;CH$3,CLAVE_BIT,$A331)+SUMIFS(SALIDAS_BOV1,FECHA_BOV1,"&gt;="&amp;CH$2,FECHA_BOV1,"&lt;="&amp;CH$3,CLAVE_BOV1,$A331)+SUMIFS(SALIDAS_BOV2,FECHA_BOV2,"&gt;="&amp;CH$2,FECHA_BOV2,"&lt;="&amp;CH$3,CLAVE_BOV2,$A331)+SUMIFS(SALIDAS_BOV3,FECHA_BOV3,"&gt;="&amp;CH$2,FECHA_BOV3,"&lt;="&amp;CH$3,CLAVE_BOV3,$A331)+SUMIFS(SALIDAS_TC,FECHA_TC,"&gt;="&amp;CH$2,FECHA_TC,"&lt;="&amp;CH$3,CLAVE_TC,$A331)+SUMIFS(SALIDAS_COMB,FECHA_COMB,"&gt;="&amp;CH$2,FECHA_COMB,"&lt;="&amp;CH$3,CLAVE_COMB,$A331)+SUMIFS(SALIDAS_DES,FECHA_DESGLOSEN,"&gt;="&amp;CH$2,FECHA_DESGLOSEN,"&lt;="&amp;CH$3,CLAVE_DESGLOSE,$A331)</f>
        <v>0</v>
      </c>
      <c r="CI331" s="227">
        <f>CC331-CH331</f>
        <v>0</v>
      </c>
      <c r="CJ331" s="301">
        <f>IFERROR((CH331/CC331),0)</f>
        <v>0</v>
      </c>
      <c r="CK331" s="162">
        <f>VLOOKUP($A331,T_PRESUPUESTO,MATCH(CK$6,E_PRESUPUESTO,0),FALSE)</f>
        <v>289287.65999999997</v>
      </c>
      <c r="CL331" s="162">
        <f>SUMIFS(SALIDAS_BIT,FECHA_BIT,"&gt;="&amp;CL$2,FECHA_BIT,"&lt;="&amp;CL$3,CLAVE_BIT,$A331)+SUMIFS(SALIDAS_BOV1,FECHA_BOV1,"&gt;="&amp;CL$2,FECHA_BOV1,"&lt;="&amp;CL$3,CLAVE_BOV1,$A331)+SUMIFS(SALIDAS_BOV2,FECHA_BOV2,"&gt;="&amp;CL$2,FECHA_BOV2,"&lt;="&amp;CL$3,CLAVE_BOV2,$A331)+SUMIFS(SALIDAS_BOV3,FECHA_BOV3,"&gt;="&amp;CL$2,FECHA_BOV3,"&lt;="&amp;CL$3,CLAVE_BOV3,$A331)+SUMIFS(SALIDAS_TC,FECHA_TC,"&gt;="&amp;CL$2,FECHA_TC,"&lt;="&amp;CL$3,CLAVE_TC,$A331)+SUMIFS(SALIDAS_COMB,FECHA_COMB,"&gt;="&amp;CL$2,FECHA_COMB,"&lt;="&amp;CL$3,CLAVE_COMB,$A331)+SUMIFS(SALIDAS_DES,FECHA_DESGLOSEN,"&gt;="&amp;CL$2,FECHA_DESGLOSEN,"&lt;="&amp;CL$3,CLAVE_DESGLOSE,$A331)</f>
        <v>0</v>
      </c>
      <c r="CM331" s="162">
        <f>SUMIFS(SALIDAS_BIT,FECHA_BIT,"&gt;="&amp;CM$2,FECHA_BIT,"&lt;="&amp;CM$3,CLAVE_BIT,$A331)+SUMIFS(SALIDAS_BOV1,FECHA_BOV1,"&gt;="&amp;CM$2,FECHA_BOV1,"&lt;="&amp;CM$3,CLAVE_BOV1,$A331)+SUMIFS(SALIDAS_BOV2,FECHA_BOV2,"&gt;="&amp;CM$2,FECHA_BOV2,"&lt;="&amp;CM$3,CLAVE_BOV2,$A331)+SUMIFS(SALIDAS_BOV3,FECHA_BOV3,"&gt;="&amp;CM$2,FECHA_BOV3,"&lt;="&amp;CM$3,CLAVE_BOV3,$A331)+SUMIFS(SALIDAS_TC,FECHA_TC,"&gt;="&amp;CM$2,FECHA_TC,"&lt;="&amp;CM$3,CLAVE_TC,$A331)+SUMIFS(SALIDAS_COMB,FECHA_COMB,"&gt;="&amp;CM$2,FECHA_COMB,"&lt;="&amp;CM$3,CLAVE_COMB,$A331)+SUMIFS(SALIDAS_DES,FECHA_DESGLOSEN,"&gt;="&amp;CM$2,FECHA_DESGLOSEN,"&lt;="&amp;CM$3,CLAVE_DESGLOSE,$A331)</f>
        <v>0</v>
      </c>
      <c r="CN331" s="162">
        <f>SUMIFS(SALIDAS_BIT,FECHA_BIT,"&gt;="&amp;CN$2,FECHA_BIT,"&lt;="&amp;CN$3,CLAVE_BIT,$A331)+SUMIFS(SALIDAS_BOV1,FECHA_BOV1,"&gt;="&amp;CN$2,FECHA_BOV1,"&lt;="&amp;CN$3,CLAVE_BOV1,$A331)+SUMIFS(SALIDAS_BOV2,FECHA_BOV2,"&gt;="&amp;CN$2,FECHA_BOV2,"&lt;="&amp;CN$3,CLAVE_BOV2,$A331)+SUMIFS(SALIDAS_BOV3,FECHA_BOV3,"&gt;="&amp;CN$2,FECHA_BOV3,"&lt;="&amp;CN$3,CLAVE_BOV3,$A331)+SUMIFS(SALIDAS_TC,FECHA_TC,"&gt;="&amp;CN$2,FECHA_TC,"&lt;="&amp;CN$3,CLAVE_TC,$A331)+SUMIFS(SALIDAS_COMB,FECHA_COMB,"&gt;="&amp;CN$2,FECHA_COMB,"&lt;="&amp;CN$3,CLAVE_COMB,$A331)+SUMIFS(SALIDAS_DES,FECHA_DESGLOSEN,"&gt;="&amp;CN$2,FECHA_DESGLOSEN,"&lt;="&amp;CN$3,CLAVE_DESGLOSE,$A331)</f>
        <v>0</v>
      </c>
      <c r="CO331" s="162">
        <f>SUMIFS(SALIDAS_BIT,FECHA_BIT,"&gt;="&amp;CO$2,FECHA_BIT,"&lt;="&amp;CO$3,CLAVE_BIT,$A331)+SUMIFS(SALIDAS_BOV1,FECHA_BOV1,"&gt;="&amp;CO$2,FECHA_BOV1,"&lt;="&amp;CO$3,CLAVE_BOV1,$A331)+SUMIFS(SALIDAS_BOV2,FECHA_BOV2,"&gt;="&amp;CO$2,FECHA_BOV2,"&lt;="&amp;CO$3,CLAVE_BOV2,$A331)+SUMIFS(SALIDAS_BOV3,FECHA_BOV3,"&gt;="&amp;CO$2,FECHA_BOV3,"&lt;="&amp;CO$3,CLAVE_BOV3,$A331)+SUMIFS(SALIDAS_TC,FECHA_TC,"&gt;="&amp;CO$2,FECHA_TC,"&lt;="&amp;CO$3,CLAVE_TC,$A331)+SUMIFS(SALIDAS_COMB,FECHA_COMB,"&gt;="&amp;CO$2,FECHA_COMB,"&lt;="&amp;CO$3,CLAVE_COMB,$A331)+SUMIFS(SALIDAS_DES,FECHA_DESGLOSEN,"&gt;="&amp;CO$2,FECHA_DESGLOSEN,"&lt;="&amp;CO$3,CLAVE_DESGLOSE,$A331)</f>
        <v>60657.08</v>
      </c>
      <c r="CP331" s="162">
        <f>SUMIFS(SALIDAS_BIT,FECHA_BIT,"&gt;="&amp;CP$2,FECHA_BIT,"&lt;="&amp;CP$3,CLAVE_BIT,$A331)+SUMIFS(SALIDAS_BOV1,FECHA_BOV1,"&gt;="&amp;CP$2,FECHA_BOV1,"&lt;="&amp;CP$3,CLAVE_BOV1,$A331)+SUMIFS(SALIDAS_BOV2,FECHA_BOV2,"&gt;="&amp;CP$2,FECHA_BOV2,"&lt;="&amp;CP$3,CLAVE_BOV2,$A331)+SUMIFS(SALIDAS_BOV3,FECHA_BOV3,"&gt;="&amp;CP$2,FECHA_BOV3,"&lt;="&amp;CP$3,CLAVE_BOV3,$A331)+SUMIFS(SALIDAS_TC,FECHA_TC,"&gt;="&amp;CP$2,FECHA_TC,"&lt;="&amp;CP$3,CLAVE_TC,$A331)+SUMIFS(SALIDAS_COMB,FECHA_COMB,"&gt;="&amp;CP$2,FECHA_COMB,"&lt;="&amp;CP$3,CLAVE_COMB,$A331)+SUMIFS(SALIDAS_DES,FECHA_DESGLOSEN,"&gt;="&amp;CP$2,FECHA_DESGLOSEN,"&lt;="&amp;CP$3,CLAVE_DESGLOSE,$A331)</f>
        <v>0</v>
      </c>
      <c r="CQ331" s="162">
        <f>SUMIFS(SALIDAS_BIT,FECHA_BIT,"&gt;="&amp;CQ$2,FECHA_BIT,"&lt;="&amp;CQ$3,CLAVE_BIT,$A331)+SUMIFS(SALIDAS_BOV1,FECHA_BOV1,"&gt;="&amp;CQ$2,FECHA_BOV1,"&lt;="&amp;CQ$3,CLAVE_BOV1,$A331)+SUMIFS(SALIDAS_BOV2,FECHA_BOV2,"&gt;="&amp;CQ$2,FECHA_BOV2,"&lt;="&amp;CQ$3,CLAVE_BOV2,$A331)+SUMIFS(SALIDAS_BOV3,FECHA_BOV3,"&gt;="&amp;CQ$2,FECHA_BOV3,"&lt;="&amp;CQ$3,CLAVE_BOV3,$A331)+SUMIFS(SALIDAS_TC,FECHA_TC,"&gt;="&amp;CQ$2,FECHA_TC,"&lt;="&amp;CQ$3,CLAVE_TC,$A331)+SUMIFS(SALIDAS_COMB,FECHA_COMB,"&gt;="&amp;CQ$2,FECHA_COMB,"&lt;="&amp;CQ$3,CLAVE_COMB,$A331)+SUMIFS(SALIDAS_DES,FECHA_DESGLOSEN,"&gt;="&amp;CQ$2,FECHA_DESGLOSEN,"&lt;="&amp;CQ$3,CLAVE_DESGLOSE,$A331)</f>
        <v>60657.08</v>
      </c>
      <c r="CR331" s="227">
        <f>CK331-CQ331</f>
        <v>228630.57999999996</v>
      </c>
      <c r="CS331" s="301">
        <f>IFERROR((CQ331/CK331),0)</f>
        <v>0.20967738478716999</v>
      </c>
      <c r="CT331" s="68">
        <f t="shared" si="712"/>
        <v>156633</v>
      </c>
      <c r="CU331" s="13">
        <f>SUMIFS(SALIDAS_BIT,FECHA_BIT,"&gt;="&amp;CU$2,FECHA_BIT,"&lt;="&amp;CU$3,CLAVE_BIT,$A331)+SUMIFS(SALIDAS_BOV1,FECHA_BOV1,"&gt;="&amp;CU$2,FECHA_BOV1,"&lt;="&amp;CU$3,CLAVE_BOV1,$A331)+SUMIFS(SALIDAS_BOV2,FECHA_BOV2,"&gt;="&amp;CU$2,FECHA_BOV2,"&lt;="&amp;CU$3,CLAVE_BOV2,$A331)+SUMIFS(SALIDAS_BOV3,FECHA_BOV3,"&gt;="&amp;CU$2,FECHA_BOV3,"&lt;="&amp;CU$3,CLAVE_BOV3,$A331)+SUMIFS(SALIDAS_TC,FECHA_TC,"&gt;="&amp;CU$2,FECHA_TC,"&lt;="&amp;CU$3,CLAVE_TC,$A331)+SUMIFS(SALIDAS_COMB,FECHA_COMB,"&gt;="&amp;CU$2,FECHA_COMB,"&lt;="&amp;CU$3,CLAVE_COMB,$A331)+SUMIFS(SALIDAS_DES,FECHA_DESGLOSEN,"&gt;="&amp;CU$2,FECHA_DESGLOSEN,"&lt;="&amp;CU$3,CLAVE_DESGLOSE,$A331)</f>
        <v>0</v>
      </c>
      <c r="CV331" s="13">
        <f>SUMIFS(SALIDAS_BIT,FECHA_BIT,"&gt;="&amp;CV$2,FECHA_BIT,"&lt;="&amp;CV$3,CLAVE_BIT,$A331)+SUMIFS(SALIDAS_BOV1,FECHA_BOV1,"&gt;="&amp;CV$2,FECHA_BOV1,"&lt;="&amp;CV$3,CLAVE_BOV1,$A331)+SUMIFS(SALIDAS_BOV2,FECHA_BOV2,"&gt;="&amp;CV$2,FECHA_BOV2,"&lt;="&amp;CV$3,CLAVE_BOV2,$A331)+SUMIFS(SALIDAS_BOV3,FECHA_BOV3,"&gt;="&amp;CV$2,FECHA_BOV3,"&lt;="&amp;CV$3,CLAVE_BOV3,$A331)+SUMIFS(SALIDAS_TC,FECHA_TC,"&gt;="&amp;CV$2,FECHA_TC,"&lt;="&amp;CV$3,CLAVE_TC,$A331)+SUMIFS(SALIDAS_COMB,FECHA_COMB,"&gt;="&amp;CV$2,FECHA_COMB,"&lt;="&amp;CV$3,CLAVE_COMB,$A331)+SUMIFS(SALIDAS_DES,FECHA_DESGLOSEN,"&gt;="&amp;CV$2,FECHA_DESGLOSEN,"&lt;="&amp;CV$3,CLAVE_DESGLOSE,$A331)</f>
        <v>0</v>
      </c>
      <c r="CW331" s="13">
        <f>SUMIFS(SALIDAS_BIT,FECHA_BIT,"&gt;="&amp;CW$2,FECHA_BIT,"&lt;="&amp;CW$3,CLAVE_BIT,$A331)+SUMIFS(SALIDAS_BOV1,FECHA_BOV1,"&gt;="&amp;CW$2,FECHA_BOV1,"&lt;="&amp;CW$3,CLAVE_BOV1,$A331)+SUMIFS(SALIDAS_BOV2,FECHA_BOV2,"&gt;="&amp;CW$2,FECHA_BOV2,"&lt;="&amp;CW$3,CLAVE_BOV2,$A331)+SUMIFS(SALIDAS_BOV3,FECHA_BOV3,"&gt;="&amp;CW$2,FECHA_BOV3,"&lt;="&amp;CW$3,CLAVE_BOV3,$A331)+SUMIFS(SALIDAS_TC,FECHA_TC,"&gt;="&amp;CW$2,FECHA_TC,"&lt;="&amp;CW$3,CLAVE_TC,$A331)+SUMIFS(SALIDAS_COMB,FECHA_COMB,"&gt;="&amp;CW$2,FECHA_COMB,"&lt;="&amp;CW$3,CLAVE_COMB,$A331)+SUMIFS(SALIDAS_DES,FECHA_DESGLOSEN,"&gt;="&amp;CW$2,FECHA_DESGLOSEN,"&lt;="&amp;CW$3,CLAVE_DESGLOSE,$A331)</f>
        <v>0</v>
      </c>
      <c r="CX331" s="13">
        <f>SUMIFS(SALIDAS_BIT,FECHA_BIT,"&gt;="&amp;CX$2,FECHA_BIT,"&lt;="&amp;CX$3,CLAVE_BIT,$A331)+SUMIFS(SALIDAS_BOV1,FECHA_BOV1,"&gt;="&amp;CX$2,FECHA_BOV1,"&lt;="&amp;CX$3,CLAVE_BOV1,$A331)+SUMIFS(SALIDAS_BOV2,FECHA_BOV2,"&gt;="&amp;CX$2,FECHA_BOV2,"&lt;="&amp;CX$3,CLAVE_BOV2,$A331)+SUMIFS(SALIDAS_BOV3,FECHA_BOV3,"&gt;="&amp;CX$2,FECHA_BOV3,"&lt;="&amp;CX$3,CLAVE_BOV3,$A331)+SUMIFS(SALIDAS_TC,FECHA_TC,"&gt;="&amp;CX$2,FECHA_TC,"&lt;="&amp;CX$3,CLAVE_TC,$A331)+SUMIFS(SALIDAS_COMB,FECHA_COMB,"&gt;="&amp;CX$2,FECHA_COMB,"&lt;="&amp;CX$3,CLAVE_COMB,$A331)+SUMIFS(SALIDAS_DES,FECHA_DESGLOSEN,"&gt;="&amp;CX$2,FECHA_DESGLOSEN,"&lt;="&amp;CX$3,CLAVE_DESGLOSE,$A331)</f>
        <v>144643.83000000002</v>
      </c>
      <c r="CY331" s="13">
        <f>SUMIFS(SALIDAS_BIT,FECHA_BIT,"&gt;="&amp;CY$2,FECHA_BIT,"&lt;="&amp;CY$3,CLAVE_BIT,$A331)+SUMIFS(SALIDAS_BOV1,FECHA_BOV1,"&gt;="&amp;CY$2,FECHA_BOV1,"&lt;="&amp;CY$3,CLAVE_BOV1,$A331)+SUMIFS(SALIDAS_BOV2,FECHA_BOV2,"&gt;="&amp;CY$2,FECHA_BOV2,"&lt;="&amp;CY$3,CLAVE_BOV2,$A331)+SUMIFS(SALIDAS_BOV3,FECHA_BOV3,"&gt;="&amp;CY$2,FECHA_BOV3,"&lt;="&amp;CY$3,CLAVE_BOV3,$A331)+SUMIFS(SALIDAS_TC,FECHA_TC,"&gt;="&amp;CY$2,FECHA_TC,"&lt;="&amp;CY$3,CLAVE_TC,$A331)+SUMIFS(SALIDAS_COMB,FECHA_COMB,"&gt;="&amp;CY$2,FECHA_COMB,"&lt;="&amp;CY$3,CLAVE_COMB,$A331)+SUMIFS(SALIDAS_DES,FECHA_DESGLOSEN,"&gt;="&amp;CY$2,FECHA_DESGLOSEN,"&lt;="&amp;CY$3,CLAVE_DESGLOSE,$A331)</f>
        <v>144643.83000000002</v>
      </c>
      <c r="CZ331" s="68">
        <f t="shared" si="713"/>
        <v>11989.169999999984</v>
      </c>
      <c r="DB331" s="17">
        <f>F331+N331+W331+AE331+AM331+AV331+BD331+BL331+BU331+CC331+CK331</f>
        <v>289287.65999999997</v>
      </c>
      <c r="DC331" s="17">
        <f>K331+T331+AB331+AJ331+AS331+BA331+BI331+BR331+BZ331+CH331+CQ331</f>
        <v>60657.08</v>
      </c>
    </row>
    <row r="332" spans="1:107" ht="15" hidden="1">
      <c r="A332" s="12" t="str">
        <f>C332&amp;D332&amp;E332</f>
        <v>CAPNOMINA SUCURSALE10</v>
      </c>
      <c r="B332">
        <v>332</v>
      </c>
      <c r="C332" t="s">
        <v>31</v>
      </c>
      <c r="D332" t="s">
        <v>154</v>
      </c>
      <c r="E332" t="s">
        <v>117</v>
      </c>
      <c r="F332" s="260">
        <f>VLOOKUP($A332,T_PRESUPUESTO,MATCH(F$6,E_PRESUPUESTO,0),FALSE)</f>
        <v>0</v>
      </c>
      <c r="G332" s="162">
        <f>SUMIFS(SALIDAS_BIT,FECHA_BIT,"&gt;="&amp;G$2,FECHA_BIT,"&lt;="&amp;G$3,CLAVE_BIT,$A332)+SUMIFS(SALIDAS_BOV1,FECHA_BOV1,"&gt;="&amp;G$2,FECHA_BOV1,"&lt;="&amp;G$3,CLAVE_BOV1,$A332)+SUMIFS(SALIDAS_BOV2,FECHA_BOV2,"&gt;="&amp;G$2,FECHA_BOV2,"&lt;="&amp;G$3,CLAVE_BOV2,$A332)+SUMIFS(SALIDAS_BOV3,FECHA_BOV3,"&gt;="&amp;G$2,FECHA_BOV3,"&lt;="&amp;G$3,CLAVE_BOV3,$A332)+SUMIFS(SALIDAS_TC,FECHA_TC,"&gt;="&amp;G$2,FECHA_TC,"&lt;="&amp;G$3,CLAVE_TC,$A332)+SUMIFS(SALIDAS_COMB,FECHA_COMB,"&gt;="&amp;G$2,FECHA_COMB,"&lt;="&amp;G$3,CLAVE_COMB,$A332)+SUMIFS(SALIDAS_DES,FECHA_DESGLOSEN,"&gt;="&amp;G$2,FECHA_DESGLOSEN,"&lt;="&amp;G$3,CLAVE_DESGLOSE,$A332)</f>
        <v>0</v>
      </c>
      <c r="H332" s="162">
        <f>SUMIFS(SALIDAS_BIT,FECHA_BIT,"&gt;="&amp;H$2,FECHA_BIT,"&lt;="&amp;H$3,CLAVE_BIT,$A332)+SUMIFS(SALIDAS_BOV1,FECHA_BOV1,"&gt;="&amp;H$2,FECHA_BOV1,"&lt;="&amp;H$3,CLAVE_BOV1,$A332)+SUMIFS(SALIDAS_BOV2,FECHA_BOV2,"&gt;="&amp;H$2,FECHA_BOV2,"&lt;="&amp;H$3,CLAVE_BOV2,$A332)+SUMIFS(SALIDAS_BOV3,FECHA_BOV3,"&gt;="&amp;H$2,FECHA_BOV3,"&lt;="&amp;H$3,CLAVE_BOV3,$A332)+SUMIFS(SALIDAS_TC,FECHA_TC,"&gt;="&amp;H$2,FECHA_TC,"&lt;="&amp;H$3,CLAVE_TC,$A332)+SUMIFS(SALIDAS_COMB,FECHA_COMB,"&gt;="&amp;H$2,FECHA_COMB,"&lt;="&amp;H$3,CLAVE_COMB,$A332)+SUMIFS(SALIDAS_DES,FECHA_DESGLOSEN,"&gt;="&amp;H$2,FECHA_DESGLOSEN,"&lt;="&amp;H$3,CLAVE_DESGLOSE,$A332)</f>
        <v>0</v>
      </c>
      <c r="I332" s="162">
        <f>SUMIFS(SALIDAS_BIT,FECHA_BIT,"&gt;="&amp;I$2,FECHA_BIT,"&lt;="&amp;I$3,CLAVE_BIT,$A332)+SUMIFS(SALIDAS_BOV1,FECHA_BOV1,"&gt;="&amp;I$2,FECHA_BOV1,"&lt;="&amp;I$3,CLAVE_BOV1,$A332)+SUMIFS(SALIDAS_BOV2,FECHA_BOV2,"&gt;="&amp;I$2,FECHA_BOV2,"&lt;="&amp;I$3,CLAVE_BOV2,$A332)+SUMIFS(SALIDAS_BOV3,FECHA_BOV3,"&gt;="&amp;I$2,FECHA_BOV3,"&lt;="&amp;I$3,CLAVE_BOV3,$A332)+SUMIFS(SALIDAS_TC,FECHA_TC,"&gt;="&amp;I$2,FECHA_TC,"&lt;="&amp;I$3,CLAVE_TC,$A332)+SUMIFS(SALIDAS_COMB,FECHA_COMB,"&gt;="&amp;I$2,FECHA_COMB,"&lt;="&amp;I$3,CLAVE_COMB,$A332)+SUMIFS(SALIDAS_DES,FECHA_DESGLOSEN,"&gt;="&amp;I$2,FECHA_DESGLOSEN,"&lt;="&amp;I$3,CLAVE_DESGLOSE,$A332)</f>
        <v>0</v>
      </c>
      <c r="J332" s="162">
        <f>SUMIFS(SALIDAS_BIT,FECHA_BIT,"&gt;="&amp;J$2,FECHA_BIT,"&lt;="&amp;J$3,CLAVE_BIT,$A332)+SUMIFS(SALIDAS_BOV1,FECHA_BOV1,"&gt;="&amp;J$2,FECHA_BOV1,"&lt;="&amp;J$3,CLAVE_BOV1,$A332)+SUMIFS(SALIDAS_BOV2,FECHA_BOV2,"&gt;="&amp;J$2,FECHA_BOV2,"&lt;="&amp;J$3,CLAVE_BOV2,$A332)+SUMIFS(SALIDAS_BOV3,FECHA_BOV3,"&gt;="&amp;J$2,FECHA_BOV3,"&lt;="&amp;J$3,CLAVE_BOV3,$A332)+SUMIFS(SALIDAS_TC,FECHA_TC,"&gt;="&amp;J$2,FECHA_TC,"&lt;="&amp;J$3,CLAVE_TC,$A332)+SUMIFS(SALIDAS_COMB,FECHA_COMB,"&gt;="&amp;J$2,FECHA_COMB,"&lt;="&amp;J$3,CLAVE_COMB,$A332)+SUMIFS(SALIDAS_DES,FECHA_DESGLOSEN,"&gt;="&amp;J$2,FECHA_DESGLOSEN,"&lt;="&amp;J$3,CLAVE_DESGLOSE,$A332)</f>
        <v>0</v>
      </c>
      <c r="K332" s="162">
        <f>SUMIFS(SALIDAS_BIT,FECHA_BIT,"&gt;="&amp;K$2,FECHA_BIT,"&lt;="&amp;K$3,CLAVE_BIT,$A332)+SUMIFS(SALIDAS_BOV1,FECHA_BOV1,"&gt;="&amp;K$2,FECHA_BOV1,"&lt;="&amp;K$3,CLAVE_BOV1,$A332)+SUMIFS(SALIDAS_BOV2,FECHA_BOV2,"&gt;="&amp;K$2,FECHA_BOV2,"&lt;="&amp;K$3,CLAVE_BOV2,$A332)+SUMIFS(SALIDAS_BOV3,FECHA_BOV3,"&gt;="&amp;K$2,FECHA_BOV3,"&lt;="&amp;K$3,CLAVE_BOV3,$A332)+SUMIFS(SALIDAS_TC,FECHA_TC,"&gt;="&amp;K$2,FECHA_TC,"&lt;="&amp;K$3,CLAVE_TC,$A332)+SUMIFS(SALIDAS_COMB,FECHA_COMB,"&gt;="&amp;K$2,FECHA_COMB,"&lt;="&amp;K$3,CLAVE_COMB,$A332)+SUMIFS(SALIDAS_DES,FECHA_DESGLOSEN,"&gt;="&amp;K$2,FECHA_DESGLOSEN,"&lt;="&amp;K$3,CLAVE_DESGLOSE,$A332)</f>
        <v>0</v>
      </c>
      <c r="L332" s="227">
        <f>F332-K332</f>
        <v>0</v>
      </c>
      <c r="M332" s="301">
        <f>IFERROR((K332/F332),0)</f>
        <v>0</v>
      </c>
      <c r="N332" s="162">
        <f>VLOOKUP($A332,T_PRESUPUESTO,MATCH(N$6,E_PRESUPUESTO,0),FALSE)</f>
        <v>0</v>
      </c>
      <c r="O332" s="162">
        <f>SUMIFS(SALIDAS_BIT,FECHA_BIT,"&gt;="&amp;O$2,FECHA_BIT,"&lt;="&amp;O$3,CLAVE_BIT,$A332)+SUMIFS(SALIDAS_BOV1,FECHA_BOV1,"&gt;="&amp;O$2,FECHA_BOV1,"&lt;="&amp;O$3,CLAVE_BOV1,$A332)+SUMIFS(SALIDAS_BOV2,FECHA_BOV2,"&gt;="&amp;O$2,FECHA_BOV2,"&lt;="&amp;O$3,CLAVE_BOV2,$A332)+SUMIFS(SALIDAS_BOV3,FECHA_BOV3,"&gt;="&amp;O$2,FECHA_BOV3,"&lt;="&amp;O$3,CLAVE_BOV3,$A332)+SUMIFS(SALIDAS_TC,FECHA_TC,"&gt;="&amp;O$2,FECHA_TC,"&lt;="&amp;O$3,CLAVE_TC,$A332)+SUMIFS(SALIDAS_COMB,FECHA_COMB,"&gt;="&amp;O$2,FECHA_COMB,"&lt;="&amp;O$3,CLAVE_COMB,$A332)+SUMIFS(SALIDAS_DES,FECHA_DESGLOSEN,"&gt;="&amp;O$2,FECHA_DESGLOSEN,"&lt;="&amp;O$3,CLAVE_DESGLOSE,$A332)</f>
        <v>0</v>
      </c>
      <c r="P332" s="162">
        <f>SUMIFS(SALIDAS_BIT,FECHA_BIT,"&gt;="&amp;P$2,FECHA_BIT,"&lt;="&amp;P$3,CLAVE_BIT,$A332)+SUMIFS(SALIDAS_BOV1,FECHA_BOV1,"&gt;="&amp;P$2,FECHA_BOV1,"&lt;="&amp;P$3,CLAVE_BOV1,$A332)+SUMIFS(SALIDAS_BOV2,FECHA_BOV2,"&gt;="&amp;P$2,FECHA_BOV2,"&lt;="&amp;P$3,CLAVE_BOV2,$A332)+SUMIFS(SALIDAS_BOV3,FECHA_BOV3,"&gt;="&amp;P$2,FECHA_BOV3,"&lt;="&amp;P$3,CLAVE_BOV3,$A332)+SUMIFS(SALIDAS_TC,FECHA_TC,"&gt;="&amp;P$2,FECHA_TC,"&lt;="&amp;P$3,CLAVE_TC,$A332)+SUMIFS(SALIDAS_COMB,FECHA_COMB,"&gt;="&amp;P$2,FECHA_COMB,"&lt;="&amp;P$3,CLAVE_COMB,$A332)+SUMIFS(SALIDAS_DES,FECHA_DESGLOSEN,"&gt;="&amp;P$2,FECHA_DESGLOSEN,"&lt;="&amp;P$3,CLAVE_DESGLOSE,$A332)</f>
        <v>0</v>
      </c>
      <c r="Q332" s="162">
        <f>SUMIFS(SALIDAS_BIT,FECHA_BIT,"&gt;="&amp;Q$2,FECHA_BIT,"&lt;="&amp;Q$3,CLAVE_BIT,$A332)+SUMIFS(SALIDAS_BOV1,FECHA_BOV1,"&gt;="&amp;Q$2,FECHA_BOV1,"&lt;="&amp;Q$3,CLAVE_BOV1,$A332)+SUMIFS(SALIDAS_BOV2,FECHA_BOV2,"&gt;="&amp;Q$2,FECHA_BOV2,"&lt;="&amp;Q$3,CLAVE_BOV2,$A332)+SUMIFS(SALIDAS_BOV3,FECHA_BOV3,"&gt;="&amp;Q$2,FECHA_BOV3,"&lt;="&amp;Q$3,CLAVE_BOV3,$A332)+SUMIFS(SALIDAS_TC,FECHA_TC,"&gt;="&amp;Q$2,FECHA_TC,"&lt;="&amp;Q$3,CLAVE_TC,$A332)+SUMIFS(SALIDAS_COMB,FECHA_COMB,"&gt;="&amp;Q$2,FECHA_COMB,"&lt;="&amp;Q$3,CLAVE_COMB,$A332)+SUMIFS(SALIDAS_DES,FECHA_DESGLOSEN,"&gt;="&amp;Q$2,FECHA_DESGLOSEN,"&lt;="&amp;Q$3,CLAVE_DESGLOSE,$A332)</f>
        <v>0</v>
      </c>
      <c r="R332" s="162">
        <f>SUMIFS(SALIDAS_BIT,FECHA_BIT,"&gt;="&amp;R$2,FECHA_BIT,"&lt;="&amp;R$3,CLAVE_BIT,$A332)+SUMIFS(SALIDAS_BOV1,FECHA_BOV1,"&gt;="&amp;R$2,FECHA_BOV1,"&lt;="&amp;R$3,CLAVE_BOV1,$A332)+SUMIFS(SALIDAS_BOV2,FECHA_BOV2,"&gt;="&amp;R$2,FECHA_BOV2,"&lt;="&amp;R$3,CLAVE_BOV2,$A332)+SUMIFS(SALIDAS_BOV3,FECHA_BOV3,"&gt;="&amp;R$2,FECHA_BOV3,"&lt;="&amp;R$3,CLAVE_BOV3,$A332)+SUMIFS(SALIDAS_TC,FECHA_TC,"&gt;="&amp;R$2,FECHA_TC,"&lt;="&amp;R$3,CLAVE_TC,$A332)+SUMIFS(SALIDAS_COMB,FECHA_COMB,"&gt;="&amp;R$2,FECHA_COMB,"&lt;="&amp;R$3,CLAVE_COMB,$A332)+SUMIFS(SALIDAS_DES,FECHA_DESGLOSEN,"&gt;="&amp;R$2,FECHA_DESGLOSEN,"&lt;="&amp;R$3,CLAVE_DESGLOSE,$A332)</f>
        <v>0</v>
      </c>
      <c r="S332" s="162">
        <f>SUMIFS(SALIDAS_BIT,FECHA_BIT,"&gt;="&amp;S$2,FECHA_BIT,"&lt;="&amp;S$3,CLAVE_BIT,$A332)+SUMIFS(SALIDAS_BOV1,FECHA_BOV1,"&gt;="&amp;S$2,FECHA_BOV1,"&lt;="&amp;S$3,CLAVE_BOV1,$A332)+SUMIFS(SALIDAS_BOV2,FECHA_BOV2,"&gt;="&amp;S$2,FECHA_BOV2,"&lt;="&amp;S$3,CLAVE_BOV2,$A332)+SUMIFS(SALIDAS_BOV3,FECHA_BOV3,"&gt;="&amp;S$2,FECHA_BOV3,"&lt;="&amp;S$3,CLAVE_BOV3,$A332)+SUMIFS(SALIDAS_TC,FECHA_TC,"&gt;="&amp;S$2,FECHA_TC,"&lt;="&amp;S$3,CLAVE_TC,$A332)+SUMIFS(SALIDAS_COMB,FECHA_COMB,"&gt;="&amp;S$2,FECHA_COMB,"&lt;="&amp;S$3,CLAVE_COMB,$A332)+SUMIFS(SALIDAS_DES,FECHA_DESGLOSEN,"&gt;="&amp;S$2,FECHA_DESGLOSEN,"&lt;="&amp;S$3,CLAVE_DESGLOSE,$A332)</f>
        <v>0</v>
      </c>
      <c r="T332" s="162">
        <f>SUMIFS(SALIDAS_BIT,FECHA_BIT,"&gt;="&amp;T$2,FECHA_BIT,"&lt;="&amp;T$3,CLAVE_BIT,$A332)+SUMIFS(SALIDAS_BOV1,FECHA_BOV1,"&gt;="&amp;T$2,FECHA_BOV1,"&lt;="&amp;T$3,CLAVE_BOV1,$A332)+SUMIFS(SALIDAS_BOV2,FECHA_BOV2,"&gt;="&amp;T$2,FECHA_BOV2,"&lt;="&amp;T$3,CLAVE_BOV2,$A332)+SUMIFS(SALIDAS_BOV3,FECHA_BOV3,"&gt;="&amp;T$2,FECHA_BOV3,"&lt;="&amp;T$3,CLAVE_BOV3,$A332)+SUMIFS(SALIDAS_TC,FECHA_TC,"&gt;="&amp;T$2,FECHA_TC,"&lt;="&amp;T$3,CLAVE_TC,$A332)+SUMIFS(SALIDAS_COMB,FECHA_COMB,"&gt;="&amp;T$2,FECHA_COMB,"&lt;="&amp;T$3,CLAVE_COMB,$A332)+SUMIFS(SALIDAS_DES,FECHA_DESGLOSEN,"&gt;="&amp;T$2,FECHA_DESGLOSEN,"&lt;="&amp;T$3,CLAVE_DESGLOSE,$A332)</f>
        <v>0</v>
      </c>
      <c r="U332" s="227">
        <f>N332-T332</f>
        <v>0</v>
      </c>
      <c r="V332" s="301">
        <f>IFERROR((T332/N332),0)</f>
        <v>0</v>
      </c>
      <c r="W332" s="162">
        <f>VLOOKUP($A332,T_PRESUPUESTO,MATCH(W$6,E_PRESUPUESTO,0),FALSE)</f>
        <v>0</v>
      </c>
      <c r="X332" s="162">
        <f>SUMIFS(SALIDAS_BIT,FECHA_BIT,"&gt;="&amp;X$2,FECHA_BIT,"&lt;="&amp;X$3,CLAVE_BIT,$A332)+SUMIFS(SALIDAS_BOV1,FECHA_BOV1,"&gt;="&amp;X$2,FECHA_BOV1,"&lt;="&amp;X$3,CLAVE_BOV1,$A332)+SUMIFS(SALIDAS_BOV2,FECHA_BOV2,"&gt;="&amp;X$2,FECHA_BOV2,"&lt;="&amp;X$3,CLAVE_BOV2,$A332)+SUMIFS(SALIDAS_BOV3,FECHA_BOV3,"&gt;="&amp;X$2,FECHA_BOV3,"&lt;="&amp;X$3,CLAVE_BOV3,$A332)+SUMIFS(SALIDAS_TC,FECHA_TC,"&gt;="&amp;X$2,FECHA_TC,"&lt;="&amp;X$3,CLAVE_TC,$A332)+SUMIFS(SALIDAS_COMB,FECHA_COMB,"&gt;="&amp;X$2,FECHA_COMB,"&lt;="&amp;X$3,CLAVE_COMB,$A332)+SUMIFS(SALIDAS_DES,FECHA_DESGLOSEN,"&gt;="&amp;X$2,FECHA_DESGLOSEN,"&lt;="&amp;X$3,CLAVE_DESGLOSE,$A332)</f>
        <v>0</v>
      </c>
      <c r="Y332" s="162">
        <f>SUMIFS(SALIDAS_BIT,FECHA_BIT,"&gt;="&amp;Y$2,FECHA_BIT,"&lt;="&amp;Y$3,CLAVE_BIT,$A332)+SUMIFS(SALIDAS_BOV1,FECHA_BOV1,"&gt;="&amp;Y$2,FECHA_BOV1,"&lt;="&amp;Y$3,CLAVE_BOV1,$A332)+SUMIFS(SALIDAS_BOV2,FECHA_BOV2,"&gt;="&amp;Y$2,FECHA_BOV2,"&lt;="&amp;Y$3,CLAVE_BOV2,$A332)+SUMIFS(SALIDAS_BOV3,FECHA_BOV3,"&gt;="&amp;Y$2,FECHA_BOV3,"&lt;="&amp;Y$3,CLAVE_BOV3,$A332)+SUMIFS(SALIDAS_TC,FECHA_TC,"&gt;="&amp;Y$2,FECHA_TC,"&lt;="&amp;Y$3,CLAVE_TC,$A332)+SUMIFS(SALIDAS_COMB,FECHA_COMB,"&gt;="&amp;Y$2,FECHA_COMB,"&lt;="&amp;Y$3,CLAVE_COMB,$A332)+SUMIFS(SALIDAS_DES,FECHA_DESGLOSEN,"&gt;="&amp;Y$2,FECHA_DESGLOSEN,"&lt;="&amp;Y$3,CLAVE_DESGLOSE,$A332)</f>
        <v>0</v>
      </c>
      <c r="Z332" s="162">
        <f>SUMIFS(SALIDAS_BIT,FECHA_BIT,"&gt;="&amp;Z$2,FECHA_BIT,"&lt;="&amp;Z$3,CLAVE_BIT,$A332)+SUMIFS(SALIDAS_BOV1,FECHA_BOV1,"&gt;="&amp;Z$2,FECHA_BOV1,"&lt;="&amp;Z$3,CLAVE_BOV1,$A332)+SUMIFS(SALIDAS_BOV2,FECHA_BOV2,"&gt;="&amp;Z$2,FECHA_BOV2,"&lt;="&amp;Z$3,CLAVE_BOV2,$A332)+SUMIFS(SALIDAS_BOV3,FECHA_BOV3,"&gt;="&amp;Z$2,FECHA_BOV3,"&lt;="&amp;Z$3,CLAVE_BOV3,$A332)+SUMIFS(SALIDAS_TC,FECHA_TC,"&gt;="&amp;Z$2,FECHA_TC,"&lt;="&amp;Z$3,CLAVE_TC,$A332)+SUMIFS(SALIDAS_COMB,FECHA_COMB,"&gt;="&amp;Z$2,FECHA_COMB,"&lt;="&amp;Z$3,CLAVE_COMB,$A332)+SUMIFS(SALIDAS_DES,FECHA_DESGLOSEN,"&gt;="&amp;Z$2,FECHA_DESGLOSEN,"&lt;="&amp;Z$3,CLAVE_DESGLOSE,$A332)</f>
        <v>0</v>
      </c>
      <c r="AA332" s="162">
        <f>SUMIFS(SALIDAS_BIT,FECHA_BIT,"&gt;="&amp;AA$2,FECHA_BIT,"&lt;="&amp;AA$3,CLAVE_BIT,$A332)+SUMIFS(SALIDAS_BOV1,FECHA_BOV1,"&gt;="&amp;AA$2,FECHA_BOV1,"&lt;="&amp;AA$3,CLAVE_BOV1,$A332)+SUMIFS(SALIDAS_BOV2,FECHA_BOV2,"&gt;="&amp;AA$2,FECHA_BOV2,"&lt;="&amp;AA$3,CLAVE_BOV2,$A332)+SUMIFS(SALIDAS_BOV3,FECHA_BOV3,"&gt;="&amp;AA$2,FECHA_BOV3,"&lt;="&amp;AA$3,CLAVE_BOV3,$A332)+SUMIFS(SALIDAS_TC,FECHA_TC,"&gt;="&amp;AA$2,FECHA_TC,"&lt;="&amp;AA$3,CLAVE_TC,$A332)+SUMIFS(SALIDAS_COMB,FECHA_COMB,"&gt;="&amp;AA$2,FECHA_COMB,"&lt;="&amp;AA$3,CLAVE_COMB,$A332)+SUMIFS(SALIDAS_DES,FECHA_DESGLOSEN,"&gt;="&amp;AA$2,FECHA_DESGLOSEN,"&lt;="&amp;AA$3,CLAVE_DESGLOSE,$A332)</f>
        <v>0</v>
      </c>
      <c r="AB332" s="162">
        <f>SUMIFS(SALIDAS_BIT,FECHA_BIT,"&gt;="&amp;AB$2,FECHA_BIT,"&lt;="&amp;AB$3,CLAVE_BIT,$A332)+SUMIFS(SALIDAS_BOV1,FECHA_BOV1,"&gt;="&amp;AB$2,FECHA_BOV1,"&lt;="&amp;AB$3,CLAVE_BOV1,$A332)+SUMIFS(SALIDAS_BOV2,FECHA_BOV2,"&gt;="&amp;AB$2,FECHA_BOV2,"&lt;="&amp;AB$3,CLAVE_BOV2,$A332)+SUMIFS(SALIDAS_BOV3,FECHA_BOV3,"&gt;="&amp;AB$2,FECHA_BOV3,"&lt;="&amp;AB$3,CLAVE_BOV3,$A332)+SUMIFS(SALIDAS_TC,FECHA_TC,"&gt;="&amp;AB$2,FECHA_TC,"&lt;="&amp;AB$3,CLAVE_TC,$A332)+SUMIFS(SALIDAS_COMB,FECHA_COMB,"&gt;="&amp;AB$2,FECHA_COMB,"&lt;="&amp;AB$3,CLAVE_COMB,$A332)+SUMIFS(SALIDAS_DES,FECHA_DESGLOSEN,"&gt;="&amp;AB$2,FECHA_DESGLOSEN,"&lt;="&amp;AB$3,CLAVE_DESGLOSE,$A332)</f>
        <v>0</v>
      </c>
      <c r="AC332" s="227">
        <f>W332-AB332</f>
        <v>0</v>
      </c>
      <c r="AD332" s="301">
        <f>IFERROR((AB332/W332),0)</f>
        <v>0</v>
      </c>
      <c r="AE332" s="162">
        <f>VLOOKUP($A332,T_PRESUPUESTO,MATCH(AE$6,E_PRESUPUESTO,0),FALSE)</f>
        <v>0</v>
      </c>
      <c r="AF332" s="162">
        <f>SUMIFS(SALIDAS_BIT,FECHA_BIT,"&gt;="&amp;AF$2,FECHA_BIT,"&lt;="&amp;AF$3,CLAVE_BIT,$A332)+SUMIFS(SALIDAS_BOV1,FECHA_BOV1,"&gt;="&amp;AF$2,FECHA_BOV1,"&lt;="&amp;AF$3,CLAVE_BOV1,$A332)+SUMIFS(SALIDAS_BOV2,FECHA_BOV2,"&gt;="&amp;AF$2,FECHA_BOV2,"&lt;="&amp;AF$3,CLAVE_BOV2,$A332)+SUMIFS(SALIDAS_BOV3,FECHA_BOV3,"&gt;="&amp;AF$2,FECHA_BOV3,"&lt;="&amp;AF$3,CLAVE_BOV3,$A332)+SUMIFS(SALIDAS_TC,FECHA_TC,"&gt;="&amp;AF$2,FECHA_TC,"&lt;="&amp;AF$3,CLAVE_TC,$A332)+SUMIFS(SALIDAS_COMB,FECHA_COMB,"&gt;="&amp;AF$2,FECHA_COMB,"&lt;="&amp;AF$3,CLAVE_COMB,$A332)+SUMIFS(SALIDAS_DES,FECHA_DESGLOSEN,"&gt;="&amp;AF$2,FECHA_DESGLOSEN,"&lt;="&amp;AF$3,CLAVE_DESGLOSE,$A332)</f>
        <v>0</v>
      </c>
      <c r="AG332" s="162">
        <f>SUMIFS(SALIDAS_BIT,FECHA_BIT,"&gt;="&amp;AG$2,FECHA_BIT,"&lt;="&amp;AG$3,CLAVE_BIT,$A332)+SUMIFS(SALIDAS_BOV1,FECHA_BOV1,"&gt;="&amp;AG$2,FECHA_BOV1,"&lt;="&amp;AG$3,CLAVE_BOV1,$A332)+SUMIFS(SALIDAS_BOV2,FECHA_BOV2,"&gt;="&amp;AG$2,FECHA_BOV2,"&lt;="&amp;AG$3,CLAVE_BOV2,$A332)+SUMIFS(SALIDAS_BOV3,FECHA_BOV3,"&gt;="&amp;AG$2,FECHA_BOV3,"&lt;="&amp;AG$3,CLAVE_BOV3,$A332)+SUMIFS(SALIDAS_TC,FECHA_TC,"&gt;="&amp;AG$2,FECHA_TC,"&lt;="&amp;AG$3,CLAVE_TC,$A332)+SUMIFS(SALIDAS_COMB,FECHA_COMB,"&gt;="&amp;AG$2,FECHA_COMB,"&lt;="&amp;AG$3,CLAVE_COMB,$A332)+SUMIFS(SALIDAS_DES,FECHA_DESGLOSEN,"&gt;="&amp;AG$2,FECHA_DESGLOSEN,"&lt;="&amp;AG$3,CLAVE_DESGLOSE,$A332)</f>
        <v>0</v>
      </c>
      <c r="AH332" s="162">
        <f>SUMIFS(SALIDAS_BIT,FECHA_BIT,"&gt;="&amp;AH$2,FECHA_BIT,"&lt;="&amp;AH$3,CLAVE_BIT,$A332)+SUMIFS(SALIDAS_BOV1,FECHA_BOV1,"&gt;="&amp;AH$2,FECHA_BOV1,"&lt;="&amp;AH$3,CLAVE_BOV1,$A332)+SUMIFS(SALIDAS_BOV2,FECHA_BOV2,"&gt;="&amp;AH$2,FECHA_BOV2,"&lt;="&amp;AH$3,CLAVE_BOV2,$A332)+SUMIFS(SALIDAS_BOV3,FECHA_BOV3,"&gt;="&amp;AH$2,FECHA_BOV3,"&lt;="&amp;AH$3,CLAVE_BOV3,$A332)+SUMIFS(SALIDAS_TC,FECHA_TC,"&gt;="&amp;AH$2,FECHA_TC,"&lt;="&amp;AH$3,CLAVE_TC,$A332)+SUMIFS(SALIDAS_COMB,FECHA_COMB,"&gt;="&amp;AH$2,FECHA_COMB,"&lt;="&amp;AH$3,CLAVE_COMB,$A332)+SUMIFS(SALIDAS_DES,FECHA_DESGLOSEN,"&gt;="&amp;AH$2,FECHA_DESGLOSEN,"&lt;="&amp;AH$3,CLAVE_DESGLOSE,$A332)</f>
        <v>0</v>
      </c>
      <c r="AI332" s="162">
        <f>SUMIFS(SALIDAS_BIT,FECHA_BIT,"&gt;="&amp;AI$2,FECHA_BIT,"&lt;="&amp;AI$3,CLAVE_BIT,$A332)+SUMIFS(SALIDAS_BOV1,FECHA_BOV1,"&gt;="&amp;AI$2,FECHA_BOV1,"&lt;="&amp;AI$3,CLAVE_BOV1,$A332)+SUMIFS(SALIDAS_BOV2,FECHA_BOV2,"&gt;="&amp;AI$2,FECHA_BOV2,"&lt;="&amp;AI$3,CLAVE_BOV2,$A332)+SUMIFS(SALIDAS_BOV3,FECHA_BOV3,"&gt;="&amp;AI$2,FECHA_BOV3,"&lt;="&amp;AI$3,CLAVE_BOV3,$A332)+SUMIFS(SALIDAS_TC,FECHA_TC,"&gt;="&amp;AI$2,FECHA_TC,"&lt;="&amp;AI$3,CLAVE_TC,$A332)+SUMIFS(SALIDAS_COMB,FECHA_COMB,"&gt;="&amp;AI$2,FECHA_COMB,"&lt;="&amp;AI$3,CLAVE_COMB,$A332)+SUMIFS(SALIDAS_DES,FECHA_DESGLOSEN,"&gt;="&amp;AI$2,FECHA_DESGLOSEN,"&lt;="&amp;AI$3,CLAVE_DESGLOSE,$A332)</f>
        <v>0</v>
      </c>
      <c r="AJ332" s="162">
        <f>SUMIFS(SALIDAS_BIT,FECHA_BIT,"&gt;="&amp;AJ$2,FECHA_BIT,"&lt;="&amp;AJ$3,CLAVE_BIT,$A332)+SUMIFS(SALIDAS_BOV1,FECHA_BOV1,"&gt;="&amp;AJ$2,FECHA_BOV1,"&lt;="&amp;AJ$3,CLAVE_BOV1,$A332)+SUMIFS(SALIDAS_BOV2,FECHA_BOV2,"&gt;="&amp;AJ$2,FECHA_BOV2,"&lt;="&amp;AJ$3,CLAVE_BOV2,$A332)+SUMIFS(SALIDAS_BOV3,FECHA_BOV3,"&gt;="&amp;AJ$2,FECHA_BOV3,"&lt;="&amp;AJ$3,CLAVE_BOV3,$A332)+SUMIFS(SALIDAS_TC,FECHA_TC,"&gt;="&amp;AJ$2,FECHA_TC,"&lt;="&amp;AJ$3,CLAVE_TC,$A332)+SUMIFS(SALIDAS_COMB,FECHA_COMB,"&gt;="&amp;AJ$2,FECHA_COMB,"&lt;="&amp;AJ$3,CLAVE_COMB,$A332)+SUMIFS(SALIDAS_DES,FECHA_DESGLOSEN,"&gt;="&amp;AJ$2,FECHA_DESGLOSEN,"&lt;="&amp;AJ$3,CLAVE_DESGLOSE,$A332)</f>
        <v>0</v>
      </c>
      <c r="AK332" s="227">
        <f>AE332-AJ332</f>
        <v>0</v>
      </c>
      <c r="AL332" s="301">
        <f>IFERROR((AJ332/AE332),0)</f>
        <v>0</v>
      </c>
      <c r="AM332" s="162">
        <f>VLOOKUP($A332,T_PRESUPUESTO,MATCH(AM$6,E_PRESUPUESTO,0),FALSE)</f>
        <v>0</v>
      </c>
      <c r="AN332" s="162">
        <f>SUMIFS(SALIDAS_BIT,FECHA_BIT,"&gt;="&amp;AN$2,FECHA_BIT,"&lt;="&amp;AN$3,CLAVE_BIT,$A332)+SUMIFS(SALIDAS_BOV1,FECHA_BOV1,"&gt;="&amp;AN$2,FECHA_BOV1,"&lt;="&amp;AN$3,CLAVE_BOV1,$A332)+SUMIFS(SALIDAS_BOV2,FECHA_BOV2,"&gt;="&amp;AN$2,FECHA_BOV2,"&lt;="&amp;AN$3,CLAVE_BOV2,$A332)+SUMIFS(SALIDAS_BOV3,FECHA_BOV3,"&gt;="&amp;AN$2,FECHA_BOV3,"&lt;="&amp;AN$3,CLAVE_BOV3,$A332)+SUMIFS(SALIDAS_TC,FECHA_TC,"&gt;="&amp;AN$2,FECHA_TC,"&lt;="&amp;AN$3,CLAVE_TC,$A332)+SUMIFS(SALIDAS_COMB,FECHA_COMB,"&gt;="&amp;AN$2,FECHA_COMB,"&lt;="&amp;AN$3,CLAVE_COMB,$A332)+SUMIFS(SALIDAS_DES,FECHA_DESGLOSEN,"&gt;="&amp;AN$2,FECHA_DESGLOSEN,"&lt;="&amp;AN$3,CLAVE_DESGLOSE,$A332)</f>
        <v>0</v>
      </c>
      <c r="AO332" s="162">
        <f>SUMIFS(SALIDAS_BIT,FECHA_BIT,"&gt;="&amp;AO$2,FECHA_BIT,"&lt;="&amp;AO$3,CLAVE_BIT,$A332)+SUMIFS(SALIDAS_BOV1,FECHA_BOV1,"&gt;="&amp;AO$2,FECHA_BOV1,"&lt;="&amp;AO$3,CLAVE_BOV1,$A332)+SUMIFS(SALIDAS_BOV2,FECHA_BOV2,"&gt;="&amp;AO$2,FECHA_BOV2,"&lt;="&amp;AO$3,CLAVE_BOV2,$A332)+SUMIFS(SALIDAS_BOV3,FECHA_BOV3,"&gt;="&amp;AO$2,FECHA_BOV3,"&lt;="&amp;AO$3,CLAVE_BOV3,$A332)+SUMIFS(SALIDAS_TC,FECHA_TC,"&gt;="&amp;AO$2,FECHA_TC,"&lt;="&amp;AO$3,CLAVE_TC,$A332)+SUMIFS(SALIDAS_COMB,FECHA_COMB,"&gt;="&amp;AO$2,FECHA_COMB,"&lt;="&amp;AO$3,CLAVE_COMB,$A332)+SUMIFS(SALIDAS_DES,FECHA_DESGLOSEN,"&gt;="&amp;AO$2,FECHA_DESGLOSEN,"&lt;="&amp;AO$3,CLAVE_DESGLOSE,$A332)</f>
        <v>0</v>
      </c>
      <c r="AP332" s="162">
        <f>SUMIFS(SALIDAS_BIT,FECHA_BIT,"&gt;="&amp;AP$2,FECHA_BIT,"&lt;="&amp;AP$3,CLAVE_BIT,$A332)+SUMIFS(SALIDAS_BOV1,FECHA_BOV1,"&gt;="&amp;AP$2,FECHA_BOV1,"&lt;="&amp;AP$3,CLAVE_BOV1,$A332)+SUMIFS(SALIDAS_BOV2,FECHA_BOV2,"&gt;="&amp;AP$2,FECHA_BOV2,"&lt;="&amp;AP$3,CLAVE_BOV2,$A332)+SUMIFS(SALIDAS_BOV3,FECHA_BOV3,"&gt;="&amp;AP$2,FECHA_BOV3,"&lt;="&amp;AP$3,CLAVE_BOV3,$A332)+SUMIFS(SALIDAS_TC,FECHA_TC,"&gt;="&amp;AP$2,FECHA_TC,"&lt;="&amp;AP$3,CLAVE_TC,$A332)+SUMIFS(SALIDAS_COMB,FECHA_COMB,"&gt;="&amp;AP$2,FECHA_COMB,"&lt;="&amp;AP$3,CLAVE_COMB,$A332)+SUMIFS(SALIDAS_DES,FECHA_DESGLOSEN,"&gt;="&amp;AP$2,FECHA_DESGLOSEN,"&lt;="&amp;AP$3,CLAVE_DESGLOSE,$A332)</f>
        <v>0</v>
      </c>
      <c r="AQ332" s="162">
        <f>SUMIFS(SALIDAS_BIT,FECHA_BIT,"&gt;="&amp;AQ$2,FECHA_BIT,"&lt;="&amp;AQ$3,CLAVE_BIT,$A332)+SUMIFS(SALIDAS_BOV1,FECHA_BOV1,"&gt;="&amp;AQ$2,FECHA_BOV1,"&lt;="&amp;AQ$3,CLAVE_BOV1,$A332)+SUMIFS(SALIDAS_BOV2,FECHA_BOV2,"&gt;="&amp;AQ$2,FECHA_BOV2,"&lt;="&amp;AQ$3,CLAVE_BOV2,$A332)+SUMIFS(SALIDAS_BOV3,FECHA_BOV3,"&gt;="&amp;AQ$2,FECHA_BOV3,"&lt;="&amp;AQ$3,CLAVE_BOV3,$A332)+SUMIFS(SALIDAS_TC,FECHA_TC,"&gt;="&amp;AQ$2,FECHA_TC,"&lt;="&amp;AQ$3,CLAVE_TC,$A332)+SUMIFS(SALIDAS_COMB,FECHA_COMB,"&gt;="&amp;AQ$2,FECHA_COMB,"&lt;="&amp;AQ$3,CLAVE_COMB,$A332)+SUMIFS(SALIDAS_DES,FECHA_DESGLOSEN,"&gt;="&amp;AQ$2,FECHA_DESGLOSEN,"&lt;="&amp;AQ$3,CLAVE_DESGLOSE,$A332)</f>
        <v>0</v>
      </c>
      <c r="AR332" s="162">
        <f>SUMIFS(SALIDAS_BIT,FECHA_BIT,"&gt;="&amp;AR$2,FECHA_BIT,"&lt;="&amp;AR$3,CLAVE_BIT,$A332)+SUMIFS(SALIDAS_BOV1,FECHA_BOV1,"&gt;="&amp;AR$2,FECHA_BOV1,"&lt;="&amp;AR$3,CLAVE_BOV1,$A332)+SUMIFS(SALIDAS_BOV2,FECHA_BOV2,"&gt;="&amp;AR$2,FECHA_BOV2,"&lt;="&amp;AR$3,CLAVE_BOV2,$A332)+SUMIFS(SALIDAS_BOV3,FECHA_BOV3,"&gt;="&amp;AR$2,FECHA_BOV3,"&lt;="&amp;AR$3,CLAVE_BOV3,$A332)+SUMIFS(SALIDAS_TC,FECHA_TC,"&gt;="&amp;AR$2,FECHA_TC,"&lt;="&amp;AR$3,CLAVE_TC,$A332)+SUMIFS(SALIDAS_COMB,FECHA_COMB,"&gt;="&amp;AR$2,FECHA_COMB,"&lt;="&amp;AR$3,CLAVE_COMB,$A332)+SUMIFS(SALIDAS_DES,FECHA_DESGLOSEN,"&gt;="&amp;AR$2,FECHA_DESGLOSEN,"&lt;="&amp;AR$3,CLAVE_DESGLOSE,$A332)</f>
        <v>0</v>
      </c>
      <c r="AS332" s="162">
        <f>SUMIFS(SALIDAS_BIT,FECHA_BIT,"&gt;="&amp;AS$2,FECHA_BIT,"&lt;="&amp;AS$3,CLAVE_BIT,$A332)+SUMIFS(SALIDAS_BOV1,FECHA_BOV1,"&gt;="&amp;AS$2,FECHA_BOV1,"&lt;="&amp;AS$3,CLAVE_BOV1,$A332)+SUMIFS(SALIDAS_BOV2,FECHA_BOV2,"&gt;="&amp;AS$2,FECHA_BOV2,"&lt;="&amp;AS$3,CLAVE_BOV2,$A332)+SUMIFS(SALIDAS_BOV3,FECHA_BOV3,"&gt;="&amp;AS$2,FECHA_BOV3,"&lt;="&amp;AS$3,CLAVE_BOV3,$A332)+SUMIFS(SALIDAS_TC,FECHA_TC,"&gt;="&amp;AS$2,FECHA_TC,"&lt;="&amp;AS$3,CLAVE_TC,$A332)+SUMIFS(SALIDAS_COMB,FECHA_COMB,"&gt;="&amp;AS$2,FECHA_COMB,"&lt;="&amp;AS$3,CLAVE_COMB,$A332)+SUMIFS(SALIDAS_DES,FECHA_DESGLOSEN,"&gt;="&amp;AS$2,FECHA_DESGLOSEN,"&lt;="&amp;AS$3,CLAVE_DESGLOSE,$A332)</f>
        <v>0</v>
      </c>
      <c r="AT332" s="227">
        <f>AM332-AS332</f>
        <v>0</v>
      </c>
      <c r="AU332" s="301">
        <f>IFERROR((AS332/AM332),0)</f>
        <v>0</v>
      </c>
      <c r="AV332" s="162">
        <f>VLOOKUP($A332,T_PRESUPUESTO,MATCH(AV$6,E_PRESUPUESTO,0),FALSE)</f>
        <v>0</v>
      </c>
      <c r="AW332" s="162">
        <f>SUMIFS(SALIDAS_BIT,FECHA_BIT,"&gt;="&amp;AW$2,FECHA_BIT,"&lt;="&amp;AW$3,CLAVE_BIT,$A332)+SUMIFS(SALIDAS_BOV1,FECHA_BOV1,"&gt;="&amp;AW$2,FECHA_BOV1,"&lt;="&amp;AW$3,CLAVE_BOV1,$A332)+SUMIFS(SALIDAS_BOV2,FECHA_BOV2,"&gt;="&amp;AW$2,FECHA_BOV2,"&lt;="&amp;AW$3,CLAVE_BOV2,$A332)+SUMIFS(SALIDAS_BOV3,FECHA_BOV3,"&gt;="&amp;AW$2,FECHA_BOV3,"&lt;="&amp;AW$3,CLAVE_BOV3,$A332)+SUMIFS(SALIDAS_TC,FECHA_TC,"&gt;="&amp;AW$2,FECHA_TC,"&lt;="&amp;AW$3,CLAVE_TC,$A332)+SUMIFS(SALIDAS_COMB,FECHA_COMB,"&gt;="&amp;AW$2,FECHA_COMB,"&lt;="&amp;AW$3,CLAVE_COMB,$A332)+SUMIFS(SALIDAS_DES,FECHA_DESGLOSEN,"&gt;="&amp;AW$2,FECHA_DESGLOSEN,"&lt;="&amp;AW$3,CLAVE_DESGLOSE,$A332)</f>
        <v>0</v>
      </c>
      <c r="AX332" s="162">
        <f>SUMIFS(SALIDAS_BIT,FECHA_BIT,"&gt;="&amp;AX$2,FECHA_BIT,"&lt;="&amp;AX$3,CLAVE_BIT,$A332)+SUMIFS(SALIDAS_BOV1,FECHA_BOV1,"&gt;="&amp;AX$2,FECHA_BOV1,"&lt;="&amp;AX$3,CLAVE_BOV1,$A332)+SUMIFS(SALIDAS_BOV2,FECHA_BOV2,"&gt;="&amp;AX$2,FECHA_BOV2,"&lt;="&amp;AX$3,CLAVE_BOV2,$A332)+SUMIFS(SALIDAS_BOV3,FECHA_BOV3,"&gt;="&amp;AX$2,FECHA_BOV3,"&lt;="&amp;AX$3,CLAVE_BOV3,$A332)+SUMIFS(SALIDAS_TC,FECHA_TC,"&gt;="&amp;AX$2,FECHA_TC,"&lt;="&amp;AX$3,CLAVE_TC,$A332)+SUMIFS(SALIDAS_COMB,FECHA_COMB,"&gt;="&amp;AX$2,FECHA_COMB,"&lt;="&amp;AX$3,CLAVE_COMB,$A332)+SUMIFS(SALIDAS_DES,FECHA_DESGLOSEN,"&gt;="&amp;AX$2,FECHA_DESGLOSEN,"&lt;="&amp;AX$3,CLAVE_DESGLOSE,$A332)</f>
        <v>0</v>
      </c>
      <c r="AY332" s="162">
        <f>SUMIFS(SALIDAS_BIT,FECHA_BIT,"&gt;="&amp;AY$2,FECHA_BIT,"&lt;="&amp;AY$3,CLAVE_BIT,$A332)+SUMIFS(SALIDAS_BOV1,FECHA_BOV1,"&gt;="&amp;AY$2,FECHA_BOV1,"&lt;="&amp;AY$3,CLAVE_BOV1,$A332)+SUMIFS(SALIDAS_BOV2,FECHA_BOV2,"&gt;="&amp;AY$2,FECHA_BOV2,"&lt;="&amp;AY$3,CLAVE_BOV2,$A332)+SUMIFS(SALIDAS_BOV3,FECHA_BOV3,"&gt;="&amp;AY$2,FECHA_BOV3,"&lt;="&amp;AY$3,CLAVE_BOV3,$A332)+SUMIFS(SALIDAS_TC,FECHA_TC,"&gt;="&amp;AY$2,FECHA_TC,"&lt;="&amp;AY$3,CLAVE_TC,$A332)+SUMIFS(SALIDAS_COMB,FECHA_COMB,"&gt;="&amp;AY$2,FECHA_COMB,"&lt;="&amp;AY$3,CLAVE_COMB,$A332)+SUMIFS(SALIDAS_DES,FECHA_DESGLOSEN,"&gt;="&amp;AY$2,FECHA_DESGLOSEN,"&lt;="&amp;AY$3,CLAVE_DESGLOSE,$A332)</f>
        <v>0</v>
      </c>
      <c r="AZ332" s="162">
        <f>SUMIFS(SALIDAS_BIT,FECHA_BIT,"&gt;="&amp;AZ$2,FECHA_BIT,"&lt;="&amp;AZ$3,CLAVE_BIT,$A332)+SUMIFS(SALIDAS_BOV1,FECHA_BOV1,"&gt;="&amp;AZ$2,FECHA_BOV1,"&lt;="&amp;AZ$3,CLAVE_BOV1,$A332)+SUMIFS(SALIDAS_BOV2,FECHA_BOV2,"&gt;="&amp;AZ$2,FECHA_BOV2,"&lt;="&amp;AZ$3,CLAVE_BOV2,$A332)+SUMIFS(SALIDAS_BOV3,FECHA_BOV3,"&gt;="&amp;AZ$2,FECHA_BOV3,"&lt;="&amp;AZ$3,CLAVE_BOV3,$A332)+SUMIFS(SALIDAS_TC,FECHA_TC,"&gt;="&amp;AZ$2,FECHA_TC,"&lt;="&amp;AZ$3,CLAVE_TC,$A332)+SUMIFS(SALIDAS_COMB,FECHA_COMB,"&gt;="&amp;AZ$2,FECHA_COMB,"&lt;="&amp;AZ$3,CLAVE_COMB,$A332)+SUMIFS(SALIDAS_DES,FECHA_DESGLOSEN,"&gt;="&amp;AZ$2,FECHA_DESGLOSEN,"&lt;="&amp;AZ$3,CLAVE_DESGLOSE,$A332)</f>
        <v>0</v>
      </c>
      <c r="BA332" s="162">
        <f>SUMIFS(SALIDAS_BIT,FECHA_BIT,"&gt;="&amp;BA$2,FECHA_BIT,"&lt;="&amp;BA$3,CLAVE_BIT,$A332)+SUMIFS(SALIDAS_BOV1,FECHA_BOV1,"&gt;="&amp;BA$2,FECHA_BOV1,"&lt;="&amp;BA$3,CLAVE_BOV1,$A332)+SUMIFS(SALIDAS_BOV2,FECHA_BOV2,"&gt;="&amp;BA$2,FECHA_BOV2,"&lt;="&amp;BA$3,CLAVE_BOV2,$A332)+SUMIFS(SALIDAS_BOV3,FECHA_BOV3,"&gt;="&amp;BA$2,FECHA_BOV3,"&lt;="&amp;BA$3,CLAVE_BOV3,$A332)+SUMIFS(SALIDAS_TC,FECHA_TC,"&gt;="&amp;BA$2,FECHA_TC,"&lt;="&amp;BA$3,CLAVE_TC,$A332)+SUMIFS(SALIDAS_COMB,FECHA_COMB,"&gt;="&amp;BA$2,FECHA_COMB,"&lt;="&amp;BA$3,CLAVE_COMB,$A332)+SUMIFS(SALIDAS_DES,FECHA_DESGLOSEN,"&gt;="&amp;BA$2,FECHA_DESGLOSEN,"&lt;="&amp;BA$3,CLAVE_DESGLOSE,$A332)</f>
        <v>0</v>
      </c>
      <c r="BB332" s="227">
        <f>AV332-BA332</f>
        <v>0</v>
      </c>
      <c r="BC332" s="301">
        <f>IFERROR((BA332/AV332),0)</f>
        <v>0</v>
      </c>
      <c r="BD332" s="162">
        <f>VLOOKUP($A332,T_PRESUPUESTO,MATCH(BD$6,E_PRESUPUESTO,0),FALSE)</f>
        <v>0</v>
      </c>
      <c r="BE332" s="162">
        <f>SUMIFS(SALIDAS_BIT,FECHA_BIT,"&gt;="&amp;BE$2,FECHA_BIT,"&lt;="&amp;BE$3,CLAVE_BIT,$A332)+SUMIFS(SALIDAS_BOV1,FECHA_BOV1,"&gt;="&amp;BE$2,FECHA_BOV1,"&lt;="&amp;BE$3,CLAVE_BOV1,$A332)+SUMIFS(SALIDAS_BOV2,FECHA_BOV2,"&gt;="&amp;BE$2,FECHA_BOV2,"&lt;="&amp;BE$3,CLAVE_BOV2,$A332)+SUMIFS(SALIDAS_BOV3,FECHA_BOV3,"&gt;="&amp;BE$2,FECHA_BOV3,"&lt;="&amp;BE$3,CLAVE_BOV3,$A332)+SUMIFS(SALIDAS_TC,FECHA_TC,"&gt;="&amp;BE$2,FECHA_TC,"&lt;="&amp;BE$3,CLAVE_TC,$A332)+SUMIFS(SALIDAS_COMB,FECHA_COMB,"&gt;="&amp;BE$2,FECHA_COMB,"&lt;="&amp;BE$3,CLAVE_COMB,$A332)+SUMIFS(SALIDAS_DES,FECHA_DESGLOSEN,"&gt;="&amp;BE$2,FECHA_DESGLOSEN,"&lt;="&amp;BE$3,CLAVE_DESGLOSE,$A332)</f>
        <v>0</v>
      </c>
      <c r="BF332" s="162">
        <f>SUMIFS(SALIDAS_BIT,FECHA_BIT,"&gt;="&amp;BF$2,FECHA_BIT,"&lt;="&amp;BF$3,CLAVE_BIT,$A332)+SUMIFS(SALIDAS_BOV1,FECHA_BOV1,"&gt;="&amp;BF$2,FECHA_BOV1,"&lt;="&amp;BF$3,CLAVE_BOV1,$A332)+SUMIFS(SALIDAS_BOV2,FECHA_BOV2,"&gt;="&amp;BF$2,FECHA_BOV2,"&lt;="&amp;BF$3,CLAVE_BOV2,$A332)+SUMIFS(SALIDAS_BOV3,FECHA_BOV3,"&gt;="&amp;BF$2,FECHA_BOV3,"&lt;="&amp;BF$3,CLAVE_BOV3,$A332)+SUMIFS(SALIDAS_TC,FECHA_TC,"&gt;="&amp;BF$2,FECHA_TC,"&lt;="&amp;BF$3,CLAVE_TC,$A332)+SUMIFS(SALIDAS_COMB,FECHA_COMB,"&gt;="&amp;BF$2,FECHA_COMB,"&lt;="&amp;BF$3,CLAVE_COMB,$A332)+SUMIFS(SALIDAS_DES,FECHA_DESGLOSEN,"&gt;="&amp;BF$2,FECHA_DESGLOSEN,"&lt;="&amp;BF$3,CLAVE_DESGLOSE,$A332)</f>
        <v>0</v>
      </c>
      <c r="BG332" s="162">
        <f>SUMIFS(SALIDAS_BIT,FECHA_BIT,"&gt;="&amp;BG$2,FECHA_BIT,"&lt;="&amp;BG$3,CLAVE_BIT,$A332)+SUMIFS(SALIDAS_BOV1,FECHA_BOV1,"&gt;="&amp;BG$2,FECHA_BOV1,"&lt;="&amp;BG$3,CLAVE_BOV1,$A332)+SUMIFS(SALIDAS_BOV2,FECHA_BOV2,"&gt;="&amp;BG$2,FECHA_BOV2,"&lt;="&amp;BG$3,CLAVE_BOV2,$A332)+SUMIFS(SALIDAS_BOV3,FECHA_BOV3,"&gt;="&amp;BG$2,FECHA_BOV3,"&lt;="&amp;BG$3,CLAVE_BOV3,$A332)+SUMIFS(SALIDAS_TC,FECHA_TC,"&gt;="&amp;BG$2,FECHA_TC,"&lt;="&amp;BG$3,CLAVE_TC,$A332)+SUMIFS(SALIDAS_COMB,FECHA_COMB,"&gt;="&amp;BG$2,FECHA_COMB,"&lt;="&amp;BG$3,CLAVE_COMB,$A332)+SUMIFS(SALIDAS_DES,FECHA_DESGLOSEN,"&gt;="&amp;BG$2,FECHA_DESGLOSEN,"&lt;="&amp;BG$3,CLAVE_DESGLOSE,$A332)</f>
        <v>0</v>
      </c>
      <c r="BH332" s="162">
        <f>SUMIFS(SALIDAS_BIT,FECHA_BIT,"&gt;="&amp;BH$2,FECHA_BIT,"&lt;="&amp;BH$3,CLAVE_BIT,$A332)+SUMIFS(SALIDAS_BOV1,FECHA_BOV1,"&gt;="&amp;BH$2,FECHA_BOV1,"&lt;="&amp;BH$3,CLAVE_BOV1,$A332)+SUMIFS(SALIDAS_BOV2,FECHA_BOV2,"&gt;="&amp;BH$2,FECHA_BOV2,"&lt;="&amp;BH$3,CLAVE_BOV2,$A332)+SUMIFS(SALIDAS_BOV3,FECHA_BOV3,"&gt;="&amp;BH$2,FECHA_BOV3,"&lt;="&amp;BH$3,CLAVE_BOV3,$A332)+SUMIFS(SALIDAS_TC,FECHA_TC,"&gt;="&amp;BH$2,FECHA_TC,"&lt;="&amp;BH$3,CLAVE_TC,$A332)+SUMIFS(SALIDAS_COMB,FECHA_COMB,"&gt;="&amp;BH$2,FECHA_COMB,"&lt;="&amp;BH$3,CLAVE_COMB,$A332)+SUMIFS(SALIDAS_DES,FECHA_DESGLOSEN,"&gt;="&amp;BH$2,FECHA_DESGLOSEN,"&lt;="&amp;BH$3,CLAVE_DESGLOSE,$A332)</f>
        <v>0</v>
      </c>
      <c r="BI332" s="162">
        <f>SUMIFS(SALIDAS_BIT,FECHA_BIT,"&gt;="&amp;BI$2,FECHA_BIT,"&lt;="&amp;BI$3,CLAVE_BIT,$A332)+SUMIFS(SALIDAS_BOV1,FECHA_BOV1,"&gt;="&amp;BI$2,FECHA_BOV1,"&lt;="&amp;BI$3,CLAVE_BOV1,$A332)+SUMIFS(SALIDAS_BOV2,FECHA_BOV2,"&gt;="&amp;BI$2,FECHA_BOV2,"&lt;="&amp;BI$3,CLAVE_BOV2,$A332)+SUMIFS(SALIDAS_BOV3,FECHA_BOV3,"&gt;="&amp;BI$2,FECHA_BOV3,"&lt;="&amp;BI$3,CLAVE_BOV3,$A332)+SUMIFS(SALIDAS_TC,FECHA_TC,"&gt;="&amp;BI$2,FECHA_TC,"&lt;="&amp;BI$3,CLAVE_TC,$A332)+SUMIFS(SALIDAS_COMB,FECHA_COMB,"&gt;="&amp;BI$2,FECHA_COMB,"&lt;="&amp;BI$3,CLAVE_COMB,$A332)+SUMIFS(SALIDAS_DES,FECHA_DESGLOSEN,"&gt;="&amp;BI$2,FECHA_DESGLOSEN,"&lt;="&amp;BI$3,CLAVE_DESGLOSE,$A332)</f>
        <v>0</v>
      </c>
      <c r="BJ332" s="227">
        <f>BD332-BI332</f>
        <v>0</v>
      </c>
      <c r="BK332" s="301">
        <f>IFERROR((BI332/BD332),0)</f>
        <v>0</v>
      </c>
      <c r="BL332" s="162">
        <f>VLOOKUP($A332,T_PRESUPUESTO,MATCH(BL$6,E_PRESUPUESTO,0),FALSE)</f>
        <v>0</v>
      </c>
      <c r="BM332" s="162">
        <f>SUMIFS(SALIDAS_BIT,FECHA_BIT,"&gt;="&amp;BM$2,FECHA_BIT,"&lt;="&amp;BM$3,CLAVE_BIT,$A332)+SUMIFS(SALIDAS_BOV1,FECHA_BOV1,"&gt;="&amp;BM$2,FECHA_BOV1,"&lt;="&amp;BM$3,CLAVE_BOV1,$A332)+SUMIFS(SALIDAS_BOV2,FECHA_BOV2,"&gt;="&amp;BM$2,FECHA_BOV2,"&lt;="&amp;BM$3,CLAVE_BOV2,$A332)+SUMIFS(SALIDAS_BOV3,FECHA_BOV3,"&gt;="&amp;BM$2,FECHA_BOV3,"&lt;="&amp;BM$3,CLAVE_BOV3,$A332)+SUMIFS(SALIDAS_TC,FECHA_TC,"&gt;="&amp;BM$2,FECHA_TC,"&lt;="&amp;BM$3,CLAVE_TC,$A332)+SUMIFS(SALIDAS_COMB,FECHA_COMB,"&gt;="&amp;BM$2,FECHA_COMB,"&lt;="&amp;BM$3,CLAVE_COMB,$A332)+SUMIFS(SALIDAS_DES,FECHA_DESGLOSEN,"&gt;="&amp;BM$2,FECHA_DESGLOSEN,"&lt;="&amp;BM$3,CLAVE_DESGLOSE,$A332)</f>
        <v>0</v>
      </c>
      <c r="BN332" s="162">
        <f>SUMIFS(SALIDAS_BIT,FECHA_BIT,"&gt;="&amp;BN$2,FECHA_BIT,"&lt;="&amp;BN$3,CLAVE_BIT,$A332)+SUMIFS(SALIDAS_BOV1,FECHA_BOV1,"&gt;="&amp;BN$2,FECHA_BOV1,"&lt;="&amp;BN$3,CLAVE_BOV1,$A332)+SUMIFS(SALIDAS_BOV2,FECHA_BOV2,"&gt;="&amp;BN$2,FECHA_BOV2,"&lt;="&amp;BN$3,CLAVE_BOV2,$A332)+SUMIFS(SALIDAS_BOV3,FECHA_BOV3,"&gt;="&amp;BN$2,FECHA_BOV3,"&lt;="&amp;BN$3,CLAVE_BOV3,$A332)+SUMIFS(SALIDAS_TC,FECHA_TC,"&gt;="&amp;BN$2,FECHA_TC,"&lt;="&amp;BN$3,CLAVE_TC,$A332)+SUMIFS(SALIDAS_COMB,FECHA_COMB,"&gt;="&amp;BN$2,FECHA_COMB,"&lt;="&amp;BN$3,CLAVE_COMB,$A332)+SUMIFS(SALIDAS_DES,FECHA_DESGLOSEN,"&gt;="&amp;BN$2,FECHA_DESGLOSEN,"&lt;="&amp;BN$3,CLAVE_DESGLOSE,$A332)</f>
        <v>0</v>
      </c>
      <c r="BO332" s="162">
        <f>SUMIFS(SALIDAS_BIT,FECHA_BIT,"&gt;="&amp;BO$2,FECHA_BIT,"&lt;="&amp;BO$3,CLAVE_BIT,$A332)+SUMIFS(SALIDAS_BOV1,FECHA_BOV1,"&gt;="&amp;BO$2,FECHA_BOV1,"&lt;="&amp;BO$3,CLAVE_BOV1,$A332)+SUMIFS(SALIDAS_BOV2,FECHA_BOV2,"&gt;="&amp;BO$2,FECHA_BOV2,"&lt;="&amp;BO$3,CLAVE_BOV2,$A332)+SUMIFS(SALIDAS_BOV3,FECHA_BOV3,"&gt;="&amp;BO$2,FECHA_BOV3,"&lt;="&amp;BO$3,CLAVE_BOV3,$A332)+SUMIFS(SALIDAS_TC,FECHA_TC,"&gt;="&amp;BO$2,FECHA_TC,"&lt;="&amp;BO$3,CLAVE_TC,$A332)+SUMIFS(SALIDAS_COMB,FECHA_COMB,"&gt;="&amp;BO$2,FECHA_COMB,"&lt;="&amp;BO$3,CLAVE_COMB,$A332)+SUMIFS(SALIDAS_DES,FECHA_DESGLOSEN,"&gt;="&amp;BO$2,FECHA_DESGLOSEN,"&lt;="&amp;BO$3,CLAVE_DESGLOSE,$A332)</f>
        <v>0</v>
      </c>
      <c r="BP332" s="162">
        <f>SUMIFS(SALIDAS_BIT,FECHA_BIT,"&gt;="&amp;BP$2,FECHA_BIT,"&lt;="&amp;BP$3,CLAVE_BIT,$A332)+SUMIFS(SALIDAS_BOV1,FECHA_BOV1,"&gt;="&amp;BP$2,FECHA_BOV1,"&lt;="&amp;BP$3,CLAVE_BOV1,$A332)+SUMIFS(SALIDAS_BOV2,FECHA_BOV2,"&gt;="&amp;BP$2,FECHA_BOV2,"&lt;="&amp;BP$3,CLAVE_BOV2,$A332)+SUMIFS(SALIDAS_BOV3,FECHA_BOV3,"&gt;="&amp;BP$2,FECHA_BOV3,"&lt;="&amp;BP$3,CLAVE_BOV3,$A332)+SUMIFS(SALIDAS_TC,FECHA_TC,"&gt;="&amp;BP$2,FECHA_TC,"&lt;="&amp;BP$3,CLAVE_TC,$A332)+SUMIFS(SALIDAS_COMB,FECHA_COMB,"&gt;="&amp;BP$2,FECHA_COMB,"&lt;="&amp;BP$3,CLAVE_COMB,$A332)+SUMIFS(SALIDAS_DES,FECHA_DESGLOSEN,"&gt;="&amp;BP$2,FECHA_DESGLOSEN,"&lt;="&amp;BP$3,CLAVE_DESGLOSE,$A332)</f>
        <v>0</v>
      </c>
      <c r="BQ332" s="162">
        <f>SUMIFS(SALIDAS_BIT,FECHA_BIT,"&gt;="&amp;BQ$2,FECHA_BIT,"&lt;="&amp;BQ$3,CLAVE_BIT,$A332)+SUMIFS(SALIDAS_BOV1,FECHA_BOV1,"&gt;="&amp;BQ$2,FECHA_BOV1,"&lt;="&amp;BQ$3,CLAVE_BOV1,$A332)+SUMIFS(SALIDAS_BOV2,FECHA_BOV2,"&gt;="&amp;BQ$2,FECHA_BOV2,"&lt;="&amp;BQ$3,CLAVE_BOV2,$A332)+SUMIFS(SALIDAS_BOV3,FECHA_BOV3,"&gt;="&amp;BQ$2,FECHA_BOV3,"&lt;="&amp;BQ$3,CLAVE_BOV3,$A332)+SUMIFS(SALIDAS_TC,FECHA_TC,"&gt;="&amp;BQ$2,FECHA_TC,"&lt;="&amp;BQ$3,CLAVE_TC,$A332)+SUMIFS(SALIDAS_COMB,FECHA_COMB,"&gt;="&amp;BQ$2,FECHA_COMB,"&lt;="&amp;BQ$3,CLAVE_COMB,$A332)+SUMIFS(SALIDAS_DES,FECHA_DESGLOSEN,"&gt;="&amp;BQ$2,FECHA_DESGLOSEN,"&lt;="&amp;BQ$3,CLAVE_DESGLOSE,$A332)</f>
        <v>0</v>
      </c>
      <c r="BR332" s="162">
        <f>SUMIFS(SALIDAS_BIT,FECHA_BIT,"&gt;="&amp;BR$2,FECHA_BIT,"&lt;="&amp;BR$3,CLAVE_BIT,$A332)+SUMIFS(SALIDAS_BOV1,FECHA_BOV1,"&gt;="&amp;BR$2,FECHA_BOV1,"&lt;="&amp;BR$3,CLAVE_BOV1,$A332)+SUMIFS(SALIDAS_BOV2,FECHA_BOV2,"&gt;="&amp;BR$2,FECHA_BOV2,"&lt;="&amp;BR$3,CLAVE_BOV2,$A332)+SUMIFS(SALIDAS_BOV3,FECHA_BOV3,"&gt;="&amp;BR$2,FECHA_BOV3,"&lt;="&amp;BR$3,CLAVE_BOV3,$A332)+SUMIFS(SALIDAS_TC,FECHA_TC,"&gt;="&amp;BR$2,FECHA_TC,"&lt;="&amp;BR$3,CLAVE_TC,$A332)+SUMIFS(SALIDAS_COMB,FECHA_COMB,"&gt;="&amp;BR$2,FECHA_COMB,"&lt;="&amp;BR$3,CLAVE_COMB,$A332)+SUMIFS(SALIDAS_DES,FECHA_DESGLOSEN,"&gt;="&amp;BR$2,FECHA_DESGLOSEN,"&lt;="&amp;BR$3,CLAVE_DESGLOSE,$A332)</f>
        <v>0</v>
      </c>
      <c r="BS332" s="227">
        <f>BL332-BR332</f>
        <v>0</v>
      </c>
      <c r="BT332" s="301">
        <f>IFERROR((BR332/BL332),0)</f>
        <v>0</v>
      </c>
      <c r="BU332" s="162">
        <f>VLOOKUP($A332,T_PRESUPUESTO,MATCH(BU$6,E_PRESUPUESTO,0),FALSE)</f>
        <v>0</v>
      </c>
      <c r="BV332" s="162">
        <f>SUMIFS(SALIDAS_BIT,FECHA_BIT,"&gt;="&amp;BV$2,FECHA_BIT,"&lt;="&amp;BV$3,CLAVE_BIT,$A332)+SUMIFS(SALIDAS_BOV1,FECHA_BOV1,"&gt;="&amp;BV$2,FECHA_BOV1,"&lt;="&amp;BV$3,CLAVE_BOV1,$A332)+SUMIFS(SALIDAS_BOV2,FECHA_BOV2,"&gt;="&amp;BV$2,FECHA_BOV2,"&lt;="&amp;BV$3,CLAVE_BOV2,$A332)+SUMIFS(SALIDAS_BOV3,FECHA_BOV3,"&gt;="&amp;BV$2,FECHA_BOV3,"&lt;="&amp;BV$3,CLAVE_BOV3,$A332)+SUMIFS(SALIDAS_TC,FECHA_TC,"&gt;="&amp;BV$2,FECHA_TC,"&lt;="&amp;BV$3,CLAVE_TC,$A332)+SUMIFS(SALIDAS_COMB,FECHA_COMB,"&gt;="&amp;BV$2,FECHA_COMB,"&lt;="&amp;BV$3,CLAVE_COMB,$A332)+SUMIFS(SALIDAS_DES,FECHA_DESGLOSEN,"&gt;="&amp;BV$2,FECHA_DESGLOSEN,"&lt;="&amp;BV$3,CLAVE_DESGLOSE,$A332)</f>
        <v>0</v>
      </c>
      <c r="BW332" s="162">
        <f>SUMIFS(SALIDAS_BIT,FECHA_BIT,"&gt;="&amp;BW$2,FECHA_BIT,"&lt;="&amp;BW$3,CLAVE_BIT,$A332)+SUMIFS(SALIDAS_BOV1,FECHA_BOV1,"&gt;="&amp;BW$2,FECHA_BOV1,"&lt;="&amp;BW$3,CLAVE_BOV1,$A332)+SUMIFS(SALIDAS_BOV2,FECHA_BOV2,"&gt;="&amp;BW$2,FECHA_BOV2,"&lt;="&amp;BW$3,CLAVE_BOV2,$A332)+SUMIFS(SALIDAS_BOV3,FECHA_BOV3,"&gt;="&amp;BW$2,FECHA_BOV3,"&lt;="&amp;BW$3,CLAVE_BOV3,$A332)+SUMIFS(SALIDAS_TC,FECHA_TC,"&gt;="&amp;BW$2,FECHA_TC,"&lt;="&amp;BW$3,CLAVE_TC,$A332)+SUMIFS(SALIDAS_COMB,FECHA_COMB,"&gt;="&amp;BW$2,FECHA_COMB,"&lt;="&amp;BW$3,CLAVE_COMB,$A332)+SUMIFS(SALIDAS_DES,FECHA_DESGLOSEN,"&gt;="&amp;BW$2,FECHA_DESGLOSEN,"&lt;="&amp;BW$3,CLAVE_DESGLOSE,$A332)</f>
        <v>0</v>
      </c>
      <c r="BX332" s="162">
        <f>SUMIFS(SALIDAS_BIT,FECHA_BIT,"&gt;="&amp;BX$2,FECHA_BIT,"&lt;="&amp;BX$3,CLAVE_BIT,$A332)+SUMIFS(SALIDAS_BOV1,FECHA_BOV1,"&gt;="&amp;BX$2,FECHA_BOV1,"&lt;="&amp;BX$3,CLAVE_BOV1,$A332)+SUMIFS(SALIDAS_BOV2,FECHA_BOV2,"&gt;="&amp;BX$2,FECHA_BOV2,"&lt;="&amp;BX$3,CLAVE_BOV2,$A332)+SUMIFS(SALIDAS_BOV3,FECHA_BOV3,"&gt;="&amp;BX$2,FECHA_BOV3,"&lt;="&amp;BX$3,CLAVE_BOV3,$A332)+SUMIFS(SALIDAS_TC,FECHA_TC,"&gt;="&amp;BX$2,FECHA_TC,"&lt;="&amp;BX$3,CLAVE_TC,$A332)+SUMIFS(SALIDAS_COMB,FECHA_COMB,"&gt;="&amp;BX$2,FECHA_COMB,"&lt;="&amp;BX$3,CLAVE_COMB,$A332)+SUMIFS(SALIDAS_DES,FECHA_DESGLOSEN,"&gt;="&amp;BX$2,FECHA_DESGLOSEN,"&lt;="&amp;BX$3,CLAVE_DESGLOSE,$A332)</f>
        <v>0</v>
      </c>
      <c r="BY332" s="162">
        <f>SUMIFS(SALIDAS_BIT,FECHA_BIT,"&gt;="&amp;BY$2,FECHA_BIT,"&lt;="&amp;BY$3,CLAVE_BIT,$A332)+SUMIFS(SALIDAS_BOV1,FECHA_BOV1,"&gt;="&amp;BY$2,FECHA_BOV1,"&lt;="&amp;BY$3,CLAVE_BOV1,$A332)+SUMIFS(SALIDAS_BOV2,FECHA_BOV2,"&gt;="&amp;BY$2,FECHA_BOV2,"&lt;="&amp;BY$3,CLAVE_BOV2,$A332)+SUMIFS(SALIDAS_BOV3,FECHA_BOV3,"&gt;="&amp;BY$2,FECHA_BOV3,"&lt;="&amp;BY$3,CLAVE_BOV3,$A332)+SUMIFS(SALIDAS_TC,FECHA_TC,"&gt;="&amp;BY$2,FECHA_TC,"&lt;="&amp;BY$3,CLAVE_TC,$A332)+SUMIFS(SALIDAS_COMB,FECHA_COMB,"&gt;="&amp;BY$2,FECHA_COMB,"&lt;="&amp;BY$3,CLAVE_COMB,$A332)+SUMIFS(SALIDAS_DES,FECHA_DESGLOSEN,"&gt;="&amp;BY$2,FECHA_DESGLOSEN,"&lt;="&amp;BY$3,CLAVE_DESGLOSE,$A332)</f>
        <v>0</v>
      </c>
      <c r="BZ332" s="162">
        <f>SUMIFS(SALIDAS_BIT,FECHA_BIT,"&gt;="&amp;BZ$2,FECHA_BIT,"&lt;="&amp;BZ$3,CLAVE_BIT,$A332)+SUMIFS(SALIDAS_BOV1,FECHA_BOV1,"&gt;="&amp;BZ$2,FECHA_BOV1,"&lt;="&amp;BZ$3,CLAVE_BOV1,$A332)+SUMIFS(SALIDAS_BOV2,FECHA_BOV2,"&gt;="&amp;BZ$2,FECHA_BOV2,"&lt;="&amp;BZ$3,CLAVE_BOV2,$A332)+SUMIFS(SALIDAS_BOV3,FECHA_BOV3,"&gt;="&amp;BZ$2,FECHA_BOV3,"&lt;="&amp;BZ$3,CLAVE_BOV3,$A332)+SUMIFS(SALIDAS_TC,FECHA_TC,"&gt;="&amp;BZ$2,FECHA_TC,"&lt;="&amp;BZ$3,CLAVE_TC,$A332)+SUMIFS(SALIDAS_COMB,FECHA_COMB,"&gt;="&amp;BZ$2,FECHA_COMB,"&lt;="&amp;BZ$3,CLAVE_COMB,$A332)+SUMIFS(SALIDAS_DES,FECHA_DESGLOSEN,"&gt;="&amp;BZ$2,FECHA_DESGLOSEN,"&lt;="&amp;BZ$3,CLAVE_DESGLOSE,$A332)</f>
        <v>0</v>
      </c>
      <c r="CA332" s="227">
        <f>BU332-BZ332</f>
        <v>0</v>
      </c>
      <c r="CB332" s="301">
        <f>IFERROR((BZ332/BU332),0)</f>
        <v>0</v>
      </c>
      <c r="CC332" s="162">
        <f>VLOOKUP($A332,T_PRESUPUESTO,MATCH(CC$6,E_PRESUPUESTO,0),FALSE)</f>
        <v>100800</v>
      </c>
      <c r="CD332" s="162">
        <f>SUMIFS(SALIDAS_BIT,FECHA_BIT,"&gt;="&amp;CD$2,FECHA_BIT,"&lt;="&amp;CD$3,CLAVE_BIT,$A332)+SUMIFS(SALIDAS_BOV1,FECHA_BOV1,"&gt;="&amp;CD$2,FECHA_BOV1,"&lt;="&amp;CD$3,CLAVE_BOV1,$A332)+SUMIFS(SALIDAS_BOV2,FECHA_BOV2,"&gt;="&amp;CD$2,FECHA_BOV2,"&lt;="&amp;CD$3,CLAVE_BOV2,$A332)+SUMIFS(SALIDAS_BOV3,FECHA_BOV3,"&gt;="&amp;CD$2,FECHA_BOV3,"&lt;="&amp;CD$3,CLAVE_BOV3,$A332)+SUMIFS(SALIDAS_TC,FECHA_TC,"&gt;="&amp;CD$2,FECHA_TC,"&lt;="&amp;CD$3,CLAVE_TC,$A332)+SUMIFS(SALIDAS_COMB,FECHA_COMB,"&gt;="&amp;CD$2,FECHA_COMB,"&lt;="&amp;CD$3,CLAVE_COMB,$A332)+SUMIFS(SALIDAS_DES,FECHA_DESGLOSEN,"&gt;="&amp;CD$2,FECHA_DESGLOSEN,"&lt;="&amp;CD$3,CLAVE_DESGLOSE,$A332)</f>
        <v>0</v>
      </c>
      <c r="CE332" s="162">
        <f>SUMIFS(SALIDAS_BIT,FECHA_BIT,"&gt;="&amp;CE$2,FECHA_BIT,"&lt;="&amp;CE$3,CLAVE_BIT,$A332)+SUMIFS(SALIDAS_BOV1,FECHA_BOV1,"&gt;="&amp;CE$2,FECHA_BOV1,"&lt;="&amp;CE$3,CLAVE_BOV1,$A332)+SUMIFS(SALIDAS_BOV2,FECHA_BOV2,"&gt;="&amp;CE$2,FECHA_BOV2,"&lt;="&amp;CE$3,CLAVE_BOV2,$A332)+SUMIFS(SALIDAS_BOV3,FECHA_BOV3,"&gt;="&amp;CE$2,FECHA_BOV3,"&lt;="&amp;CE$3,CLAVE_BOV3,$A332)+SUMIFS(SALIDAS_TC,FECHA_TC,"&gt;="&amp;CE$2,FECHA_TC,"&lt;="&amp;CE$3,CLAVE_TC,$A332)+SUMIFS(SALIDAS_COMB,FECHA_COMB,"&gt;="&amp;CE$2,FECHA_COMB,"&lt;="&amp;CE$3,CLAVE_COMB,$A332)+SUMIFS(SALIDAS_DES,FECHA_DESGLOSEN,"&gt;="&amp;CE$2,FECHA_DESGLOSEN,"&lt;="&amp;CE$3,CLAVE_DESGLOSE,$A332)</f>
        <v>0</v>
      </c>
      <c r="CF332" s="162">
        <f>SUMIFS(SALIDAS_BIT,FECHA_BIT,"&gt;="&amp;CF$2,FECHA_BIT,"&lt;="&amp;CF$3,CLAVE_BIT,$A332)+SUMIFS(SALIDAS_BOV1,FECHA_BOV1,"&gt;="&amp;CF$2,FECHA_BOV1,"&lt;="&amp;CF$3,CLAVE_BOV1,$A332)+SUMIFS(SALIDAS_BOV2,FECHA_BOV2,"&gt;="&amp;CF$2,FECHA_BOV2,"&lt;="&amp;CF$3,CLAVE_BOV2,$A332)+SUMIFS(SALIDAS_BOV3,FECHA_BOV3,"&gt;="&amp;CF$2,FECHA_BOV3,"&lt;="&amp;CF$3,CLAVE_BOV3,$A332)+SUMIFS(SALIDAS_TC,FECHA_TC,"&gt;="&amp;CF$2,FECHA_TC,"&lt;="&amp;CF$3,CLAVE_TC,$A332)+SUMIFS(SALIDAS_COMB,FECHA_COMB,"&gt;="&amp;CF$2,FECHA_COMB,"&lt;="&amp;CF$3,CLAVE_COMB,$A332)+SUMIFS(SALIDAS_DES,FECHA_DESGLOSEN,"&gt;="&amp;CF$2,FECHA_DESGLOSEN,"&lt;="&amp;CF$3,CLAVE_DESGLOSE,$A332)</f>
        <v>0</v>
      </c>
      <c r="CG332" s="162">
        <f>SUMIFS(SALIDAS_BIT,FECHA_BIT,"&gt;="&amp;CG$2,FECHA_BIT,"&lt;="&amp;CG$3,CLAVE_BIT,$A332)+SUMIFS(SALIDAS_BOV1,FECHA_BOV1,"&gt;="&amp;CG$2,FECHA_BOV1,"&lt;="&amp;CG$3,CLAVE_BOV1,$A332)+SUMIFS(SALIDAS_BOV2,FECHA_BOV2,"&gt;="&amp;CG$2,FECHA_BOV2,"&lt;="&amp;CG$3,CLAVE_BOV2,$A332)+SUMIFS(SALIDAS_BOV3,FECHA_BOV3,"&gt;="&amp;CG$2,FECHA_BOV3,"&lt;="&amp;CG$3,CLAVE_BOV3,$A332)+SUMIFS(SALIDAS_TC,FECHA_TC,"&gt;="&amp;CG$2,FECHA_TC,"&lt;="&amp;CG$3,CLAVE_TC,$A332)+SUMIFS(SALIDAS_COMB,FECHA_COMB,"&gt;="&amp;CG$2,FECHA_COMB,"&lt;="&amp;CG$3,CLAVE_COMB,$A332)+SUMIFS(SALIDAS_DES,FECHA_DESGLOSEN,"&gt;="&amp;CG$2,FECHA_DESGLOSEN,"&lt;="&amp;CG$3,CLAVE_DESGLOSE,$A332)</f>
        <v>0</v>
      </c>
      <c r="CH332" s="162">
        <f>SUMIFS(SALIDAS_BIT,FECHA_BIT,"&gt;="&amp;CH$2,FECHA_BIT,"&lt;="&amp;CH$3,CLAVE_BIT,$A332)+SUMIFS(SALIDAS_BOV1,FECHA_BOV1,"&gt;="&amp;CH$2,FECHA_BOV1,"&lt;="&amp;CH$3,CLAVE_BOV1,$A332)+SUMIFS(SALIDAS_BOV2,FECHA_BOV2,"&gt;="&amp;CH$2,FECHA_BOV2,"&lt;="&amp;CH$3,CLAVE_BOV2,$A332)+SUMIFS(SALIDAS_BOV3,FECHA_BOV3,"&gt;="&amp;CH$2,FECHA_BOV3,"&lt;="&amp;CH$3,CLAVE_BOV3,$A332)+SUMIFS(SALIDAS_TC,FECHA_TC,"&gt;="&amp;CH$2,FECHA_TC,"&lt;="&amp;CH$3,CLAVE_TC,$A332)+SUMIFS(SALIDAS_COMB,FECHA_COMB,"&gt;="&amp;CH$2,FECHA_COMB,"&lt;="&amp;CH$3,CLAVE_COMB,$A332)+SUMIFS(SALIDAS_DES,FECHA_DESGLOSEN,"&gt;="&amp;CH$2,FECHA_DESGLOSEN,"&lt;="&amp;CH$3,CLAVE_DESGLOSE,$A332)</f>
        <v>0</v>
      </c>
      <c r="CI332" s="227">
        <f>CC332-CH332</f>
        <v>100800</v>
      </c>
      <c r="CJ332" s="301">
        <f>IFERROR((CH332/CC332),0)</f>
        <v>0</v>
      </c>
      <c r="CK332" s="162">
        <f>VLOOKUP($A332,T_PRESUPUESTO,MATCH(CK$6,E_PRESUPUESTO,0),FALSE)</f>
        <v>126000</v>
      </c>
      <c r="CL332" s="162">
        <f>SUMIFS(SALIDAS_BIT,FECHA_BIT,"&gt;="&amp;CL$2,FECHA_BIT,"&lt;="&amp;CL$3,CLAVE_BIT,$A332)+SUMIFS(SALIDAS_BOV1,FECHA_BOV1,"&gt;="&amp;CL$2,FECHA_BOV1,"&lt;="&amp;CL$3,CLAVE_BOV1,$A332)+SUMIFS(SALIDAS_BOV2,FECHA_BOV2,"&gt;="&amp;CL$2,FECHA_BOV2,"&lt;="&amp;CL$3,CLAVE_BOV2,$A332)+SUMIFS(SALIDAS_BOV3,FECHA_BOV3,"&gt;="&amp;CL$2,FECHA_BOV3,"&lt;="&amp;CL$3,CLAVE_BOV3,$A332)+SUMIFS(SALIDAS_TC,FECHA_TC,"&gt;="&amp;CL$2,FECHA_TC,"&lt;="&amp;CL$3,CLAVE_TC,$A332)+SUMIFS(SALIDAS_COMB,FECHA_COMB,"&gt;="&amp;CL$2,FECHA_COMB,"&lt;="&amp;CL$3,CLAVE_COMB,$A332)+SUMIFS(SALIDAS_DES,FECHA_DESGLOSEN,"&gt;="&amp;CL$2,FECHA_DESGLOSEN,"&lt;="&amp;CL$3,CLAVE_DESGLOSE,$A332)</f>
        <v>0</v>
      </c>
      <c r="CM332" s="162">
        <f>SUMIFS(SALIDAS_BIT,FECHA_BIT,"&gt;="&amp;CM$2,FECHA_BIT,"&lt;="&amp;CM$3,CLAVE_BIT,$A332)+SUMIFS(SALIDAS_BOV1,FECHA_BOV1,"&gt;="&amp;CM$2,FECHA_BOV1,"&lt;="&amp;CM$3,CLAVE_BOV1,$A332)+SUMIFS(SALIDAS_BOV2,FECHA_BOV2,"&gt;="&amp;CM$2,FECHA_BOV2,"&lt;="&amp;CM$3,CLAVE_BOV2,$A332)+SUMIFS(SALIDAS_BOV3,FECHA_BOV3,"&gt;="&amp;CM$2,FECHA_BOV3,"&lt;="&amp;CM$3,CLAVE_BOV3,$A332)+SUMIFS(SALIDAS_TC,FECHA_TC,"&gt;="&amp;CM$2,FECHA_TC,"&lt;="&amp;CM$3,CLAVE_TC,$A332)+SUMIFS(SALIDAS_COMB,FECHA_COMB,"&gt;="&amp;CM$2,FECHA_COMB,"&lt;="&amp;CM$3,CLAVE_COMB,$A332)+SUMIFS(SALIDAS_DES,FECHA_DESGLOSEN,"&gt;="&amp;CM$2,FECHA_DESGLOSEN,"&lt;="&amp;CM$3,CLAVE_DESGLOSE,$A332)</f>
        <v>0</v>
      </c>
      <c r="CN332" s="162">
        <f>SUMIFS(SALIDAS_BIT,FECHA_BIT,"&gt;="&amp;CN$2,FECHA_BIT,"&lt;="&amp;CN$3,CLAVE_BIT,$A332)+SUMIFS(SALIDAS_BOV1,FECHA_BOV1,"&gt;="&amp;CN$2,FECHA_BOV1,"&lt;="&amp;CN$3,CLAVE_BOV1,$A332)+SUMIFS(SALIDAS_BOV2,FECHA_BOV2,"&gt;="&amp;CN$2,FECHA_BOV2,"&lt;="&amp;CN$3,CLAVE_BOV2,$A332)+SUMIFS(SALIDAS_BOV3,FECHA_BOV3,"&gt;="&amp;CN$2,FECHA_BOV3,"&lt;="&amp;CN$3,CLAVE_BOV3,$A332)+SUMIFS(SALIDAS_TC,FECHA_TC,"&gt;="&amp;CN$2,FECHA_TC,"&lt;="&amp;CN$3,CLAVE_TC,$A332)+SUMIFS(SALIDAS_COMB,FECHA_COMB,"&gt;="&amp;CN$2,FECHA_COMB,"&lt;="&amp;CN$3,CLAVE_COMB,$A332)+SUMIFS(SALIDAS_DES,FECHA_DESGLOSEN,"&gt;="&amp;CN$2,FECHA_DESGLOSEN,"&lt;="&amp;CN$3,CLAVE_DESGLOSE,$A332)</f>
        <v>0</v>
      </c>
      <c r="CO332" s="162">
        <f>SUMIFS(SALIDAS_BIT,FECHA_BIT,"&gt;="&amp;CO$2,FECHA_BIT,"&lt;="&amp;CO$3,CLAVE_BIT,$A332)+SUMIFS(SALIDAS_BOV1,FECHA_BOV1,"&gt;="&amp;CO$2,FECHA_BOV1,"&lt;="&amp;CO$3,CLAVE_BOV1,$A332)+SUMIFS(SALIDAS_BOV2,FECHA_BOV2,"&gt;="&amp;CO$2,FECHA_BOV2,"&lt;="&amp;CO$3,CLAVE_BOV2,$A332)+SUMIFS(SALIDAS_BOV3,FECHA_BOV3,"&gt;="&amp;CO$2,FECHA_BOV3,"&lt;="&amp;CO$3,CLAVE_BOV3,$A332)+SUMIFS(SALIDAS_TC,FECHA_TC,"&gt;="&amp;CO$2,FECHA_TC,"&lt;="&amp;CO$3,CLAVE_TC,$A332)+SUMIFS(SALIDAS_COMB,FECHA_COMB,"&gt;="&amp;CO$2,FECHA_COMB,"&lt;="&amp;CO$3,CLAVE_COMB,$A332)+SUMIFS(SALIDAS_DES,FECHA_DESGLOSEN,"&gt;="&amp;CO$2,FECHA_DESGLOSEN,"&lt;="&amp;CO$3,CLAVE_DESGLOSE,$A332)</f>
        <v>0</v>
      </c>
      <c r="CP332" s="162">
        <f>SUMIFS(SALIDAS_BIT,FECHA_BIT,"&gt;="&amp;CP$2,FECHA_BIT,"&lt;="&amp;CP$3,CLAVE_BIT,$A332)+SUMIFS(SALIDAS_BOV1,FECHA_BOV1,"&gt;="&amp;CP$2,FECHA_BOV1,"&lt;="&amp;CP$3,CLAVE_BOV1,$A332)+SUMIFS(SALIDAS_BOV2,FECHA_BOV2,"&gt;="&amp;CP$2,FECHA_BOV2,"&lt;="&amp;CP$3,CLAVE_BOV2,$A332)+SUMIFS(SALIDAS_BOV3,FECHA_BOV3,"&gt;="&amp;CP$2,FECHA_BOV3,"&lt;="&amp;CP$3,CLAVE_BOV3,$A332)+SUMIFS(SALIDAS_TC,FECHA_TC,"&gt;="&amp;CP$2,FECHA_TC,"&lt;="&amp;CP$3,CLAVE_TC,$A332)+SUMIFS(SALIDAS_COMB,FECHA_COMB,"&gt;="&amp;CP$2,FECHA_COMB,"&lt;="&amp;CP$3,CLAVE_COMB,$A332)+SUMIFS(SALIDAS_DES,FECHA_DESGLOSEN,"&gt;="&amp;CP$2,FECHA_DESGLOSEN,"&lt;="&amp;CP$3,CLAVE_DESGLOSE,$A332)</f>
        <v>0</v>
      </c>
      <c r="CQ332" s="162">
        <f>SUMIFS(SALIDAS_BIT,FECHA_BIT,"&gt;="&amp;CQ$2,FECHA_BIT,"&lt;="&amp;CQ$3,CLAVE_BIT,$A332)+SUMIFS(SALIDAS_BOV1,FECHA_BOV1,"&gt;="&amp;CQ$2,FECHA_BOV1,"&lt;="&amp;CQ$3,CLAVE_BOV1,$A332)+SUMIFS(SALIDAS_BOV2,FECHA_BOV2,"&gt;="&amp;CQ$2,FECHA_BOV2,"&lt;="&amp;CQ$3,CLAVE_BOV2,$A332)+SUMIFS(SALIDAS_BOV3,FECHA_BOV3,"&gt;="&amp;CQ$2,FECHA_BOV3,"&lt;="&amp;CQ$3,CLAVE_BOV3,$A332)+SUMIFS(SALIDAS_TC,FECHA_TC,"&gt;="&amp;CQ$2,FECHA_TC,"&lt;="&amp;CQ$3,CLAVE_TC,$A332)+SUMIFS(SALIDAS_COMB,FECHA_COMB,"&gt;="&amp;CQ$2,FECHA_COMB,"&lt;="&amp;CQ$3,CLAVE_COMB,$A332)+SUMIFS(SALIDAS_DES,FECHA_DESGLOSEN,"&gt;="&amp;CQ$2,FECHA_DESGLOSEN,"&lt;="&amp;CQ$3,CLAVE_DESGLOSE,$A332)</f>
        <v>0</v>
      </c>
      <c r="CR332" s="227">
        <f>CK332-CQ332</f>
        <v>126000</v>
      </c>
      <c r="CS332" s="301">
        <f>IFERROR((CQ332/CK332),0)</f>
        <v>0</v>
      </c>
      <c r="CT332" s="68">
        <f t="shared" si="712"/>
        <v>124312</v>
      </c>
      <c r="CU332" s="13">
        <f>SUMIFS(SALIDAS_BIT,FECHA_BIT,"&gt;="&amp;CU$2,FECHA_BIT,"&lt;="&amp;CU$3,CLAVE_BIT,$A332)+SUMIFS(SALIDAS_BOV1,FECHA_BOV1,"&gt;="&amp;CU$2,FECHA_BOV1,"&lt;="&amp;CU$3,CLAVE_BOV1,$A332)+SUMIFS(SALIDAS_BOV2,FECHA_BOV2,"&gt;="&amp;CU$2,FECHA_BOV2,"&lt;="&amp;CU$3,CLAVE_BOV2,$A332)+SUMIFS(SALIDAS_BOV3,FECHA_BOV3,"&gt;="&amp;CU$2,FECHA_BOV3,"&lt;="&amp;CU$3,CLAVE_BOV3,$A332)+SUMIFS(SALIDAS_TC,FECHA_TC,"&gt;="&amp;CU$2,FECHA_TC,"&lt;="&amp;CU$3,CLAVE_TC,$A332)+SUMIFS(SALIDAS_COMB,FECHA_COMB,"&gt;="&amp;CU$2,FECHA_COMB,"&lt;="&amp;CU$3,CLAVE_COMB,$A332)+SUMIFS(SALIDAS_DES,FECHA_DESGLOSEN,"&gt;="&amp;CU$2,FECHA_DESGLOSEN,"&lt;="&amp;CU$3,CLAVE_DESGLOSE,$A332)</f>
        <v>0</v>
      </c>
      <c r="CV332" s="13">
        <f>SUMIFS(SALIDAS_BIT,FECHA_BIT,"&gt;="&amp;CV$2,FECHA_BIT,"&lt;="&amp;CV$3,CLAVE_BIT,$A332)+SUMIFS(SALIDAS_BOV1,FECHA_BOV1,"&gt;="&amp;CV$2,FECHA_BOV1,"&lt;="&amp;CV$3,CLAVE_BOV1,$A332)+SUMIFS(SALIDAS_BOV2,FECHA_BOV2,"&gt;="&amp;CV$2,FECHA_BOV2,"&lt;="&amp;CV$3,CLAVE_BOV2,$A332)+SUMIFS(SALIDAS_BOV3,FECHA_BOV3,"&gt;="&amp;CV$2,FECHA_BOV3,"&lt;="&amp;CV$3,CLAVE_BOV3,$A332)+SUMIFS(SALIDAS_TC,FECHA_TC,"&gt;="&amp;CV$2,FECHA_TC,"&lt;="&amp;CV$3,CLAVE_TC,$A332)+SUMIFS(SALIDAS_COMB,FECHA_COMB,"&gt;="&amp;CV$2,FECHA_COMB,"&lt;="&amp;CV$3,CLAVE_COMB,$A332)+SUMIFS(SALIDAS_DES,FECHA_DESGLOSEN,"&gt;="&amp;CV$2,FECHA_DESGLOSEN,"&lt;="&amp;CV$3,CLAVE_DESGLOSE,$A332)</f>
        <v>9692.6</v>
      </c>
      <c r="CW332" s="13">
        <f>SUMIFS(SALIDAS_BIT,FECHA_BIT,"&gt;="&amp;CW$2,FECHA_BIT,"&lt;="&amp;CW$3,CLAVE_BIT,$A332)+SUMIFS(SALIDAS_BOV1,FECHA_BOV1,"&gt;="&amp;CW$2,FECHA_BOV1,"&lt;="&amp;CW$3,CLAVE_BOV1,$A332)+SUMIFS(SALIDAS_BOV2,FECHA_BOV2,"&gt;="&amp;CW$2,FECHA_BOV2,"&lt;="&amp;CW$3,CLAVE_BOV2,$A332)+SUMIFS(SALIDAS_BOV3,FECHA_BOV3,"&gt;="&amp;CW$2,FECHA_BOV3,"&lt;="&amp;CW$3,CLAVE_BOV3,$A332)+SUMIFS(SALIDAS_TC,FECHA_TC,"&gt;="&amp;CW$2,FECHA_TC,"&lt;="&amp;CW$3,CLAVE_TC,$A332)+SUMIFS(SALIDAS_COMB,FECHA_COMB,"&gt;="&amp;CW$2,FECHA_COMB,"&lt;="&amp;CW$3,CLAVE_COMB,$A332)+SUMIFS(SALIDAS_DES,FECHA_DESGLOSEN,"&gt;="&amp;CW$2,FECHA_DESGLOSEN,"&lt;="&amp;CW$3,CLAVE_DESGLOSE,$A332)</f>
        <v>10476</v>
      </c>
      <c r="CX332" s="13">
        <f>SUMIFS(SALIDAS_BIT,FECHA_BIT,"&gt;="&amp;CX$2,FECHA_BIT,"&lt;="&amp;CX$3,CLAVE_BIT,$A332)+SUMIFS(SALIDAS_BOV1,FECHA_BOV1,"&gt;="&amp;CX$2,FECHA_BOV1,"&lt;="&amp;CX$3,CLAVE_BOV1,$A332)+SUMIFS(SALIDAS_BOV2,FECHA_BOV2,"&gt;="&amp;CX$2,FECHA_BOV2,"&lt;="&amp;CX$3,CLAVE_BOV2,$A332)+SUMIFS(SALIDAS_BOV3,FECHA_BOV3,"&gt;="&amp;CX$2,FECHA_BOV3,"&lt;="&amp;CX$3,CLAVE_BOV3,$A332)+SUMIFS(SALIDAS_TC,FECHA_TC,"&gt;="&amp;CX$2,FECHA_TC,"&lt;="&amp;CX$3,CLAVE_TC,$A332)+SUMIFS(SALIDAS_COMB,FECHA_COMB,"&gt;="&amp;CX$2,FECHA_COMB,"&lt;="&amp;CX$3,CLAVE_COMB,$A332)+SUMIFS(SALIDAS_DES,FECHA_DESGLOSEN,"&gt;="&amp;CX$2,FECHA_DESGLOSEN,"&lt;="&amp;CX$3,CLAVE_DESGLOSE,$A332)</f>
        <v>10178.200000000001</v>
      </c>
      <c r="CY332" s="13">
        <f>SUMIFS(SALIDAS_BIT,FECHA_BIT,"&gt;="&amp;CY$2,FECHA_BIT,"&lt;="&amp;CY$3,CLAVE_BIT,$A332)+SUMIFS(SALIDAS_BOV1,FECHA_BOV1,"&gt;="&amp;CY$2,FECHA_BOV1,"&lt;="&amp;CY$3,CLAVE_BOV1,$A332)+SUMIFS(SALIDAS_BOV2,FECHA_BOV2,"&gt;="&amp;CY$2,FECHA_BOV2,"&lt;="&amp;CY$3,CLAVE_BOV2,$A332)+SUMIFS(SALIDAS_BOV3,FECHA_BOV3,"&gt;="&amp;CY$2,FECHA_BOV3,"&lt;="&amp;CY$3,CLAVE_BOV3,$A332)+SUMIFS(SALIDAS_TC,FECHA_TC,"&gt;="&amp;CY$2,FECHA_TC,"&lt;="&amp;CY$3,CLAVE_TC,$A332)+SUMIFS(SALIDAS_COMB,FECHA_COMB,"&gt;="&amp;CY$2,FECHA_COMB,"&lt;="&amp;CY$3,CLAVE_COMB,$A332)+SUMIFS(SALIDAS_DES,FECHA_DESGLOSEN,"&gt;="&amp;CY$2,FECHA_DESGLOSEN,"&lt;="&amp;CY$3,CLAVE_DESGLOSE,$A332)</f>
        <v>30346.799999999999</v>
      </c>
      <c r="CZ332" s="68">
        <f t="shared" si="713"/>
        <v>93965.2</v>
      </c>
      <c r="DB332" s="17">
        <f>F332+N332+W332+AE332+AM332+AV332+BD332+BL332+BU332+CC332+CK332</f>
        <v>226800</v>
      </c>
      <c r="DC332" s="17">
        <f>K332+T332+AB332+AJ332+AS332+BA332+BI332+BR332+BZ332+CH332+CQ332</f>
        <v>0</v>
      </c>
    </row>
    <row r="333" spans="1:107" ht="15" hidden="1">
      <c r="A333" s="12" t="str">
        <f>C333&amp;D333&amp;E333</f>
        <v>CAPNOMINA SUCURSALE11</v>
      </c>
      <c r="B333">
        <v>333</v>
      </c>
      <c r="C333" t="s">
        <v>31</v>
      </c>
      <c r="D333" t="s">
        <v>154</v>
      </c>
      <c r="E333" t="s">
        <v>118</v>
      </c>
      <c r="F333" s="260">
        <f>VLOOKUP($A333,T_PRESUPUESTO,MATCH(F$6,E_PRESUPUESTO,0),FALSE)</f>
        <v>0</v>
      </c>
      <c r="G333" s="162">
        <f>SUMIFS(SALIDAS_BIT,FECHA_BIT,"&gt;="&amp;G$2,FECHA_BIT,"&lt;="&amp;G$3,CLAVE_BIT,$A333)+SUMIFS(SALIDAS_BOV1,FECHA_BOV1,"&gt;="&amp;G$2,FECHA_BOV1,"&lt;="&amp;G$3,CLAVE_BOV1,$A333)+SUMIFS(SALIDAS_BOV2,FECHA_BOV2,"&gt;="&amp;G$2,FECHA_BOV2,"&lt;="&amp;G$3,CLAVE_BOV2,$A333)+SUMIFS(SALIDAS_BOV3,FECHA_BOV3,"&gt;="&amp;G$2,FECHA_BOV3,"&lt;="&amp;G$3,CLAVE_BOV3,$A333)+SUMIFS(SALIDAS_TC,FECHA_TC,"&gt;="&amp;G$2,FECHA_TC,"&lt;="&amp;G$3,CLAVE_TC,$A333)+SUMIFS(SALIDAS_COMB,FECHA_COMB,"&gt;="&amp;G$2,FECHA_COMB,"&lt;="&amp;G$3,CLAVE_COMB,$A333)+SUMIFS(SALIDAS_DES,FECHA_DESGLOSEN,"&gt;="&amp;G$2,FECHA_DESGLOSEN,"&lt;="&amp;G$3,CLAVE_DESGLOSE,$A333)</f>
        <v>0</v>
      </c>
      <c r="H333" s="162">
        <f>SUMIFS(SALIDAS_BIT,FECHA_BIT,"&gt;="&amp;H$2,FECHA_BIT,"&lt;="&amp;H$3,CLAVE_BIT,$A333)+SUMIFS(SALIDAS_BOV1,FECHA_BOV1,"&gt;="&amp;H$2,FECHA_BOV1,"&lt;="&amp;H$3,CLAVE_BOV1,$A333)+SUMIFS(SALIDAS_BOV2,FECHA_BOV2,"&gt;="&amp;H$2,FECHA_BOV2,"&lt;="&amp;H$3,CLAVE_BOV2,$A333)+SUMIFS(SALIDAS_BOV3,FECHA_BOV3,"&gt;="&amp;H$2,FECHA_BOV3,"&lt;="&amp;H$3,CLAVE_BOV3,$A333)+SUMIFS(SALIDAS_TC,FECHA_TC,"&gt;="&amp;H$2,FECHA_TC,"&lt;="&amp;H$3,CLAVE_TC,$A333)+SUMIFS(SALIDAS_COMB,FECHA_COMB,"&gt;="&amp;H$2,FECHA_COMB,"&lt;="&amp;H$3,CLAVE_COMB,$A333)+SUMIFS(SALIDAS_DES,FECHA_DESGLOSEN,"&gt;="&amp;H$2,FECHA_DESGLOSEN,"&lt;="&amp;H$3,CLAVE_DESGLOSE,$A333)</f>
        <v>0</v>
      </c>
      <c r="I333" s="162">
        <f>SUMIFS(SALIDAS_BIT,FECHA_BIT,"&gt;="&amp;I$2,FECHA_BIT,"&lt;="&amp;I$3,CLAVE_BIT,$A333)+SUMIFS(SALIDAS_BOV1,FECHA_BOV1,"&gt;="&amp;I$2,FECHA_BOV1,"&lt;="&amp;I$3,CLAVE_BOV1,$A333)+SUMIFS(SALIDAS_BOV2,FECHA_BOV2,"&gt;="&amp;I$2,FECHA_BOV2,"&lt;="&amp;I$3,CLAVE_BOV2,$A333)+SUMIFS(SALIDAS_BOV3,FECHA_BOV3,"&gt;="&amp;I$2,FECHA_BOV3,"&lt;="&amp;I$3,CLAVE_BOV3,$A333)+SUMIFS(SALIDAS_TC,FECHA_TC,"&gt;="&amp;I$2,FECHA_TC,"&lt;="&amp;I$3,CLAVE_TC,$A333)+SUMIFS(SALIDAS_COMB,FECHA_COMB,"&gt;="&amp;I$2,FECHA_COMB,"&lt;="&amp;I$3,CLAVE_COMB,$A333)+SUMIFS(SALIDAS_DES,FECHA_DESGLOSEN,"&gt;="&amp;I$2,FECHA_DESGLOSEN,"&lt;="&amp;I$3,CLAVE_DESGLOSE,$A333)</f>
        <v>0</v>
      </c>
      <c r="J333" s="162">
        <f>SUMIFS(SALIDAS_BIT,FECHA_BIT,"&gt;="&amp;J$2,FECHA_BIT,"&lt;="&amp;J$3,CLAVE_BIT,$A333)+SUMIFS(SALIDAS_BOV1,FECHA_BOV1,"&gt;="&amp;J$2,FECHA_BOV1,"&lt;="&amp;J$3,CLAVE_BOV1,$A333)+SUMIFS(SALIDAS_BOV2,FECHA_BOV2,"&gt;="&amp;J$2,FECHA_BOV2,"&lt;="&amp;J$3,CLAVE_BOV2,$A333)+SUMIFS(SALIDAS_BOV3,FECHA_BOV3,"&gt;="&amp;J$2,FECHA_BOV3,"&lt;="&amp;J$3,CLAVE_BOV3,$A333)+SUMIFS(SALIDAS_TC,FECHA_TC,"&gt;="&amp;J$2,FECHA_TC,"&lt;="&amp;J$3,CLAVE_TC,$A333)+SUMIFS(SALIDAS_COMB,FECHA_COMB,"&gt;="&amp;J$2,FECHA_COMB,"&lt;="&amp;J$3,CLAVE_COMB,$A333)+SUMIFS(SALIDAS_DES,FECHA_DESGLOSEN,"&gt;="&amp;J$2,FECHA_DESGLOSEN,"&lt;="&amp;J$3,CLAVE_DESGLOSE,$A333)</f>
        <v>0</v>
      </c>
      <c r="K333" s="162">
        <f>SUMIFS(SALIDAS_BIT,FECHA_BIT,"&gt;="&amp;K$2,FECHA_BIT,"&lt;="&amp;K$3,CLAVE_BIT,$A333)+SUMIFS(SALIDAS_BOV1,FECHA_BOV1,"&gt;="&amp;K$2,FECHA_BOV1,"&lt;="&amp;K$3,CLAVE_BOV1,$A333)+SUMIFS(SALIDAS_BOV2,FECHA_BOV2,"&gt;="&amp;K$2,FECHA_BOV2,"&lt;="&amp;K$3,CLAVE_BOV2,$A333)+SUMIFS(SALIDAS_BOV3,FECHA_BOV3,"&gt;="&amp;K$2,FECHA_BOV3,"&lt;="&amp;K$3,CLAVE_BOV3,$A333)+SUMIFS(SALIDAS_TC,FECHA_TC,"&gt;="&amp;K$2,FECHA_TC,"&lt;="&amp;K$3,CLAVE_TC,$A333)+SUMIFS(SALIDAS_COMB,FECHA_COMB,"&gt;="&amp;K$2,FECHA_COMB,"&lt;="&amp;K$3,CLAVE_COMB,$A333)+SUMIFS(SALIDAS_DES,FECHA_DESGLOSEN,"&gt;="&amp;K$2,FECHA_DESGLOSEN,"&lt;="&amp;K$3,CLAVE_DESGLOSE,$A333)</f>
        <v>0</v>
      </c>
      <c r="L333" s="227">
        <f>F333-K333</f>
        <v>0</v>
      </c>
      <c r="M333" s="301">
        <f>IFERROR((K333/F333),0)</f>
        <v>0</v>
      </c>
      <c r="N333" s="162">
        <f>VLOOKUP($A333,T_PRESUPUESTO,MATCH(N$6,E_PRESUPUESTO,0),FALSE)</f>
        <v>0</v>
      </c>
      <c r="O333" s="162">
        <f>SUMIFS(SALIDAS_BIT,FECHA_BIT,"&gt;="&amp;O$2,FECHA_BIT,"&lt;="&amp;O$3,CLAVE_BIT,$A333)+SUMIFS(SALIDAS_BOV1,FECHA_BOV1,"&gt;="&amp;O$2,FECHA_BOV1,"&lt;="&amp;O$3,CLAVE_BOV1,$A333)+SUMIFS(SALIDAS_BOV2,FECHA_BOV2,"&gt;="&amp;O$2,FECHA_BOV2,"&lt;="&amp;O$3,CLAVE_BOV2,$A333)+SUMIFS(SALIDAS_BOV3,FECHA_BOV3,"&gt;="&amp;O$2,FECHA_BOV3,"&lt;="&amp;O$3,CLAVE_BOV3,$A333)+SUMIFS(SALIDAS_TC,FECHA_TC,"&gt;="&amp;O$2,FECHA_TC,"&lt;="&amp;O$3,CLAVE_TC,$A333)+SUMIFS(SALIDAS_COMB,FECHA_COMB,"&gt;="&amp;O$2,FECHA_COMB,"&lt;="&amp;O$3,CLAVE_COMB,$A333)+SUMIFS(SALIDAS_DES,FECHA_DESGLOSEN,"&gt;="&amp;O$2,FECHA_DESGLOSEN,"&lt;="&amp;O$3,CLAVE_DESGLOSE,$A333)</f>
        <v>0</v>
      </c>
      <c r="P333" s="162">
        <f>SUMIFS(SALIDAS_BIT,FECHA_BIT,"&gt;="&amp;P$2,FECHA_BIT,"&lt;="&amp;P$3,CLAVE_BIT,$A333)+SUMIFS(SALIDAS_BOV1,FECHA_BOV1,"&gt;="&amp;P$2,FECHA_BOV1,"&lt;="&amp;P$3,CLAVE_BOV1,$A333)+SUMIFS(SALIDAS_BOV2,FECHA_BOV2,"&gt;="&amp;P$2,FECHA_BOV2,"&lt;="&amp;P$3,CLAVE_BOV2,$A333)+SUMIFS(SALIDAS_BOV3,FECHA_BOV3,"&gt;="&amp;P$2,FECHA_BOV3,"&lt;="&amp;P$3,CLAVE_BOV3,$A333)+SUMIFS(SALIDAS_TC,FECHA_TC,"&gt;="&amp;P$2,FECHA_TC,"&lt;="&amp;P$3,CLAVE_TC,$A333)+SUMIFS(SALIDAS_COMB,FECHA_COMB,"&gt;="&amp;P$2,FECHA_COMB,"&lt;="&amp;P$3,CLAVE_COMB,$A333)+SUMIFS(SALIDAS_DES,FECHA_DESGLOSEN,"&gt;="&amp;P$2,FECHA_DESGLOSEN,"&lt;="&amp;P$3,CLAVE_DESGLOSE,$A333)</f>
        <v>0</v>
      </c>
      <c r="Q333" s="162">
        <f>SUMIFS(SALIDAS_BIT,FECHA_BIT,"&gt;="&amp;Q$2,FECHA_BIT,"&lt;="&amp;Q$3,CLAVE_BIT,$A333)+SUMIFS(SALIDAS_BOV1,FECHA_BOV1,"&gt;="&amp;Q$2,FECHA_BOV1,"&lt;="&amp;Q$3,CLAVE_BOV1,$A333)+SUMIFS(SALIDAS_BOV2,FECHA_BOV2,"&gt;="&amp;Q$2,FECHA_BOV2,"&lt;="&amp;Q$3,CLAVE_BOV2,$A333)+SUMIFS(SALIDAS_BOV3,FECHA_BOV3,"&gt;="&amp;Q$2,FECHA_BOV3,"&lt;="&amp;Q$3,CLAVE_BOV3,$A333)+SUMIFS(SALIDAS_TC,FECHA_TC,"&gt;="&amp;Q$2,FECHA_TC,"&lt;="&amp;Q$3,CLAVE_TC,$A333)+SUMIFS(SALIDAS_COMB,FECHA_COMB,"&gt;="&amp;Q$2,FECHA_COMB,"&lt;="&amp;Q$3,CLAVE_COMB,$A333)+SUMIFS(SALIDAS_DES,FECHA_DESGLOSEN,"&gt;="&amp;Q$2,FECHA_DESGLOSEN,"&lt;="&amp;Q$3,CLAVE_DESGLOSE,$A333)</f>
        <v>0</v>
      </c>
      <c r="R333" s="162">
        <f>SUMIFS(SALIDAS_BIT,FECHA_BIT,"&gt;="&amp;R$2,FECHA_BIT,"&lt;="&amp;R$3,CLAVE_BIT,$A333)+SUMIFS(SALIDAS_BOV1,FECHA_BOV1,"&gt;="&amp;R$2,FECHA_BOV1,"&lt;="&amp;R$3,CLAVE_BOV1,$A333)+SUMIFS(SALIDAS_BOV2,FECHA_BOV2,"&gt;="&amp;R$2,FECHA_BOV2,"&lt;="&amp;R$3,CLAVE_BOV2,$A333)+SUMIFS(SALIDAS_BOV3,FECHA_BOV3,"&gt;="&amp;R$2,FECHA_BOV3,"&lt;="&amp;R$3,CLAVE_BOV3,$A333)+SUMIFS(SALIDAS_TC,FECHA_TC,"&gt;="&amp;R$2,FECHA_TC,"&lt;="&amp;R$3,CLAVE_TC,$A333)+SUMIFS(SALIDAS_COMB,FECHA_COMB,"&gt;="&amp;R$2,FECHA_COMB,"&lt;="&amp;R$3,CLAVE_COMB,$A333)+SUMIFS(SALIDAS_DES,FECHA_DESGLOSEN,"&gt;="&amp;R$2,FECHA_DESGLOSEN,"&lt;="&amp;R$3,CLAVE_DESGLOSE,$A333)</f>
        <v>0</v>
      </c>
      <c r="S333" s="162">
        <f>SUMIFS(SALIDAS_BIT,FECHA_BIT,"&gt;="&amp;S$2,FECHA_BIT,"&lt;="&amp;S$3,CLAVE_BIT,$A333)+SUMIFS(SALIDAS_BOV1,FECHA_BOV1,"&gt;="&amp;S$2,FECHA_BOV1,"&lt;="&amp;S$3,CLAVE_BOV1,$A333)+SUMIFS(SALIDAS_BOV2,FECHA_BOV2,"&gt;="&amp;S$2,FECHA_BOV2,"&lt;="&amp;S$3,CLAVE_BOV2,$A333)+SUMIFS(SALIDAS_BOV3,FECHA_BOV3,"&gt;="&amp;S$2,FECHA_BOV3,"&lt;="&amp;S$3,CLAVE_BOV3,$A333)+SUMIFS(SALIDAS_TC,FECHA_TC,"&gt;="&amp;S$2,FECHA_TC,"&lt;="&amp;S$3,CLAVE_TC,$A333)+SUMIFS(SALIDAS_COMB,FECHA_COMB,"&gt;="&amp;S$2,FECHA_COMB,"&lt;="&amp;S$3,CLAVE_COMB,$A333)+SUMIFS(SALIDAS_DES,FECHA_DESGLOSEN,"&gt;="&amp;S$2,FECHA_DESGLOSEN,"&lt;="&amp;S$3,CLAVE_DESGLOSE,$A333)</f>
        <v>0</v>
      </c>
      <c r="T333" s="162">
        <f>SUMIFS(SALIDAS_BIT,FECHA_BIT,"&gt;="&amp;T$2,FECHA_BIT,"&lt;="&amp;T$3,CLAVE_BIT,$A333)+SUMIFS(SALIDAS_BOV1,FECHA_BOV1,"&gt;="&amp;T$2,FECHA_BOV1,"&lt;="&amp;T$3,CLAVE_BOV1,$A333)+SUMIFS(SALIDAS_BOV2,FECHA_BOV2,"&gt;="&amp;T$2,FECHA_BOV2,"&lt;="&amp;T$3,CLAVE_BOV2,$A333)+SUMIFS(SALIDAS_BOV3,FECHA_BOV3,"&gt;="&amp;T$2,FECHA_BOV3,"&lt;="&amp;T$3,CLAVE_BOV3,$A333)+SUMIFS(SALIDAS_TC,FECHA_TC,"&gt;="&amp;T$2,FECHA_TC,"&lt;="&amp;T$3,CLAVE_TC,$A333)+SUMIFS(SALIDAS_COMB,FECHA_COMB,"&gt;="&amp;T$2,FECHA_COMB,"&lt;="&amp;T$3,CLAVE_COMB,$A333)+SUMIFS(SALIDAS_DES,FECHA_DESGLOSEN,"&gt;="&amp;T$2,FECHA_DESGLOSEN,"&lt;="&amp;T$3,CLAVE_DESGLOSE,$A333)</f>
        <v>0</v>
      </c>
      <c r="U333" s="227">
        <f>N333-T333</f>
        <v>0</v>
      </c>
      <c r="V333" s="301">
        <f>IFERROR((T333/N333),0)</f>
        <v>0</v>
      </c>
      <c r="W333" s="162">
        <f>VLOOKUP($A333,T_PRESUPUESTO,MATCH(W$6,E_PRESUPUESTO,0),FALSE)</f>
        <v>0</v>
      </c>
      <c r="X333" s="162">
        <f>SUMIFS(SALIDAS_BIT,FECHA_BIT,"&gt;="&amp;X$2,FECHA_BIT,"&lt;="&amp;X$3,CLAVE_BIT,$A333)+SUMIFS(SALIDAS_BOV1,FECHA_BOV1,"&gt;="&amp;X$2,FECHA_BOV1,"&lt;="&amp;X$3,CLAVE_BOV1,$A333)+SUMIFS(SALIDAS_BOV2,FECHA_BOV2,"&gt;="&amp;X$2,FECHA_BOV2,"&lt;="&amp;X$3,CLAVE_BOV2,$A333)+SUMIFS(SALIDAS_BOV3,FECHA_BOV3,"&gt;="&amp;X$2,FECHA_BOV3,"&lt;="&amp;X$3,CLAVE_BOV3,$A333)+SUMIFS(SALIDAS_TC,FECHA_TC,"&gt;="&amp;X$2,FECHA_TC,"&lt;="&amp;X$3,CLAVE_TC,$A333)+SUMIFS(SALIDAS_COMB,FECHA_COMB,"&gt;="&amp;X$2,FECHA_COMB,"&lt;="&amp;X$3,CLAVE_COMB,$A333)+SUMIFS(SALIDAS_DES,FECHA_DESGLOSEN,"&gt;="&amp;X$2,FECHA_DESGLOSEN,"&lt;="&amp;X$3,CLAVE_DESGLOSE,$A333)</f>
        <v>0</v>
      </c>
      <c r="Y333" s="162">
        <f>SUMIFS(SALIDAS_BIT,FECHA_BIT,"&gt;="&amp;Y$2,FECHA_BIT,"&lt;="&amp;Y$3,CLAVE_BIT,$A333)+SUMIFS(SALIDAS_BOV1,FECHA_BOV1,"&gt;="&amp;Y$2,FECHA_BOV1,"&lt;="&amp;Y$3,CLAVE_BOV1,$A333)+SUMIFS(SALIDAS_BOV2,FECHA_BOV2,"&gt;="&amp;Y$2,FECHA_BOV2,"&lt;="&amp;Y$3,CLAVE_BOV2,$A333)+SUMIFS(SALIDAS_BOV3,FECHA_BOV3,"&gt;="&amp;Y$2,FECHA_BOV3,"&lt;="&amp;Y$3,CLAVE_BOV3,$A333)+SUMIFS(SALIDAS_TC,FECHA_TC,"&gt;="&amp;Y$2,FECHA_TC,"&lt;="&amp;Y$3,CLAVE_TC,$A333)+SUMIFS(SALIDAS_COMB,FECHA_COMB,"&gt;="&amp;Y$2,FECHA_COMB,"&lt;="&amp;Y$3,CLAVE_COMB,$A333)+SUMIFS(SALIDAS_DES,FECHA_DESGLOSEN,"&gt;="&amp;Y$2,FECHA_DESGLOSEN,"&lt;="&amp;Y$3,CLAVE_DESGLOSE,$A333)</f>
        <v>0</v>
      </c>
      <c r="Z333" s="162">
        <f>SUMIFS(SALIDAS_BIT,FECHA_BIT,"&gt;="&amp;Z$2,FECHA_BIT,"&lt;="&amp;Z$3,CLAVE_BIT,$A333)+SUMIFS(SALIDAS_BOV1,FECHA_BOV1,"&gt;="&amp;Z$2,FECHA_BOV1,"&lt;="&amp;Z$3,CLAVE_BOV1,$A333)+SUMIFS(SALIDAS_BOV2,FECHA_BOV2,"&gt;="&amp;Z$2,FECHA_BOV2,"&lt;="&amp;Z$3,CLAVE_BOV2,$A333)+SUMIFS(SALIDAS_BOV3,FECHA_BOV3,"&gt;="&amp;Z$2,FECHA_BOV3,"&lt;="&amp;Z$3,CLAVE_BOV3,$A333)+SUMIFS(SALIDAS_TC,FECHA_TC,"&gt;="&amp;Z$2,FECHA_TC,"&lt;="&amp;Z$3,CLAVE_TC,$A333)+SUMIFS(SALIDAS_COMB,FECHA_COMB,"&gt;="&amp;Z$2,FECHA_COMB,"&lt;="&amp;Z$3,CLAVE_COMB,$A333)+SUMIFS(SALIDAS_DES,FECHA_DESGLOSEN,"&gt;="&amp;Z$2,FECHA_DESGLOSEN,"&lt;="&amp;Z$3,CLAVE_DESGLOSE,$A333)</f>
        <v>0</v>
      </c>
      <c r="AA333" s="162">
        <f>SUMIFS(SALIDAS_BIT,FECHA_BIT,"&gt;="&amp;AA$2,FECHA_BIT,"&lt;="&amp;AA$3,CLAVE_BIT,$A333)+SUMIFS(SALIDAS_BOV1,FECHA_BOV1,"&gt;="&amp;AA$2,FECHA_BOV1,"&lt;="&amp;AA$3,CLAVE_BOV1,$A333)+SUMIFS(SALIDAS_BOV2,FECHA_BOV2,"&gt;="&amp;AA$2,FECHA_BOV2,"&lt;="&amp;AA$3,CLAVE_BOV2,$A333)+SUMIFS(SALIDAS_BOV3,FECHA_BOV3,"&gt;="&amp;AA$2,FECHA_BOV3,"&lt;="&amp;AA$3,CLAVE_BOV3,$A333)+SUMIFS(SALIDAS_TC,FECHA_TC,"&gt;="&amp;AA$2,FECHA_TC,"&lt;="&amp;AA$3,CLAVE_TC,$A333)+SUMIFS(SALIDAS_COMB,FECHA_COMB,"&gt;="&amp;AA$2,FECHA_COMB,"&lt;="&amp;AA$3,CLAVE_COMB,$A333)+SUMIFS(SALIDAS_DES,FECHA_DESGLOSEN,"&gt;="&amp;AA$2,FECHA_DESGLOSEN,"&lt;="&amp;AA$3,CLAVE_DESGLOSE,$A333)</f>
        <v>0</v>
      </c>
      <c r="AB333" s="162">
        <f>SUMIFS(SALIDAS_BIT,FECHA_BIT,"&gt;="&amp;AB$2,FECHA_BIT,"&lt;="&amp;AB$3,CLAVE_BIT,$A333)+SUMIFS(SALIDAS_BOV1,FECHA_BOV1,"&gt;="&amp;AB$2,FECHA_BOV1,"&lt;="&amp;AB$3,CLAVE_BOV1,$A333)+SUMIFS(SALIDAS_BOV2,FECHA_BOV2,"&gt;="&amp;AB$2,FECHA_BOV2,"&lt;="&amp;AB$3,CLAVE_BOV2,$A333)+SUMIFS(SALIDAS_BOV3,FECHA_BOV3,"&gt;="&amp;AB$2,FECHA_BOV3,"&lt;="&amp;AB$3,CLAVE_BOV3,$A333)+SUMIFS(SALIDAS_TC,FECHA_TC,"&gt;="&amp;AB$2,FECHA_TC,"&lt;="&amp;AB$3,CLAVE_TC,$A333)+SUMIFS(SALIDAS_COMB,FECHA_COMB,"&gt;="&amp;AB$2,FECHA_COMB,"&lt;="&amp;AB$3,CLAVE_COMB,$A333)+SUMIFS(SALIDAS_DES,FECHA_DESGLOSEN,"&gt;="&amp;AB$2,FECHA_DESGLOSEN,"&lt;="&amp;AB$3,CLAVE_DESGLOSE,$A333)</f>
        <v>0</v>
      </c>
      <c r="AC333" s="227">
        <f>W333-AB333</f>
        <v>0</v>
      </c>
      <c r="AD333" s="301">
        <f>IFERROR((AB333/W333),0)</f>
        <v>0</v>
      </c>
      <c r="AE333" s="162">
        <f>VLOOKUP($A333,T_PRESUPUESTO,MATCH(AE$6,E_PRESUPUESTO,0),FALSE)</f>
        <v>0</v>
      </c>
      <c r="AF333" s="162">
        <f>SUMIFS(SALIDAS_BIT,FECHA_BIT,"&gt;="&amp;AF$2,FECHA_BIT,"&lt;="&amp;AF$3,CLAVE_BIT,$A333)+SUMIFS(SALIDAS_BOV1,FECHA_BOV1,"&gt;="&amp;AF$2,FECHA_BOV1,"&lt;="&amp;AF$3,CLAVE_BOV1,$A333)+SUMIFS(SALIDAS_BOV2,FECHA_BOV2,"&gt;="&amp;AF$2,FECHA_BOV2,"&lt;="&amp;AF$3,CLAVE_BOV2,$A333)+SUMIFS(SALIDAS_BOV3,FECHA_BOV3,"&gt;="&amp;AF$2,FECHA_BOV3,"&lt;="&amp;AF$3,CLAVE_BOV3,$A333)+SUMIFS(SALIDAS_TC,FECHA_TC,"&gt;="&amp;AF$2,FECHA_TC,"&lt;="&amp;AF$3,CLAVE_TC,$A333)+SUMIFS(SALIDAS_COMB,FECHA_COMB,"&gt;="&amp;AF$2,FECHA_COMB,"&lt;="&amp;AF$3,CLAVE_COMB,$A333)+SUMIFS(SALIDAS_DES,FECHA_DESGLOSEN,"&gt;="&amp;AF$2,FECHA_DESGLOSEN,"&lt;="&amp;AF$3,CLAVE_DESGLOSE,$A333)</f>
        <v>0</v>
      </c>
      <c r="AG333" s="162">
        <f>SUMIFS(SALIDAS_BIT,FECHA_BIT,"&gt;="&amp;AG$2,FECHA_BIT,"&lt;="&amp;AG$3,CLAVE_BIT,$A333)+SUMIFS(SALIDAS_BOV1,FECHA_BOV1,"&gt;="&amp;AG$2,FECHA_BOV1,"&lt;="&amp;AG$3,CLAVE_BOV1,$A333)+SUMIFS(SALIDAS_BOV2,FECHA_BOV2,"&gt;="&amp;AG$2,FECHA_BOV2,"&lt;="&amp;AG$3,CLAVE_BOV2,$A333)+SUMIFS(SALIDAS_BOV3,FECHA_BOV3,"&gt;="&amp;AG$2,FECHA_BOV3,"&lt;="&amp;AG$3,CLAVE_BOV3,$A333)+SUMIFS(SALIDAS_TC,FECHA_TC,"&gt;="&amp;AG$2,FECHA_TC,"&lt;="&amp;AG$3,CLAVE_TC,$A333)+SUMIFS(SALIDAS_COMB,FECHA_COMB,"&gt;="&amp;AG$2,FECHA_COMB,"&lt;="&amp;AG$3,CLAVE_COMB,$A333)+SUMIFS(SALIDAS_DES,FECHA_DESGLOSEN,"&gt;="&amp;AG$2,FECHA_DESGLOSEN,"&lt;="&amp;AG$3,CLAVE_DESGLOSE,$A333)</f>
        <v>0</v>
      </c>
      <c r="AH333" s="162">
        <f>SUMIFS(SALIDAS_BIT,FECHA_BIT,"&gt;="&amp;AH$2,FECHA_BIT,"&lt;="&amp;AH$3,CLAVE_BIT,$A333)+SUMIFS(SALIDAS_BOV1,FECHA_BOV1,"&gt;="&amp;AH$2,FECHA_BOV1,"&lt;="&amp;AH$3,CLAVE_BOV1,$A333)+SUMIFS(SALIDAS_BOV2,FECHA_BOV2,"&gt;="&amp;AH$2,FECHA_BOV2,"&lt;="&amp;AH$3,CLAVE_BOV2,$A333)+SUMIFS(SALIDAS_BOV3,FECHA_BOV3,"&gt;="&amp;AH$2,FECHA_BOV3,"&lt;="&amp;AH$3,CLAVE_BOV3,$A333)+SUMIFS(SALIDAS_TC,FECHA_TC,"&gt;="&amp;AH$2,FECHA_TC,"&lt;="&amp;AH$3,CLAVE_TC,$A333)+SUMIFS(SALIDAS_COMB,FECHA_COMB,"&gt;="&amp;AH$2,FECHA_COMB,"&lt;="&amp;AH$3,CLAVE_COMB,$A333)+SUMIFS(SALIDAS_DES,FECHA_DESGLOSEN,"&gt;="&amp;AH$2,FECHA_DESGLOSEN,"&lt;="&amp;AH$3,CLAVE_DESGLOSE,$A333)</f>
        <v>0</v>
      </c>
      <c r="AI333" s="162">
        <f>SUMIFS(SALIDAS_BIT,FECHA_BIT,"&gt;="&amp;AI$2,FECHA_BIT,"&lt;="&amp;AI$3,CLAVE_BIT,$A333)+SUMIFS(SALIDAS_BOV1,FECHA_BOV1,"&gt;="&amp;AI$2,FECHA_BOV1,"&lt;="&amp;AI$3,CLAVE_BOV1,$A333)+SUMIFS(SALIDAS_BOV2,FECHA_BOV2,"&gt;="&amp;AI$2,FECHA_BOV2,"&lt;="&amp;AI$3,CLAVE_BOV2,$A333)+SUMIFS(SALIDAS_BOV3,FECHA_BOV3,"&gt;="&amp;AI$2,FECHA_BOV3,"&lt;="&amp;AI$3,CLAVE_BOV3,$A333)+SUMIFS(SALIDAS_TC,FECHA_TC,"&gt;="&amp;AI$2,FECHA_TC,"&lt;="&amp;AI$3,CLAVE_TC,$A333)+SUMIFS(SALIDAS_COMB,FECHA_COMB,"&gt;="&amp;AI$2,FECHA_COMB,"&lt;="&amp;AI$3,CLAVE_COMB,$A333)+SUMIFS(SALIDAS_DES,FECHA_DESGLOSEN,"&gt;="&amp;AI$2,FECHA_DESGLOSEN,"&lt;="&amp;AI$3,CLAVE_DESGLOSE,$A333)</f>
        <v>0</v>
      </c>
      <c r="AJ333" s="162">
        <f>SUMIFS(SALIDAS_BIT,FECHA_BIT,"&gt;="&amp;AJ$2,FECHA_BIT,"&lt;="&amp;AJ$3,CLAVE_BIT,$A333)+SUMIFS(SALIDAS_BOV1,FECHA_BOV1,"&gt;="&amp;AJ$2,FECHA_BOV1,"&lt;="&amp;AJ$3,CLAVE_BOV1,$A333)+SUMIFS(SALIDAS_BOV2,FECHA_BOV2,"&gt;="&amp;AJ$2,FECHA_BOV2,"&lt;="&amp;AJ$3,CLAVE_BOV2,$A333)+SUMIFS(SALIDAS_BOV3,FECHA_BOV3,"&gt;="&amp;AJ$2,FECHA_BOV3,"&lt;="&amp;AJ$3,CLAVE_BOV3,$A333)+SUMIFS(SALIDAS_TC,FECHA_TC,"&gt;="&amp;AJ$2,FECHA_TC,"&lt;="&amp;AJ$3,CLAVE_TC,$A333)+SUMIFS(SALIDAS_COMB,FECHA_COMB,"&gt;="&amp;AJ$2,FECHA_COMB,"&lt;="&amp;AJ$3,CLAVE_COMB,$A333)+SUMIFS(SALIDAS_DES,FECHA_DESGLOSEN,"&gt;="&amp;AJ$2,FECHA_DESGLOSEN,"&lt;="&amp;AJ$3,CLAVE_DESGLOSE,$A333)</f>
        <v>0</v>
      </c>
      <c r="AK333" s="227">
        <f>AE333-AJ333</f>
        <v>0</v>
      </c>
      <c r="AL333" s="301">
        <f>IFERROR((AJ333/AE333),0)</f>
        <v>0</v>
      </c>
      <c r="AM333" s="162">
        <f>VLOOKUP($A333,T_PRESUPUESTO,MATCH(AM$6,E_PRESUPUESTO,0),FALSE)</f>
        <v>0</v>
      </c>
      <c r="AN333" s="162">
        <f>SUMIFS(SALIDAS_BIT,FECHA_BIT,"&gt;="&amp;AN$2,FECHA_BIT,"&lt;="&amp;AN$3,CLAVE_BIT,$A333)+SUMIFS(SALIDAS_BOV1,FECHA_BOV1,"&gt;="&amp;AN$2,FECHA_BOV1,"&lt;="&amp;AN$3,CLAVE_BOV1,$A333)+SUMIFS(SALIDAS_BOV2,FECHA_BOV2,"&gt;="&amp;AN$2,FECHA_BOV2,"&lt;="&amp;AN$3,CLAVE_BOV2,$A333)+SUMIFS(SALIDAS_BOV3,FECHA_BOV3,"&gt;="&amp;AN$2,FECHA_BOV3,"&lt;="&amp;AN$3,CLAVE_BOV3,$A333)+SUMIFS(SALIDAS_TC,FECHA_TC,"&gt;="&amp;AN$2,FECHA_TC,"&lt;="&amp;AN$3,CLAVE_TC,$A333)+SUMIFS(SALIDAS_COMB,FECHA_COMB,"&gt;="&amp;AN$2,FECHA_COMB,"&lt;="&amp;AN$3,CLAVE_COMB,$A333)+SUMIFS(SALIDAS_DES,FECHA_DESGLOSEN,"&gt;="&amp;AN$2,FECHA_DESGLOSEN,"&lt;="&amp;AN$3,CLAVE_DESGLOSE,$A333)</f>
        <v>0</v>
      </c>
      <c r="AO333" s="162">
        <f>SUMIFS(SALIDAS_BIT,FECHA_BIT,"&gt;="&amp;AO$2,FECHA_BIT,"&lt;="&amp;AO$3,CLAVE_BIT,$A333)+SUMIFS(SALIDAS_BOV1,FECHA_BOV1,"&gt;="&amp;AO$2,FECHA_BOV1,"&lt;="&amp;AO$3,CLAVE_BOV1,$A333)+SUMIFS(SALIDAS_BOV2,FECHA_BOV2,"&gt;="&amp;AO$2,FECHA_BOV2,"&lt;="&amp;AO$3,CLAVE_BOV2,$A333)+SUMIFS(SALIDAS_BOV3,FECHA_BOV3,"&gt;="&amp;AO$2,FECHA_BOV3,"&lt;="&amp;AO$3,CLAVE_BOV3,$A333)+SUMIFS(SALIDAS_TC,FECHA_TC,"&gt;="&amp;AO$2,FECHA_TC,"&lt;="&amp;AO$3,CLAVE_TC,$A333)+SUMIFS(SALIDAS_COMB,FECHA_COMB,"&gt;="&amp;AO$2,FECHA_COMB,"&lt;="&amp;AO$3,CLAVE_COMB,$A333)+SUMIFS(SALIDAS_DES,FECHA_DESGLOSEN,"&gt;="&amp;AO$2,FECHA_DESGLOSEN,"&lt;="&amp;AO$3,CLAVE_DESGLOSE,$A333)</f>
        <v>0</v>
      </c>
      <c r="AP333" s="162">
        <f>SUMIFS(SALIDAS_BIT,FECHA_BIT,"&gt;="&amp;AP$2,FECHA_BIT,"&lt;="&amp;AP$3,CLAVE_BIT,$A333)+SUMIFS(SALIDAS_BOV1,FECHA_BOV1,"&gt;="&amp;AP$2,FECHA_BOV1,"&lt;="&amp;AP$3,CLAVE_BOV1,$A333)+SUMIFS(SALIDAS_BOV2,FECHA_BOV2,"&gt;="&amp;AP$2,FECHA_BOV2,"&lt;="&amp;AP$3,CLAVE_BOV2,$A333)+SUMIFS(SALIDAS_BOV3,FECHA_BOV3,"&gt;="&amp;AP$2,FECHA_BOV3,"&lt;="&amp;AP$3,CLAVE_BOV3,$A333)+SUMIFS(SALIDAS_TC,FECHA_TC,"&gt;="&amp;AP$2,FECHA_TC,"&lt;="&amp;AP$3,CLAVE_TC,$A333)+SUMIFS(SALIDAS_COMB,FECHA_COMB,"&gt;="&amp;AP$2,FECHA_COMB,"&lt;="&amp;AP$3,CLAVE_COMB,$A333)+SUMIFS(SALIDAS_DES,FECHA_DESGLOSEN,"&gt;="&amp;AP$2,FECHA_DESGLOSEN,"&lt;="&amp;AP$3,CLAVE_DESGLOSE,$A333)</f>
        <v>0</v>
      </c>
      <c r="AQ333" s="162">
        <f>SUMIFS(SALIDAS_BIT,FECHA_BIT,"&gt;="&amp;AQ$2,FECHA_BIT,"&lt;="&amp;AQ$3,CLAVE_BIT,$A333)+SUMIFS(SALIDAS_BOV1,FECHA_BOV1,"&gt;="&amp;AQ$2,FECHA_BOV1,"&lt;="&amp;AQ$3,CLAVE_BOV1,$A333)+SUMIFS(SALIDAS_BOV2,FECHA_BOV2,"&gt;="&amp;AQ$2,FECHA_BOV2,"&lt;="&amp;AQ$3,CLAVE_BOV2,$A333)+SUMIFS(SALIDAS_BOV3,FECHA_BOV3,"&gt;="&amp;AQ$2,FECHA_BOV3,"&lt;="&amp;AQ$3,CLAVE_BOV3,$A333)+SUMIFS(SALIDAS_TC,FECHA_TC,"&gt;="&amp;AQ$2,FECHA_TC,"&lt;="&amp;AQ$3,CLAVE_TC,$A333)+SUMIFS(SALIDAS_COMB,FECHA_COMB,"&gt;="&amp;AQ$2,FECHA_COMB,"&lt;="&amp;AQ$3,CLAVE_COMB,$A333)+SUMIFS(SALIDAS_DES,FECHA_DESGLOSEN,"&gt;="&amp;AQ$2,FECHA_DESGLOSEN,"&lt;="&amp;AQ$3,CLAVE_DESGLOSE,$A333)</f>
        <v>0</v>
      </c>
      <c r="AR333" s="162">
        <f>SUMIFS(SALIDAS_BIT,FECHA_BIT,"&gt;="&amp;AR$2,FECHA_BIT,"&lt;="&amp;AR$3,CLAVE_BIT,$A333)+SUMIFS(SALIDAS_BOV1,FECHA_BOV1,"&gt;="&amp;AR$2,FECHA_BOV1,"&lt;="&amp;AR$3,CLAVE_BOV1,$A333)+SUMIFS(SALIDAS_BOV2,FECHA_BOV2,"&gt;="&amp;AR$2,FECHA_BOV2,"&lt;="&amp;AR$3,CLAVE_BOV2,$A333)+SUMIFS(SALIDAS_BOV3,FECHA_BOV3,"&gt;="&amp;AR$2,FECHA_BOV3,"&lt;="&amp;AR$3,CLAVE_BOV3,$A333)+SUMIFS(SALIDAS_TC,FECHA_TC,"&gt;="&amp;AR$2,FECHA_TC,"&lt;="&amp;AR$3,CLAVE_TC,$A333)+SUMIFS(SALIDAS_COMB,FECHA_COMB,"&gt;="&amp;AR$2,FECHA_COMB,"&lt;="&amp;AR$3,CLAVE_COMB,$A333)+SUMIFS(SALIDAS_DES,FECHA_DESGLOSEN,"&gt;="&amp;AR$2,FECHA_DESGLOSEN,"&lt;="&amp;AR$3,CLAVE_DESGLOSE,$A333)</f>
        <v>0</v>
      </c>
      <c r="AS333" s="162">
        <f>SUMIFS(SALIDAS_BIT,FECHA_BIT,"&gt;="&amp;AS$2,FECHA_BIT,"&lt;="&amp;AS$3,CLAVE_BIT,$A333)+SUMIFS(SALIDAS_BOV1,FECHA_BOV1,"&gt;="&amp;AS$2,FECHA_BOV1,"&lt;="&amp;AS$3,CLAVE_BOV1,$A333)+SUMIFS(SALIDAS_BOV2,FECHA_BOV2,"&gt;="&amp;AS$2,FECHA_BOV2,"&lt;="&amp;AS$3,CLAVE_BOV2,$A333)+SUMIFS(SALIDAS_BOV3,FECHA_BOV3,"&gt;="&amp;AS$2,FECHA_BOV3,"&lt;="&amp;AS$3,CLAVE_BOV3,$A333)+SUMIFS(SALIDAS_TC,FECHA_TC,"&gt;="&amp;AS$2,FECHA_TC,"&lt;="&amp;AS$3,CLAVE_TC,$A333)+SUMIFS(SALIDAS_COMB,FECHA_COMB,"&gt;="&amp;AS$2,FECHA_COMB,"&lt;="&amp;AS$3,CLAVE_COMB,$A333)+SUMIFS(SALIDAS_DES,FECHA_DESGLOSEN,"&gt;="&amp;AS$2,FECHA_DESGLOSEN,"&lt;="&amp;AS$3,CLAVE_DESGLOSE,$A333)</f>
        <v>0</v>
      </c>
      <c r="AT333" s="227">
        <f>AM333-AS333</f>
        <v>0</v>
      </c>
      <c r="AU333" s="301">
        <f>IFERROR((AS333/AM333),0)</f>
        <v>0</v>
      </c>
      <c r="AV333" s="162">
        <f>VLOOKUP($A333,T_PRESUPUESTO,MATCH(AV$6,E_PRESUPUESTO,0),FALSE)</f>
        <v>0</v>
      </c>
      <c r="AW333" s="162">
        <f>SUMIFS(SALIDAS_BIT,FECHA_BIT,"&gt;="&amp;AW$2,FECHA_BIT,"&lt;="&amp;AW$3,CLAVE_BIT,$A333)+SUMIFS(SALIDAS_BOV1,FECHA_BOV1,"&gt;="&amp;AW$2,FECHA_BOV1,"&lt;="&amp;AW$3,CLAVE_BOV1,$A333)+SUMIFS(SALIDAS_BOV2,FECHA_BOV2,"&gt;="&amp;AW$2,FECHA_BOV2,"&lt;="&amp;AW$3,CLAVE_BOV2,$A333)+SUMIFS(SALIDAS_BOV3,FECHA_BOV3,"&gt;="&amp;AW$2,FECHA_BOV3,"&lt;="&amp;AW$3,CLAVE_BOV3,$A333)+SUMIFS(SALIDAS_TC,FECHA_TC,"&gt;="&amp;AW$2,FECHA_TC,"&lt;="&amp;AW$3,CLAVE_TC,$A333)+SUMIFS(SALIDAS_COMB,FECHA_COMB,"&gt;="&amp;AW$2,FECHA_COMB,"&lt;="&amp;AW$3,CLAVE_COMB,$A333)+SUMIFS(SALIDAS_DES,FECHA_DESGLOSEN,"&gt;="&amp;AW$2,FECHA_DESGLOSEN,"&lt;="&amp;AW$3,CLAVE_DESGLOSE,$A333)</f>
        <v>0</v>
      </c>
      <c r="AX333" s="162">
        <f>SUMIFS(SALIDAS_BIT,FECHA_BIT,"&gt;="&amp;AX$2,FECHA_BIT,"&lt;="&amp;AX$3,CLAVE_BIT,$A333)+SUMIFS(SALIDAS_BOV1,FECHA_BOV1,"&gt;="&amp;AX$2,FECHA_BOV1,"&lt;="&amp;AX$3,CLAVE_BOV1,$A333)+SUMIFS(SALIDAS_BOV2,FECHA_BOV2,"&gt;="&amp;AX$2,FECHA_BOV2,"&lt;="&amp;AX$3,CLAVE_BOV2,$A333)+SUMIFS(SALIDAS_BOV3,FECHA_BOV3,"&gt;="&amp;AX$2,FECHA_BOV3,"&lt;="&amp;AX$3,CLAVE_BOV3,$A333)+SUMIFS(SALIDAS_TC,FECHA_TC,"&gt;="&amp;AX$2,FECHA_TC,"&lt;="&amp;AX$3,CLAVE_TC,$A333)+SUMIFS(SALIDAS_COMB,FECHA_COMB,"&gt;="&amp;AX$2,FECHA_COMB,"&lt;="&amp;AX$3,CLAVE_COMB,$A333)+SUMIFS(SALIDAS_DES,FECHA_DESGLOSEN,"&gt;="&amp;AX$2,FECHA_DESGLOSEN,"&lt;="&amp;AX$3,CLAVE_DESGLOSE,$A333)</f>
        <v>0</v>
      </c>
      <c r="AY333" s="162">
        <f>SUMIFS(SALIDAS_BIT,FECHA_BIT,"&gt;="&amp;AY$2,FECHA_BIT,"&lt;="&amp;AY$3,CLAVE_BIT,$A333)+SUMIFS(SALIDAS_BOV1,FECHA_BOV1,"&gt;="&amp;AY$2,FECHA_BOV1,"&lt;="&amp;AY$3,CLAVE_BOV1,$A333)+SUMIFS(SALIDAS_BOV2,FECHA_BOV2,"&gt;="&amp;AY$2,FECHA_BOV2,"&lt;="&amp;AY$3,CLAVE_BOV2,$A333)+SUMIFS(SALIDAS_BOV3,FECHA_BOV3,"&gt;="&amp;AY$2,FECHA_BOV3,"&lt;="&amp;AY$3,CLAVE_BOV3,$A333)+SUMIFS(SALIDAS_TC,FECHA_TC,"&gt;="&amp;AY$2,FECHA_TC,"&lt;="&amp;AY$3,CLAVE_TC,$A333)+SUMIFS(SALIDAS_COMB,FECHA_COMB,"&gt;="&amp;AY$2,FECHA_COMB,"&lt;="&amp;AY$3,CLAVE_COMB,$A333)+SUMIFS(SALIDAS_DES,FECHA_DESGLOSEN,"&gt;="&amp;AY$2,FECHA_DESGLOSEN,"&lt;="&amp;AY$3,CLAVE_DESGLOSE,$A333)</f>
        <v>0</v>
      </c>
      <c r="AZ333" s="162">
        <f>SUMIFS(SALIDAS_BIT,FECHA_BIT,"&gt;="&amp;AZ$2,FECHA_BIT,"&lt;="&amp;AZ$3,CLAVE_BIT,$A333)+SUMIFS(SALIDAS_BOV1,FECHA_BOV1,"&gt;="&amp;AZ$2,FECHA_BOV1,"&lt;="&amp;AZ$3,CLAVE_BOV1,$A333)+SUMIFS(SALIDAS_BOV2,FECHA_BOV2,"&gt;="&amp;AZ$2,FECHA_BOV2,"&lt;="&amp;AZ$3,CLAVE_BOV2,$A333)+SUMIFS(SALIDAS_BOV3,FECHA_BOV3,"&gt;="&amp;AZ$2,FECHA_BOV3,"&lt;="&amp;AZ$3,CLAVE_BOV3,$A333)+SUMIFS(SALIDAS_TC,FECHA_TC,"&gt;="&amp;AZ$2,FECHA_TC,"&lt;="&amp;AZ$3,CLAVE_TC,$A333)+SUMIFS(SALIDAS_COMB,FECHA_COMB,"&gt;="&amp;AZ$2,FECHA_COMB,"&lt;="&amp;AZ$3,CLAVE_COMB,$A333)+SUMIFS(SALIDAS_DES,FECHA_DESGLOSEN,"&gt;="&amp;AZ$2,FECHA_DESGLOSEN,"&lt;="&amp;AZ$3,CLAVE_DESGLOSE,$A333)</f>
        <v>0</v>
      </c>
      <c r="BA333" s="162">
        <f>SUMIFS(SALIDAS_BIT,FECHA_BIT,"&gt;="&amp;BA$2,FECHA_BIT,"&lt;="&amp;BA$3,CLAVE_BIT,$A333)+SUMIFS(SALIDAS_BOV1,FECHA_BOV1,"&gt;="&amp;BA$2,FECHA_BOV1,"&lt;="&amp;BA$3,CLAVE_BOV1,$A333)+SUMIFS(SALIDAS_BOV2,FECHA_BOV2,"&gt;="&amp;BA$2,FECHA_BOV2,"&lt;="&amp;BA$3,CLAVE_BOV2,$A333)+SUMIFS(SALIDAS_BOV3,FECHA_BOV3,"&gt;="&amp;BA$2,FECHA_BOV3,"&lt;="&amp;BA$3,CLAVE_BOV3,$A333)+SUMIFS(SALIDAS_TC,FECHA_TC,"&gt;="&amp;BA$2,FECHA_TC,"&lt;="&amp;BA$3,CLAVE_TC,$A333)+SUMIFS(SALIDAS_COMB,FECHA_COMB,"&gt;="&amp;BA$2,FECHA_COMB,"&lt;="&amp;BA$3,CLAVE_COMB,$A333)+SUMIFS(SALIDAS_DES,FECHA_DESGLOSEN,"&gt;="&amp;BA$2,FECHA_DESGLOSEN,"&lt;="&amp;BA$3,CLAVE_DESGLOSE,$A333)</f>
        <v>0</v>
      </c>
      <c r="BB333" s="227">
        <f>AV333-BA333</f>
        <v>0</v>
      </c>
      <c r="BC333" s="301">
        <f>IFERROR((BA333/AV333),0)</f>
        <v>0</v>
      </c>
      <c r="BD333" s="162">
        <f>VLOOKUP($A333,T_PRESUPUESTO,MATCH(BD$6,E_PRESUPUESTO,0),FALSE)</f>
        <v>0</v>
      </c>
      <c r="BE333" s="162">
        <f>SUMIFS(SALIDAS_BIT,FECHA_BIT,"&gt;="&amp;BE$2,FECHA_BIT,"&lt;="&amp;BE$3,CLAVE_BIT,$A333)+SUMIFS(SALIDAS_BOV1,FECHA_BOV1,"&gt;="&amp;BE$2,FECHA_BOV1,"&lt;="&amp;BE$3,CLAVE_BOV1,$A333)+SUMIFS(SALIDAS_BOV2,FECHA_BOV2,"&gt;="&amp;BE$2,FECHA_BOV2,"&lt;="&amp;BE$3,CLAVE_BOV2,$A333)+SUMIFS(SALIDAS_BOV3,FECHA_BOV3,"&gt;="&amp;BE$2,FECHA_BOV3,"&lt;="&amp;BE$3,CLAVE_BOV3,$A333)+SUMIFS(SALIDAS_TC,FECHA_TC,"&gt;="&amp;BE$2,FECHA_TC,"&lt;="&amp;BE$3,CLAVE_TC,$A333)+SUMIFS(SALIDAS_COMB,FECHA_COMB,"&gt;="&amp;BE$2,FECHA_COMB,"&lt;="&amp;BE$3,CLAVE_COMB,$A333)+SUMIFS(SALIDAS_DES,FECHA_DESGLOSEN,"&gt;="&amp;BE$2,FECHA_DESGLOSEN,"&lt;="&amp;BE$3,CLAVE_DESGLOSE,$A333)</f>
        <v>0</v>
      </c>
      <c r="BF333" s="162">
        <f>SUMIFS(SALIDAS_BIT,FECHA_BIT,"&gt;="&amp;BF$2,FECHA_BIT,"&lt;="&amp;BF$3,CLAVE_BIT,$A333)+SUMIFS(SALIDAS_BOV1,FECHA_BOV1,"&gt;="&amp;BF$2,FECHA_BOV1,"&lt;="&amp;BF$3,CLAVE_BOV1,$A333)+SUMIFS(SALIDAS_BOV2,FECHA_BOV2,"&gt;="&amp;BF$2,FECHA_BOV2,"&lt;="&amp;BF$3,CLAVE_BOV2,$A333)+SUMIFS(SALIDAS_BOV3,FECHA_BOV3,"&gt;="&amp;BF$2,FECHA_BOV3,"&lt;="&amp;BF$3,CLAVE_BOV3,$A333)+SUMIFS(SALIDAS_TC,FECHA_TC,"&gt;="&amp;BF$2,FECHA_TC,"&lt;="&amp;BF$3,CLAVE_TC,$A333)+SUMIFS(SALIDAS_COMB,FECHA_COMB,"&gt;="&amp;BF$2,FECHA_COMB,"&lt;="&amp;BF$3,CLAVE_COMB,$A333)+SUMIFS(SALIDAS_DES,FECHA_DESGLOSEN,"&gt;="&amp;BF$2,FECHA_DESGLOSEN,"&lt;="&amp;BF$3,CLAVE_DESGLOSE,$A333)</f>
        <v>0</v>
      </c>
      <c r="BG333" s="162">
        <f>SUMIFS(SALIDAS_BIT,FECHA_BIT,"&gt;="&amp;BG$2,FECHA_BIT,"&lt;="&amp;BG$3,CLAVE_BIT,$A333)+SUMIFS(SALIDAS_BOV1,FECHA_BOV1,"&gt;="&amp;BG$2,FECHA_BOV1,"&lt;="&amp;BG$3,CLAVE_BOV1,$A333)+SUMIFS(SALIDAS_BOV2,FECHA_BOV2,"&gt;="&amp;BG$2,FECHA_BOV2,"&lt;="&amp;BG$3,CLAVE_BOV2,$A333)+SUMIFS(SALIDAS_BOV3,FECHA_BOV3,"&gt;="&amp;BG$2,FECHA_BOV3,"&lt;="&amp;BG$3,CLAVE_BOV3,$A333)+SUMIFS(SALIDAS_TC,FECHA_TC,"&gt;="&amp;BG$2,FECHA_TC,"&lt;="&amp;BG$3,CLAVE_TC,$A333)+SUMIFS(SALIDAS_COMB,FECHA_COMB,"&gt;="&amp;BG$2,FECHA_COMB,"&lt;="&amp;BG$3,CLAVE_COMB,$A333)+SUMIFS(SALIDAS_DES,FECHA_DESGLOSEN,"&gt;="&amp;BG$2,FECHA_DESGLOSEN,"&lt;="&amp;BG$3,CLAVE_DESGLOSE,$A333)</f>
        <v>0</v>
      </c>
      <c r="BH333" s="162">
        <f>SUMIFS(SALIDAS_BIT,FECHA_BIT,"&gt;="&amp;BH$2,FECHA_BIT,"&lt;="&amp;BH$3,CLAVE_BIT,$A333)+SUMIFS(SALIDAS_BOV1,FECHA_BOV1,"&gt;="&amp;BH$2,FECHA_BOV1,"&lt;="&amp;BH$3,CLAVE_BOV1,$A333)+SUMIFS(SALIDAS_BOV2,FECHA_BOV2,"&gt;="&amp;BH$2,FECHA_BOV2,"&lt;="&amp;BH$3,CLAVE_BOV2,$A333)+SUMIFS(SALIDAS_BOV3,FECHA_BOV3,"&gt;="&amp;BH$2,FECHA_BOV3,"&lt;="&amp;BH$3,CLAVE_BOV3,$A333)+SUMIFS(SALIDAS_TC,FECHA_TC,"&gt;="&amp;BH$2,FECHA_TC,"&lt;="&amp;BH$3,CLAVE_TC,$A333)+SUMIFS(SALIDAS_COMB,FECHA_COMB,"&gt;="&amp;BH$2,FECHA_COMB,"&lt;="&amp;BH$3,CLAVE_COMB,$A333)+SUMIFS(SALIDAS_DES,FECHA_DESGLOSEN,"&gt;="&amp;BH$2,FECHA_DESGLOSEN,"&lt;="&amp;BH$3,CLAVE_DESGLOSE,$A333)</f>
        <v>0</v>
      </c>
      <c r="BI333" s="162">
        <f>SUMIFS(SALIDAS_BIT,FECHA_BIT,"&gt;="&amp;BI$2,FECHA_BIT,"&lt;="&amp;BI$3,CLAVE_BIT,$A333)+SUMIFS(SALIDAS_BOV1,FECHA_BOV1,"&gt;="&amp;BI$2,FECHA_BOV1,"&lt;="&amp;BI$3,CLAVE_BOV1,$A333)+SUMIFS(SALIDAS_BOV2,FECHA_BOV2,"&gt;="&amp;BI$2,FECHA_BOV2,"&lt;="&amp;BI$3,CLAVE_BOV2,$A333)+SUMIFS(SALIDAS_BOV3,FECHA_BOV3,"&gt;="&amp;BI$2,FECHA_BOV3,"&lt;="&amp;BI$3,CLAVE_BOV3,$A333)+SUMIFS(SALIDAS_TC,FECHA_TC,"&gt;="&amp;BI$2,FECHA_TC,"&lt;="&amp;BI$3,CLAVE_TC,$A333)+SUMIFS(SALIDAS_COMB,FECHA_COMB,"&gt;="&amp;BI$2,FECHA_COMB,"&lt;="&amp;BI$3,CLAVE_COMB,$A333)+SUMIFS(SALIDAS_DES,FECHA_DESGLOSEN,"&gt;="&amp;BI$2,FECHA_DESGLOSEN,"&lt;="&amp;BI$3,CLAVE_DESGLOSE,$A333)</f>
        <v>0</v>
      </c>
      <c r="BJ333" s="227">
        <f>BD333-BI333</f>
        <v>0</v>
      </c>
      <c r="BK333" s="301">
        <f>IFERROR((BI333/BD333),0)</f>
        <v>0</v>
      </c>
      <c r="BL333" s="162">
        <f>VLOOKUP($A333,T_PRESUPUESTO,MATCH(BL$6,E_PRESUPUESTO,0),FALSE)</f>
        <v>0</v>
      </c>
      <c r="BM333" s="162">
        <f>SUMIFS(SALIDAS_BIT,FECHA_BIT,"&gt;="&amp;BM$2,FECHA_BIT,"&lt;="&amp;BM$3,CLAVE_BIT,$A333)+SUMIFS(SALIDAS_BOV1,FECHA_BOV1,"&gt;="&amp;BM$2,FECHA_BOV1,"&lt;="&amp;BM$3,CLAVE_BOV1,$A333)+SUMIFS(SALIDAS_BOV2,FECHA_BOV2,"&gt;="&amp;BM$2,FECHA_BOV2,"&lt;="&amp;BM$3,CLAVE_BOV2,$A333)+SUMIFS(SALIDAS_BOV3,FECHA_BOV3,"&gt;="&amp;BM$2,FECHA_BOV3,"&lt;="&amp;BM$3,CLAVE_BOV3,$A333)+SUMIFS(SALIDAS_TC,FECHA_TC,"&gt;="&amp;BM$2,FECHA_TC,"&lt;="&amp;BM$3,CLAVE_TC,$A333)+SUMIFS(SALIDAS_COMB,FECHA_COMB,"&gt;="&amp;BM$2,FECHA_COMB,"&lt;="&amp;BM$3,CLAVE_COMB,$A333)+SUMIFS(SALIDAS_DES,FECHA_DESGLOSEN,"&gt;="&amp;BM$2,FECHA_DESGLOSEN,"&lt;="&amp;BM$3,CLAVE_DESGLOSE,$A333)</f>
        <v>0</v>
      </c>
      <c r="BN333" s="162">
        <f>SUMIFS(SALIDAS_BIT,FECHA_BIT,"&gt;="&amp;BN$2,FECHA_BIT,"&lt;="&amp;BN$3,CLAVE_BIT,$A333)+SUMIFS(SALIDAS_BOV1,FECHA_BOV1,"&gt;="&amp;BN$2,FECHA_BOV1,"&lt;="&amp;BN$3,CLAVE_BOV1,$A333)+SUMIFS(SALIDAS_BOV2,FECHA_BOV2,"&gt;="&amp;BN$2,FECHA_BOV2,"&lt;="&amp;BN$3,CLAVE_BOV2,$A333)+SUMIFS(SALIDAS_BOV3,FECHA_BOV3,"&gt;="&amp;BN$2,FECHA_BOV3,"&lt;="&amp;BN$3,CLAVE_BOV3,$A333)+SUMIFS(SALIDAS_TC,FECHA_TC,"&gt;="&amp;BN$2,FECHA_TC,"&lt;="&amp;BN$3,CLAVE_TC,$A333)+SUMIFS(SALIDAS_COMB,FECHA_COMB,"&gt;="&amp;BN$2,FECHA_COMB,"&lt;="&amp;BN$3,CLAVE_COMB,$A333)+SUMIFS(SALIDAS_DES,FECHA_DESGLOSEN,"&gt;="&amp;BN$2,FECHA_DESGLOSEN,"&lt;="&amp;BN$3,CLAVE_DESGLOSE,$A333)</f>
        <v>0</v>
      </c>
      <c r="BO333" s="162">
        <f>SUMIFS(SALIDAS_BIT,FECHA_BIT,"&gt;="&amp;BO$2,FECHA_BIT,"&lt;="&amp;BO$3,CLAVE_BIT,$A333)+SUMIFS(SALIDAS_BOV1,FECHA_BOV1,"&gt;="&amp;BO$2,FECHA_BOV1,"&lt;="&amp;BO$3,CLAVE_BOV1,$A333)+SUMIFS(SALIDAS_BOV2,FECHA_BOV2,"&gt;="&amp;BO$2,FECHA_BOV2,"&lt;="&amp;BO$3,CLAVE_BOV2,$A333)+SUMIFS(SALIDAS_BOV3,FECHA_BOV3,"&gt;="&amp;BO$2,FECHA_BOV3,"&lt;="&amp;BO$3,CLAVE_BOV3,$A333)+SUMIFS(SALIDAS_TC,FECHA_TC,"&gt;="&amp;BO$2,FECHA_TC,"&lt;="&amp;BO$3,CLAVE_TC,$A333)+SUMIFS(SALIDAS_COMB,FECHA_COMB,"&gt;="&amp;BO$2,FECHA_COMB,"&lt;="&amp;BO$3,CLAVE_COMB,$A333)+SUMIFS(SALIDAS_DES,FECHA_DESGLOSEN,"&gt;="&amp;BO$2,FECHA_DESGLOSEN,"&lt;="&amp;BO$3,CLAVE_DESGLOSE,$A333)</f>
        <v>0</v>
      </c>
      <c r="BP333" s="162">
        <f>SUMIFS(SALIDAS_BIT,FECHA_BIT,"&gt;="&amp;BP$2,FECHA_BIT,"&lt;="&amp;BP$3,CLAVE_BIT,$A333)+SUMIFS(SALIDAS_BOV1,FECHA_BOV1,"&gt;="&amp;BP$2,FECHA_BOV1,"&lt;="&amp;BP$3,CLAVE_BOV1,$A333)+SUMIFS(SALIDAS_BOV2,FECHA_BOV2,"&gt;="&amp;BP$2,FECHA_BOV2,"&lt;="&amp;BP$3,CLAVE_BOV2,$A333)+SUMIFS(SALIDAS_BOV3,FECHA_BOV3,"&gt;="&amp;BP$2,FECHA_BOV3,"&lt;="&amp;BP$3,CLAVE_BOV3,$A333)+SUMIFS(SALIDAS_TC,FECHA_TC,"&gt;="&amp;BP$2,FECHA_TC,"&lt;="&amp;BP$3,CLAVE_TC,$A333)+SUMIFS(SALIDAS_COMB,FECHA_COMB,"&gt;="&amp;BP$2,FECHA_COMB,"&lt;="&amp;BP$3,CLAVE_COMB,$A333)+SUMIFS(SALIDAS_DES,FECHA_DESGLOSEN,"&gt;="&amp;BP$2,FECHA_DESGLOSEN,"&lt;="&amp;BP$3,CLAVE_DESGLOSE,$A333)</f>
        <v>0</v>
      </c>
      <c r="BQ333" s="162">
        <f>SUMIFS(SALIDAS_BIT,FECHA_BIT,"&gt;="&amp;BQ$2,FECHA_BIT,"&lt;="&amp;BQ$3,CLAVE_BIT,$A333)+SUMIFS(SALIDAS_BOV1,FECHA_BOV1,"&gt;="&amp;BQ$2,FECHA_BOV1,"&lt;="&amp;BQ$3,CLAVE_BOV1,$A333)+SUMIFS(SALIDAS_BOV2,FECHA_BOV2,"&gt;="&amp;BQ$2,FECHA_BOV2,"&lt;="&amp;BQ$3,CLAVE_BOV2,$A333)+SUMIFS(SALIDAS_BOV3,FECHA_BOV3,"&gt;="&amp;BQ$2,FECHA_BOV3,"&lt;="&amp;BQ$3,CLAVE_BOV3,$A333)+SUMIFS(SALIDAS_TC,FECHA_TC,"&gt;="&amp;BQ$2,FECHA_TC,"&lt;="&amp;BQ$3,CLAVE_TC,$A333)+SUMIFS(SALIDAS_COMB,FECHA_COMB,"&gt;="&amp;BQ$2,FECHA_COMB,"&lt;="&amp;BQ$3,CLAVE_COMB,$A333)+SUMIFS(SALIDAS_DES,FECHA_DESGLOSEN,"&gt;="&amp;BQ$2,FECHA_DESGLOSEN,"&lt;="&amp;BQ$3,CLAVE_DESGLOSE,$A333)</f>
        <v>0</v>
      </c>
      <c r="BR333" s="162">
        <f>SUMIFS(SALIDAS_BIT,FECHA_BIT,"&gt;="&amp;BR$2,FECHA_BIT,"&lt;="&amp;BR$3,CLAVE_BIT,$A333)+SUMIFS(SALIDAS_BOV1,FECHA_BOV1,"&gt;="&amp;BR$2,FECHA_BOV1,"&lt;="&amp;BR$3,CLAVE_BOV1,$A333)+SUMIFS(SALIDAS_BOV2,FECHA_BOV2,"&gt;="&amp;BR$2,FECHA_BOV2,"&lt;="&amp;BR$3,CLAVE_BOV2,$A333)+SUMIFS(SALIDAS_BOV3,FECHA_BOV3,"&gt;="&amp;BR$2,FECHA_BOV3,"&lt;="&amp;BR$3,CLAVE_BOV3,$A333)+SUMIFS(SALIDAS_TC,FECHA_TC,"&gt;="&amp;BR$2,FECHA_TC,"&lt;="&amp;BR$3,CLAVE_TC,$A333)+SUMIFS(SALIDAS_COMB,FECHA_COMB,"&gt;="&amp;BR$2,FECHA_COMB,"&lt;="&amp;BR$3,CLAVE_COMB,$A333)+SUMIFS(SALIDAS_DES,FECHA_DESGLOSEN,"&gt;="&amp;BR$2,FECHA_DESGLOSEN,"&lt;="&amp;BR$3,CLAVE_DESGLOSE,$A333)</f>
        <v>0</v>
      </c>
      <c r="BS333" s="227">
        <f>BL333-BR333</f>
        <v>0</v>
      </c>
      <c r="BT333" s="301">
        <f>IFERROR((BR333/BL333),0)</f>
        <v>0</v>
      </c>
      <c r="BU333" s="162">
        <f>VLOOKUP($A333,T_PRESUPUESTO,MATCH(BU$6,E_PRESUPUESTO,0),FALSE)</f>
        <v>0</v>
      </c>
      <c r="BV333" s="162">
        <f>SUMIFS(SALIDAS_BIT,FECHA_BIT,"&gt;="&amp;BV$2,FECHA_BIT,"&lt;="&amp;BV$3,CLAVE_BIT,$A333)+SUMIFS(SALIDAS_BOV1,FECHA_BOV1,"&gt;="&amp;BV$2,FECHA_BOV1,"&lt;="&amp;BV$3,CLAVE_BOV1,$A333)+SUMIFS(SALIDAS_BOV2,FECHA_BOV2,"&gt;="&amp;BV$2,FECHA_BOV2,"&lt;="&amp;BV$3,CLAVE_BOV2,$A333)+SUMIFS(SALIDAS_BOV3,FECHA_BOV3,"&gt;="&amp;BV$2,FECHA_BOV3,"&lt;="&amp;BV$3,CLAVE_BOV3,$A333)+SUMIFS(SALIDAS_TC,FECHA_TC,"&gt;="&amp;BV$2,FECHA_TC,"&lt;="&amp;BV$3,CLAVE_TC,$A333)+SUMIFS(SALIDAS_COMB,FECHA_COMB,"&gt;="&amp;BV$2,FECHA_COMB,"&lt;="&amp;BV$3,CLAVE_COMB,$A333)+SUMIFS(SALIDAS_DES,FECHA_DESGLOSEN,"&gt;="&amp;BV$2,FECHA_DESGLOSEN,"&lt;="&amp;BV$3,CLAVE_DESGLOSE,$A333)</f>
        <v>0</v>
      </c>
      <c r="BW333" s="162">
        <f>SUMIFS(SALIDAS_BIT,FECHA_BIT,"&gt;="&amp;BW$2,FECHA_BIT,"&lt;="&amp;BW$3,CLAVE_BIT,$A333)+SUMIFS(SALIDAS_BOV1,FECHA_BOV1,"&gt;="&amp;BW$2,FECHA_BOV1,"&lt;="&amp;BW$3,CLAVE_BOV1,$A333)+SUMIFS(SALIDAS_BOV2,FECHA_BOV2,"&gt;="&amp;BW$2,FECHA_BOV2,"&lt;="&amp;BW$3,CLAVE_BOV2,$A333)+SUMIFS(SALIDAS_BOV3,FECHA_BOV3,"&gt;="&amp;BW$2,FECHA_BOV3,"&lt;="&amp;BW$3,CLAVE_BOV3,$A333)+SUMIFS(SALIDAS_TC,FECHA_TC,"&gt;="&amp;BW$2,FECHA_TC,"&lt;="&amp;BW$3,CLAVE_TC,$A333)+SUMIFS(SALIDAS_COMB,FECHA_COMB,"&gt;="&amp;BW$2,FECHA_COMB,"&lt;="&amp;BW$3,CLAVE_COMB,$A333)+SUMIFS(SALIDAS_DES,FECHA_DESGLOSEN,"&gt;="&amp;BW$2,FECHA_DESGLOSEN,"&lt;="&amp;BW$3,CLAVE_DESGLOSE,$A333)</f>
        <v>0</v>
      </c>
      <c r="BX333" s="162">
        <f>SUMIFS(SALIDAS_BIT,FECHA_BIT,"&gt;="&amp;BX$2,FECHA_BIT,"&lt;="&amp;BX$3,CLAVE_BIT,$A333)+SUMIFS(SALIDAS_BOV1,FECHA_BOV1,"&gt;="&amp;BX$2,FECHA_BOV1,"&lt;="&amp;BX$3,CLAVE_BOV1,$A333)+SUMIFS(SALIDAS_BOV2,FECHA_BOV2,"&gt;="&amp;BX$2,FECHA_BOV2,"&lt;="&amp;BX$3,CLAVE_BOV2,$A333)+SUMIFS(SALIDAS_BOV3,FECHA_BOV3,"&gt;="&amp;BX$2,FECHA_BOV3,"&lt;="&amp;BX$3,CLAVE_BOV3,$A333)+SUMIFS(SALIDAS_TC,FECHA_TC,"&gt;="&amp;BX$2,FECHA_TC,"&lt;="&amp;BX$3,CLAVE_TC,$A333)+SUMIFS(SALIDAS_COMB,FECHA_COMB,"&gt;="&amp;BX$2,FECHA_COMB,"&lt;="&amp;BX$3,CLAVE_COMB,$A333)+SUMIFS(SALIDAS_DES,FECHA_DESGLOSEN,"&gt;="&amp;BX$2,FECHA_DESGLOSEN,"&lt;="&amp;BX$3,CLAVE_DESGLOSE,$A333)</f>
        <v>0</v>
      </c>
      <c r="BY333" s="162">
        <f>SUMIFS(SALIDAS_BIT,FECHA_BIT,"&gt;="&amp;BY$2,FECHA_BIT,"&lt;="&amp;BY$3,CLAVE_BIT,$A333)+SUMIFS(SALIDAS_BOV1,FECHA_BOV1,"&gt;="&amp;BY$2,FECHA_BOV1,"&lt;="&amp;BY$3,CLAVE_BOV1,$A333)+SUMIFS(SALIDAS_BOV2,FECHA_BOV2,"&gt;="&amp;BY$2,FECHA_BOV2,"&lt;="&amp;BY$3,CLAVE_BOV2,$A333)+SUMIFS(SALIDAS_BOV3,FECHA_BOV3,"&gt;="&amp;BY$2,FECHA_BOV3,"&lt;="&amp;BY$3,CLAVE_BOV3,$A333)+SUMIFS(SALIDAS_TC,FECHA_TC,"&gt;="&amp;BY$2,FECHA_TC,"&lt;="&amp;BY$3,CLAVE_TC,$A333)+SUMIFS(SALIDAS_COMB,FECHA_COMB,"&gt;="&amp;BY$2,FECHA_COMB,"&lt;="&amp;BY$3,CLAVE_COMB,$A333)+SUMIFS(SALIDAS_DES,FECHA_DESGLOSEN,"&gt;="&amp;BY$2,FECHA_DESGLOSEN,"&lt;="&amp;BY$3,CLAVE_DESGLOSE,$A333)</f>
        <v>0</v>
      </c>
      <c r="BZ333" s="162">
        <f>SUMIFS(SALIDAS_BIT,FECHA_BIT,"&gt;="&amp;BZ$2,FECHA_BIT,"&lt;="&amp;BZ$3,CLAVE_BIT,$A333)+SUMIFS(SALIDAS_BOV1,FECHA_BOV1,"&gt;="&amp;BZ$2,FECHA_BOV1,"&lt;="&amp;BZ$3,CLAVE_BOV1,$A333)+SUMIFS(SALIDAS_BOV2,FECHA_BOV2,"&gt;="&amp;BZ$2,FECHA_BOV2,"&lt;="&amp;BZ$3,CLAVE_BOV2,$A333)+SUMIFS(SALIDAS_BOV3,FECHA_BOV3,"&gt;="&amp;BZ$2,FECHA_BOV3,"&lt;="&amp;BZ$3,CLAVE_BOV3,$A333)+SUMIFS(SALIDAS_TC,FECHA_TC,"&gt;="&amp;BZ$2,FECHA_TC,"&lt;="&amp;BZ$3,CLAVE_TC,$A333)+SUMIFS(SALIDAS_COMB,FECHA_COMB,"&gt;="&amp;BZ$2,FECHA_COMB,"&lt;="&amp;BZ$3,CLAVE_COMB,$A333)+SUMIFS(SALIDAS_DES,FECHA_DESGLOSEN,"&gt;="&amp;BZ$2,FECHA_DESGLOSEN,"&lt;="&amp;BZ$3,CLAVE_DESGLOSE,$A333)</f>
        <v>0</v>
      </c>
      <c r="CA333" s="227">
        <f>BU333-BZ333</f>
        <v>0</v>
      </c>
      <c r="CB333" s="301">
        <f>IFERROR((BZ333/BU333),0)</f>
        <v>0</v>
      </c>
      <c r="CC333" s="162">
        <f>VLOOKUP($A333,T_PRESUPUESTO,MATCH(CC$6,E_PRESUPUESTO,0),FALSE)</f>
        <v>110000</v>
      </c>
      <c r="CD333" s="162">
        <f>SUMIFS(SALIDAS_BIT,FECHA_BIT,"&gt;="&amp;CD$2,FECHA_BIT,"&lt;="&amp;CD$3,CLAVE_BIT,$A333)+SUMIFS(SALIDAS_BOV1,FECHA_BOV1,"&gt;="&amp;CD$2,FECHA_BOV1,"&lt;="&amp;CD$3,CLAVE_BOV1,$A333)+SUMIFS(SALIDAS_BOV2,FECHA_BOV2,"&gt;="&amp;CD$2,FECHA_BOV2,"&lt;="&amp;CD$3,CLAVE_BOV2,$A333)+SUMIFS(SALIDAS_BOV3,FECHA_BOV3,"&gt;="&amp;CD$2,FECHA_BOV3,"&lt;="&amp;CD$3,CLAVE_BOV3,$A333)+SUMIFS(SALIDAS_TC,FECHA_TC,"&gt;="&amp;CD$2,FECHA_TC,"&lt;="&amp;CD$3,CLAVE_TC,$A333)+SUMIFS(SALIDAS_COMB,FECHA_COMB,"&gt;="&amp;CD$2,FECHA_COMB,"&lt;="&amp;CD$3,CLAVE_COMB,$A333)+SUMIFS(SALIDAS_DES,FECHA_DESGLOSEN,"&gt;="&amp;CD$2,FECHA_DESGLOSEN,"&lt;="&amp;CD$3,CLAVE_DESGLOSE,$A333)</f>
        <v>0</v>
      </c>
      <c r="CE333" s="162">
        <f>SUMIFS(SALIDAS_BIT,FECHA_BIT,"&gt;="&amp;CE$2,FECHA_BIT,"&lt;="&amp;CE$3,CLAVE_BIT,$A333)+SUMIFS(SALIDAS_BOV1,FECHA_BOV1,"&gt;="&amp;CE$2,FECHA_BOV1,"&lt;="&amp;CE$3,CLAVE_BOV1,$A333)+SUMIFS(SALIDAS_BOV2,FECHA_BOV2,"&gt;="&amp;CE$2,FECHA_BOV2,"&lt;="&amp;CE$3,CLAVE_BOV2,$A333)+SUMIFS(SALIDAS_BOV3,FECHA_BOV3,"&gt;="&amp;CE$2,FECHA_BOV3,"&lt;="&amp;CE$3,CLAVE_BOV3,$A333)+SUMIFS(SALIDAS_TC,FECHA_TC,"&gt;="&amp;CE$2,FECHA_TC,"&lt;="&amp;CE$3,CLAVE_TC,$A333)+SUMIFS(SALIDAS_COMB,FECHA_COMB,"&gt;="&amp;CE$2,FECHA_COMB,"&lt;="&amp;CE$3,CLAVE_COMB,$A333)+SUMIFS(SALIDAS_DES,FECHA_DESGLOSEN,"&gt;="&amp;CE$2,FECHA_DESGLOSEN,"&lt;="&amp;CE$3,CLAVE_DESGLOSE,$A333)</f>
        <v>0</v>
      </c>
      <c r="CF333" s="162">
        <f>SUMIFS(SALIDAS_BIT,FECHA_BIT,"&gt;="&amp;CF$2,FECHA_BIT,"&lt;="&amp;CF$3,CLAVE_BIT,$A333)+SUMIFS(SALIDAS_BOV1,FECHA_BOV1,"&gt;="&amp;CF$2,FECHA_BOV1,"&lt;="&amp;CF$3,CLAVE_BOV1,$A333)+SUMIFS(SALIDAS_BOV2,FECHA_BOV2,"&gt;="&amp;CF$2,FECHA_BOV2,"&lt;="&amp;CF$3,CLAVE_BOV2,$A333)+SUMIFS(SALIDAS_BOV3,FECHA_BOV3,"&gt;="&amp;CF$2,FECHA_BOV3,"&lt;="&amp;CF$3,CLAVE_BOV3,$A333)+SUMIFS(SALIDAS_TC,FECHA_TC,"&gt;="&amp;CF$2,FECHA_TC,"&lt;="&amp;CF$3,CLAVE_TC,$A333)+SUMIFS(SALIDAS_COMB,FECHA_COMB,"&gt;="&amp;CF$2,FECHA_COMB,"&lt;="&amp;CF$3,CLAVE_COMB,$A333)+SUMIFS(SALIDAS_DES,FECHA_DESGLOSEN,"&gt;="&amp;CF$2,FECHA_DESGLOSEN,"&lt;="&amp;CF$3,CLAVE_DESGLOSE,$A333)</f>
        <v>0</v>
      </c>
      <c r="CG333" s="162">
        <f>SUMIFS(SALIDAS_BIT,FECHA_BIT,"&gt;="&amp;CG$2,FECHA_BIT,"&lt;="&amp;CG$3,CLAVE_BIT,$A333)+SUMIFS(SALIDAS_BOV1,FECHA_BOV1,"&gt;="&amp;CG$2,FECHA_BOV1,"&lt;="&amp;CG$3,CLAVE_BOV1,$A333)+SUMIFS(SALIDAS_BOV2,FECHA_BOV2,"&gt;="&amp;CG$2,FECHA_BOV2,"&lt;="&amp;CG$3,CLAVE_BOV2,$A333)+SUMIFS(SALIDAS_BOV3,FECHA_BOV3,"&gt;="&amp;CG$2,FECHA_BOV3,"&lt;="&amp;CG$3,CLAVE_BOV3,$A333)+SUMIFS(SALIDAS_TC,FECHA_TC,"&gt;="&amp;CG$2,FECHA_TC,"&lt;="&amp;CG$3,CLAVE_TC,$A333)+SUMIFS(SALIDAS_COMB,FECHA_COMB,"&gt;="&amp;CG$2,FECHA_COMB,"&lt;="&amp;CG$3,CLAVE_COMB,$A333)+SUMIFS(SALIDAS_DES,FECHA_DESGLOSEN,"&gt;="&amp;CG$2,FECHA_DESGLOSEN,"&lt;="&amp;CG$3,CLAVE_DESGLOSE,$A333)</f>
        <v>0</v>
      </c>
      <c r="CH333" s="162">
        <f>SUMIFS(SALIDAS_BIT,FECHA_BIT,"&gt;="&amp;CH$2,FECHA_BIT,"&lt;="&amp;CH$3,CLAVE_BIT,$A333)+SUMIFS(SALIDAS_BOV1,FECHA_BOV1,"&gt;="&amp;CH$2,FECHA_BOV1,"&lt;="&amp;CH$3,CLAVE_BOV1,$A333)+SUMIFS(SALIDAS_BOV2,FECHA_BOV2,"&gt;="&amp;CH$2,FECHA_BOV2,"&lt;="&amp;CH$3,CLAVE_BOV2,$A333)+SUMIFS(SALIDAS_BOV3,FECHA_BOV3,"&gt;="&amp;CH$2,FECHA_BOV3,"&lt;="&amp;CH$3,CLAVE_BOV3,$A333)+SUMIFS(SALIDAS_TC,FECHA_TC,"&gt;="&amp;CH$2,FECHA_TC,"&lt;="&amp;CH$3,CLAVE_TC,$A333)+SUMIFS(SALIDAS_COMB,FECHA_COMB,"&gt;="&amp;CH$2,FECHA_COMB,"&lt;="&amp;CH$3,CLAVE_COMB,$A333)+SUMIFS(SALIDAS_DES,FECHA_DESGLOSEN,"&gt;="&amp;CH$2,FECHA_DESGLOSEN,"&lt;="&amp;CH$3,CLAVE_DESGLOSE,$A333)</f>
        <v>0</v>
      </c>
      <c r="CI333" s="227">
        <f>CC333-CH333</f>
        <v>110000</v>
      </c>
      <c r="CJ333" s="301">
        <f>IFERROR((CH333/CC333),0)</f>
        <v>0</v>
      </c>
      <c r="CK333" s="162">
        <f>VLOOKUP($A333,T_PRESUPUESTO,MATCH(CK$6,E_PRESUPUESTO,0),FALSE)</f>
        <v>137500</v>
      </c>
      <c r="CL333" s="162">
        <f>SUMIFS(SALIDAS_BIT,FECHA_BIT,"&gt;="&amp;CL$2,FECHA_BIT,"&lt;="&amp;CL$3,CLAVE_BIT,$A333)+SUMIFS(SALIDAS_BOV1,FECHA_BOV1,"&gt;="&amp;CL$2,FECHA_BOV1,"&lt;="&amp;CL$3,CLAVE_BOV1,$A333)+SUMIFS(SALIDAS_BOV2,FECHA_BOV2,"&gt;="&amp;CL$2,FECHA_BOV2,"&lt;="&amp;CL$3,CLAVE_BOV2,$A333)+SUMIFS(SALIDAS_BOV3,FECHA_BOV3,"&gt;="&amp;CL$2,FECHA_BOV3,"&lt;="&amp;CL$3,CLAVE_BOV3,$A333)+SUMIFS(SALIDAS_TC,FECHA_TC,"&gt;="&amp;CL$2,FECHA_TC,"&lt;="&amp;CL$3,CLAVE_TC,$A333)+SUMIFS(SALIDAS_COMB,FECHA_COMB,"&gt;="&amp;CL$2,FECHA_COMB,"&lt;="&amp;CL$3,CLAVE_COMB,$A333)+SUMIFS(SALIDAS_DES,FECHA_DESGLOSEN,"&gt;="&amp;CL$2,FECHA_DESGLOSEN,"&lt;="&amp;CL$3,CLAVE_DESGLOSE,$A333)</f>
        <v>0</v>
      </c>
      <c r="CM333" s="162">
        <f>SUMIFS(SALIDAS_BIT,FECHA_BIT,"&gt;="&amp;CM$2,FECHA_BIT,"&lt;="&amp;CM$3,CLAVE_BIT,$A333)+SUMIFS(SALIDAS_BOV1,FECHA_BOV1,"&gt;="&amp;CM$2,FECHA_BOV1,"&lt;="&amp;CM$3,CLAVE_BOV1,$A333)+SUMIFS(SALIDAS_BOV2,FECHA_BOV2,"&gt;="&amp;CM$2,FECHA_BOV2,"&lt;="&amp;CM$3,CLAVE_BOV2,$A333)+SUMIFS(SALIDAS_BOV3,FECHA_BOV3,"&gt;="&amp;CM$2,FECHA_BOV3,"&lt;="&amp;CM$3,CLAVE_BOV3,$A333)+SUMIFS(SALIDAS_TC,FECHA_TC,"&gt;="&amp;CM$2,FECHA_TC,"&lt;="&amp;CM$3,CLAVE_TC,$A333)+SUMIFS(SALIDAS_COMB,FECHA_COMB,"&gt;="&amp;CM$2,FECHA_COMB,"&lt;="&amp;CM$3,CLAVE_COMB,$A333)+SUMIFS(SALIDAS_DES,FECHA_DESGLOSEN,"&gt;="&amp;CM$2,FECHA_DESGLOSEN,"&lt;="&amp;CM$3,CLAVE_DESGLOSE,$A333)</f>
        <v>0</v>
      </c>
      <c r="CN333" s="162">
        <f>SUMIFS(SALIDAS_BIT,FECHA_BIT,"&gt;="&amp;CN$2,FECHA_BIT,"&lt;="&amp;CN$3,CLAVE_BIT,$A333)+SUMIFS(SALIDAS_BOV1,FECHA_BOV1,"&gt;="&amp;CN$2,FECHA_BOV1,"&lt;="&amp;CN$3,CLAVE_BOV1,$A333)+SUMIFS(SALIDAS_BOV2,FECHA_BOV2,"&gt;="&amp;CN$2,FECHA_BOV2,"&lt;="&amp;CN$3,CLAVE_BOV2,$A333)+SUMIFS(SALIDAS_BOV3,FECHA_BOV3,"&gt;="&amp;CN$2,FECHA_BOV3,"&lt;="&amp;CN$3,CLAVE_BOV3,$A333)+SUMIFS(SALIDAS_TC,FECHA_TC,"&gt;="&amp;CN$2,FECHA_TC,"&lt;="&amp;CN$3,CLAVE_TC,$A333)+SUMIFS(SALIDAS_COMB,FECHA_COMB,"&gt;="&amp;CN$2,FECHA_COMB,"&lt;="&amp;CN$3,CLAVE_COMB,$A333)+SUMIFS(SALIDAS_DES,FECHA_DESGLOSEN,"&gt;="&amp;CN$2,FECHA_DESGLOSEN,"&lt;="&amp;CN$3,CLAVE_DESGLOSE,$A333)</f>
        <v>24248.400000000001</v>
      </c>
      <c r="CO333" s="162">
        <f>SUMIFS(SALIDAS_BIT,FECHA_BIT,"&gt;="&amp;CO$2,FECHA_BIT,"&lt;="&amp;CO$3,CLAVE_BIT,$A333)+SUMIFS(SALIDAS_BOV1,FECHA_BOV1,"&gt;="&amp;CO$2,FECHA_BOV1,"&lt;="&amp;CO$3,CLAVE_BOV1,$A333)+SUMIFS(SALIDAS_BOV2,FECHA_BOV2,"&gt;="&amp;CO$2,FECHA_BOV2,"&lt;="&amp;CO$3,CLAVE_BOV2,$A333)+SUMIFS(SALIDAS_BOV3,FECHA_BOV3,"&gt;="&amp;CO$2,FECHA_BOV3,"&lt;="&amp;CO$3,CLAVE_BOV3,$A333)+SUMIFS(SALIDAS_TC,FECHA_TC,"&gt;="&amp;CO$2,FECHA_TC,"&lt;="&amp;CO$3,CLAVE_TC,$A333)+SUMIFS(SALIDAS_COMB,FECHA_COMB,"&gt;="&amp;CO$2,FECHA_COMB,"&lt;="&amp;CO$3,CLAVE_COMB,$A333)+SUMIFS(SALIDAS_DES,FECHA_DESGLOSEN,"&gt;="&amp;CO$2,FECHA_DESGLOSEN,"&lt;="&amp;CO$3,CLAVE_DESGLOSE,$A333)</f>
        <v>46722</v>
      </c>
      <c r="CP333" s="162">
        <f>SUMIFS(SALIDAS_BIT,FECHA_BIT,"&gt;="&amp;CP$2,FECHA_BIT,"&lt;="&amp;CP$3,CLAVE_BIT,$A333)+SUMIFS(SALIDAS_BOV1,FECHA_BOV1,"&gt;="&amp;CP$2,FECHA_BOV1,"&lt;="&amp;CP$3,CLAVE_BOV1,$A333)+SUMIFS(SALIDAS_BOV2,FECHA_BOV2,"&gt;="&amp;CP$2,FECHA_BOV2,"&lt;="&amp;CP$3,CLAVE_BOV2,$A333)+SUMIFS(SALIDAS_BOV3,FECHA_BOV3,"&gt;="&amp;CP$2,FECHA_BOV3,"&lt;="&amp;CP$3,CLAVE_BOV3,$A333)+SUMIFS(SALIDAS_TC,FECHA_TC,"&gt;="&amp;CP$2,FECHA_TC,"&lt;="&amp;CP$3,CLAVE_TC,$A333)+SUMIFS(SALIDAS_COMB,FECHA_COMB,"&gt;="&amp;CP$2,FECHA_COMB,"&lt;="&amp;CP$3,CLAVE_COMB,$A333)+SUMIFS(SALIDAS_DES,FECHA_DESGLOSEN,"&gt;="&amp;CP$2,FECHA_DESGLOSEN,"&lt;="&amp;CP$3,CLAVE_DESGLOSE,$A333)</f>
        <v>35727</v>
      </c>
      <c r="CQ333" s="162">
        <f>SUMIFS(SALIDAS_BIT,FECHA_BIT,"&gt;="&amp;CQ$2,FECHA_BIT,"&lt;="&amp;CQ$3,CLAVE_BIT,$A333)+SUMIFS(SALIDAS_BOV1,FECHA_BOV1,"&gt;="&amp;CQ$2,FECHA_BOV1,"&lt;="&amp;CQ$3,CLAVE_BOV1,$A333)+SUMIFS(SALIDAS_BOV2,FECHA_BOV2,"&gt;="&amp;CQ$2,FECHA_BOV2,"&lt;="&amp;CQ$3,CLAVE_BOV2,$A333)+SUMIFS(SALIDAS_BOV3,FECHA_BOV3,"&gt;="&amp;CQ$2,FECHA_BOV3,"&lt;="&amp;CQ$3,CLAVE_BOV3,$A333)+SUMIFS(SALIDAS_TC,FECHA_TC,"&gt;="&amp;CQ$2,FECHA_TC,"&lt;="&amp;CQ$3,CLAVE_TC,$A333)+SUMIFS(SALIDAS_COMB,FECHA_COMB,"&gt;="&amp;CQ$2,FECHA_COMB,"&lt;="&amp;CQ$3,CLAVE_COMB,$A333)+SUMIFS(SALIDAS_DES,FECHA_DESGLOSEN,"&gt;="&amp;CQ$2,FECHA_DESGLOSEN,"&lt;="&amp;CQ$3,CLAVE_DESGLOSE,$A333)</f>
        <v>106697.4</v>
      </c>
      <c r="CR333" s="227">
        <f>CK333-CQ333</f>
        <v>30802.600000000006</v>
      </c>
      <c r="CS333" s="301">
        <f>IFERROR((CQ333/CK333),0)</f>
        <v>0.77598109090909084</v>
      </c>
      <c r="CT333" s="68">
        <f t="shared" si="712"/>
        <v>112122</v>
      </c>
      <c r="CU333" s="13">
        <f>SUMIFS(SALIDAS_BIT,FECHA_BIT,"&gt;="&amp;CU$2,FECHA_BIT,"&lt;="&amp;CU$3,CLAVE_BIT,$A333)+SUMIFS(SALIDAS_BOV1,FECHA_BOV1,"&gt;="&amp;CU$2,FECHA_BOV1,"&lt;="&amp;CU$3,CLAVE_BOV1,$A333)+SUMIFS(SALIDAS_BOV2,FECHA_BOV2,"&gt;="&amp;CU$2,FECHA_BOV2,"&lt;="&amp;CU$3,CLAVE_BOV2,$A333)+SUMIFS(SALIDAS_BOV3,FECHA_BOV3,"&gt;="&amp;CU$2,FECHA_BOV3,"&lt;="&amp;CU$3,CLAVE_BOV3,$A333)+SUMIFS(SALIDAS_TC,FECHA_TC,"&gt;="&amp;CU$2,FECHA_TC,"&lt;="&amp;CU$3,CLAVE_TC,$A333)+SUMIFS(SALIDAS_COMB,FECHA_COMB,"&gt;="&amp;CU$2,FECHA_COMB,"&lt;="&amp;CU$3,CLAVE_COMB,$A333)+SUMIFS(SALIDAS_DES,FECHA_DESGLOSEN,"&gt;="&amp;CU$2,FECHA_DESGLOSEN,"&lt;="&amp;CU$3,CLAVE_DESGLOSE,$A333)</f>
        <v>27857.4</v>
      </c>
      <c r="CV333" s="13">
        <f>SUMIFS(SALIDAS_BIT,FECHA_BIT,"&gt;="&amp;CV$2,FECHA_BIT,"&lt;="&amp;CV$3,CLAVE_BIT,$A333)+SUMIFS(SALIDAS_BOV1,FECHA_BOV1,"&gt;="&amp;CV$2,FECHA_BOV1,"&lt;="&amp;CV$3,CLAVE_BOV1,$A333)+SUMIFS(SALIDAS_BOV2,FECHA_BOV2,"&gt;="&amp;CV$2,FECHA_BOV2,"&lt;="&amp;CV$3,CLAVE_BOV2,$A333)+SUMIFS(SALIDAS_BOV3,FECHA_BOV3,"&gt;="&amp;CV$2,FECHA_BOV3,"&lt;="&amp;CV$3,CLAVE_BOV3,$A333)+SUMIFS(SALIDAS_TC,FECHA_TC,"&gt;="&amp;CV$2,FECHA_TC,"&lt;="&amp;CV$3,CLAVE_TC,$A333)+SUMIFS(SALIDAS_COMB,FECHA_COMB,"&gt;="&amp;CV$2,FECHA_COMB,"&lt;="&amp;CV$3,CLAVE_COMB,$A333)+SUMIFS(SALIDAS_DES,FECHA_DESGLOSEN,"&gt;="&amp;CV$2,FECHA_DESGLOSEN,"&lt;="&amp;CV$3,CLAVE_DESGLOSE,$A333)</f>
        <v>33535.4</v>
      </c>
      <c r="CW333" s="13">
        <f>SUMIFS(SALIDAS_BIT,FECHA_BIT,"&gt;="&amp;CW$2,FECHA_BIT,"&lt;="&amp;CW$3,CLAVE_BIT,$A333)+SUMIFS(SALIDAS_BOV1,FECHA_BOV1,"&gt;="&amp;CW$2,FECHA_BOV1,"&lt;="&amp;CW$3,CLAVE_BOV1,$A333)+SUMIFS(SALIDAS_BOV2,FECHA_BOV2,"&gt;="&amp;CW$2,FECHA_BOV2,"&lt;="&amp;CW$3,CLAVE_BOV2,$A333)+SUMIFS(SALIDAS_BOV3,FECHA_BOV3,"&gt;="&amp;CW$2,FECHA_BOV3,"&lt;="&amp;CW$3,CLAVE_BOV3,$A333)+SUMIFS(SALIDAS_TC,FECHA_TC,"&gt;="&amp;CW$2,FECHA_TC,"&lt;="&amp;CW$3,CLAVE_TC,$A333)+SUMIFS(SALIDAS_COMB,FECHA_COMB,"&gt;="&amp;CW$2,FECHA_COMB,"&lt;="&amp;CW$3,CLAVE_COMB,$A333)+SUMIFS(SALIDAS_DES,FECHA_DESGLOSEN,"&gt;="&amp;CW$2,FECHA_DESGLOSEN,"&lt;="&amp;CW$3,CLAVE_DESGLOSE,$A333)</f>
        <v>41468.400000000001</v>
      </c>
      <c r="CX333" s="13">
        <f>SUMIFS(SALIDAS_BIT,FECHA_BIT,"&gt;="&amp;CX$2,FECHA_BIT,"&lt;="&amp;CX$3,CLAVE_BIT,$A333)+SUMIFS(SALIDAS_BOV1,FECHA_BOV1,"&gt;="&amp;CX$2,FECHA_BOV1,"&lt;="&amp;CX$3,CLAVE_BOV1,$A333)+SUMIFS(SALIDAS_BOV2,FECHA_BOV2,"&gt;="&amp;CX$2,FECHA_BOV2,"&lt;="&amp;CX$3,CLAVE_BOV2,$A333)+SUMIFS(SALIDAS_BOV3,FECHA_BOV3,"&gt;="&amp;CX$2,FECHA_BOV3,"&lt;="&amp;CX$3,CLAVE_BOV3,$A333)+SUMIFS(SALIDAS_TC,FECHA_TC,"&gt;="&amp;CX$2,FECHA_TC,"&lt;="&amp;CX$3,CLAVE_TC,$A333)+SUMIFS(SALIDAS_COMB,FECHA_COMB,"&gt;="&amp;CX$2,FECHA_COMB,"&lt;="&amp;CX$3,CLAVE_COMB,$A333)+SUMIFS(SALIDAS_DES,FECHA_DESGLOSEN,"&gt;="&amp;CX$2,FECHA_DESGLOSEN,"&lt;="&amp;CX$3,CLAVE_DESGLOSE,$A333)</f>
        <v>40059.199999999997</v>
      </c>
      <c r="CY333" s="13">
        <f>SUMIFS(SALIDAS_BIT,FECHA_BIT,"&gt;="&amp;CY$2,FECHA_BIT,"&lt;="&amp;CY$3,CLAVE_BIT,$A333)+SUMIFS(SALIDAS_BOV1,FECHA_BOV1,"&gt;="&amp;CY$2,FECHA_BOV1,"&lt;="&amp;CY$3,CLAVE_BOV1,$A333)+SUMIFS(SALIDAS_BOV2,FECHA_BOV2,"&gt;="&amp;CY$2,FECHA_BOV2,"&lt;="&amp;CY$3,CLAVE_BOV2,$A333)+SUMIFS(SALIDAS_BOV3,FECHA_BOV3,"&gt;="&amp;CY$2,FECHA_BOV3,"&lt;="&amp;CY$3,CLAVE_BOV3,$A333)+SUMIFS(SALIDAS_TC,FECHA_TC,"&gt;="&amp;CY$2,FECHA_TC,"&lt;="&amp;CY$3,CLAVE_TC,$A333)+SUMIFS(SALIDAS_COMB,FECHA_COMB,"&gt;="&amp;CY$2,FECHA_COMB,"&lt;="&amp;CY$3,CLAVE_COMB,$A333)+SUMIFS(SALIDAS_DES,FECHA_DESGLOSEN,"&gt;="&amp;CY$2,FECHA_DESGLOSEN,"&lt;="&amp;CY$3,CLAVE_DESGLOSE,$A333)</f>
        <v>142920.40000000002</v>
      </c>
      <c r="CZ333" s="68">
        <f t="shared" si="713"/>
        <v>-30798.400000000023</v>
      </c>
      <c r="DB333" s="17">
        <f>F333+N333+W333+AE333+AM333+AV333+BD333+BL333+BU333+CC333+CK333</f>
        <v>247500</v>
      </c>
      <c r="DC333" s="17">
        <f>K333+T333+AB333+AJ333+AS333+BA333+BI333+BR333+BZ333+CH333+CQ333</f>
        <v>106697.4</v>
      </c>
    </row>
    <row r="334" spans="1:107" ht="15" hidden="1">
      <c r="A334" s="12" t="str">
        <f>C334&amp;D334&amp;E334</f>
        <v>CAPSEGURIDADSEGURIDAD</v>
      </c>
      <c r="B334">
        <v>334</v>
      </c>
      <c r="C334" t="s">
        <v>31</v>
      </c>
      <c r="D334" t="s">
        <v>172</v>
      </c>
      <c r="E334" t="s">
        <v>172</v>
      </c>
      <c r="F334" s="260">
        <f>VLOOKUP($A334,T_PRESUPUESTO,MATCH(F$6,E_PRESUPUESTO,0),FALSE)</f>
        <v>0</v>
      </c>
      <c r="G334" s="162">
        <f>SUMIFS(SALIDAS_BIT,FECHA_BIT,"&gt;="&amp;G$2,FECHA_BIT,"&lt;="&amp;G$3,CLAVE_BIT,$A334)+SUMIFS(SALIDAS_BOV1,FECHA_BOV1,"&gt;="&amp;G$2,FECHA_BOV1,"&lt;="&amp;G$3,CLAVE_BOV1,$A334)+SUMIFS(SALIDAS_BOV2,FECHA_BOV2,"&gt;="&amp;G$2,FECHA_BOV2,"&lt;="&amp;G$3,CLAVE_BOV2,$A334)+SUMIFS(SALIDAS_BOV3,FECHA_BOV3,"&gt;="&amp;G$2,FECHA_BOV3,"&lt;="&amp;G$3,CLAVE_BOV3,$A334)+SUMIFS(SALIDAS_TC,FECHA_TC,"&gt;="&amp;G$2,FECHA_TC,"&lt;="&amp;G$3,CLAVE_TC,$A334)+SUMIFS(SALIDAS_COMB,FECHA_COMB,"&gt;="&amp;G$2,FECHA_COMB,"&lt;="&amp;G$3,CLAVE_COMB,$A334)+SUMIFS(SALIDAS_DES,FECHA_DESGLOSEN,"&gt;="&amp;G$2,FECHA_DESGLOSEN,"&lt;="&amp;G$3,CLAVE_DESGLOSE,$A334)</f>
        <v>0</v>
      </c>
      <c r="H334" s="162">
        <f>SUMIFS(SALIDAS_BIT,FECHA_BIT,"&gt;="&amp;H$2,FECHA_BIT,"&lt;="&amp;H$3,CLAVE_BIT,$A334)+SUMIFS(SALIDAS_BOV1,FECHA_BOV1,"&gt;="&amp;H$2,FECHA_BOV1,"&lt;="&amp;H$3,CLAVE_BOV1,$A334)+SUMIFS(SALIDAS_BOV2,FECHA_BOV2,"&gt;="&amp;H$2,FECHA_BOV2,"&lt;="&amp;H$3,CLAVE_BOV2,$A334)+SUMIFS(SALIDAS_BOV3,FECHA_BOV3,"&gt;="&amp;H$2,FECHA_BOV3,"&lt;="&amp;H$3,CLAVE_BOV3,$A334)+SUMIFS(SALIDAS_TC,FECHA_TC,"&gt;="&amp;H$2,FECHA_TC,"&lt;="&amp;H$3,CLAVE_TC,$A334)+SUMIFS(SALIDAS_COMB,FECHA_COMB,"&gt;="&amp;H$2,FECHA_COMB,"&lt;="&amp;H$3,CLAVE_COMB,$A334)+SUMIFS(SALIDAS_DES,FECHA_DESGLOSEN,"&gt;="&amp;H$2,FECHA_DESGLOSEN,"&lt;="&amp;H$3,CLAVE_DESGLOSE,$A334)</f>
        <v>0</v>
      </c>
      <c r="I334" s="162">
        <f>SUMIFS(SALIDAS_BIT,FECHA_BIT,"&gt;="&amp;I$2,FECHA_BIT,"&lt;="&amp;I$3,CLAVE_BIT,$A334)+SUMIFS(SALIDAS_BOV1,FECHA_BOV1,"&gt;="&amp;I$2,FECHA_BOV1,"&lt;="&amp;I$3,CLAVE_BOV1,$A334)+SUMIFS(SALIDAS_BOV2,FECHA_BOV2,"&gt;="&amp;I$2,FECHA_BOV2,"&lt;="&amp;I$3,CLAVE_BOV2,$A334)+SUMIFS(SALIDAS_BOV3,FECHA_BOV3,"&gt;="&amp;I$2,FECHA_BOV3,"&lt;="&amp;I$3,CLAVE_BOV3,$A334)+SUMIFS(SALIDAS_TC,FECHA_TC,"&gt;="&amp;I$2,FECHA_TC,"&lt;="&amp;I$3,CLAVE_TC,$A334)+SUMIFS(SALIDAS_COMB,FECHA_COMB,"&gt;="&amp;I$2,FECHA_COMB,"&lt;="&amp;I$3,CLAVE_COMB,$A334)+SUMIFS(SALIDAS_DES,FECHA_DESGLOSEN,"&gt;="&amp;I$2,FECHA_DESGLOSEN,"&lt;="&amp;I$3,CLAVE_DESGLOSE,$A334)</f>
        <v>0</v>
      </c>
      <c r="J334" s="162">
        <f>SUMIFS(SALIDAS_BIT,FECHA_BIT,"&gt;="&amp;J$2,FECHA_BIT,"&lt;="&amp;J$3,CLAVE_BIT,$A334)+SUMIFS(SALIDAS_BOV1,FECHA_BOV1,"&gt;="&amp;J$2,FECHA_BOV1,"&lt;="&amp;J$3,CLAVE_BOV1,$A334)+SUMIFS(SALIDAS_BOV2,FECHA_BOV2,"&gt;="&amp;J$2,FECHA_BOV2,"&lt;="&amp;J$3,CLAVE_BOV2,$A334)+SUMIFS(SALIDAS_BOV3,FECHA_BOV3,"&gt;="&amp;J$2,FECHA_BOV3,"&lt;="&amp;J$3,CLAVE_BOV3,$A334)+SUMIFS(SALIDAS_TC,FECHA_TC,"&gt;="&amp;J$2,FECHA_TC,"&lt;="&amp;J$3,CLAVE_TC,$A334)+SUMIFS(SALIDAS_COMB,FECHA_COMB,"&gt;="&amp;J$2,FECHA_COMB,"&lt;="&amp;J$3,CLAVE_COMB,$A334)+SUMIFS(SALIDAS_DES,FECHA_DESGLOSEN,"&gt;="&amp;J$2,FECHA_DESGLOSEN,"&lt;="&amp;J$3,CLAVE_DESGLOSE,$A334)</f>
        <v>0</v>
      </c>
      <c r="K334" s="162">
        <f>SUMIFS(SALIDAS_BIT,FECHA_BIT,"&gt;="&amp;K$2,FECHA_BIT,"&lt;="&amp;K$3,CLAVE_BIT,$A334)+SUMIFS(SALIDAS_BOV1,FECHA_BOV1,"&gt;="&amp;K$2,FECHA_BOV1,"&lt;="&amp;K$3,CLAVE_BOV1,$A334)+SUMIFS(SALIDAS_BOV2,FECHA_BOV2,"&gt;="&amp;K$2,FECHA_BOV2,"&lt;="&amp;K$3,CLAVE_BOV2,$A334)+SUMIFS(SALIDAS_BOV3,FECHA_BOV3,"&gt;="&amp;K$2,FECHA_BOV3,"&lt;="&amp;K$3,CLAVE_BOV3,$A334)+SUMIFS(SALIDAS_TC,FECHA_TC,"&gt;="&amp;K$2,FECHA_TC,"&lt;="&amp;K$3,CLAVE_TC,$A334)+SUMIFS(SALIDAS_COMB,FECHA_COMB,"&gt;="&amp;K$2,FECHA_COMB,"&lt;="&amp;K$3,CLAVE_COMB,$A334)+SUMIFS(SALIDAS_DES,FECHA_DESGLOSEN,"&gt;="&amp;K$2,FECHA_DESGLOSEN,"&lt;="&amp;K$3,CLAVE_DESGLOSE,$A334)</f>
        <v>0</v>
      </c>
      <c r="L334" s="227">
        <f>F334-K334</f>
        <v>0</v>
      </c>
      <c r="M334" s="301">
        <f>IFERROR((K334/F334),0)</f>
        <v>0</v>
      </c>
      <c r="N334" s="162">
        <f>VLOOKUP($A334,T_PRESUPUESTO,MATCH(N$6,E_PRESUPUESTO,0),FALSE)</f>
        <v>0</v>
      </c>
      <c r="O334" s="162">
        <f>SUMIFS(SALIDAS_BIT,FECHA_BIT,"&gt;="&amp;O$2,FECHA_BIT,"&lt;="&amp;O$3,CLAVE_BIT,$A334)+SUMIFS(SALIDAS_BOV1,FECHA_BOV1,"&gt;="&amp;O$2,FECHA_BOV1,"&lt;="&amp;O$3,CLAVE_BOV1,$A334)+SUMIFS(SALIDAS_BOV2,FECHA_BOV2,"&gt;="&amp;O$2,FECHA_BOV2,"&lt;="&amp;O$3,CLAVE_BOV2,$A334)+SUMIFS(SALIDAS_BOV3,FECHA_BOV3,"&gt;="&amp;O$2,FECHA_BOV3,"&lt;="&amp;O$3,CLAVE_BOV3,$A334)+SUMIFS(SALIDAS_TC,FECHA_TC,"&gt;="&amp;O$2,FECHA_TC,"&lt;="&amp;O$3,CLAVE_TC,$A334)+SUMIFS(SALIDAS_COMB,FECHA_COMB,"&gt;="&amp;O$2,FECHA_COMB,"&lt;="&amp;O$3,CLAVE_COMB,$A334)+SUMIFS(SALIDAS_DES,FECHA_DESGLOSEN,"&gt;="&amp;O$2,FECHA_DESGLOSEN,"&lt;="&amp;O$3,CLAVE_DESGLOSE,$A334)</f>
        <v>0</v>
      </c>
      <c r="P334" s="162">
        <f>SUMIFS(SALIDAS_BIT,FECHA_BIT,"&gt;="&amp;P$2,FECHA_BIT,"&lt;="&amp;P$3,CLAVE_BIT,$A334)+SUMIFS(SALIDAS_BOV1,FECHA_BOV1,"&gt;="&amp;P$2,FECHA_BOV1,"&lt;="&amp;P$3,CLAVE_BOV1,$A334)+SUMIFS(SALIDAS_BOV2,FECHA_BOV2,"&gt;="&amp;P$2,FECHA_BOV2,"&lt;="&amp;P$3,CLAVE_BOV2,$A334)+SUMIFS(SALIDAS_BOV3,FECHA_BOV3,"&gt;="&amp;P$2,FECHA_BOV3,"&lt;="&amp;P$3,CLAVE_BOV3,$A334)+SUMIFS(SALIDAS_TC,FECHA_TC,"&gt;="&amp;P$2,FECHA_TC,"&lt;="&amp;P$3,CLAVE_TC,$A334)+SUMIFS(SALIDAS_COMB,FECHA_COMB,"&gt;="&amp;P$2,FECHA_COMB,"&lt;="&amp;P$3,CLAVE_COMB,$A334)+SUMIFS(SALIDAS_DES,FECHA_DESGLOSEN,"&gt;="&amp;P$2,FECHA_DESGLOSEN,"&lt;="&amp;P$3,CLAVE_DESGLOSE,$A334)</f>
        <v>0</v>
      </c>
      <c r="Q334" s="162">
        <f>SUMIFS(SALIDAS_BIT,FECHA_BIT,"&gt;="&amp;Q$2,FECHA_BIT,"&lt;="&amp;Q$3,CLAVE_BIT,$A334)+SUMIFS(SALIDAS_BOV1,FECHA_BOV1,"&gt;="&amp;Q$2,FECHA_BOV1,"&lt;="&amp;Q$3,CLAVE_BOV1,$A334)+SUMIFS(SALIDAS_BOV2,FECHA_BOV2,"&gt;="&amp;Q$2,FECHA_BOV2,"&lt;="&amp;Q$3,CLAVE_BOV2,$A334)+SUMIFS(SALIDAS_BOV3,FECHA_BOV3,"&gt;="&amp;Q$2,FECHA_BOV3,"&lt;="&amp;Q$3,CLAVE_BOV3,$A334)+SUMIFS(SALIDAS_TC,FECHA_TC,"&gt;="&amp;Q$2,FECHA_TC,"&lt;="&amp;Q$3,CLAVE_TC,$A334)+SUMIFS(SALIDAS_COMB,FECHA_COMB,"&gt;="&amp;Q$2,FECHA_COMB,"&lt;="&amp;Q$3,CLAVE_COMB,$A334)+SUMIFS(SALIDAS_DES,FECHA_DESGLOSEN,"&gt;="&amp;Q$2,FECHA_DESGLOSEN,"&lt;="&amp;Q$3,CLAVE_DESGLOSE,$A334)</f>
        <v>0</v>
      </c>
      <c r="R334" s="162">
        <f>SUMIFS(SALIDAS_BIT,FECHA_BIT,"&gt;="&amp;R$2,FECHA_BIT,"&lt;="&amp;R$3,CLAVE_BIT,$A334)+SUMIFS(SALIDAS_BOV1,FECHA_BOV1,"&gt;="&amp;R$2,FECHA_BOV1,"&lt;="&amp;R$3,CLAVE_BOV1,$A334)+SUMIFS(SALIDAS_BOV2,FECHA_BOV2,"&gt;="&amp;R$2,FECHA_BOV2,"&lt;="&amp;R$3,CLAVE_BOV2,$A334)+SUMIFS(SALIDAS_BOV3,FECHA_BOV3,"&gt;="&amp;R$2,FECHA_BOV3,"&lt;="&amp;R$3,CLAVE_BOV3,$A334)+SUMIFS(SALIDAS_TC,FECHA_TC,"&gt;="&amp;R$2,FECHA_TC,"&lt;="&amp;R$3,CLAVE_TC,$A334)+SUMIFS(SALIDAS_COMB,FECHA_COMB,"&gt;="&amp;R$2,FECHA_COMB,"&lt;="&amp;R$3,CLAVE_COMB,$A334)+SUMIFS(SALIDAS_DES,FECHA_DESGLOSEN,"&gt;="&amp;R$2,FECHA_DESGLOSEN,"&lt;="&amp;R$3,CLAVE_DESGLOSE,$A334)</f>
        <v>0</v>
      </c>
      <c r="S334" s="162">
        <f>SUMIFS(SALIDAS_BIT,FECHA_BIT,"&gt;="&amp;S$2,FECHA_BIT,"&lt;="&amp;S$3,CLAVE_BIT,$A334)+SUMIFS(SALIDAS_BOV1,FECHA_BOV1,"&gt;="&amp;S$2,FECHA_BOV1,"&lt;="&amp;S$3,CLAVE_BOV1,$A334)+SUMIFS(SALIDAS_BOV2,FECHA_BOV2,"&gt;="&amp;S$2,FECHA_BOV2,"&lt;="&amp;S$3,CLAVE_BOV2,$A334)+SUMIFS(SALIDAS_BOV3,FECHA_BOV3,"&gt;="&amp;S$2,FECHA_BOV3,"&lt;="&amp;S$3,CLAVE_BOV3,$A334)+SUMIFS(SALIDAS_TC,FECHA_TC,"&gt;="&amp;S$2,FECHA_TC,"&lt;="&amp;S$3,CLAVE_TC,$A334)+SUMIFS(SALIDAS_COMB,FECHA_COMB,"&gt;="&amp;S$2,FECHA_COMB,"&lt;="&amp;S$3,CLAVE_COMB,$A334)+SUMIFS(SALIDAS_DES,FECHA_DESGLOSEN,"&gt;="&amp;S$2,FECHA_DESGLOSEN,"&lt;="&amp;S$3,CLAVE_DESGLOSE,$A334)</f>
        <v>0</v>
      </c>
      <c r="T334" s="162">
        <f>SUMIFS(SALIDAS_BIT,FECHA_BIT,"&gt;="&amp;T$2,FECHA_BIT,"&lt;="&amp;T$3,CLAVE_BIT,$A334)+SUMIFS(SALIDAS_BOV1,FECHA_BOV1,"&gt;="&amp;T$2,FECHA_BOV1,"&lt;="&amp;T$3,CLAVE_BOV1,$A334)+SUMIFS(SALIDAS_BOV2,FECHA_BOV2,"&gt;="&amp;T$2,FECHA_BOV2,"&lt;="&amp;T$3,CLAVE_BOV2,$A334)+SUMIFS(SALIDAS_BOV3,FECHA_BOV3,"&gt;="&amp;T$2,FECHA_BOV3,"&lt;="&amp;T$3,CLAVE_BOV3,$A334)+SUMIFS(SALIDAS_TC,FECHA_TC,"&gt;="&amp;T$2,FECHA_TC,"&lt;="&amp;T$3,CLAVE_TC,$A334)+SUMIFS(SALIDAS_COMB,FECHA_COMB,"&gt;="&amp;T$2,FECHA_COMB,"&lt;="&amp;T$3,CLAVE_COMB,$A334)+SUMIFS(SALIDAS_DES,FECHA_DESGLOSEN,"&gt;="&amp;T$2,FECHA_DESGLOSEN,"&lt;="&amp;T$3,CLAVE_DESGLOSE,$A334)</f>
        <v>0</v>
      </c>
      <c r="U334" s="227">
        <f>N334-T334</f>
        <v>0</v>
      </c>
      <c r="V334" s="301">
        <f>IFERROR((T334/N334),0)</f>
        <v>0</v>
      </c>
      <c r="W334" s="162">
        <f>VLOOKUP($A334,T_PRESUPUESTO,MATCH(W$6,E_PRESUPUESTO,0),FALSE)</f>
        <v>0</v>
      </c>
      <c r="X334" s="162">
        <f>SUMIFS(SALIDAS_BIT,FECHA_BIT,"&gt;="&amp;X$2,FECHA_BIT,"&lt;="&amp;X$3,CLAVE_BIT,$A334)+SUMIFS(SALIDAS_BOV1,FECHA_BOV1,"&gt;="&amp;X$2,FECHA_BOV1,"&lt;="&amp;X$3,CLAVE_BOV1,$A334)+SUMIFS(SALIDAS_BOV2,FECHA_BOV2,"&gt;="&amp;X$2,FECHA_BOV2,"&lt;="&amp;X$3,CLAVE_BOV2,$A334)+SUMIFS(SALIDAS_BOV3,FECHA_BOV3,"&gt;="&amp;X$2,FECHA_BOV3,"&lt;="&amp;X$3,CLAVE_BOV3,$A334)+SUMIFS(SALIDAS_TC,FECHA_TC,"&gt;="&amp;X$2,FECHA_TC,"&lt;="&amp;X$3,CLAVE_TC,$A334)+SUMIFS(SALIDAS_COMB,FECHA_COMB,"&gt;="&amp;X$2,FECHA_COMB,"&lt;="&amp;X$3,CLAVE_COMB,$A334)+SUMIFS(SALIDAS_DES,FECHA_DESGLOSEN,"&gt;="&amp;X$2,FECHA_DESGLOSEN,"&lt;="&amp;X$3,CLAVE_DESGLOSE,$A334)</f>
        <v>0</v>
      </c>
      <c r="Y334" s="162">
        <f>SUMIFS(SALIDAS_BIT,FECHA_BIT,"&gt;="&amp;Y$2,FECHA_BIT,"&lt;="&amp;Y$3,CLAVE_BIT,$A334)+SUMIFS(SALIDAS_BOV1,FECHA_BOV1,"&gt;="&amp;Y$2,FECHA_BOV1,"&lt;="&amp;Y$3,CLAVE_BOV1,$A334)+SUMIFS(SALIDAS_BOV2,FECHA_BOV2,"&gt;="&amp;Y$2,FECHA_BOV2,"&lt;="&amp;Y$3,CLAVE_BOV2,$A334)+SUMIFS(SALIDAS_BOV3,FECHA_BOV3,"&gt;="&amp;Y$2,FECHA_BOV3,"&lt;="&amp;Y$3,CLAVE_BOV3,$A334)+SUMIFS(SALIDAS_TC,FECHA_TC,"&gt;="&amp;Y$2,FECHA_TC,"&lt;="&amp;Y$3,CLAVE_TC,$A334)+SUMIFS(SALIDAS_COMB,FECHA_COMB,"&gt;="&amp;Y$2,FECHA_COMB,"&lt;="&amp;Y$3,CLAVE_COMB,$A334)+SUMIFS(SALIDAS_DES,FECHA_DESGLOSEN,"&gt;="&amp;Y$2,FECHA_DESGLOSEN,"&lt;="&amp;Y$3,CLAVE_DESGLOSE,$A334)</f>
        <v>0</v>
      </c>
      <c r="Z334" s="162">
        <f>SUMIFS(SALIDAS_BIT,FECHA_BIT,"&gt;="&amp;Z$2,FECHA_BIT,"&lt;="&amp;Z$3,CLAVE_BIT,$A334)+SUMIFS(SALIDAS_BOV1,FECHA_BOV1,"&gt;="&amp;Z$2,FECHA_BOV1,"&lt;="&amp;Z$3,CLAVE_BOV1,$A334)+SUMIFS(SALIDAS_BOV2,FECHA_BOV2,"&gt;="&amp;Z$2,FECHA_BOV2,"&lt;="&amp;Z$3,CLAVE_BOV2,$A334)+SUMIFS(SALIDAS_BOV3,FECHA_BOV3,"&gt;="&amp;Z$2,FECHA_BOV3,"&lt;="&amp;Z$3,CLAVE_BOV3,$A334)+SUMIFS(SALIDAS_TC,FECHA_TC,"&gt;="&amp;Z$2,FECHA_TC,"&lt;="&amp;Z$3,CLAVE_TC,$A334)+SUMIFS(SALIDAS_COMB,FECHA_COMB,"&gt;="&amp;Z$2,FECHA_COMB,"&lt;="&amp;Z$3,CLAVE_COMB,$A334)+SUMIFS(SALIDAS_DES,FECHA_DESGLOSEN,"&gt;="&amp;Z$2,FECHA_DESGLOSEN,"&lt;="&amp;Z$3,CLAVE_DESGLOSE,$A334)</f>
        <v>0</v>
      </c>
      <c r="AA334" s="162">
        <f>SUMIFS(SALIDAS_BIT,FECHA_BIT,"&gt;="&amp;AA$2,FECHA_BIT,"&lt;="&amp;AA$3,CLAVE_BIT,$A334)+SUMIFS(SALIDAS_BOV1,FECHA_BOV1,"&gt;="&amp;AA$2,FECHA_BOV1,"&lt;="&amp;AA$3,CLAVE_BOV1,$A334)+SUMIFS(SALIDAS_BOV2,FECHA_BOV2,"&gt;="&amp;AA$2,FECHA_BOV2,"&lt;="&amp;AA$3,CLAVE_BOV2,$A334)+SUMIFS(SALIDAS_BOV3,FECHA_BOV3,"&gt;="&amp;AA$2,FECHA_BOV3,"&lt;="&amp;AA$3,CLAVE_BOV3,$A334)+SUMIFS(SALIDAS_TC,FECHA_TC,"&gt;="&amp;AA$2,FECHA_TC,"&lt;="&amp;AA$3,CLAVE_TC,$A334)+SUMIFS(SALIDAS_COMB,FECHA_COMB,"&gt;="&amp;AA$2,FECHA_COMB,"&lt;="&amp;AA$3,CLAVE_COMB,$A334)+SUMIFS(SALIDAS_DES,FECHA_DESGLOSEN,"&gt;="&amp;AA$2,FECHA_DESGLOSEN,"&lt;="&amp;AA$3,CLAVE_DESGLOSE,$A334)</f>
        <v>0</v>
      </c>
      <c r="AB334" s="162">
        <f>SUMIFS(SALIDAS_BIT,FECHA_BIT,"&gt;="&amp;AB$2,FECHA_BIT,"&lt;="&amp;AB$3,CLAVE_BIT,$A334)+SUMIFS(SALIDAS_BOV1,FECHA_BOV1,"&gt;="&amp;AB$2,FECHA_BOV1,"&lt;="&amp;AB$3,CLAVE_BOV1,$A334)+SUMIFS(SALIDAS_BOV2,FECHA_BOV2,"&gt;="&amp;AB$2,FECHA_BOV2,"&lt;="&amp;AB$3,CLAVE_BOV2,$A334)+SUMIFS(SALIDAS_BOV3,FECHA_BOV3,"&gt;="&amp;AB$2,FECHA_BOV3,"&lt;="&amp;AB$3,CLAVE_BOV3,$A334)+SUMIFS(SALIDAS_TC,FECHA_TC,"&gt;="&amp;AB$2,FECHA_TC,"&lt;="&amp;AB$3,CLAVE_TC,$A334)+SUMIFS(SALIDAS_COMB,FECHA_COMB,"&gt;="&amp;AB$2,FECHA_COMB,"&lt;="&amp;AB$3,CLAVE_COMB,$A334)+SUMIFS(SALIDAS_DES,FECHA_DESGLOSEN,"&gt;="&amp;AB$2,FECHA_DESGLOSEN,"&lt;="&amp;AB$3,CLAVE_DESGLOSE,$A334)</f>
        <v>0</v>
      </c>
      <c r="AC334" s="227">
        <f>W334-AB334</f>
        <v>0</v>
      </c>
      <c r="AD334" s="301">
        <f>IFERROR((AB334/W334),0)</f>
        <v>0</v>
      </c>
      <c r="AE334" s="162">
        <f>VLOOKUP($A334,T_PRESUPUESTO,MATCH(AE$6,E_PRESUPUESTO,0),FALSE)</f>
        <v>0</v>
      </c>
      <c r="AF334" s="162">
        <f>SUMIFS(SALIDAS_BIT,FECHA_BIT,"&gt;="&amp;AF$2,FECHA_BIT,"&lt;="&amp;AF$3,CLAVE_BIT,$A334)+SUMIFS(SALIDAS_BOV1,FECHA_BOV1,"&gt;="&amp;AF$2,FECHA_BOV1,"&lt;="&amp;AF$3,CLAVE_BOV1,$A334)+SUMIFS(SALIDAS_BOV2,FECHA_BOV2,"&gt;="&amp;AF$2,FECHA_BOV2,"&lt;="&amp;AF$3,CLAVE_BOV2,$A334)+SUMIFS(SALIDAS_BOV3,FECHA_BOV3,"&gt;="&amp;AF$2,FECHA_BOV3,"&lt;="&amp;AF$3,CLAVE_BOV3,$A334)+SUMIFS(SALIDAS_TC,FECHA_TC,"&gt;="&amp;AF$2,FECHA_TC,"&lt;="&amp;AF$3,CLAVE_TC,$A334)+SUMIFS(SALIDAS_COMB,FECHA_COMB,"&gt;="&amp;AF$2,FECHA_COMB,"&lt;="&amp;AF$3,CLAVE_COMB,$A334)+SUMIFS(SALIDAS_DES,FECHA_DESGLOSEN,"&gt;="&amp;AF$2,FECHA_DESGLOSEN,"&lt;="&amp;AF$3,CLAVE_DESGLOSE,$A334)</f>
        <v>0</v>
      </c>
      <c r="AG334" s="162">
        <f>SUMIFS(SALIDAS_BIT,FECHA_BIT,"&gt;="&amp;AG$2,FECHA_BIT,"&lt;="&amp;AG$3,CLAVE_BIT,$A334)+SUMIFS(SALIDAS_BOV1,FECHA_BOV1,"&gt;="&amp;AG$2,FECHA_BOV1,"&lt;="&amp;AG$3,CLAVE_BOV1,$A334)+SUMIFS(SALIDAS_BOV2,FECHA_BOV2,"&gt;="&amp;AG$2,FECHA_BOV2,"&lt;="&amp;AG$3,CLAVE_BOV2,$A334)+SUMIFS(SALIDAS_BOV3,FECHA_BOV3,"&gt;="&amp;AG$2,FECHA_BOV3,"&lt;="&amp;AG$3,CLAVE_BOV3,$A334)+SUMIFS(SALIDAS_TC,FECHA_TC,"&gt;="&amp;AG$2,FECHA_TC,"&lt;="&amp;AG$3,CLAVE_TC,$A334)+SUMIFS(SALIDAS_COMB,FECHA_COMB,"&gt;="&amp;AG$2,FECHA_COMB,"&lt;="&amp;AG$3,CLAVE_COMB,$A334)+SUMIFS(SALIDAS_DES,FECHA_DESGLOSEN,"&gt;="&amp;AG$2,FECHA_DESGLOSEN,"&lt;="&amp;AG$3,CLAVE_DESGLOSE,$A334)</f>
        <v>0</v>
      </c>
      <c r="AH334" s="162">
        <f>SUMIFS(SALIDAS_BIT,FECHA_BIT,"&gt;="&amp;AH$2,FECHA_BIT,"&lt;="&amp;AH$3,CLAVE_BIT,$A334)+SUMIFS(SALIDAS_BOV1,FECHA_BOV1,"&gt;="&amp;AH$2,FECHA_BOV1,"&lt;="&amp;AH$3,CLAVE_BOV1,$A334)+SUMIFS(SALIDAS_BOV2,FECHA_BOV2,"&gt;="&amp;AH$2,FECHA_BOV2,"&lt;="&amp;AH$3,CLAVE_BOV2,$A334)+SUMIFS(SALIDAS_BOV3,FECHA_BOV3,"&gt;="&amp;AH$2,FECHA_BOV3,"&lt;="&amp;AH$3,CLAVE_BOV3,$A334)+SUMIFS(SALIDAS_TC,FECHA_TC,"&gt;="&amp;AH$2,FECHA_TC,"&lt;="&amp;AH$3,CLAVE_TC,$A334)+SUMIFS(SALIDAS_COMB,FECHA_COMB,"&gt;="&amp;AH$2,FECHA_COMB,"&lt;="&amp;AH$3,CLAVE_COMB,$A334)+SUMIFS(SALIDAS_DES,FECHA_DESGLOSEN,"&gt;="&amp;AH$2,FECHA_DESGLOSEN,"&lt;="&amp;AH$3,CLAVE_DESGLOSE,$A334)</f>
        <v>0</v>
      </c>
      <c r="AI334" s="162">
        <f>SUMIFS(SALIDAS_BIT,FECHA_BIT,"&gt;="&amp;AI$2,FECHA_BIT,"&lt;="&amp;AI$3,CLAVE_BIT,$A334)+SUMIFS(SALIDAS_BOV1,FECHA_BOV1,"&gt;="&amp;AI$2,FECHA_BOV1,"&lt;="&amp;AI$3,CLAVE_BOV1,$A334)+SUMIFS(SALIDAS_BOV2,FECHA_BOV2,"&gt;="&amp;AI$2,FECHA_BOV2,"&lt;="&amp;AI$3,CLAVE_BOV2,$A334)+SUMIFS(SALIDAS_BOV3,FECHA_BOV3,"&gt;="&amp;AI$2,FECHA_BOV3,"&lt;="&amp;AI$3,CLAVE_BOV3,$A334)+SUMIFS(SALIDAS_TC,FECHA_TC,"&gt;="&amp;AI$2,FECHA_TC,"&lt;="&amp;AI$3,CLAVE_TC,$A334)+SUMIFS(SALIDAS_COMB,FECHA_COMB,"&gt;="&amp;AI$2,FECHA_COMB,"&lt;="&amp;AI$3,CLAVE_COMB,$A334)+SUMIFS(SALIDAS_DES,FECHA_DESGLOSEN,"&gt;="&amp;AI$2,FECHA_DESGLOSEN,"&lt;="&amp;AI$3,CLAVE_DESGLOSE,$A334)</f>
        <v>0</v>
      </c>
      <c r="AJ334" s="162">
        <f>SUMIFS(SALIDAS_BIT,FECHA_BIT,"&gt;="&amp;AJ$2,FECHA_BIT,"&lt;="&amp;AJ$3,CLAVE_BIT,$A334)+SUMIFS(SALIDAS_BOV1,FECHA_BOV1,"&gt;="&amp;AJ$2,FECHA_BOV1,"&lt;="&amp;AJ$3,CLAVE_BOV1,$A334)+SUMIFS(SALIDAS_BOV2,FECHA_BOV2,"&gt;="&amp;AJ$2,FECHA_BOV2,"&lt;="&amp;AJ$3,CLAVE_BOV2,$A334)+SUMIFS(SALIDAS_BOV3,FECHA_BOV3,"&gt;="&amp;AJ$2,FECHA_BOV3,"&lt;="&amp;AJ$3,CLAVE_BOV3,$A334)+SUMIFS(SALIDAS_TC,FECHA_TC,"&gt;="&amp;AJ$2,FECHA_TC,"&lt;="&amp;AJ$3,CLAVE_TC,$A334)+SUMIFS(SALIDAS_COMB,FECHA_COMB,"&gt;="&amp;AJ$2,FECHA_COMB,"&lt;="&amp;AJ$3,CLAVE_COMB,$A334)+SUMIFS(SALIDAS_DES,FECHA_DESGLOSEN,"&gt;="&amp;AJ$2,FECHA_DESGLOSEN,"&lt;="&amp;AJ$3,CLAVE_DESGLOSE,$A334)</f>
        <v>0</v>
      </c>
      <c r="AK334" s="227">
        <f>AE334-AJ334</f>
        <v>0</v>
      </c>
      <c r="AL334" s="301">
        <f>IFERROR((AJ334/AE334),0)</f>
        <v>0</v>
      </c>
      <c r="AM334" s="162">
        <f>VLOOKUP($A334,T_PRESUPUESTO,MATCH(AM$6,E_PRESUPUESTO,0),FALSE)</f>
        <v>0</v>
      </c>
      <c r="AN334" s="162">
        <f>SUMIFS(SALIDAS_BIT,FECHA_BIT,"&gt;="&amp;AN$2,FECHA_BIT,"&lt;="&amp;AN$3,CLAVE_BIT,$A334)+SUMIFS(SALIDAS_BOV1,FECHA_BOV1,"&gt;="&amp;AN$2,FECHA_BOV1,"&lt;="&amp;AN$3,CLAVE_BOV1,$A334)+SUMIFS(SALIDAS_BOV2,FECHA_BOV2,"&gt;="&amp;AN$2,FECHA_BOV2,"&lt;="&amp;AN$3,CLAVE_BOV2,$A334)+SUMIFS(SALIDAS_BOV3,FECHA_BOV3,"&gt;="&amp;AN$2,FECHA_BOV3,"&lt;="&amp;AN$3,CLAVE_BOV3,$A334)+SUMIFS(SALIDAS_TC,FECHA_TC,"&gt;="&amp;AN$2,FECHA_TC,"&lt;="&amp;AN$3,CLAVE_TC,$A334)+SUMIFS(SALIDAS_COMB,FECHA_COMB,"&gt;="&amp;AN$2,FECHA_COMB,"&lt;="&amp;AN$3,CLAVE_COMB,$A334)+SUMIFS(SALIDAS_DES,FECHA_DESGLOSEN,"&gt;="&amp;AN$2,FECHA_DESGLOSEN,"&lt;="&amp;AN$3,CLAVE_DESGLOSE,$A334)</f>
        <v>0</v>
      </c>
      <c r="AO334" s="162">
        <f>SUMIFS(SALIDAS_BIT,FECHA_BIT,"&gt;="&amp;AO$2,FECHA_BIT,"&lt;="&amp;AO$3,CLAVE_BIT,$A334)+SUMIFS(SALIDAS_BOV1,FECHA_BOV1,"&gt;="&amp;AO$2,FECHA_BOV1,"&lt;="&amp;AO$3,CLAVE_BOV1,$A334)+SUMIFS(SALIDAS_BOV2,FECHA_BOV2,"&gt;="&amp;AO$2,FECHA_BOV2,"&lt;="&amp;AO$3,CLAVE_BOV2,$A334)+SUMIFS(SALIDAS_BOV3,FECHA_BOV3,"&gt;="&amp;AO$2,FECHA_BOV3,"&lt;="&amp;AO$3,CLAVE_BOV3,$A334)+SUMIFS(SALIDAS_TC,FECHA_TC,"&gt;="&amp;AO$2,FECHA_TC,"&lt;="&amp;AO$3,CLAVE_TC,$A334)+SUMIFS(SALIDAS_COMB,FECHA_COMB,"&gt;="&amp;AO$2,FECHA_COMB,"&lt;="&amp;AO$3,CLAVE_COMB,$A334)+SUMIFS(SALIDAS_DES,FECHA_DESGLOSEN,"&gt;="&amp;AO$2,FECHA_DESGLOSEN,"&lt;="&amp;AO$3,CLAVE_DESGLOSE,$A334)</f>
        <v>0</v>
      </c>
      <c r="AP334" s="162">
        <f>SUMIFS(SALIDAS_BIT,FECHA_BIT,"&gt;="&amp;AP$2,FECHA_BIT,"&lt;="&amp;AP$3,CLAVE_BIT,$A334)+SUMIFS(SALIDAS_BOV1,FECHA_BOV1,"&gt;="&amp;AP$2,FECHA_BOV1,"&lt;="&amp;AP$3,CLAVE_BOV1,$A334)+SUMIFS(SALIDAS_BOV2,FECHA_BOV2,"&gt;="&amp;AP$2,FECHA_BOV2,"&lt;="&amp;AP$3,CLAVE_BOV2,$A334)+SUMIFS(SALIDAS_BOV3,FECHA_BOV3,"&gt;="&amp;AP$2,FECHA_BOV3,"&lt;="&amp;AP$3,CLAVE_BOV3,$A334)+SUMIFS(SALIDAS_TC,FECHA_TC,"&gt;="&amp;AP$2,FECHA_TC,"&lt;="&amp;AP$3,CLAVE_TC,$A334)+SUMIFS(SALIDAS_COMB,FECHA_COMB,"&gt;="&amp;AP$2,FECHA_COMB,"&lt;="&amp;AP$3,CLAVE_COMB,$A334)+SUMIFS(SALIDAS_DES,FECHA_DESGLOSEN,"&gt;="&amp;AP$2,FECHA_DESGLOSEN,"&lt;="&amp;AP$3,CLAVE_DESGLOSE,$A334)</f>
        <v>0</v>
      </c>
      <c r="AQ334" s="162">
        <f>SUMIFS(SALIDAS_BIT,FECHA_BIT,"&gt;="&amp;AQ$2,FECHA_BIT,"&lt;="&amp;AQ$3,CLAVE_BIT,$A334)+SUMIFS(SALIDAS_BOV1,FECHA_BOV1,"&gt;="&amp;AQ$2,FECHA_BOV1,"&lt;="&amp;AQ$3,CLAVE_BOV1,$A334)+SUMIFS(SALIDAS_BOV2,FECHA_BOV2,"&gt;="&amp;AQ$2,FECHA_BOV2,"&lt;="&amp;AQ$3,CLAVE_BOV2,$A334)+SUMIFS(SALIDAS_BOV3,FECHA_BOV3,"&gt;="&amp;AQ$2,FECHA_BOV3,"&lt;="&amp;AQ$3,CLAVE_BOV3,$A334)+SUMIFS(SALIDAS_TC,FECHA_TC,"&gt;="&amp;AQ$2,FECHA_TC,"&lt;="&amp;AQ$3,CLAVE_TC,$A334)+SUMIFS(SALIDAS_COMB,FECHA_COMB,"&gt;="&amp;AQ$2,FECHA_COMB,"&lt;="&amp;AQ$3,CLAVE_COMB,$A334)+SUMIFS(SALIDAS_DES,FECHA_DESGLOSEN,"&gt;="&amp;AQ$2,FECHA_DESGLOSEN,"&lt;="&amp;AQ$3,CLAVE_DESGLOSE,$A334)</f>
        <v>0</v>
      </c>
      <c r="AR334" s="162">
        <f>SUMIFS(SALIDAS_BIT,FECHA_BIT,"&gt;="&amp;AR$2,FECHA_BIT,"&lt;="&amp;AR$3,CLAVE_BIT,$A334)+SUMIFS(SALIDAS_BOV1,FECHA_BOV1,"&gt;="&amp;AR$2,FECHA_BOV1,"&lt;="&amp;AR$3,CLAVE_BOV1,$A334)+SUMIFS(SALIDAS_BOV2,FECHA_BOV2,"&gt;="&amp;AR$2,FECHA_BOV2,"&lt;="&amp;AR$3,CLAVE_BOV2,$A334)+SUMIFS(SALIDAS_BOV3,FECHA_BOV3,"&gt;="&amp;AR$2,FECHA_BOV3,"&lt;="&amp;AR$3,CLAVE_BOV3,$A334)+SUMIFS(SALIDAS_TC,FECHA_TC,"&gt;="&amp;AR$2,FECHA_TC,"&lt;="&amp;AR$3,CLAVE_TC,$A334)+SUMIFS(SALIDAS_COMB,FECHA_COMB,"&gt;="&amp;AR$2,FECHA_COMB,"&lt;="&amp;AR$3,CLAVE_COMB,$A334)+SUMIFS(SALIDAS_DES,FECHA_DESGLOSEN,"&gt;="&amp;AR$2,FECHA_DESGLOSEN,"&lt;="&amp;AR$3,CLAVE_DESGLOSE,$A334)</f>
        <v>0</v>
      </c>
      <c r="AS334" s="162">
        <f>SUMIFS(SALIDAS_BIT,FECHA_BIT,"&gt;="&amp;AS$2,FECHA_BIT,"&lt;="&amp;AS$3,CLAVE_BIT,$A334)+SUMIFS(SALIDAS_BOV1,FECHA_BOV1,"&gt;="&amp;AS$2,FECHA_BOV1,"&lt;="&amp;AS$3,CLAVE_BOV1,$A334)+SUMIFS(SALIDAS_BOV2,FECHA_BOV2,"&gt;="&amp;AS$2,FECHA_BOV2,"&lt;="&amp;AS$3,CLAVE_BOV2,$A334)+SUMIFS(SALIDAS_BOV3,FECHA_BOV3,"&gt;="&amp;AS$2,FECHA_BOV3,"&lt;="&amp;AS$3,CLAVE_BOV3,$A334)+SUMIFS(SALIDAS_TC,FECHA_TC,"&gt;="&amp;AS$2,FECHA_TC,"&lt;="&amp;AS$3,CLAVE_TC,$A334)+SUMIFS(SALIDAS_COMB,FECHA_COMB,"&gt;="&amp;AS$2,FECHA_COMB,"&lt;="&amp;AS$3,CLAVE_COMB,$A334)+SUMIFS(SALIDAS_DES,FECHA_DESGLOSEN,"&gt;="&amp;AS$2,FECHA_DESGLOSEN,"&lt;="&amp;AS$3,CLAVE_DESGLOSE,$A334)</f>
        <v>0</v>
      </c>
      <c r="AT334" s="227">
        <f>AM334-AS334</f>
        <v>0</v>
      </c>
      <c r="AU334" s="301">
        <f>IFERROR((AS334/AM334),0)</f>
        <v>0</v>
      </c>
      <c r="AV334" s="162">
        <f>VLOOKUP($A334,T_PRESUPUESTO,MATCH(AV$6,E_PRESUPUESTO,0),FALSE)</f>
        <v>0</v>
      </c>
      <c r="AW334" s="162">
        <f>SUMIFS(SALIDAS_BIT,FECHA_BIT,"&gt;="&amp;AW$2,FECHA_BIT,"&lt;="&amp;AW$3,CLAVE_BIT,$A334)+SUMIFS(SALIDAS_BOV1,FECHA_BOV1,"&gt;="&amp;AW$2,FECHA_BOV1,"&lt;="&amp;AW$3,CLAVE_BOV1,$A334)+SUMIFS(SALIDAS_BOV2,FECHA_BOV2,"&gt;="&amp;AW$2,FECHA_BOV2,"&lt;="&amp;AW$3,CLAVE_BOV2,$A334)+SUMIFS(SALIDAS_BOV3,FECHA_BOV3,"&gt;="&amp;AW$2,FECHA_BOV3,"&lt;="&amp;AW$3,CLAVE_BOV3,$A334)+SUMIFS(SALIDAS_TC,FECHA_TC,"&gt;="&amp;AW$2,FECHA_TC,"&lt;="&amp;AW$3,CLAVE_TC,$A334)+SUMIFS(SALIDAS_COMB,FECHA_COMB,"&gt;="&amp;AW$2,FECHA_COMB,"&lt;="&amp;AW$3,CLAVE_COMB,$A334)+SUMIFS(SALIDAS_DES,FECHA_DESGLOSEN,"&gt;="&amp;AW$2,FECHA_DESGLOSEN,"&lt;="&amp;AW$3,CLAVE_DESGLOSE,$A334)</f>
        <v>0</v>
      </c>
      <c r="AX334" s="162">
        <f>SUMIFS(SALIDAS_BIT,FECHA_BIT,"&gt;="&amp;AX$2,FECHA_BIT,"&lt;="&amp;AX$3,CLAVE_BIT,$A334)+SUMIFS(SALIDAS_BOV1,FECHA_BOV1,"&gt;="&amp;AX$2,FECHA_BOV1,"&lt;="&amp;AX$3,CLAVE_BOV1,$A334)+SUMIFS(SALIDAS_BOV2,FECHA_BOV2,"&gt;="&amp;AX$2,FECHA_BOV2,"&lt;="&amp;AX$3,CLAVE_BOV2,$A334)+SUMIFS(SALIDAS_BOV3,FECHA_BOV3,"&gt;="&amp;AX$2,FECHA_BOV3,"&lt;="&amp;AX$3,CLAVE_BOV3,$A334)+SUMIFS(SALIDAS_TC,FECHA_TC,"&gt;="&amp;AX$2,FECHA_TC,"&lt;="&amp;AX$3,CLAVE_TC,$A334)+SUMIFS(SALIDAS_COMB,FECHA_COMB,"&gt;="&amp;AX$2,FECHA_COMB,"&lt;="&amp;AX$3,CLAVE_COMB,$A334)+SUMIFS(SALIDAS_DES,FECHA_DESGLOSEN,"&gt;="&amp;AX$2,FECHA_DESGLOSEN,"&lt;="&amp;AX$3,CLAVE_DESGLOSE,$A334)</f>
        <v>0</v>
      </c>
      <c r="AY334" s="162">
        <f>SUMIFS(SALIDAS_BIT,FECHA_BIT,"&gt;="&amp;AY$2,FECHA_BIT,"&lt;="&amp;AY$3,CLAVE_BIT,$A334)+SUMIFS(SALIDAS_BOV1,FECHA_BOV1,"&gt;="&amp;AY$2,FECHA_BOV1,"&lt;="&amp;AY$3,CLAVE_BOV1,$A334)+SUMIFS(SALIDAS_BOV2,FECHA_BOV2,"&gt;="&amp;AY$2,FECHA_BOV2,"&lt;="&amp;AY$3,CLAVE_BOV2,$A334)+SUMIFS(SALIDAS_BOV3,FECHA_BOV3,"&gt;="&amp;AY$2,FECHA_BOV3,"&lt;="&amp;AY$3,CLAVE_BOV3,$A334)+SUMIFS(SALIDAS_TC,FECHA_TC,"&gt;="&amp;AY$2,FECHA_TC,"&lt;="&amp;AY$3,CLAVE_TC,$A334)+SUMIFS(SALIDAS_COMB,FECHA_COMB,"&gt;="&amp;AY$2,FECHA_COMB,"&lt;="&amp;AY$3,CLAVE_COMB,$A334)+SUMIFS(SALIDAS_DES,FECHA_DESGLOSEN,"&gt;="&amp;AY$2,FECHA_DESGLOSEN,"&lt;="&amp;AY$3,CLAVE_DESGLOSE,$A334)</f>
        <v>0</v>
      </c>
      <c r="AZ334" s="162">
        <f>SUMIFS(SALIDAS_BIT,FECHA_BIT,"&gt;="&amp;AZ$2,FECHA_BIT,"&lt;="&amp;AZ$3,CLAVE_BIT,$A334)+SUMIFS(SALIDAS_BOV1,FECHA_BOV1,"&gt;="&amp;AZ$2,FECHA_BOV1,"&lt;="&amp;AZ$3,CLAVE_BOV1,$A334)+SUMIFS(SALIDAS_BOV2,FECHA_BOV2,"&gt;="&amp;AZ$2,FECHA_BOV2,"&lt;="&amp;AZ$3,CLAVE_BOV2,$A334)+SUMIFS(SALIDAS_BOV3,FECHA_BOV3,"&gt;="&amp;AZ$2,FECHA_BOV3,"&lt;="&amp;AZ$3,CLAVE_BOV3,$A334)+SUMIFS(SALIDAS_TC,FECHA_TC,"&gt;="&amp;AZ$2,FECHA_TC,"&lt;="&amp;AZ$3,CLAVE_TC,$A334)+SUMIFS(SALIDAS_COMB,FECHA_COMB,"&gt;="&amp;AZ$2,FECHA_COMB,"&lt;="&amp;AZ$3,CLAVE_COMB,$A334)+SUMIFS(SALIDAS_DES,FECHA_DESGLOSEN,"&gt;="&amp;AZ$2,FECHA_DESGLOSEN,"&lt;="&amp;AZ$3,CLAVE_DESGLOSE,$A334)</f>
        <v>0</v>
      </c>
      <c r="BA334" s="162">
        <f>SUMIFS(SALIDAS_BIT,FECHA_BIT,"&gt;="&amp;BA$2,FECHA_BIT,"&lt;="&amp;BA$3,CLAVE_BIT,$A334)+SUMIFS(SALIDAS_BOV1,FECHA_BOV1,"&gt;="&amp;BA$2,FECHA_BOV1,"&lt;="&amp;BA$3,CLAVE_BOV1,$A334)+SUMIFS(SALIDAS_BOV2,FECHA_BOV2,"&gt;="&amp;BA$2,FECHA_BOV2,"&lt;="&amp;BA$3,CLAVE_BOV2,$A334)+SUMIFS(SALIDAS_BOV3,FECHA_BOV3,"&gt;="&amp;BA$2,FECHA_BOV3,"&lt;="&amp;BA$3,CLAVE_BOV3,$A334)+SUMIFS(SALIDAS_TC,FECHA_TC,"&gt;="&amp;BA$2,FECHA_TC,"&lt;="&amp;BA$3,CLAVE_TC,$A334)+SUMIFS(SALIDAS_COMB,FECHA_COMB,"&gt;="&amp;BA$2,FECHA_COMB,"&lt;="&amp;BA$3,CLAVE_COMB,$A334)+SUMIFS(SALIDAS_DES,FECHA_DESGLOSEN,"&gt;="&amp;BA$2,FECHA_DESGLOSEN,"&lt;="&amp;BA$3,CLAVE_DESGLOSE,$A334)</f>
        <v>0</v>
      </c>
      <c r="BB334" s="227">
        <f>AV334-BA334</f>
        <v>0</v>
      </c>
      <c r="BC334" s="301">
        <f>IFERROR((BA334/AV334),0)</f>
        <v>0</v>
      </c>
      <c r="BD334" s="162">
        <f>VLOOKUP($A334,T_PRESUPUESTO,MATCH(BD$6,E_PRESUPUESTO,0),FALSE)</f>
        <v>0</v>
      </c>
      <c r="BE334" s="162">
        <f>SUMIFS(SALIDAS_BIT,FECHA_BIT,"&gt;="&amp;BE$2,FECHA_BIT,"&lt;="&amp;BE$3,CLAVE_BIT,$A334)+SUMIFS(SALIDAS_BOV1,FECHA_BOV1,"&gt;="&amp;BE$2,FECHA_BOV1,"&lt;="&amp;BE$3,CLAVE_BOV1,$A334)+SUMIFS(SALIDAS_BOV2,FECHA_BOV2,"&gt;="&amp;BE$2,FECHA_BOV2,"&lt;="&amp;BE$3,CLAVE_BOV2,$A334)+SUMIFS(SALIDAS_BOV3,FECHA_BOV3,"&gt;="&amp;BE$2,FECHA_BOV3,"&lt;="&amp;BE$3,CLAVE_BOV3,$A334)+SUMIFS(SALIDAS_TC,FECHA_TC,"&gt;="&amp;BE$2,FECHA_TC,"&lt;="&amp;BE$3,CLAVE_TC,$A334)+SUMIFS(SALIDAS_COMB,FECHA_COMB,"&gt;="&amp;BE$2,FECHA_COMB,"&lt;="&amp;BE$3,CLAVE_COMB,$A334)+SUMIFS(SALIDAS_DES,FECHA_DESGLOSEN,"&gt;="&amp;BE$2,FECHA_DESGLOSEN,"&lt;="&amp;BE$3,CLAVE_DESGLOSE,$A334)</f>
        <v>0</v>
      </c>
      <c r="BF334" s="162">
        <f>SUMIFS(SALIDAS_BIT,FECHA_BIT,"&gt;="&amp;BF$2,FECHA_BIT,"&lt;="&amp;BF$3,CLAVE_BIT,$A334)+SUMIFS(SALIDAS_BOV1,FECHA_BOV1,"&gt;="&amp;BF$2,FECHA_BOV1,"&lt;="&amp;BF$3,CLAVE_BOV1,$A334)+SUMIFS(SALIDAS_BOV2,FECHA_BOV2,"&gt;="&amp;BF$2,FECHA_BOV2,"&lt;="&amp;BF$3,CLAVE_BOV2,$A334)+SUMIFS(SALIDAS_BOV3,FECHA_BOV3,"&gt;="&amp;BF$2,FECHA_BOV3,"&lt;="&amp;BF$3,CLAVE_BOV3,$A334)+SUMIFS(SALIDAS_TC,FECHA_TC,"&gt;="&amp;BF$2,FECHA_TC,"&lt;="&amp;BF$3,CLAVE_TC,$A334)+SUMIFS(SALIDAS_COMB,FECHA_COMB,"&gt;="&amp;BF$2,FECHA_COMB,"&lt;="&amp;BF$3,CLAVE_COMB,$A334)+SUMIFS(SALIDAS_DES,FECHA_DESGLOSEN,"&gt;="&amp;BF$2,FECHA_DESGLOSEN,"&lt;="&amp;BF$3,CLAVE_DESGLOSE,$A334)</f>
        <v>0</v>
      </c>
      <c r="BG334" s="162">
        <f>SUMIFS(SALIDAS_BIT,FECHA_BIT,"&gt;="&amp;BG$2,FECHA_BIT,"&lt;="&amp;BG$3,CLAVE_BIT,$A334)+SUMIFS(SALIDAS_BOV1,FECHA_BOV1,"&gt;="&amp;BG$2,FECHA_BOV1,"&lt;="&amp;BG$3,CLAVE_BOV1,$A334)+SUMIFS(SALIDAS_BOV2,FECHA_BOV2,"&gt;="&amp;BG$2,FECHA_BOV2,"&lt;="&amp;BG$3,CLAVE_BOV2,$A334)+SUMIFS(SALIDAS_BOV3,FECHA_BOV3,"&gt;="&amp;BG$2,FECHA_BOV3,"&lt;="&amp;BG$3,CLAVE_BOV3,$A334)+SUMIFS(SALIDAS_TC,FECHA_TC,"&gt;="&amp;BG$2,FECHA_TC,"&lt;="&amp;BG$3,CLAVE_TC,$A334)+SUMIFS(SALIDAS_COMB,FECHA_COMB,"&gt;="&amp;BG$2,FECHA_COMB,"&lt;="&amp;BG$3,CLAVE_COMB,$A334)+SUMIFS(SALIDAS_DES,FECHA_DESGLOSEN,"&gt;="&amp;BG$2,FECHA_DESGLOSEN,"&lt;="&amp;BG$3,CLAVE_DESGLOSE,$A334)</f>
        <v>0</v>
      </c>
      <c r="BH334" s="162">
        <f>SUMIFS(SALIDAS_BIT,FECHA_BIT,"&gt;="&amp;BH$2,FECHA_BIT,"&lt;="&amp;BH$3,CLAVE_BIT,$A334)+SUMIFS(SALIDAS_BOV1,FECHA_BOV1,"&gt;="&amp;BH$2,FECHA_BOV1,"&lt;="&amp;BH$3,CLAVE_BOV1,$A334)+SUMIFS(SALIDAS_BOV2,FECHA_BOV2,"&gt;="&amp;BH$2,FECHA_BOV2,"&lt;="&amp;BH$3,CLAVE_BOV2,$A334)+SUMIFS(SALIDAS_BOV3,FECHA_BOV3,"&gt;="&amp;BH$2,FECHA_BOV3,"&lt;="&amp;BH$3,CLAVE_BOV3,$A334)+SUMIFS(SALIDAS_TC,FECHA_TC,"&gt;="&amp;BH$2,FECHA_TC,"&lt;="&amp;BH$3,CLAVE_TC,$A334)+SUMIFS(SALIDAS_COMB,FECHA_COMB,"&gt;="&amp;BH$2,FECHA_COMB,"&lt;="&amp;BH$3,CLAVE_COMB,$A334)+SUMIFS(SALIDAS_DES,FECHA_DESGLOSEN,"&gt;="&amp;BH$2,FECHA_DESGLOSEN,"&lt;="&amp;BH$3,CLAVE_DESGLOSE,$A334)</f>
        <v>0</v>
      </c>
      <c r="BI334" s="162">
        <f>SUMIFS(SALIDAS_BIT,FECHA_BIT,"&gt;="&amp;BI$2,FECHA_BIT,"&lt;="&amp;BI$3,CLAVE_BIT,$A334)+SUMIFS(SALIDAS_BOV1,FECHA_BOV1,"&gt;="&amp;BI$2,FECHA_BOV1,"&lt;="&amp;BI$3,CLAVE_BOV1,$A334)+SUMIFS(SALIDAS_BOV2,FECHA_BOV2,"&gt;="&amp;BI$2,FECHA_BOV2,"&lt;="&amp;BI$3,CLAVE_BOV2,$A334)+SUMIFS(SALIDAS_BOV3,FECHA_BOV3,"&gt;="&amp;BI$2,FECHA_BOV3,"&lt;="&amp;BI$3,CLAVE_BOV3,$A334)+SUMIFS(SALIDAS_TC,FECHA_TC,"&gt;="&amp;BI$2,FECHA_TC,"&lt;="&amp;BI$3,CLAVE_TC,$A334)+SUMIFS(SALIDAS_COMB,FECHA_COMB,"&gt;="&amp;BI$2,FECHA_COMB,"&lt;="&amp;BI$3,CLAVE_COMB,$A334)+SUMIFS(SALIDAS_DES,FECHA_DESGLOSEN,"&gt;="&amp;BI$2,FECHA_DESGLOSEN,"&lt;="&amp;BI$3,CLAVE_DESGLOSE,$A334)</f>
        <v>0</v>
      </c>
      <c r="BJ334" s="227">
        <f>BD334-BI334</f>
        <v>0</v>
      </c>
      <c r="BK334" s="301">
        <f>IFERROR((BI334/BD334),0)</f>
        <v>0</v>
      </c>
      <c r="BL334" s="162">
        <f>VLOOKUP($A334,T_PRESUPUESTO,MATCH(BL$6,E_PRESUPUESTO,0),FALSE)</f>
        <v>0</v>
      </c>
      <c r="BM334" s="162">
        <f>SUMIFS(SALIDAS_BIT,FECHA_BIT,"&gt;="&amp;BM$2,FECHA_BIT,"&lt;="&amp;BM$3,CLAVE_BIT,$A334)+SUMIFS(SALIDAS_BOV1,FECHA_BOV1,"&gt;="&amp;BM$2,FECHA_BOV1,"&lt;="&amp;BM$3,CLAVE_BOV1,$A334)+SUMIFS(SALIDAS_BOV2,FECHA_BOV2,"&gt;="&amp;BM$2,FECHA_BOV2,"&lt;="&amp;BM$3,CLAVE_BOV2,$A334)+SUMIFS(SALIDAS_BOV3,FECHA_BOV3,"&gt;="&amp;BM$2,FECHA_BOV3,"&lt;="&amp;BM$3,CLAVE_BOV3,$A334)+SUMIFS(SALIDAS_TC,FECHA_TC,"&gt;="&amp;BM$2,FECHA_TC,"&lt;="&amp;BM$3,CLAVE_TC,$A334)+SUMIFS(SALIDAS_COMB,FECHA_COMB,"&gt;="&amp;BM$2,FECHA_COMB,"&lt;="&amp;BM$3,CLAVE_COMB,$A334)+SUMIFS(SALIDAS_DES,FECHA_DESGLOSEN,"&gt;="&amp;BM$2,FECHA_DESGLOSEN,"&lt;="&amp;BM$3,CLAVE_DESGLOSE,$A334)</f>
        <v>0</v>
      </c>
      <c r="BN334" s="162">
        <f>SUMIFS(SALIDAS_BIT,FECHA_BIT,"&gt;="&amp;BN$2,FECHA_BIT,"&lt;="&amp;BN$3,CLAVE_BIT,$A334)+SUMIFS(SALIDAS_BOV1,FECHA_BOV1,"&gt;="&amp;BN$2,FECHA_BOV1,"&lt;="&amp;BN$3,CLAVE_BOV1,$A334)+SUMIFS(SALIDAS_BOV2,FECHA_BOV2,"&gt;="&amp;BN$2,FECHA_BOV2,"&lt;="&amp;BN$3,CLAVE_BOV2,$A334)+SUMIFS(SALIDAS_BOV3,FECHA_BOV3,"&gt;="&amp;BN$2,FECHA_BOV3,"&lt;="&amp;BN$3,CLAVE_BOV3,$A334)+SUMIFS(SALIDAS_TC,FECHA_TC,"&gt;="&amp;BN$2,FECHA_TC,"&lt;="&amp;BN$3,CLAVE_TC,$A334)+SUMIFS(SALIDAS_COMB,FECHA_COMB,"&gt;="&amp;BN$2,FECHA_COMB,"&lt;="&amp;BN$3,CLAVE_COMB,$A334)+SUMIFS(SALIDAS_DES,FECHA_DESGLOSEN,"&gt;="&amp;BN$2,FECHA_DESGLOSEN,"&lt;="&amp;BN$3,CLAVE_DESGLOSE,$A334)</f>
        <v>0</v>
      </c>
      <c r="BO334" s="162">
        <f>SUMIFS(SALIDAS_BIT,FECHA_BIT,"&gt;="&amp;BO$2,FECHA_BIT,"&lt;="&amp;BO$3,CLAVE_BIT,$A334)+SUMIFS(SALIDAS_BOV1,FECHA_BOV1,"&gt;="&amp;BO$2,FECHA_BOV1,"&lt;="&amp;BO$3,CLAVE_BOV1,$A334)+SUMIFS(SALIDAS_BOV2,FECHA_BOV2,"&gt;="&amp;BO$2,FECHA_BOV2,"&lt;="&amp;BO$3,CLAVE_BOV2,$A334)+SUMIFS(SALIDAS_BOV3,FECHA_BOV3,"&gt;="&amp;BO$2,FECHA_BOV3,"&lt;="&amp;BO$3,CLAVE_BOV3,$A334)+SUMIFS(SALIDAS_TC,FECHA_TC,"&gt;="&amp;BO$2,FECHA_TC,"&lt;="&amp;BO$3,CLAVE_TC,$A334)+SUMIFS(SALIDAS_COMB,FECHA_COMB,"&gt;="&amp;BO$2,FECHA_COMB,"&lt;="&amp;BO$3,CLAVE_COMB,$A334)+SUMIFS(SALIDAS_DES,FECHA_DESGLOSEN,"&gt;="&amp;BO$2,FECHA_DESGLOSEN,"&lt;="&amp;BO$3,CLAVE_DESGLOSE,$A334)</f>
        <v>0</v>
      </c>
      <c r="BP334" s="162">
        <f>SUMIFS(SALIDAS_BIT,FECHA_BIT,"&gt;="&amp;BP$2,FECHA_BIT,"&lt;="&amp;BP$3,CLAVE_BIT,$A334)+SUMIFS(SALIDAS_BOV1,FECHA_BOV1,"&gt;="&amp;BP$2,FECHA_BOV1,"&lt;="&amp;BP$3,CLAVE_BOV1,$A334)+SUMIFS(SALIDAS_BOV2,FECHA_BOV2,"&gt;="&amp;BP$2,FECHA_BOV2,"&lt;="&amp;BP$3,CLAVE_BOV2,$A334)+SUMIFS(SALIDAS_BOV3,FECHA_BOV3,"&gt;="&amp;BP$2,FECHA_BOV3,"&lt;="&amp;BP$3,CLAVE_BOV3,$A334)+SUMIFS(SALIDAS_TC,FECHA_TC,"&gt;="&amp;BP$2,FECHA_TC,"&lt;="&amp;BP$3,CLAVE_TC,$A334)+SUMIFS(SALIDAS_COMB,FECHA_COMB,"&gt;="&amp;BP$2,FECHA_COMB,"&lt;="&amp;BP$3,CLAVE_COMB,$A334)+SUMIFS(SALIDAS_DES,FECHA_DESGLOSEN,"&gt;="&amp;BP$2,FECHA_DESGLOSEN,"&lt;="&amp;BP$3,CLAVE_DESGLOSE,$A334)</f>
        <v>0</v>
      </c>
      <c r="BQ334" s="162">
        <f>SUMIFS(SALIDAS_BIT,FECHA_BIT,"&gt;="&amp;BQ$2,FECHA_BIT,"&lt;="&amp;BQ$3,CLAVE_BIT,$A334)+SUMIFS(SALIDAS_BOV1,FECHA_BOV1,"&gt;="&amp;BQ$2,FECHA_BOV1,"&lt;="&amp;BQ$3,CLAVE_BOV1,$A334)+SUMIFS(SALIDAS_BOV2,FECHA_BOV2,"&gt;="&amp;BQ$2,FECHA_BOV2,"&lt;="&amp;BQ$3,CLAVE_BOV2,$A334)+SUMIFS(SALIDAS_BOV3,FECHA_BOV3,"&gt;="&amp;BQ$2,FECHA_BOV3,"&lt;="&amp;BQ$3,CLAVE_BOV3,$A334)+SUMIFS(SALIDAS_TC,FECHA_TC,"&gt;="&amp;BQ$2,FECHA_TC,"&lt;="&amp;BQ$3,CLAVE_TC,$A334)+SUMIFS(SALIDAS_COMB,FECHA_COMB,"&gt;="&amp;BQ$2,FECHA_COMB,"&lt;="&amp;BQ$3,CLAVE_COMB,$A334)+SUMIFS(SALIDAS_DES,FECHA_DESGLOSEN,"&gt;="&amp;BQ$2,FECHA_DESGLOSEN,"&lt;="&amp;BQ$3,CLAVE_DESGLOSE,$A334)</f>
        <v>0</v>
      </c>
      <c r="BR334" s="162">
        <f>SUMIFS(SALIDAS_BIT,FECHA_BIT,"&gt;="&amp;BR$2,FECHA_BIT,"&lt;="&amp;BR$3,CLAVE_BIT,$A334)+SUMIFS(SALIDAS_BOV1,FECHA_BOV1,"&gt;="&amp;BR$2,FECHA_BOV1,"&lt;="&amp;BR$3,CLAVE_BOV1,$A334)+SUMIFS(SALIDAS_BOV2,FECHA_BOV2,"&gt;="&amp;BR$2,FECHA_BOV2,"&lt;="&amp;BR$3,CLAVE_BOV2,$A334)+SUMIFS(SALIDAS_BOV3,FECHA_BOV3,"&gt;="&amp;BR$2,FECHA_BOV3,"&lt;="&amp;BR$3,CLAVE_BOV3,$A334)+SUMIFS(SALIDAS_TC,FECHA_TC,"&gt;="&amp;BR$2,FECHA_TC,"&lt;="&amp;BR$3,CLAVE_TC,$A334)+SUMIFS(SALIDAS_COMB,FECHA_COMB,"&gt;="&amp;BR$2,FECHA_COMB,"&lt;="&amp;BR$3,CLAVE_COMB,$A334)+SUMIFS(SALIDAS_DES,FECHA_DESGLOSEN,"&gt;="&amp;BR$2,FECHA_DESGLOSEN,"&lt;="&amp;BR$3,CLAVE_DESGLOSE,$A334)</f>
        <v>0</v>
      </c>
      <c r="BS334" s="227">
        <f>BL334-BR334</f>
        <v>0</v>
      </c>
      <c r="BT334" s="301">
        <f>IFERROR((BR334/BL334),0)</f>
        <v>0</v>
      </c>
      <c r="BU334" s="162">
        <f>VLOOKUP($A334,T_PRESUPUESTO,MATCH(BU$6,E_PRESUPUESTO,0),FALSE)</f>
        <v>0</v>
      </c>
      <c r="BV334" s="162">
        <f>SUMIFS(SALIDAS_BIT,FECHA_BIT,"&gt;="&amp;BV$2,FECHA_BIT,"&lt;="&amp;BV$3,CLAVE_BIT,$A334)+SUMIFS(SALIDAS_BOV1,FECHA_BOV1,"&gt;="&amp;BV$2,FECHA_BOV1,"&lt;="&amp;BV$3,CLAVE_BOV1,$A334)+SUMIFS(SALIDAS_BOV2,FECHA_BOV2,"&gt;="&amp;BV$2,FECHA_BOV2,"&lt;="&amp;BV$3,CLAVE_BOV2,$A334)+SUMIFS(SALIDAS_BOV3,FECHA_BOV3,"&gt;="&amp;BV$2,FECHA_BOV3,"&lt;="&amp;BV$3,CLAVE_BOV3,$A334)+SUMIFS(SALIDAS_TC,FECHA_TC,"&gt;="&amp;BV$2,FECHA_TC,"&lt;="&amp;BV$3,CLAVE_TC,$A334)+SUMIFS(SALIDAS_COMB,FECHA_COMB,"&gt;="&amp;BV$2,FECHA_COMB,"&lt;="&amp;BV$3,CLAVE_COMB,$A334)+SUMIFS(SALIDAS_DES,FECHA_DESGLOSEN,"&gt;="&amp;BV$2,FECHA_DESGLOSEN,"&lt;="&amp;BV$3,CLAVE_DESGLOSE,$A334)</f>
        <v>0</v>
      </c>
      <c r="BW334" s="162">
        <f>SUMIFS(SALIDAS_BIT,FECHA_BIT,"&gt;="&amp;BW$2,FECHA_BIT,"&lt;="&amp;BW$3,CLAVE_BIT,$A334)+SUMIFS(SALIDAS_BOV1,FECHA_BOV1,"&gt;="&amp;BW$2,FECHA_BOV1,"&lt;="&amp;BW$3,CLAVE_BOV1,$A334)+SUMIFS(SALIDAS_BOV2,FECHA_BOV2,"&gt;="&amp;BW$2,FECHA_BOV2,"&lt;="&amp;BW$3,CLAVE_BOV2,$A334)+SUMIFS(SALIDAS_BOV3,FECHA_BOV3,"&gt;="&amp;BW$2,FECHA_BOV3,"&lt;="&amp;BW$3,CLAVE_BOV3,$A334)+SUMIFS(SALIDAS_TC,FECHA_TC,"&gt;="&amp;BW$2,FECHA_TC,"&lt;="&amp;BW$3,CLAVE_TC,$A334)+SUMIFS(SALIDAS_COMB,FECHA_COMB,"&gt;="&amp;BW$2,FECHA_COMB,"&lt;="&amp;BW$3,CLAVE_COMB,$A334)+SUMIFS(SALIDAS_DES,FECHA_DESGLOSEN,"&gt;="&amp;BW$2,FECHA_DESGLOSEN,"&lt;="&amp;BW$3,CLAVE_DESGLOSE,$A334)</f>
        <v>0</v>
      </c>
      <c r="BX334" s="162">
        <f>SUMIFS(SALIDAS_BIT,FECHA_BIT,"&gt;="&amp;BX$2,FECHA_BIT,"&lt;="&amp;BX$3,CLAVE_BIT,$A334)+SUMIFS(SALIDAS_BOV1,FECHA_BOV1,"&gt;="&amp;BX$2,FECHA_BOV1,"&lt;="&amp;BX$3,CLAVE_BOV1,$A334)+SUMIFS(SALIDAS_BOV2,FECHA_BOV2,"&gt;="&amp;BX$2,FECHA_BOV2,"&lt;="&amp;BX$3,CLAVE_BOV2,$A334)+SUMIFS(SALIDAS_BOV3,FECHA_BOV3,"&gt;="&amp;BX$2,FECHA_BOV3,"&lt;="&amp;BX$3,CLAVE_BOV3,$A334)+SUMIFS(SALIDAS_TC,FECHA_TC,"&gt;="&amp;BX$2,FECHA_TC,"&lt;="&amp;BX$3,CLAVE_TC,$A334)+SUMIFS(SALIDAS_COMB,FECHA_COMB,"&gt;="&amp;BX$2,FECHA_COMB,"&lt;="&amp;BX$3,CLAVE_COMB,$A334)+SUMIFS(SALIDAS_DES,FECHA_DESGLOSEN,"&gt;="&amp;BX$2,FECHA_DESGLOSEN,"&lt;="&amp;BX$3,CLAVE_DESGLOSE,$A334)</f>
        <v>300</v>
      </c>
      <c r="BY334" s="162">
        <f>SUMIFS(SALIDAS_BIT,FECHA_BIT,"&gt;="&amp;BY$2,FECHA_BIT,"&lt;="&amp;BY$3,CLAVE_BIT,$A334)+SUMIFS(SALIDAS_BOV1,FECHA_BOV1,"&gt;="&amp;BY$2,FECHA_BOV1,"&lt;="&amp;BY$3,CLAVE_BOV1,$A334)+SUMIFS(SALIDAS_BOV2,FECHA_BOV2,"&gt;="&amp;BY$2,FECHA_BOV2,"&lt;="&amp;BY$3,CLAVE_BOV2,$A334)+SUMIFS(SALIDAS_BOV3,FECHA_BOV3,"&gt;="&amp;BY$2,FECHA_BOV3,"&lt;="&amp;BY$3,CLAVE_BOV3,$A334)+SUMIFS(SALIDAS_TC,FECHA_TC,"&gt;="&amp;BY$2,FECHA_TC,"&lt;="&amp;BY$3,CLAVE_TC,$A334)+SUMIFS(SALIDAS_COMB,FECHA_COMB,"&gt;="&amp;BY$2,FECHA_COMB,"&lt;="&amp;BY$3,CLAVE_COMB,$A334)+SUMIFS(SALIDAS_DES,FECHA_DESGLOSEN,"&gt;="&amp;BY$2,FECHA_DESGLOSEN,"&lt;="&amp;BY$3,CLAVE_DESGLOSE,$A334)</f>
        <v>0</v>
      </c>
      <c r="BZ334" s="162">
        <f>SUMIFS(SALIDAS_BIT,FECHA_BIT,"&gt;="&amp;BZ$2,FECHA_BIT,"&lt;="&amp;BZ$3,CLAVE_BIT,$A334)+SUMIFS(SALIDAS_BOV1,FECHA_BOV1,"&gt;="&amp;BZ$2,FECHA_BOV1,"&lt;="&amp;BZ$3,CLAVE_BOV1,$A334)+SUMIFS(SALIDAS_BOV2,FECHA_BOV2,"&gt;="&amp;BZ$2,FECHA_BOV2,"&lt;="&amp;BZ$3,CLAVE_BOV2,$A334)+SUMIFS(SALIDAS_BOV3,FECHA_BOV3,"&gt;="&amp;BZ$2,FECHA_BOV3,"&lt;="&amp;BZ$3,CLAVE_BOV3,$A334)+SUMIFS(SALIDAS_TC,FECHA_TC,"&gt;="&amp;BZ$2,FECHA_TC,"&lt;="&amp;BZ$3,CLAVE_TC,$A334)+SUMIFS(SALIDAS_COMB,FECHA_COMB,"&gt;="&amp;BZ$2,FECHA_COMB,"&lt;="&amp;BZ$3,CLAVE_COMB,$A334)+SUMIFS(SALIDAS_DES,FECHA_DESGLOSEN,"&gt;="&amp;BZ$2,FECHA_DESGLOSEN,"&lt;="&amp;BZ$3,CLAVE_DESGLOSE,$A334)</f>
        <v>300</v>
      </c>
      <c r="CA334" s="227">
        <f>BU334-BZ334</f>
        <v>-300</v>
      </c>
      <c r="CB334" s="301">
        <f>IFERROR((BZ334/BU334),0)</f>
        <v>0</v>
      </c>
      <c r="CC334" s="162">
        <f>VLOOKUP($A334,T_PRESUPUESTO,MATCH(CC$6,E_PRESUPUESTO,0),FALSE)</f>
        <v>0</v>
      </c>
      <c r="CD334" s="162">
        <f>SUMIFS(SALIDAS_BIT,FECHA_BIT,"&gt;="&amp;CD$2,FECHA_BIT,"&lt;="&amp;CD$3,CLAVE_BIT,$A334)+SUMIFS(SALIDAS_BOV1,FECHA_BOV1,"&gt;="&amp;CD$2,FECHA_BOV1,"&lt;="&amp;CD$3,CLAVE_BOV1,$A334)+SUMIFS(SALIDAS_BOV2,FECHA_BOV2,"&gt;="&amp;CD$2,FECHA_BOV2,"&lt;="&amp;CD$3,CLAVE_BOV2,$A334)+SUMIFS(SALIDAS_BOV3,FECHA_BOV3,"&gt;="&amp;CD$2,FECHA_BOV3,"&lt;="&amp;CD$3,CLAVE_BOV3,$A334)+SUMIFS(SALIDAS_TC,FECHA_TC,"&gt;="&amp;CD$2,FECHA_TC,"&lt;="&amp;CD$3,CLAVE_TC,$A334)+SUMIFS(SALIDAS_COMB,FECHA_COMB,"&gt;="&amp;CD$2,FECHA_COMB,"&lt;="&amp;CD$3,CLAVE_COMB,$A334)+SUMIFS(SALIDAS_DES,FECHA_DESGLOSEN,"&gt;="&amp;CD$2,FECHA_DESGLOSEN,"&lt;="&amp;CD$3,CLAVE_DESGLOSE,$A334)</f>
        <v>0</v>
      </c>
      <c r="CE334" s="162">
        <f>SUMIFS(SALIDAS_BIT,FECHA_BIT,"&gt;="&amp;CE$2,FECHA_BIT,"&lt;="&amp;CE$3,CLAVE_BIT,$A334)+SUMIFS(SALIDAS_BOV1,FECHA_BOV1,"&gt;="&amp;CE$2,FECHA_BOV1,"&lt;="&amp;CE$3,CLAVE_BOV1,$A334)+SUMIFS(SALIDAS_BOV2,FECHA_BOV2,"&gt;="&amp;CE$2,FECHA_BOV2,"&lt;="&amp;CE$3,CLAVE_BOV2,$A334)+SUMIFS(SALIDAS_BOV3,FECHA_BOV3,"&gt;="&amp;CE$2,FECHA_BOV3,"&lt;="&amp;CE$3,CLAVE_BOV3,$A334)+SUMIFS(SALIDAS_TC,FECHA_TC,"&gt;="&amp;CE$2,FECHA_TC,"&lt;="&amp;CE$3,CLAVE_TC,$A334)+SUMIFS(SALIDAS_COMB,FECHA_COMB,"&gt;="&amp;CE$2,FECHA_COMB,"&lt;="&amp;CE$3,CLAVE_COMB,$A334)+SUMIFS(SALIDAS_DES,FECHA_DESGLOSEN,"&gt;="&amp;CE$2,FECHA_DESGLOSEN,"&lt;="&amp;CE$3,CLAVE_DESGLOSE,$A334)</f>
        <v>0</v>
      </c>
      <c r="CF334" s="162">
        <f>SUMIFS(SALIDAS_BIT,FECHA_BIT,"&gt;="&amp;CF$2,FECHA_BIT,"&lt;="&amp;CF$3,CLAVE_BIT,$A334)+SUMIFS(SALIDAS_BOV1,FECHA_BOV1,"&gt;="&amp;CF$2,FECHA_BOV1,"&lt;="&amp;CF$3,CLAVE_BOV1,$A334)+SUMIFS(SALIDAS_BOV2,FECHA_BOV2,"&gt;="&amp;CF$2,FECHA_BOV2,"&lt;="&amp;CF$3,CLAVE_BOV2,$A334)+SUMIFS(SALIDAS_BOV3,FECHA_BOV3,"&gt;="&amp;CF$2,FECHA_BOV3,"&lt;="&amp;CF$3,CLAVE_BOV3,$A334)+SUMIFS(SALIDAS_TC,FECHA_TC,"&gt;="&amp;CF$2,FECHA_TC,"&lt;="&amp;CF$3,CLAVE_TC,$A334)+SUMIFS(SALIDAS_COMB,FECHA_COMB,"&gt;="&amp;CF$2,FECHA_COMB,"&lt;="&amp;CF$3,CLAVE_COMB,$A334)+SUMIFS(SALIDAS_DES,FECHA_DESGLOSEN,"&gt;="&amp;CF$2,FECHA_DESGLOSEN,"&lt;="&amp;CF$3,CLAVE_DESGLOSE,$A334)</f>
        <v>0</v>
      </c>
      <c r="CG334" s="162">
        <f>SUMIFS(SALIDAS_BIT,FECHA_BIT,"&gt;="&amp;CG$2,FECHA_BIT,"&lt;="&amp;CG$3,CLAVE_BIT,$A334)+SUMIFS(SALIDAS_BOV1,FECHA_BOV1,"&gt;="&amp;CG$2,FECHA_BOV1,"&lt;="&amp;CG$3,CLAVE_BOV1,$A334)+SUMIFS(SALIDAS_BOV2,FECHA_BOV2,"&gt;="&amp;CG$2,FECHA_BOV2,"&lt;="&amp;CG$3,CLAVE_BOV2,$A334)+SUMIFS(SALIDAS_BOV3,FECHA_BOV3,"&gt;="&amp;CG$2,FECHA_BOV3,"&lt;="&amp;CG$3,CLAVE_BOV3,$A334)+SUMIFS(SALIDAS_TC,FECHA_TC,"&gt;="&amp;CG$2,FECHA_TC,"&lt;="&amp;CG$3,CLAVE_TC,$A334)+SUMIFS(SALIDAS_COMB,FECHA_COMB,"&gt;="&amp;CG$2,FECHA_COMB,"&lt;="&amp;CG$3,CLAVE_COMB,$A334)+SUMIFS(SALIDAS_DES,FECHA_DESGLOSEN,"&gt;="&amp;CG$2,FECHA_DESGLOSEN,"&lt;="&amp;CG$3,CLAVE_DESGLOSE,$A334)</f>
        <v>0</v>
      </c>
      <c r="CH334" s="162">
        <f>SUMIFS(SALIDAS_BIT,FECHA_BIT,"&gt;="&amp;CH$2,FECHA_BIT,"&lt;="&amp;CH$3,CLAVE_BIT,$A334)+SUMIFS(SALIDAS_BOV1,FECHA_BOV1,"&gt;="&amp;CH$2,FECHA_BOV1,"&lt;="&amp;CH$3,CLAVE_BOV1,$A334)+SUMIFS(SALIDAS_BOV2,FECHA_BOV2,"&gt;="&amp;CH$2,FECHA_BOV2,"&lt;="&amp;CH$3,CLAVE_BOV2,$A334)+SUMIFS(SALIDAS_BOV3,FECHA_BOV3,"&gt;="&amp;CH$2,FECHA_BOV3,"&lt;="&amp;CH$3,CLAVE_BOV3,$A334)+SUMIFS(SALIDAS_TC,FECHA_TC,"&gt;="&amp;CH$2,FECHA_TC,"&lt;="&amp;CH$3,CLAVE_TC,$A334)+SUMIFS(SALIDAS_COMB,FECHA_COMB,"&gt;="&amp;CH$2,FECHA_COMB,"&lt;="&amp;CH$3,CLAVE_COMB,$A334)+SUMIFS(SALIDAS_DES,FECHA_DESGLOSEN,"&gt;="&amp;CH$2,FECHA_DESGLOSEN,"&lt;="&amp;CH$3,CLAVE_DESGLOSE,$A334)</f>
        <v>0</v>
      </c>
      <c r="CI334" s="227">
        <f>CC334-CH334</f>
        <v>0</v>
      </c>
      <c r="CJ334" s="301">
        <f>IFERROR((CH334/CC334),0)</f>
        <v>0</v>
      </c>
      <c r="CK334" s="162">
        <f>VLOOKUP($A334,T_PRESUPUESTO,MATCH(CK$6,E_PRESUPUESTO,0),FALSE)</f>
        <v>0</v>
      </c>
      <c r="CL334" s="162">
        <f>SUMIFS(SALIDAS_BIT,FECHA_BIT,"&gt;="&amp;CL$2,FECHA_BIT,"&lt;="&amp;CL$3,CLAVE_BIT,$A334)+SUMIFS(SALIDAS_BOV1,FECHA_BOV1,"&gt;="&amp;CL$2,FECHA_BOV1,"&lt;="&amp;CL$3,CLAVE_BOV1,$A334)+SUMIFS(SALIDAS_BOV2,FECHA_BOV2,"&gt;="&amp;CL$2,FECHA_BOV2,"&lt;="&amp;CL$3,CLAVE_BOV2,$A334)+SUMIFS(SALIDAS_BOV3,FECHA_BOV3,"&gt;="&amp;CL$2,FECHA_BOV3,"&lt;="&amp;CL$3,CLAVE_BOV3,$A334)+SUMIFS(SALIDAS_TC,FECHA_TC,"&gt;="&amp;CL$2,FECHA_TC,"&lt;="&amp;CL$3,CLAVE_TC,$A334)+SUMIFS(SALIDAS_COMB,FECHA_COMB,"&gt;="&amp;CL$2,FECHA_COMB,"&lt;="&amp;CL$3,CLAVE_COMB,$A334)+SUMIFS(SALIDAS_DES,FECHA_DESGLOSEN,"&gt;="&amp;CL$2,FECHA_DESGLOSEN,"&lt;="&amp;CL$3,CLAVE_DESGLOSE,$A334)</f>
        <v>0</v>
      </c>
      <c r="CM334" s="162">
        <f>SUMIFS(SALIDAS_BIT,FECHA_BIT,"&gt;="&amp;CM$2,FECHA_BIT,"&lt;="&amp;CM$3,CLAVE_BIT,$A334)+SUMIFS(SALIDAS_BOV1,FECHA_BOV1,"&gt;="&amp;CM$2,FECHA_BOV1,"&lt;="&amp;CM$3,CLAVE_BOV1,$A334)+SUMIFS(SALIDAS_BOV2,FECHA_BOV2,"&gt;="&amp;CM$2,FECHA_BOV2,"&lt;="&amp;CM$3,CLAVE_BOV2,$A334)+SUMIFS(SALIDAS_BOV3,FECHA_BOV3,"&gt;="&amp;CM$2,FECHA_BOV3,"&lt;="&amp;CM$3,CLAVE_BOV3,$A334)+SUMIFS(SALIDAS_TC,FECHA_TC,"&gt;="&amp;CM$2,FECHA_TC,"&lt;="&amp;CM$3,CLAVE_TC,$A334)+SUMIFS(SALIDAS_COMB,FECHA_COMB,"&gt;="&amp;CM$2,FECHA_COMB,"&lt;="&amp;CM$3,CLAVE_COMB,$A334)+SUMIFS(SALIDAS_DES,FECHA_DESGLOSEN,"&gt;="&amp;CM$2,FECHA_DESGLOSEN,"&lt;="&amp;CM$3,CLAVE_DESGLOSE,$A334)</f>
        <v>0</v>
      </c>
      <c r="CN334" s="162">
        <f>SUMIFS(SALIDAS_BIT,FECHA_BIT,"&gt;="&amp;CN$2,FECHA_BIT,"&lt;="&amp;CN$3,CLAVE_BIT,$A334)+SUMIFS(SALIDAS_BOV1,FECHA_BOV1,"&gt;="&amp;CN$2,FECHA_BOV1,"&lt;="&amp;CN$3,CLAVE_BOV1,$A334)+SUMIFS(SALIDAS_BOV2,FECHA_BOV2,"&gt;="&amp;CN$2,FECHA_BOV2,"&lt;="&amp;CN$3,CLAVE_BOV2,$A334)+SUMIFS(SALIDAS_BOV3,FECHA_BOV3,"&gt;="&amp;CN$2,FECHA_BOV3,"&lt;="&amp;CN$3,CLAVE_BOV3,$A334)+SUMIFS(SALIDAS_TC,FECHA_TC,"&gt;="&amp;CN$2,FECHA_TC,"&lt;="&amp;CN$3,CLAVE_TC,$A334)+SUMIFS(SALIDAS_COMB,FECHA_COMB,"&gt;="&amp;CN$2,FECHA_COMB,"&lt;="&amp;CN$3,CLAVE_COMB,$A334)+SUMIFS(SALIDAS_DES,FECHA_DESGLOSEN,"&gt;="&amp;CN$2,FECHA_DESGLOSEN,"&lt;="&amp;CN$3,CLAVE_DESGLOSE,$A334)</f>
        <v>0</v>
      </c>
      <c r="CO334" s="162">
        <f>SUMIFS(SALIDAS_BIT,FECHA_BIT,"&gt;="&amp;CO$2,FECHA_BIT,"&lt;="&amp;CO$3,CLAVE_BIT,$A334)+SUMIFS(SALIDAS_BOV1,FECHA_BOV1,"&gt;="&amp;CO$2,FECHA_BOV1,"&lt;="&amp;CO$3,CLAVE_BOV1,$A334)+SUMIFS(SALIDAS_BOV2,FECHA_BOV2,"&gt;="&amp;CO$2,FECHA_BOV2,"&lt;="&amp;CO$3,CLAVE_BOV2,$A334)+SUMIFS(SALIDAS_BOV3,FECHA_BOV3,"&gt;="&amp;CO$2,FECHA_BOV3,"&lt;="&amp;CO$3,CLAVE_BOV3,$A334)+SUMIFS(SALIDAS_TC,FECHA_TC,"&gt;="&amp;CO$2,FECHA_TC,"&lt;="&amp;CO$3,CLAVE_TC,$A334)+SUMIFS(SALIDAS_COMB,FECHA_COMB,"&gt;="&amp;CO$2,FECHA_COMB,"&lt;="&amp;CO$3,CLAVE_COMB,$A334)+SUMIFS(SALIDAS_DES,FECHA_DESGLOSEN,"&gt;="&amp;CO$2,FECHA_DESGLOSEN,"&lt;="&amp;CO$3,CLAVE_DESGLOSE,$A334)</f>
        <v>0</v>
      </c>
      <c r="CP334" s="162">
        <f>SUMIFS(SALIDAS_BIT,FECHA_BIT,"&gt;="&amp;CP$2,FECHA_BIT,"&lt;="&amp;CP$3,CLAVE_BIT,$A334)+SUMIFS(SALIDAS_BOV1,FECHA_BOV1,"&gt;="&amp;CP$2,FECHA_BOV1,"&lt;="&amp;CP$3,CLAVE_BOV1,$A334)+SUMIFS(SALIDAS_BOV2,FECHA_BOV2,"&gt;="&amp;CP$2,FECHA_BOV2,"&lt;="&amp;CP$3,CLAVE_BOV2,$A334)+SUMIFS(SALIDAS_BOV3,FECHA_BOV3,"&gt;="&amp;CP$2,FECHA_BOV3,"&lt;="&amp;CP$3,CLAVE_BOV3,$A334)+SUMIFS(SALIDAS_TC,FECHA_TC,"&gt;="&amp;CP$2,FECHA_TC,"&lt;="&amp;CP$3,CLAVE_TC,$A334)+SUMIFS(SALIDAS_COMB,FECHA_COMB,"&gt;="&amp;CP$2,FECHA_COMB,"&lt;="&amp;CP$3,CLAVE_COMB,$A334)+SUMIFS(SALIDAS_DES,FECHA_DESGLOSEN,"&gt;="&amp;CP$2,FECHA_DESGLOSEN,"&lt;="&amp;CP$3,CLAVE_DESGLOSE,$A334)</f>
        <v>0</v>
      </c>
      <c r="CQ334" s="162">
        <f>SUMIFS(SALIDAS_BIT,FECHA_BIT,"&gt;="&amp;CQ$2,FECHA_BIT,"&lt;="&amp;CQ$3,CLAVE_BIT,$A334)+SUMIFS(SALIDAS_BOV1,FECHA_BOV1,"&gt;="&amp;CQ$2,FECHA_BOV1,"&lt;="&amp;CQ$3,CLAVE_BOV1,$A334)+SUMIFS(SALIDAS_BOV2,FECHA_BOV2,"&gt;="&amp;CQ$2,FECHA_BOV2,"&lt;="&amp;CQ$3,CLAVE_BOV2,$A334)+SUMIFS(SALIDAS_BOV3,FECHA_BOV3,"&gt;="&amp;CQ$2,FECHA_BOV3,"&lt;="&amp;CQ$3,CLAVE_BOV3,$A334)+SUMIFS(SALIDAS_TC,FECHA_TC,"&gt;="&amp;CQ$2,FECHA_TC,"&lt;="&amp;CQ$3,CLAVE_TC,$A334)+SUMIFS(SALIDAS_COMB,FECHA_COMB,"&gt;="&amp;CQ$2,FECHA_COMB,"&lt;="&amp;CQ$3,CLAVE_COMB,$A334)+SUMIFS(SALIDAS_DES,FECHA_DESGLOSEN,"&gt;="&amp;CQ$2,FECHA_DESGLOSEN,"&lt;="&amp;CQ$3,CLAVE_DESGLOSE,$A334)</f>
        <v>0</v>
      </c>
      <c r="CR334" s="227">
        <f>CK334-CQ334</f>
        <v>0</v>
      </c>
      <c r="CS334" s="301">
        <f>IFERROR((CQ334/CK334),0)</f>
        <v>0</v>
      </c>
      <c r="CT334" s="68">
        <f t="shared" si="712"/>
        <v>3000</v>
      </c>
      <c r="CU334" s="13">
        <f>SUMIFS(SALIDAS_BIT,FECHA_BIT,"&gt;="&amp;CU$2,FECHA_BIT,"&lt;="&amp;CU$3,CLAVE_BIT,$A334)+SUMIFS(SALIDAS_BOV1,FECHA_BOV1,"&gt;="&amp;CU$2,FECHA_BOV1,"&lt;="&amp;CU$3,CLAVE_BOV1,$A334)+SUMIFS(SALIDAS_BOV2,FECHA_BOV2,"&gt;="&amp;CU$2,FECHA_BOV2,"&lt;="&amp;CU$3,CLAVE_BOV2,$A334)+SUMIFS(SALIDAS_BOV3,FECHA_BOV3,"&gt;="&amp;CU$2,FECHA_BOV3,"&lt;="&amp;CU$3,CLAVE_BOV3,$A334)+SUMIFS(SALIDAS_TC,FECHA_TC,"&gt;="&amp;CU$2,FECHA_TC,"&lt;="&amp;CU$3,CLAVE_TC,$A334)+SUMIFS(SALIDAS_COMB,FECHA_COMB,"&gt;="&amp;CU$2,FECHA_COMB,"&lt;="&amp;CU$3,CLAVE_COMB,$A334)+SUMIFS(SALIDAS_DES,FECHA_DESGLOSEN,"&gt;="&amp;CU$2,FECHA_DESGLOSEN,"&lt;="&amp;CU$3,CLAVE_DESGLOSE,$A334)</f>
        <v>0</v>
      </c>
      <c r="CV334" s="13">
        <f>SUMIFS(SALIDAS_BIT,FECHA_BIT,"&gt;="&amp;CV$2,FECHA_BIT,"&lt;="&amp;CV$3,CLAVE_BIT,$A334)+SUMIFS(SALIDAS_BOV1,FECHA_BOV1,"&gt;="&amp;CV$2,FECHA_BOV1,"&lt;="&amp;CV$3,CLAVE_BOV1,$A334)+SUMIFS(SALIDAS_BOV2,FECHA_BOV2,"&gt;="&amp;CV$2,FECHA_BOV2,"&lt;="&amp;CV$3,CLAVE_BOV2,$A334)+SUMIFS(SALIDAS_BOV3,FECHA_BOV3,"&gt;="&amp;CV$2,FECHA_BOV3,"&lt;="&amp;CV$3,CLAVE_BOV3,$A334)+SUMIFS(SALIDAS_TC,FECHA_TC,"&gt;="&amp;CV$2,FECHA_TC,"&lt;="&amp;CV$3,CLAVE_TC,$A334)+SUMIFS(SALIDAS_COMB,FECHA_COMB,"&gt;="&amp;CV$2,FECHA_COMB,"&lt;="&amp;CV$3,CLAVE_COMB,$A334)+SUMIFS(SALIDAS_DES,FECHA_DESGLOSEN,"&gt;="&amp;CV$2,FECHA_DESGLOSEN,"&lt;="&amp;CV$3,CLAVE_DESGLOSE,$A334)</f>
        <v>0</v>
      </c>
      <c r="CW334" s="13">
        <f>SUMIFS(SALIDAS_BIT,FECHA_BIT,"&gt;="&amp;CW$2,FECHA_BIT,"&lt;="&amp;CW$3,CLAVE_BIT,$A334)+SUMIFS(SALIDAS_BOV1,FECHA_BOV1,"&gt;="&amp;CW$2,FECHA_BOV1,"&lt;="&amp;CW$3,CLAVE_BOV1,$A334)+SUMIFS(SALIDAS_BOV2,FECHA_BOV2,"&gt;="&amp;CW$2,FECHA_BOV2,"&lt;="&amp;CW$3,CLAVE_BOV2,$A334)+SUMIFS(SALIDAS_BOV3,FECHA_BOV3,"&gt;="&amp;CW$2,FECHA_BOV3,"&lt;="&amp;CW$3,CLAVE_BOV3,$A334)+SUMIFS(SALIDAS_TC,FECHA_TC,"&gt;="&amp;CW$2,FECHA_TC,"&lt;="&amp;CW$3,CLAVE_TC,$A334)+SUMIFS(SALIDAS_COMB,FECHA_COMB,"&gt;="&amp;CW$2,FECHA_COMB,"&lt;="&amp;CW$3,CLAVE_COMB,$A334)+SUMIFS(SALIDAS_DES,FECHA_DESGLOSEN,"&gt;="&amp;CW$2,FECHA_DESGLOSEN,"&lt;="&amp;CW$3,CLAVE_DESGLOSE,$A334)</f>
        <v>0</v>
      </c>
      <c r="CX334" s="13">
        <f>SUMIFS(SALIDAS_BIT,FECHA_BIT,"&gt;="&amp;CX$2,FECHA_BIT,"&lt;="&amp;CX$3,CLAVE_BIT,$A334)+SUMIFS(SALIDAS_BOV1,FECHA_BOV1,"&gt;="&amp;CX$2,FECHA_BOV1,"&lt;="&amp;CX$3,CLAVE_BOV1,$A334)+SUMIFS(SALIDAS_BOV2,FECHA_BOV2,"&gt;="&amp;CX$2,FECHA_BOV2,"&lt;="&amp;CX$3,CLAVE_BOV2,$A334)+SUMIFS(SALIDAS_BOV3,FECHA_BOV3,"&gt;="&amp;CX$2,FECHA_BOV3,"&lt;="&amp;CX$3,CLAVE_BOV3,$A334)+SUMIFS(SALIDAS_TC,FECHA_TC,"&gt;="&amp;CX$2,FECHA_TC,"&lt;="&amp;CX$3,CLAVE_TC,$A334)+SUMIFS(SALIDAS_COMB,FECHA_COMB,"&gt;="&amp;CX$2,FECHA_COMB,"&lt;="&amp;CX$3,CLAVE_COMB,$A334)+SUMIFS(SALIDAS_DES,FECHA_DESGLOSEN,"&gt;="&amp;CX$2,FECHA_DESGLOSEN,"&lt;="&amp;CX$3,CLAVE_DESGLOSE,$A334)</f>
        <v>0</v>
      </c>
      <c r="CY334" s="13">
        <f>SUMIFS(SALIDAS_BIT,FECHA_BIT,"&gt;="&amp;CY$2,FECHA_BIT,"&lt;="&amp;CY$3,CLAVE_BIT,$A334)+SUMIFS(SALIDAS_BOV1,FECHA_BOV1,"&gt;="&amp;CY$2,FECHA_BOV1,"&lt;="&amp;CY$3,CLAVE_BOV1,$A334)+SUMIFS(SALIDAS_BOV2,FECHA_BOV2,"&gt;="&amp;CY$2,FECHA_BOV2,"&lt;="&amp;CY$3,CLAVE_BOV2,$A334)+SUMIFS(SALIDAS_BOV3,FECHA_BOV3,"&gt;="&amp;CY$2,FECHA_BOV3,"&lt;="&amp;CY$3,CLAVE_BOV3,$A334)+SUMIFS(SALIDAS_TC,FECHA_TC,"&gt;="&amp;CY$2,FECHA_TC,"&lt;="&amp;CY$3,CLAVE_TC,$A334)+SUMIFS(SALIDAS_COMB,FECHA_COMB,"&gt;="&amp;CY$2,FECHA_COMB,"&lt;="&amp;CY$3,CLAVE_COMB,$A334)+SUMIFS(SALIDAS_DES,FECHA_DESGLOSEN,"&gt;="&amp;CY$2,FECHA_DESGLOSEN,"&lt;="&amp;CY$3,CLAVE_DESGLOSE,$A334)</f>
        <v>0</v>
      </c>
      <c r="CZ334" s="68">
        <f t="shared" si="713"/>
        <v>3000</v>
      </c>
      <c r="DB334" s="17">
        <f>F334+N334+W334+AE334+AM334+AV334+BD334+BL334+BU334+CC334+CK334</f>
        <v>0</v>
      </c>
      <c r="DC334" s="17">
        <f>K334+T334+AB334+AJ334+AS334+BA334+BI334+BR334+BZ334+CH334+CQ334</f>
        <v>300</v>
      </c>
    </row>
    <row r="335" spans="1:107" ht="15" hidden="1">
      <c r="A335" s="12" t="str">
        <f>C335&amp;D335&amp;E335</f>
        <v>CAPENERGIA ELECTRICAE10</v>
      </c>
      <c r="B335">
        <v>335</v>
      </c>
      <c r="C335" t="s">
        <v>31</v>
      </c>
      <c r="D335" s="12" t="s">
        <v>87</v>
      </c>
      <c r="E335" t="s">
        <v>117</v>
      </c>
      <c r="F335" s="260">
        <f>VLOOKUP($A335,T_PRESUPUESTO,MATCH(F$6,E_PRESUPUESTO,0),FALSE)</f>
        <v>0</v>
      </c>
      <c r="G335" s="162">
        <f>SUMIFS(SALIDAS_BIT,FECHA_BIT,"&gt;="&amp;G$2,FECHA_BIT,"&lt;="&amp;G$3,CLAVE_BIT,$A335)+SUMIFS(SALIDAS_BOV1,FECHA_BOV1,"&gt;="&amp;G$2,FECHA_BOV1,"&lt;="&amp;G$3,CLAVE_BOV1,$A335)+SUMIFS(SALIDAS_BOV2,FECHA_BOV2,"&gt;="&amp;G$2,FECHA_BOV2,"&lt;="&amp;G$3,CLAVE_BOV2,$A335)+SUMIFS(SALIDAS_BOV3,FECHA_BOV3,"&gt;="&amp;G$2,FECHA_BOV3,"&lt;="&amp;G$3,CLAVE_BOV3,$A335)+SUMIFS(SALIDAS_TC,FECHA_TC,"&gt;="&amp;G$2,FECHA_TC,"&lt;="&amp;G$3,CLAVE_TC,$A335)+SUMIFS(SALIDAS_COMB,FECHA_COMB,"&gt;="&amp;G$2,FECHA_COMB,"&lt;="&amp;G$3,CLAVE_COMB,$A335)+SUMIFS(SALIDAS_DES,FECHA_DESGLOSEN,"&gt;="&amp;G$2,FECHA_DESGLOSEN,"&lt;="&amp;G$3,CLAVE_DESGLOSE,$A335)</f>
        <v>0</v>
      </c>
      <c r="H335" s="162">
        <f>SUMIFS(SALIDAS_BIT,FECHA_BIT,"&gt;="&amp;H$2,FECHA_BIT,"&lt;="&amp;H$3,CLAVE_BIT,$A335)+SUMIFS(SALIDAS_BOV1,FECHA_BOV1,"&gt;="&amp;H$2,FECHA_BOV1,"&lt;="&amp;H$3,CLAVE_BOV1,$A335)+SUMIFS(SALIDAS_BOV2,FECHA_BOV2,"&gt;="&amp;H$2,FECHA_BOV2,"&lt;="&amp;H$3,CLAVE_BOV2,$A335)+SUMIFS(SALIDAS_BOV3,FECHA_BOV3,"&gt;="&amp;H$2,FECHA_BOV3,"&lt;="&amp;H$3,CLAVE_BOV3,$A335)+SUMIFS(SALIDAS_TC,FECHA_TC,"&gt;="&amp;H$2,FECHA_TC,"&lt;="&amp;H$3,CLAVE_TC,$A335)+SUMIFS(SALIDAS_COMB,FECHA_COMB,"&gt;="&amp;H$2,FECHA_COMB,"&lt;="&amp;H$3,CLAVE_COMB,$A335)+SUMIFS(SALIDAS_DES,FECHA_DESGLOSEN,"&gt;="&amp;H$2,FECHA_DESGLOSEN,"&lt;="&amp;H$3,CLAVE_DESGLOSE,$A335)</f>
        <v>0</v>
      </c>
      <c r="I335" s="162">
        <f>SUMIFS(SALIDAS_BIT,FECHA_BIT,"&gt;="&amp;I$2,FECHA_BIT,"&lt;="&amp;I$3,CLAVE_BIT,$A335)+SUMIFS(SALIDAS_BOV1,FECHA_BOV1,"&gt;="&amp;I$2,FECHA_BOV1,"&lt;="&amp;I$3,CLAVE_BOV1,$A335)+SUMIFS(SALIDAS_BOV2,FECHA_BOV2,"&gt;="&amp;I$2,FECHA_BOV2,"&lt;="&amp;I$3,CLAVE_BOV2,$A335)+SUMIFS(SALIDAS_BOV3,FECHA_BOV3,"&gt;="&amp;I$2,FECHA_BOV3,"&lt;="&amp;I$3,CLAVE_BOV3,$A335)+SUMIFS(SALIDAS_TC,FECHA_TC,"&gt;="&amp;I$2,FECHA_TC,"&lt;="&amp;I$3,CLAVE_TC,$A335)+SUMIFS(SALIDAS_COMB,FECHA_COMB,"&gt;="&amp;I$2,FECHA_COMB,"&lt;="&amp;I$3,CLAVE_COMB,$A335)+SUMIFS(SALIDAS_DES,FECHA_DESGLOSEN,"&gt;="&amp;I$2,FECHA_DESGLOSEN,"&lt;="&amp;I$3,CLAVE_DESGLOSE,$A335)</f>
        <v>0</v>
      </c>
      <c r="J335" s="162">
        <f>SUMIFS(SALIDAS_BIT,FECHA_BIT,"&gt;="&amp;J$2,FECHA_BIT,"&lt;="&amp;J$3,CLAVE_BIT,$A335)+SUMIFS(SALIDAS_BOV1,FECHA_BOV1,"&gt;="&amp;J$2,FECHA_BOV1,"&lt;="&amp;J$3,CLAVE_BOV1,$A335)+SUMIFS(SALIDAS_BOV2,FECHA_BOV2,"&gt;="&amp;J$2,FECHA_BOV2,"&lt;="&amp;J$3,CLAVE_BOV2,$A335)+SUMIFS(SALIDAS_BOV3,FECHA_BOV3,"&gt;="&amp;J$2,FECHA_BOV3,"&lt;="&amp;J$3,CLAVE_BOV3,$A335)+SUMIFS(SALIDAS_TC,FECHA_TC,"&gt;="&amp;J$2,FECHA_TC,"&lt;="&amp;J$3,CLAVE_TC,$A335)+SUMIFS(SALIDAS_COMB,FECHA_COMB,"&gt;="&amp;J$2,FECHA_COMB,"&lt;="&amp;J$3,CLAVE_COMB,$A335)+SUMIFS(SALIDAS_DES,FECHA_DESGLOSEN,"&gt;="&amp;J$2,FECHA_DESGLOSEN,"&lt;="&amp;J$3,CLAVE_DESGLOSE,$A335)</f>
        <v>0</v>
      </c>
      <c r="K335" s="162">
        <f>SUMIFS(SALIDAS_BIT,FECHA_BIT,"&gt;="&amp;K$2,FECHA_BIT,"&lt;="&amp;K$3,CLAVE_BIT,$A335)+SUMIFS(SALIDAS_BOV1,FECHA_BOV1,"&gt;="&amp;K$2,FECHA_BOV1,"&lt;="&amp;K$3,CLAVE_BOV1,$A335)+SUMIFS(SALIDAS_BOV2,FECHA_BOV2,"&gt;="&amp;K$2,FECHA_BOV2,"&lt;="&amp;K$3,CLAVE_BOV2,$A335)+SUMIFS(SALIDAS_BOV3,FECHA_BOV3,"&gt;="&amp;K$2,FECHA_BOV3,"&lt;="&amp;K$3,CLAVE_BOV3,$A335)+SUMIFS(SALIDAS_TC,FECHA_TC,"&gt;="&amp;K$2,FECHA_TC,"&lt;="&amp;K$3,CLAVE_TC,$A335)+SUMIFS(SALIDAS_COMB,FECHA_COMB,"&gt;="&amp;K$2,FECHA_COMB,"&lt;="&amp;K$3,CLAVE_COMB,$A335)+SUMIFS(SALIDAS_DES,FECHA_DESGLOSEN,"&gt;="&amp;K$2,FECHA_DESGLOSEN,"&lt;="&amp;K$3,CLAVE_DESGLOSE,$A335)</f>
        <v>0</v>
      </c>
      <c r="L335" s="227">
        <f>F335-K335</f>
        <v>0</v>
      </c>
      <c r="M335" s="301">
        <f>IFERROR((K335/F335),0)</f>
        <v>0</v>
      </c>
      <c r="N335" s="162">
        <f>VLOOKUP($A335,T_PRESUPUESTO,MATCH(N$6,E_PRESUPUESTO,0),FALSE)</f>
        <v>0</v>
      </c>
      <c r="O335" s="162">
        <f>SUMIFS(SALIDAS_BIT,FECHA_BIT,"&gt;="&amp;O$2,FECHA_BIT,"&lt;="&amp;O$3,CLAVE_BIT,$A335)+SUMIFS(SALIDAS_BOV1,FECHA_BOV1,"&gt;="&amp;O$2,FECHA_BOV1,"&lt;="&amp;O$3,CLAVE_BOV1,$A335)+SUMIFS(SALIDAS_BOV2,FECHA_BOV2,"&gt;="&amp;O$2,FECHA_BOV2,"&lt;="&amp;O$3,CLAVE_BOV2,$A335)+SUMIFS(SALIDAS_BOV3,FECHA_BOV3,"&gt;="&amp;O$2,FECHA_BOV3,"&lt;="&amp;O$3,CLAVE_BOV3,$A335)+SUMIFS(SALIDAS_TC,FECHA_TC,"&gt;="&amp;O$2,FECHA_TC,"&lt;="&amp;O$3,CLAVE_TC,$A335)+SUMIFS(SALIDAS_COMB,FECHA_COMB,"&gt;="&amp;O$2,FECHA_COMB,"&lt;="&amp;O$3,CLAVE_COMB,$A335)+SUMIFS(SALIDAS_DES,FECHA_DESGLOSEN,"&gt;="&amp;O$2,FECHA_DESGLOSEN,"&lt;="&amp;O$3,CLAVE_DESGLOSE,$A335)</f>
        <v>0</v>
      </c>
      <c r="P335" s="162">
        <f>SUMIFS(SALIDAS_BIT,FECHA_BIT,"&gt;="&amp;P$2,FECHA_BIT,"&lt;="&amp;P$3,CLAVE_BIT,$A335)+SUMIFS(SALIDAS_BOV1,FECHA_BOV1,"&gt;="&amp;P$2,FECHA_BOV1,"&lt;="&amp;P$3,CLAVE_BOV1,$A335)+SUMIFS(SALIDAS_BOV2,FECHA_BOV2,"&gt;="&amp;P$2,FECHA_BOV2,"&lt;="&amp;P$3,CLAVE_BOV2,$A335)+SUMIFS(SALIDAS_BOV3,FECHA_BOV3,"&gt;="&amp;P$2,FECHA_BOV3,"&lt;="&amp;P$3,CLAVE_BOV3,$A335)+SUMIFS(SALIDAS_TC,FECHA_TC,"&gt;="&amp;P$2,FECHA_TC,"&lt;="&amp;P$3,CLAVE_TC,$A335)+SUMIFS(SALIDAS_COMB,FECHA_COMB,"&gt;="&amp;P$2,FECHA_COMB,"&lt;="&amp;P$3,CLAVE_COMB,$A335)+SUMIFS(SALIDAS_DES,FECHA_DESGLOSEN,"&gt;="&amp;P$2,FECHA_DESGLOSEN,"&lt;="&amp;P$3,CLAVE_DESGLOSE,$A335)</f>
        <v>0</v>
      </c>
      <c r="Q335" s="162">
        <f>SUMIFS(SALIDAS_BIT,FECHA_BIT,"&gt;="&amp;Q$2,FECHA_BIT,"&lt;="&amp;Q$3,CLAVE_BIT,$A335)+SUMIFS(SALIDAS_BOV1,FECHA_BOV1,"&gt;="&amp;Q$2,FECHA_BOV1,"&lt;="&amp;Q$3,CLAVE_BOV1,$A335)+SUMIFS(SALIDAS_BOV2,FECHA_BOV2,"&gt;="&amp;Q$2,FECHA_BOV2,"&lt;="&amp;Q$3,CLAVE_BOV2,$A335)+SUMIFS(SALIDAS_BOV3,FECHA_BOV3,"&gt;="&amp;Q$2,FECHA_BOV3,"&lt;="&amp;Q$3,CLAVE_BOV3,$A335)+SUMIFS(SALIDAS_TC,FECHA_TC,"&gt;="&amp;Q$2,FECHA_TC,"&lt;="&amp;Q$3,CLAVE_TC,$A335)+SUMIFS(SALIDAS_COMB,FECHA_COMB,"&gt;="&amp;Q$2,FECHA_COMB,"&lt;="&amp;Q$3,CLAVE_COMB,$A335)+SUMIFS(SALIDAS_DES,FECHA_DESGLOSEN,"&gt;="&amp;Q$2,FECHA_DESGLOSEN,"&lt;="&amp;Q$3,CLAVE_DESGLOSE,$A335)</f>
        <v>0</v>
      </c>
      <c r="R335" s="162">
        <f>SUMIFS(SALIDAS_BIT,FECHA_BIT,"&gt;="&amp;R$2,FECHA_BIT,"&lt;="&amp;R$3,CLAVE_BIT,$A335)+SUMIFS(SALIDAS_BOV1,FECHA_BOV1,"&gt;="&amp;R$2,FECHA_BOV1,"&lt;="&amp;R$3,CLAVE_BOV1,$A335)+SUMIFS(SALIDAS_BOV2,FECHA_BOV2,"&gt;="&amp;R$2,FECHA_BOV2,"&lt;="&amp;R$3,CLAVE_BOV2,$A335)+SUMIFS(SALIDAS_BOV3,FECHA_BOV3,"&gt;="&amp;R$2,FECHA_BOV3,"&lt;="&amp;R$3,CLAVE_BOV3,$A335)+SUMIFS(SALIDAS_TC,FECHA_TC,"&gt;="&amp;R$2,FECHA_TC,"&lt;="&amp;R$3,CLAVE_TC,$A335)+SUMIFS(SALIDAS_COMB,FECHA_COMB,"&gt;="&amp;R$2,FECHA_COMB,"&lt;="&amp;R$3,CLAVE_COMB,$A335)+SUMIFS(SALIDAS_DES,FECHA_DESGLOSEN,"&gt;="&amp;R$2,FECHA_DESGLOSEN,"&lt;="&amp;R$3,CLAVE_DESGLOSE,$A335)</f>
        <v>0</v>
      </c>
      <c r="S335" s="162">
        <f>SUMIFS(SALIDAS_BIT,FECHA_BIT,"&gt;="&amp;S$2,FECHA_BIT,"&lt;="&amp;S$3,CLAVE_BIT,$A335)+SUMIFS(SALIDAS_BOV1,FECHA_BOV1,"&gt;="&amp;S$2,FECHA_BOV1,"&lt;="&amp;S$3,CLAVE_BOV1,$A335)+SUMIFS(SALIDAS_BOV2,FECHA_BOV2,"&gt;="&amp;S$2,FECHA_BOV2,"&lt;="&amp;S$3,CLAVE_BOV2,$A335)+SUMIFS(SALIDAS_BOV3,FECHA_BOV3,"&gt;="&amp;S$2,FECHA_BOV3,"&lt;="&amp;S$3,CLAVE_BOV3,$A335)+SUMIFS(SALIDAS_TC,FECHA_TC,"&gt;="&amp;S$2,FECHA_TC,"&lt;="&amp;S$3,CLAVE_TC,$A335)+SUMIFS(SALIDAS_COMB,FECHA_COMB,"&gt;="&amp;S$2,FECHA_COMB,"&lt;="&amp;S$3,CLAVE_COMB,$A335)+SUMIFS(SALIDAS_DES,FECHA_DESGLOSEN,"&gt;="&amp;S$2,FECHA_DESGLOSEN,"&lt;="&amp;S$3,CLAVE_DESGLOSE,$A335)</f>
        <v>0</v>
      </c>
      <c r="T335" s="162">
        <f>SUMIFS(SALIDAS_BIT,FECHA_BIT,"&gt;="&amp;T$2,FECHA_BIT,"&lt;="&amp;T$3,CLAVE_BIT,$A335)+SUMIFS(SALIDAS_BOV1,FECHA_BOV1,"&gt;="&amp;T$2,FECHA_BOV1,"&lt;="&amp;T$3,CLAVE_BOV1,$A335)+SUMIFS(SALIDAS_BOV2,FECHA_BOV2,"&gt;="&amp;T$2,FECHA_BOV2,"&lt;="&amp;T$3,CLAVE_BOV2,$A335)+SUMIFS(SALIDAS_BOV3,FECHA_BOV3,"&gt;="&amp;T$2,FECHA_BOV3,"&lt;="&amp;T$3,CLAVE_BOV3,$A335)+SUMIFS(SALIDAS_TC,FECHA_TC,"&gt;="&amp;T$2,FECHA_TC,"&lt;="&amp;T$3,CLAVE_TC,$A335)+SUMIFS(SALIDAS_COMB,FECHA_COMB,"&gt;="&amp;T$2,FECHA_COMB,"&lt;="&amp;T$3,CLAVE_COMB,$A335)+SUMIFS(SALIDAS_DES,FECHA_DESGLOSEN,"&gt;="&amp;T$2,FECHA_DESGLOSEN,"&lt;="&amp;T$3,CLAVE_DESGLOSE,$A335)</f>
        <v>0</v>
      </c>
      <c r="U335" s="227">
        <f>N335-T335</f>
        <v>0</v>
      </c>
      <c r="V335" s="301">
        <f>IFERROR((T335/N335),0)</f>
        <v>0</v>
      </c>
      <c r="W335" s="162">
        <f>VLOOKUP($A335,T_PRESUPUESTO,MATCH(W$6,E_PRESUPUESTO,0),FALSE)</f>
        <v>0</v>
      </c>
      <c r="X335" s="162">
        <f>SUMIFS(SALIDAS_BIT,FECHA_BIT,"&gt;="&amp;X$2,FECHA_BIT,"&lt;="&amp;X$3,CLAVE_BIT,$A335)+SUMIFS(SALIDAS_BOV1,FECHA_BOV1,"&gt;="&amp;X$2,FECHA_BOV1,"&lt;="&amp;X$3,CLAVE_BOV1,$A335)+SUMIFS(SALIDAS_BOV2,FECHA_BOV2,"&gt;="&amp;X$2,FECHA_BOV2,"&lt;="&amp;X$3,CLAVE_BOV2,$A335)+SUMIFS(SALIDAS_BOV3,FECHA_BOV3,"&gt;="&amp;X$2,FECHA_BOV3,"&lt;="&amp;X$3,CLAVE_BOV3,$A335)+SUMIFS(SALIDAS_TC,FECHA_TC,"&gt;="&amp;X$2,FECHA_TC,"&lt;="&amp;X$3,CLAVE_TC,$A335)+SUMIFS(SALIDAS_COMB,FECHA_COMB,"&gt;="&amp;X$2,FECHA_COMB,"&lt;="&amp;X$3,CLAVE_COMB,$A335)+SUMIFS(SALIDAS_DES,FECHA_DESGLOSEN,"&gt;="&amp;X$2,FECHA_DESGLOSEN,"&lt;="&amp;X$3,CLAVE_DESGLOSE,$A335)</f>
        <v>0</v>
      </c>
      <c r="Y335" s="162">
        <f>SUMIFS(SALIDAS_BIT,FECHA_BIT,"&gt;="&amp;Y$2,FECHA_BIT,"&lt;="&amp;Y$3,CLAVE_BIT,$A335)+SUMIFS(SALIDAS_BOV1,FECHA_BOV1,"&gt;="&amp;Y$2,FECHA_BOV1,"&lt;="&amp;Y$3,CLAVE_BOV1,$A335)+SUMIFS(SALIDAS_BOV2,FECHA_BOV2,"&gt;="&amp;Y$2,FECHA_BOV2,"&lt;="&amp;Y$3,CLAVE_BOV2,$A335)+SUMIFS(SALIDAS_BOV3,FECHA_BOV3,"&gt;="&amp;Y$2,FECHA_BOV3,"&lt;="&amp;Y$3,CLAVE_BOV3,$A335)+SUMIFS(SALIDAS_TC,FECHA_TC,"&gt;="&amp;Y$2,FECHA_TC,"&lt;="&amp;Y$3,CLAVE_TC,$A335)+SUMIFS(SALIDAS_COMB,FECHA_COMB,"&gt;="&amp;Y$2,FECHA_COMB,"&lt;="&amp;Y$3,CLAVE_COMB,$A335)+SUMIFS(SALIDAS_DES,FECHA_DESGLOSEN,"&gt;="&amp;Y$2,FECHA_DESGLOSEN,"&lt;="&amp;Y$3,CLAVE_DESGLOSE,$A335)</f>
        <v>0</v>
      </c>
      <c r="Z335" s="162">
        <f>SUMIFS(SALIDAS_BIT,FECHA_BIT,"&gt;="&amp;Z$2,FECHA_BIT,"&lt;="&amp;Z$3,CLAVE_BIT,$A335)+SUMIFS(SALIDAS_BOV1,FECHA_BOV1,"&gt;="&amp;Z$2,FECHA_BOV1,"&lt;="&amp;Z$3,CLAVE_BOV1,$A335)+SUMIFS(SALIDAS_BOV2,FECHA_BOV2,"&gt;="&amp;Z$2,FECHA_BOV2,"&lt;="&amp;Z$3,CLAVE_BOV2,$A335)+SUMIFS(SALIDAS_BOV3,FECHA_BOV3,"&gt;="&amp;Z$2,FECHA_BOV3,"&lt;="&amp;Z$3,CLAVE_BOV3,$A335)+SUMIFS(SALIDAS_TC,FECHA_TC,"&gt;="&amp;Z$2,FECHA_TC,"&lt;="&amp;Z$3,CLAVE_TC,$A335)+SUMIFS(SALIDAS_COMB,FECHA_COMB,"&gt;="&amp;Z$2,FECHA_COMB,"&lt;="&amp;Z$3,CLAVE_COMB,$A335)+SUMIFS(SALIDAS_DES,FECHA_DESGLOSEN,"&gt;="&amp;Z$2,FECHA_DESGLOSEN,"&lt;="&amp;Z$3,CLAVE_DESGLOSE,$A335)</f>
        <v>0</v>
      </c>
      <c r="AA335" s="162">
        <f>SUMIFS(SALIDAS_BIT,FECHA_BIT,"&gt;="&amp;AA$2,FECHA_BIT,"&lt;="&amp;AA$3,CLAVE_BIT,$A335)+SUMIFS(SALIDAS_BOV1,FECHA_BOV1,"&gt;="&amp;AA$2,FECHA_BOV1,"&lt;="&amp;AA$3,CLAVE_BOV1,$A335)+SUMIFS(SALIDAS_BOV2,FECHA_BOV2,"&gt;="&amp;AA$2,FECHA_BOV2,"&lt;="&amp;AA$3,CLAVE_BOV2,$A335)+SUMIFS(SALIDAS_BOV3,FECHA_BOV3,"&gt;="&amp;AA$2,FECHA_BOV3,"&lt;="&amp;AA$3,CLAVE_BOV3,$A335)+SUMIFS(SALIDAS_TC,FECHA_TC,"&gt;="&amp;AA$2,FECHA_TC,"&lt;="&amp;AA$3,CLAVE_TC,$A335)+SUMIFS(SALIDAS_COMB,FECHA_COMB,"&gt;="&amp;AA$2,FECHA_COMB,"&lt;="&amp;AA$3,CLAVE_COMB,$A335)+SUMIFS(SALIDAS_DES,FECHA_DESGLOSEN,"&gt;="&amp;AA$2,FECHA_DESGLOSEN,"&lt;="&amp;AA$3,CLAVE_DESGLOSE,$A335)</f>
        <v>0</v>
      </c>
      <c r="AB335" s="162">
        <f>SUMIFS(SALIDAS_BIT,FECHA_BIT,"&gt;="&amp;AB$2,FECHA_BIT,"&lt;="&amp;AB$3,CLAVE_BIT,$A335)+SUMIFS(SALIDAS_BOV1,FECHA_BOV1,"&gt;="&amp;AB$2,FECHA_BOV1,"&lt;="&amp;AB$3,CLAVE_BOV1,$A335)+SUMIFS(SALIDAS_BOV2,FECHA_BOV2,"&gt;="&amp;AB$2,FECHA_BOV2,"&lt;="&amp;AB$3,CLAVE_BOV2,$A335)+SUMIFS(SALIDAS_BOV3,FECHA_BOV3,"&gt;="&amp;AB$2,FECHA_BOV3,"&lt;="&amp;AB$3,CLAVE_BOV3,$A335)+SUMIFS(SALIDAS_TC,FECHA_TC,"&gt;="&amp;AB$2,FECHA_TC,"&lt;="&amp;AB$3,CLAVE_TC,$A335)+SUMIFS(SALIDAS_COMB,FECHA_COMB,"&gt;="&amp;AB$2,FECHA_COMB,"&lt;="&amp;AB$3,CLAVE_COMB,$A335)+SUMIFS(SALIDAS_DES,FECHA_DESGLOSEN,"&gt;="&amp;AB$2,FECHA_DESGLOSEN,"&lt;="&amp;AB$3,CLAVE_DESGLOSE,$A335)</f>
        <v>0</v>
      </c>
      <c r="AC335" s="227">
        <f>W335-AB335</f>
        <v>0</v>
      </c>
      <c r="AD335" s="301">
        <f>IFERROR((AB335/W335),0)</f>
        <v>0</v>
      </c>
      <c r="AE335" s="162">
        <f>VLOOKUP($A335,T_PRESUPUESTO,MATCH(AE$6,E_PRESUPUESTO,0),FALSE)</f>
        <v>0</v>
      </c>
      <c r="AF335" s="162">
        <f>SUMIFS(SALIDAS_BIT,FECHA_BIT,"&gt;="&amp;AF$2,FECHA_BIT,"&lt;="&amp;AF$3,CLAVE_BIT,$A335)+SUMIFS(SALIDAS_BOV1,FECHA_BOV1,"&gt;="&amp;AF$2,FECHA_BOV1,"&lt;="&amp;AF$3,CLAVE_BOV1,$A335)+SUMIFS(SALIDAS_BOV2,FECHA_BOV2,"&gt;="&amp;AF$2,FECHA_BOV2,"&lt;="&amp;AF$3,CLAVE_BOV2,$A335)+SUMIFS(SALIDAS_BOV3,FECHA_BOV3,"&gt;="&amp;AF$2,FECHA_BOV3,"&lt;="&amp;AF$3,CLAVE_BOV3,$A335)+SUMIFS(SALIDAS_TC,FECHA_TC,"&gt;="&amp;AF$2,FECHA_TC,"&lt;="&amp;AF$3,CLAVE_TC,$A335)+SUMIFS(SALIDAS_COMB,FECHA_COMB,"&gt;="&amp;AF$2,FECHA_COMB,"&lt;="&amp;AF$3,CLAVE_COMB,$A335)+SUMIFS(SALIDAS_DES,FECHA_DESGLOSEN,"&gt;="&amp;AF$2,FECHA_DESGLOSEN,"&lt;="&amp;AF$3,CLAVE_DESGLOSE,$A335)</f>
        <v>0</v>
      </c>
      <c r="AG335" s="162">
        <f>SUMIFS(SALIDAS_BIT,FECHA_BIT,"&gt;="&amp;AG$2,FECHA_BIT,"&lt;="&amp;AG$3,CLAVE_BIT,$A335)+SUMIFS(SALIDAS_BOV1,FECHA_BOV1,"&gt;="&amp;AG$2,FECHA_BOV1,"&lt;="&amp;AG$3,CLAVE_BOV1,$A335)+SUMIFS(SALIDAS_BOV2,FECHA_BOV2,"&gt;="&amp;AG$2,FECHA_BOV2,"&lt;="&amp;AG$3,CLAVE_BOV2,$A335)+SUMIFS(SALIDAS_BOV3,FECHA_BOV3,"&gt;="&amp;AG$2,FECHA_BOV3,"&lt;="&amp;AG$3,CLAVE_BOV3,$A335)+SUMIFS(SALIDAS_TC,FECHA_TC,"&gt;="&amp;AG$2,FECHA_TC,"&lt;="&amp;AG$3,CLAVE_TC,$A335)+SUMIFS(SALIDAS_COMB,FECHA_COMB,"&gt;="&amp;AG$2,FECHA_COMB,"&lt;="&amp;AG$3,CLAVE_COMB,$A335)+SUMIFS(SALIDAS_DES,FECHA_DESGLOSEN,"&gt;="&amp;AG$2,FECHA_DESGLOSEN,"&lt;="&amp;AG$3,CLAVE_DESGLOSE,$A335)</f>
        <v>0</v>
      </c>
      <c r="AH335" s="162">
        <f>SUMIFS(SALIDAS_BIT,FECHA_BIT,"&gt;="&amp;AH$2,FECHA_BIT,"&lt;="&amp;AH$3,CLAVE_BIT,$A335)+SUMIFS(SALIDAS_BOV1,FECHA_BOV1,"&gt;="&amp;AH$2,FECHA_BOV1,"&lt;="&amp;AH$3,CLAVE_BOV1,$A335)+SUMIFS(SALIDAS_BOV2,FECHA_BOV2,"&gt;="&amp;AH$2,FECHA_BOV2,"&lt;="&amp;AH$3,CLAVE_BOV2,$A335)+SUMIFS(SALIDAS_BOV3,FECHA_BOV3,"&gt;="&amp;AH$2,FECHA_BOV3,"&lt;="&amp;AH$3,CLAVE_BOV3,$A335)+SUMIFS(SALIDAS_TC,FECHA_TC,"&gt;="&amp;AH$2,FECHA_TC,"&lt;="&amp;AH$3,CLAVE_TC,$A335)+SUMIFS(SALIDAS_COMB,FECHA_COMB,"&gt;="&amp;AH$2,FECHA_COMB,"&lt;="&amp;AH$3,CLAVE_COMB,$A335)+SUMIFS(SALIDAS_DES,FECHA_DESGLOSEN,"&gt;="&amp;AH$2,FECHA_DESGLOSEN,"&lt;="&amp;AH$3,CLAVE_DESGLOSE,$A335)</f>
        <v>0</v>
      </c>
      <c r="AI335" s="162">
        <f>SUMIFS(SALIDAS_BIT,FECHA_BIT,"&gt;="&amp;AI$2,FECHA_BIT,"&lt;="&amp;AI$3,CLAVE_BIT,$A335)+SUMIFS(SALIDAS_BOV1,FECHA_BOV1,"&gt;="&amp;AI$2,FECHA_BOV1,"&lt;="&amp;AI$3,CLAVE_BOV1,$A335)+SUMIFS(SALIDAS_BOV2,FECHA_BOV2,"&gt;="&amp;AI$2,FECHA_BOV2,"&lt;="&amp;AI$3,CLAVE_BOV2,$A335)+SUMIFS(SALIDAS_BOV3,FECHA_BOV3,"&gt;="&amp;AI$2,FECHA_BOV3,"&lt;="&amp;AI$3,CLAVE_BOV3,$A335)+SUMIFS(SALIDAS_TC,FECHA_TC,"&gt;="&amp;AI$2,FECHA_TC,"&lt;="&amp;AI$3,CLAVE_TC,$A335)+SUMIFS(SALIDAS_COMB,FECHA_COMB,"&gt;="&amp;AI$2,FECHA_COMB,"&lt;="&amp;AI$3,CLAVE_COMB,$A335)+SUMIFS(SALIDAS_DES,FECHA_DESGLOSEN,"&gt;="&amp;AI$2,FECHA_DESGLOSEN,"&lt;="&amp;AI$3,CLAVE_DESGLOSE,$A335)</f>
        <v>0</v>
      </c>
      <c r="AJ335" s="162">
        <f>SUMIFS(SALIDAS_BIT,FECHA_BIT,"&gt;="&amp;AJ$2,FECHA_BIT,"&lt;="&amp;AJ$3,CLAVE_BIT,$A335)+SUMIFS(SALIDAS_BOV1,FECHA_BOV1,"&gt;="&amp;AJ$2,FECHA_BOV1,"&lt;="&amp;AJ$3,CLAVE_BOV1,$A335)+SUMIFS(SALIDAS_BOV2,FECHA_BOV2,"&gt;="&amp;AJ$2,FECHA_BOV2,"&lt;="&amp;AJ$3,CLAVE_BOV2,$A335)+SUMIFS(SALIDAS_BOV3,FECHA_BOV3,"&gt;="&amp;AJ$2,FECHA_BOV3,"&lt;="&amp;AJ$3,CLAVE_BOV3,$A335)+SUMIFS(SALIDAS_TC,FECHA_TC,"&gt;="&amp;AJ$2,FECHA_TC,"&lt;="&amp;AJ$3,CLAVE_TC,$A335)+SUMIFS(SALIDAS_COMB,FECHA_COMB,"&gt;="&amp;AJ$2,FECHA_COMB,"&lt;="&amp;AJ$3,CLAVE_COMB,$A335)+SUMIFS(SALIDAS_DES,FECHA_DESGLOSEN,"&gt;="&amp;AJ$2,FECHA_DESGLOSEN,"&lt;="&amp;AJ$3,CLAVE_DESGLOSE,$A335)</f>
        <v>0</v>
      </c>
      <c r="AK335" s="227">
        <f>AE335-AJ335</f>
        <v>0</v>
      </c>
      <c r="AL335" s="301">
        <f>IFERROR((AJ335/AE335),0)</f>
        <v>0</v>
      </c>
      <c r="AM335" s="162">
        <f>VLOOKUP($A335,T_PRESUPUESTO,MATCH(AM$6,E_PRESUPUESTO,0),FALSE)</f>
        <v>0</v>
      </c>
      <c r="AN335" s="162">
        <f>SUMIFS(SALIDAS_BIT,FECHA_BIT,"&gt;="&amp;AN$2,FECHA_BIT,"&lt;="&amp;AN$3,CLAVE_BIT,$A335)+SUMIFS(SALIDAS_BOV1,FECHA_BOV1,"&gt;="&amp;AN$2,FECHA_BOV1,"&lt;="&amp;AN$3,CLAVE_BOV1,$A335)+SUMIFS(SALIDAS_BOV2,FECHA_BOV2,"&gt;="&amp;AN$2,FECHA_BOV2,"&lt;="&amp;AN$3,CLAVE_BOV2,$A335)+SUMIFS(SALIDAS_BOV3,FECHA_BOV3,"&gt;="&amp;AN$2,FECHA_BOV3,"&lt;="&amp;AN$3,CLAVE_BOV3,$A335)+SUMIFS(SALIDAS_TC,FECHA_TC,"&gt;="&amp;AN$2,FECHA_TC,"&lt;="&amp;AN$3,CLAVE_TC,$A335)+SUMIFS(SALIDAS_COMB,FECHA_COMB,"&gt;="&amp;AN$2,FECHA_COMB,"&lt;="&amp;AN$3,CLAVE_COMB,$A335)+SUMIFS(SALIDAS_DES,FECHA_DESGLOSEN,"&gt;="&amp;AN$2,FECHA_DESGLOSEN,"&lt;="&amp;AN$3,CLAVE_DESGLOSE,$A335)</f>
        <v>0</v>
      </c>
      <c r="AO335" s="162">
        <f>SUMIFS(SALIDAS_BIT,FECHA_BIT,"&gt;="&amp;AO$2,FECHA_BIT,"&lt;="&amp;AO$3,CLAVE_BIT,$A335)+SUMIFS(SALIDAS_BOV1,FECHA_BOV1,"&gt;="&amp;AO$2,FECHA_BOV1,"&lt;="&amp;AO$3,CLAVE_BOV1,$A335)+SUMIFS(SALIDAS_BOV2,FECHA_BOV2,"&gt;="&amp;AO$2,FECHA_BOV2,"&lt;="&amp;AO$3,CLAVE_BOV2,$A335)+SUMIFS(SALIDAS_BOV3,FECHA_BOV3,"&gt;="&amp;AO$2,FECHA_BOV3,"&lt;="&amp;AO$3,CLAVE_BOV3,$A335)+SUMIFS(SALIDAS_TC,FECHA_TC,"&gt;="&amp;AO$2,FECHA_TC,"&lt;="&amp;AO$3,CLAVE_TC,$A335)+SUMIFS(SALIDAS_COMB,FECHA_COMB,"&gt;="&amp;AO$2,FECHA_COMB,"&lt;="&amp;AO$3,CLAVE_COMB,$A335)+SUMIFS(SALIDAS_DES,FECHA_DESGLOSEN,"&gt;="&amp;AO$2,FECHA_DESGLOSEN,"&lt;="&amp;AO$3,CLAVE_DESGLOSE,$A335)</f>
        <v>0</v>
      </c>
      <c r="AP335" s="162">
        <f>SUMIFS(SALIDAS_BIT,FECHA_BIT,"&gt;="&amp;AP$2,FECHA_BIT,"&lt;="&amp;AP$3,CLAVE_BIT,$A335)+SUMIFS(SALIDAS_BOV1,FECHA_BOV1,"&gt;="&amp;AP$2,FECHA_BOV1,"&lt;="&amp;AP$3,CLAVE_BOV1,$A335)+SUMIFS(SALIDAS_BOV2,FECHA_BOV2,"&gt;="&amp;AP$2,FECHA_BOV2,"&lt;="&amp;AP$3,CLAVE_BOV2,$A335)+SUMIFS(SALIDAS_BOV3,FECHA_BOV3,"&gt;="&amp;AP$2,FECHA_BOV3,"&lt;="&amp;AP$3,CLAVE_BOV3,$A335)+SUMIFS(SALIDAS_TC,FECHA_TC,"&gt;="&amp;AP$2,FECHA_TC,"&lt;="&amp;AP$3,CLAVE_TC,$A335)+SUMIFS(SALIDAS_COMB,FECHA_COMB,"&gt;="&amp;AP$2,FECHA_COMB,"&lt;="&amp;AP$3,CLAVE_COMB,$A335)+SUMIFS(SALIDAS_DES,FECHA_DESGLOSEN,"&gt;="&amp;AP$2,FECHA_DESGLOSEN,"&lt;="&amp;AP$3,CLAVE_DESGLOSE,$A335)</f>
        <v>0</v>
      </c>
      <c r="AQ335" s="162">
        <f>SUMIFS(SALIDAS_BIT,FECHA_BIT,"&gt;="&amp;AQ$2,FECHA_BIT,"&lt;="&amp;AQ$3,CLAVE_BIT,$A335)+SUMIFS(SALIDAS_BOV1,FECHA_BOV1,"&gt;="&amp;AQ$2,FECHA_BOV1,"&lt;="&amp;AQ$3,CLAVE_BOV1,$A335)+SUMIFS(SALIDAS_BOV2,FECHA_BOV2,"&gt;="&amp;AQ$2,FECHA_BOV2,"&lt;="&amp;AQ$3,CLAVE_BOV2,$A335)+SUMIFS(SALIDAS_BOV3,FECHA_BOV3,"&gt;="&amp;AQ$2,FECHA_BOV3,"&lt;="&amp;AQ$3,CLAVE_BOV3,$A335)+SUMIFS(SALIDAS_TC,FECHA_TC,"&gt;="&amp;AQ$2,FECHA_TC,"&lt;="&amp;AQ$3,CLAVE_TC,$A335)+SUMIFS(SALIDAS_COMB,FECHA_COMB,"&gt;="&amp;AQ$2,FECHA_COMB,"&lt;="&amp;AQ$3,CLAVE_COMB,$A335)+SUMIFS(SALIDAS_DES,FECHA_DESGLOSEN,"&gt;="&amp;AQ$2,FECHA_DESGLOSEN,"&lt;="&amp;AQ$3,CLAVE_DESGLOSE,$A335)</f>
        <v>0</v>
      </c>
      <c r="AR335" s="162">
        <f>SUMIFS(SALIDAS_BIT,FECHA_BIT,"&gt;="&amp;AR$2,FECHA_BIT,"&lt;="&amp;AR$3,CLAVE_BIT,$A335)+SUMIFS(SALIDAS_BOV1,FECHA_BOV1,"&gt;="&amp;AR$2,FECHA_BOV1,"&lt;="&amp;AR$3,CLAVE_BOV1,$A335)+SUMIFS(SALIDAS_BOV2,FECHA_BOV2,"&gt;="&amp;AR$2,FECHA_BOV2,"&lt;="&amp;AR$3,CLAVE_BOV2,$A335)+SUMIFS(SALIDAS_BOV3,FECHA_BOV3,"&gt;="&amp;AR$2,FECHA_BOV3,"&lt;="&amp;AR$3,CLAVE_BOV3,$A335)+SUMIFS(SALIDAS_TC,FECHA_TC,"&gt;="&amp;AR$2,FECHA_TC,"&lt;="&amp;AR$3,CLAVE_TC,$A335)+SUMIFS(SALIDAS_COMB,FECHA_COMB,"&gt;="&amp;AR$2,FECHA_COMB,"&lt;="&amp;AR$3,CLAVE_COMB,$A335)+SUMIFS(SALIDAS_DES,FECHA_DESGLOSEN,"&gt;="&amp;AR$2,FECHA_DESGLOSEN,"&lt;="&amp;AR$3,CLAVE_DESGLOSE,$A335)</f>
        <v>0</v>
      </c>
      <c r="AS335" s="162">
        <f>SUMIFS(SALIDAS_BIT,FECHA_BIT,"&gt;="&amp;AS$2,FECHA_BIT,"&lt;="&amp;AS$3,CLAVE_BIT,$A335)+SUMIFS(SALIDAS_BOV1,FECHA_BOV1,"&gt;="&amp;AS$2,FECHA_BOV1,"&lt;="&amp;AS$3,CLAVE_BOV1,$A335)+SUMIFS(SALIDAS_BOV2,FECHA_BOV2,"&gt;="&amp;AS$2,FECHA_BOV2,"&lt;="&amp;AS$3,CLAVE_BOV2,$A335)+SUMIFS(SALIDAS_BOV3,FECHA_BOV3,"&gt;="&amp;AS$2,FECHA_BOV3,"&lt;="&amp;AS$3,CLAVE_BOV3,$A335)+SUMIFS(SALIDAS_TC,FECHA_TC,"&gt;="&amp;AS$2,FECHA_TC,"&lt;="&amp;AS$3,CLAVE_TC,$A335)+SUMIFS(SALIDAS_COMB,FECHA_COMB,"&gt;="&amp;AS$2,FECHA_COMB,"&lt;="&amp;AS$3,CLAVE_COMB,$A335)+SUMIFS(SALIDAS_DES,FECHA_DESGLOSEN,"&gt;="&amp;AS$2,FECHA_DESGLOSEN,"&lt;="&amp;AS$3,CLAVE_DESGLOSE,$A335)</f>
        <v>0</v>
      </c>
      <c r="AT335" s="227">
        <f>AM335-AS335</f>
        <v>0</v>
      </c>
      <c r="AU335" s="301">
        <f>IFERROR((AS335/AM335),0)</f>
        <v>0</v>
      </c>
      <c r="AV335" s="162">
        <f>VLOOKUP($A335,T_PRESUPUESTO,MATCH(AV$6,E_PRESUPUESTO,0),FALSE)</f>
        <v>0</v>
      </c>
      <c r="AW335" s="162">
        <f>SUMIFS(SALIDAS_BIT,FECHA_BIT,"&gt;="&amp;AW$2,FECHA_BIT,"&lt;="&amp;AW$3,CLAVE_BIT,$A335)+SUMIFS(SALIDAS_BOV1,FECHA_BOV1,"&gt;="&amp;AW$2,FECHA_BOV1,"&lt;="&amp;AW$3,CLAVE_BOV1,$A335)+SUMIFS(SALIDAS_BOV2,FECHA_BOV2,"&gt;="&amp;AW$2,FECHA_BOV2,"&lt;="&amp;AW$3,CLAVE_BOV2,$A335)+SUMIFS(SALIDAS_BOV3,FECHA_BOV3,"&gt;="&amp;AW$2,FECHA_BOV3,"&lt;="&amp;AW$3,CLAVE_BOV3,$A335)+SUMIFS(SALIDAS_TC,FECHA_TC,"&gt;="&amp;AW$2,FECHA_TC,"&lt;="&amp;AW$3,CLAVE_TC,$A335)+SUMIFS(SALIDAS_COMB,FECHA_COMB,"&gt;="&amp;AW$2,FECHA_COMB,"&lt;="&amp;AW$3,CLAVE_COMB,$A335)+SUMIFS(SALIDAS_DES,FECHA_DESGLOSEN,"&gt;="&amp;AW$2,FECHA_DESGLOSEN,"&lt;="&amp;AW$3,CLAVE_DESGLOSE,$A335)</f>
        <v>0</v>
      </c>
      <c r="AX335" s="162">
        <f>SUMIFS(SALIDAS_BIT,FECHA_BIT,"&gt;="&amp;AX$2,FECHA_BIT,"&lt;="&amp;AX$3,CLAVE_BIT,$A335)+SUMIFS(SALIDAS_BOV1,FECHA_BOV1,"&gt;="&amp;AX$2,FECHA_BOV1,"&lt;="&amp;AX$3,CLAVE_BOV1,$A335)+SUMIFS(SALIDAS_BOV2,FECHA_BOV2,"&gt;="&amp;AX$2,FECHA_BOV2,"&lt;="&amp;AX$3,CLAVE_BOV2,$A335)+SUMIFS(SALIDAS_BOV3,FECHA_BOV3,"&gt;="&amp;AX$2,FECHA_BOV3,"&lt;="&amp;AX$3,CLAVE_BOV3,$A335)+SUMIFS(SALIDAS_TC,FECHA_TC,"&gt;="&amp;AX$2,FECHA_TC,"&lt;="&amp;AX$3,CLAVE_TC,$A335)+SUMIFS(SALIDAS_COMB,FECHA_COMB,"&gt;="&amp;AX$2,FECHA_COMB,"&lt;="&amp;AX$3,CLAVE_COMB,$A335)+SUMIFS(SALIDAS_DES,FECHA_DESGLOSEN,"&gt;="&amp;AX$2,FECHA_DESGLOSEN,"&lt;="&amp;AX$3,CLAVE_DESGLOSE,$A335)</f>
        <v>0</v>
      </c>
      <c r="AY335" s="162">
        <f>SUMIFS(SALIDAS_BIT,FECHA_BIT,"&gt;="&amp;AY$2,FECHA_BIT,"&lt;="&amp;AY$3,CLAVE_BIT,$A335)+SUMIFS(SALIDAS_BOV1,FECHA_BOV1,"&gt;="&amp;AY$2,FECHA_BOV1,"&lt;="&amp;AY$3,CLAVE_BOV1,$A335)+SUMIFS(SALIDAS_BOV2,FECHA_BOV2,"&gt;="&amp;AY$2,FECHA_BOV2,"&lt;="&amp;AY$3,CLAVE_BOV2,$A335)+SUMIFS(SALIDAS_BOV3,FECHA_BOV3,"&gt;="&amp;AY$2,FECHA_BOV3,"&lt;="&amp;AY$3,CLAVE_BOV3,$A335)+SUMIFS(SALIDAS_TC,FECHA_TC,"&gt;="&amp;AY$2,FECHA_TC,"&lt;="&amp;AY$3,CLAVE_TC,$A335)+SUMIFS(SALIDAS_COMB,FECHA_COMB,"&gt;="&amp;AY$2,FECHA_COMB,"&lt;="&amp;AY$3,CLAVE_COMB,$A335)+SUMIFS(SALIDAS_DES,FECHA_DESGLOSEN,"&gt;="&amp;AY$2,FECHA_DESGLOSEN,"&lt;="&amp;AY$3,CLAVE_DESGLOSE,$A335)</f>
        <v>0</v>
      </c>
      <c r="AZ335" s="162">
        <f>SUMIFS(SALIDAS_BIT,FECHA_BIT,"&gt;="&amp;AZ$2,FECHA_BIT,"&lt;="&amp;AZ$3,CLAVE_BIT,$A335)+SUMIFS(SALIDAS_BOV1,FECHA_BOV1,"&gt;="&amp;AZ$2,FECHA_BOV1,"&lt;="&amp;AZ$3,CLAVE_BOV1,$A335)+SUMIFS(SALIDAS_BOV2,FECHA_BOV2,"&gt;="&amp;AZ$2,FECHA_BOV2,"&lt;="&amp;AZ$3,CLAVE_BOV2,$A335)+SUMIFS(SALIDAS_BOV3,FECHA_BOV3,"&gt;="&amp;AZ$2,FECHA_BOV3,"&lt;="&amp;AZ$3,CLAVE_BOV3,$A335)+SUMIFS(SALIDAS_TC,FECHA_TC,"&gt;="&amp;AZ$2,FECHA_TC,"&lt;="&amp;AZ$3,CLAVE_TC,$A335)+SUMIFS(SALIDAS_COMB,FECHA_COMB,"&gt;="&amp;AZ$2,FECHA_COMB,"&lt;="&amp;AZ$3,CLAVE_COMB,$A335)+SUMIFS(SALIDAS_DES,FECHA_DESGLOSEN,"&gt;="&amp;AZ$2,FECHA_DESGLOSEN,"&lt;="&amp;AZ$3,CLAVE_DESGLOSE,$A335)</f>
        <v>0</v>
      </c>
      <c r="BA335" s="162">
        <f>SUMIFS(SALIDAS_BIT,FECHA_BIT,"&gt;="&amp;BA$2,FECHA_BIT,"&lt;="&amp;BA$3,CLAVE_BIT,$A335)+SUMIFS(SALIDAS_BOV1,FECHA_BOV1,"&gt;="&amp;BA$2,FECHA_BOV1,"&lt;="&amp;BA$3,CLAVE_BOV1,$A335)+SUMIFS(SALIDAS_BOV2,FECHA_BOV2,"&gt;="&amp;BA$2,FECHA_BOV2,"&lt;="&amp;BA$3,CLAVE_BOV2,$A335)+SUMIFS(SALIDAS_BOV3,FECHA_BOV3,"&gt;="&amp;BA$2,FECHA_BOV3,"&lt;="&amp;BA$3,CLAVE_BOV3,$A335)+SUMIFS(SALIDAS_TC,FECHA_TC,"&gt;="&amp;BA$2,FECHA_TC,"&lt;="&amp;BA$3,CLAVE_TC,$A335)+SUMIFS(SALIDAS_COMB,FECHA_COMB,"&gt;="&amp;BA$2,FECHA_COMB,"&lt;="&amp;BA$3,CLAVE_COMB,$A335)+SUMIFS(SALIDAS_DES,FECHA_DESGLOSEN,"&gt;="&amp;BA$2,FECHA_DESGLOSEN,"&lt;="&amp;BA$3,CLAVE_DESGLOSE,$A335)</f>
        <v>0</v>
      </c>
      <c r="BB335" s="227">
        <f>AV335-BA335</f>
        <v>0</v>
      </c>
      <c r="BC335" s="301">
        <f>IFERROR((BA335/AV335),0)</f>
        <v>0</v>
      </c>
      <c r="BD335" s="162">
        <f>VLOOKUP($A335,T_PRESUPUESTO,MATCH(BD$6,E_PRESUPUESTO,0),FALSE)</f>
        <v>0</v>
      </c>
      <c r="BE335" s="162">
        <f>SUMIFS(SALIDAS_BIT,FECHA_BIT,"&gt;="&amp;BE$2,FECHA_BIT,"&lt;="&amp;BE$3,CLAVE_BIT,$A335)+SUMIFS(SALIDAS_BOV1,FECHA_BOV1,"&gt;="&amp;BE$2,FECHA_BOV1,"&lt;="&amp;BE$3,CLAVE_BOV1,$A335)+SUMIFS(SALIDAS_BOV2,FECHA_BOV2,"&gt;="&amp;BE$2,FECHA_BOV2,"&lt;="&amp;BE$3,CLAVE_BOV2,$A335)+SUMIFS(SALIDAS_BOV3,FECHA_BOV3,"&gt;="&amp;BE$2,FECHA_BOV3,"&lt;="&amp;BE$3,CLAVE_BOV3,$A335)+SUMIFS(SALIDAS_TC,FECHA_TC,"&gt;="&amp;BE$2,FECHA_TC,"&lt;="&amp;BE$3,CLAVE_TC,$A335)+SUMIFS(SALIDAS_COMB,FECHA_COMB,"&gt;="&amp;BE$2,FECHA_COMB,"&lt;="&amp;BE$3,CLAVE_COMB,$A335)+SUMIFS(SALIDAS_DES,FECHA_DESGLOSEN,"&gt;="&amp;BE$2,FECHA_DESGLOSEN,"&lt;="&amp;BE$3,CLAVE_DESGLOSE,$A335)</f>
        <v>0</v>
      </c>
      <c r="BF335" s="162">
        <f>SUMIFS(SALIDAS_BIT,FECHA_BIT,"&gt;="&amp;BF$2,FECHA_BIT,"&lt;="&amp;BF$3,CLAVE_BIT,$A335)+SUMIFS(SALIDAS_BOV1,FECHA_BOV1,"&gt;="&amp;BF$2,FECHA_BOV1,"&lt;="&amp;BF$3,CLAVE_BOV1,$A335)+SUMIFS(SALIDAS_BOV2,FECHA_BOV2,"&gt;="&amp;BF$2,FECHA_BOV2,"&lt;="&amp;BF$3,CLAVE_BOV2,$A335)+SUMIFS(SALIDAS_BOV3,FECHA_BOV3,"&gt;="&amp;BF$2,FECHA_BOV3,"&lt;="&amp;BF$3,CLAVE_BOV3,$A335)+SUMIFS(SALIDAS_TC,FECHA_TC,"&gt;="&amp;BF$2,FECHA_TC,"&lt;="&amp;BF$3,CLAVE_TC,$A335)+SUMIFS(SALIDAS_COMB,FECHA_COMB,"&gt;="&amp;BF$2,FECHA_COMB,"&lt;="&amp;BF$3,CLAVE_COMB,$A335)+SUMIFS(SALIDAS_DES,FECHA_DESGLOSEN,"&gt;="&amp;BF$2,FECHA_DESGLOSEN,"&lt;="&amp;BF$3,CLAVE_DESGLOSE,$A335)</f>
        <v>0</v>
      </c>
      <c r="BG335" s="162">
        <f>SUMIFS(SALIDAS_BIT,FECHA_BIT,"&gt;="&amp;BG$2,FECHA_BIT,"&lt;="&amp;BG$3,CLAVE_BIT,$A335)+SUMIFS(SALIDAS_BOV1,FECHA_BOV1,"&gt;="&amp;BG$2,FECHA_BOV1,"&lt;="&amp;BG$3,CLAVE_BOV1,$A335)+SUMIFS(SALIDAS_BOV2,FECHA_BOV2,"&gt;="&amp;BG$2,FECHA_BOV2,"&lt;="&amp;BG$3,CLAVE_BOV2,$A335)+SUMIFS(SALIDAS_BOV3,FECHA_BOV3,"&gt;="&amp;BG$2,FECHA_BOV3,"&lt;="&amp;BG$3,CLAVE_BOV3,$A335)+SUMIFS(SALIDAS_TC,FECHA_TC,"&gt;="&amp;BG$2,FECHA_TC,"&lt;="&amp;BG$3,CLAVE_TC,$A335)+SUMIFS(SALIDAS_COMB,FECHA_COMB,"&gt;="&amp;BG$2,FECHA_COMB,"&lt;="&amp;BG$3,CLAVE_COMB,$A335)+SUMIFS(SALIDAS_DES,FECHA_DESGLOSEN,"&gt;="&amp;BG$2,FECHA_DESGLOSEN,"&lt;="&amp;BG$3,CLAVE_DESGLOSE,$A335)</f>
        <v>0</v>
      </c>
      <c r="BH335" s="162">
        <f>SUMIFS(SALIDAS_BIT,FECHA_BIT,"&gt;="&amp;BH$2,FECHA_BIT,"&lt;="&amp;BH$3,CLAVE_BIT,$A335)+SUMIFS(SALIDAS_BOV1,FECHA_BOV1,"&gt;="&amp;BH$2,FECHA_BOV1,"&lt;="&amp;BH$3,CLAVE_BOV1,$A335)+SUMIFS(SALIDAS_BOV2,FECHA_BOV2,"&gt;="&amp;BH$2,FECHA_BOV2,"&lt;="&amp;BH$3,CLAVE_BOV2,$A335)+SUMIFS(SALIDAS_BOV3,FECHA_BOV3,"&gt;="&amp;BH$2,FECHA_BOV3,"&lt;="&amp;BH$3,CLAVE_BOV3,$A335)+SUMIFS(SALIDAS_TC,FECHA_TC,"&gt;="&amp;BH$2,FECHA_TC,"&lt;="&amp;BH$3,CLAVE_TC,$A335)+SUMIFS(SALIDAS_COMB,FECHA_COMB,"&gt;="&amp;BH$2,FECHA_COMB,"&lt;="&amp;BH$3,CLAVE_COMB,$A335)+SUMIFS(SALIDAS_DES,FECHA_DESGLOSEN,"&gt;="&amp;BH$2,FECHA_DESGLOSEN,"&lt;="&amp;BH$3,CLAVE_DESGLOSE,$A335)</f>
        <v>0</v>
      </c>
      <c r="BI335" s="162">
        <f>SUMIFS(SALIDAS_BIT,FECHA_BIT,"&gt;="&amp;BI$2,FECHA_BIT,"&lt;="&amp;BI$3,CLAVE_BIT,$A335)+SUMIFS(SALIDAS_BOV1,FECHA_BOV1,"&gt;="&amp;BI$2,FECHA_BOV1,"&lt;="&amp;BI$3,CLAVE_BOV1,$A335)+SUMIFS(SALIDAS_BOV2,FECHA_BOV2,"&gt;="&amp;BI$2,FECHA_BOV2,"&lt;="&amp;BI$3,CLAVE_BOV2,$A335)+SUMIFS(SALIDAS_BOV3,FECHA_BOV3,"&gt;="&amp;BI$2,FECHA_BOV3,"&lt;="&amp;BI$3,CLAVE_BOV3,$A335)+SUMIFS(SALIDAS_TC,FECHA_TC,"&gt;="&amp;BI$2,FECHA_TC,"&lt;="&amp;BI$3,CLAVE_TC,$A335)+SUMIFS(SALIDAS_COMB,FECHA_COMB,"&gt;="&amp;BI$2,FECHA_COMB,"&lt;="&amp;BI$3,CLAVE_COMB,$A335)+SUMIFS(SALIDAS_DES,FECHA_DESGLOSEN,"&gt;="&amp;BI$2,FECHA_DESGLOSEN,"&lt;="&amp;BI$3,CLAVE_DESGLOSE,$A335)</f>
        <v>0</v>
      </c>
      <c r="BJ335" s="227">
        <f>BD335-BI335</f>
        <v>0</v>
      </c>
      <c r="BK335" s="301">
        <f>IFERROR((BI335/BD335),0)</f>
        <v>0</v>
      </c>
      <c r="BL335" s="162">
        <f>VLOOKUP($A335,T_PRESUPUESTO,MATCH(BL$6,E_PRESUPUESTO,0),FALSE)</f>
        <v>0</v>
      </c>
      <c r="BM335" s="162">
        <f>SUMIFS(SALIDAS_BIT,FECHA_BIT,"&gt;="&amp;BM$2,FECHA_BIT,"&lt;="&amp;BM$3,CLAVE_BIT,$A335)+SUMIFS(SALIDAS_BOV1,FECHA_BOV1,"&gt;="&amp;BM$2,FECHA_BOV1,"&lt;="&amp;BM$3,CLAVE_BOV1,$A335)+SUMIFS(SALIDAS_BOV2,FECHA_BOV2,"&gt;="&amp;BM$2,FECHA_BOV2,"&lt;="&amp;BM$3,CLAVE_BOV2,$A335)+SUMIFS(SALIDAS_BOV3,FECHA_BOV3,"&gt;="&amp;BM$2,FECHA_BOV3,"&lt;="&amp;BM$3,CLAVE_BOV3,$A335)+SUMIFS(SALIDAS_TC,FECHA_TC,"&gt;="&amp;BM$2,FECHA_TC,"&lt;="&amp;BM$3,CLAVE_TC,$A335)+SUMIFS(SALIDAS_COMB,FECHA_COMB,"&gt;="&amp;BM$2,FECHA_COMB,"&lt;="&amp;BM$3,CLAVE_COMB,$A335)+SUMIFS(SALIDAS_DES,FECHA_DESGLOSEN,"&gt;="&amp;BM$2,FECHA_DESGLOSEN,"&lt;="&amp;BM$3,CLAVE_DESGLOSE,$A335)</f>
        <v>0</v>
      </c>
      <c r="BN335" s="162">
        <f>SUMIFS(SALIDAS_BIT,FECHA_BIT,"&gt;="&amp;BN$2,FECHA_BIT,"&lt;="&amp;BN$3,CLAVE_BIT,$A335)+SUMIFS(SALIDAS_BOV1,FECHA_BOV1,"&gt;="&amp;BN$2,FECHA_BOV1,"&lt;="&amp;BN$3,CLAVE_BOV1,$A335)+SUMIFS(SALIDAS_BOV2,FECHA_BOV2,"&gt;="&amp;BN$2,FECHA_BOV2,"&lt;="&amp;BN$3,CLAVE_BOV2,$A335)+SUMIFS(SALIDAS_BOV3,FECHA_BOV3,"&gt;="&amp;BN$2,FECHA_BOV3,"&lt;="&amp;BN$3,CLAVE_BOV3,$A335)+SUMIFS(SALIDAS_TC,FECHA_TC,"&gt;="&amp;BN$2,FECHA_TC,"&lt;="&amp;BN$3,CLAVE_TC,$A335)+SUMIFS(SALIDAS_COMB,FECHA_COMB,"&gt;="&amp;BN$2,FECHA_COMB,"&lt;="&amp;BN$3,CLAVE_COMB,$A335)+SUMIFS(SALIDAS_DES,FECHA_DESGLOSEN,"&gt;="&amp;BN$2,FECHA_DESGLOSEN,"&lt;="&amp;BN$3,CLAVE_DESGLOSE,$A335)</f>
        <v>0</v>
      </c>
      <c r="BO335" s="162">
        <f>SUMIFS(SALIDAS_BIT,FECHA_BIT,"&gt;="&amp;BO$2,FECHA_BIT,"&lt;="&amp;BO$3,CLAVE_BIT,$A335)+SUMIFS(SALIDAS_BOV1,FECHA_BOV1,"&gt;="&amp;BO$2,FECHA_BOV1,"&lt;="&amp;BO$3,CLAVE_BOV1,$A335)+SUMIFS(SALIDAS_BOV2,FECHA_BOV2,"&gt;="&amp;BO$2,FECHA_BOV2,"&lt;="&amp;BO$3,CLAVE_BOV2,$A335)+SUMIFS(SALIDAS_BOV3,FECHA_BOV3,"&gt;="&amp;BO$2,FECHA_BOV3,"&lt;="&amp;BO$3,CLAVE_BOV3,$A335)+SUMIFS(SALIDAS_TC,FECHA_TC,"&gt;="&amp;BO$2,FECHA_TC,"&lt;="&amp;BO$3,CLAVE_TC,$A335)+SUMIFS(SALIDAS_COMB,FECHA_COMB,"&gt;="&amp;BO$2,FECHA_COMB,"&lt;="&amp;BO$3,CLAVE_COMB,$A335)+SUMIFS(SALIDAS_DES,FECHA_DESGLOSEN,"&gt;="&amp;BO$2,FECHA_DESGLOSEN,"&lt;="&amp;BO$3,CLAVE_DESGLOSE,$A335)</f>
        <v>0</v>
      </c>
      <c r="BP335" s="162">
        <f>SUMIFS(SALIDAS_BIT,FECHA_BIT,"&gt;="&amp;BP$2,FECHA_BIT,"&lt;="&amp;BP$3,CLAVE_BIT,$A335)+SUMIFS(SALIDAS_BOV1,FECHA_BOV1,"&gt;="&amp;BP$2,FECHA_BOV1,"&lt;="&amp;BP$3,CLAVE_BOV1,$A335)+SUMIFS(SALIDAS_BOV2,FECHA_BOV2,"&gt;="&amp;BP$2,FECHA_BOV2,"&lt;="&amp;BP$3,CLAVE_BOV2,$A335)+SUMIFS(SALIDAS_BOV3,FECHA_BOV3,"&gt;="&amp;BP$2,FECHA_BOV3,"&lt;="&amp;BP$3,CLAVE_BOV3,$A335)+SUMIFS(SALIDAS_TC,FECHA_TC,"&gt;="&amp;BP$2,FECHA_TC,"&lt;="&amp;BP$3,CLAVE_TC,$A335)+SUMIFS(SALIDAS_COMB,FECHA_COMB,"&gt;="&amp;BP$2,FECHA_COMB,"&lt;="&amp;BP$3,CLAVE_COMB,$A335)+SUMIFS(SALIDAS_DES,FECHA_DESGLOSEN,"&gt;="&amp;BP$2,FECHA_DESGLOSEN,"&lt;="&amp;BP$3,CLAVE_DESGLOSE,$A335)</f>
        <v>0</v>
      </c>
      <c r="BQ335" s="162">
        <f>SUMIFS(SALIDAS_BIT,FECHA_BIT,"&gt;="&amp;BQ$2,FECHA_BIT,"&lt;="&amp;BQ$3,CLAVE_BIT,$A335)+SUMIFS(SALIDAS_BOV1,FECHA_BOV1,"&gt;="&amp;BQ$2,FECHA_BOV1,"&lt;="&amp;BQ$3,CLAVE_BOV1,$A335)+SUMIFS(SALIDAS_BOV2,FECHA_BOV2,"&gt;="&amp;BQ$2,FECHA_BOV2,"&lt;="&amp;BQ$3,CLAVE_BOV2,$A335)+SUMIFS(SALIDAS_BOV3,FECHA_BOV3,"&gt;="&amp;BQ$2,FECHA_BOV3,"&lt;="&amp;BQ$3,CLAVE_BOV3,$A335)+SUMIFS(SALIDAS_TC,FECHA_TC,"&gt;="&amp;BQ$2,FECHA_TC,"&lt;="&amp;BQ$3,CLAVE_TC,$A335)+SUMIFS(SALIDAS_COMB,FECHA_COMB,"&gt;="&amp;BQ$2,FECHA_COMB,"&lt;="&amp;BQ$3,CLAVE_COMB,$A335)+SUMIFS(SALIDAS_DES,FECHA_DESGLOSEN,"&gt;="&amp;BQ$2,FECHA_DESGLOSEN,"&lt;="&amp;BQ$3,CLAVE_DESGLOSE,$A335)</f>
        <v>0</v>
      </c>
      <c r="BR335" s="162">
        <f>SUMIFS(SALIDAS_BIT,FECHA_BIT,"&gt;="&amp;BR$2,FECHA_BIT,"&lt;="&amp;BR$3,CLAVE_BIT,$A335)+SUMIFS(SALIDAS_BOV1,FECHA_BOV1,"&gt;="&amp;BR$2,FECHA_BOV1,"&lt;="&amp;BR$3,CLAVE_BOV1,$A335)+SUMIFS(SALIDAS_BOV2,FECHA_BOV2,"&gt;="&amp;BR$2,FECHA_BOV2,"&lt;="&amp;BR$3,CLAVE_BOV2,$A335)+SUMIFS(SALIDAS_BOV3,FECHA_BOV3,"&gt;="&amp;BR$2,FECHA_BOV3,"&lt;="&amp;BR$3,CLAVE_BOV3,$A335)+SUMIFS(SALIDAS_TC,FECHA_TC,"&gt;="&amp;BR$2,FECHA_TC,"&lt;="&amp;BR$3,CLAVE_TC,$A335)+SUMIFS(SALIDAS_COMB,FECHA_COMB,"&gt;="&amp;BR$2,FECHA_COMB,"&lt;="&amp;BR$3,CLAVE_COMB,$A335)+SUMIFS(SALIDAS_DES,FECHA_DESGLOSEN,"&gt;="&amp;BR$2,FECHA_DESGLOSEN,"&lt;="&amp;BR$3,CLAVE_DESGLOSE,$A335)</f>
        <v>0</v>
      </c>
      <c r="BS335" s="227">
        <f>BL335-BR335</f>
        <v>0</v>
      </c>
      <c r="BT335" s="301">
        <f>IFERROR((BR335/BL335),0)</f>
        <v>0</v>
      </c>
      <c r="BU335" s="162">
        <f>VLOOKUP($A335,T_PRESUPUESTO,MATCH(BU$6,E_PRESUPUESTO,0),FALSE)</f>
        <v>0</v>
      </c>
      <c r="BV335" s="162">
        <f>SUMIFS(SALIDAS_BIT,FECHA_BIT,"&gt;="&amp;BV$2,FECHA_BIT,"&lt;="&amp;BV$3,CLAVE_BIT,$A335)+SUMIFS(SALIDAS_BOV1,FECHA_BOV1,"&gt;="&amp;BV$2,FECHA_BOV1,"&lt;="&amp;BV$3,CLAVE_BOV1,$A335)+SUMIFS(SALIDAS_BOV2,FECHA_BOV2,"&gt;="&amp;BV$2,FECHA_BOV2,"&lt;="&amp;BV$3,CLAVE_BOV2,$A335)+SUMIFS(SALIDAS_BOV3,FECHA_BOV3,"&gt;="&amp;BV$2,FECHA_BOV3,"&lt;="&amp;BV$3,CLAVE_BOV3,$A335)+SUMIFS(SALIDAS_TC,FECHA_TC,"&gt;="&amp;BV$2,FECHA_TC,"&lt;="&amp;BV$3,CLAVE_TC,$A335)+SUMIFS(SALIDAS_COMB,FECHA_COMB,"&gt;="&amp;BV$2,FECHA_COMB,"&lt;="&amp;BV$3,CLAVE_COMB,$A335)+SUMIFS(SALIDAS_DES,FECHA_DESGLOSEN,"&gt;="&amp;BV$2,FECHA_DESGLOSEN,"&lt;="&amp;BV$3,CLAVE_DESGLOSE,$A335)</f>
        <v>0</v>
      </c>
      <c r="BW335" s="162">
        <f>SUMIFS(SALIDAS_BIT,FECHA_BIT,"&gt;="&amp;BW$2,FECHA_BIT,"&lt;="&amp;BW$3,CLAVE_BIT,$A335)+SUMIFS(SALIDAS_BOV1,FECHA_BOV1,"&gt;="&amp;BW$2,FECHA_BOV1,"&lt;="&amp;BW$3,CLAVE_BOV1,$A335)+SUMIFS(SALIDAS_BOV2,FECHA_BOV2,"&gt;="&amp;BW$2,FECHA_BOV2,"&lt;="&amp;BW$3,CLAVE_BOV2,$A335)+SUMIFS(SALIDAS_BOV3,FECHA_BOV3,"&gt;="&amp;BW$2,FECHA_BOV3,"&lt;="&amp;BW$3,CLAVE_BOV3,$A335)+SUMIFS(SALIDAS_TC,FECHA_TC,"&gt;="&amp;BW$2,FECHA_TC,"&lt;="&amp;BW$3,CLAVE_TC,$A335)+SUMIFS(SALIDAS_COMB,FECHA_COMB,"&gt;="&amp;BW$2,FECHA_COMB,"&lt;="&amp;BW$3,CLAVE_COMB,$A335)+SUMIFS(SALIDAS_DES,FECHA_DESGLOSEN,"&gt;="&amp;BW$2,FECHA_DESGLOSEN,"&lt;="&amp;BW$3,CLAVE_DESGLOSE,$A335)</f>
        <v>0</v>
      </c>
      <c r="BX335" s="162">
        <f>SUMIFS(SALIDAS_BIT,FECHA_BIT,"&gt;="&amp;BX$2,FECHA_BIT,"&lt;="&amp;BX$3,CLAVE_BIT,$A335)+SUMIFS(SALIDAS_BOV1,FECHA_BOV1,"&gt;="&amp;BX$2,FECHA_BOV1,"&lt;="&amp;BX$3,CLAVE_BOV1,$A335)+SUMIFS(SALIDAS_BOV2,FECHA_BOV2,"&gt;="&amp;BX$2,FECHA_BOV2,"&lt;="&amp;BX$3,CLAVE_BOV2,$A335)+SUMIFS(SALIDAS_BOV3,FECHA_BOV3,"&gt;="&amp;BX$2,FECHA_BOV3,"&lt;="&amp;BX$3,CLAVE_BOV3,$A335)+SUMIFS(SALIDAS_TC,FECHA_TC,"&gt;="&amp;BX$2,FECHA_TC,"&lt;="&amp;BX$3,CLAVE_TC,$A335)+SUMIFS(SALIDAS_COMB,FECHA_COMB,"&gt;="&amp;BX$2,FECHA_COMB,"&lt;="&amp;BX$3,CLAVE_COMB,$A335)+SUMIFS(SALIDAS_DES,FECHA_DESGLOSEN,"&gt;="&amp;BX$2,FECHA_DESGLOSEN,"&lt;="&amp;BX$3,CLAVE_DESGLOSE,$A335)</f>
        <v>0</v>
      </c>
      <c r="BY335" s="162">
        <f>SUMIFS(SALIDAS_BIT,FECHA_BIT,"&gt;="&amp;BY$2,FECHA_BIT,"&lt;="&amp;BY$3,CLAVE_BIT,$A335)+SUMIFS(SALIDAS_BOV1,FECHA_BOV1,"&gt;="&amp;BY$2,FECHA_BOV1,"&lt;="&amp;BY$3,CLAVE_BOV1,$A335)+SUMIFS(SALIDAS_BOV2,FECHA_BOV2,"&gt;="&amp;BY$2,FECHA_BOV2,"&lt;="&amp;BY$3,CLAVE_BOV2,$A335)+SUMIFS(SALIDAS_BOV3,FECHA_BOV3,"&gt;="&amp;BY$2,FECHA_BOV3,"&lt;="&amp;BY$3,CLAVE_BOV3,$A335)+SUMIFS(SALIDAS_TC,FECHA_TC,"&gt;="&amp;BY$2,FECHA_TC,"&lt;="&amp;BY$3,CLAVE_TC,$A335)+SUMIFS(SALIDAS_COMB,FECHA_COMB,"&gt;="&amp;BY$2,FECHA_COMB,"&lt;="&amp;BY$3,CLAVE_COMB,$A335)+SUMIFS(SALIDAS_DES,FECHA_DESGLOSEN,"&gt;="&amp;BY$2,FECHA_DESGLOSEN,"&lt;="&amp;BY$3,CLAVE_DESGLOSE,$A335)</f>
        <v>0</v>
      </c>
      <c r="BZ335" s="162">
        <f>SUMIFS(SALIDAS_BIT,FECHA_BIT,"&gt;="&amp;BZ$2,FECHA_BIT,"&lt;="&amp;BZ$3,CLAVE_BIT,$A335)+SUMIFS(SALIDAS_BOV1,FECHA_BOV1,"&gt;="&amp;BZ$2,FECHA_BOV1,"&lt;="&amp;BZ$3,CLAVE_BOV1,$A335)+SUMIFS(SALIDAS_BOV2,FECHA_BOV2,"&gt;="&amp;BZ$2,FECHA_BOV2,"&lt;="&amp;BZ$3,CLAVE_BOV2,$A335)+SUMIFS(SALIDAS_BOV3,FECHA_BOV3,"&gt;="&amp;BZ$2,FECHA_BOV3,"&lt;="&amp;BZ$3,CLAVE_BOV3,$A335)+SUMIFS(SALIDAS_TC,FECHA_TC,"&gt;="&amp;BZ$2,FECHA_TC,"&lt;="&amp;BZ$3,CLAVE_TC,$A335)+SUMIFS(SALIDAS_COMB,FECHA_COMB,"&gt;="&amp;BZ$2,FECHA_COMB,"&lt;="&amp;BZ$3,CLAVE_COMB,$A335)+SUMIFS(SALIDAS_DES,FECHA_DESGLOSEN,"&gt;="&amp;BZ$2,FECHA_DESGLOSEN,"&lt;="&amp;BZ$3,CLAVE_DESGLOSE,$A335)</f>
        <v>0</v>
      </c>
      <c r="CA335" s="227">
        <f>BU335-BZ335</f>
        <v>0</v>
      </c>
      <c r="CB335" s="301">
        <f>IFERROR((BZ335/BU335),0)</f>
        <v>0</v>
      </c>
      <c r="CC335" s="162">
        <f>VLOOKUP($A335,T_PRESUPUESTO,MATCH(CC$6,E_PRESUPUESTO,0),FALSE)</f>
        <v>0</v>
      </c>
      <c r="CD335" s="162">
        <f>SUMIFS(SALIDAS_BIT,FECHA_BIT,"&gt;="&amp;CD$2,FECHA_BIT,"&lt;="&amp;CD$3,CLAVE_BIT,$A335)+SUMIFS(SALIDAS_BOV1,FECHA_BOV1,"&gt;="&amp;CD$2,FECHA_BOV1,"&lt;="&amp;CD$3,CLAVE_BOV1,$A335)+SUMIFS(SALIDAS_BOV2,FECHA_BOV2,"&gt;="&amp;CD$2,FECHA_BOV2,"&lt;="&amp;CD$3,CLAVE_BOV2,$A335)+SUMIFS(SALIDAS_BOV3,FECHA_BOV3,"&gt;="&amp;CD$2,FECHA_BOV3,"&lt;="&amp;CD$3,CLAVE_BOV3,$A335)+SUMIFS(SALIDAS_TC,FECHA_TC,"&gt;="&amp;CD$2,FECHA_TC,"&lt;="&amp;CD$3,CLAVE_TC,$A335)+SUMIFS(SALIDAS_COMB,FECHA_COMB,"&gt;="&amp;CD$2,FECHA_COMB,"&lt;="&amp;CD$3,CLAVE_COMB,$A335)+SUMIFS(SALIDAS_DES,FECHA_DESGLOSEN,"&gt;="&amp;CD$2,FECHA_DESGLOSEN,"&lt;="&amp;CD$3,CLAVE_DESGLOSE,$A335)</f>
        <v>0</v>
      </c>
      <c r="CE335" s="162">
        <f>SUMIFS(SALIDAS_BIT,FECHA_BIT,"&gt;="&amp;CE$2,FECHA_BIT,"&lt;="&amp;CE$3,CLAVE_BIT,$A335)+SUMIFS(SALIDAS_BOV1,FECHA_BOV1,"&gt;="&amp;CE$2,FECHA_BOV1,"&lt;="&amp;CE$3,CLAVE_BOV1,$A335)+SUMIFS(SALIDAS_BOV2,FECHA_BOV2,"&gt;="&amp;CE$2,FECHA_BOV2,"&lt;="&amp;CE$3,CLAVE_BOV2,$A335)+SUMIFS(SALIDAS_BOV3,FECHA_BOV3,"&gt;="&amp;CE$2,FECHA_BOV3,"&lt;="&amp;CE$3,CLAVE_BOV3,$A335)+SUMIFS(SALIDAS_TC,FECHA_TC,"&gt;="&amp;CE$2,FECHA_TC,"&lt;="&amp;CE$3,CLAVE_TC,$A335)+SUMIFS(SALIDAS_COMB,FECHA_COMB,"&gt;="&amp;CE$2,FECHA_COMB,"&lt;="&amp;CE$3,CLAVE_COMB,$A335)+SUMIFS(SALIDAS_DES,FECHA_DESGLOSEN,"&gt;="&amp;CE$2,FECHA_DESGLOSEN,"&lt;="&amp;CE$3,CLAVE_DESGLOSE,$A335)</f>
        <v>0</v>
      </c>
      <c r="CF335" s="162">
        <f>SUMIFS(SALIDAS_BIT,FECHA_BIT,"&gt;="&amp;CF$2,FECHA_BIT,"&lt;="&amp;CF$3,CLAVE_BIT,$A335)+SUMIFS(SALIDAS_BOV1,FECHA_BOV1,"&gt;="&amp;CF$2,FECHA_BOV1,"&lt;="&amp;CF$3,CLAVE_BOV1,$A335)+SUMIFS(SALIDAS_BOV2,FECHA_BOV2,"&gt;="&amp;CF$2,FECHA_BOV2,"&lt;="&amp;CF$3,CLAVE_BOV2,$A335)+SUMIFS(SALIDAS_BOV3,FECHA_BOV3,"&gt;="&amp;CF$2,FECHA_BOV3,"&lt;="&amp;CF$3,CLAVE_BOV3,$A335)+SUMIFS(SALIDAS_TC,FECHA_TC,"&gt;="&amp;CF$2,FECHA_TC,"&lt;="&amp;CF$3,CLAVE_TC,$A335)+SUMIFS(SALIDAS_COMB,FECHA_COMB,"&gt;="&amp;CF$2,FECHA_COMB,"&lt;="&amp;CF$3,CLAVE_COMB,$A335)+SUMIFS(SALIDAS_DES,FECHA_DESGLOSEN,"&gt;="&amp;CF$2,FECHA_DESGLOSEN,"&lt;="&amp;CF$3,CLAVE_DESGLOSE,$A335)</f>
        <v>0</v>
      </c>
      <c r="CG335" s="162">
        <f>SUMIFS(SALIDAS_BIT,FECHA_BIT,"&gt;="&amp;CG$2,FECHA_BIT,"&lt;="&amp;CG$3,CLAVE_BIT,$A335)+SUMIFS(SALIDAS_BOV1,FECHA_BOV1,"&gt;="&amp;CG$2,FECHA_BOV1,"&lt;="&amp;CG$3,CLAVE_BOV1,$A335)+SUMIFS(SALIDAS_BOV2,FECHA_BOV2,"&gt;="&amp;CG$2,FECHA_BOV2,"&lt;="&amp;CG$3,CLAVE_BOV2,$A335)+SUMIFS(SALIDAS_BOV3,FECHA_BOV3,"&gt;="&amp;CG$2,FECHA_BOV3,"&lt;="&amp;CG$3,CLAVE_BOV3,$A335)+SUMIFS(SALIDAS_TC,FECHA_TC,"&gt;="&amp;CG$2,FECHA_TC,"&lt;="&amp;CG$3,CLAVE_TC,$A335)+SUMIFS(SALIDAS_COMB,FECHA_COMB,"&gt;="&amp;CG$2,FECHA_COMB,"&lt;="&amp;CG$3,CLAVE_COMB,$A335)+SUMIFS(SALIDAS_DES,FECHA_DESGLOSEN,"&gt;="&amp;CG$2,FECHA_DESGLOSEN,"&lt;="&amp;CG$3,CLAVE_DESGLOSE,$A335)</f>
        <v>0</v>
      </c>
      <c r="CH335" s="162">
        <f>SUMIFS(SALIDAS_BIT,FECHA_BIT,"&gt;="&amp;CH$2,FECHA_BIT,"&lt;="&amp;CH$3,CLAVE_BIT,$A335)+SUMIFS(SALIDAS_BOV1,FECHA_BOV1,"&gt;="&amp;CH$2,FECHA_BOV1,"&lt;="&amp;CH$3,CLAVE_BOV1,$A335)+SUMIFS(SALIDAS_BOV2,FECHA_BOV2,"&gt;="&amp;CH$2,FECHA_BOV2,"&lt;="&amp;CH$3,CLAVE_BOV2,$A335)+SUMIFS(SALIDAS_BOV3,FECHA_BOV3,"&gt;="&amp;CH$2,FECHA_BOV3,"&lt;="&amp;CH$3,CLAVE_BOV3,$A335)+SUMIFS(SALIDAS_TC,FECHA_TC,"&gt;="&amp;CH$2,FECHA_TC,"&lt;="&amp;CH$3,CLAVE_TC,$A335)+SUMIFS(SALIDAS_COMB,FECHA_COMB,"&gt;="&amp;CH$2,FECHA_COMB,"&lt;="&amp;CH$3,CLAVE_COMB,$A335)+SUMIFS(SALIDAS_DES,FECHA_DESGLOSEN,"&gt;="&amp;CH$2,FECHA_DESGLOSEN,"&lt;="&amp;CH$3,CLAVE_DESGLOSE,$A335)</f>
        <v>0</v>
      </c>
      <c r="CI335" s="227">
        <f>CC335-CH335</f>
        <v>0</v>
      </c>
      <c r="CJ335" s="301">
        <f>IFERROR((CH335/CC335),0)</f>
        <v>0</v>
      </c>
      <c r="CK335" s="162">
        <f>VLOOKUP($A335,T_PRESUPUESTO,MATCH(CK$6,E_PRESUPUESTO,0),FALSE)</f>
        <v>0</v>
      </c>
      <c r="CL335" s="162">
        <f>SUMIFS(SALIDAS_BIT,FECHA_BIT,"&gt;="&amp;CL$2,FECHA_BIT,"&lt;="&amp;CL$3,CLAVE_BIT,$A335)+SUMIFS(SALIDAS_BOV1,FECHA_BOV1,"&gt;="&amp;CL$2,FECHA_BOV1,"&lt;="&amp;CL$3,CLAVE_BOV1,$A335)+SUMIFS(SALIDAS_BOV2,FECHA_BOV2,"&gt;="&amp;CL$2,FECHA_BOV2,"&lt;="&amp;CL$3,CLAVE_BOV2,$A335)+SUMIFS(SALIDAS_BOV3,FECHA_BOV3,"&gt;="&amp;CL$2,FECHA_BOV3,"&lt;="&amp;CL$3,CLAVE_BOV3,$A335)+SUMIFS(SALIDAS_TC,FECHA_TC,"&gt;="&amp;CL$2,FECHA_TC,"&lt;="&amp;CL$3,CLAVE_TC,$A335)+SUMIFS(SALIDAS_COMB,FECHA_COMB,"&gt;="&amp;CL$2,FECHA_COMB,"&lt;="&amp;CL$3,CLAVE_COMB,$A335)+SUMIFS(SALIDAS_DES,FECHA_DESGLOSEN,"&gt;="&amp;CL$2,FECHA_DESGLOSEN,"&lt;="&amp;CL$3,CLAVE_DESGLOSE,$A335)</f>
        <v>0</v>
      </c>
      <c r="CM335" s="162">
        <f>SUMIFS(SALIDAS_BIT,FECHA_BIT,"&gt;="&amp;CM$2,FECHA_BIT,"&lt;="&amp;CM$3,CLAVE_BIT,$A335)+SUMIFS(SALIDAS_BOV1,FECHA_BOV1,"&gt;="&amp;CM$2,FECHA_BOV1,"&lt;="&amp;CM$3,CLAVE_BOV1,$A335)+SUMIFS(SALIDAS_BOV2,FECHA_BOV2,"&gt;="&amp;CM$2,FECHA_BOV2,"&lt;="&amp;CM$3,CLAVE_BOV2,$A335)+SUMIFS(SALIDAS_BOV3,FECHA_BOV3,"&gt;="&amp;CM$2,FECHA_BOV3,"&lt;="&amp;CM$3,CLAVE_BOV3,$A335)+SUMIFS(SALIDAS_TC,FECHA_TC,"&gt;="&amp;CM$2,FECHA_TC,"&lt;="&amp;CM$3,CLAVE_TC,$A335)+SUMIFS(SALIDAS_COMB,FECHA_COMB,"&gt;="&amp;CM$2,FECHA_COMB,"&lt;="&amp;CM$3,CLAVE_COMB,$A335)+SUMIFS(SALIDAS_DES,FECHA_DESGLOSEN,"&gt;="&amp;CM$2,FECHA_DESGLOSEN,"&lt;="&amp;CM$3,CLAVE_DESGLOSE,$A335)</f>
        <v>0</v>
      </c>
      <c r="CN335" s="162">
        <f>SUMIFS(SALIDAS_BIT,FECHA_BIT,"&gt;="&amp;CN$2,FECHA_BIT,"&lt;="&amp;CN$3,CLAVE_BIT,$A335)+SUMIFS(SALIDAS_BOV1,FECHA_BOV1,"&gt;="&amp;CN$2,FECHA_BOV1,"&lt;="&amp;CN$3,CLAVE_BOV1,$A335)+SUMIFS(SALIDAS_BOV2,FECHA_BOV2,"&gt;="&amp;CN$2,FECHA_BOV2,"&lt;="&amp;CN$3,CLAVE_BOV2,$A335)+SUMIFS(SALIDAS_BOV3,FECHA_BOV3,"&gt;="&amp;CN$2,FECHA_BOV3,"&lt;="&amp;CN$3,CLAVE_BOV3,$A335)+SUMIFS(SALIDAS_TC,FECHA_TC,"&gt;="&amp;CN$2,FECHA_TC,"&lt;="&amp;CN$3,CLAVE_TC,$A335)+SUMIFS(SALIDAS_COMB,FECHA_COMB,"&gt;="&amp;CN$2,FECHA_COMB,"&lt;="&amp;CN$3,CLAVE_COMB,$A335)+SUMIFS(SALIDAS_DES,FECHA_DESGLOSEN,"&gt;="&amp;CN$2,FECHA_DESGLOSEN,"&lt;="&amp;CN$3,CLAVE_DESGLOSE,$A335)</f>
        <v>0</v>
      </c>
      <c r="CO335" s="162">
        <f>SUMIFS(SALIDAS_BIT,FECHA_BIT,"&gt;="&amp;CO$2,FECHA_BIT,"&lt;="&amp;CO$3,CLAVE_BIT,$A335)+SUMIFS(SALIDAS_BOV1,FECHA_BOV1,"&gt;="&amp;CO$2,FECHA_BOV1,"&lt;="&amp;CO$3,CLAVE_BOV1,$A335)+SUMIFS(SALIDAS_BOV2,FECHA_BOV2,"&gt;="&amp;CO$2,FECHA_BOV2,"&lt;="&amp;CO$3,CLAVE_BOV2,$A335)+SUMIFS(SALIDAS_BOV3,FECHA_BOV3,"&gt;="&amp;CO$2,FECHA_BOV3,"&lt;="&amp;CO$3,CLAVE_BOV3,$A335)+SUMIFS(SALIDAS_TC,FECHA_TC,"&gt;="&amp;CO$2,FECHA_TC,"&lt;="&amp;CO$3,CLAVE_TC,$A335)+SUMIFS(SALIDAS_COMB,FECHA_COMB,"&gt;="&amp;CO$2,FECHA_COMB,"&lt;="&amp;CO$3,CLAVE_COMB,$A335)+SUMIFS(SALIDAS_DES,FECHA_DESGLOSEN,"&gt;="&amp;CO$2,FECHA_DESGLOSEN,"&lt;="&amp;CO$3,CLAVE_DESGLOSE,$A335)</f>
        <v>0</v>
      </c>
      <c r="CP335" s="162">
        <f>SUMIFS(SALIDAS_BIT,FECHA_BIT,"&gt;="&amp;CP$2,FECHA_BIT,"&lt;="&amp;CP$3,CLAVE_BIT,$A335)+SUMIFS(SALIDAS_BOV1,FECHA_BOV1,"&gt;="&amp;CP$2,FECHA_BOV1,"&lt;="&amp;CP$3,CLAVE_BOV1,$A335)+SUMIFS(SALIDAS_BOV2,FECHA_BOV2,"&gt;="&amp;CP$2,FECHA_BOV2,"&lt;="&amp;CP$3,CLAVE_BOV2,$A335)+SUMIFS(SALIDAS_BOV3,FECHA_BOV3,"&gt;="&amp;CP$2,FECHA_BOV3,"&lt;="&amp;CP$3,CLAVE_BOV3,$A335)+SUMIFS(SALIDAS_TC,FECHA_TC,"&gt;="&amp;CP$2,FECHA_TC,"&lt;="&amp;CP$3,CLAVE_TC,$A335)+SUMIFS(SALIDAS_COMB,FECHA_COMB,"&gt;="&amp;CP$2,FECHA_COMB,"&lt;="&amp;CP$3,CLAVE_COMB,$A335)+SUMIFS(SALIDAS_DES,FECHA_DESGLOSEN,"&gt;="&amp;CP$2,FECHA_DESGLOSEN,"&lt;="&amp;CP$3,CLAVE_DESGLOSE,$A335)</f>
        <v>0</v>
      </c>
      <c r="CQ335" s="162">
        <f>SUMIFS(SALIDAS_BIT,FECHA_BIT,"&gt;="&amp;CQ$2,FECHA_BIT,"&lt;="&amp;CQ$3,CLAVE_BIT,$A335)+SUMIFS(SALIDAS_BOV1,FECHA_BOV1,"&gt;="&amp;CQ$2,FECHA_BOV1,"&lt;="&amp;CQ$3,CLAVE_BOV1,$A335)+SUMIFS(SALIDAS_BOV2,FECHA_BOV2,"&gt;="&amp;CQ$2,FECHA_BOV2,"&lt;="&amp;CQ$3,CLAVE_BOV2,$A335)+SUMIFS(SALIDAS_BOV3,FECHA_BOV3,"&gt;="&amp;CQ$2,FECHA_BOV3,"&lt;="&amp;CQ$3,CLAVE_BOV3,$A335)+SUMIFS(SALIDAS_TC,FECHA_TC,"&gt;="&amp;CQ$2,FECHA_TC,"&lt;="&amp;CQ$3,CLAVE_TC,$A335)+SUMIFS(SALIDAS_COMB,FECHA_COMB,"&gt;="&amp;CQ$2,FECHA_COMB,"&lt;="&amp;CQ$3,CLAVE_COMB,$A335)+SUMIFS(SALIDAS_DES,FECHA_DESGLOSEN,"&gt;="&amp;CQ$2,FECHA_DESGLOSEN,"&lt;="&amp;CQ$3,CLAVE_DESGLOSE,$A335)</f>
        <v>0</v>
      </c>
      <c r="CR335" s="227">
        <f>CK335-CQ335</f>
        <v>0</v>
      </c>
      <c r="CS335" s="301">
        <f>IFERROR((CQ335/CK335),0)</f>
        <v>0</v>
      </c>
      <c r="CT335" s="68">
        <f t="shared" si="712"/>
        <v>13200</v>
      </c>
      <c r="CU335" s="13">
        <f>SUMIFS(SALIDAS_BIT,FECHA_BIT,"&gt;="&amp;CU$2,FECHA_BIT,"&lt;="&amp;CU$3,CLAVE_BIT,$A335)+SUMIFS(SALIDAS_BOV1,FECHA_BOV1,"&gt;="&amp;CU$2,FECHA_BOV1,"&lt;="&amp;CU$3,CLAVE_BOV1,$A335)+SUMIFS(SALIDAS_BOV2,FECHA_BOV2,"&gt;="&amp;CU$2,FECHA_BOV2,"&lt;="&amp;CU$3,CLAVE_BOV2,$A335)+SUMIFS(SALIDAS_BOV3,FECHA_BOV3,"&gt;="&amp;CU$2,FECHA_BOV3,"&lt;="&amp;CU$3,CLAVE_BOV3,$A335)+SUMIFS(SALIDAS_TC,FECHA_TC,"&gt;="&amp;CU$2,FECHA_TC,"&lt;="&amp;CU$3,CLAVE_TC,$A335)+SUMIFS(SALIDAS_COMB,FECHA_COMB,"&gt;="&amp;CU$2,FECHA_COMB,"&lt;="&amp;CU$3,CLAVE_COMB,$A335)+SUMIFS(SALIDAS_DES,FECHA_DESGLOSEN,"&gt;="&amp;CU$2,FECHA_DESGLOSEN,"&lt;="&amp;CU$3,CLAVE_DESGLOSE,$A335)</f>
        <v>0</v>
      </c>
      <c r="CV335" s="13">
        <f>SUMIFS(SALIDAS_BIT,FECHA_BIT,"&gt;="&amp;CV$2,FECHA_BIT,"&lt;="&amp;CV$3,CLAVE_BIT,$A335)+SUMIFS(SALIDAS_BOV1,FECHA_BOV1,"&gt;="&amp;CV$2,FECHA_BOV1,"&lt;="&amp;CV$3,CLAVE_BOV1,$A335)+SUMIFS(SALIDAS_BOV2,FECHA_BOV2,"&gt;="&amp;CV$2,FECHA_BOV2,"&lt;="&amp;CV$3,CLAVE_BOV2,$A335)+SUMIFS(SALIDAS_BOV3,FECHA_BOV3,"&gt;="&amp;CV$2,FECHA_BOV3,"&lt;="&amp;CV$3,CLAVE_BOV3,$A335)+SUMIFS(SALIDAS_TC,FECHA_TC,"&gt;="&amp;CV$2,FECHA_TC,"&lt;="&amp;CV$3,CLAVE_TC,$A335)+SUMIFS(SALIDAS_COMB,FECHA_COMB,"&gt;="&amp;CV$2,FECHA_COMB,"&lt;="&amp;CV$3,CLAVE_COMB,$A335)+SUMIFS(SALIDAS_DES,FECHA_DESGLOSEN,"&gt;="&amp;CV$2,FECHA_DESGLOSEN,"&lt;="&amp;CV$3,CLAVE_DESGLOSE,$A335)</f>
        <v>0</v>
      </c>
      <c r="CW335" s="13">
        <f>SUMIFS(SALIDAS_BIT,FECHA_BIT,"&gt;="&amp;CW$2,FECHA_BIT,"&lt;="&amp;CW$3,CLAVE_BIT,$A335)+SUMIFS(SALIDAS_BOV1,FECHA_BOV1,"&gt;="&amp;CW$2,FECHA_BOV1,"&lt;="&amp;CW$3,CLAVE_BOV1,$A335)+SUMIFS(SALIDAS_BOV2,FECHA_BOV2,"&gt;="&amp;CW$2,FECHA_BOV2,"&lt;="&amp;CW$3,CLAVE_BOV2,$A335)+SUMIFS(SALIDAS_BOV3,FECHA_BOV3,"&gt;="&amp;CW$2,FECHA_BOV3,"&lt;="&amp;CW$3,CLAVE_BOV3,$A335)+SUMIFS(SALIDAS_TC,FECHA_TC,"&gt;="&amp;CW$2,FECHA_TC,"&lt;="&amp;CW$3,CLAVE_TC,$A335)+SUMIFS(SALIDAS_COMB,FECHA_COMB,"&gt;="&amp;CW$2,FECHA_COMB,"&lt;="&amp;CW$3,CLAVE_COMB,$A335)+SUMIFS(SALIDAS_DES,FECHA_DESGLOSEN,"&gt;="&amp;CW$2,FECHA_DESGLOSEN,"&lt;="&amp;CW$3,CLAVE_DESGLOSE,$A335)</f>
        <v>0</v>
      </c>
      <c r="CX335" s="13">
        <f>SUMIFS(SALIDAS_BIT,FECHA_BIT,"&gt;="&amp;CX$2,FECHA_BIT,"&lt;="&amp;CX$3,CLAVE_BIT,$A335)+SUMIFS(SALIDAS_BOV1,FECHA_BOV1,"&gt;="&amp;CX$2,FECHA_BOV1,"&lt;="&amp;CX$3,CLAVE_BOV1,$A335)+SUMIFS(SALIDAS_BOV2,FECHA_BOV2,"&gt;="&amp;CX$2,FECHA_BOV2,"&lt;="&amp;CX$3,CLAVE_BOV2,$A335)+SUMIFS(SALIDAS_BOV3,FECHA_BOV3,"&gt;="&amp;CX$2,FECHA_BOV3,"&lt;="&amp;CX$3,CLAVE_BOV3,$A335)+SUMIFS(SALIDAS_TC,FECHA_TC,"&gt;="&amp;CX$2,FECHA_TC,"&lt;="&amp;CX$3,CLAVE_TC,$A335)+SUMIFS(SALIDAS_COMB,FECHA_COMB,"&gt;="&amp;CX$2,FECHA_COMB,"&lt;="&amp;CX$3,CLAVE_COMB,$A335)+SUMIFS(SALIDAS_DES,FECHA_DESGLOSEN,"&gt;="&amp;CX$2,FECHA_DESGLOSEN,"&lt;="&amp;CX$3,CLAVE_DESGLOSE,$A335)</f>
        <v>0</v>
      </c>
      <c r="CY335" s="13">
        <f>SUMIFS(SALIDAS_BIT,FECHA_BIT,"&gt;="&amp;CY$2,FECHA_BIT,"&lt;="&amp;CY$3,CLAVE_BIT,$A335)+SUMIFS(SALIDAS_BOV1,FECHA_BOV1,"&gt;="&amp;CY$2,FECHA_BOV1,"&lt;="&amp;CY$3,CLAVE_BOV1,$A335)+SUMIFS(SALIDAS_BOV2,FECHA_BOV2,"&gt;="&amp;CY$2,FECHA_BOV2,"&lt;="&amp;CY$3,CLAVE_BOV2,$A335)+SUMIFS(SALIDAS_BOV3,FECHA_BOV3,"&gt;="&amp;CY$2,FECHA_BOV3,"&lt;="&amp;CY$3,CLAVE_BOV3,$A335)+SUMIFS(SALIDAS_TC,FECHA_TC,"&gt;="&amp;CY$2,FECHA_TC,"&lt;="&amp;CY$3,CLAVE_TC,$A335)+SUMIFS(SALIDAS_COMB,FECHA_COMB,"&gt;="&amp;CY$2,FECHA_COMB,"&lt;="&amp;CY$3,CLAVE_COMB,$A335)+SUMIFS(SALIDAS_DES,FECHA_DESGLOSEN,"&gt;="&amp;CY$2,FECHA_DESGLOSEN,"&lt;="&amp;CY$3,CLAVE_DESGLOSE,$A335)</f>
        <v>0</v>
      </c>
      <c r="CZ335" s="68">
        <f t="shared" si="713"/>
        <v>13200</v>
      </c>
      <c r="DB335" s="17">
        <f>F335+N335+W335+AE335+AM335+AV335+BD335+BL335+BU335+CC335+CK335</f>
        <v>0</v>
      </c>
      <c r="DC335" s="17">
        <f>K335+T335+AB335+AJ335+AS335+BA335+BI335+BR335+BZ335+CH335+CQ335</f>
        <v>0</v>
      </c>
    </row>
    <row r="336" spans="1:107" ht="15" hidden="1">
      <c r="A336" s="12" t="str">
        <f>C336&amp;D336&amp;E336</f>
        <v>CAPENERGIA ELECTRICAE11</v>
      </c>
      <c r="B336">
        <v>336</v>
      </c>
      <c r="C336" t="s">
        <v>31</v>
      </c>
      <c r="D336" s="12" t="s">
        <v>87</v>
      </c>
      <c r="E336" t="s">
        <v>118</v>
      </c>
      <c r="F336" s="260">
        <f>VLOOKUP($A336,T_PRESUPUESTO,MATCH(F$6,E_PRESUPUESTO,0),FALSE)</f>
        <v>0</v>
      </c>
      <c r="G336" s="162">
        <f>SUMIFS(SALIDAS_BIT,FECHA_BIT,"&gt;="&amp;G$2,FECHA_BIT,"&lt;="&amp;G$3,CLAVE_BIT,$A336)+SUMIFS(SALIDAS_BOV1,FECHA_BOV1,"&gt;="&amp;G$2,FECHA_BOV1,"&lt;="&amp;G$3,CLAVE_BOV1,$A336)+SUMIFS(SALIDAS_BOV2,FECHA_BOV2,"&gt;="&amp;G$2,FECHA_BOV2,"&lt;="&amp;G$3,CLAVE_BOV2,$A336)+SUMIFS(SALIDAS_BOV3,FECHA_BOV3,"&gt;="&amp;G$2,FECHA_BOV3,"&lt;="&amp;G$3,CLAVE_BOV3,$A336)+SUMIFS(SALIDAS_TC,FECHA_TC,"&gt;="&amp;G$2,FECHA_TC,"&lt;="&amp;G$3,CLAVE_TC,$A336)+SUMIFS(SALIDAS_COMB,FECHA_COMB,"&gt;="&amp;G$2,FECHA_COMB,"&lt;="&amp;G$3,CLAVE_COMB,$A336)+SUMIFS(SALIDAS_DES,FECHA_DESGLOSEN,"&gt;="&amp;G$2,FECHA_DESGLOSEN,"&lt;="&amp;G$3,CLAVE_DESGLOSE,$A336)</f>
        <v>0</v>
      </c>
      <c r="H336" s="162">
        <f>SUMIFS(SALIDAS_BIT,FECHA_BIT,"&gt;="&amp;H$2,FECHA_BIT,"&lt;="&amp;H$3,CLAVE_BIT,$A336)+SUMIFS(SALIDAS_BOV1,FECHA_BOV1,"&gt;="&amp;H$2,FECHA_BOV1,"&lt;="&amp;H$3,CLAVE_BOV1,$A336)+SUMIFS(SALIDAS_BOV2,FECHA_BOV2,"&gt;="&amp;H$2,FECHA_BOV2,"&lt;="&amp;H$3,CLAVE_BOV2,$A336)+SUMIFS(SALIDAS_BOV3,FECHA_BOV3,"&gt;="&amp;H$2,FECHA_BOV3,"&lt;="&amp;H$3,CLAVE_BOV3,$A336)+SUMIFS(SALIDAS_TC,FECHA_TC,"&gt;="&amp;H$2,FECHA_TC,"&lt;="&amp;H$3,CLAVE_TC,$A336)+SUMIFS(SALIDAS_COMB,FECHA_COMB,"&gt;="&amp;H$2,FECHA_COMB,"&lt;="&amp;H$3,CLAVE_COMB,$A336)+SUMIFS(SALIDAS_DES,FECHA_DESGLOSEN,"&gt;="&amp;H$2,FECHA_DESGLOSEN,"&lt;="&amp;H$3,CLAVE_DESGLOSE,$A336)</f>
        <v>0</v>
      </c>
      <c r="I336" s="162">
        <f>SUMIFS(SALIDAS_BIT,FECHA_BIT,"&gt;="&amp;I$2,FECHA_BIT,"&lt;="&amp;I$3,CLAVE_BIT,$A336)+SUMIFS(SALIDAS_BOV1,FECHA_BOV1,"&gt;="&amp;I$2,FECHA_BOV1,"&lt;="&amp;I$3,CLAVE_BOV1,$A336)+SUMIFS(SALIDAS_BOV2,FECHA_BOV2,"&gt;="&amp;I$2,FECHA_BOV2,"&lt;="&amp;I$3,CLAVE_BOV2,$A336)+SUMIFS(SALIDAS_BOV3,FECHA_BOV3,"&gt;="&amp;I$2,FECHA_BOV3,"&lt;="&amp;I$3,CLAVE_BOV3,$A336)+SUMIFS(SALIDAS_TC,FECHA_TC,"&gt;="&amp;I$2,FECHA_TC,"&lt;="&amp;I$3,CLAVE_TC,$A336)+SUMIFS(SALIDAS_COMB,FECHA_COMB,"&gt;="&amp;I$2,FECHA_COMB,"&lt;="&amp;I$3,CLAVE_COMB,$A336)+SUMIFS(SALIDAS_DES,FECHA_DESGLOSEN,"&gt;="&amp;I$2,FECHA_DESGLOSEN,"&lt;="&amp;I$3,CLAVE_DESGLOSE,$A336)</f>
        <v>0</v>
      </c>
      <c r="J336" s="162">
        <f>SUMIFS(SALIDAS_BIT,FECHA_BIT,"&gt;="&amp;J$2,FECHA_BIT,"&lt;="&amp;J$3,CLAVE_BIT,$A336)+SUMIFS(SALIDAS_BOV1,FECHA_BOV1,"&gt;="&amp;J$2,FECHA_BOV1,"&lt;="&amp;J$3,CLAVE_BOV1,$A336)+SUMIFS(SALIDAS_BOV2,FECHA_BOV2,"&gt;="&amp;J$2,FECHA_BOV2,"&lt;="&amp;J$3,CLAVE_BOV2,$A336)+SUMIFS(SALIDAS_BOV3,FECHA_BOV3,"&gt;="&amp;J$2,FECHA_BOV3,"&lt;="&amp;J$3,CLAVE_BOV3,$A336)+SUMIFS(SALIDAS_TC,FECHA_TC,"&gt;="&amp;J$2,FECHA_TC,"&lt;="&amp;J$3,CLAVE_TC,$A336)+SUMIFS(SALIDAS_COMB,FECHA_COMB,"&gt;="&amp;J$2,FECHA_COMB,"&lt;="&amp;J$3,CLAVE_COMB,$A336)+SUMIFS(SALIDAS_DES,FECHA_DESGLOSEN,"&gt;="&amp;J$2,FECHA_DESGLOSEN,"&lt;="&amp;J$3,CLAVE_DESGLOSE,$A336)</f>
        <v>0</v>
      </c>
      <c r="K336" s="162">
        <f>SUMIFS(SALIDAS_BIT,FECHA_BIT,"&gt;="&amp;K$2,FECHA_BIT,"&lt;="&amp;K$3,CLAVE_BIT,$A336)+SUMIFS(SALIDAS_BOV1,FECHA_BOV1,"&gt;="&amp;K$2,FECHA_BOV1,"&lt;="&amp;K$3,CLAVE_BOV1,$A336)+SUMIFS(SALIDAS_BOV2,FECHA_BOV2,"&gt;="&amp;K$2,FECHA_BOV2,"&lt;="&amp;K$3,CLAVE_BOV2,$A336)+SUMIFS(SALIDAS_BOV3,FECHA_BOV3,"&gt;="&amp;K$2,FECHA_BOV3,"&lt;="&amp;K$3,CLAVE_BOV3,$A336)+SUMIFS(SALIDAS_TC,FECHA_TC,"&gt;="&amp;K$2,FECHA_TC,"&lt;="&amp;K$3,CLAVE_TC,$A336)+SUMIFS(SALIDAS_COMB,FECHA_COMB,"&gt;="&amp;K$2,FECHA_COMB,"&lt;="&amp;K$3,CLAVE_COMB,$A336)+SUMIFS(SALIDAS_DES,FECHA_DESGLOSEN,"&gt;="&amp;K$2,FECHA_DESGLOSEN,"&lt;="&amp;K$3,CLAVE_DESGLOSE,$A336)</f>
        <v>0</v>
      </c>
      <c r="L336" s="227">
        <f t="shared" ref="L336:L337" si="736">F336-K336</f>
        <v>0</v>
      </c>
      <c r="M336" s="301">
        <f t="shared" ref="M336:M337" si="737">IFERROR((K336/F336),0)</f>
        <v>0</v>
      </c>
      <c r="N336" s="162">
        <f>VLOOKUP($A336,T_PRESUPUESTO,MATCH(N$6,E_PRESUPUESTO,0),FALSE)</f>
        <v>0</v>
      </c>
      <c r="O336" s="162">
        <f>SUMIFS(SALIDAS_BIT,FECHA_BIT,"&gt;="&amp;O$2,FECHA_BIT,"&lt;="&amp;O$3,CLAVE_BIT,$A336)+SUMIFS(SALIDAS_BOV1,FECHA_BOV1,"&gt;="&amp;O$2,FECHA_BOV1,"&lt;="&amp;O$3,CLAVE_BOV1,$A336)+SUMIFS(SALIDAS_BOV2,FECHA_BOV2,"&gt;="&amp;O$2,FECHA_BOV2,"&lt;="&amp;O$3,CLAVE_BOV2,$A336)+SUMIFS(SALIDAS_BOV3,FECHA_BOV3,"&gt;="&amp;O$2,FECHA_BOV3,"&lt;="&amp;O$3,CLAVE_BOV3,$A336)+SUMIFS(SALIDAS_TC,FECHA_TC,"&gt;="&amp;O$2,FECHA_TC,"&lt;="&amp;O$3,CLAVE_TC,$A336)+SUMIFS(SALIDAS_COMB,FECHA_COMB,"&gt;="&amp;O$2,FECHA_COMB,"&lt;="&amp;O$3,CLAVE_COMB,$A336)+SUMIFS(SALIDAS_DES,FECHA_DESGLOSEN,"&gt;="&amp;O$2,FECHA_DESGLOSEN,"&lt;="&amp;O$3,CLAVE_DESGLOSE,$A336)</f>
        <v>0</v>
      </c>
      <c r="P336" s="162">
        <f>SUMIFS(SALIDAS_BIT,FECHA_BIT,"&gt;="&amp;P$2,FECHA_BIT,"&lt;="&amp;P$3,CLAVE_BIT,$A336)+SUMIFS(SALIDAS_BOV1,FECHA_BOV1,"&gt;="&amp;P$2,FECHA_BOV1,"&lt;="&amp;P$3,CLAVE_BOV1,$A336)+SUMIFS(SALIDAS_BOV2,FECHA_BOV2,"&gt;="&amp;P$2,FECHA_BOV2,"&lt;="&amp;P$3,CLAVE_BOV2,$A336)+SUMIFS(SALIDAS_BOV3,FECHA_BOV3,"&gt;="&amp;P$2,FECHA_BOV3,"&lt;="&amp;P$3,CLAVE_BOV3,$A336)+SUMIFS(SALIDAS_TC,FECHA_TC,"&gt;="&amp;P$2,FECHA_TC,"&lt;="&amp;P$3,CLAVE_TC,$A336)+SUMIFS(SALIDAS_COMB,FECHA_COMB,"&gt;="&amp;P$2,FECHA_COMB,"&lt;="&amp;P$3,CLAVE_COMB,$A336)+SUMIFS(SALIDAS_DES,FECHA_DESGLOSEN,"&gt;="&amp;P$2,FECHA_DESGLOSEN,"&lt;="&amp;P$3,CLAVE_DESGLOSE,$A336)</f>
        <v>0</v>
      </c>
      <c r="Q336" s="162">
        <f>SUMIFS(SALIDAS_BIT,FECHA_BIT,"&gt;="&amp;Q$2,FECHA_BIT,"&lt;="&amp;Q$3,CLAVE_BIT,$A336)+SUMIFS(SALIDAS_BOV1,FECHA_BOV1,"&gt;="&amp;Q$2,FECHA_BOV1,"&lt;="&amp;Q$3,CLAVE_BOV1,$A336)+SUMIFS(SALIDAS_BOV2,FECHA_BOV2,"&gt;="&amp;Q$2,FECHA_BOV2,"&lt;="&amp;Q$3,CLAVE_BOV2,$A336)+SUMIFS(SALIDAS_BOV3,FECHA_BOV3,"&gt;="&amp;Q$2,FECHA_BOV3,"&lt;="&amp;Q$3,CLAVE_BOV3,$A336)+SUMIFS(SALIDAS_TC,FECHA_TC,"&gt;="&amp;Q$2,FECHA_TC,"&lt;="&amp;Q$3,CLAVE_TC,$A336)+SUMIFS(SALIDAS_COMB,FECHA_COMB,"&gt;="&amp;Q$2,FECHA_COMB,"&lt;="&amp;Q$3,CLAVE_COMB,$A336)+SUMIFS(SALIDAS_DES,FECHA_DESGLOSEN,"&gt;="&amp;Q$2,FECHA_DESGLOSEN,"&lt;="&amp;Q$3,CLAVE_DESGLOSE,$A336)</f>
        <v>0</v>
      </c>
      <c r="R336" s="162">
        <f>SUMIFS(SALIDAS_BIT,FECHA_BIT,"&gt;="&amp;R$2,FECHA_BIT,"&lt;="&amp;R$3,CLAVE_BIT,$A336)+SUMIFS(SALIDAS_BOV1,FECHA_BOV1,"&gt;="&amp;R$2,FECHA_BOV1,"&lt;="&amp;R$3,CLAVE_BOV1,$A336)+SUMIFS(SALIDAS_BOV2,FECHA_BOV2,"&gt;="&amp;R$2,FECHA_BOV2,"&lt;="&amp;R$3,CLAVE_BOV2,$A336)+SUMIFS(SALIDAS_BOV3,FECHA_BOV3,"&gt;="&amp;R$2,FECHA_BOV3,"&lt;="&amp;R$3,CLAVE_BOV3,$A336)+SUMIFS(SALIDAS_TC,FECHA_TC,"&gt;="&amp;R$2,FECHA_TC,"&lt;="&amp;R$3,CLAVE_TC,$A336)+SUMIFS(SALIDAS_COMB,FECHA_COMB,"&gt;="&amp;R$2,FECHA_COMB,"&lt;="&amp;R$3,CLAVE_COMB,$A336)+SUMIFS(SALIDAS_DES,FECHA_DESGLOSEN,"&gt;="&amp;R$2,FECHA_DESGLOSEN,"&lt;="&amp;R$3,CLAVE_DESGLOSE,$A336)</f>
        <v>0</v>
      </c>
      <c r="S336" s="162">
        <f>SUMIFS(SALIDAS_BIT,FECHA_BIT,"&gt;="&amp;S$2,FECHA_BIT,"&lt;="&amp;S$3,CLAVE_BIT,$A336)+SUMIFS(SALIDAS_BOV1,FECHA_BOV1,"&gt;="&amp;S$2,FECHA_BOV1,"&lt;="&amp;S$3,CLAVE_BOV1,$A336)+SUMIFS(SALIDAS_BOV2,FECHA_BOV2,"&gt;="&amp;S$2,FECHA_BOV2,"&lt;="&amp;S$3,CLAVE_BOV2,$A336)+SUMIFS(SALIDAS_BOV3,FECHA_BOV3,"&gt;="&amp;S$2,FECHA_BOV3,"&lt;="&amp;S$3,CLAVE_BOV3,$A336)+SUMIFS(SALIDAS_TC,FECHA_TC,"&gt;="&amp;S$2,FECHA_TC,"&lt;="&amp;S$3,CLAVE_TC,$A336)+SUMIFS(SALIDAS_COMB,FECHA_COMB,"&gt;="&amp;S$2,FECHA_COMB,"&lt;="&amp;S$3,CLAVE_COMB,$A336)+SUMIFS(SALIDAS_DES,FECHA_DESGLOSEN,"&gt;="&amp;S$2,FECHA_DESGLOSEN,"&lt;="&amp;S$3,CLAVE_DESGLOSE,$A336)</f>
        <v>0</v>
      </c>
      <c r="T336" s="162">
        <f>SUMIFS(SALIDAS_BIT,FECHA_BIT,"&gt;="&amp;T$2,FECHA_BIT,"&lt;="&amp;T$3,CLAVE_BIT,$A336)+SUMIFS(SALIDAS_BOV1,FECHA_BOV1,"&gt;="&amp;T$2,FECHA_BOV1,"&lt;="&amp;T$3,CLAVE_BOV1,$A336)+SUMIFS(SALIDAS_BOV2,FECHA_BOV2,"&gt;="&amp;T$2,FECHA_BOV2,"&lt;="&amp;T$3,CLAVE_BOV2,$A336)+SUMIFS(SALIDAS_BOV3,FECHA_BOV3,"&gt;="&amp;T$2,FECHA_BOV3,"&lt;="&amp;T$3,CLAVE_BOV3,$A336)+SUMIFS(SALIDAS_TC,FECHA_TC,"&gt;="&amp;T$2,FECHA_TC,"&lt;="&amp;T$3,CLAVE_TC,$A336)+SUMIFS(SALIDAS_COMB,FECHA_COMB,"&gt;="&amp;T$2,FECHA_COMB,"&lt;="&amp;T$3,CLAVE_COMB,$A336)+SUMIFS(SALIDAS_DES,FECHA_DESGLOSEN,"&gt;="&amp;T$2,FECHA_DESGLOSEN,"&lt;="&amp;T$3,CLAVE_DESGLOSE,$A336)</f>
        <v>0</v>
      </c>
      <c r="U336" s="227">
        <f t="shared" ref="U336:U337" si="738">N336-T336</f>
        <v>0</v>
      </c>
      <c r="V336" s="301">
        <f t="shared" ref="V336:V337" si="739">IFERROR((T336/N336),0)</f>
        <v>0</v>
      </c>
      <c r="W336" s="162">
        <f>VLOOKUP($A336,T_PRESUPUESTO,MATCH(W$6,E_PRESUPUESTO,0),FALSE)</f>
        <v>0</v>
      </c>
      <c r="X336" s="162">
        <f>SUMIFS(SALIDAS_BIT,FECHA_BIT,"&gt;="&amp;X$2,FECHA_BIT,"&lt;="&amp;X$3,CLAVE_BIT,$A336)+SUMIFS(SALIDAS_BOV1,FECHA_BOV1,"&gt;="&amp;X$2,FECHA_BOV1,"&lt;="&amp;X$3,CLAVE_BOV1,$A336)+SUMIFS(SALIDAS_BOV2,FECHA_BOV2,"&gt;="&amp;X$2,FECHA_BOV2,"&lt;="&amp;X$3,CLAVE_BOV2,$A336)+SUMIFS(SALIDAS_BOV3,FECHA_BOV3,"&gt;="&amp;X$2,FECHA_BOV3,"&lt;="&amp;X$3,CLAVE_BOV3,$A336)+SUMIFS(SALIDAS_TC,FECHA_TC,"&gt;="&amp;X$2,FECHA_TC,"&lt;="&amp;X$3,CLAVE_TC,$A336)+SUMIFS(SALIDAS_COMB,FECHA_COMB,"&gt;="&amp;X$2,FECHA_COMB,"&lt;="&amp;X$3,CLAVE_COMB,$A336)+SUMIFS(SALIDAS_DES,FECHA_DESGLOSEN,"&gt;="&amp;X$2,FECHA_DESGLOSEN,"&lt;="&amp;X$3,CLAVE_DESGLOSE,$A336)</f>
        <v>0</v>
      </c>
      <c r="Y336" s="162">
        <f>SUMIFS(SALIDAS_BIT,FECHA_BIT,"&gt;="&amp;Y$2,FECHA_BIT,"&lt;="&amp;Y$3,CLAVE_BIT,$A336)+SUMIFS(SALIDAS_BOV1,FECHA_BOV1,"&gt;="&amp;Y$2,FECHA_BOV1,"&lt;="&amp;Y$3,CLAVE_BOV1,$A336)+SUMIFS(SALIDAS_BOV2,FECHA_BOV2,"&gt;="&amp;Y$2,FECHA_BOV2,"&lt;="&amp;Y$3,CLAVE_BOV2,$A336)+SUMIFS(SALIDAS_BOV3,FECHA_BOV3,"&gt;="&amp;Y$2,FECHA_BOV3,"&lt;="&amp;Y$3,CLAVE_BOV3,$A336)+SUMIFS(SALIDAS_TC,FECHA_TC,"&gt;="&amp;Y$2,FECHA_TC,"&lt;="&amp;Y$3,CLAVE_TC,$A336)+SUMIFS(SALIDAS_COMB,FECHA_COMB,"&gt;="&amp;Y$2,FECHA_COMB,"&lt;="&amp;Y$3,CLAVE_COMB,$A336)+SUMIFS(SALIDAS_DES,FECHA_DESGLOSEN,"&gt;="&amp;Y$2,FECHA_DESGLOSEN,"&lt;="&amp;Y$3,CLAVE_DESGLOSE,$A336)</f>
        <v>0</v>
      </c>
      <c r="Z336" s="162">
        <f>SUMIFS(SALIDAS_BIT,FECHA_BIT,"&gt;="&amp;Z$2,FECHA_BIT,"&lt;="&amp;Z$3,CLAVE_BIT,$A336)+SUMIFS(SALIDAS_BOV1,FECHA_BOV1,"&gt;="&amp;Z$2,FECHA_BOV1,"&lt;="&amp;Z$3,CLAVE_BOV1,$A336)+SUMIFS(SALIDAS_BOV2,FECHA_BOV2,"&gt;="&amp;Z$2,FECHA_BOV2,"&lt;="&amp;Z$3,CLAVE_BOV2,$A336)+SUMIFS(SALIDAS_BOV3,FECHA_BOV3,"&gt;="&amp;Z$2,FECHA_BOV3,"&lt;="&amp;Z$3,CLAVE_BOV3,$A336)+SUMIFS(SALIDAS_TC,FECHA_TC,"&gt;="&amp;Z$2,FECHA_TC,"&lt;="&amp;Z$3,CLAVE_TC,$A336)+SUMIFS(SALIDAS_COMB,FECHA_COMB,"&gt;="&amp;Z$2,FECHA_COMB,"&lt;="&amp;Z$3,CLAVE_COMB,$A336)+SUMIFS(SALIDAS_DES,FECHA_DESGLOSEN,"&gt;="&amp;Z$2,FECHA_DESGLOSEN,"&lt;="&amp;Z$3,CLAVE_DESGLOSE,$A336)</f>
        <v>0</v>
      </c>
      <c r="AA336" s="162">
        <f>SUMIFS(SALIDAS_BIT,FECHA_BIT,"&gt;="&amp;AA$2,FECHA_BIT,"&lt;="&amp;AA$3,CLAVE_BIT,$A336)+SUMIFS(SALIDAS_BOV1,FECHA_BOV1,"&gt;="&amp;AA$2,FECHA_BOV1,"&lt;="&amp;AA$3,CLAVE_BOV1,$A336)+SUMIFS(SALIDAS_BOV2,FECHA_BOV2,"&gt;="&amp;AA$2,FECHA_BOV2,"&lt;="&amp;AA$3,CLAVE_BOV2,$A336)+SUMIFS(SALIDAS_BOV3,FECHA_BOV3,"&gt;="&amp;AA$2,FECHA_BOV3,"&lt;="&amp;AA$3,CLAVE_BOV3,$A336)+SUMIFS(SALIDAS_TC,FECHA_TC,"&gt;="&amp;AA$2,FECHA_TC,"&lt;="&amp;AA$3,CLAVE_TC,$A336)+SUMIFS(SALIDAS_COMB,FECHA_COMB,"&gt;="&amp;AA$2,FECHA_COMB,"&lt;="&amp;AA$3,CLAVE_COMB,$A336)+SUMIFS(SALIDAS_DES,FECHA_DESGLOSEN,"&gt;="&amp;AA$2,FECHA_DESGLOSEN,"&lt;="&amp;AA$3,CLAVE_DESGLOSE,$A336)</f>
        <v>0</v>
      </c>
      <c r="AB336" s="162">
        <f>SUMIFS(SALIDAS_BIT,FECHA_BIT,"&gt;="&amp;AB$2,FECHA_BIT,"&lt;="&amp;AB$3,CLAVE_BIT,$A336)+SUMIFS(SALIDAS_BOV1,FECHA_BOV1,"&gt;="&amp;AB$2,FECHA_BOV1,"&lt;="&amp;AB$3,CLAVE_BOV1,$A336)+SUMIFS(SALIDAS_BOV2,FECHA_BOV2,"&gt;="&amp;AB$2,FECHA_BOV2,"&lt;="&amp;AB$3,CLAVE_BOV2,$A336)+SUMIFS(SALIDAS_BOV3,FECHA_BOV3,"&gt;="&amp;AB$2,FECHA_BOV3,"&lt;="&amp;AB$3,CLAVE_BOV3,$A336)+SUMIFS(SALIDAS_TC,FECHA_TC,"&gt;="&amp;AB$2,FECHA_TC,"&lt;="&amp;AB$3,CLAVE_TC,$A336)+SUMIFS(SALIDAS_COMB,FECHA_COMB,"&gt;="&amp;AB$2,FECHA_COMB,"&lt;="&amp;AB$3,CLAVE_COMB,$A336)+SUMIFS(SALIDAS_DES,FECHA_DESGLOSEN,"&gt;="&amp;AB$2,FECHA_DESGLOSEN,"&lt;="&amp;AB$3,CLAVE_DESGLOSE,$A336)</f>
        <v>0</v>
      </c>
      <c r="AC336" s="227">
        <f t="shared" ref="AC336:AC337" si="740">W336-AB336</f>
        <v>0</v>
      </c>
      <c r="AD336" s="301">
        <f t="shared" ref="AD336:AD337" si="741">IFERROR((AB336/W336),0)</f>
        <v>0</v>
      </c>
      <c r="AE336" s="162">
        <f>VLOOKUP($A336,T_PRESUPUESTO,MATCH(AE$6,E_PRESUPUESTO,0),FALSE)</f>
        <v>0</v>
      </c>
      <c r="AF336" s="162">
        <f>SUMIFS(SALIDAS_BIT,FECHA_BIT,"&gt;="&amp;AF$2,FECHA_BIT,"&lt;="&amp;AF$3,CLAVE_BIT,$A336)+SUMIFS(SALIDAS_BOV1,FECHA_BOV1,"&gt;="&amp;AF$2,FECHA_BOV1,"&lt;="&amp;AF$3,CLAVE_BOV1,$A336)+SUMIFS(SALIDAS_BOV2,FECHA_BOV2,"&gt;="&amp;AF$2,FECHA_BOV2,"&lt;="&amp;AF$3,CLAVE_BOV2,$A336)+SUMIFS(SALIDAS_BOV3,FECHA_BOV3,"&gt;="&amp;AF$2,FECHA_BOV3,"&lt;="&amp;AF$3,CLAVE_BOV3,$A336)+SUMIFS(SALIDAS_TC,FECHA_TC,"&gt;="&amp;AF$2,FECHA_TC,"&lt;="&amp;AF$3,CLAVE_TC,$A336)+SUMIFS(SALIDAS_COMB,FECHA_COMB,"&gt;="&amp;AF$2,FECHA_COMB,"&lt;="&amp;AF$3,CLAVE_COMB,$A336)+SUMIFS(SALIDAS_DES,FECHA_DESGLOSEN,"&gt;="&amp;AF$2,FECHA_DESGLOSEN,"&lt;="&amp;AF$3,CLAVE_DESGLOSE,$A336)</f>
        <v>0</v>
      </c>
      <c r="AG336" s="162">
        <f>SUMIFS(SALIDAS_BIT,FECHA_BIT,"&gt;="&amp;AG$2,FECHA_BIT,"&lt;="&amp;AG$3,CLAVE_BIT,$A336)+SUMIFS(SALIDAS_BOV1,FECHA_BOV1,"&gt;="&amp;AG$2,FECHA_BOV1,"&lt;="&amp;AG$3,CLAVE_BOV1,$A336)+SUMIFS(SALIDAS_BOV2,FECHA_BOV2,"&gt;="&amp;AG$2,FECHA_BOV2,"&lt;="&amp;AG$3,CLAVE_BOV2,$A336)+SUMIFS(SALIDAS_BOV3,FECHA_BOV3,"&gt;="&amp;AG$2,FECHA_BOV3,"&lt;="&amp;AG$3,CLAVE_BOV3,$A336)+SUMIFS(SALIDAS_TC,FECHA_TC,"&gt;="&amp;AG$2,FECHA_TC,"&lt;="&amp;AG$3,CLAVE_TC,$A336)+SUMIFS(SALIDAS_COMB,FECHA_COMB,"&gt;="&amp;AG$2,FECHA_COMB,"&lt;="&amp;AG$3,CLAVE_COMB,$A336)+SUMIFS(SALIDAS_DES,FECHA_DESGLOSEN,"&gt;="&amp;AG$2,FECHA_DESGLOSEN,"&lt;="&amp;AG$3,CLAVE_DESGLOSE,$A336)</f>
        <v>0</v>
      </c>
      <c r="AH336" s="162">
        <f>SUMIFS(SALIDAS_BIT,FECHA_BIT,"&gt;="&amp;AH$2,FECHA_BIT,"&lt;="&amp;AH$3,CLAVE_BIT,$A336)+SUMIFS(SALIDAS_BOV1,FECHA_BOV1,"&gt;="&amp;AH$2,FECHA_BOV1,"&lt;="&amp;AH$3,CLAVE_BOV1,$A336)+SUMIFS(SALIDAS_BOV2,FECHA_BOV2,"&gt;="&amp;AH$2,FECHA_BOV2,"&lt;="&amp;AH$3,CLAVE_BOV2,$A336)+SUMIFS(SALIDAS_BOV3,FECHA_BOV3,"&gt;="&amp;AH$2,FECHA_BOV3,"&lt;="&amp;AH$3,CLAVE_BOV3,$A336)+SUMIFS(SALIDAS_TC,FECHA_TC,"&gt;="&amp;AH$2,FECHA_TC,"&lt;="&amp;AH$3,CLAVE_TC,$A336)+SUMIFS(SALIDAS_COMB,FECHA_COMB,"&gt;="&amp;AH$2,FECHA_COMB,"&lt;="&amp;AH$3,CLAVE_COMB,$A336)+SUMIFS(SALIDAS_DES,FECHA_DESGLOSEN,"&gt;="&amp;AH$2,FECHA_DESGLOSEN,"&lt;="&amp;AH$3,CLAVE_DESGLOSE,$A336)</f>
        <v>0</v>
      </c>
      <c r="AI336" s="162">
        <f>SUMIFS(SALIDAS_BIT,FECHA_BIT,"&gt;="&amp;AI$2,FECHA_BIT,"&lt;="&amp;AI$3,CLAVE_BIT,$A336)+SUMIFS(SALIDAS_BOV1,FECHA_BOV1,"&gt;="&amp;AI$2,FECHA_BOV1,"&lt;="&amp;AI$3,CLAVE_BOV1,$A336)+SUMIFS(SALIDAS_BOV2,FECHA_BOV2,"&gt;="&amp;AI$2,FECHA_BOV2,"&lt;="&amp;AI$3,CLAVE_BOV2,$A336)+SUMIFS(SALIDAS_BOV3,FECHA_BOV3,"&gt;="&amp;AI$2,FECHA_BOV3,"&lt;="&amp;AI$3,CLAVE_BOV3,$A336)+SUMIFS(SALIDAS_TC,FECHA_TC,"&gt;="&amp;AI$2,FECHA_TC,"&lt;="&amp;AI$3,CLAVE_TC,$A336)+SUMIFS(SALIDAS_COMB,FECHA_COMB,"&gt;="&amp;AI$2,FECHA_COMB,"&lt;="&amp;AI$3,CLAVE_COMB,$A336)+SUMIFS(SALIDAS_DES,FECHA_DESGLOSEN,"&gt;="&amp;AI$2,FECHA_DESGLOSEN,"&lt;="&amp;AI$3,CLAVE_DESGLOSE,$A336)</f>
        <v>0</v>
      </c>
      <c r="AJ336" s="162">
        <f>SUMIFS(SALIDAS_BIT,FECHA_BIT,"&gt;="&amp;AJ$2,FECHA_BIT,"&lt;="&amp;AJ$3,CLAVE_BIT,$A336)+SUMIFS(SALIDAS_BOV1,FECHA_BOV1,"&gt;="&amp;AJ$2,FECHA_BOV1,"&lt;="&amp;AJ$3,CLAVE_BOV1,$A336)+SUMIFS(SALIDAS_BOV2,FECHA_BOV2,"&gt;="&amp;AJ$2,FECHA_BOV2,"&lt;="&amp;AJ$3,CLAVE_BOV2,$A336)+SUMIFS(SALIDAS_BOV3,FECHA_BOV3,"&gt;="&amp;AJ$2,FECHA_BOV3,"&lt;="&amp;AJ$3,CLAVE_BOV3,$A336)+SUMIFS(SALIDAS_TC,FECHA_TC,"&gt;="&amp;AJ$2,FECHA_TC,"&lt;="&amp;AJ$3,CLAVE_TC,$A336)+SUMIFS(SALIDAS_COMB,FECHA_COMB,"&gt;="&amp;AJ$2,FECHA_COMB,"&lt;="&amp;AJ$3,CLAVE_COMB,$A336)+SUMIFS(SALIDAS_DES,FECHA_DESGLOSEN,"&gt;="&amp;AJ$2,FECHA_DESGLOSEN,"&lt;="&amp;AJ$3,CLAVE_DESGLOSE,$A336)</f>
        <v>0</v>
      </c>
      <c r="AK336" s="227">
        <f t="shared" ref="AK336:AK337" si="742">AE336-AJ336</f>
        <v>0</v>
      </c>
      <c r="AL336" s="301">
        <f t="shared" ref="AL336:AL337" si="743">IFERROR((AJ336/AE336),0)</f>
        <v>0</v>
      </c>
      <c r="AM336" s="162">
        <f>VLOOKUP($A336,T_PRESUPUESTO,MATCH(AM$6,E_PRESUPUESTO,0),FALSE)</f>
        <v>0</v>
      </c>
      <c r="AN336" s="162">
        <f>SUMIFS(SALIDAS_BIT,FECHA_BIT,"&gt;="&amp;AN$2,FECHA_BIT,"&lt;="&amp;AN$3,CLAVE_BIT,$A336)+SUMIFS(SALIDAS_BOV1,FECHA_BOV1,"&gt;="&amp;AN$2,FECHA_BOV1,"&lt;="&amp;AN$3,CLAVE_BOV1,$A336)+SUMIFS(SALIDAS_BOV2,FECHA_BOV2,"&gt;="&amp;AN$2,FECHA_BOV2,"&lt;="&amp;AN$3,CLAVE_BOV2,$A336)+SUMIFS(SALIDAS_BOV3,FECHA_BOV3,"&gt;="&amp;AN$2,FECHA_BOV3,"&lt;="&amp;AN$3,CLAVE_BOV3,$A336)+SUMIFS(SALIDAS_TC,FECHA_TC,"&gt;="&amp;AN$2,FECHA_TC,"&lt;="&amp;AN$3,CLAVE_TC,$A336)+SUMIFS(SALIDAS_COMB,FECHA_COMB,"&gt;="&amp;AN$2,FECHA_COMB,"&lt;="&amp;AN$3,CLAVE_COMB,$A336)+SUMIFS(SALIDAS_DES,FECHA_DESGLOSEN,"&gt;="&amp;AN$2,FECHA_DESGLOSEN,"&lt;="&amp;AN$3,CLAVE_DESGLOSE,$A336)</f>
        <v>0</v>
      </c>
      <c r="AO336" s="162">
        <f>SUMIFS(SALIDAS_BIT,FECHA_BIT,"&gt;="&amp;AO$2,FECHA_BIT,"&lt;="&amp;AO$3,CLAVE_BIT,$A336)+SUMIFS(SALIDAS_BOV1,FECHA_BOV1,"&gt;="&amp;AO$2,FECHA_BOV1,"&lt;="&amp;AO$3,CLAVE_BOV1,$A336)+SUMIFS(SALIDAS_BOV2,FECHA_BOV2,"&gt;="&amp;AO$2,FECHA_BOV2,"&lt;="&amp;AO$3,CLAVE_BOV2,$A336)+SUMIFS(SALIDAS_BOV3,FECHA_BOV3,"&gt;="&amp;AO$2,FECHA_BOV3,"&lt;="&amp;AO$3,CLAVE_BOV3,$A336)+SUMIFS(SALIDAS_TC,FECHA_TC,"&gt;="&amp;AO$2,FECHA_TC,"&lt;="&amp;AO$3,CLAVE_TC,$A336)+SUMIFS(SALIDAS_COMB,FECHA_COMB,"&gt;="&amp;AO$2,FECHA_COMB,"&lt;="&amp;AO$3,CLAVE_COMB,$A336)+SUMIFS(SALIDAS_DES,FECHA_DESGLOSEN,"&gt;="&amp;AO$2,FECHA_DESGLOSEN,"&lt;="&amp;AO$3,CLAVE_DESGLOSE,$A336)</f>
        <v>0</v>
      </c>
      <c r="AP336" s="162">
        <f>SUMIFS(SALIDAS_BIT,FECHA_BIT,"&gt;="&amp;AP$2,FECHA_BIT,"&lt;="&amp;AP$3,CLAVE_BIT,$A336)+SUMIFS(SALIDAS_BOV1,FECHA_BOV1,"&gt;="&amp;AP$2,FECHA_BOV1,"&lt;="&amp;AP$3,CLAVE_BOV1,$A336)+SUMIFS(SALIDAS_BOV2,FECHA_BOV2,"&gt;="&amp;AP$2,FECHA_BOV2,"&lt;="&amp;AP$3,CLAVE_BOV2,$A336)+SUMIFS(SALIDAS_BOV3,FECHA_BOV3,"&gt;="&amp;AP$2,FECHA_BOV3,"&lt;="&amp;AP$3,CLAVE_BOV3,$A336)+SUMIFS(SALIDAS_TC,FECHA_TC,"&gt;="&amp;AP$2,FECHA_TC,"&lt;="&amp;AP$3,CLAVE_TC,$A336)+SUMIFS(SALIDAS_COMB,FECHA_COMB,"&gt;="&amp;AP$2,FECHA_COMB,"&lt;="&amp;AP$3,CLAVE_COMB,$A336)+SUMIFS(SALIDAS_DES,FECHA_DESGLOSEN,"&gt;="&amp;AP$2,FECHA_DESGLOSEN,"&lt;="&amp;AP$3,CLAVE_DESGLOSE,$A336)</f>
        <v>0</v>
      </c>
      <c r="AQ336" s="162">
        <f>SUMIFS(SALIDAS_BIT,FECHA_BIT,"&gt;="&amp;AQ$2,FECHA_BIT,"&lt;="&amp;AQ$3,CLAVE_BIT,$A336)+SUMIFS(SALIDAS_BOV1,FECHA_BOV1,"&gt;="&amp;AQ$2,FECHA_BOV1,"&lt;="&amp;AQ$3,CLAVE_BOV1,$A336)+SUMIFS(SALIDAS_BOV2,FECHA_BOV2,"&gt;="&amp;AQ$2,FECHA_BOV2,"&lt;="&amp;AQ$3,CLAVE_BOV2,$A336)+SUMIFS(SALIDAS_BOV3,FECHA_BOV3,"&gt;="&amp;AQ$2,FECHA_BOV3,"&lt;="&amp;AQ$3,CLAVE_BOV3,$A336)+SUMIFS(SALIDAS_TC,FECHA_TC,"&gt;="&amp;AQ$2,FECHA_TC,"&lt;="&amp;AQ$3,CLAVE_TC,$A336)+SUMIFS(SALIDAS_COMB,FECHA_COMB,"&gt;="&amp;AQ$2,FECHA_COMB,"&lt;="&amp;AQ$3,CLAVE_COMB,$A336)+SUMIFS(SALIDAS_DES,FECHA_DESGLOSEN,"&gt;="&amp;AQ$2,FECHA_DESGLOSEN,"&lt;="&amp;AQ$3,CLAVE_DESGLOSE,$A336)</f>
        <v>0</v>
      </c>
      <c r="AR336" s="162">
        <f>SUMIFS(SALIDAS_BIT,FECHA_BIT,"&gt;="&amp;AR$2,FECHA_BIT,"&lt;="&amp;AR$3,CLAVE_BIT,$A336)+SUMIFS(SALIDAS_BOV1,FECHA_BOV1,"&gt;="&amp;AR$2,FECHA_BOV1,"&lt;="&amp;AR$3,CLAVE_BOV1,$A336)+SUMIFS(SALIDAS_BOV2,FECHA_BOV2,"&gt;="&amp;AR$2,FECHA_BOV2,"&lt;="&amp;AR$3,CLAVE_BOV2,$A336)+SUMIFS(SALIDAS_BOV3,FECHA_BOV3,"&gt;="&amp;AR$2,FECHA_BOV3,"&lt;="&amp;AR$3,CLAVE_BOV3,$A336)+SUMIFS(SALIDAS_TC,FECHA_TC,"&gt;="&amp;AR$2,FECHA_TC,"&lt;="&amp;AR$3,CLAVE_TC,$A336)+SUMIFS(SALIDAS_COMB,FECHA_COMB,"&gt;="&amp;AR$2,FECHA_COMB,"&lt;="&amp;AR$3,CLAVE_COMB,$A336)+SUMIFS(SALIDAS_DES,FECHA_DESGLOSEN,"&gt;="&amp;AR$2,FECHA_DESGLOSEN,"&lt;="&amp;AR$3,CLAVE_DESGLOSE,$A336)</f>
        <v>0</v>
      </c>
      <c r="AS336" s="162">
        <f>SUMIFS(SALIDAS_BIT,FECHA_BIT,"&gt;="&amp;AS$2,FECHA_BIT,"&lt;="&amp;AS$3,CLAVE_BIT,$A336)+SUMIFS(SALIDAS_BOV1,FECHA_BOV1,"&gt;="&amp;AS$2,FECHA_BOV1,"&lt;="&amp;AS$3,CLAVE_BOV1,$A336)+SUMIFS(SALIDAS_BOV2,FECHA_BOV2,"&gt;="&amp;AS$2,FECHA_BOV2,"&lt;="&amp;AS$3,CLAVE_BOV2,$A336)+SUMIFS(SALIDAS_BOV3,FECHA_BOV3,"&gt;="&amp;AS$2,FECHA_BOV3,"&lt;="&amp;AS$3,CLAVE_BOV3,$A336)+SUMIFS(SALIDAS_TC,FECHA_TC,"&gt;="&amp;AS$2,FECHA_TC,"&lt;="&amp;AS$3,CLAVE_TC,$A336)+SUMIFS(SALIDAS_COMB,FECHA_COMB,"&gt;="&amp;AS$2,FECHA_COMB,"&lt;="&amp;AS$3,CLAVE_COMB,$A336)+SUMIFS(SALIDAS_DES,FECHA_DESGLOSEN,"&gt;="&amp;AS$2,FECHA_DESGLOSEN,"&lt;="&amp;AS$3,CLAVE_DESGLOSE,$A336)</f>
        <v>0</v>
      </c>
      <c r="AT336" s="227">
        <f t="shared" ref="AT336:AT337" si="744">AM336-AS336</f>
        <v>0</v>
      </c>
      <c r="AU336" s="301">
        <f t="shared" ref="AU336:AU337" si="745">IFERROR((AS336/AM336),0)</f>
        <v>0</v>
      </c>
      <c r="AV336" s="162">
        <f>VLOOKUP($A336,T_PRESUPUESTO,MATCH(AV$6,E_PRESUPUESTO,0),FALSE)</f>
        <v>0</v>
      </c>
      <c r="AW336" s="162">
        <f>SUMIFS(SALIDAS_BIT,FECHA_BIT,"&gt;="&amp;AW$2,FECHA_BIT,"&lt;="&amp;AW$3,CLAVE_BIT,$A336)+SUMIFS(SALIDAS_BOV1,FECHA_BOV1,"&gt;="&amp;AW$2,FECHA_BOV1,"&lt;="&amp;AW$3,CLAVE_BOV1,$A336)+SUMIFS(SALIDAS_BOV2,FECHA_BOV2,"&gt;="&amp;AW$2,FECHA_BOV2,"&lt;="&amp;AW$3,CLAVE_BOV2,$A336)+SUMIFS(SALIDAS_BOV3,FECHA_BOV3,"&gt;="&amp;AW$2,FECHA_BOV3,"&lt;="&amp;AW$3,CLAVE_BOV3,$A336)+SUMIFS(SALIDAS_TC,FECHA_TC,"&gt;="&amp;AW$2,FECHA_TC,"&lt;="&amp;AW$3,CLAVE_TC,$A336)+SUMIFS(SALIDAS_COMB,FECHA_COMB,"&gt;="&amp;AW$2,FECHA_COMB,"&lt;="&amp;AW$3,CLAVE_COMB,$A336)+SUMIFS(SALIDAS_DES,FECHA_DESGLOSEN,"&gt;="&amp;AW$2,FECHA_DESGLOSEN,"&lt;="&amp;AW$3,CLAVE_DESGLOSE,$A336)</f>
        <v>0</v>
      </c>
      <c r="AX336" s="162">
        <f>SUMIFS(SALIDAS_BIT,FECHA_BIT,"&gt;="&amp;AX$2,FECHA_BIT,"&lt;="&amp;AX$3,CLAVE_BIT,$A336)+SUMIFS(SALIDAS_BOV1,FECHA_BOV1,"&gt;="&amp;AX$2,FECHA_BOV1,"&lt;="&amp;AX$3,CLAVE_BOV1,$A336)+SUMIFS(SALIDAS_BOV2,FECHA_BOV2,"&gt;="&amp;AX$2,FECHA_BOV2,"&lt;="&amp;AX$3,CLAVE_BOV2,$A336)+SUMIFS(SALIDAS_BOV3,FECHA_BOV3,"&gt;="&amp;AX$2,FECHA_BOV3,"&lt;="&amp;AX$3,CLAVE_BOV3,$A336)+SUMIFS(SALIDAS_TC,FECHA_TC,"&gt;="&amp;AX$2,FECHA_TC,"&lt;="&amp;AX$3,CLAVE_TC,$A336)+SUMIFS(SALIDAS_COMB,FECHA_COMB,"&gt;="&amp;AX$2,FECHA_COMB,"&lt;="&amp;AX$3,CLAVE_COMB,$A336)+SUMIFS(SALIDAS_DES,FECHA_DESGLOSEN,"&gt;="&amp;AX$2,FECHA_DESGLOSEN,"&lt;="&amp;AX$3,CLAVE_DESGLOSE,$A336)</f>
        <v>0</v>
      </c>
      <c r="AY336" s="162">
        <f>SUMIFS(SALIDAS_BIT,FECHA_BIT,"&gt;="&amp;AY$2,FECHA_BIT,"&lt;="&amp;AY$3,CLAVE_BIT,$A336)+SUMIFS(SALIDAS_BOV1,FECHA_BOV1,"&gt;="&amp;AY$2,FECHA_BOV1,"&lt;="&amp;AY$3,CLAVE_BOV1,$A336)+SUMIFS(SALIDAS_BOV2,FECHA_BOV2,"&gt;="&amp;AY$2,FECHA_BOV2,"&lt;="&amp;AY$3,CLAVE_BOV2,$A336)+SUMIFS(SALIDAS_BOV3,FECHA_BOV3,"&gt;="&amp;AY$2,FECHA_BOV3,"&lt;="&amp;AY$3,CLAVE_BOV3,$A336)+SUMIFS(SALIDAS_TC,FECHA_TC,"&gt;="&amp;AY$2,FECHA_TC,"&lt;="&amp;AY$3,CLAVE_TC,$A336)+SUMIFS(SALIDAS_COMB,FECHA_COMB,"&gt;="&amp;AY$2,FECHA_COMB,"&lt;="&amp;AY$3,CLAVE_COMB,$A336)+SUMIFS(SALIDAS_DES,FECHA_DESGLOSEN,"&gt;="&amp;AY$2,FECHA_DESGLOSEN,"&lt;="&amp;AY$3,CLAVE_DESGLOSE,$A336)</f>
        <v>0</v>
      </c>
      <c r="AZ336" s="162">
        <f>SUMIFS(SALIDAS_BIT,FECHA_BIT,"&gt;="&amp;AZ$2,FECHA_BIT,"&lt;="&amp;AZ$3,CLAVE_BIT,$A336)+SUMIFS(SALIDAS_BOV1,FECHA_BOV1,"&gt;="&amp;AZ$2,FECHA_BOV1,"&lt;="&amp;AZ$3,CLAVE_BOV1,$A336)+SUMIFS(SALIDAS_BOV2,FECHA_BOV2,"&gt;="&amp;AZ$2,FECHA_BOV2,"&lt;="&amp;AZ$3,CLAVE_BOV2,$A336)+SUMIFS(SALIDAS_BOV3,FECHA_BOV3,"&gt;="&amp;AZ$2,FECHA_BOV3,"&lt;="&amp;AZ$3,CLAVE_BOV3,$A336)+SUMIFS(SALIDAS_TC,FECHA_TC,"&gt;="&amp;AZ$2,FECHA_TC,"&lt;="&amp;AZ$3,CLAVE_TC,$A336)+SUMIFS(SALIDAS_COMB,FECHA_COMB,"&gt;="&amp;AZ$2,FECHA_COMB,"&lt;="&amp;AZ$3,CLAVE_COMB,$A336)+SUMIFS(SALIDAS_DES,FECHA_DESGLOSEN,"&gt;="&amp;AZ$2,FECHA_DESGLOSEN,"&lt;="&amp;AZ$3,CLAVE_DESGLOSE,$A336)</f>
        <v>0</v>
      </c>
      <c r="BA336" s="162">
        <f>SUMIFS(SALIDAS_BIT,FECHA_BIT,"&gt;="&amp;BA$2,FECHA_BIT,"&lt;="&amp;BA$3,CLAVE_BIT,$A336)+SUMIFS(SALIDAS_BOV1,FECHA_BOV1,"&gt;="&amp;BA$2,FECHA_BOV1,"&lt;="&amp;BA$3,CLAVE_BOV1,$A336)+SUMIFS(SALIDAS_BOV2,FECHA_BOV2,"&gt;="&amp;BA$2,FECHA_BOV2,"&lt;="&amp;BA$3,CLAVE_BOV2,$A336)+SUMIFS(SALIDAS_BOV3,FECHA_BOV3,"&gt;="&amp;BA$2,FECHA_BOV3,"&lt;="&amp;BA$3,CLAVE_BOV3,$A336)+SUMIFS(SALIDAS_TC,FECHA_TC,"&gt;="&amp;BA$2,FECHA_TC,"&lt;="&amp;BA$3,CLAVE_TC,$A336)+SUMIFS(SALIDAS_COMB,FECHA_COMB,"&gt;="&amp;BA$2,FECHA_COMB,"&lt;="&amp;BA$3,CLAVE_COMB,$A336)+SUMIFS(SALIDAS_DES,FECHA_DESGLOSEN,"&gt;="&amp;BA$2,FECHA_DESGLOSEN,"&lt;="&amp;BA$3,CLAVE_DESGLOSE,$A336)</f>
        <v>0</v>
      </c>
      <c r="BB336" s="227">
        <f t="shared" ref="BB336:BB337" si="746">AV336-BA336</f>
        <v>0</v>
      </c>
      <c r="BC336" s="301">
        <f t="shared" ref="BC336:BC337" si="747">IFERROR((BA336/AV336),0)</f>
        <v>0</v>
      </c>
      <c r="BD336" s="162">
        <f>VLOOKUP($A336,T_PRESUPUESTO,MATCH(BD$6,E_PRESUPUESTO,0),FALSE)</f>
        <v>0</v>
      </c>
      <c r="BE336" s="162">
        <f>SUMIFS(SALIDAS_BIT,FECHA_BIT,"&gt;="&amp;BE$2,FECHA_BIT,"&lt;="&amp;BE$3,CLAVE_BIT,$A336)+SUMIFS(SALIDAS_BOV1,FECHA_BOV1,"&gt;="&amp;BE$2,FECHA_BOV1,"&lt;="&amp;BE$3,CLAVE_BOV1,$A336)+SUMIFS(SALIDAS_BOV2,FECHA_BOV2,"&gt;="&amp;BE$2,FECHA_BOV2,"&lt;="&amp;BE$3,CLAVE_BOV2,$A336)+SUMIFS(SALIDAS_BOV3,FECHA_BOV3,"&gt;="&amp;BE$2,FECHA_BOV3,"&lt;="&amp;BE$3,CLAVE_BOV3,$A336)+SUMIFS(SALIDAS_TC,FECHA_TC,"&gt;="&amp;BE$2,FECHA_TC,"&lt;="&amp;BE$3,CLAVE_TC,$A336)+SUMIFS(SALIDAS_COMB,FECHA_COMB,"&gt;="&amp;BE$2,FECHA_COMB,"&lt;="&amp;BE$3,CLAVE_COMB,$A336)+SUMIFS(SALIDAS_DES,FECHA_DESGLOSEN,"&gt;="&amp;BE$2,FECHA_DESGLOSEN,"&lt;="&amp;BE$3,CLAVE_DESGLOSE,$A336)</f>
        <v>0</v>
      </c>
      <c r="BF336" s="162">
        <f>SUMIFS(SALIDAS_BIT,FECHA_BIT,"&gt;="&amp;BF$2,FECHA_BIT,"&lt;="&amp;BF$3,CLAVE_BIT,$A336)+SUMIFS(SALIDAS_BOV1,FECHA_BOV1,"&gt;="&amp;BF$2,FECHA_BOV1,"&lt;="&amp;BF$3,CLAVE_BOV1,$A336)+SUMIFS(SALIDAS_BOV2,FECHA_BOV2,"&gt;="&amp;BF$2,FECHA_BOV2,"&lt;="&amp;BF$3,CLAVE_BOV2,$A336)+SUMIFS(SALIDAS_BOV3,FECHA_BOV3,"&gt;="&amp;BF$2,FECHA_BOV3,"&lt;="&amp;BF$3,CLAVE_BOV3,$A336)+SUMIFS(SALIDAS_TC,FECHA_TC,"&gt;="&amp;BF$2,FECHA_TC,"&lt;="&amp;BF$3,CLAVE_TC,$A336)+SUMIFS(SALIDAS_COMB,FECHA_COMB,"&gt;="&amp;BF$2,FECHA_COMB,"&lt;="&amp;BF$3,CLAVE_COMB,$A336)+SUMIFS(SALIDAS_DES,FECHA_DESGLOSEN,"&gt;="&amp;BF$2,FECHA_DESGLOSEN,"&lt;="&amp;BF$3,CLAVE_DESGLOSE,$A336)</f>
        <v>0</v>
      </c>
      <c r="BG336" s="162">
        <f>SUMIFS(SALIDAS_BIT,FECHA_BIT,"&gt;="&amp;BG$2,FECHA_BIT,"&lt;="&amp;BG$3,CLAVE_BIT,$A336)+SUMIFS(SALIDAS_BOV1,FECHA_BOV1,"&gt;="&amp;BG$2,FECHA_BOV1,"&lt;="&amp;BG$3,CLAVE_BOV1,$A336)+SUMIFS(SALIDAS_BOV2,FECHA_BOV2,"&gt;="&amp;BG$2,FECHA_BOV2,"&lt;="&amp;BG$3,CLAVE_BOV2,$A336)+SUMIFS(SALIDAS_BOV3,FECHA_BOV3,"&gt;="&amp;BG$2,FECHA_BOV3,"&lt;="&amp;BG$3,CLAVE_BOV3,$A336)+SUMIFS(SALIDAS_TC,FECHA_TC,"&gt;="&amp;BG$2,FECHA_TC,"&lt;="&amp;BG$3,CLAVE_TC,$A336)+SUMIFS(SALIDAS_COMB,FECHA_COMB,"&gt;="&amp;BG$2,FECHA_COMB,"&lt;="&amp;BG$3,CLAVE_COMB,$A336)+SUMIFS(SALIDAS_DES,FECHA_DESGLOSEN,"&gt;="&amp;BG$2,FECHA_DESGLOSEN,"&lt;="&amp;BG$3,CLAVE_DESGLOSE,$A336)</f>
        <v>0</v>
      </c>
      <c r="BH336" s="162">
        <f>SUMIFS(SALIDAS_BIT,FECHA_BIT,"&gt;="&amp;BH$2,FECHA_BIT,"&lt;="&amp;BH$3,CLAVE_BIT,$A336)+SUMIFS(SALIDAS_BOV1,FECHA_BOV1,"&gt;="&amp;BH$2,FECHA_BOV1,"&lt;="&amp;BH$3,CLAVE_BOV1,$A336)+SUMIFS(SALIDAS_BOV2,FECHA_BOV2,"&gt;="&amp;BH$2,FECHA_BOV2,"&lt;="&amp;BH$3,CLAVE_BOV2,$A336)+SUMIFS(SALIDAS_BOV3,FECHA_BOV3,"&gt;="&amp;BH$2,FECHA_BOV3,"&lt;="&amp;BH$3,CLAVE_BOV3,$A336)+SUMIFS(SALIDAS_TC,FECHA_TC,"&gt;="&amp;BH$2,FECHA_TC,"&lt;="&amp;BH$3,CLAVE_TC,$A336)+SUMIFS(SALIDAS_COMB,FECHA_COMB,"&gt;="&amp;BH$2,FECHA_COMB,"&lt;="&amp;BH$3,CLAVE_COMB,$A336)+SUMIFS(SALIDAS_DES,FECHA_DESGLOSEN,"&gt;="&amp;BH$2,FECHA_DESGLOSEN,"&lt;="&amp;BH$3,CLAVE_DESGLOSE,$A336)</f>
        <v>0</v>
      </c>
      <c r="BI336" s="162">
        <f>SUMIFS(SALIDAS_BIT,FECHA_BIT,"&gt;="&amp;BI$2,FECHA_BIT,"&lt;="&amp;BI$3,CLAVE_BIT,$A336)+SUMIFS(SALIDAS_BOV1,FECHA_BOV1,"&gt;="&amp;BI$2,FECHA_BOV1,"&lt;="&amp;BI$3,CLAVE_BOV1,$A336)+SUMIFS(SALIDAS_BOV2,FECHA_BOV2,"&gt;="&amp;BI$2,FECHA_BOV2,"&lt;="&amp;BI$3,CLAVE_BOV2,$A336)+SUMIFS(SALIDAS_BOV3,FECHA_BOV3,"&gt;="&amp;BI$2,FECHA_BOV3,"&lt;="&amp;BI$3,CLAVE_BOV3,$A336)+SUMIFS(SALIDAS_TC,FECHA_TC,"&gt;="&amp;BI$2,FECHA_TC,"&lt;="&amp;BI$3,CLAVE_TC,$A336)+SUMIFS(SALIDAS_COMB,FECHA_COMB,"&gt;="&amp;BI$2,FECHA_COMB,"&lt;="&amp;BI$3,CLAVE_COMB,$A336)+SUMIFS(SALIDAS_DES,FECHA_DESGLOSEN,"&gt;="&amp;BI$2,FECHA_DESGLOSEN,"&lt;="&amp;BI$3,CLAVE_DESGLOSE,$A336)</f>
        <v>0</v>
      </c>
      <c r="BJ336" s="227">
        <f t="shared" ref="BJ336:BJ337" si="748">BD336-BI336</f>
        <v>0</v>
      </c>
      <c r="BK336" s="301">
        <f t="shared" ref="BK336:BK337" si="749">IFERROR((BI336/BD336),0)</f>
        <v>0</v>
      </c>
      <c r="BL336" s="162">
        <f>VLOOKUP($A336,T_PRESUPUESTO,MATCH(BL$6,E_PRESUPUESTO,0),FALSE)</f>
        <v>0</v>
      </c>
      <c r="BM336" s="162">
        <f>SUMIFS(SALIDAS_BIT,FECHA_BIT,"&gt;="&amp;BM$2,FECHA_BIT,"&lt;="&amp;BM$3,CLAVE_BIT,$A336)+SUMIFS(SALIDAS_BOV1,FECHA_BOV1,"&gt;="&amp;BM$2,FECHA_BOV1,"&lt;="&amp;BM$3,CLAVE_BOV1,$A336)+SUMIFS(SALIDAS_BOV2,FECHA_BOV2,"&gt;="&amp;BM$2,FECHA_BOV2,"&lt;="&amp;BM$3,CLAVE_BOV2,$A336)+SUMIFS(SALIDAS_BOV3,FECHA_BOV3,"&gt;="&amp;BM$2,FECHA_BOV3,"&lt;="&amp;BM$3,CLAVE_BOV3,$A336)+SUMIFS(SALIDAS_TC,FECHA_TC,"&gt;="&amp;BM$2,FECHA_TC,"&lt;="&amp;BM$3,CLAVE_TC,$A336)+SUMIFS(SALIDAS_COMB,FECHA_COMB,"&gt;="&amp;BM$2,FECHA_COMB,"&lt;="&amp;BM$3,CLAVE_COMB,$A336)+SUMIFS(SALIDAS_DES,FECHA_DESGLOSEN,"&gt;="&amp;BM$2,FECHA_DESGLOSEN,"&lt;="&amp;BM$3,CLAVE_DESGLOSE,$A336)</f>
        <v>0</v>
      </c>
      <c r="BN336" s="162">
        <f>SUMIFS(SALIDAS_BIT,FECHA_BIT,"&gt;="&amp;BN$2,FECHA_BIT,"&lt;="&amp;BN$3,CLAVE_BIT,$A336)+SUMIFS(SALIDAS_BOV1,FECHA_BOV1,"&gt;="&amp;BN$2,FECHA_BOV1,"&lt;="&amp;BN$3,CLAVE_BOV1,$A336)+SUMIFS(SALIDAS_BOV2,FECHA_BOV2,"&gt;="&amp;BN$2,FECHA_BOV2,"&lt;="&amp;BN$3,CLAVE_BOV2,$A336)+SUMIFS(SALIDAS_BOV3,FECHA_BOV3,"&gt;="&amp;BN$2,FECHA_BOV3,"&lt;="&amp;BN$3,CLAVE_BOV3,$A336)+SUMIFS(SALIDAS_TC,FECHA_TC,"&gt;="&amp;BN$2,FECHA_TC,"&lt;="&amp;BN$3,CLAVE_TC,$A336)+SUMIFS(SALIDAS_COMB,FECHA_COMB,"&gt;="&amp;BN$2,FECHA_COMB,"&lt;="&amp;BN$3,CLAVE_COMB,$A336)+SUMIFS(SALIDAS_DES,FECHA_DESGLOSEN,"&gt;="&amp;BN$2,FECHA_DESGLOSEN,"&lt;="&amp;BN$3,CLAVE_DESGLOSE,$A336)</f>
        <v>0</v>
      </c>
      <c r="BO336" s="162">
        <f>SUMIFS(SALIDAS_BIT,FECHA_BIT,"&gt;="&amp;BO$2,FECHA_BIT,"&lt;="&amp;BO$3,CLAVE_BIT,$A336)+SUMIFS(SALIDAS_BOV1,FECHA_BOV1,"&gt;="&amp;BO$2,FECHA_BOV1,"&lt;="&amp;BO$3,CLAVE_BOV1,$A336)+SUMIFS(SALIDAS_BOV2,FECHA_BOV2,"&gt;="&amp;BO$2,FECHA_BOV2,"&lt;="&amp;BO$3,CLAVE_BOV2,$A336)+SUMIFS(SALIDAS_BOV3,FECHA_BOV3,"&gt;="&amp;BO$2,FECHA_BOV3,"&lt;="&amp;BO$3,CLAVE_BOV3,$A336)+SUMIFS(SALIDAS_TC,FECHA_TC,"&gt;="&amp;BO$2,FECHA_TC,"&lt;="&amp;BO$3,CLAVE_TC,$A336)+SUMIFS(SALIDAS_COMB,FECHA_COMB,"&gt;="&amp;BO$2,FECHA_COMB,"&lt;="&amp;BO$3,CLAVE_COMB,$A336)+SUMIFS(SALIDAS_DES,FECHA_DESGLOSEN,"&gt;="&amp;BO$2,FECHA_DESGLOSEN,"&lt;="&amp;BO$3,CLAVE_DESGLOSE,$A336)</f>
        <v>0</v>
      </c>
      <c r="BP336" s="162">
        <f>SUMIFS(SALIDAS_BIT,FECHA_BIT,"&gt;="&amp;BP$2,FECHA_BIT,"&lt;="&amp;BP$3,CLAVE_BIT,$A336)+SUMIFS(SALIDAS_BOV1,FECHA_BOV1,"&gt;="&amp;BP$2,FECHA_BOV1,"&lt;="&amp;BP$3,CLAVE_BOV1,$A336)+SUMIFS(SALIDAS_BOV2,FECHA_BOV2,"&gt;="&amp;BP$2,FECHA_BOV2,"&lt;="&amp;BP$3,CLAVE_BOV2,$A336)+SUMIFS(SALIDAS_BOV3,FECHA_BOV3,"&gt;="&amp;BP$2,FECHA_BOV3,"&lt;="&amp;BP$3,CLAVE_BOV3,$A336)+SUMIFS(SALIDAS_TC,FECHA_TC,"&gt;="&amp;BP$2,FECHA_TC,"&lt;="&amp;BP$3,CLAVE_TC,$A336)+SUMIFS(SALIDAS_COMB,FECHA_COMB,"&gt;="&amp;BP$2,FECHA_COMB,"&lt;="&amp;BP$3,CLAVE_COMB,$A336)+SUMIFS(SALIDAS_DES,FECHA_DESGLOSEN,"&gt;="&amp;BP$2,FECHA_DESGLOSEN,"&lt;="&amp;BP$3,CLAVE_DESGLOSE,$A336)</f>
        <v>0</v>
      </c>
      <c r="BQ336" s="162">
        <f>SUMIFS(SALIDAS_BIT,FECHA_BIT,"&gt;="&amp;BQ$2,FECHA_BIT,"&lt;="&amp;BQ$3,CLAVE_BIT,$A336)+SUMIFS(SALIDAS_BOV1,FECHA_BOV1,"&gt;="&amp;BQ$2,FECHA_BOV1,"&lt;="&amp;BQ$3,CLAVE_BOV1,$A336)+SUMIFS(SALIDAS_BOV2,FECHA_BOV2,"&gt;="&amp;BQ$2,FECHA_BOV2,"&lt;="&amp;BQ$3,CLAVE_BOV2,$A336)+SUMIFS(SALIDAS_BOV3,FECHA_BOV3,"&gt;="&amp;BQ$2,FECHA_BOV3,"&lt;="&amp;BQ$3,CLAVE_BOV3,$A336)+SUMIFS(SALIDAS_TC,FECHA_TC,"&gt;="&amp;BQ$2,FECHA_TC,"&lt;="&amp;BQ$3,CLAVE_TC,$A336)+SUMIFS(SALIDAS_COMB,FECHA_COMB,"&gt;="&amp;BQ$2,FECHA_COMB,"&lt;="&amp;BQ$3,CLAVE_COMB,$A336)+SUMIFS(SALIDAS_DES,FECHA_DESGLOSEN,"&gt;="&amp;BQ$2,FECHA_DESGLOSEN,"&lt;="&amp;BQ$3,CLAVE_DESGLOSE,$A336)</f>
        <v>0</v>
      </c>
      <c r="BR336" s="162">
        <f>SUMIFS(SALIDAS_BIT,FECHA_BIT,"&gt;="&amp;BR$2,FECHA_BIT,"&lt;="&amp;BR$3,CLAVE_BIT,$A336)+SUMIFS(SALIDAS_BOV1,FECHA_BOV1,"&gt;="&amp;BR$2,FECHA_BOV1,"&lt;="&amp;BR$3,CLAVE_BOV1,$A336)+SUMIFS(SALIDAS_BOV2,FECHA_BOV2,"&gt;="&amp;BR$2,FECHA_BOV2,"&lt;="&amp;BR$3,CLAVE_BOV2,$A336)+SUMIFS(SALIDAS_BOV3,FECHA_BOV3,"&gt;="&amp;BR$2,FECHA_BOV3,"&lt;="&amp;BR$3,CLAVE_BOV3,$A336)+SUMIFS(SALIDAS_TC,FECHA_TC,"&gt;="&amp;BR$2,FECHA_TC,"&lt;="&amp;BR$3,CLAVE_TC,$A336)+SUMIFS(SALIDAS_COMB,FECHA_COMB,"&gt;="&amp;BR$2,FECHA_COMB,"&lt;="&amp;BR$3,CLAVE_COMB,$A336)+SUMIFS(SALIDAS_DES,FECHA_DESGLOSEN,"&gt;="&amp;BR$2,FECHA_DESGLOSEN,"&lt;="&amp;BR$3,CLAVE_DESGLOSE,$A336)</f>
        <v>0</v>
      </c>
      <c r="BS336" s="227">
        <f t="shared" ref="BS336:BS337" si="750">BL336-BR336</f>
        <v>0</v>
      </c>
      <c r="BT336" s="301">
        <f t="shared" ref="BT336:BT337" si="751">IFERROR((BR336/BL336),0)</f>
        <v>0</v>
      </c>
      <c r="BU336" s="162">
        <f>VLOOKUP($A336,T_PRESUPUESTO,MATCH(BU$6,E_PRESUPUESTO,0),FALSE)</f>
        <v>0</v>
      </c>
      <c r="BV336" s="162">
        <f>SUMIFS(SALIDAS_BIT,FECHA_BIT,"&gt;="&amp;BV$2,FECHA_BIT,"&lt;="&amp;BV$3,CLAVE_BIT,$A336)+SUMIFS(SALIDAS_BOV1,FECHA_BOV1,"&gt;="&amp;BV$2,FECHA_BOV1,"&lt;="&amp;BV$3,CLAVE_BOV1,$A336)+SUMIFS(SALIDAS_BOV2,FECHA_BOV2,"&gt;="&amp;BV$2,FECHA_BOV2,"&lt;="&amp;BV$3,CLAVE_BOV2,$A336)+SUMIFS(SALIDAS_BOV3,FECHA_BOV3,"&gt;="&amp;BV$2,FECHA_BOV3,"&lt;="&amp;BV$3,CLAVE_BOV3,$A336)+SUMIFS(SALIDAS_TC,FECHA_TC,"&gt;="&amp;BV$2,FECHA_TC,"&lt;="&amp;BV$3,CLAVE_TC,$A336)+SUMIFS(SALIDAS_COMB,FECHA_COMB,"&gt;="&amp;BV$2,FECHA_COMB,"&lt;="&amp;BV$3,CLAVE_COMB,$A336)+SUMIFS(SALIDAS_DES,FECHA_DESGLOSEN,"&gt;="&amp;BV$2,FECHA_DESGLOSEN,"&lt;="&amp;BV$3,CLAVE_DESGLOSE,$A336)</f>
        <v>0</v>
      </c>
      <c r="BW336" s="162">
        <f>SUMIFS(SALIDAS_BIT,FECHA_BIT,"&gt;="&amp;BW$2,FECHA_BIT,"&lt;="&amp;BW$3,CLAVE_BIT,$A336)+SUMIFS(SALIDAS_BOV1,FECHA_BOV1,"&gt;="&amp;BW$2,FECHA_BOV1,"&lt;="&amp;BW$3,CLAVE_BOV1,$A336)+SUMIFS(SALIDAS_BOV2,FECHA_BOV2,"&gt;="&amp;BW$2,FECHA_BOV2,"&lt;="&amp;BW$3,CLAVE_BOV2,$A336)+SUMIFS(SALIDAS_BOV3,FECHA_BOV3,"&gt;="&amp;BW$2,FECHA_BOV3,"&lt;="&amp;BW$3,CLAVE_BOV3,$A336)+SUMIFS(SALIDAS_TC,FECHA_TC,"&gt;="&amp;BW$2,FECHA_TC,"&lt;="&amp;BW$3,CLAVE_TC,$A336)+SUMIFS(SALIDAS_COMB,FECHA_COMB,"&gt;="&amp;BW$2,FECHA_COMB,"&lt;="&amp;BW$3,CLAVE_COMB,$A336)+SUMIFS(SALIDAS_DES,FECHA_DESGLOSEN,"&gt;="&amp;BW$2,FECHA_DESGLOSEN,"&lt;="&amp;BW$3,CLAVE_DESGLOSE,$A336)</f>
        <v>0</v>
      </c>
      <c r="BX336" s="162">
        <f>SUMIFS(SALIDAS_BIT,FECHA_BIT,"&gt;="&amp;BX$2,FECHA_BIT,"&lt;="&amp;BX$3,CLAVE_BIT,$A336)+SUMIFS(SALIDAS_BOV1,FECHA_BOV1,"&gt;="&amp;BX$2,FECHA_BOV1,"&lt;="&amp;BX$3,CLAVE_BOV1,$A336)+SUMIFS(SALIDAS_BOV2,FECHA_BOV2,"&gt;="&amp;BX$2,FECHA_BOV2,"&lt;="&amp;BX$3,CLAVE_BOV2,$A336)+SUMIFS(SALIDAS_BOV3,FECHA_BOV3,"&gt;="&amp;BX$2,FECHA_BOV3,"&lt;="&amp;BX$3,CLAVE_BOV3,$A336)+SUMIFS(SALIDAS_TC,FECHA_TC,"&gt;="&amp;BX$2,FECHA_TC,"&lt;="&amp;BX$3,CLAVE_TC,$A336)+SUMIFS(SALIDAS_COMB,FECHA_COMB,"&gt;="&amp;BX$2,FECHA_COMB,"&lt;="&amp;BX$3,CLAVE_COMB,$A336)+SUMIFS(SALIDAS_DES,FECHA_DESGLOSEN,"&gt;="&amp;BX$2,FECHA_DESGLOSEN,"&lt;="&amp;BX$3,CLAVE_DESGLOSE,$A336)</f>
        <v>0</v>
      </c>
      <c r="BY336" s="162">
        <f>SUMIFS(SALIDAS_BIT,FECHA_BIT,"&gt;="&amp;BY$2,FECHA_BIT,"&lt;="&amp;BY$3,CLAVE_BIT,$A336)+SUMIFS(SALIDAS_BOV1,FECHA_BOV1,"&gt;="&amp;BY$2,FECHA_BOV1,"&lt;="&amp;BY$3,CLAVE_BOV1,$A336)+SUMIFS(SALIDAS_BOV2,FECHA_BOV2,"&gt;="&amp;BY$2,FECHA_BOV2,"&lt;="&amp;BY$3,CLAVE_BOV2,$A336)+SUMIFS(SALIDAS_BOV3,FECHA_BOV3,"&gt;="&amp;BY$2,FECHA_BOV3,"&lt;="&amp;BY$3,CLAVE_BOV3,$A336)+SUMIFS(SALIDAS_TC,FECHA_TC,"&gt;="&amp;BY$2,FECHA_TC,"&lt;="&amp;BY$3,CLAVE_TC,$A336)+SUMIFS(SALIDAS_COMB,FECHA_COMB,"&gt;="&amp;BY$2,FECHA_COMB,"&lt;="&amp;BY$3,CLAVE_COMB,$A336)+SUMIFS(SALIDAS_DES,FECHA_DESGLOSEN,"&gt;="&amp;BY$2,FECHA_DESGLOSEN,"&lt;="&amp;BY$3,CLAVE_DESGLOSE,$A336)</f>
        <v>1279</v>
      </c>
      <c r="BZ336" s="162">
        <f>SUMIFS(SALIDAS_BIT,FECHA_BIT,"&gt;="&amp;BZ$2,FECHA_BIT,"&lt;="&amp;BZ$3,CLAVE_BIT,$A336)+SUMIFS(SALIDAS_BOV1,FECHA_BOV1,"&gt;="&amp;BZ$2,FECHA_BOV1,"&lt;="&amp;BZ$3,CLAVE_BOV1,$A336)+SUMIFS(SALIDAS_BOV2,FECHA_BOV2,"&gt;="&amp;BZ$2,FECHA_BOV2,"&lt;="&amp;BZ$3,CLAVE_BOV2,$A336)+SUMIFS(SALIDAS_BOV3,FECHA_BOV3,"&gt;="&amp;BZ$2,FECHA_BOV3,"&lt;="&amp;BZ$3,CLAVE_BOV3,$A336)+SUMIFS(SALIDAS_TC,FECHA_TC,"&gt;="&amp;BZ$2,FECHA_TC,"&lt;="&amp;BZ$3,CLAVE_TC,$A336)+SUMIFS(SALIDAS_COMB,FECHA_COMB,"&gt;="&amp;BZ$2,FECHA_COMB,"&lt;="&amp;BZ$3,CLAVE_COMB,$A336)+SUMIFS(SALIDAS_DES,FECHA_DESGLOSEN,"&gt;="&amp;BZ$2,FECHA_DESGLOSEN,"&lt;="&amp;BZ$3,CLAVE_DESGLOSE,$A336)</f>
        <v>1279</v>
      </c>
      <c r="CA336" s="227">
        <f t="shared" ref="CA336:CA337" si="752">BU336-BZ336</f>
        <v>-1279</v>
      </c>
      <c r="CB336" s="301">
        <f t="shared" ref="CB336:CB337" si="753">IFERROR((BZ336/BU336),0)</f>
        <v>0</v>
      </c>
      <c r="CC336" s="162">
        <f>VLOOKUP($A336,T_PRESUPUESTO,MATCH(CC$6,E_PRESUPUESTO,0),FALSE)</f>
        <v>0</v>
      </c>
      <c r="CD336" s="162">
        <f>SUMIFS(SALIDAS_BIT,FECHA_BIT,"&gt;="&amp;CD$2,FECHA_BIT,"&lt;="&amp;CD$3,CLAVE_BIT,$A336)+SUMIFS(SALIDAS_BOV1,FECHA_BOV1,"&gt;="&amp;CD$2,FECHA_BOV1,"&lt;="&amp;CD$3,CLAVE_BOV1,$A336)+SUMIFS(SALIDAS_BOV2,FECHA_BOV2,"&gt;="&amp;CD$2,FECHA_BOV2,"&lt;="&amp;CD$3,CLAVE_BOV2,$A336)+SUMIFS(SALIDAS_BOV3,FECHA_BOV3,"&gt;="&amp;CD$2,FECHA_BOV3,"&lt;="&amp;CD$3,CLAVE_BOV3,$A336)+SUMIFS(SALIDAS_TC,FECHA_TC,"&gt;="&amp;CD$2,FECHA_TC,"&lt;="&amp;CD$3,CLAVE_TC,$A336)+SUMIFS(SALIDAS_COMB,FECHA_COMB,"&gt;="&amp;CD$2,FECHA_COMB,"&lt;="&amp;CD$3,CLAVE_COMB,$A336)+SUMIFS(SALIDAS_DES,FECHA_DESGLOSEN,"&gt;="&amp;CD$2,FECHA_DESGLOSEN,"&lt;="&amp;CD$3,CLAVE_DESGLOSE,$A336)</f>
        <v>0</v>
      </c>
      <c r="CE336" s="162">
        <f>SUMIFS(SALIDAS_BIT,FECHA_BIT,"&gt;="&amp;CE$2,FECHA_BIT,"&lt;="&amp;CE$3,CLAVE_BIT,$A336)+SUMIFS(SALIDAS_BOV1,FECHA_BOV1,"&gt;="&amp;CE$2,FECHA_BOV1,"&lt;="&amp;CE$3,CLAVE_BOV1,$A336)+SUMIFS(SALIDAS_BOV2,FECHA_BOV2,"&gt;="&amp;CE$2,FECHA_BOV2,"&lt;="&amp;CE$3,CLAVE_BOV2,$A336)+SUMIFS(SALIDAS_BOV3,FECHA_BOV3,"&gt;="&amp;CE$2,FECHA_BOV3,"&lt;="&amp;CE$3,CLAVE_BOV3,$A336)+SUMIFS(SALIDAS_TC,FECHA_TC,"&gt;="&amp;CE$2,FECHA_TC,"&lt;="&amp;CE$3,CLAVE_TC,$A336)+SUMIFS(SALIDAS_COMB,FECHA_COMB,"&gt;="&amp;CE$2,FECHA_COMB,"&lt;="&amp;CE$3,CLAVE_COMB,$A336)+SUMIFS(SALIDAS_DES,FECHA_DESGLOSEN,"&gt;="&amp;CE$2,FECHA_DESGLOSEN,"&lt;="&amp;CE$3,CLAVE_DESGLOSE,$A336)</f>
        <v>0</v>
      </c>
      <c r="CF336" s="162">
        <f>SUMIFS(SALIDAS_BIT,FECHA_BIT,"&gt;="&amp;CF$2,FECHA_BIT,"&lt;="&amp;CF$3,CLAVE_BIT,$A336)+SUMIFS(SALIDAS_BOV1,FECHA_BOV1,"&gt;="&amp;CF$2,FECHA_BOV1,"&lt;="&amp;CF$3,CLAVE_BOV1,$A336)+SUMIFS(SALIDAS_BOV2,FECHA_BOV2,"&gt;="&amp;CF$2,FECHA_BOV2,"&lt;="&amp;CF$3,CLAVE_BOV2,$A336)+SUMIFS(SALIDAS_BOV3,FECHA_BOV3,"&gt;="&amp;CF$2,FECHA_BOV3,"&lt;="&amp;CF$3,CLAVE_BOV3,$A336)+SUMIFS(SALIDAS_TC,FECHA_TC,"&gt;="&amp;CF$2,FECHA_TC,"&lt;="&amp;CF$3,CLAVE_TC,$A336)+SUMIFS(SALIDAS_COMB,FECHA_COMB,"&gt;="&amp;CF$2,FECHA_COMB,"&lt;="&amp;CF$3,CLAVE_COMB,$A336)+SUMIFS(SALIDAS_DES,FECHA_DESGLOSEN,"&gt;="&amp;CF$2,FECHA_DESGLOSEN,"&lt;="&amp;CF$3,CLAVE_DESGLOSE,$A336)</f>
        <v>0</v>
      </c>
      <c r="CG336" s="162">
        <f>SUMIFS(SALIDAS_BIT,FECHA_BIT,"&gt;="&amp;CG$2,FECHA_BIT,"&lt;="&amp;CG$3,CLAVE_BIT,$A336)+SUMIFS(SALIDAS_BOV1,FECHA_BOV1,"&gt;="&amp;CG$2,FECHA_BOV1,"&lt;="&amp;CG$3,CLAVE_BOV1,$A336)+SUMIFS(SALIDAS_BOV2,FECHA_BOV2,"&gt;="&amp;CG$2,FECHA_BOV2,"&lt;="&amp;CG$3,CLAVE_BOV2,$A336)+SUMIFS(SALIDAS_BOV3,FECHA_BOV3,"&gt;="&amp;CG$2,FECHA_BOV3,"&lt;="&amp;CG$3,CLAVE_BOV3,$A336)+SUMIFS(SALIDAS_TC,FECHA_TC,"&gt;="&amp;CG$2,FECHA_TC,"&lt;="&amp;CG$3,CLAVE_TC,$A336)+SUMIFS(SALIDAS_COMB,FECHA_COMB,"&gt;="&amp;CG$2,FECHA_COMB,"&lt;="&amp;CG$3,CLAVE_COMB,$A336)+SUMIFS(SALIDAS_DES,FECHA_DESGLOSEN,"&gt;="&amp;CG$2,FECHA_DESGLOSEN,"&lt;="&amp;CG$3,CLAVE_DESGLOSE,$A336)</f>
        <v>0</v>
      </c>
      <c r="CH336" s="162">
        <f>SUMIFS(SALIDAS_BIT,FECHA_BIT,"&gt;="&amp;CH$2,FECHA_BIT,"&lt;="&amp;CH$3,CLAVE_BIT,$A336)+SUMIFS(SALIDAS_BOV1,FECHA_BOV1,"&gt;="&amp;CH$2,FECHA_BOV1,"&lt;="&amp;CH$3,CLAVE_BOV1,$A336)+SUMIFS(SALIDAS_BOV2,FECHA_BOV2,"&gt;="&amp;CH$2,FECHA_BOV2,"&lt;="&amp;CH$3,CLAVE_BOV2,$A336)+SUMIFS(SALIDAS_BOV3,FECHA_BOV3,"&gt;="&amp;CH$2,FECHA_BOV3,"&lt;="&amp;CH$3,CLAVE_BOV3,$A336)+SUMIFS(SALIDAS_TC,FECHA_TC,"&gt;="&amp;CH$2,FECHA_TC,"&lt;="&amp;CH$3,CLAVE_TC,$A336)+SUMIFS(SALIDAS_COMB,FECHA_COMB,"&gt;="&amp;CH$2,FECHA_COMB,"&lt;="&amp;CH$3,CLAVE_COMB,$A336)+SUMIFS(SALIDAS_DES,FECHA_DESGLOSEN,"&gt;="&amp;CH$2,FECHA_DESGLOSEN,"&lt;="&amp;CH$3,CLAVE_DESGLOSE,$A336)</f>
        <v>0</v>
      </c>
      <c r="CI336" s="227">
        <f t="shared" ref="CI336:CI337" si="754">CC336-CH336</f>
        <v>0</v>
      </c>
      <c r="CJ336" s="301">
        <f t="shared" ref="CJ336:CJ337" si="755">IFERROR((CH336/CC336),0)</f>
        <v>0</v>
      </c>
      <c r="CK336" s="162">
        <f>VLOOKUP($A336,T_PRESUPUESTO,MATCH(CK$6,E_PRESUPUESTO,0),FALSE)</f>
        <v>0</v>
      </c>
      <c r="CL336" s="162">
        <f>SUMIFS(SALIDAS_BIT,FECHA_BIT,"&gt;="&amp;CL$2,FECHA_BIT,"&lt;="&amp;CL$3,CLAVE_BIT,$A336)+SUMIFS(SALIDAS_BOV1,FECHA_BOV1,"&gt;="&amp;CL$2,FECHA_BOV1,"&lt;="&amp;CL$3,CLAVE_BOV1,$A336)+SUMIFS(SALIDAS_BOV2,FECHA_BOV2,"&gt;="&amp;CL$2,FECHA_BOV2,"&lt;="&amp;CL$3,CLAVE_BOV2,$A336)+SUMIFS(SALIDAS_BOV3,FECHA_BOV3,"&gt;="&amp;CL$2,FECHA_BOV3,"&lt;="&amp;CL$3,CLAVE_BOV3,$A336)+SUMIFS(SALIDAS_TC,FECHA_TC,"&gt;="&amp;CL$2,FECHA_TC,"&lt;="&amp;CL$3,CLAVE_TC,$A336)+SUMIFS(SALIDAS_COMB,FECHA_COMB,"&gt;="&amp;CL$2,FECHA_COMB,"&lt;="&amp;CL$3,CLAVE_COMB,$A336)+SUMIFS(SALIDAS_DES,FECHA_DESGLOSEN,"&gt;="&amp;CL$2,FECHA_DESGLOSEN,"&lt;="&amp;CL$3,CLAVE_DESGLOSE,$A336)</f>
        <v>0</v>
      </c>
      <c r="CM336" s="162">
        <f>SUMIFS(SALIDAS_BIT,FECHA_BIT,"&gt;="&amp;CM$2,FECHA_BIT,"&lt;="&amp;CM$3,CLAVE_BIT,$A336)+SUMIFS(SALIDAS_BOV1,FECHA_BOV1,"&gt;="&amp;CM$2,FECHA_BOV1,"&lt;="&amp;CM$3,CLAVE_BOV1,$A336)+SUMIFS(SALIDAS_BOV2,FECHA_BOV2,"&gt;="&amp;CM$2,FECHA_BOV2,"&lt;="&amp;CM$3,CLAVE_BOV2,$A336)+SUMIFS(SALIDAS_BOV3,FECHA_BOV3,"&gt;="&amp;CM$2,FECHA_BOV3,"&lt;="&amp;CM$3,CLAVE_BOV3,$A336)+SUMIFS(SALIDAS_TC,FECHA_TC,"&gt;="&amp;CM$2,FECHA_TC,"&lt;="&amp;CM$3,CLAVE_TC,$A336)+SUMIFS(SALIDAS_COMB,FECHA_COMB,"&gt;="&amp;CM$2,FECHA_COMB,"&lt;="&amp;CM$3,CLAVE_COMB,$A336)+SUMIFS(SALIDAS_DES,FECHA_DESGLOSEN,"&gt;="&amp;CM$2,FECHA_DESGLOSEN,"&lt;="&amp;CM$3,CLAVE_DESGLOSE,$A336)</f>
        <v>0</v>
      </c>
      <c r="CN336" s="162">
        <f>SUMIFS(SALIDAS_BIT,FECHA_BIT,"&gt;="&amp;CN$2,FECHA_BIT,"&lt;="&amp;CN$3,CLAVE_BIT,$A336)+SUMIFS(SALIDAS_BOV1,FECHA_BOV1,"&gt;="&amp;CN$2,FECHA_BOV1,"&lt;="&amp;CN$3,CLAVE_BOV1,$A336)+SUMIFS(SALIDAS_BOV2,FECHA_BOV2,"&gt;="&amp;CN$2,FECHA_BOV2,"&lt;="&amp;CN$3,CLAVE_BOV2,$A336)+SUMIFS(SALIDAS_BOV3,FECHA_BOV3,"&gt;="&amp;CN$2,FECHA_BOV3,"&lt;="&amp;CN$3,CLAVE_BOV3,$A336)+SUMIFS(SALIDAS_TC,FECHA_TC,"&gt;="&amp;CN$2,FECHA_TC,"&lt;="&amp;CN$3,CLAVE_TC,$A336)+SUMIFS(SALIDAS_COMB,FECHA_COMB,"&gt;="&amp;CN$2,FECHA_COMB,"&lt;="&amp;CN$3,CLAVE_COMB,$A336)+SUMIFS(SALIDAS_DES,FECHA_DESGLOSEN,"&gt;="&amp;CN$2,FECHA_DESGLOSEN,"&lt;="&amp;CN$3,CLAVE_DESGLOSE,$A336)</f>
        <v>0</v>
      </c>
      <c r="CO336" s="162">
        <f>SUMIFS(SALIDAS_BIT,FECHA_BIT,"&gt;="&amp;CO$2,FECHA_BIT,"&lt;="&amp;CO$3,CLAVE_BIT,$A336)+SUMIFS(SALIDAS_BOV1,FECHA_BOV1,"&gt;="&amp;CO$2,FECHA_BOV1,"&lt;="&amp;CO$3,CLAVE_BOV1,$A336)+SUMIFS(SALIDAS_BOV2,FECHA_BOV2,"&gt;="&amp;CO$2,FECHA_BOV2,"&lt;="&amp;CO$3,CLAVE_BOV2,$A336)+SUMIFS(SALIDAS_BOV3,FECHA_BOV3,"&gt;="&amp;CO$2,FECHA_BOV3,"&lt;="&amp;CO$3,CLAVE_BOV3,$A336)+SUMIFS(SALIDAS_TC,FECHA_TC,"&gt;="&amp;CO$2,FECHA_TC,"&lt;="&amp;CO$3,CLAVE_TC,$A336)+SUMIFS(SALIDAS_COMB,FECHA_COMB,"&gt;="&amp;CO$2,FECHA_COMB,"&lt;="&amp;CO$3,CLAVE_COMB,$A336)+SUMIFS(SALIDAS_DES,FECHA_DESGLOSEN,"&gt;="&amp;CO$2,FECHA_DESGLOSEN,"&lt;="&amp;CO$3,CLAVE_DESGLOSE,$A336)</f>
        <v>1987</v>
      </c>
      <c r="CP336" s="162">
        <f>SUMIFS(SALIDAS_BIT,FECHA_BIT,"&gt;="&amp;CP$2,FECHA_BIT,"&lt;="&amp;CP$3,CLAVE_BIT,$A336)+SUMIFS(SALIDAS_BOV1,FECHA_BOV1,"&gt;="&amp;CP$2,FECHA_BOV1,"&lt;="&amp;CP$3,CLAVE_BOV1,$A336)+SUMIFS(SALIDAS_BOV2,FECHA_BOV2,"&gt;="&amp;CP$2,FECHA_BOV2,"&lt;="&amp;CP$3,CLAVE_BOV2,$A336)+SUMIFS(SALIDAS_BOV3,FECHA_BOV3,"&gt;="&amp;CP$2,FECHA_BOV3,"&lt;="&amp;CP$3,CLAVE_BOV3,$A336)+SUMIFS(SALIDAS_TC,FECHA_TC,"&gt;="&amp;CP$2,FECHA_TC,"&lt;="&amp;CP$3,CLAVE_TC,$A336)+SUMIFS(SALIDAS_COMB,FECHA_COMB,"&gt;="&amp;CP$2,FECHA_COMB,"&lt;="&amp;CP$3,CLAVE_COMB,$A336)+SUMIFS(SALIDAS_DES,FECHA_DESGLOSEN,"&gt;="&amp;CP$2,FECHA_DESGLOSEN,"&lt;="&amp;CP$3,CLAVE_DESGLOSE,$A336)</f>
        <v>0</v>
      </c>
      <c r="CQ336" s="162">
        <f>SUMIFS(SALIDAS_BIT,FECHA_BIT,"&gt;="&amp;CQ$2,FECHA_BIT,"&lt;="&amp;CQ$3,CLAVE_BIT,$A336)+SUMIFS(SALIDAS_BOV1,FECHA_BOV1,"&gt;="&amp;CQ$2,FECHA_BOV1,"&lt;="&amp;CQ$3,CLAVE_BOV1,$A336)+SUMIFS(SALIDAS_BOV2,FECHA_BOV2,"&gt;="&amp;CQ$2,FECHA_BOV2,"&lt;="&amp;CQ$3,CLAVE_BOV2,$A336)+SUMIFS(SALIDAS_BOV3,FECHA_BOV3,"&gt;="&amp;CQ$2,FECHA_BOV3,"&lt;="&amp;CQ$3,CLAVE_BOV3,$A336)+SUMIFS(SALIDAS_TC,FECHA_TC,"&gt;="&amp;CQ$2,FECHA_TC,"&lt;="&amp;CQ$3,CLAVE_TC,$A336)+SUMIFS(SALIDAS_COMB,FECHA_COMB,"&gt;="&amp;CQ$2,FECHA_COMB,"&lt;="&amp;CQ$3,CLAVE_COMB,$A336)+SUMIFS(SALIDAS_DES,FECHA_DESGLOSEN,"&gt;="&amp;CQ$2,FECHA_DESGLOSEN,"&lt;="&amp;CQ$3,CLAVE_DESGLOSE,$A336)</f>
        <v>1987</v>
      </c>
      <c r="CR336" s="227">
        <f t="shared" ref="CR336:CR337" si="756">CK336-CQ336</f>
        <v>-1987</v>
      </c>
      <c r="CS336" s="301">
        <f t="shared" ref="CS336:CS337" si="757">IFERROR((CQ336/CK336),0)</f>
        <v>0</v>
      </c>
      <c r="CT336" s="68">
        <f t="shared" si="712"/>
        <v>26598</v>
      </c>
      <c r="CU336" s="13">
        <f>SUMIFS(SALIDAS_BIT,FECHA_BIT,"&gt;="&amp;CU$2,FECHA_BIT,"&lt;="&amp;CU$3,CLAVE_BIT,$A336)+SUMIFS(SALIDAS_BOV1,FECHA_BOV1,"&gt;="&amp;CU$2,FECHA_BOV1,"&lt;="&amp;CU$3,CLAVE_BOV1,$A336)+SUMIFS(SALIDAS_BOV2,FECHA_BOV2,"&gt;="&amp;CU$2,FECHA_BOV2,"&lt;="&amp;CU$3,CLAVE_BOV2,$A336)+SUMIFS(SALIDAS_BOV3,FECHA_BOV3,"&gt;="&amp;CU$2,FECHA_BOV3,"&lt;="&amp;CU$3,CLAVE_BOV3,$A336)+SUMIFS(SALIDAS_TC,FECHA_TC,"&gt;="&amp;CU$2,FECHA_TC,"&lt;="&amp;CU$3,CLAVE_TC,$A336)+SUMIFS(SALIDAS_COMB,FECHA_COMB,"&gt;="&amp;CU$2,FECHA_COMB,"&lt;="&amp;CU$3,CLAVE_COMB,$A336)+SUMIFS(SALIDAS_DES,FECHA_DESGLOSEN,"&gt;="&amp;CU$2,FECHA_DESGLOSEN,"&lt;="&amp;CU$3,CLAVE_DESGLOSE,$A336)</f>
        <v>0</v>
      </c>
      <c r="CV336" s="13">
        <f>SUMIFS(SALIDAS_BIT,FECHA_BIT,"&gt;="&amp;CV$2,FECHA_BIT,"&lt;="&amp;CV$3,CLAVE_BIT,$A336)+SUMIFS(SALIDAS_BOV1,FECHA_BOV1,"&gt;="&amp;CV$2,FECHA_BOV1,"&lt;="&amp;CV$3,CLAVE_BOV1,$A336)+SUMIFS(SALIDAS_BOV2,FECHA_BOV2,"&gt;="&amp;CV$2,FECHA_BOV2,"&lt;="&amp;CV$3,CLAVE_BOV2,$A336)+SUMIFS(SALIDAS_BOV3,FECHA_BOV3,"&gt;="&amp;CV$2,FECHA_BOV3,"&lt;="&amp;CV$3,CLAVE_BOV3,$A336)+SUMIFS(SALIDAS_TC,FECHA_TC,"&gt;="&amp;CV$2,FECHA_TC,"&lt;="&amp;CV$3,CLAVE_TC,$A336)+SUMIFS(SALIDAS_COMB,FECHA_COMB,"&gt;="&amp;CV$2,FECHA_COMB,"&lt;="&amp;CV$3,CLAVE_COMB,$A336)+SUMIFS(SALIDAS_DES,FECHA_DESGLOSEN,"&gt;="&amp;CV$2,FECHA_DESGLOSEN,"&lt;="&amp;CV$3,CLAVE_DESGLOSE,$A336)</f>
        <v>0</v>
      </c>
      <c r="CW336" s="13">
        <f>SUMIFS(SALIDAS_BIT,FECHA_BIT,"&gt;="&amp;CW$2,FECHA_BIT,"&lt;="&amp;CW$3,CLAVE_BIT,$A336)+SUMIFS(SALIDAS_BOV1,FECHA_BOV1,"&gt;="&amp;CW$2,FECHA_BOV1,"&lt;="&amp;CW$3,CLAVE_BOV1,$A336)+SUMIFS(SALIDAS_BOV2,FECHA_BOV2,"&gt;="&amp;CW$2,FECHA_BOV2,"&lt;="&amp;CW$3,CLAVE_BOV2,$A336)+SUMIFS(SALIDAS_BOV3,FECHA_BOV3,"&gt;="&amp;CW$2,FECHA_BOV3,"&lt;="&amp;CW$3,CLAVE_BOV3,$A336)+SUMIFS(SALIDAS_TC,FECHA_TC,"&gt;="&amp;CW$2,FECHA_TC,"&lt;="&amp;CW$3,CLAVE_TC,$A336)+SUMIFS(SALIDAS_COMB,FECHA_COMB,"&gt;="&amp;CW$2,FECHA_COMB,"&lt;="&amp;CW$3,CLAVE_COMB,$A336)+SUMIFS(SALIDAS_DES,FECHA_DESGLOSEN,"&gt;="&amp;CW$2,FECHA_DESGLOSEN,"&lt;="&amp;CW$3,CLAVE_DESGLOSE,$A336)</f>
        <v>0</v>
      </c>
      <c r="CX336" s="13">
        <f>SUMIFS(SALIDAS_BIT,FECHA_BIT,"&gt;="&amp;CX$2,FECHA_BIT,"&lt;="&amp;CX$3,CLAVE_BIT,$A336)+SUMIFS(SALIDAS_BOV1,FECHA_BOV1,"&gt;="&amp;CX$2,FECHA_BOV1,"&lt;="&amp;CX$3,CLAVE_BOV1,$A336)+SUMIFS(SALIDAS_BOV2,FECHA_BOV2,"&gt;="&amp;CX$2,FECHA_BOV2,"&lt;="&amp;CX$3,CLAVE_BOV2,$A336)+SUMIFS(SALIDAS_BOV3,FECHA_BOV3,"&gt;="&amp;CX$2,FECHA_BOV3,"&lt;="&amp;CX$3,CLAVE_BOV3,$A336)+SUMIFS(SALIDAS_TC,FECHA_TC,"&gt;="&amp;CX$2,FECHA_TC,"&lt;="&amp;CX$3,CLAVE_TC,$A336)+SUMIFS(SALIDAS_COMB,FECHA_COMB,"&gt;="&amp;CX$2,FECHA_COMB,"&lt;="&amp;CX$3,CLAVE_COMB,$A336)+SUMIFS(SALIDAS_DES,FECHA_DESGLOSEN,"&gt;="&amp;CX$2,FECHA_DESGLOSEN,"&lt;="&amp;CX$3,CLAVE_DESGLOSE,$A336)</f>
        <v>0</v>
      </c>
      <c r="CY336" s="13">
        <f>SUMIFS(SALIDAS_BIT,FECHA_BIT,"&gt;="&amp;CY$2,FECHA_BIT,"&lt;="&amp;CY$3,CLAVE_BIT,$A336)+SUMIFS(SALIDAS_BOV1,FECHA_BOV1,"&gt;="&amp;CY$2,FECHA_BOV1,"&lt;="&amp;CY$3,CLAVE_BOV1,$A336)+SUMIFS(SALIDAS_BOV2,FECHA_BOV2,"&gt;="&amp;CY$2,FECHA_BOV2,"&lt;="&amp;CY$3,CLAVE_BOV2,$A336)+SUMIFS(SALIDAS_BOV3,FECHA_BOV3,"&gt;="&amp;CY$2,FECHA_BOV3,"&lt;="&amp;CY$3,CLAVE_BOV3,$A336)+SUMIFS(SALIDAS_TC,FECHA_TC,"&gt;="&amp;CY$2,FECHA_TC,"&lt;="&amp;CY$3,CLAVE_TC,$A336)+SUMIFS(SALIDAS_COMB,FECHA_COMB,"&gt;="&amp;CY$2,FECHA_COMB,"&lt;="&amp;CY$3,CLAVE_COMB,$A336)+SUMIFS(SALIDAS_DES,FECHA_DESGLOSEN,"&gt;="&amp;CY$2,FECHA_DESGLOSEN,"&lt;="&amp;CY$3,CLAVE_DESGLOSE,$A336)</f>
        <v>0</v>
      </c>
      <c r="CZ336" s="68">
        <f t="shared" si="713"/>
        <v>26598</v>
      </c>
      <c r="DB336" s="17">
        <f>F336+N336+W336+AE336+AM336+AV336+BD336+BL336+BU336+CC336+CK336</f>
        <v>0</v>
      </c>
      <c r="DC336" s="17">
        <f>K336+T336+AB336+AJ336+AS336+BA336+BI336+BR336+BZ336+CH336+CQ336</f>
        <v>3266</v>
      </c>
    </row>
    <row r="337" spans="1:107" ht="15" hidden="1">
      <c r="A337" s="12" t="str">
        <f>C337&amp;D337&amp;E337</f>
        <v>CAPJMASE9</v>
      </c>
      <c r="B337">
        <v>337</v>
      </c>
      <c r="C337" t="s">
        <v>31</v>
      </c>
      <c r="D337" s="12" t="s">
        <v>137</v>
      </c>
      <c r="E337" s="12" t="s">
        <v>116</v>
      </c>
      <c r="F337" s="260">
        <f>VLOOKUP($A337,T_PRESUPUESTO,MATCH(F$6,E_PRESUPUESTO,0),FALSE)</f>
        <v>0</v>
      </c>
      <c r="G337" s="162">
        <f>SUMIFS(SALIDAS_BIT,FECHA_BIT,"&gt;="&amp;G$2,FECHA_BIT,"&lt;="&amp;G$3,CLAVE_BIT,$A337)+SUMIFS(SALIDAS_BOV1,FECHA_BOV1,"&gt;="&amp;G$2,FECHA_BOV1,"&lt;="&amp;G$3,CLAVE_BOV1,$A337)+SUMIFS(SALIDAS_BOV2,FECHA_BOV2,"&gt;="&amp;G$2,FECHA_BOV2,"&lt;="&amp;G$3,CLAVE_BOV2,$A337)+SUMIFS(SALIDAS_BOV3,FECHA_BOV3,"&gt;="&amp;G$2,FECHA_BOV3,"&lt;="&amp;G$3,CLAVE_BOV3,$A337)+SUMIFS(SALIDAS_TC,FECHA_TC,"&gt;="&amp;G$2,FECHA_TC,"&lt;="&amp;G$3,CLAVE_TC,$A337)+SUMIFS(SALIDAS_COMB,FECHA_COMB,"&gt;="&amp;G$2,FECHA_COMB,"&lt;="&amp;G$3,CLAVE_COMB,$A337)+SUMIFS(SALIDAS_DES,FECHA_DESGLOSEN,"&gt;="&amp;G$2,FECHA_DESGLOSEN,"&lt;="&amp;G$3,CLAVE_DESGLOSE,$A337)</f>
        <v>0</v>
      </c>
      <c r="H337" s="162">
        <f>SUMIFS(SALIDAS_BIT,FECHA_BIT,"&gt;="&amp;H$2,FECHA_BIT,"&lt;="&amp;H$3,CLAVE_BIT,$A337)+SUMIFS(SALIDAS_BOV1,FECHA_BOV1,"&gt;="&amp;H$2,FECHA_BOV1,"&lt;="&amp;H$3,CLAVE_BOV1,$A337)+SUMIFS(SALIDAS_BOV2,FECHA_BOV2,"&gt;="&amp;H$2,FECHA_BOV2,"&lt;="&amp;H$3,CLAVE_BOV2,$A337)+SUMIFS(SALIDAS_BOV3,FECHA_BOV3,"&gt;="&amp;H$2,FECHA_BOV3,"&lt;="&amp;H$3,CLAVE_BOV3,$A337)+SUMIFS(SALIDAS_TC,FECHA_TC,"&gt;="&amp;H$2,FECHA_TC,"&lt;="&amp;H$3,CLAVE_TC,$A337)+SUMIFS(SALIDAS_COMB,FECHA_COMB,"&gt;="&amp;H$2,FECHA_COMB,"&lt;="&amp;H$3,CLAVE_COMB,$A337)+SUMIFS(SALIDAS_DES,FECHA_DESGLOSEN,"&gt;="&amp;H$2,FECHA_DESGLOSEN,"&lt;="&amp;H$3,CLAVE_DESGLOSE,$A337)</f>
        <v>0</v>
      </c>
      <c r="I337" s="162">
        <f>SUMIFS(SALIDAS_BIT,FECHA_BIT,"&gt;="&amp;I$2,FECHA_BIT,"&lt;="&amp;I$3,CLAVE_BIT,$A337)+SUMIFS(SALIDAS_BOV1,FECHA_BOV1,"&gt;="&amp;I$2,FECHA_BOV1,"&lt;="&amp;I$3,CLAVE_BOV1,$A337)+SUMIFS(SALIDAS_BOV2,FECHA_BOV2,"&gt;="&amp;I$2,FECHA_BOV2,"&lt;="&amp;I$3,CLAVE_BOV2,$A337)+SUMIFS(SALIDAS_BOV3,FECHA_BOV3,"&gt;="&amp;I$2,FECHA_BOV3,"&lt;="&amp;I$3,CLAVE_BOV3,$A337)+SUMIFS(SALIDAS_TC,FECHA_TC,"&gt;="&amp;I$2,FECHA_TC,"&lt;="&amp;I$3,CLAVE_TC,$A337)+SUMIFS(SALIDAS_COMB,FECHA_COMB,"&gt;="&amp;I$2,FECHA_COMB,"&lt;="&amp;I$3,CLAVE_COMB,$A337)+SUMIFS(SALIDAS_DES,FECHA_DESGLOSEN,"&gt;="&amp;I$2,FECHA_DESGLOSEN,"&lt;="&amp;I$3,CLAVE_DESGLOSE,$A337)</f>
        <v>0</v>
      </c>
      <c r="J337" s="162">
        <f>SUMIFS(SALIDAS_BIT,FECHA_BIT,"&gt;="&amp;J$2,FECHA_BIT,"&lt;="&amp;J$3,CLAVE_BIT,$A337)+SUMIFS(SALIDAS_BOV1,FECHA_BOV1,"&gt;="&amp;J$2,FECHA_BOV1,"&lt;="&amp;J$3,CLAVE_BOV1,$A337)+SUMIFS(SALIDAS_BOV2,FECHA_BOV2,"&gt;="&amp;J$2,FECHA_BOV2,"&lt;="&amp;J$3,CLAVE_BOV2,$A337)+SUMIFS(SALIDAS_BOV3,FECHA_BOV3,"&gt;="&amp;J$2,FECHA_BOV3,"&lt;="&amp;J$3,CLAVE_BOV3,$A337)+SUMIFS(SALIDAS_TC,FECHA_TC,"&gt;="&amp;J$2,FECHA_TC,"&lt;="&amp;J$3,CLAVE_TC,$A337)+SUMIFS(SALIDAS_COMB,FECHA_COMB,"&gt;="&amp;J$2,FECHA_COMB,"&lt;="&amp;J$3,CLAVE_COMB,$A337)+SUMIFS(SALIDAS_DES,FECHA_DESGLOSEN,"&gt;="&amp;J$2,FECHA_DESGLOSEN,"&lt;="&amp;J$3,CLAVE_DESGLOSE,$A337)</f>
        <v>0</v>
      </c>
      <c r="K337" s="162">
        <f>SUMIFS(SALIDAS_BIT,FECHA_BIT,"&gt;="&amp;K$2,FECHA_BIT,"&lt;="&amp;K$3,CLAVE_BIT,$A337)+SUMIFS(SALIDAS_BOV1,FECHA_BOV1,"&gt;="&amp;K$2,FECHA_BOV1,"&lt;="&amp;K$3,CLAVE_BOV1,$A337)+SUMIFS(SALIDAS_BOV2,FECHA_BOV2,"&gt;="&amp;K$2,FECHA_BOV2,"&lt;="&amp;K$3,CLAVE_BOV2,$A337)+SUMIFS(SALIDAS_BOV3,FECHA_BOV3,"&gt;="&amp;K$2,FECHA_BOV3,"&lt;="&amp;K$3,CLAVE_BOV3,$A337)+SUMIFS(SALIDAS_TC,FECHA_TC,"&gt;="&amp;K$2,FECHA_TC,"&lt;="&amp;K$3,CLAVE_TC,$A337)+SUMIFS(SALIDAS_COMB,FECHA_COMB,"&gt;="&amp;K$2,FECHA_COMB,"&lt;="&amp;K$3,CLAVE_COMB,$A337)+SUMIFS(SALIDAS_DES,FECHA_DESGLOSEN,"&gt;="&amp;K$2,FECHA_DESGLOSEN,"&lt;="&amp;K$3,CLAVE_DESGLOSE,$A337)</f>
        <v>0</v>
      </c>
      <c r="L337" s="227">
        <f t="shared" si="736"/>
        <v>0</v>
      </c>
      <c r="M337" s="301">
        <f t="shared" si="737"/>
        <v>0</v>
      </c>
      <c r="N337" s="162">
        <f>VLOOKUP($A337,T_PRESUPUESTO,MATCH(N$6,E_PRESUPUESTO,0),FALSE)</f>
        <v>0</v>
      </c>
      <c r="O337" s="162">
        <f>SUMIFS(SALIDAS_BIT,FECHA_BIT,"&gt;="&amp;O$2,FECHA_BIT,"&lt;="&amp;O$3,CLAVE_BIT,$A337)+SUMIFS(SALIDAS_BOV1,FECHA_BOV1,"&gt;="&amp;O$2,FECHA_BOV1,"&lt;="&amp;O$3,CLAVE_BOV1,$A337)+SUMIFS(SALIDAS_BOV2,FECHA_BOV2,"&gt;="&amp;O$2,FECHA_BOV2,"&lt;="&amp;O$3,CLAVE_BOV2,$A337)+SUMIFS(SALIDAS_BOV3,FECHA_BOV3,"&gt;="&amp;O$2,FECHA_BOV3,"&lt;="&amp;O$3,CLAVE_BOV3,$A337)+SUMIFS(SALIDAS_TC,FECHA_TC,"&gt;="&amp;O$2,FECHA_TC,"&lt;="&amp;O$3,CLAVE_TC,$A337)+SUMIFS(SALIDAS_COMB,FECHA_COMB,"&gt;="&amp;O$2,FECHA_COMB,"&lt;="&amp;O$3,CLAVE_COMB,$A337)+SUMIFS(SALIDAS_DES,FECHA_DESGLOSEN,"&gt;="&amp;O$2,FECHA_DESGLOSEN,"&lt;="&amp;O$3,CLAVE_DESGLOSE,$A337)</f>
        <v>0</v>
      </c>
      <c r="P337" s="162">
        <f>SUMIFS(SALIDAS_BIT,FECHA_BIT,"&gt;="&amp;P$2,FECHA_BIT,"&lt;="&amp;P$3,CLAVE_BIT,$A337)+SUMIFS(SALIDAS_BOV1,FECHA_BOV1,"&gt;="&amp;P$2,FECHA_BOV1,"&lt;="&amp;P$3,CLAVE_BOV1,$A337)+SUMIFS(SALIDAS_BOV2,FECHA_BOV2,"&gt;="&amp;P$2,FECHA_BOV2,"&lt;="&amp;P$3,CLAVE_BOV2,$A337)+SUMIFS(SALIDAS_BOV3,FECHA_BOV3,"&gt;="&amp;P$2,FECHA_BOV3,"&lt;="&amp;P$3,CLAVE_BOV3,$A337)+SUMIFS(SALIDAS_TC,FECHA_TC,"&gt;="&amp;P$2,FECHA_TC,"&lt;="&amp;P$3,CLAVE_TC,$A337)+SUMIFS(SALIDAS_COMB,FECHA_COMB,"&gt;="&amp;P$2,FECHA_COMB,"&lt;="&amp;P$3,CLAVE_COMB,$A337)+SUMIFS(SALIDAS_DES,FECHA_DESGLOSEN,"&gt;="&amp;P$2,FECHA_DESGLOSEN,"&lt;="&amp;P$3,CLAVE_DESGLOSE,$A337)</f>
        <v>0</v>
      </c>
      <c r="Q337" s="162">
        <f>SUMIFS(SALIDAS_BIT,FECHA_BIT,"&gt;="&amp;Q$2,FECHA_BIT,"&lt;="&amp;Q$3,CLAVE_BIT,$A337)+SUMIFS(SALIDAS_BOV1,FECHA_BOV1,"&gt;="&amp;Q$2,FECHA_BOV1,"&lt;="&amp;Q$3,CLAVE_BOV1,$A337)+SUMIFS(SALIDAS_BOV2,FECHA_BOV2,"&gt;="&amp;Q$2,FECHA_BOV2,"&lt;="&amp;Q$3,CLAVE_BOV2,$A337)+SUMIFS(SALIDAS_BOV3,FECHA_BOV3,"&gt;="&amp;Q$2,FECHA_BOV3,"&lt;="&amp;Q$3,CLAVE_BOV3,$A337)+SUMIFS(SALIDAS_TC,FECHA_TC,"&gt;="&amp;Q$2,FECHA_TC,"&lt;="&amp;Q$3,CLAVE_TC,$A337)+SUMIFS(SALIDAS_COMB,FECHA_COMB,"&gt;="&amp;Q$2,FECHA_COMB,"&lt;="&amp;Q$3,CLAVE_COMB,$A337)+SUMIFS(SALIDAS_DES,FECHA_DESGLOSEN,"&gt;="&amp;Q$2,FECHA_DESGLOSEN,"&lt;="&amp;Q$3,CLAVE_DESGLOSE,$A337)</f>
        <v>0</v>
      </c>
      <c r="R337" s="162">
        <f>SUMIFS(SALIDAS_BIT,FECHA_BIT,"&gt;="&amp;R$2,FECHA_BIT,"&lt;="&amp;R$3,CLAVE_BIT,$A337)+SUMIFS(SALIDAS_BOV1,FECHA_BOV1,"&gt;="&amp;R$2,FECHA_BOV1,"&lt;="&amp;R$3,CLAVE_BOV1,$A337)+SUMIFS(SALIDAS_BOV2,FECHA_BOV2,"&gt;="&amp;R$2,FECHA_BOV2,"&lt;="&amp;R$3,CLAVE_BOV2,$A337)+SUMIFS(SALIDAS_BOV3,FECHA_BOV3,"&gt;="&amp;R$2,FECHA_BOV3,"&lt;="&amp;R$3,CLAVE_BOV3,$A337)+SUMIFS(SALIDAS_TC,FECHA_TC,"&gt;="&amp;R$2,FECHA_TC,"&lt;="&amp;R$3,CLAVE_TC,$A337)+SUMIFS(SALIDAS_COMB,FECHA_COMB,"&gt;="&amp;R$2,FECHA_COMB,"&lt;="&amp;R$3,CLAVE_COMB,$A337)+SUMIFS(SALIDAS_DES,FECHA_DESGLOSEN,"&gt;="&amp;R$2,FECHA_DESGLOSEN,"&lt;="&amp;R$3,CLAVE_DESGLOSE,$A337)</f>
        <v>0</v>
      </c>
      <c r="S337" s="162">
        <f>SUMIFS(SALIDAS_BIT,FECHA_BIT,"&gt;="&amp;S$2,FECHA_BIT,"&lt;="&amp;S$3,CLAVE_BIT,$A337)+SUMIFS(SALIDAS_BOV1,FECHA_BOV1,"&gt;="&amp;S$2,FECHA_BOV1,"&lt;="&amp;S$3,CLAVE_BOV1,$A337)+SUMIFS(SALIDAS_BOV2,FECHA_BOV2,"&gt;="&amp;S$2,FECHA_BOV2,"&lt;="&amp;S$3,CLAVE_BOV2,$A337)+SUMIFS(SALIDAS_BOV3,FECHA_BOV3,"&gt;="&amp;S$2,FECHA_BOV3,"&lt;="&amp;S$3,CLAVE_BOV3,$A337)+SUMIFS(SALIDAS_TC,FECHA_TC,"&gt;="&amp;S$2,FECHA_TC,"&lt;="&amp;S$3,CLAVE_TC,$A337)+SUMIFS(SALIDAS_COMB,FECHA_COMB,"&gt;="&amp;S$2,FECHA_COMB,"&lt;="&amp;S$3,CLAVE_COMB,$A337)+SUMIFS(SALIDAS_DES,FECHA_DESGLOSEN,"&gt;="&amp;S$2,FECHA_DESGLOSEN,"&lt;="&amp;S$3,CLAVE_DESGLOSE,$A337)</f>
        <v>0</v>
      </c>
      <c r="T337" s="162">
        <f>SUMIFS(SALIDAS_BIT,FECHA_BIT,"&gt;="&amp;T$2,FECHA_BIT,"&lt;="&amp;T$3,CLAVE_BIT,$A337)+SUMIFS(SALIDAS_BOV1,FECHA_BOV1,"&gt;="&amp;T$2,FECHA_BOV1,"&lt;="&amp;T$3,CLAVE_BOV1,$A337)+SUMIFS(SALIDAS_BOV2,FECHA_BOV2,"&gt;="&amp;T$2,FECHA_BOV2,"&lt;="&amp;T$3,CLAVE_BOV2,$A337)+SUMIFS(SALIDAS_BOV3,FECHA_BOV3,"&gt;="&amp;T$2,FECHA_BOV3,"&lt;="&amp;T$3,CLAVE_BOV3,$A337)+SUMIFS(SALIDAS_TC,FECHA_TC,"&gt;="&amp;T$2,FECHA_TC,"&lt;="&amp;T$3,CLAVE_TC,$A337)+SUMIFS(SALIDAS_COMB,FECHA_COMB,"&gt;="&amp;T$2,FECHA_COMB,"&lt;="&amp;T$3,CLAVE_COMB,$A337)+SUMIFS(SALIDAS_DES,FECHA_DESGLOSEN,"&gt;="&amp;T$2,FECHA_DESGLOSEN,"&lt;="&amp;T$3,CLAVE_DESGLOSE,$A337)</f>
        <v>0</v>
      </c>
      <c r="U337" s="227">
        <f t="shared" si="738"/>
        <v>0</v>
      </c>
      <c r="V337" s="301">
        <f t="shared" si="739"/>
        <v>0</v>
      </c>
      <c r="W337" s="162">
        <f>VLOOKUP($A337,T_PRESUPUESTO,MATCH(W$6,E_PRESUPUESTO,0),FALSE)</f>
        <v>0</v>
      </c>
      <c r="X337" s="162">
        <f>SUMIFS(SALIDAS_BIT,FECHA_BIT,"&gt;="&amp;X$2,FECHA_BIT,"&lt;="&amp;X$3,CLAVE_BIT,$A337)+SUMIFS(SALIDAS_BOV1,FECHA_BOV1,"&gt;="&amp;X$2,FECHA_BOV1,"&lt;="&amp;X$3,CLAVE_BOV1,$A337)+SUMIFS(SALIDAS_BOV2,FECHA_BOV2,"&gt;="&amp;X$2,FECHA_BOV2,"&lt;="&amp;X$3,CLAVE_BOV2,$A337)+SUMIFS(SALIDAS_BOV3,FECHA_BOV3,"&gt;="&amp;X$2,FECHA_BOV3,"&lt;="&amp;X$3,CLAVE_BOV3,$A337)+SUMIFS(SALIDAS_TC,FECHA_TC,"&gt;="&amp;X$2,FECHA_TC,"&lt;="&amp;X$3,CLAVE_TC,$A337)+SUMIFS(SALIDAS_COMB,FECHA_COMB,"&gt;="&amp;X$2,FECHA_COMB,"&lt;="&amp;X$3,CLAVE_COMB,$A337)+SUMIFS(SALIDAS_DES,FECHA_DESGLOSEN,"&gt;="&amp;X$2,FECHA_DESGLOSEN,"&lt;="&amp;X$3,CLAVE_DESGLOSE,$A337)</f>
        <v>0</v>
      </c>
      <c r="Y337" s="162">
        <f>SUMIFS(SALIDAS_BIT,FECHA_BIT,"&gt;="&amp;Y$2,FECHA_BIT,"&lt;="&amp;Y$3,CLAVE_BIT,$A337)+SUMIFS(SALIDAS_BOV1,FECHA_BOV1,"&gt;="&amp;Y$2,FECHA_BOV1,"&lt;="&amp;Y$3,CLAVE_BOV1,$A337)+SUMIFS(SALIDAS_BOV2,FECHA_BOV2,"&gt;="&amp;Y$2,FECHA_BOV2,"&lt;="&amp;Y$3,CLAVE_BOV2,$A337)+SUMIFS(SALIDAS_BOV3,FECHA_BOV3,"&gt;="&amp;Y$2,FECHA_BOV3,"&lt;="&amp;Y$3,CLAVE_BOV3,$A337)+SUMIFS(SALIDAS_TC,FECHA_TC,"&gt;="&amp;Y$2,FECHA_TC,"&lt;="&amp;Y$3,CLAVE_TC,$A337)+SUMIFS(SALIDAS_COMB,FECHA_COMB,"&gt;="&amp;Y$2,FECHA_COMB,"&lt;="&amp;Y$3,CLAVE_COMB,$A337)+SUMIFS(SALIDAS_DES,FECHA_DESGLOSEN,"&gt;="&amp;Y$2,FECHA_DESGLOSEN,"&lt;="&amp;Y$3,CLAVE_DESGLOSE,$A337)</f>
        <v>0</v>
      </c>
      <c r="Z337" s="162">
        <f>SUMIFS(SALIDAS_BIT,FECHA_BIT,"&gt;="&amp;Z$2,FECHA_BIT,"&lt;="&amp;Z$3,CLAVE_BIT,$A337)+SUMIFS(SALIDAS_BOV1,FECHA_BOV1,"&gt;="&amp;Z$2,FECHA_BOV1,"&lt;="&amp;Z$3,CLAVE_BOV1,$A337)+SUMIFS(SALIDAS_BOV2,FECHA_BOV2,"&gt;="&amp;Z$2,FECHA_BOV2,"&lt;="&amp;Z$3,CLAVE_BOV2,$A337)+SUMIFS(SALIDAS_BOV3,FECHA_BOV3,"&gt;="&amp;Z$2,FECHA_BOV3,"&lt;="&amp;Z$3,CLAVE_BOV3,$A337)+SUMIFS(SALIDAS_TC,FECHA_TC,"&gt;="&amp;Z$2,FECHA_TC,"&lt;="&amp;Z$3,CLAVE_TC,$A337)+SUMIFS(SALIDAS_COMB,FECHA_COMB,"&gt;="&amp;Z$2,FECHA_COMB,"&lt;="&amp;Z$3,CLAVE_COMB,$A337)+SUMIFS(SALIDAS_DES,FECHA_DESGLOSEN,"&gt;="&amp;Z$2,FECHA_DESGLOSEN,"&lt;="&amp;Z$3,CLAVE_DESGLOSE,$A337)</f>
        <v>0</v>
      </c>
      <c r="AA337" s="162">
        <f>SUMIFS(SALIDAS_BIT,FECHA_BIT,"&gt;="&amp;AA$2,FECHA_BIT,"&lt;="&amp;AA$3,CLAVE_BIT,$A337)+SUMIFS(SALIDAS_BOV1,FECHA_BOV1,"&gt;="&amp;AA$2,FECHA_BOV1,"&lt;="&amp;AA$3,CLAVE_BOV1,$A337)+SUMIFS(SALIDAS_BOV2,FECHA_BOV2,"&gt;="&amp;AA$2,FECHA_BOV2,"&lt;="&amp;AA$3,CLAVE_BOV2,$A337)+SUMIFS(SALIDAS_BOV3,FECHA_BOV3,"&gt;="&amp;AA$2,FECHA_BOV3,"&lt;="&amp;AA$3,CLAVE_BOV3,$A337)+SUMIFS(SALIDAS_TC,FECHA_TC,"&gt;="&amp;AA$2,FECHA_TC,"&lt;="&amp;AA$3,CLAVE_TC,$A337)+SUMIFS(SALIDAS_COMB,FECHA_COMB,"&gt;="&amp;AA$2,FECHA_COMB,"&lt;="&amp;AA$3,CLAVE_COMB,$A337)+SUMIFS(SALIDAS_DES,FECHA_DESGLOSEN,"&gt;="&amp;AA$2,FECHA_DESGLOSEN,"&lt;="&amp;AA$3,CLAVE_DESGLOSE,$A337)</f>
        <v>0</v>
      </c>
      <c r="AB337" s="162">
        <f>SUMIFS(SALIDAS_BIT,FECHA_BIT,"&gt;="&amp;AB$2,FECHA_BIT,"&lt;="&amp;AB$3,CLAVE_BIT,$A337)+SUMIFS(SALIDAS_BOV1,FECHA_BOV1,"&gt;="&amp;AB$2,FECHA_BOV1,"&lt;="&amp;AB$3,CLAVE_BOV1,$A337)+SUMIFS(SALIDAS_BOV2,FECHA_BOV2,"&gt;="&amp;AB$2,FECHA_BOV2,"&lt;="&amp;AB$3,CLAVE_BOV2,$A337)+SUMIFS(SALIDAS_BOV3,FECHA_BOV3,"&gt;="&amp;AB$2,FECHA_BOV3,"&lt;="&amp;AB$3,CLAVE_BOV3,$A337)+SUMIFS(SALIDAS_TC,FECHA_TC,"&gt;="&amp;AB$2,FECHA_TC,"&lt;="&amp;AB$3,CLAVE_TC,$A337)+SUMIFS(SALIDAS_COMB,FECHA_COMB,"&gt;="&amp;AB$2,FECHA_COMB,"&lt;="&amp;AB$3,CLAVE_COMB,$A337)+SUMIFS(SALIDAS_DES,FECHA_DESGLOSEN,"&gt;="&amp;AB$2,FECHA_DESGLOSEN,"&lt;="&amp;AB$3,CLAVE_DESGLOSE,$A337)</f>
        <v>0</v>
      </c>
      <c r="AC337" s="227">
        <f t="shared" si="740"/>
        <v>0</v>
      </c>
      <c r="AD337" s="301">
        <f t="shared" si="741"/>
        <v>0</v>
      </c>
      <c r="AE337" s="162">
        <f>VLOOKUP($A337,T_PRESUPUESTO,MATCH(AE$6,E_PRESUPUESTO,0),FALSE)</f>
        <v>0</v>
      </c>
      <c r="AF337" s="162">
        <f>SUMIFS(SALIDAS_BIT,FECHA_BIT,"&gt;="&amp;AF$2,FECHA_BIT,"&lt;="&amp;AF$3,CLAVE_BIT,$A337)+SUMIFS(SALIDAS_BOV1,FECHA_BOV1,"&gt;="&amp;AF$2,FECHA_BOV1,"&lt;="&amp;AF$3,CLAVE_BOV1,$A337)+SUMIFS(SALIDAS_BOV2,FECHA_BOV2,"&gt;="&amp;AF$2,FECHA_BOV2,"&lt;="&amp;AF$3,CLAVE_BOV2,$A337)+SUMIFS(SALIDAS_BOV3,FECHA_BOV3,"&gt;="&amp;AF$2,FECHA_BOV3,"&lt;="&amp;AF$3,CLAVE_BOV3,$A337)+SUMIFS(SALIDAS_TC,FECHA_TC,"&gt;="&amp;AF$2,FECHA_TC,"&lt;="&amp;AF$3,CLAVE_TC,$A337)+SUMIFS(SALIDAS_COMB,FECHA_COMB,"&gt;="&amp;AF$2,FECHA_COMB,"&lt;="&amp;AF$3,CLAVE_COMB,$A337)+SUMIFS(SALIDAS_DES,FECHA_DESGLOSEN,"&gt;="&amp;AF$2,FECHA_DESGLOSEN,"&lt;="&amp;AF$3,CLAVE_DESGLOSE,$A337)</f>
        <v>0</v>
      </c>
      <c r="AG337" s="162">
        <f>SUMIFS(SALIDAS_BIT,FECHA_BIT,"&gt;="&amp;AG$2,FECHA_BIT,"&lt;="&amp;AG$3,CLAVE_BIT,$A337)+SUMIFS(SALIDAS_BOV1,FECHA_BOV1,"&gt;="&amp;AG$2,FECHA_BOV1,"&lt;="&amp;AG$3,CLAVE_BOV1,$A337)+SUMIFS(SALIDAS_BOV2,FECHA_BOV2,"&gt;="&amp;AG$2,FECHA_BOV2,"&lt;="&amp;AG$3,CLAVE_BOV2,$A337)+SUMIFS(SALIDAS_BOV3,FECHA_BOV3,"&gt;="&amp;AG$2,FECHA_BOV3,"&lt;="&amp;AG$3,CLAVE_BOV3,$A337)+SUMIFS(SALIDAS_TC,FECHA_TC,"&gt;="&amp;AG$2,FECHA_TC,"&lt;="&amp;AG$3,CLAVE_TC,$A337)+SUMIFS(SALIDAS_COMB,FECHA_COMB,"&gt;="&amp;AG$2,FECHA_COMB,"&lt;="&amp;AG$3,CLAVE_COMB,$A337)+SUMIFS(SALIDAS_DES,FECHA_DESGLOSEN,"&gt;="&amp;AG$2,FECHA_DESGLOSEN,"&lt;="&amp;AG$3,CLAVE_DESGLOSE,$A337)</f>
        <v>0</v>
      </c>
      <c r="AH337" s="162">
        <f>SUMIFS(SALIDAS_BIT,FECHA_BIT,"&gt;="&amp;AH$2,FECHA_BIT,"&lt;="&amp;AH$3,CLAVE_BIT,$A337)+SUMIFS(SALIDAS_BOV1,FECHA_BOV1,"&gt;="&amp;AH$2,FECHA_BOV1,"&lt;="&amp;AH$3,CLAVE_BOV1,$A337)+SUMIFS(SALIDAS_BOV2,FECHA_BOV2,"&gt;="&amp;AH$2,FECHA_BOV2,"&lt;="&amp;AH$3,CLAVE_BOV2,$A337)+SUMIFS(SALIDAS_BOV3,FECHA_BOV3,"&gt;="&amp;AH$2,FECHA_BOV3,"&lt;="&amp;AH$3,CLAVE_BOV3,$A337)+SUMIFS(SALIDAS_TC,FECHA_TC,"&gt;="&amp;AH$2,FECHA_TC,"&lt;="&amp;AH$3,CLAVE_TC,$A337)+SUMIFS(SALIDAS_COMB,FECHA_COMB,"&gt;="&amp;AH$2,FECHA_COMB,"&lt;="&amp;AH$3,CLAVE_COMB,$A337)+SUMIFS(SALIDAS_DES,FECHA_DESGLOSEN,"&gt;="&amp;AH$2,FECHA_DESGLOSEN,"&lt;="&amp;AH$3,CLAVE_DESGLOSE,$A337)</f>
        <v>0</v>
      </c>
      <c r="AI337" s="162">
        <f>SUMIFS(SALIDAS_BIT,FECHA_BIT,"&gt;="&amp;AI$2,FECHA_BIT,"&lt;="&amp;AI$3,CLAVE_BIT,$A337)+SUMIFS(SALIDAS_BOV1,FECHA_BOV1,"&gt;="&amp;AI$2,FECHA_BOV1,"&lt;="&amp;AI$3,CLAVE_BOV1,$A337)+SUMIFS(SALIDAS_BOV2,FECHA_BOV2,"&gt;="&amp;AI$2,FECHA_BOV2,"&lt;="&amp;AI$3,CLAVE_BOV2,$A337)+SUMIFS(SALIDAS_BOV3,FECHA_BOV3,"&gt;="&amp;AI$2,FECHA_BOV3,"&lt;="&amp;AI$3,CLAVE_BOV3,$A337)+SUMIFS(SALIDAS_TC,FECHA_TC,"&gt;="&amp;AI$2,FECHA_TC,"&lt;="&amp;AI$3,CLAVE_TC,$A337)+SUMIFS(SALIDAS_COMB,FECHA_COMB,"&gt;="&amp;AI$2,FECHA_COMB,"&lt;="&amp;AI$3,CLAVE_COMB,$A337)+SUMIFS(SALIDAS_DES,FECHA_DESGLOSEN,"&gt;="&amp;AI$2,FECHA_DESGLOSEN,"&lt;="&amp;AI$3,CLAVE_DESGLOSE,$A337)</f>
        <v>0</v>
      </c>
      <c r="AJ337" s="162">
        <f>SUMIFS(SALIDAS_BIT,FECHA_BIT,"&gt;="&amp;AJ$2,FECHA_BIT,"&lt;="&amp;AJ$3,CLAVE_BIT,$A337)+SUMIFS(SALIDAS_BOV1,FECHA_BOV1,"&gt;="&amp;AJ$2,FECHA_BOV1,"&lt;="&amp;AJ$3,CLAVE_BOV1,$A337)+SUMIFS(SALIDAS_BOV2,FECHA_BOV2,"&gt;="&amp;AJ$2,FECHA_BOV2,"&lt;="&amp;AJ$3,CLAVE_BOV2,$A337)+SUMIFS(SALIDAS_BOV3,FECHA_BOV3,"&gt;="&amp;AJ$2,FECHA_BOV3,"&lt;="&amp;AJ$3,CLAVE_BOV3,$A337)+SUMIFS(SALIDAS_TC,FECHA_TC,"&gt;="&amp;AJ$2,FECHA_TC,"&lt;="&amp;AJ$3,CLAVE_TC,$A337)+SUMIFS(SALIDAS_COMB,FECHA_COMB,"&gt;="&amp;AJ$2,FECHA_COMB,"&lt;="&amp;AJ$3,CLAVE_COMB,$A337)+SUMIFS(SALIDAS_DES,FECHA_DESGLOSEN,"&gt;="&amp;AJ$2,FECHA_DESGLOSEN,"&lt;="&amp;AJ$3,CLAVE_DESGLOSE,$A337)</f>
        <v>0</v>
      </c>
      <c r="AK337" s="227">
        <f t="shared" si="742"/>
        <v>0</v>
      </c>
      <c r="AL337" s="301">
        <f t="shared" si="743"/>
        <v>0</v>
      </c>
      <c r="AM337" s="162">
        <f>VLOOKUP($A337,T_PRESUPUESTO,MATCH(AM$6,E_PRESUPUESTO,0),FALSE)</f>
        <v>0</v>
      </c>
      <c r="AN337" s="162">
        <f>SUMIFS(SALIDAS_BIT,FECHA_BIT,"&gt;="&amp;AN$2,FECHA_BIT,"&lt;="&amp;AN$3,CLAVE_BIT,$A337)+SUMIFS(SALIDAS_BOV1,FECHA_BOV1,"&gt;="&amp;AN$2,FECHA_BOV1,"&lt;="&amp;AN$3,CLAVE_BOV1,$A337)+SUMIFS(SALIDAS_BOV2,FECHA_BOV2,"&gt;="&amp;AN$2,FECHA_BOV2,"&lt;="&amp;AN$3,CLAVE_BOV2,$A337)+SUMIFS(SALIDAS_BOV3,FECHA_BOV3,"&gt;="&amp;AN$2,FECHA_BOV3,"&lt;="&amp;AN$3,CLAVE_BOV3,$A337)+SUMIFS(SALIDAS_TC,FECHA_TC,"&gt;="&amp;AN$2,FECHA_TC,"&lt;="&amp;AN$3,CLAVE_TC,$A337)+SUMIFS(SALIDAS_COMB,FECHA_COMB,"&gt;="&amp;AN$2,FECHA_COMB,"&lt;="&amp;AN$3,CLAVE_COMB,$A337)+SUMIFS(SALIDAS_DES,FECHA_DESGLOSEN,"&gt;="&amp;AN$2,FECHA_DESGLOSEN,"&lt;="&amp;AN$3,CLAVE_DESGLOSE,$A337)</f>
        <v>0</v>
      </c>
      <c r="AO337" s="162">
        <f>SUMIFS(SALIDAS_BIT,FECHA_BIT,"&gt;="&amp;AO$2,FECHA_BIT,"&lt;="&amp;AO$3,CLAVE_BIT,$A337)+SUMIFS(SALIDAS_BOV1,FECHA_BOV1,"&gt;="&amp;AO$2,FECHA_BOV1,"&lt;="&amp;AO$3,CLAVE_BOV1,$A337)+SUMIFS(SALIDAS_BOV2,FECHA_BOV2,"&gt;="&amp;AO$2,FECHA_BOV2,"&lt;="&amp;AO$3,CLAVE_BOV2,$A337)+SUMIFS(SALIDAS_BOV3,FECHA_BOV3,"&gt;="&amp;AO$2,FECHA_BOV3,"&lt;="&amp;AO$3,CLAVE_BOV3,$A337)+SUMIFS(SALIDAS_TC,FECHA_TC,"&gt;="&amp;AO$2,FECHA_TC,"&lt;="&amp;AO$3,CLAVE_TC,$A337)+SUMIFS(SALIDAS_COMB,FECHA_COMB,"&gt;="&amp;AO$2,FECHA_COMB,"&lt;="&amp;AO$3,CLAVE_COMB,$A337)+SUMIFS(SALIDAS_DES,FECHA_DESGLOSEN,"&gt;="&amp;AO$2,FECHA_DESGLOSEN,"&lt;="&amp;AO$3,CLAVE_DESGLOSE,$A337)</f>
        <v>0</v>
      </c>
      <c r="AP337" s="162">
        <f>SUMIFS(SALIDAS_BIT,FECHA_BIT,"&gt;="&amp;AP$2,FECHA_BIT,"&lt;="&amp;AP$3,CLAVE_BIT,$A337)+SUMIFS(SALIDAS_BOV1,FECHA_BOV1,"&gt;="&amp;AP$2,FECHA_BOV1,"&lt;="&amp;AP$3,CLAVE_BOV1,$A337)+SUMIFS(SALIDAS_BOV2,FECHA_BOV2,"&gt;="&amp;AP$2,FECHA_BOV2,"&lt;="&amp;AP$3,CLAVE_BOV2,$A337)+SUMIFS(SALIDAS_BOV3,FECHA_BOV3,"&gt;="&amp;AP$2,FECHA_BOV3,"&lt;="&amp;AP$3,CLAVE_BOV3,$A337)+SUMIFS(SALIDAS_TC,FECHA_TC,"&gt;="&amp;AP$2,FECHA_TC,"&lt;="&amp;AP$3,CLAVE_TC,$A337)+SUMIFS(SALIDAS_COMB,FECHA_COMB,"&gt;="&amp;AP$2,FECHA_COMB,"&lt;="&amp;AP$3,CLAVE_COMB,$A337)+SUMIFS(SALIDAS_DES,FECHA_DESGLOSEN,"&gt;="&amp;AP$2,FECHA_DESGLOSEN,"&lt;="&amp;AP$3,CLAVE_DESGLOSE,$A337)</f>
        <v>0</v>
      </c>
      <c r="AQ337" s="162">
        <f>SUMIFS(SALIDAS_BIT,FECHA_BIT,"&gt;="&amp;AQ$2,FECHA_BIT,"&lt;="&amp;AQ$3,CLAVE_BIT,$A337)+SUMIFS(SALIDAS_BOV1,FECHA_BOV1,"&gt;="&amp;AQ$2,FECHA_BOV1,"&lt;="&amp;AQ$3,CLAVE_BOV1,$A337)+SUMIFS(SALIDAS_BOV2,FECHA_BOV2,"&gt;="&amp;AQ$2,FECHA_BOV2,"&lt;="&amp;AQ$3,CLAVE_BOV2,$A337)+SUMIFS(SALIDAS_BOV3,FECHA_BOV3,"&gt;="&amp;AQ$2,FECHA_BOV3,"&lt;="&amp;AQ$3,CLAVE_BOV3,$A337)+SUMIFS(SALIDAS_TC,FECHA_TC,"&gt;="&amp;AQ$2,FECHA_TC,"&lt;="&amp;AQ$3,CLAVE_TC,$A337)+SUMIFS(SALIDAS_COMB,FECHA_COMB,"&gt;="&amp;AQ$2,FECHA_COMB,"&lt;="&amp;AQ$3,CLAVE_COMB,$A337)+SUMIFS(SALIDAS_DES,FECHA_DESGLOSEN,"&gt;="&amp;AQ$2,FECHA_DESGLOSEN,"&lt;="&amp;AQ$3,CLAVE_DESGLOSE,$A337)</f>
        <v>0</v>
      </c>
      <c r="AR337" s="162">
        <f>SUMIFS(SALIDAS_BIT,FECHA_BIT,"&gt;="&amp;AR$2,FECHA_BIT,"&lt;="&amp;AR$3,CLAVE_BIT,$A337)+SUMIFS(SALIDAS_BOV1,FECHA_BOV1,"&gt;="&amp;AR$2,FECHA_BOV1,"&lt;="&amp;AR$3,CLAVE_BOV1,$A337)+SUMIFS(SALIDAS_BOV2,FECHA_BOV2,"&gt;="&amp;AR$2,FECHA_BOV2,"&lt;="&amp;AR$3,CLAVE_BOV2,$A337)+SUMIFS(SALIDAS_BOV3,FECHA_BOV3,"&gt;="&amp;AR$2,FECHA_BOV3,"&lt;="&amp;AR$3,CLAVE_BOV3,$A337)+SUMIFS(SALIDAS_TC,FECHA_TC,"&gt;="&amp;AR$2,FECHA_TC,"&lt;="&amp;AR$3,CLAVE_TC,$A337)+SUMIFS(SALIDAS_COMB,FECHA_COMB,"&gt;="&amp;AR$2,FECHA_COMB,"&lt;="&amp;AR$3,CLAVE_COMB,$A337)+SUMIFS(SALIDAS_DES,FECHA_DESGLOSEN,"&gt;="&amp;AR$2,FECHA_DESGLOSEN,"&lt;="&amp;AR$3,CLAVE_DESGLOSE,$A337)</f>
        <v>0</v>
      </c>
      <c r="AS337" s="162">
        <f>SUMIFS(SALIDAS_BIT,FECHA_BIT,"&gt;="&amp;AS$2,FECHA_BIT,"&lt;="&amp;AS$3,CLAVE_BIT,$A337)+SUMIFS(SALIDAS_BOV1,FECHA_BOV1,"&gt;="&amp;AS$2,FECHA_BOV1,"&lt;="&amp;AS$3,CLAVE_BOV1,$A337)+SUMIFS(SALIDAS_BOV2,FECHA_BOV2,"&gt;="&amp;AS$2,FECHA_BOV2,"&lt;="&amp;AS$3,CLAVE_BOV2,$A337)+SUMIFS(SALIDAS_BOV3,FECHA_BOV3,"&gt;="&amp;AS$2,FECHA_BOV3,"&lt;="&amp;AS$3,CLAVE_BOV3,$A337)+SUMIFS(SALIDAS_TC,FECHA_TC,"&gt;="&amp;AS$2,FECHA_TC,"&lt;="&amp;AS$3,CLAVE_TC,$A337)+SUMIFS(SALIDAS_COMB,FECHA_COMB,"&gt;="&amp;AS$2,FECHA_COMB,"&lt;="&amp;AS$3,CLAVE_COMB,$A337)+SUMIFS(SALIDAS_DES,FECHA_DESGLOSEN,"&gt;="&amp;AS$2,FECHA_DESGLOSEN,"&lt;="&amp;AS$3,CLAVE_DESGLOSE,$A337)</f>
        <v>0</v>
      </c>
      <c r="AT337" s="227">
        <f t="shared" si="744"/>
        <v>0</v>
      </c>
      <c r="AU337" s="301">
        <f t="shared" si="745"/>
        <v>0</v>
      </c>
      <c r="AV337" s="162">
        <f>VLOOKUP($A337,T_PRESUPUESTO,MATCH(AV$6,E_PRESUPUESTO,0),FALSE)</f>
        <v>0</v>
      </c>
      <c r="AW337" s="162">
        <f>SUMIFS(SALIDAS_BIT,FECHA_BIT,"&gt;="&amp;AW$2,FECHA_BIT,"&lt;="&amp;AW$3,CLAVE_BIT,$A337)+SUMIFS(SALIDAS_BOV1,FECHA_BOV1,"&gt;="&amp;AW$2,FECHA_BOV1,"&lt;="&amp;AW$3,CLAVE_BOV1,$A337)+SUMIFS(SALIDAS_BOV2,FECHA_BOV2,"&gt;="&amp;AW$2,FECHA_BOV2,"&lt;="&amp;AW$3,CLAVE_BOV2,$A337)+SUMIFS(SALIDAS_BOV3,FECHA_BOV3,"&gt;="&amp;AW$2,FECHA_BOV3,"&lt;="&amp;AW$3,CLAVE_BOV3,$A337)+SUMIFS(SALIDAS_TC,FECHA_TC,"&gt;="&amp;AW$2,FECHA_TC,"&lt;="&amp;AW$3,CLAVE_TC,$A337)+SUMIFS(SALIDAS_COMB,FECHA_COMB,"&gt;="&amp;AW$2,FECHA_COMB,"&lt;="&amp;AW$3,CLAVE_COMB,$A337)+SUMIFS(SALIDAS_DES,FECHA_DESGLOSEN,"&gt;="&amp;AW$2,FECHA_DESGLOSEN,"&lt;="&amp;AW$3,CLAVE_DESGLOSE,$A337)</f>
        <v>0</v>
      </c>
      <c r="AX337" s="162">
        <f>SUMIFS(SALIDAS_BIT,FECHA_BIT,"&gt;="&amp;AX$2,FECHA_BIT,"&lt;="&amp;AX$3,CLAVE_BIT,$A337)+SUMIFS(SALIDAS_BOV1,FECHA_BOV1,"&gt;="&amp;AX$2,FECHA_BOV1,"&lt;="&amp;AX$3,CLAVE_BOV1,$A337)+SUMIFS(SALIDAS_BOV2,FECHA_BOV2,"&gt;="&amp;AX$2,FECHA_BOV2,"&lt;="&amp;AX$3,CLAVE_BOV2,$A337)+SUMIFS(SALIDAS_BOV3,FECHA_BOV3,"&gt;="&amp;AX$2,FECHA_BOV3,"&lt;="&amp;AX$3,CLAVE_BOV3,$A337)+SUMIFS(SALIDAS_TC,FECHA_TC,"&gt;="&amp;AX$2,FECHA_TC,"&lt;="&amp;AX$3,CLAVE_TC,$A337)+SUMIFS(SALIDAS_COMB,FECHA_COMB,"&gt;="&amp;AX$2,FECHA_COMB,"&lt;="&amp;AX$3,CLAVE_COMB,$A337)+SUMIFS(SALIDAS_DES,FECHA_DESGLOSEN,"&gt;="&amp;AX$2,FECHA_DESGLOSEN,"&lt;="&amp;AX$3,CLAVE_DESGLOSE,$A337)</f>
        <v>0</v>
      </c>
      <c r="AY337" s="162">
        <f>SUMIFS(SALIDAS_BIT,FECHA_BIT,"&gt;="&amp;AY$2,FECHA_BIT,"&lt;="&amp;AY$3,CLAVE_BIT,$A337)+SUMIFS(SALIDAS_BOV1,FECHA_BOV1,"&gt;="&amp;AY$2,FECHA_BOV1,"&lt;="&amp;AY$3,CLAVE_BOV1,$A337)+SUMIFS(SALIDAS_BOV2,FECHA_BOV2,"&gt;="&amp;AY$2,FECHA_BOV2,"&lt;="&amp;AY$3,CLAVE_BOV2,$A337)+SUMIFS(SALIDAS_BOV3,FECHA_BOV3,"&gt;="&amp;AY$2,FECHA_BOV3,"&lt;="&amp;AY$3,CLAVE_BOV3,$A337)+SUMIFS(SALIDAS_TC,FECHA_TC,"&gt;="&amp;AY$2,FECHA_TC,"&lt;="&amp;AY$3,CLAVE_TC,$A337)+SUMIFS(SALIDAS_COMB,FECHA_COMB,"&gt;="&amp;AY$2,FECHA_COMB,"&lt;="&amp;AY$3,CLAVE_COMB,$A337)+SUMIFS(SALIDAS_DES,FECHA_DESGLOSEN,"&gt;="&amp;AY$2,FECHA_DESGLOSEN,"&lt;="&amp;AY$3,CLAVE_DESGLOSE,$A337)</f>
        <v>0</v>
      </c>
      <c r="AZ337" s="162">
        <f>SUMIFS(SALIDAS_BIT,FECHA_BIT,"&gt;="&amp;AZ$2,FECHA_BIT,"&lt;="&amp;AZ$3,CLAVE_BIT,$A337)+SUMIFS(SALIDAS_BOV1,FECHA_BOV1,"&gt;="&amp;AZ$2,FECHA_BOV1,"&lt;="&amp;AZ$3,CLAVE_BOV1,$A337)+SUMIFS(SALIDAS_BOV2,FECHA_BOV2,"&gt;="&amp;AZ$2,FECHA_BOV2,"&lt;="&amp;AZ$3,CLAVE_BOV2,$A337)+SUMIFS(SALIDAS_BOV3,FECHA_BOV3,"&gt;="&amp;AZ$2,FECHA_BOV3,"&lt;="&amp;AZ$3,CLAVE_BOV3,$A337)+SUMIFS(SALIDAS_TC,FECHA_TC,"&gt;="&amp;AZ$2,FECHA_TC,"&lt;="&amp;AZ$3,CLAVE_TC,$A337)+SUMIFS(SALIDAS_COMB,FECHA_COMB,"&gt;="&amp;AZ$2,FECHA_COMB,"&lt;="&amp;AZ$3,CLAVE_COMB,$A337)+SUMIFS(SALIDAS_DES,FECHA_DESGLOSEN,"&gt;="&amp;AZ$2,FECHA_DESGLOSEN,"&lt;="&amp;AZ$3,CLAVE_DESGLOSE,$A337)</f>
        <v>69.77</v>
      </c>
      <c r="BA337" s="162">
        <f>SUMIFS(SALIDAS_BIT,FECHA_BIT,"&gt;="&amp;BA$2,FECHA_BIT,"&lt;="&amp;BA$3,CLAVE_BIT,$A337)+SUMIFS(SALIDAS_BOV1,FECHA_BOV1,"&gt;="&amp;BA$2,FECHA_BOV1,"&lt;="&amp;BA$3,CLAVE_BOV1,$A337)+SUMIFS(SALIDAS_BOV2,FECHA_BOV2,"&gt;="&amp;BA$2,FECHA_BOV2,"&lt;="&amp;BA$3,CLAVE_BOV2,$A337)+SUMIFS(SALIDAS_BOV3,FECHA_BOV3,"&gt;="&amp;BA$2,FECHA_BOV3,"&lt;="&amp;BA$3,CLAVE_BOV3,$A337)+SUMIFS(SALIDAS_TC,FECHA_TC,"&gt;="&amp;BA$2,FECHA_TC,"&lt;="&amp;BA$3,CLAVE_TC,$A337)+SUMIFS(SALIDAS_COMB,FECHA_COMB,"&gt;="&amp;BA$2,FECHA_COMB,"&lt;="&amp;BA$3,CLAVE_COMB,$A337)+SUMIFS(SALIDAS_DES,FECHA_DESGLOSEN,"&gt;="&amp;BA$2,FECHA_DESGLOSEN,"&lt;="&amp;BA$3,CLAVE_DESGLOSE,$A337)</f>
        <v>69.77</v>
      </c>
      <c r="BB337" s="227">
        <f t="shared" si="746"/>
        <v>-69.77</v>
      </c>
      <c r="BC337" s="301">
        <f t="shared" si="747"/>
        <v>0</v>
      </c>
      <c r="BD337" s="162">
        <f>VLOOKUP($A337,T_PRESUPUESTO,MATCH(BD$6,E_PRESUPUESTO,0),FALSE)</f>
        <v>0</v>
      </c>
      <c r="BE337" s="162">
        <f>SUMIFS(SALIDAS_BIT,FECHA_BIT,"&gt;="&amp;BE$2,FECHA_BIT,"&lt;="&amp;BE$3,CLAVE_BIT,$A337)+SUMIFS(SALIDAS_BOV1,FECHA_BOV1,"&gt;="&amp;BE$2,FECHA_BOV1,"&lt;="&amp;BE$3,CLAVE_BOV1,$A337)+SUMIFS(SALIDAS_BOV2,FECHA_BOV2,"&gt;="&amp;BE$2,FECHA_BOV2,"&lt;="&amp;BE$3,CLAVE_BOV2,$A337)+SUMIFS(SALIDAS_BOV3,FECHA_BOV3,"&gt;="&amp;BE$2,FECHA_BOV3,"&lt;="&amp;BE$3,CLAVE_BOV3,$A337)+SUMIFS(SALIDAS_TC,FECHA_TC,"&gt;="&amp;BE$2,FECHA_TC,"&lt;="&amp;BE$3,CLAVE_TC,$A337)+SUMIFS(SALIDAS_COMB,FECHA_COMB,"&gt;="&amp;BE$2,FECHA_COMB,"&lt;="&amp;BE$3,CLAVE_COMB,$A337)+SUMIFS(SALIDAS_DES,FECHA_DESGLOSEN,"&gt;="&amp;BE$2,FECHA_DESGLOSEN,"&lt;="&amp;BE$3,CLAVE_DESGLOSE,$A337)</f>
        <v>0</v>
      </c>
      <c r="BF337" s="162">
        <f>SUMIFS(SALIDAS_BIT,FECHA_BIT,"&gt;="&amp;BF$2,FECHA_BIT,"&lt;="&amp;BF$3,CLAVE_BIT,$A337)+SUMIFS(SALIDAS_BOV1,FECHA_BOV1,"&gt;="&amp;BF$2,FECHA_BOV1,"&lt;="&amp;BF$3,CLAVE_BOV1,$A337)+SUMIFS(SALIDAS_BOV2,FECHA_BOV2,"&gt;="&amp;BF$2,FECHA_BOV2,"&lt;="&amp;BF$3,CLAVE_BOV2,$A337)+SUMIFS(SALIDAS_BOV3,FECHA_BOV3,"&gt;="&amp;BF$2,FECHA_BOV3,"&lt;="&amp;BF$3,CLAVE_BOV3,$A337)+SUMIFS(SALIDAS_TC,FECHA_TC,"&gt;="&amp;BF$2,FECHA_TC,"&lt;="&amp;BF$3,CLAVE_TC,$A337)+SUMIFS(SALIDAS_COMB,FECHA_COMB,"&gt;="&amp;BF$2,FECHA_COMB,"&lt;="&amp;BF$3,CLAVE_COMB,$A337)+SUMIFS(SALIDAS_DES,FECHA_DESGLOSEN,"&gt;="&amp;BF$2,FECHA_DESGLOSEN,"&lt;="&amp;BF$3,CLAVE_DESGLOSE,$A337)</f>
        <v>0</v>
      </c>
      <c r="BG337" s="162">
        <f>SUMIFS(SALIDAS_BIT,FECHA_BIT,"&gt;="&amp;BG$2,FECHA_BIT,"&lt;="&amp;BG$3,CLAVE_BIT,$A337)+SUMIFS(SALIDAS_BOV1,FECHA_BOV1,"&gt;="&amp;BG$2,FECHA_BOV1,"&lt;="&amp;BG$3,CLAVE_BOV1,$A337)+SUMIFS(SALIDAS_BOV2,FECHA_BOV2,"&gt;="&amp;BG$2,FECHA_BOV2,"&lt;="&amp;BG$3,CLAVE_BOV2,$A337)+SUMIFS(SALIDAS_BOV3,FECHA_BOV3,"&gt;="&amp;BG$2,FECHA_BOV3,"&lt;="&amp;BG$3,CLAVE_BOV3,$A337)+SUMIFS(SALIDAS_TC,FECHA_TC,"&gt;="&amp;BG$2,FECHA_TC,"&lt;="&amp;BG$3,CLAVE_TC,$A337)+SUMIFS(SALIDAS_COMB,FECHA_COMB,"&gt;="&amp;BG$2,FECHA_COMB,"&lt;="&amp;BG$3,CLAVE_COMB,$A337)+SUMIFS(SALIDAS_DES,FECHA_DESGLOSEN,"&gt;="&amp;BG$2,FECHA_DESGLOSEN,"&lt;="&amp;BG$3,CLAVE_DESGLOSE,$A337)</f>
        <v>0</v>
      </c>
      <c r="BH337" s="162">
        <f>SUMIFS(SALIDAS_BIT,FECHA_BIT,"&gt;="&amp;BH$2,FECHA_BIT,"&lt;="&amp;BH$3,CLAVE_BIT,$A337)+SUMIFS(SALIDAS_BOV1,FECHA_BOV1,"&gt;="&amp;BH$2,FECHA_BOV1,"&lt;="&amp;BH$3,CLAVE_BOV1,$A337)+SUMIFS(SALIDAS_BOV2,FECHA_BOV2,"&gt;="&amp;BH$2,FECHA_BOV2,"&lt;="&amp;BH$3,CLAVE_BOV2,$A337)+SUMIFS(SALIDAS_BOV3,FECHA_BOV3,"&gt;="&amp;BH$2,FECHA_BOV3,"&lt;="&amp;BH$3,CLAVE_BOV3,$A337)+SUMIFS(SALIDAS_TC,FECHA_TC,"&gt;="&amp;BH$2,FECHA_TC,"&lt;="&amp;BH$3,CLAVE_TC,$A337)+SUMIFS(SALIDAS_COMB,FECHA_COMB,"&gt;="&amp;BH$2,FECHA_COMB,"&lt;="&amp;BH$3,CLAVE_COMB,$A337)+SUMIFS(SALIDAS_DES,FECHA_DESGLOSEN,"&gt;="&amp;BH$2,FECHA_DESGLOSEN,"&lt;="&amp;BH$3,CLAVE_DESGLOSE,$A337)</f>
        <v>69.77</v>
      </c>
      <c r="BI337" s="162">
        <f>SUMIFS(SALIDAS_BIT,FECHA_BIT,"&gt;="&amp;BI$2,FECHA_BIT,"&lt;="&amp;BI$3,CLAVE_BIT,$A337)+SUMIFS(SALIDAS_BOV1,FECHA_BOV1,"&gt;="&amp;BI$2,FECHA_BOV1,"&lt;="&amp;BI$3,CLAVE_BOV1,$A337)+SUMIFS(SALIDAS_BOV2,FECHA_BOV2,"&gt;="&amp;BI$2,FECHA_BOV2,"&lt;="&amp;BI$3,CLAVE_BOV2,$A337)+SUMIFS(SALIDAS_BOV3,FECHA_BOV3,"&gt;="&amp;BI$2,FECHA_BOV3,"&lt;="&amp;BI$3,CLAVE_BOV3,$A337)+SUMIFS(SALIDAS_TC,FECHA_TC,"&gt;="&amp;BI$2,FECHA_TC,"&lt;="&amp;BI$3,CLAVE_TC,$A337)+SUMIFS(SALIDAS_COMB,FECHA_COMB,"&gt;="&amp;BI$2,FECHA_COMB,"&lt;="&amp;BI$3,CLAVE_COMB,$A337)+SUMIFS(SALIDAS_DES,FECHA_DESGLOSEN,"&gt;="&amp;BI$2,FECHA_DESGLOSEN,"&lt;="&amp;BI$3,CLAVE_DESGLOSE,$A337)</f>
        <v>69.77</v>
      </c>
      <c r="BJ337" s="227">
        <f t="shared" si="748"/>
        <v>-69.77</v>
      </c>
      <c r="BK337" s="301">
        <f t="shared" si="749"/>
        <v>0</v>
      </c>
      <c r="BL337" s="162">
        <f>VLOOKUP($A337,T_PRESUPUESTO,MATCH(BL$6,E_PRESUPUESTO,0),FALSE)</f>
        <v>0</v>
      </c>
      <c r="BM337" s="162">
        <f>SUMIFS(SALIDAS_BIT,FECHA_BIT,"&gt;="&amp;BM$2,FECHA_BIT,"&lt;="&amp;BM$3,CLAVE_BIT,$A337)+SUMIFS(SALIDAS_BOV1,FECHA_BOV1,"&gt;="&amp;BM$2,FECHA_BOV1,"&lt;="&amp;BM$3,CLAVE_BOV1,$A337)+SUMIFS(SALIDAS_BOV2,FECHA_BOV2,"&gt;="&amp;BM$2,FECHA_BOV2,"&lt;="&amp;BM$3,CLAVE_BOV2,$A337)+SUMIFS(SALIDAS_BOV3,FECHA_BOV3,"&gt;="&amp;BM$2,FECHA_BOV3,"&lt;="&amp;BM$3,CLAVE_BOV3,$A337)+SUMIFS(SALIDAS_TC,FECHA_TC,"&gt;="&amp;BM$2,FECHA_TC,"&lt;="&amp;BM$3,CLAVE_TC,$A337)+SUMIFS(SALIDAS_COMB,FECHA_COMB,"&gt;="&amp;BM$2,FECHA_COMB,"&lt;="&amp;BM$3,CLAVE_COMB,$A337)+SUMIFS(SALIDAS_DES,FECHA_DESGLOSEN,"&gt;="&amp;BM$2,FECHA_DESGLOSEN,"&lt;="&amp;BM$3,CLAVE_DESGLOSE,$A337)</f>
        <v>0</v>
      </c>
      <c r="BN337" s="162">
        <f>SUMIFS(SALIDAS_BIT,FECHA_BIT,"&gt;="&amp;BN$2,FECHA_BIT,"&lt;="&amp;BN$3,CLAVE_BIT,$A337)+SUMIFS(SALIDAS_BOV1,FECHA_BOV1,"&gt;="&amp;BN$2,FECHA_BOV1,"&lt;="&amp;BN$3,CLAVE_BOV1,$A337)+SUMIFS(SALIDAS_BOV2,FECHA_BOV2,"&gt;="&amp;BN$2,FECHA_BOV2,"&lt;="&amp;BN$3,CLAVE_BOV2,$A337)+SUMIFS(SALIDAS_BOV3,FECHA_BOV3,"&gt;="&amp;BN$2,FECHA_BOV3,"&lt;="&amp;BN$3,CLAVE_BOV3,$A337)+SUMIFS(SALIDAS_TC,FECHA_TC,"&gt;="&amp;BN$2,FECHA_TC,"&lt;="&amp;BN$3,CLAVE_TC,$A337)+SUMIFS(SALIDAS_COMB,FECHA_COMB,"&gt;="&amp;BN$2,FECHA_COMB,"&lt;="&amp;BN$3,CLAVE_COMB,$A337)+SUMIFS(SALIDAS_DES,FECHA_DESGLOSEN,"&gt;="&amp;BN$2,FECHA_DESGLOSEN,"&lt;="&amp;BN$3,CLAVE_DESGLOSE,$A337)</f>
        <v>0</v>
      </c>
      <c r="BO337" s="162">
        <f>SUMIFS(SALIDAS_BIT,FECHA_BIT,"&gt;="&amp;BO$2,FECHA_BIT,"&lt;="&amp;BO$3,CLAVE_BIT,$A337)+SUMIFS(SALIDAS_BOV1,FECHA_BOV1,"&gt;="&amp;BO$2,FECHA_BOV1,"&lt;="&amp;BO$3,CLAVE_BOV1,$A337)+SUMIFS(SALIDAS_BOV2,FECHA_BOV2,"&gt;="&amp;BO$2,FECHA_BOV2,"&lt;="&amp;BO$3,CLAVE_BOV2,$A337)+SUMIFS(SALIDAS_BOV3,FECHA_BOV3,"&gt;="&amp;BO$2,FECHA_BOV3,"&lt;="&amp;BO$3,CLAVE_BOV3,$A337)+SUMIFS(SALIDAS_TC,FECHA_TC,"&gt;="&amp;BO$2,FECHA_TC,"&lt;="&amp;BO$3,CLAVE_TC,$A337)+SUMIFS(SALIDAS_COMB,FECHA_COMB,"&gt;="&amp;BO$2,FECHA_COMB,"&lt;="&amp;BO$3,CLAVE_COMB,$A337)+SUMIFS(SALIDAS_DES,FECHA_DESGLOSEN,"&gt;="&amp;BO$2,FECHA_DESGLOSEN,"&lt;="&amp;BO$3,CLAVE_DESGLOSE,$A337)</f>
        <v>0</v>
      </c>
      <c r="BP337" s="162">
        <f>SUMIFS(SALIDAS_BIT,FECHA_BIT,"&gt;="&amp;BP$2,FECHA_BIT,"&lt;="&amp;BP$3,CLAVE_BIT,$A337)+SUMIFS(SALIDAS_BOV1,FECHA_BOV1,"&gt;="&amp;BP$2,FECHA_BOV1,"&lt;="&amp;BP$3,CLAVE_BOV1,$A337)+SUMIFS(SALIDAS_BOV2,FECHA_BOV2,"&gt;="&amp;BP$2,FECHA_BOV2,"&lt;="&amp;BP$3,CLAVE_BOV2,$A337)+SUMIFS(SALIDAS_BOV3,FECHA_BOV3,"&gt;="&amp;BP$2,FECHA_BOV3,"&lt;="&amp;BP$3,CLAVE_BOV3,$A337)+SUMIFS(SALIDAS_TC,FECHA_TC,"&gt;="&amp;BP$2,FECHA_TC,"&lt;="&amp;BP$3,CLAVE_TC,$A337)+SUMIFS(SALIDAS_COMB,FECHA_COMB,"&gt;="&amp;BP$2,FECHA_COMB,"&lt;="&amp;BP$3,CLAVE_COMB,$A337)+SUMIFS(SALIDAS_DES,FECHA_DESGLOSEN,"&gt;="&amp;BP$2,FECHA_DESGLOSEN,"&lt;="&amp;BP$3,CLAVE_DESGLOSE,$A337)</f>
        <v>0</v>
      </c>
      <c r="BQ337" s="162">
        <f>SUMIFS(SALIDAS_BIT,FECHA_BIT,"&gt;="&amp;BQ$2,FECHA_BIT,"&lt;="&amp;BQ$3,CLAVE_BIT,$A337)+SUMIFS(SALIDAS_BOV1,FECHA_BOV1,"&gt;="&amp;BQ$2,FECHA_BOV1,"&lt;="&amp;BQ$3,CLAVE_BOV1,$A337)+SUMIFS(SALIDAS_BOV2,FECHA_BOV2,"&gt;="&amp;BQ$2,FECHA_BOV2,"&lt;="&amp;BQ$3,CLAVE_BOV2,$A337)+SUMIFS(SALIDAS_BOV3,FECHA_BOV3,"&gt;="&amp;BQ$2,FECHA_BOV3,"&lt;="&amp;BQ$3,CLAVE_BOV3,$A337)+SUMIFS(SALIDAS_TC,FECHA_TC,"&gt;="&amp;BQ$2,FECHA_TC,"&lt;="&amp;BQ$3,CLAVE_TC,$A337)+SUMIFS(SALIDAS_COMB,FECHA_COMB,"&gt;="&amp;BQ$2,FECHA_COMB,"&lt;="&amp;BQ$3,CLAVE_COMB,$A337)+SUMIFS(SALIDAS_DES,FECHA_DESGLOSEN,"&gt;="&amp;BQ$2,FECHA_DESGLOSEN,"&lt;="&amp;BQ$3,CLAVE_DESGLOSE,$A337)</f>
        <v>69.77</v>
      </c>
      <c r="BR337" s="162">
        <f>SUMIFS(SALIDAS_BIT,FECHA_BIT,"&gt;="&amp;BR$2,FECHA_BIT,"&lt;="&amp;BR$3,CLAVE_BIT,$A337)+SUMIFS(SALIDAS_BOV1,FECHA_BOV1,"&gt;="&amp;BR$2,FECHA_BOV1,"&lt;="&amp;BR$3,CLAVE_BOV1,$A337)+SUMIFS(SALIDAS_BOV2,FECHA_BOV2,"&gt;="&amp;BR$2,FECHA_BOV2,"&lt;="&amp;BR$3,CLAVE_BOV2,$A337)+SUMIFS(SALIDAS_BOV3,FECHA_BOV3,"&gt;="&amp;BR$2,FECHA_BOV3,"&lt;="&amp;BR$3,CLAVE_BOV3,$A337)+SUMIFS(SALIDAS_TC,FECHA_TC,"&gt;="&amp;BR$2,FECHA_TC,"&lt;="&amp;BR$3,CLAVE_TC,$A337)+SUMIFS(SALIDAS_COMB,FECHA_COMB,"&gt;="&amp;BR$2,FECHA_COMB,"&lt;="&amp;BR$3,CLAVE_COMB,$A337)+SUMIFS(SALIDAS_DES,FECHA_DESGLOSEN,"&gt;="&amp;BR$2,FECHA_DESGLOSEN,"&lt;="&amp;BR$3,CLAVE_DESGLOSE,$A337)</f>
        <v>69.77</v>
      </c>
      <c r="BS337" s="227">
        <f t="shared" si="750"/>
        <v>-69.77</v>
      </c>
      <c r="BT337" s="301">
        <f t="shared" si="751"/>
        <v>0</v>
      </c>
      <c r="BU337" s="162">
        <f>VLOOKUP($A337,T_PRESUPUESTO,MATCH(BU$6,E_PRESUPUESTO,0),FALSE)</f>
        <v>0</v>
      </c>
      <c r="BV337" s="162">
        <f>SUMIFS(SALIDAS_BIT,FECHA_BIT,"&gt;="&amp;BV$2,FECHA_BIT,"&lt;="&amp;BV$3,CLAVE_BIT,$A337)+SUMIFS(SALIDAS_BOV1,FECHA_BOV1,"&gt;="&amp;BV$2,FECHA_BOV1,"&lt;="&amp;BV$3,CLAVE_BOV1,$A337)+SUMIFS(SALIDAS_BOV2,FECHA_BOV2,"&gt;="&amp;BV$2,FECHA_BOV2,"&lt;="&amp;BV$3,CLAVE_BOV2,$A337)+SUMIFS(SALIDAS_BOV3,FECHA_BOV3,"&gt;="&amp;BV$2,FECHA_BOV3,"&lt;="&amp;BV$3,CLAVE_BOV3,$A337)+SUMIFS(SALIDAS_TC,FECHA_TC,"&gt;="&amp;BV$2,FECHA_TC,"&lt;="&amp;BV$3,CLAVE_TC,$A337)+SUMIFS(SALIDAS_COMB,FECHA_COMB,"&gt;="&amp;BV$2,FECHA_COMB,"&lt;="&amp;BV$3,CLAVE_COMB,$A337)+SUMIFS(SALIDAS_DES,FECHA_DESGLOSEN,"&gt;="&amp;BV$2,FECHA_DESGLOSEN,"&lt;="&amp;BV$3,CLAVE_DESGLOSE,$A337)</f>
        <v>0</v>
      </c>
      <c r="BW337" s="162">
        <f>SUMIFS(SALIDAS_BIT,FECHA_BIT,"&gt;="&amp;BW$2,FECHA_BIT,"&lt;="&amp;BW$3,CLAVE_BIT,$A337)+SUMIFS(SALIDAS_BOV1,FECHA_BOV1,"&gt;="&amp;BW$2,FECHA_BOV1,"&lt;="&amp;BW$3,CLAVE_BOV1,$A337)+SUMIFS(SALIDAS_BOV2,FECHA_BOV2,"&gt;="&amp;BW$2,FECHA_BOV2,"&lt;="&amp;BW$3,CLAVE_BOV2,$A337)+SUMIFS(SALIDAS_BOV3,FECHA_BOV3,"&gt;="&amp;BW$2,FECHA_BOV3,"&lt;="&amp;BW$3,CLAVE_BOV3,$A337)+SUMIFS(SALIDAS_TC,FECHA_TC,"&gt;="&amp;BW$2,FECHA_TC,"&lt;="&amp;BW$3,CLAVE_TC,$A337)+SUMIFS(SALIDAS_COMB,FECHA_COMB,"&gt;="&amp;BW$2,FECHA_COMB,"&lt;="&amp;BW$3,CLAVE_COMB,$A337)+SUMIFS(SALIDAS_DES,FECHA_DESGLOSEN,"&gt;="&amp;BW$2,FECHA_DESGLOSEN,"&lt;="&amp;BW$3,CLAVE_DESGLOSE,$A337)</f>
        <v>0</v>
      </c>
      <c r="BX337" s="162">
        <f>SUMIFS(SALIDAS_BIT,FECHA_BIT,"&gt;="&amp;BX$2,FECHA_BIT,"&lt;="&amp;BX$3,CLAVE_BIT,$A337)+SUMIFS(SALIDAS_BOV1,FECHA_BOV1,"&gt;="&amp;BX$2,FECHA_BOV1,"&lt;="&amp;BX$3,CLAVE_BOV1,$A337)+SUMIFS(SALIDAS_BOV2,FECHA_BOV2,"&gt;="&amp;BX$2,FECHA_BOV2,"&lt;="&amp;BX$3,CLAVE_BOV2,$A337)+SUMIFS(SALIDAS_BOV3,FECHA_BOV3,"&gt;="&amp;BX$2,FECHA_BOV3,"&lt;="&amp;BX$3,CLAVE_BOV3,$A337)+SUMIFS(SALIDAS_TC,FECHA_TC,"&gt;="&amp;BX$2,FECHA_TC,"&lt;="&amp;BX$3,CLAVE_TC,$A337)+SUMIFS(SALIDAS_COMB,FECHA_COMB,"&gt;="&amp;BX$2,FECHA_COMB,"&lt;="&amp;BX$3,CLAVE_COMB,$A337)+SUMIFS(SALIDAS_DES,FECHA_DESGLOSEN,"&gt;="&amp;BX$2,FECHA_DESGLOSEN,"&lt;="&amp;BX$3,CLAVE_DESGLOSE,$A337)</f>
        <v>0</v>
      </c>
      <c r="BY337" s="162">
        <f>SUMIFS(SALIDAS_BIT,FECHA_BIT,"&gt;="&amp;BY$2,FECHA_BIT,"&lt;="&amp;BY$3,CLAVE_BIT,$A337)+SUMIFS(SALIDAS_BOV1,FECHA_BOV1,"&gt;="&amp;BY$2,FECHA_BOV1,"&lt;="&amp;BY$3,CLAVE_BOV1,$A337)+SUMIFS(SALIDAS_BOV2,FECHA_BOV2,"&gt;="&amp;BY$2,FECHA_BOV2,"&lt;="&amp;BY$3,CLAVE_BOV2,$A337)+SUMIFS(SALIDAS_BOV3,FECHA_BOV3,"&gt;="&amp;BY$2,FECHA_BOV3,"&lt;="&amp;BY$3,CLAVE_BOV3,$A337)+SUMIFS(SALIDAS_TC,FECHA_TC,"&gt;="&amp;BY$2,FECHA_TC,"&lt;="&amp;BY$3,CLAVE_TC,$A337)+SUMIFS(SALIDAS_COMB,FECHA_COMB,"&gt;="&amp;BY$2,FECHA_COMB,"&lt;="&amp;BY$3,CLAVE_COMB,$A337)+SUMIFS(SALIDAS_DES,FECHA_DESGLOSEN,"&gt;="&amp;BY$2,FECHA_DESGLOSEN,"&lt;="&amp;BY$3,CLAVE_DESGLOSE,$A337)</f>
        <v>0</v>
      </c>
      <c r="BZ337" s="162">
        <f>SUMIFS(SALIDAS_BIT,FECHA_BIT,"&gt;="&amp;BZ$2,FECHA_BIT,"&lt;="&amp;BZ$3,CLAVE_BIT,$A337)+SUMIFS(SALIDAS_BOV1,FECHA_BOV1,"&gt;="&amp;BZ$2,FECHA_BOV1,"&lt;="&amp;BZ$3,CLAVE_BOV1,$A337)+SUMIFS(SALIDAS_BOV2,FECHA_BOV2,"&gt;="&amp;BZ$2,FECHA_BOV2,"&lt;="&amp;BZ$3,CLAVE_BOV2,$A337)+SUMIFS(SALIDAS_BOV3,FECHA_BOV3,"&gt;="&amp;BZ$2,FECHA_BOV3,"&lt;="&amp;BZ$3,CLAVE_BOV3,$A337)+SUMIFS(SALIDAS_TC,FECHA_TC,"&gt;="&amp;BZ$2,FECHA_TC,"&lt;="&amp;BZ$3,CLAVE_TC,$A337)+SUMIFS(SALIDAS_COMB,FECHA_COMB,"&gt;="&amp;BZ$2,FECHA_COMB,"&lt;="&amp;BZ$3,CLAVE_COMB,$A337)+SUMIFS(SALIDAS_DES,FECHA_DESGLOSEN,"&gt;="&amp;BZ$2,FECHA_DESGLOSEN,"&lt;="&amp;BZ$3,CLAVE_DESGLOSE,$A337)</f>
        <v>0</v>
      </c>
      <c r="CA337" s="227">
        <f t="shared" si="752"/>
        <v>0</v>
      </c>
      <c r="CB337" s="301">
        <f t="shared" si="753"/>
        <v>0</v>
      </c>
      <c r="CC337" s="162">
        <f>VLOOKUP($A337,T_PRESUPUESTO,MATCH(CC$6,E_PRESUPUESTO,0),FALSE)</f>
        <v>0</v>
      </c>
      <c r="CD337" s="162">
        <f>SUMIFS(SALIDAS_BIT,FECHA_BIT,"&gt;="&amp;CD$2,FECHA_BIT,"&lt;="&amp;CD$3,CLAVE_BIT,$A337)+SUMIFS(SALIDAS_BOV1,FECHA_BOV1,"&gt;="&amp;CD$2,FECHA_BOV1,"&lt;="&amp;CD$3,CLAVE_BOV1,$A337)+SUMIFS(SALIDAS_BOV2,FECHA_BOV2,"&gt;="&amp;CD$2,FECHA_BOV2,"&lt;="&amp;CD$3,CLAVE_BOV2,$A337)+SUMIFS(SALIDAS_BOV3,FECHA_BOV3,"&gt;="&amp;CD$2,FECHA_BOV3,"&lt;="&amp;CD$3,CLAVE_BOV3,$A337)+SUMIFS(SALIDAS_TC,FECHA_TC,"&gt;="&amp;CD$2,FECHA_TC,"&lt;="&amp;CD$3,CLAVE_TC,$A337)+SUMIFS(SALIDAS_COMB,FECHA_COMB,"&gt;="&amp;CD$2,FECHA_COMB,"&lt;="&amp;CD$3,CLAVE_COMB,$A337)+SUMIFS(SALIDAS_DES,FECHA_DESGLOSEN,"&gt;="&amp;CD$2,FECHA_DESGLOSEN,"&lt;="&amp;CD$3,CLAVE_DESGLOSE,$A337)</f>
        <v>1509.07</v>
      </c>
      <c r="CE337" s="162">
        <f>SUMIFS(SALIDAS_BIT,FECHA_BIT,"&gt;="&amp;CE$2,FECHA_BIT,"&lt;="&amp;CE$3,CLAVE_BIT,$A337)+SUMIFS(SALIDAS_BOV1,FECHA_BOV1,"&gt;="&amp;CE$2,FECHA_BOV1,"&lt;="&amp;CE$3,CLAVE_BOV1,$A337)+SUMIFS(SALIDAS_BOV2,FECHA_BOV2,"&gt;="&amp;CE$2,FECHA_BOV2,"&lt;="&amp;CE$3,CLAVE_BOV2,$A337)+SUMIFS(SALIDAS_BOV3,FECHA_BOV3,"&gt;="&amp;CE$2,FECHA_BOV3,"&lt;="&amp;CE$3,CLAVE_BOV3,$A337)+SUMIFS(SALIDAS_TC,FECHA_TC,"&gt;="&amp;CE$2,FECHA_TC,"&lt;="&amp;CE$3,CLAVE_TC,$A337)+SUMIFS(SALIDAS_COMB,FECHA_COMB,"&gt;="&amp;CE$2,FECHA_COMB,"&lt;="&amp;CE$3,CLAVE_COMB,$A337)+SUMIFS(SALIDAS_DES,FECHA_DESGLOSEN,"&gt;="&amp;CE$2,FECHA_DESGLOSEN,"&lt;="&amp;CE$3,CLAVE_DESGLOSE,$A337)</f>
        <v>0</v>
      </c>
      <c r="CF337" s="162">
        <f>SUMIFS(SALIDAS_BIT,FECHA_BIT,"&gt;="&amp;CF$2,FECHA_BIT,"&lt;="&amp;CF$3,CLAVE_BIT,$A337)+SUMIFS(SALIDAS_BOV1,FECHA_BOV1,"&gt;="&amp;CF$2,FECHA_BOV1,"&lt;="&amp;CF$3,CLAVE_BOV1,$A337)+SUMIFS(SALIDAS_BOV2,FECHA_BOV2,"&gt;="&amp;CF$2,FECHA_BOV2,"&lt;="&amp;CF$3,CLAVE_BOV2,$A337)+SUMIFS(SALIDAS_BOV3,FECHA_BOV3,"&gt;="&amp;CF$2,FECHA_BOV3,"&lt;="&amp;CF$3,CLAVE_BOV3,$A337)+SUMIFS(SALIDAS_TC,FECHA_TC,"&gt;="&amp;CF$2,FECHA_TC,"&lt;="&amp;CF$3,CLAVE_TC,$A337)+SUMIFS(SALIDAS_COMB,FECHA_COMB,"&gt;="&amp;CF$2,FECHA_COMB,"&lt;="&amp;CF$3,CLAVE_COMB,$A337)+SUMIFS(SALIDAS_DES,FECHA_DESGLOSEN,"&gt;="&amp;CF$2,FECHA_DESGLOSEN,"&lt;="&amp;CF$3,CLAVE_DESGLOSE,$A337)</f>
        <v>0</v>
      </c>
      <c r="CG337" s="162">
        <f>SUMIFS(SALIDAS_BIT,FECHA_BIT,"&gt;="&amp;CG$2,FECHA_BIT,"&lt;="&amp;CG$3,CLAVE_BIT,$A337)+SUMIFS(SALIDAS_BOV1,FECHA_BOV1,"&gt;="&amp;CG$2,FECHA_BOV1,"&lt;="&amp;CG$3,CLAVE_BOV1,$A337)+SUMIFS(SALIDAS_BOV2,FECHA_BOV2,"&gt;="&amp;CG$2,FECHA_BOV2,"&lt;="&amp;CG$3,CLAVE_BOV2,$A337)+SUMIFS(SALIDAS_BOV3,FECHA_BOV3,"&gt;="&amp;CG$2,FECHA_BOV3,"&lt;="&amp;CG$3,CLAVE_BOV3,$A337)+SUMIFS(SALIDAS_TC,FECHA_TC,"&gt;="&amp;CG$2,FECHA_TC,"&lt;="&amp;CG$3,CLAVE_TC,$A337)+SUMIFS(SALIDAS_COMB,FECHA_COMB,"&gt;="&amp;CG$2,FECHA_COMB,"&lt;="&amp;CG$3,CLAVE_COMB,$A337)+SUMIFS(SALIDAS_DES,FECHA_DESGLOSEN,"&gt;="&amp;CG$2,FECHA_DESGLOSEN,"&lt;="&amp;CG$3,CLAVE_DESGLOSE,$A337)</f>
        <v>0</v>
      </c>
      <c r="CH337" s="162">
        <f>SUMIFS(SALIDAS_BIT,FECHA_BIT,"&gt;="&amp;CH$2,FECHA_BIT,"&lt;="&amp;CH$3,CLAVE_BIT,$A337)+SUMIFS(SALIDAS_BOV1,FECHA_BOV1,"&gt;="&amp;CH$2,FECHA_BOV1,"&lt;="&amp;CH$3,CLAVE_BOV1,$A337)+SUMIFS(SALIDAS_BOV2,FECHA_BOV2,"&gt;="&amp;CH$2,FECHA_BOV2,"&lt;="&amp;CH$3,CLAVE_BOV2,$A337)+SUMIFS(SALIDAS_BOV3,FECHA_BOV3,"&gt;="&amp;CH$2,FECHA_BOV3,"&lt;="&amp;CH$3,CLAVE_BOV3,$A337)+SUMIFS(SALIDAS_TC,FECHA_TC,"&gt;="&amp;CH$2,FECHA_TC,"&lt;="&amp;CH$3,CLAVE_TC,$A337)+SUMIFS(SALIDAS_COMB,FECHA_COMB,"&gt;="&amp;CH$2,FECHA_COMB,"&lt;="&amp;CH$3,CLAVE_COMB,$A337)+SUMIFS(SALIDAS_DES,FECHA_DESGLOSEN,"&gt;="&amp;CH$2,FECHA_DESGLOSEN,"&lt;="&amp;CH$3,CLAVE_DESGLOSE,$A337)</f>
        <v>1509.07</v>
      </c>
      <c r="CI337" s="227">
        <f t="shared" si="754"/>
        <v>-1509.07</v>
      </c>
      <c r="CJ337" s="301">
        <f t="shared" si="755"/>
        <v>0</v>
      </c>
      <c r="CK337" s="162">
        <f>VLOOKUP($A337,T_PRESUPUESTO,MATCH(CK$6,E_PRESUPUESTO,0),FALSE)</f>
        <v>0</v>
      </c>
      <c r="CL337" s="162">
        <f>SUMIFS(SALIDAS_BIT,FECHA_BIT,"&gt;="&amp;CL$2,FECHA_BIT,"&lt;="&amp;CL$3,CLAVE_BIT,$A337)+SUMIFS(SALIDAS_BOV1,FECHA_BOV1,"&gt;="&amp;CL$2,FECHA_BOV1,"&lt;="&amp;CL$3,CLAVE_BOV1,$A337)+SUMIFS(SALIDAS_BOV2,FECHA_BOV2,"&gt;="&amp;CL$2,FECHA_BOV2,"&lt;="&amp;CL$3,CLAVE_BOV2,$A337)+SUMIFS(SALIDAS_BOV3,FECHA_BOV3,"&gt;="&amp;CL$2,FECHA_BOV3,"&lt;="&amp;CL$3,CLAVE_BOV3,$A337)+SUMIFS(SALIDAS_TC,FECHA_TC,"&gt;="&amp;CL$2,FECHA_TC,"&lt;="&amp;CL$3,CLAVE_TC,$A337)+SUMIFS(SALIDAS_COMB,FECHA_COMB,"&gt;="&amp;CL$2,FECHA_COMB,"&lt;="&amp;CL$3,CLAVE_COMB,$A337)+SUMIFS(SALIDAS_DES,FECHA_DESGLOSEN,"&gt;="&amp;CL$2,FECHA_DESGLOSEN,"&lt;="&amp;CL$3,CLAVE_DESGLOSE,$A337)</f>
        <v>0</v>
      </c>
      <c r="CM337" s="162">
        <f>SUMIFS(SALIDAS_BIT,FECHA_BIT,"&gt;="&amp;CM$2,FECHA_BIT,"&lt;="&amp;CM$3,CLAVE_BIT,$A337)+SUMIFS(SALIDAS_BOV1,FECHA_BOV1,"&gt;="&amp;CM$2,FECHA_BOV1,"&lt;="&amp;CM$3,CLAVE_BOV1,$A337)+SUMIFS(SALIDAS_BOV2,FECHA_BOV2,"&gt;="&amp;CM$2,FECHA_BOV2,"&lt;="&amp;CM$3,CLAVE_BOV2,$A337)+SUMIFS(SALIDAS_BOV3,FECHA_BOV3,"&gt;="&amp;CM$2,FECHA_BOV3,"&lt;="&amp;CM$3,CLAVE_BOV3,$A337)+SUMIFS(SALIDAS_TC,FECHA_TC,"&gt;="&amp;CM$2,FECHA_TC,"&lt;="&amp;CM$3,CLAVE_TC,$A337)+SUMIFS(SALIDAS_COMB,FECHA_COMB,"&gt;="&amp;CM$2,FECHA_COMB,"&lt;="&amp;CM$3,CLAVE_COMB,$A337)+SUMIFS(SALIDAS_DES,FECHA_DESGLOSEN,"&gt;="&amp;CM$2,FECHA_DESGLOSEN,"&lt;="&amp;CM$3,CLAVE_DESGLOSE,$A337)</f>
        <v>0</v>
      </c>
      <c r="CN337" s="162">
        <f>SUMIFS(SALIDAS_BIT,FECHA_BIT,"&gt;="&amp;CN$2,FECHA_BIT,"&lt;="&amp;CN$3,CLAVE_BIT,$A337)+SUMIFS(SALIDAS_BOV1,FECHA_BOV1,"&gt;="&amp;CN$2,FECHA_BOV1,"&lt;="&amp;CN$3,CLAVE_BOV1,$A337)+SUMIFS(SALIDAS_BOV2,FECHA_BOV2,"&gt;="&amp;CN$2,FECHA_BOV2,"&lt;="&amp;CN$3,CLAVE_BOV2,$A337)+SUMIFS(SALIDAS_BOV3,FECHA_BOV3,"&gt;="&amp;CN$2,FECHA_BOV3,"&lt;="&amp;CN$3,CLAVE_BOV3,$A337)+SUMIFS(SALIDAS_TC,FECHA_TC,"&gt;="&amp;CN$2,FECHA_TC,"&lt;="&amp;CN$3,CLAVE_TC,$A337)+SUMIFS(SALIDAS_COMB,FECHA_COMB,"&gt;="&amp;CN$2,FECHA_COMB,"&lt;="&amp;CN$3,CLAVE_COMB,$A337)+SUMIFS(SALIDAS_DES,FECHA_DESGLOSEN,"&gt;="&amp;CN$2,FECHA_DESGLOSEN,"&lt;="&amp;CN$3,CLAVE_DESGLOSE,$A337)</f>
        <v>0</v>
      </c>
      <c r="CO337" s="162">
        <f>SUMIFS(SALIDAS_BIT,FECHA_BIT,"&gt;="&amp;CO$2,FECHA_BIT,"&lt;="&amp;CO$3,CLAVE_BIT,$A337)+SUMIFS(SALIDAS_BOV1,FECHA_BOV1,"&gt;="&amp;CO$2,FECHA_BOV1,"&lt;="&amp;CO$3,CLAVE_BOV1,$A337)+SUMIFS(SALIDAS_BOV2,FECHA_BOV2,"&gt;="&amp;CO$2,FECHA_BOV2,"&lt;="&amp;CO$3,CLAVE_BOV2,$A337)+SUMIFS(SALIDAS_BOV3,FECHA_BOV3,"&gt;="&amp;CO$2,FECHA_BOV3,"&lt;="&amp;CO$3,CLAVE_BOV3,$A337)+SUMIFS(SALIDAS_TC,FECHA_TC,"&gt;="&amp;CO$2,FECHA_TC,"&lt;="&amp;CO$3,CLAVE_TC,$A337)+SUMIFS(SALIDAS_COMB,FECHA_COMB,"&gt;="&amp;CO$2,FECHA_COMB,"&lt;="&amp;CO$3,CLAVE_COMB,$A337)+SUMIFS(SALIDAS_DES,FECHA_DESGLOSEN,"&gt;="&amp;CO$2,FECHA_DESGLOSEN,"&lt;="&amp;CO$3,CLAVE_DESGLOSE,$A337)</f>
        <v>0</v>
      </c>
      <c r="CP337" s="162">
        <f>SUMIFS(SALIDAS_BIT,FECHA_BIT,"&gt;="&amp;CP$2,FECHA_BIT,"&lt;="&amp;CP$3,CLAVE_BIT,$A337)+SUMIFS(SALIDAS_BOV1,FECHA_BOV1,"&gt;="&amp;CP$2,FECHA_BOV1,"&lt;="&amp;CP$3,CLAVE_BOV1,$A337)+SUMIFS(SALIDAS_BOV2,FECHA_BOV2,"&gt;="&amp;CP$2,FECHA_BOV2,"&lt;="&amp;CP$3,CLAVE_BOV2,$A337)+SUMIFS(SALIDAS_BOV3,FECHA_BOV3,"&gt;="&amp;CP$2,FECHA_BOV3,"&lt;="&amp;CP$3,CLAVE_BOV3,$A337)+SUMIFS(SALIDAS_TC,FECHA_TC,"&gt;="&amp;CP$2,FECHA_TC,"&lt;="&amp;CP$3,CLAVE_TC,$A337)+SUMIFS(SALIDAS_COMB,FECHA_COMB,"&gt;="&amp;CP$2,FECHA_COMB,"&lt;="&amp;CP$3,CLAVE_COMB,$A337)+SUMIFS(SALIDAS_DES,FECHA_DESGLOSEN,"&gt;="&amp;CP$2,FECHA_DESGLOSEN,"&lt;="&amp;CP$3,CLAVE_DESGLOSE,$A337)</f>
        <v>0</v>
      </c>
      <c r="CQ337" s="162">
        <f>SUMIFS(SALIDAS_BIT,FECHA_BIT,"&gt;="&amp;CQ$2,FECHA_BIT,"&lt;="&amp;CQ$3,CLAVE_BIT,$A337)+SUMIFS(SALIDAS_BOV1,FECHA_BOV1,"&gt;="&amp;CQ$2,FECHA_BOV1,"&lt;="&amp;CQ$3,CLAVE_BOV1,$A337)+SUMIFS(SALIDAS_BOV2,FECHA_BOV2,"&gt;="&amp;CQ$2,FECHA_BOV2,"&lt;="&amp;CQ$3,CLAVE_BOV2,$A337)+SUMIFS(SALIDAS_BOV3,FECHA_BOV3,"&gt;="&amp;CQ$2,FECHA_BOV3,"&lt;="&amp;CQ$3,CLAVE_BOV3,$A337)+SUMIFS(SALIDAS_TC,FECHA_TC,"&gt;="&amp;CQ$2,FECHA_TC,"&lt;="&amp;CQ$3,CLAVE_TC,$A337)+SUMIFS(SALIDAS_COMB,FECHA_COMB,"&gt;="&amp;CQ$2,FECHA_COMB,"&lt;="&amp;CQ$3,CLAVE_COMB,$A337)+SUMIFS(SALIDAS_DES,FECHA_DESGLOSEN,"&gt;="&amp;CQ$2,FECHA_DESGLOSEN,"&lt;="&amp;CQ$3,CLAVE_DESGLOSE,$A337)</f>
        <v>0</v>
      </c>
      <c r="CR337" s="227">
        <f t="shared" si="756"/>
        <v>0</v>
      </c>
      <c r="CS337" s="301">
        <f t="shared" si="757"/>
        <v>0</v>
      </c>
      <c r="CT337" s="68">
        <f t="shared" si="712"/>
        <v>1500</v>
      </c>
      <c r="CU337" s="13">
        <f>SUMIFS(SALIDAS_BIT,FECHA_BIT,"&gt;="&amp;CU$2,FECHA_BIT,"&lt;="&amp;CU$3,CLAVE_BIT,$A337)+SUMIFS(SALIDAS_BOV1,FECHA_BOV1,"&gt;="&amp;CU$2,FECHA_BOV1,"&lt;="&amp;CU$3,CLAVE_BOV1,$A337)+SUMIFS(SALIDAS_BOV2,FECHA_BOV2,"&gt;="&amp;CU$2,FECHA_BOV2,"&lt;="&amp;CU$3,CLAVE_BOV2,$A337)+SUMIFS(SALIDAS_BOV3,FECHA_BOV3,"&gt;="&amp;CU$2,FECHA_BOV3,"&lt;="&amp;CU$3,CLAVE_BOV3,$A337)+SUMIFS(SALIDAS_TC,FECHA_TC,"&gt;="&amp;CU$2,FECHA_TC,"&lt;="&amp;CU$3,CLAVE_TC,$A337)+SUMIFS(SALIDAS_COMB,FECHA_COMB,"&gt;="&amp;CU$2,FECHA_COMB,"&lt;="&amp;CU$3,CLAVE_COMB,$A337)+SUMIFS(SALIDAS_DES,FECHA_DESGLOSEN,"&gt;="&amp;CU$2,FECHA_DESGLOSEN,"&lt;="&amp;CU$3,CLAVE_DESGLOSE,$A337)</f>
        <v>0</v>
      </c>
      <c r="CV337" s="13">
        <f>SUMIFS(SALIDAS_BIT,FECHA_BIT,"&gt;="&amp;CV$2,FECHA_BIT,"&lt;="&amp;CV$3,CLAVE_BIT,$A337)+SUMIFS(SALIDAS_BOV1,FECHA_BOV1,"&gt;="&amp;CV$2,FECHA_BOV1,"&lt;="&amp;CV$3,CLAVE_BOV1,$A337)+SUMIFS(SALIDAS_BOV2,FECHA_BOV2,"&gt;="&amp;CV$2,FECHA_BOV2,"&lt;="&amp;CV$3,CLAVE_BOV2,$A337)+SUMIFS(SALIDAS_BOV3,FECHA_BOV3,"&gt;="&amp;CV$2,FECHA_BOV3,"&lt;="&amp;CV$3,CLAVE_BOV3,$A337)+SUMIFS(SALIDAS_TC,FECHA_TC,"&gt;="&amp;CV$2,FECHA_TC,"&lt;="&amp;CV$3,CLAVE_TC,$A337)+SUMIFS(SALIDAS_COMB,FECHA_COMB,"&gt;="&amp;CV$2,FECHA_COMB,"&lt;="&amp;CV$3,CLAVE_COMB,$A337)+SUMIFS(SALIDAS_DES,FECHA_DESGLOSEN,"&gt;="&amp;CV$2,FECHA_DESGLOSEN,"&lt;="&amp;CV$3,CLAVE_DESGLOSE,$A337)</f>
        <v>0</v>
      </c>
      <c r="CW337" s="13">
        <f>SUMIFS(SALIDAS_BIT,FECHA_BIT,"&gt;="&amp;CW$2,FECHA_BIT,"&lt;="&amp;CW$3,CLAVE_BIT,$A337)+SUMIFS(SALIDAS_BOV1,FECHA_BOV1,"&gt;="&amp;CW$2,FECHA_BOV1,"&lt;="&amp;CW$3,CLAVE_BOV1,$A337)+SUMIFS(SALIDAS_BOV2,FECHA_BOV2,"&gt;="&amp;CW$2,FECHA_BOV2,"&lt;="&amp;CW$3,CLAVE_BOV2,$A337)+SUMIFS(SALIDAS_BOV3,FECHA_BOV3,"&gt;="&amp;CW$2,FECHA_BOV3,"&lt;="&amp;CW$3,CLAVE_BOV3,$A337)+SUMIFS(SALIDAS_TC,FECHA_TC,"&gt;="&amp;CW$2,FECHA_TC,"&lt;="&amp;CW$3,CLAVE_TC,$A337)+SUMIFS(SALIDAS_COMB,FECHA_COMB,"&gt;="&amp;CW$2,FECHA_COMB,"&lt;="&amp;CW$3,CLAVE_COMB,$A337)+SUMIFS(SALIDAS_DES,FECHA_DESGLOSEN,"&gt;="&amp;CW$2,FECHA_DESGLOSEN,"&lt;="&amp;CW$3,CLAVE_DESGLOSE,$A337)</f>
        <v>0</v>
      </c>
      <c r="CX337" s="13">
        <f>SUMIFS(SALIDAS_BIT,FECHA_BIT,"&gt;="&amp;CX$2,FECHA_BIT,"&lt;="&amp;CX$3,CLAVE_BIT,$A337)+SUMIFS(SALIDAS_BOV1,FECHA_BOV1,"&gt;="&amp;CX$2,FECHA_BOV1,"&lt;="&amp;CX$3,CLAVE_BOV1,$A337)+SUMIFS(SALIDAS_BOV2,FECHA_BOV2,"&gt;="&amp;CX$2,FECHA_BOV2,"&lt;="&amp;CX$3,CLAVE_BOV2,$A337)+SUMIFS(SALIDAS_BOV3,FECHA_BOV3,"&gt;="&amp;CX$2,FECHA_BOV3,"&lt;="&amp;CX$3,CLAVE_BOV3,$A337)+SUMIFS(SALIDAS_TC,FECHA_TC,"&gt;="&amp;CX$2,FECHA_TC,"&lt;="&amp;CX$3,CLAVE_TC,$A337)+SUMIFS(SALIDAS_COMB,FECHA_COMB,"&gt;="&amp;CX$2,FECHA_COMB,"&lt;="&amp;CX$3,CLAVE_COMB,$A337)+SUMIFS(SALIDAS_DES,FECHA_DESGLOSEN,"&gt;="&amp;CX$2,FECHA_DESGLOSEN,"&lt;="&amp;CX$3,CLAVE_DESGLOSE,$A337)</f>
        <v>0</v>
      </c>
      <c r="CY337" s="13">
        <f>SUMIFS(SALIDAS_BIT,FECHA_BIT,"&gt;="&amp;CY$2,FECHA_BIT,"&lt;="&amp;CY$3,CLAVE_BIT,$A337)+SUMIFS(SALIDAS_BOV1,FECHA_BOV1,"&gt;="&amp;CY$2,FECHA_BOV1,"&lt;="&amp;CY$3,CLAVE_BOV1,$A337)+SUMIFS(SALIDAS_BOV2,FECHA_BOV2,"&gt;="&amp;CY$2,FECHA_BOV2,"&lt;="&amp;CY$3,CLAVE_BOV2,$A337)+SUMIFS(SALIDAS_BOV3,FECHA_BOV3,"&gt;="&amp;CY$2,FECHA_BOV3,"&lt;="&amp;CY$3,CLAVE_BOV3,$A337)+SUMIFS(SALIDAS_TC,FECHA_TC,"&gt;="&amp;CY$2,FECHA_TC,"&lt;="&amp;CY$3,CLAVE_TC,$A337)+SUMIFS(SALIDAS_COMB,FECHA_COMB,"&gt;="&amp;CY$2,FECHA_COMB,"&lt;="&amp;CY$3,CLAVE_COMB,$A337)+SUMIFS(SALIDAS_DES,FECHA_DESGLOSEN,"&gt;="&amp;CY$2,FECHA_DESGLOSEN,"&lt;="&amp;CY$3,CLAVE_DESGLOSE,$A337)</f>
        <v>0</v>
      </c>
      <c r="CZ337" s="68">
        <f t="shared" si="713"/>
        <v>1500</v>
      </c>
      <c r="DB337" s="17">
        <f>F337+N337+W337+AE337+AM337+AV337+BD337+BL337+BU337+CC337+CK337</f>
        <v>0</v>
      </c>
      <c r="DC337" s="17">
        <f>K337+T337+AB337+AJ337+AS337+BA337+BI337+BR337+BZ337+CH337+CQ337</f>
        <v>1718.3799999999999</v>
      </c>
    </row>
    <row r="338" spans="1:107" ht="15" hidden="1">
      <c r="A338" s="12" t="str">
        <f>C338&amp;D338&amp;E338</f>
        <v>MKTFONDO Y REPOSICIONMKT</v>
      </c>
      <c r="B338">
        <v>338</v>
      </c>
      <c r="C338" t="s">
        <v>19</v>
      </c>
      <c r="D338" s="12" t="s">
        <v>120</v>
      </c>
      <c r="E338" t="s">
        <v>19</v>
      </c>
      <c r="F338" s="260">
        <f>VLOOKUP($A338,T_PRESUPUESTO,MATCH(F$6,E_PRESUPUESTO,0),FALSE)</f>
        <v>0</v>
      </c>
      <c r="G338" s="162">
        <f>SUMIFS(SALIDAS_BIT,FECHA_BIT,"&gt;="&amp;G$2,FECHA_BIT,"&lt;="&amp;G$3,CLAVE_BIT,$A338)+SUMIFS(SALIDAS_BOV1,FECHA_BOV1,"&gt;="&amp;G$2,FECHA_BOV1,"&lt;="&amp;G$3,CLAVE_BOV1,$A338)+SUMIFS(SALIDAS_BOV2,FECHA_BOV2,"&gt;="&amp;G$2,FECHA_BOV2,"&lt;="&amp;G$3,CLAVE_BOV2,$A338)+SUMIFS(SALIDAS_BOV3,FECHA_BOV3,"&gt;="&amp;G$2,FECHA_BOV3,"&lt;="&amp;G$3,CLAVE_BOV3,$A338)+SUMIFS(SALIDAS_TC,FECHA_TC,"&gt;="&amp;G$2,FECHA_TC,"&lt;="&amp;G$3,CLAVE_TC,$A338)+SUMIFS(SALIDAS_COMB,FECHA_COMB,"&gt;="&amp;G$2,FECHA_COMB,"&lt;="&amp;G$3,CLAVE_COMB,$A338)+SUMIFS(SALIDAS_DES,FECHA_DESGLOSEN,"&gt;="&amp;G$2,FECHA_DESGLOSEN,"&lt;="&amp;G$3,CLAVE_DESGLOSE,$A338)</f>
        <v>0</v>
      </c>
      <c r="H338" s="162">
        <f>SUMIFS(SALIDAS_BIT,FECHA_BIT,"&gt;="&amp;H$2,FECHA_BIT,"&lt;="&amp;H$3,CLAVE_BIT,$A338)+SUMIFS(SALIDAS_BOV1,FECHA_BOV1,"&gt;="&amp;H$2,FECHA_BOV1,"&lt;="&amp;H$3,CLAVE_BOV1,$A338)+SUMIFS(SALIDAS_BOV2,FECHA_BOV2,"&gt;="&amp;H$2,FECHA_BOV2,"&lt;="&amp;H$3,CLAVE_BOV2,$A338)+SUMIFS(SALIDAS_BOV3,FECHA_BOV3,"&gt;="&amp;H$2,FECHA_BOV3,"&lt;="&amp;H$3,CLAVE_BOV3,$A338)+SUMIFS(SALIDAS_TC,FECHA_TC,"&gt;="&amp;H$2,FECHA_TC,"&lt;="&amp;H$3,CLAVE_TC,$A338)+SUMIFS(SALIDAS_COMB,FECHA_COMB,"&gt;="&amp;H$2,FECHA_COMB,"&lt;="&amp;H$3,CLAVE_COMB,$A338)+SUMIFS(SALIDAS_DES,FECHA_DESGLOSEN,"&gt;="&amp;H$2,FECHA_DESGLOSEN,"&lt;="&amp;H$3,CLAVE_DESGLOSE,$A338)</f>
        <v>0</v>
      </c>
      <c r="I338" s="162">
        <f>SUMIFS(SALIDAS_BIT,FECHA_BIT,"&gt;="&amp;I$2,FECHA_BIT,"&lt;="&amp;I$3,CLAVE_BIT,$A338)+SUMIFS(SALIDAS_BOV1,FECHA_BOV1,"&gt;="&amp;I$2,FECHA_BOV1,"&lt;="&amp;I$3,CLAVE_BOV1,$A338)+SUMIFS(SALIDAS_BOV2,FECHA_BOV2,"&gt;="&amp;I$2,FECHA_BOV2,"&lt;="&amp;I$3,CLAVE_BOV2,$A338)+SUMIFS(SALIDAS_BOV3,FECHA_BOV3,"&gt;="&amp;I$2,FECHA_BOV3,"&lt;="&amp;I$3,CLAVE_BOV3,$A338)+SUMIFS(SALIDAS_TC,FECHA_TC,"&gt;="&amp;I$2,FECHA_TC,"&lt;="&amp;I$3,CLAVE_TC,$A338)+SUMIFS(SALIDAS_COMB,FECHA_COMB,"&gt;="&amp;I$2,FECHA_COMB,"&lt;="&amp;I$3,CLAVE_COMB,$A338)+SUMIFS(SALIDAS_DES,FECHA_DESGLOSEN,"&gt;="&amp;I$2,FECHA_DESGLOSEN,"&lt;="&amp;I$3,CLAVE_DESGLOSE,$A338)</f>
        <v>0</v>
      </c>
      <c r="J338" s="162">
        <f>SUMIFS(SALIDAS_BIT,FECHA_BIT,"&gt;="&amp;J$2,FECHA_BIT,"&lt;="&amp;J$3,CLAVE_BIT,$A338)+SUMIFS(SALIDAS_BOV1,FECHA_BOV1,"&gt;="&amp;J$2,FECHA_BOV1,"&lt;="&amp;J$3,CLAVE_BOV1,$A338)+SUMIFS(SALIDAS_BOV2,FECHA_BOV2,"&gt;="&amp;J$2,FECHA_BOV2,"&lt;="&amp;J$3,CLAVE_BOV2,$A338)+SUMIFS(SALIDAS_BOV3,FECHA_BOV3,"&gt;="&amp;J$2,FECHA_BOV3,"&lt;="&amp;J$3,CLAVE_BOV3,$A338)+SUMIFS(SALIDAS_TC,FECHA_TC,"&gt;="&amp;J$2,FECHA_TC,"&lt;="&amp;J$3,CLAVE_TC,$A338)+SUMIFS(SALIDAS_COMB,FECHA_COMB,"&gt;="&amp;J$2,FECHA_COMB,"&lt;="&amp;J$3,CLAVE_COMB,$A338)+SUMIFS(SALIDAS_DES,FECHA_DESGLOSEN,"&gt;="&amp;J$2,FECHA_DESGLOSEN,"&lt;="&amp;J$3,CLAVE_DESGLOSE,$A338)</f>
        <v>0</v>
      </c>
      <c r="K338" s="162">
        <f>SUMIFS(SALIDAS_BIT,FECHA_BIT,"&gt;="&amp;K$2,FECHA_BIT,"&lt;="&amp;K$3,CLAVE_BIT,$A338)+SUMIFS(SALIDAS_BOV1,FECHA_BOV1,"&gt;="&amp;K$2,FECHA_BOV1,"&lt;="&amp;K$3,CLAVE_BOV1,$A338)+SUMIFS(SALIDAS_BOV2,FECHA_BOV2,"&gt;="&amp;K$2,FECHA_BOV2,"&lt;="&amp;K$3,CLAVE_BOV2,$A338)+SUMIFS(SALIDAS_BOV3,FECHA_BOV3,"&gt;="&amp;K$2,FECHA_BOV3,"&lt;="&amp;K$3,CLAVE_BOV3,$A338)+SUMIFS(SALIDAS_TC,FECHA_TC,"&gt;="&amp;K$2,FECHA_TC,"&lt;="&amp;K$3,CLAVE_TC,$A338)+SUMIFS(SALIDAS_COMB,FECHA_COMB,"&gt;="&amp;K$2,FECHA_COMB,"&lt;="&amp;K$3,CLAVE_COMB,$A338)+SUMIFS(SALIDAS_DES,FECHA_DESGLOSEN,"&gt;="&amp;K$2,FECHA_DESGLOSEN,"&lt;="&amp;K$3,CLAVE_DESGLOSE,$A338)</f>
        <v>0</v>
      </c>
      <c r="L338" s="227">
        <f>F338-K338</f>
        <v>0</v>
      </c>
      <c r="M338" s="301">
        <f>IFERROR((K338/F338),0)</f>
        <v>0</v>
      </c>
      <c r="N338" s="162">
        <f>VLOOKUP($A338,T_PRESUPUESTO,MATCH(N$6,E_PRESUPUESTO,0),FALSE)</f>
        <v>0</v>
      </c>
      <c r="O338" s="162">
        <f>SUMIFS(SALIDAS_BIT,FECHA_BIT,"&gt;="&amp;O$2,FECHA_BIT,"&lt;="&amp;O$3,CLAVE_BIT,$A338)+SUMIFS(SALIDAS_BOV1,FECHA_BOV1,"&gt;="&amp;O$2,FECHA_BOV1,"&lt;="&amp;O$3,CLAVE_BOV1,$A338)+SUMIFS(SALIDAS_BOV2,FECHA_BOV2,"&gt;="&amp;O$2,FECHA_BOV2,"&lt;="&amp;O$3,CLAVE_BOV2,$A338)+SUMIFS(SALIDAS_BOV3,FECHA_BOV3,"&gt;="&amp;O$2,FECHA_BOV3,"&lt;="&amp;O$3,CLAVE_BOV3,$A338)+SUMIFS(SALIDAS_TC,FECHA_TC,"&gt;="&amp;O$2,FECHA_TC,"&lt;="&amp;O$3,CLAVE_TC,$A338)+SUMIFS(SALIDAS_COMB,FECHA_COMB,"&gt;="&amp;O$2,FECHA_COMB,"&lt;="&amp;O$3,CLAVE_COMB,$A338)+SUMIFS(SALIDAS_DES,FECHA_DESGLOSEN,"&gt;="&amp;O$2,FECHA_DESGLOSEN,"&lt;="&amp;O$3,CLAVE_DESGLOSE,$A338)</f>
        <v>0</v>
      </c>
      <c r="P338" s="162">
        <f>SUMIFS(SALIDAS_BIT,FECHA_BIT,"&gt;="&amp;P$2,FECHA_BIT,"&lt;="&amp;P$3,CLAVE_BIT,$A338)+SUMIFS(SALIDAS_BOV1,FECHA_BOV1,"&gt;="&amp;P$2,FECHA_BOV1,"&lt;="&amp;P$3,CLAVE_BOV1,$A338)+SUMIFS(SALIDAS_BOV2,FECHA_BOV2,"&gt;="&amp;P$2,FECHA_BOV2,"&lt;="&amp;P$3,CLAVE_BOV2,$A338)+SUMIFS(SALIDAS_BOV3,FECHA_BOV3,"&gt;="&amp;P$2,FECHA_BOV3,"&lt;="&amp;P$3,CLAVE_BOV3,$A338)+SUMIFS(SALIDAS_TC,FECHA_TC,"&gt;="&amp;P$2,FECHA_TC,"&lt;="&amp;P$3,CLAVE_TC,$A338)+SUMIFS(SALIDAS_COMB,FECHA_COMB,"&gt;="&amp;P$2,FECHA_COMB,"&lt;="&amp;P$3,CLAVE_COMB,$A338)+SUMIFS(SALIDAS_DES,FECHA_DESGLOSEN,"&gt;="&amp;P$2,FECHA_DESGLOSEN,"&lt;="&amp;P$3,CLAVE_DESGLOSE,$A338)</f>
        <v>0</v>
      </c>
      <c r="Q338" s="162">
        <f>SUMIFS(SALIDAS_BIT,FECHA_BIT,"&gt;="&amp;Q$2,FECHA_BIT,"&lt;="&amp;Q$3,CLAVE_BIT,$A338)+SUMIFS(SALIDAS_BOV1,FECHA_BOV1,"&gt;="&amp;Q$2,FECHA_BOV1,"&lt;="&amp;Q$3,CLAVE_BOV1,$A338)+SUMIFS(SALIDAS_BOV2,FECHA_BOV2,"&gt;="&amp;Q$2,FECHA_BOV2,"&lt;="&amp;Q$3,CLAVE_BOV2,$A338)+SUMIFS(SALIDAS_BOV3,FECHA_BOV3,"&gt;="&amp;Q$2,FECHA_BOV3,"&lt;="&amp;Q$3,CLAVE_BOV3,$A338)+SUMIFS(SALIDAS_TC,FECHA_TC,"&gt;="&amp;Q$2,FECHA_TC,"&lt;="&amp;Q$3,CLAVE_TC,$A338)+SUMIFS(SALIDAS_COMB,FECHA_COMB,"&gt;="&amp;Q$2,FECHA_COMB,"&lt;="&amp;Q$3,CLAVE_COMB,$A338)+SUMIFS(SALIDAS_DES,FECHA_DESGLOSEN,"&gt;="&amp;Q$2,FECHA_DESGLOSEN,"&lt;="&amp;Q$3,CLAVE_DESGLOSE,$A338)</f>
        <v>0</v>
      </c>
      <c r="R338" s="162">
        <f>SUMIFS(SALIDAS_BIT,FECHA_BIT,"&gt;="&amp;R$2,FECHA_BIT,"&lt;="&amp;R$3,CLAVE_BIT,$A338)+SUMIFS(SALIDAS_BOV1,FECHA_BOV1,"&gt;="&amp;R$2,FECHA_BOV1,"&lt;="&amp;R$3,CLAVE_BOV1,$A338)+SUMIFS(SALIDAS_BOV2,FECHA_BOV2,"&gt;="&amp;R$2,FECHA_BOV2,"&lt;="&amp;R$3,CLAVE_BOV2,$A338)+SUMIFS(SALIDAS_BOV3,FECHA_BOV3,"&gt;="&amp;R$2,FECHA_BOV3,"&lt;="&amp;R$3,CLAVE_BOV3,$A338)+SUMIFS(SALIDAS_TC,FECHA_TC,"&gt;="&amp;R$2,FECHA_TC,"&lt;="&amp;R$3,CLAVE_TC,$A338)+SUMIFS(SALIDAS_COMB,FECHA_COMB,"&gt;="&amp;R$2,FECHA_COMB,"&lt;="&amp;R$3,CLAVE_COMB,$A338)+SUMIFS(SALIDAS_DES,FECHA_DESGLOSEN,"&gt;="&amp;R$2,FECHA_DESGLOSEN,"&lt;="&amp;R$3,CLAVE_DESGLOSE,$A338)</f>
        <v>0</v>
      </c>
      <c r="S338" s="162">
        <f>SUMIFS(SALIDAS_BIT,FECHA_BIT,"&gt;="&amp;S$2,FECHA_BIT,"&lt;="&amp;S$3,CLAVE_BIT,$A338)+SUMIFS(SALIDAS_BOV1,FECHA_BOV1,"&gt;="&amp;S$2,FECHA_BOV1,"&lt;="&amp;S$3,CLAVE_BOV1,$A338)+SUMIFS(SALIDAS_BOV2,FECHA_BOV2,"&gt;="&amp;S$2,FECHA_BOV2,"&lt;="&amp;S$3,CLAVE_BOV2,$A338)+SUMIFS(SALIDAS_BOV3,FECHA_BOV3,"&gt;="&amp;S$2,FECHA_BOV3,"&lt;="&amp;S$3,CLAVE_BOV3,$A338)+SUMIFS(SALIDAS_TC,FECHA_TC,"&gt;="&amp;S$2,FECHA_TC,"&lt;="&amp;S$3,CLAVE_TC,$A338)+SUMIFS(SALIDAS_COMB,FECHA_COMB,"&gt;="&amp;S$2,FECHA_COMB,"&lt;="&amp;S$3,CLAVE_COMB,$A338)+SUMIFS(SALIDAS_DES,FECHA_DESGLOSEN,"&gt;="&amp;S$2,FECHA_DESGLOSEN,"&lt;="&amp;S$3,CLAVE_DESGLOSE,$A338)</f>
        <v>0</v>
      </c>
      <c r="T338" s="162">
        <f>SUMIFS(SALIDAS_BIT,FECHA_BIT,"&gt;="&amp;T$2,FECHA_BIT,"&lt;="&amp;T$3,CLAVE_BIT,$A338)+SUMIFS(SALIDAS_BOV1,FECHA_BOV1,"&gt;="&amp;T$2,FECHA_BOV1,"&lt;="&amp;T$3,CLAVE_BOV1,$A338)+SUMIFS(SALIDAS_BOV2,FECHA_BOV2,"&gt;="&amp;T$2,FECHA_BOV2,"&lt;="&amp;T$3,CLAVE_BOV2,$A338)+SUMIFS(SALIDAS_BOV3,FECHA_BOV3,"&gt;="&amp;T$2,FECHA_BOV3,"&lt;="&amp;T$3,CLAVE_BOV3,$A338)+SUMIFS(SALIDAS_TC,FECHA_TC,"&gt;="&amp;T$2,FECHA_TC,"&lt;="&amp;T$3,CLAVE_TC,$A338)+SUMIFS(SALIDAS_COMB,FECHA_COMB,"&gt;="&amp;T$2,FECHA_COMB,"&lt;="&amp;T$3,CLAVE_COMB,$A338)+SUMIFS(SALIDAS_DES,FECHA_DESGLOSEN,"&gt;="&amp;T$2,FECHA_DESGLOSEN,"&lt;="&amp;T$3,CLAVE_DESGLOSE,$A338)</f>
        <v>0</v>
      </c>
      <c r="U338" s="227">
        <f>N338-T338</f>
        <v>0</v>
      </c>
      <c r="V338" s="301">
        <f>IFERROR((T338/N338),0)</f>
        <v>0</v>
      </c>
      <c r="W338" s="162">
        <f>VLOOKUP($A338,T_PRESUPUESTO,MATCH(W$6,E_PRESUPUESTO,0),FALSE)</f>
        <v>0</v>
      </c>
      <c r="X338" s="162">
        <f>SUMIFS(SALIDAS_BIT,FECHA_BIT,"&gt;="&amp;X$2,FECHA_BIT,"&lt;="&amp;X$3,CLAVE_BIT,$A338)+SUMIFS(SALIDAS_BOV1,FECHA_BOV1,"&gt;="&amp;X$2,FECHA_BOV1,"&lt;="&amp;X$3,CLAVE_BOV1,$A338)+SUMIFS(SALIDAS_BOV2,FECHA_BOV2,"&gt;="&amp;X$2,FECHA_BOV2,"&lt;="&amp;X$3,CLAVE_BOV2,$A338)+SUMIFS(SALIDAS_BOV3,FECHA_BOV3,"&gt;="&amp;X$2,FECHA_BOV3,"&lt;="&amp;X$3,CLAVE_BOV3,$A338)+SUMIFS(SALIDAS_TC,FECHA_TC,"&gt;="&amp;X$2,FECHA_TC,"&lt;="&amp;X$3,CLAVE_TC,$A338)+SUMIFS(SALIDAS_COMB,FECHA_COMB,"&gt;="&amp;X$2,FECHA_COMB,"&lt;="&amp;X$3,CLAVE_COMB,$A338)+SUMIFS(SALIDAS_DES,FECHA_DESGLOSEN,"&gt;="&amp;X$2,FECHA_DESGLOSEN,"&lt;="&amp;X$3,CLAVE_DESGLOSE,$A338)</f>
        <v>0</v>
      </c>
      <c r="Y338" s="162">
        <f>SUMIFS(SALIDAS_BIT,FECHA_BIT,"&gt;="&amp;Y$2,FECHA_BIT,"&lt;="&amp;Y$3,CLAVE_BIT,$A338)+SUMIFS(SALIDAS_BOV1,FECHA_BOV1,"&gt;="&amp;Y$2,FECHA_BOV1,"&lt;="&amp;Y$3,CLAVE_BOV1,$A338)+SUMIFS(SALIDAS_BOV2,FECHA_BOV2,"&gt;="&amp;Y$2,FECHA_BOV2,"&lt;="&amp;Y$3,CLAVE_BOV2,$A338)+SUMIFS(SALIDAS_BOV3,FECHA_BOV3,"&gt;="&amp;Y$2,FECHA_BOV3,"&lt;="&amp;Y$3,CLAVE_BOV3,$A338)+SUMIFS(SALIDAS_TC,FECHA_TC,"&gt;="&amp;Y$2,FECHA_TC,"&lt;="&amp;Y$3,CLAVE_TC,$A338)+SUMIFS(SALIDAS_COMB,FECHA_COMB,"&gt;="&amp;Y$2,FECHA_COMB,"&lt;="&amp;Y$3,CLAVE_COMB,$A338)+SUMIFS(SALIDAS_DES,FECHA_DESGLOSEN,"&gt;="&amp;Y$2,FECHA_DESGLOSEN,"&lt;="&amp;Y$3,CLAVE_DESGLOSE,$A338)</f>
        <v>0</v>
      </c>
      <c r="Z338" s="162">
        <f>SUMIFS(SALIDAS_BIT,FECHA_BIT,"&gt;="&amp;Z$2,FECHA_BIT,"&lt;="&amp;Z$3,CLAVE_BIT,$A338)+SUMIFS(SALIDAS_BOV1,FECHA_BOV1,"&gt;="&amp;Z$2,FECHA_BOV1,"&lt;="&amp;Z$3,CLAVE_BOV1,$A338)+SUMIFS(SALIDAS_BOV2,FECHA_BOV2,"&gt;="&amp;Z$2,FECHA_BOV2,"&lt;="&amp;Z$3,CLAVE_BOV2,$A338)+SUMIFS(SALIDAS_BOV3,FECHA_BOV3,"&gt;="&amp;Z$2,FECHA_BOV3,"&lt;="&amp;Z$3,CLAVE_BOV3,$A338)+SUMIFS(SALIDAS_TC,FECHA_TC,"&gt;="&amp;Z$2,FECHA_TC,"&lt;="&amp;Z$3,CLAVE_TC,$A338)+SUMIFS(SALIDAS_COMB,FECHA_COMB,"&gt;="&amp;Z$2,FECHA_COMB,"&lt;="&amp;Z$3,CLAVE_COMB,$A338)+SUMIFS(SALIDAS_DES,FECHA_DESGLOSEN,"&gt;="&amp;Z$2,FECHA_DESGLOSEN,"&lt;="&amp;Z$3,CLAVE_DESGLOSE,$A338)</f>
        <v>0</v>
      </c>
      <c r="AA338" s="162">
        <f>SUMIFS(SALIDAS_BIT,FECHA_BIT,"&gt;="&amp;AA$2,FECHA_BIT,"&lt;="&amp;AA$3,CLAVE_BIT,$A338)+SUMIFS(SALIDAS_BOV1,FECHA_BOV1,"&gt;="&amp;AA$2,FECHA_BOV1,"&lt;="&amp;AA$3,CLAVE_BOV1,$A338)+SUMIFS(SALIDAS_BOV2,FECHA_BOV2,"&gt;="&amp;AA$2,FECHA_BOV2,"&lt;="&amp;AA$3,CLAVE_BOV2,$A338)+SUMIFS(SALIDAS_BOV3,FECHA_BOV3,"&gt;="&amp;AA$2,FECHA_BOV3,"&lt;="&amp;AA$3,CLAVE_BOV3,$A338)+SUMIFS(SALIDAS_TC,FECHA_TC,"&gt;="&amp;AA$2,FECHA_TC,"&lt;="&amp;AA$3,CLAVE_TC,$A338)+SUMIFS(SALIDAS_COMB,FECHA_COMB,"&gt;="&amp;AA$2,FECHA_COMB,"&lt;="&amp;AA$3,CLAVE_COMB,$A338)+SUMIFS(SALIDAS_DES,FECHA_DESGLOSEN,"&gt;="&amp;AA$2,FECHA_DESGLOSEN,"&lt;="&amp;AA$3,CLAVE_DESGLOSE,$A338)</f>
        <v>0</v>
      </c>
      <c r="AB338" s="162">
        <f>SUMIFS(SALIDAS_BIT,FECHA_BIT,"&gt;="&amp;AB$2,FECHA_BIT,"&lt;="&amp;AB$3,CLAVE_BIT,$A338)+SUMIFS(SALIDAS_BOV1,FECHA_BOV1,"&gt;="&amp;AB$2,FECHA_BOV1,"&lt;="&amp;AB$3,CLAVE_BOV1,$A338)+SUMIFS(SALIDAS_BOV2,FECHA_BOV2,"&gt;="&amp;AB$2,FECHA_BOV2,"&lt;="&amp;AB$3,CLAVE_BOV2,$A338)+SUMIFS(SALIDAS_BOV3,FECHA_BOV3,"&gt;="&amp;AB$2,FECHA_BOV3,"&lt;="&amp;AB$3,CLAVE_BOV3,$A338)+SUMIFS(SALIDAS_TC,FECHA_TC,"&gt;="&amp;AB$2,FECHA_TC,"&lt;="&amp;AB$3,CLAVE_TC,$A338)+SUMIFS(SALIDAS_COMB,FECHA_COMB,"&gt;="&amp;AB$2,FECHA_COMB,"&lt;="&amp;AB$3,CLAVE_COMB,$A338)+SUMIFS(SALIDAS_DES,FECHA_DESGLOSEN,"&gt;="&amp;AB$2,FECHA_DESGLOSEN,"&lt;="&amp;AB$3,CLAVE_DESGLOSE,$A338)</f>
        <v>0</v>
      </c>
      <c r="AC338" s="227">
        <f>W338-AB338</f>
        <v>0</v>
      </c>
      <c r="AD338" s="301">
        <f>IFERROR((AB338/W338),0)</f>
        <v>0</v>
      </c>
      <c r="AE338" s="162">
        <f>VLOOKUP($A338,T_PRESUPUESTO,MATCH(AE$6,E_PRESUPUESTO,0),FALSE)</f>
        <v>0</v>
      </c>
      <c r="AF338" s="162">
        <f>SUMIFS(SALIDAS_BIT,FECHA_BIT,"&gt;="&amp;AF$2,FECHA_BIT,"&lt;="&amp;AF$3,CLAVE_BIT,$A338)+SUMIFS(SALIDAS_BOV1,FECHA_BOV1,"&gt;="&amp;AF$2,FECHA_BOV1,"&lt;="&amp;AF$3,CLAVE_BOV1,$A338)+SUMIFS(SALIDAS_BOV2,FECHA_BOV2,"&gt;="&amp;AF$2,FECHA_BOV2,"&lt;="&amp;AF$3,CLAVE_BOV2,$A338)+SUMIFS(SALIDAS_BOV3,FECHA_BOV3,"&gt;="&amp;AF$2,FECHA_BOV3,"&lt;="&amp;AF$3,CLAVE_BOV3,$A338)+SUMIFS(SALIDAS_TC,FECHA_TC,"&gt;="&amp;AF$2,FECHA_TC,"&lt;="&amp;AF$3,CLAVE_TC,$A338)+SUMIFS(SALIDAS_COMB,FECHA_COMB,"&gt;="&amp;AF$2,FECHA_COMB,"&lt;="&amp;AF$3,CLAVE_COMB,$A338)+SUMIFS(SALIDAS_DES,FECHA_DESGLOSEN,"&gt;="&amp;AF$2,FECHA_DESGLOSEN,"&lt;="&amp;AF$3,CLAVE_DESGLOSE,$A338)</f>
        <v>0</v>
      </c>
      <c r="AG338" s="162">
        <f>SUMIFS(SALIDAS_BIT,FECHA_BIT,"&gt;="&amp;AG$2,FECHA_BIT,"&lt;="&amp;AG$3,CLAVE_BIT,$A338)+SUMIFS(SALIDAS_BOV1,FECHA_BOV1,"&gt;="&amp;AG$2,FECHA_BOV1,"&lt;="&amp;AG$3,CLAVE_BOV1,$A338)+SUMIFS(SALIDAS_BOV2,FECHA_BOV2,"&gt;="&amp;AG$2,FECHA_BOV2,"&lt;="&amp;AG$3,CLAVE_BOV2,$A338)+SUMIFS(SALIDAS_BOV3,FECHA_BOV3,"&gt;="&amp;AG$2,FECHA_BOV3,"&lt;="&amp;AG$3,CLAVE_BOV3,$A338)+SUMIFS(SALIDAS_TC,FECHA_TC,"&gt;="&amp;AG$2,FECHA_TC,"&lt;="&amp;AG$3,CLAVE_TC,$A338)+SUMIFS(SALIDAS_COMB,FECHA_COMB,"&gt;="&amp;AG$2,FECHA_COMB,"&lt;="&amp;AG$3,CLAVE_COMB,$A338)+SUMIFS(SALIDAS_DES,FECHA_DESGLOSEN,"&gt;="&amp;AG$2,FECHA_DESGLOSEN,"&lt;="&amp;AG$3,CLAVE_DESGLOSE,$A338)</f>
        <v>0</v>
      </c>
      <c r="AH338" s="162">
        <f>SUMIFS(SALIDAS_BIT,FECHA_BIT,"&gt;="&amp;AH$2,FECHA_BIT,"&lt;="&amp;AH$3,CLAVE_BIT,$A338)+SUMIFS(SALIDAS_BOV1,FECHA_BOV1,"&gt;="&amp;AH$2,FECHA_BOV1,"&lt;="&amp;AH$3,CLAVE_BOV1,$A338)+SUMIFS(SALIDAS_BOV2,FECHA_BOV2,"&gt;="&amp;AH$2,FECHA_BOV2,"&lt;="&amp;AH$3,CLAVE_BOV2,$A338)+SUMIFS(SALIDAS_BOV3,FECHA_BOV3,"&gt;="&amp;AH$2,FECHA_BOV3,"&lt;="&amp;AH$3,CLAVE_BOV3,$A338)+SUMIFS(SALIDAS_TC,FECHA_TC,"&gt;="&amp;AH$2,FECHA_TC,"&lt;="&amp;AH$3,CLAVE_TC,$A338)+SUMIFS(SALIDAS_COMB,FECHA_COMB,"&gt;="&amp;AH$2,FECHA_COMB,"&lt;="&amp;AH$3,CLAVE_COMB,$A338)+SUMIFS(SALIDAS_DES,FECHA_DESGLOSEN,"&gt;="&amp;AH$2,FECHA_DESGLOSEN,"&lt;="&amp;AH$3,CLAVE_DESGLOSE,$A338)</f>
        <v>0</v>
      </c>
      <c r="AI338" s="162">
        <f>SUMIFS(SALIDAS_BIT,FECHA_BIT,"&gt;="&amp;AI$2,FECHA_BIT,"&lt;="&amp;AI$3,CLAVE_BIT,$A338)+SUMIFS(SALIDAS_BOV1,FECHA_BOV1,"&gt;="&amp;AI$2,FECHA_BOV1,"&lt;="&amp;AI$3,CLAVE_BOV1,$A338)+SUMIFS(SALIDAS_BOV2,FECHA_BOV2,"&gt;="&amp;AI$2,FECHA_BOV2,"&lt;="&amp;AI$3,CLAVE_BOV2,$A338)+SUMIFS(SALIDAS_BOV3,FECHA_BOV3,"&gt;="&amp;AI$2,FECHA_BOV3,"&lt;="&amp;AI$3,CLAVE_BOV3,$A338)+SUMIFS(SALIDAS_TC,FECHA_TC,"&gt;="&amp;AI$2,FECHA_TC,"&lt;="&amp;AI$3,CLAVE_TC,$A338)+SUMIFS(SALIDAS_COMB,FECHA_COMB,"&gt;="&amp;AI$2,FECHA_COMB,"&lt;="&amp;AI$3,CLAVE_COMB,$A338)+SUMIFS(SALIDAS_DES,FECHA_DESGLOSEN,"&gt;="&amp;AI$2,FECHA_DESGLOSEN,"&lt;="&amp;AI$3,CLAVE_DESGLOSE,$A338)</f>
        <v>0</v>
      </c>
      <c r="AJ338" s="162">
        <f>SUMIFS(SALIDAS_BIT,FECHA_BIT,"&gt;="&amp;AJ$2,FECHA_BIT,"&lt;="&amp;AJ$3,CLAVE_BIT,$A338)+SUMIFS(SALIDAS_BOV1,FECHA_BOV1,"&gt;="&amp;AJ$2,FECHA_BOV1,"&lt;="&amp;AJ$3,CLAVE_BOV1,$A338)+SUMIFS(SALIDAS_BOV2,FECHA_BOV2,"&gt;="&amp;AJ$2,FECHA_BOV2,"&lt;="&amp;AJ$3,CLAVE_BOV2,$A338)+SUMIFS(SALIDAS_BOV3,FECHA_BOV3,"&gt;="&amp;AJ$2,FECHA_BOV3,"&lt;="&amp;AJ$3,CLAVE_BOV3,$A338)+SUMIFS(SALIDAS_TC,FECHA_TC,"&gt;="&amp;AJ$2,FECHA_TC,"&lt;="&amp;AJ$3,CLAVE_TC,$A338)+SUMIFS(SALIDAS_COMB,FECHA_COMB,"&gt;="&amp;AJ$2,FECHA_COMB,"&lt;="&amp;AJ$3,CLAVE_COMB,$A338)+SUMIFS(SALIDAS_DES,FECHA_DESGLOSEN,"&gt;="&amp;AJ$2,FECHA_DESGLOSEN,"&lt;="&amp;AJ$3,CLAVE_DESGLOSE,$A338)</f>
        <v>0</v>
      </c>
      <c r="AK338" s="227">
        <f>AE338-AJ338</f>
        <v>0</v>
      </c>
      <c r="AL338" s="301">
        <f>IFERROR((AJ338/AE338),0)</f>
        <v>0</v>
      </c>
      <c r="AM338" s="162">
        <f>VLOOKUP($A338,T_PRESUPUESTO,MATCH(AM$6,E_PRESUPUESTO,0),FALSE)</f>
        <v>0</v>
      </c>
      <c r="AN338" s="162">
        <f>SUMIFS(SALIDAS_BIT,FECHA_BIT,"&gt;="&amp;AN$2,FECHA_BIT,"&lt;="&amp;AN$3,CLAVE_BIT,$A338)+SUMIFS(SALIDAS_BOV1,FECHA_BOV1,"&gt;="&amp;AN$2,FECHA_BOV1,"&lt;="&amp;AN$3,CLAVE_BOV1,$A338)+SUMIFS(SALIDAS_BOV2,FECHA_BOV2,"&gt;="&amp;AN$2,FECHA_BOV2,"&lt;="&amp;AN$3,CLAVE_BOV2,$A338)+SUMIFS(SALIDAS_BOV3,FECHA_BOV3,"&gt;="&amp;AN$2,FECHA_BOV3,"&lt;="&amp;AN$3,CLAVE_BOV3,$A338)+SUMIFS(SALIDAS_TC,FECHA_TC,"&gt;="&amp;AN$2,FECHA_TC,"&lt;="&amp;AN$3,CLAVE_TC,$A338)+SUMIFS(SALIDAS_COMB,FECHA_COMB,"&gt;="&amp;AN$2,FECHA_COMB,"&lt;="&amp;AN$3,CLAVE_COMB,$A338)+SUMIFS(SALIDAS_DES,FECHA_DESGLOSEN,"&gt;="&amp;AN$2,FECHA_DESGLOSEN,"&lt;="&amp;AN$3,CLAVE_DESGLOSE,$A338)</f>
        <v>0</v>
      </c>
      <c r="AO338" s="162">
        <f>SUMIFS(SALIDAS_BIT,FECHA_BIT,"&gt;="&amp;AO$2,FECHA_BIT,"&lt;="&amp;AO$3,CLAVE_BIT,$A338)+SUMIFS(SALIDAS_BOV1,FECHA_BOV1,"&gt;="&amp;AO$2,FECHA_BOV1,"&lt;="&amp;AO$3,CLAVE_BOV1,$A338)+SUMIFS(SALIDAS_BOV2,FECHA_BOV2,"&gt;="&amp;AO$2,FECHA_BOV2,"&lt;="&amp;AO$3,CLAVE_BOV2,$A338)+SUMIFS(SALIDAS_BOV3,FECHA_BOV3,"&gt;="&amp;AO$2,FECHA_BOV3,"&lt;="&amp;AO$3,CLAVE_BOV3,$A338)+SUMIFS(SALIDAS_TC,FECHA_TC,"&gt;="&amp;AO$2,FECHA_TC,"&lt;="&amp;AO$3,CLAVE_TC,$A338)+SUMIFS(SALIDAS_COMB,FECHA_COMB,"&gt;="&amp;AO$2,FECHA_COMB,"&lt;="&amp;AO$3,CLAVE_COMB,$A338)+SUMIFS(SALIDAS_DES,FECHA_DESGLOSEN,"&gt;="&amp;AO$2,FECHA_DESGLOSEN,"&lt;="&amp;AO$3,CLAVE_DESGLOSE,$A338)</f>
        <v>0</v>
      </c>
      <c r="AP338" s="162">
        <f>SUMIFS(SALIDAS_BIT,FECHA_BIT,"&gt;="&amp;AP$2,FECHA_BIT,"&lt;="&amp;AP$3,CLAVE_BIT,$A338)+SUMIFS(SALIDAS_BOV1,FECHA_BOV1,"&gt;="&amp;AP$2,FECHA_BOV1,"&lt;="&amp;AP$3,CLAVE_BOV1,$A338)+SUMIFS(SALIDAS_BOV2,FECHA_BOV2,"&gt;="&amp;AP$2,FECHA_BOV2,"&lt;="&amp;AP$3,CLAVE_BOV2,$A338)+SUMIFS(SALIDAS_BOV3,FECHA_BOV3,"&gt;="&amp;AP$2,FECHA_BOV3,"&lt;="&amp;AP$3,CLAVE_BOV3,$A338)+SUMIFS(SALIDAS_TC,FECHA_TC,"&gt;="&amp;AP$2,FECHA_TC,"&lt;="&amp;AP$3,CLAVE_TC,$A338)+SUMIFS(SALIDAS_COMB,FECHA_COMB,"&gt;="&amp;AP$2,FECHA_COMB,"&lt;="&amp;AP$3,CLAVE_COMB,$A338)+SUMIFS(SALIDAS_DES,FECHA_DESGLOSEN,"&gt;="&amp;AP$2,FECHA_DESGLOSEN,"&lt;="&amp;AP$3,CLAVE_DESGLOSE,$A338)</f>
        <v>0</v>
      </c>
      <c r="AQ338" s="162">
        <f>SUMIFS(SALIDAS_BIT,FECHA_BIT,"&gt;="&amp;AQ$2,FECHA_BIT,"&lt;="&amp;AQ$3,CLAVE_BIT,$A338)+SUMIFS(SALIDAS_BOV1,FECHA_BOV1,"&gt;="&amp;AQ$2,FECHA_BOV1,"&lt;="&amp;AQ$3,CLAVE_BOV1,$A338)+SUMIFS(SALIDAS_BOV2,FECHA_BOV2,"&gt;="&amp;AQ$2,FECHA_BOV2,"&lt;="&amp;AQ$3,CLAVE_BOV2,$A338)+SUMIFS(SALIDAS_BOV3,FECHA_BOV3,"&gt;="&amp;AQ$2,FECHA_BOV3,"&lt;="&amp;AQ$3,CLAVE_BOV3,$A338)+SUMIFS(SALIDAS_TC,FECHA_TC,"&gt;="&amp;AQ$2,FECHA_TC,"&lt;="&amp;AQ$3,CLAVE_TC,$A338)+SUMIFS(SALIDAS_COMB,FECHA_COMB,"&gt;="&amp;AQ$2,FECHA_COMB,"&lt;="&amp;AQ$3,CLAVE_COMB,$A338)+SUMIFS(SALIDAS_DES,FECHA_DESGLOSEN,"&gt;="&amp;AQ$2,FECHA_DESGLOSEN,"&lt;="&amp;AQ$3,CLAVE_DESGLOSE,$A338)</f>
        <v>0</v>
      </c>
      <c r="AR338" s="162">
        <f>SUMIFS(SALIDAS_BIT,FECHA_BIT,"&gt;="&amp;AR$2,FECHA_BIT,"&lt;="&amp;AR$3,CLAVE_BIT,$A338)+SUMIFS(SALIDAS_BOV1,FECHA_BOV1,"&gt;="&amp;AR$2,FECHA_BOV1,"&lt;="&amp;AR$3,CLAVE_BOV1,$A338)+SUMIFS(SALIDAS_BOV2,FECHA_BOV2,"&gt;="&amp;AR$2,FECHA_BOV2,"&lt;="&amp;AR$3,CLAVE_BOV2,$A338)+SUMIFS(SALIDAS_BOV3,FECHA_BOV3,"&gt;="&amp;AR$2,FECHA_BOV3,"&lt;="&amp;AR$3,CLAVE_BOV3,$A338)+SUMIFS(SALIDAS_TC,FECHA_TC,"&gt;="&amp;AR$2,FECHA_TC,"&lt;="&amp;AR$3,CLAVE_TC,$A338)+SUMIFS(SALIDAS_COMB,FECHA_COMB,"&gt;="&amp;AR$2,FECHA_COMB,"&lt;="&amp;AR$3,CLAVE_COMB,$A338)+SUMIFS(SALIDAS_DES,FECHA_DESGLOSEN,"&gt;="&amp;AR$2,FECHA_DESGLOSEN,"&lt;="&amp;AR$3,CLAVE_DESGLOSE,$A338)</f>
        <v>0</v>
      </c>
      <c r="AS338" s="162">
        <f>SUMIFS(SALIDAS_BIT,FECHA_BIT,"&gt;="&amp;AS$2,FECHA_BIT,"&lt;="&amp;AS$3,CLAVE_BIT,$A338)+SUMIFS(SALIDAS_BOV1,FECHA_BOV1,"&gt;="&amp;AS$2,FECHA_BOV1,"&lt;="&amp;AS$3,CLAVE_BOV1,$A338)+SUMIFS(SALIDAS_BOV2,FECHA_BOV2,"&gt;="&amp;AS$2,FECHA_BOV2,"&lt;="&amp;AS$3,CLAVE_BOV2,$A338)+SUMIFS(SALIDAS_BOV3,FECHA_BOV3,"&gt;="&amp;AS$2,FECHA_BOV3,"&lt;="&amp;AS$3,CLAVE_BOV3,$A338)+SUMIFS(SALIDAS_TC,FECHA_TC,"&gt;="&amp;AS$2,FECHA_TC,"&lt;="&amp;AS$3,CLAVE_TC,$A338)+SUMIFS(SALIDAS_COMB,FECHA_COMB,"&gt;="&amp;AS$2,FECHA_COMB,"&lt;="&amp;AS$3,CLAVE_COMB,$A338)+SUMIFS(SALIDAS_DES,FECHA_DESGLOSEN,"&gt;="&amp;AS$2,FECHA_DESGLOSEN,"&lt;="&amp;AS$3,CLAVE_DESGLOSE,$A338)</f>
        <v>0</v>
      </c>
      <c r="AT338" s="227">
        <f>AM338-AS338</f>
        <v>0</v>
      </c>
      <c r="AU338" s="301">
        <f>IFERROR((AS338/AM338),0)</f>
        <v>0</v>
      </c>
      <c r="AV338" s="162">
        <f>VLOOKUP($A338,T_PRESUPUESTO,MATCH(AV$6,E_PRESUPUESTO,0),FALSE)</f>
        <v>0</v>
      </c>
      <c r="AW338" s="162">
        <f>SUMIFS(SALIDAS_BIT,FECHA_BIT,"&gt;="&amp;AW$2,FECHA_BIT,"&lt;="&amp;AW$3,CLAVE_BIT,$A338)+SUMIFS(SALIDAS_BOV1,FECHA_BOV1,"&gt;="&amp;AW$2,FECHA_BOV1,"&lt;="&amp;AW$3,CLAVE_BOV1,$A338)+SUMIFS(SALIDAS_BOV2,FECHA_BOV2,"&gt;="&amp;AW$2,FECHA_BOV2,"&lt;="&amp;AW$3,CLAVE_BOV2,$A338)+SUMIFS(SALIDAS_BOV3,FECHA_BOV3,"&gt;="&amp;AW$2,FECHA_BOV3,"&lt;="&amp;AW$3,CLAVE_BOV3,$A338)+SUMIFS(SALIDAS_TC,FECHA_TC,"&gt;="&amp;AW$2,FECHA_TC,"&lt;="&amp;AW$3,CLAVE_TC,$A338)+SUMIFS(SALIDAS_COMB,FECHA_COMB,"&gt;="&amp;AW$2,FECHA_COMB,"&lt;="&amp;AW$3,CLAVE_COMB,$A338)+SUMIFS(SALIDAS_DES,FECHA_DESGLOSEN,"&gt;="&amp;AW$2,FECHA_DESGLOSEN,"&lt;="&amp;AW$3,CLAVE_DESGLOSE,$A338)</f>
        <v>0</v>
      </c>
      <c r="AX338" s="162">
        <f>SUMIFS(SALIDAS_BIT,FECHA_BIT,"&gt;="&amp;AX$2,FECHA_BIT,"&lt;="&amp;AX$3,CLAVE_BIT,$A338)+SUMIFS(SALIDAS_BOV1,FECHA_BOV1,"&gt;="&amp;AX$2,FECHA_BOV1,"&lt;="&amp;AX$3,CLAVE_BOV1,$A338)+SUMIFS(SALIDAS_BOV2,FECHA_BOV2,"&gt;="&amp;AX$2,FECHA_BOV2,"&lt;="&amp;AX$3,CLAVE_BOV2,$A338)+SUMIFS(SALIDAS_BOV3,FECHA_BOV3,"&gt;="&amp;AX$2,FECHA_BOV3,"&lt;="&amp;AX$3,CLAVE_BOV3,$A338)+SUMIFS(SALIDAS_TC,FECHA_TC,"&gt;="&amp;AX$2,FECHA_TC,"&lt;="&amp;AX$3,CLAVE_TC,$A338)+SUMIFS(SALIDAS_COMB,FECHA_COMB,"&gt;="&amp;AX$2,FECHA_COMB,"&lt;="&amp;AX$3,CLAVE_COMB,$A338)+SUMIFS(SALIDAS_DES,FECHA_DESGLOSEN,"&gt;="&amp;AX$2,FECHA_DESGLOSEN,"&lt;="&amp;AX$3,CLAVE_DESGLOSE,$A338)</f>
        <v>0</v>
      </c>
      <c r="AY338" s="162">
        <f>SUMIFS(SALIDAS_BIT,FECHA_BIT,"&gt;="&amp;AY$2,FECHA_BIT,"&lt;="&amp;AY$3,CLAVE_BIT,$A338)+SUMIFS(SALIDAS_BOV1,FECHA_BOV1,"&gt;="&amp;AY$2,FECHA_BOV1,"&lt;="&amp;AY$3,CLAVE_BOV1,$A338)+SUMIFS(SALIDAS_BOV2,FECHA_BOV2,"&gt;="&amp;AY$2,FECHA_BOV2,"&lt;="&amp;AY$3,CLAVE_BOV2,$A338)+SUMIFS(SALIDAS_BOV3,FECHA_BOV3,"&gt;="&amp;AY$2,FECHA_BOV3,"&lt;="&amp;AY$3,CLAVE_BOV3,$A338)+SUMIFS(SALIDAS_TC,FECHA_TC,"&gt;="&amp;AY$2,FECHA_TC,"&lt;="&amp;AY$3,CLAVE_TC,$A338)+SUMIFS(SALIDAS_COMB,FECHA_COMB,"&gt;="&amp;AY$2,FECHA_COMB,"&lt;="&amp;AY$3,CLAVE_COMB,$A338)+SUMIFS(SALIDAS_DES,FECHA_DESGLOSEN,"&gt;="&amp;AY$2,FECHA_DESGLOSEN,"&lt;="&amp;AY$3,CLAVE_DESGLOSE,$A338)</f>
        <v>0</v>
      </c>
      <c r="AZ338" s="162">
        <f>SUMIFS(SALIDAS_BIT,FECHA_BIT,"&gt;="&amp;AZ$2,FECHA_BIT,"&lt;="&amp;AZ$3,CLAVE_BIT,$A338)+SUMIFS(SALIDAS_BOV1,FECHA_BOV1,"&gt;="&amp;AZ$2,FECHA_BOV1,"&lt;="&amp;AZ$3,CLAVE_BOV1,$A338)+SUMIFS(SALIDAS_BOV2,FECHA_BOV2,"&gt;="&amp;AZ$2,FECHA_BOV2,"&lt;="&amp;AZ$3,CLAVE_BOV2,$A338)+SUMIFS(SALIDAS_BOV3,FECHA_BOV3,"&gt;="&amp;AZ$2,FECHA_BOV3,"&lt;="&amp;AZ$3,CLAVE_BOV3,$A338)+SUMIFS(SALIDAS_TC,FECHA_TC,"&gt;="&amp;AZ$2,FECHA_TC,"&lt;="&amp;AZ$3,CLAVE_TC,$A338)+SUMIFS(SALIDAS_COMB,FECHA_COMB,"&gt;="&amp;AZ$2,FECHA_COMB,"&lt;="&amp;AZ$3,CLAVE_COMB,$A338)+SUMIFS(SALIDAS_DES,FECHA_DESGLOSEN,"&gt;="&amp;AZ$2,FECHA_DESGLOSEN,"&lt;="&amp;AZ$3,CLAVE_DESGLOSE,$A338)</f>
        <v>0</v>
      </c>
      <c r="BA338" s="162">
        <f>SUMIFS(SALIDAS_BIT,FECHA_BIT,"&gt;="&amp;BA$2,FECHA_BIT,"&lt;="&amp;BA$3,CLAVE_BIT,$A338)+SUMIFS(SALIDAS_BOV1,FECHA_BOV1,"&gt;="&amp;BA$2,FECHA_BOV1,"&lt;="&amp;BA$3,CLAVE_BOV1,$A338)+SUMIFS(SALIDAS_BOV2,FECHA_BOV2,"&gt;="&amp;BA$2,FECHA_BOV2,"&lt;="&amp;BA$3,CLAVE_BOV2,$A338)+SUMIFS(SALIDAS_BOV3,FECHA_BOV3,"&gt;="&amp;BA$2,FECHA_BOV3,"&lt;="&amp;BA$3,CLAVE_BOV3,$A338)+SUMIFS(SALIDAS_TC,FECHA_TC,"&gt;="&amp;BA$2,FECHA_TC,"&lt;="&amp;BA$3,CLAVE_TC,$A338)+SUMIFS(SALIDAS_COMB,FECHA_COMB,"&gt;="&amp;BA$2,FECHA_COMB,"&lt;="&amp;BA$3,CLAVE_COMB,$A338)+SUMIFS(SALIDAS_DES,FECHA_DESGLOSEN,"&gt;="&amp;BA$2,FECHA_DESGLOSEN,"&lt;="&amp;BA$3,CLAVE_DESGLOSE,$A338)</f>
        <v>0</v>
      </c>
      <c r="BB338" s="227">
        <f>AV338-BA338</f>
        <v>0</v>
      </c>
      <c r="BC338" s="301">
        <f>IFERROR((BA338/AV338),0)</f>
        <v>0</v>
      </c>
      <c r="BD338" s="162">
        <f>VLOOKUP($A338,T_PRESUPUESTO,MATCH(BD$6,E_PRESUPUESTO,0),FALSE)</f>
        <v>0</v>
      </c>
      <c r="BE338" s="162">
        <f>SUMIFS(SALIDAS_BIT,FECHA_BIT,"&gt;="&amp;BE$2,FECHA_BIT,"&lt;="&amp;BE$3,CLAVE_BIT,$A338)+SUMIFS(SALIDAS_BOV1,FECHA_BOV1,"&gt;="&amp;BE$2,FECHA_BOV1,"&lt;="&amp;BE$3,CLAVE_BOV1,$A338)+SUMIFS(SALIDAS_BOV2,FECHA_BOV2,"&gt;="&amp;BE$2,FECHA_BOV2,"&lt;="&amp;BE$3,CLAVE_BOV2,$A338)+SUMIFS(SALIDAS_BOV3,FECHA_BOV3,"&gt;="&amp;BE$2,FECHA_BOV3,"&lt;="&amp;BE$3,CLAVE_BOV3,$A338)+SUMIFS(SALIDAS_TC,FECHA_TC,"&gt;="&amp;BE$2,FECHA_TC,"&lt;="&amp;BE$3,CLAVE_TC,$A338)+SUMIFS(SALIDAS_COMB,FECHA_COMB,"&gt;="&amp;BE$2,FECHA_COMB,"&lt;="&amp;BE$3,CLAVE_COMB,$A338)+SUMIFS(SALIDAS_DES,FECHA_DESGLOSEN,"&gt;="&amp;BE$2,FECHA_DESGLOSEN,"&lt;="&amp;BE$3,CLAVE_DESGLOSE,$A338)</f>
        <v>0</v>
      </c>
      <c r="BF338" s="162">
        <f>SUMIFS(SALIDAS_BIT,FECHA_BIT,"&gt;="&amp;BF$2,FECHA_BIT,"&lt;="&amp;BF$3,CLAVE_BIT,$A338)+SUMIFS(SALIDAS_BOV1,FECHA_BOV1,"&gt;="&amp;BF$2,FECHA_BOV1,"&lt;="&amp;BF$3,CLAVE_BOV1,$A338)+SUMIFS(SALIDAS_BOV2,FECHA_BOV2,"&gt;="&amp;BF$2,FECHA_BOV2,"&lt;="&amp;BF$3,CLAVE_BOV2,$A338)+SUMIFS(SALIDAS_BOV3,FECHA_BOV3,"&gt;="&amp;BF$2,FECHA_BOV3,"&lt;="&amp;BF$3,CLAVE_BOV3,$A338)+SUMIFS(SALIDAS_TC,FECHA_TC,"&gt;="&amp;BF$2,FECHA_TC,"&lt;="&amp;BF$3,CLAVE_TC,$A338)+SUMIFS(SALIDAS_COMB,FECHA_COMB,"&gt;="&amp;BF$2,FECHA_COMB,"&lt;="&amp;BF$3,CLAVE_COMB,$A338)+SUMIFS(SALIDAS_DES,FECHA_DESGLOSEN,"&gt;="&amp;BF$2,FECHA_DESGLOSEN,"&lt;="&amp;BF$3,CLAVE_DESGLOSE,$A338)</f>
        <v>0</v>
      </c>
      <c r="BG338" s="162">
        <f>SUMIFS(SALIDAS_BIT,FECHA_BIT,"&gt;="&amp;BG$2,FECHA_BIT,"&lt;="&amp;BG$3,CLAVE_BIT,$A338)+SUMIFS(SALIDAS_BOV1,FECHA_BOV1,"&gt;="&amp;BG$2,FECHA_BOV1,"&lt;="&amp;BG$3,CLAVE_BOV1,$A338)+SUMIFS(SALIDAS_BOV2,FECHA_BOV2,"&gt;="&amp;BG$2,FECHA_BOV2,"&lt;="&amp;BG$3,CLAVE_BOV2,$A338)+SUMIFS(SALIDAS_BOV3,FECHA_BOV3,"&gt;="&amp;BG$2,FECHA_BOV3,"&lt;="&amp;BG$3,CLAVE_BOV3,$A338)+SUMIFS(SALIDAS_TC,FECHA_TC,"&gt;="&amp;BG$2,FECHA_TC,"&lt;="&amp;BG$3,CLAVE_TC,$A338)+SUMIFS(SALIDAS_COMB,FECHA_COMB,"&gt;="&amp;BG$2,FECHA_COMB,"&lt;="&amp;BG$3,CLAVE_COMB,$A338)+SUMIFS(SALIDAS_DES,FECHA_DESGLOSEN,"&gt;="&amp;BG$2,FECHA_DESGLOSEN,"&lt;="&amp;BG$3,CLAVE_DESGLOSE,$A338)</f>
        <v>0</v>
      </c>
      <c r="BH338" s="162">
        <f>SUMIFS(SALIDAS_BIT,FECHA_BIT,"&gt;="&amp;BH$2,FECHA_BIT,"&lt;="&amp;BH$3,CLAVE_BIT,$A338)+SUMIFS(SALIDAS_BOV1,FECHA_BOV1,"&gt;="&amp;BH$2,FECHA_BOV1,"&lt;="&amp;BH$3,CLAVE_BOV1,$A338)+SUMIFS(SALIDAS_BOV2,FECHA_BOV2,"&gt;="&amp;BH$2,FECHA_BOV2,"&lt;="&amp;BH$3,CLAVE_BOV2,$A338)+SUMIFS(SALIDAS_BOV3,FECHA_BOV3,"&gt;="&amp;BH$2,FECHA_BOV3,"&lt;="&amp;BH$3,CLAVE_BOV3,$A338)+SUMIFS(SALIDAS_TC,FECHA_TC,"&gt;="&amp;BH$2,FECHA_TC,"&lt;="&amp;BH$3,CLAVE_TC,$A338)+SUMIFS(SALIDAS_COMB,FECHA_COMB,"&gt;="&amp;BH$2,FECHA_COMB,"&lt;="&amp;BH$3,CLAVE_COMB,$A338)+SUMIFS(SALIDAS_DES,FECHA_DESGLOSEN,"&gt;="&amp;BH$2,FECHA_DESGLOSEN,"&lt;="&amp;BH$3,CLAVE_DESGLOSE,$A338)</f>
        <v>0</v>
      </c>
      <c r="BI338" s="162">
        <f>SUMIFS(SALIDAS_BIT,FECHA_BIT,"&gt;="&amp;BI$2,FECHA_BIT,"&lt;="&amp;BI$3,CLAVE_BIT,$A338)+SUMIFS(SALIDAS_BOV1,FECHA_BOV1,"&gt;="&amp;BI$2,FECHA_BOV1,"&lt;="&amp;BI$3,CLAVE_BOV1,$A338)+SUMIFS(SALIDAS_BOV2,FECHA_BOV2,"&gt;="&amp;BI$2,FECHA_BOV2,"&lt;="&amp;BI$3,CLAVE_BOV2,$A338)+SUMIFS(SALIDAS_BOV3,FECHA_BOV3,"&gt;="&amp;BI$2,FECHA_BOV3,"&lt;="&amp;BI$3,CLAVE_BOV3,$A338)+SUMIFS(SALIDAS_TC,FECHA_TC,"&gt;="&amp;BI$2,FECHA_TC,"&lt;="&amp;BI$3,CLAVE_TC,$A338)+SUMIFS(SALIDAS_COMB,FECHA_COMB,"&gt;="&amp;BI$2,FECHA_COMB,"&lt;="&amp;BI$3,CLAVE_COMB,$A338)+SUMIFS(SALIDAS_DES,FECHA_DESGLOSEN,"&gt;="&amp;BI$2,FECHA_DESGLOSEN,"&lt;="&amp;BI$3,CLAVE_DESGLOSE,$A338)</f>
        <v>0</v>
      </c>
      <c r="BJ338" s="227">
        <f>BD338-BI338</f>
        <v>0</v>
      </c>
      <c r="BK338" s="301">
        <f>IFERROR((BI338/BD338),0)</f>
        <v>0</v>
      </c>
      <c r="BL338" s="162">
        <f>VLOOKUP($A338,T_PRESUPUESTO,MATCH(BL$6,E_PRESUPUESTO,0),FALSE)</f>
        <v>0</v>
      </c>
      <c r="BM338" s="162">
        <f>SUMIFS(SALIDAS_BIT,FECHA_BIT,"&gt;="&amp;BM$2,FECHA_BIT,"&lt;="&amp;BM$3,CLAVE_BIT,$A338)+SUMIFS(SALIDAS_BOV1,FECHA_BOV1,"&gt;="&amp;BM$2,FECHA_BOV1,"&lt;="&amp;BM$3,CLAVE_BOV1,$A338)+SUMIFS(SALIDAS_BOV2,FECHA_BOV2,"&gt;="&amp;BM$2,FECHA_BOV2,"&lt;="&amp;BM$3,CLAVE_BOV2,$A338)+SUMIFS(SALIDAS_BOV3,FECHA_BOV3,"&gt;="&amp;BM$2,FECHA_BOV3,"&lt;="&amp;BM$3,CLAVE_BOV3,$A338)+SUMIFS(SALIDAS_TC,FECHA_TC,"&gt;="&amp;BM$2,FECHA_TC,"&lt;="&amp;BM$3,CLAVE_TC,$A338)+SUMIFS(SALIDAS_COMB,FECHA_COMB,"&gt;="&amp;BM$2,FECHA_COMB,"&lt;="&amp;BM$3,CLAVE_COMB,$A338)+SUMIFS(SALIDAS_DES,FECHA_DESGLOSEN,"&gt;="&amp;BM$2,FECHA_DESGLOSEN,"&lt;="&amp;BM$3,CLAVE_DESGLOSE,$A338)</f>
        <v>0</v>
      </c>
      <c r="BN338" s="162">
        <f>SUMIFS(SALIDAS_BIT,FECHA_BIT,"&gt;="&amp;BN$2,FECHA_BIT,"&lt;="&amp;BN$3,CLAVE_BIT,$A338)+SUMIFS(SALIDAS_BOV1,FECHA_BOV1,"&gt;="&amp;BN$2,FECHA_BOV1,"&lt;="&amp;BN$3,CLAVE_BOV1,$A338)+SUMIFS(SALIDAS_BOV2,FECHA_BOV2,"&gt;="&amp;BN$2,FECHA_BOV2,"&lt;="&amp;BN$3,CLAVE_BOV2,$A338)+SUMIFS(SALIDAS_BOV3,FECHA_BOV3,"&gt;="&amp;BN$2,FECHA_BOV3,"&lt;="&amp;BN$3,CLAVE_BOV3,$A338)+SUMIFS(SALIDAS_TC,FECHA_TC,"&gt;="&amp;BN$2,FECHA_TC,"&lt;="&amp;BN$3,CLAVE_TC,$A338)+SUMIFS(SALIDAS_COMB,FECHA_COMB,"&gt;="&amp;BN$2,FECHA_COMB,"&lt;="&amp;BN$3,CLAVE_COMB,$A338)+SUMIFS(SALIDAS_DES,FECHA_DESGLOSEN,"&gt;="&amp;BN$2,FECHA_DESGLOSEN,"&lt;="&amp;BN$3,CLAVE_DESGLOSE,$A338)</f>
        <v>0</v>
      </c>
      <c r="BO338" s="162">
        <f>SUMIFS(SALIDAS_BIT,FECHA_BIT,"&gt;="&amp;BO$2,FECHA_BIT,"&lt;="&amp;BO$3,CLAVE_BIT,$A338)+SUMIFS(SALIDAS_BOV1,FECHA_BOV1,"&gt;="&amp;BO$2,FECHA_BOV1,"&lt;="&amp;BO$3,CLAVE_BOV1,$A338)+SUMIFS(SALIDAS_BOV2,FECHA_BOV2,"&gt;="&amp;BO$2,FECHA_BOV2,"&lt;="&amp;BO$3,CLAVE_BOV2,$A338)+SUMIFS(SALIDAS_BOV3,FECHA_BOV3,"&gt;="&amp;BO$2,FECHA_BOV3,"&lt;="&amp;BO$3,CLAVE_BOV3,$A338)+SUMIFS(SALIDAS_TC,FECHA_TC,"&gt;="&amp;BO$2,FECHA_TC,"&lt;="&amp;BO$3,CLAVE_TC,$A338)+SUMIFS(SALIDAS_COMB,FECHA_COMB,"&gt;="&amp;BO$2,FECHA_COMB,"&lt;="&amp;BO$3,CLAVE_COMB,$A338)+SUMIFS(SALIDAS_DES,FECHA_DESGLOSEN,"&gt;="&amp;BO$2,FECHA_DESGLOSEN,"&lt;="&amp;BO$3,CLAVE_DESGLOSE,$A338)</f>
        <v>0</v>
      </c>
      <c r="BP338" s="162">
        <f>SUMIFS(SALIDAS_BIT,FECHA_BIT,"&gt;="&amp;BP$2,FECHA_BIT,"&lt;="&amp;BP$3,CLAVE_BIT,$A338)+SUMIFS(SALIDAS_BOV1,FECHA_BOV1,"&gt;="&amp;BP$2,FECHA_BOV1,"&lt;="&amp;BP$3,CLAVE_BOV1,$A338)+SUMIFS(SALIDAS_BOV2,FECHA_BOV2,"&gt;="&amp;BP$2,FECHA_BOV2,"&lt;="&amp;BP$3,CLAVE_BOV2,$A338)+SUMIFS(SALIDAS_BOV3,FECHA_BOV3,"&gt;="&amp;BP$2,FECHA_BOV3,"&lt;="&amp;BP$3,CLAVE_BOV3,$A338)+SUMIFS(SALIDAS_TC,FECHA_TC,"&gt;="&amp;BP$2,FECHA_TC,"&lt;="&amp;BP$3,CLAVE_TC,$A338)+SUMIFS(SALIDAS_COMB,FECHA_COMB,"&gt;="&amp;BP$2,FECHA_COMB,"&lt;="&amp;BP$3,CLAVE_COMB,$A338)+SUMIFS(SALIDAS_DES,FECHA_DESGLOSEN,"&gt;="&amp;BP$2,FECHA_DESGLOSEN,"&lt;="&amp;BP$3,CLAVE_DESGLOSE,$A338)</f>
        <v>0</v>
      </c>
      <c r="BQ338" s="162">
        <f>SUMIFS(SALIDAS_BIT,FECHA_BIT,"&gt;="&amp;BQ$2,FECHA_BIT,"&lt;="&amp;BQ$3,CLAVE_BIT,$A338)+SUMIFS(SALIDAS_BOV1,FECHA_BOV1,"&gt;="&amp;BQ$2,FECHA_BOV1,"&lt;="&amp;BQ$3,CLAVE_BOV1,$A338)+SUMIFS(SALIDAS_BOV2,FECHA_BOV2,"&gt;="&amp;BQ$2,FECHA_BOV2,"&lt;="&amp;BQ$3,CLAVE_BOV2,$A338)+SUMIFS(SALIDAS_BOV3,FECHA_BOV3,"&gt;="&amp;BQ$2,FECHA_BOV3,"&lt;="&amp;BQ$3,CLAVE_BOV3,$A338)+SUMIFS(SALIDAS_TC,FECHA_TC,"&gt;="&amp;BQ$2,FECHA_TC,"&lt;="&amp;BQ$3,CLAVE_TC,$A338)+SUMIFS(SALIDAS_COMB,FECHA_COMB,"&gt;="&amp;BQ$2,FECHA_COMB,"&lt;="&amp;BQ$3,CLAVE_COMB,$A338)+SUMIFS(SALIDAS_DES,FECHA_DESGLOSEN,"&gt;="&amp;BQ$2,FECHA_DESGLOSEN,"&lt;="&amp;BQ$3,CLAVE_DESGLOSE,$A338)</f>
        <v>0</v>
      </c>
      <c r="BR338" s="162">
        <f>SUMIFS(SALIDAS_BIT,FECHA_BIT,"&gt;="&amp;BR$2,FECHA_BIT,"&lt;="&amp;BR$3,CLAVE_BIT,$A338)+SUMIFS(SALIDAS_BOV1,FECHA_BOV1,"&gt;="&amp;BR$2,FECHA_BOV1,"&lt;="&amp;BR$3,CLAVE_BOV1,$A338)+SUMIFS(SALIDAS_BOV2,FECHA_BOV2,"&gt;="&amp;BR$2,FECHA_BOV2,"&lt;="&amp;BR$3,CLAVE_BOV2,$A338)+SUMIFS(SALIDAS_BOV3,FECHA_BOV3,"&gt;="&amp;BR$2,FECHA_BOV3,"&lt;="&amp;BR$3,CLAVE_BOV3,$A338)+SUMIFS(SALIDAS_TC,FECHA_TC,"&gt;="&amp;BR$2,FECHA_TC,"&lt;="&amp;BR$3,CLAVE_TC,$A338)+SUMIFS(SALIDAS_COMB,FECHA_COMB,"&gt;="&amp;BR$2,FECHA_COMB,"&lt;="&amp;BR$3,CLAVE_COMB,$A338)+SUMIFS(SALIDAS_DES,FECHA_DESGLOSEN,"&gt;="&amp;BR$2,FECHA_DESGLOSEN,"&lt;="&amp;BR$3,CLAVE_DESGLOSE,$A338)</f>
        <v>0</v>
      </c>
      <c r="BS338" s="227">
        <f>BL338-BR338</f>
        <v>0</v>
      </c>
      <c r="BT338" s="301">
        <f>IFERROR((BR338/BL338),0)</f>
        <v>0</v>
      </c>
      <c r="BU338" s="162">
        <f>VLOOKUP($A338,T_PRESUPUESTO,MATCH(BU$6,E_PRESUPUESTO,0),FALSE)</f>
        <v>0</v>
      </c>
      <c r="BV338" s="162">
        <f>SUMIFS(SALIDAS_BIT,FECHA_BIT,"&gt;="&amp;BV$2,FECHA_BIT,"&lt;="&amp;BV$3,CLAVE_BIT,$A338)+SUMIFS(SALIDAS_BOV1,FECHA_BOV1,"&gt;="&amp;BV$2,FECHA_BOV1,"&lt;="&amp;BV$3,CLAVE_BOV1,$A338)+SUMIFS(SALIDAS_BOV2,FECHA_BOV2,"&gt;="&amp;BV$2,FECHA_BOV2,"&lt;="&amp;BV$3,CLAVE_BOV2,$A338)+SUMIFS(SALIDAS_BOV3,FECHA_BOV3,"&gt;="&amp;BV$2,FECHA_BOV3,"&lt;="&amp;BV$3,CLAVE_BOV3,$A338)+SUMIFS(SALIDAS_TC,FECHA_TC,"&gt;="&amp;BV$2,FECHA_TC,"&lt;="&amp;BV$3,CLAVE_TC,$A338)+SUMIFS(SALIDAS_COMB,FECHA_COMB,"&gt;="&amp;BV$2,FECHA_COMB,"&lt;="&amp;BV$3,CLAVE_COMB,$A338)+SUMIFS(SALIDAS_DES,FECHA_DESGLOSEN,"&gt;="&amp;BV$2,FECHA_DESGLOSEN,"&lt;="&amp;BV$3,CLAVE_DESGLOSE,$A338)</f>
        <v>0</v>
      </c>
      <c r="BW338" s="162">
        <f>SUMIFS(SALIDAS_BIT,FECHA_BIT,"&gt;="&amp;BW$2,FECHA_BIT,"&lt;="&amp;BW$3,CLAVE_BIT,$A338)+SUMIFS(SALIDAS_BOV1,FECHA_BOV1,"&gt;="&amp;BW$2,FECHA_BOV1,"&lt;="&amp;BW$3,CLAVE_BOV1,$A338)+SUMIFS(SALIDAS_BOV2,FECHA_BOV2,"&gt;="&amp;BW$2,FECHA_BOV2,"&lt;="&amp;BW$3,CLAVE_BOV2,$A338)+SUMIFS(SALIDAS_BOV3,FECHA_BOV3,"&gt;="&amp;BW$2,FECHA_BOV3,"&lt;="&amp;BW$3,CLAVE_BOV3,$A338)+SUMIFS(SALIDAS_TC,FECHA_TC,"&gt;="&amp;BW$2,FECHA_TC,"&lt;="&amp;BW$3,CLAVE_TC,$A338)+SUMIFS(SALIDAS_COMB,FECHA_COMB,"&gt;="&amp;BW$2,FECHA_COMB,"&lt;="&amp;BW$3,CLAVE_COMB,$A338)+SUMIFS(SALIDAS_DES,FECHA_DESGLOSEN,"&gt;="&amp;BW$2,FECHA_DESGLOSEN,"&lt;="&amp;BW$3,CLAVE_DESGLOSE,$A338)</f>
        <v>0</v>
      </c>
      <c r="BX338" s="162">
        <f>SUMIFS(SALIDAS_BIT,FECHA_BIT,"&gt;="&amp;BX$2,FECHA_BIT,"&lt;="&amp;BX$3,CLAVE_BIT,$A338)+SUMIFS(SALIDAS_BOV1,FECHA_BOV1,"&gt;="&amp;BX$2,FECHA_BOV1,"&lt;="&amp;BX$3,CLAVE_BOV1,$A338)+SUMIFS(SALIDAS_BOV2,FECHA_BOV2,"&gt;="&amp;BX$2,FECHA_BOV2,"&lt;="&amp;BX$3,CLAVE_BOV2,$A338)+SUMIFS(SALIDAS_BOV3,FECHA_BOV3,"&gt;="&amp;BX$2,FECHA_BOV3,"&lt;="&amp;BX$3,CLAVE_BOV3,$A338)+SUMIFS(SALIDAS_TC,FECHA_TC,"&gt;="&amp;BX$2,FECHA_TC,"&lt;="&amp;BX$3,CLAVE_TC,$A338)+SUMIFS(SALIDAS_COMB,FECHA_COMB,"&gt;="&amp;BX$2,FECHA_COMB,"&lt;="&amp;BX$3,CLAVE_COMB,$A338)+SUMIFS(SALIDAS_DES,FECHA_DESGLOSEN,"&gt;="&amp;BX$2,FECHA_DESGLOSEN,"&lt;="&amp;BX$3,CLAVE_DESGLOSE,$A338)</f>
        <v>0</v>
      </c>
      <c r="BY338" s="162">
        <f>SUMIFS(SALIDAS_BIT,FECHA_BIT,"&gt;="&amp;BY$2,FECHA_BIT,"&lt;="&amp;BY$3,CLAVE_BIT,$A338)+SUMIFS(SALIDAS_BOV1,FECHA_BOV1,"&gt;="&amp;BY$2,FECHA_BOV1,"&lt;="&amp;BY$3,CLAVE_BOV1,$A338)+SUMIFS(SALIDAS_BOV2,FECHA_BOV2,"&gt;="&amp;BY$2,FECHA_BOV2,"&lt;="&amp;BY$3,CLAVE_BOV2,$A338)+SUMIFS(SALIDAS_BOV3,FECHA_BOV3,"&gt;="&amp;BY$2,FECHA_BOV3,"&lt;="&amp;BY$3,CLAVE_BOV3,$A338)+SUMIFS(SALIDAS_TC,FECHA_TC,"&gt;="&amp;BY$2,FECHA_TC,"&lt;="&amp;BY$3,CLAVE_TC,$A338)+SUMIFS(SALIDAS_COMB,FECHA_COMB,"&gt;="&amp;BY$2,FECHA_COMB,"&lt;="&amp;BY$3,CLAVE_COMB,$A338)+SUMIFS(SALIDAS_DES,FECHA_DESGLOSEN,"&gt;="&amp;BY$2,FECHA_DESGLOSEN,"&lt;="&amp;BY$3,CLAVE_DESGLOSE,$A338)</f>
        <v>0</v>
      </c>
      <c r="BZ338" s="162">
        <f>SUMIFS(SALIDAS_BIT,FECHA_BIT,"&gt;="&amp;BZ$2,FECHA_BIT,"&lt;="&amp;BZ$3,CLAVE_BIT,$A338)+SUMIFS(SALIDAS_BOV1,FECHA_BOV1,"&gt;="&amp;BZ$2,FECHA_BOV1,"&lt;="&amp;BZ$3,CLAVE_BOV1,$A338)+SUMIFS(SALIDAS_BOV2,FECHA_BOV2,"&gt;="&amp;BZ$2,FECHA_BOV2,"&lt;="&amp;BZ$3,CLAVE_BOV2,$A338)+SUMIFS(SALIDAS_BOV3,FECHA_BOV3,"&gt;="&amp;BZ$2,FECHA_BOV3,"&lt;="&amp;BZ$3,CLAVE_BOV3,$A338)+SUMIFS(SALIDAS_TC,FECHA_TC,"&gt;="&amp;BZ$2,FECHA_TC,"&lt;="&amp;BZ$3,CLAVE_TC,$A338)+SUMIFS(SALIDAS_COMB,FECHA_COMB,"&gt;="&amp;BZ$2,FECHA_COMB,"&lt;="&amp;BZ$3,CLAVE_COMB,$A338)+SUMIFS(SALIDAS_DES,FECHA_DESGLOSEN,"&gt;="&amp;BZ$2,FECHA_DESGLOSEN,"&lt;="&amp;BZ$3,CLAVE_DESGLOSE,$A338)</f>
        <v>0</v>
      </c>
      <c r="CA338" s="227">
        <f>BU338-BZ338</f>
        <v>0</v>
      </c>
      <c r="CB338" s="301">
        <f>IFERROR((BZ338/BU338),0)</f>
        <v>0</v>
      </c>
      <c r="CC338" s="162">
        <f>VLOOKUP($A338,T_PRESUPUESTO,MATCH(CC$6,E_PRESUPUESTO,0),FALSE)</f>
        <v>0</v>
      </c>
      <c r="CD338" s="162">
        <f>SUMIFS(SALIDAS_BIT,FECHA_BIT,"&gt;="&amp;CD$2,FECHA_BIT,"&lt;="&amp;CD$3,CLAVE_BIT,$A338)+SUMIFS(SALIDAS_BOV1,FECHA_BOV1,"&gt;="&amp;CD$2,FECHA_BOV1,"&lt;="&amp;CD$3,CLAVE_BOV1,$A338)+SUMIFS(SALIDAS_BOV2,FECHA_BOV2,"&gt;="&amp;CD$2,FECHA_BOV2,"&lt;="&amp;CD$3,CLAVE_BOV2,$A338)+SUMIFS(SALIDAS_BOV3,FECHA_BOV3,"&gt;="&amp;CD$2,FECHA_BOV3,"&lt;="&amp;CD$3,CLAVE_BOV3,$A338)+SUMIFS(SALIDAS_TC,FECHA_TC,"&gt;="&amp;CD$2,FECHA_TC,"&lt;="&amp;CD$3,CLAVE_TC,$A338)+SUMIFS(SALIDAS_COMB,FECHA_COMB,"&gt;="&amp;CD$2,FECHA_COMB,"&lt;="&amp;CD$3,CLAVE_COMB,$A338)+SUMIFS(SALIDAS_DES,FECHA_DESGLOSEN,"&gt;="&amp;CD$2,FECHA_DESGLOSEN,"&lt;="&amp;CD$3,CLAVE_DESGLOSE,$A338)</f>
        <v>0</v>
      </c>
      <c r="CE338" s="162">
        <f>SUMIFS(SALIDAS_BIT,FECHA_BIT,"&gt;="&amp;CE$2,FECHA_BIT,"&lt;="&amp;CE$3,CLAVE_BIT,$A338)+SUMIFS(SALIDAS_BOV1,FECHA_BOV1,"&gt;="&amp;CE$2,FECHA_BOV1,"&lt;="&amp;CE$3,CLAVE_BOV1,$A338)+SUMIFS(SALIDAS_BOV2,FECHA_BOV2,"&gt;="&amp;CE$2,FECHA_BOV2,"&lt;="&amp;CE$3,CLAVE_BOV2,$A338)+SUMIFS(SALIDAS_BOV3,FECHA_BOV3,"&gt;="&amp;CE$2,FECHA_BOV3,"&lt;="&amp;CE$3,CLAVE_BOV3,$A338)+SUMIFS(SALIDAS_TC,FECHA_TC,"&gt;="&amp;CE$2,FECHA_TC,"&lt;="&amp;CE$3,CLAVE_TC,$A338)+SUMIFS(SALIDAS_COMB,FECHA_COMB,"&gt;="&amp;CE$2,FECHA_COMB,"&lt;="&amp;CE$3,CLAVE_COMB,$A338)+SUMIFS(SALIDAS_DES,FECHA_DESGLOSEN,"&gt;="&amp;CE$2,FECHA_DESGLOSEN,"&lt;="&amp;CE$3,CLAVE_DESGLOSE,$A338)</f>
        <v>820</v>
      </c>
      <c r="CF338" s="162">
        <f>SUMIFS(SALIDAS_BIT,FECHA_BIT,"&gt;="&amp;CF$2,FECHA_BIT,"&lt;="&amp;CF$3,CLAVE_BIT,$A338)+SUMIFS(SALIDAS_BOV1,FECHA_BOV1,"&gt;="&amp;CF$2,FECHA_BOV1,"&lt;="&amp;CF$3,CLAVE_BOV1,$A338)+SUMIFS(SALIDAS_BOV2,FECHA_BOV2,"&gt;="&amp;CF$2,FECHA_BOV2,"&lt;="&amp;CF$3,CLAVE_BOV2,$A338)+SUMIFS(SALIDAS_BOV3,FECHA_BOV3,"&gt;="&amp;CF$2,FECHA_BOV3,"&lt;="&amp;CF$3,CLAVE_BOV3,$A338)+SUMIFS(SALIDAS_TC,FECHA_TC,"&gt;="&amp;CF$2,FECHA_TC,"&lt;="&amp;CF$3,CLAVE_TC,$A338)+SUMIFS(SALIDAS_COMB,FECHA_COMB,"&gt;="&amp;CF$2,FECHA_COMB,"&lt;="&amp;CF$3,CLAVE_COMB,$A338)+SUMIFS(SALIDAS_DES,FECHA_DESGLOSEN,"&gt;="&amp;CF$2,FECHA_DESGLOSEN,"&lt;="&amp;CF$3,CLAVE_DESGLOSE,$A338)</f>
        <v>527</v>
      </c>
      <c r="CG338" s="162">
        <f>SUMIFS(SALIDAS_BIT,FECHA_BIT,"&gt;="&amp;CG$2,FECHA_BIT,"&lt;="&amp;CG$3,CLAVE_BIT,$A338)+SUMIFS(SALIDAS_BOV1,FECHA_BOV1,"&gt;="&amp;CG$2,FECHA_BOV1,"&lt;="&amp;CG$3,CLAVE_BOV1,$A338)+SUMIFS(SALIDAS_BOV2,FECHA_BOV2,"&gt;="&amp;CG$2,FECHA_BOV2,"&lt;="&amp;CG$3,CLAVE_BOV2,$A338)+SUMIFS(SALIDAS_BOV3,FECHA_BOV3,"&gt;="&amp;CG$2,FECHA_BOV3,"&lt;="&amp;CG$3,CLAVE_BOV3,$A338)+SUMIFS(SALIDAS_TC,FECHA_TC,"&gt;="&amp;CG$2,FECHA_TC,"&lt;="&amp;CG$3,CLAVE_TC,$A338)+SUMIFS(SALIDAS_COMB,FECHA_COMB,"&gt;="&amp;CG$2,FECHA_COMB,"&lt;="&amp;CG$3,CLAVE_COMB,$A338)+SUMIFS(SALIDAS_DES,FECHA_DESGLOSEN,"&gt;="&amp;CG$2,FECHA_DESGLOSEN,"&lt;="&amp;CG$3,CLAVE_DESGLOSE,$A338)</f>
        <v>0</v>
      </c>
      <c r="CH338" s="162">
        <f>SUMIFS(SALIDAS_BIT,FECHA_BIT,"&gt;="&amp;CH$2,FECHA_BIT,"&lt;="&amp;CH$3,CLAVE_BIT,$A338)+SUMIFS(SALIDAS_BOV1,FECHA_BOV1,"&gt;="&amp;CH$2,FECHA_BOV1,"&lt;="&amp;CH$3,CLAVE_BOV1,$A338)+SUMIFS(SALIDAS_BOV2,FECHA_BOV2,"&gt;="&amp;CH$2,FECHA_BOV2,"&lt;="&amp;CH$3,CLAVE_BOV2,$A338)+SUMIFS(SALIDAS_BOV3,FECHA_BOV3,"&gt;="&amp;CH$2,FECHA_BOV3,"&lt;="&amp;CH$3,CLAVE_BOV3,$A338)+SUMIFS(SALIDAS_TC,FECHA_TC,"&gt;="&amp;CH$2,FECHA_TC,"&lt;="&amp;CH$3,CLAVE_TC,$A338)+SUMIFS(SALIDAS_COMB,FECHA_COMB,"&gt;="&amp;CH$2,FECHA_COMB,"&lt;="&amp;CH$3,CLAVE_COMB,$A338)+SUMIFS(SALIDAS_DES,FECHA_DESGLOSEN,"&gt;="&amp;CH$2,FECHA_DESGLOSEN,"&lt;="&amp;CH$3,CLAVE_DESGLOSE,$A338)</f>
        <v>1347</v>
      </c>
      <c r="CI338" s="227">
        <f>CC338-CH338</f>
        <v>-1347</v>
      </c>
      <c r="CJ338" s="301">
        <f>IFERROR((CH338/CC338),0)</f>
        <v>0</v>
      </c>
      <c r="CK338" s="162">
        <f>VLOOKUP($A338,T_PRESUPUESTO,MATCH(CK$6,E_PRESUPUESTO,0),FALSE)</f>
        <v>0</v>
      </c>
      <c r="CL338" s="162">
        <f>SUMIFS(SALIDAS_BIT,FECHA_BIT,"&gt;="&amp;CL$2,FECHA_BIT,"&lt;="&amp;CL$3,CLAVE_BIT,$A338)+SUMIFS(SALIDAS_BOV1,FECHA_BOV1,"&gt;="&amp;CL$2,FECHA_BOV1,"&lt;="&amp;CL$3,CLAVE_BOV1,$A338)+SUMIFS(SALIDAS_BOV2,FECHA_BOV2,"&gt;="&amp;CL$2,FECHA_BOV2,"&lt;="&amp;CL$3,CLAVE_BOV2,$A338)+SUMIFS(SALIDAS_BOV3,FECHA_BOV3,"&gt;="&amp;CL$2,FECHA_BOV3,"&lt;="&amp;CL$3,CLAVE_BOV3,$A338)+SUMIFS(SALIDAS_TC,FECHA_TC,"&gt;="&amp;CL$2,FECHA_TC,"&lt;="&amp;CL$3,CLAVE_TC,$A338)+SUMIFS(SALIDAS_COMB,FECHA_COMB,"&gt;="&amp;CL$2,FECHA_COMB,"&lt;="&amp;CL$3,CLAVE_COMB,$A338)+SUMIFS(SALIDAS_DES,FECHA_DESGLOSEN,"&gt;="&amp;CL$2,FECHA_DESGLOSEN,"&lt;="&amp;CL$3,CLAVE_DESGLOSE,$A338)</f>
        <v>4776</v>
      </c>
      <c r="CM338" s="162">
        <f>SUMIFS(SALIDAS_BIT,FECHA_BIT,"&gt;="&amp;CM$2,FECHA_BIT,"&lt;="&amp;CM$3,CLAVE_BIT,$A338)+SUMIFS(SALIDAS_BOV1,FECHA_BOV1,"&gt;="&amp;CM$2,FECHA_BOV1,"&lt;="&amp;CM$3,CLAVE_BOV1,$A338)+SUMIFS(SALIDAS_BOV2,FECHA_BOV2,"&gt;="&amp;CM$2,FECHA_BOV2,"&lt;="&amp;CM$3,CLAVE_BOV2,$A338)+SUMIFS(SALIDAS_BOV3,FECHA_BOV3,"&gt;="&amp;CM$2,FECHA_BOV3,"&lt;="&amp;CM$3,CLAVE_BOV3,$A338)+SUMIFS(SALIDAS_TC,FECHA_TC,"&gt;="&amp;CM$2,FECHA_TC,"&lt;="&amp;CM$3,CLAVE_TC,$A338)+SUMIFS(SALIDAS_COMB,FECHA_COMB,"&gt;="&amp;CM$2,FECHA_COMB,"&lt;="&amp;CM$3,CLAVE_COMB,$A338)+SUMIFS(SALIDAS_DES,FECHA_DESGLOSEN,"&gt;="&amp;CM$2,FECHA_DESGLOSEN,"&lt;="&amp;CM$3,CLAVE_DESGLOSE,$A338)</f>
        <v>235</v>
      </c>
      <c r="CN338" s="162">
        <f>SUMIFS(SALIDAS_BIT,FECHA_BIT,"&gt;="&amp;CN$2,FECHA_BIT,"&lt;="&amp;CN$3,CLAVE_BIT,$A338)+SUMIFS(SALIDAS_BOV1,FECHA_BOV1,"&gt;="&amp;CN$2,FECHA_BOV1,"&lt;="&amp;CN$3,CLAVE_BOV1,$A338)+SUMIFS(SALIDAS_BOV2,FECHA_BOV2,"&gt;="&amp;CN$2,FECHA_BOV2,"&lt;="&amp;CN$3,CLAVE_BOV2,$A338)+SUMIFS(SALIDAS_BOV3,FECHA_BOV3,"&gt;="&amp;CN$2,FECHA_BOV3,"&lt;="&amp;CN$3,CLAVE_BOV3,$A338)+SUMIFS(SALIDAS_TC,FECHA_TC,"&gt;="&amp;CN$2,FECHA_TC,"&lt;="&amp;CN$3,CLAVE_TC,$A338)+SUMIFS(SALIDAS_COMB,FECHA_COMB,"&gt;="&amp;CN$2,FECHA_COMB,"&lt;="&amp;CN$3,CLAVE_COMB,$A338)+SUMIFS(SALIDAS_DES,FECHA_DESGLOSEN,"&gt;="&amp;CN$2,FECHA_DESGLOSEN,"&lt;="&amp;CN$3,CLAVE_DESGLOSE,$A338)</f>
        <v>0</v>
      </c>
      <c r="CO338" s="162">
        <f>SUMIFS(SALIDAS_BIT,FECHA_BIT,"&gt;="&amp;CO$2,FECHA_BIT,"&lt;="&amp;CO$3,CLAVE_BIT,$A338)+SUMIFS(SALIDAS_BOV1,FECHA_BOV1,"&gt;="&amp;CO$2,FECHA_BOV1,"&lt;="&amp;CO$3,CLAVE_BOV1,$A338)+SUMIFS(SALIDAS_BOV2,FECHA_BOV2,"&gt;="&amp;CO$2,FECHA_BOV2,"&lt;="&amp;CO$3,CLAVE_BOV2,$A338)+SUMIFS(SALIDAS_BOV3,FECHA_BOV3,"&gt;="&amp;CO$2,FECHA_BOV3,"&lt;="&amp;CO$3,CLAVE_BOV3,$A338)+SUMIFS(SALIDAS_TC,FECHA_TC,"&gt;="&amp;CO$2,FECHA_TC,"&lt;="&amp;CO$3,CLAVE_TC,$A338)+SUMIFS(SALIDAS_COMB,FECHA_COMB,"&gt;="&amp;CO$2,FECHA_COMB,"&lt;="&amp;CO$3,CLAVE_COMB,$A338)+SUMIFS(SALIDAS_DES,FECHA_DESGLOSEN,"&gt;="&amp;CO$2,FECHA_DESGLOSEN,"&lt;="&amp;CO$3,CLAVE_DESGLOSE,$A338)</f>
        <v>250</v>
      </c>
      <c r="CP338" s="162">
        <f>SUMIFS(SALIDAS_BIT,FECHA_BIT,"&gt;="&amp;CP$2,FECHA_BIT,"&lt;="&amp;CP$3,CLAVE_BIT,$A338)+SUMIFS(SALIDAS_BOV1,FECHA_BOV1,"&gt;="&amp;CP$2,FECHA_BOV1,"&lt;="&amp;CP$3,CLAVE_BOV1,$A338)+SUMIFS(SALIDAS_BOV2,FECHA_BOV2,"&gt;="&amp;CP$2,FECHA_BOV2,"&lt;="&amp;CP$3,CLAVE_BOV2,$A338)+SUMIFS(SALIDAS_BOV3,FECHA_BOV3,"&gt;="&amp;CP$2,FECHA_BOV3,"&lt;="&amp;CP$3,CLAVE_BOV3,$A338)+SUMIFS(SALIDAS_TC,FECHA_TC,"&gt;="&amp;CP$2,FECHA_TC,"&lt;="&amp;CP$3,CLAVE_TC,$A338)+SUMIFS(SALIDAS_COMB,FECHA_COMB,"&gt;="&amp;CP$2,FECHA_COMB,"&lt;="&amp;CP$3,CLAVE_COMB,$A338)+SUMIFS(SALIDAS_DES,FECHA_DESGLOSEN,"&gt;="&amp;CP$2,FECHA_DESGLOSEN,"&lt;="&amp;CP$3,CLAVE_DESGLOSE,$A338)</f>
        <v>0</v>
      </c>
      <c r="CQ338" s="162">
        <f>SUMIFS(SALIDAS_BIT,FECHA_BIT,"&gt;="&amp;CQ$2,FECHA_BIT,"&lt;="&amp;CQ$3,CLAVE_BIT,$A338)+SUMIFS(SALIDAS_BOV1,FECHA_BOV1,"&gt;="&amp;CQ$2,FECHA_BOV1,"&lt;="&amp;CQ$3,CLAVE_BOV1,$A338)+SUMIFS(SALIDAS_BOV2,FECHA_BOV2,"&gt;="&amp;CQ$2,FECHA_BOV2,"&lt;="&amp;CQ$3,CLAVE_BOV2,$A338)+SUMIFS(SALIDAS_BOV3,FECHA_BOV3,"&gt;="&amp;CQ$2,FECHA_BOV3,"&lt;="&amp;CQ$3,CLAVE_BOV3,$A338)+SUMIFS(SALIDAS_TC,FECHA_TC,"&gt;="&amp;CQ$2,FECHA_TC,"&lt;="&amp;CQ$3,CLAVE_TC,$A338)+SUMIFS(SALIDAS_COMB,FECHA_COMB,"&gt;="&amp;CQ$2,FECHA_COMB,"&lt;="&amp;CQ$3,CLAVE_COMB,$A338)+SUMIFS(SALIDAS_DES,FECHA_DESGLOSEN,"&gt;="&amp;CQ$2,FECHA_DESGLOSEN,"&lt;="&amp;CQ$3,CLAVE_DESGLOSE,$A338)</f>
        <v>5261</v>
      </c>
      <c r="CR338" s="227">
        <f>CK338-CQ338</f>
        <v>-5261</v>
      </c>
      <c r="CS338" s="301">
        <f>IFERROR((CQ338/CK338),0)</f>
        <v>0</v>
      </c>
      <c r="CT338" s="68">
        <f t="shared" si="712"/>
        <v>1500</v>
      </c>
      <c r="CU338" s="13">
        <f>SUMIFS(SALIDAS_BIT,FECHA_BIT,"&gt;="&amp;CU$2,FECHA_BIT,"&lt;="&amp;CU$3,CLAVE_BIT,$A338)+SUMIFS(SALIDAS_BOV1,FECHA_BOV1,"&gt;="&amp;CU$2,FECHA_BOV1,"&lt;="&amp;CU$3,CLAVE_BOV1,$A338)+SUMIFS(SALIDAS_BOV2,FECHA_BOV2,"&gt;="&amp;CU$2,FECHA_BOV2,"&lt;="&amp;CU$3,CLAVE_BOV2,$A338)+SUMIFS(SALIDAS_BOV3,FECHA_BOV3,"&gt;="&amp;CU$2,FECHA_BOV3,"&lt;="&amp;CU$3,CLAVE_BOV3,$A338)+SUMIFS(SALIDAS_TC,FECHA_TC,"&gt;="&amp;CU$2,FECHA_TC,"&lt;="&amp;CU$3,CLAVE_TC,$A338)+SUMIFS(SALIDAS_COMB,FECHA_COMB,"&gt;="&amp;CU$2,FECHA_COMB,"&lt;="&amp;CU$3,CLAVE_COMB,$A338)+SUMIFS(SALIDAS_DES,FECHA_DESGLOSEN,"&gt;="&amp;CU$2,FECHA_DESGLOSEN,"&lt;="&amp;CU$3,CLAVE_DESGLOSE,$A338)</f>
        <v>0</v>
      </c>
      <c r="CV338" s="13">
        <f>SUMIFS(SALIDAS_BIT,FECHA_BIT,"&gt;="&amp;CV$2,FECHA_BIT,"&lt;="&amp;CV$3,CLAVE_BIT,$A338)+SUMIFS(SALIDAS_BOV1,FECHA_BOV1,"&gt;="&amp;CV$2,FECHA_BOV1,"&lt;="&amp;CV$3,CLAVE_BOV1,$A338)+SUMIFS(SALIDAS_BOV2,FECHA_BOV2,"&gt;="&amp;CV$2,FECHA_BOV2,"&lt;="&amp;CV$3,CLAVE_BOV2,$A338)+SUMIFS(SALIDAS_BOV3,FECHA_BOV3,"&gt;="&amp;CV$2,FECHA_BOV3,"&lt;="&amp;CV$3,CLAVE_BOV3,$A338)+SUMIFS(SALIDAS_TC,FECHA_TC,"&gt;="&amp;CV$2,FECHA_TC,"&lt;="&amp;CV$3,CLAVE_TC,$A338)+SUMIFS(SALIDAS_COMB,FECHA_COMB,"&gt;="&amp;CV$2,FECHA_COMB,"&lt;="&amp;CV$3,CLAVE_COMB,$A338)+SUMIFS(SALIDAS_DES,FECHA_DESGLOSEN,"&gt;="&amp;CV$2,FECHA_DESGLOSEN,"&lt;="&amp;CV$3,CLAVE_DESGLOSE,$A338)</f>
        <v>0</v>
      </c>
      <c r="CW338" s="13">
        <f>SUMIFS(SALIDAS_BIT,FECHA_BIT,"&gt;="&amp;CW$2,FECHA_BIT,"&lt;="&amp;CW$3,CLAVE_BIT,$A338)+SUMIFS(SALIDAS_BOV1,FECHA_BOV1,"&gt;="&amp;CW$2,FECHA_BOV1,"&lt;="&amp;CW$3,CLAVE_BOV1,$A338)+SUMIFS(SALIDAS_BOV2,FECHA_BOV2,"&gt;="&amp;CW$2,FECHA_BOV2,"&lt;="&amp;CW$3,CLAVE_BOV2,$A338)+SUMIFS(SALIDAS_BOV3,FECHA_BOV3,"&gt;="&amp;CW$2,FECHA_BOV3,"&lt;="&amp;CW$3,CLAVE_BOV3,$A338)+SUMIFS(SALIDAS_TC,FECHA_TC,"&gt;="&amp;CW$2,FECHA_TC,"&lt;="&amp;CW$3,CLAVE_TC,$A338)+SUMIFS(SALIDAS_COMB,FECHA_COMB,"&gt;="&amp;CW$2,FECHA_COMB,"&lt;="&amp;CW$3,CLAVE_COMB,$A338)+SUMIFS(SALIDAS_DES,FECHA_DESGLOSEN,"&gt;="&amp;CW$2,FECHA_DESGLOSEN,"&lt;="&amp;CW$3,CLAVE_DESGLOSE,$A338)</f>
        <v>858</v>
      </c>
      <c r="CX338" s="13">
        <f>SUMIFS(SALIDAS_BIT,FECHA_BIT,"&gt;="&amp;CX$2,FECHA_BIT,"&lt;="&amp;CX$3,CLAVE_BIT,$A338)+SUMIFS(SALIDAS_BOV1,FECHA_BOV1,"&gt;="&amp;CX$2,FECHA_BOV1,"&lt;="&amp;CX$3,CLAVE_BOV1,$A338)+SUMIFS(SALIDAS_BOV2,FECHA_BOV2,"&gt;="&amp;CX$2,FECHA_BOV2,"&lt;="&amp;CX$3,CLAVE_BOV2,$A338)+SUMIFS(SALIDAS_BOV3,FECHA_BOV3,"&gt;="&amp;CX$2,FECHA_BOV3,"&lt;="&amp;CX$3,CLAVE_BOV3,$A338)+SUMIFS(SALIDAS_TC,FECHA_TC,"&gt;="&amp;CX$2,FECHA_TC,"&lt;="&amp;CX$3,CLAVE_TC,$A338)+SUMIFS(SALIDAS_COMB,FECHA_COMB,"&gt;="&amp;CX$2,FECHA_COMB,"&lt;="&amp;CX$3,CLAVE_COMB,$A338)+SUMIFS(SALIDAS_DES,FECHA_DESGLOSEN,"&gt;="&amp;CX$2,FECHA_DESGLOSEN,"&lt;="&amp;CX$3,CLAVE_DESGLOSE,$A338)</f>
        <v>0</v>
      </c>
      <c r="CY338" s="13">
        <f>SUMIFS(SALIDAS_BIT,FECHA_BIT,"&gt;="&amp;CY$2,FECHA_BIT,"&lt;="&amp;CY$3,CLAVE_BIT,$A338)+SUMIFS(SALIDAS_BOV1,FECHA_BOV1,"&gt;="&amp;CY$2,FECHA_BOV1,"&lt;="&amp;CY$3,CLAVE_BOV1,$A338)+SUMIFS(SALIDAS_BOV2,FECHA_BOV2,"&gt;="&amp;CY$2,FECHA_BOV2,"&lt;="&amp;CY$3,CLAVE_BOV2,$A338)+SUMIFS(SALIDAS_BOV3,FECHA_BOV3,"&gt;="&amp;CY$2,FECHA_BOV3,"&lt;="&amp;CY$3,CLAVE_BOV3,$A338)+SUMIFS(SALIDAS_TC,FECHA_TC,"&gt;="&amp;CY$2,FECHA_TC,"&lt;="&amp;CY$3,CLAVE_TC,$A338)+SUMIFS(SALIDAS_COMB,FECHA_COMB,"&gt;="&amp;CY$2,FECHA_COMB,"&lt;="&amp;CY$3,CLAVE_COMB,$A338)+SUMIFS(SALIDAS_DES,FECHA_DESGLOSEN,"&gt;="&amp;CY$2,FECHA_DESGLOSEN,"&lt;="&amp;CY$3,CLAVE_DESGLOSE,$A338)</f>
        <v>858</v>
      </c>
      <c r="CZ338" s="68">
        <f t="shared" si="713"/>
        <v>642</v>
      </c>
      <c r="DB338" s="17">
        <f>F338+N338+W338+AE338+AM338+AV338+BD338+BL338+BU338+CC338+CK338</f>
        <v>0</v>
      </c>
      <c r="DC338" s="17">
        <f>K338+T338+AB338+AJ338+AS338+BA338+BI338+BR338+BZ338+CH338+CQ338</f>
        <v>6608</v>
      </c>
    </row>
    <row r="339" spans="1:107" ht="15" hidden="1">
      <c r="A339" s="12" t="str">
        <f>C339&amp;D339&amp;E339</f>
        <v>SERVICIOSVIATICOSASESORES</v>
      </c>
      <c r="B339">
        <v>339</v>
      </c>
      <c r="C339" t="s">
        <v>21</v>
      </c>
      <c r="D339" t="s">
        <v>191</v>
      </c>
      <c r="E339" t="s">
        <v>192</v>
      </c>
      <c r="F339" s="260">
        <f>VLOOKUP($A339,T_PRESUPUESTO,MATCH(F$6,E_PRESUPUESTO,0),FALSE)</f>
        <v>0</v>
      </c>
      <c r="G339" s="162">
        <f>SUMIFS(SALIDAS_BIT,FECHA_BIT,"&gt;="&amp;G$2,FECHA_BIT,"&lt;="&amp;G$3,CLAVE_BIT,$A339)+SUMIFS(SALIDAS_BOV1,FECHA_BOV1,"&gt;="&amp;G$2,FECHA_BOV1,"&lt;="&amp;G$3,CLAVE_BOV1,$A339)+SUMIFS(SALIDAS_BOV2,FECHA_BOV2,"&gt;="&amp;G$2,FECHA_BOV2,"&lt;="&amp;G$3,CLAVE_BOV2,$A339)+SUMIFS(SALIDAS_BOV3,FECHA_BOV3,"&gt;="&amp;G$2,FECHA_BOV3,"&lt;="&amp;G$3,CLAVE_BOV3,$A339)+SUMIFS(SALIDAS_TC,FECHA_TC,"&gt;="&amp;G$2,FECHA_TC,"&lt;="&amp;G$3,CLAVE_TC,$A339)+SUMIFS(SALIDAS_COMB,FECHA_COMB,"&gt;="&amp;G$2,FECHA_COMB,"&lt;="&amp;G$3,CLAVE_COMB,$A339)+SUMIFS(SALIDAS_DES,FECHA_DESGLOSEN,"&gt;="&amp;G$2,FECHA_DESGLOSEN,"&lt;="&amp;G$3,CLAVE_DESGLOSE,$A339)</f>
        <v>0</v>
      </c>
      <c r="H339" s="162">
        <f>SUMIFS(SALIDAS_BIT,FECHA_BIT,"&gt;="&amp;H$2,FECHA_BIT,"&lt;="&amp;H$3,CLAVE_BIT,$A339)+SUMIFS(SALIDAS_BOV1,FECHA_BOV1,"&gt;="&amp;H$2,FECHA_BOV1,"&lt;="&amp;H$3,CLAVE_BOV1,$A339)+SUMIFS(SALIDAS_BOV2,FECHA_BOV2,"&gt;="&amp;H$2,FECHA_BOV2,"&lt;="&amp;H$3,CLAVE_BOV2,$A339)+SUMIFS(SALIDAS_BOV3,FECHA_BOV3,"&gt;="&amp;H$2,FECHA_BOV3,"&lt;="&amp;H$3,CLAVE_BOV3,$A339)+SUMIFS(SALIDAS_TC,FECHA_TC,"&gt;="&amp;H$2,FECHA_TC,"&lt;="&amp;H$3,CLAVE_TC,$A339)+SUMIFS(SALIDAS_COMB,FECHA_COMB,"&gt;="&amp;H$2,FECHA_COMB,"&lt;="&amp;H$3,CLAVE_COMB,$A339)+SUMIFS(SALIDAS_DES,FECHA_DESGLOSEN,"&gt;="&amp;H$2,FECHA_DESGLOSEN,"&lt;="&amp;H$3,CLAVE_DESGLOSE,$A339)</f>
        <v>0</v>
      </c>
      <c r="I339" s="162">
        <f>SUMIFS(SALIDAS_BIT,FECHA_BIT,"&gt;="&amp;I$2,FECHA_BIT,"&lt;="&amp;I$3,CLAVE_BIT,$A339)+SUMIFS(SALIDAS_BOV1,FECHA_BOV1,"&gt;="&amp;I$2,FECHA_BOV1,"&lt;="&amp;I$3,CLAVE_BOV1,$A339)+SUMIFS(SALIDAS_BOV2,FECHA_BOV2,"&gt;="&amp;I$2,FECHA_BOV2,"&lt;="&amp;I$3,CLAVE_BOV2,$A339)+SUMIFS(SALIDAS_BOV3,FECHA_BOV3,"&gt;="&amp;I$2,FECHA_BOV3,"&lt;="&amp;I$3,CLAVE_BOV3,$A339)+SUMIFS(SALIDAS_TC,FECHA_TC,"&gt;="&amp;I$2,FECHA_TC,"&lt;="&amp;I$3,CLAVE_TC,$A339)+SUMIFS(SALIDAS_COMB,FECHA_COMB,"&gt;="&amp;I$2,FECHA_COMB,"&lt;="&amp;I$3,CLAVE_COMB,$A339)+SUMIFS(SALIDAS_DES,FECHA_DESGLOSEN,"&gt;="&amp;I$2,FECHA_DESGLOSEN,"&lt;="&amp;I$3,CLAVE_DESGLOSE,$A339)</f>
        <v>0</v>
      </c>
      <c r="J339" s="162">
        <f>SUMIFS(SALIDAS_BIT,FECHA_BIT,"&gt;="&amp;J$2,FECHA_BIT,"&lt;="&amp;J$3,CLAVE_BIT,$A339)+SUMIFS(SALIDAS_BOV1,FECHA_BOV1,"&gt;="&amp;J$2,FECHA_BOV1,"&lt;="&amp;J$3,CLAVE_BOV1,$A339)+SUMIFS(SALIDAS_BOV2,FECHA_BOV2,"&gt;="&amp;J$2,FECHA_BOV2,"&lt;="&amp;J$3,CLAVE_BOV2,$A339)+SUMIFS(SALIDAS_BOV3,FECHA_BOV3,"&gt;="&amp;J$2,FECHA_BOV3,"&lt;="&amp;J$3,CLAVE_BOV3,$A339)+SUMIFS(SALIDAS_TC,FECHA_TC,"&gt;="&amp;J$2,FECHA_TC,"&lt;="&amp;J$3,CLAVE_TC,$A339)+SUMIFS(SALIDAS_COMB,FECHA_COMB,"&gt;="&amp;J$2,FECHA_COMB,"&lt;="&amp;J$3,CLAVE_COMB,$A339)+SUMIFS(SALIDAS_DES,FECHA_DESGLOSEN,"&gt;="&amp;J$2,FECHA_DESGLOSEN,"&lt;="&amp;J$3,CLAVE_DESGLOSE,$A339)</f>
        <v>0</v>
      </c>
      <c r="K339" s="162">
        <f>SUMIFS(SALIDAS_BIT,FECHA_BIT,"&gt;="&amp;K$2,FECHA_BIT,"&lt;="&amp;K$3,CLAVE_BIT,$A339)+SUMIFS(SALIDAS_BOV1,FECHA_BOV1,"&gt;="&amp;K$2,FECHA_BOV1,"&lt;="&amp;K$3,CLAVE_BOV1,$A339)+SUMIFS(SALIDAS_BOV2,FECHA_BOV2,"&gt;="&amp;K$2,FECHA_BOV2,"&lt;="&amp;K$3,CLAVE_BOV2,$A339)+SUMIFS(SALIDAS_BOV3,FECHA_BOV3,"&gt;="&amp;K$2,FECHA_BOV3,"&lt;="&amp;K$3,CLAVE_BOV3,$A339)+SUMIFS(SALIDAS_TC,FECHA_TC,"&gt;="&amp;K$2,FECHA_TC,"&lt;="&amp;K$3,CLAVE_TC,$A339)+SUMIFS(SALIDAS_COMB,FECHA_COMB,"&gt;="&amp;K$2,FECHA_COMB,"&lt;="&amp;K$3,CLAVE_COMB,$A339)+SUMIFS(SALIDAS_DES,FECHA_DESGLOSEN,"&gt;="&amp;K$2,FECHA_DESGLOSEN,"&lt;="&amp;K$3,CLAVE_DESGLOSE,$A339)</f>
        <v>0</v>
      </c>
      <c r="L339" s="227">
        <f>F339-K339</f>
        <v>0</v>
      </c>
      <c r="M339" s="301">
        <f>IFERROR((K339/F339),0)</f>
        <v>0</v>
      </c>
      <c r="N339" s="162">
        <f>VLOOKUP($A339,T_PRESUPUESTO,MATCH(N$6,E_PRESUPUESTO,0),FALSE)</f>
        <v>0</v>
      </c>
      <c r="O339" s="162">
        <f>SUMIFS(SALIDAS_BIT,FECHA_BIT,"&gt;="&amp;O$2,FECHA_BIT,"&lt;="&amp;O$3,CLAVE_BIT,$A339)+SUMIFS(SALIDAS_BOV1,FECHA_BOV1,"&gt;="&amp;O$2,FECHA_BOV1,"&lt;="&amp;O$3,CLAVE_BOV1,$A339)+SUMIFS(SALIDAS_BOV2,FECHA_BOV2,"&gt;="&amp;O$2,FECHA_BOV2,"&lt;="&amp;O$3,CLAVE_BOV2,$A339)+SUMIFS(SALIDAS_BOV3,FECHA_BOV3,"&gt;="&amp;O$2,FECHA_BOV3,"&lt;="&amp;O$3,CLAVE_BOV3,$A339)+SUMIFS(SALIDAS_TC,FECHA_TC,"&gt;="&amp;O$2,FECHA_TC,"&lt;="&amp;O$3,CLAVE_TC,$A339)+SUMIFS(SALIDAS_COMB,FECHA_COMB,"&gt;="&amp;O$2,FECHA_COMB,"&lt;="&amp;O$3,CLAVE_COMB,$A339)+SUMIFS(SALIDAS_DES,FECHA_DESGLOSEN,"&gt;="&amp;O$2,FECHA_DESGLOSEN,"&lt;="&amp;O$3,CLAVE_DESGLOSE,$A339)</f>
        <v>0</v>
      </c>
      <c r="P339" s="162">
        <f>SUMIFS(SALIDAS_BIT,FECHA_BIT,"&gt;="&amp;P$2,FECHA_BIT,"&lt;="&amp;P$3,CLAVE_BIT,$A339)+SUMIFS(SALIDAS_BOV1,FECHA_BOV1,"&gt;="&amp;P$2,FECHA_BOV1,"&lt;="&amp;P$3,CLAVE_BOV1,$A339)+SUMIFS(SALIDAS_BOV2,FECHA_BOV2,"&gt;="&amp;P$2,FECHA_BOV2,"&lt;="&amp;P$3,CLAVE_BOV2,$A339)+SUMIFS(SALIDAS_BOV3,FECHA_BOV3,"&gt;="&amp;P$2,FECHA_BOV3,"&lt;="&amp;P$3,CLAVE_BOV3,$A339)+SUMIFS(SALIDAS_TC,FECHA_TC,"&gt;="&amp;P$2,FECHA_TC,"&lt;="&amp;P$3,CLAVE_TC,$A339)+SUMIFS(SALIDAS_COMB,FECHA_COMB,"&gt;="&amp;P$2,FECHA_COMB,"&lt;="&amp;P$3,CLAVE_COMB,$A339)+SUMIFS(SALIDAS_DES,FECHA_DESGLOSEN,"&gt;="&amp;P$2,FECHA_DESGLOSEN,"&lt;="&amp;P$3,CLAVE_DESGLOSE,$A339)</f>
        <v>0</v>
      </c>
      <c r="Q339" s="162">
        <f>SUMIFS(SALIDAS_BIT,FECHA_BIT,"&gt;="&amp;Q$2,FECHA_BIT,"&lt;="&amp;Q$3,CLAVE_BIT,$A339)+SUMIFS(SALIDAS_BOV1,FECHA_BOV1,"&gt;="&amp;Q$2,FECHA_BOV1,"&lt;="&amp;Q$3,CLAVE_BOV1,$A339)+SUMIFS(SALIDAS_BOV2,FECHA_BOV2,"&gt;="&amp;Q$2,FECHA_BOV2,"&lt;="&amp;Q$3,CLAVE_BOV2,$A339)+SUMIFS(SALIDAS_BOV3,FECHA_BOV3,"&gt;="&amp;Q$2,FECHA_BOV3,"&lt;="&amp;Q$3,CLAVE_BOV3,$A339)+SUMIFS(SALIDAS_TC,FECHA_TC,"&gt;="&amp;Q$2,FECHA_TC,"&lt;="&amp;Q$3,CLAVE_TC,$A339)+SUMIFS(SALIDAS_COMB,FECHA_COMB,"&gt;="&amp;Q$2,FECHA_COMB,"&lt;="&amp;Q$3,CLAVE_COMB,$A339)+SUMIFS(SALIDAS_DES,FECHA_DESGLOSEN,"&gt;="&amp;Q$2,FECHA_DESGLOSEN,"&lt;="&amp;Q$3,CLAVE_DESGLOSE,$A339)</f>
        <v>0</v>
      </c>
      <c r="R339" s="162">
        <f>SUMIFS(SALIDAS_BIT,FECHA_BIT,"&gt;="&amp;R$2,FECHA_BIT,"&lt;="&amp;R$3,CLAVE_BIT,$A339)+SUMIFS(SALIDAS_BOV1,FECHA_BOV1,"&gt;="&amp;R$2,FECHA_BOV1,"&lt;="&amp;R$3,CLAVE_BOV1,$A339)+SUMIFS(SALIDAS_BOV2,FECHA_BOV2,"&gt;="&amp;R$2,FECHA_BOV2,"&lt;="&amp;R$3,CLAVE_BOV2,$A339)+SUMIFS(SALIDAS_BOV3,FECHA_BOV3,"&gt;="&amp;R$2,FECHA_BOV3,"&lt;="&amp;R$3,CLAVE_BOV3,$A339)+SUMIFS(SALIDAS_TC,FECHA_TC,"&gt;="&amp;R$2,FECHA_TC,"&lt;="&amp;R$3,CLAVE_TC,$A339)+SUMIFS(SALIDAS_COMB,FECHA_COMB,"&gt;="&amp;R$2,FECHA_COMB,"&lt;="&amp;R$3,CLAVE_COMB,$A339)+SUMIFS(SALIDAS_DES,FECHA_DESGLOSEN,"&gt;="&amp;R$2,FECHA_DESGLOSEN,"&lt;="&amp;R$3,CLAVE_DESGLOSE,$A339)</f>
        <v>0</v>
      </c>
      <c r="S339" s="162">
        <f>SUMIFS(SALIDAS_BIT,FECHA_BIT,"&gt;="&amp;S$2,FECHA_BIT,"&lt;="&amp;S$3,CLAVE_BIT,$A339)+SUMIFS(SALIDAS_BOV1,FECHA_BOV1,"&gt;="&amp;S$2,FECHA_BOV1,"&lt;="&amp;S$3,CLAVE_BOV1,$A339)+SUMIFS(SALIDAS_BOV2,FECHA_BOV2,"&gt;="&amp;S$2,FECHA_BOV2,"&lt;="&amp;S$3,CLAVE_BOV2,$A339)+SUMIFS(SALIDAS_BOV3,FECHA_BOV3,"&gt;="&amp;S$2,FECHA_BOV3,"&lt;="&amp;S$3,CLAVE_BOV3,$A339)+SUMIFS(SALIDAS_TC,FECHA_TC,"&gt;="&amp;S$2,FECHA_TC,"&lt;="&amp;S$3,CLAVE_TC,$A339)+SUMIFS(SALIDAS_COMB,FECHA_COMB,"&gt;="&amp;S$2,FECHA_COMB,"&lt;="&amp;S$3,CLAVE_COMB,$A339)+SUMIFS(SALIDAS_DES,FECHA_DESGLOSEN,"&gt;="&amp;S$2,FECHA_DESGLOSEN,"&lt;="&amp;S$3,CLAVE_DESGLOSE,$A339)</f>
        <v>0</v>
      </c>
      <c r="T339" s="162">
        <f>SUMIFS(SALIDAS_BIT,FECHA_BIT,"&gt;="&amp;T$2,FECHA_BIT,"&lt;="&amp;T$3,CLAVE_BIT,$A339)+SUMIFS(SALIDAS_BOV1,FECHA_BOV1,"&gt;="&amp;T$2,FECHA_BOV1,"&lt;="&amp;T$3,CLAVE_BOV1,$A339)+SUMIFS(SALIDAS_BOV2,FECHA_BOV2,"&gt;="&amp;T$2,FECHA_BOV2,"&lt;="&amp;T$3,CLAVE_BOV2,$A339)+SUMIFS(SALIDAS_BOV3,FECHA_BOV3,"&gt;="&amp;T$2,FECHA_BOV3,"&lt;="&amp;T$3,CLAVE_BOV3,$A339)+SUMIFS(SALIDAS_TC,FECHA_TC,"&gt;="&amp;T$2,FECHA_TC,"&lt;="&amp;T$3,CLAVE_TC,$A339)+SUMIFS(SALIDAS_COMB,FECHA_COMB,"&gt;="&amp;T$2,FECHA_COMB,"&lt;="&amp;T$3,CLAVE_COMB,$A339)+SUMIFS(SALIDAS_DES,FECHA_DESGLOSEN,"&gt;="&amp;T$2,FECHA_DESGLOSEN,"&lt;="&amp;T$3,CLAVE_DESGLOSE,$A339)</f>
        <v>0</v>
      </c>
      <c r="U339" s="227">
        <f>N339-T339</f>
        <v>0</v>
      </c>
      <c r="V339" s="301">
        <f>IFERROR((T339/N339),0)</f>
        <v>0</v>
      </c>
      <c r="W339" s="162">
        <f>VLOOKUP($A339,T_PRESUPUESTO,MATCH(W$6,E_PRESUPUESTO,0),FALSE)</f>
        <v>0</v>
      </c>
      <c r="X339" s="162">
        <f>SUMIFS(SALIDAS_BIT,FECHA_BIT,"&gt;="&amp;X$2,FECHA_BIT,"&lt;="&amp;X$3,CLAVE_BIT,$A339)+SUMIFS(SALIDAS_BOV1,FECHA_BOV1,"&gt;="&amp;X$2,FECHA_BOV1,"&lt;="&amp;X$3,CLAVE_BOV1,$A339)+SUMIFS(SALIDAS_BOV2,FECHA_BOV2,"&gt;="&amp;X$2,FECHA_BOV2,"&lt;="&amp;X$3,CLAVE_BOV2,$A339)+SUMIFS(SALIDAS_BOV3,FECHA_BOV3,"&gt;="&amp;X$2,FECHA_BOV3,"&lt;="&amp;X$3,CLAVE_BOV3,$A339)+SUMIFS(SALIDAS_TC,FECHA_TC,"&gt;="&amp;X$2,FECHA_TC,"&lt;="&amp;X$3,CLAVE_TC,$A339)+SUMIFS(SALIDAS_COMB,FECHA_COMB,"&gt;="&amp;X$2,FECHA_COMB,"&lt;="&amp;X$3,CLAVE_COMB,$A339)+SUMIFS(SALIDAS_DES,FECHA_DESGLOSEN,"&gt;="&amp;X$2,FECHA_DESGLOSEN,"&lt;="&amp;X$3,CLAVE_DESGLOSE,$A339)</f>
        <v>0</v>
      </c>
      <c r="Y339" s="162">
        <f>SUMIFS(SALIDAS_BIT,FECHA_BIT,"&gt;="&amp;Y$2,FECHA_BIT,"&lt;="&amp;Y$3,CLAVE_BIT,$A339)+SUMIFS(SALIDAS_BOV1,FECHA_BOV1,"&gt;="&amp;Y$2,FECHA_BOV1,"&lt;="&amp;Y$3,CLAVE_BOV1,$A339)+SUMIFS(SALIDAS_BOV2,FECHA_BOV2,"&gt;="&amp;Y$2,FECHA_BOV2,"&lt;="&amp;Y$3,CLAVE_BOV2,$A339)+SUMIFS(SALIDAS_BOV3,FECHA_BOV3,"&gt;="&amp;Y$2,FECHA_BOV3,"&lt;="&amp;Y$3,CLAVE_BOV3,$A339)+SUMIFS(SALIDAS_TC,FECHA_TC,"&gt;="&amp;Y$2,FECHA_TC,"&lt;="&amp;Y$3,CLAVE_TC,$A339)+SUMIFS(SALIDAS_COMB,FECHA_COMB,"&gt;="&amp;Y$2,FECHA_COMB,"&lt;="&amp;Y$3,CLAVE_COMB,$A339)+SUMIFS(SALIDAS_DES,FECHA_DESGLOSEN,"&gt;="&amp;Y$2,FECHA_DESGLOSEN,"&lt;="&amp;Y$3,CLAVE_DESGLOSE,$A339)</f>
        <v>0</v>
      </c>
      <c r="Z339" s="162">
        <f>SUMIFS(SALIDAS_BIT,FECHA_BIT,"&gt;="&amp;Z$2,FECHA_BIT,"&lt;="&amp;Z$3,CLAVE_BIT,$A339)+SUMIFS(SALIDAS_BOV1,FECHA_BOV1,"&gt;="&amp;Z$2,FECHA_BOV1,"&lt;="&amp;Z$3,CLAVE_BOV1,$A339)+SUMIFS(SALIDAS_BOV2,FECHA_BOV2,"&gt;="&amp;Z$2,FECHA_BOV2,"&lt;="&amp;Z$3,CLAVE_BOV2,$A339)+SUMIFS(SALIDAS_BOV3,FECHA_BOV3,"&gt;="&amp;Z$2,FECHA_BOV3,"&lt;="&amp;Z$3,CLAVE_BOV3,$A339)+SUMIFS(SALIDAS_TC,FECHA_TC,"&gt;="&amp;Z$2,FECHA_TC,"&lt;="&amp;Z$3,CLAVE_TC,$A339)+SUMIFS(SALIDAS_COMB,FECHA_COMB,"&gt;="&amp;Z$2,FECHA_COMB,"&lt;="&amp;Z$3,CLAVE_COMB,$A339)+SUMIFS(SALIDAS_DES,FECHA_DESGLOSEN,"&gt;="&amp;Z$2,FECHA_DESGLOSEN,"&lt;="&amp;Z$3,CLAVE_DESGLOSE,$A339)</f>
        <v>0</v>
      </c>
      <c r="AA339" s="162">
        <f>SUMIFS(SALIDAS_BIT,FECHA_BIT,"&gt;="&amp;AA$2,FECHA_BIT,"&lt;="&amp;AA$3,CLAVE_BIT,$A339)+SUMIFS(SALIDAS_BOV1,FECHA_BOV1,"&gt;="&amp;AA$2,FECHA_BOV1,"&lt;="&amp;AA$3,CLAVE_BOV1,$A339)+SUMIFS(SALIDAS_BOV2,FECHA_BOV2,"&gt;="&amp;AA$2,FECHA_BOV2,"&lt;="&amp;AA$3,CLAVE_BOV2,$A339)+SUMIFS(SALIDAS_BOV3,FECHA_BOV3,"&gt;="&amp;AA$2,FECHA_BOV3,"&lt;="&amp;AA$3,CLAVE_BOV3,$A339)+SUMIFS(SALIDAS_TC,FECHA_TC,"&gt;="&amp;AA$2,FECHA_TC,"&lt;="&amp;AA$3,CLAVE_TC,$A339)+SUMIFS(SALIDAS_COMB,FECHA_COMB,"&gt;="&amp;AA$2,FECHA_COMB,"&lt;="&amp;AA$3,CLAVE_COMB,$A339)+SUMIFS(SALIDAS_DES,FECHA_DESGLOSEN,"&gt;="&amp;AA$2,FECHA_DESGLOSEN,"&lt;="&amp;AA$3,CLAVE_DESGLOSE,$A339)</f>
        <v>0</v>
      </c>
      <c r="AB339" s="162">
        <f>SUMIFS(SALIDAS_BIT,FECHA_BIT,"&gt;="&amp;AB$2,FECHA_BIT,"&lt;="&amp;AB$3,CLAVE_BIT,$A339)+SUMIFS(SALIDAS_BOV1,FECHA_BOV1,"&gt;="&amp;AB$2,FECHA_BOV1,"&lt;="&amp;AB$3,CLAVE_BOV1,$A339)+SUMIFS(SALIDAS_BOV2,FECHA_BOV2,"&gt;="&amp;AB$2,FECHA_BOV2,"&lt;="&amp;AB$3,CLAVE_BOV2,$A339)+SUMIFS(SALIDAS_BOV3,FECHA_BOV3,"&gt;="&amp;AB$2,FECHA_BOV3,"&lt;="&amp;AB$3,CLAVE_BOV3,$A339)+SUMIFS(SALIDAS_TC,FECHA_TC,"&gt;="&amp;AB$2,FECHA_TC,"&lt;="&amp;AB$3,CLAVE_TC,$A339)+SUMIFS(SALIDAS_COMB,FECHA_COMB,"&gt;="&amp;AB$2,FECHA_COMB,"&lt;="&amp;AB$3,CLAVE_COMB,$A339)+SUMIFS(SALIDAS_DES,FECHA_DESGLOSEN,"&gt;="&amp;AB$2,FECHA_DESGLOSEN,"&lt;="&amp;AB$3,CLAVE_DESGLOSE,$A339)</f>
        <v>0</v>
      </c>
      <c r="AC339" s="227">
        <f>W339-AB339</f>
        <v>0</v>
      </c>
      <c r="AD339" s="301">
        <f>IFERROR((AB339/W339),0)</f>
        <v>0</v>
      </c>
      <c r="AE339" s="162">
        <f>VLOOKUP($A339,T_PRESUPUESTO,MATCH(AE$6,E_PRESUPUESTO,0),FALSE)</f>
        <v>0</v>
      </c>
      <c r="AF339" s="162">
        <f>SUMIFS(SALIDAS_BIT,FECHA_BIT,"&gt;="&amp;AF$2,FECHA_BIT,"&lt;="&amp;AF$3,CLAVE_BIT,$A339)+SUMIFS(SALIDAS_BOV1,FECHA_BOV1,"&gt;="&amp;AF$2,FECHA_BOV1,"&lt;="&amp;AF$3,CLAVE_BOV1,$A339)+SUMIFS(SALIDAS_BOV2,FECHA_BOV2,"&gt;="&amp;AF$2,FECHA_BOV2,"&lt;="&amp;AF$3,CLAVE_BOV2,$A339)+SUMIFS(SALIDAS_BOV3,FECHA_BOV3,"&gt;="&amp;AF$2,FECHA_BOV3,"&lt;="&amp;AF$3,CLAVE_BOV3,$A339)+SUMIFS(SALIDAS_TC,FECHA_TC,"&gt;="&amp;AF$2,FECHA_TC,"&lt;="&amp;AF$3,CLAVE_TC,$A339)+SUMIFS(SALIDAS_COMB,FECHA_COMB,"&gt;="&amp;AF$2,FECHA_COMB,"&lt;="&amp;AF$3,CLAVE_COMB,$A339)+SUMIFS(SALIDAS_DES,FECHA_DESGLOSEN,"&gt;="&amp;AF$2,FECHA_DESGLOSEN,"&lt;="&amp;AF$3,CLAVE_DESGLOSE,$A339)</f>
        <v>0</v>
      </c>
      <c r="AG339" s="162">
        <f>SUMIFS(SALIDAS_BIT,FECHA_BIT,"&gt;="&amp;AG$2,FECHA_BIT,"&lt;="&amp;AG$3,CLAVE_BIT,$A339)+SUMIFS(SALIDAS_BOV1,FECHA_BOV1,"&gt;="&amp;AG$2,FECHA_BOV1,"&lt;="&amp;AG$3,CLAVE_BOV1,$A339)+SUMIFS(SALIDAS_BOV2,FECHA_BOV2,"&gt;="&amp;AG$2,FECHA_BOV2,"&lt;="&amp;AG$3,CLAVE_BOV2,$A339)+SUMIFS(SALIDAS_BOV3,FECHA_BOV3,"&gt;="&amp;AG$2,FECHA_BOV3,"&lt;="&amp;AG$3,CLAVE_BOV3,$A339)+SUMIFS(SALIDAS_TC,FECHA_TC,"&gt;="&amp;AG$2,FECHA_TC,"&lt;="&amp;AG$3,CLAVE_TC,$A339)+SUMIFS(SALIDAS_COMB,FECHA_COMB,"&gt;="&amp;AG$2,FECHA_COMB,"&lt;="&amp;AG$3,CLAVE_COMB,$A339)+SUMIFS(SALIDAS_DES,FECHA_DESGLOSEN,"&gt;="&amp;AG$2,FECHA_DESGLOSEN,"&lt;="&amp;AG$3,CLAVE_DESGLOSE,$A339)</f>
        <v>0</v>
      </c>
      <c r="AH339" s="162">
        <f>SUMIFS(SALIDAS_BIT,FECHA_BIT,"&gt;="&amp;AH$2,FECHA_BIT,"&lt;="&amp;AH$3,CLAVE_BIT,$A339)+SUMIFS(SALIDAS_BOV1,FECHA_BOV1,"&gt;="&amp;AH$2,FECHA_BOV1,"&lt;="&amp;AH$3,CLAVE_BOV1,$A339)+SUMIFS(SALIDAS_BOV2,FECHA_BOV2,"&gt;="&amp;AH$2,FECHA_BOV2,"&lt;="&amp;AH$3,CLAVE_BOV2,$A339)+SUMIFS(SALIDAS_BOV3,FECHA_BOV3,"&gt;="&amp;AH$2,FECHA_BOV3,"&lt;="&amp;AH$3,CLAVE_BOV3,$A339)+SUMIFS(SALIDAS_TC,FECHA_TC,"&gt;="&amp;AH$2,FECHA_TC,"&lt;="&amp;AH$3,CLAVE_TC,$A339)+SUMIFS(SALIDAS_COMB,FECHA_COMB,"&gt;="&amp;AH$2,FECHA_COMB,"&lt;="&amp;AH$3,CLAVE_COMB,$A339)+SUMIFS(SALIDAS_DES,FECHA_DESGLOSEN,"&gt;="&amp;AH$2,FECHA_DESGLOSEN,"&lt;="&amp;AH$3,CLAVE_DESGLOSE,$A339)</f>
        <v>0</v>
      </c>
      <c r="AI339" s="162">
        <f>SUMIFS(SALIDAS_BIT,FECHA_BIT,"&gt;="&amp;AI$2,FECHA_BIT,"&lt;="&amp;AI$3,CLAVE_BIT,$A339)+SUMIFS(SALIDAS_BOV1,FECHA_BOV1,"&gt;="&amp;AI$2,FECHA_BOV1,"&lt;="&amp;AI$3,CLAVE_BOV1,$A339)+SUMIFS(SALIDAS_BOV2,FECHA_BOV2,"&gt;="&amp;AI$2,FECHA_BOV2,"&lt;="&amp;AI$3,CLAVE_BOV2,$A339)+SUMIFS(SALIDAS_BOV3,FECHA_BOV3,"&gt;="&amp;AI$2,FECHA_BOV3,"&lt;="&amp;AI$3,CLAVE_BOV3,$A339)+SUMIFS(SALIDAS_TC,FECHA_TC,"&gt;="&amp;AI$2,FECHA_TC,"&lt;="&amp;AI$3,CLAVE_TC,$A339)+SUMIFS(SALIDAS_COMB,FECHA_COMB,"&gt;="&amp;AI$2,FECHA_COMB,"&lt;="&amp;AI$3,CLAVE_COMB,$A339)+SUMIFS(SALIDAS_DES,FECHA_DESGLOSEN,"&gt;="&amp;AI$2,FECHA_DESGLOSEN,"&lt;="&amp;AI$3,CLAVE_DESGLOSE,$A339)</f>
        <v>0</v>
      </c>
      <c r="AJ339" s="162">
        <f>SUMIFS(SALIDAS_BIT,FECHA_BIT,"&gt;="&amp;AJ$2,FECHA_BIT,"&lt;="&amp;AJ$3,CLAVE_BIT,$A339)+SUMIFS(SALIDAS_BOV1,FECHA_BOV1,"&gt;="&amp;AJ$2,FECHA_BOV1,"&lt;="&amp;AJ$3,CLAVE_BOV1,$A339)+SUMIFS(SALIDAS_BOV2,FECHA_BOV2,"&gt;="&amp;AJ$2,FECHA_BOV2,"&lt;="&amp;AJ$3,CLAVE_BOV2,$A339)+SUMIFS(SALIDAS_BOV3,FECHA_BOV3,"&gt;="&amp;AJ$2,FECHA_BOV3,"&lt;="&amp;AJ$3,CLAVE_BOV3,$A339)+SUMIFS(SALIDAS_TC,FECHA_TC,"&gt;="&amp;AJ$2,FECHA_TC,"&lt;="&amp;AJ$3,CLAVE_TC,$A339)+SUMIFS(SALIDAS_COMB,FECHA_COMB,"&gt;="&amp;AJ$2,FECHA_COMB,"&lt;="&amp;AJ$3,CLAVE_COMB,$A339)+SUMIFS(SALIDAS_DES,FECHA_DESGLOSEN,"&gt;="&amp;AJ$2,FECHA_DESGLOSEN,"&lt;="&amp;AJ$3,CLAVE_DESGLOSE,$A339)</f>
        <v>0</v>
      </c>
      <c r="AK339" s="227">
        <f>AE339-AJ339</f>
        <v>0</v>
      </c>
      <c r="AL339" s="301">
        <f>IFERROR((AJ339/AE339),0)</f>
        <v>0</v>
      </c>
      <c r="AM339" s="162">
        <f>VLOOKUP($A339,T_PRESUPUESTO,MATCH(AM$6,E_PRESUPUESTO,0),FALSE)</f>
        <v>0</v>
      </c>
      <c r="AN339" s="162">
        <f>SUMIFS(SALIDAS_BIT,FECHA_BIT,"&gt;="&amp;AN$2,FECHA_BIT,"&lt;="&amp;AN$3,CLAVE_BIT,$A339)+SUMIFS(SALIDAS_BOV1,FECHA_BOV1,"&gt;="&amp;AN$2,FECHA_BOV1,"&lt;="&amp;AN$3,CLAVE_BOV1,$A339)+SUMIFS(SALIDAS_BOV2,FECHA_BOV2,"&gt;="&amp;AN$2,FECHA_BOV2,"&lt;="&amp;AN$3,CLAVE_BOV2,$A339)+SUMIFS(SALIDAS_BOV3,FECHA_BOV3,"&gt;="&amp;AN$2,FECHA_BOV3,"&lt;="&amp;AN$3,CLAVE_BOV3,$A339)+SUMIFS(SALIDAS_TC,FECHA_TC,"&gt;="&amp;AN$2,FECHA_TC,"&lt;="&amp;AN$3,CLAVE_TC,$A339)+SUMIFS(SALIDAS_COMB,FECHA_COMB,"&gt;="&amp;AN$2,FECHA_COMB,"&lt;="&amp;AN$3,CLAVE_COMB,$A339)+SUMIFS(SALIDAS_DES,FECHA_DESGLOSEN,"&gt;="&amp;AN$2,FECHA_DESGLOSEN,"&lt;="&amp;AN$3,CLAVE_DESGLOSE,$A339)</f>
        <v>0</v>
      </c>
      <c r="AO339" s="162">
        <f>SUMIFS(SALIDAS_BIT,FECHA_BIT,"&gt;="&amp;AO$2,FECHA_BIT,"&lt;="&amp;AO$3,CLAVE_BIT,$A339)+SUMIFS(SALIDAS_BOV1,FECHA_BOV1,"&gt;="&amp;AO$2,FECHA_BOV1,"&lt;="&amp;AO$3,CLAVE_BOV1,$A339)+SUMIFS(SALIDAS_BOV2,FECHA_BOV2,"&gt;="&amp;AO$2,FECHA_BOV2,"&lt;="&amp;AO$3,CLAVE_BOV2,$A339)+SUMIFS(SALIDAS_BOV3,FECHA_BOV3,"&gt;="&amp;AO$2,FECHA_BOV3,"&lt;="&amp;AO$3,CLAVE_BOV3,$A339)+SUMIFS(SALIDAS_TC,FECHA_TC,"&gt;="&amp;AO$2,FECHA_TC,"&lt;="&amp;AO$3,CLAVE_TC,$A339)+SUMIFS(SALIDAS_COMB,FECHA_COMB,"&gt;="&amp;AO$2,FECHA_COMB,"&lt;="&amp;AO$3,CLAVE_COMB,$A339)+SUMIFS(SALIDAS_DES,FECHA_DESGLOSEN,"&gt;="&amp;AO$2,FECHA_DESGLOSEN,"&lt;="&amp;AO$3,CLAVE_DESGLOSE,$A339)</f>
        <v>0</v>
      </c>
      <c r="AP339" s="162">
        <f>SUMIFS(SALIDAS_BIT,FECHA_BIT,"&gt;="&amp;AP$2,FECHA_BIT,"&lt;="&amp;AP$3,CLAVE_BIT,$A339)+SUMIFS(SALIDAS_BOV1,FECHA_BOV1,"&gt;="&amp;AP$2,FECHA_BOV1,"&lt;="&amp;AP$3,CLAVE_BOV1,$A339)+SUMIFS(SALIDAS_BOV2,FECHA_BOV2,"&gt;="&amp;AP$2,FECHA_BOV2,"&lt;="&amp;AP$3,CLAVE_BOV2,$A339)+SUMIFS(SALIDAS_BOV3,FECHA_BOV3,"&gt;="&amp;AP$2,FECHA_BOV3,"&lt;="&amp;AP$3,CLAVE_BOV3,$A339)+SUMIFS(SALIDAS_TC,FECHA_TC,"&gt;="&amp;AP$2,FECHA_TC,"&lt;="&amp;AP$3,CLAVE_TC,$A339)+SUMIFS(SALIDAS_COMB,FECHA_COMB,"&gt;="&amp;AP$2,FECHA_COMB,"&lt;="&amp;AP$3,CLAVE_COMB,$A339)+SUMIFS(SALIDAS_DES,FECHA_DESGLOSEN,"&gt;="&amp;AP$2,FECHA_DESGLOSEN,"&lt;="&amp;AP$3,CLAVE_DESGLOSE,$A339)</f>
        <v>0</v>
      </c>
      <c r="AQ339" s="162">
        <f>SUMIFS(SALIDAS_BIT,FECHA_BIT,"&gt;="&amp;AQ$2,FECHA_BIT,"&lt;="&amp;AQ$3,CLAVE_BIT,$A339)+SUMIFS(SALIDAS_BOV1,FECHA_BOV1,"&gt;="&amp;AQ$2,FECHA_BOV1,"&lt;="&amp;AQ$3,CLAVE_BOV1,$A339)+SUMIFS(SALIDAS_BOV2,FECHA_BOV2,"&gt;="&amp;AQ$2,FECHA_BOV2,"&lt;="&amp;AQ$3,CLAVE_BOV2,$A339)+SUMIFS(SALIDAS_BOV3,FECHA_BOV3,"&gt;="&amp;AQ$2,FECHA_BOV3,"&lt;="&amp;AQ$3,CLAVE_BOV3,$A339)+SUMIFS(SALIDAS_TC,FECHA_TC,"&gt;="&amp;AQ$2,FECHA_TC,"&lt;="&amp;AQ$3,CLAVE_TC,$A339)+SUMIFS(SALIDAS_COMB,FECHA_COMB,"&gt;="&amp;AQ$2,FECHA_COMB,"&lt;="&amp;AQ$3,CLAVE_COMB,$A339)+SUMIFS(SALIDAS_DES,FECHA_DESGLOSEN,"&gt;="&amp;AQ$2,FECHA_DESGLOSEN,"&lt;="&amp;AQ$3,CLAVE_DESGLOSE,$A339)</f>
        <v>0</v>
      </c>
      <c r="AR339" s="162">
        <f>SUMIFS(SALIDAS_BIT,FECHA_BIT,"&gt;="&amp;AR$2,FECHA_BIT,"&lt;="&amp;AR$3,CLAVE_BIT,$A339)+SUMIFS(SALIDAS_BOV1,FECHA_BOV1,"&gt;="&amp;AR$2,FECHA_BOV1,"&lt;="&amp;AR$3,CLAVE_BOV1,$A339)+SUMIFS(SALIDAS_BOV2,FECHA_BOV2,"&gt;="&amp;AR$2,FECHA_BOV2,"&lt;="&amp;AR$3,CLAVE_BOV2,$A339)+SUMIFS(SALIDAS_BOV3,FECHA_BOV3,"&gt;="&amp;AR$2,FECHA_BOV3,"&lt;="&amp;AR$3,CLAVE_BOV3,$A339)+SUMIFS(SALIDAS_TC,FECHA_TC,"&gt;="&amp;AR$2,FECHA_TC,"&lt;="&amp;AR$3,CLAVE_TC,$A339)+SUMIFS(SALIDAS_COMB,FECHA_COMB,"&gt;="&amp;AR$2,FECHA_COMB,"&lt;="&amp;AR$3,CLAVE_COMB,$A339)+SUMIFS(SALIDAS_DES,FECHA_DESGLOSEN,"&gt;="&amp;AR$2,FECHA_DESGLOSEN,"&lt;="&amp;AR$3,CLAVE_DESGLOSE,$A339)</f>
        <v>0</v>
      </c>
      <c r="AS339" s="162">
        <f>SUMIFS(SALIDAS_BIT,FECHA_BIT,"&gt;="&amp;AS$2,FECHA_BIT,"&lt;="&amp;AS$3,CLAVE_BIT,$A339)+SUMIFS(SALIDAS_BOV1,FECHA_BOV1,"&gt;="&amp;AS$2,FECHA_BOV1,"&lt;="&amp;AS$3,CLAVE_BOV1,$A339)+SUMIFS(SALIDAS_BOV2,FECHA_BOV2,"&gt;="&amp;AS$2,FECHA_BOV2,"&lt;="&amp;AS$3,CLAVE_BOV2,$A339)+SUMIFS(SALIDAS_BOV3,FECHA_BOV3,"&gt;="&amp;AS$2,FECHA_BOV3,"&lt;="&amp;AS$3,CLAVE_BOV3,$A339)+SUMIFS(SALIDAS_TC,FECHA_TC,"&gt;="&amp;AS$2,FECHA_TC,"&lt;="&amp;AS$3,CLAVE_TC,$A339)+SUMIFS(SALIDAS_COMB,FECHA_COMB,"&gt;="&amp;AS$2,FECHA_COMB,"&lt;="&amp;AS$3,CLAVE_COMB,$A339)+SUMIFS(SALIDAS_DES,FECHA_DESGLOSEN,"&gt;="&amp;AS$2,FECHA_DESGLOSEN,"&lt;="&amp;AS$3,CLAVE_DESGLOSE,$A339)</f>
        <v>0</v>
      </c>
      <c r="AT339" s="227">
        <f>AM339-AS339</f>
        <v>0</v>
      </c>
      <c r="AU339" s="301">
        <f>IFERROR((AS339/AM339),0)</f>
        <v>0</v>
      </c>
      <c r="AV339" s="162">
        <f>VLOOKUP($A339,T_PRESUPUESTO,MATCH(AV$6,E_PRESUPUESTO,0),FALSE)</f>
        <v>0</v>
      </c>
      <c r="AW339" s="162">
        <f>SUMIFS(SALIDAS_BIT,FECHA_BIT,"&gt;="&amp;AW$2,FECHA_BIT,"&lt;="&amp;AW$3,CLAVE_BIT,$A339)+SUMIFS(SALIDAS_BOV1,FECHA_BOV1,"&gt;="&amp;AW$2,FECHA_BOV1,"&lt;="&amp;AW$3,CLAVE_BOV1,$A339)+SUMIFS(SALIDAS_BOV2,FECHA_BOV2,"&gt;="&amp;AW$2,FECHA_BOV2,"&lt;="&amp;AW$3,CLAVE_BOV2,$A339)+SUMIFS(SALIDAS_BOV3,FECHA_BOV3,"&gt;="&amp;AW$2,FECHA_BOV3,"&lt;="&amp;AW$3,CLAVE_BOV3,$A339)+SUMIFS(SALIDAS_TC,FECHA_TC,"&gt;="&amp;AW$2,FECHA_TC,"&lt;="&amp;AW$3,CLAVE_TC,$A339)+SUMIFS(SALIDAS_COMB,FECHA_COMB,"&gt;="&amp;AW$2,FECHA_COMB,"&lt;="&amp;AW$3,CLAVE_COMB,$A339)+SUMIFS(SALIDAS_DES,FECHA_DESGLOSEN,"&gt;="&amp;AW$2,FECHA_DESGLOSEN,"&lt;="&amp;AW$3,CLAVE_DESGLOSE,$A339)</f>
        <v>0</v>
      </c>
      <c r="AX339" s="162">
        <f>SUMIFS(SALIDAS_BIT,FECHA_BIT,"&gt;="&amp;AX$2,FECHA_BIT,"&lt;="&amp;AX$3,CLAVE_BIT,$A339)+SUMIFS(SALIDAS_BOV1,FECHA_BOV1,"&gt;="&amp;AX$2,FECHA_BOV1,"&lt;="&amp;AX$3,CLAVE_BOV1,$A339)+SUMIFS(SALIDAS_BOV2,FECHA_BOV2,"&gt;="&amp;AX$2,FECHA_BOV2,"&lt;="&amp;AX$3,CLAVE_BOV2,$A339)+SUMIFS(SALIDAS_BOV3,FECHA_BOV3,"&gt;="&amp;AX$2,FECHA_BOV3,"&lt;="&amp;AX$3,CLAVE_BOV3,$A339)+SUMIFS(SALIDAS_TC,FECHA_TC,"&gt;="&amp;AX$2,FECHA_TC,"&lt;="&amp;AX$3,CLAVE_TC,$A339)+SUMIFS(SALIDAS_COMB,FECHA_COMB,"&gt;="&amp;AX$2,FECHA_COMB,"&lt;="&amp;AX$3,CLAVE_COMB,$A339)+SUMIFS(SALIDAS_DES,FECHA_DESGLOSEN,"&gt;="&amp;AX$2,FECHA_DESGLOSEN,"&lt;="&amp;AX$3,CLAVE_DESGLOSE,$A339)</f>
        <v>0</v>
      </c>
      <c r="AY339" s="162">
        <f>SUMIFS(SALIDAS_BIT,FECHA_BIT,"&gt;="&amp;AY$2,FECHA_BIT,"&lt;="&amp;AY$3,CLAVE_BIT,$A339)+SUMIFS(SALIDAS_BOV1,FECHA_BOV1,"&gt;="&amp;AY$2,FECHA_BOV1,"&lt;="&amp;AY$3,CLAVE_BOV1,$A339)+SUMIFS(SALIDAS_BOV2,FECHA_BOV2,"&gt;="&amp;AY$2,FECHA_BOV2,"&lt;="&amp;AY$3,CLAVE_BOV2,$A339)+SUMIFS(SALIDAS_BOV3,FECHA_BOV3,"&gt;="&amp;AY$2,FECHA_BOV3,"&lt;="&amp;AY$3,CLAVE_BOV3,$A339)+SUMIFS(SALIDAS_TC,FECHA_TC,"&gt;="&amp;AY$2,FECHA_TC,"&lt;="&amp;AY$3,CLAVE_TC,$A339)+SUMIFS(SALIDAS_COMB,FECHA_COMB,"&gt;="&amp;AY$2,FECHA_COMB,"&lt;="&amp;AY$3,CLAVE_COMB,$A339)+SUMIFS(SALIDAS_DES,FECHA_DESGLOSEN,"&gt;="&amp;AY$2,FECHA_DESGLOSEN,"&lt;="&amp;AY$3,CLAVE_DESGLOSE,$A339)</f>
        <v>0</v>
      </c>
      <c r="AZ339" s="162">
        <f>SUMIFS(SALIDAS_BIT,FECHA_BIT,"&gt;="&amp;AZ$2,FECHA_BIT,"&lt;="&amp;AZ$3,CLAVE_BIT,$A339)+SUMIFS(SALIDAS_BOV1,FECHA_BOV1,"&gt;="&amp;AZ$2,FECHA_BOV1,"&lt;="&amp;AZ$3,CLAVE_BOV1,$A339)+SUMIFS(SALIDAS_BOV2,FECHA_BOV2,"&gt;="&amp;AZ$2,FECHA_BOV2,"&lt;="&amp;AZ$3,CLAVE_BOV2,$A339)+SUMIFS(SALIDAS_BOV3,FECHA_BOV3,"&gt;="&amp;AZ$2,FECHA_BOV3,"&lt;="&amp;AZ$3,CLAVE_BOV3,$A339)+SUMIFS(SALIDAS_TC,FECHA_TC,"&gt;="&amp;AZ$2,FECHA_TC,"&lt;="&amp;AZ$3,CLAVE_TC,$A339)+SUMIFS(SALIDAS_COMB,FECHA_COMB,"&gt;="&amp;AZ$2,FECHA_COMB,"&lt;="&amp;AZ$3,CLAVE_COMB,$A339)+SUMIFS(SALIDAS_DES,FECHA_DESGLOSEN,"&gt;="&amp;AZ$2,FECHA_DESGLOSEN,"&lt;="&amp;AZ$3,CLAVE_DESGLOSE,$A339)</f>
        <v>0</v>
      </c>
      <c r="BA339" s="162">
        <f>SUMIFS(SALIDAS_BIT,FECHA_BIT,"&gt;="&amp;BA$2,FECHA_BIT,"&lt;="&amp;BA$3,CLAVE_BIT,$A339)+SUMIFS(SALIDAS_BOV1,FECHA_BOV1,"&gt;="&amp;BA$2,FECHA_BOV1,"&lt;="&amp;BA$3,CLAVE_BOV1,$A339)+SUMIFS(SALIDAS_BOV2,FECHA_BOV2,"&gt;="&amp;BA$2,FECHA_BOV2,"&lt;="&amp;BA$3,CLAVE_BOV2,$A339)+SUMIFS(SALIDAS_BOV3,FECHA_BOV3,"&gt;="&amp;BA$2,FECHA_BOV3,"&lt;="&amp;BA$3,CLAVE_BOV3,$A339)+SUMIFS(SALIDAS_TC,FECHA_TC,"&gt;="&amp;BA$2,FECHA_TC,"&lt;="&amp;BA$3,CLAVE_TC,$A339)+SUMIFS(SALIDAS_COMB,FECHA_COMB,"&gt;="&amp;BA$2,FECHA_COMB,"&lt;="&amp;BA$3,CLAVE_COMB,$A339)+SUMIFS(SALIDAS_DES,FECHA_DESGLOSEN,"&gt;="&amp;BA$2,FECHA_DESGLOSEN,"&lt;="&amp;BA$3,CLAVE_DESGLOSE,$A339)</f>
        <v>0</v>
      </c>
      <c r="BB339" s="227">
        <f>AV339-BA339</f>
        <v>0</v>
      </c>
      <c r="BC339" s="301">
        <f>IFERROR((BA339/AV339),0)</f>
        <v>0</v>
      </c>
      <c r="BD339" s="162">
        <f>VLOOKUP($A339,T_PRESUPUESTO,MATCH(BD$6,E_PRESUPUESTO,0),FALSE)</f>
        <v>0</v>
      </c>
      <c r="BE339" s="162">
        <f>SUMIFS(SALIDAS_BIT,FECHA_BIT,"&gt;="&amp;BE$2,FECHA_BIT,"&lt;="&amp;BE$3,CLAVE_BIT,$A339)+SUMIFS(SALIDAS_BOV1,FECHA_BOV1,"&gt;="&amp;BE$2,FECHA_BOV1,"&lt;="&amp;BE$3,CLAVE_BOV1,$A339)+SUMIFS(SALIDAS_BOV2,FECHA_BOV2,"&gt;="&amp;BE$2,FECHA_BOV2,"&lt;="&amp;BE$3,CLAVE_BOV2,$A339)+SUMIFS(SALIDAS_BOV3,FECHA_BOV3,"&gt;="&amp;BE$2,FECHA_BOV3,"&lt;="&amp;BE$3,CLAVE_BOV3,$A339)+SUMIFS(SALIDAS_TC,FECHA_TC,"&gt;="&amp;BE$2,FECHA_TC,"&lt;="&amp;BE$3,CLAVE_TC,$A339)+SUMIFS(SALIDAS_COMB,FECHA_COMB,"&gt;="&amp;BE$2,FECHA_COMB,"&lt;="&amp;BE$3,CLAVE_COMB,$A339)+SUMIFS(SALIDAS_DES,FECHA_DESGLOSEN,"&gt;="&amp;BE$2,FECHA_DESGLOSEN,"&lt;="&amp;BE$3,CLAVE_DESGLOSE,$A339)</f>
        <v>0</v>
      </c>
      <c r="BF339" s="162">
        <f>SUMIFS(SALIDAS_BIT,FECHA_BIT,"&gt;="&amp;BF$2,FECHA_BIT,"&lt;="&amp;BF$3,CLAVE_BIT,$A339)+SUMIFS(SALIDAS_BOV1,FECHA_BOV1,"&gt;="&amp;BF$2,FECHA_BOV1,"&lt;="&amp;BF$3,CLAVE_BOV1,$A339)+SUMIFS(SALIDAS_BOV2,FECHA_BOV2,"&gt;="&amp;BF$2,FECHA_BOV2,"&lt;="&amp;BF$3,CLAVE_BOV2,$A339)+SUMIFS(SALIDAS_BOV3,FECHA_BOV3,"&gt;="&amp;BF$2,FECHA_BOV3,"&lt;="&amp;BF$3,CLAVE_BOV3,$A339)+SUMIFS(SALIDAS_TC,FECHA_TC,"&gt;="&amp;BF$2,FECHA_TC,"&lt;="&amp;BF$3,CLAVE_TC,$A339)+SUMIFS(SALIDAS_COMB,FECHA_COMB,"&gt;="&amp;BF$2,FECHA_COMB,"&lt;="&amp;BF$3,CLAVE_COMB,$A339)+SUMIFS(SALIDAS_DES,FECHA_DESGLOSEN,"&gt;="&amp;BF$2,FECHA_DESGLOSEN,"&lt;="&amp;BF$3,CLAVE_DESGLOSE,$A339)</f>
        <v>0</v>
      </c>
      <c r="BG339" s="162">
        <f>SUMIFS(SALIDAS_BIT,FECHA_BIT,"&gt;="&amp;BG$2,FECHA_BIT,"&lt;="&amp;BG$3,CLAVE_BIT,$A339)+SUMIFS(SALIDAS_BOV1,FECHA_BOV1,"&gt;="&amp;BG$2,FECHA_BOV1,"&lt;="&amp;BG$3,CLAVE_BOV1,$A339)+SUMIFS(SALIDAS_BOV2,FECHA_BOV2,"&gt;="&amp;BG$2,FECHA_BOV2,"&lt;="&amp;BG$3,CLAVE_BOV2,$A339)+SUMIFS(SALIDAS_BOV3,FECHA_BOV3,"&gt;="&amp;BG$2,FECHA_BOV3,"&lt;="&amp;BG$3,CLAVE_BOV3,$A339)+SUMIFS(SALIDAS_TC,FECHA_TC,"&gt;="&amp;BG$2,FECHA_TC,"&lt;="&amp;BG$3,CLAVE_TC,$A339)+SUMIFS(SALIDAS_COMB,FECHA_COMB,"&gt;="&amp;BG$2,FECHA_COMB,"&lt;="&amp;BG$3,CLAVE_COMB,$A339)+SUMIFS(SALIDAS_DES,FECHA_DESGLOSEN,"&gt;="&amp;BG$2,FECHA_DESGLOSEN,"&lt;="&amp;BG$3,CLAVE_DESGLOSE,$A339)</f>
        <v>0</v>
      </c>
      <c r="BH339" s="162">
        <f>SUMIFS(SALIDAS_BIT,FECHA_BIT,"&gt;="&amp;BH$2,FECHA_BIT,"&lt;="&amp;BH$3,CLAVE_BIT,$A339)+SUMIFS(SALIDAS_BOV1,FECHA_BOV1,"&gt;="&amp;BH$2,FECHA_BOV1,"&lt;="&amp;BH$3,CLAVE_BOV1,$A339)+SUMIFS(SALIDAS_BOV2,FECHA_BOV2,"&gt;="&amp;BH$2,FECHA_BOV2,"&lt;="&amp;BH$3,CLAVE_BOV2,$A339)+SUMIFS(SALIDAS_BOV3,FECHA_BOV3,"&gt;="&amp;BH$2,FECHA_BOV3,"&lt;="&amp;BH$3,CLAVE_BOV3,$A339)+SUMIFS(SALIDAS_TC,FECHA_TC,"&gt;="&amp;BH$2,FECHA_TC,"&lt;="&amp;BH$3,CLAVE_TC,$A339)+SUMIFS(SALIDAS_COMB,FECHA_COMB,"&gt;="&amp;BH$2,FECHA_COMB,"&lt;="&amp;BH$3,CLAVE_COMB,$A339)+SUMIFS(SALIDAS_DES,FECHA_DESGLOSEN,"&gt;="&amp;BH$2,FECHA_DESGLOSEN,"&lt;="&amp;BH$3,CLAVE_DESGLOSE,$A339)</f>
        <v>0</v>
      </c>
      <c r="BI339" s="162">
        <f>SUMIFS(SALIDAS_BIT,FECHA_BIT,"&gt;="&amp;BI$2,FECHA_BIT,"&lt;="&amp;BI$3,CLAVE_BIT,$A339)+SUMIFS(SALIDAS_BOV1,FECHA_BOV1,"&gt;="&amp;BI$2,FECHA_BOV1,"&lt;="&amp;BI$3,CLAVE_BOV1,$A339)+SUMIFS(SALIDAS_BOV2,FECHA_BOV2,"&gt;="&amp;BI$2,FECHA_BOV2,"&lt;="&amp;BI$3,CLAVE_BOV2,$A339)+SUMIFS(SALIDAS_BOV3,FECHA_BOV3,"&gt;="&amp;BI$2,FECHA_BOV3,"&lt;="&amp;BI$3,CLAVE_BOV3,$A339)+SUMIFS(SALIDAS_TC,FECHA_TC,"&gt;="&amp;BI$2,FECHA_TC,"&lt;="&amp;BI$3,CLAVE_TC,$A339)+SUMIFS(SALIDAS_COMB,FECHA_COMB,"&gt;="&amp;BI$2,FECHA_COMB,"&lt;="&amp;BI$3,CLAVE_COMB,$A339)+SUMIFS(SALIDAS_DES,FECHA_DESGLOSEN,"&gt;="&amp;BI$2,FECHA_DESGLOSEN,"&lt;="&amp;BI$3,CLAVE_DESGLOSE,$A339)</f>
        <v>0</v>
      </c>
      <c r="BJ339" s="227">
        <f>BD339-BI339</f>
        <v>0</v>
      </c>
      <c r="BK339" s="301">
        <f>IFERROR((BI339/BD339),0)</f>
        <v>0</v>
      </c>
      <c r="BL339" s="162">
        <f>VLOOKUP($A339,T_PRESUPUESTO,MATCH(BL$6,E_PRESUPUESTO,0),FALSE)</f>
        <v>0</v>
      </c>
      <c r="BM339" s="162">
        <f>SUMIFS(SALIDAS_BIT,FECHA_BIT,"&gt;="&amp;BM$2,FECHA_BIT,"&lt;="&amp;BM$3,CLAVE_BIT,$A339)+SUMIFS(SALIDAS_BOV1,FECHA_BOV1,"&gt;="&amp;BM$2,FECHA_BOV1,"&lt;="&amp;BM$3,CLAVE_BOV1,$A339)+SUMIFS(SALIDAS_BOV2,FECHA_BOV2,"&gt;="&amp;BM$2,FECHA_BOV2,"&lt;="&amp;BM$3,CLAVE_BOV2,$A339)+SUMIFS(SALIDAS_BOV3,FECHA_BOV3,"&gt;="&amp;BM$2,FECHA_BOV3,"&lt;="&amp;BM$3,CLAVE_BOV3,$A339)+SUMIFS(SALIDAS_TC,FECHA_TC,"&gt;="&amp;BM$2,FECHA_TC,"&lt;="&amp;BM$3,CLAVE_TC,$A339)+SUMIFS(SALIDAS_COMB,FECHA_COMB,"&gt;="&amp;BM$2,FECHA_COMB,"&lt;="&amp;BM$3,CLAVE_COMB,$A339)+SUMIFS(SALIDAS_DES,FECHA_DESGLOSEN,"&gt;="&amp;BM$2,FECHA_DESGLOSEN,"&lt;="&amp;BM$3,CLAVE_DESGLOSE,$A339)</f>
        <v>0</v>
      </c>
      <c r="BN339" s="162">
        <f>SUMIFS(SALIDAS_BIT,FECHA_BIT,"&gt;="&amp;BN$2,FECHA_BIT,"&lt;="&amp;BN$3,CLAVE_BIT,$A339)+SUMIFS(SALIDAS_BOV1,FECHA_BOV1,"&gt;="&amp;BN$2,FECHA_BOV1,"&lt;="&amp;BN$3,CLAVE_BOV1,$A339)+SUMIFS(SALIDAS_BOV2,FECHA_BOV2,"&gt;="&amp;BN$2,FECHA_BOV2,"&lt;="&amp;BN$3,CLAVE_BOV2,$A339)+SUMIFS(SALIDAS_BOV3,FECHA_BOV3,"&gt;="&amp;BN$2,FECHA_BOV3,"&lt;="&amp;BN$3,CLAVE_BOV3,$A339)+SUMIFS(SALIDAS_TC,FECHA_TC,"&gt;="&amp;BN$2,FECHA_TC,"&lt;="&amp;BN$3,CLAVE_TC,$A339)+SUMIFS(SALIDAS_COMB,FECHA_COMB,"&gt;="&amp;BN$2,FECHA_COMB,"&lt;="&amp;BN$3,CLAVE_COMB,$A339)+SUMIFS(SALIDAS_DES,FECHA_DESGLOSEN,"&gt;="&amp;BN$2,FECHA_DESGLOSEN,"&lt;="&amp;BN$3,CLAVE_DESGLOSE,$A339)</f>
        <v>0</v>
      </c>
      <c r="BO339" s="162">
        <f>SUMIFS(SALIDAS_BIT,FECHA_BIT,"&gt;="&amp;BO$2,FECHA_BIT,"&lt;="&amp;BO$3,CLAVE_BIT,$A339)+SUMIFS(SALIDAS_BOV1,FECHA_BOV1,"&gt;="&amp;BO$2,FECHA_BOV1,"&lt;="&amp;BO$3,CLAVE_BOV1,$A339)+SUMIFS(SALIDAS_BOV2,FECHA_BOV2,"&gt;="&amp;BO$2,FECHA_BOV2,"&lt;="&amp;BO$3,CLAVE_BOV2,$A339)+SUMIFS(SALIDAS_BOV3,FECHA_BOV3,"&gt;="&amp;BO$2,FECHA_BOV3,"&lt;="&amp;BO$3,CLAVE_BOV3,$A339)+SUMIFS(SALIDAS_TC,FECHA_TC,"&gt;="&amp;BO$2,FECHA_TC,"&lt;="&amp;BO$3,CLAVE_TC,$A339)+SUMIFS(SALIDAS_COMB,FECHA_COMB,"&gt;="&amp;BO$2,FECHA_COMB,"&lt;="&amp;BO$3,CLAVE_COMB,$A339)+SUMIFS(SALIDAS_DES,FECHA_DESGLOSEN,"&gt;="&amp;BO$2,FECHA_DESGLOSEN,"&lt;="&amp;BO$3,CLAVE_DESGLOSE,$A339)</f>
        <v>0</v>
      </c>
      <c r="BP339" s="162">
        <f>SUMIFS(SALIDAS_BIT,FECHA_BIT,"&gt;="&amp;BP$2,FECHA_BIT,"&lt;="&amp;BP$3,CLAVE_BIT,$A339)+SUMIFS(SALIDAS_BOV1,FECHA_BOV1,"&gt;="&amp;BP$2,FECHA_BOV1,"&lt;="&amp;BP$3,CLAVE_BOV1,$A339)+SUMIFS(SALIDAS_BOV2,FECHA_BOV2,"&gt;="&amp;BP$2,FECHA_BOV2,"&lt;="&amp;BP$3,CLAVE_BOV2,$A339)+SUMIFS(SALIDAS_BOV3,FECHA_BOV3,"&gt;="&amp;BP$2,FECHA_BOV3,"&lt;="&amp;BP$3,CLAVE_BOV3,$A339)+SUMIFS(SALIDAS_TC,FECHA_TC,"&gt;="&amp;BP$2,FECHA_TC,"&lt;="&amp;BP$3,CLAVE_TC,$A339)+SUMIFS(SALIDAS_COMB,FECHA_COMB,"&gt;="&amp;BP$2,FECHA_COMB,"&lt;="&amp;BP$3,CLAVE_COMB,$A339)+SUMIFS(SALIDAS_DES,FECHA_DESGLOSEN,"&gt;="&amp;BP$2,FECHA_DESGLOSEN,"&lt;="&amp;BP$3,CLAVE_DESGLOSE,$A339)</f>
        <v>4436.7</v>
      </c>
      <c r="BQ339" s="162">
        <f>SUMIFS(SALIDAS_BIT,FECHA_BIT,"&gt;="&amp;BQ$2,FECHA_BIT,"&lt;="&amp;BQ$3,CLAVE_BIT,$A339)+SUMIFS(SALIDAS_BOV1,FECHA_BOV1,"&gt;="&amp;BQ$2,FECHA_BOV1,"&lt;="&amp;BQ$3,CLAVE_BOV1,$A339)+SUMIFS(SALIDAS_BOV2,FECHA_BOV2,"&gt;="&amp;BQ$2,FECHA_BOV2,"&lt;="&amp;BQ$3,CLAVE_BOV2,$A339)+SUMIFS(SALIDAS_BOV3,FECHA_BOV3,"&gt;="&amp;BQ$2,FECHA_BOV3,"&lt;="&amp;BQ$3,CLAVE_BOV3,$A339)+SUMIFS(SALIDAS_TC,FECHA_TC,"&gt;="&amp;BQ$2,FECHA_TC,"&lt;="&amp;BQ$3,CLAVE_TC,$A339)+SUMIFS(SALIDAS_COMB,FECHA_COMB,"&gt;="&amp;BQ$2,FECHA_COMB,"&lt;="&amp;BQ$3,CLAVE_COMB,$A339)+SUMIFS(SALIDAS_DES,FECHA_DESGLOSEN,"&gt;="&amp;BQ$2,FECHA_DESGLOSEN,"&lt;="&amp;BQ$3,CLAVE_DESGLOSE,$A339)</f>
        <v>0</v>
      </c>
      <c r="BR339" s="162">
        <f>SUMIFS(SALIDAS_BIT,FECHA_BIT,"&gt;="&amp;BR$2,FECHA_BIT,"&lt;="&amp;BR$3,CLAVE_BIT,$A339)+SUMIFS(SALIDAS_BOV1,FECHA_BOV1,"&gt;="&amp;BR$2,FECHA_BOV1,"&lt;="&amp;BR$3,CLAVE_BOV1,$A339)+SUMIFS(SALIDAS_BOV2,FECHA_BOV2,"&gt;="&amp;BR$2,FECHA_BOV2,"&lt;="&amp;BR$3,CLAVE_BOV2,$A339)+SUMIFS(SALIDAS_BOV3,FECHA_BOV3,"&gt;="&amp;BR$2,FECHA_BOV3,"&lt;="&amp;BR$3,CLAVE_BOV3,$A339)+SUMIFS(SALIDAS_TC,FECHA_TC,"&gt;="&amp;BR$2,FECHA_TC,"&lt;="&amp;BR$3,CLAVE_TC,$A339)+SUMIFS(SALIDAS_COMB,FECHA_COMB,"&gt;="&amp;BR$2,FECHA_COMB,"&lt;="&amp;BR$3,CLAVE_COMB,$A339)+SUMIFS(SALIDAS_DES,FECHA_DESGLOSEN,"&gt;="&amp;BR$2,FECHA_DESGLOSEN,"&lt;="&amp;BR$3,CLAVE_DESGLOSE,$A339)</f>
        <v>4436.7</v>
      </c>
      <c r="BS339" s="227">
        <f>BL339-BR339</f>
        <v>-4436.7</v>
      </c>
      <c r="BT339" s="301">
        <f>IFERROR((BR339/BL339),0)</f>
        <v>0</v>
      </c>
      <c r="BU339" s="162">
        <f>VLOOKUP($A339,T_PRESUPUESTO,MATCH(BU$6,E_PRESUPUESTO,0),FALSE)</f>
        <v>0</v>
      </c>
      <c r="BV339" s="162">
        <f>SUMIFS(SALIDAS_BIT,FECHA_BIT,"&gt;="&amp;BV$2,FECHA_BIT,"&lt;="&amp;BV$3,CLAVE_BIT,$A339)+SUMIFS(SALIDAS_BOV1,FECHA_BOV1,"&gt;="&amp;BV$2,FECHA_BOV1,"&lt;="&amp;BV$3,CLAVE_BOV1,$A339)+SUMIFS(SALIDAS_BOV2,FECHA_BOV2,"&gt;="&amp;BV$2,FECHA_BOV2,"&lt;="&amp;BV$3,CLAVE_BOV2,$A339)+SUMIFS(SALIDAS_BOV3,FECHA_BOV3,"&gt;="&amp;BV$2,FECHA_BOV3,"&lt;="&amp;BV$3,CLAVE_BOV3,$A339)+SUMIFS(SALIDAS_TC,FECHA_TC,"&gt;="&amp;BV$2,FECHA_TC,"&lt;="&amp;BV$3,CLAVE_TC,$A339)+SUMIFS(SALIDAS_COMB,FECHA_COMB,"&gt;="&amp;BV$2,FECHA_COMB,"&lt;="&amp;BV$3,CLAVE_COMB,$A339)+SUMIFS(SALIDAS_DES,FECHA_DESGLOSEN,"&gt;="&amp;BV$2,FECHA_DESGLOSEN,"&lt;="&amp;BV$3,CLAVE_DESGLOSE,$A339)</f>
        <v>0</v>
      </c>
      <c r="BW339" s="162">
        <f>SUMIFS(SALIDAS_BIT,FECHA_BIT,"&gt;="&amp;BW$2,FECHA_BIT,"&lt;="&amp;BW$3,CLAVE_BIT,$A339)+SUMIFS(SALIDAS_BOV1,FECHA_BOV1,"&gt;="&amp;BW$2,FECHA_BOV1,"&lt;="&amp;BW$3,CLAVE_BOV1,$A339)+SUMIFS(SALIDAS_BOV2,FECHA_BOV2,"&gt;="&amp;BW$2,FECHA_BOV2,"&lt;="&amp;BW$3,CLAVE_BOV2,$A339)+SUMIFS(SALIDAS_BOV3,FECHA_BOV3,"&gt;="&amp;BW$2,FECHA_BOV3,"&lt;="&amp;BW$3,CLAVE_BOV3,$A339)+SUMIFS(SALIDAS_TC,FECHA_TC,"&gt;="&amp;BW$2,FECHA_TC,"&lt;="&amp;BW$3,CLAVE_TC,$A339)+SUMIFS(SALIDAS_COMB,FECHA_COMB,"&gt;="&amp;BW$2,FECHA_COMB,"&lt;="&amp;BW$3,CLAVE_COMB,$A339)+SUMIFS(SALIDAS_DES,FECHA_DESGLOSEN,"&gt;="&amp;BW$2,FECHA_DESGLOSEN,"&lt;="&amp;BW$3,CLAVE_DESGLOSE,$A339)</f>
        <v>0</v>
      </c>
      <c r="BX339" s="162">
        <f>SUMIFS(SALIDAS_BIT,FECHA_BIT,"&gt;="&amp;BX$2,FECHA_BIT,"&lt;="&amp;BX$3,CLAVE_BIT,$A339)+SUMIFS(SALIDAS_BOV1,FECHA_BOV1,"&gt;="&amp;BX$2,FECHA_BOV1,"&lt;="&amp;BX$3,CLAVE_BOV1,$A339)+SUMIFS(SALIDAS_BOV2,FECHA_BOV2,"&gt;="&amp;BX$2,FECHA_BOV2,"&lt;="&amp;BX$3,CLAVE_BOV2,$A339)+SUMIFS(SALIDAS_BOV3,FECHA_BOV3,"&gt;="&amp;BX$2,FECHA_BOV3,"&lt;="&amp;BX$3,CLAVE_BOV3,$A339)+SUMIFS(SALIDAS_TC,FECHA_TC,"&gt;="&amp;BX$2,FECHA_TC,"&lt;="&amp;BX$3,CLAVE_TC,$A339)+SUMIFS(SALIDAS_COMB,FECHA_COMB,"&gt;="&amp;BX$2,FECHA_COMB,"&lt;="&amp;BX$3,CLAVE_COMB,$A339)+SUMIFS(SALIDAS_DES,FECHA_DESGLOSEN,"&gt;="&amp;BX$2,FECHA_DESGLOSEN,"&lt;="&amp;BX$3,CLAVE_DESGLOSE,$A339)</f>
        <v>0</v>
      </c>
      <c r="BY339" s="162">
        <f>SUMIFS(SALIDAS_BIT,FECHA_BIT,"&gt;="&amp;BY$2,FECHA_BIT,"&lt;="&amp;BY$3,CLAVE_BIT,$A339)+SUMIFS(SALIDAS_BOV1,FECHA_BOV1,"&gt;="&amp;BY$2,FECHA_BOV1,"&lt;="&amp;BY$3,CLAVE_BOV1,$A339)+SUMIFS(SALIDAS_BOV2,FECHA_BOV2,"&gt;="&amp;BY$2,FECHA_BOV2,"&lt;="&amp;BY$3,CLAVE_BOV2,$A339)+SUMIFS(SALIDAS_BOV3,FECHA_BOV3,"&gt;="&amp;BY$2,FECHA_BOV3,"&lt;="&amp;BY$3,CLAVE_BOV3,$A339)+SUMIFS(SALIDAS_TC,FECHA_TC,"&gt;="&amp;BY$2,FECHA_TC,"&lt;="&amp;BY$3,CLAVE_TC,$A339)+SUMIFS(SALIDAS_COMB,FECHA_COMB,"&gt;="&amp;BY$2,FECHA_COMB,"&lt;="&amp;BY$3,CLAVE_COMB,$A339)+SUMIFS(SALIDAS_DES,FECHA_DESGLOSEN,"&gt;="&amp;BY$2,FECHA_DESGLOSEN,"&lt;="&amp;BY$3,CLAVE_DESGLOSE,$A339)</f>
        <v>0</v>
      </c>
      <c r="BZ339" s="162">
        <f>SUMIFS(SALIDAS_BIT,FECHA_BIT,"&gt;="&amp;BZ$2,FECHA_BIT,"&lt;="&amp;BZ$3,CLAVE_BIT,$A339)+SUMIFS(SALIDAS_BOV1,FECHA_BOV1,"&gt;="&amp;BZ$2,FECHA_BOV1,"&lt;="&amp;BZ$3,CLAVE_BOV1,$A339)+SUMIFS(SALIDAS_BOV2,FECHA_BOV2,"&gt;="&amp;BZ$2,FECHA_BOV2,"&lt;="&amp;BZ$3,CLAVE_BOV2,$A339)+SUMIFS(SALIDAS_BOV3,FECHA_BOV3,"&gt;="&amp;BZ$2,FECHA_BOV3,"&lt;="&amp;BZ$3,CLAVE_BOV3,$A339)+SUMIFS(SALIDAS_TC,FECHA_TC,"&gt;="&amp;BZ$2,FECHA_TC,"&lt;="&amp;BZ$3,CLAVE_TC,$A339)+SUMIFS(SALIDAS_COMB,FECHA_COMB,"&gt;="&amp;BZ$2,FECHA_COMB,"&lt;="&amp;BZ$3,CLAVE_COMB,$A339)+SUMIFS(SALIDAS_DES,FECHA_DESGLOSEN,"&gt;="&amp;BZ$2,FECHA_DESGLOSEN,"&lt;="&amp;BZ$3,CLAVE_DESGLOSE,$A339)</f>
        <v>0</v>
      </c>
      <c r="CA339" s="227">
        <f>BU339-BZ339</f>
        <v>0</v>
      </c>
      <c r="CB339" s="301">
        <f>IFERROR((BZ339/BU339),0)</f>
        <v>0</v>
      </c>
      <c r="CC339" s="162">
        <f>VLOOKUP($A339,T_PRESUPUESTO,MATCH(CC$6,E_PRESUPUESTO,0),FALSE)</f>
        <v>0</v>
      </c>
      <c r="CD339" s="162">
        <f>SUMIFS(SALIDAS_BIT,FECHA_BIT,"&gt;="&amp;CD$2,FECHA_BIT,"&lt;="&amp;CD$3,CLAVE_BIT,$A339)+SUMIFS(SALIDAS_BOV1,FECHA_BOV1,"&gt;="&amp;CD$2,FECHA_BOV1,"&lt;="&amp;CD$3,CLAVE_BOV1,$A339)+SUMIFS(SALIDAS_BOV2,FECHA_BOV2,"&gt;="&amp;CD$2,FECHA_BOV2,"&lt;="&amp;CD$3,CLAVE_BOV2,$A339)+SUMIFS(SALIDAS_BOV3,FECHA_BOV3,"&gt;="&amp;CD$2,FECHA_BOV3,"&lt;="&amp;CD$3,CLAVE_BOV3,$A339)+SUMIFS(SALIDAS_TC,FECHA_TC,"&gt;="&amp;CD$2,FECHA_TC,"&lt;="&amp;CD$3,CLAVE_TC,$A339)+SUMIFS(SALIDAS_COMB,FECHA_COMB,"&gt;="&amp;CD$2,FECHA_COMB,"&lt;="&amp;CD$3,CLAVE_COMB,$A339)+SUMIFS(SALIDAS_DES,FECHA_DESGLOSEN,"&gt;="&amp;CD$2,FECHA_DESGLOSEN,"&lt;="&amp;CD$3,CLAVE_DESGLOSE,$A339)</f>
        <v>0</v>
      </c>
      <c r="CE339" s="162">
        <f>SUMIFS(SALIDAS_BIT,FECHA_BIT,"&gt;="&amp;CE$2,FECHA_BIT,"&lt;="&amp;CE$3,CLAVE_BIT,$A339)+SUMIFS(SALIDAS_BOV1,FECHA_BOV1,"&gt;="&amp;CE$2,FECHA_BOV1,"&lt;="&amp;CE$3,CLAVE_BOV1,$A339)+SUMIFS(SALIDAS_BOV2,FECHA_BOV2,"&gt;="&amp;CE$2,FECHA_BOV2,"&lt;="&amp;CE$3,CLAVE_BOV2,$A339)+SUMIFS(SALIDAS_BOV3,FECHA_BOV3,"&gt;="&amp;CE$2,FECHA_BOV3,"&lt;="&amp;CE$3,CLAVE_BOV3,$A339)+SUMIFS(SALIDAS_TC,FECHA_TC,"&gt;="&amp;CE$2,FECHA_TC,"&lt;="&amp;CE$3,CLAVE_TC,$A339)+SUMIFS(SALIDAS_COMB,FECHA_COMB,"&gt;="&amp;CE$2,FECHA_COMB,"&lt;="&amp;CE$3,CLAVE_COMB,$A339)+SUMIFS(SALIDAS_DES,FECHA_DESGLOSEN,"&gt;="&amp;CE$2,FECHA_DESGLOSEN,"&lt;="&amp;CE$3,CLAVE_DESGLOSE,$A339)</f>
        <v>0</v>
      </c>
      <c r="CF339" s="162">
        <f>SUMIFS(SALIDAS_BIT,FECHA_BIT,"&gt;="&amp;CF$2,FECHA_BIT,"&lt;="&amp;CF$3,CLAVE_BIT,$A339)+SUMIFS(SALIDAS_BOV1,FECHA_BOV1,"&gt;="&amp;CF$2,FECHA_BOV1,"&lt;="&amp;CF$3,CLAVE_BOV1,$A339)+SUMIFS(SALIDAS_BOV2,FECHA_BOV2,"&gt;="&amp;CF$2,FECHA_BOV2,"&lt;="&amp;CF$3,CLAVE_BOV2,$A339)+SUMIFS(SALIDAS_BOV3,FECHA_BOV3,"&gt;="&amp;CF$2,FECHA_BOV3,"&lt;="&amp;CF$3,CLAVE_BOV3,$A339)+SUMIFS(SALIDAS_TC,FECHA_TC,"&gt;="&amp;CF$2,FECHA_TC,"&lt;="&amp;CF$3,CLAVE_TC,$A339)+SUMIFS(SALIDAS_COMB,FECHA_COMB,"&gt;="&amp;CF$2,FECHA_COMB,"&lt;="&amp;CF$3,CLAVE_COMB,$A339)+SUMIFS(SALIDAS_DES,FECHA_DESGLOSEN,"&gt;="&amp;CF$2,FECHA_DESGLOSEN,"&lt;="&amp;CF$3,CLAVE_DESGLOSE,$A339)</f>
        <v>0</v>
      </c>
      <c r="CG339" s="162">
        <f>SUMIFS(SALIDAS_BIT,FECHA_BIT,"&gt;="&amp;CG$2,FECHA_BIT,"&lt;="&amp;CG$3,CLAVE_BIT,$A339)+SUMIFS(SALIDAS_BOV1,FECHA_BOV1,"&gt;="&amp;CG$2,FECHA_BOV1,"&lt;="&amp;CG$3,CLAVE_BOV1,$A339)+SUMIFS(SALIDAS_BOV2,FECHA_BOV2,"&gt;="&amp;CG$2,FECHA_BOV2,"&lt;="&amp;CG$3,CLAVE_BOV2,$A339)+SUMIFS(SALIDAS_BOV3,FECHA_BOV3,"&gt;="&amp;CG$2,FECHA_BOV3,"&lt;="&amp;CG$3,CLAVE_BOV3,$A339)+SUMIFS(SALIDAS_TC,FECHA_TC,"&gt;="&amp;CG$2,FECHA_TC,"&lt;="&amp;CG$3,CLAVE_TC,$A339)+SUMIFS(SALIDAS_COMB,FECHA_COMB,"&gt;="&amp;CG$2,FECHA_COMB,"&lt;="&amp;CG$3,CLAVE_COMB,$A339)+SUMIFS(SALIDAS_DES,FECHA_DESGLOSEN,"&gt;="&amp;CG$2,FECHA_DESGLOSEN,"&lt;="&amp;CG$3,CLAVE_DESGLOSE,$A339)</f>
        <v>6801.5</v>
      </c>
      <c r="CH339" s="162">
        <f>SUMIFS(SALIDAS_BIT,FECHA_BIT,"&gt;="&amp;CH$2,FECHA_BIT,"&lt;="&amp;CH$3,CLAVE_BIT,$A339)+SUMIFS(SALIDAS_BOV1,FECHA_BOV1,"&gt;="&amp;CH$2,FECHA_BOV1,"&lt;="&amp;CH$3,CLAVE_BOV1,$A339)+SUMIFS(SALIDAS_BOV2,FECHA_BOV2,"&gt;="&amp;CH$2,FECHA_BOV2,"&lt;="&amp;CH$3,CLAVE_BOV2,$A339)+SUMIFS(SALIDAS_BOV3,FECHA_BOV3,"&gt;="&amp;CH$2,FECHA_BOV3,"&lt;="&amp;CH$3,CLAVE_BOV3,$A339)+SUMIFS(SALIDAS_TC,FECHA_TC,"&gt;="&amp;CH$2,FECHA_TC,"&lt;="&amp;CH$3,CLAVE_TC,$A339)+SUMIFS(SALIDAS_COMB,FECHA_COMB,"&gt;="&amp;CH$2,FECHA_COMB,"&lt;="&amp;CH$3,CLAVE_COMB,$A339)+SUMIFS(SALIDAS_DES,FECHA_DESGLOSEN,"&gt;="&amp;CH$2,FECHA_DESGLOSEN,"&lt;="&amp;CH$3,CLAVE_DESGLOSE,$A339)</f>
        <v>6801.5</v>
      </c>
      <c r="CI339" s="227">
        <f>CC339-CH339</f>
        <v>-6801.5</v>
      </c>
      <c r="CJ339" s="301">
        <f>IFERROR((CH339/CC339),0)</f>
        <v>0</v>
      </c>
      <c r="CK339" s="162">
        <f>VLOOKUP($A339,T_PRESUPUESTO,MATCH(CK$6,E_PRESUPUESTO,0),FALSE)</f>
        <v>0</v>
      </c>
      <c r="CL339" s="162">
        <f>SUMIFS(SALIDAS_BIT,FECHA_BIT,"&gt;="&amp;CL$2,FECHA_BIT,"&lt;="&amp;CL$3,CLAVE_BIT,$A339)+SUMIFS(SALIDAS_BOV1,FECHA_BOV1,"&gt;="&amp;CL$2,FECHA_BOV1,"&lt;="&amp;CL$3,CLAVE_BOV1,$A339)+SUMIFS(SALIDAS_BOV2,FECHA_BOV2,"&gt;="&amp;CL$2,FECHA_BOV2,"&lt;="&amp;CL$3,CLAVE_BOV2,$A339)+SUMIFS(SALIDAS_BOV3,FECHA_BOV3,"&gt;="&amp;CL$2,FECHA_BOV3,"&lt;="&amp;CL$3,CLAVE_BOV3,$A339)+SUMIFS(SALIDAS_TC,FECHA_TC,"&gt;="&amp;CL$2,FECHA_TC,"&lt;="&amp;CL$3,CLAVE_TC,$A339)+SUMIFS(SALIDAS_COMB,FECHA_COMB,"&gt;="&amp;CL$2,FECHA_COMB,"&lt;="&amp;CL$3,CLAVE_COMB,$A339)+SUMIFS(SALIDAS_DES,FECHA_DESGLOSEN,"&gt;="&amp;CL$2,FECHA_DESGLOSEN,"&lt;="&amp;CL$3,CLAVE_DESGLOSE,$A339)</f>
        <v>1085</v>
      </c>
      <c r="CM339" s="162">
        <f>SUMIFS(SALIDAS_BIT,FECHA_BIT,"&gt;="&amp;CM$2,FECHA_BIT,"&lt;="&amp;CM$3,CLAVE_BIT,$A339)+SUMIFS(SALIDAS_BOV1,FECHA_BOV1,"&gt;="&amp;CM$2,FECHA_BOV1,"&lt;="&amp;CM$3,CLAVE_BOV1,$A339)+SUMIFS(SALIDAS_BOV2,FECHA_BOV2,"&gt;="&amp;CM$2,FECHA_BOV2,"&lt;="&amp;CM$3,CLAVE_BOV2,$A339)+SUMIFS(SALIDAS_BOV3,FECHA_BOV3,"&gt;="&amp;CM$2,FECHA_BOV3,"&lt;="&amp;CM$3,CLAVE_BOV3,$A339)+SUMIFS(SALIDAS_TC,FECHA_TC,"&gt;="&amp;CM$2,FECHA_TC,"&lt;="&amp;CM$3,CLAVE_TC,$A339)+SUMIFS(SALIDAS_COMB,FECHA_COMB,"&gt;="&amp;CM$2,FECHA_COMB,"&lt;="&amp;CM$3,CLAVE_COMB,$A339)+SUMIFS(SALIDAS_DES,FECHA_DESGLOSEN,"&gt;="&amp;CM$2,FECHA_DESGLOSEN,"&lt;="&amp;CM$3,CLAVE_DESGLOSE,$A339)</f>
        <v>1475</v>
      </c>
      <c r="CN339" s="162">
        <f>SUMIFS(SALIDAS_BIT,FECHA_BIT,"&gt;="&amp;CN$2,FECHA_BIT,"&lt;="&amp;CN$3,CLAVE_BIT,$A339)+SUMIFS(SALIDAS_BOV1,FECHA_BOV1,"&gt;="&amp;CN$2,FECHA_BOV1,"&lt;="&amp;CN$3,CLAVE_BOV1,$A339)+SUMIFS(SALIDAS_BOV2,FECHA_BOV2,"&gt;="&amp;CN$2,FECHA_BOV2,"&lt;="&amp;CN$3,CLAVE_BOV2,$A339)+SUMIFS(SALIDAS_BOV3,FECHA_BOV3,"&gt;="&amp;CN$2,FECHA_BOV3,"&lt;="&amp;CN$3,CLAVE_BOV3,$A339)+SUMIFS(SALIDAS_TC,FECHA_TC,"&gt;="&amp;CN$2,FECHA_TC,"&lt;="&amp;CN$3,CLAVE_TC,$A339)+SUMIFS(SALIDAS_COMB,FECHA_COMB,"&gt;="&amp;CN$2,FECHA_COMB,"&lt;="&amp;CN$3,CLAVE_COMB,$A339)+SUMIFS(SALIDAS_DES,FECHA_DESGLOSEN,"&gt;="&amp;CN$2,FECHA_DESGLOSEN,"&lt;="&amp;CN$3,CLAVE_DESGLOSE,$A339)</f>
        <v>1122</v>
      </c>
      <c r="CO339" s="162">
        <f>SUMIFS(SALIDAS_BIT,FECHA_BIT,"&gt;="&amp;CO$2,FECHA_BIT,"&lt;="&amp;CO$3,CLAVE_BIT,$A339)+SUMIFS(SALIDAS_BOV1,FECHA_BOV1,"&gt;="&amp;CO$2,FECHA_BOV1,"&lt;="&amp;CO$3,CLAVE_BOV1,$A339)+SUMIFS(SALIDAS_BOV2,FECHA_BOV2,"&gt;="&amp;CO$2,FECHA_BOV2,"&lt;="&amp;CO$3,CLAVE_BOV2,$A339)+SUMIFS(SALIDAS_BOV3,FECHA_BOV3,"&gt;="&amp;CO$2,FECHA_BOV3,"&lt;="&amp;CO$3,CLAVE_BOV3,$A339)+SUMIFS(SALIDAS_TC,FECHA_TC,"&gt;="&amp;CO$2,FECHA_TC,"&lt;="&amp;CO$3,CLAVE_TC,$A339)+SUMIFS(SALIDAS_COMB,FECHA_COMB,"&gt;="&amp;CO$2,FECHA_COMB,"&lt;="&amp;CO$3,CLAVE_COMB,$A339)+SUMIFS(SALIDAS_DES,FECHA_DESGLOSEN,"&gt;="&amp;CO$2,FECHA_DESGLOSEN,"&lt;="&amp;CO$3,CLAVE_DESGLOSE,$A339)</f>
        <v>1608</v>
      </c>
      <c r="CP339" s="162">
        <f>SUMIFS(SALIDAS_BIT,FECHA_BIT,"&gt;="&amp;CP$2,FECHA_BIT,"&lt;="&amp;CP$3,CLAVE_BIT,$A339)+SUMIFS(SALIDAS_BOV1,FECHA_BOV1,"&gt;="&amp;CP$2,FECHA_BOV1,"&lt;="&amp;CP$3,CLAVE_BOV1,$A339)+SUMIFS(SALIDAS_BOV2,FECHA_BOV2,"&gt;="&amp;CP$2,FECHA_BOV2,"&lt;="&amp;CP$3,CLAVE_BOV2,$A339)+SUMIFS(SALIDAS_BOV3,FECHA_BOV3,"&gt;="&amp;CP$2,FECHA_BOV3,"&lt;="&amp;CP$3,CLAVE_BOV3,$A339)+SUMIFS(SALIDAS_TC,FECHA_TC,"&gt;="&amp;CP$2,FECHA_TC,"&lt;="&amp;CP$3,CLAVE_TC,$A339)+SUMIFS(SALIDAS_COMB,FECHA_COMB,"&gt;="&amp;CP$2,FECHA_COMB,"&lt;="&amp;CP$3,CLAVE_COMB,$A339)+SUMIFS(SALIDAS_DES,FECHA_DESGLOSEN,"&gt;="&amp;CP$2,FECHA_DESGLOSEN,"&lt;="&amp;CP$3,CLAVE_DESGLOSE,$A339)</f>
        <v>0</v>
      </c>
      <c r="CQ339" s="162">
        <f>SUMIFS(SALIDAS_BIT,FECHA_BIT,"&gt;="&amp;CQ$2,FECHA_BIT,"&lt;="&amp;CQ$3,CLAVE_BIT,$A339)+SUMIFS(SALIDAS_BOV1,FECHA_BOV1,"&gt;="&amp;CQ$2,FECHA_BOV1,"&lt;="&amp;CQ$3,CLAVE_BOV1,$A339)+SUMIFS(SALIDAS_BOV2,FECHA_BOV2,"&gt;="&amp;CQ$2,FECHA_BOV2,"&lt;="&amp;CQ$3,CLAVE_BOV2,$A339)+SUMIFS(SALIDAS_BOV3,FECHA_BOV3,"&gt;="&amp;CQ$2,FECHA_BOV3,"&lt;="&amp;CQ$3,CLAVE_BOV3,$A339)+SUMIFS(SALIDAS_TC,FECHA_TC,"&gt;="&amp;CQ$2,FECHA_TC,"&lt;="&amp;CQ$3,CLAVE_TC,$A339)+SUMIFS(SALIDAS_COMB,FECHA_COMB,"&gt;="&amp;CQ$2,FECHA_COMB,"&lt;="&amp;CQ$3,CLAVE_COMB,$A339)+SUMIFS(SALIDAS_DES,FECHA_DESGLOSEN,"&gt;="&amp;CQ$2,FECHA_DESGLOSEN,"&lt;="&amp;CQ$3,CLAVE_DESGLOSE,$A339)</f>
        <v>5290</v>
      </c>
      <c r="CR339" s="227">
        <f>CK339-CQ339</f>
        <v>-5290</v>
      </c>
      <c r="CS339" s="301">
        <f>IFERROR((CQ339/CK339),0)</f>
        <v>0</v>
      </c>
      <c r="CT339" s="68">
        <f t="shared" si="712"/>
        <v>0</v>
      </c>
      <c r="CU339" s="13">
        <f>SUMIFS(SALIDAS_BIT,FECHA_BIT,"&gt;="&amp;CU$2,FECHA_BIT,"&lt;="&amp;CU$3,CLAVE_BIT,$A339)+SUMIFS(SALIDAS_BOV1,FECHA_BOV1,"&gt;="&amp;CU$2,FECHA_BOV1,"&lt;="&amp;CU$3,CLAVE_BOV1,$A339)+SUMIFS(SALIDAS_BOV2,FECHA_BOV2,"&gt;="&amp;CU$2,FECHA_BOV2,"&lt;="&amp;CU$3,CLAVE_BOV2,$A339)+SUMIFS(SALIDAS_BOV3,FECHA_BOV3,"&gt;="&amp;CU$2,FECHA_BOV3,"&lt;="&amp;CU$3,CLAVE_BOV3,$A339)+SUMIFS(SALIDAS_TC,FECHA_TC,"&gt;="&amp;CU$2,FECHA_TC,"&lt;="&amp;CU$3,CLAVE_TC,$A339)+SUMIFS(SALIDAS_COMB,FECHA_COMB,"&gt;="&amp;CU$2,FECHA_COMB,"&lt;="&amp;CU$3,CLAVE_COMB,$A339)+SUMIFS(SALIDAS_DES,FECHA_DESGLOSEN,"&gt;="&amp;CU$2,FECHA_DESGLOSEN,"&lt;="&amp;CU$3,CLAVE_DESGLOSE,$A339)</f>
        <v>0</v>
      </c>
      <c r="CV339" s="13">
        <f>SUMIFS(SALIDAS_BIT,FECHA_BIT,"&gt;="&amp;CV$2,FECHA_BIT,"&lt;="&amp;CV$3,CLAVE_BIT,$A339)+SUMIFS(SALIDAS_BOV1,FECHA_BOV1,"&gt;="&amp;CV$2,FECHA_BOV1,"&lt;="&amp;CV$3,CLAVE_BOV1,$A339)+SUMIFS(SALIDAS_BOV2,FECHA_BOV2,"&gt;="&amp;CV$2,FECHA_BOV2,"&lt;="&amp;CV$3,CLAVE_BOV2,$A339)+SUMIFS(SALIDAS_BOV3,FECHA_BOV3,"&gt;="&amp;CV$2,FECHA_BOV3,"&lt;="&amp;CV$3,CLAVE_BOV3,$A339)+SUMIFS(SALIDAS_TC,FECHA_TC,"&gt;="&amp;CV$2,FECHA_TC,"&lt;="&amp;CV$3,CLAVE_TC,$A339)+SUMIFS(SALIDAS_COMB,FECHA_COMB,"&gt;="&amp;CV$2,FECHA_COMB,"&lt;="&amp;CV$3,CLAVE_COMB,$A339)+SUMIFS(SALIDAS_DES,FECHA_DESGLOSEN,"&gt;="&amp;CV$2,FECHA_DESGLOSEN,"&lt;="&amp;CV$3,CLAVE_DESGLOSE,$A339)</f>
        <v>0</v>
      </c>
      <c r="CW339" s="13">
        <f>SUMIFS(SALIDAS_BIT,FECHA_BIT,"&gt;="&amp;CW$2,FECHA_BIT,"&lt;="&amp;CW$3,CLAVE_BIT,$A339)+SUMIFS(SALIDAS_BOV1,FECHA_BOV1,"&gt;="&amp;CW$2,FECHA_BOV1,"&lt;="&amp;CW$3,CLAVE_BOV1,$A339)+SUMIFS(SALIDAS_BOV2,FECHA_BOV2,"&gt;="&amp;CW$2,FECHA_BOV2,"&lt;="&amp;CW$3,CLAVE_BOV2,$A339)+SUMIFS(SALIDAS_BOV3,FECHA_BOV3,"&gt;="&amp;CW$2,FECHA_BOV3,"&lt;="&amp;CW$3,CLAVE_BOV3,$A339)+SUMIFS(SALIDAS_TC,FECHA_TC,"&gt;="&amp;CW$2,FECHA_TC,"&lt;="&amp;CW$3,CLAVE_TC,$A339)+SUMIFS(SALIDAS_COMB,FECHA_COMB,"&gt;="&amp;CW$2,FECHA_COMB,"&lt;="&amp;CW$3,CLAVE_COMB,$A339)+SUMIFS(SALIDAS_DES,FECHA_DESGLOSEN,"&gt;="&amp;CW$2,FECHA_DESGLOSEN,"&lt;="&amp;CW$3,CLAVE_DESGLOSE,$A339)</f>
        <v>5800</v>
      </c>
      <c r="CX339" s="13">
        <f>SUMIFS(SALIDAS_BIT,FECHA_BIT,"&gt;="&amp;CX$2,FECHA_BIT,"&lt;="&amp;CX$3,CLAVE_BIT,$A339)+SUMIFS(SALIDAS_BOV1,FECHA_BOV1,"&gt;="&amp;CX$2,FECHA_BOV1,"&lt;="&amp;CX$3,CLAVE_BOV1,$A339)+SUMIFS(SALIDAS_BOV2,FECHA_BOV2,"&gt;="&amp;CX$2,FECHA_BOV2,"&lt;="&amp;CX$3,CLAVE_BOV2,$A339)+SUMIFS(SALIDAS_BOV3,FECHA_BOV3,"&gt;="&amp;CX$2,FECHA_BOV3,"&lt;="&amp;CX$3,CLAVE_BOV3,$A339)+SUMIFS(SALIDAS_TC,FECHA_TC,"&gt;="&amp;CX$2,FECHA_TC,"&lt;="&amp;CX$3,CLAVE_TC,$A339)+SUMIFS(SALIDAS_COMB,FECHA_COMB,"&gt;="&amp;CX$2,FECHA_COMB,"&lt;="&amp;CX$3,CLAVE_COMB,$A339)+SUMIFS(SALIDAS_DES,FECHA_DESGLOSEN,"&gt;="&amp;CX$2,FECHA_DESGLOSEN,"&lt;="&amp;CX$3,CLAVE_DESGLOSE,$A339)</f>
        <v>825</v>
      </c>
      <c r="CY339" s="13">
        <f>SUMIFS(SALIDAS_BIT,FECHA_BIT,"&gt;="&amp;CY$2,FECHA_BIT,"&lt;="&amp;CY$3,CLAVE_BIT,$A339)+SUMIFS(SALIDAS_BOV1,FECHA_BOV1,"&gt;="&amp;CY$2,FECHA_BOV1,"&lt;="&amp;CY$3,CLAVE_BOV1,$A339)+SUMIFS(SALIDAS_BOV2,FECHA_BOV2,"&gt;="&amp;CY$2,FECHA_BOV2,"&lt;="&amp;CY$3,CLAVE_BOV2,$A339)+SUMIFS(SALIDAS_BOV3,FECHA_BOV3,"&gt;="&amp;CY$2,FECHA_BOV3,"&lt;="&amp;CY$3,CLAVE_BOV3,$A339)+SUMIFS(SALIDAS_TC,FECHA_TC,"&gt;="&amp;CY$2,FECHA_TC,"&lt;="&amp;CY$3,CLAVE_TC,$A339)+SUMIFS(SALIDAS_COMB,FECHA_COMB,"&gt;="&amp;CY$2,FECHA_COMB,"&lt;="&amp;CY$3,CLAVE_COMB,$A339)+SUMIFS(SALIDAS_DES,FECHA_DESGLOSEN,"&gt;="&amp;CY$2,FECHA_DESGLOSEN,"&lt;="&amp;CY$3,CLAVE_DESGLOSE,$A339)</f>
        <v>6625</v>
      </c>
      <c r="CZ339" s="68">
        <f t="shared" si="713"/>
        <v>-6625</v>
      </c>
      <c r="DB339" s="17">
        <f>F339+N339+W339+AE339+AM339+AV339+BD339+BL339+BU339+CC339+CK339</f>
        <v>0</v>
      </c>
      <c r="DC339" s="17">
        <f>K339+T339+AB339+AJ339+AS339+BA339+BI339+BR339+BZ339+CH339+CQ339</f>
        <v>16528.2</v>
      </c>
    </row>
    <row r="340" spans="1:107" ht="15" hidden="1">
      <c r="A340" s="12" t="str">
        <f>C340&amp;D340&amp;E340</f>
        <v/>
      </c>
      <c r="F340" s="263"/>
      <c r="G340" s="220"/>
      <c r="H340" s="220"/>
      <c r="I340" s="220"/>
      <c r="J340" s="220"/>
      <c r="K340" s="220"/>
      <c r="L340" s="220"/>
      <c r="M340" s="264"/>
      <c r="DB340" s="17">
        <f>F340+N340+W340+AE340+AM340+AV340+BD340+BL340+BU340+CC340+CK340</f>
        <v>0</v>
      </c>
      <c r="DC340" s="17">
        <f>K340+T340+AB340+AJ340+AS340+BA340+BI340+BR340+BZ340+CH340+CQ340</f>
        <v>0</v>
      </c>
    </row>
    <row r="341" spans="1:107" ht="15" hidden="1">
      <c r="A341" s="12" t="str">
        <f>C341&amp;D341&amp;E341</f>
        <v/>
      </c>
      <c r="F341" s="263"/>
      <c r="G341" s="220"/>
      <c r="H341" s="220"/>
      <c r="I341" s="220"/>
      <c r="J341" s="220"/>
      <c r="K341" s="220"/>
      <c r="L341" s="220"/>
      <c r="M341" s="264"/>
    </row>
    <row r="342" spans="1:107" ht="15" hidden="1">
      <c r="A342" s="12" t="str">
        <f>C342&amp;D342&amp;E342</f>
        <v/>
      </c>
      <c r="F342" s="263"/>
      <c r="G342" s="220"/>
      <c r="H342" s="220"/>
      <c r="I342" s="220"/>
      <c r="J342" s="220"/>
      <c r="K342" s="220"/>
      <c r="L342" s="220"/>
      <c r="M342" s="264"/>
    </row>
    <row r="343" spans="1:107" ht="15" hidden="1">
      <c r="A343" s="12" t="str">
        <f>C343&amp;D343&amp;E343</f>
        <v/>
      </c>
      <c r="F343" s="263"/>
      <c r="G343" s="220"/>
      <c r="H343" s="220"/>
      <c r="I343" s="220"/>
      <c r="J343" s="220"/>
      <c r="K343" s="220"/>
      <c r="L343" s="220"/>
      <c r="M343" s="264"/>
    </row>
    <row r="344" spans="1:107" ht="15" hidden="1">
      <c r="A344" s="12" t="str">
        <f>C344&amp;D344&amp;E344</f>
        <v/>
      </c>
      <c r="F344" s="263"/>
      <c r="G344" s="220"/>
      <c r="H344" s="220"/>
      <c r="I344" s="220"/>
      <c r="J344" s="220"/>
      <c r="K344" s="220"/>
      <c r="L344" s="220"/>
      <c r="M344" s="264"/>
    </row>
    <row r="345" spans="1:107" ht="15" hidden="1">
      <c r="A345" s="12" t="str">
        <f>C345&amp;D345&amp;E345</f>
        <v/>
      </c>
      <c r="F345" s="263"/>
      <c r="G345" s="220"/>
      <c r="H345" s="220"/>
      <c r="I345" s="220"/>
      <c r="J345" s="220"/>
      <c r="K345" s="220"/>
      <c r="L345" s="220"/>
      <c r="M345" s="264"/>
    </row>
    <row r="346" spans="1:107" ht="15" hidden="1">
      <c r="A346" s="12" t="str">
        <f>C346&amp;D346&amp;E346</f>
        <v/>
      </c>
      <c r="F346" s="263"/>
      <c r="G346" s="220"/>
      <c r="H346" s="220"/>
      <c r="I346" s="220"/>
      <c r="J346" s="220"/>
      <c r="K346" s="220"/>
      <c r="L346" s="220"/>
      <c r="M346" s="264"/>
    </row>
    <row r="347" spans="1:107" ht="15" hidden="1">
      <c r="A347" s="12" t="str">
        <f>C347&amp;D347&amp;E347</f>
        <v/>
      </c>
      <c r="F347" s="263"/>
      <c r="G347" s="220"/>
      <c r="H347" s="220"/>
      <c r="I347" s="220"/>
      <c r="J347" s="220"/>
      <c r="K347" s="220"/>
      <c r="L347" s="220"/>
      <c r="M347" s="264"/>
    </row>
    <row r="348" spans="1:107" ht="15" hidden="1">
      <c r="A348" s="12" t="str">
        <f>C348&amp;D348&amp;E348</f>
        <v/>
      </c>
      <c r="F348" s="263"/>
      <c r="G348" s="220"/>
      <c r="H348" s="220"/>
      <c r="I348" s="220"/>
      <c r="J348" s="220"/>
      <c r="K348" s="220"/>
      <c r="L348" s="220"/>
      <c r="M348" s="264"/>
    </row>
    <row r="349" spans="1:107" ht="15" hidden="1">
      <c r="A349" s="12" t="str">
        <f>C349&amp;D349&amp;E349</f>
        <v/>
      </c>
      <c r="F349" s="263"/>
      <c r="G349" s="220"/>
      <c r="H349" s="220"/>
      <c r="I349" s="220"/>
      <c r="J349" s="220"/>
      <c r="K349" s="220"/>
      <c r="L349" s="220"/>
      <c r="M349" s="264"/>
    </row>
    <row r="350" spans="1:107" ht="15" hidden="1">
      <c r="A350" s="12" t="str">
        <f>C350&amp;D350&amp;E350</f>
        <v/>
      </c>
      <c r="F350" s="263"/>
      <c r="G350" s="220"/>
      <c r="H350" s="220"/>
      <c r="I350" s="220"/>
      <c r="J350" s="220"/>
      <c r="K350" s="220"/>
      <c r="L350" s="220"/>
      <c r="M350" s="264"/>
    </row>
    <row r="351" spans="1:107" ht="15" hidden="1">
      <c r="A351" s="12" t="str">
        <f>C351&amp;D351&amp;E351</f>
        <v/>
      </c>
      <c r="F351" s="263"/>
      <c r="G351" s="220"/>
      <c r="H351" s="220"/>
      <c r="I351" s="220"/>
      <c r="J351" s="220"/>
      <c r="K351" s="220"/>
      <c r="L351" s="220"/>
      <c r="M351" s="264"/>
    </row>
    <row r="352" spans="1:107" ht="15" hidden="1">
      <c r="A352" s="12" t="str">
        <f>C352&amp;D352&amp;E352</f>
        <v/>
      </c>
      <c r="F352" s="263"/>
      <c r="G352" s="220"/>
      <c r="H352" s="220"/>
      <c r="I352" s="220"/>
      <c r="J352" s="220"/>
      <c r="K352" s="220"/>
      <c r="L352" s="220"/>
      <c r="M352" s="264"/>
    </row>
    <row r="353" spans="1:13" ht="15" hidden="1">
      <c r="A353" s="12" t="str">
        <f>C353&amp;D353&amp;E353</f>
        <v/>
      </c>
      <c r="F353" s="263"/>
      <c r="G353" s="220"/>
      <c r="H353" s="220"/>
      <c r="I353" s="220"/>
      <c r="J353" s="220"/>
      <c r="K353" s="220"/>
      <c r="L353" s="220"/>
      <c r="M353" s="264"/>
    </row>
    <row r="354" spans="1:13">
      <c r="F354" s="265"/>
      <c r="G354" s="266"/>
      <c r="H354" s="266"/>
      <c r="I354" s="266"/>
      <c r="J354" s="266"/>
      <c r="K354" s="266"/>
      <c r="L354" s="266"/>
      <c r="M354" s="267"/>
    </row>
    <row r="355" spans="1:13" ht="15"/>
  </sheetData>
  <protectedRanges>
    <protectedRange sqref="D311:D312" name="Rango1"/>
    <protectedRange sqref="D322" name="Rango1_1"/>
    <protectedRange sqref="D323" name="Rango1_2"/>
    <protectedRange sqref="D327:E327" name="Rango1_6"/>
    <protectedRange sqref="C337:E337 D338" name="Rango1_3"/>
  </protectedRanges>
  <autoFilter ref="B6:CZ353" xr:uid="{4019EC45-C546-4118-9A49-9C6DFA746F65}">
    <filterColumn colId="3">
      <filters>
        <filter val="XMLSAT"/>
      </filters>
    </filterColumn>
  </autoFilter>
  <phoneticPr fontId="3" type="noConversion"/>
  <conditionalFormatting sqref="G5:M5 AK326:AL339 AK6:AK325 AL7:AL325 L6:M339 U6:V339 AC6:AD339 AT6:AU339 BB6:BC339 BJ6:BK339 BS6:BT339 CA6:CB339 CI6:CJ339 CR6:CS6 CZ6:CZ339 CR7:CT339">
    <cfRule type="cellIs" dxfId="21" priority="19" operator="lessThan">
      <formula>0</formula>
    </cfRule>
  </conditionalFormatting>
  <conditionalFormatting sqref="O6:U6 AD5 X6:AC6 AF6:AK6 AN6:AT6 AF5:AL5 AN5:AU5">
    <cfRule type="cellIs" dxfId="20" priority="18" operator="lessThan">
      <formula>0</formula>
    </cfRule>
  </conditionalFormatting>
  <conditionalFormatting sqref="CU5:CZ5 BB1:BC5 BJ1:BK5 BS1:BT5 CA1:CB5 CI1:CJ5 CR1:CT5 BB340:BC1048576 BJ340:BK1048576 BS340:BT1048576 CA340:CB1048576 CI340:CJ1048576 CR340:CT1048576">
    <cfRule type="cellIs" dxfId="19" priority="34" operator="lessThan">
      <formula>0</formula>
    </cfRule>
  </conditionalFormatting>
  <conditionalFormatting sqref="AL6">
    <cfRule type="cellIs" dxfId="18" priority="9" operator="lessThan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scale="84" orientation="landscape" r:id="rId1"/>
  <ignoredErrors>
    <ignoredError sqref="CR227:CR293 CR7:CR226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869A9-A37E-4AF8-98E9-07A71D5E8AB2}">
  <dimension ref="B2:F10"/>
  <sheetViews>
    <sheetView workbookViewId="0">
      <selection activeCell="F12" sqref="F12"/>
    </sheetView>
  </sheetViews>
  <sheetFormatPr defaultColWidth="8.85546875" defaultRowHeight="14.25"/>
  <cols>
    <col min="2" max="2" width="12.5703125" bestFit="1" customWidth="1"/>
    <col min="3" max="3" width="8.85546875" bestFit="1" customWidth="1"/>
    <col min="4" max="4" width="12.5703125" customWidth="1"/>
    <col min="5" max="5" width="32.140625" bestFit="1" customWidth="1"/>
    <col min="6" max="6" width="17.42578125" style="134" bestFit="1" customWidth="1"/>
  </cols>
  <sheetData>
    <row r="2" spans="2:6">
      <c r="B2" s="20" t="s">
        <v>16</v>
      </c>
      <c r="C2" s="20" t="s">
        <v>206</v>
      </c>
      <c r="D2" s="20" t="s">
        <v>205</v>
      </c>
      <c r="E2" s="20" t="s">
        <v>208</v>
      </c>
      <c r="F2" s="134" t="s">
        <v>4910</v>
      </c>
    </row>
    <row r="3" spans="2:6">
      <c r="B3" t="s">
        <v>23</v>
      </c>
      <c r="F3" s="134">
        <v>27683</v>
      </c>
    </row>
    <row r="4" spans="2:6">
      <c r="B4" t="s">
        <v>23</v>
      </c>
      <c r="C4" t="s">
        <v>258</v>
      </c>
      <c r="D4" s="1">
        <v>45553</v>
      </c>
      <c r="E4" t="s">
        <v>1670</v>
      </c>
      <c r="F4" s="134">
        <v>27683</v>
      </c>
    </row>
    <row r="5" spans="2:6">
      <c r="B5" t="s">
        <v>23</v>
      </c>
      <c r="C5" t="s">
        <v>4911</v>
      </c>
      <c r="F5" s="134">
        <v>27683</v>
      </c>
    </row>
    <row r="6" spans="2:6">
      <c r="B6" t="s">
        <v>21</v>
      </c>
      <c r="F6" s="134">
        <v>1176.49</v>
      </c>
    </row>
    <row r="7" spans="2:6">
      <c r="B7" t="s">
        <v>21</v>
      </c>
      <c r="C7" t="s">
        <v>258</v>
      </c>
      <c r="D7" s="1">
        <v>45539</v>
      </c>
      <c r="E7" t="s">
        <v>4912</v>
      </c>
      <c r="F7" s="134">
        <v>993.49</v>
      </c>
    </row>
    <row r="8" spans="2:6">
      <c r="B8" t="s">
        <v>21</v>
      </c>
      <c r="C8" t="s">
        <v>258</v>
      </c>
      <c r="D8" s="1">
        <v>45539</v>
      </c>
      <c r="E8" t="s">
        <v>4913</v>
      </c>
      <c r="F8" s="134">
        <v>183</v>
      </c>
    </row>
    <row r="9" spans="2:6">
      <c r="B9" t="s">
        <v>21</v>
      </c>
      <c r="C9" t="s">
        <v>4911</v>
      </c>
      <c r="F9" s="134">
        <v>1176.49</v>
      </c>
    </row>
    <row r="10" spans="2:6">
      <c r="B10" t="s">
        <v>201</v>
      </c>
      <c r="F10" s="134">
        <v>28859.49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144A5-02B4-4331-9714-0067C0CA7DC4}">
  <dimension ref="B3:I18"/>
  <sheetViews>
    <sheetView topLeftCell="A8" workbookViewId="0">
      <selection activeCell="B14" sqref="B14"/>
    </sheetView>
  </sheetViews>
  <sheetFormatPr defaultColWidth="8.85546875" defaultRowHeight="14.25"/>
  <cols>
    <col min="2" max="2" width="36" customWidth="1"/>
    <col min="3" max="3" width="32.7109375" bestFit="1" customWidth="1"/>
    <col min="4" max="4" width="14.7109375" bestFit="1" customWidth="1"/>
    <col min="5" max="5" width="9.5703125" style="91" bestFit="1" customWidth="1"/>
    <col min="7" max="7" width="11.7109375" customWidth="1"/>
    <col min="8" max="8" width="14.7109375" bestFit="1" customWidth="1"/>
    <col min="9" max="9" width="11.7109375" customWidth="1"/>
    <col min="10" max="10" width="13.5703125" customWidth="1"/>
  </cols>
  <sheetData>
    <row r="3" spans="2:9" ht="15">
      <c r="B3" s="306"/>
      <c r="C3" s="304"/>
      <c r="D3" s="304"/>
      <c r="E3" s="304"/>
      <c r="F3" s="305"/>
      <c r="G3" s="304"/>
      <c r="H3" s="304"/>
      <c r="I3" s="304"/>
    </row>
    <row r="4" spans="2:9" ht="15">
      <c r="B4" s="306"/>
      <c r="C4" s="304"/>
      <c r="D4" s="304"/>
      <c r="E4" s="304"/>
      <c r="F4" s="305"/>
      <c r="G4" s="304"/>
      <c r="H4" s="304"/>
      <c r="I4" s="304"/>
    </row>
    <row r="6" spans="2:9" ht="24.75">
      <c r="B6" s="276" t="s">
        <v>4914</v>
      </c>
      <c r="C6" s="277" t="s">
        <v>4915</v>
      </c>
      <c r="D6" s="277" t="s">
        <v>4916</v>
      </c>
      <c r="E6" s="277" t="s">
        <v>4917</v>
      </c>
      <c r="F6" s="278" t="s">
        <v>4918</v>
      </c>
      <c r="G6" s="277" t="s">
        <v>4919</v>
      </c>
      <c r="H6" s="277" t="s">
        <v>4920</v>
      </c>
      <c r="I6" s="277" t="s">
        <v>4921</v>
      </c>
    </row>
    <row r="7" spans="2:9" ht="15">
      <c r="B7" s="279" t="s">
        <v>4922</v>
      </c>
      <c r="C7" s="280" t="s">
        <v>4923</v>
      </c>
      <c r="D7" s="280" t="s">
        <v>4924</v>
      </c>
      <c r="E7" s="280" t="s">
        <v>4925</v>
      </c>
      <c r="F7" s="281" t="s">
        <v>4925</v>
      </c>
      <c r="G7" s="280" t="s">
        <v>4925</v>
      </c>
      <c r="H7" s="280" t="s">
        <v>4925</v>
      </c>
      <c r="I7" s="282">
        <v>45399</v>
      </c>
    </row>
    <row r="8" spans="2:9" ht="15">
      <c r="B8" s="304"/>
      <c r="C8" s="304"/>
      <c r="D8" s="304"/>
      <c r="E8" s="304"/>
      <c r="F8" s="305"/>
      <c r="G8" s="304"/>
      <c r="H8" s="304"/>
      <c r="I8" s="304"/>
    </row>
    <row r="10" spans="2:9" ht="15"/>
    <row r="11" spans="2:9" ht="15">
      <c r="B11" t="s">
        <v>4926</v>
      </c>
    </row>
    <row r="12" spans="2:9" ht="24.75">
      <c r="B12" s="276" t="s">
        <v>4914</v>
      </c>
      <c r="C12" s="277" t="s">
        <v>4915</v>
      </c>
      <c r="D12" s="277" t="s">
        <v>4916</v>
      </c>
      <c r="E12" s="277" t="s">
        <v>4917</v>
      </c>
      <c r="F12" s="278" t="s">
        <v>4918</v>
      </c>
      <c r="G12" s="277" t="s">
        <v>4919</v>
      </c>
      <c r="H12" s="277" t="s">
        <v>4920</v>
      </c>
      <c r="I12" s="277" t="s">
        <v>4921</v>
      </c>
    </row>
    <row r="13" spans="2:9" ht="15">
      <c r="B13" s="279" t="s">
        <v>4927</v>
      </c>
      <c r="C13" s="280" t="s">
        <v>97</v>
      </c>
      <c r="D13" s="280" t="s">
        <v>4928</v>
      </c>
      <c r="E13" s="280" t="s">
        <v>4925</v>
      </c>
      <c r="F13" s="281" t="s">
        <v>4925</v>
      </c>
      <c r="G13" s="280" t="s">
        <v>4819</v>
      </c>
      <c r="H13" s="280" t="s">
        <v>4925</v>
      </c>
      <c r="I13" s="282">
        <v>45680</v>
      </c>
    </row>
    <row r="14" spans="2:9" ht="15"/>
    <row r="15" spans="2:9" ht="15"/>
    <row r="16" spans="2:9" ht="15"/>
    <row r="17" ht="15"/>
    <row r="18" ht="1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D0712-AF5D-41A2-9979-14604A7132F1}">
  <dimension ref="A1:I24"/>
  <sheetViews>
    <sheetView topLeftCell="A5" workbookViewId="0">
      <selection activeCell="F25" sqref="F25"/>
    </sheetView>
  </sheetViews>
  <sheetFormatPr defaultColWidth="9.140625" defaultRowHeight="14.25"/>
  <cols>
    <col min="1" max="1" width="11.42578125" customWidth="1"/>
    <col min="2" max="2" width="15" customWidth="1"/>
    <col min="3" max="3" width="26.140625" customWidth="1"/>
    <col min="4" max="4" width="19.42578125" customWidth="1"/>
    <col min="5" max="5" width="15.140625" customWidth="1"/>
    <col min="6" max="6" width="54.42578125" customWidth="1"/>
    <col min="7" max="7" width="15.7109375" customWidth="1"/>
    <col min="8" max="8" width="14.140625" bestFit="1" customWidth="1"/>
    <col min="9" max="9" width="16.5703125" customWidth="1"/>
  </cols>
  <sheetData>
    <row r="1" spans="1:9" ht="26.25">
      <c r="B1" s="57" t="s">
        <v>4929</v>
      </c>
    </row>
    <row r="2" spans="1:9" ht="15">
      <c r="A2" s="195" t="s">
        <v>205</v>
      </c>
      <c r="B2" s="196" t="s">
        <v>16</v>
      </c>
      <c r="C2" s="196" t="s">
        <v>17</v>
      </c>
      <c r="D2" s="196" t="s">
        <v>18</v>
      </c>
      <c r="E2" s="197" t="s">
        <v>207</v>
      </c>
      <c r="F2" s="195" t="s">
        <v>208</v>
      </c>
      <c r="G2" s="198" t="s">
        <v>209</v>
      </c>
      <c r="H2" s="198" t="s">
        <v>210</v>
      </c>
      <c r="I2" s="194" t="s">
        <v>211</v>
      </c>
    </row>
    <row r="3" spans="1:9">
      <c r="A3" s="1">
        <v>45663</v>
      </c>
      <c r="F3" s="1" t="s">
        <v>3452</v>
      </c>
      <c r="G3" s="134">
        <v>468000</v>
      </c>
      <c r="I3" s="134">
        <f>G3</f>
        <v>468000</v>
      </c>
    </row>
    <row r="4" spans="1:9">
      <c r="A4" s="1">
        <v>45671</v>
      </c>
      <c r="F4" t="s">
        <v>4930</v>
      </c>
      <c r="H4" s="134">
        <v>468000</v>
      </c>
      <c r="I4" s="134">
        <f>I3+G4-H4</f>
        <v>0</v>
      </c>
    </row>
    <row r="5" spans="1:9">
      <c r="A5" s="1">
        <v>45679</v>
      </c>
      <c r="F5" t="s">
        <v>4931</v>
      </c>
      <c r="G5" s="134">
        <v>2200000</v>
      </c>
      <c r="I5" s="134">
        <f t="shared" ref="I5:I11" si="0">I4+G5-H5</f>
        <v>2200000</v>
      </c>
    </row>
    <row r="6" spans="1:9">
      <c r="A6" s="1">
        <v>45681</v>
      </c>
      <c r="F6" t="s">
        <v>4932</v>
      </c>
      <c r="H6" s="134">
        <v>1000000</v>
      </c>
      <c r="I6" s="134">
        <f t="shared" si="0"/>
        <v>1200000</v>
      </c>
    </row>
    <row r="7" spans="1:9">
      <c r="A7" s="1">
        <v>45685</v>
      </c>
      <c r="F7" t="s">
        <v>4933</v>
      </c>
      <c r="H7" s="134">
        <v>500000</v>
      </c>
      <c r="I7" s="134">
        <f t="shared" si="0"/>
        <v>700000</v>
      </c>
    </row>
    <row r="8" spans="1:9">
      <c r="A8" s="1">
        <v>45695</v>
      </c>
      <c r="F8" t="s">
        <v>4934</v>
      </c>
      <c r="H8" s="134">
        <v>600000</v>
      </c>
      <c r="I8" s="134">
        <f t="shared" si="0"/>
        <v>100000</v>
      </c>
    </row>
    <row r="9" spans="1:9">
      <c r="A9" s="1">
        <v>45702</v>
      </c>
      <c r="F9" t="s">
        <v>4935</v>
      </c>
      <c r="G9" s="134">
        <v>500000</v>
      </c>
      <c r="I9" s="134">
        <f t="shared" si="0"/>
        <v>600000</v>
      </c>
    </row>
    <row r="10" spans="1:9">
      <c r="A10" s="1">
        <v>45705</v>
      </c>
      <c r="F10" t="s">
        <v>4936</v>
      </c>
      <c r="H10" s="134">
        <v>500000</v>
      </c>
      <c r="I10" s="134">
        <f t="shared" si="0"/>
        <v>100000</v>
      </c>
    </row>
    <row r="11" spans="1:9">
      <c r="A11" s="1">
        <v>45705</v>
      </c>
      <c r="F11" t="s">
        <v>4935</v>
      </c>
      <c r="G11" s="134">
        <v>500000</v>
      </c>
      <c r="I11" s="134">
        <f t="shared" si="0"/>
        <v>600000</v>
      </c>
    </row>
    <row r="12" spans="1:9">
      <c r="A12" s="1">
        <v>45705</v>
      </c>
      <c r="F12" t="s">
        <v>4937</v>
      </c>
      <c r="H12" s="134">
        <v>300000</v>
      </c>
      <c r="I12" s="134">
        <f>I11+G12-H12</f>
        <v>300000</v>
      </c>
    </row>
    <row r="13" spans="1:9">
      <c r="A13" s="1">
        <v>45706</v>
      </c>
      <c r="F13" t="s">
        <v>4938</v>
      </c>
      <c r="H13" s="134">
        <v>200000</v>
      </c>
      <c r="I13" s="134">
        <f t="shared" ref="I13:I24" si="1">I12+G13-H13</f>
        <v>100000</v>
      </c>
    </row>
    <row r="14" spans="1:9">
      <c r="A14" s="1">
        <v>45715</v>
      </c>
      <c r="F14" t="s">
        <v>4935</v>
      </c>
      <c r="G14" s="134">
        <v>500000</v>
      </c>
      <c r="I14" s="134">
        <f t="shared" si="1"/>
        <v>600000</v>
      </c>
    </row>
    <row r="15" spans="1:9">
      <c r="A15" s="1">
        <v>45715</v>
      </c>
      <c r="F15" t="s">
        <v>4939</v>
      </c>
      <c r="H15" s="134">
        <v>500000</v>
      </c>
      <c r="I15" s="134">
        <f t="shared" si="1"/>
        <v>100000</v>
      </c>
    </row>
    <row r="16" spans="1:9">
      <c r="A16" s="1">
        <v>45723</v>
      </c>
      <c r="F16" t="s">
        <v>4939</v>
      </c>
      <c r="H16" s="134">
        <v>100000</v>
      </c>
      <c r="I16" s="134">
        <f t="shared" si="1"/>
        <v>0</v>
      </c>
    </row>
    <row r="17" spans="1:9" ht="18" customHeight="1">
      <c r="A17" s="1">
        <v>45726</v>
      </c>
      <c r="F17" s="239" t="s">
        <v>4940</v>
      </c>
      <c r="G17" s="134">
        <v>300000</v>
      </c>
      <c r="I17" s="134">
        <f t="shared" si="1"/>
        <v>300000</v>
      </c>
    </row>
    <row r="18" spans="1:9">
      <c r="A18" s="1">
        <v>45726</v>
      </c>
      <c r="F18" t="s">
        <v>4939</v>
      </c>
      <c r="H18" s="134">
        <v>300000</v>
      </c>
      <c r="I18" s="134">
        <f t="shared" si="1"/>
        <v>0</v>
      </c>
    </row>
    <row r="19" spans="1:9">
      <c r="A19" s="1">
        <v>45727</v>
      </c>
      <c r="F19" s="239" t="s">
        <v>4940</v>
      </c>
      <c r="G19" s="134">
        <v>300000</v>
      </c>
      <c r="I19" s="134">
        <f t="shared" si="1"/>
        <v>300000</v>
      </c>
    </row>
    <row r="20" spans="1:9">
      <c r="A20" s="1">
        <v>45727</v>
      </c>
      <c r="F20" t="s">
        <v>4939</v>
      </c>
      <c r="H20" s="134">
        <v>300000</v>
      </c>
      <c r="I20" s="134">
        <f t="shared" si="1"/>
        <v>0</v>
      </c>
    </row>
    <row r="21" spans="1:9">
      <c r="F21" t="s">
        <v>4941</v>
      </c>
      <c r="G21" s="134">
        <v>1000000</v>
      </c>
      <c r="I21" s="134">
        <f t="shared" si="1"/>
        <v>1000000</v>
      </c>
    </row>
    <row r="22" spans="1:9">
      <c r="F22" t="s">
        <v>4942</v>
      </c>
      <c r="H22" s="134">
        <v>280000</v>
      </c>
      <c r="I22" s="134">
        <f t="shared" si="1"/>
        <v>720000</v>
      </c>
    </row>
    <row r="23" spans="1:9">
      <c r="F23" t="s">
        <v>4943</v>
      </c>
      <c r="H23" s="134">
        <v>245000</v>
      </c>
      <c r="I23" s="134">
        <f t="shared" si="1"/>
        <v>475000</v>
      </c>
    </row>
    <row r="24" spans="1:9">
      <c r="F24" t="s">
        <v>4944</v>
      </c>
      <c r="H24" s="134">
        <v>475000</v>
      </c>
      <c r="I24" s="134">
        <f t="shared" si="1"/>
        <v>0</v>
      </c>
    </row>
  </sheetData>
  <autoFilter ref="A2:I2" xr:uid="{146D0712-AF5D-41A2-9979-14604A7132F1}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5D6C0-2E12-436A-AA30-7E3711C1B7E5}">
  <sheetPr>
    <tabColor rgb="FFFF0000"/>
  </sheetPr>
  <dimension ref="A1:N138"/>
  <sheetViews>
    <sheetView workbookViewId="0">
      <selection activeCell="C6" sqref="C2:C48"/>
    </sheetView>
  </sheetViews>
  <sheetFormatPr defaultColWidth="11.42578125" defaultRowHeight="14.25"/>
  <cols>
    <col min="1" max="1" width="11.7109375" customWidth="1"/>
    <col min="2" max="2" width="2.42578125" customWidth="1"/>
    <col min="3" max="3" width="27.42578125" bestFit="1" customWidth="1"/>
    <col min="4" max="4" width="2.85546875" customWidth="1"/>
    <col min="5" max="5" width="32.140625" bestFit="1" customWidth="1"/>
    <col min="6" max="6" width="2.28515625" customWidth="1"/>
    <col min="7" max="7" width="16.5703125" bestFit="1" customWidth="1"/>
    <col min="8" max="8" width="11.42578125" bestFit="1" customWidth="1"/>
    <col min="10" max="10" width="11.42578125" bestFit="1" customWidth="1"/>
    <col min="12" max="13" width="11.5703125" style="1"/>
    <col min="14" max="14" width="15.5703125" bestFit="1" customWidth="1"/>
  </cols>
  <sheetData>
    <row r="1" spans="1:14" ht="15">
      <c r="A1" s="288" t="s">
        <v>16</v>
      </c>
      <c r="B1" s="6"/>
      <c r="C1" s="289" t="s">
        <v>17</v>
      </c>
      <c r="D1" s="6"/>
      <c r="E1" s="289" t="s">
        <v>18</v>
      </c>
      <c r="F1" s="6"/>
      <c r="G1" s="291" t="s">
        <v>207</v>
      </c>
      <c r="J1" s="8"/>
      <c r="K1" s="8"/>
      <c r="L1" s="30"/>
      <c r="M1" s="30"/>
      <c r="N1" s="8"/>
    </row>
    <row r="2" spans="1:14" ht="15">
      <c r="A2" s="286" t="s">
        <v>31</v>
      </c>
      <c r="C2" s="8" t="s">
        <v>22</v>
      </c>
      <c r="E2" s="7" t="s">
        <v>4679</v>
      </c>
      <c r="G2" s="286" t="s">
        <v>219</v>
      </c>
      <c r="J2" s="8" t="s">
        <v>4833</v>
      </c>
      <c r="K2" s="8">
        <v>1</v>
      </c>
      <c r="L2" s="30">
        <v>45690</v>
      </c>
      <c r="M2" s="30">
        <v>45696</v>
      </c>
      <c r="N2" s="30" t="str">
        <f>TEXT(L2,"ddmmm-")&amp;TEXT(M2,"ddmmm aa")</f>
        <v>02feb-08feb 25</v>
      </c>
    </row>
    <row r="3" spans="1:14">
      <c r="A3" s="286" t="s">
        <v>41</v>
      </c>
      <c r="C3" s="8" t="s">
        <v>24</v>
      </c>
      <c r="E3" s="8" t="s">
        <v>133</v>
      </c>
      <c r="G3" s="286" t="s">
        <v>317</v>
      </c>
      <c r="J3" s="8" t="s">
        <v>4834</v>
      </c>
      <c r="K3" s="8">
        <v>2</v>
      </c>
      <c r="L3" s="30">
        <v>45697</v>
      </c>
      <c r="M3" s="30">
        <v>45703</v>
      </c>
      <c r="N3" s="30" t="str">
        <f>TEXT(L3,"ddmmm-")&amp;TEXT(M3,"ddmmm aa")</f>
        <v>09feb-15feb 25</v>
      </c>
    </row>
    <row r="4" spans="1:14">
      <c r="A4" s="286" t="s">
        <v>130</v>
      </c>
      <c r="C4" s="8" t="s">
        <v>25</v>
      </c>
      <c r="E4" s="8" t="s">
        <v>88</v>
      </c>
      <c r="G4" s="286" t="s">
        <v>221</v>
      </c>
      <c r="J4" s="8" t="s">
        <v>4835</v>
      </c>
      <c r="K4" s="8">
        <v>3</v>
      </c>
      <c r="L4" s="30">
        <v>45704</v>
      </c>
      <c r="M4" s="30">
        <v>45710</v>
      </c>
      <c r="N4" s="30" t="str">
        <f t="shared" ref="N4:N65" si="0">TEXT(L4,"ddmmm-")&amp;TEXT(M4,"ddmmm aa")</f>
        <v>16feb-22feb 25</v>
      </c>
    </row>
    <row r="5" spans="1:14">
      <c r="A5" s="286" t="s">
        <v>23</v>
      </c>
      <c r="C5" s="8" t="s">
        <v>30</v>
      </c>
      <c r="E5" s="8" t="s">
        <v>96</v>
      </c>
      <c r="G5" s="286" t="s">
        <v>32</v>
      </c>
      <c r="J5" s="8" t="s">
        <v>4836</v>
      </c>
      <c r="K5" s="8">
        <v>4</v>
      </c>
      <c r="L5" s="30">
        <v>45711</v>
      </c>
      <c r="M5" s="30">
        <v>45717</v>
      </c>
      <c r="N5" s="30" t="str">
        <f t="shared" si="0"/>
        <v>23feb-01mar 25</v>
      </c>
    </row>
    <row r="6" spans="1:14">
      <c r="A6" s="286" t="s">
        <v>29</v>
      </c>
      <c r="C6" s="8" t="s">
        <v>32</v>
      </c>
      <c r="E6" s="8" t="s">
        <v>97</v>
      </c>
      <c r="G6" s="286" t="s">
        <v>4929</v>
      </c>
      <c r="J6" s="31" t="s">
        <v>4840</v>
      </c>
      <c r="K6" s="31">
        <v>5</v>
      </c>
      <c r="L6" s="32">
        <v>45718</v>
      </c>
      <c r="M6" s="32">
        <v>45724</v>
      </c>
      <c r="N6" s="32" t="str">
        <f t="shared" si="0"/>
        <v>02mar-08mar 25</v>
      </c>
    </row>
    <row r="7" spans="1:14">
      <c r="A7" s="286" t="s">
        <v>43</v>
      </c>
      <c r="C7" s="8" t="s">
        <v>48</v>
      </c>
      <c r="E7" s="8" t="s">
        <v>98</v>
      </c>
      <c r="G7" s="286"/>
      <c r="J7" s="31" t="s">
        <v>4841</v>
      </c>
      <c r="K7" s="31">
        <v>6</v>
      </c>
      <c r="L7" s="32">
        <v>45725</v>
      </c>
      <c r="M7" s="32">
        <v>45731</v>
      </c>
      <c r="N7" s="32" t="str">
        <f t="shared" si="0"/>
        <v>09mar-15mar 25</v>
      </c>
    </row>
    <row r="8" spans="1:14">
      <c r="A8" s="286" t="s">
        <v>45</v>
      </c>
      <c r="C8" s="8" t="s">
        <v>47</v>
      </c>
      <c r="E8" s="8" t="s">
        <v>99</v>
      </c>
      <c r="G8" s="286"/>
      <c r="J8" s="31" t="s">
        <v>4842</v>
      </c>
      <c r="K8" s="31">
        <v>7</v>
      </c>
      <c r="L8" s="32">
        <v>45732</v>
      </c>
      <c r="M8" s="32">
        <v>45738</v>
      </c>
      <c r="N8" s="32" t="str">
        <f t="shared" si="0"/>
        <v>16mar-22mar 25</v>
      </c>
    </row>
    <row r="9" spans="1:14">
      <c r="A9" s="286" t="s">
        <v>152</v>
      </c>
      <c r="C9" s="8" t="s">
        <v>51</v>
      </c>
      <c r="E9" s="8" t="s">
        <v>100</v>
      </c>
      <c r="G9" s="286"/>
      <c r="J9" s="31" t="s">
        <v>4843</v>
      </c>
      <c r="K9" s="31">
        <v>8</v>
      </c>
      <c r="L9" s="32">
        <v>45739</v>
      </c>
      <c r="M9" s="32">
        <v>45745</v>
      </c>
      <c r="N9" s="32" t="str">
        <f t="shared" si="0"/>
        <v>23mar-29mar 25</v>
      </c>
    </row>
    <row r="10" spans="1:14">
      <c r="A10" s="287" t="s">
        <v>21</v>
      </c>
      <c r="C10" s="8" t="s">
        <v>85</v>
      </c>
      <c r="E10" s="8" t="s">
        <v>101</v>
      </c>
      <c r="G10" s="286"/>
      <c r="J10" s="31" t="s">
        <v>4844</v>
      </c>
      <c r="K10" s="31">
        <v>9</v>
      </c>
      <c r="L10" s="32">
        <v>45746</v>
      </c>
      <c r="M10" s="32">
        <v>45752</v>
      </c>
      <c r="N10" s="32" t="str">
        <f t="shared" si="0"/>
        <v>30mar-05abr 25</v>
      </c>
    </row>
    <row r="11" spans="1:14">
      <c r="A11" s="286" t="s">
        <v>39</v>
      </c>
      <c r="C11" s="204" t="s">
        <v>86</v>
      </c>
      <c r="E11" s="8" t="s">
        <v>102</v>
      </c>
      <c r="G11" s="286"/>
      <c r="J11" s="8" t="s">
        <v>4847</v>
      </c>
      <c r="K11" s="8">
        <v>10</v>
      </c>
      <c r="L11" s="30">
        <v>45753</v>
      </c>
      <c r="M11" s="30">
        <v>45759</v>
      </c>
      <c r="N11" s="30" t="str">
        <f t="shared" si="0"/>
        <v>06abr-12abr 25</v>
      </c>
    </row>
    <row r="12" spans="1:14">
      <c r="A12" s="287" t="s">
        <v>19</v>
      </c>
      <c r="C12" s="8" t="s">
        <v>87</v>
      </c>
      <c r="E12" s="8" t="s">
        <v>103</v>
      </c>
      <c r="G12" s="286"/>
      <c r="J12" s="8" t="s">
        <v>4848</v>
      </c>
      <c r="K12" s="8">
        <v>11</v>
      </c>
      <c r="L12" s="30">
        <v>45760</v>
      </c>
      <c r="M12" s="30">
        <v>45766</v>
      </c>
      <c r="N12" s="30" t="str">
        <f t="shared" si="0"/>
        <v>13abr-19abr 25</v>
      </c>
    </row>
    <row r="13" spans="1:14">
      <c r="C13" s="204" t="s">
        <v>119</v>
      </c>
      <c r="E13" s="8" t="s">
        <v>89</v>
      </c>
      <c r="G13" s="286"/>
      <c r="J13" s="8" t="s">
        <v>4849</v>
      </c>
      <c r="K13" s="8">
        <v>12</v>
      </c>
      <c r="L13" s="30">
        <v>45767</v>
      </c>
      <c r="M13" s="30">
        <v>45773</v>
      </c>
      <c r="N13" s="30" t="str">
        <f t="shared" si="0"/>
        <v>20abr-26abr 25</v>
      </c>
    </row>
    <row r="14" spans="1:14">
      <c r="C14" s="8" t="s">
        <v>120</v>
      </c>
      <c r="E14" s="8" t="s">
        <v>104</v>
      </c>
      <c r="G14" s="286"/>
      <c r="J14" s="8" t="s">
        <v>4850</v>
      </c>
      <c r="K14" s="8">
        <v>13</v>
      </c>
      <c r="L14" s="30">
        <v>45774</v>
      </c>
      <c r="M14" s="30">
        <v>45780</v>
      </c>
      <c r="N14" s="30" t="str">
        <f t="shared" si="0"/>
        <v>27abr-03may 25</v>
      </c>
    </row>
    <row r="15" spans="1:14">
      <c r="C15" s="8" t="s">
        <v>121</v>
      </c>
      <c r="E15" s="8" t="s">
        <v>105</v>
      </c>
      <c r="G15" s="286"/>
      <c r="J15" s="31" t="s">
        <v>4853</v>
      </c>
      <c r="K15" s="31">
        <v>14</v>
      </c>
      <c r="L15" s="32">
        <v>45781</v>
      </c>
      <c r="M15" s="32">
        <v>45787</v>
      </c>
      <c r="N15" s="32" t="str">
        <f t="shared" si="0"/>
        <v>04may-10may 25</v>
      </c>
    </row>
    <row r="16" spans="1:14">
      <c r="C16" s="8" t="s">
        <v>122</v>
      </c>
      <c r="E16" s="8" t="s">
        <v>106</v>
      </c>
      <c r="G16" s="286"/>
      <c r="J16" s="31" t="s">
        <v>4854</v>
      </c>
      <c r="K16" s="31">
        <v>15</v>
      </c>
      <c r="L16" s="32">
        <v>45788</v>
      </c>
      <c r="M16" s="32">
        <v>45794</v>
      </c>
      <c r="N16" s="32" t="str">
        <f t="shared" si="0"/>
        <v>11may-17may 25</v>
      </c>
    </row>
    <row r="17" spans="3:14">
      <c r="C17" s="204" t="s">
        <v>123</v>
      </c>
      <c r="E17" s="8" t="s">
        <v>90</v>
      </c>
      <c r="G17" s="287"/>
      <c r="J17" s="31" t="s">
        <v>4855</v>
      </c>
      <c r="K17" s="31">
        <v>16</v>
      </c>
      <c r="L17" s="32">
        <v>45795</v>
      </c>
      <c r="M17" s="32">
        <v>45801</v>
      </c>
      <c r="N17" s="32" t="str">
        <f t="shared" si="0"/>
        <v>18may-24may 25</v>
      </c>
    </row>
    <row r="18" spans="3:14">
      <c r="C18" s="8" t="s">
        <v>124</v>
      </c>
      <c r="E18" s="8" t="s">
        <v>91</v>
      </c>
      <c r="J18" s="31" t="s">
        <v>4856</v>
      </c>
      <c r="K18" s="31">
        <v>17</v>
      </c>
      <c r="L18" s="32">
        <v>45802</v>
      </c>
      <c r="M18" s="32">
        <v>45808</v>
      </c>
      <c r="N18" s="32" t="str">
        <f t="shared" si="0"/>
        <v>25may-31may 25</v>
      </c>
    </row>
    <row r="19" spans="3:14">
      <c r="C19" s="8" t="s">
        <v>127</v>
      </c>
      <c r="E19" s="8" t="s">
        <v>92</v>
      </c>
      <c r="J19" s="8" t="s">
        <v>4859</v>
      </c>
      <c r="K19" s="8">
        <v>18</v>
      </c>
      <c r="L19" s="30">
        <v>45809</v>
      </c>
      <c r="M19" s="30">
        <v>45815</v>
      </c>
      <c r="N19" s="30" t="str">
        <f t="shared" si="0"/>
        <v>01jun-07jun 25</v>
      </c>
    </row>
    <row r="20" spans="3:14">
      <c r="C20" s="8" t="s">
        <v>132</v>
      </c>
      <c r="E20" s="8" t="s">
        <v>93</v>
      </c>
      <c r="J20" s="8" t="s">
        <v>4860</v>
      </c>
      <c r="K20" s="8">
        <v>19</v>
      </c>
      <c r="L20" s="30">
        <v>45816</v>
      </c>
      <c r="M20" s="30">
        <v>45822</v>
      </c>
      <c r="N20" s="30" t="str">
        <f t="shared" si="0"/>
        <v>08jun-14jun 25</v>
      </c>
    </row>
    <row r="21" spans="3:14">
      <c r="C21" s="8" t="s">
        <v>133</v>
      </c>
      <c r="E21" s="8" t="s">
        <v>94</v>
      </c>
      <c r="J21" s="8" t="s">
        <v>4861</v>
      </c>
      <c r="K21" s="8">
        <v>20</v>
      </c>
      <c r="L21" s="30">
        <v>45823</v>
      </c>
      <c r="M21" s="30">
        <v>45829</v>
      </c>
      <c r="N21" s="30" t="str">
        <f t="shared" si="0"/>
        <v>15jun-21jun 25</v>
      </c>
    </row>
    <row r="22" spans="3:14">
      <c r="C22" s="8" t="s">
        <v>137</v>
      </c>
      <c r="E22" s="8" t="s">
        <v>95</v>
      </c>
      <c r="J22" s="8" t="s">
        <v>4862</v>
      </c>
      <c r="K22" s="8">
        <v>21</v>
      </c>
      <c r="L22" s="30">
        <v>45830</v>
      </c>
      <c r="M22" s="30">
        <v>45836</v>
      </c>
      <c r="N22" s="30" t="str">
        <f t="shared" si="0"/>
        <v>22jun-28jun 25</v>
      </c>
    </row>
    <row r="23" spans="3:14">
      <c r="C23" s="204" t="s">
        <v>19</v>
      </c>
      <c r="E23" s="8" t="s">
        <v>65</v>
      </c>
      <c r="J23" s="8" t="s">
        <v>4863</v>
      </c>
      <c r="K23" s="8">
        <v>22</v>
      </c>
      <c r="L23" s="30">
        <v>45837</v>
      </c>
      <c r="M23" s="30">
        <v>45843</v>
      </c>
      <c r="N23" s="30" t="str">
        <f t="shared" si="0"/>
        <v>29jun-05jul 25</v>
      </c>
    </row>
    <row r="24" spans="3:14">
      <c r="C24" s="8" t="s">
        <v>142</v>
      </c>
      <c r="E24" s="8" t="s">
        <v>22</v>
      </c>
      <c r="J24" s="31" t="s">
        <v>4866</v>
      </c>
      <c r="K24" s="31">
        <v>23</v>
      </c>
      <c r="L24" s="32">
        <v>45844</v>
      </c>
      <c r="M24" s="32">
        <v>45850</v>
      </c>
      <c r="N24" s="32" t="str">
        <f t="shared" si="0"/>
        <v>06jul-12jul 25</v>
      </c>
    </row>
    <row r="25" spans="3:14">
      <c r="C25" s="8" t="s">
        <v>143</v>
      </c>
      <c r="D25" s="5"/>
      <c r="E25" s="8" t="s">
        <v>24</v>
      </c>
      <c r="J25" s="31" t="s">
        <v>4867</v>
      </c>
      <c r="K25" s="31">
        <v>24</v>
      </c>
      <c r="L25" s="32">
        <v>45851</v>
      </c>
      <c r="M25" s="32">
        <v>45857</v>
      </c>
      <c r="N25" s="32" t="str">
        <f t="shared" si="0"/>
        <v>13jul-19jul 25</v>
      </c>
    </row>
    <row r="26" spans="3:14">
      <c r="C26" s="8" t="s">
        <v>144</v>
      </c>
      <c r="E26" s="8" t="s">
        <v>25</v>
      </c>
      <c r="J26" s="31" t="s">
        <v>4868</v>
      </c>
      <c r="K26" s="31">
        <v>25</v>
      </c>
      <c r="L26" s="32">
        <v>45858</v>
      </c>
      <c r="M26" s="32">
        <v>45864</v>
      </c>
      <c r="N26" s="32" t="str">
        <f t="shared" si="0"/>
        <v>20jul-26jul 25</v>
      </c>
    </row>
    <row r="27" spans="3:14">
      <c r="C27" s="8" t="s">
        <v>147</v>
      </c>
      <c r="E27" s="8" t="s">
        <v>75</v>
      </c>
      <c r="J27" s="31" t="s">
        <v>4869</v>
      </c>
      <c r="K27" s="31">
        <v>26</v>
      </c>
      <c r="L27" s="32">
        <v>45865</v>
      </c>
      <c r="M27" s="32">
        <v>45871</v>
      </c>
      <c r="N27" s="32" t="str">
        <f t="shared" si="0"/>
        <v>27jul-02ago 25</v>
      </c>
    </row>
    <row r="28" spans="3:14">
      <c r="C28" s="204" t="s">
        <v>154</v>
      </c>
      <c r="E28" s="8" t="s">
        <v>70</v>
      </c>
      <c r="J28" s="8" t="s">
        <v>4872</v>
      </c>
      <c r="K28" s="8">
        <v>27</v>
      </c>
      <c r="L28" s="30">
        <v>45872</v>
      </c>
      <c r="M28" s="30">
        <v>45878</v>
      </c>
      <c r="N28" s="30" t="str">
        <f t="shared" si="0"/>
        <v>03ago-09ago 25</v>
      </c>
    </row>
    <row r="29" spans="3:14">
      <c r="C29" s="8" t="s">
        <v>160</v>
      </c>
      <c r="E29" s="8" t="s">
        <v>55</v>
      </c>
      <c r="J29" s="8" t="s">
        <v>4873</v>
      </c>
      <c r="K29" s="8">
        <v>28</v>
      </c>
      <c r="L29" s="30">
        <v>45879</v>
      </c>
      <c r="M29" s="30">
        <v>45885</v>
      </c>
      <c r="N29" s="30" t="str">
        <f t="shared" si="0"/>
        <v>10ago-16ago 25</v>
      </c>
    </row>
    <row r="30" spans="3:14">
      <c r="C30" s="8" t="s">
        <v>163</v>
      </c>
      <c r="E30" s="8" t="s">
        <v>165</v>
      </c>
      <c r="J30" s="8" t="s">
        <v>4874</v>
      </c>
      <c r="K30" s="8">
        <v>29</v>
      </c>
      <c r="L30" s="30">
        <v>45886</v>
      </c>
      <c r="M30" s="30">
        <v>45892</v>
      </c>
      <c r="N30" s="30" t="str">
        <f t="shared" si="0"/>
        <v>17ago-23ago 25</v>
      </c>
    </row>
    <row r="31" spans="3:14">
      <c r="C31" s="8" t="s">
        <v>4945</v>
      </c>
      <c r="E31" s="8" t="s">
        <v>71</v>
      </c>
      <c r="J31" s="8" t="s">
        <v>4875</v>
      </c>
      <c r="K31" s="8">
        <v>30</v>
      </c>
      <c r="L31" s="30">
        <v>45893</v>
      </c>
      <c r="M31" s="30">
        <v>45899</v>
      </c>
      <c r="N31" s="30" t="str">
        <f t="shared" si="0"/>
        <v>24ago-30ago 25</v>
      </c>
    </row>
    <row r="32" spans="3:14">
      <c r="C32" s="8" t="s">
        <v>164</v>
      </c>
      <c r="E32" s="8" t="s">
        <v>134</v>
      </c>
      <c r="J32" s="31" t="s">
        <v>4878</v>
      </c>
      <c r="K32" s="31">
        <v>31</v>
      </c>
      <c r="L32" s="32">
        <v>45900</v>
      </c>
      <c r="M32" s="32">
        <v>45906</v>
      </c>
      <c r="N32" s="32" t="str">
        <f t="shared" si="0"/>
        <v>31ago-06sep 25</v>
      </c>
    </row>
    <row r="33" spans="3:14">
      <c r="C33" s="8" t="s">
        <v>166</v>
      </c>
      <c r="E33" s="8" t="s">
        <v>67</v>
      </c>
      <c r="J33" s="31" t="s">
        <v>4879</v>
      </c>
      <c r="K33" s="31">
        <v>32</v>
      </c>
      <c r="L33" s="32">
        <v>45907</v>
      </c>
      <c r="M33" s="32">
        <v>45913</v>
      </c>
      <c r="N33" s="32" t="str">
        <f t="shared" si="0"/>
        <v>07sep-13sep 25</v>
      </c>
    </row>
    <row r="34" spans="3:14">
      <c r="C34" s="8" t="s">
        <v>167</v>
      </c>
      <c r="E34" s="8" t="s">
        <v>60</v>
      </c>
      <c r="J34" s="31" t="s">
        <v>4880</v>
      </c>
      <c r="K34" s="31">
        <v>33</v>
      </c>
      <c r="L34" s="32">
        <v>45914</v>
      </c>
      <c r="M34" s="32">
        <v>45920</v>
      </c>
      <c r="N34" s="32" t="str">
        <f t="shared" si="0"/>
        <v>14sep-20sep 25</v>
      </c>
    </row>
    <row r="35" spans="3:14">
      <c r="C35" s="8" t="s">
        <v>169</v>
      </c>
      <c r="E35" s="8" t="s">
        <v>31</v>
      </c>
      <c r="J35" s="31" t="s">
        <v>4881</v>
      </c>
      <c r="K35" s="31">
        <v>34</v>
      </c>
      <c r="L35" s="32">
        <v>45921</v>
      </c>
      <c r="M35" s="32">
        <v>45927</v>
      </c>
      <c r="N35" s="32" t="str">
        <f t="shared" si="0"/>
        <v>21sep-27sep 25</v>
      </c>
    </row>
    <row r="36" spans="3:14">
      <c r="C36" s="8" t="s">
        <v>173</v>
      </c>
      <c r="E36" s="8" t="s">
        <v>30</v>
      </c>
      <c r="J36" s="31" t="s">
        <v>4882</v>
      </c>
      <c r="K36" s="31">
        <v>35</v>
      </c>
      <c r="L36" s="32">
        <v>45928</v>
      </c>
      <c r="M36" s="32">
        <v>45934</v>
      </c>
      <c r="N36" s="32" t="str">
        <f t="shared" si="0"/>
        <v>28sep-04oct 25</v>
      </c>
    </row>
    <row r="37" spans="3:14">
      <c r="C37" s="8" t="s">
        <v>176</v>
      </c>
      <c r="E37" s="8" t="s">
        <v>33</v>
      </c>
      <c r="J37" s="8" t="s">
        <v>4885</v>
      </c>
      <c r="K37" s="8">
        <v>36</v>
      </c>
      <c r="L37" s="30">
        <v>45935</v>
      </c>
      <c r="M37" s="30">
        <v>45941</v>
      </c>
      <c r="N37" s="30" t="str">
        <f t="shared" si="0"/>
        <v>05oct-11oct 25</v>
      </c>
    </row>
    <row r="38" spans="3:14">
      <c r="C38" s="8" t="s">
        <v>177</v>
      </c>
      <c r="E38" s="8" t="s">
        <v>28</v>
      </c>
      <c r="J38" s="8" t="s">
        <v>4886</v>
      </c>
      <c r="K38" s="8">
        <v>37</v>
      </c>
      <c r="L38" s="30">
        <v>45942</v>
      </c>
      <c r="M38" s="30">
        <v>45948</v>
      </c>
      <c r="N38" s="30" t="str">
        <f t="shared" si="0"/>
        <v>12oct-18oct 25</v>
      </c>
    </row>
    <row r="39" spans="3:14">
      <c r="C39" s="8" t="s">
        <v>179</v>
      </c>
      <c r="E39" s="8" t="s">
        <v>161</v>
      </c>
      <c r="J39" s="8" t="s">
        <v>4887</v>
      </c>
      <c r="K39" s="8">
        <v>38</v>
      </c>
      <c r="L39" s="30">
        <v>45949</v>
      </c>
      <c r="M39" s="30">
        <v>45955</v>
      </c>
      <c r="N39" s="30" t="str">
        <f t="shared" si="0"/>
        <v>19oct-25oct 25</v>
      </c>
    </row>
    <row r="40" spans="3:14">
      <c r="C40" s="8" t="s">
        <v>181</v>
      </c>
      <c r="E40" s="8" t="s">
        <v>59</v>
      </c>
      <c r="J40" s="8" t="s">
        <v>4888</v>
      </c>
      <c r="K40" s="8">
        <v>39</v>
      </c>
      <c r="L40" s="30">
        <v>45956</v>
      </c>
      <c r="M40" s="30">
        <v>45962</v>
      </c>
      <c r="N40" s="30" t="str">
        <f t="shared" si="0"/>
        <v>26oct-01nov 25</v>
      </c>
    </row>
    <row r="41" spans="3:14">
      <c r="C41" s="8" t="s">
        <v>186</v>
      </c>
      <c r="E41" s="8" t="s">
        <v>135</v>
      </c>
      <c r="J41" s="31" t="s">
        <v>4891</v>
      </c>
      <c r="K41" s="31">
        <v>40</v>
      </c>
      <c r="L41" s="32">
        <v>45963</v>
      </c>
      <c r="M41" s="32">
        <v>45969</v>
      </c>
      <c r="N41" s="32" t="str">
        <f t="shared" si="0"/>
        <v>02nov-08nov 25</v>
      </c>
    </row>
    <row r="42" spans="3:14">
      <c r="C42" s="8" t="s">
        <v>189</v>
      </c>
      <c r="E42" s="8" t="s">
        <v>47</v>
      </c>
      <c r="J42" s="31" t="s">
        <v>4892</v>
      </c>
      <c r="K42" s="31">
        <v>41</v>
      </c>
      <c r="L42" s="32">
        <v>45970</v>
      </c>
      <c r="M42" s="32">
        <v>45976</v>
      </c>
      <c r="N42" s="32" t="str">
        <f t="shared" si="0"/>
        <v>09nov-15nov 25</v>
      </c>
    </row>
    <row r="43" spans="3:14">
      <c r="C43" s="8" t="s">
        <v>190</v>
      </c>
      <c r="E43" s="8" t="s">
        <v>148</v>
      </c>
      <c r="J43" s="31" t="s">
        <v>4893</v>
      </c>
      <c r="K43" s="31">
        <v>42</v>
      </c>
      <c r="L43" s="32">
        <v>45977</v>
      </c>
      <c r="M43" s="32">
        <v>45983</v>
      </c>
      <c r="N43" s="32" t="str">
        <f t="shared" si="0"/>
        <v>16nov-22nov 25</v>
      </c>
    </row>
    <row r="44" spans="3:14">
      <c r="C44" s="164" t="s">
        <v>191</v>
      </c>
      <c r="E44" s="8" t="s">
        <v>37</v>
      </c>
      <c r="J44" s="31" t="s">
        <v>4894</v>
      </c>
      <c r="K44" s="31">
        <v>43</v>
      </c>
      <c r="L44" s="32">
        <v>45984</v>
      </c>
      <c r="M44" s="32">
        <v>45990</v>
      </c>
      <c r="N44" s="32" t="str">
        <f t="shared" si="0"/>
        <v>23nov-29nov 25</v>
      </c>
    </row>
    <row r="45" spans="3:14">
      <c r="C45" s="290" t="s">
        <v>156</v>
      </c>
      <c r="E45" s="8" t="s">
        <v>171</v>
      </c>
      <c r="J45" s="8" t="s">
        <v>4897</v>
      </c>
      <c r="K45" s="8">
        <v>44</v>
      </c>
      <c r="L45" s="30">
        <v>45991</v>
      </c>
      <c r="M45" s="30">
        <v>45997</v>
      </c>
      <c r="N45" s="30" t="str">
        <f t="shared" si="0"/>
        <v>30nov-06dic 25</v>
      </c>
    </row>
    <row r="46" spans="3:14" ht="15">
      <c r="C46" s="377" t="s">
        <v>145</v>
      </c>
      <c r="E46" s="8" t="s">
        <v>73</v>
      </c>
      <c r="J46" s="8" t="s">
        <v>4898</v>
      </c>
      <c r="K46" s="8">
        <v>45</v>
      </c>
      <c r="L46" s="30">
        <v>45998</v>
      </c>
      <c r="M46" s="30">
        <v>46004</v>
      </c>
      <c r="N46" s="30" t="str">
        <f t="shared" si="0"/>
        <v>07dic-13dic 25</v>
      </c>
    </row>
    <row r="47" spans="3:14">
      <c r="C47" s="164" t="s">
        <v>2236</v>
      </c>
      <c r="E47" s="8" t="s">
        <v>162</v>
      </c>
      <c r="J47" s="8" t="s">
        <v>4899</v>
      </c>
      <c r="K47" s="8">
        <v>46</v>
      </c>
      <c r="L47" s="30">
        <v>46005</v>
      </c>
      <c r="M47" s="30">
        <v>46011</v>
      </c>
      <c r="N47" s="30" t="str">
        <f t="shared" si="0"/>
        <v>14dic-20dic 25</v>
      </c>
    </row>
    <row r="48" spans="3:14">
      <c r="C48" s="164" t="s">
        <v>172</v>
      </c>
      <c r="E48" s="8" t="s">
        <v>42</v>
      </c>
      <c r="J48" s="8" t="s">
        <v>4900</v>
      </c>
      <c r="K48" s="8">
        <v>47</v>
      </c>
      <c r="L48" s="30">
        <v>46012</v>
      </c>
      <c r="M48" s="30">
        <v>46018</v>
      </c>
      <c r="N48" s="30" t="str">
        <f t="shared" si="0"/>
        <v>21dic-27dic 25</v>
      </c>
    </row>
    <row r="49" spans="5:14">
      <c r="E49" s="8" t="s">
        <v>170</v>
      </c>
      <c r="J49" s="8" t="s">
        <v>4901</v>
      </c>
      <c r="K49" s="8">
        <v>48</v>
      </c>
      <c r="L49" s="30">
        <v>46019</v>
      </c>
      <c r="M49" s="30">
        <v>46025</v>
      </c>
      <c r="N49" s="30" t="str">
        <f t="shared" si="0"/>
        <v>28dic-03ene 26</v>
      </c>
    </row>
    <row r="50" spans="5:14">
      <c r="E50" s="8" t="s">
        <v>62</v>
      </c>
      <c r="J50" s="31" t="s">
        <v>4904</v>
      </c>
      <c r="K50" s="31">
        <v>49</v>
      </c>
      <c r="L50" s="32">
        <v>46026</v>
      </c>
      <c r="M50" s="32">
        <v>46032</v>
      </c>
      <c r="N50" s="32" t="str">
        <f t="shared" si="0"/>
        <v>04ene-10ene 26</v>
      </c>
    </row>
    <row r="51" spans="5:14">
      <c r="E51" s="8" t="s">
        <v>86</v>
      </c>
      <c r="J51" s="31" t="s">
        <v>4905</v>
      </c>
      <c r="K51" s="31">
        <v>50</v>
      </c>
      <c r="L51" s="32">
        <v>46033</v>
      </c>
      <c r="M51" s="32">
        <v>46039</v>
      </c>
      <c r="N51" s="32" t="str">
        <f t="shared" si="0"/>
        <v>11ene-17ene 26</v>
      </c>
    </row>
    <row r="52" spans="5:14">
      <c r="E52" s="8" t="s">
        <v>107</v>
      </c>
      <c r="J52" s="31" t="s">
        <v>4906</v>
      </c>
      <c r="K52" s="31">
        <v>51</v>
      </c>
      <c r="L52" s="32">
        <v>46040</v>
      </c>
      <c r="M52" s="32">
        <v>46046</v>
      </c>
      <c r="N52" s="32" t="str">
        <f t="shared" si="0"/>
        <v>18ene-24ene 26</v>
      </c>
    </row>
    <row r="53" spans="5:14" ht="15" thickBot="1">
      <c r="E53" s="8" t="s">
        <v>108</v>
      </c>
      <c r="J53" s="34" t="s">
        <v>4907</v>
      </c>
      <c r="K53" s="34">
        <v>52</v>
      </c>
      <c r="L53" s="35">
        <v>46047</v>
      </c>
      <c r="M53" s="35">
        <v>46053</v>
      </c>
      <c r="N53" s="35" t="str">
        <f t="shared" si="0"/>
        <v>25ene-31ene 26</v>
      </c>
    </row>
    <row r="54" spans="5:14">
      <c r="E54" s="8" t="s">
        <v>109</v>
      </c>
      <c r="F54" s="33"/>
      <c r="H54" s="36" t="s">
        <v>4833</v>
      </c>
      <c r="I54" s="37" t="s">
        <v>4836</v>
      </c>
      <c r="J54" s="38" t="s">
        <v>4837</v>
      </c>
      <c r="K54" s="38"/>
      <c r="L54" s="39">
        <f t="shared" ref="L54:L65" si="1">VLOOKUP(H54,T_Retail,3,FALSE)</f>
        <v>45690</v>
      </c>
      <c r="M54" s="39">
        <f t="shared" ref="M54:M65" si="2">VLOOKUP(I54,T_Retail,4,FALSE)</f>
        <v>45717</v>
      </c>
      <c r="N54" s="40" t="str">
        <f t="shared" si="0"/>
        <v>02feb-01mar 25</v>
      </c>
    </row>
    <row r="55" spans="5:14">
      <c r="E55" s="8" t="s">
        <v>110</v>
      </c>
      <c r="F55" s="33"/>
      <c r="H55" s="41" t="s">
        <v>4840</v>
      </c>
      <c r="I55" s="29" t="s">
        <v>4844</v>
      </c>
      <c r="J55" s="8" t="s">
        <v>4845</v>
      </c>
      <c r="K55" s="8"/>
      <c r="L55" s="30">
        <f t="shared" si="1"/>
        <v>45718</v>
      </c>
      <c r="M55" s="30">
        <f t="shared" si="2"/>
        <v>45752</v>
      </c>
      <c r="N55" s="42" t="str">
        <f t="shared" si="0"/>
        <v>02mar-05abr 25</v>
      </c>
    </row>
    <row r="56" spans="5:14">
      <c r="E56" s="8" t="s">
        <v>111</v>
      </c>
      <c r="F56" s="33"/>
      <c r="H56" s="41" t="s">
        <v>4847</v>
      </c>
      <c r="I56" s="29" t="s">
        <v>4850</v>
      </c>
      <c r="J56" s="8" t="s">
        <v>4851</v>
      </c>
      <c r="K56" s="8"/>
      <c r="L56" s="30">
        <f t="shared" si="1"/>
        <v>45753</v>
      </c>
      <c r="M56" s="30">
        <f t="shared" si="2"/>
        <v>45780</v>
      </c>
      <c r="N56" s="42" t="str">
        <f t="shared" si="0"/>
        <v>06abr-03may 25</v>
      </c>
    </row>
    <row r="57" spans="5:14">
      <c r="E57" s="8" t="s">
        <v>112</v>
      </c>
      <c r="F57" s="33"/>
      <c r="H57" s="41" t="s">
        <v>4853</v>
      </c>
      <c r="I57" s="29" t="s">
        <v>4856</v>
      </c>
      <c r="J57" s="8" t="s">
        <v>4857</v>
      </c>
      <c r="K57" s="8"/>
      <c r="L57" s="30">
        <f t="shared" si="1"/>
        <v>45781</v>
      </c>
      <c r="M57" s="30">
        <f t="shared" si="2"/>
        <v>45808</v>
      </c>
      <c r="N57" s="42" t="str">
        <f t="shared" si="0"/>
        <v>04may-31may 25</v>
      </c>
    </row>
    <row r="58" spans="5:14">
      <c r="E58" s="8" t="s">
        <v>113</v>
      </c>
      <c r="F58" s="33"/>
      <c r="H58" s="41" t="s">
        <v>4859</v>
      </c>
      <c r="I58" s="29" t="s">
        <v>4863</v>
      </c>
      <c r="J58" s="8" t="s">
        <v>4864</v>
      </c>
      <c r="K58" s="8"/>
      <c r="L58" s="30">
        <f t="shared" si="1"/>
        <v>45809</v>
      </c>
      <c r="M58" s="30">
        <f t="shared" si="2"/>
        <v>45843</v>
      </c>
      <c r="N58" s="42" t="str">
        <f>TEXT(L58,"ddmmm-")&amp;TEXT(M58,"ddmmm aa")</f>
        <v>01jun-05jul 25</v>
      </c>
    </row>
    <row r="59" spans="5:14">
      <c r="E59" s="8" t="s">
        <v>114</v>
      </c>
      <c r="F59" s="33"/>
      <c r="H59" s="41" t="s">
        <v>4866</v>
      </c>
      <c r="I59" s="29" t="s">
        <v>4869</v>
      </c>
      <c r="J59" s="8" t="s">
        <v>4870</v>
      </c>
      <c r="K59" s="8"/>
      <c r="L59" s="30">
        <f t="shared" si="1"/>
        <v>45844</v>
      </c>
      <c r="M59" s="30">
        <f t="shared" si="2"/>
        <v>45871</v>
      </c>
      <c r="N59" s="42" t="str">
        <f t="shared" si="0"/>
        <v>06jul-02ago 25</v>
      </c>
    </row>
    <row r="60" spans="5:14">
      <c r="E60" s="8" t="s">
        <v>116</v>
      </c>
      <c r="F60" s="33"/>
      <c r="H60" s="41" t="s">
        <v>4872</v>
      </c>
      <c r="I60" s="29" t="s">
        <v>4875</v>
      </c>
      <c r="J60" s="8" t="s">
        <v>4876</v>
      </c>
      <c r="K60" s="8"/>
      <c r="L60" s="30">
        <f t="shared" si="1"/>
        <v>45872</v>
      </c>
      <c r="M60" s="30">
        <f t="shared" si="2"/>
        <v>45899</v>
      </c>
      <c r="N60" s="42" t="str">
        <f t="shared" si="0"/>
        <v>03ago-30ago 25</v>
      </c>
    </row>
    <row r="61" spans="5:14">
      <c r="E61" s="8" t="s">
        <v>174</v>
      </c>
      <c r="F61" s="33"/>
      <c r="H61" s="41" t="s">
        <v>4878</v>
      </c>
      <c r="I61" s="29" t="s">
        <v>4882</v>
      </c>
      <c r="J61" s="8" t="s">
        <v>4883</v>
      </c>
      <c r="K61" s="8"/>
      <c r="L61" s="30">
        <f t="shared" si="1"/>
        <v>45900</v>
      </c>
      <c r="M61" s="30">
        <f t="shared" si="2"/>
        <v>45934</v>
      </c>
      <c r="N61" s="42" t="str">
        <f t="shared" si="0"/>
        <v>31ago-04oct 25</v>
      </c>
    </row>
    <row r="62" spans="5:14">
      <c r="E62" s="8" t="s">
        <v>175</v>
      </c>
      <c r="F62" s="33"/>
      <c r="H62" s="41" t="s">
        <v>4885</v>
      </c>
      <c r="I62" s="29" t="s">
        <v>4888</v>
      </c>
      <c r="J62" s="8" t="s">
        <v>4889</v>
      </c>
      <c r="K62" s="8"/>
      <c r="L62" s="30">
        <f t="shared" si="1"/>
        <v>45935</v>
      </c>
      <c r="M62" s="30">
        <f t="shared" si="2"/>
        <v>45962</v>
      </c>
      <c r="N62" s="42" t="str">
        <f t="shared" si="0"/>
        <v>05oct-01nov 25</v>
      </c>
    </row>
    <row r="63" spans="5:14">
      <c r="E63" s="8" t="s">
        <v>68</v>
      </c>
      <c r="F63" s="33"/>
      <c r="H63" s="41" t="s">
        <v>4891</v>
      </c>
      <c r="I63" s="29" t="s">
        <v>4894</v>
      </c>
      <c r="J63" s="8" t="s">
        <v>4895</v>
      </c>
      <c r="K63" s="8"/>
      <c r="L63" s="30">
        <f t="shared" si="1"/>
        <v>45963</v>
      </c>
      <c r="M63" s="30">
        <f t="shared" si="2"/>
        <v>45990</v>
      </c>
      <c r="N63" s="42" t="str">
        <f t="shared" si="0"/>
        <v>02nov-29nov 25</v>
      </c>
    </row>
    <row r="64" spans="5:14">
      <c r="E64" s="8" t="s">
        <v>119</v>
      </c>
      <c r="F64" s="33"/>
      <c r="H64" s="41" t="s">
        <v>4897</v>
      </c>
      <c r="I64" s="29" t="s">
        <v>4901</v>
      </c>
      <c r="J64" s="8" t="s">
        <v>4902</v>
      </c>
      <c r="K64" s="8"/>
      <c r="L64" s="30">
        <f t="shared" si="1"/>
        <v>45991</v>
      </c>
      <c r="M64" s="30">
        <f t="shared" si="2"/>
        <v>46025</v>
      </c>
      <c r="N64" s="42" t="str">
        <f t="shared" si="0"/>
        <v>30nov-03ene 26</v>
      </c>
    </row>
    <row r="65" spans="5:14" ht="15" thickBot="1">
      <c r="E65" s="8" t="s">
        <v>23</v>
      </c>
      <c r="F65" s="33"/>
      <c r="H65" s="43" t="s">
        <v>4904</v>
      </c>
      <c r="I65" s="44" t="s">
        <v>4907</v>
      </c>
      <c r="J65" s="45" t="s">
        <v>4908</v>
      </c>
      <c r="K65" s="45"/>
      <c r="L65" s="46">
        <f t="shared" si="1"/>
        <v>46026</v>
      </c>
      <c r="M65" s="46">
        <f t="shared" si="2"/>
        <v>46053</v>
      </c>
      <c r="N65" s="47" t="str">
        <f t="shared" si="0"/>
        <v>04ene-31ene 26</v>
      </c>
    </row>
    <row r="66" spans="5:14">
      <c r="E66" s="8" t="s">
        <v>149</v>
      </c>
      <c r="H66" s="133"/>
      <c r="I66" s="133"/>
      <c r="N66" s="1"/>
    </row>
    <row r="67" spans="5:14">
      <c r="E67" s="8" t="s">
        <v>57</v>
      </c>
    </row>
    <row r="68" spans="5:14">
      <c r="E68" s="8" t="s">
        <v>123</v>
      </c>
    </row>
    <row r="69" spans="5:14">
      <c r="E69" s="8" t="s">
        <v>40</v>
      </c>
    </row>
    <row r="70" spans="5:14">
      <c r="E70" s="8" t="s">
        <v>150</v>
      </c>
    </row>
    <row r="71" spans="5:14">
      <c r="E71" s="8" t="s">
        <v>124</v>
      </c>
    </row>
    <row r="72" spans="5:14">
      <c r="E72" s="8" t="s">
        <v>29</v>
      </c>
    </row>
    <row r="73" spans="5:14">
      <c r="E73" s="8" t="s">
        <v>129</v>
      </c>
    </row>
    <row r="74" spans="5:14">
      <c r="E74" s="8" t="s">
        <v>128</v>
      </c>
    </row>
    <row r="75" spans="5:14">
      <c r="E75" s="8" t="s">
        <v>132</v>
      </c>
    </row>
    <row r="76" spans="5:14">
      <c r="E76" s="8" t="s">
        <v>115</v>
      </c>
    </row>
    <row r="77" spans="5:14">
      <c r="E77" s="8" t="s">
        <v>34</v>
      </c>
    </row>
    <row r="78" spans="5:14">
      <c r="E78" s="8" t="s">
        <v>69</v>
      </c>
    </row>
    <row r="79" spans="5:14">
      <c r="E79" s="8" t="s">
        <v>136</v>
      </c>
    </row>
    <row r="80" spans="5:14">
      <c r="E80" s="8" t="s">
        <v>126</v>
      </c>
    </row>
    <row r="81" spans="5:5">
      <c r="E81" s="8" t="s">
        <v>49</v>
      </c>
    </row>
    <row r="82" spans="5:5">
      <c r="E82" s="8" t="s">
        <v>35</v>
      </c>
    </row>
    <row r="83" spans="5:5">
      <c r="E83" s="8" t="s">
        <v>46</v>
      </c>
    </row>
    <row r="84" spans="5:5">
      <c r="E84" s="8" t="s">
        <v>44</v>
      </c>
    </row>
    <row r="85" spans="5:5">
      <c r="E85" s="8" t="s">
        <v>139</v>
      </c>
    </row>
    <row r="86" spans="5:5">
      <c r="E86" s="8" t="s">
        <v>138</v>
      </c>
    </row>
    <row r="87" spans="5:5">
      <c r="E87" s="8" t="s">
        <v>143</v>
      </c>
    </row>
    <row r="88" spans="5:5">
      <c r="E88" s="8" t="s">
        <v>74</v>
      </c>
    </row>
    <row r="89" spans="5:5">
      <c r="E89" s="8" t="s">
        <v>4946</v>
      </c>
    </row>
    <row r="90" spans="5:5">
      <c r="E90" s="8" t="s">
        <v>4719</v>
      </c>
    </row>
    <row r="91" spans="5:5">
      <c r="E91" s="8" t="s">
        <v>4947</v>
      </c>
    </row>
    <row r="92" spans="5:5">
      <c r="E92" s="8" t="s">
        <v>188</v>
      </c>
    </row>
    <row r="93" spans="5:5">
      <c r="E93" s="8" t="s">
        <v>187</v>
      </c>
    </row>
    <row r="94" spans="5:5">
      <c r="E94" s="8" t="s">
        <v>163</v>
      </c>
    </row>
    <row r="95" spans="5:5">
      <c r="E95" s="8" t="s">
        <v>77</v>
      </c>
    </row>
    <row r="96" spans="5:5">
      <c r="E96" s="8" t="s">
        <v>66</v>
      </c>
    </row>
    <row r="97" spans="5:5">
      <c r="E97" s="8" t="s">
        <v>76</v>
      </c>
    </row>
    <row r="98" spans="5:5">
      <c r="E98" s="8" t="s">
        <v>125</v>
      </c>
    </row>
    <row r="99" spans="5:5">
      <c r="E99" s="8" t="s">
        <v>151</v>
      </c>
    </row>
    <row r="100" spans="5:5">
      <c r="E100" s="8" t="s">
        <v>64</v>
      </c>
    </row>
    <row r="101" spans="5:5">
      <c r="E101" s="8" t="s">
        <v>21</v>
      </c>
    </row>
    <row r="102" spans="5:5">
      <c r="E102" s="8" t="s">
        <v>61</v>
      </c>
    </row>
    <row r="103" spans="5:5">
      <c r="E103" s="8" t="s">
        <v>58</v>
      </c>
    </row>
    <row r="104" spans="5:5">
      <c r="E104" s="8" t="s">
        <v>178</v>
      </c>
    </row>
    <row r="105" spans="5:5">
      <c r="E105" s="8" t="s">
        <v>36</v>
      </c>
    </row>
    <row r="106" spans="5:5">
      <c r="E106" s="8" t="s">
        <v>180</v>
      </c>
    </row>
    <row r="107" spans="5:5">
      <c r="E107" s="8" t="s">
        <v>184</v>
      </c>
    </row>
    <row r="108" spans="5:5">
      <c r="E108" s="8" t="s">
        <v>27</v>
      </c>
    </row>
    <row r="109" spans="5:5">
      <c r="E109" s="8" t="s">
        <v>26</v>
      </c>
    </row>
    <row r="110" spans="5:5">
      <c r="E110" s="8" t="s">
        <v>183</v>
      </c>
    </row>
    <row r="111" spans="5:5">
      <c r="E111" s="8" t="s">
        <v>182</v>
      </c>
    </row>
    <row r="112" spans="5:5">
      <c r="E112" s="8" t="s">
        <v>38</v>
      </c>
    </row>
    <row r="113" spans="5:5">
      <c r="E113" s="8" t="s">
        <v>63</v>
      </c>
    </row>
    <row r="114" spans="5:5">
      <c r="E114" s="8" t="s">
        <v>50</v>
      </c>
    </row>
    <row r="115" spans="5:5">
      <c r="E115" s="8" t="s">
        <v>72</v>
      </c>
    </row>
    <row r="116" spans="5:5">
      <c r="E116" s="164" t="s">
        <v>56</v>
      </c>
    </row>
    <row r="117" spans="5:5">
      <c r="E117" s="240" t="s">
        <v>181</v>
      </c>
    </row>
    <row r="118" spans="5:5">
      <c r="E118" s="240" t="s">
        <v>185</v>
      </c>
    </row>
    <row r="119" spans="5:5">
      <c r="E119" s="240" t="s">
        <v>131</v>
      </c>
    </row>
    <row r="120" spans="5:5">
      <c r="E120" s="240" t="s">
        <v>157</v>
      </c>
    </row>
    <row r="121" spans="5:5">
      <c r="E121" s="290" t="s">
        <v>78</v>
      </c>
    </row>
    <row r="122" spans="5:5">
      <c r="E122" s="290" t="s">
        <v>81</v>
      </c>
    </row>
    <row r="123" spans="5:5">
      <c r="E123" s="290" t="s">
        <v>82</v>
      </c>
    </row>
    <row r="124" spans="5:5">
      <c r="E124" s="290" t="s">
        <v>146</v>
      </c>
    </row>
    <row r="125" spans="5:5">
      <c r="E125" s="240" t="s">
        <v>83</v>
      </c>
    </row>
    <row r="126" spans="5:5">
      <c r="E126" s="290" t="s">
        <v>84</v>
      </c>
    </row>
    <row r="127" spans="5:5">
      <c r="E127" s="290" t="s">
        <v>140</v>
      </c>
    </row>
    <row r="128" spans="5:5">
      <c r="E128" s="290" t="s">
        <v>159</v>
      </c>
    </row>
    <row r="129" spans="5:5">
      <c r="E129" s="290" t="s">
        <v>133</v>
      </c>
    </row>
    <row r="130" spans="5:5">
      <c r="E130" s="290" t="s">
        <v>153</v>
      </c>
    </row>
    <row r="131" spans="5:5">
      <c r="E131" s="290" t="s">
        <v>19</v>
      </c>
    </row>
    <row r="132" spans="5:5">
      <c r="E132" s="290" t="s">
        <v>141</v>
      </c>
    </row>
    <row r="133" spans="5:5">
      <c r="E133" s="290" t="s">
        <v>2236</v>
      </c>
    </row>
    <row r="134" spans="5:5">
      <c r="E134" s="290" t="s">
        <v>79</v>
      </c>
    </row>
    <row r="135" spans="5:5">
      <c r="E135" s="290" t="s">
        <v>117</v>
      </c>
    </row>
    <row r="136" spans="5:5">
      <c r="E136" s="290" t="s">
        <v>118</v>
      </c>
    </row>
    <row r="137" spans="5:5">
      <c r="E137" s="290" t="s">
        <v>172</v>
      </c>
    </row>
    <row r="138" spans="5:5">
      <c r="E138" s="290" t="s">
        <v>168</v>
      </c>
    </row>
  </sheetData>
  <sortState xmlns:xlrd2="http://schemas.microsoft.com/office/spreadsheetml/2017/richdata2" ref="E3:E114">
    <sortCondition ref="E3:E114"/>
  </sortState>
  <phoneticPr fontId="3" type="noConversion"/>
  <dataValidations count="2">
    <dataValidation type="list" allowBlank="1" showInputMessage="1" showErrorMessage="1" sqref="H54:I66" xr:uid="{62A94702-67AE-4952-8E5E-E716E3DFCF33}">
      <formula1>$J:$J</formula1>
    </dataValidation>
    <dataValidation allowBlank="1" showInputMessage="1" showErrorMessage="1" sqref="E1:E1048576" xr:uid="{DF5B9D7E-37AD-4A61-B607-A5B7AD53D938}"/>
  </dataValidations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37995-B80F-4E93-92E2-64A9D03E4CE0}">
  <dimension ref="B1:H4"/>
  <sheetViews>
    <sheetView workbookViewId="0">
      <selection activeCell="F15" sqref="F15"/>
    </sheetView>
  </sheetViews>
  <sheetFormatPr defaultColWidth="8.85546875" defaultRowHeight="14.25"/>
  <cols>
    <col min="2" max="2" width="38.28515625" bestFit="1" customWidth="1"/>
    <col min="3" max="3" width="12.28515625" bestFit="1" customWidth="1"/>
    <col min="4" max="4" width="17.28515625" customWidth="1"/>
    <col min="5" max="5" width="21.28515625" bestFit="1" customWidth="1"/>
    <col min="6" max="6" width="33.5703125" bestFit="1" customWidth="1"/>
  </cols>
  <sheetData>
    <row r="1" spans="2:8" ht="15">
      <c r="C1" s="84" t="s">
        <v>4925</v>
      </c>
      <c r="D1" s="85"/>
      <c r="E1" s="85"/>
      <c r="F1" s="85"/>
      <c r="G1" s="85"/>
      <c r="H1" s="85"/>
    </row>
    <row r="2" spans="2:8">
      <c r="B2" s="86" t="s">
        <v>4948</v>
      </c>
      <c r="C2" s="87" t="s">
        <v>4949</v>
      </c>
      <c r="D2" s="87" t="s">
        <v>4916</v>
      </c>
      <c r="E2" s="87" t="s">
        <v>4950</v>
      </c>
      <c r="F2" s="88" t="s">
        <v>4951</v>
      </c>
    </row>
    <row r="3" spans="2:8" ht="15">
      <c r="B3" s="148"/>
      <c r="C3" s="149"/>
      <c r="D3" s="150"/>
      <c r="E3" s="151"/>
      <c r="F3" s="152"/>
    </row>
    <row r="4" spans="2:8" ht="15">
      <c r="B4" s="153"/>
      <c r="C4" s="154"/>
      <c r="D4" s="155"/>
      <c r="E4" s="156"/>
      <c r="F4" s="15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BD7EF-7A63-4C22-897B-79C150CB8E51}">
  <dimension ref="A2:F240"/>
  <sheetViews>
    <sheetView topLeftCell="A229" workbookViewId="0">
      <selection activeCell="E239" sqref="E239"/>
    </sheetView>
  </sheetViews>
  <sheetFormatPr defaultColWidth="8.85546875" defaultRowHeight="14.25"/>
  <cols>
    <col min="1" max="1" width="42.5703125" customWidth="1"/>
    <col min="2" max="2" width="22.28515625" customWidth="1"/>
    <col min="3" max="3" width="14.7109375" customWidth="1"/>
    <col min="4" max="4" width="17.28515625" customWidth="1"/>
    <col min="5" max="5" width="13.42578125" customWidth="1"/>
    <col min="6" max="6" width="11.42578125" style="91" bestFit="1" customWidth="1"/>
    <col min="7" max="10" width="9.140625" bestFit="1" customWidth="1"/>
    <col min="11" max="11" width="11.42578125" bestFit="1" customWidth="1"/>
  </cols>
  <sheetData>
    <row r="2" spans="1:6" ht="15">
      <c r="A2" s="571">
        <v>2021</v>
      </c>
      <c r="B2" s="571"/>
      <c r="C2" s="571"/>
      <c r="D2" s="571"/>
      <c r="E2" s="571"/>
      <c r="F2" s="92">
        <f>SUM(C4:C101)</f>
        <v>104720.12</v>
      </c>
    </row>
    <row r="3" spans="1:6">
      <c r="A3" s="93" t="s">
        <v>4948</v>
      </c>
      <c r="B3" s="94" t="s">
        <v>4949</v>
      </c>
      <c r="C3" s="94" t="s">
        <v>4916</v>
      </c>
      <c r="D3" s="94" t="s">
        <v>4952</v>
      </c>
      <c r="E3" s="94" t="s">
        <v>4953</v>
      </c>
    </row>
    <row r="4" spans="1:6" ht="15" hidden="1">
      <c r="A4" s="95" t="s">
        <v>4954</v>
      </c>
      <c r="B4" s="96" t="s">
        <v>103</v>
      </c>
      <c r="C4" s="96">
        <v>1085</v>
      </c>
      <c r="D4" s="97">
        <v>44285</v>
      </c>
      <c r="E4" s="98"/>
    </row>
    <row r="5" spans="1:6" ht="15" hidden="1">
      <c r="A5" s="95" t="s">
        <v>4955</v>
      </c>
      <c r="B5" s="96" t="s">
        <v>103</v>
      </c>
      <c r="C5" s="96">
        <v>1731</v>
      </c>
      <c r="D5" s="97">
        <v>44292</v>
      </c>
      <c r="E5" s="98"/>
    </row>
    <row r="6" spans="1:6" ht="15" hidden="1">
      <c r="A6" s="95" t="s">
        <v>4956</v>
      </c>
      <c r="B6" s="96" t="s">
        <v>94</v>
      </c>
      <c r="C6" s="96">
        <v>1004</v>
      </c>
      <c r="D6" s="97">
        <v>44294</v>
      </c>
      <c r="E6" s="98"/>
    </row>
    <row r="7" spans="1:6" ht="15" hidden="1">
      <c r="A7" s="95" t="s">
        <v>4957</v>
      </c>
      <c r="B7" s="96" t="s">
        <v>97</v>
      </c>
      <c r="C7" s="96">
        <v>1319</v>
      </c>
      <c r="D7" s="97">
        <v>44294</v>
      </c>
      <c r="E7" s="98"/>
    </row>
    <row r="8" spans="1:6" ht="15" hidden="1">
      <c r="A8" s="95" t="s">
        <v>4958</v>
      </c>
      <c r="B8" s="96" t="s">
        <v>106</v>
      </c>
      <c r="C8" s="96">
        <v>847</v>
      </c>
      <c r="D8" s="97">
        <v>44298</v>
      </c>
      <c r="E8" s="98"/>
    </row>
    <row r="9" spans="1:6" ht="15" hidden="1">
      <c r="A9" s="95" t="s">
        <v>4959</v>
      </c>
      <c r="B9" s="96" t="s">
        <v>98</v>
      </c>
      <c r="C9" s="96">
        <v>1442</v>
      </c>
      <c r="D9" s="97">
        <v>44299</v>
      </c>
      <c r="E9" s="98"/>
    </row>
    <row r="10" spans="1:6" ht="15" hidden="1">
      <c r="A10" s="95" t="s">
        <v>4960</v>
      </c>
      <c r="B10" s="96" t="s">
        <v>92</v>
      </c>
      <c r="C10" s="96">
        <v>334</v>
      </c>
      <c r="D10" s="97">
        <v>44300</v>
      </c>
      <c r="E10" s="98"/>
    </row>
    <row r="11" spans="1:6" ht="15" hidden="1">
      <c r="A11" s="95" t="s">
        <v>4961</v>
      </c>
      <c r="B11" s="96" t="s">
        <v>4925</v>
      </c>
      <c r="C11" s="96">
        <v>1725</v>
      </c>
      <c r="D11" s="97">
        <v>44301</v>
      </c>
      <c r="E11" s="99">
        <v>1172.53</v>
      </c>
    </row>
    <row r="12" spans="1:6" ht="15" hidden="1">
      <c r="A12" s="95" t="s">
        <v>4962</v>
      </c>
      <c r="B12" s="96" t="s">
        <v>104</v>
      </c>
      <c r="C12" s="96">
        <v>766</v>
      </c>
      <c r="D12" s="97">
        <v>44301</v>
      </c>
      <c r="E12" s="98"/>
    </row>
    <row r="13" spans="1:6" ht="15" hidden="1">
      <c r="A13" s="95" t="s">
        <v>4963</v>
      </c>
      <c r="B13" s="96" t="s">
        <v>106</v>
      </c>
      <c r="C13" s="96">
        <v>291</v>
      </c>
      <c r="D13" s="97">
        <v>44302</v>
      </c>
      <c r="E13" s="98"/>
    </row>
    <row r="14" spans="1:6" ht="15" hidden="1">
      <c r="A14" s="100" t="s">
        <v>4964</v>
      </c>
      <c r="B14" s="101" t="s">
        <v>107</v>
      </c>
      <c r="C14" s="101">
        <v>2229</v>
      </c>
      <c r="D14" s="102">
        <v>44314</v>
      </c>
      <c r="E14" s="98" t="s">
        <v>4965</v>
      </c>
    </row>
    <row r="15" spans="1:6" ht="15" hidden="1">
      <c r="A15" s="95" t="s">
        <v>4966</v>
      </c>
      <c r="B15" s="96" t="s">
        <v>100</v>
      </c>
      <c r="C15" s="96">
        <v>165.14</v>
      </c>
      <c r="D15" s="97">
        <v>44321</v>
      </c>
      <c r="E15" s="98"/>
    </row>
    <row r="16" spans="1:6" ht="15" hidden="1">
      <c r="A16" s="95" t="s">
        <v>4967</v>
      </c>
      <c r="B16" s="96" t="s">
        <v>92</v>
      </c>
      <c r="C16" s="96">
        <v>404</v>
      </c>
      <c r="D16" s="97">
        <v>44326</v>
      </c>
      <c r="E16" s="98"/>
    </row>
    <row r="17" spans="1:5" ht="15" hidden="1">
      <c r="A17" s="95" t="s">
        <v>4968</v>
      </c>
      <c r="B17" s="96" t="s">
        <v>90</v>
      </c>
      <c r="C17" s="96">
        <v>300</v>
      </c>
      <c r="D17" s="97">
        <v>44329</v>
      </c>
      <c r="E17" s="98"/>
    </row>
    <row r="18" spans="1:5" ht="15" hidden="1">
      <c r="A18" s="95" t="s">
        <v>4969</v>
      </c>
      <c r="B18" s="96" t="s">
        <v>108</v>
      </c>
      <c r="C18" s="96">
        <v>1090</v>
      </c>
      <c r="D18" s="97">
        <v>44331</v>
      </c>
      <c r="E18" s="98"/>
    </row>
    <row r="19" spans="1:5" ht="15" hidden="1">
      <c r="A19" s="95" t="s">
        <v>4970</v>
      </c>
      <c r="B19" s="96" t="s">
        <v>4971</v>
      </c>
      <c r="C19" s="96">
        <v>229</v>
      </c>
      <c r="D19" s="97">
        <v>44335</v>
      </c>
      <c r="E19" s="98"/>
    </row>
    <row r="20" spans="1:5" ht="15" hidden="1">
      <c r="A20" s="95" t="s">
        <v>4972</v>
      </c>
      <c r="B20" s="96" t="s">
        <v>90</v>
      </c>
      <c r="C20" s="96">
        <v>1647</v>
      </c>
      <c r="D20" s="97">
        <v>44336</v>
      </c>
      <c r="E20" s="98"/>
    </row>
    <row r="21" spans="1:5" ht="15" hidden="1">
      <c r="A21" s="95" t="s">
        <v>4973</v>
      </c>
      <c r="B21" s="96" t="s">
        <v>98</v>
      </c>
      <c r="C21" s="96">
        <v>498</v>
      </c>
      <c r="D21" s="97">
        <v>44340</v>
      </c>
      <c r="E21" s="98"/>
    </row>
    <row r="22" spans="1:5" ht="15" hidden="1">
      <c r="A22" s="95" t="s">
        <v>4974</v>
      </c>
      <c r="B22" s="96" t="s">
        <v>103</v>
      </c>
      <c r="C22" s="96">
        <v>291</v>
      </c>
      <c r="D22" s="97">
        <v>44340</v>
      </c>
      <c r="E22" s="98"/>
    </row>
    <row r="23" spans="1:5" ht="15" hidden="1">
      <c r="A23" s="95" t="s">
        <v>4975</v>
      </c>
      <c r="B23" s="96" t="s">
        <v>112</v>
      </c>
      <c r="C23" s="96">
        <v>1819</v>
      </c>
      <c r="D23" s="97">
        <v>44341</v>
      </c>
      <c r="E23" s="98"/>
    </row>
    <row r="24" spans="1:5" ht="15" hidden="1">
      <c r="A24" s="95" t="s">
        <v>4976</v>
      </c>
      <c r="B24" s="96" t="s">
        <v>112</v>
      </c>
      <c r="C24" s="96">
        <v>3075</v>
      </c>
      <c r="D24" s="97">
        <v>44341</v>
      </c>
      <c r="E24" s="98"/>
    </row>
    <row r="25" spans="1:5" ht="15" hidden="1">
      <c r="A25" s="100" t="s">
        <v>4977</v>
      </c>
      <c r="B25" s="101" t="s">
        <v>109</v>
      </c>
      <c r="C25" s="101">
        <v>3291</v>
      </c>
      <c r="D25" s="102">
        <v>44341</v>
      </c>
      <c r="E25" s="98" t="s">
        <v>4965</v>
      </c>
    </row>
    <row r="26" spans="1:5" ht="15" hidden="1">
      <c r="A26" s="103" t="s">
        <v>4978</v>
      </c>
      <c r="B26" s="104" t="s">
        <v>102</v>
      </c>
      <c r="C26" s="104">
        <v>1809</v>
      </c>
      <c r="D26" s="105">
        <v>44342</v>
      </c>
      <c r="E26" s="106" t="s">
        <v>4979</v>
      </c>
    </row>
    <row r="27" spans="1:5" ht="15" hidden="1">
      <c r="A27" s="95" t="s">
        <v>4980</v>
      </c>
      <c r="B27" s="96" t="s">
        <v>105</v>
      </c>
      <c r="C27" s="96">
        <v>3675</v>
      </c>
      <c r="D27" s="97">
        <v>44342</v>
      </c>
      <c r="E27" s="98"/>
    </row>
    <row r="28" spans="1:5" ht="15" hidden="1">
      <c r="A28" s="95" t="s">
        <v>4981</v>
      </c>
      <c r="B28" s="96" t="s">
        <v>105</v>
      </c>
      <c r="C28" s="96">
        <v>605</v>
      </c>
      <c r="D28" s="97">
        <v>44342</v>
      </c>
      <c r="E28" s="98"/>
    </row>
    <row r="29" spans="1:5" ht="15" hidden="1">
      <c r="A29" s="100" t="s">
        <v>4982</v>
      </c>
      <c r="B29" s="101" t="s">
        <v>99</v>
      </c>
      <c r="C29" s="101">
        <v>2023</v>
      </c>
      <c r="D29" s="102">
        <v>44342</v>
      </c>
      <c r="E29" s="98" t="s">
        <v>4965</v>
      </c>
    </row>
    <row r="30" spans="1:5" ht="15" hidden="1">
      <c r="A30" s="100" t="s">
        <v>4983</v>
      </c>
      <c r="B30" s="101" t="s">
        <v>99</v>
      </c>
      <c r="C30" s="101">
        <v>1538</v>
      </c>
      <c r="D30" s="102">
        <v>44342</v>
      </c>
      <c r="E30" s="98" t="s">
        <v>4965</v>
      </c>
    </row>
    <row r="31" spans="1:5" ht="15" hidden="1">
      <c r="A31" s="100" t="s">
        <v>4984</v>
      </c>
      <c r="B31" s="101" t="s">
        <v>111</v>
      </c>
      <c r="C31" s="101">
        <v>1310</v>
      </c>
      <c r="D31" s="102">
        <v>44343</v>
      </c>
      <c r="E31" s="98" t="s">
        <v>4965</v>
      </c>
    </row>
    <row r="32" spans="1:5" ht="15" hidden="1">
      <c r="A32" s="95" t="s">
        <v>4985</v>
      </c>
      <c r="B32" s="96" t="s">
        <v>97</v>
      </c>
      <c r="C32" s="96">
        <v>1024</v>
      </c>
      <c r="D32" s="97">
        <v>44344</v>
      </c>
      <c r="E32" s="98"/>
    </row>
    <row r="33" spans="1:5" ht="15" hidden="1">
      <c r="A33" s="95" t="s">
        <v>4986</v>
      </c>
      <c r="B33" s="96" t="s">
        <v>96</v>
      </c>
      <c r="C33" s="96">
        <v>476</v>
      </c>
      <c r="D33" s="97">
        <v>44346</v>
      </c>
      <c r="E33" s="98"/>
    </row>
    <row r="34" spans="1:5" ht="15" hidden="1">
      <c r="A34" s="95" t="s">
        <v>4987</v>
      </c>
      <c r="B34" s="96" t="s">
        <v>106</v>
      </c>
      <c r="C34" s="96">
        <v>2008</v>
      </c>
      <c r="D34" s="97">
        <v>44347</v>
      </c>
      <c r="E34" s="98"/>
    </row>
    <row r="35" spans="1:5" ht="15" hidden="1">
      <c r="A35" s="95" t="s">
        <v>4988</v>
      </c>
      <c r="B35" s="96" t="s">
        <v>92</v>
      </c>
      <c r="C35" s="96">
        <v>814</v>
      </c>
      <c r="D35" s="97">
        <v>44348</v>
      </c>
      <c r="E35" s="98"/>
    </row>
    <row r="36" spans="1:5" ht="15" hidden="1">
      <c r="A36" s="95" t="s">
        <v>4989</v>
      </c>
      <c r="B36" s="96" t="s">
        <v>92</v>
      </c>
      <c r="C36" s="96">
        <v>218</v>
      </c>
      <c r="D36" s="97">
        <v>44348</v>
      </c>
      <c r="E36" s="98"/>
    </row>
    <row r="37" spans="1:5" ht="15" hidden="1">
      <c r="A37" s="95" t="s">
        <v>4990</v>
      </c>
      <c r="B37" s="96" t="s">
        <v>99</v>
      </c>
      <c r="C37" s="96">
        <v>3730</v>
      </c>
      <c r="D37" s="97">
        <v>44354</v>
      </c>
      <c r="E37" s="98"/>
    </row>
    <row r="38" spans="1:5" ht="15" hidden="1">
      <c r="A38" s="95" t="s">
        <v>4991</v>
      </c>
      <c r="B38" s="96" t="s">
        <v>95</v>
      </c>
      <c r="C38" s="96">
        <v>610</v>
      </c>
      <c r="D38" s="97">
        <v>44358</v>
      </c>
      <c r="E38" s="98"/>
    </row>
    <row r="39" spans="1:5" ht="15" hidden="1">
      <c r="A39" s="95" t="s">
        <v>4992</v>
      </c>
      <c r="B39" s="96" t="s">
        <v>90</v>
      </c>
      <c r="C39" s="96">
        <v>53</v>
      </c>
      <c r="D39" s="97">
        <v>44358</v>
      </c>
      <c r="E39" s="98"/>
    </row>
    <row r="40" spans="1:5" ht="15" hidden="1">
      <c r="A40" s="95" t="s">
        <v>4993</v>
      </c>
      <c r="B40" s="96" t="s">
        <v>92</v>
      </c>
      <c r="C40" s="96">
        <v>115</v>
      </c>
      <c r="D40" s="97">
        <v>44361</v>
      </c>
      <c r="E40" s="98"/>
    </row>
    <row r="41" spans="1:5" ht="15" hidden="1">
      <c r="A41" s="95" t="s">
        <v>4994</v>
      </c>
      <c r="B41" s="96" t="s">
        <v>114</v>
      </c>
      <c r="C41" s="96">
        <v>921</v>
      </c>
      <c r="D41" s="97">
        <v>44368</v>
      </c>
      <c r="E41" s="98"/>
    </row>
    <row r="42" spans="1:5" ht="15" hidden="1">
      <c r="A42" s="95" t="s">
        <v>4995</v>
      </c>
      <c r="B42" s="96" t="s">
        <v>106</v>
      </c>
      <c r="C42" s="96">
        <v>277</v>
      </c>
      <c r="D42" s="97">
        <v>44373</v>
      </c>
      <c r="E42" s="98"/>
    </row>
    <row r="43" spans="1:5" ht="15" hidden="1">
      <c r="A43" s="95" t="s">
        <v>4996</v>
      </c>
      <c r="B43" s="96" t="s">
        <v>98</v>
      </c>
      <c r="C43" s="96">
        <v>1477</v>
      </c>
      <c r="D43" s="97">
        <v>44373</v>
      </c>
      <c r="E43" s="98"/>
    </row>
    <row r="44" spans="1:5" ht="15" hidden="1">
      <c r="A44" s="100" t="s">
        <v>4996</v>
      </c>
      <c r="B44" s="101" t="s">
        <v>4925</v>
      </c>
      <c r="C44" s="101">
        <v>1477</v>
      </c>
      <c r="D44" s="102">
        <v>44373</v>
      </c>
      <c r="E44" s="98" t="s">
        <v>4965</v>
      </c>
    </row>
    <row r="45" spans="1:5" ht="15" hidden="1">
      <c r="A45" s="95" t="s">
        <v>4997</v>
      </c>
      <c r="B45" s="96" t="s">
        <v>4925</v>
      </c>
      <c r="C45" s="96">
        <v>363</v>
      </c>
      <c r="D45" s="97">
        <v>44375</v>
      </c>
      <c r="E45" s="98"/>
    </row>
    <row r="46" spans="1:5" ht="15" hidden="1">
      <c r="A46" s="95" t="s">
        <v>4998</v>
      </c>
      <c r="B46" s="96" t="s">
        <v>103</v>
      </c>
      <c r="C46" s="96">
        <v>2180</v>
      </c>
      <c r="D46" s="97">
        <v>44383</v>
      </c>
      <c r="E46" s="98"/>
    </row>
    <row r="47" spans="1:5" ht="15" hidden="1">
      <c r="A47" s="95" t="s">
        <v>4999</v>
      </c>
      <c r="B47" s="96" t="s">
        <v>100</v>
      </c>
      <c r="C47" s="96">
        <v>1274.06</v>
      </c>
      <c r="D47" s="97">
        <v>44383</v>
      </c>
      <c r="E47" s="98"/>
    </row>
    <row r="48" spans="1:5" ht="15" hidden="1">
      <c r="A48" s="95" t="s">
        <v>5000</v>
      </c>
      <c r="B48" s="96" t="s">
        <v>4925</v>
      </c>
      <c r="C48" s="96">
        <v>229</v>
      </c>
      <c r="D48" s="97">
        <v>44385</v>
      </c>
      <c r="E48" s="98"/>
    </row>
    <row r="49" spans="1:6" ht="15" hidden="1">
      <c r="A49" s="100" t="s">
        <v>5001</v>
      </c>
      <c r="B49" s="101" t="s">
        <v>99</v>
      </c>
      <c r="C49" s="101">
        <v>937</v>
      </c>
      <c r="D49" s="107">
        <v>44385</v>
      </c>
      <c r="E49" s="98" t="s">
        <v>4965</v>
      </c>
    </row>
    <row r="50" spans="1:6" ht="15" hidden="1">
      <c r="A50" s="100" t="s">
        <v>5002</v>
      </c>
      <c r="B50" s="101" t="s">
        <v>105</v>
      </c>
      <c r="C50" s="101">
        <v>1375</v>
      </c>
      <c r="D50" s="102">
        <v>44385</v>
      </c>
      <c r="E50" s="98" t="s">
        <v>4965</v>
      </c>
    </row>
    <row r="51" spans="1:6" ht="15" hidden="1">
      <c r="A51" s="100" t="s">
        <v>5003</v>
      </c>
      <c r="B51" s="101" t="s">
        <v>95</v>
      </c>
      <c r="C51" s="101">
        <v>2676</v>
      </c>
      <c r="D51" s="102">
        <v>44387</v>
      </c>
      <c r="E51" s="98" t="s">
        <v>4965</v>
      </c>
    </row>
    <row r="52" spans="1:6" ht="15" hidden="1">
      <c r="A52" s="95" t="s">
        <v>5004</v>
      </c>
      <c r="B52" s="96" t="s">
        <v>105</v>
      </c>
      <c r="C52" s="96">
        <v>291</v>
      </c>
      <c r="D52" s="97">
        <v>44389</v>
      </c>
      <c r="E52" s="98"/>
    </row>
    <row r="53" spans="1:6" ht="15" hidden="1">
      <c r="A53" s="95" t="s">
        <v>5005</v>
      </c>
      <c r="B53" s="96" t="s">
        <v>93</v>
      </c>
      <c r="C53" s="96">
        <v>465</v>
      </c>
      <c r="D53" s="97">
        <v>44394</v>
      </c>
      <c r="E53" s="98"/>
    </row>
    <row r="54" spans="1:6" ht="15" hidden="1">
      <c r="A54" s="95" t="s">
        <v>5006</v>
      </c>
      <c r="B54" s="96" t="s">
        <v>95</v>
      </c>
      <c r="C54" s="96">
        <v>176</v>
      </c>
      <c r="D54" s="97">
        <v>44401</v>
      </c>
      <c r="E54" s="98"/>
    </row>
    <row r="55" spans="1:6" ht="15" hidden="1">
      <c r="A55" s="95" t="s">
        <v>5007</v>
      </c>
      <c r="B55" s="96" t="s">
        <v>103</v>
      </c>
      <c r="C55" s="96">
        <v>784</v>
      </c>
      <c r="D55" s="97">
        <v>44406</v>
      </c>
      <c r="E55" s="98"/>
    </row>
    <row r="56" spans="1:6" ht="15" hidden="1">
      <c r="A56" s="103" t="s">
        <v>5008</v>
      </c>
      <c r="B56" s="104" t="s">
        <v>105</v>
      </c>
      <c r="C56" s="104">
        <v>847</v>
      </c>
      <c r="D56" s="105">
        <v>44410</v>
      </c>
      <c r="E56" s="106" t="s">
        <v>4979</v>
      </c>
    </row>
    <row r="57" spans="1:6" ht="15" hidden="1">
      <c r="A57" s="95" t="s">
        <v>5009</v>
      </c>
      <c r="B57" s="96" t="s">
        <v>105</v>
      </c>
      <c r="C57" s="96">
        <v>678</v>
      </c>
      <c r="D57" s="97">
        <v>44410</v>
      </c>
      <c r="E57" s="98"/>
    </row>
    <row r="58" spans="1:6" ht="15" hidden="1">
      <c r="A58" s="95" t="s">
        <v>5010</v>
      </c>
      <c r="B58" s="96" t="s">
        <v>90</v>
      </c>
      <c r="C58" s="96">
        <v>663</v>
      </c>
      <c r="D58" s="97">
        <v>44412</v>
      </c>
      <c r="E58" s="98"/>
    </row>
    <row r="59" spans="1:6" ht="15" hidden="1">
      <c r="A59" s="95" t="s">
        <v>5011</v>
      </c>
      <c r="B59" s="96" t="s">
        <v>92</v>
      </c>
      <c r="C59" s="96">
        <v>487</v>
      </c>
      <c r="D59" s="97">
        <v>44412</v>
      </c>
      <c r="E59" s="98"/>
    </row>
    <row r="60" spans="1:6" ht="15" hidden="1">
      <c r="A60" s="95" t="s">
        <v>5012</v>
      </c>
      <c r="B60" s="96" t="s">
        <v>108</v>
      </c>
      <c r="C60" s="96">
        <v>3190</v>
      </c>
      <c r="D60" s="97">
        <v>44420</v>
      </c>
      <c r="E60" s="98"/>
    </row>
    <row r="61" spans="1:6" s="89" customFormat="1" ht="15" hidden="1">
      <c r="A61" s="108" t="s">
        <v>5013</v>
      </c>
      <c r="B61" s="109" t="s">
        <v>108</v>
      </c>
      <c r="C61" s="109">
        <v>4470</v>
      </c>
      <c r="D61" s="110">
        <v>44420</v>
      </c>
      <c r="E61" s="111" t="s">
        <v>4965</v>
      </c>
      <c r="F61" s="112"/>
    </row>
    <row r="62" spans="1:6" ht="15" hidden="1">
      <c r="A62" s="100" t="s">
        <v>5012</v>
      </c>
      <c r="B62" s="101" t="s">
        <v>108</v>
      </c>
      <c r="C62" s="101">
        <v>3190</v>
      </c>
      <c r="D62" s="102">
        <v>44420</v>
      </c>
      <c r="E62" s="98" t="s">
        <v>4965</v>
      </c>
    </row>
    <row r="63" spans="1:6" ht="15" hidden="1">
      <c r="A63" s="95" t="s">
        <v>5014</v>
      </c>
      <c r="B63" s="96" t="s">
        <v>96</v>
      </c>
      <c r="C63" s="96">
        <v>672</v>
      </c>
      <c r="D63" s="97">
        <v>44421</v>
      </c>
      <c r="E63" s="98"/>
    </row>
    <row r="64" spans="1:6" ht="15" hidden="1">
      <c r="A64" s="95" t="s">
        <v>5015</v>
      </c>
      <c r="B64" s="96" t="s">
        <v>4925</v>
      </c>
      <c r="C64" s="96">
        <v>1385</v>
      </c>
      <c r="D64" s="97">
        <v>44432</v>
      </c>
      <c r="E64" s="98"/>
    </row>
    <row r="65" spans="1:6" ht="15" hidden="1">
      <c r="A65" s="95" t="s">
        <v>5016</v>
      </c>
      <c r="B65" s="96" t="s">
        <v>4925</v>
      </c>
      <c r="C65" s="96">
        <v>22</v>
      </c>
      <c r="D65" s="97">
        <v>44440</v>
      </c>
      <c r="E65" s="98"/>
    </row>
    <row r="66" spans="1:6" ht="15" hidden="1">
      <c r="A66" s="95" t="s">
        <v>5017</v>
      </c>
      <c r="B66" s="96" t="s">
        <v>111</v>
      </c>
      <c r="C66" s="96">
        <v>488</v>
      </c>
      <c r="D66" s="97">
        <v>44445</v>
      </c>
      <c r="E66" s="98"/>
    </row>
    <row r="67" spans="1:6" ht="15" hidden="1">
      <c r="A67" s="100" t="s">
        <v>5018</v>
      </c>
      <c r="B67" s="101" t="s">
        <v>103</v>
      </c>
      <c r="C67" s="101">
        <v>311</v>
      </c>
      <c r="D67" s="102">
        <v>44446</v>
      </c>
      <c r="E67" s="98" t="s">
        <v>4965</v>
      </c>
    </row>
    <row r="68" spans="1:6" ht="15" hidden="1">
      <c r="A68" s="100" t="s">
        <v>5019</v>
      </c>
      <c r="B68" s="101" t="s">
        <v>103</v>
      </c>
      <c r="C68" s="101">
        <v>1983</v>
      </c>
      <c r="D68" s="102">
        <v>44446</v>
      </c>
      <c r="E68" s="98" t="s">
        <v>4965</v>
      </c>
    </row>
    <row r="69" spans="1:6" ht="15" hidden="1">
      <c r="A69" s="95" t="s">
        <v>5020</v>
      </c>
      <c r="B69" s="96" t="s">
        <v>103</v>
      </c>
      <c r="C69" s="96">
        <v>1477</v>
      </c>
      <c r="D69" s="97">
        <v>44447</v>
      </c>
      <c r="E69" s="98"/>
    </row>
    <row r="70" spans="1:6" ht="15" hidden="1">
      <c r="A70" s="95" t="s">
        <v>5021</v>
      </c>
      <c r="B70" s="96" t="s">
        <v>111</v>
      </c>
      <c r="C70" s="96">
        <v>850</v>
      </c>
      <c r="D70" s="97">
        <v>44448</v>
      </c>
      <c r="E70" s="98"/>
    </row>
    <row r="71" spans="1:6" ht="15" hidden="1">
      <c r="A71" s="95" t="s">
        <v>5022</v>
      </c>
      <c r="B71" s="96" t="s">
        <v>98</v>
      </c>
      <c r="C71" s="96">
        <v>1555</v>
      </c>
      <c r="D71" s="97">
        <v>44451</v>
      </c>
      <c r="E71" s="98"/>
    </row>
    <row r="72" spans="1:6" ht="15" hidden="1">
      <c r="A72" s="95" t="s">
        <v>5023</v>
      </c>
      <c r="B72" s="96" t="s">
        <v>108</v>
      </c>
      <c r="C72" s="96">
        <v>3355</v>
      </c>
      <c r="D72" s="97">
        <v>44454</v>
      </c>
      <c r="E72" s="98"/>
    </row>
    <row r="73" spans="1:6" ht="15" hidden="1">
      <c r="A73" s="95" t="s">
        <v>5024</v>
      </c>
      <c r="B73" s="96" t="s">
        <v>4925</v>
      </c>
      <c r="C73" s="96">
        <v>854</v>
      </c>
      <c r="D73" s="97">
        <v>44461</v>
      </c>
      <c r="E73" s="98"/>
    </row>
    <row r="74" spans="1:6" s="89" customFormat="1" ht="15" hidden="1">
      <c r="A74" s="95" t="s">
        <v>5025</v>
      </c>
      <c r="B74" s="96" t="s">
        <v>111</v>
      </c>
      <c r="C74" s="96">
        <v>109</v>
      </c>
      <c r="D74" s="97">
        <v>44463</v>
      </c>
      <c r="E74" s="98"/>
      <c r="F74" s="112"/>
    </row>
    <row r="75" spans="1:6" ht="15" hidden="1">
      <c r="A75" s="95" t="s">
        <v>5026</v>
      </c>
      <c r="B75" s="96" t="s">
        <v>89</v>
      </c>
      <c r="C75" s="96">
        <v>1960.98</v>
      </c>
      <c r="D75" s="97">
        <v>44469</v>
      </c>
      <c r="E75" s="98"/>
    </row>
    <row r="76" spans="1:6" ht="15" hidden="1">
      <c r="A76" s="95" t="s">
        <v>5027</v>
      </c>
      <c r="B76" s="96" t="s">
        <v>97</v>
      </c>
      <c r="C76" s="96">
        <v>652</v>
      </c>
      <c r="D76" s="97">
        <v>44477</v>
      </c>
      <c r="E76" s="98"/>
    </row>
    <row r="77" spans="1:6" ht="15" hidden="1">
      <c r="A77" s="95" t="s">
        <v>5028</v>
      </c>
      <c r="B77" s="96" t="s">
        <v>100</v>
      </c>
      <c r="C77" s="96">
        <v>608.94000000000005</v>
      </c>
      <c r="D77" s="97">
        <v>44477</v>
      </c>
      <c r="E77" s="98"/>
    </row>
    <row r="78" spans="1:6" ht="15" hidden="1">
      <c r="A78" s="95" t="s">
        <v>5029</v>
      </c>
      <c r="B78" s="96" t="s">
        <v>4925</v>
      </c>
      <c r="C78" s="96">
        <v>269</v>
      </c>
      <c r="D78" s="97">
        <v>44481</v>
      </c>
      <c r="E78" s="98"/>
    </row>
    <row r="79" spans="1:6" ht="15" hidden="1">
      <c r="A79" s="100" t="s">
        <v>5030</v>
      </c>
      <c r="B79" s="101" t="s">
        <v>96</v>
      </c>
      <c r="C79" s="101">
        <v>2484</v>
      </c>
      <c r="D79" s="102">
        <v>44486</v>
      </c>
      <c r="E79" s="98" t="s">
        <v>4965</v>
      </c>
    </row>
    <row r="80" spans="1:6" ht="15" hidden="1">
      <c r="A80" s="95" t="s">
        <v>5031</v>
      </c>
      <c r="B80" s="96" t="s">
        <v>92</v>
      </c>
      <c r="C80" s="96">
        <v>311</v>
      </c>
      <c r="D80" s="97">
        <v>44486</v>
      </c>
      <c r="E80" s="98"/>
    </row>
    <row r="81" spans="1:5" ht="15" hidden="1">
      <c r="A81" s="95" t="s">
        <v>5032</v>
      </c>
      <c r="B81" s="96" t="s">
        <v>98</v>
      </c>
      <c r="C81" s="96">
        <v>813</v>
      </c>
      <c r="D81" s="97">
        <v>44491</v>
      </c>
      <c r="E81" s="98"/>
    </row>
    <row r="82" spans="1:5" ht="15" hidden="1">
      <c r="A82" s="95" t="s">
        <v>5033</v>
      </c>
      <c r="B82" s="96" t="s">
        <v>4925</v>
      </c>
      <c r="C82" s="96">
        <v>85</v>
      </c>
      <c r="D82" s="97">
        <v>44491</v>
      </c>
      <c r="E82" s="98"/>
    </row>
    <row r="83" spans="1:5" ht="15" hidden="1">
      <c r="A83" s="113" t="s">
        <v>5034</v>
      </c>
      <c r="B83" s="114" t="s">
        <v>4925</v>
      </c>
      <c r="C83" s="114">
        <v>899</v>
      </c>
      <c r="D83" s="115">
        <v>44494</v>
      </c>
      <c r="E83" s="98"/>
    </row>
    <row r="84" spans="1:5" ht="15" hidden="1">
      <c r="A84" s="95" t="s">
        <v>5035</v>
      </c>
      <c r="B84" s="96" t="s">
        <v>107</v>
      </c>
      <c r="C84" s="96">
        <v>171</v>
      </c>
      <c r="D84" s="97">
        <v>44496</v>
      </c>
      <c r="E84" s="98"/>
    </row>
    <row r="85" spans="1:5" ht="15" hidden="1">
      <c r="A85" s="95" t="s">
        <v>5036</v>
      </c>
      <c r="B85" s="96" t="s">
        <v>98</v>
      </c>
      <c r="C85" s="96">
        <v>1420</v>
      </c>
      <c r="D85" s="97">
        <v>44498</v>
      </c>
      <c r="E85" s="98"/>
    </row>
    <row r="86" spans="1:5" ht="15" hidden="1">
      <c r="A86" s="108" t="s">
        <v>5037</v>
      </c>
      <c r="B86" s="109" t="s">
        <v>5038</v>
      </c>
      <c r="C86" s="109">
        <v>610</v>
      </c>
      <c r="D86" s="110">
        <v>44501</v>
      </c>
      <c r="E86" s="98"/>
    </row>
    <row r="87" spans="1:5" ht="15" hidden="1">
      <c r="A87" s="95" t="s">
        <v>5039</v>
      </c>
      <c r="B87" s="96" t="s">
        <v>4925</v>
      </c>
      <c r="C87" s="96">
        <v>448</v>
      </c>
      <c r="D87" s="97">
        <v>44506</v>
      </c>
      <c r="E87" s="98"/>
    </row>
    <row r="88" spans="1:5" ht="15" hidden="1">
      <c r="A88" s="95" t="s">
        <v>5040</v>
      </c>
      <c r="B88" s="96" t="s">
        <v>95</v>
      </c>
      <c r="C88" s="96">
        <v>413</v>
      </c>
      <c r="D88" s="97">
        <v>44507</v>
      </c>
      <c r="E88" s="98"/>
    </row>
    <row r="89" spans="1:5" ht="15" hidden="1">
      <c r="A89" s="95" t="s">
        <v>5041</v>
      </c>
      <c r="B89" s="96" t="s">
        <v>92</v>
      </c>
      <c r="C89" s="96">
        <v>982</v>
      </c>
      <c r="D89" s="97">
        <v>44520</v>
      </c>
      <c r="E89" s="98"/>
    </row>
    <row r="90" spans="1:5" ht="15" hidden="1">
      <c r="A90" s="100" t="s">
        <v>5042</v>
      </c>
      <c r="B90" s="101" t="s">
        <v>105</v>
      </c>
      <c r="C90" s="101">
        <v>187</v>
      </c>
      <c r="D90" s="102">
        <v>44522</v>
      </c>
      <c r="E90" s="98" t="s">
        <v>4965</v>
      </c>
    </row>
    <row r="91" spans="1:5" ht="15" hidden="1">
      <c r="A91" s="95" t="s">
        <v>5043</v>
      </c>
      <c r="B91" s="96" t="s">
        <v>4925</v>
      </c>
      <c r="C91" s="96">
        <v>1095</v>
      </c>
      <c r="D91" s="97">
        <v>44523</v>
      </c>
      <c r="E91" s="98"/>
    </row>
    <row r="92" spans="1:5" ht="15" hidden="1">
      <c r="A92" s="95" t="s">
        <v>5044</v>
      </c>
      <c r="B92" s="96" t="s">
        <v>4925</v>
      </c>
      <c r="C92" s="96">
        <v>465</v>
      </c>
      <c r="D92" s="97">
        <v>44531</v>
      </c>
      <c r="E92" s="98"/>
    </row>
    <row r="93" spans="1:5" ht="15" hidden="1">
      <c r="A93" s="95" t="s">
        <v>5045</v>
      </c>
      <c r="B93" s="96" t="s">
        <v>4925</v>
      </c>
      <c r="C93" s="96">
        <v>1069</v>
      </c>
      <c r="D93" s="97">
        <v>44532</v>
      </c>
      <c r="E93" s="98"/>
    </row>
    <row r="94" spans="1:5" ht="15" hidden="1">
      <c r="A94" s="95" t="s">
        <v>5046</v>
      </c>
      <c r="B94" s="96" t="s">
        <v>4925</v>
      </c>
      <c r="C94" s="96">
        <v>288</v>
      </c>
      <c r="D94" s="97">
        <v>44533</v>
      </c>
      <c r="E94" s="98"/>
    </row>
    <row r="95" spans="1:5" ht="15" hidden="1">
      <c r="A95" s="95" t="s">
        <v>5047</v>
      </c>
      <c r="B95" s="96" t="s">
        <v>4925</v>
      </c>
      <c r="C95" s="96">
        <v>625</v>
      </c>
      <c r="D95" s="97">
        <v>44542</v>
      </c>
      <c r="E95" s="98"/>
    </row>
    <row r="96" spans="1:5" ht="15" hidden="1">
      <c r="A96" s="95" t="s">
        <v>5048</v>
      </c>
      <c r="B96" s="96" t="s">
        <v>98</v>
      </c>
      <c r="C96" s="96">
        <v>149</v>
      </c>
      <c r="D96" s="97">
        <v>44543</v>
      </c>
      <c r="E96" s="98"/>
    </row>
    <row r="97" spans="1:6" ht="15" hidden="1">
      <c r="A97" s="95" t="s">
        <v>5049</v>
      </c>
      <c r="B97" s="96" t="s">
        <v>98</v>
      </c>
      <c r="C97" s="96">
        <v>569</v>
      </c>
      <c r="D97" s="97">
        <v>44546</v>
      </c>
      <c r="E97" s="98"/>
    </row>
    <row r="98" spans="1:6" ht="15" hidden="1">
      <c r="A98" s="95" t="s">
        <v>5050</v>
      </c>
      <c r="B98" s="96" t="s">
        <v>92</v>
      </c>
      <c r="C98" s="96">
        <v>609</v>
      </c>
      <c r="D98" s="97">
        <v>44546</v>
      </c>
      <c r="E98" s="98"/>
    </row>
    <row r="99" spans="1:6" ht="15" hidden="1">
      <c r="A99" s="95" t="s">
        <v>5051</v>
      </c>
      <c r="B99" s="96" t="s">
        <v>4925</v>
      </c>
      <c r="C99" s="96">
        <v>119</v>
      </c>
      <c r="D99" s="97">
        <v>44547</v>
      </c>
      <c r="E99" s="98"/>
    </row>
    <row r="100" spans="1:6" ht="15" hidden="1">
      <c r="A100" s="95" t="s">
        <v>5052</v>
      </c>
      <c r="B100" s="96" t="s">
        <v>94</v>
      </c>
      <c r="C100" s="96">
        <v>132</v>
      </c>
      <c r="D100" s="97">
        <v>44547</v>
      </c>
      <c r="E100" s="98"/>
    </row>
    <row r="101" spans="1:6" ht="15" hidden="1">
      <c r="A101" s="95" t="s">
        <v>5053</v>
      </c>
      <c r="B101" s="96" t="s">
        <v>94</v>
      </c>
      <c r="C101" s="96">
        <v>208</v>
      </c>
      <c r="D101" s="97">
        <v>44553</v>
      </c>
      <c r="E101" s="98"/>
      <c r="F101" s="91">
        <f>SUM(C4:C101)</f>
        <v>104720.12</v>
      </c>
    </row>
    <row r="102" spans="1:6" ht="15">
      <c r="A102" s="98"/>
      <c r="B102" s="98"/>
      <c r="C102" s="98"/>
      <c r="D102" s="116"/>
      <c r="E102" s="98"/>
    </row>
    <row r="103" spans="1:6" ht="15">
      <c r="A103" s="571">
        <v>2022</v>
      </c>
      <c r="B103" s="571"/>
      <c r="C103" s="571"/>
      <c r="D103" s="571"/>
      <c r="E103" s="571"/>
      <c r="F103" s="92">
        <f>SUM(C105:C140)</f>
        <v>29636.300000000003</v>
      </c>
    </row>
    <row r="104" spans="1:6">
      <c r="A104" s="93" t="s">
        <v>4948</v>
      </c>
      <c r="B104" s="94" t="s">
        <v>4949</v>
      </c>
      <c r="C104" s="94" t="s">
        <v>4916</v>
      </c>
      <c r="D104" s="94" t="s">
        <v>4952</v>
      </c>
      <c r="E104" s="94" t="s">
        <v>5054</v>
      </c>
    </row>
    <row r="105" spans="1:6" ht="15" hidden="1" customHeight="1">
      <c r="A105" s="95" t="s">
        <v>5055</v>
      </c>
      <c r="B105" s="96" t="s">
        <v>148</v>
      </c>
      <c r="C105" s="96">
        <v>623</v>
      </c>
      <c r="D105" s="97">
        <v>44574</v>
      </c>
      <c r="E105" s="98"/>
    </row>
    <row r="106" spans="1:6" ht="15" hidden="1">
      <c r="A106" s="95" t="s">
        <v>5056</v>
      </c>
      <c r="B106" s="96" t="s">
        <v>4925</v>
      </c>
      <c r="C106" s="96">
        <v>167</v>
      </c>
      <c r="D106" s="97">
        <v>44575</v>
      </c>
      <c r="E106" s="98"/>
    </row>
    <row r="107" spans="1:6" ht="15" hidden="1">
      <c r="A107" s="108" t="s">
        <v>5057</v>
      </c>
      <c r="B107" s="109" t="s">
        <v>111</v>
      </c>
      <c r="C107" s="109">
        <v>345</v>
      </c>
      <c r="D107" s="110">
        <v>44577</v>
      </c>
      <c r="E107" s="98"/>
    </row>
    <row r="108" spans="1:6" ht="15" hidden="1">
      <c r="A108" s="95" t="s">
        <v>5058</v>
      </c>
      <c r="B108" s="96" t="s">
        <v>98</v>
      </c>
      <c r="C108" s="96">
        <v>475</v>
      </c>
      <c r="D108" s="97">
        <v>44580</v>
      </c>
      <c r="E108" s="98"/>
    </row>
    <row r="109" spans="1:6" ht="15" hidden="1">
      <c r="A109" s="95" t="s">
        <v>5059</v>
      </c>
      <c r="B109" s="96" t="s">
        <v>90</v>
      </c>
      <c r="C109" s="96">
        <v>903</v>
      </c>
      <c r="D109" s="97">
        <v>44585</v>
      </c>
      <c r="E109" s="98"/>
    </row>
    <row r="110" spans="1:6" ht="15" hidden="1">
      <c r="A110" s="95" t="s">
        <v>5060</v>
      </c>
      <c r="B110" s="96" t="s">
        <v>92</v>
      </c>
      <c r="C110" s="96">
        <v>340</v>
      </c>
      <c r="D110" s="97">
        <v>44585</v>
      </c>
      <c r="E110" s="98"/>
    </row>
    <row r="111" spans="1:6" ht="15" hidden="1">
      <c r="A111" s="95" t="s">
        <v>5061</v>
      </c>
      <c r="B111" s="96" t="s">
        <v>4925</v>
      </c>
      <c r="C111" s="96">
        <v>2116</v>
      </c>
      <c r="D111" s="97">
        <v>44586</v>
      </c>
      <c r="E111" s="98"/>
    </row>
    <row r="112" spans="1:6" ht="15" hidden="1">
      <c r="A112" s="95" t="s">
        <v>5062</v>
      </c>
      <c r="B112" s="96" t="s">
        <v>105</v>
      </c>
      <c r="C112" s="96">
        <v>223</v>
      </c>
      <c r="D112" s="97">
        <v>44588</v>
      </c>
      <c r="E112" s="98"/>
    </row>
    <row r="113" spans="1:5" ht="15" hidden="1">
      <c r="A113" s="95" t="s">
        <v>5063</v>
      </c>
      <c r="B113" s="96" t="s">
        <v>92</v>
      </c>
      <c r="C113" s="96">
        <v>561</v>
      </c>
      <c r="D113" s="97">
        <v>44589</v>
      </c>
      <c r="E113" s="98"/>
    </row>
    <row r="114" spans="1:5" ht="15" hidden="1">
      <c r="A114" s="95" t="s">
        <v>5064</v>
      </c>
      <c r="B114" s="96" t="s">
        <v>4925</v>
      </c>
      <c r="C114" s="96">
        <v>507</v>
      </c>
      <c r="D114" s="97">
        <v>44593</v>
      </c>
      <c r="E114" s="98"/>
    </row>
    <row r="115" spans="1:5" ht="15" hidden="1">
      <c r="A115" s="95" t="s">
        <v>5065</v>
      </c>
      <c r="B115" s="96" t="s">
        <v>4925</v>
      </c>
      <c r="C115" s="96">
        <v>997.26</v>
      </c>
      <c r="D115" s="97">
        <v>44597</v>
      </c>
      <c r="E115" s="98"/>
    </row>
    <row r="116" spans="1:5" ht="15" hidden="1">
      <c r="A116" s="95" t="s">
        <v>5066</v>
      </c>
      <c r="B116" s="96" t="s">
        <v>4925</v>
      </c>
      <c r="C116" s="96">
        <v>545</v>
      </c>
      <c r="D116" s="97">
        <v>44599</v>
      </c>
      <c r="E116" s="98"/>
    </row>
    <row r="117" spans="1:5" ht="15" hidden="1">
      <c r="A117" s="95" t="s">
        <v>5067</v>
      </c>
      <c r="B117" s="96" t="s">
        <v>107</v>
      </c>
      <c r="C117" s="96">
        <v>135</v>
      </c>
      <c r="D117" s="97">
        <v>44603</v>
      </c>
      <c r="E117" s="98"/>
    </row>
    <row r="118" spans="1:5" ht="15" hidden="1">
      <c r="A118" s="95" t="s">
        <v>5068</v>
      </c>
      <c r="B118" s="96" t="s">
        <v>5069</v>
      </c>
      <c r="C118" s="96">
        <v>779</v>
      </c>
      <c r="D118" s="97">
        <v>44606</v>
      </c>
      <c r="E118" s="98"/>
    </row>
    <row r="119" spans="1:5" ht="15" hidden="1">
      <c r="A119" s="95" t="s">
        <v>5070</v>
      </c>
      <c r="B119" s="96" t="s">
        <v>105</v>
      </c>
      <c r="C119" s="96">
        <v>383</v>
      </c>
      <c r="D119" s="97">
        <v>44611</v>
      </c>
      <c r="E119" s="98"/>
    </row>
    <row r="120" spans="1:5" ht="15" hidden="1">
      <c r="A120" s="95" t="s">
        <v>5071</v>
      </c>
      <c r="B120" s="96" t="s">
        <v>4814</v>
      </c>
      <c r="C120" s="96">
        <v>1367</v>
      </c>
      <c r="D120" s="97">
        <v>44617</v>
      </c>
      <c r="E120" s="98"/>
    </row>
    <row r="121" spans="1:5" ht="15" hidden="1">
      <c r="A121" s="95" t="s">
        <v>5072</v>
      </c>
      <c r="B121" s="96" t="s">
        <v>4925</v>
      </c>
      <c r="C121" s="96">
        <v>913</v>
      </c>
      <c r="D121" s="97">
        <v>44620</v>
      </c>
    </row>
    <row r="122" spans="1:5" ht="15" hidden="1">
      <c r="A122" s="95" t="s">
        <v>5073</v>
      </c>
      <c r="B122" s="96" t="s">
        <v>102</v>
      </c>
      <c r="C122" s="96">
        <v>606</v>
      </c>
      <c r="D122" s="97">
        <v>44621</v>
      </c>
      <c r="E122" s="98"/>
    </row>
    <row r="123" spans="1:5" ht="15" hidden="1">
      <c r="A123" s="95" t="s">
        <v>5074</v>
      </c>
      <c r="B123" s="96" t="s">
        <v>101</v>
      </c>
      <c r="C123" s="96">
        <v>1224</v>
      </c>
      <c r="D123" s="97">
        <v>44623</v>
      </c>
      <c r="E123" s="98"/>
    </row>
    <row r="124" spans="1:5" ht="15" hidden="1">
      <c r="A124" s="95" t="s">
        <v>5075</v>
      </c>
      <c r="B124" s="96" t="s">
        <v>4925</v>
      </c>
      <c r="C124" s="96">
        <v>1330</v>
      </c>
      <c r="D124" s="97">
        <v>44623</v>
      </c>
      <c r="E124" s="98"/>
    </row>
    <row r="125" spans="1:5" ht="15" hidden="1">
      <c r="A125" s="95" t="s">
        <v>5076</v>
      </c>
      <c r="B125" s="96" t="s">
        <v>92</v>
      </c>
      <c r="C125" s="96">
        <v>371</v>
      </c>
      <c r="D125" s="97">
        <v>44629</v>
      </c>
      <c r="E125" s="98"/>
    </row>
    <row r="126" spans="1:5" ht="15" hidden="1">
      <c r="A126" s="95" t="s">
        <v>5077</v>
      </c>
      <c r="B126" s="96" t="s">
        <v>102</v>
      </c>
      <c r="C126" s="96">
        <v>520</v>
      </c>
      <c r="D126" s="97">
        <v>44637</v>
      </c>
      <c r="E126" s="98"/>
    </row>
    <row r="127" spans="1:5" ht="15" hidden="1">
      <c r="A127" s="95" t="s">
        <v>5078</v>
      </c>
      <c r="B127" s="96" t="s">
        <v>5079</v>
      </c>
      <c r="C127" s="96">
        <v>1010.96</v>
      </c>
      <c r="D127" s="97">
        <v>44641</v>
      </c>
      <c r="E127" s="98"/>
    </row>
    <row r="128" spans="1:5" ht="15" hidden="1">
      <c r="A128" s="95" t="s">
        <v>5080</v>
      </c>
      <c r="B128" s="96" t="s">
        <v>102</v>
      </c>
      <c r="C128" s="96">
        <v>778</v>
      </c>
      <c r="D128" s="97">
        <v>44641</v>
      </c>
      <c r="E128" s="98"/>
    </row>
    <row r="129" spans="1:6" ht="15" hidden="1">
      <c r="A129" s="117" t="s">
        <v>5081</v>
      </c>
      <c r="B129" s="118" t="s">
        <v>90</v>
      </c>
      <c r="C129" s="118">
        <v>1260</v>
      </c>
      <c r="D129" s="119">
        <v>44668</v>
      </c>
      <c r="E129" s="98"/>
    </row>
    <row r="130" spans="1:6" ht="15" hidden="1">
      <c r="A130" s="95" t="s">
        <v>5082</v>
      </c>
      <c r="B130" s="96" t="s">
        <v>91</v>
      </c>
      <c r="C130" s="96">
        <v>533</v>
      </c>
      <c r="D130" s="120">
        <v>44670</v>
      </c>
      <c r="E130" s="98"/>
    </row>
    <row r="131" spans="1:6" ht="15" hidden="1">
      <c r="A131" s="95" t="s">
        <v>5083</v>
      </c>
      <c r="B131" s="96" t="s">
        <v>94</v>
      </c>
      <c r="C131" s="96">
        <v>642</v>
      </c>
      <c r="D131" s="120">
        <v>44687</v>
      </c>
      <c r="E131" s="98"/>
    </row>
    <row r="132" spans="1:6" ht="15" hidden="1">
      <c r="A132" s="95" t="s">
        <v>5084</v>
      </c>
      <c r="B132" s="96" t="s">
        <v>111</v>
      </c>
      <c r="C132" s="96">
        <v>323</v>
      </c>
      <c r="D132" s="97">
        <v>44711</v>
      </c>
      <c r="E132" s="98"/>
    </row>
    <row r="133" spans="1:6" ht="15" hidden="1">
      <c r="A133" s="95" t="s">
        <v>5085</v>
      </c>
      <c r="B133" s="96" t="s">
        <v>111</v>
      </c>
      <c r="C133" s="96">
        <v>323</v>
      </c>
      <c r="D133" s="120">
        <v>44711</v>
      </c>
      <c r="E133" s="98"/>
    </row>
    <row r="134" spans="1:6" ht="15" hidden="1">
      <c r="A134" s="95" t="s">
        <v>5086</v>
      </c>
      <c r="B134" s="96" t="s">
        <v>111</v>
      </c>
      <c r="C134" s="96">
        <v>371</v>
      </c>
      <c r="D134" s="97">
        <v>44724</v>
      </c>
      <c r="E134" s="98"/>
    </row>
    <row r="135" spans="1:6" ht="15" hidden="1">
      <c r="A135" s="95" t="s">
        <v>5087</v>
      </c>
      <c r="B135" s="96" t="s">
        <v>110</v>
      </c>
      <c r="C135" s="96">
        <v>1677</v>
      </c>
      <c r="D135" s="97">
        <v>44726</v>
      </c>
      <c r="E135" s="98"/>
    </row>
    <row r="136" spans="1:6" ht="15" hidden="1">
      <c r="A136" s="95" t="s">
        <v>5088</v>
      </c>
      <c r="B136" s="96" t="s">
        <v>89</v>
      </c>
      <c r="C136" s="96">
        <v>1991.41</v>
      </c>
      <c r="D136" s="97">
        <v>44735</v>
      </c>
      <c r="E136" s="98"/>
    </row>
    <row r="137" spans="1:6" ht="15" hidden="1">
      <c r="A137" s="95" t="s">
        <v>5089</v>
      </c>
      <c r="B137" s="96" t="s">
        <v>112</v>
      </c>
      <c r="C137" s="96">
        <v>138</v>
      </c>
      <c r="D137" s="97">
        <v>44736</v>
      </c>
      <c r="E137" s="98"/>
    </row>
    <row r="138" spans="1:6" ht="15" hidden="1">
      <c r="A138" s="95" t="s">
        <v>5090</v>
      </c>
      <c r="B138" s="96" t="s">
        <v>4925</v>
      </c>
      <c r="C138" s="96">
        <v>889</v>
      </c>
      <c r="D138" s="97">
        <v>44739</v>
      </c>
      <c r="E138" s="98"/>
    </row>
    <row r="139" spans="1:6" ht="15" hidden="1">
      <c r="A139" s="95" t="s">
        <v>5091</v>
      </c>
      <c r="B139" s="96" t="s">
        <v>105</v>
      </c>
      <c r="C139" s="96">
        <v>409</v>
      </c>
      <c r="D139" s="97">
        <v>44760</v>
      </c>
      <c r="E139" s="98"/>
    </row>
    <row r="140" spans="1:6" ht="15" hidden="1">
      <c r="A140" s="95" t="s">
        <v>5092</v>
      </c>
      <c r="B140" s="96" t="s">
        <v>100</v>
      </c>
      <c r="C140" s="96">
        <v>3860.67</v>
      </c>
      <c r="D140" s="97">
        <v>44761</v>
      </c>
      <c r="E140" s="98"/>
    </row>
    <row r="141" spans="1:6" ht="15">
      <c r="A141" s="98"/>
      <c r="B141" s="98"/>
      <c r="C141" s="98"/>
      <c r="D141" s="116"/>
      <c r="E141" s="1"/>
    </row>
    <row r="142" spans="1:6" ht="15">
      <c r="A142" s="571">
        <v>2023</v>
      </c>
      <c r="B142" s="571"/>
      <c r="C142" s="571"/>
      <c r="D142" s="571"/>
      <c r="E142" s="571"/>
      <c r="F142" s="92">
        <f>SUM(C144:C153)</f>
        <v>27143</v>
      </c>
    </row>
    <row r="143" spans="1:6">
      <c r="A143" s="93" t="s">
        <v>4948</v>
      </c>
      <c r="B143" s="94" t="s">
        <v>4949</v>
      </c>
      <c r="C143" s="94" t="s">
        <v>4916</v>
      </c>
      <c r="D143" s="94" t="s">
        <v>4952</v>
      </c>
      <c r="E143" s="94" t="s">
        <v>5054</v>
      </c>
    </row>
    <row r="144" spans="1:6" s="90" customFormat="1" ht="15">
      <c r="A144" s="121" t="s">
        <v>5093</v>
      </c>
      <c r="B144" s="122" t="s">
        <v>5094</v>
      </c>
      <c r="C144" s="123">
        <v>322</v>
      </c>
      <c r="D144" s="124">
        <v>44941</v>
      </c>
      <c r="E144" s="125">
        <v>45187</v>
      </c>
      <c r="F144" s="126"/>
    </row>
    <row r="145" spans="1:5" ht="15">
      <c r="A145" s="95" t="s">
        <v>5095</v>
      </c>
      <c r="B145" s="96" t="s">
        <v>106</v>
      </c>
      <c r="C145" s="96">
        <v>7223</v>
      </c>
      <c r="D145" s="97">
        <v>45260</v>
      </c>
      <c r="E145" s="125">
        <v>45286</v>
      </c>
    </row>
    <row r="146" spans="1:5" ht="15">
      <c r="A146" s="95" t="s">
        <v>5096</v>
      </c>
      <c r="B146" s="96" t="s">
        <v>92</v>
      </c>
      <c r="C146" s="96">
        <v>6662</v>
      </c>
      <c r="D146" s="97">
        <v>45262</v>
      </c>
      <c r="E146" s="125">
        <v>45286</v>
      </c>
    </row>
    <row r="147" spans="1:5" ht="15">
      <c r="A147" s="95" t="s">
        <v>5097</v>
      </c>
      <c r="B147" s="96" t="s">
        <v>28</v>
      </c>
      <c r="C147" s="96">
        <v>1062</v>
      </c>
      <c r="D147" s="97">
        <v>45302</v>
      </c>
      <c r="E147" s="125">
        <v>45341</v>
      </c>
    </row>
    <row r="148" spans="1:5" ht="15">
      <c r="A148" s="95" t="s">
        <v>5098</v>
      </c>
      <c r="B148" s="96" t="s">
        <v>97</v>
      </c>
      <c r="C148" s="96">
        <v>1580</v>
      </c>
      <c r="D148" s="97">
        <v>45299</v>
      </c>
      <c r="E148" s="125">
        <v>45355</v>
      </c>
    </row>
    <row r="149" spans="1:5" ht="15">
      <c r="A149" s="95" t="s">
        <v>5099</v>
      </c>
      <c r="B149" s="96" t="s">
        <v>97</v>
      </c>
      <c r="C149" s="96">
        <v>528</v>
      </c>
      <c r="D149" s="97">
        <v>45313</v>
      </c>
      <c r="E149" s="125">
        <v>45355</v>
      </c>
    </row>
    <row r="150" spans="1:5" ht="15">
      <c r="A150" s="95" t="s">
        <v>5100</v>
      </c>
      <c r="B150" s="96" t="s">
        <v>103</v>
      </c>
      <c r="C150" s="96">
        <v>1414</v>
      </c>
      <c r="D150" s="97">
        <v>45278</v>
      </c>
      <c r="E150" s="127">
        <v>45390</v>
      </c>
    </row>
    <row r="151" spans="1:5" ht="15">
      <c r="A151" s="95" t="s">
        <v>5101</v>
      </c>
      <c r="B151" s="96" t="s">
        <v>103</v>
      </c>
      <c r="C151" s="96">
        <v>524</v>
      </c>
      <c r="D151" s="97">
        <v>45321</v>
      </c>
      <c r="E151" s="127">
        <v>45404</v>
      </c>
    </row>
    <row r="152" spans="1:5" ht="15">
      <c r="A152" s="95" t="s">
        <v>5102</v>
      </c>
      <c r="B152" s="96" t="s">
        <v>102</v>
      </c>
      <c r="C152" s="96">
        <v>2040</v>
      </c>
      <c r="D152" s="97">
        <v>45320</v>
      </c>
      <c r="E152" s="127">
        <v>45411</v>
      </c>
    </row>
    <row r="153" spans="1:5" ht="15">
      <c r="A153" s="95" t="s">
        <v>5103</v>
      </c>
      <c r="B153" s="96" t="s">
        <v>102</v>
      </c>
      <c r="C153" s="128">
        <v>5788</v>
      </c>
      <c r="D153" s="97">
        <v>45441</v>
      </c>
      <c r="E153" s="127">
        <v>45481</v>
      </c>
    </row>
    <row r="154" spans="1:5" ht="15">
      <c r="A154" s="95" t="s">
        <v>5104</v>
      </c>
      <c r="B154" s="96" t="s">
        <v>107</v>
      </c>
      <c r="C154" s="96">
        <v>2277</v>
      </c>
      <c r="D154" s="97">
        <v>45499</v>
      </c>
      <c r="E154" s="127">
        <v>45516</v>
      </c>
    </row>
    <row r="155" spans="1:5" ht="15">
      <c r="A155" s="95" t="s">
        <v>5105</v>
      </c>
      <c r="B155" s="96" t="s">
        <v>90</v>
      </c>
      <c r="C155" s="96">
        <v>5549</v>
      </c>
      <c r="D155" s="97">
        <v>45503</v>
      </c>
      <c r="E155" s="127">
        <v>45523</v>
      </c>
    </row>
    <row r="156" spans="1:5" ht="15">
      <c r="A156" s="95" t="s">
        <v>5106</v>
      </c>
      <c r="B156" s="96" t="s">
        <v>111</v>
      </c>
      <c r="C156" s="96">
        <v>1054</v>
      </c>
      <c r="D156" s="97">
        <v>45485</v>
      </c>
      <c r="E156" s="127">
        <v>45530</v>
      </c>
    </row>
    <row r="157" spans="1:5" ht="15">
      <c r="A157" s="95" t="s">
        <v>5107</v>
      </c>
      <c r="B157" s="96" t="s">
        <v>114</v>
      </c>
      <c r="C157" s="96">
        <v>1960</v>
      </c>
      <c r="D157" s="97">
        <v>45431</v>
      </c>
      <c r="E157" s="127">
        <v>45530</v>
      </c>
    </row>
    <row r="158" spans="1:5" ht="15">
      <c r="A158" s="95" t="s">
        <v>5108</v>
      </c>
      <c r="B158" s="96" t="s">
        <v>103</v>
      </c>
      <c r="C158" s="96">
        <v>830</v>
      </c>
      <c r="D158" s="97">
        <v>45516</v>
      </c>
      <c r="E158" s="127">
        <v>45530</v>
      </c>
    </row>
    <row r="159" spans="1:5" ht="15">
      <c r="A159" s="95" t="s">
        <v>5109</v>
      </c>
      <c r="B159" s="96" t="s">
        <v>89</v>
      </c>
      <c r="C159" s="96">
        <v>629</v>
      </c>
      <c r="D159" s="97">
        <v>45488</v>
      </c>
      <c r="E159" s="127">
        <v>45530</v>
      </c>
    </row>
    <row r="160" spans="1:5" ht="15">
      <c r="A160" s="95" t="s">
        <v>5110</v>
      </c>
      <c r="B160" s="96" t="s">
        <v>106</v>
      </c>
      <c r="C160" s="96">
        <v>1580</v>
      </c>
      <c r="D160" s="97">
        <v>45488</v>
      </c>
      <c r="E160" s="127">
        <v>45530</v>
      </c>
    </row>
    <row r="161" spans="1:5" ht="15">
      <c r="A161" s="95" t="s">
        <v>5111</v>
      </c>
      <c r="B161" s="96" t="s">
        <v>89</v>
      </c>
      <c r="C161" s="96">
        <v>5067</v>
      </c>
      <c r="D161" s="97">
        <v>45490</v>
      </c>
      <c r="E161" s="127">
        <v>45530</v>
      </c>
    </row>
    <row r="162" spans="1:5" ht="15">
      <c r="A162" s="95" t="s">
        <v>5112</v>
      </c>
      <c r="B162" s="96" t="s">
        <v>5113</v>
      </c>
      <c r="C162" s="96">
        <v>537</v>
      </c>
      <c r="D162" s="97">
        <v>45549</v>
      </c>
      <c r="E162" s="129">
        <v>45565</v>
      </c>
    </row>
    <row r="163" spans="1:5" ht="15">
      <c r="A163" s="130" t="s">
        <v>5114</v>
      </c>
      <c r="B163" s="131" t="s">
        <v>5115</v>
      </c>
      <c r="C163" s="131">
        <v>517</v>
      </c>
      <c r="D163" s="132">
        <v>45561</v>
      </c>
      <c r="E163" s="127">
        <v>45586</v>
      </c>
    </row>
    <row r="164" spans="1:5" ht="15">
      <c r="A164" s="95" t="s">
        <v>5116</v>
      </c>
      <c r="B164" s="96" t="s">
        <v>148</v>
      </c>
      <c r="C164" s="96">
        <v>8843</v>
      </c>
      <c r="D164" s="97">
        <v>45579</v>
      </c>
      <c r="E164" s="127">
        <v>45607</v>
      </c>
    </row>
    <row r="165" spans="1:5" ht="15">
      <c r="A165" s="95" t="s">
        <v>5117</v>
      </c>
      <c r="B165" s="96" t="s">
        <v>5118</v>
      </c>
      <c r="C165" s="96">
        <v>2040</v>
      </c>
      <c r="D165" s="97">
        <v>45574</v>
      </c>
      <c r="E165" s="127">
        <v>45607</v>
      </c>
    </row>
    <row r="166" spans="1:5" ht="15">
      <c r="A166" s="95" t="s">
        <v>5119</v>
      </c>
      <c r="B166" s="96" t="s">
        <v>5118</v>
      </c>
      <c r="C166" s="96">
        <v>1904</v>
      </c>
      <c r="D166" s="97">
        <v>45565</v>
      </c>
      <c r="E166" s="127">
        <v>45607</v>
      </c>
    </row>
    <row r="167" spans="1:5" ht="15">
      <c r="A167" s="95" t="s">
        <v>5120</v>
      </c>
      <c r="B167" s="96" t="s">
        <v>5121</v>
      </c>
      <c r="C167" s="96">
        <v>31640</v>
      </c>
      <c r="D167" s="97">
        <v>45586</v>
      </c>
      <c r="E167" s="129">
        <v>45607</v>
      </c>
    </row>
    <row r="168" spans="1:5" ht="15">
      <c r="A168" s="108" t="s">
        <v>5122</v>
      </c>
      <c r="B168" s="109" t="s">
        <v>5123</v>
      </c>
      <c r="C168" s="109">
        <v>1570</v>
      </c>
      <c r="D168" s="110">
        <v>45565</v>
      </c>
      <c r="E168" s="139">
        <v>45607</v>
      </c>
    </row>
    <row r="169" spans="1:5" ht="15">
      <c r="A169" s="95" t="s">
        <v>5124</v>
      </c>
      <c r="B169" s="96" t="s">
        <v>5125</v>
      </c>
      <c r="C169" s="96">
        <v>1998</v>
      </c>
      <c r="D169" s="97">
        <v>45583</v>
      </c>
      <c r="E169" s="127">
        <v>45614</v>
      </c>
    </row>
    <row r="170" spans="1:5" ht="15">
      <c r="A170" s="95" t="s">
        <v>5126</v>
      </c>
      <c r="B170" s="96" t="s">
        <v>5127</v>
      </c>
      <c r="C170" s="96">
        <v>6536</v>
      </c>
      <c r="D170" s="97">
        <v>45579</v>
      </c>
      <c r="E170" s="127">
        <v>45614</v>
      </c>
    </row>
    <row r="171" spans="1:5" ht="15">
      <c r="A171" s="95" t="s">
        <v>5128</v>
      </c>
      <c r="B171" s="96" t="s">
        <v>5127</v>
      </c>
      <c r="C171" s="96">
        <v>3428</v>
      </c>
      <c r="D171" s="97">
        <v>45579</v>
      </c>
      <c r="E171" s="127">
        <v>45614</v>
      </c>
    </row>
    <row r="172" spans="1:5" ht="15">
      <c r="A172" s="95" t="s">
        <v>5129</v>
      </c>
      <c r="B172" s="96" t="s">
        <v>5130</v>
      </c>
      <c r="C172" s="96">
        <v>7157</v>
      </c>
      <c r="D172" s="97">
        <v>45575</v>
      </c>
      <c r="E172" s="127">
        <v>45614</v>
      </c>
    </row>
    <row r="173" spans="1:5" ht="15">
      <c r="A173" s="95" t="s">
        <v>5131</v>
      </c>
      <c r="B173" s="96" t="s">
        <v>5132</v>
      </c>
      <c r="C173" s="96">
        <v>1840</v>
      </c>
      <c r="D173" s="97">
        <v>45591</v>
      </c>
      <c r="E173" s="129">
        <v>45614</v>
      </c>
    </row>
    <row r="174" spans="1:5" ht="15">
      <c r="A174" s="95" t="s">
        <v>5133</v>
      </c>
      <c r="B174" s="96" t="s">
        <v>5069</v>
      </c>
      <c r="C174" s="96">
        <v>3655</v>
      </c>
      <c r="D174" s="97">
        <v>45454</v>
      </c>
      <c r="E174" s="129">
        <v>45614</v>
      </c>
    </row>
    <row r="175" spans="1:5" ht="15">
      <c r="A175" s="95" t="s">
        <v>5134</v>
      </c>
      <c r="B175" s="96" t="s">
        <v>5135</v>
      </c>
      <c r="C175" s="96">
        <v>1863</v>
      </c>
      <c r="D175" s="97">
        <v>45586</v>
      </c>
      <c r="E175" s="127">
        <v>45621</v>
      </c>
    </row>
    <row r="176" spans="1:5" ht="15">
      <c r="A176" s="95" t="s">
        <v>5136</v>
      </c>
      <c r="B176" s="96" t="s">
        <v>5137</v>
      </c>
      <c r="C176" s="96">
        <v>1743</v>
      </c>
      <c r="D176" s="97">
        <v>45569</v>
      </c>
      <c r="E176" s="127">
        <v>45621</v>
      </c>
    </row>
    <row r="177" spans="1:6" ht="15">
      <c r="A177" s="95" t="s">
        <v>5138</v>
      </c>
      <c r="B177" s="96" t="s">
        <v>5139</v>
      </c>
      <c r="C177" s="96">
        <v>6078</v>
      </c>
      <c r="D177" s="97">
        <v>45551</v>
      </c>
      <c r="E177" s="127">
        <v>45621</v>
      </c>
    </row>
    <row r="178" spans="1:6" ht="15">
      <c r="A178" s="95" t="s">
        <v>5140</v>
      </c>
      <c r="B178" s="96" t="s">
        <v>5118</v>
      </c>
      <c r="C178" s="96">
        <v>1398</v>
      </c>
      <c r="D178" s="97">
        <v>45602</v>
      </c>
      <c r="E178" s="127">
        <v>45621</v>
      </c>
    </row>
    <row r="179" spans="1:6" ht="15">
      <c r="A179" s="95" t="s">
        <v>5141</v>
      </c>
      <c r="B179" s="96" t="s">
        <v>5142</v>
      </c>
      <c r="C179" s="96">
        <v>2579</v>
      </c>
      <c r="D179" s="97">
        <v>45562</v>
      </c>
      <c r="E179" s="127">
        <v>45621</v>
      </c>
    </row>
    <row r="180" spans="1:6" ht="15">
      <c r="A180" s="95" t="s">
        <v>5143</v>
      </c>
      <c r="B180" s="96" t="s">
        <v>5132</v>
      </c>
      <c r="C180" s="96">
        <v>1055</v>
      </c>
      <c r="D180" s="97">
        <v>45500</v>
      </c>
      <c r="E180" s="127">
        <v>45621</v>
      </c>
    </row>
    <row r="181" spans="1:6" ht="15">
      <c r="A181" s="95" t="s">
        <v>5144</v>
      </c>
      <c r="B181" s="96" t="s">
        <v>28</v>
      </c>
      <c r="C181" s="96">
        <v>5618</v>
      </c>
      <c r="D181" s="97">
        <v>45604</v>
      </c>
      <c r="E181" s="127">
        <v>45628</v>
      </c>
    </row>
    <row r="182" spans="1:6" ht="15">
      <c r="A182" s="130" t="s">
        <v>5145</v>
      </c>
      <c r="B182" s="131" t="s">
        <v>28</v>
      </c>
      <c r="C182" s="131">
        <v>3035</v>
      </c>
      <c r="D182" s="132">
        <v>45607</v>
      </c>
      <c r="E182" s="127">
        <v>45628</v>
      </c>
    </row>
    <row r="183" spans="1:6" ht="15">
      <c r="A183" s="130" t="s">
        <v>5146</v>
      </c>
      <c r="B183" s="131" t="s">
        <v>5147</v>
      </c>
      <c r="C183" s="131">
        <v>1750</v>
      </c>
      <c r="D183" s="132">
        <v>45594</v>
      </c>
      <c r="E183" s="127">
        <v>45628</v>
      </c>
    </row>
    <row r="184" spans="1:6" ht="15">
      <c r="A184" s="140" t="s">
        <v>5148</v>
      </c>
      <c r="B184" s="141" t="s">
        <v>5147</v>
      </c>
      <c r="C184" s="141">
        <v>2985</v>
      </c>
      <c r="D184" s="142">
        <v>45605</v>
      </c>
      <c r="E184" s="127">
        <v>45628</v>
      </c>
    </row>
    <row r="185" spans="1:6" ht="15">
      <c r="A185" s="95" t="s">
        <v>5149</v>
      </c>
      <c r="B185" s="96" t="s">
        <v>102</v>
      </c>
      <c r="C185" s="96">
        <v>488</v>
      </c>
      <c r="D185" s="97">
        <v>45550</v>
      </c>
    </row>
    <row r="186" spans="1:6" ht="15">
      <c r="A186" s="95" t="s">
        <v>5150</v>
      </c>
      <c r="B186" s="96" t="s">
        <v>5123</v>
      </c>
      <c r="C186" s="96">
        <v>636</v>
      </c>
      <c r="D186" s="97">
        <v>45584</v>
      </c>
      <c r="E186" s="127">
        <v>45621</v>
      </c>
    </row>
    <row r="187" spans="1:6" ht="15">
      <c r="A187" s="95" t="s">
        <v>5151</v>
      </c>
      <c r="B187" s="96" t="s">
        <v>4971</v>
      </c>
      <c r="C187" s="96">
        <v>653</v>
      </c>
      <c r="D187" s="97">
        <v>45567</v>
      </c>
      <c r="E187" s="127">
        <v>45621</v>
      </c>
    </row>
    <row r="188" spans="1:6" ht="15">
      <c r="A188" s="95" t="s">
        <v>5152</v>
      </c>
      <c r="B188" s="96" t="s">
        <v>5115</v>
      </c>
      <c r="C188" s="96">
        <v>585</v>
      </c>
      <c r="D188" s="97">
        <v>45612</v>
      </c>
      <c r="E188" s="127">
        <v>45621</v>
      </c>
    </row>
    <row r="189" spans="1:6" ht="15">
      <c r="A189" s="95" t="s">
        <v>5153</v>
      </c>
      <c r="B189" s="96" t="s">
        <v>5147</v>
      </c>
      <c r="C189" s="96">
        <v>13097</v>
      </c>
      <c r="D189" s="97">
        <v>45608</v>
      </c>
      <c r="E189" s="127">
        <v>45628</v>
      </c>
    </row>
    <row r="190" spans="1:6" ht="15">
      <c r="A190" s="95" t="s">
        <v>5154</v>
      </c>
      <c r="B190" s="96" t="s">
        <v>5038</v>
      </c>
      <c r="C190" s="96">
        <v>6145</v>
      </c>
      <c r="D190" s="97">
        <v>45621</v>
      </c>
      <c r="E190" s="127">
        <v>45635</v>
      </c>
      <c r="F190" s="98" t="s">
        <v>5155</v>
      </c>
    </row>
    <row r="191" spans="1:6" ht="15">
      <c r="A191" s="95" t="s">
        <v>5156</v>
      </c>
      <c r="B191" s="96" t="s">
        <v>5130</v>
      </c>
      <c r="C191" s="96">
        <v>419</v>
      </c>
      <c r="D191" s="97">
        <v>45607</v>
      </c>
      <c r="E191" s="129">
        <v>45628</v>
      </c>
    </row>
    <row r="192" spans="1:6" ht="15">
      <c r="A192" s="95" t="s">
        <v>5157</v>
      </c>
      <c r="B192" s="96" t="s">
        <v>4971</v>
      </c>
      <c r="C192" s="96">
        <v>543</v>
      </c>
      <c r="D192" s="97">
        <v>45615</v>
      </c>
      <c r="E192" s="129">
        <v>45628</v>
      </c>
    </row>
    <row r="193" spans="1:5" ht="15">
      <c r="A193" s="95" t="s">
        <v>5158</v>
      </c>
      <c r="B193" s="96" t="s">
        <v>5125</v>
      </c>
      <c r="C193" s="96">
        <v>360</v>
      </c>
      <c r="D193" s="97">
        <v>45567</v>
      </c>
      <c r="E193" s="129">
        <v>45628</v>
      </c>
    </row>
    <row r="194" spans="1:5" ht="15">
      <c r="A194" s="130" t="s">
        <v>5159</v>
      </c>
      <c r="B194" s="131" t="s">
        <v>28</v>
      </c>
      <c r="C194" s="131">
        <v>260</v>
      </c>
      <c r="D194" s="132">
        <v>45621</v>
      </c>
      <c r="E194" s="127">
        <v>45628</v>
      </c>
    </row>
    <row r="195" spans="1:5" ht="15">
      <c r="A195" s="140" t="s">
        <v>5160</v>
      </c>
      <c r="B195" s="141" t="s">
        <v>5161</v>
      </c>
      <c r="C195" s="141">
        <v>6294</v>
      </c>
      <c r="D195" s="142">
        <v>45590</v>
      </c>
      <c r="E195" s="127">
        <v>45635</v>
      </c>
    </row>
    <row r="196" spans="1:5" ht="15">
      <c r="A196" s="95" t="s">
        <v>5162</v>
      </c>
      <c r="B196" s="96" t="s">
        <v>5163</v>
      </c>
      <c r="C196" s="96">
        <v>6294</v>
      </c>
      <c r="D196" s="97">
        <v>45630</v>
      </c>
      <c r="E196" s="127">
        <v>45635</v>
      </c>
    </row>
    <row r="197" spans="1:5" ht="15">
      <c r="A197" s="95" t="s">
        <v>5164</v>
      </c>
      <c r="B197" s="96" t="s">
        <v>93</v>
      </c>
      <c r="C197" s="96">
        <v>3163</v>
      </c>
      <c r="D197" s="97">
        <v>45625</v>
      </c>
      <c r="E197" s="127">
        <v>45642</v>
      </c>
    </row>
    <row r="198" spans="1:5" ht="15">
      <c r="A198" s="95" t="s">
        <v>5165</v>
      </c>
      <c r="B198" s="96" t="s">
        <v>93</v>
      </c>
      <c r="C198" s="96">
        <v>2333</v>
      </c>
      <c r="D198" s="97">
        <v>45625</v>
      </c>
      <c r="E198" s="127">
        <v>45642</v>
      </c>
    </row>
    <row r="199" spans="1:5" ht="15">
      <c r="A199" s="95" t="s">
        <v>5166</v>
      </c>
      <c r="B199" s="96" t="s">
        <v>106</v>
      </c>
      <c r="C199" s="96">
        <v>90</v>
      </c>
      <c r="D199" s="147">
        <v>45621</v>
      </c>
      <c r="E199" s="127">
        <v>45642</v>
      </c>
    </row>
    <row r="200" spans="1:5" ht="15">
      <c r="A200" s="95" t="s">
        <v>5167</v>
      </c>
      <c r="B200" s="96" t="s">
        <v>108</v>
      </c>
      <c r="C200" s="224">
        <v>8733</v>
      </c>
      <c r="D200" s="223">
        <v>45630</v>
      </c>
      <c r="E200" s="127">
        <v>45642</v>
      </c>
    </row>
    <row r="201" spans="1:5" ht="15">
      <c r="A201" s="95" t="s">
        <v>5168</v>
      </c>
      <c r="B201" s="96" t="s">
        <v>168</v>
      </c>
      <c r="C201" s="224">
        <v>943</v>
      </c>
      <c r="D201" s="223">
        <v>45615</v>
      </c>
      <c r="E201" s="127">
        <v>45649</v>
      </c>
    </row>
    <row r="202" spans="1:5" ht="15">
      <c r="A202" s="95" t="s">
        <v>5169</v>
      </c>
      <c r="B202" s="96" t="s">
        <v>102</v>
      </c>
      <c r="C202" s="96">
        <v>1975</v>
      </c>
      <c r="D202" s="97">
        <v>45632</v>
      </c>
      <c r="E202" s="127">
        <v>45649</v>
      </c>
    </row>
    <row r="203" spans="1:5" ht="15">
      <c r="A203" s="95" t="s">
        <v>5170</v>
      </c>
      <c r="B203" s="96" t="s">
        <v>102</v>
      </c>
      <c r="C203" s="96">
        <v>8549</v>
      </c>
      <c r="D203" s="97">
        <v>45632</v>
      </c>
      <c r="E203" s="127">
        <v>45649</v>
      </c>
    </row>
    <row r="204" spans="1:5" ht="15">
      <c r="A204" s="95" t="s">
        <v>5171</v>
      </c>
      <c r="B204" s="96" t="s">
        <v>102</v>
      </c>
      <c r="C204" s="96">
        <v>3700</v>
      </c>
      <c r="D204" s="97">
        <v>45632</v>
      </c>
      <c r="E204" s="127">
        <v>45649</v>
      </c>
    </row>
    <row r="205" spans="1:5" ht="15">
      <c r="A205" s="117" t="s">
        <v>5172</v>
      </c>
      <c r="B205" s="118" t="s">
        <v>106</v>
      </c>
      <c r="C205" s="96">
        <v>124</v>
      </c>
      <c r="D205" s="97">
        <v>45642</v>
      </c>
      <c r="E205" s="127">
        <v>45649</v>
      </c>
    </row>
    <row r="206" spans="1:5" ht="15">
      <c r="A206" s="225" t="s">
        <v>5173</v>
      </c>
      <c r="B206" s="225" t="s">
        <v>98</v>
      </c>
      <c r="C206" s="96">
        <v>1606</v>
      </c>
      <c r="D206" s="97">
        <v>45619</v>
      </c>
      <c r="E206" s="127">
        <v>45649</v>
      </c>
    </row>
    <row r="207" spans="1:5" ht="15">
      <c r="A207" s="226" t="s">
        <v>5174</v>
      </c>
      <c r="B207" s="226" t="s">
        <v>94</v>
      </c>
      <c r="C207" s="131">
        <v>1279</v>
      </c>
      <c r="D207" s="165">
        <v>45613</v>
      </c>
      <c r="E207" s="127">
        <v>45663</v>
      </c>
    </row>
    <row r="208" spans="1:5" ht="15">
      <c r="A208" s="130" t="s">
        <v>5175</v>
      </c>
      <c r="B208" s="131" t="s">
        <v>98</v>
      </c>
      <c r="C208" s="131">
        <v>270</v>
      </c>
      <c r="D208" s="165">
        <v>45645</v>
      </c>
      <c r="E208" s="127">
        <v>45663</v>
      </c>
    </row>
    <row r="209" spans="1:5" ht="15">
      <c r="A209" s="95" t="s">
        <v>5176</v>
      </c>
      <c r="B209" s="96" t="s">
        <v>93</v>
      </c>
      <c r="C209" s="96">
        <v>359</v>
      </c>
      <c r="D209" s="120">
        <v>45660</v>
      </c>
      <c r="E209" s="127">
        <v>45670</v>
      </c>
    </row>
    <row r="210" spans="1:5" ht="15">
      <c r="A210" s="117" t="s">
        <v>5128</v>
      </c>
      <c r="B210" s="118" t="s">
        <v>94</v>
      </c>
      <c r="C210" s="118">
        <v>2713</v>
      </c>
      <c r="D210" s="119">
        <v>45660</v>
      </c>
      <c r="E210" s="127">
        <v>45670</v>
      </c>
    </row>
    <row r="211" spans="1:5" ht="15">
      <c r="A211" s="166" t="s">
        <v>5177</v>
      </c>
      <c r="B211" s="167" t="s">
        <v>168</v>
      </c>
      <c r="C211" s="167">
        <v>943</v>
      </c>
      <c r="D211" s="168">
        <v>45615</v>
      </c>
      <c r="E211" s="127">
        <v>45670</v>
      </c>
    </row>
    <row r="212" spans="1:5" ht="15">
      <c r="A212" s="95" t="s">
        <v>5178</v>
      </c>
      <c r="B212" s="96" t="s">
        <v>111</v>
      </c>
      <c r="C212" s="96">
        <v>898</v>
      </c>
      <c r="D212" s="97">
        <v>45647</v>
      </c>
      <c r="E212" s="127">
        <v>45677</v>
      </c>
    </row>
    <row r="213" spans="1:5" ht="15">
      <c r="A213" s="95" t="s">
        <v>5179</v>
      </c>
      <c r="B213" s="96" t="s">
        <v>28</v>
      </c>
      <c r="C213" s="96">
        <v>408</v>
      </c>
      <c r="D213" s="97">
        <v>45657</v>
      </c>
      <c r="E213" s="127">
        <v>45670</v>
      </c>
    </row>
    <row r="214" spans="1:5" ht="15">
      <c r="A214" s="95" t="s">
        <v>5180</v>
      </c>
      <c r="B214" s="96" t="s">
        <v>108</v>
      </c>
      <c r="C214" s="96">
        <v>1299</v>
      </c>
      <c r="D214" s="97">
        <v>45645</v>
      </c>
      <c r="E214" s="127">
        <v>45677</v>
      </c>
    </row>
    <row r="215" spans="1:5" ht="15">
      <c r="A215" s="95" t="s">
        <v>5181</v>
      </c>
      <c r="B215" s="96" t="s">
        <v>108</v>
      </c>
      <c r="C215" s="96">
        <v>1602</v>
      </c>
      <c r="D215" s="97">
        <v>45646</v>
      </c>
      <c r="E215" s="127">
        <v>45677</v>
      </c>
    </row>
    <row r="216" spans="1:5" ht="15">
      <c r="A216" s="95" t="s">
        <v>5182</v>
      </c>
      <c r="B216" s="96" t="s">
        <v>90</v>
      </c>
      <c r="C216" s="96">
        <v>1705</v>
      </c>
      <c r="D216" s="97">
        <v>45616</v>
      </c>
      <c r="E216" s="127">
        <v>45677</v>
      </c>
    </row>
    <row r="217" spans="1:5" ht="15">
      <c r="A217" s="95" t="s">
        <v>5183</v>
      </c>
      <c r="B217" s="96" t="s">
        <v>90</v>
      </c>
      <c r="C217" s="96">
        <v>4193</v>
      </c>
      <c r="D217" s="97">
        <v>45615</v>
      </c>
      <c r="E217" s="127">
        <v>45677</v>
      </c>
    </row>
    <row r="218" spans="1:5" ht="15">
      <c r="A218" s="95" t="s">
        <v>5184</v>
      </c>
      <c r="B218" s="96" t="s">
        <v>106</v>
      </c>
      <c r="C218" s="96">
        <v>3022</v>
      </c>
      <c r="D218" s="97">
        <v>45650</v>
      </c>
      <c r="E218" s="127">
        <v>45684</v>
      </c>
    </row>
    <row r="219" spans="1:5" ht="15">
      <c r="A219" s="95" t="s">
        <v>5185</v>
      </c>
      <c r="B219" s="96" t="s">
        <v>114</v>
      </c>
      <c r="C219" s="96">
        <v>5482</v>
      </c>
      <c r="D219" s="97">
        <v>45647</v>
      </c>
      <c r="E219" s="127">
        <v>45684</v>
      </c>
    </row>
    <row r="220" spans="1:5" ht="15">
      <c r="A220" s="95" t="s">
        <v>5186</v>
      </c>
      <c r="B220" s="96" t="s">
        <v>98</v>
      </c>
      <c r="C220" s="96">
        <v>1245</v>
      </c>
      <c r="D220" s="97">
        <v>45646</v>
      </c>
      <c r="E220" s="127">
        <v>45677</v>
      </c>
    </row>
    <row r="221" spans="1:5" ht="15">
      <c r="A221" s="95" t="s">
        <v>5187</v>
      </c>
      <c r="B221" s="96" t="s">
        <v>98</v>
      </c>
      <c r="C221" s="96">
        <v>248</v>
      </c>
      <c r="D221" s="97">
        <v>45649</v>
      </c>
      <c r="E221" s="127">
        <v>45677</v>
      </c>
    </row>
    <row r="222" spans="1:5" ht="15">
      <c r="A222" s="95" t="s">
        <v>5188</v>
      </c>
      <c r="B222" s="96" t="s">
        <v>113</v>
      </c>
      <c r="C222" s="96">
        <v>1865</v>
      </c>
      <c r="D222" s="97">
        <v>45656</v>
      </c>
      <c r="E222" s="127">
        <v>45684</v>
      </c>
    </row>
    <row r="223" spans="1:5" ht="15">
      <c r="A223" s="95" t="s">
        <v>5189</v>
      </c>
      <c r="B223" s="96" t="s">
        <v>113</v>
      </c>
      <c r="C223" s="96">
        <v>1052</v>
      </c>
      <c r="D223" s="97">
        <v>45657</v>
      </c>
      <c r="E223" s="127">
        <v>45684</v>
      </c>
    </row>
    <row r="224" spans="1:5" ht="15">
      <c r="A224" s="95" t="s">
        <v>5190</v>
      </c>
      <c r="B224" s="96" t="s">
        <v>113</v>
      </c>
      <c r="C224" s="96">
        <v>1165</v>
      </c>
      <c r="D224" s="97">
        <v>45656</v>
      </c>
      <c r="E224" s="127">
        <v>45684</v>
      </c>
    </row>
    <row r="225" spans="1:6" ht="15">
      <c r="A225" s="130" t="s">
        <v>5191</v>
      </c>
      <c r="B225" s="131" t="s">
        <v>110</v>
      </c>
      <c r="C225" s="131">
        <v>785</v>
      </c>
      <c r="D225" s="132">
        <v>45655</v>
      </c>
      <c r="E225" s="171">
        <v>45677</v>
      </c>
      <c r="F225" s="170"/>
    </row>
    <row r="226" spans="1:6" ht="15">
      <c r="A226" s="130" t="s">
        <v>5192</v>
      </c>
      <c r="B226" s="131" t="s">
        <v>111</v>
      </c>
      <c r="C226" s="131">
        <v>696</v>
      </c>
      <c r="D226" s="132">
        <v>45626</v>
      </c>
      <c r="E226" s="171">
        <v>45677</v>
      </c>
      <c r="F226" s="170"/>
    </row>
    <row r="227" spans="1:6" ht="15">
      <c r="A227" s="130" t="s">
        <v>5193</v>
      </c>
      <c r="B227" s="131" t="s">
        <v>111</v>
      </c>
      <c r="C227" s="131">
        <v>1346</v>
      </c>
      <c r="D227" s="132">
        <v>45632</v>
      </c>
      <c r="E227" s="171">
        <v>45677</v>
      </c>
      <c r="F227" s="170"/>
    </row>
    <row r="228" spans="1:6" ht="15">
      <c r="A228" s="95" t="s">
        <v>5194</v>
      </c>
      <c r="B228" s="96" t="s">
        <v>44</v>
      </c>
      <c r="C228" s="96">
        <v>1073</v>
      </c>
      <c r="D228" s="97">
        <v>45656</v>
      </c>
      <c r="E228" s="129">
        <v>45684</v>
      </c>
    </row>
    <row r="229" spans="1:6" ht="15">
      <c r="A229" s="95" t="s">
        <v>5195</v>
      </c>
      <c r="B229" s="96" t="s">
        <v>113</v>
      </c>
      <c r="C229" s="96">
        <v>376</v>
      </c>
      <c r="D229" s="97">
        <v>45671</v>
      </c>
      <c r="E229" s="129">
        <v>45684</v>
      </c>
    </row>
    <row r="230" spans="1:6" ht="15">
      <c r="A230" s="95" t="s">
        <v>5196</v>
      </c>
      <c r="B230" s="96" t="s">
        <v>5163</v>
      </c>
      <c r="C230" s="96">
        <v>768</v>
      </c>
      <c r="D230" s="97">
        <v>45677</v>
      </c>
      <c r="E230" s="129">
        <v>45684</v>
      </c>
    </row>
    <row r="231" spans="1:6" ht="15">
      <c r="A231" s="95" t="s">
        <v>5197</v>
      </c>
      <c r="B231" s="96" t="s">
        <v>110</v>
      </c>
      <c r="C231" s="96">
        <v>761</v>
      </c>
      <c r="D231" s="97">
        <v>45638</v>
      </c>
      <c r="E231" s="129">
        <v>45684</v>
      </c>
    </row>
    <row r="232" spans="1:6" ht="15">
      <c r="A232" s="95" t="s">
        <v>5198</v>
      </c>
      <c r="B232" s="96" t="s">
        <v>112</v>
      </c>
      <c r="C232" s="96">
        <v>408</v>
      </c>
      <c r="D232" s="97">
        <v>45675</v>
      </c>
      <c r="E232" s="129">
        <v>45684</v>
      </c>
    </row>
    <row r="233" spans="1:6" ht="15">
      <c r="A233" s="95" t="s">
        <v>5199</v>
      </c>
      <c r="B233" s="96" t="s">
        <v>112</v>
      </c>
      <c r="C233" s="96">
        <v>17063</v>
      </c>
      <c r="D233" s="97">
        <v>45676</v>
      </c>
      <c r="E233" s="129">
        <v>45684</v>
      </c>
    </row>
    <row r="234" spans="1:6" ht="15">
      <c r="A234" s="216" t="s">
        <v>5200</v>
      </c>
      <c r="B234" s="96" t="s">
        <v>111</v>
      </c>
      <c r="C234" s="96">
        <v>2806</v>
      </c>
      <c r="D234" s="120">
        <v>45676</v>
      </c>
      <c r="E234" s="127">
        <v>45712</v>
      </c>
    </row>
    <row r="235" spans="1:6" ht="15">
      <c r="A235" s="216" t="s">
        <v>5201</v>
      </c>
      <c r="B235" s="96" t="s">
        <v>103</v>
      </c>
      <c r="C235" s="96">
        <v>888</v>
      </c>
      <c r="D235" s="97">
        <v>45679</v>
      </c>
      <c r="E235" s="127">
        <v>45734</v>
      </c>
    </row>
    <row r="236" spans="1:6" ht="15">
      <c r="A236" s="216" t="s">
        <v>5202</v>
      </c>
      <c r="B236" s="96" t="s">
        <v>113</v>
      </c>
      <c r="C236" s="96">
        <v>2038</v>
      </c>
      <c r="D236" s="97">
        <v>45705</v>
      </c>
      <c r="E236" s="127">
        <v>45734</v>
      </c>
    </row>
    <row r="237" spans="1:6" ht="15">
      <c r="A237" s="216" t="s">
        <v>5203</v>
      </c>
      <c r="B237" s="96" t="s">
        <v>107</v>
      </c>
      <c r="C237" s="96">
        <v>7073</v>
      </c>
      <c r="D237" s="97">
        <v>45763</v>
      </c>
      <c r="E237" s="127" t="s">
        <v>5204</v>
      </c>
    </row>
    <row r="238" spans="1:6" ht="15">
      <c r="A238" s="216" t="s">
        <v>5205</v>
      </c>
      <c r="B238" s="96" t="s">
        <v>168</v>
      </c>
      <c r="C238" s="96">
        <v>1401</v>
      </c>
      <c r="D238" s="97">
        <v>45701</v>
      </c>
      <c r="E238" s="127">
        <v>45734</v>
      </c>
    </row>
    <row r="239" spans="1:6" ht="15">
      <c r="A239" s="216" t="s">
        <v>5206</v>
      </c>
      <c r="B239" s="96" t="s">
        <v>112</v>
      </c>
      <c r="C239" s="96">
        <v>826</v>
      </c>
      <c r="D239" s="97">
        <v>45719</v>
      </c>
      <c r="E239" s="127">
        <v>45734</v>
      </c>
    </row>
    <row r="240" spans="1:6" ht="15">
      <c r="A240" s="216" t="s">
        <v>5207</v>
      </c>
      <c r="B240" s="96" t="s">
        <v>92</v>
      </c>
      <c r="C240" s="96">
        <v>2625</v>
      </c>
      <c r="D240" s="97">
        <v>45731</v>
      </c>
      <c r="E240" s="127">
        <v>45734</v>
      </c>
    </row>
  </sheetData>
  <autoFilter ref="A143:E146" xr:uid="{EA875395-1375-4E33-A0D4-1ADE0D68CF83}">
    <sortState xmlns:xlrd2="http://schemas.microsoft.com/office/spreadsheetml/2017/richdata2" ref="A144:E182">
      <sortCondition ref="E143:E146"/>
    </sortState>
  </autoFilter>
  <mergeCells count="3">
    <mergeCell ref="A2:E2"/>
    <mergeCell ref="A103:E103"/>
    <mergeCell ref="A142:E14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42E-5295-4A27-8975-91BB4DDD268E}">
  <sheetPr>
    <tabColor rgb="FF00B050"/>
  </sheetPr>
  <dimension ref="A1:K49"/>
  <sheetViews>
    <sheetView topLeftCell="D1" workbookViewId="0">
      <selection activeCell="G1" sqref="G1"/>
    </sheetView>
  </sheetViews>
  <sheetFormatPr defaultRowHeight="15"/>
  <cols>
    <col min="1" max="2" width="27.42578125" customWidth="1"/>
    <col min="3" max="3" width="27.42578125" style="5" customWidth="1"/>
    <col min="4" max="4" width="27.42578125" customWidth="1"/>
    <col min="5" max="5" width="16.5703125" bestFit="1" customWidth="1"/>
    <col min="7" max="7" width="27.28515625" customWidth="1"/>
    <col min="8" max="8" width="13.42578125" customWidth="1"/>
    <col min="9" max="9" width="12.7109375" customWidth="1"/>
    <col min="10" max="10" width="12.42578125" customWidth="1"/>
    <col min="11" max="11" width="10.42578125" customWidth="1"/>
  </cols>
  <sheetData>
    <row r="1" spans="1:11">
      <c r="A1" s="20" t="s">
        <v>17</v>
      </c>
      <c r="B1" t="s">
        <v>193</v>
      </c>
      <c r="C1" t="s">
        <v>194</v>
      </c>
      <c r="D1" t="s">
        <v>195</v>
      </c>
      <c r="G1" s="508"/>
      <c r="H1" s="509" t="s">
        <v>17</v>
      </c>
      <c r="I1" s="509" t="s">
        <v>196</v>
      </c>
      <c r="J1" s="509" t="s">
        <v>197</v>
      </c>
      <c r="K1" s="509" t="s">
        <v>198</v>
      </c>
    </row>
    <row r="2" spans="1:11">
      <c r="A2" t="s">
        <v>48</v>
      </c>
      <c r="B2" s="15">
        <v>245773</v>
      </c>
      <c r="C2" s="17">
        <v>154306.88000000003</v>
      </c>
      <c r="D2" s="15">
        <v>91466.119999999966</v>
      </c>
      <c r="G2" s="510" t="s">
        <v>199</v>
      </c>
      <c r="H2" s="511">
        <v>8805887</v>
      </c>
      <c r="I2" s="511">
        <v>8731671.3500000052</v>
      </c>
      <c r="J2" s="511">
        <f>H2-I2</f>
        <v>74215.649999994785</v>
      </c>
      <c r="K2" s="512">
        <f>J2/H2</f>
        <v>8.4279584782310721E-3</v>
      </c>
    </row>
    <row r="3" spans="1:11">
      <c r="A3" t="s">
        <v>32</v>
      </c>
      <c r="B3" s="15">
        <v>182202</v>
      </c>
      <c r="C3" s="17">
        <v>90744.9</v>
      </c>
      <c r="D3" s="15">
        <v>91457.1</v>
      </c>
      <c r="G3" s="513"/>
      <c r="H3" s="513"/>
      <c r="I3" s="513"/>
      <c r="J3" s="513"/>
      <c r="K3" s="513"/>
    </row>
    <row r="4" spans="1:11">
      <c r="A4" t="s">
        <v>87</v>
      </c>
      <c r="B4" s="15">
        <v>215366</v>
      </c>
      <c r="C4" s="17">
        <v>130622</v>
      </c>
      <c r="D4" s="15">
        <v>84744</v>
      </c>
      <c r="G4" s="570" t="s">
        <v>200</v>
      </c>
      <c r="H4" s="570"/>
      <c r="I4" s="570"/>
      <c r="J4" s="570"/>
      <c r="K4" s="570"/>
    </row>
    <row r="5" spans="1:11">
      <c r="A5" t="s">
        <v>51</v>
      </c>
      <c r="B5" s="15">
        <v>350207</v>
      </c>
      <c r="C5" s="17">
        <v>265675.78999999998</v>
      </c>
      <c r="D5" s="15">
        <v>84531.209999999992</v>
      </c>
      <c r="G5" s="514" t="s">
        <v>18</v>
      </c>
      <c r="H5" s="515" t="s">
        <v>17</v>
      </c>
      <c r="I5" s="515" t="s">
        <v>196</v>
      </c>
      <c r="J5" s="515" t="s">
        <v>197</v>
      </c>
      <c r="K5" s="515" t="s">
        <v>198</v>
      </c>
    </row>
    <row r="6" spans="1:11">
      <c r="A6" t="s">
        <v>132</v>
      </c>
      <c r="B6" s="15">
        <v>1500000</v>
      </c>
      <c r="C6" s="17">
        <v>1429023.26</v>
      </c>
      <c r="D6" s="15">
        <v>70976.739999999991</v>
      </c>
      <c r="F6" s="229"/>
      <c r="G6" s="516" t="s">
        <v>155</v>
      </c>
      <c r="H6" s="517">
        <v>3619057</v>
      </c>
      <c r="I6" s="517">
        <v>3866552</v>
      </c>
      <c r="J6" s="517">
        <f>H6-I6</f>
        <v>-247495</v>
      </c>
      <c r="K6" s="512">
        <f>(H6/I6)-1</f>
        <v>-6.400922579083379E-2</v>
      </c>
    </row>
    <row r="7" spans="1:11">
      <c r="A7" t="s">
        <v>169</v>
      </c>
      <c r="B7" s="15">
        <v>2150498</v>
      </c>
      <c r="C7" s="17">
        <v>2081474.8200000003</v>
      </c>
      <c r="D7" s="15">
        <v>69023.179999999935</v>
      </c>
      <c r="F7" s="229"/>
      <c r="G7" s="516" t="s">
        <v>22</v>
      </c>
      <c r="H7" s="517">
        <v>15000</v>
      </c>
      <c r="I7" s="517">
        <v>52176.53</v>
      </c>
      <c r="J7" s="517">
        <f>H7-I7</f>
        <v>-37176.53</v>
      </c>
      <c r="K7" s="512">
        <f>(H7/I7)-1</f>
        <v>-0.71251441979756036</v>
      </c>
    </row>
    <row r="8" spans="1:11" ht="15" customHeight="1">
      <c r="A8" t="s">
        <v>181</v>
      </c>
      <c r="B8" s="15">
        <v>77130</v>
      </c>
      <c r="C8" s="17">
        <v>32968.090000000004</v>
      </c>
      <c r="D8" s="15">
        <v>44161.909999999996</v>
      </c>
      <c r="F8" s="229"/>
      <c r="G8" s="516" t="s">
        <v>142</v>
      </c>
      <c r="H8" s="517">
        <v>14261</v>
      </c>
      <c r="I8" s="517">
        <v>37919.17</v>
      </c>
      <c r="J8" s="517">
        <f>H8-I8</f>
        <v>-23658.17</v>
      </c>
      <c r="K8" s="512">
        <f>(H8/I8)-1</f>
        <v>-0.62391054445548255</v>
      </c>
    </row>
    <row r="9" spans="1:11">
      <c r="A9" t="s">
        <v>20</v>
      </c>
      <c r="B9" s="15">
        <v>20000</v>
      </c>
      <c r="C9" s="17">
        <v>0</v>
      </c>
      <c r="D9" s="15">
        <v>20000</v>
      </c>
      <c r="F9" s="229"/>
      <c r="G9" s="516" t="s">
        <v>127</v>
      </c>
      <c r="H9" s="517">
        <v>28000</v>
      </c>
      <c r="I9" s="517">
        <v>49686.509999999995</v>
      </c>
      <c r="J9" s="517">
        <f>H9-I9</f>
        <v>-21686.509999999995</v>
      </c>
      <c r="K9" s="512">
        <f>(H9/I9)-1</f>
        <v>-0.43646675928737999</v>
      </c>
    </row>
    <row r="10" spans="1:11">
      <c r="A10" t="s">
        <v>122</v>
      </c>
      <c r="B10" s="15">
        <v>13200</v>
      </c>
      <c r="C10" s="17">
        <v>900</v>
      </c>
      <c r="D10" s="15">
        <v>12300</v>
      </c>
      <c r="F10" s="229"/>
      <c r="G10" s="518" t="s">
        <v>189</v>
      </c>
      <c r="H10" s="519">
        <v>3500</v>
      </c>
      <c r="I10" s="519">
        <v>20952</v>
      </c>
      <c r="J10" s="519">
        <f>H10-I10</f>
        <v>-17452</v>
      </c>
      <c r="K10" s="520">
        <f>(H10/I10)-1</f>
        <v>-0.83295150820924013</v>
      </c>
    </row>
    <row r="11" spans="1:11" ht="18" customHeight="1">
      <c r="A11" t="s">
        <v>133</v>
      </c>
      <c r="B11" s="15">
        <v>70850</v>
      </c>
      <c r="C11" s="17">
        <v>60068.649999999994</v>
      </c>
      <c r="D11" s="15">
        <v>10781.350000000002</v>
      </c>
      <c r="F11" s="229"/>
      <c r="G11" s="518" t="s">
        <v>48</v>
      </c>
      <c r="H11" s="517">
        <v>245773</v>
      </c>
      <c r="I11" s="517">
        <v>154306.88000000003</v>
      </c>
      <c r="J11" s="521">
        <f>H11-I11</f>
        <v>91466.119999999966</v>
      </c>
      <c r="K11" s="568">
        <f>(H11/I11)-1</f>
        <v>0.59275464580710824</v>
      </c>
    </row>
    <row r="12" spans="1:11">
      <c r="A12" t="s">
        <v>120</v>
      </c>
      <c r="B12" s="15">
        <v>62500</v>
      </c>
      <c r="C12" s="17">
        <v>53342</v>
      </c>
      <c r="D12" s="15">
        <v>9158</v>
      </c>
      <c r="G12" s="518" t="s">
        <v>32</v>
      </c>
      <c r="H12" s="517">
        <v>182202</v>
      </c>
      <c r="I12" s="517">
        <v>90744.9</v>
      </c>
      <c r="J12" s="521">
        <f>H12-I12</f>
        <v>91457.1</v>
      </c>
      <c r="K12" s="568">
        <f>(H12/I12)-1</f>
        <v>1.0078483749499973</v>
      </c>
    </row>
    <row r="13" spans="1:11">
      <c r="A13" t="s">
        <v>191</v>
      </c>
      <c r="B13" s="15">
        <v>73000</v>
      </c>
      <c r="C13" s="17">
        <v>67515</v>
      </c>
      <c r="D13" s="15">
        <v>5485</v>
      </c>
      <c r="G13" s="516" t="s">
        <v>87</v>
      </c>
      <c r="H13" s="517">
        <v>215366</v>
      </c>
      <c r="I13" s="517">
        <v>130622</v>
      </c>
      <c r="J13" s="521">
        <f>H13-I13</f>
        <v>84744</v>
      </c>
      <c r="K13" s="569">
        <f>(H13/I13)-1</f>
        <v>0.64877279478188976</v>
      </c>
    </row>
    <row r="14" spans="1:11">
      <c r="A14" t="s">
        <v>137</v>
      </c>
      <c r="B14" s="15">
        <v>25950</v>
      </c>
      <c r="C14" s="17">
        <v>21129.61</v>
      </c>
      <c r="D14" s="15">
        <v>4820.3899999999994</v>
      </c>
    </row>
    <row r="15" spans="1:11">
      <c r="A15" t="s">
        <v>30</v>
      </c>
      <c r="B15" s="15">
        <v>4600</v>
      </c>
      <c r="C15" s="17">
        <v>0</v>
      </c>
      <c r="D15" s="15">
        <v>4600</v>
      </c>
    </row>
    <row r="16" spans="1:11">
      <c r="A16" t="s">
        <v>160</v>
      </c>
      <c r="B16" s="15">
        <v>10000</v>
      </c>
      <c r="C16" s="17">
        <v>6254.41</v>
      </c>
      <c r="D16" s="15">
        <v>3745.59</v>
      </c>
    </row>
    <row r="17" spans="1:4">
      <c r="A17" t="s">
        <v>144</v>
      </c>
      <c r="B17" s="15">
        <v>26000</v>
      </c>
      <c r="C17" s="17">
        <v>22271.919999999998</v>
      </c>
      <c r="D17" s="15">
        <v>3728.08</v>
      </c>
    </row>
    <row r="18" spans="1:4">
      <c r="A18" t="s">
        <v>25</v>
      </c>
      <c r="B18" s="15">
        <v>9410</v>
      </c>
      <c r="C18" s="17">
        <v>5926.07</v>
      </c>
      <c r="D18" s="15">
        <v>3483.93</v>
      </c>
    </row>
    <row r="19" spans="1:4">
      <c r="A19" t="s">
        <v>172</v>
      </c>
      <c r="B19" s="15">
        <v>3000</v>
      </c>
      <c r="C19" s="17">
        <v>0</v>
      </c>
      <c r="D19" s="15">
        <v>3000</v>
      </c>
    </row>
    <row r="20" spans="1:4">
      <c r="A20" t="s">
        <v>186</v>
      </c>
      <c r="B20" s="15">
        <v>27200</v>
      </c>
      <c r="C20" s="17">
        <v>24602</v>
      </c>
      <c r="D20" s="15">
        <v>2598</v>
      </c>
    </row>
    <row r="21" spans="1:4">
      <c r="A21" t="s">
        <v>121</v>
      </c>
      <c r="B21" s="15">
        <v>2500</v>
      </c>
      <c r="C21" s="17">
        <v>0</v>
      </c>
      <c r="D21" s="15">
        <v>2500</v>
      </c>
    </row>
    <row r="22" spans="1:4">
      <c r="A22" t="s">
        <v>85</v>
      </c>
      <c r="B22" s="15">
        <v>2500</v>
      </c>
      <c r="C22" s="17">
        <v>0</v>
      </c>
      <c r="D22" s="15">
        <v>2500</v>
      </c>
    </row>
    <row r="23" spans="1:4">
      <c r="A23" t="s">
        <v>176</v>
      </c>
      <c r="B23" s="15">
        <v>26000</v>
      </c>
      <c r="C23" s="17">
        <v>24411.57</v>
      </c>
      <c r="D23" s="15">
        <v>1588.4300000000003</v>
      </c>
    </row>
    <row r="24" spans="1:4">
      <c r="A24" t="s">
        <v>166</v>
      </c>
      <c r="B24" s="15">
        <v>7000</v>
      </c>
      <c r="C24" s="17">
        <v>6714.67</v>
      </c>
      <c r="D24" s="15">
        <v>285.32999999999993</v>
      </c>
    </row>
    <row r="25" spans="1:4">
      <c r="A25" t="s">
        <v>143</v>
      </c>
      <c r="B25" s="15">
        <v>1000</v>
      </c>
      <c r="C25" s="17">
        <v>812</v>
      </c>
      <c r="D25" s="15">
        <v>188</v>
      </c>
    </row>
    <row r="26" spans="1:4">
      <c r="A26" t="s">
        <v>24</v>
      </c>
      <c r="B26" s="15">
        <v>0</v>
      </c>
      <c r="C26" s="17">
        <v>0</v>
      </c>
      <c r="D26" s="15">
        <v>0</v>
      </c>
    </row>
    <row r="27" spans="1:4">
      <c r="A27" t="s">
        <v>158</v>
      </c>
      <c r="B27" s="15">
        <v>0</v>
      </c>
      <c r="C27" s="17">
        <v>0</v>
      </c>
      <c r="D27" s="15">
        <v>0</v>
      </c>
    </row>
    <row r="28" spans="1:4">
      <c r="A28" t="s">
        <v>164</v>
      </c>
      <c r="B28" s="15">
        <v>0</v>
      </c>
      <c r="C28" s="17">
        <v>0</v>
      </c>
      <c r="D28" s="15">
        <v>0</v>
      </c>
    </row>
    <row r="29" spans="1:4">
      <c r="A29" t="s">
        <v>179</v>
      </c>
      <c r="B29" s="15">
        <v>0</v>
      </c>
      <c r="C29" s="17">
        <v>0</v>
      </c>
      <c r="D29" s="15">
        <v>0</v>
      </c>
    </row>
    <row r="30" spans="1:4">
      <c r="A30" t="s">
        <v>145</v>
      </c>
      <c r="B30" s="15">
        <v>0</v>
      </c>
      <c r="C30" s="17">
        <v>0</v>
      </c>
      <c r="D30" s="15">
        <v>0</v>
      </c>
    </row>
    <row r="31" spans="1:4">
      <c r="A31" t="s">
        <v>177</v>
      </c>
      <c r="B31" s="15">
        <v>0</v>
      </c>
      <c r="C31" s="17">
        <v>0</v>
      </c>
      <c r="D31" s="15">
        <v>0</v>
      </c>
    </row>
    <row r="32" spans="1:4">
      <c r="A32" t="s">
        <v>124</v>
      </c>
      <c r="B32" s="15">
        <v>0</v>
      </c>
      <c r="C32" s="17">
        <v>0</v>
      </c>
      <c r="D32" s="15">
        <v>0</v>
      </c>
    </row>
    <row r="33" spans="1:4">
      <c r="A33" t="s">
        <v>119</v>
      </c>
      <c r="B33" s="15">
        <v>0</v>
      </c>
      <c r="C33" s="17">
        <v>0</v>
      </c>
      <c r="D33" s="15">
        <v>0</v>
      </c>
    </row>
    <row r="34" spans="1:4">
      <c r="A34" t="s">
        <v>19</v>
      </c>
      <c r="B34" s="15">
        <v>8000</v>
      </c>
      <c r="C34" s="17">
        <v>10450</v>
      </c>
      <c r="D34" s="15">
        <v>-2450</v>
      </c>
    </row>
    <row r="35" spans="1:4">
      <c r="A35" t="s">
        <v>167</v>
      </c>
      <c r="B35" s="15">
        <v>27630</v>
      </c>
      <c r="C35" s="17">
        <v>32138.400000000001</v>
      </c>
      <c r="D35" s="15">
        <v>-4508.3999999999978</v>
      </c>
    </row>
    <row r="36" spans="1:4">
      <c r="A36" t="s">
        <v>123</v>
      </c>
      <c r="B36" s="15">
        <v>0</v>
      </c>
      <c r="C36" s="17">
        <v>5000</v>
      </c>
      <c r="D36" s="15">
        <v>-5000</v>
      </c>
    </row>
    <row r="37" spans="1:4">
      <c r="A37" t="s">
        <v>86</v>
      </c>
      <c r="B37" s="15">
        <v>0</v>
      </c>
      <c r="C37" s="17">
        <v>6000</v>
      </c>
      <c r="D37" s="15">
        <v>-6000</v>
      </c>
    </row>
    <row r="38" spans="1:4">
      <c r="A38" t="s">
        <v>156</v>
      </c>
      <c r="B38" s="15">
        <v>0</v>
      </c>
      <c r="C38" s="17">
        <v>10000</v>
      </c>
      <c r="D38" s="15">
        <v>-10000</v>
      </c>
    </row>
    <row r="39" spans="1:4">
      <c r="A39" s="565" t="s">
        <v>189</v>
      </c>
      <c r="B39" s="566">
        <v>3500</v>
      </c>
      <c r="C39" s="567">
        <v>20952</v>
      </c>
      <c r="D39" s="566">
        <v>-17452</v>
      </c>
    </row>
    <row r="40" spans="1:4">
      <c r="A40" s="565" t="s">
        <v>127</v>
      </c>
      <c r="B40" s="566">
        <v>28000</v>
      </c>
      <c r="C40" s="567">
        <v>49686.509999999995</v>
      </c>
      <c r="D40" s="566">
        <v>-21686.51</v>
      </c>
    </row>
    <row r="41" spans="1:4">
      <c r="A41" s="565" t="s">
        <v>142</v>
      </c>
      <c r="B41" s="566">
        <v>14261</v>
      </c>
      <c r="C41" s="567">
        <v>37919.17</v>
      </c>
      <c r="D41" s="566">
        <v>-23658.17</v>
      </c>
    </row>
    <row r="42" spans="1:4">
      <c r="A42" t="s">
        <v>173</v>
      </c>
      <c r="B42" s="15">
        <v>0</v>
      </c>
      <c r="C42" s="17">
        <v>36468</v>
      </c>
      <c r="D42" s="15">
        <v>-36468</v>
      </c>
    </row>
    <row r="43" spans="1:4">
      <c r="A43" s="565" t="s">
        <v>22</v>
      </c>
      <c r="B43" s="566">
        <v>15000</v>
      </c>
      <c r="C43" s="567">
        <v>52176.53</v>
      </c>
      <c r="D43" s="566">
        <v>-37176.53</v>
      </c>
    </row>
    <row r="44" spans="1:4">
      <c r="A44" t="s">
        <v>163</v>
      </c>
      <c r="B44" s="15">
        <v>0</v>
      </c>
      <c r="C44" s="17">
        <v>52908</v>
      </c>
      <c r="D44" s="15">
        <v>-52908</v>
      </c>
    </row>
    <row r="45" spans="1:4">
      <c r="A45" t="s">
        <v>190</v>
      </c>
      <c r="B45" s="15">
        <v>0</v>
      </c>
      <c r="C45" s="17">
        <v>72657.570000000007</v>
      </c>
      <c r="D45" s="15">
        <v>-72657.570000000007</v>
      </c>
    </row>
    <row r="46" spans="1:4">
      <c r="A46" s="565" t="s">
        <v>147</v>
      </c>
      <c r="B46" s="566">
        <v>1194204</v>
      </c>
      <c r="C46" s="567">
        <v>1294144.6699999997</v>
      </c>
      <c r="D46" s="566">
        <v>-99940.670000000042</v>
      </c>
    </row>
    <row r="47" spans="1:4">
      <c r="A47" s="565" t="s">
        <v>154</v>
      </c>
      <c r="B47" s="566">
        <v>2424853</v>
      </c>
      <c r="C47" s="567">
        <v>2572406.86</v>
      </c>
      <c r="D47" s="566">
        <v>-147553.86000000016</v>
      </c>
    </row>
    <row r="48" spans="1:4">
      <c r="A48" t="s">
        <v>201</v>
      </c>
      <c r="B48" s="15">
        <v>8821334</v>
      </c>
      <c r="C48" s="17">
        <v>8731671.3500000015</v>
      </c>
      <c r="D48" s="15">
        <v>89662.649999999674</v>
      </c>
    </row>
    <row r="49" spans="3:3">
      <c r="C49"/>
    </row>
  </sheetData>
  <mergeCells count="1">
    <mergeCell ref="G4:K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A8ECA-CE98-4705-9EC3-82D2785EEC96}">
  <sheetPr>
    <tabColor rgb="FF002060"/>
  </sheetPr>
  <dimension ref="A1:V7980"/>
  <sheetViews>
    <sheetView showGridLines="0" workbookViewId="0">
      <pane xSplit="3" ySplit="2" topLeftCell="H843" activePane="bottomRight" state="frozen"/>
      <selection pane="bottomRight" activeCell="H847" sqref="H847"/>
      <selection pane="bottomLeft"/>
      <selection pane="topRight"/>
    </sheetView>
  </sheetViews>
  <sheetFormatPr defaultColWidth="11.42578125" defaultRowHeight="15" outlineLevelCol="1"/>
  <cols>
    <col min="1" max="1" width="26.140625" style="28" hidden="1" customWidth="1" outlineLevel="1"/>
    <col min="2" max="2" width="5.85546875" customWidth="1" collapsed="1"/>
    <col min="3" max="3" width="11.42578125" customWidth="1"/>
    <col min="4" max="4" width="16.5703125" style="242" customWidth="1"/>
    <col min="5" max="5" width="39.140625" style="71" customWidth="1"/>
    <col min="6" max="6" width="33.28515625" style="71" customWidth="1"/>
    <col min="7" max="7" width="8.5703125" style="71" customWidth="1"/>
    <col min="8" max="8" width="17.140625" style="83" customWidth="1"/>
    <col min="9" max="9" width="13.7109375" style="83" hidden="1" customWidth="1"/>
    <col min="10" max="10" width="68.5703125" style="71" customWidth="1"/>
    <col min="11" max="11" width="18.28515625" style="325" customWidth="1"/>
    <col min="12" max="12" width="20.42578125" style="78" customWidth="1"/>
    <col min="13" max="13" width="14.5703125" style="136" bestFit="1" customWidth="1"/>
    <col min="14" max="14" width="16.140625" style="71" customWidth="1"/>
    <col min="15" max="15" width="14.42578125" customWidth="1"/>
  </cols>
  <sheetData>
    <row r="1" spans="1:15" ht="26.25">
      <c r="A1" s="64"/>
      <c r="B1" s="59"/>
      <c r="C1" s="58" t="s">
        <v>202</v>
      </c>
      <c r="D1" s="74"/>
      <c r="E1" s="74"/>
      <c r="F1" s="74"/>
      <c r="G1" s="74"/>
      <c r="H1" s="82"/>
      <c r="I1" s="82"/>
      <c r="J1" s="74"/>
      <c r="K1" s="319">
        <f>SUM(K3:K462)</f>
        <v>7404941.6107199993</v>
      </c>
      <c r="L1" s="456">
        <f>SUM(L3:L462)</f>
        <v>7398739.0250000004</v>
      </c>
      <c r="M1" s="135"/>
      <c r="N1" s="72"/>
    </row>
    <row r="2" spans="1:15" s="52" customFormat="1">
      <c r="A2" s="49" t="s">
        <v>203</v>
      </c>
      <c r="B2" s="49" t="s">
        <v>204</v>
      </c>
      <c r="C2" s="49" t="s">
        <v>205</v>
      </c>
      <c r="D2" s="491" t="s">
        <v>16</v>
      </c>
      <c r="E2" s="75" t="s">
        <v>17</v>
      </c>
      <c r="F2" s="75" t="s">
        <v>18</v>
      </c>
      <c r="G2" s="75" t="s">
        <v>206</v>
      </c>
      <c r="H2" s="184" t="s">
        <v>207</v>
      </c>
      <c r="I2" s="184"/>
      <c r="J2" s="185" t="s">
        <v>208</v>
      </c>
      <c r="K2" s="320" t="s">
        <v>209</v>
      </c>
      <c r="L2" s="457" t="s">
        <v>210</v>
      </c>
      <c r="M2" s="186" t="s">
        <v>211</v>
      </c>
    </row>
    <row r="3" spans="1:15">
      <c r="A3" s="54" t="str">
        <f>D3&amp;E3&amp;F3&amp;H3</f>
        <v/>
      </c>
      <c r="B3" t="s">
        <v>212</v>
      </c>
      <c r="C3" s="1">
        <v>45692</v>
      </c>
      <c r="D3" s="71"/>
      <c r="F3" s="143"/>
      <c r="H3" s="172"/>
      <c r="I3" s="172"/>
      <c r="J3" s="143" t="s">
        <v>213</v>
      </c>
      <c r="K3" s="321">
        <v>457840.83072000073</v>
      </c>
      <c r="L3" s="321"/>
      <c r="M3" s="163">
        <f>K3-L3</f>
        <v>457840.83072000073</v>
      </c>
    </row>
    <row r="4" spans="1:15">
      <c r="A4" s="54" t="str">
        <f>D4&amp;E4&amp;F4&amp;H4</f>
        <v/>
      </c>
      <c r="B4" t="s">
        <v>212</v>
      </c>
      <c r="C4" s="1">
        <v>45692</v>
      </c>
      <c r="D4" s="71"/>
      <c r="F4" s="70"/>
      <c r="I4" s="138"/>
      <c r="J4" t="s">
        <v>214</v>
      </c>
      <c r="K4" s="322">
        <f>393365.57-5135.64</f>
        <v>388229.93</v>
      </c>
      <c r="L4" s="180"/>
      <c r="M4" s="163">
        <f>M3+K4-L4</f>
        <v>846070.76072000072</v>
      </c>
      <c r="O4" s="5">
        <f>M4-K4</f>
        <v>457840.83072000073</v>
      </c>
    </row>
    <row r="5" spans="1:15">
      <c r="A5" s="54" t="str">
        <f>D5&amp;E5&amp;F5&amp;H5</f>
        <v/>
      </c>
      <c r="B5" t="s">
        <v>212</v>
      </c>
      <c r="C5" s="1">
        <v>45692</v>
      </c>
      <c r="D5" s="71"/>
      <c r="F5" s="70"/>
      <c r="I5" s="138"/>
      <c r="J5" s="71" t="s">
        <v>215</v>
      </c>
      <c r="K5" s="322">
        <v>25657.01</v>
      </c>
      <c r="L5" s="180"/>
      <c r="M5" s="163">
        <f>M4+K5-L5</f>
        <v>871727.77072000073</v>
      </c>
    </row>
    <row r="6" spans="1:15">
      <c r="A6" s="54" t="str">
        <f>D6&amp;E6&amp;F6</f>
        <v>FINANZASCOMISIONES BANCARIASTPV</v>
      </c>
      <c r="B6" t="s">
        <v>212</v>
      </c>
      <c r="C6" s="1">
        <v>45692</v>
      </c>
      <c r="D6" s="71" t="s">
        <v>23</v>
      </c>
      <c r="E6" s="178" t="s">
        <v>48</v>
      </c>
      <c r="F6" s="70" t="s">
        <v>50</v>
      </c>
      <c r="G6" s="71" t="s">
        <v>216</v>
      </c>
      <c r="I6" s="138"/>
      <c r="J6" s="71" t="s">
        <v>217</v>
      </c>
      <c r="K6" s="322"/>
      <c r="L6" s="323">
        <f>6485.15+9100.69+419.24+409.65+513.69</f>
        <v>16928.419999999998</v>
      </c>
      <c r="M6" s="163">
        <f>M5+K6-L6</f>
        <v>854799.35072000069</v>
      </c>
    </row>
    <row r="7" spans="1:15">
      <c r="A7" s="54" t="str">
        <f>D7&amp;E7&amp;F7</f>
        <v>FINANZASCOMISIONES BANCARIASMANEJO DE CUENTA</v>
      </c>
      <c r="B7" t="s">
        <v>212</v>
      </c>
      <c r="C7" s="1">
        <v>45692</v>
      </c>
      <c r="D7" s="71" t="s">
        <v>23</v>
      </c>
      <c r="E7" s="178" t="s">
        <v>48</v>
      </c>
      <c r="F7" s="70" t="s">
        <v>49</v>
      </c>
      <c r="G7" s="71" t="s">
        <v>216</v>
      </c>
      <c r="I7" s="138"/>
      <c r="J7" s="71" t="s">
        <v>218</v>
      </c>
      <c r="K7" s="322"/>
      <c r="L7" s="324">
        <f>1624+435+580+580+464+2.2+20.88</f>
        <v>3706.08</v>
      </c>
      <c r="M7" s="163">
        <f>M6+K7-L7</f>
        <v>851093.27072000073</v>
      </c>
    </row>
    <row r="8" spans="1:15">
      <c r="A8" s="54" t="str">
        <f t="shared" ref="A7:A70" si="0">D8&amp;E8&amp;F8</f>
        <v/>
      </c>
      <c r="B8" t="s">
        <v>212</v>
      </c>
      <c r="C8" s="1">
        <v>45692</v>
      </c>
      <c r="D8" s="71"/>
      <c r="F8" s="70"/>
      <c r="I8" s="138" t="s">
        <v>219</v>
      </c>
      <c r="J8" s="205" t="s">
        <v>220</v>
      </c>
      <c r="K8" s="206"/>
      <c r="L8" s="206">
        <v>500000</v>
      </c>
      <c r="M8" s="163">
        <f>M7+K8-L8</f>
        <v>351093.27072000073</v>
      </c>
    </row>
    <row r="9" spans="1:15">
      <c r="A9" s="54" t="str">
        <f t="shared" si="0"/>
        <v/>
      </c>
      <c r="B9" t="s">
        <v>212</v>
      </c>
      <c r="C9" s="1">
        <v>45692</v>
      </c>
      <c r="D9" s="71"/>
      <c r="F9" s="70"/>
      <c r="I9" s="207" t="s">
        <v>221</v>
      </c>
      <c r="J9" s="205" t="s">
        <v>222</v>
      </c>
      <c r="K9" s="206"/>
      <c r="L9" s="206">
        <v>250000</v>
      </c>
      <c r="M9" s="163">
        <f>M8+K9-L9</f>
        <v>101093.27072000073</v>
      </c>
    </row>
    <row r="10" spans="1:15">
      <c r="A10" s="54" t="str">
        <f>D10&amp;E10&amp;F10</f>
        <v>CAPFONDO Y REPOSICIONCAPRICHOS</v>
      </c>
      <c r="B10" t="s">
        <v>212</v>
      </c>
      <c r="C10" s="1">
        <v>45692</v>
      </c>
      <c r="D10" s="71" t="s">
        <v>31</v>
      </c>
      <c r="E10" s="71" t="s">
        <v>120</v>
      </c>
      <c r="F10" s="70" t="s">
        <v>33</v>
      </c>
      <c r="G10" s="71" t="s">
        <v>216</v>
      </c>
      <c r="I10" s="138"/>
      <c r="J10" s="71" t="s">
        <v>223</v>
      </c>
      <c r="K10" s="322"/>
      <c r="L10" s="323">
        <v>9000</v>
      </c>
      <c r="M10" s="163">
        <f>M9+K10-L10</f>
        <v>92093.270720000728</v>
      </c>
    </row>
    <row r="11" spans="1:15">
      <c r="A11" s="54" t="str">
        <f>D11&amp;E11&amp;F11</f>
        <v>HRENERGIA ELECTRICAA18</v>
      </c>
      <c r="B11" t="s">
        <v>212</v>
      </c>
      <c r="C11" s="1">
        <v>45692</v>
      </c>
      <c r="D11" s="71" t="s">
        <v>29</v>
      </c>
      <c r="E11" s="71" t="s">
        <v>87</v>
      </c>
      <c r="F11" s="70" t="s">
        <v>103</v>
      </c>
      <c r="G11" s="71" t="s">
        <v>216</v>
      </c>
      <c r="I11" s="138"/>
      <c r="J11" s="71" t="s">
        <v>224</v>
      </c>
      <c r="K11" s="322"/>
      <c r="L11" s="323">
        <v>5116</v>
      </c>
      <c r="M11" s="163">
        <f>M10+K11-L11</f>
        <v>86977.270720000728</v>
      </c>
    </row>
    <row r="12" spans="1:15">
      <c r="A12" s="54" t="str">
        <f>D12&amp;E12&amp;F12</f>
        <v>HRENERGIA ELECTRICAA23</v>
      </c>
      <c r="B12" t="s">
        <v>212</v>
      </c>
      <c r="C12" s="1">
        <v>45692</v>
      </c>
      <c r="D12" s="71" t="s">
        <v>29</v>
      </c>
      <c r="E12" s="71" t="s">
        <v>87</v>
      </c>
      <c r="F12" s="70" t="s">
        <v>105</v>
      </c>
      <c r="G12" s="71" t="s">
        <v>216</v>
      </c>
      <c r="I12" s="138"/>
      <c r="J12" s="71" t="s">
        <v>225</v>
      </c>
      <c r="K12" s="322"/>
      <c r="L12" s="323">
        <v>3626</v>
      </c>
      <c r="M12" s="163">
        <f>M11+K12-L12</f>
        <v>83351.270720000728</v>
      </c>
    </row>
    <row r="13" spans="1:15">
      <c r="A13" s="54" t="str">
        <f>D13&amp;E13&amp;F13</f>
        <v>CAPENERGIA ELECTRICAE8</v>
      </c>
      <c r="B13" t="s">
        <v>212</v>
      </c>
      <c r="C13" s="1">
        <v>45692</v>
      </c>
      <c r="D13" s="71" t="s">
        <v>31</v>
      </c>
      <c r="E13" s="71" t="s">
        <v>87</v>
      </c>
      <c r="F13" s="70" t="s">
        <v>114</v>
      </c>
      <c r="G13" s="71" t="s">
        <v>216</v>
      </c>
      <c r="I13" s="138"/>
      <c r="J13" s="71" t="s">
        <v>226</v>
      </c>
      <c r="K13" s="322"/>
      <c r="L13" s="323">
        <v>13878</v>
      </c>
      <c r="M13" s="163">
        <f>M12+K13-L13</f>
        <v>69473.270720000728</v>
      </c>
    </row>
    <row r="14" spans="1:15">
      <c r="A14" s="54" t="str">
        <f>D14&amp;E14&amp;F14</f>
        <v>SERVICIOSMTTO EQ DE TRANSPORTECEDIS</v>
      </c>
      <c r="B14" t="s">
        <v>212</v>
      </c>
      <c r="C14" s="1">
        <v>45692</v>
      </c>
      <c r="D14" s="71" t="s">
        <v>21</v>
      </c>
      <c r="E14" s="71" t="s">
        <v>144</v>
      </c>
      <c r="F14" s="70" t="s">
        <v>28</v>
      </c>
      <c r="G14" s="71" t="s">
        <v>216</v>
      </c>
      <c r="I14" s="138"/>
      <c r="J14" s="71" t="s">
        <v>227</v>
      </c>
      <c r="K14" s="322"/>
      <c r="L14" s="417">
        <v>10297.5</v>
      </c>
      <c r="M14" s="163">
        <f>M13+K14-L14</f>
        <v>59175.770720000728</v>
      </c>
    </row>
    <row r="15" spans="1:15">
      <c r="A15" s="54" t="str">
        <f t="shared" si="0"/>
        <v/>
      </c>
      <c r="B15" t="s">
        <v>212</v>
      </c>
      <c r="C15" s="1">
        <v>45692</v>
      </c>
      <c r="D15" s="71"/>
      <c r="F15" s="70"/>
      <c r="I15" s="138"/>
      <c r="J15" s="71" t="s">
        <v>228</v>
      </c>
      <c r="K15" s="322"/>
      <c r="L15" s="323">
        <v>61742</v>
      </c>
      <c r="M15" s="163">
        <f>M14+K15-L15</f>
        <v>-2566.229279999272</v>
      </c>
    </row>
    <row r="16" spans="1:15">
      <c r="A16" s="54" t="str">
        <f>D16&amp;E16&amp;F16</f>
        <v>SERVICIOSPAQUETERIACEDIS (E6)</v>
      </c>
      <c r="B16" t="s">
        <v>212</v>
      </c>
      <c r="C16" s="1">
        <v>45692</v>
      </c>
      <c r="D16" s="71" t="s">
        <v>21</v>
      </c>
      <c r="E16" s="71" t="s">
        <v>160</v>
      </c>
      <c r="F16" s="70" t="s">
        <v>161</v>
      </c>
      <c r="G16" s="71" t="s">
        <v>216</v>
      </c>
      <c r="I16" s="138"/>
      <c r="J16" s="71" t="s">
        <v>229</v>
      </c>
      <c r="K16" s="322"/>
      <c r="L16" s="323">
        <v>2149.3000000000002</v>
      </c>
      <c r="M16" s="163">
        <f>M15+K16-L16</f>
        <v>-4715.5292799992721</v>
      </c>
    </row>
    <row r="17" spans="1:13">
      <c r="A17" s="54" t="str">
        <f>D17&amp;E17&amp;F17</f>
        <v>SERVICIOSVIATICOSINVENTARIOS</v>
      </c>
      <c r="B17" t="s">
        <v>212</v>
      </c>
      <c r="C17" s="1">
        <v>45692</v>
      </c>
      <c r="D17" s="71" t="s">
        <v>21</v>
      </c>
      <c r="E17" s="71" t="s">
        <v>191</v>
      </c>
      <c r="F17" s="70" t="s">
        <v>34</v>
      </c>
      <c r="G17" s="71" t="s">
        <v>216</v>
      </c>
      <c r="I17" s="138"/>
      <c r="J17" s="71" t="s">
        <v>230</v>
      </c>
      <c r="K17" s="322"/>
      <c r="L17" s="323">
        <v>600</v>
      </c>
      <c r="M17" s="163">
        <f>M16+K17-L17</f>
        <v>-5315.5292799992721</v>
      </c>
    </row>
    <row r="18" spans="1:13">
      <c r="A18" s="54" t="str">
        <f>D18&amp;E18&amp;F18</f>
        <v>FINANZASFONDO Y REPOSICIONFINANZAS</v>
      </c>
      <c r="B18" t="s">
        <v>212</v>
      </c>
      <c r="C18" s="1">
        <v>45692</v>
      </c>
      <c r="D18" s="71" t="s">
        <v>23</v>
      </c>
      <c r="E18" s="71" t="s">
        <v>120</v>
      </c>
      <c r="F18" s="70" t="s">
        <v>23</v>
      </c>
      <c r="G18" s="71" t="s">
        <v>216</v>
      </c>
      <c r="I18" s="138"/>
      <c r="J18" s="71" t="s">
        <v>231</v>
      </c>
      <c r="K18" s="322"/>
      <c r="L18" s="323">
        <v>50</v>
      </c>
      <c r="M18" s="163">
        <f>M17+K18-L18</f>
        <v>-5365.5292799992721</v>
      </c>
    </row>
    <row r="19" spans="1:13">
      <c r="A19" s="54" t="str">
        <f>D19&amp;E19&amp;F19</f>
        <v>HRJMASA1</v>
      </c>
      <c r="B19" t="s">
        <v>212</v>
      </c>
      <c r="C19" s="1">
        <v>45692</v>
      </c>
      <c r="D19" s="71" t="s">
        <v>29</v>
      </c>
      <c r="E19" s="71" t="s">
        <v>137</v>
      </c>
      <c r="F19" s="70" t="s">
        <v>88</v>
      </c>
      <c r="G19" s="71" t="s">
        <v>216</v>
      </c>
      <c r="I19" s="138"/>
      <c r="J19" s="71" t="s">
        <v>232</v>
      </c>
      <c r="K19" s="322"/>
      <c r="L19" s="323">
        <f>375+556</f>
        <v>931</v>
      </c>
      <c r="M19" s="163">
        <f>M18+K19-L19</f>
        <v>-6296.5292799992721</v>
      </c>
    </row>
    <row r="20" spans="1:13">
      <c r="A20" s="54" t="str">
        <f>D20&amp;E20&amp;F20</f>
        <v>CAPJMASE1</v>
      </c>
      <c r="B20" t="s">
        <v>212</v>
      </c>
      <c r="C20" s="1">
        <v>45692</v>
      </c>
      <c r="D20" s="71" t="s">
        <v>31</v>
      </c>
      <c r="E20" s="71" t="s">
        <v>137</v>
      </c>
      <c r="F20" s="70" t="s">
        <v>107</v>
      </c>
      <c r="G20" s="71" t="s">
        <v>216</v>
      </c>
      <c r="I20" s="138"/>
      <c r="J20" s="71" t="s">
        <v>233</v>
      </c>
      <c r="K20" s="322"/>
      <c r="L20" s="323">
        <v>917</v>
      </c>
      <c r="M20" s="163">
        <f>M19+K20-L20</f>
        <v>-7213.5292799992721</v>
      </c>
    </row>
    <row r="21" spans="1:13">
      <c r="A21" s="54" t="str">
        <f>D21&amp;E21&amp;F21</f>
        <v>HRJMASA10</v>
      </c>
      <c r="B21" t="s">
        <v>212</v>
      </c>
      <c r="C21" s="1">
        <v>45692</v>
      </c>
      <c r="D21" s="71" t="s">
        <v>29</v>
      </c>
      <c r="E21" s="71" t="s">
        <v>137</v>
      </c>
      <c r="F21" s="70" t="s">
        <v>96</v>
      </c>
      <c r="G21" s="71" t="s">
        <v>216</v>
      </c>
      <c r="I21" s="138"/>
      <c r="J21" s="71" t="s">
        <v>234</v>
      </c>
      <c r="K21" s="322"/>
      <c r="L21" s="323">
        <v>4959</v>
      </c>
      <c r="M21" s="163">
        <f>M20+K21-L21</f>
        <v>-12172.529279999271</v>
      </c>
    </row>
    <row r="22" spans="1:13">
      <c r="A22" s="54" t="str">
        <f>D22&amp;E22&amp;F22</f>
        <v>HRJMASA9</v>
      </c>
      <c r="B22" t="s">
        <v>212</v>
      </c>
      <c r="C22" s="1">
        <v>45692</v>
      </c>
      <c r="D22" s="71" t="s">
        <v>29</v>
      </c>
      <c r="E22" s="71" t="s">
        <v>137</v>
      </c>
      <c r="F22" s="70" t="s">
        <v>95</v>
      </c>
      <c r="G22" s="71" t="s">
        <v>216</v>
      </c>
      <c r="I22" s="138"/>
      <c r="J22" s="71" t="s">
        <v>235</v>
      </c>
      <c r="K22" s="322"/>
      <c r="L22" s="323">
        <v>377</v>
      </c>
      <c r="M22" s="163">
        <f>M21+K22-L22</f>
        <v>-12549.529279999271</v>
      </c>
    </row>
    <row r="23" spans="1:13">
      <c r="A23" s="54" t="str">
        <f>D23&amp;E23&amp;F23</f>
        <v>HRJMASA2</v>
      </c>
      <c r="B23" t="s">
        <v>212</v>
      </c>
      <c r="C23" s="1">
        <v>45692</v>
      </c>
      <c r="D23" s="71" t="s">
        <v>29</v>
      </c>
      <c r="E23" s="71" t="s">
        <v>137</v>
      </c>
      <c r="F23" s="70" t="s">
        <v>89</v>
      </c>
      <c r="G23" s="71" t="s">
        <v>216</v>
      </c>
      <c r="I23" s="138"/>
      <c r="J23" s="71" t="s">
        <v>236</v>
      </c>
      <c r="K23" s="322"/>
      <c r="L23" s="323">
        <v>384</v>
      </c>
      <c r="M23" s="163">
        <f>M22+K23-L23</f>
        <v>-12933.529279999271</v>
      </c>
    </row>
    <row r="24" spans="1:13">
      <c r="A24" s="54" t="str">
        <f>D24&amp;E24&amp;F24</f>
        <v>SERVICIOSJMASCEDIS</v>
      </c>
      <c r="B24" t="s">
        <v>212</v>
      </c>
      <c r="C24" s="1">
        <v>45692</v>
      </c>
      <c r="D24" s="71" t="s">
        <v>21</v>
      </c>
      <c r="E24" s="71" t="s">
        <v>137</v>
      </c>
      <c r="F24" s="70" t="s">
        <v>28</v>
      </c>
      <c r="G24" s="71" t="s">
        <v>216</v>
      </c>
      <c r="I24" s="138"/>
      <c r="J24" s="71" t="s">
        <v>237</v>
      </c>
      <c r="K24" s="322"/>
      <c r="L24" s="323">
        <f>4257+1695</f>
        <v>5952</v>
      </c>
      <c r="M24" s="163">
        <f>M23+K24-L24</f>
        <v>-18885.529279999271</v>
      </c>
    </row>
    <row r="25" spans="1:13">
      <c r="A25" s="54" t="str">
        <f>D25&amp;E25&amp;F25</f>
        <v>SERVICIOSTELEPEAJECEDIS</v>
      </c>
      <c r="B25" t="s">
        <v>212</v>
      </c>
      <c r="C25" s="1">
        <v>45692</v>
      </c>
      <c r="D25" s="71" t="s">
        <v>21</v>
      </c>
      <c r="E25" s="71" t="s">
        <v>186</v>
      </c>
      <c r="F25" s="70" t="s">
        <v>28</v>
      </c>
      <c r="G25" s="71" t="s">
        <v>216</v>
      </c>
      <c r="I25" s="138"/>
      <c r="J25" s="71" t="s">
        <v>238</v>
      </c>
      <c r="L25" s="326">
        <v>6878</v>
      </c>
      <c r="M25" s="163">
        <f>M24+K25-L25</f>
        <v>-25763.529279999271</v>
      </c>
    </row>
    <row r="26" spans="1:13">
      <c r="A26" s="54" t="str">
        <f>D26&amp;E26&amp;F26</f>
        <v>HRTELEPEAJEOP HR</v>
      </c>
      <c r="B26" t="s">
        <v>212</v>
      </c>
      <c r="C26" s="1">
        <v>45692</v>
      </c>
      <c r="D26" s="71" t="s">
        <v>29</v>
      </c>
      <c r="E26" s="71" t="s">
        <v>186</v>
      </c>
      <c r="F26" s="70" t="s">
        <v>187</v>
      </c>
      <c r="G26" s="71" t="s">
        <v>216</v>
      </c>
      <c r="I26" s="138"/>
      <c r="J26" s="71" t="s">
        <v>239</v>
      </c>
      <c r="K26" s="322"/>
      <c r="L26" s="323">
        <v>740</v>
      </c>
      <c r="M26" s="163">
        <f>M25+K26-L26</f>
        <v>-26503.529279999271</v>
      </c>
    </row>
    <row r="27" spans="1:13">
      <c r="A27" s="54" t="str">
        <f>D27&amp;E27&amp;F27</f>
        <v>HRTELEPEAJEOP HR</v>
      </c>
      <c r="B27" t="s">
        <v>212</v>
      </c>
      <c r="C27" s="1">
        <v>45692</v>
      </c>
      <c r="D27" s="71" t="s">
        <v>29</v>
      </c>
      <c r="E27" s="71" t="s">
        <v>186</v>
      </c>
      <c r="F27" s="70" t="s">
        <v>187</v>
      </c>
      <c r="G27" s="71" t="s">
        <v>216</v>
      </c>
      <c r="I27" s="138"/>
      <c r="J27" s="71" t="s">
        <v>240</v>
      </c>
      <c r="K27" s="322"/>
      <c r="L27" s="323">
        <v>294</v>
      </c>
      <c r="M27" s="163">
        <f>M26+K27-L27</f>
        <v>-26797.529279999271</v>
      </c>
    </row>
    <row r="28" spans="1:13">
      <c r="A28" s="54" t="str">
        <f>D28&amp;E28&amp;F28</f>
        <v>ELITELEPEAJEL1</v>
      </c>
      <c r="B28" t="s">
        <v>212</v>
      </c>
      <c r="C28" s="1">
        <v>45692</v>
      </c>
      <c r="D28" s="71" t="s">
        <v>130</v>
      </c>
      <c r="E28" s="71" t="s">
        <v>186</v>
      </c>
      <c r="F28" s="70" t="s">
        <v>136</v>
      </c>
      <c r="G28" s="71" t="s">
        <v>216</v>
      </c>
      <c r="I28" s="138"/>
      <c r="J28" s="71" t="s">
        <v>241</v>
      </c>
      <c r="K28" s="322"/>
      <c r="L28" s="323">
        <v>596</v>
      </c>
      <c r="M28" s="163">
        <f>M27+K28-L28</f>
        <v>-27393.529279999271</v>
      </c>
    </row>
    <row r="29" spans="1:13">
      <c r="A29" s="54" t="str">
        <f>D29&amp;E29&amp;F29</f>
        <v>CAPTELEPEAJEOP CAPRICHOS</v>
      </c>
      <c r="B29" t="s">
        <v>212</v>
      </c>
      <c r="C29" s="1">
        <v>45692</v>
      </c>
      <c r="D29" s="71" t="s">
        <v>31</v>
      </c>
      <c r="E29" s="71" t="s">
        <v>186</v>
      </c>
      <c r="F29" s="70" t="s">
        <v>188</v>
      </c>
      <c r="G29" s="71" t="s">
        <v>216</v>
      </c>
      <c r="I29" s="138"/>
      <c r="J29" s="71" t="s">
        <v>242</v>
      </c>
      <c r="K29" s="322"/>
      <c r="L29" s="323">
        <v>722</v>
      </c>
      <c r="M29" s="163">
        <f>M28+K29-L29</f>
        <v>-28115.529279999271</v>
      </c>
    </row>
    <row r="30" spans="1:13">
      <c r="A30" s="54" t="str">
        <f>D30&amp;E30&amp;F30</f>
        <v>SERVICIOSTELEPEAJESERVICIOS</v>
      </c>
      <c r="B30" t="s">
        <v>212</v>
      </c>
      <c r="C30" s="1">
        <v>45692</v>
      </c>
      <c r="D30" s="71" t="s">
        <v>21</v>
      </c>
      <c r="E30" s="71" t="s">
        <v>186</v>
      </c>
      <c r="F30" s="70" t="s">
        <v>21</v>
      </c>
      <c r="G30" s="71" t="s">
        <v>216</v>
      </c>
      <c r="I30" s="138"/>
      <c r="J30" s="71" t="s">
        <v>243</v>
      </c>
      <c r="K30" s="322"/>
      <c r="L30" s="323">
        <v>329</v>
      </c>
      <c r="M30" s="163">
        <f>M29+K30-L30</f>
        <v>-28444.529279999271</v>
      </c>
    </row>
    <row r="31" spans="1:13">
      <c r="A31" s="54" t="str">
        <f>D31&amp;E31&amp;F31</f>
        <v>SERVICIOSTELEPEAJECEDIS</v>
      </c>
      <c r="B31" t="s">
        <v>212</v>
      </c>
      <c r="C31" s="1">
        <v>45692</v>
      </c>
      <c r="D31" s="71" t="s">
        <v>21</v>
      </c>
      <c r="E31" s="71" t="s">
        <v>186</v>
      </c>
      <c r="F31" s="70" t="s">
        <v>28</v>
      </c>
      <c r="G31" s="71" t="s">
        <v>216</v>
      </c>
      <c r="I31" s="138"/>
      <c r="J31" s="71" t="s">
        <v>238</v>
      </c>
      <c r="K31" s="322"/>
      <c r="L31" s="323">
        <v>658</v>
      </c>
      <c r="M31" s="163">
        <f>M30+K31-L31</f>
        <v>-29102.529279999271</v>
      </c>
    </row>
    <row r="32" spans="1:13">
      <c r="A32" s="54" t="str">
        <f>D32&amp;E32&amp;F32</f>
        <v>FINANZASCUOTAS Y SUSCRIPCIONESREVALIDACION</v>
      </c>
      <c r="B32" t="s">
        <v>212</v>
      </c>
      <c r="C32" s="1">
        <v>45692</v>
      </c>
      <c r="D32" s="71" t="s">
        <v>23</v>
      </c>
      <c r="E32" s="71" t="s">
        <v>51</v>
      </c>
      <c r="F32" s="70" t="s">
        <v>64</v>
      </c>
      <c r="G32" s="71" t="s">
        <v>216</v>
      </c>
      <c r="I32" s="138"/>
      <c r="J32" s="71" t="s">
        <v>244</v>
      </c>
      <c r="K32" s="322"/>
      <c r="L32" s="323">
        <v>4996</v>
      </c>
      <c r="M32" s="163">
        <f>M31+K32-L32</f>
        <v>-34098.529279999275</v>
      </c>
    </row>
    <row r="33" spans="1:13">
      <c r="A33" s="54" t="str">
        <f>D33&amp;E33&amp;F33</f>
        <v>HRGASHR</v>
      </c>
      <c r="B33" t="s">
        <v>212</v>
      </c>
      <c r="C33" s="1">
        <v>45692</v>
      </c>
      <c r="D33" s="71" t="s">
        <v>29</v>
      </c>
      <c r="E33" s="71" t="s">
        <v>122</v>
      </c>
      <c r="F33" s="70" t="s">
        <v>29</v>
      </c>
      <c r="G33" s="71" t="s">
        <v>216</v>
      </c>
      <c r="I33" s="138"/>
      <c r="J33" s="76" t="s">
        <v>245</v>
      </c>
      <c r="K33" s="322"/>
      <c r="L33" s="327">
        <v>2000</v>
      </c>
      <c r="M33" s="163">
        <f>M32+K33-L33</f>
        <v>-36098.529279999275</v>
      </c>
    </row>
    <row r="34" spans="1:13">
      <c r="A34" s="54" t="str">
        <f>D34&amp;E34&amp;F34</f>
        <v>HRMKTMKT HR</v>
      </c>
      <c r="B34" t="s">
        <v>212</v>
      </c>
      <c r="C34" s="1">
        <v>45692</v>
      </c>
      <c r="D34" s="71" t="s">
        <v>29</v>
      </c>
      <c r="E34" s="71" t="s">
        <v>19</v>
      </c>
      <c r="F34" s="70" t="s">
        <v>138</v>
      </c>
      <c r="G34" s="71" t="s">
        <v>216</v>
      </c>
      <c r="I34" s="138"/>
      <c r="J34" s="76" t="s">
        <v>246</v>
      </c>
      <c r="K34" s="322"/>
      <c r="L34" s="327">
        <v>100</v>
      </c>
      <c r="M34" s="163">
        <f>M33+K34-L34</f>
        <v>-36198.529279999275</v>
      </c>
    </row>
    <row r="35" spans="1:13">
      <c r="A35" s="54" t="str">
        <f>D35&amp;E35&amp;F35</f>
        <v>HRINSUMOSHR</v>
      </c>
      <c r="B35" t="s">
        <v>212</v>
      </c>
      <c r="C35" s="1">
        <v>45692</v>
      </c>
      <c r="D35" s="71" t="s">
        <v>29</v>
      </c>
      <c r="E35" s="71" t="s">
        <v>133</v>
      </c>
      <c r="F35" s="70" t="s">
        <v>29</v>
      </c>
      <c r="G35" s="71" t="s">
        <v>216</v>
      </c>
      <c r="I35" s="138"/>
      <c r="J35" s="76" t="s">
        <v>247</v>
      </c>
      <c r="K35" s="322"/>
      <c r="L35" s="327">
        <v>140</v>
      </c>
      <c r="M35" s="163">
        <f>M34+K35-L35</f>
        <v>-36338.529279999275</v>
      </c>
    </row>
    <row r="36" spans="1:13">
      <c r="A36" s="54" t="str">
        <f>D36&amp;E36&amp;F36</f>
        <v>HRNOMINA SUCURSALA10</v>
      </c>
      <c r="B36" t="s">
        <v>212</v>
      </c>
      <c r="C36" s="1">
        <v>45692</v>
      </c>
      <c r="D36" s="71" t="s">
        <v>29</v>
      </c>
      <c r="E36" s="71" t="s">
        <v>154</v>
      </c>
      <c r="F36" s="70" t="s">
        <v>96</v>
      </c>
      <c r="G36" s="71" t="s">
        <v>216</v>
      </c>
      <c r="I36" s="138"/>
      <c r="J36" s="76" t="s">
        <v>248</v>
      </c>
      <c r="K36" s="322"/>
      <c r="L36" s="327">
        <v>845</v>
      </c>
      <c r="M36" s="163">
        <f>M35+K36-L36</f>
        <v>-37183.529279999275</v>
      </c>
    </row>
    <row r="37" spans="1:13">
      <c r="A37" s="54" t="str">
        <f>D37&amp;E37&amp;F37</f>
        <v>HRUBERHR</v>
      </c>
      <c r="B37" t="s">
        <v>212</v>
      </c>
      <c r="C37" s="1">
        <v>45692</v>
      </c>
      <c r="D37" s="71" t="s">
        <v>29</v>
      </c>
      <c r="E37" s="71" t="s">
        <v>189</v>
      </c>
      <c r="F37" s="70" t="s">
        <v>29</v>
      </c>
      <c r="G37" s="71" t="s">
        <v>216</v>
      </c>
      <c r="I37" s="138"/>
      <c r="J37" s="76" t="s">
        <v>249</v>
      </c>
      <c r="K37" s="322"/>
      <c r="L37" s="525">
        <v>108</v>
      </c>
      <c r="M37" s="163">
        <f>M36+K37-L37</f>
        <v>-37291.529279999275</v>
      </c>
    </row>
    <row r="38" spans="1:13">
      <c r="A38" s="54" t="str">
        <f>D38&amp;E38&amp;F38</f>
        <v>HRUBERHR</v>
      </c>
      <c r="B38" t="s">
        <v>212</v>
      </c>
      <c r="C38" s="1">
        <v>45692</v>
      </c>
      <c r="D38" s="71" t="s">
        <v>29</v>
      </c>
      <c r="E38" s="71" t="s">
        <v>189</v>
      </c>
      <c r="F38" s="70" t="s">
        <v>29</v>
      </c>
      <c r="G38" s="71" t="s">
        <v>216</v>
      </c>
      <c r="I38" s="138"/>
      <c r="J38" s="76" t="s">
        <v>250</v>
      </c>
      <c r="K38" s="322"/>
      <c r="L38" s="525">
        <v>380</v>
      </c>
      <c r="M38" s="163">
        <f>M37+K38-L38</f>
        <v>-37671.529279999275</v>
      </c>
    </row>
    <row r="39" spans="1:13">
      <c r="A39" s="54" t="str">
        <f>D39&amp;E39&amp;F39</f>
        <v>SERVICIOSMTTO DE EDIFICIOMANTENIMIENTO</v>
      </c>
      <c r="B39" t="s">
        <v>212</v>
      </c>
      <c r="C39" s="1">
        <v>45692</v>
      </c>
      <c r="D39" s="71" t="s">
        <v>21</v>
      </c>
      <c r="E39" s="71" t="s">
        <v>142</v>
      </c>
      <c r="F39" s="70" t="s">
        <v>35</v>
      </c>
      <c r="G39" s="71" t="s">
        <v>216</v>
      </c>
      <c r="I39" s="138"/>
      <c r="J39" s="76" t="s">
        <v>251</v>
      </c>
      <c r="K39" s="322"/>
      <c r="L39" s="327">
        <v>180</v>
      </c>
      <c r="M39" s="163">
        <f>M38+K39-L39</f>
        <v>-37851.529279999275</v>
      </c>
    </row>
    <row r="40" spans="1:13">
      <c r="A40" s="54" t="str">
        <f>D40&amp;E40&amp;F40</f>
        <v>HRNOMINA SUCURSALA23</v>
      </c>
      <c r="B40" t="s">
        <v>212</v>
      </c>
      <c r="C40" s="1">
        <v>45692</v>
      </c>
      <c r="D40" s="71" t="s">
        <v>29</v>
      </c>
      <c r="E40" s="71" t="s">
        <v>154</v>
      </c>
      <c r="F40" s="70" t="s">
        <v>105</v>
      </c>
      <c r="G40" s="71" t="s">
        <v>216</v>
      </c>
      <c r="I40" s="138"/>
      <c r="J40" s="76" t="s">
        <v>252</v>
      </c>
      <c r="K40" s="322"/>
      <c r="L40" s="327">
        <v>1086</v>
      </c>
      <c r="M40" s="163">
        <f>M39+K40-L40</f>
        <v>-38937.529279999275</v>
      </c>
    </row>
    <row r="41" spans="1:13">
      <c r="A41" s="54" t="str">
        <f>D41&amp;E41&amp;F41</f>
        <v>CAPUBERCAP</v>
      </c>
      <c r="B41" t="s">
        <v>212</v>
      </c>
      <c r="C41" s="1">
        <v>45692</v>
      </c>
      <c r="D41" s="71" t="s">
        <v>31</v>
      </c>
      <c r="E41" s="71" t="s">
        <v>189</v>
      </c>
      <c r="F41" s="70" t="s">
        <v>31</v>
      </c>
      <c r="G41" s="71" t="s">
        <v>216</v>
      </c>
      <c r="I41" s="138"/>
      <c r="J41" s="76" t="s">
        <v>253</v>
      </c>
      <c r="K41" s="322"/>
      <c r="L41" s="525">
        <v>1370</v>
      </c>
      <c r="M41" s="163">
        <f>M40+K41-L41</f>
        <v>-40307.529279999275</v>
      </c>
    </row>
    <row r="42" spans="1:13">
      <c r="A42" s="54" t="str">
        <f>D42&amp;E42&amp;F42</f>
        <v>CAPNOMINA SUCURSALE4</v>
      </c>
      <c r="B42" t="s">
        <v>212</v>
      </c>
      <c r="C42" s="1">
        <v>45692</v>
      </c>
      <c r="D42" s="71" t="s">
        <v>31</v>
      </c>
      <c r="E42" s="71" t="s">
        <v>154</v>
      </c>
      <c r="F42" s="70" t="s">
        <v>110</v>
      </c>
      <c r="G42" s="71" t="s">
        <v>216</v>
      </c>
      <c r="I42" s="138"/>
      <c r="J42" s="76" t="s">
        <v>254</v>
      </c>
      <c r="K42" s="322"/>
      <c r="L42" s="327">
        <v>152</v>
      </c>
      <c r="M42" s="163">
        <f>M41+K42-L42</f>
        <v>-40459.529279999275</v>
      </c>
    </row>
    <row r="43" spans="1:13">
      <c r="A43" s="54" t="str">
        <f>D43&amp;E43&amp;F43</f>
        <v>CAPUBERCAP</v>
      </c>
      <c r="B43" t="s">
        <v>212</v>
      </c>
      <c r="C43" s="1">
        <v>45692</v>
      </c>
      <c r="D43" s="71" t="s">
        <v>31</v>
      </c>
      <c r="E43" s="71" t="s">
        <v>189</v>
      </c>
      <c r="F43" s="70" t="s">
        <v>31</v>
      </c>
      <c r="G43" s="71" t="s">
        <v>216</v>
      </c>
      <c r="I43" s="138"/>
      <c r="J43" s="76" t="s">
        <v>255</v>
      </c>
      <c r="K43" s="322"/>
      <c r="L43" s="525">
        <v>471</v>
      </c>
      <c r="M43" s="163">
        <f>M42+K43-L43</f>
        <v>-40930.529279999275</v>
      </c>
    </row>
    <row r="44" spans="1:13">
      <c r="A44" s="54" t="str">
        <f>D44&amp;E44&amp;F44</f>
        <v>CAPUBERCAP</v>
      </c>
      <c r="B44" t="s">
        <v>212</v>
      </c>
      <c r="C44" s="1">
        <v>45692</v>
      </c>
      <c r="D44" s="71" t="s">
        <v>31</v>
      </c>
      <c r="E44" s="71" t="s">
        <v>189</v>
      </c>
      <c r="F44" s="70" t="s">
        <v>31</v>
      </c>
      <c r="G44" s="71" t="s">
        <v>216</v>
      </c>
      <c r="I44" s="138"/>
      <c r="J44" s="76" t="s">
        <v>255</v>
      </c>
      <c r="K44" s="322"/>
      <c r="L44" s="525">
        <v>92</v>
      </c>
      <c r="M44" s="163">
        <f>M43+K44-L44</f>
        <v>-41022.529279999275</v>
      </c>
    </row>
    <row r="45" spans="1:13">
      <c r="A45" s="54" t="str">
        <f>D45&amp;E45&amp;F45</f>
        <v>HRUBERHR</v>
      </c>
      <c r="B45" t="s">
        <v>212</v>
      </c>
      <c r="C45" s="1">
        <v>45692</v>
      </c>
      <c r="D45" s="71" t="s">
        <v>29</v>
      </c>
      <c r="E45" s="71" t="s">
        <v>189</v>
      </c>
      <c r="F45" s="70" t="s">
        <v>29</v>
      </c>
      <c r="G45" s="71" t="s">
        <v>216</v>
      </c>
      <c r="I45" s="138"/>
      <c r="J45" s="76" t="s">
        <v>256</v>
      </c>
      <c r="K45" s="322"/>
      <c r="L45" s="525">
        <v>50</v>
      </c>
      <c r="M45" s="163">
        <f>M44+K45-L45</f>
        <v>-41072.529279999275</v>
      </c>
    </row>
    <row r="46" spans="1:13">
      <c r="A46" s="54" t="str">
        <f>D46&amp;E46&amp;F46</f>
        <v>HRUBERHR</v>
      </c>
      <c r="B46" t="s">
        <v>212</v>
      </c>
      <c r="C46" s="1">
        <v>45692</v>
      </c>
      <c r="D46" s="71" t="s">
        <v>29</v>
      </c>
      <c r="E46" s="71" t="s">
        <v>189</v>
      </c>
      <c r="F46" s="70" t="s">
        <v>29</v>
      </c>
      <c r="G46" s="71" t="s">
        <v>216</v>
      </c>
      <c r="I46" s="138"/>
      <c r="J46" s="76" t="s">
        <v>250</v>
      </c>
      <c r="K46" s="322"/>
      <c r="L46" s="525">
        <v>120</v>
      </c>
      <c r="M46" s="163">
        <f>M45+K46-L46</f>
        <v>-41192.529279999275</v>
      </c>
    </row>
    <row r="47" spans="1:13">
      <c r="A47" s="54" t="str">
        <f>D47&amp;E47&amp;F47</f>
        <v>CAPUBERCAP</v>
      </c>
      <c r="B47" t="s">
        <v>212</v>
      </c>
      <c r="C47" s="1">
        <v>45692</v>
      </c>
      <c r="D47" s="71" t="s">
        <v>31</v>
      </c>
      <c r="E47" s="71" t="s">
        <v>189</v>
      </c>
      <c r="F47" s="70" t="s">
        <v>31</v>
      </c>
      <c r="G47" s="71" t="s">
        <v>216</v>
      </c>
      <c r="I47" s="138"/>
      <c r="J47" s="76" t="s">
        <v>253</v>
      </c>
      <c r="K47" s="322"/>
      <c r="L47" s="525">
        <v>560</v>
      </c>
      <c r="M47" s="163">
        <f>M46+K47-L47</f>
        <v>-41752.529279999275</v>
      </c>
    </row>
    <row r="48" spans="1:13">
      <c r="A48" s="54" t="str">
        <f>D48&amp;E48&amp;F48</f>
        <v>CAPUBERCAP</v>
      </c>
      <c r="B48" t="s">
        <v>212</v>
      </c>
      <c r="C48" s="1">
        <v>45692</v>
      </c>
      <c r="D48" s="71" t="s">
        <v>31</v>
      </c>
      <c r="E48" s="71" t="s">
        <v>189</v>
      </c>
      <c r="F48" s="70" t="s">
        <v>31</v>
      </c>
      <c r="G48" s="71" t="s">
        <v>216</v>
      </c>
      <c r="I48" s="138"/>
      <c r="J48" s="76" t="s">
        <v>257</v>
      </c>
      <c r="K48" s="322"/>
      <c r="L48" s="525">
        <v>70</v>
      </c>
      <c r="M48" s="163">
        <f>M47+K48-L48</f>
        <v>-41822.529279999275</v>
      </c>
    </row>
    <row r="49" spans="1:13">
      <c r="A49" s="54" t="str">
        <f>D49&amp;E49&amp;F49</f>
        <v>FINANZASFALTANTESFALTANTES</v>
      </c>
      <c r="B49" t="s">
        <v>212</v>
      </c>
      <c r="C49" s="1">
        <v>45692</v>
      </c>
      <c r="D49" s="71" t="s">
        <v>23</v>
      </c>
      <c r="E49" s="71" t="s">
        <v>119</v>
      </c>
      <c r="F49" s="70" t="s">
        <v>119</v>
      </c>
      <c r="G49" s="71" t="s">
        <v>258</v>
      </c>
      <c r="I49" s="138"/>
      <c r="J49" s="76" t="s">
        <v>259</v>
      </c>
      <c r="K49" s="322"/>
      <c r="L49" s="327">
        <v>3988.31</v>
      </c>
      <c r="M49" s="163">
        <f>M48+K49-L49</f>
        <v>-45810.839279999273</v>
      </c>
    </row>
    <row r="50" spans="1:13">
      <c r="A50" s="54" t="str">
        <f t="shared" si="0"/>
        <v/>
      </c>
      <c r="B50" t="s">
        <v>212</v>
      </c>
      <c r="C50" s="1">
        <v>45693</v>
      </c>
      <c r="D50" s="71"/>
      <c r="F50" s="70"/>
      <c r="I50" s="138"/>
      <c r="J50" t="s">
        <v>260</v>
      </c>
      <c r="K50" s="322">
        <v>136368.93</v>
      </c>
      <c r="L50" s="180"/>
      <c r="M50" s="163">
        <f>M49+K50-L50</f>
        <v>90558.09072000072</v>
      </c>
    </row>
    <row r="51" spans="1:13">
      <c r="A51" s="54" t="str">
        <f t="shared" si="0"/>
        <v/>
      </c>
      <c r="B51" t="s">
        <v>212</v>
      </c>
      <c r="C51" s="1">
        <v>45693</v>
      </c>
      <c r="D51" s="71"/>
      <c r="F51" s="70"/>
      <c r="I51" s="138"/>
      <c r="J51" t="s">
        <v>261</v>
      </c>
      <c r="K51" s="322">
        <v>1100</v>
      </c>
      <c r="L51" s="180"/>
      <c r="M51" s="163">
        <f>M50+K51-L51</f>
        <v>91658.09072000072</v>
      </c>
    </row>
    <row r="52" spans="1:13">
      <c r="A52" s="54" t="str">
        <f t="shared" si="0"/>
        <v/>
      </c>
      <c r="B52" t="s">
        <v>212</v>
      </c>
      <c r="C52" s="1">
        <v>45693</v>
      </c>
      <c r="D52" s="71"/>
      <c r="F52" s="70"/>
      <c r="I52" s="138"/>
      <c r="J52" t="s">
        <v>262</v>
      </c>
      <c r="K52" s="322">
        <v>5135.6400000000003</v>
      </c>
      <c r="L52" s="180"/>
      <c r="M52" s="163">
        <f>M51+K52-L52</f>
        <v>96793.73072000072</v>
      </c>
    </row>
    <row r="53" spans="1:13">
      <c r="A53" s="54" t="str">
        <f t="shared" si="0"/>
        <v/>
      </c>
      <c r="B53" t="s">
        <v>212</v>
      </c>
      <c r="C53" s="1">
        <v>45693</v>
      </c>
      <c r="D53" s="71"/>
      <c r="F53" s="70"/>
      <c r="I53" s="138"/>
      <c r="J53" t="s">
        <v>263</v>
      </c>
      <c r="K53" s="322">
        <v>1020</v>
      </c>
      <c r="L53" s="180"/>
      <c r="M53" s="163">
        <f>M52+K53-L53</f>
        <v>97813.73072000072</v>
      </c>
    </row>
    <row r="54" spans="1:13">
      <c r="A54" s="54" t="str">
        <f>D54&amp;E54&amp;F54</f>
        <v>FINANZASCOMISIONES BANCARIASMANEJO DE CUENTA</v>
      </c>
      <c r="B54" t="s">
        <v>212</v>
      </c>
      <c r="C54" s="1">
        <v>45693</v>
      </c>
      <c r="D54" s="71" t="s">
        <v>23</v>
      </c>
      <c r="E54" s="71" t="s">
        <v>48</v>
      </c>
      <c r="F54" s="70" t="s">
        <v>49</v>
      </c>
      <c r="G54" s="71" t="s">
        <v>216</v>
      </c>
      <c r="I54" s="138"/>
      <c r="J54" s="71" t="s">
        <v>218</v>
      </c>
      <c r="K54" s="322"/>
      <c r="L54" s="323">
        <f>1030.04+1128.61+54.46+39.83</f>
        <v>2252.9399999999996</v>
      </c>
      <c r="M54" s="163">
        <f>M53+K54-L54</f>
        <v>95560.790720000718</v>
      </c>
    </row>
    <row r="55" spans="1:13">
      <c r="A55" s="54" t="str">
        <f>D55&amp;E55&amp;F55</f>
        <v>CAPMKTMKT CAP</v>
      </c>
      <c r="B55" t="s">
        <v>212</v>
      </c>
      <c r="C55" s="1">
        <v>45693</v>
      </c>
      <c r="D55" s="71" t="s">
        <v>31</v>
      </c>
      <c r="E55" s="71" t="s">
        <v>19</v>
      </c>
      <c r="F55" s="70" t="s">
        <v>139</v>
      </c>
      <c r="G55" s="71" t="s">
        <v>216</v>
      </c>
      <c r="I55" s="138"/>
      <c r="J55" s="71" t="s">
        <v>264</v>
      </c>
      <c r="K55" s="322"/>
      <c r="L55" s="323">
        <v>7609</v>
      </c>
      <c r="M55" s="163">
        <f>M54+K55-L55</f>
        <v>87951.790720000718</v>
      </c>
    </row>
    <row r="56" spans="1:13">
      <c r="A56" s="54" t="str">
        <f>D56&amp;E56&amp;F56</f>
        <v>HRFONDO Y REPOSICIONHR</v>
      </c>
      <c r="B56" t="s">
        <v>212</v>
      </c>
      <c r="C56" s="1">
        <v>45693</v>
      </c>
      <c r="D56" s="71" t="s">
        <v>29</v>
      </c>
      <c r="E56" s="71" t="s">
        <v>120</v>
      </c>
      <c r="F56" s="70" t="s">
        <v>29</v>
      </c>
      <c r="G56" s="71" t="s">
        <v>216</v>
      </c>
      <c r="I56" s="138"/>
      <c r="J56" s="71" t="s">
        <v>265</v>
      </c>
      <c r="K56" s="322"/>
      <c r="L56" s="323">
        <v>2000</v>
      </c>
      <c r="M56" s="163">
        <f>M55+K56-L56</f>
        <v>85951.790720000718</v>
      </c>
    </row>
    <row r="57" spans="1:13">
      <c r="A57" s="54" t="str">
        <f>D57&amp;E57&amp;F57</f>
        <v>HRFONDO Y REPOSICIONHR</v>
      </c>
      <c r="B57" t="s">
        <v>212</v>
      </c>
      <c r="C57" s="1">
        <v>45693</v>
      </c>
      <c r="D57" s="71" t="s">
        <v>29</v>
      </c>
      <c r="E57" s="71" t="s">
        <v>120</v>
      </c>
      <c r="F57" s="70" t="s">
        <v>29</v>
      </c>
      <c r="G57" s="71" t="s">
        <v>216</v>
      </c>
      <c r="I57" s="138"/>
      <c r="J57" s="71" t="s">
        <v>266</v>
      </c>
      <c r="K57" s="322"/>
      <c r="L57" s="323">
        <v>3000</v>
      </c>
      <c r="M57" s="163">
        <f>M56+K57-L57</f>
        <v>82951.790720000718</v>
      </c>
    </row>
    <row r="58" spans="1:13">
      <c r="A58" s="54" t="str">
        <f>D58&amp;E58&amp;F58</f>
        <v>HRFONDO Y REPOSICIONHR</v>
      </c>
      <c r="B58" t="s">
        <v>212</v>
      </c>
      <c r="C58" s="1">
        <v>45693</v>
      </c>
      <c r="D58" s="71" t="s">
        <v>29</v>
      </c>
      <c r="E58" s="71" t="s">
        <v>120</v>
      </c>
      <c r="F58" s="70" t="s">
        <v>29</v>
      </c>
      <c r="G58" s="71" t="s">
        <v>216</v>
      </c>
      <c r="I58" s="138"/>
      <c r="J58" s="71" t="s">
        <v>267</v>
      </c>
      <c r="K58" s="322"/>
      <c r="L58" s="323">
        <v>1500</v>
      </c>
      <c r="M58" s="163">
        <f>M57+K58-L58</f>
        <v>81451.790720000718</v>
      </c>
    </row>
    <row r="59" spans="1:13">
      <c r="A59" s="54" t="str">
        <f>D59&amp;E59&amp;F59</f>
        <v>HRFONDO Y REPOSICIONHR</v>
      </c>
      <c r="B59" t="s">
        <v>212</v>
      </c>
      <c r="C59" s="1">
        <v>45693</v>
      </c>
      <c r="D59" s="71" t="s">
        <v>29</v>
      </c>
      <c r="E59" s="71" t="s">
        <v>120</v>
      </c>
      <c r="F59" s="70" t="s">
        <v>29</v>
      </c>
      <c r="G59" s="71" t="s">
        <v>216</v>
      </c>
      <c r="I59" s="138"/>
      <c r="J59" s="71" t="s">
        <v>268</v>
      </c>
      <c r="K59" s="322"/>
      <c r="L59" s="323">
        <v>1500</v>
      </c>
      <c r="M59" s="163">
        <f>M58+K59-L59</f>
        <v>79951.790720000718</v>
      </c>
    </row>
    <row r="60" spans="1:13">
      <c r="A60" s="54" t="str">
        <f>D60&amp;E60&amp;F60</f>
        <v>SERVICIOSMTTO EQ DE TRANSPORTESERVICIOS</v>
      </c>
      <c r="B60" t="s">
        <v>212</v>
      </c>
      <c r="C60" s="1">
        <v>45693</v>
      </c>
      <c r="D60" s="71" t="s">
        <v>21</v>
      </c>
      <c r="E60" s="71" t="s">
        <v>144</v>
      </c>
      <c r="F60" s="70" t="s">
        <v>21</v>
      </c>
      <c r="G60" s="71" t="s">
        <v>216</v>
      </c>
      <c r="I60" s="138"/>
      <c r="J60" s="71" t="s">
        <v>269</v>
      </c>
      <c r="K60" s="322"/>
      <c r="L60" s="323">
        <v>6430</v>
      </c>
      <c r="M60" s="163">
        <f>M59+K60-L60</f>
        <v>73521.790720000718</v>
      </c>
    </row>
    <row r="61" spans="1:13">
      <c r="A61" s="54" t="str">
        <f>D61&amp;E61&amp;F61</f>
        <v>CAPFONDO Y REPOSICIONCAPRICHOS</v>
      </c>
      <c r="B61" t="s">
        <v>212</v>
      </c>
      <c r="C61" s="1">
        <v>45693</v>
      </c>
      <c r="D61" s="71" t="s">
        <v>31</v>
      </c>
      <c r="E61" s="71" t="s">
        <v>120</v>
      </c>
      <c r="F61" s="70" t="s">
        <v>33</v>
      </c>
      <c r="G61" s="71" t="s">
        <v>216</v>
      </c>
      <c r="I61" s="138"/>
      <c r="J61" s="71" t="s">
        <v>270</v>
      </c>
      <c r="K61" s="322"/>
      <c r="L61" s="323">
        <v>2649</v>
      </c>
      <c r="M61" s="163">
        <f>M60+K61-L61</f>
        <v>70872.790720000718</v>
      </c>
    </row>
    <row r="62" spans="1:13">
      <c r="A62" s="54" t="str">
        <f>D62&amp;E62&amp;F62</f>
        <v>FINANZASCUOTAS Y SUSCRIPCIONESKOLBEE</v>
      </c>
      <c r="B62" t="s">
        <v>212</v>
      </c>
      <c r="C62" s="1">
        <v>45693</v>
      </c>
      <c r="D62" s="71" t="s">
        <v>23</v>
      </c>
      <c r="E62" s="71" t="s">
        <v>51</v>
      </c>
      <c r="F62" s="70" t="s">
        <v>69</v>
      </c>
      <c r="G62" s="71" t="s">
        <v>216</v>
      </c>
      <c r="I62" s="138"/>
      <c r="J62" s="71" t="s">
        <v>271</v>
      </c>
      <c r="K62" s="322"/>
      <c r="L62" s="323">
        <v>1050</v>
      </c>
      <c r="M62" s="163">
        <f>M61+K62-L62</f>
        <v>69822.790720000718</v>
      </c>
    </row>
    <row r="63" spans="1:13">
      <c r="A63" s="54" t="str">
        <f>D63&amp;E63&amp;F63</f>
        <v>SERVICIOSMTTO DE EDIFICIOMANTENIMIENTO</v>
      </c>
      <c r="B63" t="s">
        <v>212</v>
      </c>
      <c r="C63" s="1">
        <v>45693</v>
      </c>
      <c r="D63" s="71" t="s">
        <v>21</v>
      </c>
      <c r="E63" s="71" t="s">
        <v>142</v>
      </c>
      <c r="F63" s="70" t="s">
        <v>35</v>
      </c>
      <c r="G63" s="71" t="s">
        <v>216</v>
      </c>
      <c r="I63" s="138"/>
      <c r="J63" s="71" t="s">
        <v>272</v>
      </c>
      <c r="K63" s="322"/>
      <c r="L63" s="323">
        <v>2200</v>
      </c>
      <c r="M63" s="163">
        <f>M62+K63-L63</f>
        <v>67622.790720000718</v>
      </c>
    </row>
    <row r="64" spans="1:13">
      <c r="A64" s="54" t="str">
        <f>D64&amp;E64&amp;F64</f>
        <v>FINANZASFONDO Y REPOSICIONFINANZAS</v>
      </c>
      <c r="B64" t="s">
        <v>212</v>
      </c>
      <c r="C64" s="1">
        <v>45693</v>
      </c>
      <c r="D64" s="71" t="s">
        <v>23</v>
      </c>
      <c r="E64" s="71" t="s">
        <v>120</v>
      </c>
      <c r="F64" s="70" t="s">
        <v>23</v>
      </c>
      <c r="G64" s="71" t="s">
        <v>216</v>
      </c>
      <c r="I64" s="138"/>
      <c r="J64" s="71" t="s">
        <v>273</v>
      </c>
      <c r="K64" s="322"/>
      <c r="L64" s="323">
        <v>328</v>
      </c>
      <c r="M64" s="163">
        <f>M63+K64-L64</f>
        <v>67294.790720000718</v>
      </c>
    </row>
    <row r="65" spans="1:13">
      <c r="A65" s="54" t="str">
        <f>D65&amp;E65&amp;F65</f>
        <v>CAPMKTMKT CAP</v>
      </c>
      <c r="B65" t="s">
        <v>212</v>
      </c>
      <c r="C65" s="1">
        <v>45693</v>
      </c>
      <c r="D65" s="71" t="s">
        <v>31</v>
      </c>
      <c r="E65" s="71" t="s">
        <v>19</v>
      </c>
      <c r="F65" s="70" t="s">
        <v>139</v>
      </c>
      <c r="G65" s="71" t="s">
        <v>216</v>
      </c>
      <c r="I65" s="138"/>
      <c r="J65" s="71" t="s">
        <v>274</v>
      </c>
      <c r="K65" s="322"/>
      <c r="L65" s="323">
        <v>4800</v>
      </c>
      <c r="M65" s="163">
        <f>M64+K65-L65</f>
        <v>62494.790720000718</v>
      </c>
    </row>
    <row r="66" spans="1:13">
      <c r="A66" s="54" t="str">
        <f>D66&amp;E66&amp;F66</f>
        <v>SERVICIOSPAQUETERIACT INTERNACIONAL</v>
      </c>
      <c r="B66" t="s">
        <v>212</v>
      </c>
      <c r="C66" s="1">
        <v>45693</v>
      </c>
      <c r="D66" s="71" t="s">
        <v>21</v>
      </c>
      <c r="E66" s="71" t="s">
        <v>160</v>
      </c>
      <c r="F66" s="209" t="s">
        <v>162</v>
      </c>
      <c r="G66" s="71" t="s">
        <v>216</v>
      </c>
      <c r="I66" s="138"/>
      <c r="J66" s="71" t="s">
        <v>275</v>
      </c>
      <c r="K66" s="322"/>
      <c r="L66" s="323">
        <v>280</v>
      </c>
      <c r="M66" s="163">
        <f>M65+K66-L66</f>
        <v>62214.790720000718</v>
      </c>
    </row>
    <row r="67" spans="1:13">
      <c r="A67" s="54" t="str">
        <f>D67&amp;E67&amp;F67</f>
        <v>HRUBERHR</v>
      </c>
      <c r="B67" t="s">
        <v>212</v>
      </c>
      <c r="C67" s="1">
        <v>45693</v>
      </c>
      <c r="D67" s="71" t="s">
        <v>29</v>
      </c>
      <c r="E67" s="71" t="s">
        <v>189</v>
      </c>
      <c r="F67" s="70" t="s">
        <v>29</v>
      </c>
      <c r="G67" s="71" t="s">
        <v>216</v>
      </c>
      <c r="I67" s="138"/>
      <c r="J67" s="76" t="s">
        <v>276</v>
      </c>
      <c r="K67" s="322"/>
      <c r="L67" s="525">
        <v>220</v>
      </c>
      <c r="M67" s="163">
        <f>M66+K67-L67</f>
        <v>61994.790720000718</v>
      </c>
    </row>
    <row r="68" spans="1:13">
      <c r="A68" s="54" t="str">
        <f>D68&amp;E68&amp;F68</f>
        <v>HRINSUMOSHR</v>
      </c>
      <c r="B68" t="s">
        <v>212</v>
      </c>
      <c r="C68" s="1">
        <v>45693</v>
      </c>
      <c r="D68" s="71" t="s">
        <v>29</v>
      </c>
      <c r="E68" s="71" t="s">
        <v>133</v>
      </c>
      <c r="F68" s="70" t="s">
        <v>29</v>
      </c>
      <c r="G68" s="71" t="s">
        <v>216</v>
      </c>
      <c r="I68" s="138"/>
      <c r="J68" s="76" t="s">
        <v>277</v>
      </c>
      <c r="K68" s="322"/>
      <c r="L68" s="327">
        <v>150</v>
      </c>
      <c r="M68" s="163">
        <f>M67+K68-L68</f>
        <v>61844.790720000718</v>
      </c>
    </row>
    <row r="69" spans="1:13">
      <c r="A69" s="54" t="str">
        <f>D69&amp;E69&amp;F69</f>
        <v>HRUBERHR</v>
      </c>
      <c r="B69" t="s">
        <v>212</v>
      </c>
      <c r="C69" s="1">
        <v>45693</v>
      </c>
      <c r="D69" s="71" t="s">
        <v>29</v>
      </c>
      <c r="E69" s="71" t="s">
        <v>189</v>
      </c>
      <c r="F69" s="70" t="s">
        <v>29</v>
      </c>
      <c r="G69" s="71" t="s">
        <v>216</v>
      </c>
      <c r="I69" s="138"/>
      <c r="J69" s="76" t="s">
        <v>278</v>
      </c>
      <c r="K69" s="322"/>
      <c r="L69" s="525">
        <v>150</v>
      </c>
      <c r="M69" s="163">
        <f>M68+K69-L69</f>
        <v>61694.790720000718</v>
      </c>
    </row>
    <row r="70" spans="1:13">
      <c r="A70" s="54" t="str">
        <f>D70&amp;E70&amp;F70</f>
        <v>CAPUBERCAP</v>
      </c>
      <c r="B70" t="s">
        <v>212</v>
      </c>
      <c r="C70" s="1">
        <v>45693</v>
      </c>
      <c r="D70" s="71" t="s">
        <v>31</v>
      </c>
      <c r="E70" s="71" t="s">
        <v>189</v>
      </c>
      <c r="F70" s="70" t="s">
        <v>31</v>
      </c>
      <c r="G70" s="71" t="s">
        <v>216</v>
      </c>
      <c r="I70" s="138"/>
      <c r="J70" s="76" t="s">
        <v>279</v>
      </c>
      <c r="K70" s="322"/>
      <c r="L70" s="525">
        <v>220</v>
      </c>
      <c r="M70" s="163">
        <f>M69+K70-L70</f>
        <v>61474.790720000718</v>
      </c>
    </row>
    <row r="71" spans="1:13">
      <c r="A71" s="54" t="str">
        <f>D71&amp;E71&amp;F71</f>
        <v>CAPUBERCAP</v>
      </c>
      <c r="B71" t="s">
        <v>212</v>
      </c>
      <c r="C71" s="1">
        <v>45693</v>
      </c>
      <c r="D71" s="71" t="s">
        <v>31</v>
      </c>
      <c r="E71" s="71" t="s">
        <v>189</v>
      </c>
      <c r="F71" s="70" t="s">
        <v>31</v>
      </c>
      <c r="G71" s="71" t="s">
        <v>216</v>
      </c>
      <c r="I71" s="138"/>
      <c r="J71" s="76" t="s">
        <v>280</v>
      </c>
      <c r="K71" s="322"/>
      <c r="L71" s="525">
        <v>125</v>
      </c>
      <c r="M71" s="163">
        <f>M70+K71-L71</f>
        <v>61349.790720000718</v>
      </c>
    </row>
    <row r="72" spans="1:13">
      <c r="A72" s="54" t="str">
        <f>D72&amp;E72&amp;F72</f>
        <v>CAPINSUMOSCAPRICHOS</v>
      </c>
      <c r="B72" t="s">
        <v>212</v>
      </c>
      <c r="C72" s="1">
        <v>45693</v>
      </c>
      <c r="D72" s="71" t="s">
        <v>31</v>
      </c>
      <c r="E72" s="71" t="s">
        <v>133</v>
      </c>
      <c r="F72" s="70" t="s">
        <v>33</v>
      </c>
      <c r="G72" s="71" t="s">
        <v>216</v>
      </c>
      <c r="I72" s="138"/>
      <c r="J72" s="76" t="s">
        <v>281</v>
      </c>
      <c r="K72" s="322"/>
      <c r="L72" s="327">
        <v>180</v>
      </c>
      <c r="M72" s="163">
        <f>M71+K72-L72</f>
        <v>61169.790720000718</v>
      </c>
    </row>
    <row r="73" spans="1:13">
      <c r="A73" s="54" t="str">
        <f>D73&amp;E73&amp;F73</f>
        <v>FINANZASFALTANTESFALTANTES</v>
      </c>
      <c r="B73" t="s">
        <v>212</v>
      </c>
      <c r="C73" s="1">
        <v>45693</v>
      </c>
      <c r="D73" s="71" t="s">
        <v>23</v>
      </c>
      <c r="E73" s="71" t="s">
        <v>119</v>
      </c>
      <c r="F73" s="70" t="s">
        <v>119</v>
      </c>
      <c r="G73" s="71" t="s">
        <v>258</v>
      </c>
      <c r="I73" s="138"/>
      <c r="J73" s="76" t="s">
        <v>282</v>
      </c>
      <c r="K73" s="322"/>
      <c r="L73" s="327">
        <v>1204.1500000000001</v>
      </c>
      <c r="M73" s="163">
        <f>M72+K73-L73</f>
        <v>59965.640720000716</v>
      </c>
    </row>
    <row r="74" spans="1:13">
      <c r="A74" s="54" t="str">
        <f t="shared" ref="A71:A134" si="1">D74&amp;E74&amp;F74</f>
        <v/>
      </c>
      <c r="B74" t="s">
        <v>212</v>
      </c>
      <c r="C74" s="1">
        <v>45694</v>
      </c>
      <c r="D74" s="71"/>
      <c r="F74" s="70"/>
      <c r="I74" s="138"/>
      <c r="J74" t="s">
        <v>260</v>
      </c>
      <c r="K74" s="322">
        <v>137761.97</v>
      </c>
      <c r="L74" s="180"/>
      <c r="M74" s="163">
        <f>M73+K74-L74</f>
        <v>197727.61072000072</v>
      </c>
    </row>
    <row r="75" spans="1:13">
      <c r="A75" s="54" t="str">
        <f t="shared" si="1"/>
        <v/>
      </c>
      <c r="B75" t="s">
        <v>212</v>
      </c>
      <c r="C75" s="1">
        <v>45694</v>
      </c>
      <c r="D75" s="71"/>
      <c r="F75" s="70"/>
      <c r="I75" s="138"/>
      <c r="J75" t="s">
        <v>283</v>
      </c>
      <c r="K75" s="322">
        <v>76333.56</v>
      </c>
      <c r="L75" s="180"/>
      <c r="M75" s="163">
        <f>M74+K75-L75</f>
        <v>274061.17072000075</v>
      </c>
    </row>
    <row r="76" spans="1:13">
      <c r="A76" s="54" t="str">
        <f>D76&amp;E76&amp;F76</f>
        <v>FINANZASCOMISIONES BANCARIASTPV</v>
      </c>
      <c r="B76" t="s">
        <v>212</v>
      </c>
      <c r="C76" s="1">
        <v>45694</v>
      </c>
      <c r="D76" s="71" t="s">
        <v>23</v>
      </c>
      <c r="E76" s="71" t="s">
        <v>48</v>
      </c>
      <c r="F76" s="70" t="s">
        <v>50</v>
      </c>
      <c r="G76" s="71" t="s">
        <v>216</v>
      </c>
      <c r="I76" s="138"/>
      <c r="J76" s="71" t="s">
        <v>217</v>
      </c>
      <c r="K76" s="322"/>
      <c r="L76" s="323">
        <f>1519.77+1204.32+38.71+83.33</f>
        <v>2846.13</v>
      </c>
      <c r="M76" s="163">
        <f>M75+K76-L76</f>
        <v>271215.04072000075</v>
      </c>
    </row>
    <row r="77" spans="1:13">
      <c r="A77" s="54" t="str">
        <f t="shared" si="1"/>
        <v/>
      </c>
      <c r="B77" t="s">
        <v>212</v>
      </c>
      <c r="C77" s="1">
        <v>45694</v>
      </c>
      <c r="D77" s="71"/>
      <c r="F77" s="70"/>
      <c r="I77" s="138"/>
      <c r="J77" s="205" t="s">
        <v>220</v>
      </c>
      <c r="K77" s="206"/>
      <c r="L77" s="206">
        <v>200000</v>
      </c>
      <c r="M77" s="163">
        <f>M76+K77-L77</f>
        <v>71215.040720000747</v>
      </c>
    </row>
    <row r="78" spans="1:13">
      <c r="A78" s="54" t="str">
        <f>D78&amp;E78&amp;F78</f>
        <v>HRVIATICOSHR</v>
      </c>
      <c r="B78" t="s">
        <v>212</v>
      </c>
      <c r="C78" s="1">
        <v>45694</v>
      </c>
      <c r="D78" s="71" t="s">
        <v>29</v>
      </c>
      <c r="E78" s="71" t="s">
        <v>191</v>
      </c>
      <c r="F78" s="70" t="s">
        <v>29</v>
      </c>
      <c r="G78" s="71" t="s">
        <v>216</v>
      </c>
      <c r="I78" s="138"/>
      <c r="J78" s="71" t="s">
        <v>284</v>
      </c>
      <c r="L78" s="326">
        <v>1800</v>
      </c>
      <c r="M78" s="163">
        <f>M77+K78-L78</f>
        <v>69415.040720000747</v>
      </c>
    </row>
    <row r="79" spans="1:13">
      <c r="A79" s="54" t="str">
        <f>D79&amp;E79&amp;F79</f>
        <v>FINANZASCOMISIONES BANCARIASMANEJO DE CUENTA</v>
      </c>
      <c r="B79" t="s">
        <v>212</v>
      </c>
      <c r="C79" s="1">
        <v>45694</v>
      </c>
      <c r="D79" s="71" t="s">
        <v>23</v>
      </c>
      <c r="E79" s="71" t="s">
        <v>48</v>
      </c>
      <c r="F79" s="70" t="s">
        <v>49</v>
      </c>
      <c r="G79" s="71" t="s">
        <v>216</v>
      </c>
      <c r="I79" s="138"/>
      <c r="J79" s="71" t="s">
        <v>285</v>
      </c>
      <c r="K79" s="322"/>
      <c r="L79" s="323">
        <v>6504.64</v>
      </c>
      <c r="M79" s="163">
        <f>M78+K79-L79</f>
        <v>62910.400720000747</v>
      </c>
    </row>
    <row r="80" spans="1:13">
      <c r="A80" s="54" t="str">
        <f>D80&amp;E80&amp;F80</f>
        <v>CAPVIATICOSCAPRICHOS</v>
      </c>
      <c r="B80" t="s">
        <v>212</v>
      </c>
      <c r="C80" s="1">
        <v>45694</v>
      </c>
      <c r="D80" s="71" t="s">
        <v>31</v>
      </c>
      <c r="E80" s="71" t="s">
        <v>191</v>
      </c>
      <c r="F80" s="70" t="s">
        <v>33</v>
      </c>
      <c r="G80" s="71" t="s">
        <v>216</v>
      </c>
      <c r="I80" s="138"/>
      <c r="J80" s="71" t="s">
        <v>286</v>
      </c>
      <c r="K80" s="322"/>
      <c r="L80" s="323">
        <v>1000</v>
      </c>
      <c r="M80" s="163">
        <f>M79+K80-L80</f>
        <v>61910.400720000747</v>
      </c>
    </row>
    <row r="81" spans="1:13" ht="16.5" customHeight="1">
      <c r="A81" s="54" t="str">
        <f>D81&amp;E81&amp;F81</f>
        <v>SERVICIOSVIATICOSCOMPRAS</v>
      </c>
      <c r="B81" t="s">
        <v>212</v>
      </c>
      <c r="C81" s="1">
        <v>45694</v>
      </c>
      <c r="D81" s="71" t="s">
        <v>21</v>
      </c>
      <c r="E81" s="71" t="s">
        <v>191</v>
      </c>
      <c r="F81" s="209" t="s">
        <v>148</v>
      </c>
      <c r="G81" s="71" t="s">
        <v>216</v>
      </c>
      <c r="I81" s="138"/>
      <c r="J81" s="71" t="s">
        <v>287</v>
      </c>
      <c r="K81" s="322"/>
      <c r="L81" s="323">
        <v>500</v>
      </c>
      <c r="M81" s="163">
        <f>M80+K81-L81</f>
        <v>61410.400720000747</v>
      </c>
    </row>
    <row r="82" spans="1:13">
      <c r="A82" s="54" t="str">
        <f>D82&amp;E82&amp;F82</f>
        <v>SERVICIOSFONDO Y REPOSICIONSERVICIOS</v>
      </c>
      <c r="B82" t="s">
        <v>212</v>
      </c>
      <c r="C82" s="1">
        <v>45694</v>
      </c>
      <c r="D82" s="71" t="s">
        <v>21</v>
      </c>
      <c r="E82" s="71" t="s">
        <v>120</v>
      </c>
      <c r="F82" s="70" t="s">
        <v>21</v>
      </c>
      <c r="G82" s="71" t="s">
        <v>216</v>
      </c>
      <c r="I82" s="138"/>
      <c r="J82" s="71" t="s">
        <v>288</v>
      </c>
      <c r="K82" s="322"/>
      <c r="L82" s="323">
        <v>2100</v>
      </c>
      <c r="M82" s="163">
        <f>M81+K82-L82</f>
        <v>59310.400720000747</v>
      </c>
    </row>
    <row r="83" spans="1:13">
      <c r="A83" s="54" t="str">
        <f>D83&amp;E83&amp;F83</f>
        <v>SERVICIOSALARMASUCURSALES CAPRICHOS</v>
      </c>
      <c r="B83" t="s">
        <v>212</v>
      </c>
      <c r="C83" s="1">
        <v>45694</v>
      </c>
      <c r="D83" s="71" t="s">
        <v>21</v>
      </c>
      <c r="E83" s="71" t="s">
        <v>25</v>
      </c>
      <c r="F83" s="217" t="s">
        <v>27</v>
      </c>
      <c r="G83" s="71" t="s">
        <v>216</v>
      </c>
      <c r="I83" s="138"/>
      <c r="J83" s="71" t="s">
        <v>289</v>
      </c>
      <c r="K83" s="322"/>
      <c r="L83" s="323">
        <v>386.4</v>
      </c>
      <c r="M83" s="163">
        <f>M82+K83-L83</f>
        <v>58924.000720000746</v>
      </c>
    </row>
    <row r="84" spans="1:13">
      <c r="A84" s="54" t="str">
        <f>D84&amp;E84&amp;F84</f>
        <v>FINANZASTELEFONIATELEFONIA</v>
      </c>
      <c r="B84" t="s">
        <v>212</v>
      </c>
      <c r="C84" s="1">
        <v>45694</v>
      </c>
      <c r="D84" s="71" t="s">
        <v>23</v>
      </c>
      <c r="E84" s="71" t="s">
        <v>181</v>
      </c>
      <c r="F84" s="70" t="s">
        <v>181</v>
      </c>
      <c r="G84" s="71" t="s">
        <v>216</v>
      </c>
      <c r="I84" s="138"/>
      <c r="J84" s="71" t="s">
        <v>290</v>
      </c>
      <c r="K84" s="322"/>
      <c r="L84" s="323">
        <v>602</v>
      </c>
      <c r="M84" s="163">
        <f>M83+K84-L84</f>
        <v>58322.000720000746</v>
      </c>
    </row>
    <row r="85" spans="1:13">
      <c r="A85" s="54" t="str">
        <f>D85&amp;E85&amp;F85</f>
        <v>HRUBERHR</v>
      </c>
      <c r="B85" t="s">
        <v>212</v>
      </c>
      <c r="C85" s="1">
        <v>45694</v>
      </c>
      <c r="D85" s="71" t="s">
        <v>29</v>
      </c>
      <c r="E85" s="71" t="s">
        <v>189</v>
      </c>
      <c r="F85" s="70" t="s">
        <v>29</v>
      </c>
      <c r="G85" s="71" t="s">
        <v>216</v>
      </c>
      <c r="I85" s="138"/>
      <c r="J85" s="183" t="s">
        <v>291</v>
      </c>
      <c r="K85" s="328"/>
      <c r="L85" s="527">
        <v>150</v>
      </c>
      <c r="M85" s="163">
        <f>M84+K85-L85</f>
        <v>58172.000720000746</v>
      </c>
    </row>
    <row r="86" spans="1:13">
      <c r="A86" s="54" t="str">
        <f>D86&amp;E86&amp;F86</f>
        <v>HRINSUMOSHR</v>
      </c>
      <c r="B86" t="s">
        <v>212</v>
      </c>
      <c r="C86" s="1">
        <v>45694</v>
      </c>
      <c r="D86" s="71" t="s">
        <v>29</v>
      </c>
      <c r="E86" s="71" t="s">
        <v>133</v>
      </c>
      <c r="F86" s="70" t="s">
        <v>29</v>
      </c>
      <c r="G86" s="71" t="s">
        <v>216</v>
      </c>
      <c r="I86" s="138"/>
      <c r="J86" s="183" t="s">
        <v>292</v>
      </c>
      <c r="K86" s="328"/>
      <c r="L86" s="323">
        <v>330</v>
      </c>
      <c r="M86" s="163">
        <f>M85+K86-L86</f>
        <v>57842.000720000746</v>
      </c>
    </row>
    <row r="87" spans="1:13">
      <c r="A87" s="54" t="str">
        <f>D87&amp;E87&amp;F87</f>
        <v>SERVICIOSMTTO DE EDIFICIOMANTENIMIENTO</v>
      </c>
      <c r="B87" t="s">
        <v>212</v>
      </c>
      <c r="C87" s="1">
        <v>45694</v>
      </c>
      <c r="D87" s="71" t="s">
        <v>21</v>
      </c>
      <c r="E87" s="71" t="s">
        <v>142</v>
      </c>
      <c r="F87" s="70" t="s">
        <v>35</v>
      </c>
      <c r="G87" s="71" t="s">
        <v>216</v>
      </c>
      <c r="I87" s="138"/>
      <c r="J87" s="183" t="s">
        <v>293</v>
      </c>
      <c r="K87" s="328"/>
      <c r="L87" s="323">
        <v>350</v>
      </c>
      <c r="M87" s="163">
        <f>M86+K87-L87</f>
        <v>57492.000720000746</v>
      </c>
    </row>
    <row r="88" spans="1:13">
      <c r="A88" s="54" t="str">
        <f>D88&amp;E88&amp;F88</f>
        <v>HRUBERHR</v>
      </c>
      <c r="B88" t="s">
        <v>212</v>
      </c>
      <c r="C88" s="1">
        <v>45694</v>
      </c>
      <c r="D88" s="71" t="s">
        <v>29</v>
      </c>
      <c r="E88" s="71" t="s">
        <v>189</v>
      </c>
      <c r="F88" s="70" t="s">
        <v>29</v>
      </c>
      <c r="G88" s="71" t="s">
        <v>216</v>
      </c>
      <c r="I88" s="138"/>
      <c r="J88" s="183" t="s">
        <v>250</v>
      </c>
      <c r="K88" s="328"/>
      <c r="L88" s="527">
        <v>130</v>
      </c>
      <c r="M88" s="163">
        <f>M87+K88-L88</f>
        <v>57362.000720000746</v>
      </c>
    </row>
    <row r="89" spans="1:13">
      <c r="A89" s="54" t="str">
        <f>D89&amp;E89&amp;F89</f>
        <v>CAPUBERCAP</v>
      </c>
      <c r="B89" t="s">
        <v>212</v>
      </c>
      <c r="C89" s="1">
        <v>45694</v>
      </c>
      <c r="D89" s="71" t="s">
        <v>31</v>
      </c>
      <c r="E89" s="71" t="s">
        <v>189</v>
      </c>
      <c r="F89" s="70" t="s">
        <v>31</v>
      </c>
      <c r="G89" s="71" t="s">
        <v>216</v>
      </c>
      <c r="I89" s="138"/>
      <c r="J89" s="183" t="s">
        <v>253</v>
      </c>
      <c r="K89" s="328"/>
      <c r="L89" s="527">
        <v>710</v>
      </c>
      <c r="M89" s="163">
        <f>M88+K89-L89</f>
        <v>56652.000720000746</v>
      </c>
    </row>
    <row r="90" spans="1:13">
      <c r="A90" s="54" t="str">
        <f>D90&amp;E90&amp;F90</f>
        <v>CAPUBERCAP</v>
      </c>
      <c r="B90" t="s">
        <v>212</v>
      </c>
      <c r="C90" s="1">
        <v>45694</v>
      </c>
      <c r="D90" s="71" t="s">
        <v>31</v>
      </c>
      <c r="E90" s="71" t="s">
        <v>189</v>
      </c>
      <c r="F90" s="70" t="s">
        <v>31</v>
      </c>
      <c r="G90" s="71" t="s">
        <v>216</v>
      </c>
      <c r="I90" s="138"/>
      <c r="J90" s="183" t="s">
        <v>257</v>
      </c>
      <c r="K90" s="328"/>
      <c r="L90" s="527">
        <v>110</v>
      </c>
      <c r="M90" s="163">
        <f>M89+K90-L90</f>
        <v>56542.000720000746</v>
      </c>
    </row>
    <row r="91" spans="1:13">
      <c r="A91" s="54" t="str">
        <f>D91&amp;E91&amp;F91</f>
        <v>FINANZASFALTANTESFALTANTES</v>
      </c>
      <c r="B91" t="s">
        <v>212</v>
      </c>
      <c r="C91" s="1">
        <v>45694</v>
      </c>
      <c r="D91" s="71" t="s">
        <v>23</v>
      </c>
      <c r="E91" s="71" t="s">
        <v>119</v>
      </c>
      <c r="F91" s="70" t="s">
        <v>119</v>
      </c>
      <c r="G91" s="71" t="s">
        <v>258</v>
      </c>
      <c r="I91" s="138"/>
      <c r="J91" s="183" t="s">
        <v>282</v>
      </c>
      <c r="K91" s="328"/>
      <c r="L91" s="323">
        <v>2035.05</v>
      </c>
      <c r="M91" s="163">
        <f>M90+K91-L91</f>
        <v>54506.950720000743</v>
      </c>
    </row>
    <row r="92" spans="1:13">
      <c r="A92" s="54" t="str">
        <f t="shared" si="1"/>
        <v/>
      </c>
      <c r="B92" t="s">
        <v>212</v>
      </c>
      <c r="C92" s="1">
        <v>45695</v>
      </c>
      <c r="D92" s="71"/>
      <c r="F92" s="70"/>
      <c r="I92" s="138"/>
      <c r="J92" s="210" t="s">
        <v>260</v>
      </c>
      <c r="K92" s="328">
        <v>153446.34</v>
      </c>
      <c r="L92" s="328"/>
      <c r="M92" s="163">
        <f>M91+K92-L92</f>
        <v>207953.29072000075</v>
      </c>
    </row>
    <row r="93" spans="1:13">
      <c r="A93" s="54" t="str">
        <f>D93&amp;E93&amp;F93</f>
        <v>FINANZASCOMISIONES BANCARIASTPV</v>
      </c>
      <c r="B93" t="s">
        <v>212</v>
      </c>
      <c r="C93" s="1">
        <v>45695</v>
      </c>
      <c r="D93" s="71" t="s">
        <v>23</v>
      </c>
      <c r="E93" s="71" t="s">
        <v>48</v>
      </c>
      <c r="F93" s="70" t="s">
        <v>50</v>
      </c>
      <c r="G93" s="71" t="s">
        <v>216</v>
      </c>
      <c r="I93" s="138"/>
      <c r="J93" s="73" t="s">
        <v>217</v>
      </c>
      <c r="K93" s="328"/>
      <c r="L93" s="329">
        <f>49.25+172.56+168.63+5.8+1148.07+1407.93</f>
        <v>2952.24</v>
      </c>
      <c r="M93" s="163">
        <f>M92+K93-L93</f>
        <v>205001.05072000076</v>
      </c>
    </row>
    <row r="94" spans="1:13">
      <c r="A94" s="54" t="str">
        <f>D94&amp;E94&amp;F94</f>
        <v>FINANZASCOMISIONES BANCARIASMANEJO DE CUENTA</v>
      </c>
      <c r="B94" t="s">
        <v>212</v>
      </c>
      <c r="C94" s="1">
        <v>45695</v>
      </c>
      <c r="D94" s="71" t="s">
        <v>23</v>
      </c>
      <c r="E94" s="71" t="s">
        <v>48</v>
      </c>
      <c r="F94" s="70" t="s">
        <v>49</v>
      </c>
      <c r="G94" s="71" t="s">
        <v>216</v>
      </c>
      <c r="I94" s="138"/>
      <c r="J94" s="73" t="s">
        <v>218</v>
      </c>
      <c r="K94" s="328"/>
      <c r="L94" s="329">
        <f>461.8</f>
        <v>461.8</v>
      </c>
      <c r="M94" s="163">
        <f>M93+K94-L94</f>
        <v>204539.25072000077</v>
      </c>
    </row>
    <row r="95" spans="1:13">
      <c r="A95" s="54" t="str">
        <f t="shared" si="1"/>
        <v/>
      </c>
      <c r="B95" t="s">
        <v>212</v>
      </c>
      <c r="C95" s="1">
        <v>45695</v>
      </c>
      <c r="D95" s="71"/>
      <c r="F95" s="70"/>
      <c r="I95" s="138"/>
      <c r="J95" s="205" t="s">
        <v>220</v>
      </c>
      <c r="K95" s="206"/>
      <c r="L95" s="206">
        <v>190000</v>
      </c>
      <c r="M95" s="163">
        <f>M94+K95-L95</f>
        <v>14539.250720000768</v>
      </c>
    </row>
    <row r="96" spans="1:13">
      <c r="A96" s="54" t="str">
        <f t="shared" si="1"/>
        <v/>
      </c>
      <c r="B96" t="s">
        <v>212</v>
      </c>
      <c r="C96" s="1">
        <v>45695</v>
      </c>
      <c r="D96" s="71"/>
      <c r="F96" s="70"/>
      <c r="H96" s="83" t="s">
        <v>32</v>
      </c>
      <c r="I96" s="138"/>
      <c r="J96" s="73" t="s">
        <v>294</v>
      </c>
      <c r="K96" s="328"/>
      <c r="L96" s="323">
        <v>31566</v>
      </c>
      <c r="M96" s="163">
        <f>M95+K96-L96</f>
        <v>-17026.749279999232</v>
      </c>
    </row>
    <row r="97" spans="1:13">
      <c r="A97" s="54" t="str">
        <f>D97&amp;E97&amp;F97</f>
        <v>FINANZASTELEFONIATELEFONIA</v>
      </c>
      <c r="B97" t="s">
        <v>212</v>
      </c>
      <c r="C97" s="1">
        <v>45695</v>
      </c>
      <c r="D97" s="71" t="s">
        <v>23</v>
      </c>
      <c r="E97" s="71" t="s">
        <v>181</v>
      </c>
      <c r="F97" s="70" t="s">
        <v>181</v>
      </c>
      <c r="G97" s="71" t="s">
        <v>216</v>
      </c>
      <c r="I97" s="138"/>
      <c r="J97" s="73" t="s">
        <v>295</v>
      </c>
      <c r="K97" s="328"/>
      <c r="L97" s="323">
        <v>8467</v>
      </c>
      <c r="M97" s="163">
        <f>M96+K97-L97</f>
        <v>-25493.749279999232</v>
      </c>
    </row>
    <row r="98" spans="1:13">
      <c r="A98" s="54" t="str">
        <f>D98&amp;E98&amp;F98</f>
        <v>HRMKTMKT HR</v>
      </c>
      <c r="B98" t="s">
        <v>212</v>
      </c>
      <c r="C98" s="1">
        <v>45695</v>
      </c>
      <c r="D98" s="71" t="s">
        <v>29</v>
      </c>
      <c r="E98" s="71" t="s">
        <v>19</v>
      </c>
      <c r="F98" s="70" t="s">
        <v>138</v>
      </c>
      <c r="G98" s="71" t="s">
        <v>216</v>
      </c>
      <c r="I98" s="138"/>
      <c r="J98" s="73" t="s">
        <v>296</v>
      </c>
      <c r="K98" s="328"/>
      <c r="L98" s="323">
        <v>700</v>
      </c>
      <c r="M98" s="163">
        <f>M97+K98-L98</f>
        <v>-26193.749279999232</v>
      </c>
    </row>
    <row r="99" spans="1:13">
      <c r="A99" s="54" t="str">
        <f>D99&amp;E99&amp;F99</f>
        <v>HRMKTMKT HR</v>
      </c>
      <c r="B99" t="s">
        <v>212</v>
      </c>
      <c r="C99" s="1">
        <v>45695</v>
      </c>
      <c r="D99" s="71" t="s">
        <v>29</v>
      </c>
      <c r="E99" s="71" t="s">
        <v>19</v>
      </c>
      <c r="F99" s="70" t="s">
        <v>138</v>
      </c>
      <c r="G99" s="71" t="s">
        <v>216</v>
      </c>
      <c r="I99" s="138"/>
      <c r="J99" s="73" t="s">
        <v>297</v>
      </c>
      <c r="K99" s="328"/>
      <c r="L99" s="323">
        <v>800</v>
      </c>
      <c r="M99" s="163">
        <f>M98+K99-L99</f>
        <v>-26993.749279999232</v>
      </c>
    </row>
    <row r="100" spans="1:13">
      <c r="A100" s="54" t="str">
        <f>D100&amp;E100&amp;F100</f>
        <v>SERVICIOSFONDO Y REPOSICIONSERVICIOS</v>
      </c>
      <c r="B100" t="s">
        <v>212</v>
      </c>
      <c r="C100" s="1">
        <v>45695</v>
      </c>
      <c r="D100" s="71" t="s">
        <v>21</v>
      </c>
      <c r="E100" s="71" t="s">
        <v>120</v>
      </c>
      <c r="F100" s="70" t="s">
        <v>21</v>
      </c>
      <c r="G100" s="71" t="s">
        <v>216</v>
      </c>
      <c r="I100" s="138"/>
      <c r="J100" s="71" t="s">
        <v>298</v>
      </c>
      <c r="K100" s="322"/>
      <c r="L100" s="323">
        <v>2000</v>
      </c>
      <c r="M100" s="163">
        <f>M99+K100-L100</f>
        <v>-28993.749279999232</v>
      </c>
    </row>
    <row r="101" spans="1:13">
      <c r="A101" s="54" t="str">
        <f>D101&amp;E101&amp;F101</f>
        <v>HRUBERHR</v>
      </c>
      <c r="B101" t="s">
        <v>212</v>
      </c>
      <c r="C101" s="1">
        <v>45695</v>
      </c>
      <c r="D101" s="71" t="s">
        <v>29</v>
      </c>
      <c r="E101" s="71" t="s">
        <v>189</v>
      </c>
      <c r="F101" s="70" t="s">
        <v>29</v>
      </c>
      <c r="G101" s="71" t="s">
        <v>216</v>
      </c>
      <c r="I101" s="138"/>
      <c r="J101" s="76" t="s">
        <v>291</v>
      </c>
      <c r="K101" s="322"/>
      <c r="L101" s="525">
        <v>100</v>
      </c>
      <c r="M101" s="163">
        <f>M100+K101-L101</f>
        <v>-29093.749279999232</v>
      </c>
    </row>
    <row r="102" spans="1:13">
      <c r="A102" s="54" t="str">
        <f>D102&amp;E102&amp;F102</f>
        <v>HRUBERHR</v>
      </c>
      <c r="B102" t="s">
        <v>212</v>
      </c>
      <c r="C102" s="1">
        <v>45695</v>
      </c>
      <c r="D102" s="71" t="s">
        <v>29</v>
      </c>
      <c r="E102" s="71" t="s">
        <v>189</v>
      </c>
      <c r="F102" s="70" t="s">
        <v>29</v>
      </c>
      <c r="G102" s="71" t="s">
        <v>216</v>
      </c>
      <c r="I102" s="138"/>
      <c r="J102" s="76" t="s">
        <v>250</v>
      </c>
      <c r="K102" s="322"/>
      <c r="L102" s="525">
        <v>60</v>
      </c>
      <c r="M102" s="163">
        <f>M101+K102-L102</f>
        <v>-29153.749279999232</v>
      </c>
    </row>
    <row r="103" spans="1:13">
      <c r="A103" s="54" t="str">
        <f>D103&amp;E103&amp;F103</f>
        <v>CAPUBERCAP</v>
      </c>
      <c r="B103" t="s">
        <v>212</v>
      </c>
      <c r="C103" s="1">
        <v>45695</v>
      </c>
      <c r="D103" s="71" t="s">
        <v>31</v>
      </c>
      <c r="E103" s="71" t="s">
        <v>189</v>
      </c>
      <c r="F103" s="70" t="s">
        <v>31</v>
      </c>
      <c r="G103" s="71" t="s">
        <v>216</v>
      </c>
      <c r="I103" s="138"/>
      <c r="J103" s="76" t="s">
        <v>253</v>
      </c>
      <c r="K103" s="322"/>
      <c r="L103" s="525">
        <v>611</v>
      </c>
      <c r="M103" s="163">
        <f>M102+K103-L103</f>
        <v>-29764.749279999232</v>
      </c>
    </row>
    <row r="104" spans="1:13">
      <c r="A104" s="54" t="str">
        <f>D104&amp;E104&amp;F104</f>
        <v>CAPJMASE3</v>
      </c>
      <c r="B104" t="s">
        <v>212</v>
      </c>
      <c r="C104" s="1">
        <v>45695</v>
      </c>
      <c r="D104" s="71" t="s">
        <v>31</v>
      </c>
      <c r="E104" s="71" t="s">
        <v>137</v>
      </c>
      <c r="F104" s="70" t="s">
        <v>109</v>
      </c>
      <c r="G104" s="71" t="s">
        <v>216</v>
      </c>
      <c r="I104" s="138"/>
      <c r="J104" s="76" t="s">
        <v>299</v>
      </c>
      <c r="K104" s="322"/>
      <c r="L104" s="327">
        <v>2091</v>
      </c>
      <c r="M104" s="163">
        <f>M103+K104-L104</f>
        <v>-31855.749279999232</v>
      </c>
    </row>
    <row r="105" spans="1:13">
      <c r="A105" s="54" t="str">
        <f>D105&amp;E105&amp;F105</f>
        <v>CAPUBERCAP</v>
      </c>
      <c r="B105" t="s">
        <v>212</v>
      </c>
      <c r="C105" s="1">
        <v>45695</v>
      </c>
      <c r="D105" s="71" t="s">
        <v>31</v>
      </c>
      <c r="E105" s="71" t="s">
        <v>189</v>
      </c>
      <c r="F105" s="70" t="s">
        <v>31</v>
      </c>
      <c r="G105" s="71" t="s">
        <v>216</v>
      </c>
      <c r="I105" s="138"/>
      <c r="J105" s="76" t="s">
        <v>257</v>
      </c>
      <c r="K105" s="322"/>
      <c r="L105" s="525">
        <v>200</v>
      </c>
      <c r="M105" s="163">
        <f>M104+K105-L105</f>
        <v>-32055.749279999232</v>
      </c>
    </row>
    <row r="106" spans="1:13">
      <c r="A106" s="54" t="str">
        <f>D106&amp;E106&amp;F106</f>
        <v>FINANZASFALTANTESFALTANTES</v>
      </c>
      <c r="B106" t="s">
        <v>212</v>
      </c>
      <c r="C106" s="1">
        <v>45695</v>
      </c>
      <c r="D106" s="71" t="s">
        <v>23</v>
      </c>
      <c r="E106" s="71" t="s">
        <v>119</v>
      </c>
      <c r="F106" s="70" t="s">
        <v>119</v>
      </c>
      <c r="G106" s="71" t="s">
        <v>258</v>
      </c>
      <c r="I106" s="138"/>
      <c r="J106" s="71" t="s">
        <v>259</v>
      </c>
      <c r="K106" s="322"/>
      <c r="L106" s="323">
        <v>5584</v>
      </c>
      <c r="M106" s="163">
        <f>M105+K106-L106</f>
        <v>-37639.749279999232</v>
      </c>
    </row>
    <row r="107" spans="1:13">
      <c r="A107" s="54" t="str">
        <f>D107&amp;E107&amp;F107</f>
        <v>FINANZASFONDO Y REPOSICIONFINANZAS</v>
      </c>
      <c r="B107" t="s">
        <v>212</v>
      </c>
      <c r="C107" s="1">
        <v>45696</v>
      </c>
      <c r="D107" s="71" t="s">
        <v>23</v>
      </c>
      <c r="E107" s="71" t="s">
        <v>120</v>
      </c>
      <c r="F107" s="70" t="s">
        <v>23</v>
      </c>
      <c r="G107" s="71" t="s">
        <v>216</v>
      </c>
      <c r="I107" s="138"/>
      <c r="J107" s="71" t="s">
        <v>300</v>
      </c>
      <c r="K107" s="322"/>
      <c r="L107" s="323">
        <v>300</v>
      </c>
      <c r="M107" s="163">
        <f>M106+K107-L107</f>
        <v>-37939.749279999232</v>
      </c>
    </row>
    <row r="108" spans="1:13">
      <c r="A108" s="54" t="str">
        <f>D108&amp;E108&amp;F108</f>
        <v>SERVICIOSVIATICOSCEDIS</v>
      </c>
      <c r="B108" t="s">
        <v>212</v>
      </c>
      <c r="C108" s="1">
        <v>45696</v>
      </c>
      <c r="D108" s="71" t="s">
        <v>21</v>
      </c>
      <c r="E108" s="71" t="s">
        <v>191</v>
      </c>
      <c r="F108" s="70" t="s">
        <v>28</v>
      </c>
      <c r="G108" s="71" t="s">
        <v>216</v>
      </c>
      <c r="I108" s="138"/>
      <c r="J108" s="71" t="s">
        <v>301</v>
      </c>
      <c r="K108" s="322"/>
      <c r="L108" s="323">
        <v>2650</v>
      </c>
      <c r="M108" s="163">
        <f>M107+K108-L108</f>
        <v>-40589.749279999232</v>
      </c>
    </row>
    <row r="109" spans="1:13">
      <c r="A109" s="54" t="str">
        <f t="shared" si="1"/>
        <v/>
      </c>
      <c r="B109" t="s">
        <v>212</v>
      </c>
      <c r="C109" s="1">
        <v>45696</v>
      </c>
      <c r="D109" s="71"/>
      <c r="F109" s="70"/>
      <c r="I109" s="138"/>
      <c r="J109" s="210" t="s">
        <v>260</v>
      </c>
      <c r="K109" s="322">
        <v>711688.7</v>
      </c>
      <c r="L109" s="180"/>
      <c r="M109" s="163">
        <f>M108+K109-L109</f>
        <v>671098.95072000078</v>
      </c>
    </row>
    <row r="110" spans="1:13">
      <c r="A110" s="54" t="str">
        <f>D110&amp;E110&amp;F110</f>
        <v>FINANZASCOMISIONES BANCARIASTPV</v>
      </c>
      <c r="B110" t="s">
        <v>212</v>
      </c>
      <c r="C110" s="1">
        <v>45698</v>
      </c>
      <c r="D110" s="71" t="s">
        <v>23</v>
      </c>
      <c r="E110" s="71" t="s">
        <v>48</v>
      </c>
      <c r="F110" s="70" t="s">
        <v>50</v>
      </c>
      <c r="G110" s="71" t="s">
        <v>216</v>
      </c>
      <c r="I110" s="138"/>
      <c r="J110" s="73" t="s">
        <v>217</v>
      </c>
      <c r="K110" s="322"/>
      <c r="L110" s="323">
        <f>266.25+622.48+651.12+6684.37+5113.09</f>
        <v>13337.31</v>
      </c>
      <c r="M110" s="163">
        <f>M109+K110-L110</f>
        <v>657761.64072000072</v>
      </c>
    </row>
    <row r="111" spans="1:13">
      <c r="A111" s="54" t="str">
        <f t="shared" si="1"/>
        <v/>
      </c>
      <c r="B111" t="s">
        <v>212</v>
      </c>
      <c r="C111" s="1">
        <v>45698</v>
      </c>
      <c r="D111" s="71"/>
      <c r="F111" s="70"/>
      <c r="I111" s="138"/>
      <c r="J111" s="205" t="s">
        <v>220</v>
      </c>
      <c r="K111" s="206"/>
      <c r="L111" s="206">
        <f>176600+300000</f>
        <v>476600</v>
      </c>
      <c r="M111" s="163">
        <f>M110+K111-L111</f>
        <v>181161.64072000072</v>
      </c>
    </row>
    <row r="112" spans="1:13">
      <c r="A112" s="54" t="str">
        <f>D112&amp;E112&amp;F112</f>
        <v>HRENERGIA ELECTRICAA1</v>
      </c>
      <c r="B112" t="s">
        <v>212</v>
      </c>
      <c r="C112" s="1">
        <v>45698</v>
      </c>
      <c r="D112" s="71" t="s">
        <v>29</v>
      </c>
      <c r="E112" s="71" t="s">
        <v>87</v>
      </c>
      <c r="F112" s="70" t="s">
        <v>88</v>
      </c>
      <c r="G112" s="71" t="s">
        <v>216</v>
      </c>
      <c r="I112" s="138"/>
      <c r="J112" s="71" t="s">
        <v>302</v>
      </c>
      <c r="K112" s="180"/>
      <c r="L112" s="323">
        <v>5917</v>
      </c>
      <c r="M112" s="163">
        <f>M111+K112-L112</f>
        <v>175244.64072000072</v>
      </c>
    </row>
    <row r="113" spans="1:13">
      <c r="A113" s="54" t="str">
        <f>D113&amp;E113&amp;F113</f>
        <v>HRENERGIA ELECTRICAA17</v>
      </c>
      <c r="B113" t="s">
        <v>212</v>
      </c>
      <c r="C113" s="1">
        <v>45698</v>
      </c>
      <c r="D113" s="71" t="s">
        <v>29</v>
      </c>
      <c r="E113" s="71" t="s">
        <v>87</v>
      </c>
      <c r="F113" s="70" t="s">
        <v>102</v>
      </c>
      <c r="G113" s="71" t="s">
        <v>216</v>
      </c>
      <c r="I113" s="138"/>
      <c r="J113" s="71" t="s">
        <v>303</v>
      </c>
      <c r="K113" s="180"/>
      <c r="L113" s="323">
        <v>8556</v>
      </c>
      <c r="M113" s="163">
        <f>M112+K113-L113</f>
        <v>166688.64072000072</v>
      </c>
    </row>
    <row r="114" spans="1:13">
      <c r="A114" s="54" t="str">
        <f>D114&amp;E114&amp;F114</f>
        <v>SERVICIOSPAQUETERIACEDIS (E6)</v>
      </c>
      <c r="B114" t="s">
        <v>212</v>
      </c>
      <c r="C114" s="1">
        <v>45698</v>
      </c>
      <c r="D114" s="71" t="s">
        <v>21</v>
      </c>
      <c r="E114" s="71" t="s">
        <v>160</v>
      </c>
      <c r="F114" s="70" t="s">
        <v>161</v>
      </c>
      <c r="G114" s="71" t="s">
        <v>216</v>
      </c>
      <c r="I114" s="138"/>
      <c r="J114" s="71" t="s">
        <v>304</v>
      </c>
      <c r="K114" s="322"/>
      <c r="L114" s="323">
        <v>2496.92</v>
      </c>
      <c r="M114" s="163">
        <f>M113+K114-L114</f>
        <v>164191.72072000071</v>
      </c>
    </row>
    <row r="115" spans="1:13">
      <c r="A115" s="54" t="str">
        <f>D115&amp;E115&amp;F115</f>
        <v>FINANZASFONDO Y REPOSICIONFINANZAS</v>
      </c>
      <c r="B115" t="s">
        <v>212</v>
      </c>
      <c r="C115" s="1">
        <v>45698</v>
      </c>
      <c r="D115" s="71" t="s">
        <v>23</v>
      </c>
      <c r="E115" s="71" t="s">
        <v>120</v>
      </c>
      <c r="F115" s="70" t="s">
        <v>23</v>
      </c>
      <c r="G115" s="71" t="s">
        <v>216</v>
      </c>
      <c r="I115" s="138"/>
      <c r="J115" s="71" t="s">
        <v>305</v>
      </c>
      <c r="K115" s="322"/>
      <c r="L115" s="323">
        <v>50</v>
      </c>
      <c r="M115" s="163">
        <f>M114+K115-L115</f>
        <v>164141.72072000071</v>
      </c>
    </row>
    <row r="116" spans="1:13">
      <c r="A116" s="54" t="str">
        <f>D116&amp;E116&amp;F116</f>
        <v>HRUBERHR</v>
      </c>
      <c r="B116" t="s">
        <v>212</v>
      </c>
      <c r="C116" s="1">
        <v>45698</v>
      </c>
      <c r="D116" s="71" t="s">
        <v>29</v>
      </c>
      <c r="E116" s="71" t="s">
        <v>189</v>
      </c>
      <c r="F116" s="70" t="s">
        <v>29</v>
      </c>
      <c r="G116" s="71" t="s">
        <v>216</v>
      </c>
      <c r="I116" s="138"/>
      <c r="J116" s="76" t="s">
        <v>291</v>
      </c>
      <c r="K116" s="322"/>
      <c r="L116" s="525">
        <v>56</v>
      </c>
      <c r="M116" s="163">
        <f>M115+K116-L116</f>
        <v>164085.72072000071</v>
      </c>
    </row>
    <row r="117" spans="1:13">
      <c r="A117" s="54" t="str">
        <f>D117&amp;E117&amp;F117</f>
        <v>HRUBERHR</v>
      </c>
      <c r="B117" t="s">
        <v>212</v>
      </c>
      <c r="C117" s="1">
        <v>45698</v>
      </c>
      <c r="D117" s="71" t="s">
        <v>29</v>
      </c>
      <c r="E117" s="71" t="s">
        <v>189</v>
      </c>
      <c r="F117" s="70" t="s">
        <v>29</v>
      </c>
      <c r="G117" s="71" t="s">
        <v>216</v>
      </c>
      <c r="I117" s="138"/>
      <c r="J117" s="76" t="s">
        <v>306</v>
      </c>
      <c r="K117" s="322"/>
      <c r="L117" s="525">
        <v>293</v>
      </c>
      <c r="M117" s="163">
        <f>M116+K117-L117</f>
        <v>163792.72072000071</v>
      </c>
    </row>
    <row r="118" spans="1:13">
      <c r="A118" s="54" t="str">
        <f>D118&amp;E118&amp;F118</f>
        <v>HRUBERHR</v>
      </c>
      <c r="B118" t="s">
        <v>212</v>
      </c>
      <c r="C118" s="1">
        <v>45698</v>
      </c>
      <c r="D118" s="71" t="s">
        <v>29</v>
      </c>
      <c r="E118" s="71" t="s">
        <v>189</v>
      </c>
      <c r="F118" s="70" t="s">
        <v>29</v>
      </c>
      <c r="G118" s="71" t="s">
        <v>216</v>
      </c>
      <c r="I118" s="138"/>
      <c r="J118" s="76" t="s">
        <v>307</v>
      </c>
      <c r="K118" s="322"/>
      <c r="L118" s="525">
        <v>75</v>
      </c>
      <c r="M118" s="163">
        <f>M117+K118-L118</f>
        <v>163717.72072000071</v>
      </c>
    </row>
    <row r="119" spans="1:13">
      <c r="A119" s="54" t="str">
        <f>D119&amp;E119&amp;F119</f>
        <v>HRUBERHR</v>
      </c>
      <c r="B119" t="s">
        <v>212</v>
      </c>
      <c r="C119" s="1">
        <v>45698</v>
      </c>
      <c r="D119" s="71" t="s">
        <v>29</v>
      </c>
      <c r="E119" s="71" t="s">
        <v>189</v>
      </c>
      <c r="F119" s="70" t="s">
        <v>29</v>
      </c>
      <c r="G119" s="71" t="s">
        <v>216</v>
      </c>
      <c r="I119" s="138"/>
      <c r="J119" s="76" t="s">
        <v>308</v>
      </c>
      <c r="K119" s="322"/>
      <c r="L119" s="525">
        <v>142</v>
      </c>
      <c r="M119" s="163">
        <f>M118+K119-L119</f>
        <v>163575.72072000071</v>
      </c>
    </row>
    <row r="120" spans="1:13">
      <c r="A120" s="54" t="str">
        <f>D120&amp;E120&amp;F120</f>
        <v>HRMKTMKT HR</v>
      </c>
      <c r="B120" t="s">
        <v>212</v>
      </c>
      <c r="C120" s="1">
        <v>45698</v>
      </c>
      <c r="D120" s="71" t="s">
        <v>29</v>
      </c>
      <c r="E120" s="71" t="s">
        <v>19</v>
      </c>
      <c r="F120" s="70" t="s">
        <v>138</v>
      </c>
      <c r="G120" s="71" t="s">
        <v>216</v>
      </c>
      <c r="I120" s="138"/>
      <c r="J120" s="76" t="s">
        <v>309</v>
      </c>
      <c r="K120" s="322"/>
      <c r="L120" s="327">
        <v>550</v>
      </c>
      <c r="M120" s="163">
        <f>M119+K120-L120</f>
        <v>163025.72072000071</v>
      </c>
    </row>
    <row r="121" spans="1:13">
      <c r="A121" s="54" t="str">
        <f>D121&amp;E121&amp;F121</f>
        <v>HRJMASA14</v>
      </c>
      <c r="B121" t="s">
        <v>212</v>
      </c>
      <c r="C121" s="1">
        <v>45698</v>
      </c>
      <c r="D121" s="71" t="s">
        <v>29</v>
      </c>
      <c r="E121" s="71" t="s">
        <v>137</v>
      </c>
      <c r="F121" s="70" t="s">
        <v>99</v>
      </c>
      <c r="G121" s="71" t="s">
        <v>216</v>
      </c>
      <c r="I121" s="138"/>
      <c r="J121" s="76" t="s">
        <v>310</v>
      </c>
      <c r="K121" s="322"/>
      <c r="L121" s="327">
        <v>417</v>
      </c>
      <c r="M121" s="163">
        <f>M120+K121-L121</f>
        <v>162608.72072000071</v>
      </c>
    </row>
    <row r="122" spans="1:13">
      <c r="A122" s="54" t="str">
        <f>D122&amp;E122&amp;F122</f>
        <v>HRINSUMOSHR</v>
      </c>
      <c r="B122" t="s">
        <v>212</v>
      </c>
      <c r="C122" s="1">
        <v>45698</v>
      </c>
      <c r="D122" s="71" t="s">
        <v>29</v>
      </c>
      <c r="E122" s="71" t="s">
        <v>133</v>
      </c>
      <c r="F122" s="70" t="s">
        <v>29</v>
      </c>
      <c r="G122" s="71" t="s">
        <v>216</v>
      </c>
      <c r="I122" s="138"/>
      <c r="J122" s="76" t="s">
        <v>311</v>
      </c>
      <c r="K122" s="322"/>
      <c r="L122" s="327">
        <v>200</v>
      </c>
      <c r="M122" s="163">
        <f>M121+K122-L122</f>
        <v>162408.72072000071</v>
      </c>
    </row>
    <row r="123" spans="1:13">
      <c r="A123" s="54" t="str">
        <f>D123&amp;E123&amp;F123</f>
        <v>HRNOMINA SUCURSALA17</v>
      </c>
      <c r="B123" t="s">
        <v>212</v>
      </c>
      <c r="C123" s="1">
        <v>45698</v>
      </c>
      <c r="D123" s="71" t="s">
        <v>29</v>
      </c>
      <c r="E123" s="71" t="s">
        <v>154</v>
      </c>
      <c r="F123" s="70" t="s">
        <v>102</v>
      </c>
      <c r="G123" s="71" t="s">
        <v>216</v>
      </c>
      <c r="I123" s="138"/>
      <c r="J123" s="76" t="s">
        <v>312</v>
      </c>
      <c r="K123" s="322"/>
      <c r="L123" s="327">
        <v>1415</v>
      </c>
      <c r="M123" s="163">
        <f>M122+K123-L123</f>
        <v>160993.72072000071</v>
      </c>
    </row>
    <row r="124" spans="1:13">
      <c r="A124" s="54" t="str">
        <f>D124&amp;E124&amp;F124</f>
        <v>HRNOMINA SUCURSALA17</v>
      </c>
      <c r="B124" t="s">
        <v>212</v>
      </c>
      <c r="C124" s="1">
        <v>45698</v>
      </c>
      <c r="D124" s="71" t="s">
        <v>29</v>
      </c>
      <c r="E124" s="71" t="s">
        <v>154</v>
      </c>
      <c r="F124" s="70" t="s">
        <v>102</v>
      </c>
      <c r="G124" s="71" t="s">
        <v>216</v>
      </c>
      <c r="I124" s="138"/>
      <c r="J124" s="76" t="s">
        <v>312</v>
      </c>
      <c r="K124" s="322"/>
      <c r="L124" s="327">
        <v>90</v>
      </c>
      <c r="M124" s="163">
        <f>M123+K124-L124</f>
        <v>160903.72072000071</v>
      </c>
    </row>
    <row r="125" spans="1:13">
      <c r="A125" s="54" t="str">
        <f>D125&amp;E125&amp;F125</f>
        <v>HRJMASA23</v>
      </c>
      <c r="B125" t="s">
        <v>212</v>
      </c>
      <c r="C125" s="1">
        <v>45698</v>
      </c>
      <c r="D125" s="71" t="s">
        <v>29</v>
      </c>
      <c r="E125" s="71" t="s">
        <v>137</v>
      </c>
      <c r="F125" s="70" t="s">
        <v>105</v>
      </c>
      <c r="G125" s="71" t="s">
        <v>216</v>
      </c>
      <c r="I125" s="138"/>
      <c r="J125" s="76" t="s">
        <v>313</v>
      </c>
      <c r="K125" s="322"/>
      <c r="L125" s="327">
        <v>1954</v>
      </c>
      <c r="M125" s="163">
        <f>M124+K125-L125</f>
        <v>158949.72072000071</v>
      </c>
    </row>
    <row r="126" spans="1:13">
      <c r="A126" s="54" t="str">
        <f>D126&amp;E126&amp;F126</f>
        <v>CAPUBERCAP</v>
      </c>
      <c r="B126" t="s">
        <v>212</v>
      </c>
      <c r="C126" s="1">
        <v>45698</v>
      </c>
      <c r="D126" s="71" t="s">
        <v>31</v>
      </c>
      <c r="E126" s="71" t="s">
        <v>189</v>
      </c>
      <c r="F126" s="70" t="s">
        <v>31</v>
      </c>
      <c r="G126" s="71" t="s">
        <v>216</v>
      </c>
      <c r="I126" s="138"/>
      <c r="J126" s="76" t="s">
        <v>253</v>
      </c>
      <c r="K126" s="322"/>
      <c r="L126" s="525">
        <v>2100</v>
      </c>
      <c r="M126" s="163">
        <f>M125+K126-L126</f>
        <v>156849.72072000071</v>
      </c>
    </row>
    <row r="127" spans="1:13">
      <c r="A127" s="54" t="str">
        <f>D127&amp;E127&amp;F127</f>
        <v>CAPUBERCAP</v>
      </c>
      <c r="B127" t="s">
        <v>212</v>
      </c>
      <c r="C127" s="1">
        <v>45698</v>
      </c>
      <c r="D127" s="71" t="s">
        <v>31</v>
      </c>
      <c r="E127" s="71" t="s">
        <v>189</v>
      </c>
      <c r="F127" s="70" t="s">
        <v>31</v>
      </c>
      <c r="G127" s="71" t="s">
        <v>216</v>
      </c>
      <c r="I127" s="138"/>
      <c r="J127" s="76" t="s">
        <v>280</v>
      </c>
      <c r="K127" s="322"/>
      <c r="L127" s="525">
        <v>455</v>
      </c>
      <c r="M127" s="163">
        <f>M126+K127-L127</f>
        <v>156394.72072000071</v>
      </c>
    </row>
    <row r="128" spans="1:13">
      <c r="A128" s="54" t="str">
        <f>D128&amp;E128&amp;F128</f>
        <v>CAPNOMINA SUCURSALE5</v>
      </c>
      <c r="B128" t="s">
        <v>212</v>
      </c>
      <c r="C128" s="1">
        <v>45698</v>
      </c>
      <c r="D128" s="71" t="s">
        <v>31</v>
      </c>
      <c r="E128" s="71" t="s">
        <v>154</v>
      </c>
      <c r="F128" s="70" t="s">
        <v>111</v>
      </c>
      <c r="G128" s="71" t="s">
        <v>216</v>
      </c>
      <c r="I128" s="138"/>
      <c r="J128" s="76" t="s">
        <v>314</v>
      </c>
      <c r="K128" s="322"/>
      <c r="L128" s="327">
        <v>372</v>
      </c>
      <c r="M128" s="163">
        <f>M127+K128-L128</f>
        <v>156022.72072000071</v>
      </c>
    </row>
    <row r="129" spans="1:13">
      <c r="A129" s="54" t="str">
        <f>D129&amp;E129&amp;F129</f>
        <v>CAPJMASE6</v>
      </c>
      <c r="B129" t="s">
        <v>212</v>
      </c>
      <c r="C129" s="1">
        <v>45698</v>
      </c>
      <c r="D129" s="71" t="s">
        <v>31</v>
      </c>
      <c r="E129" s="71" t="s">
        <v>137</v>
      </c>
      <c r="F129" s="70" t="s">
        <v>112</v>
      </c>
      <c r="G129" s="71" t="s">
        <v>216</v>
      </c>
      <c r="I129" s="138"/>
      <c r="J129" s="76" t="s">
        <v>315</v>
      </c>
      <c r="K129" s="322"/>
      <c r="L129" s="327">
        <v>732</v>
      </c>
      <c r="M129" s="163">
        <f>M128+K129-L129</f>
        <v>155290.72072000071</v>
      </c>
    </row>
    <row r="130" spans="1:13">
      <c r="A130" s="54" t="str">
        <f t="shared" si="1"/>
        <v/>
      </c>
      <c r="B130" t="s">
        <v>212</v>
      </c>
      <c r="C130" s="1">
        <v>45698</v>
      </c>
      <c r="D130" s="71"/>
      <c r="F130" s="70"/>
      <c r="I130" s="138"/>
      <c r="J130" s="76" t="s">
        <v>316</v>
      </c>
      <c r="K130" s="322">
        <v>2202.46</v>
      </c>
      <c r="L130" s="322"/>
      <c r="M130" s="163">
        <f>M129+K130-L130</f>
        <v>157493.1807200007</v>
      </c>
    </row>
    <row r="131" spans="1:13">
      <c r="A131" s="54" t="str">
        <f t="shared" si="1"/>
        <v/>
      </c>
      <c r="B131" t="s">
        <v>212</v>
      </c>
      <c r="C131" s="1">
        <v>45699</v>
      </c>
      <c r="D131" s="71"/>
      <c r="F131" s="70"/>
      <c r="I131" s="138"/>
      <c r="J131" s="211" t="s">
        <v>260</v>
      </c>
      <c r="K131" s="322">
        <v>147909.12</v>
      </c>
      <c r="L131" s="180"/>
      <c r="M131" s="163">
        <f>M130+K131-L131</f>
        <v>305402.3007200007</v>
      </c>
    </row>
    <row r="132" spans="1:13">
      <c r="A132" s="54" t="str">
        <f>D132&amp;E132&amp;F132</f>
        <v>FINANZASCOMISIONES BANCARIASTPV</v>
      </c>
      <c r="B132" t="s">
        <v>212</v>
      </c>
      <c r="C132" s="1">
        <v>45699</v>
      </c>
      <c r="D132" s="71" t="s">
        <v>23</v>
      </c>
      <c r="E132" s="71" t="s">
        <v>48</v>
      </c>
      <c r="F132" s="70" t="s">
        <v>50</v>
      </c>
      <c r="G132" s="71" t="s">
        <v>216</v>
      </c>
      <c r="I132" s="138"/>
      <c r="J132" s="73" t="s">
        <v>217</v>
      </c>
      <c r="K132" s="322"/>
      <c r="L132" s="323">
        <f>20.91+67.13+1067.51+1153.99</f>
        <v>2309.54</v>
      </c>
      <c r="M132" s="163">
        <f>M131+K132-L132</f>
        <v>303092.76072000072</v>
      </c>
    </row>
    <row r="133" spans="1:13">
      <c r="A133" s="54" t="str">
        <f t="shared" si="1"/>
        <v/>
      </c>
      <c r="B133" t="s">
        <v>212</v>
      </c>
      <c r="C133" s="1">
        <v>45699</v>
      </c>
      <c r="D133" s="71"/>
      <c r="F133" s="70"/>
      <c r="I133" s="207" t="s">
        <v>221</v>
      </c>
      <c r="J133" s="205" t="s">
        <v>222</v>
      </c>
      <c r="K133" s="206"/>
      <c r="L133" s="206">
        <v>207000</v>
      </c>
      <c r="M133" s="163">
        <f>M132+K133-L133</f>
        <v>96092.760720000719</v>
      </c>
    </row>
    <row r="134" spans="1:13">
      <c r="A134" s="54" t="str">
        <f t="shared" si="1"/>
        <v/>
      </c>
      <c r="B134" t="s">
        <v>212</v>
      </c>
      <c r="C134" s="1">
        <v>45699</v>
      </c>
      <c r="D134" s="71"/>
      <c r="F134" s="70"/>
      <c r="I134" s="138" t="s">
        <v>317</v>
      </c>
      <c r="J134" s="205" t="s">
        <v>318</v>
      </c>
      <c r="K134" s="206"/>
      <c r="L134" s="206">
        <v>7900</v>
      </c>
      <c r="M134" s="163">
        <f>M133+K134-L134</f>
        <v>88192.760720000719</v>
      </c>
    </row>
    <row r="135" spans="1:13">
      <c r="A135" s="54" t="str">
        <f>D135&amp;E135&amp;F135</f>
        <v>HRFONDO Y REPOSICIONHR</v>
      </c>
      <c r="B135" t="s">
        <v>212</v>
      </c>
      <c r="C135" s="1">
        <v>45699</v>
      </c>
      <c r="D135" s="71" t="s">
        <v>29</v>
      </c>
      <c r="E135" s="71" t="s">
        <v>120</v>
      </c>
      <c r="F135" s="70" t="s">
        <v>29</v>
      </c>
      <c r="G135" s="71" t="s">
        <v>216</v>
      </c>
      <c r="I135" s="138"/>
      <c r="J135" s="71" t="s">
        <v>319</v>
      </c>
      <c r="K135" s="322"/>
      <c r="L135" s="323">
        <v>362</v>
      </c>
      <c r="M135" s="163">
        <f>M134+K135-L135</f>
        <v>87830.760720000719</v>
      </c>
    </row>
    <row r="136" spans="1:13">
      <c r="A136" s="54" t="str">
        <f>D136&amp;E136&amp;F136</f>
        <v>SERVICIOSADQ DE EQ TECNOLOGICOADQ DE EQ TECNOLOGICO</v>
      </c>
      <c r="B136" t="s">
        <v>212</v>
      </c>
      <c r="C136" s="1">
        <v>45699</v>
      </c>
      <c r="D136" s="71" t="s">
        <v>21</v>
      </c>
      <c r="E136" s="71" t="s">
        <v>22</v>
      </c>
      <c r="F136" s="217" t="s">
        <v>22</v>
      </c>
      <c r="G136" s="71" t="s">
        <v>216</v>
      </c>
      <c r="I136" s="138"/>
      <c r="J136" s="71" t="s">
        <v>320</v>
      </c>
      <c r="K136" s="322"/>
      <c r="L136" s="323">
        <v>2869.15</v>
      </c>
      <c r="M136" s="163">
        <f>M135+K136-L136</f>
        <v>84961.610720000725</v>
      </c>
    </row>
    <row r="137" spans="1:13">
      <c r="A137" s="54" t="str">
        <f>D137&amp;E137&amp;F137</f>
        <v>FINANZASSEGUROEQ. DE TRANSPORTE</v>
      </c>
      <c r="B137" t="s">
        <v>212</v>
      </c>
      <c r="C137" s="1">
        <v>45699</v>
      </c>
      <c r="D137" s="71" t="s">
        <v>23</v>
      </c>
      <c r="E137" s="71" t="s">
        <v>173</v>
      </c>
      <c r="F137" s="70" t="s">
        <v>175</v>
      </c>
      <c r="G137" s="71" t="s">
        <v>216</v>
      </c>
      <c r="I137" s="138"/>
      <c r="J137" s="71" t="s">
        <v>321</v>
      </c>
      <c r="K137" s="322"/>
      <c r="L137" s="323">
        <v>35637</v>
      </c>
      <c r="M137" s="163">
        <f>M136+K137-L137</f>
        <v>49324.610720000725</v>
      </c>
    </row>
    <row r="138" spans="1:13">
      <c r="A138" s="54" t="str">
        <f>D138&amp;E138&amp;F138</f>
        <v>CAPIMAGEN VISUALIMAGEN VISUAL CAP</v>
      </c>
      <c r="B138" t="s">
        <v>212</v>
      </c>
      <c r="C138" s="1">
        <v>45699</v>
      </c>
      <c r="D138" s="71" t="s">
        <v>31</v>
      </c>
      <c r="E138" s="71" t="s">
        <v>127</v>
      </c>
      <c r="F138" s="70" t="s">
        <v>129</v>
      </c>
      <c r="G138" s="71" t="s">
        <v>216</v>
      </c>
      <c r="I138" s="138"/>
      <c r="J138" s="71" t="s">
        <v>322</v>
      </c>
      <c r="K138" s="322"/>
      <c r="L138" s="323">
        <v>1014.42</v>
      </c>
      <c r="M138" s="163">
        <f>M137+K138-L138</f>
        <v>48310.190720000726</v>
      </c>
    </row>
    <row r="139" spans="1:13">
      <c r="A139" s="54" t="str">
        <f>D139&amp;E139&amp;F139</f>
        <v>CAPFONDO Y REPOSICIONCAPRICHOS</v>
      </c>
      <c r="B139" t="s">
        <v>212</v>
      </c>
      <c r="C139" s="1">
        <v>45699</v>
      </c>
      <c r="D139" s="71" t="s">
        <v>31</v>
      </c>
      <c r="E139" s="71" t="s">
        <v>120</v>
      </c>
      <c r="F139" s="70" t="s">
        <v>33</v>
      </c>
      <c r="G139" s="71" t="s">
        <v>216</v>
      </c>
      <c r="I139" s="138"/>
      <c r="J139" s="71" t="s">
        <v>323</v>
      </c>
      <c r="K139" s="322"/>
      <c r="L139" s="323">
        <v>2385</v>
      </c>
      <c r="M139" s="163">
        <f>M138+K139-L139</f>
        <v>45925.190720000726</v>
      </c>
    </row>
    <row r="140" spans="1:13">
      <c r="A140" s="54" t="str">
        <f>D140&amp;E140&amp;F140</f>
        <v>HRFONDO Y REPOSICIONHR</v>
      </c>
      <c r="B140" t="s">
        <v>212</v>
      </c>
      <c r="C140" s="1">
        <v>45699</v>
      </c>
      <c r="D140" s="71" t="s">
        <v>29</v>
      </c>
      <c r="E140" s="71" t="s">
        <v>120</v>
      </c>
      <c r="F140" s="70" t="s">
        <v>29</v>
      </c>
      <c r="G140" s="71" t="s">
        <v>216</v>
      </c>
      <c r="I140" s="138"/>
      <c r="J140" s="71" t="s">
        <v>265</v>
      </c>
      <c r="K140" s="322"/>
      <c r="L140" s="323">
        <v>1715</v>
      </c>
      <c r="M140" s="163">
        <f>M139+K140-L140</f>
        <v>44210.190720000726</v>
      </c>
    </row>
    <row r="141" spans="1:13">
      <c r="A141" s="54" t="str">
        <f>D141&amp;E141&amp;F141</f>
        <v>HRFONDO Y REPOSICIONHR</v>
      </c>
      <c r="B141" t="s">
        <v>212</v>
      </c>
      <c r="C141" s="1">
        <v>45699</v>
      </c>
      <c r="D141" s="71" t="s">
        <v>29</v>
      </c>
      <c r="E141" s="71" t="s">
        <v>120</v>
      </c>
      <c r="F141" s="70" t="s">
        <v>29</v>
      </c>
      <c r="G141" s="71" t="s">
        <v>216</v>
      </c>
      <c r="I141" s="138"/>
      <c r="J141" s="71" t="s">
        <v>267</v>
      </c>
      <c r="K141" s="322"/>
      <c r="L141" s="323">
        <v>5629</v>
      </c>
      <c r="M141" s="163">
        <f>M140+K141-L141</f>
        <v>38581.190720000726</v>
      </c>
    </row>
    <row r="142" spans="1:13">
      <c r="A142" s="54" t="str">
        <f>D142&amp;E142&amp;F142</f>
        <v>HRFONDO Y REPOSICIONHR</v>
      </c>
      <c r="B142" t="s">
        <v>212</v>
      </c>
      <c r="C142" s="1">
        <v>45699</v>
      </c>
      <c r="D142" s="71" t="s">
        <v>29</v>
      </c>
      <c r="E142" s="71" t="s">
        <v>120</v>
      </c>
      <c r="F142" s="70" t="s">
        <v>29</v>
      </c>
      <c r="G142" s="71" t="s">
        <v>216</v>
      </c>
      <c r="I142" s="138"/>
      <c r="J142" s="71" t="s">
        <v>268</v>
      </c>
      <c r="K142" s="322"/>
      <c r="L142" s="323">
        <v>3703</v>
      </c>
      <c r="M142" s="163">
        <f>M141+K142-L142</f>
        <v>34878.190720000726</v>
      </c>
    </row>
    <row r="143" spans="1:13">
      <c r="A143" s="54" t="str">
        <f>D143&amp;E143&amp;F143</f>
        <v>CAPVIATICOSCAPRICHOS</v>
      </c>
      <c r="B143" t="s">
        <v>212</v>
      </c>
      <c r="C143" s="1">
        <v>45699</v>
      </c>
      <c r="D143" s="71" t="s">
        <v>31</v>
      </c>
      <c r="E143" s="71" t="s">
        <v>191</v>
      </c>
      <c r="F143" s="70" t="s">
        <v>33</v>
      </c>
      <c r="G143" s="71" t="s">
        <v>216</v>
      </c>
      <c r="I143" s="138"/>
      <c r="J143" s="71" t="s">
        <v>324</v>
      </c>
      <c r="K143" s="322"/>
      <c r="L143" s="323">
        <v>1000</v>
      </c>
      <c r="M143" s="163">
        <f>M142+K143-L143</f>
        <v>33878.190720000726</v>
      </c>
    </row>
    <row r="144" spans="1:13">
      <c r="A144" s="54" t="str">
        <f>D144&amp;E144&amp;F144</f>
        <v>SERVICIOSMTTO DE EDIFICIOMANTENIMIENTO</v>
      </c>
      <c r="B144" t="s">
        <v>212</v>
      </c>
      <c r="C144" s="1">
        <v>45699</v>
      </c>
      <c r="D144" s="71" t="s">
        <v>21</v>
      </c>
      <c r="E144" s="71" t="s">
        <v>142</v>
      </c>
      <c r="F144" s="70" t="s">
        <v>35</v>
      </c>
      <c r="G144" s="71" t="s">
        <v>216</v>
      </c>
      <c r="I144" s="138"/>
      <c r="J144" s="71" t="s">
        <v>325</v>
      </c>
      <c r="K144" s="322"/>
      <c r="L144" s="323">
        <v>4500</v>
      </c>
      <c r="M144" s="163">
        <f>M143+K144-L144</f>
        <v>29378.190720000726</v>
      </c>
    </row>
    <row r="145" spans="1:13">
      <c r="A145" s="54" t="str">
        <f>D145&amp;E145&amp;F145</f>
        <v>SERVICIOSVIATICOSCEDIS</v>
      </c>
      <c r="B145" t="s">
        <v>212</v>
      </c>
      <c r="C145" s="1">
        <v>45699</v>
      </c>
      <c r="D145" s="71" t="s">
        <v>21</v>
      </c>
      <c r="E145" s="71" t="s">
        <v>191</v>
      </c>
      <c r="F145" s="70" t="s">
        <v>28</v>
      </c>
      <c r="G145" s="71" t="s">
        <v>216</v>
      </c>
      <c r="I145" s="138"/>
      <c r="J145" s="71" t="s">
        <v>326</v>
      </c>
      <c r="K145" s="322"/>
      <c r="L145" s="323">
        <v>700</v>
      </c>
      <c r="M145" s="163">
        <f>M144+K145-L145</f>
        <v>28678.190720000726</v>
      </c>
    </row>
    <row r="146" spans="1:13">
      <c r="A146" s="54" t="str">
        <f>D146&amp;E146&amp;F146</f>
        <v>FINANZASCOMBUSTIBLEFINANZAS</v>
      </c>
      <c r="B146" t="s">
        <v>212</v>
      </c>
      <c r="C146" s="1">
        <v>45699</v>
      </c>
      <c r="D146" s="71" t="s">
        <v>23</v>
      </c>
      <c r="E146" s="71" t="s">
        <v>32</v>
      </c>
      <c r="F146" s="70" t="s">
        <v>23</v>
      </c>
      <c r="G146" s="71" t="s">
        <v>258</v>
      </c>
      <c r="I146" s="138"/>
      <c r="J146" s="71" t="s">
        <v>327</v>
      </c>
      <c r="K146" s="322"/>
      <c r="L146" s="323">
        <v>200</v>
      </c>
      <c r="M146" s="163">
        <f>M145+K146-L146</f>
        <v>28478.190720000726</v>
      </c>
    </row>
    <row r="147" spans="1:13">
      <c r="A147" s="54" t="str">
        <f>D147&amp;E147&amp;F147</f>
        <v>FINANZASINSUMOSFINANZAS</v>
      </c>
      <c r="B147" t="s">
        <v>212</v>
      </c>
      <c r="C147" s="1">
        <v>45699</v>
      </c>
      <c r="D147" s="71" t="s">
        <v>23</v>
      </c>
      <c r="E147" s="71" t="s">
        <v>133</v>
      </c>
      <c r="F147" s="70" t="s">
        <v>23</v>
      </c>
      <c r="G147" s="71" t="s">
        <v>216</v>
      </c>
      <c r="I147" s="138"/>
      <c r="J147" s="71" t="s">
        <v>328</v>
      </c>
      <c r="K147" s="322"/>
      <c r="L147" s="323">
        <v>872</v>
      </c>
      <c r="M147" s="163">
        <f>M146+K147-L147</f>
        <v>27606.190720000726</v>
      </c>
    </row>
    <row r="148" spans="1:13">
      <c r="A148" s="54" t="str">
        <f>D148&amp;E148&amp;F148</f>
        <v>FINANZASVIATICOSFINANZAS</v>
      </c>
      <c r="B148" t="s">
        <v>212</v>
      </c>
      <c r="C148" s="1">
        <v>45699</v>
      </c>
      <c r="D148" s="71" t="s">
        <v>23</v>
      </c>
      <c r="E148" s="71" t="s">
        <v>191</v>
      </c>
      <c r="F148" s="70" t="s">
        <v>23</v>
      </c>
      <c r="G148" s="71" t="s">
        <v>216</v>
      </c>
      <c r="I148" s="138"/>
      <c r="J148" s="71" t="s">
        <v>329</v>
      </c>
      <c r="K148" s="322"/>
      <c r="L148" s="323">
        <v>1000</v>
      </c>
      <c r="M148" s="163">
        <f>M147+K148-L148</f>
        <v>26606.190720000726</v>
      </c>
    </row>
    <row r="149" spans="1:13">
      <c r="A149" s="54" t="str">
        <f>D149&amp;E149&amp;F149</f>
        <v>FINANZASFONDO Y REPOSICIONFINANZAS</v>
      </c>
      <c r="B149" t="s">
        <v>212</v>
      </c>
      <c r="C149" s="1">
        <v>45699</v>
      </c>
      <c r="D149" s="71" t="s">
        <v>23</v>
      </c>
      <c r="E149" s="71" t="s">
        <v>120</v>
      </c>
      <c r="F149" s="70" t="s">
        <v>23</v>
      </c>
      <c r="G149" s="71" t="s">
        <v>216</v>
      </c>
      <c r="I149" s="138"/>
      <c r="J149" s="71" t="s">
        <v>330</v>
      </c>
      <c r="K149" s="322"/>
      <c r="L149" s="323">
        <v>1000</v>
      </c>
      <c r="M149" s="163">
        <f>M148+K149-L149</f>
        <v>25606.190720000726</v>
      </c>
    </row>
    <row r="150" spans="1:13">
      <c r="A150" s="54" t="str">
        <f>D150&amp;E150&amp;F150</f>
        <v>FINANZASVIATICOSFINANZAS</v>
      </c>
      <c r="B150" t="s">
        <v>212</v>
      </c>
      <c r="C150" s="1">
        <v>45699</v>
      </c>
      <c r="D150" s="71" t="s">
        <v>23</v>
      </c>
      <c r="E150" s="71" t="s">
        <v>191</v>
      </c>
      <c r="F150" s="70" t="s">
        <v>23</v>
      </c>
      <c r="G150" s="71" t="s">
        <v>216</v>
      </c>
      <c r="I150" s="138"/>
      <c r="J150" s="71" t="s">
        <v>331</v>
      </c>
      <c r="K150" s="322"/>
      <c r="L150" s="323">
        <v>500</v>
      </c>
      <c r="M150" s="163">
        <f>M149+K150-L150</f>
        <v>25106.190720000726</v>
      </c>
    </row>
    <row r="151" spans="1:13">
      <c r="A151" s="54" t="str">
        <f>D151&amp;E151&amp;F151</f>
        <v>FINANZASSEGUROEQ. DE TRANSPORTE</v>
      </c>
      <c r="B151" t="s">
        <v>212</v>
      </c>
      <c r="C151" s="1">
        <v>45699</v>
      </c>
      <c r="D151" s="71" t="s">
        <v>23</v>
      </c>
      <c r="E151" s="71" t="s">
        <v>173</v>
      </c>
      <c r="F151" s="70" t="s">
        <v>175</v>
      </c>
      <c r="G151" s="71" t="s">
        <v>216</v>
      </c>
      <c r="I151" s="138"/>
      <c r="J151" s="71" t="s">
        <v>332</v>
      </c>
      <c r="K151" s="322"/>
      <c r="L151" s="323">
        <v>7129</v>
      </c>
      <c r="M151" s="163">
        <f>M150+K151-L151</f>
        <v>17977.190720000726</v>
      </c>
    </row>
    <row r="152" spans="1:13">
      <c r="A152" s="54" t="str">
        <f>D152&amp;E152&amp;F152</f>
        <v>SGEVIATICOSGESTION EMPRESARIAL</v>
      </c>
      <c r="B152" t="s">
        <v>212</v>
      </c>
      <c r="C152" s="1">
        <v>45699</v>
      </c>
      <c r="D152" s="71" t="s">
        <v>39</v>
      </c>
      <c r="E152" s="71" t="s">
        <v>191</v>
      </c>
      <c r="F152" s="217" t="s">
        <v>40</v>
      </c>
      <c r="G152" s="71" t="s">
        <v>216</v>
      </c>
      <c r="I152" s="138"/>
      <c r="J152" s="71" t="s">
        <v>333</v>
      </c>
      <c r="K152" s="322"/>
      <c r="L152" s="323">
        <v>2000</v>
      </c>
      <c r="M152" s="163">
        <f>M151+K152-L152</f>
        <v>15977.190720000726</v>
      </c>
    </row>
    <row r="153" spans="1:13">
      <c r="A153" s="54" t="str">
        <f>D153&amp;E153&amp;F153</f>
        <v>HRMKTMKT HR</v>
      </c>
      <c r="B153" t="s">
        <v>212</v>
      </c>
      <c r="C153" s="1">
        <v>45699</v>
      </c>
      <c r="D153" s="71" t="s">
        <v>29</v>
      </c>
      <c r="E153" s="71" t="s">
        <v>19</v>
      </c>
      <c r="F153" s="70" t="s">
        <v>138</v>
      </c>
      <c r="G153" s="71" t="s">
        <v>216</v>
      </c>
      <c r="I153" s="138"/>
      <c r="J153" s="71" t="s">
        <v>334</v>
      </c>
      <c r="K153" s="322"/>
      <c r="L153" s="323">
        <v>3200</v>
      </c>
      <c r="M153" s="163">
        <f>M152+K153-L153</f>
        <v>12777.190720000726</v>
      </c>
    </row>
    <row r="154" spans="1:13">
      <c r="A154" s="54" t="str">
        <f>D154&amp;E154&amp;F154</f>
        <v>HRUBERHR</v>
      </c>
      <c r="B154" t="s">
        <v>212</v>
      </c>
      <c r="C154" s="1">
        <v>45699</v>
      </c>
      <c r="D154" s="71" t="s">
        <v>29</v>
      </c>
      <c r="E154" s="71" t="s">
        <v>189</v>
      </c>
      <c r="F154" s="70" t="s">
        <v>29</v>
      </c>
      <c r="G154" s="71" t="s">
        <v>216</v>
      </c>
      <c r="I154" s="138"/>
      <c r="J154" s="76" t="s">
        <v>291</v>
      </c>
      <c r="K154" s="322"/>
      <c r="L154" s="525">
        <v>120</v>
      </c>
      <c r="M154" s="163">
        <f>M153+K154-L154</f>
        <v>12657.190720000726</v>
      </c>
    </row>
    <row r="155" spans="1:13">
      <c r="A155" s="54" t="str">
        <f>D155&amp;E155&amp;F155</f>
        <v>HRJMASA4</v>
      </c>
      <c r="B155" t="s">
        <v>212</v>
      </c>
      <c r="C155" s="1">
        <v>45699</v>
      </c>
      <c r="D155" s="71" t="s">
        <v>29</v>
      </c>
      <c r="E155" s="71" t="s">
        <v>137</v>
      </c>
      <c r="F155" s="70" t="s">
        <v>91</v>
      </c>
      <c r="G155" s="71" t="s">
        <v>216</v>
      </c>
      <c r="I155" s="138"/>
      <c r="J155" s="76" t="s">
        <v>335</v>
      </c>
      <c r="K155" s="322"/>
      <c r="L155" s="327">
        <v>522</v>
      </c>
      <c r="M155" s="163">
        <f>M154+K155-L155</f>
        <v>12135.190720000726</v>
      </c>
    </row>
    <row r="156" spans="1:13">
      <c r="A156" s="54" t="str">
        <f>D156&amp;E156&amp;F156</f>
        <v>HRUBERHR</v>
      </c>
      <c r="B156" t="s">
        <v>212</v>
      </c>
      <c r="C156" s="1">
        <v>45699</v>
      </c>
      <c r="D156" s="71" t="s">
        <v>29</v>
      </c>
      <c r="E156" s="71" t="s">
        <v>189</v>
      </c>
      <c r="F156" s="70" t="s">
        <v>29</v>
      </c>
      <c r="G156" s="71" t="s">
        <v>216</v>
      </c>
      <c r="I156" s="138"/>
      <c r="J156" s="76" t="s">
        <v>336</v>
      </c>
      <c r="K156" s="322"/>
      <c r="L156" s="525">
        <v>40</v>
      </c>
      <c r="M156" s="163">
        <f>M155+K156-L156</f>
        <v>12095.190720000726</v>
      </c>
    </row>
    <row r="157" spans="1:13">
      <c r="A157" s="54" t="str">
        <f>D157&amp;E157&amp;F157</f>
        <v>CAPNOMINA SUCURSALE2</v>
      </c>
      <c r="B157" t="s">
        <v>212</v>
      </c>
      <c r="C157" s="1">
        <v>45699</v>
      </c>
      <c r="D157" s="71" t="s">
        <v>31</v>
      </c>
      <c r="E157" s="71" t="s">
        <v>154</v>
      </c>
      <c r="F157" s="70" t="s">
        <v>108</v>
      </c>
      <c r="G157" s="71" t="s">
        <v>216</v>
      </c>
      <c r="I157" s="138"/>
      <c r="J157" s="76" t="s">
        <v>337</v>
      </c>
      <c r="K157" s="322"/>
      <c r="L157" s="327">
        <v>354</v>
      </c>
      <c r="M157" s="163">
        <f>M156+K157-L157</f>
        <v>11741.190720000726</v>
      </c>
    </row>
    <row r="158" spans="1:13">
      <c r="A158" s="54" t="str">
        <f>D158&amp;E158&amp;F158</f>
        <v>CAPUBERCAP</v>
      </c>
      <c r="B158" t="s">
        <v>212</v>
      </c>
      <c r="C158" s="1">
        <v>45699</v>
      </c>
      <c r="D158" s="71" t="s">
        <v>31</v>
      </c>
      <c r="E158" s="71" t="s">
        <v>189</v>
      </c>
      <c r="F158" s="70" t="s">
        <v>31</v>
      </c>
      <c r="G158" s="71" t="s">
        <v>216</v>
      </c>
      <c r="I158" s="138"/>
      <c r="J158" s="76" t="s">
        <v>253</v>
      </c>
      <c r="K158" s="322"/>
      <c r="L158" s="525">
        <v>610</v>
      </c>
      <c r="M158" s="163">
        <f>M157+K158-L158</f>
        <v>11131.190720000726</v>
      </c>
    </row>
    <row r="159" spans="1:13">
      <c r="A159" s="54" t="str">
        <f>D159&amp;E159&amp;F159</f>
        <v>CAPUBERCAP</v>
      </c>
      <c r="B159" t="s">
        <v>212</v>
      </c>
      <c r="C159" s="1">
        <v>45699</v>
      </c>
      <c r="D159" s="71" t="s">
        <v>31</v>
      </c>
      <c r="E159" s="71" t="s">
        <v>189</v>
      </c>
      <c r="F159" s="70" t="s">
        <v>31</v>
      </c>
      <c r="G159" s="71" t="s">
        <v>216</v>
      </c>
      <c r="I159" s="138"/>
      <c r="J159" s="71" t="s">
        <v>257</v>
      </c>
      <c r="K159" s="322"/>
      <c r="L159" s="525">
        <v>133</v>
      </c>
      <c r="M159" s="163">
        <f>M158+K159-L159</f>
        <v>10998.190720000726</v>
      </c>
    </row>
    <row r="160" spans="1:13">
      <c r="A160" s="54" t="str">
        <f t="shared" ref="A135:A198" si="2">D160&amp;E160&amp;F160</f>
        <v/>
      </c>
      <c r="B160" t="s">
        <v>212</v>
      </c>
      <c r="C160" s="1">
        <v>45700</v>
      </c>
      <c r="D160" s="71"/>
      <c r="F160" s="70"/>
      <c r="I160" s="138"/>
      <c r="J160" s="71" t="s">
        <v>260</v>
      </c>
      <c r="K160" s="322">
        <v>159011.32</v>
      </c>
      <c r="L160" s="180"/>
      <c r="M160" s="163">
        <f>M159+K160-L160</f>
        <v>170009.51072000072</v>
      </c>
    </row>
    <row r="161" spans="1:13">
      <c r="A161" s="54" t="str">
        <f>D161&amp;E161&amp;F161</f>
        <v>FINANZASCOMISIONES BANCARIASTPV</v>
      </c>
      <c r="B161" t="s">
        <v>212</v>
      </c>
      <c r="C161" s="1">
        <v>45700</v>
      </c>
      <c r="D161" s="71" t="s">
        <v>23</v>
      </c>
      <c r="E161" s="71" t="s">
        <v>48</v>
      </c>
      <c r="F161" s="70" t="s">
        <v>50</v>
      </c>
      <c r="G161" s="71" t="s">
        <v>216</v>
      </c>
      <c r="I161" s="138"/>
      <c r="J161" s="71" t="s">
        <v>217</v>
      </c>
      <c r="K161" s="322"/>
      <c r="L161" s="323">
        <f>78.83+24.31+233.4+1344.87+1167.16</f>
        <v>2848.5699999999997</v>
      </c>
      <c r="M161" s="163">
        <f>M160+K161-L161</f>
        <v>167160.94072000071</v>
      </c>
    </row>
    <row r="162" spans="1:13">
      <c r="A162" s="54" t="str">
        <f t="shared" si="2"/>
        <v/>
      </c>
      <c r="B162" t="s">
        <v>212</v>
      </c>
      <c r="C162" s="1">
        <v>45700</v>
      </c>
      <c r="D162" s="71"/>
      <c r="F162" s="70"/>
      <c r="I162" s="138" t="s">
        <v>219</v>
      </c>
      <c r="J162" s="205" t="s">
        <v>220</v>
      </c>
      <c r="K162" s="206"/>
      <c r="L162" s="206">
        <v>150000</v>
      </c>
      <c r="M162" s="163">
        <f>M161+K162-L162</f>
        <v>17160.940720000712</v>
      </c>
    </row>
    <row r="163" spans="1:13">
      <c r="A163" s="54" t="str">
        <f>D163&amp;E163&amp;F163</f>
        <v>SGEVIATICOSGESTION EMPRESARIAL</v>
      </c>
      <c r="B163" t="s">
        <v>212</v>
      </c>
      <c r="C163" s="1">
        <v>45700</v>
      </c>
      <c r="D163" s="71" t="s">
        <v>39</v>
      </c>
      <c r="E163" s="71" t="s">
        <v>191</v>
      </c>
      <c r="F163" s="217" t="s">
        <v>40</v>
      </c>
      <c r="G163" s="71" t="s">
        <v>216</v>
      </c>
      <c r="I163" s="138"/>
      <c r="J163" s="71" t="s">
        <v>338</v>
      </c>
      <c r="K163" s="322"/>
      <c r="L163" s="323">
        <v>1800</v>
      </c>
      <c r="M163" s="163">
        <f>M162+K163-L163</f>
        <v>15360.940720000712</v>
      </c>
    </row>
    <row r="164" spans="1:13">
      <c r="A164" s="54" t="str">
        <f>D164&amp;E164&amp;F164</f>
        <v>HRVIATICOSHR</v>
      </c>
      <c r="B164" t="s">
        <v>212</v>
      </c>
      <c r="C164" s="1">
        <v>45700</v>
      </c>
      <c r="D164" s="71" t="s">
        <v>29</v>
      </c>
      <c r="E164" s="71" t="s">
        <v>191</v>
      </c>
      <c r="F164" s="70" t="s">
        <v>29</v>
      </c>
      <c r="G164" s="71" t="s">
        <v>216</v>
      </c>
      <c r="I164" s="138"/>
      <c r="J164" s="71" t="s">
        <v>339</v>
      </c>
      <c r="K164" s="322"/>
      <c r="L164" s="323">
        <v>2400</v>
      </c>
      <c r="M164" s="163">
        <f>M163+K164-L164</f>
        <v>12960.940720000712</v>
      </c>
    </row>
    <row r="165" spans="1:13">
      <c r="A165" s="54" t="str">
        <f>D165&amp;E165&amp;F165</f>
        <v>DEFONDO Y REPOSICIONDIRECCION</v>
      </c>
      <c r="B165" t="s">
        <v>212</v>
      </c>
      <c r="C165" s="1">
        <v>45700</v>
      </c>
      <c r="D165" s="71" t="s">
        <v>41</v>
      </c>
      <c r="E165" s="71" t="s">
        <v>120</v>
      </c>
      <c r="F165" s="70" t="s">
        <v>42</v>
      </c>
      <c r="G165" s="71" t="s">
        <v>258</v>
      </c>
      <c r="I165" s="138"/>
      <c r="J165" s="71" t="s">
        <v>340</v>
      </c>
      <c r="K165" s="322"/>
      <c r="L165" s="323">
        <v>500</v>
      </c>
      <c r="M165" s="163">
        <f>M164+K165-L165</f>
        <v>12460.940720000712</v>
      </c>
    </row>
    <row r="166" spans="1:13">
      <c r="A166" s="54" t="str">
        <f>D166&amp;E166&amp;F166</f>
        <v>HRUBERHR</v>
      </c>
      <c r="B166" t="s">
        <v>212</v>
      </c>
      <c r="C166" s="1">
        <v>45700</v>
      </c>
      <c r="D166" s="71" t="s">
        <v>29</v>
      </c>
      <c r="E166" s="71" t="s">
        <v>189</v>
      </c>
      <c r="F166" s="70" t="s">
        <v>29</v>
      </c>
      <c r="G166" s="71" t="s">
        <v>216</v>
      </c>
      <c r="I166" s="138"/>
      <c r="J166" s="76" t="s">
        <v>341</v>
      </c>
      <c r="K166" s="322"/>
      <c r="L166" s="525">
        <v>60</v>
      </c>
      <c r="M166" s="163">
        <f>M165+K166-L166</f>
        <v>12400.940720000712</v>
      </c>
    </row>
    <row r="167" spans="1:13">
      <c r="A167" s="54" t="str">
        <f>D167&amp;E167&amp;F167</f>
        <v>CAPUBERCAP</v>
      </c>
      <c r="B167" t="s">
        <v>212</v>
      </c>
      <c r="C167" s="1">
        <v>45700</v>
      </c>
      <c r="D167" s="71" t="s">
        <v>31</v>
      </c>
      <c r="E167" s="71" t="s">
        <v>189</v>
      </c>
      <c r="F167" s="70" t="s">
        <v>31</v>
      </c>
      <c r="G167" s="71" t="s">
        <v>216</v>
      </c>
      <c r="I167" s="138"/>
      <c r="J167" s="76" t="s">
        <v>253</v>
      </c>
      <c r="K167" s="322"/>
      <c r="L167" s="525">
        <v>340</v>
      </c>
      <c r="M167" s="163">
        <f>M166+K167-L167</f>
        <v>12060.940720000712</v>
      </c>
    </row>
    <row r="168" spans="1:13">
      <c r="A168" s="54" t="str">
        <f>D168&amp;E168&amp;F168</f>
        <v>CAPUBERCAP</v>
      </c>
      <c r="B168" t="s">
        <v>212</v>
      </c>
      <c r="C168" s="1">
        <v>45700</v>
      </c>
      <c r="D168" s="71" t="s">
        <v>31</v>
      </c>
      <c r="E168" s="71" t="s">
        <v>189</v>
      </c>
      <c r="F168" s="70" t="s">
        <v>31</v>
      </c>
      <c r="G168" s="71" t="s">
        <v>216</v>
      </c>
      <c r="I168" s="138"/>
      <c r="J168" s="76" t="s">
        <v>257</v>
      </c>
      <c r="K168" s="322"/>
      <c r="L168" s="525">
        <v>130</v>
      </c>
      <c r="M168" s="163">
        <f>M167+K168-L168</f>
        <v>11930.940720000712</v>
      </c>
    </row>
    <row r="169" spans="1:13">
      <c r="A169" s="54" t="str">
        <f>D169&amp;E169&amp;F169</f>
        <v>FINANZASFALTANTESFALTANTES</v>
      </c>
      <c r="B169" t="s">
        <v>212</v>
      </c>
      <c r="C169" s="1">
        <v>45700</v>
      </c>
      <c r="D169" s="71" t="s">
        <v>23</v>
      </c>
      <c r="E169" s="71" t="s">
        <v>119</v>
      </c>
      <c r="F169" s="70" t="s">
        <v>119</v>
      </c>
      <c r="G169" s="71" t="s">
        <v>258</v>
      </c>
      <c r="I169" s="138"/>
      <c r="J169" s="71" t="s">
        <v>259</v>
      </c>
      <c r="L169" s="326">
        <v>7520.83</v>
      </c>
      <c r="M169" s="163">
        <f>M168+K169-L169</f>
        <v>4410.1107200007118</v>
      </c>
    </row>
    <row r="170" spans="1:13">
      <c r="A170" s="54" t="str">
        <f t="shared" si="2"/>
        <v/>
      </c>
      <c r="B170" t="s">
        <v>212</v>
      </c>
      <c r="C170" s="1">
        <v>45701</v>
      </c>
      <c r="D170" s="71"/>
      <c r="F170" s="70"/>
      <c r="I170" s="138"/>
      <c r="J170" s="71" t="s">
        <v>260</v>
      </c>
      <c r="K170" s="322">
        <v>222338.82</v>
      </c>
      <c r="L170" s="180"/>
      <c r="M170" s="163">
        <f>M169+K170-L170</f>
        <v>226748.93072000073</v>
      </c>
    </row>
    <row r="171" spans="1:13">
      <c r="A171" s="54" t="str">
        <f t="shared" si="2"/>
        <v/>
      </c>
      <c r="B171" t="s">
        <v>212</v>
      </c>
      <c r="C171" s="1">
        <v>45701</v>
      </c>
      <c r="D171" s="71"/>
      <c r="F171" s="70"/>
      <c r="I171" s="138"/>
      <c r="J171" s="71" t="s">
        <v>342</v>
      </c>
      <c r="K171" s="322">
        <v>886</v>
      </c>
      <c r="L171" s="180"/>
      <c r="M171" s="163">
        <f>M170+K171-L171</f>
        <v>227634.93072000073</v>
      </c>
    </row>
    <row r="172" spans="1:13">
      <c r="A172" s="54" t="str">
        <f>D172&amp;E172&amp;F172</f>
        <v>FINANZASCOMISIONES BANCARIASTPV</v>
      </c>
      <c r="B172" t="s">
        <v>212</v>
      </c>
      <c r="C172" s="1">
        <v>45701</v>
      </c>
      <c r="D172" s="71" t="s">
        <v>23</v>
      </c>
      <c r="E172" s="71" t="s">
        <v>48</v>
      </c>
      <c r="F172" s="70" t="s">
        <v>50</v>
      </c>
      <c r="G172" s="71" t="s">
        <v>216</v>
      </c>
      <c r="I172" s="138"/>
      <c r="J172" s="71" t="s">
        <v>217</v>
      </c>
      <c r="K172" s="322"/>
      <c r="L172" s="323">
        <f>2152.85+1995.76+117.69+95.4+110.6</f>
        <v>4472.2999999999993</v>
      </c>
      <c r="M172" s="163">
        <f>M171+K172-L172</f>
        <v>223162.63072000074</v>
      </c>
    </row>
    <row r="173" spans="1:13">
      <c r="A173" s="54" t="str">
        <f>D173&amp;E173&amp;F173</f>
        <v>FINANZASCOMISIONES BANCARIASMANEJO DE CUENTA</v>
      </c>
      <c r="B173" t="s">
        <v>212</v>
      </c>
      <c r="C173" s="1">
        <v>45701</v>
      </c>
      <c r="D173" s="71" t="s">
        <v>23</v>
      </c>
      <c r="E173" s="71" t="s">
        <v>48</v>
      </c>
      <c r="F173" s="70" t="s">
        <v>49</v>
      </c>
      <c r="G173" s="71" t="s">
        <v>216</v>
      </c>
      <c r="I173" s="138"/>
      <c r="J173" s="71" t="s">
        <v>343</v>
      </c>
      <c r="K173" s="322"/>
      <c r="L173" s="323">
        <f>214.6+336+40+319+174</f>
        <v>1083.5999999999999</v>
      </c>
      <c r="M173" s="163">
        <f>M172+K173-L173</f>
        <v>222079.03072000074</v>
      </c>
    </row>
    <row r="174" spans="1:13">
      <c r="A174" s="54" t="str">
        <f t="shared" si="2"/>
        <v/>
      </c>
      <c r="B174" t="s">
        <v>212</v>
      </c>
      <c r="C174" s="1">
        <v>45701</v>
      </c>
      <c r="D174" s="71"/>
      <c r="F174" s="70"/>
      <c r="G174" s="71" t="s">
        <v>216</v>
      </c>
      <c r="I174" s="138"/>
      <c r="J174" s="205" t="s">
        <v>220</v>
      </c>
      <c r="K174" s="206"/>
      <c r="L174" s="206">
        <v>230000</v>
      </c>
      <c r="M174" s="163">
        <f>M173+K174-L174</f>
        <v>-7920.9692799992627</v>
      </c>
    </row>
    <row r="175" spans="1:13">
      <c r="A175" s="54" t="str">
        <f>D175&amp;E175&amp;F175</f>
        <v>FINANZASTELEPEAJEFINANZAS</v>
      </c>
      <c r="B175" t="s">
        <v>212</v>
      </c>
      <c r="C175" s="1">
        <v>45701</v>
      </c>
      <c r="D175" s="71" t="s">
        <v>23</v>
      </c>
      <c r="E175" s="71" t="s">
        <v>186</v>
      </c>
      <c r="F175" s="70" t="s">
        <v>23</v>
      </c>
      <c r="G175" s="71" t="s">
        <v>216</v>
      </c>
      <c r="I175" s="138"/>
      <c r="J175" s="71" t="s">
        <v>344</v>
      </c>
      <c r="K175" s="322"/>
      <c r="L175" s="323">
        <v>658</v>
      </c>
      <c r="M175" s="163">
        <f>M174+K175-L175</f>
        <v>-8578.9692799992627</v>
      </c>
    </row>
    <row r="176" spans="1:13">
      <c r="A176" s="54" t="str">
        <f>D176&amp;E176&amp;F176</f>
        <v>CAPTELEPEAJEOP CAPRICHOS</v>
      </c>
      <c r="B176" t="s">
        <v>212</v>
      </c>
      <c r="C176" s="1">
        <v>45701</v>
      </c>
      <c r="D176" s="71" t="s">
        <v>31</v>
      </c>
      <c r="E176" s="71" t="s">
        <v>186</v>
      </c>
      <c r="F176" s="70" t="s">
        <v>188</v>
      </c>
      <c r="G176" s="71" t="s">
        <v>216</v>
      </c>
      <c r="I176" s="138"/>
      <c r="J176" s="71" t="s">
        <v>345</v>
      </c>
      <c r="K176" s="322"/>
      <c r="L176" s="323">
        <v>658</v>
      </c>
      <c r="M176" s="163">
        <f>M175+K176-L176</f>
        <v>-9236.9692799992627</v>
      </c>
    </row>
    <row r="177" spans="1:13">
      <c r="A177" s="54" t="str">
        <f>D177&amp;E177&amp;F177</f>
        <v>ELITELEPEAJEL1</v>
      </c>
      <c r="B177" t="s">
        <v>212</v>
      </c>
      <c r="C177" s="1">
        <v>45701</v>
      </c>
      <c r="D177" s="71" t="s">
        <v>130</v>
      </c>
      <c r="E177" s="71" t="s">
        <v>186</v>
      </c>
      <c r="F177" s="70" t="s">
        <v>136</v>
      </c>
      <c r="G177" s="71" t="s">
        <v>216</v>
      </c>
      <c r="I177" s="138"/>
      <c r="J177" s="71" t="s">
        <v>346</v>
      </c>
      <c r="K177" s="322"/>
      <c r="L177" s="323">
        <v>534</v>
      </c>
      <c r="M177" s="163">
        <f>M176+K177-L177</f>
        <v>-9770.9692799992627</v>
      </c>
    </row>
    <row r="178" spans="1:13">
      <c r="A178" s="54" t="str">
        <f>D178&amp;E178&amp;F178</f>
        <v>HRTELEPEAJEOP HR</v>
      </c>
      <c r="B178" t="s">
        <v>212</v>
      </c>
      <c r="C178" s="1">
        <v>45701</v>
      </c>
      <c r="D178" s="71" t="s">
        <v>29</v>
      </c>
      <c r="E178" s="71" t="s">
        <v>186</v>
      </c>
      <c r="F178" s="70" t="s">
        <v>187</v>
      </c>
      <c r="G178" s="71" t="s">
        <v>216</v>
      </c>
      <c r="I178" s="138"/>
      <c r="J178" s="71" t="s">
        <v>347</v>
      </c>
      <c r="K178" s="322"/>
      <c r="L178" s="323">
        <v>356</v>
      </c>
      <c r="M178" s="163">
        <f>M177+K178-L178</f>
        <v>-10126.969279999263</v>
      </c>
    </row>
    <row r="179" spans="1:13">
      <c r="A179" s="54" t="str">
        <f>D179&amp;E179&amp;F179</f>
        <v>CAPTELEPEAJEOP CAPRICHOS</v>
      </c>
      <c r="B179" t="s">
        <v>212</v>
      </c>
      <c r="C179" s="1">
        <v>45701</v>
      </c>
      <c r="D179" s="71" t="s">
        <v>31</v>
      </c>
      <c r="E179" s="71" t="s">
        <v>186</v>
      </c>
      <c r="F179" s="70" t="s">
        <v>188</v>
      </c>
      <c r="G179" s="71" t="s">
        <v>216</v>
      </c>
      <c r="I179" s="138"/>
      <c r="J179" s="71" t="s">
        <v>348</v>
      </c>
      <c r="K179" s="322"/>
      <c r="L179" s="323">
        <v>329</v>
      </c>
      <c r="M179" s="163">
        <f>M178+K179-L179</f>
        <v>-10455.969279999263</v>
      </c>
    </row>
    <row r="180" spans="1:13">
      <c r="A180" s="54" t="str">
        <f>D180&amp;E180&amp;F180</f>
        <v>SERVICIOSTELEPEAJESERVICIOS</v>
      </c>
      <c r="B180" t="s">
        <v>212</v>
      </c>
      <c r="C180" s="1">
        <v>45701</v>
      </c>
      <c r="D180" s="71" t="s">
        <v>21</v>
      </c>
      <c r="E180" s="71" t="s">
        <v>186</v>
      </c>
      <c r="F180" s="70" t="s">
        <v>21</v>
      </c>
      <c r="G180" s="71" t="s">
        <v>216</v>
      </c>
      <c r="I180" s="138"/>
      <c r="J180" s="71" t="s">
        <v>349</v>
      </c>
      <c r="K180" s="322"/>
      <c r="L180" s="323">
        <v>623</v>
      </c>
      <c r="M180" s="163">
        <f>M179+K180-L180</f>
        <v>-11078.969279999263</v>
      </c>
    </row>
    <row r="181" spans="1:13">
      <c r="A181" s="54" t="str">
        <f>D181&amp;E181&amp;F181</f>
        <v>SERVICIOSTELEPEAJECEDIS</v>
      </c>
      <c r="B181" t="s">
        <v>212</v>
      </c>
      <c r="C181" s="1">
        <v>45701</v>
      </c>
      <c r="D181" s="71" t="s">
        <v>21</v>
      </c>
      <c r="E181" s="71" t="s">
        <v>186</v>
      </c>
      <c r="F181" s="70" t="s">
        <v>28</v>
      </c>
      <c r="G181" s="71" t="s">
        <v>216</v>
      </c>
      <c r="I181" s="138"/>
      <c r="J181" s="71" t="s">
        <v>350</v>
      </c>
      <c r="K181" s="322"/>
      <c r="L181" s="323">
        <v>751</v>
      </c>
      <c r="M181" s="163">
        <f>M180+K181-L181</f>
        <v>-11829.969279999263</v>
      </c>
    </row>
    <row r="182" spans="1:13">
      <c r="A182" s="54" t="str">
        <f>D182&amp;E182&amp;F182</f>
        <v>SERVICIOSTELEPEAJECEDIS</v>
      </c>
      <c r="B182" t="s">
        <v>212</v>
      </c>
      <c r="C182" s="1">
        <v>45701</v>
      </c>
      <c r="D182" s="71" t="s">
        <v>21</v>
      </c>
      <c r="E182" s="71" t="s">
        <v>186</v>
      </c>
      <c r="F182" s="70" t="s">
        <v>28</v>
      </c>
      <c r="G182" s="71" t="s">
        <v>216</v>
      </c>
      <c r="I182" s="138"/>
      <c r="J182" s="71" t="s">
        <v>350</v>
      </c>
      <c r="K182" s="322"/>
      <c r="L182" s="323">
        <v>4302</v>
      </c>
      <c r="M182" s="163">
        <f>M181+K182-L182</f>
        <v>-16131.969279999263</v>
      </c>
    </row>
    <row r="183" spans="1:13">
      <c r="A183" s="54" t="str">
        <f>D183&amp;E183&amp;F183</f>
        <v>SERVICIOSFONDO Y REPOSICIONSERVICIOS</v>
      </c>
      <c r="B183" t="s">
        <v>212</v>
      </c>
      <c r="C183" s="1">
        <v>45701</v>
      </c>
      <c r="D183" s="71" t="s">
        <v>21</v>
      </c>
      <c r="E183" s="71" t="s">
        <v>120</v>
      </c>
      <c r="F183" s="70" t="s">
        <v>21</v>
      </c>
      <c r="G183" s="71" t="s">
        <v>216</v>
      </c>
      <c r="I183" s="138"/>
      <c r="J183" s="71" t="s">
        <v>351</v>
      </c>
      <c r="K183" s="322"/>
      <c r="L183" s="323">
        <v>2000</v>
      </c>
      <c r="M183" s="163">
        <f>M182+K183-L183</f>
        <v>-18131.969279999263</v>
      </c>
    </row>
    <row r="184" spans="1:13">
      <c r="A184" s="54" t="str">
        <f>D184&amp;E184&amp;F184</f>
        <v>SERVICIOSMTTO EQ DE TRANSPORTECEDIS</v>
      </c>
      <c r="B184" t="s">
        <v>212</v>
      </c>
      <c r="C184" s="1">
        <v>45701</v>
      </c>
      <c r="D184" s="71" t="s">
        <v>21</v>
      </c>
      <c r="E184" s="71" t="s">
        <v>144</v>
      </c>
      <c r="F184" s="70" t="s">
        <v>28</v>
      </c>
      <c r="G184" s="71" t="s">
        <v>258</v>
      </c>
      <c r="I184" s="138"/>
      <c r="J184" s="71" t="s">
        <v>352</v>
      </c>
      <c r="K184" s="322"/>
      <c r="L184" s="417">
        <v>2610</v>
      </c>
      <c r="M184" s="163">
        <f>M183+K184-L184</f>
        <v>-20741.969279999263</v>
      </c>
    </row>
    <row r="185" spans="1:13">
      <c r="A185" s="54" t="str">
        <f>D185&amp;E185&amp;F185</f>
        <v>FINANZASRECOLECCION DE BASURAHR</v>
      </c>
      <c r="B185" t="s">
        <v>212</v>
      </c>
      <c r="C185" s="1">
        <v>45701</v>
      </c>
      <c r="D185" s="71" t="s">
        <v>23</v>
      </c>
      <c r="E185" s="218" t="s">
        <v>166</v>
      </c>
      <c r="F185" s="70" t="s">
        <v>29</v>
      </c>
      <c r="G185" s="71" t="s">
        <v>216</v>
      </c>
      <c r="I185" s="138"/>
      <c r="J185" s="71" t="s">
        <v>353</v>
      </c>
      <c r="K185" s="322"/>
      <c r="L185" s="323">
        <v>3000</v>
      </c>
      <c r="M185" s="163">
        <f>M184+K185-L185</f>
        <v>-23741.969279999263</v>
      </c>
    </row>
    <row r="186" spans="1:13">
      <c r="A186" s="54" t="str">
        <f>D186&amp;E186&amp;F186</f>
        <v>HRMKTMKT HR</v>
      </c>
      <c r="B186" t="s">
        <v>212</v>
      </c>
      <c r="C186" s="1">
        <v>45701</v>
      </c>
      <c r="D186" s="71" t="s">
        <v>29</v>
      </c>
      <c r="E186" s="71" t="s">
        <v>19</v>
      </c>
      <c r="F186" s="70" t="s">
        <v>138</v>
      </c>
      <c r="G186" s="71" t="s">
        <v>216</v>
      </c>
      <c r="I186" s="138"/>
      <c r="J186" s="71" t="s">
        <v>354</v>
      </c>
      <c r="L186" s="323">
        <v>700</v>
      </c>
      <c r="M186" s="163">
        <f>M185+K186-L186</f>
        <v>-24441.969279999263</v>
      </c>
    </row>
    <row r="187" spans="1:13">
      <c r="A187" s="54" t="str">
        <f>D187&amp;E187&amp;F187</f>
        <v>HRMKTMKT HR</v>
      </c>
      <c r="B187" t="s">
        <v>212</v>
      </c>
      <c r="C187" s="1">
        <v>45701</v>
      </c>
      <c r="D187" s="71" t="s">
        <v>29</v>
      </c>
      <c r="E187" s="71" t="s">
        <v>19</v>
      </c>
      <c r="F187" s="70" t="s">
        <v>138</v>
      </c>
      <c r="G187" s="71" t="s">
        <v>216</v>
      </c>
      <c r="I187" s="138"/>
      <c r="J187" s="71" t="s">
        <v>355</v>
      </c>
      <c r="L187" s="323">
        <v>1200</v>
      </c>
      <c r="M187" s="163">
        <f>M186+K187-L187</f>
        <v>-25641.969279999263</v>
      </c>
    </row>
    <row r="188" spans="1:13">
      <c r="A188" s="54" t="str">
        <f>D188&amp;E188&amp;F188</f>
        <v>HRMKTMKT HR</v>
      </c>
      <c r="B188" t="s">
        <v>212</v>
      </c>
      <c r="C188" s="1">
        <v>45701</v>
      </c>
      <c r="D188" s="71" t="s">
        <v>29</v>
      </c>
      <c r="E188" s="71" t="s">
        <v>19</v>
      </c>
      <c r="F188" s="70" t="s">
        <v>138</v>
      </c>
      <c r="G188" s="71" t="s">
        <v>216</v>
      </c>
      <c r="I188" s="138"/>
      <c r="J188" s="71" t="s">
        <v>356</v>
      </c>
      <c r="L188" s="323">
        <v>800</v>
      </c>
      <c r="M188" s="163">
        <f>M187+K188-L188</f>
        <v>-26441.969279999263</v>
      </c>
    </row>
    <row r="189" spans="1:13">
      <c r="A189" s="54" t="str">
        <f>D189&amp;E189&amp;F189</f>
        <v>HRFONDO Y REPOSICIONHR</v>
      </c>
      <c r="B189" t="s">
        <v>212</v>
      </c>
      <c r="C189" s="1">
        <v>45701</v>
      </c>
      <c r="D189" s="71" t="s">
        <v>29</v>
      </c>
      <c r="E189" s="71" t="s">
        <v>120</v>
      </c>
      <c r="F189" s="70" t="s">
        <v>29</v>
      </c>
      <c r="G189" s="71" t="s">
        <v>216</v>
      </c>
      <c r="I189" s="138"/>
      <c r="J189" s="71" t="s">
        <v>357</v>
      </c>
      <c r="K189" s="322"/>
      <c r="L189" s="323">
        <v>1967</v>
      </c>
      <c r="M189" s="163">
        <f>M188+K189-L189</f>
        <v>-28408.969279999263</v>
      </c>
    </row>
    <row r="190" spans="1:13">
      <c r="A190" s="54" t="str">
        <f>D190&amp;E190&amp;F190</f>
        <v>SERVICIOSVIATICOSCOMPRAS</v>
      </c>
      <c r="B190" t="s">
        <v>212</v>
      </c>
      <c r="C190" s="1">
        <v>45701</v>
      </c>
      <c r="D190" s="71" t="s">
        <v>21</v>
      </c>
      <c r="E190" s="71" t="s">
        <v>191</v>
      </c>
      <c r="F190" s="209" t="s">
        <v>148</v>
      </c>
      <c r="G190" s="71" t="s">
        <v>216</v>
      </c>
      <c r="I190" s="138"/>
      <c r="J190" s="71" t="s">
        <v>358</v>
      </c>
      <c r="K190" s="322"/>
      <c r="L190" s="323">
        <v>900</v>
      </c>
      <c r="M190" s="163">
        <f>M189+K190-L190</f>
        <v>-29308.969279999263</v>
      </c>
    </row>
    <row r="191" spans="1:13">
      <c r="A191" s="54" t="str">
        <f>D191&amp;E191&amp;F191</f>
        <v>SERVICIOSPAQUETERIACT INTERNACIONAL</v>
      </c>
      <c r="B191" t="s">
        <v>212</v>
      </c>
      <c r="C191" s="1">
        <v>45701</v>
      </c>
      <c r="D191" s="71" t="s">
        <v>21</v>
      </c>
      <c r="E191" s="71" t="s">
        <v>160</v>
      </c>
      <c r="F191" s="70" t="s">
        <v>162</v>
      </c>
      <c r="G191" s="71" t="s">
        <v>216</v>
      </c>
      <c r="I191" s="138"/>
      <c r="J191" s="71" t="s">
        <v>275</v>
      </c>
      <c r="K191" s="322"/>
      <c r="L191" s="323">
        <v>140</v>
      </c>
      <c r="M191" s="163">
        <f>M190+K191-L191</f>
        <v>-29448.969279999263</v>
      </c>
    </row>
    <row r="192" spans="1:13">
      <c r="A192" s="54" t="str">
        <f>D192&amp;E192&amp;F192</f>
        <v>HRINSUMOSHR</v>
      </c>
      <c r="B192" t="s">
        <v>212</v>
      </c>
      <c r="C192" s="1">
        <v>45701</v>
      </c>
      <c r="D192" s="71" t="s">
        <v>29</v>
      </c>
      <c r="E192" s="71" t="s">
        <v>133</v>
      </c>
      <c r="F192" s="70" t="s">
        <v>29</v>
      </c>
      <c r="G192" s="71" t="s">
        <v>216</v>
      </c>
      <c r="I192" s="138"/>
      <c r="J192" s="76" t="s">
        <v>359</v>
      </c>
      <c r="K192" s="322"/>
      <c r="L192" s="327">
        <v>206</v>
      </c>
      <c r="M192" s="163">
        <f>M191+K192-L192</f>
        <v>-29654.969279999263</v>
      </c>
    </row>
    <row r="193" spans="1:13">
      <c r="A193" s="54" t="str">
        <f>D193&amp;E193&amp;F193</f>
        <v>CAPNOMINA SUCURSALE4</v>
      </c>
      <c r="B193" t="s">
        <v>212</v>
      </c>
      <c r="C193" s="1">
        <v>45701</v>
      </c>
      <c r="D193" s="71" t="s">
        <v>31</v>
      </c>
      <c r="E193" s="71" t="s">
        <v>154</v>
      </c>
      <c r="F193" s="70" t="s">
        <v>110</v>
      </c>
      <c r="G193" s="71" t="s">
        <v>216</v>
      </c>
      <c r="I193" s="138"/>
      <c r="J193" s="76" t="s">
        <v>360</v>
      </c>
      <c r="K193" s="322"/>
      <c r="L193" s="327">
        <v>354</v>
      </c>
      <c r="M193" s="163">
        <f>M192+K193-L193</f>
        <v>-30008.969279999263</v>
      </c>
    </row>
    <row r="194" spans="1:13">
      <c r="A194" s="54" t="str">
        <f>D194&amp;E194&amp;F194</f>
        <v>CAPUBERCAP</v>
      </c>
      <c r="B194" t="s">
        <v>212</v>
      </c>
      <c r="C194" s="1">
        <v>45701</v>
      </c>
      <c r="D194" s="71" t="s">
        <v>31</v>
      </c>
      <c r="E194" s="71" t="s">
        <v>189</v>
      </c>
      <c r="F194" s="71" t="s">
        <v>31</v>
      </c>
      <c r="G194" s="71" t="s">
        <v>216</v>
      </c>
      <c r="I194" s="138"/>
      <c r="J194" s="76" t="s">
        <v>253</v>
      </c>
      <c r="K194" s="322"/>
      <c r="L194" s="525">
        <v>460</v>
      </c>
      <c r="M194" s="163">
        <f>M193+K194-L194</f>
        <v>-30468.969279999263</v>
      </c>
    </row>
    <row r="195" spans="1:13">
      <c r="A195" s="54" t="str">
        <f>D195&amp;E195&amp;F195</f>
        <v>CAPFUMIGACIONCAPRICHOS</v>
      </c>
      <c r="B195" t="s">
        <v>212</v>
      </c>
      <c r="C195" s="1">
        <v>45701</v>
      </c>
      <c r="D195" s="71" t="s">
        <v>31</v>
      </c>
      <c r="E195" s="71" t="s">
        <v>121</v>
      </c>
      <c r="F195" s="70" t="s">
        <v>33</v>
      </c>
      <c r="G195" s="71" t="s">
        <v>216</v>
      </c>
      <c r="I195" s="138"/>
      <c r="J195" s="76" t="s">
        <v>361</v>
      </c>
      <c r="K195" s="322"/>
      <c r="L195" s="537">
        <v>650</v>
      </c>
      <c r="M195" s="163">
        <f>M194+K195-L195</f>
        <v>-31118.969279999263</v>
      </c>
    </row>
    <row r="196" spans="1:13">
      <c r="A196" s="54" t="str">
        <f>D196&amp;E196&amp;F196</f>
        <v>CAPUBERCAP</v>
      </c>
      <c r="B196" t="s">
        <v>212</v>
      </c>
      <c r="C196" s="1">
        <v>45701</v>
      </c>
      <c r="D196" s="71" t="s">
        <v>31</v>
      </c>
      <c r="E196" s="71" t="s">
        <v>189</v>
      </c>
      <c r="F196" s="70" t="s">
        <v>31</v>
      </c>
      <c r="G196" s="71" t="s">
        <v>216</v>
      </c>
      <c r="I196" s="138"/>
      <c r="J196" s="76" t="s">
        <v>257</v>
      </c>
      <c r="K196" s="322"/>
      <c r="L196" s="525">
        <v>200</v>
      </c>
      <c r="M196" s="163">
        <f>M195+K196-L196</f>
        <v>-31318.969279999263</v>
      </c>
    </row>
    <row r="197" spans="1:13">
      <c r="A197" s="54" t="str">
        <f>D197&amp;E197&amp;F197</f>
        <v>CAPINSUMOSCAPRICHOS</v>
      </c>
      <c r="B197" t="s">
        <v>212</v>
      </c>
      <c r="C197" s="1">
        <v>45702</v>
      </c>
      <c r="D197" s="71" t="s">
        <v>31</v>
      </c>
      <c r="E197" s="71" t="s">
        <v>133</v>
      </c>
      <c r="F197" s="70" t="s">
        <v>33</v>
      </c>
      <c r="G197" s="71" t="s">
        <v>216</v>
      </c>
      <c r="I197" s="138"/>
      <c r="J197" s="76" t="s">
        <v>362</v>
      </c>
      <c r="K197" s="322"/>
      <c r="L197" s="327">
        <v>39</v>
      </c>
      <c r="M197" s="163">
        <f>M196+K197-L197</f>
        <v>-31357.969279999263</v>
      </c>
    </row>
    <row r="198" spans="1:13">
      <c r="A198" s="54" t="str">
        <f t="shared" si="2"/>
        <v/>
      </c>
      <c r="B198" t="s">
        <v>212</v>
      </c>
      <c r="C198" s="1">
        <v>45702</v>
      </c>
      <c r="D198" s="71"/>
      <c r="F198" s="70"/>
      <c r="I198" s="138"/>
      <c r="J198" s="76" t="s">
        <v>363</v>
      </c>
      <c r="K198" s="322">
        <v>2395.83</v>
      </c>
      <c r="L198" s="322"/>
      <c r="M198" s="163">
        <f>M197+K198-L198</f>
        <v>-28962.139279999261</v>
      </c>
    </row>
    <row r="199" spans="1:13">
      <c r="A199" s="54" t="str">
        <f t="shared" ref="A199:A262" si="3">D199&amp;E199&amp;F199</f>
        <v/>
      </c>
      <c r="B199" t="s">
        <v>212</v>
      </c>
      <c r="C199" s="1">
        <v>45702</v>
      </c>
      <c r="D199" s="71"/>
      <c r="F199" s="70"/>
      <c r="I199" s="138"/>
      <c r="J199" s="71" t="s">
        <v>260</v>
      </c>
      <c r="K199" s="322">
        <v>381419.18</v>
      </c>
      <c r="L199" s="180"/>
      <c r="M199" s="163">
        <f>M198+K199-L199</f>
        <v>352457.04072000075</v>
      </c>
    </row>
    <row r="200" spans="1:13">
      <c r="A200" s="54" t="str">
        <f t="shared" si="3"/>
        <v/>
      </c>
      <c r="B200" t="s">
        <v>212</v>
      </c>
      <c r="C200" s="1">
        <v>45702</v>
      </c>
      <c r="D200" s="71"/>
      <c r="F200" s="70"/>
      <c r="I200" s="138"/>
      <c r="J200" s="71" t="s">
        <v>364</v>
      </c>
      <c r="K200" s="322">
        <v>500000</v>
      </c>
      <c r="L200" s="180"/>
      <c r="M200" s="163">
        <f>M199+K200-L200</f>
        <v>852457.04072000075</v>
      </c>
    </row>
    <row r="201" spans="1:13">
      <c r="A201" s="54" t="str">
        <f>D201&amp;E201&amp;F201</f>
        <v>FINANZASCOMISIONES BANCARIASTPV</v>
      </c>
      <c r="B201" t="s">
        <v>212</v>
      </c>
      <c r="C201" s="1">
        <v>45702</v>
      </c>
      <c r="D201" s="71" t="s">
        <v>23</v>
      </c>
      <c r="E201" s="71" t="s">
        <v>48</v>
      </c>
      <c r="F201" s="70" t="s">
        <v>50</v>
      </c>
      <c r="G201" s="71" t="s">
        <v>216</v>
      </c>
      <c r="I201" s="138"/>
      <c r="J201" s="71" t="s">
        <v>217</v>
      </c>
      <c r="K201" s="322"/>
      <c r="L201" s="323">
        <f>3808.76+2989.92+206.16+502.13+156.36</f>
        <v>7663.33</v>
      </c>
      <c r="M201" s="163">
        <f>M200+K201-L201</f>
        <v>844793.71072000079</v>
      </c>
    </row>
    <row r="202" spans="1:13">
      <c r="A202" s="54" t="str">
        <f t="shared" si="3"/>
        <v/>
      </c>
      <c r="B202" t="s">
        <v>212</v>
      </c>
      <c r="C202" s="1">
        <v>45702</v>
      </c>
      <c r="D202" s="71"/>
      <c r="F202" s="70"/>
      <c r="I202" s="138" t="s">
        <v>219</v>
      </c>
      <c r="J202" s="205" t="s">
        <v>220</v>
      </c>
      <c r="K202" s="206"/>
      <c r="L202" s="206">
        <v>50200</v>
      </c>
      <c r="M202" s="163">
        <f>M201+K202-L202</f>
        <v>794593.71072000079</v>
      </c>
    </row>
    <row r="203" spans="1:13">
      <c r="A203" s="54" t="str">
        <f t="shared" si="3"/>
        <v/>
      </c>
      <c r="B203" t="s">
        <v>212</v>
      </c>
      <c r="C203" s="1">
        <v>45702</v>
      </c>
      <c r="D203" s="71"/>
      <c r="F203" s="70"/>
      <c r="I203" s="207" t="s">
        <v>221</v>
      </c>
      <c r="J203" s="205" t="s">
        <v>222</v>
      </c>
      <c r="K203" s="206"/>
      <c r="L203" s="206">
        <f>K200-L204</f>
        <v>136000</v>
      </c>
      <c r="M203" s="163">
        <f>M202+K203-L203</f>
        <v>658593.71072000079</v>
      </c>
    </row>
    <row r="204" spans="1:13">
      <c r="A204" s="54" t="str">
        <f t="shared" si="3"/>
        <v/>
      </c>
      <c r="B204" t="s">
        <v>212</v>
      </c>
      <c r="C204" s="1">
        <v>45702</v>
      </c>
      <c r="D204" s="71"/>
      <c r="F204" s="70"/>
      <c r="I204" s="138" t="s">
        <v>317</v>
      </c>
      <c r="J204" s="205" t="s">
        <v>318</v>
      </c>
      <c r="K204" s="206"/>
      <c r="L204" s="206">
        <v>364000</v>
      </c>
      <c r="M204" s="163">
        <f>M203+K204-L204</f>
        <v>294593.71072000079</v>
      </c>
    </row>
    <row r="205" spans="1:13">
      <c r="A205" s="54" t="str">
        <f t="shared" si="3"/>
        <v/>
      </c>
      <c r="B205" t="s">
        <v>212</v>
      </c>
      <c r="C205" s="1">
        <v>45702</v>
      </c>
      <c r="D205" s="71"/>
      <c r="F205" s="70"/>
      <c r="H205" s="83" t="s">
        <v>32</v>
      </c>
      <c r="I205" s="138"/>
      <c r="J205" s="71" t="s">
        <v>365</v>
      </c>
      <c r="K205" s="322"/>
      <c r="L205" s="323">
        <v>33670.400000000001</v>
      </c>
      <c r="M205" s="163">
        <f>M204+K205-L205</f>
        <v>260923.31072000079</v>
      </c>
    </row>
    <row r="206" spans="1:13">
      <c r="A206" s="54" t="str">
        <f>D206&amp;E206&amp;F206</f>
        <v>CAPJMASE8</v>
      </c>
      <c r="B206" t="s">
        <v>212</v>
      </c>
      <c r="C206" s="1">
        <v>45702</v>
      </c>
      <c r="D206" s="71" t="s">
        <v>31</v>
      </c>
      <c r="E206" s="71" t="s">
        <v>137</v>
      </c>
      <c r="F206" s="70" t="s">
        <v>114</v>
      </c>
      <c r="G206" s="71" t="s">
        <v>216</v>
      </c>
      <c r="I206" s="138"/>
      <c r="J206" s="71" t="s">
        <v>366</v>
      </c>
      <c r="K206" s="322"/>
      <c r="L206" s="323">
        <v>1390.58</v>
      </c>
      <c r="M206" s="163">
        <f>M205+K206-L206</f>
        <v>259532.73072000081</v>
      </c>
    </row>
    <row r="207" spans="1:13">
      <c r="A207" s="54" t="str">
        <f>D207&amp;E207&amp;F207</f>
        <v>FINANZASFONDO Y REPOSICIONFINANZAS</v>
      </c>
      <c r="B207" t="s">
        <v>212</v>
      </c>
      <c r="C207" s="1">
        <v>45702</v>
      </c>
      <c r="D207" s="71" t="s">
        <v>23</v>
      </c>
      <c r="E207" s="71" t="s">
        <v>120</v>
      </c>
      <c r="F207" s="70" t="s">
        <v>23</v>
      </c>
      <c r="G207" s="71" t="s">
        <v>258</v>
      </c>
      <c r="I207" s="138"/>
      <c r="J207" s="71" t="s">
        <v>367</v>
      </c>
      <c r="K207" s="322"/>
      <c r="L207" s="323">
        <v>920</v>
      </c>
      <c r="M207" s="163">
        <f>M206+K207-L207</f>
        <v>258612.73072000081</v>
      </c>
    </row>
    <row r="208" spans="1:13">
      <c r="A208" s="54" t="str">
        <f>D208&amp;E208&amp;F208</f>
        <v>SGEFONDO Y REPOSICIONGESTION EMPRESARIAL</v>
      </c>
      <c r="B208" t="s">
        <v>212</v>
      </c>
      <c r="C208" s="1">
        <v>45702</v>
      </c>
      <c r="D208" s="71" t="s">
        <v>39</v>
      </c>
      <c r="E208" s="71" t="s">
        <v>120</v>
      </c>
      <c r="F208" s="70" t="s">
        <v>40</v>
      </c>
      <c r="G208" s="71" t="s">
        <v>258</v>
      </c>
      <c r="I208" s="138"/>
      <c r="J208" s="71" t="s">
        <v>368</v>
      </c>
      <c r="K208" s="322"/>
      <c r="L208" s="323">
        <v>598</v>
      </c>
      <c r="M208" s="163">
        <f>M207+K208-L208</f>
        <v>258014.73072000081</v>
      </c>
    </row>
    <row r="209" spans="1:13">
      <c r="A209" s="54" t="str">
        <f>D209&amp;E209&amp;F209</f>
        <v>HRUBERHR</v>
      </c>
      <c r="B209" t="s">
        <v>212</v>
      </c>
      <c r="C209" s="1">
        <v>45702</v>
      </c>
      <c r="D209" s="71" t="s">
        <v>29</v>
      </c>
      <c r="E209" s="71" t="s">
        <v>189</v>
      </c>
      <c r="F209" s="70" t="s">
        <v>29</v>
      </c>
      <c r="G209" s="71" t="s">
        <v>216</v>
      </c>
      <c r="I209" s="138"/>
      <c r="J209" s="76" t="s">
        <v>308</v>
      </c>
      <c r="K209" s="322"/>
      <c r="L209" s="525">
        <v>66</v>
      </c>
      <c r="M209" s="163">
        <f>M208+K209-L209</f>
        <v>257948.73072000081</v>
      </c>
    </row>
    <row r="210" spans="1:13">
      <c r="A210" s="54" t="str">
        <f>D210&amp;E210&amp;F210</f>
        <v>CAPUBERCAP</v>
      </c>
      <c r="B210" t="s">
        <v>212</v>
      </c>
      <c r="C210" s="1">
        <v>45702</v>
      </c>
      <c r="D210" s="71" t="s">
        <v>31</v>
      </c>
      <c r="E210" s="71" t="s">
        <v>189</v>
      </c>
      <c r="F210" s="70" t="s">
        <v>31</v>
      </c>
      <c r="G210" s="71" t="s">
        <v>216</v>
      </c>
      <c r="I210" s="138"/>
      <c r="J210" s="76" t="s">
        <v>253</v>
      </c>
      <c r="K210" s="322"/>
      <c r="L210" s="525">
        <v>730</v>
      </c>
      <c r="M210" s="163">
        <f>M209+K210-L210</f>
        <v>257218.73072000081</v>
      </c>
    </row>
    <row r="211" spans="1:13">
      <c r="A211" s="54" t="str">
        <f>D211&amp;E211&amp;F211</f>
        <v>CAPUBERCAP</v>
      </c>
      <c r="B211" t="s">
        <v>212</v>
      </c>
      <c r="C211" s="1">
        <v>45702</v>
      </c>
      <c r="D211" s="71" t="s">
        <v>31</v>
      </c>
      <c r="E211" s="71" t="s">
        <v>189</v>
      </c>
      <c r="F211" s="70" t="s">
        <v>31</v>
      </c>
      <c r="G211" s="71" t="s">
        <v>216</v>
      </c>
      <c r="I211" s="138"/>
      <c r="J211" s="76" t="s">
        <v>257</v>
      </c>
      <c r="K211" s="322"/>
      <c r="L211" s="525">
        <v>215</v>
      </c>
      <c r="M211" s="163">
        <f>M210+K211-L211</f>
        <v>257003.73072000081</v>
      </c>
    </row>
    <row r="212" spans="1:13">
      <c r="A212" s="54" t="str">
        <f>D212&amp;E212&amp;F212</f>
        <v>FINANZASRECOLECCION DE BASURACAPRICHOS</v>
      </c>
      <c r="B212" t="s">
        <v>212</v>
      </c>
      <c r="C212" s="1">
        <v>45702</v>
      </c>
      <c r="D212" s="71" t="s">
        <v>23</v>
      </c>
      <c r="E212" s="71" t="s">
        <v>166</v>
      </c>
      <c r="F212" s="70" t="s">
        <v>33</v>
      </c>
      <c r="G212" s="71" t="s">
        <v>216</v>
      </c>
      <c r="I212" s="138"/>
      <c r="J212" s="76" t="s">
        <v>369</v>
      </c>
      <c r="K212" s="322"/>
      <c r="L212" s="327">
        <v>306</v>
      </c>
      <c r="M212" s="163">
        <f>M211+K212-L212</f>
        <v>256697.73072000081</v>
      </c>
    </row>
    <row r="213" spans="1:13">
      <c r="A213" s="54" t="str">
        <f>D213&amp;E213&amp;F213</f>
        <v>CAPINSUMOSCAPRICHOS</v>
      </c>
      <c r="B213" t="s">
        <v>212</v>
      </c>
      <c r="C213" s="1">
        <v>45702</v>
      </c>
      <c r="D213" s="71" t="s">
        <v>31</v>
      </c>
      <c r="E213" s="71" t="s">
        <v>133</v>
      </c>
      <c r="F213" s="70" t="s">
        <v>33</v>
      </c>
      <c r="G213" s="71" t="s">
        <v>216</v>
      </c>
      <c r="I213" s="138"/>
      <c r="J213" s="76" t="s">
        <v>370</v>
      </c>
      <c r="K213" s="322"/>
      <c r="L213" s="327">
        <v>736</v>
      </c>
      <c r="M213" s="163">
        <f>M212+K213-L213</f>
        <v>255961.73072000081</v>
      </c>
    </row>
    <row r="214" spans="1:13">
      <c r="A214" s="54" t="str">
        <f>D214&amp;E214&amp;F214</f>
        <v>FINANZASFALTANTESFALTANTES</v>
      </c>
      <c r="B214" t="s">
        <v>212</v>
      </c>
      <c r="C214" s="1">
        <v>45702</v>
      </c>
      <c r="D214" s="71" t="s">
        <v>23</v>
      </c>
      <c r="E214" s="71" t="s">
        <v>119</v>
      </c>
      <c r="F214" s="70" t="s">
        <v>119</v>
      </c>
      <c r="G214" s="71" t="s">
        <v>258</v>
      </c>
      <c r="I214" s="138"/>
      <c r="J214" s="71" t="s">
        <v>371</v>
      </c>
      <c r="K214" s="322"/>
      <c r="L214" s="323">
        <v>6595.02</v>
      </c>
      <c r="M214" s="163">
        <f>M213+K214-L214</f>
        <v>249366.71072000082</v>
      </c>
    </row>
    <row r="215" spans="1:13">
      <c r="A215" s="54" t="str">
        <f>D215&amp;E215&amp;F215</f>
        <v>SERVICIOSVIATICOSCEDIS</v>
      </c>
      <c r="B215" t="s">
        <v>212</v>
      </c>
      <c r="C215" s="1">
        <v>45703</v>
      </c>
      <c r="D215" s="71" t="s">
        <v>21</v>
      </c>
      <c r="E215" s="71" t="s">
        <v>191</v>
      </c>
      <c r="F215" s="70" t="s">
        <v>28</v>
      </c>
      <c r="G215" s="71" t="s">
        <v>216</v>
      </c>
      <c r="I215" s="138"/>
      <c r="J215" s="71" t="s">
        <v>372</v>
      </c>
      <c r="K215" s="322"/>
      <c r="L215" s="323">
        <v>2650</v>
      </c>
      <c r="M215" s="163">
        <f>M214+K215-L215</f>
        <v>246716.71072000082</v>
      </c>
    </row>
    <row r="216" spans="1:13">
      <c r="A216" s="54" t="str">
        <f>D216&amp;E216&amp;F216</f>
        <v>SERVICIOSMTTO EQ DE TRANSPORTECEDIS</v>
      </c>
      <c r="B216" t="s">
        <v>212</v>
      </c>
      <c r="C216" s="1">
        <v>45703</v>
      </c>
      <c r="D216" s="71" t="s">
        <v>21</v>
      </c>
      <c r="E216" s="71" t="s">
        <v>144</v>
      </c>
      <c r="F216" s="70" t="s">
        <v>28</v>
      </c>
      <c r="G216" s="71" t="s">
        <v>258</v>
      </c>
      <c r="I216" s="138"/>
      <c r="J216" s="71" t="s">
        <v>373</v>
      </c>
      <c r="K216" s="322"/>
      <c r="L216" s="417">
        <v>1866</v>
      </c>
      <c r="M216" s="163">
        <f>M215+K216-L216</f>
        <v>244850.71072000082</v>
      </c>
    </row>
    <row r="217" spans="1:13">
      <c r="A217" s="54" t="str">
        <f>D217&amp;E217&amp;F217</f>
        <v>SERVICIOSVIATICOSCOMPRAS</v>
      </c>
      <c r="B217" t="s">
        <v>212</v>
      </c>
      <c r="C217" s="1">
        <v>45703</v>
      </c>
      <c r="D217" s="71" t="s">
        <v>21</v>
      </c>
      <c r="E217" s="71" t="s">
        <v>191</v>
      </c>
      <c r="F217" s="70" t="s">
        <v>148</v>
      </c>
      <c r="G217" s="71" t="s">
        <v>216</v>
      </c>
      <c r="I217" s="138"/>
      <c r="J217" s="71" t="s">
        <v>374</v>
      </c>
      <c r="K217" s="322"/>
      <c r="L217" s="323">
        <v>900</v>
      </c>
      <c r="M217" s="163">
        <f>M216+K217-L217</f>
        <v>243950.71072000082</v>
      </c>
    </row>
    <row r="218" spans="1:13">
      <c r="A218" s="54" t="str">
        <f>D218&amp;E218&amp;F218</f>
        <v>FINANZASFONDO Y REPOSICIONFINANZAS</v>
      </c>
      <c r="B218" t="s">
        <v>212</v>
      </c>
      <c r="C218" s="1">
        <v>45703</v>
      </c>
      <c r="D218" s="71" t="s">
        <v>23</v>
      </c>
      <c r="E218" s="71" t="s">
        <v>120</v>
      </c>
      <c r="F218" s="70" t="s">
        <v>23</v>
      </c>
      <c r="G218" s="71" t="s">
        <v>216</v>
      </c>
      <c r="I218" s="138"/>
      <c r="J218" s="71" t="s">
        <v>375</v>
      </c>
      <c r="K218" s="322"/>
      <c r="L218" s="323">
        <v>300</v>
      </c>
      <c r="M218" s="163">
        <f>M217+K218-L218</f>
        <v>243650.71072000082</v>
      </c>
    </row>
    <row r="219" spans="1:13">
      <c r="A219" s="54" t="str">
        <f t="shared" si="3"/>
        <v/>
      </c>
      <c r="B219" t="s">
        <v>212</v>
      </c>
      <c r="C219" s="1">
        <v>45705</v>
      </c>
      <c r="D219" s="71"/>
      <c r="F219" s="70"/>
      <c r="I219" s="138"/>
      <c r="J219" s="71" t="s">
        <v>260</v>
      </c>
      <c r="K219" s="322">
        <v>884686.03</v>
      </c>
      <c r="L219" s="180"/>
      <c r="M219" s="163">
        <f>M218+K219-L219</f>
        <v>1128336.7407200008</v>
      </c>
    </row>
    <row r="220" spans="1:13">
      <c r="A220" s="54" t="str">
        <f>D220&amp;E220&amp;F220</f>
        <v>FINANZASCOMISIONES BANCARIASTPV</v>
      </c>
      <c r="B220" t="s">
        <v>212</v>
      </c>
      <c r="C220" s="1">
        <v>45705</v>
      </c>
      <c r="D220" s="71" t="s">
        <v>23</v>
      </c>
      <c r="E220" s="71" t="s">
        <v>48</v>
      </c>
      <c r="F220" s="70" t="s">
        <v>50</v>
      </c>
      <c r="G220" s="71" t="s">
        <v>216</v>
      </c>
      <c r="I220" s="138"/>
      <c r="J220" s="71" t="s">
        <v>217</v>
      </c>
      <c r="K220" s="322"/>
      <c r="L220" s="323">
        <f>7121.28+8075.72+660.24+679.22+450.1</f>
        <v>16986.559999999998</v>
      </c>
      <c r="M220" s="163">
        <f>M219+K220-L220</f>
        <v>1111350.1807200008</v>
      </c>
    </row>
    <row r="221" spans="1:13">
      <c r="A221" s="54" t="str">
        <f t="shared" si="3"/>
        <v/>
      </c>
      <c r="B221" t="s">
        <v>212</v>
      </c>
      <c r="C221" s="1">
        <v>45705</v>
      </c>
      <c r="D221" s="71"/>
      <c r="F221" s="70"/>
      <c r="I221" s="138"/>
      <c r="J221" s="205" t="s">
        <v>220</v>
      </c>
      <c r="K221" s="206"/>
      <c r="L221" s="206">
        <v>750000</v>
      </c>
      <c r="M221" s="163">
        <f>M220+K221-L221</f>
        <v>361350.18072000076</v>
      </c>
    </row>
    <row r="222" spans="1:13">
      <c r="A222" s="54" t="str">
        <f>D222&amp;E222&amp;F222</f>
        <v>HRENERGIA ELECTRICAA4</v>
      </c>
      <c r="B222" t="s">
        <v>212</v>
      </c>
      <c r="C222" s="1">
        <v>45705</v>
      </c>
      <c r="D222" s="71" t="s">
        <v>29</v>
      </c>
      <c r="E222" s="71" t="s">
        <v>87</v>
      </c>
      <c r="F222" s="70" t="s">
        <v>91</v>
      </c>
      <c r="G222" s="71" t="s">
        <v>216</v>
      </c>
      <c r="I222" s="138"/>
      <c r="J222" s="71" t="s">
        <v>376</v>
      </c>
      <c r="K222" s="322"/>
      <c r="L222" s="323">
        <v>5534</v>
      </c>
      <c r="M222" s="163">
        <f>M221+K222-L222</f>
        <v>355816.18072000076</v>
      </c>
    </row>
    <row r="223" spans="1:13">
      <c r="A223" s="54" t="str">
        <f>D223&amp;E223&amp;F223</f>
        <v>HRENERGIA ELECTRICAA15</v>
      </c>
      <c r="B223" t="s">
        <v>212</v>
      </c>
      <c r="C223" s="1">
        <v>45705</v>
      </c>
      <c r="D223" s="71" t="s">
        <v>29</v>
      </c>
      <c r="E223" s="71" t="s">
        <v>87</v>
      </c>
      <c r="F223" s="70" t="s">
        <v>100</v>
      </c>
      <c r="G223" s="71" t="s">
        <v>216</v>
      </c>
      <c r="I223" s="138"/>
      <c r="J223" s="71" t="s">
        <v>377</v>
      </c>
      <c r="K223" s="322"/>
      <c r="L223" s="323">
        <v>5217</v>
      </c>
      <c r="M223" s="163">
        <f>M222+K223-L223</f>
        <v>350599.18072000076</v>
      </c>
    </row>
    <row r="224" spans="1:13">
      <c r="A224" s="54" t="str">
        <f>D224&amp;E224&amp;F224</f>
        <v>HRENERGIA ELECTRICAA5</v>
      </c>
      <c r="B224" t="s">
        <v>212</v>
      </c>
      <c r="C224" s="1">
        <v>45705</v>
      </c>
      <c r="D224" s="71" t="s">
        <v>29</v>
      </c>
      <c r="E224" s="71" t="s">
        <v>87</v>
      </c>
      <c r="F224" s="70" t="s">
        <v>92</v>
      </c>
      <c r="G224" s="71" t="s">
        <v>216</v>
      </c>
      <c r="I224" s="138"/>
      <c r="J224" s="71" t="s">
        <v>378</v>
      </c>
      <c r="K224" s="322"/>
      <c r="L224" s="323">
        <v>3705</v>
      </c>
      <c r="M224" s="163">
        <f>M223+K224-L224</f>
        <v>346894.18072000076</v>
      </c>
    </row>
    <row r="225" spans="1:13">
      <c r="A225" s="54" t="str">
        <f>D225&amp;E225&amp;F225</f>
        <v>HRENERGIA ELECTRICAA5</v>
      </c>
      <c r="B225" t="s">
        <v>212</v>
      </c>
      <c r="C225" s="1">
        <v>45705</v>
      </c>
      <c r="D225" s="71" t="s">
        <v>29</v>
      </c>
      <c r="E225" s="71" t="s">
        <v>87</v>
      </c>
      <c r="F225" s="70" t="s">
        <v>92</v>
      </c>
      <c r="G225" s="71" t="s">
        <v>216</v>
      </c>
      <c r="I225" s="138"/>
      <c r="J225" s="71" t="s">
        <v>378</v>
      </c>
      <c r="K225" s="322"/>
      <c r="L225" s="323">
        <v>6476</v>
      </c>
      <c r="M225" s="163">
        <f>M224+K225-L225</f>
        <v>340418.18072000076</v>
      </c>
    </row>
    <row r="226" spans="1:13">
      <c r="A226" s="54" t="str">
        <f>D226&amp;E226&amp;F226</f>
        <v>HRENERGIA ELECTRICAA5</v>
      </c>
      <c r="B226" t="s">
        <v>212</v>
      </c>
      <c r="C226" s="1">
        <v>45705</v>
      </c>
      <c r="D226" s="71" t="s">
        <v>29</v>
      </c>
      <c r="E226" s="71" t="s">
        <v>87</v>
      </c>
      <c r="F226" s="70" t="s">
        <v>92</v>
      </c>
      <c r="G226" s="71" t="s">
        <v>216</v>
      </c>
      <c r="I226" s="138"/>
      <c r="J226" s="71" t="s">
        <v>378</v>
      </c>
      <c r="K226" s="322"/>
      <c r="L226" s="323">
        <v>6110</v>
      </c>
      <c r="M226" s="163">
        <f>M225+K226-L226</f>
        <v>334308.18072000076</v>
      </c>
    </row>
    <row r="227" spans="1:13">
      <c r="A227" s="54" t="str">
        <f>D227&amp;E227&amp;F227</f>
        <v>HRENERGIA ELECTRICAA22</v>
      </c>
      <c r="B227" t="s">
        <v>212</v>
      </c>
      <c r="C227" s="1">
        <v>45705</v>
      </c>
      <c r="D227" s="71" t="s">
        <v>29</v>
      </c>
      <c r="E227" s="71" t="s">
        <v>87</v>
      </c>
      <c r="F227" s="70" t="s">
        <v>104</v>
      </c>
      <c r="G227" s="71" t="s">
        <v>216</v>
      </c>
      <c r="I227" s="138"/>
      <c r="J227" s="71" t="s">
        <v>379</v>
      </c>
      <c r="K227" s="322"/>
      <c r="L227" s="323">
        <v>9007</v>
      </c>
      <c r="M227" s="163">
        <f>M226+K227-L227</f>
        <v>325301.18072000076</v>
      </c>
    </row>
    <row r="228" spans="1:13">
      <c r="A228" s="54" t="str">
        <f>D228&amp;E228&amp;F228</f>
        <v>CAPENERGIA ELECTRICAE7</v>
      </c>
      <c r="B228" t="s">
        <v>212</v>
      </c>
      <c r="C228" s="1">
        <v>45705</v>
      </c>
      <c r="D228" s="71" t="s">
        <v>31</v>
      </c>
      <c r="E228" s="71" t="s">
        <v>87</v>
      </c>
      <c r="F228" s="70" t="s">
        <v>113</v>
      </c>
      <c r="G228" s="71" t="s">
        <v>216</v>
      </c>
      <c r="I228" s="138"/>
      <c r="J228" s="71" t="s">
        <v>380</v>
      </c>
      <c r="K228" s="322"/>
      <c r="L228" s="323">
        <v>8792</v>
      </c>
      <c r="M228" s="163">
        <f>M227+K228-L228</f>
        <v>316509.18072000076</v>
      </c>
    </row>
    <row r="229" spans="1:13">
      <c r="A229" s="54" t="str">
        <f>D229&amp;E229&amp;F229</f>
        <v>CAPENERGIA ELECTRICAE3</v>
      </c>
      <c r="B229" t="s">
        <v>212</v>
      </c>
      <c r="C229" s="1">
        <v>45705</v>
      </c>
      <c r="D229" s="71" t="s">
        <v>31</v>
      </c>
      <c r="E229" s="71" t="s">
        <v>87</v>
      </c>
      <c r="F229" s="70" t="s">
        <v>109</v>
      </c>
      <c r="G229" s="71" t="s">
        <v>216</v>
      </c>
      <c r="I229" s="138"/>
      <c r="J229" s="71" t="s">
        <v>381</v>
      </c>
      <c r="K229" s="322"/>
      <c r="L229" s="323">
        <v>5454</v>
      </c>
      <c r="M229" s="163">
        <f>M228+K229-L229</f>
        <v>311055.18072000076</v>
      </c>
    </row>
    <row r="230" spans="1:13">
      <c r="A230" s="54" t="str">
        <f>D230&amp;E230&amp;F230</f>
        <v>CAPENERGIA ELECTRICAE4</v>
      </c>
      <c r="B230" t="s">
        <v>212</v>
      </c>
      <c r="C230" s="1">
        <v>45705</v>
      </c>
      <c r="D230" s="71" t="s">
        <v>31</v>
      </c>
      <c r="E230" s="71" t="s">
        <v>87</v>
      </c>
      <c r="F230" s="70" t="s">
        <v>110</v>
      </c>
      <c r="G230" s="71" t="s">
        <v>216</v>
      </c>
      <c r="I230" s="138"/>
      <c r="J230" s="71" t="s">
        <v>382</v>
      </c>
      <c r="K230" s="322"/>
      <c r="L230" s="323">
        <v>7748</v>
      </c>
      <c r="M230" s="163">
        <f>M229+K230-L230</f>
        <v>303307.18072000076</v>
      </c>
    </row>
    <row r="231" spans="1:13">
      <c r="A231" s="54" t="str">
        <f>D231&amp;E231&amp;F231</f>
        <v>SERVICIOSINSUMOSCOFFE</v>
      </c>
      <c r="B231" t="s">
        <v>212</v>
      </c>
      <c r="C231" s="1">
        <v>45705</v>
      </c>
      <c r="D231" s="71" t="s">
        <v>21</v>
      </c>
      <c r="E231" s="71" t="s">
        <v>133</v>
      </c>
      <c r="F231" s="70" t="s">
        <v>135</v>
      </c>
      <c r="G231" s="71" t="s">
        <v>216</v>
      </c>
      <c r="I231" s="138"/>
      <c r="J231" s="71" t="s">
        <v>383</v>
      </c>
      <c r="K231" s="322"/>
      <c r="L231" s="323">
        <v>1392</v>
      </c>
      <c r="M231" s="163">
        <f>M230+K231-L231</f>
        <v>301915.18072000076</v>
      </c>
    </row>
    <row r="232" spans="1:13">
      <c r="A232" s="54" t="str">
        <f>D232&amp;E232&amp;F232</f>
        <v>CAPFONDO Y REPOSICIONCAPRICHOS</v>
      </c>
      <c r="B232" t="s">
        <v>212</v>
      </c>
      <c r="C232" s="1">
        <v>45705</v>
      </c>
      <c r="D232" s="71" t="s">
        <v>31</v>
      </c>
      <c r="E232" s="71" t="s">
        <v>120</v>
      </c>
      <c r="F232" s="70" t="s">
        <v>33</v>
      </c>
      <c r="G232" s="71" t="s">
        <v>258</v>
      </c>
      <c r="I232" s="138"/>
      <c r="J232" s="71" t="s">
        <v>384</v>
      </c>
      <c r="K232" s="322"/>
      <c r="L232" s="323">
        <v>299</v>
      </c>
      <c r="M232" s="163">
        <f>M231+K232-L232</f>
        <v>301616.18072000076</v>
      </c>
    </row>
    <row r="233" spans="1:13">
      <c r="A233" s="54" t="str">
        <f>D233&amp;E233&amp;F233</f>
        <v>CAPFONDO Y REPOSICIONCAPRICHOS</v>
      </c>
      <c r="B233" t="s">
        <v>212</v>
      </c>
      <c r="C233" s="1">
        <v>45705</v>
      </c>
      <c r="D233" s="71" t="s">
        <v>31</v>
      </c>
      <c r="E233" s="71" t="s">
        <v>120</v>
      </c>
      <c r="F233" s="70" t="s">
        <v>33</v>
      </c>
      <c r="G233" s="71" t="s">
        <v>216</v>
      </c>
      <c r="I233" s="138"/>
      <c r="J233" s="71" t="s">
        <v>385</v>
      </c>
      <c r="K233" s="322"/>
      <c r="L233" s="323">
        <v>2500</v>
      </c>
      <c r="M233" s="163">
        <f>M232+K233-L233</f>
        <v>299116.18072000076</v>
      </c>
    </row>
    <row r="234" spans="1:13">
      <c r="A234" s="54" t="str">
        <f>D234&amp;E234&amp;F234</f>
        <v>HRNOMINA SUCURSALA2</v>
      </c>
      <c r="B234" t="s">
        <v>212</v>
      </c>
      <c r="C234" s="1">
        <v>45705</v>
      </c>
      <c r="D234" s="71" t="s">
        <v>29</v>
      </c>
      <c r="E234" s="71" t="s">
        <v>154</v>
      </c>
      <c r="F234" s="70" t="s">
        <v>89</v>
      </c>
      <c r="G234" s="71" t="s">
        <v>216</v>
      </c>
      <c r="I234" s="138"/>
      <c r="J234" s="71" t="s">
        <v>386</v>
      </c>
      <c r="K234" s="322"/>
      <c r="L234" s="327">
        <v>545</v>
      </c>
      <c r="M234" s="163">
        <f>M233+K234-L234</f>
        <v>298571.18072000076</v>
      </c>
    </row>
    <row r="235" spans="1:13">
      <c r="A235" s="54" t="str">
        <f>D235&amp;E235&amp;F235</f>
        <v>HRUBERHR</v>
      </c>
      <c r="B235" t="s">
        <v>212</v>
      </c>
      <c r="C235" s="1">
        <v>45705</v>
      </c>
      <c r="D235" s="71" t="s">
        <v>29</v>
      </c>
      <c r="E235" s="71" t="s">
        <v>189</v>
      </c>
      <c r="F235" s="70" t="s">
        <v>29</v>
      </c>
      <c r="G235" s="71" t="s">
        <v>216</v>
      </c>
      <c r="I235" s="138"/>
      <c r="J235" s="71" t="s">
        <v>291</v>
      </c>
      <c r="K235" s="322"/>
      <c r="L235" s="525">
        <v>38</v>
      </c>
      <c r="M235" s="163">
        <f>M234+K235-L235</f>
        <v>298533.18072000076</v>
      </c>
    </row>
    <row r="236" spans="1:13">
      <c r="A236" s="54" t="str">
        <f>D236&amp;E236&amp;F236</f>
        <v>HRUBERHR</v>
      </c>
      <c r="B236" t="s">
        <v>212</v>
      </c>
      <c r="C236" s="1">
        <v>45705</v>
      </c>
      <c r="D236" s="71" t="s">
        <v>29</v>
      </c>
      <c r="E236" s="71" t="s">
        <v>189</v>
      </c>
      <c r="F236" s="70" t="s">
        <v>29</v>
      </c>
      <c r="G236" s="71" t="s">
        <v>216</v>
      </c>
      <c r="I236" s="138"/>
      <c r="J236" s="71" t="s">
        <v>387</v>
      </c>
      <c r="K236" s="322"/>
      <c r="L236" s="525">
        <v>240</v>
      </c>
      <c r="M236" s="163">
        <f>M235+K236-L236</f>
        <v>298293.18072000076</v>
      </c>
    </row>
    <row r="237" spans="1:13">
      <c r="A237" s="54" t="str">
        <f>D237&amp;E237&amp;F237</f>
        <v>HRUBERHR</v>
      </c>
      <c r="B237" t="s">
        <v>212</v>
      </c>
      <c r="C237" s="1">
        <v>45705</v>
      </c>
      <c r="D237" s="71" t="s">
        <v>29</v>
      </c>
      <c r="E237" s="71" t="s">
        <v>189</v>
      </c>
      <c r="F237" s="70" t="s">
        <v>29</v>
      </c>
      <c r="G237" s="71" t="s">
        <v>216</v>
      </c>
      <c r="I237" s="138"/>
      <c r="J237" s="71" t="s">
        <v>308</v>
      </c>
      <c r="K237" s="322"/>
      <c r="L237" s="525">
        <v>328</v>
      </c>
      <c r="M237" s="163">
        <f>M236+K237-L237</f>
        <v>297965.18072000076</v>
      </c>
    </row>
    <row r="238" spans="1:13">
      <c r="A238" s="54" t="str">
        <f>D238&amp;E238&amp;F238</f>
        <v>HRUBERHR</v>
      </c>
      <c r="B238" t="s">
        <v>212</v>
      </c>
      <c r="C238" s="1">
        <v>45705</v>
      </c>
      <c r="D238" s="71" t="s">
        <v>29</v>
      </c>
      <c r="E238" s="71" t="s">
        <v>189</v>
      </c>
      <c r="F238" s="70" t="s">
        <v>29</v>
      </c>
      <c r="G238" s="71" t="s">
        <v>216</v>
      </c>
      <c r="I238" s="138"/>
      <c r="J238" s="71" t="s">
        <v>388</v>
      </c>
      <c r="K238" s="322"/>
      <c r="L238" s="525">
        <v>120</v>
      </c>
      <c r="M238" s="163">
        <f>M237+K238-L238</f>
        <v>297845.18072000076</v>
      </c>
    </row>
    <row r="239" spans="1:13">
      <c r="A239" s="54" t="str">
        <f>D239&amp;E239&amp;F239</f>
        <v>CAPUBERCAP</v>
      </c>
      <c r="B239" t="s">
        <v>212</v>
      </c>
      <c r="C239" s="1">
        <v>45705</v>
      </c>
      <c r="D239" s="71" t="s">
        <v>31</v>
      </c>
      <c r="E239" s="71" t="s">
        <v>189</v>
      </c>
      <c r="F239" s="70" t="s">
        <v>31</v>
      </c>
      <c r="G239" s="71" t="s">
        <v>216</v>
      </c>
      <c r="I239" s="138"/>
      <c r="J239" s="71" t="s">
        <v>389</v>
      </c>
      <c r="K239" s="322"/>
      <c r="L239" s="525">
        <v>2122</v>
      </c>
      <c r="M239" s="163">
        <f>M238+K239-L239</f>
        <v>295723.18072000076</v>
      </c>
    </row>
    <row r="240" spans="1:13">
      <c r="A240" s="54" t="str">
        <f>D240&amp;E240&amp;F240</f>
        <v>HRCAPACITACIONCAPACITACION</v>
      </c>
      <c r="B240" t="s">
        <v>212</v>
      </c>
      <c r="C240" s="1">
        <v>45705</v>
      </c>
      <c r="D240" s="71" t="s">
        <v>29</v>
      </c>
      <c r="E240" s="71" t="s">
        <v>30</v>
      </c>
      <c r="F240" s="70" t="s">
        <v>30</v>
      </c>
      <c r="G240" s="71" t="s">
        <v>216</v>
      </c>
      <c r="I240" s="138"/>
      <c r="J240" s="71" t="s">
        <v>390</v>
      </c>
      <c r="K240" s="322"/>
      <c r="L240" s="327">
        <v>626</v>
      </c>
      <c r="M240" s="163">
        <f>M239+K240-L240</f>
        <v>295097.18072000076</v>
      </c>
    </row>
    <row r="241" spans="1:13">
      <c r="A241" s="54" t="str">
        <f>D241&amp;E241&amp;F241</f>
        <v>CAPUBERCAP</v>
      </c>
      <c r="B241" t="s">
        <v>212</v>
      </c>
      <c r="C241" s="1">
        <v>45705</v>
      </c>
      <c r="D241" s="71" t="s">
        <v>31</v>
      </c>
      <c r="E241" s="71" t="s">
        <v>189</v>
      </c>
      <c r="F241" s="70" t="s">
        <v>31</v>
      </c>
      <c r="G241" s="71" t="s">
        <v>216</v>
      </c>
      <c r="I241" s="138"/>
      <c r="J241" s="71" t="s">
        <v>391</v>
      </c>
      <c r="K241" s="322"/>
      <c r="L241" s="525">
        <v>647</v>
      </c>
      <c r="M241" s="163">
        <f>M240+K241-L241</f>
        <v>294450.18072000076</v>
      </c>
    </row>
    <row r="242" spans="1:13">
      <c r="A242" s="54" t="str">
        <f>D242&amp;E242&amp;F242</f>
        <v>CAPINSUMOSCAPRICHOS</v>
      </c>
      <c r="B242" t="s">
        <v>212</v>
      </c>
      <c r="C242" s="1">
        <v>45705</v>
      </c>
      <c r="D242" s="71" t="s">
        <v>31</v>
      </c>
      <c r="E242" s="71" t="s">
        <v>133</v>
      </c>
      <c r="F242" s="70" t="s">
        <v>33</v>
      </c>
      <c r="G242" s="71" t="s">
        <v>216</v>
      </c>
      <c r="I242" s="138"/>
      <c r="J242" s="71" t="s">
        <v>362</v>
      </c>
      <c r="K242" s="322"/>
      <c r="L242" s="327">
        <v>126</v>
      </c>
      <c r="M242" s="163">
        <f>M241+K242-L242</f>
        <v>294324.18072000076</v>
      </c>
    </row>
    <row r="243" spans="1:13">
      <c r="A243" s="54" t="str">
        <f>D243&amp;E243&amp;F243</f>
        <v>FINANZASFALTANTESFALTANTES</v>
      </c>
      <c r="B243" t="s">
        <v>212</v>
      </c>
      <c r="C243" s="1">
        <v>45705</v>
      </c>
      <c r="D243" s="71" t="s">
        <v>23</v>
      </c>
      <c r="E243" s="71" t="s">
        <v>119</v>
      </c>
      <c r="F243" s="70" t="s">
        <v>119</v>
      </c>
      <c r="G243" s="71" t="s">
        <v>258</v>
      </c>
      <c r="I243" s="138"/>
      <c r="J243" s="71" t="s">
        <v>392</v>
      </c>
      <c r="K243" s="322"/>
      <c r="L243" s="327">
        <v>2701.99</v>
      </c>
      <c r="M243" s="163">
        <f>M242+K243-L243</f>
        <v>291622.19072000077</v>
      </c>
    </row>
    <row r="244" spans="1:13">
      <c r="A244" s="54" t="str">
        <f t="shared" si="3"/>
        <v/>
      </c>
      <c r="B244" t="s">
        <v>212</v>
      </c>
      <c r="C244" s="1">
        <v>45706</v>
      </c>
      <c r="D244" s="71"/>
      <c r="F244" s="70"/>
      <c r="I244" s="138"/>
      <c r="J244" s="71" t="s">
        <v>260</v>
      </c>
      <c r="K244" s="322">
        <v>145576.88</v>
      </c>
      <c r="L244" s="180"/>
      <c r="M244" s="163">
        <f>M243+K244-L244</f>
        <v>437199.07072000077</v>
      </c>
    </row>
    <row r="245" spans="1:13">
      <c r="A245" s="54" t="str">
        <f t="shared" si="3"/>
        <v/>
      </c>
      <c r="B245" t="s">
        <v>212</v>
      </c>
      <c r="C245" s="1">
        <v>45706</v>
      </c>
      <c r="D245" s="71"/>
      <c r="F245" s="70"/>
      <c r="I245" s="138"/>
      <c r="J245" s="71" t="s">
        <v>393</v>
      </c>
      <c r="K245" s="322">
        <v>200000</v>
      </c>
      <c r="L245" s="180"/>
      <c r="M245" s="163">
        <f>M244+K245-L245</f>
        <v>637199.07072000077</v>
      </c>
    </row>
    <row r="246" spans="1:13">
      <c r="A246" s="54" t="str">
        <f>D246&amp;E246&amp;F246</f>
        <v>FINANZASCOMISIONES BANCARIASTPV</v>
      </c>
      <c r="B246" t="s">
        <v>212</v>
      </c>
      <c r="C246" s="1">
        <v>45706</v>
      </c>
      <c r="D246" s="71" t="s">
        <v>23</v>
      </c>
      <c r="E246" s="71" t="s">
        <v>48</v>
      </c>
      <c r="F246" s="70" t="s">
        <v>50</v>
      </c>
      <c r="G246" s="71" t="s">
        <v>216</v>
      </c>
      <c r="I246" s="138"/>
      <c r="J246" s="71" t="s">
        <v>217</v>
      </c>
      <c r="K246" s="322"/>
      <c r="L246" s="323">
        <f>1064.34+1141.23+67.7+116.44+31.43</f>
        <v>2421.1399999999994</v>
      </c>
      <c r="M246" s="163">
        <f>M245+K246-L246</f>
        <v>634777.93072000076</v>
      </c>
    </row>
    <row r="247" spans="1:13">
      <c r="A247" s="54" t="str">
        <f t="shared" si="3"/>
        <v/>
      </c>
      <c r="B247" t="s">
        <v>212</v>
      </c>
      <c r="C247" s="1">
        <v>45706</v>
      </c>
      <c r="D247" s="71"/>
      <c r="F247" s="70"/>
      <c r="I247" s="207" t="s">
        <v>221</v>
      </c>
      <c r="J247" s="205" t="s">
        <v>222</v>
      </c>
      <c r="K247" s="206"/>
      <c r="L247" s="206">
        <v>200000</v>
      </c>
      <c r="M247" s="163">
        <f>M246+K247-L247</f>
        <v>434777.93072000076</v>
      </c>
    </row>
    <row r="248" spans="1:13">
      <c r="A248" s="54" t="str">
        <f>D248&amp;E248&amp;F248</f>
        <v>FINANZASCUOTAS Y SUSCRIPCIONESREVALIDACION</v>
      </c>
      <c r="B248" t="s">
        <v>212</v>
      </c>
      <c r="C248" s="1">
        <v>45706</v>
      </c>
      <c r="D248" s="71" t="s">
        <v>23</v>
      </c>
      <c r="E248" s="218" t="s">
        <v>51</v>
      </c>
      <c r="F248" s="70" t="s">
        <v>64</v>
      </c>
      <c r="G248" s="71" t="s">
        <v>216</v>
      </c>
      <c r="I248" s="138"/>
      <c r="J248" s="71" t="s">
        <v>394</v>
      </c>
      <c r="K248" s="322"/>
      <c r="L248" s="323">
        <v>36640</v>
      </c>
      <c r="M248" s="163">
        <f>M247+K248-L248</f>
        <v>398137.93072000076</v>
      </c>
    </row>
    <row r="249" spans="1:13">
      <c r="A249" s="54" t="str">
        <f>D249&amp;E249&amp;F249</f>
        <v>HRFONDO Y REPOSICIONHR</v>
      </c>
      <c r="B249" t="s">
        <v>212</v>
      </c>
      <c r="C249" s="1">
        <v>45706</v>
      </c>
      <c r="D249" s="71" t="s">
        <v>29</v>
      </c>
      <c r="E249" s="71" t="s">
        <v>120</v>
      </c>
      <c r="F249" s="70" t="s">
        <v>29</v>
      </c>
      <c r="G249" s="71" t="s">
        <v>216</v>
      </c>
      <c r="I249" s="138"/>
      <c r="J249" s="71" t="s">
        <v>395</v>
      </c>
      <c r="K249" s="322"/>
      <c r="L249" s="323">
        <v>3249</v>
      </c>
      <c r="M249" s="163">
        <f>M248+K249-L249</f>
        <v>394888.93072000076</v>
      </c>
    </row>
    <row r="250" spans="1:13">
      <c r="A250" s="54" t="str">
        <f>D250&amp;E250&amp;F250</f>
        <v>HRFONDO Y REPOSICIONHR</v>
      </c>
      <c r="B250" t="s">
        <v>212</v>
      </c>
      <c r="C250" s="1">
        <v>45706</v>
      </c>
      <c r="D250" s="71" t="s">
        <v>29</v>
      </c>
      <c r="E250" s="71" t="s">
        <v>120</v>
      </c>
      <c r="F250" s="70" t="s">
        <v>29</v>
      </c>
      <c r="G250" s="71" t="s">
        <v>216</v>
      </c>
      <c r="I250" s="138"/>
      <c r="J250" s="71" t="s">
        <v>396</v>
      </c>
      <c r="K250" s="322"/>
      <c r="L250" s="323">
        <v>2305</v>
      </c>
      <c r="M250" s="163">
        <f>M249+K250-L250</f>
        <v>392583.93072000076</v>
      </c>
    </row>
    <row r="251" spans="1:13">
      <c r="A251" s="54" t="str">
        <f>D251&amp;E251&amp;F251</f>
        <v>SGEVIATICOSGESTION EMPRESARIAL</v>
      </c>
      <c r="B251" t="s">
        <v>212</v>
      </c>
      <c r="C251" s="1">
        <v>45706</v>
      </c>
      <c r="D251" s="71" t="s">
        <v>39</v>
      </c>
      <c r="E251" s="71" t="s">
        <v>191</v>
      </c>
      <c r="F251" s="70" t="s">
        <v>40</v>
      </c>
      <c r="G251" s="71" t="s">
        <v>216</v>
      </c>
      <c r="I251" s="138"/>
      <c r="J251" s="71" t="s">
        <v>333</v>
      </c>
      <c r="K251" s="322"/>
      <c r="L251" s="323">
        <v>2000</v>
      </c>
      <c r="M251" s="163">
        <f>M250+K251-L251</f>
        <v>390583.93072000076</v>
      </c>
    </row>
    <row r="252" spans="1:13">
      <c r="A252" s="54" t="str">
        <f>D252&amp;E252&amp;F252</f>
        <v>SERVICIOSMTTO DE EDIFICIOMANTENIMIENTO</v>
      </c>
      <c r="B252" t="s">
        <v>212</v>
      </c>
      <c r="C252" s="1">
        <v>45706</v>
      </c>
      <c r="D252" s="71" t="s">
        <v>21</v>
      </c>
      <c r="E252" s="71" t="s">
        <v>142</v>
      </c>
      <c r="F252" s="70" t="s">
        <v>35</v>
      </c>
      <c r="G252" s="71" t="s">
        <v>216</v>
      </c>
      <c r="I252" s="138"/>
      <c r="J252" s="71" t="s">
        <v>397</v>
      </c>
      <c r="K252" s="322"/>
      <c r="L252" s="323">
        <v>653</v>
      </c>
      <c r="M252" s="163">
        <f>M251+K252-L252</f>
        <v>389930.93072000076</v>
      </c>
    </row>
    <row r="253" spans="1:13">
      <c r="A253" s="54" t="str">
        <f>D253&amp;E253&amp;F253</f>
        <v>CAPVIATICOSCAPRICHOS</v>
      </c>
      <c r="B253" t="s">
        <v>212</v>
      </c>
      <c r="C253" s="1">
        <v>45706</v>
      </c>
      <c r="D253" s="71" t="s">
        <v>31</v>
      </c>
      <c r="E253" s="71" t="s">
        <v>191</v>
      </c>
      <c r="F253" s="70" t="s">
        <v>33</v>
      </c>
      <c r="G253" s="71" t="s">
        <v>216</v>
      </c>
      <c r="I253" s="138"/>
      <c r="J253" s="71" t="s">
        <v>398</v>
      </c>
      <c r="K253" s="322"/>
      <c r="L253" s="323">
        <v>700</v>
      </c>
      <c r="M253" s="163">
        <f>M252+K253-L253</f>
        <v>389230.93072000076</v>
      </c>
    </row>
    <row r="254" spans="1:13">
      <c r="A254" s="54" t="str">
        <f>D254&amp;E254&amp;F254</f>
        <v>SERVICIOSFONDO Y REPOSICIONSERVICIOS</v>
      </c>
      <c r="B254" t="s">
        <v>212</v>
      </c>
      <c r="C254" s="1">
        <v>45706</v>
      </c>
      <c r="D254" s="71" t="s">
        <v>21</v>
      </c>
      <c r="E254" s="71" t="s">
        <v>120</v>
      </c>
      <c r="F254" s="70" t="s">
        <v>21</v>
      </c>
      <c r="G254" s="71" t="s">
        <v>216</v>
      </c>
      <c r="I254" s="138"/>
      <c r="J254" s="71" t="s">
        <v>399</v>
      </c>
      <c r="K254" s="322"/>
      <c r="L254" s="323">
        <v>2000</v>
      </c>
      <c r="M254" s="163">
        <f>M253+K254-L254</f>
        <v>387230.93072000076</v>
      </c>
    </row>
    <row r="255" spans="1:13">
      <c r="A255" s="54" t="str">
        <f>D255&amp;E255&amp;F255</f>
        <v>SERVICIOSINSUMOSCEDIS</v>
      </c>
      <c r="B255" t="s">
        <v>212</v>
      </c>
      <c r="C255" s="1">
        <v>45706</v>
      </c>
      <c r="D255" s="71" t="s">
        <v>21</v>
      </c>
      <c r="E255" s="71" t="s">
        <v>133</v>
      </c>
      <c r="F255" s="70" t="s">
        <v>28</v>
      </c>
      <c r="G255" s="71" t="s">
        <v>216</v>
      </c>
      <c r="I255" s="138"/>
      <c r="J255" s="71" t="s">
        <v>400</v>
      </c>
      <c r="K255" s="322"/>
      <c r="L255" s="323">
        <v>11600</v>
      </c>
      <c r="M255" s="163">
        <f>M254+K255-L255</f>
        <v>375630.93072000076</v>
      </c>
    </row>
    <row r="256" spans="1:13">
      <c r="A256" s="54" t="str">
        <f>D256&amp;E256&amp;F256</f>
        <v>SERVICIOSINSUMOSCEDIS</v>
      </c>
      <c r="B256" t="s">
        <v>212</v>
      </c>
      <c r="C256" s="1">
        <v>45706</v>
      </c>
      <c r="D256" s="71" t="s">
        <v>21</v>
      </c>
      <c r="E256" s="71" t="s">
        <v>133</v>
      </c>
      <c r="F256" s="70" t="s">
        <v>28</v>
      </c>
      <c r="G256" s="71" t="s">
        <v>216</v>
      </c>
      <c r="I256" s="138"/>
      <c r="J256" s="71" t="s">
        <v>401</v>
      </c>
      <c r="K256" s="322"/>
      <c r="L256" s="323">
        <v>1774.8</v>
      </c>
      <c r="M256" s="163">
        <f>M255+K256-L256</f>
        <v>373856.13072000077</v>
      </c>
    </row>
    <row r="257" spans="1:13">
      <c r="A257" s="54" t="str">
        <f>D257&amp;E257&amp;F257</f>
        <v>SERVICIOSPAQUETERIACT INTERNACIONAL</v>
      </c>
      <c r="B257" t="s">
        <v>212</v>
      </c>
      <c r="C257" s="1">
        <v>45706</v>
      </c>
      <c r="D257" s="71" t="s">
        <v>21</v>
      </c>
      <c r="E257" s="71" t="s">
        <v>160</v>
      </c>
      <c r="F257" s="70" t="s">
        <v>162</v>
      </c>
      <c r="G257" s="71" t="s">
        <v>216</v>
      </c>
      <c r="I257" s="138"/>
      <c r="J257" s="71" t="s">
        <v>402</v>
      </c>
      <c r="K257" s="322"/>
      <c r="L257" s="323">
        <v>140</v>
      </c>
      <c r="M257" s="163">
        <f>M256+K257-L257</f>
        <v>373716.13072000077</v>
      </c>
    </row>
    <row r="258" spans="1:13">
      <c r="A258" s="54" t="str">
        <f>D258&amp;E258&amp;F258</f>
        <v>HRUBERHR</v>
      </c>
      <c r="B258" t="s">
        <v>212</v>
      </c>
      <c r="C258" s="1">
        <v>45706</v>
      </c>
      <c r="D258" s="71" t="s">
        <v>29</v>
      </c>
      <c r="E258" s="71" t="s">
        <v>189</v>
      </c>
      <c r="F258" s="70" t="s">
        <v>29</v>
      </c>
      <c r="G258" s="71" t="s">
        <v>216</v>
      </c>
      <c r="I258" s="138"/>
      <c r="J258" s="76" t="s">
        <v>291</v>
      </c>
      <c r="K258" s="322"/>
      <c r="L258" s="525">
        <v>50</v>
      </c>
      <c r="M258" s="163">
        <f>M257+K258-L258</f>
        <v>373666.13072000077</v>
      </c>
    </row>
    <row r="259" spans="1:13">
      <c r="A259" s="54" t="str">
        <f>D259&amp;E259&amp;F259</f>
        <v>HRUBERHR</v>
      </c>
      <c r="B259" t="s">
        <v>212</v>
      </c>
      <c r="C259" s="1">
        <v>45706</v>
      </c>
      <c r="D259" s="71" t="s">
        <v>29</v>
      </c>
      <c r="E259" s="71" t="s">
        <v>189</v>
      </c>
      <c r="F259" s="70" t="s">
        <v>29</v>
      </c>
      <c r="G259" s="71" t="s">
        <v>216</v>
      </c>
      <c r="I259" s="138"/>
      <c r="J259" s="76" t="s">
        <v>403</v>
      </c>
      <c r="K259" s="322"/>
      <c r="L259" s="525">
        <v>80</v>
      </c>
      <c r="M259" s="163">
        <f>M258+K259-L259</f>
        <v>373586.13072000077</v>
      </c>
    </row>
    <row r="260" spans="1:13">
      <c r="A260" s="54" t="str">
        <f>D260&amp;E260&amp;F260</f>
        <v>HRINSUMOSHR</v>
      </c>
      <c r="B260" t="s">
        <v>212</v>
      </c>
      <c r="C260" s="1">
        <v>45706</v>
      </c>
      <c r="D260" s="71" t="s">
        <v>29</v>
      </c>
      <c r="E260" s="71" t="s">
        <v>133</v>
      </c>
      <c r="F260" s="70" t="s">
        <v>29</v>
      </c>
      <c r="G260" s="71" t="s">
        <v>216</v>
      </c>
      <c r="I260" s="138"/>
      <c r="J260" s="76" t="s">
        <v>404</v>
      </c>
      <c r="K260" s="322"/>
      <c r="L260" s="327">
        <v>77</v>
      </c>
      <c r="M260" s="163">
        <f>M259+K260-L260</f>
        <v>373509.13072000077</v>
      </c>
    </row>
    <row r="261" spans="1:13">
      <c r="A261" s="54" t="str">
        <f>D261&amp;E261&amp;F261</f>
        <v>HRINSUMOSHR</v>
      </c>
      <c r="B261" t="s">
        <v>212</v>
      </c>
      <c r="C261" s="1">
        <v>45706</v>
      </c>
      <c r="D261" s="71" t="s">
        <v>29</v>
      </c>
      <c r="E261" s="71" t="s">
        <v>133</v>
      </c>
      <c r="F261" s="70" t="s">
        <v>29</v>
      </c>
      <c r="G261" s="71" t="s">
        <v>216</v>
      </c>
      <c r="I261" s="138"/>
      <c r="J261" s="76" t="s">
        <v>405</v>
      </c>
      <c r="K261" s="322"/>
      <c r="L261" s="327">
        <v>125</v>
      </c>
      <c r="M261" s="163">
        <f>M260+K261-L261</f>
        <v>373384.13072000077</v>
      </c>
    </row>
    <row r="262" spans="1:13">
      <c r="A262" s="54" t="str">
        <f>D262&amp;E262&amp;F262</f>
        <v>CAPUBERCAP</v>
      </c>
      <c r="B262" t="s">
        <v>212</v>
      </c>
      <c r="C262" s="1">
        <v>45706</v>
      </c>
      <c r="D262" s="71" t="s">
        <v>31</v>
      </c>
      <c r="E262" s="71" t="s">
        <v>189</v>
      </c>
      <c r="F262" s="70" t="s">
        <v>31</v>
      </c>
      <c r="G262" s="71" t="s">
        <v>216</v>
      </c>
      <c r="I262" s="138"/>
      <c r="J262" s="243" t="s">
        <v>253</v>
      </c>
      <c r="K262" s="322"/>
      <c r="L262" s="525">
        <v>300</v>
      </c>
      <c r="M262" s="163">
        <f>M261+K262-L262</f>
        <v>373084.13072000077</v>
      </c>
    </row>
    <row r="263" spans="1:13">
      <c r="A263" s="54" t="str">
        <f>D263&amp;E263&amp;F263</f>
        <v>CAPINSUMOSCAPRICHOS</v>
      </c>
      <c r="B263" t="s">
        <v>212</v>
      </c>
      <c r="C263" s="1">
        <v>45706</v>
      </c>
      <c r="D263" s="71" t="s">
        <v>31</v>
      </c>
      <c r="E263" s="71" t="s">
        <v>133</v>
      </c>
      <c r="F263" s="70" t="s">
        <v>33</v>
      </c>
      <c r="G263" s="71" t="s">
        <v>216</v>
      </c>
      <c r="I263" s="138"/>
      <c r="J263" s="76" t="s">
        <v>406</v>
      </c>
      <c r="K263" s="322"/>
      <c r="L263" s="327">
        <v>104</v>
      </c>
      <c r="M263" s="163">
        <f>M262+K263-L263</f>
        <v>372980.13072000077</v>
      </c>
    </row>
    <row r="264" spans="1:13">
      <c r="A264" s="54" t="str">
        <f>D264&amp;E264&amp;F264</f>
        <v>CAPUBERCAP</v>
      </c>
      <c r="B264" t="s">
        <v>212</v>
      </c>
      <c r="C264" s="1">
        <v>45706</v>
      </c>
      <c r="D264" s="71" t="s">
        <v>31</v>
      </c>
      <c r="E264" s="71" t="s">
        <v>189</v>
      </c>
      <c r="F264" s="70" t="s">
        <v>31</v>
      </c>
      <c r="G264" s="71" t="s">
        <v>258</v>
      </c>
      <c r="I264" s="138"/>
      <c r="J264" s="76" t="s">
        <v>257</v>
      </c>
      <c r="K264" s="322"/>
      <c r="L264" s="525">
        <v>142</v>
      </c>
      <c r="M264" s="163">
        <f>M263+K264-L264</f>
        <v>372838.13072000077</v>
      </c>
    </row>
    <row r="265" spans="1:13">
      <c r="A265" s="54" t="str">
        <f t="shared" ref="A263:A326" si="4">D265&amp;E265&amp;F265</f>
        <v/>
      </c>
      <c r="B265" t="s">
        <v>212</v>
      </c>
      <c r="C265" s="1">
        <v>45707</v>
      </c>
      <c r="D265" s="71"/>
      <c r="F265" s="70"/>
      <c r="I265" s="138"/>
      <c r="J265" s="71" t="s">
        <v>260</v>
      </c>
      <c r="K265" s="322">
        <v>139100.57</v>
      </c>
      <c r="L265" s="180"/>
      <c r="M265" s="163">
        <f>M264+K265-L265</f>
        <v>511938.70072000078</v>
      </c>
    </row>
    <row r="266" spans="1:13">
      <c r="A266" s="54" t="str">
        <f>D266&amp;E266&amp;F266</f>
        <v>FINANZASCOMISIONES BANCARIASTPV</v>
      </c>
      <c r="B266" t="s">
        <v>212</v>
      </c>
      <c r="C266" s="1">
        <v>45707</v>
      </c>
      <c r="D266" s="71" t="s">
        <v>23</v>
      </c>
      <c r="E266" s="71" t="s">
        <v>48</v>
      </c>
      <c r="F266" s="70" t="s">
        <v>50</v>
      </c>
      <c r="G266" s="71" t="s">
        <v>216</v>
      </c>
      <c r="I266" s="138"/>
      <c r="J266" s="71" t="s">
        <v>217</v>
      </c>
      <c r="K266" s="322"/>
      <c r="L266" s="323">
        <f>1912.81+1842.06+140.39+129.32+124.6</f>
        <v>4149.18</v>
      </c>
      <c r="M266" s="163">
        <f>M265+K266-L266</f>
        <v>507789.52072000079</v>
      </c>
    </row>
    <row r="267" spans="1:13">
      <c r="A267" s="54" t="str">
        <f>D267&amp;E267&amp;F267</f>
        <v>SERVICIOSMTTO DE EDIFICIOMANTENIMIENTO</v>
      </c>
      <c r="B267" t="s">
        <v>212</v>
      </c>
      <c r="C267" s="1">
        <v>45707</v>
      </c>
      <c r="D267" s="71" t="s">
        <v>21</v>
      </c>
      <c r="E267" s="71" t="s">
        <v>142</v>
      </c>
      <c r="F267" s="70" t="s">
        <v>35</v>
      </c>
      <c r="G267" s="71" t="s">
        <v>216</v>
      </c>
      <c r="I267" s="138"/>
      <c r="J267" s="71" t="s">
        <v>407</v>
      </c>
      <c r="L267" s="326">
        <v>17797.03</v>
      </c>
      <c r="M267" s="163">
        <f>M266+K267-L267</f>
        <v>489992.49072000082</v>
      </c>
    </row>
    <row r="268" spans="1:13">
      <c r="A268" s="54" t="str">
        <f>D268&amp;E268&amp;F268</f>
        <v>SERVICIOSFONDO Y REPOSICIONSERVICIOS</v>
      </c>
      <c r="B268" t="s">
        <v>212</v>
      </c>
      <c r="C268" s="1">
        <v>45707</v>
      </c>
      <c r="D268" s="71" t="s">
        <v>21</v>
      </c>
      <c r="E268" s="71" t="s">
        <v>120</v>
      </c>
      <c r="F268" s="70" t="s">
        <v>21</v>
      </c>
      <c r="G268" s="71" t="s">
        <v>258</v>
      </c>
      <c r="I268" s="138"/>
      <c r="J268" s="71" t="s">
        <v>408</v>
      </c>
      <c r="K268" s="322"/>
      <c r="L268" s="323">
        <v>1000</v>
      </c>
      <c r="M268" s="163">
        <f>M267+K268-L268</f>
        <v>488992.49072000082</v>
      </c>
    </row>
    <row r="269" spans="1:13">
      <c r="A269" s="54" t="str">
        <f>D269&amp;E269&amp;F269</f>
        <v>SERVICIOSINSUMOSCADENA DE SUMINISTROS</v>
      </c>
      <c r="B269" t="s">
        <v>212</v>
      </c>
      <c r="C269" s="1">
        <v>45707</v>
      </c>
      <c r="D269" s="71" t="s">
        <v>21</v>
      </c>
      <c r="E269" s="71" t="s">
        <v>133</v>
      </c>
      <c r="F269" s="217" t="s">
        <v>134</v>
      </c>
      <c r="G269" s="71" t="s">
        <v>216</v>
      </c>
      <c r="I269" s="138"/>
      <c r="J269" s="71" t="s">
        <v>409</v>
      </c>
      <c r="K269" s="330"/>
      <c r="L269" s="323">
        <v>10800</v>
      </c>
      <c r="M269" s="163">
        <f>M268+K269-L269</f>
        <v>478192.49072000082</v>
      </c>
    </row>
    <row r="270" spans="1:13">
      <c r="A270" s="54" t="str">
        <f>D270&amp;E270&amp;F270</f>
        <v>SERVICIOSINSUMOSCADENA DE SUMINISTROS</v>
      </c>
      <c r="B270" t="s">
        <v>212</v>
      </c>
      <c r="C270" s="1">
        <v>45707</v>
      </c>
      <c r="D270" s="71" t="s">
        <v>21</v>
      </c>
      <c r="E270" s="71" t="s">
        <v>133</v>
      </c>
      <c r="F270" s="217" t="s">
        <v>134</v>
      </c>
      <c r="G270" s="71" t="s">
        <v>216</v>
      </c>
      <c r="I270" s="138"/>
      <c r="J270" s="71" t="s">
        <v>410</v>
      </c>
      <c r="K270" s="322"/>
      <c r="L270" s="323">
        <v>19350.54</v>
      </c>
      <c r="M270" s="163">
        <f>M269+K270-L270</f>
        <v>458841.95072000084</v>
      </c>
    </row>
    <row r="271" spans="1:13">
      <c r="A271" s="54" t="str">
        <f>D271&amp;E271&amp;F271</f>
        <v>SERVICIOSVIATICOSINVENTARIOS</v>
      </c>
      <c r="B271" t="s">
        <v>212</v>
      </c>
      <c r="C271" s="1">
        <v>45707</v>
      </c>
      <c r="D271" s="71" t="s">
        <v>21</v>
      </c>
      <c r="E271" s="71" t="s">
        <v>191</v>
      </c>
      <c r="F271" s="70" t="s">
        <v>34</v>
      </c>
      <c r="G271" s="71" t="s">
        <v>216</v>
      </c>
      <c r="I271" s="138"/>
      <c r="J271" s="71" t="s">
        <v>411</v>
      </c>
      <c r="K271" s="322"/>
      <c r="L271" s="323">
        <v>900</v>
      </c>
      <c r="M271" s="163">
        <f>M270+K271-L271</f>
        <v>457941.95072000084</v>
      </c>
    </row>
    <row r="272" spans="1:13">
      <c r="A272" s="54" t="str">
        <f>D272&amp;E272&amp;F272</f>
        <v>ELIVIATICOSL1</v>
      </c>
      <c r="B272" t="s">
        <v>212</v>
      </c>
      <c r="C272" s="1">
        <v>45707</v>
      </c>
      <c r="D272" s="71" t="s">
        <v>130</v>
      </c>
      <c r="E272" s="71" t="s">
        <v>191</v>
      </c>
      <c r="F272" s="70" t="s">
        <v>136</v>
      </c>
      <c r="G272" s="71" t="s">
        <v>216</v>
      </c>
      <c r="I272" s="138"/>
      <c r="J272" s="71" t="s">
        <v>412</v>
      </c>
      <c r="K272" s="322"/>
      <c r="L272" s="323">
        <v>1000</v>
      </c>
      <c r="M272" s="163">
        <f>M271+K272-L272</f>
        <v>456941.95072000084</v>
      </c>
    </row>
    <row r="273" spans="1:13">
      <c r="A273" s="54" t="str">
        <f>D273&amp;E273&amp;F273</f>
        <v>ELIINSUMOSL1</v>
      </c>
      <c r="B273" t="s">
        <v>212</v>
      </c>
      <c r="C273" s="1">
        <v>45707</v>
      </c>
      <c r="D273" s="71" t="s">
        <v>130</v>
      </c>
      <c r="E273" s="71" t="s">
        <v>133</v>
      </c>
      <c r="F273" s="70" t="s">
        <v>136</v>
      </c>
      <c r="G273" s="71" t="s">
        <v>216</v>
      </c>
      <c r="I273" s="138"/>
      <c r="J273" s="71" t="s">
        <v>413</v>
      </c>
      <c r="K273" s="5"/>
      <c r="L273" s="323">
        <v>290</v>
      </c>
      <c r="M273" s="163">
        <f>M272+K273-L273</f>
        <v>456651.95072000084</v>
      </c>
    </row>
    <row r="274" spans="1:13">
      <c r="A274" s="54" t="str">
        <f>D274&amp;E274&amp;F274</f>
        <v>ELIIMAGEN VISUALIMAGEN VISUAL ELILU</v>
      </c>
      <c r="B274" t="s">
        <v>212</v>
      </c>
      <c r="C274" s="1">
        <v>45707</v>
      </c>
      <c r="D274" s="71" t="s">
        <v>130</v>
      </c>
      <c r="E274" s="71" t="s">
        <v>127</v>
      </c>
      <c r="F274" s="70" t="s">
        <v>131</v>
      </c>
      <c r="G274" s="71" t="s">
        <v>216</v>
      </c>
      <c r="I274" s="138"/>
      <c r="J274" s="71" t="s">
        <v>414</v>
      </c>
      <c r="K274" s="5"/>
      <c r="L274" s="323">
        <v>1009</v>
      </c>
      <c r="M274" s="163">
        <f>M273+K274-L274</f>
        <v>455642.95072000084</v>
      </c>
    </row>
    <row r="275" spans="1:13">
      <c r="A275" s="54" t="str">
        <f>D275&amp;E275&amp;F275</f>
        <v>HRENERGIA ELECTRICAA15</v>
      </c>
      <c r="B275" t="s">
        <v>212</v>
      </c>
      <c r="C275" s="1">
        <v>45707</v>
      </c>
      <c r="D275" s="71" t="s">
        <v>29</v>
      </c>
      <c r="E275" s="71" t="s">
        <v>87</v>
      </c>
      <c r="F275" s="70" t="s">
        <v>100</v>
      </c>
      <c r="G275" s="71" t="s">
        <v>216</v>
      </c>
      <c r="I275" s="138"/>
      <c r="J275" s="71" t="s">
        <v>377</v>
      </c>
      <c r="K275" s="322"/>
      <c r="L275" s="323">
        <v>10068</v>
      </c>
      <c r="M275" s="163">
        <f>M274+K275-L275</f>
        <v>445574.95072000084</v>
      </c>
    </row>
    <row r="276" spans="1:13">
      <c r="A276" s="54" t="str">
        <f>D276&amp;E276&amp;F276</f>
        <v>FINANZASENERGIA ELECTRICACEDIS</v>
      </c>
      <c r="B276" t="s">
        <v>212</v>
      </c>
      <c r="C276" s="1">
        <v>45707</v>
      </c>
      <c r="D276" s="71" t="s">
        <v>23</v>
      </c>
      <c r="E276" s="71" t="s">
        <v>87</v>
      </c>
      <c r="F276" s="70" t="s">
        <v>28</v>
      </c>
      <c r="G276" s="71" t="s">
        <v>216</v>
      </c>
      <c r="I276" s="138"/>
      <c r="J276" t="s">
        <v>415</v>
      </c>
      <c r="K276" s="322"/>
      <c r="L276" s="323">
        <v>519</v>
      </c>
      <c r="M276" s="163">
        <f>M275+K276-L276</f>
        <v>445055.95072000084</v>
      </c>
    </row>
    <row r="277" spans="1:13">
      <c r="A277" s="54" t="str">
        <f>D277&amp;E277&amp;F277</f>
        <v>HRINSUMOSHR</v>
      </c>
      <c r="B277" t="s">
        <v>212</v>
      </c>
      <c r="C277" s="1">
        <v>45707</v>
      </c>
      <c r="D277" s="71" t="s">
        <v>29</v>
      </c>
      <c r="E277" s="71" t="s">
        <v>133</v>
      </c>
      <c r="F277" s="70" t="s">
        <v>29</v>
      </c>
      <c r="G277" s="71" t="s">
        <v>216</v>
      </c>
      <c r="I277" s="138"/>
      <c r="J277" s="76" t="s">
        <v>292</v>
      </c>
      <c r="K277" s="322"/>
      <c r="L277" s="327">
        <v>60</v>
      </c>
      <c r="M277" s="163">
        <f>M276+K277-L277</f>
        <v>444995.95072000084</v>
      </c>
    </row>
    <row r="278" spans="1:13">
      <c r="A278" s="54" t="str">
        <f>D278&amp;E278&amp;F278</f>
        <v>CAPNOMINA SUCURSALE1</v>
      </c>
      <c r="B278" t="s">
        <v>212</v>
      </c>
      <c r="C278" s="1">
        <v>45707</v>
      </c>
      <c r="D278" s="71" t="s">
        <v>31</v>
      </c>
      <c r="E278" s="71" t="s">
        <v>154</v>
      </c>
      <c r="F278" s="70" t="s">
        <v>107</v>
      </c>
      <c r="G278" s="71" t="s">
        <v>216</v>
      </c>
      <c r="I278" s="138"/>
      <c r="J278" s="76" t="s">
        <v>416</v>
      </c>
      <c r="K278" s="322"/>
      <c r="L278" s="327">
        <v>172</v>
      </c>
      <c r="M278" s="163">
        <f>M277+K278-L278</f>
        <v>444823.95072000084</v>
      </c>
    </row>
    <row r="279" spans="1:13">
      <c r="A279" s="54" t="str">
        <f>D279&amp;E279&amp;F279</f>
        <v>CAPUBERCAP</v>
      </c>
      <c r="B279" t="s">
        <v>212</v>
      </c>
      <c r="C279" s="1">
        <v>45707</v>
      </c>
      <c r="D279" s="71" t="s">
        <v>31</v>
      </c>
      <c r="E279" s="71" t="s">
        <v>189</v>
      </c>
      <c r="F279" s="70" t="s">
        <v>31</v>
      </c>
      <c r="G279" s="71" t="s">
        <v>258</v>
      </c>
      <c r="I279" s="138"/>
      <c r="J279" s="76" t="s">
        <v>417</v>
      </c>
      <c r="K279" s="322"/>
      <c r="L279" s="525">
        <v>310</v>
      </c>
      <c r="M279" s="163">
        <f>M278+K279-L279</f>
        <v>444513.95072000084</v>
      </c>
    </row>
    <row r="280" spans="1:13">
      <c r="A280" s="54" t="str">
        <f>D280&amp;E280&amp;F280</f>
        <v>CAPUBERCAP</v>
      </c>
      <c r="B280" t="s">
        <v>212</v>
      </c>
      <c r="C280" s="1">
        <v>45707</v>
      </c>
      <c r="D280" s="71" t="s">
        <v>31</v>
      </c>
      <c r="E280" s="71" t="s">
        <v>189</v>
      </c>
      <c r="F280" s="70" t="s">
        <v>31</v>
      </c>
      <c r="G280" s="71" t="s">
        <v>258</v>
      </c>
      <c r="I280" s="138"/>
      <c r="J280" s="76" t="s">
        <v>418</v>
      </c>
      <c r="K280" s="322"/>
      <c r="L280" s="525">
        <v>75</v>
      </c>
      <c r="M280" s="163">
        <f>M279+K280-L280</f>
        <v>444438.95072000084</v>
      </c>
    </row>
    <row r="281" spans="1:13">
      <c r="A281" s="54" t="str">
        <f>D281&amp;E281&amp;F281</f>
        <v>CAPINSUMOSCAPRICHOS</v>
      </c>
      <c r="B281" t="s">
        <v>212</v>
      </c>
      <c r="C281" s="1">
        <v>45707</v>
      </c>
      <c r="D281" s="71" t="s">
        <v>31</v>
      </c>
      <c r="E281" s="71" t="s">
        <v>133</v>
      </c>
      <c r="F281" s="70" t="s">
        <v>33</v>
      </c>
      <c r="G281" s="71" t="s">
        <v>216</v>
      </c>
      <c r="I281" s="138"/>
      <c r="J281" s="76" t="s">
        <v>419</v>
      </c>
      <c r="K281" s="322"/>
      <c r="L281" s="327">
        <v>129</v>
      </c>
      <c r="M281" s="163">
        <f>M280+K281-L281</f>
        <v>444309.95072000084</v>
      </c>
    </row>
    <row r="282" spans="1:13">
      <c r="A282" s="54" t="str">
        <f>D282&amp;E282&amp;F282</f>
        <v>CAPINSUMOSCAPRICHOS</v>
      </c>
      <c r="B282" t="s">
        <v>212</v>
      </c>
      <c r="C282" s="1">
        <v>45707</v>
      </c>
      <c r="D282" s="71" t="s">
        <v>31</v>
      </c>
      <c r="E282" s="71" t="s">
        <v>133</v>
      </c>
      <c r="F282" s="70" t="s">
        <v>33</v>
      </c>
      <c r="G282" s="71" t="s">
        <v>216</v>
      </c>
      <c r="I282" s="138"/>
      <c r="J282" s="76" t="s">
        <v>420</v>
      </c>
      <c r="K282" s="322"/>
      <c r="L282" s="327">
        <v>178</v>
      </c>
      <c r="M282" s="163">
        <f>M281+K282-L282</f>
        <v>444131.95072000084</v>
      </c>
    </row>
    <row r="283" spans="1:13">
      <c r="A283" s="54" t="str">
        <f t="shared" si="4"/>
        <v/>
      </c>
      <c r="B283" t="s">
        <v>212</v>
      </c>
      <c r="C283" s="1">
        <v>45708</v>
      </c>
      <c r="D283" s="71"/>
      <c r="F283" s="70"/>
      <c r="I283" s="138"/>
      <c r="J283" s="71" t="s">
        <v>260</v>
      </c>
      <c r="K283" s="322">
        <v>137058.6</v>
      </c>
      <c r="L283" s="180"/>
      <c r="M283" s="163">
        <f>M282+K283-L283</f>
        <v>581190.55072000087</v>
      </c>
    </row>
    <row r="284" spans="1:13">
      <c r="A284" s="54" t="str">
        <f>D284&amp;E284&amp;F284</f>
        <v>FINANZASCOMISIONES BANCARIASTPV</v>
      </c>
      <c r="B284" t="s">
        <v>212</v>
      </c>
      <c r="C284" s="1">
        <v>45708</v>
      </c>
      <c r="D284" s="71" t="s">
        <v>23</v>
      </c>
      <c r="E284" s="71" t="s">
        <v>48</v>
      </c>
      <c r="F284" s="70" t="s">
        <v>50</v>
      </c>
      <c r="G284" s="71" t="s">
        <v>216</v>
      </c>
      <c r="I284" s="138"/>
      <c r="J284" s="71" t="s">
        <v>217</v>
      </c>
      <c r="K284" s="322"/>
      <c r="L284" s="323">
        <f>1191.59+1958.55+96.09+403.89+52.31</f>
        <v>3702.43</v>
      </c>
      <c r="M284" s="163">
        <f>M283+K284-L284</f>
        <v>577488.12072000082</v>
      </c>
    </row>
    <row r="285" spans="1:13">
      <c r="A285" s="54" t="str">
        <f>D285&amp;E285&amp;F285</f>
        <v>HRMKTMKT HR</v>
      </c>
      <c r="B285" t="s">
        <v>212</v>
      </c>
      <c r="C285" s="1">
        <v>45708</v>
      </c>
      <c r="D285" s="71" t="s">
        <v>29</v>
      </c>
      <c r="E285" s="71" t="s">
        <v>19</v>
      </c>
      <c r="F285" s="70" t="s">
        <v>138</v>
      </c>
      <c r="G285" s="71" t="s">
        <v>216</v>
      </c>
      <c r="I285" s="138"/>
      <c r="J285" s="71" t="s">
        <v>421</v>
      </c>
      <c r="K285" s="322"/>
      <c r="L285" s="323">
        <v>1600</v>
      </c>
      <c r="M285" s="163">
        <f>M284+K285-L285</f>
        <v>575888.12072000082</v>
      </c>
    </row>
    <row r="286" spans="1:13">
      <c r="A286" s="54" t="str">
        <f>D286&amp;E286&amp;F286</f>
        <v>HRVIATICOSHR</v>
      </c>
      <c r="B286" t="s">
        <v>212</v>
      </c>
      <c r="C286" s="1">
        <v>45708</v>
      </c>
      <c r="D286" s="71" t="s">
        <v>29</v>
      </c>
      <c r="E286" s="71" t="s">
        <v>191</v>
      </c>
      <c r="F286" s="70" t="s">
        <v>29</v>
      </c>
      <c r="G286" s="71" t="s">
        <v>216</v>
      </c>
      <c r="I286" s="138"/>
      <c r="J286" s="71" t="s">
        <v>422</v>
      </c>
      <c r="K286" s="322"/>
      <c r="L286" s="323">
        <v>1800</v>
      </c>
      <c r="M286" s="163">
        <f>M285+K286-L286</f>
        <v>574088.12072000082</v>
      </c>
    </row>
    <row r="287" spans="1:13">
      <c r="A287" s="54" t="str">
        <f>D287&amp;E287&amp;F287</f>
        <v>SERVICIOSINSUMOSCOFFE</v>
      </c>
      <c r="B287" t="s">
        <v>212</v>
      </c>
      <c r="C287" s="1">
        <v>45708</v>
      </c>
      <c r="D287" s="71" t="s">
        <v>21</v>
      </c>
      <c r="E287" s="71" t="s">
        <v>133</v>
      </c>
      <c r="F287" s="70" t="s">
        <v>135</v>
      </c>
      <c r="G287" s="71" t="s">
        <v>216</v>
      </c>
      <c r="I287" s="138"/>
      <c r="J287" s="71" t="s">
        <v>423</v>
      </c>
      <c r="K287" s="322"/>
      <c r="L287" s="323">
        <v>2473</v>
      </c>
      <c r="M287" s="163">
        <f>M286+K287-L287</f>
        <v>571615.12072000082</v>
      </c>
    </row>
    <row r="288" spans="1:13">
      <c r="A288" s="54" t="str">
        <f>D288&amp;E288&amp;F288</f>
        <v>SERVICIOSMTTO DE EDIFICIOMANTENIMIENTO</v>
      </c>
      <c r="B288" t="s">
        <v>212</v>
      </c>
      <c r="C288" s="1">
        <v>45708</v>
      </c>
      <c r="D288" s="71" t="s">
        <v>21</v>
      </c>
      <c r="E288" s="71" t="s">
        <v>142</v>
      </c>
      <c r="F288" s="70" t="s">
        <v>35</v>
      </c>
      <c r="G288" s="71" t="s">
        <v>216</v>
      </c>
      <c r="I288" s="138"/>
      <c r="J288" s="71" t="s">
        <v>424</v>
      </c>
      <c r="K288" s="322"/>
      <c r="L288" s="323">
        <v>500</v>
      </c>
      <c r="M288" s="163">
        <f>M287+K288-L288</f>
        <v>571115.12072000082</v>
      </c>
    </row>
    <row r="289" spans="1:13">
      <c r="A289" s="54" t="str">
        <f>D289&amp;E289&amp;F289</f>
        <v>SGECUOTAS Y SUSCRIPCIONESFROGMI</v>
      </c>
      <c r="B289" t="s">
        <v>212</v>
      </c>
      <c r="C289" s="1">
        <v>45708</v>
      </c>
      <c r="D289" s="71" t="s">
        <v>39</v>
      </c>
      <c r="E289" s="218" t="s">
        <v>51</v>
      </c>
      <c r="F289" s="70" t="s">
        <v>57</v>
      </c>
      <c r="G289" s="71" t="s">
        <v>216</v>
      </c>
      <c r="I289" s="138"/>
      <c r="J289" s="71" t="s">
        <v>425</v>
      </c>
      <c r="K289" s="322"/>
      <c r="L289" s="323">
        <v>41120.93</v>
      </c>
      <c r="M289" s="163">
        <f>M288+K289-L289</f>
        <v>529994.19072000077</v>
      </c>
    </row>
    <row r="290" spans="1:13">
      <c r="A290" s="54" t="str">
        <f>D290&amp;E290&amp;F290</f>
        <v>CAPVIATICOSCAPRICHOS</v>
      </c>
      <c r="B290" t="s">
        <v>212</v>
      </c>
      <c r="C290" s="1">
        <v>45708</v>
      </c>
      <c r="D290" s="71" t="s">
        <v>31</v>
      </c>
      <c r="E290" s="71" t="s">
        <v>191</v>
      </c>
      <c r="F290" s="70" t="s">
        <v>33</v>
      </c>
      <c r="G290" s="71" t="s">
        <v>216</v>
      </c>
      <c r="I290" s="138"/>
      <c r="J290" s="71" t="s">
        <v>426</v>
      </c>
      <c r="K290" s="322"/>
      <c r="L290" s="323">
        <v>1000</v>
      </c>
      <c r="M290" s="163">
        <f>M289+K290-L290</f>
        <v>528994.19072000077</v>
      </c>
    </row>
    <row r="291" spans="1:13">
      <c r="A291" s="54" t="str">
        <f>D291&amp;E291&amp;F291</f>
        <v>SERVICIOSMTTO EQ DE TRANSPORTECEDIS</v>
      </c>
      <c r="B291" t="s">
        <v>212</v>
      </c>
      <c r="C291" s="1">
        <v>45708</v>
      </c>
      <c r="D291" s="71" t="s">
        <v>21</v>
      </c>
      <c r="E291" s="218" t="s">
        <v>144</v>
      </c>
      <c r="F291" s="70" t="s">
        <v>28</v>
      </c>
      <c r="G291" s="71" t="s">
        <v>258</v>
      </c>
      <c r="J291" s="71" t="s">
        <v>427</v>
      </c>
      <c r="K291" s="322"/>
      <c r="L291" s="417">
        <v>3300</v>
      </c>
      <c r="M291" s="163">
        <f>M290+K291-L291</f>
        <v>525694.19072000077</v>
      </c>
    </row>
    <row r="292" spans="1:13">
      <c r="A292" s="54" t="str">
        <f>D292&amp;E292&amp;F292</f>
        <v>HRMKTMKT HR</v>
      </c>
      <c r="B292" t="s">
        <v>212</v>
      </c>
      <c r="C292" s="1">
        <v>45708</v>
      </c>
      <c r="D292" s="71" t="s">
        <v>29</v>
      </c>
      <c r="E292" s="71" t="s">
        <v>19</v>
      </c>
      <c r="F292" s="70" t="s">
        <v>138</v>
      </c>
      <c r="G292" s="71" t="s">
        <v>216</v>
      </c>
      <c r="J292" s="76" t="s">
        <v>428</v>
      </c>
      <c r="K292" s="322"/>
      <c r="L292" s="323">
        <v>700</v>
      </c>
      <c r="M292" s="163">
        <f>M291+K292-L292</f>
        <v>524994.19072000077</v>
      </c>
    </row>
    <row r="293" spans="1:13">
      <c r="A293" s="54" t="str">
        <f>D293&amp;E293&amp;F293</f>
        <v>HRUBERHR</v>
      </c>
      <c r="B293" t="s">
        <v>212</v>
      </c>
      <c r="C293" s="1">
        <v>45708</v>
      </c>
      <c r="D293" s="71" t="s">
        <v>29</v>
      </c>
      <c r="E293" s="71" t="s">
        <v>189</v>
      </c>
      <c r="F293" s="70" t="s">
        <v>29</v>
      </c>
      <c r="G293" s="71" t="s">
        <v>216</v>
      </c>
      <c r="J293" s="76" t="s">
        <v>403</v>
      </c>
      <c r="K293" s="322"/>
      <c r="L293" s="525">
        <v>216</v>
      </c>
      <c r="M293" s="163">
        <f>M292+K293-L293</f>
        <v>524778.19072000077</v>
      </c>
    </row>
    <row r="294" spans="1:13">
      <c r="A294" s="54" t="str">
        <f>D294&amp;E294&amp;F294</f>
        <v>HRJMASA11</v>
      </c>
      <c r="B294" t="s">
        <v>212</v>
      </c>
      <c r="C294" s="1">
        <v>45708</v>
      </c>
      <c r="D294" s="71" t="s">
        <v>29</v>
      </c>
      <c r="E294" s="71" t="s">
        <v>137</v>
      </c>
      <c r="F294" s="70" t="s">
        <v>97</v>
      </c>
      <c r="G294" s="71" t="s">
        <v>216</v>
      </c>
      <c r="J294" s="76" t="s">
        <v>429</v>
      </c>
      <c r="K294" s="322"/>
      <c r="L294" s="327">
        <v>531</v>
      </c>
      <c r="M294" s="163">
        <f>M293+K294-L294</f>
        <v>524247.19072000077</v>
      </c>
    </row>
    <row r="295" spans="1:13">
      <c r="A295" s="54" t="str">
        <f>D295&amp;E295&amp;F295</f>
        <v>SERVICIOSMTTO DE EDIFICIOMANTENIMIENTO</v>
      </c>
      <c r="B295" t="s">
        <v>212</v>
      </c>
      <c r="C295" s="1">
        <v>45708</v>
      </c>
      <c r="D295" s="71" t="s">
        <v>21</v>
      </c>
      <c r="E295" s="71" t="s">
        <v>142</v>
      </c>
      <c r="F295" s="70" t="s">
        <v>35</v>
      </c>
      <c r="G295" s="71" t="s">
        <v>216</v>
      </c>
      <c r="J295" s="76" t="s">
        <v>430</v>
      </c>
      <c r="K295" s="322"/>
      <c r="L295" s="327">
        <v>112</v>
      </c>
      <c r="M295" s="163">
        <f>M294+K295-L295</f>
        <v>524135.19072000077</v>
      </c>
    </row>
    <row r="296" spans="1:13">
      <c r="A296" s="54" t="str">
        <f>D296&amp;E296&amp;F296</f>
        <v>HRINSUMOSHR</v>
      </c>
      <c r="B296" t="s">
        <v>212</v>
      </c>
      <c r="C296" s="1">
        <v>45708</v>
      </c>
      <c r="D296" s="71" t="s">
        <v>29</v>
      </c>
      <c r="E296" s="71" t="s">
        <v>133</v>
      </c>
      <c r="F296" s="70" t="s">
        <v>29</v>
      </c>
      <c r="G296" s="71" t="s">
        <v>216</v>
      </c>
      <c r="J296" s="76" t="s">
        <v>431</v>
      </c>
      <c r="K296" s="322"/>
      <c r="L296" s="327">
        <v>77</v>
      </c>
      <c r="M296" s="163">
        <f>M295+K296-L296</f>
        <v>524058.19072000077</v>
      </c>
    </row>
    <row r="297" spans="1:13">
      <c r="A297" s="54" t="str">
        <f>D297&amp;E297&amp;F297</f>
        <v>HRINSUMOSHR</v>
      </c>
      <c r="B297" t="s">
        <v>212</v>
      </c>
      <c r="C297" s="1">
        <v>45708</v>
      </c>
      <c r="D297" s="71" t="s">
        <v>29</v>
      </c>
      <c r="E297" s="71" t="s">
        <v>133</v>
      </c>
      <c r="F297" s="143" t="s">
        <v>29</v>
      </c>
      <c r="G297" s="71" t="s">
        <v>216</v>
      </c>
      <c r="H297" s="172"/>
      <c r="I297" s="172"/>
      <c r="J297" s="76" t="s">
        <v>432</v>
      </c>
      <c r="K297" s="321"/>
      <c r="L297" s="331">
        <v>470</v>
      </c>
      <c r="M297" s="163">
        <f>M296+K297-L297</f>
        <v>523588.19072000077</v>
      </c>
    </row>
    <row r="298" spans="1:13">
      <c r="A298" s="54" t="str">
        <f>D298&amp;E298&amp;F298</f>
        <v>CAPINSUMOSCAPRICHOS</v>
      </c>
      <c r="B298" t="s">
        <v>212</v>
      </c>
      <c r="C298" s="1">
        <v>45708</v>
      </c>
      <c r="D298" s="71" t="s">
        <v>31</v>
      </c>
      <c r="E298" s="71" t="s">
        <v>133</v>
      </c>
      <c r="F298" s="143" t="s">
        <v>33</v>
      </c>
      <c r="G298" s="71" t="s">
        <v>216</v>
      </c>
      <c r="H298" s="172"/>
      <c r="I298" s="172"/>
      <c r="J298" s="76" t="s">
        <v>433</v>
      </c>
      <c r="K298" s="321"/>
      <c r="L298" s="331">
        <v>53</v>
      </c>
      <c r="M298" s="163">
        <f>M297+K298-L298</f>
        <v>523535.19072000077</v>
      </c>
    </row>
    <row r="299" spans="1:13">
      <c r="A299" s="54" t="str">
        <f>D299&amp;E299&amp;F299</f>
        <v>CAPUBERCAP</v>
      </c>
      <c r="B299" t="s">
        <v>212</v>
      </c>
      <c r="C299" s="1">
        <v>45708</v>
      </c>
      <c r="D299" s="71" t="s">
        <v>31</v>
      </c>
      <c r="E299" s="71" t="s">
        <v>189</v>
      </c>
      <c r="F299" s="143" t="s">
        <v>31</v>
      </c>
      <c r="G299" s="71" t="s">
        <v>258</v>
      </c>
      <c r="H299" s="172"/>
      <c r="I299" s="172"/>
      <c r="J299" s="76" t="s">
        <v>253</v>
      </c>
      <c r="K299" s="321"/>
      <c r="L299" s="526">
        <v>295</v>
      </c>
      <c r="M299" s="163">
        <f>M298+K299-L299</f>
        <v>523240.19072000077</v>
      </c>
    </row>
    <row r="300" spans="1:13">
      <c r="A300" s="54" t="str">
        <f>D300&amp;E300&amp;F300</f>
        <v>CAPUBERCAP</v>
      </c>
      <c r="B300" t="s">
        <v>212</v>
      </c>
      <c r="C300" s="1">
        <v>45708</v>
      </c>
      <c r="D300" s="71" t="s">
        <v>31</v>
      </c>
      <c r="E300" s="71" t="s">
        <v>189</v>
      </c>
      <c r="F300" s="143" t="s">
        <v>31</v>
      </c>
      <c r="G300" s="71" t="s">
        <v>258</v>
      </c>
      <c r="H300" s="172"/>
      <c r="I300" s="172"/>
      <c r="J300" s="76" t="s">
        <v>257</v>
      </c>
      <c r="K300" s="321"/>
      <c r="L300" s="525">
        <v>130</v>
      </c>
      <c r="M300" s="163">
        <f>M299+K300-L300</f>
        <v>523110.19072000077</v>
      </c>
    </row>
    <row r="301" spans="1:13">
      <c r="A301" s="54" t="str">
        <f>D301&amp;E301&amp;F301</f>
        <v>CAPFUMIGACIONCAPRICHOS</v>
      </c>
      <c r="B301" t="s">
        <v>212</v>
      </c>
      <c r="C301" s="1">
        <v>45708</v>
      </c>
      <c r="D301" s="71" t="s">
        <v>31</v>
      </c>
      <c r="E301" s="71" t="s">
        <v>121</v>
      </c>
      <c r="F301" s="143" t="s">
        <v>33</v>
      </c>
      <c r="G301" s="71" t="s">
        <v>216</v>
      </c>
      <c r="H301" s="172"/>
      <c r="I301" s="172"/>
      <c r="J301" s="76" t="s">
        <v>434</v>
      </c>
      <c r="K301" s="321"/>
      <c r="L301" s="537">
        <v>471</v>
      </c>
      <c r="M301" s="163">
        <f>M300+K301-L301</f>
        <v>522639.19072000077</v>
      </c>
    </row>
    <row r="302" spans="1:13">
      <c r="A302" s="54" t="str">
        <f t="shared" si="4"/>
        <v/>
      </c>
      <c r="B302" t="s">
        <v>212</v>
      </c>
      <c r="C302" s="1">
        <v>45709</v>
      </c>
      <c r="D302" s="71"/>
      <c r="F302" s="143"/>
      <c r="H302" s="172"/>
      <c r="I302" s="172"/>
      <c r="J302" s="71" t="s">
        <v>260</v>
      </c>
      <c r="K302" s="321">
        <v>156125.88</v>
      </c>
      <c r="L302" s="180"/>
      <c r="M302" s="163">
        <f>M301+K302-L302</f>
        <v>678765.07072000077</v>
      </c>
    </row>
    <row r="303" spans="1:13">
      <c r="A303" s="54" t="str">
        <f>D303&amp;E303&amp;F303</f>
        <v>FINANZASCOMISIONES BANCARIASTPV</v>
      </c>
      <c r="B303" t="s">
        <v>212</v>
      </c>
      <c r="C303" s="1">
        <v>45709</v>
      </c>
      <c r="D303" s="71" t="s">
        <v>23</v>
      </c>
      <c r="E303" s="71" t="s">
        <v>48</v>
      </c>
      <c r="F303" s="143" t="s">
        <v>50</v>
      </c>
      <c r="G303" s="71" t="s">
        <v>216</v>
      </c>
      <c r="H303" s="172"/>
      <c r="I303" s="172"/>
      <c r="J303" s="71" t="s">
        <v>217</v>
      </c>
      <c r="K303" s="321"/>
      <c r="L303" s="323">
        <f>1716.14+1902.08+99.175+201.18+154.55</f>
        <v>4073.1250000000005</v>
      </c>
      <c r="M303" s="163">
        <f>M302+K303-L303</f>
        <v>674691.94572000077</v>
      </c>
    </row>
    <row r="304" spans="1:13">
      <c r="A304" s="54" t="str">
        <f>D304&amp;E304&amp;F304</f>
        <v>FINANZASFONDO Y REPOSICIONFINANZAS</v>
      </c>
      <c r="B304" t="s">
        <v>212</v>
      </c>
      <c r="C304" s="1">
        <v>45709</v>
      </c>
      <c r="D304" s="71" t="s">
        <v>23</v>
      </c>
      <c r="E304" s="71" t="s">
        <v>120</v>
      </c>
      <c r="F304" s="143" t="s">
        <v>23</v>
      </c>
      <c r="G304" s="71" t="s">
        <v>216</v>
      </c>
      <c r="H304" s="172"/>
      <c r="I304" s="172"/>
      <c r="J304" s="71" t="s">
        <v>435</v>
      </c>
      <c r="K304" s="321"/>
      <c r="L304" s="326">
        <v>330</v>
      </c>
      <c r="M304" s="163">
        <f>M303+K304-L304</f>
        <v>674361.94572000077</v>
      </c>
    </row>
    <row r="305" spans="1:13">
      <c r="A305" s="54" t="str">
        <f>D305&amp;E305&amp;F305</f>
        <v>HRENERGIA ELECTRICAA12</v>
      </c>
      <c r="B305" t="s">
        <v>212</v>
      </c>
      <c r="C305" s="1">
        <v>45709</v>
      </c>
      <c r="D305" s="71" t="s">
        <v>29</v>
      </c>
      <c r="E305" s="71" t="s">
        <v>87</v>
      </c>
      <c r="F305" s="143" t="s">
        <v>98</v>
      </c>
      <c r="G305" s="71" t="s">
        <v>216</v>
      </c>
      <c r="H305" s="172"/>
      <c r="I305" s="172"/>
      <c r="J305" s="220" t="s">
        <v>436</v>
      </c>
      <c r="K305" s="332"/>
      <c r="L305" s="333">
        <v>12075</v>
      </c>
      <c r="M305" s="163">
        <f>M304+K305-L305</f>
        <v>662286.94572000077</v>
      </c>
    </row>
    <row r="306" spans="1:13">
      <c r="A306" s="54" t="str">
        <f>D306&amp;E306&amp;F306</f>
        <v>HRENERGIA ELECTRICAA24</v>
      </c>
      <c r="B306" t="s">
        <v>212</v>
      </c>
      <c r="C306" s="1">
        <v>45709</v>
      </c>
      <c r="D306" s="71" t="s">
        <v>29</v>
      </c>
      <c r="E306" s="71" t="s">
        <v>87</v>
      </c>
      <c r="F306" s="143" t="s">
        <v>106</v>
      </c>
      <c r="G306" s="71" t="s">
        <v>216</v>
      </c>
      <c r="H306" s="172"/>
      <c r="I306" s="172"/>
      <c r="J306" s="220" t="s">
        <v>437</v>
      </c>
      <c r="K306" s="328"/>
      <c r="L306" s="333">
        <v>8685</v>
      </c>
      <c r="M306" s="163">
        <f>M305+K306-L306</f>
        <v>653601.94572000077</v>
      </c>
    </row>
    <row r="307" spans="1:13">
      <c r="A307" s="54" t="str">
        <f>D307&amp;E307&amp;F307</f>
        <v>CAPENERGIA ELECTRICAE5</v>
      </c>
      <c r="B307" t="s">
        <v>212</v>
      </c>
      <c r="C307" s="1">
        <v>45709</v>
      </c>
      <c r="D307" s="71" t="s">
        <v>31</v>
      </c>
      <c r="E307" s="71" t="s">
        <v>87</v>
      </c>
      <c r="F307" s="143" t="s">
        <v>111</v>
      </c>
      <c r="G307" s="71" t="s">
        <v>216</v>
      </c>
      <c r="H307" s="172"/>
      <c r="I307" s="172"/>
      <c r="J307" s="220" t="s">
        <v>438</v>
      </c>
      <c r="K307" s="328"/>
      <c r="L307" s="333">
        <v>22165</v>
      </c>
      <c r="M307" s="163">
        <f>M306+K307-L307</f>
        <v>631436.94572000077</v>
      </c>
    </row>
    <row r="308" spans="1:13">
      <c r="A308" s="54" t="str">
        <f>D308&amp;E308&amp;F308</f>
        <v>SERVICIOSMTTO DE EDIFICIOMANTENIMIENTO</v>
      </c>
      <c r="B308" t="s">
        <v>212</v>
      </c>
      <c r="C308" s="1">
        <v>45709</v>
      </c>
      <c r="D308" s="71" t="s">
        <v>21</v>
      </c>
      <c r="E308" s="71" t="s">
        <v>142</v>
      </c>
      <c r="F308" s="143" t="s">
        <v>35</v>
      </c>
      <c r="G308" s="71" t="s">
        <v>216</v>
      </c>
      <c r="H308" s="172"/>
      <c r="I308" s="172"/>
      <c r="J308" s="71" t="s">
        <v>439</v>
      </c>
      <c r="K308" s="321"/>
      <c r="L308" s="326">
        <v>5288.93</v>
      </c>
      <c r="M308" s="163">
        <f>M307+K308-L308</f>
        <v>626148.01572000072</v>
      </c>
    </row>
    <row r="309" spans="1:13">
      <c r="A309" s="54" t="str">
        <f t="shared" si="4"/>
        <v/>
      </c>
      <c r="B309" t="s">
        <v>212</v>
      </c>
      <c r="C309" s="1">
        <v>45709</v>
      </c>
      <c r="D309" s="71"/>
      <c r="F309" s="143"/>
      <c r="H309" s="83" t="s">
        <v>32</v>
      </c>
      <c r="I309" s="172"/>
      <c r="J309" s="71" t="s">
        <v>440</v>
      </c>
      <c r="K309" s="180"/>
      <c r="L309" s="323">
        <v>22096.2</v>
      </c>
      <c r="M309" s="163">
        <f>M308+K309-L309</f>
        <v>604051.81572000077</v>
      </c>
    </row>
    <row r="310" spans="1:13">
      <c r="A310" s="54" t="str">
        <f>D310&amp;E310&amp;F310</f>
        <v>FINANZASSEGUROEQ. DE TRANSPORTE</v>
      </c>
      <c r="B310" t="s">
        <v>212</v>
      </c>
      <c r="C310" s="1">
        <v>45709</v>
      </c>
      <c r="D310" s="71" t="s">
        <v>23</v>
      </c>
      <c r="E310" s="71" t="s">
        <v>173</v>
      </c>
      <c r="F310" s="143" t="s">
        <v>175</v>
      </c>
      <c r="G310" s="71" t="s">
        <v>258</v>
      </c>
      <c r="H310" s="172"/>
      <c r="I310" s="172"/>
      <c r="J310" s="71" t="s">
        <v>441</v>
      </c>
      <c r="K310" s="321"/>
      <c r="L310" s="326">
        <v>5657</v>
      </c>
      <c r="M310" s="163">
        <f>M309+K310-L310</f>
        <v>598394.81572000077</v>
      </c>
    </row>
    <row r="311" spans="1:13">
      <c r="A311" s="54" t="str">
        <f>D311&amp;E311&amp;F311</f>
        <v>FINANZASINSUMOSFINANZAS</v>
      </c>
      <c r="B311" t="s">
        <v>212</v>
      </c>
      <c r="C311" s="1">
        <v>45709</v>
      </c>
      <c r="D311" s="71" t="s">
        <v>23</v>
      </c>
      <c r="E311" s="71" t="s">
        <v>133</v>
      </c>
      <c r="F311" s="143" t="s">
        <v>23</v>
      </c>
      <c r="G311" s="71" t="s">
        <v>258</v>
      </c>
      <c r="H311" s="172"/>
      <c r="I311" s="172"/>
      <c r="J311" s="71" t="s">
        <v>442</v>
      </c>
      <c r="K311" s="321"/>
      <c r="L311" s="326">
        <v>40</v>
      </c>
      <c r="M311" s="163">
        <f>M310+K311-L311</f>
        <v>598354.81572000077</v>
      </c>
    </row>
    <row r="312" spans="1:13">
      <c r="A312" s="54" t="str">
        <f>D312&amp;E312&amp;F312</f>
        <v>HRUBERHR</v>
      </c>
      <c r="B312" t="s">
        <v>212</v>
      </c>
      <c r="C312" s="1">
        <v>45709</v>
      </c>
      <c r="D312" s="71" t="s">
        <v>29</v>
      </c>
      <c r="E312" s="71" t="s">
        <v>189</v>
      </c>
      <c r="F312" s="143" t="s">
        <v>29</v>
      </c>
      <c r="G312" s="71" t="s">
        <v>216</v>
      </c>
      <c r="H312" s="172"/>
      <c r="I312" s="172"/>
      <c r="J312" s="173" t="s">
        <v>403</v>
      </c>
      <c r="K312" s="332"/>
      <c r="L312" s="526">
        <v>100</v>
      </c>
      <c r="M312" s="163">
        <f>M311+K312-L312</f>
        <v>598254.81572000077</v>
      </c>
    </row>
    <row r="313" spans="1:13">
      <c r="A313" s="54" t="str">
        <f>D313&amp;E313&amp;F313</f>
        <v>HRJMASA6</v>
      </c>
      <c r="B313" t="s">
        <v>212</v>
      </c>
      <c r="C313" s="1">
        <v>45709</v>
      </c>
      <c r="D313" s="71" t="s">
        <v>29</v>
      </c>
      <c r="E313" s="71" t="s">
        <v>137</v>
      </c>
      <c r="F313" s="143" t="s">
        <v>93</v>
      </c>
      <c r="G313" s="71" t="s">
        <v>216</v>
      </c>
      <c r="H313" s="172"/>
      <c r="I313" s="172"/>
      <c r="J313" s="173" t="s">
        <v>443</v>
      </c>
      <c r="K313" s="332"/>
      <c r="L313" s="331">
        <v>467</v>
      </c>
      <c r="M313" s="163">
        <f>M312+K313-L313</f>
        <v>597787.81572000077</v>
      </c>
    </row>
    <row r="314" spans="1:13">
      <c r="A314" s="54" t="str">
        <f>D314&amp;E314&amp;F314</f>
        <v>SERVICIOSMTTO DE EDIFICIOMANTENIMIENTO</v>
      </c>
      <c r="B314" t="s">
        <v>212</v>
      </c>
      <c r="C314" s="1">
        <v>45709</v>
      </c>
      <c r="D314" s="71" t="s">
        <v>21</v>
      </c>
      <c r="E314" s="71" t="s">
        <v>142</v>
      </c>
      <c r="F314" s="143" t="s">
        <v>35</v>
      </c>
      <c r="G314" s="71" t="s">
        <v>216</v>
      </c>
      <c r="H314" s="172"/>
      <c r="I314" s="172"/>
      <c r="J314" s="76" t="s">
        <v>444</v>
      </c>
      <c r="K314" s="332"/>
      <c r="L314" s="331">
        <v>600</v>
      </c>
      <c r="M314" s="163">
        <f>M313+K314-L314</f>
        <v>597187.81572000077</v>
      </c>
    </row>
    <row r="315" spans="1:13">
      <c r="A315" s="54" t="str">
        <f>D315&amp;E315&amp;F315</f>
        <v>CAPUBERCAP</v>
      </c>
      <c r="B315" t="s">
        <v>212</v>
      </c>
      <c r="C315" s="1">
        <v>45709</v>
      </c>
      <c r="D315" s="71" t="s">
        <v>31</v>
      </c>
      <c r="E315" s="71" t="s">
        <v>189</v>
      </c>
      <c r="F315" s="143" t="s">
        <v>31</v>
      </c>
      <c r="G315" s="71" t="s">
        <v>258</v>
      </c>
      <c r="H315" s="172"/>
      <c r="I315" s="172"/>
      <c r="J315" s="76" t="s">
        <v>445</v>
      </c>
      <c r="K315" s="332"/>
      <c r="L315" s="526">
        <v>402</v>
      </c>
      <c r="M315" s="163">
        <f>M314+K315-L315</f>
        <v>596785.81572000077</v>
      </c>
    </row>
    <row r="316" spans="1:13" ht="18.75" customHeight="1">
      <c r="A316" s="54" t="str">
        <f>D316&amp;E316&amp;F316</f>
        <v>CAPINSUMOSCAPRICHOS</v>
      </c>
      <c r="B316" t="s">
        <v>212</v>
      </c>
      <c r="C316" s="1">
        <v>45709</v>
      </c>
      <c r="D316" s="71" t="s">
        <v>31</v>
      </c>
      <c r="E316" s="71" t="s">
        <v>133</v>
      </c>
      <c r="F316" s="177" t="s">
        <v>33</v>
      </c>
      <c r="G316" s="71" t="s">
        <v>216</v>
      </c>
      <c r="H316" s="172"/>
      <c r="I316" s="172"/>
      <c r="J316" s="76" t="s">
        <v>446</v>
      </c>
      <c r="K316" s="328"/>
      <c r="L316" s="331">
        <v>176</v>
      </c>
      <c r="M316" s="163">
        <f>M315+K316-L316</f>
        <v>596609.81572000077</v>
      </c>
    </row>
    <row r="317" spans="1:13">
      <c r="A317" s="54" t="str">
        <f>D317&amp;E317&amp;F317</f>
        <v>CAPUBERCAP</v>
      </c>
      <c r="B317" t="s">
        <v>212</v>
      </c>
      <c r="C317" s="1">
        <v>45709</v>
      </c>
      <c r="D317" s="71" t="s">
        <v>31</v>
      </c>
      <c r="E317" s="71" t="s">
        <v>189</v>
      </c>
      <c r="F317" s="143" t="s">
        <v>31</v>
      </c>
      <c r="G317" s="71" t="s">
        <v>258</v>
      </c>
      <c r="H317" s="172"/>
      <c r="I317" s="172"/>
      <c r="J317" s="76" t="s">
        <v>257</v>
      </c>
      <c r="K317" s="328"/>
      <c r="L317" s="526">
        <v>97</v>
      </c>
      <c r="M317" s="163">
        <f>M316+K317-L317</f>
        <v>596512.81572000077</v>
      </c>
    </row>
    <row r="318" spans="1:13">
      <c r="A318" s="54" t="str">
        <f>D318&amp;E318&amp;F318</f>
        <v>FINANZASFALTANTESFALTANTES</v>
      </c>
      <c r="B318" t="s">
        <v>212</v>
      </c>
      <c r="C318" s="1">
        <v>45709</v>
      </c>
      <c r="D318" s="71" t="s">
        <v>23</v>
      </c>
      <c r="E318" s="71" t="s">
        <v>119</v>
      </c>
      <c r="F318" s="143" t="s">
        <v>119</v>
      </c>
      <c r="G318" s="71" t="s">
        <v>258</v>
      </c>
      <c r="H318" s="172"/>
      <c r="I318" s="172"/>
      <c r="J318" s="71" t="s">
        <v>447</v>
      </c>
      <c r="K318" s="321"/>
      <c r="L318" s="326">
        <v>4127.38</v>
      </c>
      <c r="M318" s="163">
        <f>M317+K318-L318</f>
        <v>592385.43572000077</v>
      </c>
    </row>
    <row r="319" spans="1:13">
      <c r="A319" s="54" t="str">
        <f>D319&amp;E319&amp;F319</f>
        <v>SERVICIOSVIATICOSCEDIS</v>
      </c>
      <c r="B319" t="s">
        <v>212</v>
      </c>
      <c r="C319" s="1">
        <v>45710</v>
      </c>
      <c r="D319" s="71" t="s">
        <v>21</v>
      </c>
      <c r="E319" s="71" t="s">
        <v>191</v>
      </c>
      <c r="F319" s="143" t="s">
        <v>28</v>
      </c>
      <c r="G319" s="71" t="s">
        <v>216</v>
      </c>
      <c r="H319" s="172"/>
      <c r="I319" s="172"/>
      <c r="J319" s="71" t="s">
        <v>448</v>
      </c>
      <c r="K319" s="321"/>
      <c r="L319" s="326">
        <v>2050</v>
      </c>
      <c r="M319" s="163">
        <f>M318+K319-L319</f>
        <v>590335.43572000077</v>
      </c>
    </row>
    <row r="320" spans="1:13">
      <c r="A320" s="54" t="str">
        <f>D320&amp;E320&amp;F320</f>
        <v>FINANZASFONDO Y REPOSICIONFINANZAS</v>
      </c>
      <c r="B320" t="s">
        <v>212</v>
      </c>
      <c r="C320" s="1">
        <v>45710</v>
      </c>
      <c r="D320" s="71" t="s">
        <v>23</v>
      </c>
      <c r="E320" s="71" t="s">
        <v>120</v>
      </c>
      <c r="F320" s="143" t="s">
        <v>23</v>
      </c>
      <c r="G320" s="71" t="s">
        <v>216</v>
      </c>
      <c r="H320" s="172"/>
      <c r="I320" s="172"/>
      <c r="J320" s="71" t="s">
        <v>449</v>
      </c>
      <c r="K320" s="180"/>
      <c r="L320" s="323">
        <v>300</v>
      </c>
      <c r="M320" s="163">
        <f>M319+K320-L320</f>
        <v>590035.43572000077</v>
      </c>
    </row>
    <row r="321" spans="1:13">
      <c r="A321" s="54" t="str">
        <f t="shared" si="4"/>
        <v/>
      </c>
      <c r="B321" t="s">
        <v>212</v>
      </c>
      <c r="C321" s="1">
        <v>45712</v>
      </c>
      <c r="D321" s="71"/>
      <c r="F321" s="143"/>
      <c r="H321" s="172"/>
      <c r="I321" s="172"/>
      <c r="J321" s="71" t="s">
        <v>260</v>
      </c>
      <c r="K321" s="180">
        <v>714564.47</v>
      </c>
      <c r="L321" s="180"/>
      <c r="M321" s="163">
        <f>M320+K321-L321</f>
        <v>1304599.9057200006</v>
      </c>
    </row>
    <row r="322" spans="1:13">
      <c r="A322" s="54" t="str">
        <f>D322&amp;E322&amp;F322</f>
        <v>FINANZASCOMISIONES BANCARIASTPV</v>
      </c>
      <c r="B322" t="s">
        <v>212</v>
      </c>
      <c r="C322" s="1">
        <v>45712</v>
      </c>
      <c r="D322" s="71" t="s">
        <v>23</v>
      </c>
      <c r="E322" s="71" t="s">
        <v>48</v>
      </c>
      <c r="F322" s="143" t="s">
        <v>50</v>
      </c>
      <c r="G322" s="71" t="s">
        <v>216</v>
      </c>
      <c r="H322" s="172"/>
      <c r="I322" s="172"/>
      <c r="J322" s="71" t="s">
        <v>217</v>
      </c>
      <c r="K322" s="321"/>
      <c r="L322" s="334">
        <f>332.77+635.69+746.33+7397.82+6102.82+5.8</f>
        <v>15221.23</v>
      </c>
      <c r="M322" s="163">
        <f>M321+K322-L322</f>
        <v>1289378.6757200006</v>
      </c>
    </row>
    <row r="323" spans="1:13">
      <c r="A323" s="54" t="str">
        <f>D323&amp;E323&amp;F323</f>
        <v>SERVICIOSPAQUETERIACEDIS (E6)</v>
      </c>
      <c r="B323" t="s">
        <v>212</v>
      </c>
      <c r="C323" s="1">
        <v>45712</v>
      </c>
      <c r="D323" s="71" t="s">
        <v>21</v>
      </c>
      <c r="E323" s="71" t="s">
        <v>160</v>
      </c>
      <c r="F323" s="143" t="s">
        <v>161</v>
      </c>
      <c r="G323" s="71" t="s">
        <v>216</v>
      </c>
      <c r="H323" s="172"/>
      <c r="I323" s="172"/>
      <c r="J323" s="71" t="s">
        <v>450</v>
      </c>
      <c r="K323" s="321"/>
      <c r="L323" s="334">
        <v>1899.72</v>
      </c>
      <c r="M323" s="163">
        <f>M322+K323-L323</f>
        <v>1287478.9557200007</v>
      </c>
    </row>
    <row r="324" spans="1:13">
      <c r="A324" s="54" t="str">
        <f>D324&amp;E324&amp;F324</f>
        <v>FINANZASSOLUONESOLUONE (RETAIL)</v>
      </c>
      <c r="B324" t="s">
        <v>212</v>
      </c>
      <c r="C324" s="1">
        <v>45712</v>
      </c>
      <c r="D324" s="71" t="s">
        <v>23</v>
      </c>
      <c r="E324" s="71" t="s">
        <v>179</v>
      </c>
      <c r="F324" s="143" t="s">
        <v>180</v>
      </c>
      <c r="G324" s="71" t="s">
        <v>216</v>
      </c>
      <c r="H324" s="172"/>
      <c r="I324" s="172"/>
      <c r="J324" s="71" t="s">
        <v>451</v>
      </c>
      <c r="K324" s="321"/>
      <c r="L324" s="334">
        <v>31983.09</v>
      </c>
      <c r="M324" s="163">
        <f>M323+K324-L324</f>
        <v>1255495.8657200006</v>
      </c>
    </row>
    <row r="325" spans="1:13">
      <c r="A325" s="54" t="str">
        <f>D325&amp;E325&amp;F325</f>
        <v>FINANZASFONDO Y REPOSICIONFINANZAS</v>
      </c>
      <c r="B325" t="s">
        <v>212</v>
      </c>
      <c r="C325" s="1">
        <v>45712</v>
      </c>
      <c r="D325" s="71" t="s">
        <v>23</v>
      </c>
      <c r="E325" s="71" t="s">
        <v>120</v>
      </c>
      <c r="F325" s="143" t="s">
        <v>23</v>
      </c>
      <c r="G325" s="71" t="s">
        <v>216</v>
      </c>
      <c r="H325" s="172"/>
      <c r="I325" s="172"/>
      <c r="J325" s="71" t="s">
        <v>452</v>
      </c>
      <c r="K325" s="321"/>
      <c r="L325" s="334">
        <v>3087</v>
      </c>
      <c r="M325" s="163">
        <f>M324+K325-L325</f>
        <v>1252408.8657200006</v>
      </c>
    </row>
    <row r="326" spans="1:13">
      <c r="A326" s="54" t="str">
        <f>D326&amp;E326&amp;F326</f>
        <v>HRENERGIA ELECTRICAA6</v>
      </c>
      <c r="B326" t="s">
        <v>212</v>
      </c>
      <c r="C326" s="1">
        <v>45712</v>
      </c>
      <c r="D326" s="71" t="s">
        <v>29</v>
      </c>
      <c r="E326" s="71" t="s">
        <v>87</v>
      </c>
      <c r="F326" s="143" t="s">
        <v>93</v>
      </c>
      <c r="G326" s="71" t="s">
        <v>216</v>
      </c>
      <c r="H326" s="172"/>
      <c r="I326" s="172"/>
      <c r="J326" s="71" t="s">
        <v>453</v>
      </c>
      <c r="K326" s="321"/>
      <c r="L326" s="326">
        <v>2121</v>
      </c>
      <c r="M326" s="163">
        <f>M325+K326-L326</f>
        <v>1250287.8657200006</v>
      </c>
    </row>
    <row r="327" spans="1:13">
      <c r="A327" s="54" t="str">
        <f>D327&amp;E327&amp;F327</f>
        <v>HRENERGIA ELECTRICAA6</v>
      </c>
      <c r="B327" t="s">
        <v>212</v>
      </c>
      <c r="C327" s="1">
        <v>45712</v>
      </c>
      <c r="D327" s="71" t="s">
        <v>29</v>
      </c>
      <c r="E327" s="71" t="s">
        <v>87</v>
      </c>
      <c r="F327" s="143" t="s">
        <v>93</v>
      </c>
      <c r="G327" s="71" t="s">
        <v>216</v>
      </c>
      <c r="H327" s="172"/>
      <c r="I327" s="172"/>
      <c r="J327" s="71" t="s">
        <v>453</v>
      </c>
      <c r="K327" s="321"/>
      <c r="L327" s="326">
        <v>5658</v>
      </c>
      <c r="M327" s="163">
        <f>M326+K327-L327</f>
        <v>1244629.8657200006</v>
      </c>
    </row>
    <row r="328" spans="1:13">
      <c r="A328" s="54" t="str">
        <f>D328&amp;E328&amp;F328</f>
        <v>FINANZASTELEFONIATELEFONIA</v>
      </c>
      <c r="B328" t="s">
        <v>212</v>
      </c>
      <c r="C328" s="1">
        <v>45712</v>
      </c>
      <c r="D328" s="71" t="s">
        <v>23</v>
      </c>
      <c r="E328" s="71" t="s">
        <v>181</v>
      </c>
      <c r="F328" s="143" t="s">
        <v>181</v>
      </c>
      <c r="G328" s="71" t="s">
        <v>216</v>
      </c>
      <c r="H328" s="172"/>
      <c r="I328" s="172"/>
      <c r="J328" s="71" t="s">
        <v>231</v>
      </c>
      <c r="L328" s="326">
        <v>50</v>
      </c>
      <c r="M328" s="163">
        <f>M327+K328-L328</f>
        <v>1244579.8657200006</v>
      </c>
    </row>
    <row r="329" spans="1:13">
      <c r="A329" s="54" t="str">
        <f>D329&amp;E329&amp;F329</f>
        <v>FINANZASTELEFONIATELEFONIA</v>
      </c>
      <c r="B329" t="s">
        <v>212</v>
      </c>
      <c r="C329" s="1">
        <v>45712</v>
      </c>
      <c r="D329" s="71" t="s">
        <v>23</v>
      </c>
      <c r="E329" s="71" t="s">
        <v>181</v>
      </c>
      <c r="F329" s="143" t="s">
        <v>181</v>
      </c>
      <c r="G329" s="71" t="s">
        <v>216</v>
      </c>
      <c r="H329" s="172"/>
      <c r="I329" s="172"/>
      <c r="J329" s="71" t="s">
        <v>454</v>
      </c>
      <c r="K329" s="321"/>
      <c r="L329" s="334">
        <v>269</v>
      </c>
      <c r="M329" s="163">
        <f>M328+K329-L329</f>
        <v>1244310.8657200006</v>
      </c>
    </row>
    <row r="330" spans="1:13">
      <c r="A330" s="54" t="str">
        <f>D330&amp;E330&amp;F330</f>
        <v>HRUBERHR</v>
      </c>
      <c r="B330" t="s">
        <v>212</v>
      </c>
      <c r="C330" s="1">
        <v>45712</v>
      </c>
      <c r="D330" s="71" t="s">
        <v>29</v>
      </c>
      <c r="E330" s="71" t="s">
        <v>189</v>
      </c>
      <c r="F330" s="143" t="s">
        <v>29</v>
      </c>
      <c r="G330" s="71" t="s">
        <v>216</v>
      </c>
      <c r="H330" s="172"/>
      <c r="I330" s="172"/>
      <c r="J330" s="76" t="s">
        <v>455</v>
      </c>
      <c r="K330" s="332"/>
      <c r="L330" s="530">
        <v>280</v>
      </c>
      <c r="M330" s="163">
        <f>M329+K330-L330</f>
        <v>1244030.8657200006</v>
      </c>
    </row>
    <row r="331" spans="1:13">
      <c r="A331" s="54" t="str">
        <f>D331&amp;E331&amp;F331</f>
        <v>HRUBERHR</v>
      </c>
      <c r="B331" t="s">
        <v>212</v>
      </c>
      <c r="C331" s="1">
        <v>45712</v>
      </c>
      <c r="D331" s="71" t="s">
        <v>29</v>
      </c>
      <c r="E331" s="71" t="s">
        <v>189</v>
      </c>
      <c r="F331" s="143" t="s">
        <v>29</v>
      </c>
      <c r="G331" s="71" t="s">
        <v>216</v>
      </c>
      <c r="H331" s="172"/>
      <c r="I331" s="172"/>
      <c r="J331" s="76" t="s">
        <v>278</v>
      </c>
      <c r="K331" s="332"/>
      <c r="L331" s="526">
        <v>200</v>
      </c>
      <c r="M331" s="163">
        <f>M330+K331-L331</f>
        <v>1243830.8657200006</v>
      </c>
    </row>
    <row r="332" spans="1:13">
      <c r="A332" s="54" t="str">
        <f>D332&amp;E332&amp;F332</f>
        <v>HRUBERHR</v>
      </c>
      <c r="B332" t="s">
        <v>212</v>
      </c>
      <c r="C332" s="1">
        <v>45712</v>
      </c>
      <c r="D332" s="71" t="s">
        <v>29</v>
      </c>
      <c r="E332" s="71" t="s">
        <v>189</v>
      </c>
      <c r="F332" s="143" t="s">
        <v>29</v>
      </c>
      <c r="G332" s="71" t="s">
        <v>216</v>
      </c>
      <c r="H332" s="172"/>
      <c r="I332" s="172"/>
      <c r="J332" s="76" t="s">
        <v>456</v>
      </c>
      <c r="K332" s="332"/>
      <c r="L332" s="526">
        <v>640</v>
      </c>
      <c r="M332" s="163">
        <f>M331+K332-L332</f>
        <v>1243190.8657200006</v>
      </c>
    </row>
    <row r="333" spans="1:13">
      <c r="A333" s="54" t="str">
        <f>D333&amp;E333&amp;F333</f>
        <v>CAPINSUMOSCAPRICHOS</v>
      </c>
      <c r="B333" t="s">
        <v>212</v>
      </c>
      <c r="C333" s="1">
        <v>45712</v>
      </c>
      <c r="D333" s="71" t="s">
        <v>31</v>
      </c>
      <c r="E333" s="71" t="s">
        <v>133</v>
      </c>
      <c r="F333" s="143" t="s">
        <v>33</v>
      </c>
      <c r="G333" s="71" t="s">
        <v>216</v>
      </c>
      <c r="H333" s="172"/>
      <c r="I333" s="172"/>
      <c r="J333" s="76" t="s">
        <v>253</v>
      </c>
      <c r="K333" s="332"/>
      <c r="L333" s="526">
        <v>1710</v>
      </c>
      <c r="M333" s="163">
        <f>M332+K333-L333</f>
        <v>1241480.8657200006</v>
      </c>
    </row>
    <row r="334" spans="1:13">
      <c r="A334" s="54" t="str">
        <f>D334&amp;E334&amp;F334</f>
        <v>CAPINSUMOSCAPRICHOS</v>
      </c>
      <c r="B334" t="s">
        <v>212</v>
      </c>
      <c r="C334" s="1">
        <v>45712</v>
      </c>
      <c r="D334" s="71" t="s">
        <v>31</v>
      </c>
      <c r="E334" s="71" t="s">
        <v>133</v>
      </c>
      <c r="F334" s="143" t="s">
        <v>33</v>
      </c>
      <c r="G334" s="71" t="s">
        <v>216</v>
      </c>
      <c r="H334" s="172"/>
      <c r="I334" s="172"/>
      <c r="J334" s="76" t="s">
        <v>457</v>
      </c>
      <c r="K334" s="332"/>
      <c r="L334" s="331">
        <v>110</v>
      </c>
      <c r="M334" s="163">
        <f>M333+K334-L334</f>
        <v>1241370.8657200006</v>
      </c>
    </row>
    <row r="335" spans="1:13">
      <c r="A335" s="54" t="str">
        <f>D335&amp;E335&amp;F335</f>
        <v>CAPUBERCAP</v>
      </c>
      <c r="B335" t="s">
        <v>212</v>
      </c>
      <c r="C335" s="1">
        <v>45713</v>
      </c>
      <c r="D335" s="71" t="s">
        <v>31</v>
      </c>
      <c r="E335" s="71" t="s">
        <v>189</v>
      </c>
      <c r="F335" s="71" t="s">
        <v>31</v>
      </c>
      <c r="H335" s="172"/>
      <c r="I335" s="172"/>
      <c r="J335" s="76" t="s">
        <v>257</v>
      </c>
      <c r="K335" s="332"/>
      <c r="L335" s="526">
        <v>419</v>
      </c>
      <c r="M335" s="163">
        <f>M334+K335-L335</f>
        <v>1240951.8657200006</v>
      </c>
    </row>
    <row r="336" spans="1:13">
      <c r="A336" s="54" t="str">
        <f t="shared" ref="A327:A390" si="5">D336&amp;E336&amp;F336</f>
        <v/>
      </c>
      <c r="B336" t="s">
        <v>212</v>
      </c>
      <c r="C336" s="1">
        <v>45713</v>
      </c>
      <c r="D336" s="71"/>
      <c r="F336" s="143"/>
      <c r="H336" s="172"/>
      <c r="I336" s="172"/>
      <c r="J336" s="71" t="s">
        <v>260</v>
      </c>
      <c r="K336" s="321">
        <f>139858.36-22513.23</f>
        <v>117345.12999999999</v>
      </c>
      <c r="L336" s="321"/>
      <c r="M336" s="163">
        <f>M335+K336-L336</f>
        <v>1358296.9957200005</v>
      </c>
    </row>
    <row r="337" spans="1:13">
      <c r="A337" s="54" t="str">
        <f>D337&amp;E337&amp;F337</f>
        <v>FINANZASCOMISIONES BANCARIASTPV</v>
      </c>
      <c r="B337" t="s">
        <v>212</v>
      </c>
      <c r="C337" s="1">
        <v>45713</v>
      </c>
      <c r="D337" s="71" t="s">
        <v>23</v>
      </c>
      <c r="E337" s="71" t="s">
        <v>48</v>
      </c>
      <c r="F337" s="143" t="s">
        <v>50</v>
      </c>
      <c r="G337" s="71" t="s">
        <v>216</v>
      </c>
      <c r="H337" s="172"/>
      <c r="I337" s="172"/>
      <c r="J337" s="71" t="s">
        <v>217</v>
      </c>
      <c r="K337" s="332"/>
      <c r="L337" s="331">
        <f>250.39+60.19+1620.64+1065.37</f>
        <v>2996.59</v>
      </c>
      <c r="M337" s="163">
        <f>M336+K337-L337</f>
        <v>1355300.4057200004</v>
      </c>
    </row>
    <row r="338" spans="1:13">
      <c r="A338" s="54" t="str">
        <f t="shared" si="5"/>
        <v/>
      </c>
      <c r="B338" t="s">
        <v>212</v>
      </c>
      <c r="C338" s="1">
        <v>45713</v>
      </c>
      <c r="D338" s="71"/>
      <c r="F338" s="143"/>
      <c r="H338" s="172"/>
      <c r="I338" s="172"/>
      <c r="J338" s="205" t="s">
        <v>220</v>
      </c>
      <c r="K338" s="206"/>
      <c r="L338" s="206">
        <v>750000</v>
      </c>
      <c r="M338" s="163">
        <f>M337+K338-L338</f>
        <v>605300.40572000039</v>
      </c>
    </row>
    <row r="339" spans="1:13">
      <c r="A339" s="54" t="str">
        <f t="shared" si="5"/>
        <v/>
      </c>
      <c r="B339" t="s">
        <v>212</v>
      </c>
      <c r="C339" s="1">
        <v>45713</v>
      </c>
      <c r="D339" s="71"/>
      <c r="F339" s="70"/>
      <c r="H339" s="172"/>
      <c r="I339" s="172"/>
      <c r="J339" s="205" t="s">
        <v>222</v>
      </c>
      <c r="K339" s="206"/>
      <c r="L339" s="206">
        <v>200000</v>
      </c>
      <c r="M339" s="163">
        <f>M338+K339-L339</f>
        <v>405300.40572000039</v>
      </c>
    </row>
    <row r="340" spans="1:13">
      <c r="A340" s="54" t="str">
        <f>D340&amp;E340&amp;F340</f>
        <v>SERVICIOSINSUMOSSISTEMAS</v>
      </c>
      <c r="B340" t="s">
        <v>212</v>
      </c>
      <c r="C340" s="1">
        <v>45713</v>
      </c>
      <c r="D340" s="71" t="s">
        <v>21</v>
      </c>
      <c r="E340" s="71" t="s">
        <v>133</v>
      </c>
      <c r="F340" s="143" t="s">
        <v>36</v>
      </c>
      <c r="G340" s="71" t="s">
        <v>216</v>
      </c>
      <c r="H340" s="172"/>
      <c r="I340" s="172"/>
      <c r="J340" s="71" t="s">
        <v>458</v>
      </c>
      <c r="K340" s="321"/>
      <c r="L340" s="326">
        <v>7391.52</v>
      </c>
      <c r="M340" s="163">
        <f>M339+K340-L340</f>
        <v>397908.88572000037</v>
      </c>
    </row>
    <row r="341" spans="1:13">
      <c r="A341" s="54" t="str">
        <f t="shared" si="5"/>
        <v/>
      </c>
      <c r="B341" t="s">
        <v>212</v>
      </c>
      <c r="C341" s="1">
        <v>45713</v>
      </c>
      <c r="D341" s="71"/>
      <c r="F341" s="143"/>
      <c r="H341" s="172"/>
      <c r="I341" s="172"/>
      <c r="J341" s="71" t="s">
        <v>459</v>
      </c>
      <c r="K341" s="321"/>
      <c r="L341" s="326">
        <v>3299.76</v>
      </c>
      <c r="M341" s="163">
        <f>M340+K341-L341</f>
        <v>394609.12572000036</v>
      </c>
    </row>
    <row r="342" spans="1:13">
      <c r="A342" s="54" t="str">
        <f>D342&amp;E342&amp;F342</f>
        <v>HRTELEPEAJEOP HR</v>
      </c>
      <c r="B342" t="s">
        <v>212</v>
      </c>
      <c r="C342" s="1">
        <v>45713</v>
      </c>
      <c r="D342" s="71" t="s">
        <v>29</v>
      </c>
      <c r="E342" s="71" t="s">
        <v>186</v>
      </c>
      <c r="F342" s="143" t="s">
        <v>187</v>
      </c>
      <c r="G342" s="71" t="s">
        <v>216</v>
      </c>
      <c r="H342" s="172"/>
      <c r="I342" s="172"/>
      <c r="J342" s="71" t="s">
        <v>460</v>
      </c>
      <c r="K342" s="321"/>
      <c r="L342" s="326">
        <v>712</v>
      </c>
      <c r="M342" s="163">
        <f>M341+K342-L342</f>
        <v>393897.12572000036</v>
      </c>
    </row>
    <row r="343" spans="1:13">
      <c r="A343" s="54" t="str">
        <f>D343&amp;E343&amp;F343</f>
        <v>FINANZASTELEPEAJEFINANZAS</v>
      </c>
      <c r="B343" t="s">
        <v>212</v>
      </c>
      <c r="C343" s="1">
        <v>45713</v>
      </c>
      <c r="D343" s="71" t="s">
        <v>23</v>
      </c>
      <c r="E343" s="71" t="s">
        <v>186</v>
      </c>
      <c r="F343" s="143" t="s">
        <v>23</v>
      </c>
      <c r="G343" s="71" t="s">
        <v>216</v>
      </c>
      <c r="H343" s="172"/>
      <c r="I343" s="172"/>
      <c r="J343" s="71" t="s">
        <v>461</v>
      </c>
      <c r="K343" s="321"/>
      <c r="L343" s="326">
        <v>596</v>
      </c>
      <c r="M343" s="163">
        <f>M342+K343-L343</f>
        <v>393301.12572000036</v>
      </c>
    </row>
    <row r="344" spans="1:13">
      <c r="A344" s="54" t="str">
        <f>D344&amp;E344&amp;F344</f>
        <v>SERVICIOSTELEPEAJECEDIS</v>
      </c>
      <c r="B344" t="s">
        <v>212</v>
      </c>
      <c r="C344" s="1">
        <v>45713</v>
      </c>
      <c r="D344" s="71" t="s">
        <v>21</v>
      </c>
      <c r="E344" s="71" t="s">
        <v>186</v>
      </c>
      <c r="F344" s="143" t="s">
        <v>28</v>
      </c>
      <c r="G344" s="71" t="s">
        <v>216</v>
      </c>
      <c r="H344" s="172"/>
      <c r="I344" s="172"/>
      <c r="J344" s="71" t="s">
        <v>462</v>
      </c>
      <c r="K344" s="321"/>
      <c r="L344" s="326">
        <v>6442</v>
      </c>
      <c r="M344" s="163">
        <f>M343+K344-L344</f>
        <v>386859.12572000036</v>
      </c>
    </row>
    <row r="345" spans="1:13">
      <c r="A345" s="54" t="str">
        <f>D345&amp;E345&amp;F345</f>
        <v>CAPTELEPEAJEOP CAPRICHOS</v>
      </c>
      <c r="B345" t="s">
        <v>212</v>
      </c>
      <c r="C345" s="1">
        <v>45713</v>
      </c>
      <c r="D345" s="71" t="s">
        <v>31</v>
      </c>
      <c r="E345" s="71" t="s">
        <v>186</v>
      </c>
      <c r="F345" s="143" t="s">
        <v>188</v>
      </c>
      <c r="G345" s="71" t="s">
        <v>216</v>
      </c>
      <c r="H345" s="172"/>
      <c r="I345" s="172"/>
      <c r="J345" s="71" t="s">
        <v>463</v>
      </c>
      <c r="K345" s="321"/>
      <c r="L345" s="326">
        <v>658</v>
      </c>
      <c r="M345" s="163">
        <f>M344+K345-L345</f>
        <v>386201.12572000036</v>
      </c>
    </row>
    <row r="346" spans="1:13">
      <c r="A346" s="54" t="str">
        <f>D346&amp;E346&amp;F346</f>
        <v>SERVICIOSTELEPEAJECEDIS</v>
      </c>
      <c r="B346" t="s">
        <v>212</v>
      </c>
      <c r="C346" s="1">
        <v>45713</v>
      </c>
      <c r="D346" s="71" t="s">
        <v>21</v>
      </c>
      <c r="E346" s="71" t="s">
        <v>186</v>
      </c>
      <c r="F346" s="143" t="s">
        <v>28</v>
      </c>
      <c r="G346" s="71" t="s">
        <v>216</v>
      </c>
      <c r="H346" s="172"/>
      <c r="I346" s="172"/>
      <c r="J346" s="71" t="s">
        <v>464</v>
      </c>
      <c r="K346" s="336"/>
      <c r="L346" s="326">
        <v>751</v>
      </c>
      <c r="M346" s="163">
        <f>M345+K346-L346</f>
        <v>385450.12572000036</v>
      </c>
    </row>
    <row r="347" spans="1:13">
      <c r="A347" s="54" t="str">
        <f>D347&amp;E347&amp;F347</f>
        <v>CAPINSUMOSCAPRICHOS</v>
      </c>
      <c r="B347" t="s">
        <v>212</v>
      </c>
      <c r="C347" s="1">
        <v>45713</v>
      </c>
      <c r="D347" s="71" t="s">
        <v>31</v>
      </c>
      <c r="E347" s="71" t="s">
        <v>133</v>
      </c>
      <c r="F347" s="143" t="s">
        <v>33</v>
      </c>
      <c r="G347" s="71" t="s">
        <v>216</v>
      </c>
      <c r="H347" s="172"/>
      <c r="I347" s="172"/>
      <c r="J347" s="71" t="s">
        <v>465</v>
      </c>
      <c r="K347" s="328"/>
      <c r="L347" s="326">
        <v>2500</v>
      </c>
      <c r="M347" s="163">
        <f>M346+K347-L347</f>
        <v>382950.12572000036</v>
      </c>
    </row>
    <row r="348" spans="1:13">
      <c r="A348" s="54" t="str">
        <f>D348&amp;E348&amp;F348</f>
        <v>SERVICIOSMTTO DE EDIFICIOMANTENIMIENTO</v>
      </c>
      <c r="B348" t="s">
        <v>212</v>
      </c>
      <c r="C348" s="1">
        <v>45713</v>
      </c>
      <c r="D348" s="71" t="s">
        <v>21</v>
      </c>
      <c r="E348" s="71" t="s">
        <v>142</v>
      </c>
      <c r="F348" s="143" t="s">
        <v>35</v>
      </c>
      <c r="G348" s="71" t="s">
        <v>216</v>
      </c>
      <c r="H348" s="172"/>
      <c r="I348" s="172"/>
      <c r="J348" s="71" t="s">
        <v>466</v>
      </c>
      <c r="K348" s="328"/>
      <c r="L348" s="326">
        <v>900</v>
      </c>
      <c r="M348" s="163">
        <f>M347+K348-L348</f>
        <v>382050.12572000036</v>
      </c>
    </row>
    <row r="349" spans="1:13">
      <c r="A349" s="54" t="str">
        <f>D349&amp;E349&amp;F349</f>
        <v>CAPVIATICOSCAPRICHOS</v>
      </c>
      <c r="B349" t="s">
        <v>212</v>
      </c>
      <c r="C349" s="1">
        <v>45713</v>
      </c>
      <c r="D349" s="71" t="s">
        <v>31</v>
      </c>
      <c r="E349" s="71" t="s">
        <v>191</v>
      </c>
      <c r="F349" s="143" t="s">
        <v>33</v>
      </c>
      <c r="G349" s="71" t="s">
        <v>216</v>
      </c>
      <c r="H349" s="172"/>
      <c r="I349" s="172"/>
      <c r="J349" s="71" t="s">
        <v>467</v>
      </c>
      <c r="K349" s="321"/>
      <c r="L349" s="326">
        <v>1000</v>
      </c>
      <c r="M349" s="163">
        <f>M348+K349-L349</f>
        <v>381050.12572000036</v>
      </c>
    </row>
    <row r="350" spans="1:13">
      <c r="A350" s="54" t="str">
        <f>D350&amp;E350&amp;F350</f>
        <v>HRFONDO Y REPOSICIONHR</v>
      </c>
      <c r="B350" t="s">
        <v>212</v>
      </c>
      <c r="C350" s="1">
        <v>45713</v>
      </c>
      <c r="D350" s="71" t="s">
        <v>29</v>
      </c>
      <c r="E350" s="71" t="s">
        <v>120</v>
      </c>
      <c r="F350" s="143" t="s">
        <v>29</v>
      </c>
      <c r="G350" s="71" t="s">
        <v>216</v>
      </c>
      <c r="H350" s="172"/>
      <c r="I350" s="172"/>
      <c r="J350" s="71" t="s">
        <v>468</v>
      </c>
      <c r="K350" s="321"/>
      <c r="L350" s="326">
        <v>1355</v>
      </c>
      <c r="M350" s="163">
        <f>M349+K350-L350</f>
        <v>379695.12572000036</v>
      </c>
    </row>
    <row r="351" spans="1:13">
      <c r="A351" s="54" t="str">
        <f>D351&amp;E351&amp;F351</f>
        <v>SERVICIOSPAQUETERIACEDIS (E6)</v>
      </c>
      <c r="B351" t="s">
        <v>212</v>
      </c>
      <c r="C351" s="1">
        <v>45713</v>
      </c>
      <c r="D351" s="71" t="s">
        <v>21</v>
      </c>
      <c r="E351" s="71" t="s">
        <v>160</v>
      </c>
      <c r="F351" s="143" t="s">
        <v>161</v>
      </c>
      <c r="G351" s="71" t="s">
        <v>216</v>
      </c>
      <c r="H351" s="172"/>
      <c r="I351" s="172"/>
      <c r="J351" s="71" t="s">
        <v>469</v>
      </c>
      <c r="K351" s="180"/>
      <c r="L351" s="323">
        <v>2203.2399999999998</v>
      </c>
      <c r="M351" s="163">
        <f>M350+K351-L351</f>
        <v>377491.88572000037</v>
      </c>
    </row>
    <row r="352" spans="1:13">
      <c r="A352" s="54" t="str">
        <f>D352&amp;E352&amp;F352</f>
        <v>SERVICIOSVIATICOSSISTEMAS</v>
      </c>
      <c r="B352" t="s">
        <v>212</v>
      </c>
      <c r="C352" s="1">
        <v>45713</v>
      </c>
      <c r="D352" s="71" t="s">
        <v>21</v>
      </c>
      <c r="E352" s="71" t="s">
        <v>191</v>
      </c>
      <c r="F352" s="143" t="s">
        <v>36</v>
      </c>
      <c r="G352" s="71" t="s">
        <v>258</v>
      </c>
      <c r="H352" s="172"/>
      <c r="I352" s="172"/>
      <c r="J352" s="71" t="s">
        <v>470</v>
      </c>
      <c r="K352" s="321"/>
      <c r="L352" s="323">
        <v>1200</v>
      </c>
      <c r="M352" s="163">
        <f>M351+K352-L352</f>
        <v>376291.88572000037</v>
      </c>
    </row>
    <row r="353" spans="1:13">
      <c r="A353" s="54" t="str">
        <f>D353&amp;E353&amp;F353</f>
        <v>SERVICIOSVIATICOSCEDIS</v>
      </c>
      <c r="B353" t="s">
        <v>212</v>
      </c>
      <c r="C353" s="1">
        <v>45713</v>
      </c>
      <c r="D353" s="71" t="s">
        <v>21</v>
      </c>
      <c r="E353" s="71" t="s">
        <v>191</v>
      </c>
      <c r="F353" s="143" t="s">
        <v>28</v>
      </c>
      <c r="G353" s="71" t="s">
        <v>258</v>
      </c>
      <c r="H353" s="172"/>
      <c r="I353" s="172"/>
      <c r="J353" s="71" t="s">
        <v>326</v>
      </c>
      <c r="K353" s="321"/>
      <c r="L353" s="323">
        <v>700</v>
      </c>
      <c r="M353" s="163">
        <f>M352+K353-L353</f>
        <v>375591.88572000037</v>
      </c>
    </row>
    <row r="354" spans="1:13">
      <c r="A354" s="54" t="str">
        <f>D354&amp;E354&amp;F354</f>
        <v>HRUBERHR</v>
      </c>
      <c r="B354" t="s">
        <v>212</v>
      </c>
      <c r="C354" s="1">
        <v>45713</v>
      </c>
      <c r="D354" s="71" t="s">
        <v>29</v>
      </c>
      <c r="E354" s="71" t="s">
        <v>189</v>
      </c>
      <c r="F354" s="143" t="s">
        <v>29</v>
      </c>
      <c r="G354" s="71" t="s">
        <v>216</v>
      </c>
      <c r="H354" s="172"/>
      <c r="I354" s="172"/>
      <c r="J354" s="76" t="s">
        <v>471</v>
      </c>
      <c r="K354" s="332"/>
      <c r="L354" s="525">
        <v>257</v>
      </c>
      <c r="M354" s="163">
        <f>M353+K354-L354</f>
        <v>375334.88572000037</v>
      </c>
    </row>
    <row r="355" spans="1:13">
      <c r="A355" s="54" t="str">
        <f>D355&amp;E355&amp;F355</f>
        <v>CAPUBERCAP</v>
      </c>
      <c r="B355" t="s">
        <v>212</v>
      </c>
      <c r="C355" s="1">
        <v>45713</v>
      </c>
      <c r="D355" s="71" t="s">
        <v>31</v>
      </c>
      <c r="E355" s="71" t="s">
        <v>189</v>
      </c>
      <c r="F355" s="143" t="s">
        <v>31</v>
      </c>
      <c r="G355" s="71" t="s">
        <v>258</v>
      </c>
      <c r="H355" s="172"/>
      <c r="I355" s="172"/>
      <c r="J355" s="76" t="s">
        <v>472</v>
      </c>
      <c r="K355" s="332"/>
      <c r="L355" s="525">
        <v>450</v>
      </c>
      <c r="M355" s="163">
        <f>M354+K355-L355</f>
        <v>374884.88572000037</v>
      </c>
    </row>
    <row r="356" spans="1:13">
      <c r="A356" s="54" t="str">
        <f>D356&amp;E356&amp;F356</f>
        <v>CAPUBERCAP</v>
      </c>
      <c r="B356" t="s">
        <v>212</v>
      </c>
      <c r="C356" s="1">
        <v>45713</v>
      </c>
      <c r="D356" s="71" t="s">
        <v>31</v>
      </c>
      <c r="E356" s="71" t="s">
        <v>189</v>
      </c>
      <c r="F356" s="143" t="s">
        <v>31</v>
      </c>
      <c r="G356" s="71" t="s">
        <v>258</v>
      </c>
      <c r="H356" s="172"/>
      <c r="I356" s="172"/>
      <c r="J356" s="76" t="s">
        <v>257</v>
      </c>
      <c r="K356" s="332"/>
      <c r="L356" s="525">
        <v>126</v>
      </c>
      <c r="M356" s="163">
        <f>M355+K356-L356</f>
        <v>374758.88572000037</v>
      </c>
    </row>
    <row r="357" spans="1:13">
      <c r="A357" s="54" t="str">
        <f>D357&amp;E357&amp;F357</f>
        <v>FINANZASCUOTAS Y SUSCRIPCIONESPROTECCION CIVIL</v>
      </c>
      <c r="B357" t="s">
        <v>212</v>
      </c>
      <c r="C357" s="1">
        <v>45713</v>
      </c>
      <c r="D357" s="71" t="s">
        <v>23</v>
      </c>
      <c r="E357" s="218" t="s">
        <v>51</v>
      </c>
      <c r="F357" s="143" t="s">
        <v>76</v>
      </c>
      <c r="G357" s="71" t="s">
        <v>216</v>
      </c>
      <c r="H357" s="172"/>
      <c r="I357" s="172"/>
      <c r="J357" s="71" t="s">
        <v>473</v>
      </c>
      <c r="K357" s="321"/>
      <c r="L357" s="323">
        <f>6538-1700</f>
        <v>4838</v>
      </c>
      <c r="M357" s="163">
        <f>M356+K357-L357</f>
        <v>369920.88572000037</v>
      </c>
    </row>
    <row r="358" spans="1:13">
      <c r="A358" s="54" t="str">
        <f>D358&amp;E358&amp;F358</f>
        <v>FINANZASVIATICOSFINANZAS</v>
      </c>
      <c r="B358" t="s">
        <v>212</v>
      </c>
      <c r="C358" s="1">
        <v>45713</v>
      </c>
      <c r="D358" s="71" t="s">
        <v>23</v>
      </c>
      <c r="E358" s="71" t="s">
        <v>191</v>
      </c>
      <c r="F358" s="143" t="s">
        <v>23</v>
      </c>
      <c r="G358" s="71" t="s">
        <v>216</v>
      </c>
      <c r="H358" s="172"/>
      <c r="I358" s="172"/>
      <c r="J358" s="71" t="s">
        <v>474</v>
      </c>
      <c r="K358" s="321"/>
      <c r="L358" s="323">
        <v>1700</v>
      </c>
      <c r="M358" s="163">
        <f>M357+K358-L358</f>
        <v>368220.88572000037</v>
      </c>
    </row>
    <row r="359" spans="1:13">
      <c r="A359" s="54" t="str">
        <f t="shared" si="5"/>
        <v/>
      </c>
      <c r="B359" t="s">
        <v>212</v>
      </c>
      <c r="C359" s="1">
        <v>45714</v>
      </c>
      <c r="D359" s="71"/>
      <c r="F359" s="143"/>
      <c r="H359" s="172"/>
      <c r="I359" s="172"/>
      <c r="J359" s="71" t="s">
        <v>260</v>
      </c>
      <c r="K359" s="321">
        <v>122720.31</v>
      </c>
      <c r="L359" s="180"/>
      <c r="M359" s="163">
        <f>M358+K359-L359</f>
        <v>490941.19572000037</v>
      </c>
    </row>
    <row r="360" spans="1:13">
      <c r="A360" s="54" t="str">
        <f>D360&amp;E360&amp;F360</f>
        <v>FINANZASCOMISIONES BANCARIASTPV</v>
      </c>
      <c r="B360" t="s">
        <v>212</v>
      </c>
      <c r="C360" s="1">
        <v>45714</v>
      </c>
      <c r="D360" s="71" t="s">
        <v>23</v>
      </c>
      <c r="E360" s="71" t="s">
        <v>48</v>
      </c>
      <c r="F360" s="143" t="s">
        <v>50</v>
      </c>
      <c r="G360" s="71" t="s">
        <v>216</v>
      </c>
      <c r="H360" s="172"/>
      <c r="I360" s="172"/>
      <c r="J360" s="71" t="s">
        <v>217</v>
      </c>
      <c r="K360" s="321"/>
      <c r="L360" s="323">
        <f>32.82+2.81+1036.07+725.38</f>
        <v>1797.08</v>
      </c>
      <c r="M360" s="163">
        <f>M359+K360-L360</f>
        <v>489144.11572000035</v>
      </c>
    </row>
    <row r="361" spans="1:13">
      <c r="A361" s="54" t="str">
        <f t="shared" si="5"/>
        <v/>
      </c>
      <c r="B361" t="s">
        <v>212</v>
      </c>
      <c r="C361" s="1">
        <v>45714</v>
      </c>
      <c r="D361" s="71"/>
      <c r="F361" s="143"/>
      <c r="H361" s="172"/>
      <c r="I361" s="172"/>
      <c r="J361" s="71" t="s">
        <v>475</v>
      </c>
      <c r="K361" s="321"/>
      <c r="L361" s="326">
        <v>71188.259999999995</v>
      </c>
      <c r="M361" s="163">
        <f>M360+K361-L361</f>
        <v>417955.85572000034</v>
      </c>
    </row>
    <row r="362" spans="1:13">
      <c r="A362" s="54" t="str">
        <f>D362&amp;E362&amp;F362</f>
        <v>SERVICIOSMTTO DE EDIFICIOMANTENIMIENTO</v>
      </c>
      <c r="B362" t="s">
        <v>212</v>
      </c>
      <c r="C362" s="1">
        <v>45714</v>
      </c>
      <c r="D362" s="71" t="s">
        <v>21</v>
      </c>
      <c r="E362" s="71" t="s">
        <v>142</v>
      </c>
      <c r="F362" s="143" t="s">
        <v>35</v>
      </c>
      <c r="G362" s="71" t="s">
        <v>216</v>
      </c>
      <c r="H362" s="172"/>
      <c r="I362" s="172"/>
      <c r="J362" s="71" t="s">
        <v>476</v>
      </c>
      <c r="K362" s="321"/>
      <c r="L362" s="326">
        <v>709</v>
      </c>
      <c r="M362" s="163">
        <f>M361+K362-L362</f>
        <v>417246.85572000034</v>
      </c>
    </row>
    <row r="363" spans="1:13">
      <c r="A363" s="54" t="str">
        <f>D363&amp;E363&amp;F363</f>
        <v>SERVICIOSVIATICOSINVENTARIOS</v>
      </c>
      <c r="B363" t="s">
        <v>212</v>
      </c>
      <c r="C363" s="1">
        <v>45714</v>
      </c>
      <c r="D363" s="71" t="s">
        <v>21</v>
      </c>
      <c r="E363" s="71" t="s">
        <v>191</v>
      </c>
      <c r="F363" s="143" t="s">
        <v>34</v>
      </c>
      <c r="G363" s="71" t="s">
        <v>216</v>
      </c>
      <c r="H363" s="172"/>
      <c r="I363" s="172"/>
      <c r="J363" s="71" t="s">
        <v>477</v>
      </c>
      <c r="K363" s="321"/>
      <c r="L363" s="326">
        <v>900</v>
      </c>
      <c r="M363" s="163">
        <f>M362+K363-L363</f>
        <v>416346.85572000034</v>
      </c>
    </row>
    <row r="364" spans="1:13">
      <c r="A364" s="54" t="str">
        <f>D364&amp;E364&amp;F364</f>
        <v>MELREDESMELISSA</v>
      </c>
      <c r="B364" t="s">
        <v>212</v>
      </c>
      <c r="C364" s="1">
        <v>45714</v>
      </c>
      <c r="D364" s="71" t="s">
        <v>43</v>
      </c>
      <c r="E364" s="71" t="s">
        <v>167</v>
      </c>
      <c r="F364" s="143" t="s">
        <v>44</v>
      </c>
      <c r="G364" s="71" t="s">
        <v>216</v>
      </c>
      <c r="H364" s="172"/>
      <c r="I364" s="172"/>
      <c r="J364" s="71" t="s">
        <v>478</v>
      </c>
      <c r="K364" s="321"/>
      <c r="L364" s="326">
        <v>10000</v>
      </c>
      <c r="M364" s="163">
        <f>M363+K364-L364</f>
        <v>406346.85572000034</v>
      </c>
    </row>
    <row r="365" spans="1:13">
      <c r="A365" s="54" t="str">
        <f>D365&amp;E365&amp;F365</f>
        <v>FINANZASMTTO EQ DE TRANSPORTETESORERIA</v>
      </c>
      <c r="B365" t="s">
        <v>212</v>
      </c>
      <c r="C365" s="1">
        <v>45714</v>
      </c>
      <c r="D365" s="71" t="s">
        <v>23</v>
      </c>
      <c r="E365" s="71" t="s">
        <v>144</v>
      </c>
      <c r="F365" s="143" t="s">
        <v>38</v>
      </c>
      <c r="G365" s="71" t="s">
        <v>216</v>
      </c>
      <c r="H365" s="172"/>
      <c r="I365" s="172"/>
      <c r="J365" s="71" t="s">
        <v>479</v>
      </c>
      <c r="K365" s="332"/>
      <c r="L365" s="326">
        <v>8032.5</v>
      </c>
      <c r="M365" s="163">
        <f>M364+K365-L365</f>
        <v>398314.35572000034</v>
      </c>
    </row>
    <row r="366" spans="1:13">
      <c r="A366" s="54" t="str">
        <f>D366&amp;E366&amp;F366</f>
        <v>HRVIATICOSHR</v>
      </c>
      <c r="B366" t="s">
        <v>212</v>
      </c>
      <c r="C366" s="1">
        <v>45714</v>
      </c>
      <c r="D366" s="71" t="s">
        <v>29</v>
      </c>
      <c r="E366" s="71" t="s">
        <v>191</v>
      </c>
      <c r="F366" s="143" t="s">
        <v>29</v>
      </c>
      <c r="G366" s="71" t="s">
        <v>216</v>
      </c>
      <c r="H366" s="172"/>
      <c r="I366" s="172"/>
      <c r="J366" s="71" t="s">
        <v>480</v>
      </c>
      <c r="K366" s="328"/>
      <c r="L366" s="323">
        <v>4200</v>
      </c>
      <c r="M366" s="163">
        <f>M365+K366-L366</f>
        <v>394114.35572000034</v>
      </c>
    </row>
    <row r="367" spans="1:13">
      <c r="A367" s="54" t="str">
        <f>D367&amp;E367&amp;F367</f>
        <v>HRMKTMKT HR</v>
      </c>
      <c r="B367" t="s">
        <v>212</v>
      </c>
      <c r="C367" s="1">
        <v>45714</v>
      </c>
      <c r="D367" s="71" t="s">
        <v>29</v>
      </c>
      <c r="E367" s="71" t="s">
        <v>19</v>
      </c>
      <c r="F367" s="143" t="s">
        <v>138</v>
      </c>
      <c r="G367" s="71" t="s">
        <v>216</v>
      </c>
      <c r="H367" s="172"/>
      <c r="I367" s="172"/>
      <c r="J367" s="71" t="s">
        <v>481</v>
      </c>
      <c r="K367" s="321"/>
      <c r="L367" s="326">
        <v>1400</v>
      </c>
      <c r="M367" s="163">
        <f>M366+K367-L367</f>
        <v>392714.35572000034</v>
      </c>
    </row>
    <row r="368" spans="1:13">
      <c r="A368" s="54" t="str">
        <f>D368&amp;E368&amp;F368</f>
        <v>SGEVIATICOSGESTION EMPRESARIAL</v>
      </c>
      <c r="B368" t="s">
        <v>212</v>
      </c>
      <c r="C368" s="1">
        <v>45714</v>
      </c>
      <c r="D368" s="71" t="s">
        <v>39</v>
      </c>
      <c r="E368" s="71" t="s">
        <v>191</v>
      </c>
      <c r="F368" s="143" t="s">
        <v>40</v>
      </c>
      <c r="G368" s="71" t="s">
        <v>216</v>
      </c>
      <c r="H368" s="172"/>
      <c r="I368" s="172"/>
      <c r="J368" s="71" t="s">
        <v>482</v>
      </c>
      <c r="K368" s="321"/>
      <c r="L368" s="326">
        <v>2200</v>
      </c>
      <c r="M368" s="163">
        <f>M367+K368-L368</f>
        <v>390514.35572000034</v>
      </c>
    </row>
    <row r="369" spans="1:13">
      <c r="A369" s="54" t="str">
        <f>D369&amp;E369&amp;F369</f>
        <v>SGEINSUMOSGESTION EMPRESARIAL</v>
      </c>
      <c r="B369" t="s">
        <v>212</v>
      </c>
      <c r="C369" s="1">
        <v>45714</v>
      </c>
      <c r="D369" s="71" t="s">
        <v>39</v>
      </c>
      <c r="E369" s="71" t="s">
        <v>133</v>
      </c>
      <c r="F369" s="143" t="s">
        <v>40</v>
      </c>
      <c r="G369" s="71" t="s">
        <v>258</v>
      </c>
      <c r="H369" s="172"/>
      <c r="I369" s="172"/>
      <c r="J369" s="71" t="s">
        <v>483</v>
      </c>
      <c r="K369" s="321"/>
      <c r="L369" s="326">
        <v>90</v>
      </c>
      <c r="M369" s="163">
        <f>M368+K369-L369</f>
        <v>390424.35572000034</v>
      </c>
    </row>
    <row r="370" spans="1:13">
      <c r="A370" s="54" t="str">
        <f>D370&amp;E370&amp;F370</f>
        <v>HRMKTMKT HR</v>
      </c>
      <c r="B370" t="s">
        <v>212</v>
      </c>
      <c r="C370" s="1">
        <v>45714</v>
      </c>
      <c r="D370" s="71" t="s">
        <v>29</v>
      </c>
      <c r="E370" s="71" t="s">
        <v>19</v>
      </c>
      <c r="F370" s="143" t="s">
        <v>138</v>
      </c>
      <c r="G370" s="71" t="s">
        <v>216</v>
      </c>
      <c r="H370" s="172"/>
      <c r="I370" s="172"/>
      <c r="J370" s="71" t="s">
        <v>484</v>
      </c>
      <c r="K370" s="321"/>
      <c r="L370" s="326">
        <v>1200</v>
      </c>
      <c r="M370" s="163">
        <f>M369+K370-L370</f>
        <v>389224.35572000034</v>
      </c>
    </row>
    <row r="371" spans="1:13">
      <c r="A371" s="54" t="str">
        <f>D371&amp;E371&amp;F371</f>
        <v>HRMKTMKT HR</v>
      </c>
      <c r="B371" t="s">
        <v>212</v>
      </c>
      <c r="C371" s="1">
        <v>45714</v>
      </c>
      <c r="D371" s="71" t="s">
        <v>29</v>
      </c>
      <c r="E371" s="71" t="s">
        <v>19</v>
      </c>
      <c r="F371" s="143" t="s">
        <v>138</v>
      </c>
      <c r="G371" s="71" t="s">
        <v>216</v>
      </c>
      <c r="H371" s="172"/>
      <c r="I371" s="172"/>
      <c r="J371" s="71" t="s">
        <v>485</v>
      </c>
      <c r="K371" s="180"/>
      <c r="L371" s="323">
        <v>800</v>
      </c>
      <c r="M371" s="163">
        <f>M370+K371-L371</f>
        <v>388424.35572000034</v>
      </c>
    </row>
    <row r="372" spans="1:13">
      <c r="A372" s="54" t="str">
        <f>D372&amp;E372&amp;F372</f>
        <v>FINANZASTELEFONIATELEFONIA</v>
      </c>
      <c r="B372" t="s">
        <v>212</v>
      </c>
      <c r="C372" s="1">
        <v>45715</v>
      </c>
      <c r="D372" s="71" t="s">
        <v>23</v>
      </c>
      <c r="E372" s="71" t="s">
        <v>181</v>
      </c>
      <c r="F372" s="143" t="s">
        <v>181</v>
      </c>
      <c r="G372" s="71" t="s">
        <v>216</v>
      </c>
      <c r="H372" s="172"/>
      <c r="I372" s="172"/>
      <c r="J372" s="71" t="s">
        <v>486</v>
      </c>
      <c r="K372" s="180"/>
      <c r="L372" s="323">
        <v>509</v>
      </c>
      <c r="M372" s="163">
        <f>M371+K372-L372</f>
        <v>387915.35572000034</v>
      </c>
    </row>
    <row r="373" spans="1:13">
      <c r="A373" s="54" t="str">
        <f>D373&amp;E373&amp;F373</f>
        <v>HRUBERHR</v>
      </c>
      <c r="B373" t="s">
        <v>212</v>
      </c>
      <c r="C373" s="1">
        <v>45714</v>
      </c>
      <c r="D373" s="71" t="s">
        <v>29</v>
      </c>
      <c r="E373" s="71" t="s">
        <v>189</v>
      </c>
      <c r="F373" s="143" t="s">
        <v>29</v>
      </c>
      <c r="G373" s="71" t="s">
        <v>216</v>
      </c>
      <c r="H373" s="172"/>
      <c r="I373" s="172"/>
      <c r="J373" s="76" t="s">
        <v>403</v>
      </c>
      <c r="K373" s="322"/>
      <c r="L373" s="525">
        <v>180</v>
      </c>
      <c r="M373" s="163">
        <f>M372+K373-L373</f>
        <v>387735.35572000034</v>
      </c>
    </row>
    <row r="374" spans="1:13">
      <c r="A374" s="54" t="str">
        <f>D374&amp;E374&amp;F374</f>
        <v>HRJMASA18</v>
      </c>
      <c r="B374" t="s">
        <v>212</v>
      </c>
      <c r="C374" s="1">
        <v>45714</v>
      </c>
      <c r="D374" s="71" t="s">
        <v>29</v>
      </c>
      <c r="E374" s="71" t="s">
        <v>137</v>
      </c>
      <c r="F374" s="143" t="s">
        <v>103</v>
      </c>
      <c r="G374" s="71" t="s">
        <v>216</v>
      </c>
      <c r="H374" s="172"/>
      <c r="I374" s="172"/>
      <c r="J374" s="76" t="s">
        <v>487</v>
      </c>
      <c r="K374" s="322"/>
      <c r="L374" s="327">
        <v>1293</v>
      </c>
      <c r="M374" s="163">
        <f>M373+K374-L374</f>
        <v>386442.35572000034</v>
      </c>
    </row>
    <row r="375" spans="1:13">
      <c r="A375" s="54" t="str">
        <f>D375&amp;E375&amp;F375</f>
        <v>HRUBERHR</v>
      </c>
      <c r="B375" t="s">
        <v>212</v>
      </c>
      <c r="C375" s="1">
        <v>45714</v>
      </c>
      <c r="D375" s="71" t="s">
        <v>29</v>
      </c>
      <c r="E375" s="71" t="s">
        <v>189</v>
      </c>
      <c r="F375" s="143" t="s">
        <v>29</v>
      </c>
      <c r="G375" s="71" t="s">
        <v>216</v>
      </c>
      <c r="H375" s="172"/>
      <c r="I375" s="172"/>
      <c r="J375" s="76" t="s">
        <v>488</v>
      </c>
      <c r="K375" s="322"/>
      <c r="L375" s="525">
        <v>280</v>
      </c>
      <c r="M375" s="163">
        <f>M374+K375-L375</f>
        <v>386162.35572000034</v>
      </c>
    </row>
    <row r="376" spans="1:13">
      <c r="A376" s="54" t="str">
        <f>D376&amp;E376&amp;F376</f>
        <v>CAPUBERCAP</v>
      </c>
      <c r="B376" t="s">
        <v>212</v>
      </c>
      <c r="C376" s="1">
        <v>45714</v>
      </c>
      <c r="D376" s="71" t="s">
        <v>31</v>
      </c>
      <c r="E376" s="71" t="s">
        <v>189</v>
      </c>
      <c r="F376" s="143" t="s">
        <v>31</v>
      </c>
      <c r="G376" s="71" t="s">
        <v>258</v>
      </c>
      <c r="H376" s="172"/>
      <c r="I376" s="172"/>
      <c r="J376" s="76" t="s">
        <v>253</v>
      </c>
      <c r="K376" s="322"/>
      <c r="L376" s="525">
        <v>330</v>
      </c>
      <c r="M376" s="163">
        <f>M375+K376-L376</f>
        <v>385832.35572000034</v>
      </c>
    </row>
    <row r="377" spans="1:13">
      <c r="A377" s="54" t="str">
        <f>D377&amp;E377&amp;F377</f>
        <v>CAPUBERCAP</v>
      </c>
      <c r="B377" t="s">
        <v>212</v>
      </c>
      <c r="C377" s="1">
        <v>45714</v>
      </c>
      <c r="D377" s="71" t="s">
        <v>31</v>
      </c>
      <c r="E377" s="71" t="s">
        <v>189</v>
      </c>
      <c r="F377" s="143" t="s">
        <v>31</v>
      </c>
      <c r="G377" s="71" t="s">
        <v>258</v>
      </c>
      <c r="H377" s="172"/>
      <c r="I377" s="172"/>
      <c r="J377" s="76" t="s">
        <v>489</v>
      </c>
      <c r="K377" s="322"/>
      <c r="L377" s="525">
        <v>105</v>
      </c>
      <c r="M377" s="163">
        <f>M376+K377-L377</f>
        <v>385727.35572000034</v>
      </c>
    </row>
    <row r="378" spans="1:13">
      <c r="A378" s="54" t="str">
        <f>D378&amp;E378&amp;F378</f>
        <v>CAPUBERCAP</v>
      </c>
      <c r="B378" t="s">
        <v>212</v>
      </c>
      <c r="C378" s="1">
        <v>45714</v>
      </c>
      <c r="D378" s="71" t="s">
        <v>31</v>
      </c>
      <c r="E378" s="71" t="s">
        <v>189</v>
      </c>
      <c r="F378" s="143" t="s">
        <v>31</v>
      </c>
      <c r="G378" s="71" t="s">
        <v>258</v>
      </c>
      <c r="H378" s="172"/>
      <c r="I378" s="172"/>
      <c r="J378" s="76" t="s">
        <v>490</v>
      </c>
      <c r="K378" s="322"/>
      <c r="L378" s="525">
        <v>200</v>
      </c>
      <c r="M378" s="163">
        <f>M377+K378-L378</f>
        <v>385527.35572000034</v>
      </c>
    </row>
    <row r="379" spans="1:13">
      <c r="A379" s="54" t="str">
        <f>D379&amp;E379&amp;F379</f>
        <v>FINANZASFALTANTESFALTANTES</v>
      </c>
      <c r="B379" t="s">
        <v>212</v>
      </c>
      <c r="C379" s="1">
        <v>45714</v>
      </c>
      <c r="D379" s="71" t="s">
        <v>23</v>
      </c>
      <c r="E379" s="71" t="s">
        <v>119</v>
      </c>
      <c r="F379" s="143" t="s">
        <v>119</v>
      </c>
      <c r="G379" s="71" t="s">
        <v>258</v>
      </c>
      <c r="H379" s="172"/>
      <c r="I379" s="172"/>
      <c r="J379" s="76" t="s">
        <v>491</v>
      </c>
      <c r="K379" s="322"/>
      <c r="L379" s="327">
        <v>3485.78</v>
      </c>
      <c r="M379" s="163">
        <f>M378+K379-L379</f>
        <v>382041.57572000031</v>
      </c>
    </row>
    <row r="380" spans="1:13">
      <c r="A380" s="54" t="str">
        <f t="shared" si="5"/>
        <v/>
      </c>
      <c r="B380" t="s">
        <v>212</v>
      </c>
      <c r="C380" s="1">
        <v>45715</v>
      </c>
      <c r="D380" s="71"/>
      <c r="F380" s="143"/>
      <c r="H380" s="172"/>
      <c r="I380" s="172"/>
      <c r="J380" s="71" t="s">
        <v>260</v>
      </c>
      <c r="K380" s="321">
        <v>136906.17000000001</v>
      </c>
      <c r="L380" s="180"/>
      <c r="M380" s="163">
        <f>M379+K380-L380</f>
        <v>518947.74572000036</v>
      </c>
    </row>
    <row r="381" spans="1:13">
      <c r="A381" s="54" t="str">
        <f>D381&amp;E381&amp;F381</f>
        <v>FINANZASCOMISIONES BANCARIASTPV</v>
      </c>
      <c r="B381" t="s">
        <v>212</v>
      </c>
      <c r="C381" s="1">
        <v>45715</v>
      </c>
      <c r="D381" s="71" t="s">
        <v>23</v>
      </c>
      <c r="E381" s="71" t="s">
        <v>48</v>
      </c>
      <c r="F381" s="143" t="s">
        <v>50</v>
      </c>
      <c r="G381" s="71" t="s">
        <v>216</v>
      </c>
      <c r="H381" s="172"/>
      <c r="I381" s="172"/>
      <c r="J381" s="71" t="s">
        <v>217</v>
      </c>
      <c r="K381" s="321"/>
      <c r="L381" s="326">
        <f>1163.61+1250.38+52.43+98.98+33.05</f>
        <v>2598.4499999999998</v>
      </c>
      <c r="M381" s="163">
        <f>M380+K381-L381</f>
        <v>516349.29572000034</v>
      </c>
    </row>
    <row r="382" spans="1:13">
      <c r="A382" s="54" t="str">
        <f t="shared" si="5"/>
        <v/>
      </c>
      <c r="B382" t="s">
        <v>212</v>
      </c>
      <c r="C382" s="1">
        <v>45715</v>
      </c>
      <c r="D382" s="71"/>
      <c r="F382" s="143"/>
      <c r="H382" s="172"/>
      <c r="I382" s="172"/>
      <c r="J382" s="205" t="s">
        <v>222</v>
      </c>
      <c r="K382" s="206"/>
      <c r="L382" s="206">
        <v>400000</v>
      </c>
      <c r="M382" s="163">
        <f>M381+K382-L382</f>
        <v>116349.29572000034</v>
      </c>
    </row>
    <row r="383" spans="1:13">
      <c r="A383" s="54" t="str">
        <f>D383&amp;E383&amp;F383</f>
        <v>HRIMAGEN VISUALIMAGEN VISUAL HR</v>
      </c>
      <c r="B383" t="s">
        <v>212</v>
      </c>
      <c r="C383" s="1">
        <v>45715</v>
      </c>
      <c r="D383" s="71" t="s">
        <v>29</v>
      </c>
      <c r="E383" s="71" t="s">
        <v>127</v>
      </c>
      <c r="F383" s="143" t="s">
        <v>128</v>
      </c>
      <c r="G383" s="71" t="s">
        <v>216</v>
      </c>
      <c r="H383" s="172"/>
      <c r="I383" s="172"/>
      <c r="J383" s="71" t="s">
        <v>492</v>
      </c>
      <c r="K383" s="321"/>
      <c r="L383" s="326">
        <v>1939.52</v>
      </c>
      <c r="M383" s="163">
        <f>M382+K383-L383</f>
        <v>114409.77572000034</v>
      </c>
    </row>
    <row r="384" spans="1:13">
      <c r="A384" s="54" t="str">
        <f>D384&amp;E384&amp;F384</f>
        <v>HRIMAGEN VISUALIMAGEN VISUAL HR</v>
      </c>
      <c r="B384" t="s">
        <v>212</v>
      </c>
      <c r="C384" s="1">
        <v>45715</v>
      </c>
      <c r="D384" s="71" t="s">
        <v>29</v>
      </c>
      <c r="E384" s="71" t="s">
        <v>127</v>
      </c>
      <c r="F384" s="143" t="s">
        <v>128</v>
      </c>
      <c r="G384" s="71" t="s">
        <v>216</v>
      </c>
      <c r="H384" s="172"/>
      <c r="I384" s="172"/>
      <c r="J384" s="71" t="s">
        <v>493</v>
      </c>
      <c r="K384" s="321"/>
      <c r="L384" s="326">
        <v>1764.36</v>
      </c>
      <c r="M384" s="163">
        <f>M383+K384-L384</f>
        <v>112645.41572000034</v>
      </c>
    </row>
    <row r="385" spans="1:13">
      <c r="A385" s="54" t="str">
        <f>D385&amp;E385&amp;F385</f>
        <v>HRUBERHR</v>
      </c>
      <c r="B385" t="s">
        <v>212</v>
      </c>
      <c r="C385" s="1">
        <v>45715</v>
      </c>
      <c r="D385" s="71" t="s">
        <v>29</v>
      </c>
      <c r="E385" s="71" t="s">
        <v>189</v>
      </c>
      <c r="F385" s="143" t="s">
        <v>29</v>
      </c>
      <c r="G385" s="71" t="s">
        <v>216</v>
      </c>
      <c r="H385" s="172"/>
      <c r="I385" s="172"/>
      <c r="J385" s="76" t="s">
        <v>403</v>
      </c>
      <c r="K385" s="332"/>
      <c r="L385" s="526">
        <v>318</v>
      </c>
      <c r="M385" s="163">
        <f>M384+K385-L385</f>
        <v>112327.41572000034</v>
      </c>
    </row>
    <row r="386" spans="1:13">
      <c r="A386" s="54" t="str">
        <f>D386&amp;E386&amp;F386</f>
        <v>HRINSUMOSHR</v>
      </c>
      <c r="B386" t="s">
        <v>212</v>
      </c>
      <c r="C386" s="1">
        <v>45715</v>
      </c>
      <c r="D386" s="71" t="s">
        <v>29</v>
      </c>
      <c r="E386" s="71" t="s">
        <v>133</v>
      </c>
      <c r="F386" s="143" t="s">
        <v>29</v>
      </c>
      <c r="G386" s="71" t="s">
        <v>216</v>
      </c>
      <c r="H386" s="172"/>
      <c r="I386" s="172"/>
      <c r="J386" s="76" t="s">
        <v>494</v>
      </c>
      <c r="K386" s="328"/>
      <c r="L386" s="331">
        <v>180</v>
      </c>
      <c r="M386" s="163">
        <f>M385+K386-L386</f>
        <v>112147.41572000034</v>
      </c>
    </row>
    <row r="387" spans="1:13">
      <c r="A387" s="54" t="str">
        <f>D387&amp;E387&amp;F387</f>
        <v>HRJMASA16</v>
      </c>
      <c r="B387" t="s">
        <v>212</v>
      </c>
      <c r="C387" s="1">
        <v>45715</v>
      </c>
      <c r="D387" s="71" t="s">
        <v>29</v>
      </c>
      <c r="E387" s="71" t="s">
        <v>137</v>
      </c>
      <c r="F387" s="143" t="s">
        <v>101</v>
      </c>
      <c r="G387" s="71" t="s">
        <v>216</v>
      </c>
      <c r="H387" s="172"/>
      <c r="I387" s="172"/>
      <c r="J387" s="76" t="s">
        <v>495</v>
      </c>
      <c r="K387" s="332"/>
      <c r="L387" s="331">
        <v>1336</v>
      </c>
      <c r="M387" s="163">
        <f>M386+K387-L387</f>
        <v>110811.41572000034</v>
      </c>
    </row>
    <row r="388" spans="1:13">
      <c r="A388" s="54" t="str">
        <f>D388&amp;E388&amp;F388</f>
        <v>HRUBERHR</v>
      </c>
      <c r="B388" t="s">
        <v>212</v>
      </c>
      <c r="C388" s="1">
        <v>45715</v>
      </c>
      <c r="D388" s="71" t="s">
        <v>29</v>
      </c>
      <c r="E388" s="71" t="s">
        <v>189</v>
      </c>
      <c r="F388" s="143" t="s">
        <v>29</v>
      </c>
      <c r="G388" s="71" t="s">
        <v>216</v>
      </c>
      <c r="H388" s="172"/>
      <c r="I388" s="172"/>
      <c r="J388" s="76" t="s">
        <v>456</v>
      </c>
      <c r="K388" s="332"/>
      <c r="L388" s="526">
        <v>300</v>
      </c>
      <c r="M388" s="163">
        <f>M387+K388-L388</f>
        <v>110511.41572000034</v>
      </c>
    </row>
    <row r="389" spans="1:13">
      <c r="A389" s="54" t="str">
        <f>D389&amp;E389&amp;F389</f>
        <v>CAPUBERCAP</v>
      </c>
      <c r="B389" t="s">
        <v>212</v>
      </c>
      <c r="C389" s="1">
        <v>45715</v>
      </c>
      <c r="D389" t="s">
        <v>31</v>
      </c>
      <c r="E389" s="71" t="s">
        <v>189</v>
      </c>
      <c r="F389" s="143" t="s">
        <v>31</v>
      </c>
      <c r="G389" s="71" t="s">
        <v>258</v>
      </c>
      <c r="H389" s="172"/>
      <c r="I389" s="172"/>
      <c r="J389" s="76" t="s">
        <v>279</v>
      </c>
      <c r="K389" s="322"/>
      <c r="L389" s="525">
        <v>350</v>
      </c>
      <c r="M389" s="163">
        <f>M388+K389-L389</f>
        <v>110161.41572000034</v>
      </c>
    </row>
    <row r="390" spans="1:13">
      <c r="A390" s="54" t="str">
        <f>D390&amp;E390&amp;F390</f>
        <v>CAPUBERCAP</v>
      </c>
      <c r="B390" t="s">
        <v>212</v>
      </c>
      <c r="C390" s="1">
        <v>45716</v>
      </c>
      <c r="D390" s="71" t="s">
        <v>31</v>
      </c>
      <c r="E390" s="71" t="s">
        <v>189</v>
      </c>
      <c r="F390" s="143" t="s">
        <v>31</v>
      </c>
      <c r="G390" s="71" t="s">
        <v>258</v>
      </c>
      <c r="H390" s="172"/>
      <c r="I390" s="172"/>
      <c r="J390" s="76" t="s">
        <v>280</v>
      </c>
      <c r="K390" s="322"/>
      <c r="L390" s="525">
        <v>90</v>
      </c>
      <c r="M390" s="163">
        <f>M389+K390-L390</f>
        <v>110071.41572000034</v>
      </c>
    </row>
    <row r="391" spans="1:13">
      <c r="A391" s="54" t="str">
        <f>D391&amp;E391&amp;F391</f>
        <v>ELIUBERL1</v>
      </c>
      <c r="B391" t="s">
        <v>212</v>
      </c>
      <c r="C391" s="1">
        <v>45716</v>
      </c>
      <c r="D391" s="71" t="s">
        <v>130</v>
      </c>
      <c r="E391" s="71" t="s">
        <v>189</v>
      </c>
      <c r="F391" s="143" t="s">
        <v>136</v>
      </c>
      <c r="G391" s="71" t="s">
        <v>258</v>
      </c>
      <c r="H391" s="172"/>
      <c r="I391" s="172"/>
      <c r="J391" s="76" t="s">
        <v>496</v>
      </c>
      <c r="K391" s="322"/>
      <c r="L391" s="525">
        <v>200</v>
      </c>
      <c r="M391" s="163">
        <f>M390+K391-L391</f>
        <v>109871.41572000034</v>
      </c>
    </row>
    <row r="392" spans="1:13">
      <c r="A392" s="54" t="str">
        <f t="shared" ref="A391:A454" si="6">D392&amp;E392&amp;F392</f>
        <v/>
      </c>
      <c r="B392" t="s">
        <v>212</v>
      </c>
      <c r="C392" s="1">
        <v>45716</v>
      </c>
      <c r="D392" s="71"/>
      <c r="F392" s="143"/>
      <c r="H392" s="172"/>
      <c r="I392" s="172"/>
      <c r="J392" s="71" t="s">
        <v>260</v>
      </c>
      <c r="K392" s="321">
        <v>144469.03</v>
      </c>
      <c r="L392" s="180"/>
      <c r="M392" s="163">
        <f>M391+K392-L392</f>
        <v>254340.44572000034</v>
      </c>
    </row>
    <row r="393" spans="1:13" ht="12.75" customHeight="1">
      <c r="A393" s="54" t="str">
        <f>D393&amp;E393&amp;F393</f>
        <v>FINANZASCOMISIONES BANCARIASTPV</v>
      </c>
      <c r="B393" t="s">
        <v>212</v>
      </c>
      <c r="C393" s="1">
        <v>45716</v>
      </c>
      <c r="D393" s="71" t="s">
        <v>23</v>
      </c>
      <c r="E393" s="71" t="s">
        <v>48</v>
      </c>
      <c r="F393" s="143" t="s">
        <v>50</v>
      </c>
      <c r="G393" s="71" t="s">
        <v>216</v>
      </c>
      <c r="H393" s="172"/>
      <c r="I393" s="172"/>
      <c r="J393" s="71" t="s">
        <v>217</v>
      </c>
      <c r="K393" s="321"/>
      <c r="L393" s="337">
        <f>75.01+54.07+137.97+1280.21+5.8+1138.33</f>
        <v>2691.39</v>
      </c>
      <c r="M393" s="163">
        <f>M392+K393-L393</f>
        <v>251649.05572000032</v>
      </c>
    </row>
    <row r="394" spans="1:13">
      <c r="A394" s="54" t="str">
        <f>D394&amp;E394&amp;F394</f>
        <v>FINANZASCOMISIONES BANCARIASMANEJO DE CUENTA</v>
      </c>
      <c r="B394" t="s">
        <v>212</v>
      </c>
      <c r="C394" s="1">
        <v>45717</v>
      </c>
      <c r="D394" s="71" t="s">
        <v>23</v>
      </c>
      <c r="E394" s="71" t="s">
        <v>48</v>
      </c>
      <c r="F394" s="143" t="s">
        <v>49</v>
      </c>
      <c r="G394" s="71" t="s">
        <v>216</v>
      </c>
      <c r="H394" s="172"/>
      <c r="I394" s="172"/>
      <c r="J394" s="71" t="s">
        <v>497</v>
      </c>
      <c r="K394" s="321"/>
      <c r="L394" s="326">
        <f>464+6496+15.08</f>
        <v>6975.08</v>
      </c>
      <c r="M394" s="163">
        <f>M393+K394-L394</f>
        <v>244673.97572000034</v>
      </c>
    </row>
    <row r="395" spans="1:13">
      <c r="A395" s="54" t="str">
        <f t="shared" si="6"/>
        <v/>
      </c>
      <c r="B395" t="s">
        <v>212</v>
      </c>
      <c r="C395" s="1">
        <v>45716</v>
      </c>
      <c r="D395" s="71"/>
      <c r="H395" s="172"/>
      <c r="I395" s="172"/>
      <c r="J395" s="205" t="s">
        <v>220</v>
      </c>
      <c r="K395" s="206"/>
      <c r="L395" s="206"/>
      <c r="M395" s="163">
        <f>M394+K395-L395</f>
        <v>244673.97572000034</v>
      </c>
    </row>
    <row r="396" spans="1:13">
      <c r="A396" s="54" t="str">
        <f t="shared" si="6"/>
        <v/>
      </c>
      <c r="B396" t="s">
        <v>212</v>
      </c>
      <c r="C396" s="1">
        <v>45716</v>
      </c>
      <c r="D396" s="71"/>
      <c r="F396" s="143"/>
      <c r="H396" s="172"/>
      <c r="I396" s="172"/>
      <c r="J396" s="205" t="s">
        <v>222</v>
      </c>
      <c r="K396" s="206"/>
      <c r="L396" s="206">
        <v>155000</v>
      </c>
      <c r="M396" s="163">
        <f>M395+K396-L396</f>
        <v>89673.975720000337</v>
      </c>
    </row>
    <row r="397" spans="1:13">
      <c r="A397" s="54" t="str">
        <f>D397&amp;E397&amp;F397</f>
        <v>FINANZASVIATICOSFINANZAS</v>
      </c>
      <c r="B397" t="s">
        <v>212</v>
      </c>
      <c r="C397" s="1">
        <v>45716</v>
      </c>
      <c r="D397" s="71" t="s">
        <v>23</v>
      </c>
      <c r="E397" s="71" t="s">
        <v>191</v>
      </c>
      <c r="F397" s="143" t="s">
        <v>23</v>
      </c>
      <c r="G397" s="71" t="s">
        <v>216</v>
      </c>
      <c r="H397" s="172"/>
      <c r="I397" s="172"/>
      <c r="J397" s="71" t="s">
        <v>498</v>
      </c>
      <c r="K397" s="338"/>
      <c r="L397" s="326">
        <v>700</v>
      </c>
      <c r="M397" s="163">
        <f>M396+K397-L397</f>
        <v>88973.975720000337</v>
      </c>
    </row>
    <row r="398" spans="1:13">
      <c r="A398" s="54" t="str">
        <f>D398&amp;E398&amp;F398</f>
        <v>CAPJMASE4</v>
      </c>
      <c r="B398" t="s">
        <v>212</v>
      </c>
      <c r="C398" s="1">
        <v>45716</v>
      </c>
      <c r="D398" s="71" t="s">
        <v>31</v>
      </c>
      <c r="E398" s="71" t="s">
        <v>137</v>
      </c>
      <c r="F398" s="143" t="s">
        <v>110</v>
      </c>
      <c r="G398" s="71" t="s">
        <v>216</v>
      </c>
      <c r="H398" s="172"/>
      <c r="I398" s="172"/>
      <c r="J398" s="71" t="s">
        <v>499</v>
      </c>
      <c r="K398" s="338"/>
      <c r="L398" s="326">
        <v>176.53</v>
      </c>
      <c r="M398" s="163">
        <f>M397+K398-L398</f>
        <v>88797.445720000338</v>
      </c>
    </row>
    <row r="399" spans="1:13">
      <c r="A399" s="54" t="str">
        <f>D399&amp;E399&amp;F399</f>
        <v>CAPENERGIA ELECTRICAE2</v>
      </c>
      <c r="B399" t="s">
        <v>212</v>
      </c>
      <c r="C399" s="1">
        <v>45716</v>
      </c>
      <c r="D399" s="71" t="s">
        <v>31</v>
      </c>
      <c r="E399" s="71" t="s">
        <v>87</v>
      </c>
      <c r="F399" s="143" t="s">
        <v>108</v>
      </c>
      <c r="G399" s="71" t="s">
        <v>216</v>
      </c>
      <c r="H399" s="172"/>
      <c r="I399" s="172"/>
      <c r="J399" s="71" t="s">
        <v>500</v>
      </c>
      <c r="K399" s="338"/>
      <c r="L399" s="326">
        <v>4831.74</v>
      </c>
      <c r="M399" s="163">
        <f>M398+K399-L399</f>
        <v>83965.705720000333</v>
      </c>
    </row>
    <row r="400" spans="1:13">
      <c r="A400" s="54" t="str">
        <f>D400&amp;E400&amp;F400</f>
        <v>CAPJMASE8</v>
      </c>
      <c r="B400" t="s">
        <v>212</v>
      </c>
      <c r="C400" s="1">
        <v>45716</v>
      </c>
      <c r="D400" s="71" t="s">
        <v>31</v>
      </c>
      <c r="E400" s="71" t="s">
        <v>137</v>
      </c>
      <c r="F400" s="143" t="s">
        <v>114</v>
      </c>
      <c r="G400" s="71" t="s">
        <v>216</v>
      </c>
      <c r="H400" s="172"/>
      <c r="I400" s="172"/>
      <c r="J400" s="71" t="s">
        <v>501</v>
      </c>
      <c r="K400" s="338"/>
      <c r="L400" s="326">
        <v>176.53</v>
      </c>
      <c r="M400" s="163">
        <f>M399+K400-L400</f>
        <v>83789.175720000334</v>
      </c>
    </row>
    <row r="401" spans="1:15">
      <c r="A401" s="54" t="str">
        <f>D401&amp;E401&amp;F401</f>
        <v>SERVICIOSALARMASUCURSALES HR</v>
      </c>
      <c r="B401" t="s">
        <v>212</v>
      </c>
      <c r="C401" s="1">
        <v>45716</v>
      </c>
      <c r="D401" s="71" t="s">
        <v>21</v>
      </c>
      <c r="E401" s="71" t="s">
        <v>25</v>
      </c>
      <c r="F401" s="143" t="s">
        <v>26</v>
      </c>
      <c r="G401" s="71" t="s">
        <v>216</v>
      </c>
      <c r="H401" s="172"/>
      <c r="I401" s="172"/>
      <c r="J401" s="71" t="s">
        <v>502</v>
      </c>
      <c r="K401" s="338"/>
      <c r="L401" s="323">
        <v>2850</v>
      </c>
      <c r="M401" s="163">
        <f>M400+K401-L401</f>
        <v>80939.175720000334</v>
      </c>
    </row>
    <row r="402" spans="1:15">
      <c r="A402" s="54" t="str">
        <f>D402&amp;E402&amp;F402</f>
        <v>SERVICIOSINSUMOSCADENA DE SUMINISTROS</v>
      </c>
      <c r="B402" t="s">
        <v>212</v>
      </c>
      <c r="C402" s="1">
        <v>45716</v>
      </c>
      <c r="D402" s="71" t="s">
        <v>21</v>
      </c>
      <c r="E402" s="71" t="s">
        <v>133</v>
      </c>
      <c r="F402" s="143" t="s">
        <v>134</v>
      </c>
      <c r="G402" s="71" t="s">
        <v>216</v>
      </c>
      <c r="H402" s="172"/>
      <c r="I402" s="172"/>
      <c r="J402" s="71" t="s">
        <v>503</v>
      </c>
      <c r="K402" s="321"/>
      <c r="L402" s="326">
        <v>1886</v>
      </c>
      <c r="M402" s="163">
        <f>M401+K402-L402</f>
        <v>79053.175720000334</v>
      </c>
    </row>
    <row r="403" spans="1:15">
      <c r="A403" s="54" t="str">
        <f>D403&amp;E403&amp;F403</f>
        <v>FINANZASTELEFONIATELEFONIA</v>
      </c>
      <c r="B403" t="s">
        <v>212</v>
      </c>
      <c r="C403" s="1">
        <v>45716</v>
      </c>
      <c r="D403" s="71" t="s">
        <v>23</v>
      </c>
      <c r="E403" s="71" t="s">
        <v>181</v>
      </c>
      <c r="F403" s="143" t="s">
        <v>181</v>
      </c>
      <c r="G403" s="71" t="s">
        <v>216</v>
      </c>
      <c r="H403" s="172"/>
      <c r="I403" s="172"/>
      <c r="J403" s="71" t="s">
        <v>504</v>
      </c>
      <c r="K403" s="338"/>
      <c r="L403" s="323">
        <v>23002</v>
      </c>
      <c r="M403" s="163">
        <f>M402+K403-L403</f>
        <v>56051.175720000334</v>
      </c>
    </row>
    <row r="404" spans="1:15">
      <c r="A404" s="54" t="str">
        <f>D404&amp;E404&amp;F404</f>
        <v>SERVICIOSINSUMOSCADENA DE SUMINISTROS</v>
      </c>
      <c r="B404" t="s">
        <v>212</v>
      </c>
      <c r="C404" s="1">
        <v>45716</v>
      </c>
      <c r="D404" s="71" t="s">
        <v>21</v>
      </c>
      <c r="E404" s="71" t="s">
        <v>133</v>
      </c>
      <c r="F404" s="143" t="s">
        <v>134</v>
      </c>
      <c r="G404" s="71" t="s">
        <v>216</v>
      </c>
      <c r="H404" s="172"/>
      <c r="I404" s="172"/>
      <c r="J404" s="71" t="s">
        <v>505</v>
      </c>
      <c r="K404" s="338"/>
      <c r="L404" s="323">
        <v>1931</v>
      </c>
      <c r="M404" s="163">
        <f>M403+K404-L404</f>
        <v>54120.175720000334</v>
      </c>
    </row>
    <row r="405" spans="1:15">
      <c r="A405" s="54" t="str">
        <f>D405&amp;E405&amp;F405</f>
        <v>SERVICIOSALARMACEDIS</v>
      </c>
      <c r="B405" t="s">
        <v>212</v>
      </c>
      <c r="C405" s="1">
        <v>45716</v>
      </c>
      <c r="D405" s="71" t="s">
        <v>21</v>
      </c>
      <c r="E405" s="71" t="s">
        <v>25</v>
      </c>
      <c r="F405" s="143" t="s">
        <v>28</v>
      </c>
      <c r="G405" s="71" t="s">
        <v>216</v>
      </c>
      <c r="H405" s="172"/>
      <c r="I405" s="172"/>
      <c r="J405" s="71" t="s">
        <v>506</v>
      </c>
      <c r="K405" s="321"/>
      <c r="L405" s="326">
        <v>560</v>
      </c>
      <c r="M405" s="163">
        <f>M404+K405-L405</f>
        <v>53560.175720000334</v>
      </c>
    </row>
    <row r="406" spans="1:15">
      <c r="A406" s="54" t="str">
        <f>D406&amp;E406&amp;F406</f>
        <v>SERVICIOSALARMASUCURSALES CAPRICHOS</v>
      </c>
      <c r="B406" t="s">
        <v>212</v>
      </c>
      <c r="C406" s="1">
        <v>45716</v>
      </c>
      <c r="D406" s="71" t="s">
        <v>21</v>
      </c>
      <c r="E406" s="71" t="s">
        <v>25</v>
      </c>
      <c r="F406" s="143" t="s">
        <v>27</v>
      </c>
      <c r="G406" s="71" t="s">
        <v>216</v>
      </c>
      <c r="H406" s="172"/>
      <c r="I406" s="172"/>
      <c r="J406" s="71" t="s">
        <v>507</v>
      </c>
      <c r="K406" s="328"/>
      <c r="L406" s="326">
        <v>840</v>
      </c>
      <c r="M406" s="163">
        <f>M405+K406-L406</f>
        <v>52720.175720000334</v>
      </c>
    </row>
    <row r="407" spans="1:15">
      <c r="A407" s="54" t="str">
        <f>D407&amp;E407&amp;F407</f>
        <v>FINANZASFONDO Y REPOSICIONFINANZAS</v>
      </c>
      <c r="B407" t="s">
        <v>212</v>
      </c>
      <c r="C407" s="1">
        <v>45716</v>
      </c>
      <c r="D407" s="71" t="s">
        <v>23</v>
      </c>
      <c r="E407" s="71" t="s">
        <v>120</v>
      </c>
      <c r="F407" s="143" t="s">
        <v>23</v>
      </c>
      <c r="G407" s="71" t="s">
        <v>258</v>
      </c>
      <c r="H407" s="172"/>
      <c r="I407" s="172"/>
      <c r="J407" s="71" t="s">
        <v>508</v>
      </c>
      <c r="K407" s="328"/>
      <c r="L407" s="326">
        <v>287</v>
      </c>
      <c r="M407" s="163">
        <f>M406+K407-L407</f>
        <v>52433.175720000334</v>
      </c>
    </row>
    <row r="408" spans="1:15">
      <c r="A408" s="54" t="str">
        <f>D408&amp;E408&amp;F408</f>
        <v>FINANZASCUOTAS Y SUSCRIPCIONESREVALIDACION</v>
      </c>
      <c r="B408" t="s">
        <v>212</v>
      </c>
      <c r="C408" s="1">
        <v>45716</v>
      </c>
      <c r="D408" s="71" t="s">
        <v>23</v>
      </c>
      <c r="E408" s="178" t="s">
        <v>51</v>
      </c>
      <c r="F408" s="143" t="s">
        <v>64</v>
      </c>
      <c r="G408" s="71" t="s">
        <v>258</v>
      </c>
      <c r="H408" s="172"/>
      <c r="I408" s="172"/>
      <c r="J408" s="71" t="s">
        <v>509</v>
      </c>
      <c r="K408" s="321"/>
      <c r="L408" s="326">
        <v>6372</v>
      </c>
      <c r="M408" s="163">
        <f>M407+K408-L408</f>
        <v>46061.175720000334</v>
      </c>
    </row>
    <row r="409" spans="1:15">
      <c r="A409" s="54" t="str">
        <f t="shared" si="6"/>
        <v/>
      </c>
      <c r="B409" t="s">
        <v>212</v>
      </c>
      <c r="C409" s="1">
        <v>45716</v>
      </c>
      <c r="D409" s="71"/>
      <c r="F409" s="143"/>
      <c r="H409" s="83" t="s">
        <v>32</v>
      </c>
      <c r="I409" s="172"/>
      <c r="J409" s="71" t="s">
        <v>440</v>
      </c>
      <c r="K409" s="321"/>
      <c r="L409" s="326">
        <v>33670.400000000001</v>
      </c>
      <c r="M409" s="163">
        <f>M408+K409-L409</f>
        <v>12390.775720000333</v>
      </c>
      <c r="O409" s="173"/>
    </row>
    <row r="410" spans="1:15">
      <c r="A410" s="54" t="str">
        <f>D410&amp;E410&amp;F410</f>
        <v>HRUBERHR</v>
      </c>
      <c r="B410" t="s">
        <v>212</v>
      </c>
      <c r="C410" s="1">
        <v>45716</v>
      </c>
      <c r="D410" s="71" t="s">
        <v>29</v>
      </c>
      <c r="E410" s="71" t="s">
        <v>189</v>
      </c>
      <c r="F410" s="143" t="s">
        <v>29</v>
      </c>
      <c r="G410" s="71" t="s">
        <v>216</v>
      </c>
      <c r="H410" s="172"/>
      <c r="I410" s="172"/>
      <c r="J410" s="76" t="s">
        <v>403</v>
      </c>
      <c r="K410" s="332"/>
      <c r="L410" s="526">
        <v>85</v>
      </c>
      <c r="M410" s="163">
        <f>M409+K410-L410</f>
        <v>12305.775720000333</v>
      </c>
      <c r="O410" s="175"/>
    </row>
    <row r="411" spans="1:15">
      <c r="A411" s="54" t="str">
        <f>D411&amp;E411&amp;F411</f>
        <v>CAPUBERCAP</v>
      </c>
      <c r="B411" t="s">
        <v>212</v>
      </c>
      <c r="C411" s="1">
        <v>45716</v>
      </c>
      <c r="D411" s="71" t="s">
        <v>31</v>
      </c>
      <c r="E411" s="71" t="s">
        <v>189</v>
      </c>
      <c r="F411" s="143" t="s">
        <v>31</v>
      </c>
      <c r="G411" s="71" t="s">
        <v>258</v>
      </c>
      <c r="H411" s="172"/>
      <c r="I411" s="172"/>
      <c r="J411" s="76" t="s">
        <v>253</v>
      </c>
      <c r="K411" s="328"/>
      <c r="L411" s="526">
        <v>380</v>
      </c>
      <c r="M411" s="163">
        <f>M410+K411-L411</f>
        <v>11925.775720000333</v>
      </c>
    </row>
    <row r="412" spans="1:15">
      <c r="A412" s="54" t="str">
        <f>D412&amp;E412&amp;F412</f>
        <v>CAPUBERCAP</v>
      </c>
      <c r="B412" t="s">
        <v>212</v>
      </c>
      <c r="C412" s="1">
        <v>45716</v>
      </c>
      <c r="D412" s="71" t="s">
        <v>31</v>
      </c>
      <c r="E412" s="71" t="s">
        <v>189</v>
      </c>
      <c r="F412" s="143" t="s">
        <v>31</v>
      </c>
      <c r="G412" s="71" t="s">
        <v>258</v>
      </c>
      <c r="H412" s="172"/>
      <c r="I412" s="172"/>
      <c r="J412" s="76" t="s">
        <v>257</v>
      </c>
      <c r="K412" s="332"/>
      <c r="L412" s="526">
        <v>90</v>
      </c>
      <c r="M412" s="163">
        <f>M411+K412-L412</f>
        <v>11835.775720000333</v>
      </c>
      <c r="O412" s="5"/>
    </row>
    <row r="413" spans="1:15">
      <c r="A413" s="54" t="str">
        <f>D413&amp;E413&amp;F413</f>
        <v>FINANZASFALTANTESFALTANTES</v>
      </c>
      <c r="B413" t="s">
        <v>212</v>
      </c>
      <c r="C413" s="1">
        <v>45716</v>
      </c>
      <c r="D413" s="71" t="s">
        <v>23</v>
      </c>
      <c r="E413" s="71" t="s">
        <v>119</v>
      </c>
      <c r="F413" s="143" t="s">
        <v>119</v>
      </c>
      <c r="G413" s="71" t="s">
        <v>258</v>
      </c>
      <c r="H413" s="172"/>
      <c r="I413" s="172"/>
      <c r="J413" s="76" t="s">
        <v>392</v>
      </c>
      <c r="K413" s="332"/>
      <c r="L413" s="326">
        <v>4517.12</v>
      </c>
      <c r="M413" s="163">
        <f>M412+K413-L413</f>
        <v>7318.6557200003326</v>
      </c>
      <c r="O413" s="5"/>
    </row>
    <row r="414" spans="1:15">
      <c r="A414" s="54" t="str">
        <f>D414&amp;E414&amp;F414</f>
        <v>SERVICIOSVIATICOSCEDIS</v>
      </c>
      <c r="B414" t="s">
        <v>212</v>
      </c>
      <c r="C414" s="1">
        <v>45717</v>
      </c>
      <c r="D414" s="71" t="s">
        <v>21</v>
      </c>
      <c r="E414" s="71" t="s">
        <v>191</v>
      </c>
      <c r="F414" s="143" t="s">
        <v>28</v>
      </c>
      <c r="G414" s="71" t="s">
        <v>216</v>
      </c>
      <c r="H414" s="172"/>
      <c r="I414" s="172"/>
      <c r="J414" s="71" t="s">
        <v>510</v>
      </c>
      <c r="K414" s="332"/>
      <c r="L414" s="326">
        <v>2650</v>
      </c>
      <c r="M414" s="163">
        <f>M413+K414-L414</f>
        <v>4668.6557200003326</v>
      </c>
    </row>
    <row r="415" spans="1:15">
      <c r="A415" s="54" t="str">
        <f>D415&amp;E415&amp;F415</f>
        <v>FINANZASFONDO Y REPOSICIONFINANZAS</v>
      </c>
      <c r="B415" t="s">
        <v>212</v>
      </c>
      <c r="C415" s="1">
        <v>45717</v>
      </c>
      <c r="D415" s="71" t="s">
        <v>23</v>
      </c>
      <c r="E415" s="71" t="s">
        <v>120</v>
      </c>
      <c r="F415" s="143" t="s">
        <v>23</v>
      </c>
      <c r="G415" s="71" t="s">
        <v>216</v>
      </c>
      <c r="H415" s="172"/>
      <c r="I415" s="172"/>
      <c r="J415" s="71" t="s">
        <v>511</v>
      </c>
      <c r="K415" s="322"/>
      <c r="L415" s="323">
        <v>300</v>
      </c>
      <c r="M415" s="163">
        <f>M414+K415-L415</f>
        <v>4368.6557200003326</v>
      </c>
    </row>
    <row r="416" spans="1:15">
      <c r="A416" s="54" t="str">
        <f>D416&amp;E416&amp;F416</f>
        <v>SERVICIOSMTTO EQ DE TRANSPORTECEDIS</v>
      </c>
      <c r="B416" t="s">
        <v>212</v>
      </c>
      <c r="C416" s="1">
        <v>45717</v>
      </c>
      <c r="D416" s="71" t="s">
        <v>21</v>
      </c>
      <c r="E416" s="71" t="s">
        <v>144</v>
      </c>
      <c r="F416" s="143" t="s">
        <v>28</v>
      </c>
      <c r="G416" s="71" t="s">
        <v>258</v>
      </c>
      <c r="H416" s="172"/>
      <c r="I416" s="172"/>
      <c r="J416" s="71" t="s">
        <v>512</v>
      </c>
      <c r="K416" s="322"/>
      <c r="L416" s="417">
        <v>3200</v>
      </c>
      <c r="M416" s="163">
        <f>M415+K416-L416</f>
        <v>1168.6557200003326</v>
      </c>
    </row>
    <row r="417" spans="1:15">
      <c r="A417" s="54" t="str">
        <f>D417&amp;E417&amp;F417</f>
        <v>SERVICIOSINSUMOSCADENA DE SUMINISTROS</v>
      </c>
      <c r="B417" t="s">
        <v>212</v>
      </c>
      <c r="C417" s="1">
        <v>45717</v>
      </c>
      <c r="D417" s="71" t="s">
        <v>21</v>
      </c>
      <c r="E417" s="71" t="s">
        <v>133</v>
      </c>
      <c r="F417" s="143" t="s">
        <v>134</v>
      </c>
      <c r="G417" s="71" t="s">
        <v>258</v>
      </c>
      <c r="H417" s="172"/>
      <c r="I417" s="172"/>
      <c r="J417" s="176" t="s">
        <v>513</v>
      </c>
      <c r="K417" s="339"/>
      <c r="L417" s="334">
        <v>1000</v>
      </c>
      <c r="M417" s="163">
        <f>M416+K417-L417</f>
        <v>168.65572000033262</v>
      </c>
    </row>
    <row r="418" spans="1:15">
      <c r="A418" s="54" t="str">
        <f t="shared" si="6"/>
        <v/>
      </c>
      <c r="B418" t="s">
        <v>212</v>
      </c>
      <c r="C418" s="1">
        <v>45719</v>
      </c>
      <c r="D418" s="71"/>
      <c r="F418" s="143"/>
      <c r="H418" s="172"/>
      <c r="I418" s="172"/>
      <c r="J418" s="71" t="s">
        <v>514</v>
      </c>
      <c r="K418" s="339">
        <v>541250.6</v>
      </c>
      <c r="L418" s="338"/>
      <c r="M418" s="163">
        <f>M417+K418-L418</f>
        <v>541419.25572000036</v>
      </c>
    </row>
    <row r="419" spans="1:15">
      <c r="A419" s="54" t="str">
        <f t="shared" si="6"/>
        <v/>
      </c>
      <c r="B419" s="222" t="s">
        <v>515</v>
      </c>
      <c r="C419" s="1">
        <v>45719</v>
      </c>
      <c r="D419" s="71"/>
      <c r="F419" s="143"/>
      <c r="H419" s="172"/>
      <c r="I419" s="172"/>
      <c r="J419" s="71" t="s">
        <v>516</v>
      </c>
      <c r="K419" s="340">
        <v>199499.38</v>
      </c>
      <c r="L419" s="338"/>
      <c r="M419" s="163">
        <f>M418+K419-L419</f>
        <v>740918.63572000037</v>
      </c>
      <c r="N419" s="180">
        <f>M419-K419</f>
        <v>541419.25572000036</v>
      </c>
      <c r="O419" s="5">
        <f>M419-K419</f>
        <v>541419.25572000036</v>
      </c>
    </row>
    <row r="420" spans="1:15">
      <c r="A420" s="54" t="str">
        <f>D420&amp;E420&amp;F420</f>
        <v>FINANZASCOMISIONES BANCARIASTPV</v>
      </c>
      <c r="B420" t="s">
        <v>515</v>
      </c>
      <c r="C420" s="1">
        <v>45719</v>
      </c>
      <c r="D420" s="71" t="s">
        <v>23</v>
      </c>
      <c r="E420" s="71" t="s">
        <v>48</v>
      </c>
      <c r="F420" s="143" t="s">
        <v>50</v>
      </c>
      <c r="G420" s="71" t="s">
        <v>216</v>
      </c>
      <c r="H420" s="172"/>
      <c r="I420" s="172"/>
      <c r="J420" s="71" t="s">
        <v>517</v>
      </c>
      <c r="K420" s="332"/>
      <c r="L420" s="341">
        <f>181.09+1768.6+5480.4+6690.28</f>
        <v>14120.369999999999</v>
      </c>
      <c r="M420" s="163">
        <f>M419+K420-L420</f>
        <v>726798.26572000037</v>
      </c>
    </row>
    <row r="421" spans="1:15">
      <c r="A421" s="54" t="str">
        <f>D421&amp;E421&amp;F421</f>
        <v>FINANZASCOMISIONES BANCARIASMANEJO DE CUENTA</v>
      </c>
      <c r="B421" t="s">
        <v>515</v>
      </c>
      <c r="C421" s="1">
        <v>45719</v>
      </c>
      <c r="D421" s="71" t="s">
        <v>23</v>
      </c>
      <c r="E421" s="71" t="s">
        <v>48</v>
      </c>
      <c r="F421" s="143" t="s">
        <v>49</v>
      </c>
      <c r="G421" s="71" t="s">
        <v>216</v>
      </c>
      <c r="H421" s="172"/>
      <c r="I421" s="172"/>
      <c r="J421" s="71" t="s">
        <v>518</v>
      </c>
      <c r="K421" s="332"/>
      <c r="L421" s="326">
        <f>1044+41.76+464+145</f>
        <v>1694.76</v>
      </c>
      <c r="M421" s="163">
        <f>M420+K421-L421</f>
        <v>725103.50572000036</v>
      </c>
    </row>
    <row r="422" spans="1:15">
      <c r="A422" s="54" t="str">
        <f t="shared" si="6"/>
        <v/>
      </c>
      <c r="B422" t="s">
        <v>515</v>
      </c>
      <c r="C422" s="1">
        <v>45719</v>
      </c>
      <c r="D422" s="71"/>
      <c r="F422" s="143"/>
      <c r="H422" s="172"/>
      <c r="I422" s="172"/>
      <c r="J422" s="205" t="s">
        <v>220</v>
      </c>
      <c r="K422" s="206"/>
      <c r="L422" s="206">
        <v>500000</v>
      </c>
      <c r="M422" s="163">
        <f>M421+K422-L422</f>
        <v>225103.50572000036</v>
      </c>
    </row>
    <row r="423" spans="1:15">
      <c r="A423" s="54" t="str">
        <f>D423&amp;E423&amp;F423</f>
        <v>FINANZASTELEFONIATOTAL PLAY (CONTA)</v>
      </c>
      <c r="B423" t="s">
        <v>515</v>
      </c>
      <c r="C423" s="1">
        <v>45719</v>
      </c>
      <c r="D423" s="71" t="s">
        <v>23</v>
      </c>
      <c r="E423" s="71" t="s">
        <v>181</v>
      </c>
      <c r="F423" s="143" t="s">
        <v>185</v>
      </c>
      <c r="G423" s="71" t="s">
        <v>216</v>
      </c>
      <c r="H423" s="172"/>
      <c r="I423" s="172"/>
      <c r="J423" s="71" t="s">
        <v>519</v>
      </c>
      <c r="K423" s="332"/>
      <c r="L423" s="326">
        <v>602</v>
      </c>
      <c r="M423" s="163">
        <f>M422+K423-L423</f>
        <v>224501.50572000036</v>
      </c>
    </row>
    <row r="424" spans="1:15" ht="12.75" customHeight="1">
      <c r="A424" s="54" t="str">
        <f>D424&amp;E424&amp;F424</f>
        <v>CAPIMAGEN VISUALIMAGEN VISUAL CAP</v>
      </c>
      <c r="B424" t="s">
        <v>515</v>
      </c>
      <c r="C424" s="1">
        <v>45719</v>
      </c>
      <c r="D424" s="71" t="s">
        <v>31</v>
      </c>
      <c r="E424" s="71" t="s">
        <v>127</v>
      </c>
      <c r="F424" s="143" t="s">
        <v>129</v>
      </c>
      <c r="G424" s="71" t="s">
        <v>216</v>
      </c>
      <c r="H424" s="172"/>
      <c r="I424" s="172"/>
      <c r="J424" s="71" t="s">
        <v>520</v>
      </c>
      <c r="K424" s="332"/>
      <c r="L424" s="326">
        <v>8520.2000000000007</v>
      </c>
      <c r="M424" s="163">
        <f>M423+K424-L424</f>
        <v>215981.30572000035</v>
      </c>
    </row>
    <row r="425" spans="1:15">
      <c r="A425" s="54" t="str">
        <f>D425&amp;E425&amp;F425</f>
        <v>SERVICIOSPAQUETERIACEDIS (E6)</v>
      </c>
      <c r="B425" t="s">
        <v>515</v>
      </c>
      <c r="C425" s="1">
        <v>45719</v>
      </c>
      <c r="D425" s="71" t="s">
        <v>21</v>
      </c>
      <c r="E425" s="71" t="s">
        <v>160</v>
      </c>
      <c r="F425" s="143" t="s">
        <v>161</v>
      </c>
      <c r="G425" s="71" t="s">
        <v>216</v>
      </c>
      <c r="H425" s="172"/>
      <c r="I425" s="172"/>
      <c r="J425" s="71" t="s">
        <v>521</v>
      </c>
      <c r="K425" s="332"/>
      <c r="L425" s="326">
        <v>2365.7600000000002</v>
      </c>
      <c r="M425" s="163">
        <f>M424+K425-L425</f>
        <v>213615.54572000034</v>
      </c>
    </row>
    <row r="426" spans="1:15">
      <c r="A426" s="54" t="str">
        <f>D426&amp;E426&amp;F426</f>
        <v>HRIMAGEN VISUALIMAGEN VISUAL HR</v>
      </c>
      <c r="B426" t="s">
        <v>515</v>
      </c>
      <c r="C426" s="1">
        <v>45719</v>
      </c>
      <c r="D426" s="71" t="s">
        <v>29</v>
      </c>
      <c r="E426" s="71" t="s">
        <v>127</v>
      </c>
      <c r="F426" s="143" t="s">
        <v>128</v>
      </c>
      <c r="G426" s="71" t="s">
        <v>216</v>
      </c>
      <c r="H426" s="172"/>
      <c r="I426" s="172"/>
      <c r="J426" s="71" t="s">
        <v>522</v>
      </c>
      <c r="K426" s="332"/>
      <c r="L426" s="326">
        <v>4712.2</v>
      </c>
      <c r="M426" s="163">
        <f>M425+K426-L426</f>
        <v>208903.34572000033</v>
      </c>
    </row>
    <row r="427" spans="1:15">
      <c r="A427" s="54" t="str">
        <f>D427&amp;E427&amp;F427</f>
        <v>SERVICIOSFONDO Y REPOSICIONSERVICIOS</v>
      </c>
      <c r="B427" t="s">
        <v>515</v>
      </c>
      <c r="C427" s="1">
        <v>45719</v>
      </c>
      <c r="D427" s="71" t="s">
        <v>21</v>
      </c>
      <c r="E427" s="71" t="s">
        <v>120</v>
      </c>
      <c r="F427" s="143" t="s">
        <v>21</v>
      </c>
      <c r="G427" s="71" t="s">
        <v>216</v>
      </c>
      <c r="H427" s="172"/>
      <c r="I427" s="172"/>
      <c r="J427" s="71" t="s">
        <v>523</v>
      </c>
      <c r="K427" s="321"/>
      <c r="L427" s="326">
        <v>150</v>
      </c>
      <c r="M427" s="163">
        <f>M426+K427-L427</f>
        <v>208753.34572000033</v>
      </c>
    </row>
    <row r="428" spans="1:15">
      <c r="A428" s="54" t="str">
        <f>D428&amp;E428&amp;F428</f>
        <v>HRENERGIA ELECTRICAA11</v>
      </c>
      <c r="B428" t="s">
        <v>515</v>
      </c>
      <c r="C428" s="1">
        <v>45719</v>
      </c>
      <c r="D428" s="71" t="s">
        <v>29</v>
      </c>
      <c r="E428" s="71" t="s">
        <v>87</v>
      </c>
      <c r="F428" s="143" t="s">
        <v>97</v>
      </c>
      <c r="G428" s="71" t="s">
        <v>216</v>
      </c>
      <c r="H428" s="172"/>
      <c r="I428" s="172"/>
      <c r="J428" s="71" t="s">
        <v>524</v>
      </c>
      <c r="K428" s="321"/>
      <c r="L428" s="326">
        <v>16870</v>
      </c>
      <c r="M428" s="163">
        <f>M427+K428-L428</f>
        <v>191883.34572000033</v>
      </c>
    </row>
    <row r="429" spans="1:15">
      <c r="A429" s="54" t="str">
        <f>D429&amp;E429&amp;F429</f>
        <v>SERVICIOSMTTO DE EDIFICIOMANTENIMIENTO</v>
      </c>
      <c r="B429" t="s">
        <v>515</v>
      </c>
      <c r="C429" s="1">
        <v>45719</v>
      </c>
      <c r="D429" s="71" t="s">
        <v>21</v>
      </c>
      <c r="E429" s="71" t="s">
        <v>142</v>
      </c>
      <c r="F429" s="143" t="s">
        <v>35</v>
      </c>
      <c r="G429" s="71" t="s">
        <v>216</v>
      </c>
      <c r="H429" s="172"/>
      <c r="I429" s="172"/>
      <c r="J429" s="76" t="s">
        <v>525</v>
      </c>
      <c r="K429" s="332"/>
      <c r="L429" s="331">
        <v>75</v>
      </c>
      <c r="M429" s="163">
        <f>M428+K429-L429</f>
        <v>191808.34572000033</v>
      </c>
    </row>
    <row r="430" spans="1:15">
      <c r="A430" s="54" t="str">
        <f>D430&amp;E430&amp;F430</f>
        <v>HRUBERHR</v>
      </c>
      <c r="B430" t="s">
        <v>515</v>
      </c>
      <c r="C430" s="1">
        <v>45719</v>
      </c>
      <c r="D430" s="71" t="s">
        <v>29</v>
      </c>
      <c r="E430" s="71" t="s">
        <v>189</v>
      </c>
      <c r="F430" s="143" t="s">
        <v>29</v>
      </c>
      <c r="G430" s="71" t="s">
        <v>216</v>
      </c>
      <c r="H430" s="172"/>
      <c r="I430" s="172"/>
      <c r="J430" s="76" t="s">
        <v>526</v>
      </c>
      <c r="K430" s="332"/>
      <c r="L430" s="526">
        <v>278</v>
      </c>
      <c r="M430" s="163">
        <f>M429+K430-L430</f>
        <v>191530.34572000033</v>
      </c>
    </row>
    <row r="431" spans="1:15">
      <c r="A431" s="54" t="str">
        <f>D431&amp;E431&amp;F431</f>
        <v>HRJMASA5</v>
      </c>
      <c r="B431" t="s">
        <v>515</v>
      </c>
      <c r="C431" s="1">
        <v>45719</v>
      </c>
      <c r="D431" s="71" t="s">
        <v>29</v>
      </c>
      <c r="E431" s="71" t="s">
        <v>137</v>
      </c>
      <c r="F431" s="143" t="s">
        <v>92</v>
      </c>
      <c r="G431" s="71" t="s">
        <v>216</v>
      </c>
      <c r="H431" s="172"/>
      <c r="I431" s="172"/>
      <c r="J431" s="76" t="s">
        <v>527</v>
      </c>
      <c r="K431" s="332"/>
      <c r="L431" s="331">
        <v>550</v>
      </c>
      <c r="M431" s="163">
        <f>M430+K431-L431</f>
        <v>190980.34572000033</v>
      </c>
    </row>
    <row r="432" spans="1:15">
      <c r="A432" s="54" t="str">
        <f>D432&amp;E432&amp;F432</f>
        <v>HRUBERHR</v>
      </c>
      <c r="B432" t="s">
        <v>515</v>
      </c>
      <c r="C432" s="1">
        <v>45719</v>
      </c>
      <c r="D432" s="71" t="s">
        <v>29</v>
      </c>
      <c r="E432" s="71" t="s">
        <v>189</v>
      </c>
      <c r="F432" s="143" t="s">
        <v>29</v>
      </c>
      <c r="G432" s="71" t="s">
        <v>216</v>
      </c>
      <c r="H432" s="172"/>
      <c r="I432" s="172"/>
      <c r="J432" s="76" t="s">
        <v>528</v>
      </c>
      <c r="K432" s="332"/>
      <c r="L432" s="526">
        <v>523</v>
      </c>
      <c r="M432" s="163">
        <f>M431+K432-L432</f>
        <v>190457.34572000033</v>
      </c>
    </row>
    <row r="433" spans="1:13">
      <c r="A433" s="54" t="str">
        <f>D433&amp;E433&amp;F433</f>
        <v>CAPUBERCAP</v>
      </c>
      <c r="B433" t="s">
        <v>515</v>
      </c>
      <c r="C433" s="1">
        <v>45719</v>
      </c>
      <c r="D433" s="71" t="s">
        <v>31</v>
      </c>
      <c r="E433" s="71" t="s">
        <v>189</v>
      </c>
      <c r="F433" s="143" t="s">
        <v>31</v>
      </c>
      <c r="G433" s="71" t="s">
        <v>216</v>
      </c>
      <c r="H433" s="172"/>
      <c r="I433" s="172"/>
      <c r="J433" s="76" t="s">
        <v>529</v>
      </c>
      <c r="K433" s="332"/>
      <c r="L433" s="526">
        <v>1785</v>
      </c>
      <c r="M433" s="163">
        <f>M432+K433-L433</f>
        <v>188672.34572000033</v>
      </c>
    </row>
    <row r="434" spans="1:13">
      <c r="A434" s="54" t="str">
        <f>D434&amp;E434&amp;F434</f>
        <v>HRNOMINA SUCURSALA2</v>
      </c>
      <c r="B434" t="s">
        <v>515</v>
      </c>
      <c r="C434" s="1">
        <v>45719</v>
      </c>
      <c r="D434" s="71" t="s">
        <v>29</v>
      </c>
      <c r="E434" s="71" t="s">
        <v>154</v>
      </c>
      <c r="F434" s="143" t="s">
        <v>89</v>
      </c>
      <c r="G434" s="71" t="s">
        <v>216</v>
      </c>
      <c r="H434" s="172"/>
      <c r="I434" s="172"/>
      <c r="J434" s="76" t="s">
        <v>530</v>
      </c>
      <c r="K434" s="332"/>
      <c r="L434" s="331">
        <v>709</v>
      </c>
      <c r="M434" s="163">
        <f>M433+K434-L434</f>
        <v>187963.34572000033</v>
      </c>
    </row>
    <row r="435" spans="1:13">
      <c r="A435" s="54" t="str">
        <f>D435&amp;E435&amp;F435</f>
        <v>CAPUBERCAP</v>
      </c>
      <c r="B435" t="s">
        <v>515</v>
      </c>
      <c r="C435" s="1">
        <v>45719</v>
      </c>
      <c r="D435" s="71" t="s">
        <v>31</v>
      </c>
      <c r="E435" s="71" t="s">
        <v>189</v>
      </c>
      <c r="F435" s="143" t="s">
        <v>31</v>
      </c>
      <c r="G435" s="71" t="s">
        <v>216</v>
      </c>
      <c r="H435" s="172"/>
      <c r="I435" s="172"/>
      <c r="J435" s="76" t="s">
        <v>531</v>
      </c>
      <c r="K435" s="332"/>
      <c r="L435" s="526">
        <v>190</v>
      </c>
      <c r="M435" s="163">
        <f>M434+K435-L435</f>
        <v>187773.34572000033</v>
      </c>
    </row>
    <row r="436" spans="1:13">
      <c r="A436" s="54" t="str">
        <f>D436&amp;E436&amp;F436</f>
        <v>ELINOMINA SUCURSALL1</v>
      </c>
      <c r="B436" t="s">
        <v>515</v>
      </c>
      <c r="C436" s="1">
        <v>45719</v>
      </c>
      <c r="D436" s="71" t="s">
        <v>130</v>
      </c>
      <c r="E436" s="71" t="s">
        <v>154</v>
      </c>
      <c r="F436" s="143" t="s">
        <v>136</v>
      </c>
      <c r="G436" s="71" t="s">
        <v>216</v>
      </c>
      <c r="H436" s="172"/>
      <c r="I436" s="172"/>
      <c r="J436" s="76" t="s">
        <v>532</v>
      </c>
      <c r="L436" s="331">
        <v>430</v>
      </c>
      <c r="M436" s="163">
        <f>M435+K436-L436</f>
        <v>187343.34572000033</v>
      </c>
    </row>
    <row r="437" spans="1:13">
      <c r="A437" s="54" t="str">
        <f>D437&amp;E437&amp;F437</f>
        <v>FINANZASFALTANTESFALTANTES</v>
      </c>
      <c r="B437" t="s">
        <v>515</v>
      </c>
      <c r="C437" s="1">
        <v>45719</v>
      </c>
      <c r="D437" s="71" t="s">
        <v>23</v>
      </c>
      <c r="E437" s="71" t="s">
        <v>119</v>
      </c>
      <c r="F437" s="143" t="s">
        <v>119</v>
      </c>
      <c r="G437" s="71" t="s">
        <v>258</v>
      </c>
      <c r="H437" s="172"/>
      <c r="I437" s="172"/>
      <c r="J437" s="76" t="s">
        <v>282</v>
      </c>
      <c r="L437" s="331">
        <v>7901.59</v>
      </c>
      <c r="M437" s="163">
        <f>M436+K437-L437</f>
        <v>179441.75572000034</v>
      </c>
    </row>
    <row r="438" spans="1:13">
      <c r="A438" s="54" t="str">
        <f t="shared" si="6"/>
        <v/>
      </c>
      <c r="B438" t="s">
        <v>515</v>
      </c>
      <c r="C438" s="1">
        <v>45720</v>
      </c>
      <c r="D438" s="71"/>
      <c r="F438" s="143"/>
      <c r="H438" s="172"/>
      <c r="I438" s="172"/>
      <c r="J438" s="71" t="s">
        <v>260</v>
      </c>
      <c r="K438" s="342">
        <v>126407</v>
      </c>
      <c r="L438" s="332"/>
      <c r="M438" s="163">
        <f>M437+K438-L438</f>
        <v>305848.75572000036</v>
      </c>
    </row>
    <row r="439" spans="1:13">
      <c r="A439" s="54" t="str">
        <f>D439&amp;E439&amp;F439</f>
        <v>FINANZASCOMISIONES BANCARIASTPV</v>
      </c>
      <c r="B439" t="s">
        <v>515</v>
      </c>
      <c r="C439" s="1">
        <v>45720</v>
      </c>
      <c r="D439" s="71" t="s">
        <v>23</v>
      </c>
      <c r="E439" s="71" t="s">
        <v>48</v>
      </c>
      <c r="F439" s="143" t="s">
        <v>50</v>
      </c>
      <c r="G439" s="71" t="s">
        <v>216</v>
      </c>
      <c r="H439" s="172"/>
      <c r="I439" s="172"/>
      <c r="J439" s="233" t="s">
        <v>217</v>
      </c>
      <c r="K439" s="343"/>
      <c r="L439" s="329">
        <f>95.12+85.07+108.22+923.81+673.33</f>
        <v>1885.5499999999997</v>
      </c>
      <c r="M439" s="163">
        <f>M438+K439-L439</f>
        <v>303963.20572000038</v>
      </c>
    </row>
    <row r="440" spans="1:13">
      <c r="A440" s="54" t="str">
        <f>D440&amp;E440&amp;F440</f>
        <v>FINANZASCOMISIONES BANCARIASMANEJO DE CUENTA</v>
      </c>
      <c r="B440" t="s">
        <v>515</v>
      </c>
      <c r="C440" s="1">
        <v>45720</v>
      </c>
      <c r="D440" s="71" t="s">
        <v>23</v>
      </c>
      <c r="E440" s="71" t="s">
        <v>48</v>
      </c>
      <c r="F440" s="143" t="s">
        <v>49</v>
      </c>
      <c r="G440" s="71" t="s">
        <v>216</v>
      </c>
      <c r="H440" s="172"/>
      <c r="I440" s="172"/>
      <c r="J440" s="233" t="s">
        <v>497</v>
      </c>
      <c r="K440" s="343"/>
      <c r="L440" s="329">
        <v>928</v>
      </c>
      <c r="M440" s="163">
        <f>M439+K440-L440</f>
        <v>303035.20572000038</v>
      </c>
    </row>
    <row r="441" spans="1:13">
      <c r="A441" s="54" t="str">
        <f t="shared" si="6"/>
        <v/>
      </c>
      <c r="B441" t="s">
        <v>515</v>
      </c>
      <c r="C441" s="1">
        <v>45720</v>
      </c>
      <c r="D441" s="71"/>
      <c r="F441" s="143"/>
      <c r="H441" s="172"/>
      <c r="I441" s="172"/>
      <c r="J441" s="205" t="s">
        <v>222</v>
      </c>
      <c r="K441" s="206"/>
      <c r="L441" s="206">
        <v>300000</v>
      </c>
      <c r="M441" s="163">
        <f>M440+K441-L441</f>
        <v>3035.2057200003765</v>
      </c>
    </row>
    <row r="442" spans="1:13">
      <c r="A442" s="54" t="str">
        <f>D442&amp;E442&amp;F442</f>
        <v>HRFONDO Y REPOSICIONHR</v>
      </c>
      <c r="B442" t="s">
        <v>515</v>
      </c>
      <c r="C442" s="1">
        <v>45720</v>
      </c>
      <c r="D442" s="71" t="s">
        <v>29</v>
      </c>
      <c r="E442" s="71" t="s">
        <v>120</v>
      </c>
      <c r="F442" s="143" t="s">
        <v>29</v>
      </c>
      <c r="G442" s="71" t="s">
        <v>216</v>
      </c>
      <c r="H442" s="172"/>
      <c r="I442" s="172"/>
      <c r="J442" s="71" t="s">
        <v>357</v>
      </c>
      <c r="K442" s="321"/>
      <c r="L442" s="326">
        <v>3500</v>
      </c>
      <c r="M442" s="163">
        <f>M441+K442-L442</f>
        <v>-464.79427999962354</v>
      </c>
    </row>
    <row r="443" spans="1:13">
      <c r="A443" s="54" t="str">
        <f>D443&amp;E443&amp;F443</f>
        <v>FINANZASFONDO Y REPOSICIONFINANZAS</v>
      </c>
      <c r="B443" t="s">
        <v>515</v>
      </c>
      <c r="C443" s="1">
        <v>45720</v>
      </c>
      <c r="D443" s="71" t="s">
        <v>23</v>
      </c>
      <c r="E443" s="71" t="s">
        <v>120</v>
      </c>
      <c r="F443" s="143" t="s">
        <v>23</v>
      </c>
      <c r="G443" s="71" t="s">
        <v>216</v>
      </c>
      <c r="H443" s="172"/>
      <c r="I443" s="172"/>
      <c r="J443" s="71" t="s">
        <v>231</v>
      </c>
      <c r="K443" s="321"/>
      <c r="L443" s="326">
        <v>50</v>
      </c>
      <c r="M443" s="163">
        <f>M442+K443-L443</f>
        <v>-514.79427999962354</v>
      </c>
    </row>
    <row r="444" spans="1:13">
      <c r="A444" s="54" t="str">
        <f>D444&amp;E444&amp;F444</f>
        <v>SERVICIOSVIATICOSINVENTARIOS</v>
      </c>
      <c r="B444" t="s">
        <v>515</v>
      </c>
      <c r="C444" s="1">
        <v>45720</v>
      </c>
      <c r="D444" s="71" t="s">
        <v>21</v>
      </c>
      <c r="E444" s="71" t="s">
        <v>191</v>
      </c>
      <c r="F444" s="143" t="s">
        <v>34</v>
      </c>
      <c r="G444" s="71" t="s">
        <v>216</v>
      </c>
      <c r="H444" s="172"/>
      <c r="I444" s="172"/>
      <c r="J444" s="232" t="s">
        <v>533</v>
      </c>
      <c r="K444" s="338"/>
      <c r="L444" s="344">
        <v>900</v>
      </c>
      <c r="M444" s="163">
        <f>M443+K444-L444</f>
        <v>-1414.7942799996235</v>
      </c>
    </row>
    <row r="445" spans="1:13">
      <c r="A445" s="54" t="str">
        <f>D445&amp;E445&amp;F445</f>
        <v>HRUBERHR</v>
      </c>
      <c r="B445" t="s">
        <v>515</v>
      </c>
      <c r="C445" s="1">
        <v>45720</v>
      </c>
      <c r="D445" s="71" t="s">
        <v>29</v>
      </c>
      <c r="E445" s="71" t="s">
        <v>189</v>
      </c>
      <c r="F445" s="143" t="s">
        <v>29</v>
      </c>
      <c r="G445" s="71" t="s">
        <v>216</v>
      </c>
      <c r="H445" s="172"/>
      <c r="I445" s="172"/>
      <c r="J445" s="76" t="s">
        <v>308</v>
      </c>
      <c r="K445" s="332"/>
      <c r="L445" s="526">
        <v>110</v>
      </c>
      <c r="M445" s="163">
        <f>M444+K445-L445</f>
        <v>-1524.7942799996235</v>
      </c>
    </row>
    <row r="446" spans="1:13">
      <c r="A446" s="54" t="str">
        <f>D446&amp;E446&amp;F446</f>
        <v>HRUBERHR</v>
      </c>
      <c r="B446" t="s">
        <v>515</v>
      </c>
      <c r="C446" s="1">
        <v>45720</v>
      </c>
      <c r="D446" s="71" t="s">
        <v>29</v>
      </c>
      <c r="E446" s="71" t="s">
        <v>189</v>
      </c>
      <c r="F446" s="143" t="s">
        <v>29</v>
      </c>
      <c r="G446" s="71" t="s">
        <v>216</v>
      </c>
      <c r="H446" s="172"/>
      <c r="I446" s="172"/>
      <c r="J446" s="76" t="s">
        <v>456</v>
      </c>
      <c r="K446" s="332"/>
      <c r="L446" s="526">
        <v>244</v>
      </c>
      <c r="M446" s="163">
        <f>M445+K446-L446</f>
        <v>-1768.7942799996235</v>
      </c>
    </row>
    <row r="447" spans="1:13">
      <c r="A447" s="54" t="str">
        <f>D447&amp;E447&amp;F447</f>
        <v>CAPUBERCAP</v>
      </c>
      <c r="B447" t="s">
        <v>515</v>
      </c>
      <c r="C447" s="1">
        <v>45720</v>
      </c>
      <c r="D447" s="71" t="s">
        <v>31</v>
      </c>
      <c r="E447" s="71" t="s">
        <v>189</v>
      </c>
      <c r="F447" s="143" t="s">
        <v>31</v>
      </c>
      <c r="G447" s="71" t="s">
        <v>216</v>
      </c>
      <c r="H447" s="172"/>
      <c r="I447" s="172"/>
      <c r="J447" s="76" t="s">
        <v>534</v>
      </c>
      <c r="K447" s="332"/>
      <c r="L447" s="526">
        <v>1686</v>
      </c>
      <c r="M447" s="163">
        <f>M446+K447-L447</f>
        <v>-3454.7942799996235</v>
      </c>
    </row>
    <row r="448" spans="1:13">
      <c r="A448" s="54" t="str">
        <f>D448&amp;E448&amp;F448</f>
        <v>CAPUBERCAP</v>
      </c>
      <c r="B448" t="s">
        <v>515</v>
      </c>
      <c r="C448" s="1">
        <v>45720</v>
      </c>
      <c r="D448" s="71" t="s">
        <v>31</v>
      </c>
      <c r="E448" s="71" t="s">
        <v>189</v>
      </c>
      <c r="F448" s="143" t="s">
        <v>31</v>
      </c>
      <c r="G448" s="71" t="s">
        <v>216</v>
      </c>
      <c r="H448" s="172"/>
      <c r="I448" s="172"/>
      <c r="J448" s="76" t="s">
        <v>257</v>
      </c>
      <c r="K448" s="332"/>
      <c r="L448" s="526">
        <v>90</v>
      </c>
      <c r="M448" s="163">
        <f>M447+K448-L448</f>
        <v>-3544.7942799996235</v>
      </c>
    </row>
    <row r="449" spans="1:13">
      <c r="A449" s="54" t="str">
        <f>D449&amp;E449&amp;F449</f>
        <v>ELIUBERL1</v>
      </c>
      <c r="B449" t="s">
        <v>515</v>
      </c>
      <c r="C449" s="1">
        <v>45720</v>
      </c>
      <c r="D449" s="71" t="s">
        <v>130</v>
      </c>
      <c r="E449" s="71" t="s">
        <v>189</v>
      </c>
      <c r="F449" s="143" t="s">
        <v>136</v>
      </c>
      <c r="G449" s="71" t="s">
        <v>258</v>
      </c>
      <c r="H449" s="172"/>
      <c r="I449" s="172"/>
      <c r="J449" s="76" t="s">
        <v>535</v>
      </c>
      <c r="K449" s="332"/>
      <c r="L449" s="526">
        <v>130</v>
      </c>
      <c r="M449" s="163">
        <f>M448+K449-L449</f>
        <v>-3674.7942799996235</v>
      </c>
    </row>
    <row r="450" spans="1:13">
      <c r="A450" s="54" t="str">
        <f t="shared" si="6"/>
        <v/>
      </c>
      <c r="B450" t="s">
        <v>515</v>
      </c>
      <c r="C450" s="1">
        <v>45721</v>
      </c>
      <c r="D450" s="71"/>
      <c r="F450" s="143"/>
      <c r="H450" s="172"/>
      <c r="I450" s="172"/>
      <c r="J450" s="71" t="s">
        <v>260</v>
      </c>
      <c r="K450" s="345">
        <v>128485.92</v>
      </c>
      <c r="L450" s="180"/>
      <c r="M450" s="163">
        <f>M449+K450-L450</f>
        <v>124811.12572000037</v>
      </c>
    </row>
    <row r="451" spans="1:13">
      <c r="A451" s="54" t="str">
        <f>D451&amp;E451&amp;F451</f>
        <v>FINANZASCOMISIONES BANCARIASTPV</v>
      </c>
      <c r="B451" t="s">
        <v>515</v>
      </c>
      <c r="C451" s="1">
        <v>45721</v>
      </c>
      <c r="D451" s="71" t="s">
        <v>23</v>
      </c>
      <c r="E451" s="71" t="s">
        <v>48</v>
      </c>
      <c r="F451" s="143" t="s">
        <v>50</v>
      </c>
      <c r="G451" s="71" t="s">
        <v>216</v>
      </c>
      <c r="H451" s="172"/>
      <c r="I451" s="172"/>
      <c r="J451" s="233" t="s">
        <v>217</v>
      </c>
      <c r="K451" s="343"/>
      <c r="L451" s="343"/>
      <c r="M451" s="163">
        <f>M450+K451-L451</f>
        <v>124811.12572000037</v>
      </c>
    </row>
    <row r="452" spans="1:13">
      <c r="A452" s="54" t="str">
        <f>D452&amp;E452&amp;F452</f>
        <v>FINANZASCOMISIONES BANCARIASMANEJO DE CUENTA</v>
      </c>
      <c r="B452" t="s">
        <v>515</v>
      </c>
      <c r="C452" s="1">
        <v>45721</v>
      </c>
      <c r="D452" s="71" t="s">
        <v>23</v>
      </c>
      <c r="E452" s="71" t="s">
        <v>48</v>
      </c>
      <c r="F452" s="143" t="s">
        <v>49</v>
      </c>
      <c r="G452" s="71" t="s">
        <v>216</v>
      </c>
      <c r="H452" s="172"/>
      <c r="I452" s="172"/>
      <c r="J452" s="233" t="s">
        <v>497</v>
      </c>
      <c r="K452" s="343"/>
      <c r="L452" s="329">
        <f>1221.16+858.2+86.97+250.62+40.24</f>
        <v>2457.1899999999996</v>
      </c>
      <c r="M452" s="163">
        <f>M451+K452-L452</f>
        <v>122353.93572000037</v>
      </c>
    </row>
    <row r="453" spans="1:13">
      <c r="A453" s="54" t="str">
        <f t="shared" si="6"/>
        <v/>
      </c>
      <c r="B453" t="s">
        <v>515</v>
      </c>
      <c r="C453" s="1">
        <v>45721</v>
      </c>
      <c r="D453" s="71"/>
      <c r="F453" s="143"/>
      <c r="H453" s="172"/>
      <c r="I453" s="172"/>
      <c r="J453" s="205" t="s">
        <v>220</v>
      </c>
      <c r="K453" s="206"/>
      <c r="L453" s="206">
        <v>100000</v>
      </c>
      <c r="M453" s="163">
        <f>M452+K453-L453</f>
        <v>22353.935720000372</v>
      </c>
    </row>
    <row r="454" spans="1:13">
      <c r="A454" s="54" t="str">
        <f>D454&amp;E454&amp;F454</f>
        <v>SERVICIOSMTTO DE EDIFICIOMANTENIMIENTO</v>
      </c>
      <c r="B454" t="s">
        <v>515</v>
      </c>
      <c r="C454" s="1">
        <v>45721</v>
      </c>
      <c r="D454" s="71" t="s">
        <v>21</v>
      </c>
      <c r="E454" s="71" t="s">
        <v>142</v>
      </c>
      <c r="F454" s="143" t="s">
        <v>35</v>
      </c>
      <c r="G454" s="71" t="s">
        <v>216</v>
      </c>
      <c r="H454" s="172"/>
      <c r="I454" s="172"/>
      <c r="J454" s="71" t="s">
        <v>536</v>
      </c>
      <c r="K454" s="332"/>
      <c r="L454" s="326">
        <v>5000</v>
      </c>
      <c r="M454" s="163">
        <f>M453+K454-L454</f>
        <v>17353.935720000372</v>
      </c>
    </row>
    <row r="455" spans="1:13">
      <c r="A455" s="54" t="str">
        <f>D455&amp;E455&amp;F455</f>
        <v>SERVICIOSINSUMOSCADENA DE SUMINISTROS</v>
      </c>
      <c r="B455" t="s">
        <v>515</v>
      </c>
      <c r="C455" s="1">
        <v>45721</v>
      </c>
      <c r="D455" s="71" t="s">
        <v>21</v>
      </c>
      <c r="E455" s="71" t="s">
        <v>133</v>
      </c>
      <c r="F455" s="143" t="s">
        <v>134</v>
      </c>
      <c r="G455" s="71" t="s">
        <v>216</v>
      </c>
      <c r="H455" s="172"/>
      <c r="I455" s="172"/>
      <c r="J455" s="71" t="s">
        <v>537</v>
      </c>
      <c r="K455" s="332"/>
      <c r="L455" s="326">
        <v>4141.2</v>
      </c>
      <c r="M455" s="163">
        <f>M454+K455-L455</f>
        <v>13212.735720000372</v>
      </c>
    </row>
    <row r="456" spans="1:13">
      <c r="A456" s="54" t="str">
        <f>D456&amp;E456&amp;F456</f>
        <v>SERVICIOSINSUMOSCADENA DE SUMINISTROS</v>
      </c>
      <c r="B456" t="s">
        <v>515</v>
      </c>
      <c r="C456" s="1">
        <v>45721</v>
      </c>
      <c r="D456" s="71" t="s">
        <v>21</v>
      </c>
      <c r="E456" s="71" t="s">
        <v>133</v>
      </c>
      <c r="F456" s="143" t="s">
        <v>134</v>
      </c>
      <c r="G456" s="71" t="s">
        <v>216</v>
      </c>
      <c r="H456" s="172"/>
      <c r="I456" s="172"/>
      <c r="J456" s="71" t="s">
        <v>538</v>
      </c>
      <c r="K456" s="332"/>
      <c r="L456" s="326">
        <v>1875.15</v>
      </c>
      <c r="M456" s="163">
        <f>M455+K456-L456</f>
        <v>11337.585720000372</v>
      </c>
    </row>
    <row r="457" spans="1:13">
      <c r="A457" s="54" t="str">
        <f>D457&amp;E457&amp;F457</f>
        <v>HRFONDO Y REPOSICIONHR</v>
      </c>
      <c r="B457" t="s">
        <v>515</v>
      </c>
      <c r="C457" s="1">
        <v>45721</v>
      </c>
      <c r="D457" s="71" t="s">
        <v>29</v>
      </c>
      <c r="E457" s="71" t="s">
        <v>120</v>
      </c>
      <c r="F457" s="143" t="s">
        <v>29</v>
      </c>
      <c r="G457" s="71" t="s">
        <v>216</v>
      </c>
      <c r="H457" s="172"/>
      <c r="I457" s="172"/>
      <c r="J457" s="71" t="s">
        <v>539</v>
      </c>
      <c r="K457" s="332"/>
      <c r="L457" s="326">
        <v>2000</v>
      </c>
      <c r="M457" s="163">
        <f>M456+K457-L457</f>
        <v>9337.585720000372</v>
      </c>
    </row>
    <row r="458" spans="1:13">
      <c r="A458" s="54" t="str">
        <f>D458&amp;E458&amp;F458</f>
        <v>CAPVIATICOSCAPRICHOS</v>
      </c>
      <c r="B458" t="s">
        <v>515</v>
      </c>
      <c r="C458" s="1">
        <v>45721</v>
      </c>
      <c r="D458" s="71" t="s">
        <v>31</v>
      </c>
      <c r="E458" s="71" t="s">
        <v>191</v>
      </c>
      <c r="F458" s="143" t="s">
        <v>33</v>
      </c>
      <c r="G458" s="71" t="s">
        <v>216</v>
      </c>
      <c r="H458" s="172"/>
      <c r="I458" s="172"/>
      <c r="J458" s="71" t="s">
        <v>540</v>
      </c>
      <c r="K458" s="332"/>
      <c r="L458" s="326">
        <v>700</v>
      </c>
      <c r="M458" s="163">
        <f>M457+K458-L458</f>
        <v>8637.585720000372</v>
      </c>
    </row>
    <row r="459" spans="1:13">
      <c r="A459" s="54" t="str">
        <f>D459&amp;E459&amp;F459</f>
        <v>SERVICIOSMTTO EQ DE COMPUTOMTTO EQ DE COMPUTO</v>
      </c>
      <c r="B459" t="s">
        <v>515</v>
      </c>
      <c r="C459" s="1">
        <v>45721</v>
      </c>
      <c r="D459" s="71" t="s">
        <v>21</v>
      </c>
      <c r="E459" s="71" t="s">
        <v>143</v>
      </c>
      <c r="F459" s="143" t="s">
        <v>143</v>
      </c>
      <c r="G459" s="71" t="s">
        <v>216</v>
      </c>
      <c r="H459" s="172"/>
      <c r="I459" s="172"/>
      <c r="J459" s="71" t="s">
        <v>541</v>
      </c>
      <c r="K459" s="332"/>
      <c r="L459" s="326">
        <v>522</v>
      </c>
      <c r="M459" s="163">
        <f>M458+K459-L459</f>
        <v>8115.585720000372</v>
      </c>
    </row>
    <row r="460" spans="1:13">
      <c r="A460" s="54" t="str">
        <f>D460&amp;E460&amp;F460</f>
        <v>ELIVIATICOSL1</v>
      </c>
      <c r="B460" t="s">
        <v>515</v>
      </c>
      <c r="C460" s="1">
        <v>45721</v>
      </c>
      <c r="D460" s="71" t="s">
        <v>130</v>
      </c>
      <c r="E460" s="71" t="s">
        <v>191</v>
      </c>
      <c r="F460" s="143" t="s">
        <v>136</v>
      </c>
      <c r="G460" s="71" t="s">
        <v>216</v>
      </c>
      <c r="H460" s="172"/>
      <c r="I460" s="172"/>
      <c r="J460" s="71" t="s">
        <v>542</v>
      </c>
      <c r="K460" s="332"/>
      <c r="L460" s="326">
        <v>1500</v>
      </c>
      <c r="M460" s="163">
        <f>M459+K460-L460</f>
        <v>6615.585720000372</v>
      </c>
    </row>
    <row r="461" spans="1:13">
      <c r="A461" s="54" t="str">
        <f>D461&amp;E461&amp;F461</f>
        <v>HRUBERHR</v>
      </c>
      <c r="B461" t="s">
        <v>515</v>
      </c>
      <c r="C461" s="1">
        <v>45721</v>
      </c>
      <c r="D461" s="71" t="s">
        <v>29</v>
      </c>
      <c r="E461" s="71" t="s">
        <v>189</v>
      </c>
      <c r="F461" s="143" t="s">
        <v>29</v>
      </c>
      <c r="G461" s="71" t="s">
        <v>216</v>
      </c>
      <c r="H461" s="172"/>
      <c r="I461" s="172"/>
      <c r="J461" s="76" t="s">
        <v>456</v>
      </c>
      <c r="K461" s="332"/>
      <c r="L461" s="526">
        <v>348</v>
      </c>
      <c r="M461" s="163">
        <f>M460+K461-L461</f>
        <v>6267.585720000372</v>
      </c>
    </row>
    <row r="462" spans="1:13">
      <c r="A462" s="54" t="str">
        <f>D462&amp;E462&amp;F462</f>
        <v>CAPINSUMOSCAPRICHOS</v>
      </c>
      <c r="B462" t="s">
        <v>515</v>
      </c>
      <c r="C462" s="1">
        <v>45721</v>
      </c>
      <c r="D462" s="71" t="s">
        <v>31</v>
      </c>
      <c r="E462" s="71" t="s">
        <v>133</v>
      </c>
      <c r="F462" s="143" t="s">
        <v>33</v>
      </c>
      <c r="G462" s="71" t="s">
        <v>216</v>
      </c>
      <c r="H462" s="172"/>
      <c r="I462" s="172"/>
      <c r="J462" s="76" t="s">
        <v>543</v>
      </c>
      <c r="K462" s="332"/>
      <c r="L462" s="331">
        <v>65</v>
      </c>
      <c r="M462" s="163">
        <f>M461+K462-L462</f>
        <v>6202.585720000372</v>
      </c>
    </row>
    <row r="463" spans="1:13">
      <c r="A463" s="54" t="str">
        <f>D463&amp;E463&amp;F463</f>
        <v>CAPUBERCAP</v>
      </c>
      <c r="B463" t="s">
        <v>515</v>
      </c>
      <c r="C463" s="1">
        <v>45721</v>
      </c>
      <c r="D463" s="71" t="s">
        <v>31</v>
      </c>
      <c r="E463" s="71" t="s">
        <v>189</v>
      </c>
      <c r="F463" s="143" t="s">
        <v>31</v>
      </c>
      <c r="G463" s="71" t="s">
        <v>216</v>
      </c>
      <c r="H463" s="172"/>
      <c r="I463" s="172"/>
      <c r="J463" s="76" t="s">
        <v>544</v>
      </c>
      <c r="K463" s="332"/>
      <c r="L463" s="526">
        <v>222</v>
      </c>
      <c r="M463" s="163">
        <f>M462+K463-L463</f>
        <v>5980.585720000372</v>
      </c>
    </row>
    <row r="464" spans="1:13">
      <c r="A464" s="54" t="str">
        <f>D464&amp;E464&amp;F464</f>
        <v>CAPUBERCAP</v>
      </c>
      <c r="B464" t="s">
        <v>515</v>
      </c>
      <c r="C464" s="1">
        <v>45721</v>
      </c>
      <c r="D464" s="71" t="s">
        <v>31</v>
      </c>
      <c r="E464" s="71" t="s">
        <v>189</v>
      </c>
      <c r="F464" s="143" t="s">
        <v>31</v>
      </c>
      <c r="G464" s="71" t="s">
        <v>216</v>
      </c>
      <c r="H464" s="172"/>
      <c r="I464" s="172"/>
      <c r="J464" s="76" t="s">
        <v>257</v>
      </c>
      <c r="K464" s="332"/>
      <c r="L464" s="526">
        <v>105</v>
      </c>
      <c r="M464" s="163">
        <f>M463+K464-L464</f>
        <v>5875.585720000372</v>
      </c>
    </row>
    <row r="465" spans="1:13">
      <c r="A465" s="54" t="str">
        <f>D465&amp;E465&amp;F465</f>
        <v>FINANZASFALTANTESFALTANTES</v>
      </c>
      <c r="B465" t="s">
        <v>515</v>
      </c>
      <c r="C465" s="1">
        <v>45721</v>
      </c>
      <c r="D465" s="71" t="s">
        <v>23</v>
      </c>
      <c r="E465" s="71" t="s">
        <v>119</v>
      </c>
      <c r="F465" s="143" t="s">
        <v>119</v>
      </c>
      <c r="G465" s="71" t="s">
        <v>258</v>
      </c>
      <c r="H465" s="172"/>
      <c r="I465" s="172"/>
      <c r="J465" s="76" t="s">
        <v>259</v>
      </c>
      <c r="K465" s="332"/>
      <c r="L465" s="331">
        <v>11954.76</v>
      </c>
      <c r="M465" s="163">
        <f>M464+K465-L465</f>
        <v>-6079.1742799996282</v>
      </c>
    </row>
    <row r="466" spans="1:13">
      <c r="A466" s="54" t="str">
        <f t="shared" ref="A455:A518" si="7">D466&amp;E466&amp;F466</f>
        <v/>
      </c>
      <c r="B466" t="s">
        <v>515</v>
      </c>
      <c r="C466" s="1">
        <v>45722</v>
      </c>
      <c r="D466" s="71"/>
      <c r="F466" s="143"/>
      <c r="H466" s="172"/>
      <c r="I466" s="172"/>
      <c r="J466" s="71" t="s">
        <v>260</v>
      </c>
      <c r="K466" s="346">
        <v>145901.57</v>
      </c>
      <c r="L466" s="321"/>
      <c r="M466" s="163">
        <f>M465+K466-L466</f>
        <v>139822.39572000038</v>
      </c>
    </row>
    <row r="467" spans="1:13">
      <c r="A467" s="54" t="str">
        <f>D467&amp;E467&amp;F467</f>
        <v>FINANZASCOMISIONES BANCARIASTPV</v>
      </c>
      <c r="B467" t="s">
        <v>515</v>
      </c>
      <c r="C467" s="1">
        <v>45722</v>
      </c>
      <c r="D467" s="71" t="s">
        <v>23</v>
      </c>
      <c r="E467" s="71" t="s">
        <v>48</v>
      </c>
      <c r="F467" s="143" t="s">
        <v>50</v>
      </c>
      <c r="G467" s="71" t="s">
        <v>216</v>
      </c>
      <c r="H467" s="172"/>
      <c r="I467" s="172"/>
      <c r="J467" s="233" t="s">
        <v>217</v>
      </c>
      <c r="K467" s="332"/>
      <c r="L467" s="326">
        <f>133.61+200.8+1227.47+1035.78</f>
        <v>2597.66</v>
      </c>
      <c r="M467" s="163">
        <f>M466+K467-L467</f>
        <v>137224.73572000038</v>
      </c>
    </row>
    <row r="468" spans="1:13" ht="19.5" customHeight="1">
      <c r="A468" s="54" t="str">
        <f>D468&amp;E468&amp;F468</f>
        <v>FINANZASCOMISIONES BANCARIASMANEJO DE CUENTA</v>
      </c>
      <c r="B468" s="85" t="s">
        <v>515</v>
      </c>
      <c r="C468" s="1">
        <v>45722</v>
      </c>
      <c r="D468" s="71" t="s">
        <v>23</v>
      </c>
      <c r="E468" s="71" t="s">
        <v>48</v>
      </c>
      <c r="F468" s="143" t="s">
        <v>49</v>
      </c>
      <c r="G468" s="71" t="s">
        <v>216</v>
      </c>
      <c r="H468" s="172"/>
      <c r="I468" s="172"/>
      <c r="J468" s="233" t="s">
        <v>545</v>
      </c>
      <c r="K468" s="332"/>
      <c r="L468" s="326">
        <f>313.2+226.2+342.2</f>
        <v>881.59999999999991</v>
      </c>
      <c r="M468" s="163">
        <f>M467+K468-L468</f>
        <v>136343.13572000037</v>
      </c>
    </row>
    <row r="469" spans="1:13">
      <c r="A469" s="54" t="str">
        <f t="shared" si="7"/>
        <v/>
      </c>
      <c r="B469" t="s">
        <v>515</v>
      </c>
      <c r="C469" s="1">
        <v>45722</v>
      </c>
      <c r="D469" s="71"/>
      <c r="F469" s="143"/>
      <c r="H469" s="172"/>
      <c r="I469" s="172" t="s">
        <v>219</v>
      </c>
      <c r="J469" s="205" t="s">
        <v>220</v>
      </c>
      <c r="K469" s="206"/>
      <c r="L469" s="206">
        <v>100000</v>
      </c>
      <c r="M469" s="163">
        <f>M468+K469-L469</f>
        <v>36343.135720000369</v>
      </c>
    </row>
    <row r="470" spans="1:13">
      <c r="A470" s="54" t="str">
        <f>D470&amp;E470&amp;F470</f>
        <v>HRENERGIA ELECTRICAA2</v>
      </c>
      <c r="B470" t="s">
        <v>515</v>
      </c>
      <c r="C470" s="1">
        <v>45722</v>
      </c>
      <c r="D470" s="71" t="s">
        <v>29</v>
      </c>
      <c r="E470" s="71" t="s">
        <v>87</v>
      </c>
      <c r="F470" s="143" t="s">
        <v>89</v>
      </c>
      <c r="G470" s="71" t="s">
        <v>216</v>
      </c>
      <c r="H470" s="172"/>
      <c r="I470" s="172"/>
      <c r="J470" s="71" t="s">
        <v>546</v>
      </c>
      <c r="K470" s="332"/>
      <c r="L470" s="326">
        <v>10728</v>
      </c>
      <c r="M470" s="163">
        <f>M469+K470-L470</f>
        <v>25615.135720000369</v>
      </c>
    </row>
    <row r="471" spans="1:13">
      <c r="A471" s="54" t="str">
        <f>D471&amp;E471&amp;F471</f>
        <v>HRENERGIA ELECTRICAA18</v>
      </c>
      <c r="B471" t="s">
        <v>515</v>
      </c>
      <c r="C471" s="1">
        <v>45722</v>
      </c>
      <c r="D471" s="71" t="s">
        <v>29</v>
      </c>
      <c r="E471" s="71" t="s">
        <v>87</v>
      </c>
      <c r="F471" s="143" t="s">
        <v>103</v>
      </c>
      <c r="G471" s="71" t="s">
        <v>216</v>
      </c>
      <c r="H471" s="172"/>
      <c r="I471" s="172"/>
      <c r="J471" s="71" t="s">
        <v>224</v>
      </c>
      <c r="K471" s="332"/>
      <c r="L471" s="326">
        <v>4625</v>
      </c>
      <c r="M471" s="163">
        <f>M470+K471-L471</f>
        <v>20990.135720000369</v>
      </c>
    </row>
    <row r="472" spans="1:13">
      <c r="A472" s="54" t="str">
        <f>D472&amp;E472&amp;F472</f>
        <v>HRENERGIA ELECTRICAA3</v>
      </c>
      <c r="B472" t="s">
        <v>515</v>
      </c>
      <c r="C472" s="1">
        <v>45722</v>
      </c>
      <c r="D472" s="71" t="s">
        <v>29</v>
      </c>
      <c r="E472" s="71" t="s">
        <v>87</v>
      </c>
      <c r="F472" s="143" t="s">
        <v>90</v>
      </c>
      <c r="G472" s="71" t="s">
        <v>216</v>
      </c>
      <c r="H472" s="172"/>
      <c r="I472" s="172"/>
      <c r="J472" s="71" t="s">
        <v>547</v>
      </c>
      <c r="K472" s="322"/>
      <c r="L472" s="323">
        <v>9812</v>
      </c>
      <c r="M472" s="163">
        <f>M471+K472-L472</f>
        <v>11178.135720000369</v>
      </c>
    </row>
    <row r="473" spans="1:13">
      <c r="A473" s="54" t="str">
        <f>D473&amp;E473&amp;F473</f>
        <v>HRIMAGEN VISUALIMAGEN VISUAL HR</v>
      </c>
      <c r="B473" t="s">
        <v>515</v>
      </c>
      <c r="C473" s="1">
        <v>45722</v>
      </c>
      <c r="D473" s="71" t="s">
        <v>29</v>
      </c>
      <c r="E473" s="71" t="s">
        <v>127</v>
      </c>
      <c r="F473" s="143" t="s">
        <v>128</v>
      </c>
      <c r="G473" s="71" t="s">
        <v>216</v>
      </c>
      <c r="H473" s="172"/>
      <c r="I473" s="172"/>
      <c r="J473" s="71" t="s">
        <v>548</v>
      </c>
      <c r="K473" s="332"/>
      <c r="L473" s="326">
        <v>4281.62</v>
      </c>
      <c r="M473" s="163">
        <f>M472+K473-L473</f>
        <v>6896.5157200003696</v>
      </c>
    </row>
    <row r="474" spans="1:13">
      <c r="A474" s="54" t="str">
        <f>D474&amp;E474&amp;F474</f>
        <v>HRIMAGEN VISUALIMAGEN VISUAL HR</v>
      </c>
      <c r="B474" t="s">
        <v>515</v>
      </c>
      <c r="C474" s="1">
        <v>45722</v>
      </c>
      <c r="D474" s="71" t="s">
        <v>29</v>
      </c>
      <c r="E474" s="71" t="s">
        <v>127</v>
      </c>
      <c r="F474" s="143" t="s">
        <v>128</v>
      </c>
      <c r="G474" s="71" t="s">
        <v>216</v>
      </c>
      <c r="H474" s="172"/>
      <c r="I474" s="172"/>
      <c r="J474" s="71" t="s">
        <v>549</v>
      </c>
      <c r="K474" s="322"/>
      <c r="L474" s="323">
        <v>1624.42</v>
      </c>
      <c r="M474" s="163">
        <f>M473+K474-L474</f>
        <v>5272.0957200003695</v>
      </c>
    </row>
    <row r="475" spans="1:13">
      <c r="A475" s="54" t="str">
        <f>D475&amp;E475&amp;F475</f>
        <v>HRTELEPEAJEOP HR</v>
      </c>
      <c r="B475" t="s">
        <v>515</v>
      </c>
      <c r="C475" s="1">
        <v>45722</v>
      </c>
      <c r="D475" s="71" t="s">
        <v>29</v>
      </c>
      <c r="E475" s="71" t="s">
        <v>186</v>
      </c>
      <c r="F475" s="143" t="s">
        <v>187</v>
      </c>
      <c r="G475" s="71" t="s">
        <v>216</v>
      </c>
      <c r="H475" s="172"/>
      <c r="I475" s="172"/>
      <c r="J475" s="71" t="s">
        <v>550</v>
      </c>
      <c r="K475" s="332"/>
      <c r="L475" s="326">
        <v>595</v>
      </c>
      <c r="M475" s="163">
        <f>M474+K475-L475</f>
        <v>4677.0957200003695</v>
      </c>
    </row>
    <row r="476" spans="1:13">
      <c r="A476" s="54" t="str">
        <f>D476&amp;E476&amp;F476</f>
        <v>CAPTELEPEAJEOP CAPRICHOS</v>
      </c>
      <c r="B476" t="s">
        <v>515</v>
      </c>
      <c r="C476" s="1">
        <v>45722</v>
      </c>
      <c r="D476" s="71" t="s">
        <v>31</v>
      </c>
      <c r="E476" s="71" t="s">
        <v>186</v>
      </c>
      <c r="F476" s="143" t="s">
        <v>188</v>
      </c>
      <c r="G476" s="71" t="s">
        <v>216</v>
      </c>
      <c r="H476" s="172"/>
      <c r="I476" s="172"/>
      <c r="J476" s="71" t="s">
        <v>551</v>
      </c>
      <c r="K476" s="332"/>
      <c r="L476" s="326">
        <v>89</v>
      </c>
      <c r="M476" s="163">
        <f>M475+K476-L476</f>
        <v>4588.0957200003695</v>
      </c>
    </row>
    <row r="477" spans="1:13">
      <c r="A477" s="54" t="str">
        <f>D477&amp;E477&amp;F477</f>
        <v>HRTELEPEAJEOP HR</v>
      </c>
      <c r="B477" t="s">
        <v>515</v>
      </c>
      <c r="C477" s="1">
        <v>45722</v>
      </c>
      <c r="D477" s="71" t="s">
        <v>29</v>
      </c>
      <c r="E477" s="71" t="s">
        <v>186</v>
      </c>
      <c r="F477" s="143" t="s">
        <v>187</v>
      </c>
      <c r="G477" s="71" t="s">
        <v>216</v>
      </c>
      <c r="H477" s="172"/>
      <c r="I477" s="172"/>
      <c r="J477" s="71" t="s">
        <v>552</v>
      </c>
      <c r="K477" s="332"/>
      <c r="L477" s="326">
        <v>298</v>
      </c>
      <c r="M477" s="163">
        <f>M476+K477-L477</f>
        <v>4290.0957200003695</v>
      </c>
    </row>
    <row r="478" spans="1:13">
      <c r="A478" s="54" t="str">
        <f>D478&amp;E478&amp;F478</f>
        <v>SERVICIOSTELEPEAJECEDIS</v>
      </c>
      <c r="B478" t="s">
        <v>515</v>
      </c>
      <c r="C478" s="1">
        <v>45722</v>
      </c>
      <c r="D478" s="71" t="s">
        <v>21</v>
      </c>
      <c r="E478" s="71" t="s">
        <v>186</v>
      </c>
      <c r="F478" s="143" t="s">
        <v>28</v>
      </c>
      <c r="G478" s="71" t="s">
        <v>216</v>
      </c>
      <c r="H478" s="172"/>
      <c r="I478" s="172"/>
      <c r="J478" s="71" t="s">
        <v>350</v>
      </c>
      <c r="K478" s="332"/>
      <c r="L478" s="326">
        <v>4381</v>
      </c>
      <c r="M478" s="163">
        <f>M477+K478-L478</f>
        <v>-90.904279999630489</v>
      </c>
    </row>
    <row r="479" spans="1:13">
      <c r="A479" s="54" t="str">
        <f>D479&amp;E479&amp;F479</f>
        <v>HRFONDO Y REPOSICIONHR</v>
      </c>
      <c r="B479" t="s">
        <v>515</v>
      </c>
      <c r="C479" s="1">
        <v>45722</v>
      </c>
      <c r="D479" s="71" t="s">
        <v>29</v>
      </c>
      <c r="E479" s="71" t="s">
        <v>120</v>
      </c>
      <c r="F479" s="143" t="s">
        <v>29</v>
      </c>
      <c r="G479" s="71" t="s">
        <v>216</v>
      </c>
      <c r="H479" s="172"/>
      <c r="I479" s="172"/>
      <c r="J479" s="71" t="s">
        <v>553</v>
      </c>
      <c r="K479" s="332"/>
      <c r="L479" s="326">
        <v>1877</v>
      </c>
      <c r="M479" s="163">
        <f>M478+K479-L479</f>
        <v>-1967.9042799996305</v>
      </c>
    </row>
    <row r="480" spans="1:13">
      <c r="A480" s="54" t="str">
        <f>D480&amp;E480&amp;F480</f>
        <v>FINANZASTELEFONIATELCEL</v>
      </c>
      <c r="B480" t="s">
        <v>515</v>
      </c>
      <c r="C480" s="1">
        <v>45722</v>
      </c>
      <c r="D480" s="71" t="s">
        <v>23</v>
      </c>
      <c r="E480" s="71" t="s">
        <v>181</v>
      </c>
      <c r="F480" s="143" t="s">
        <v>183</v>
      </c>
      <c r="G480" s="71" t="s">
        <v>216</v>
      </c>
      <c r="H480" s="172"/>
      <c r="I480" s="172"/>
      <c r="J480" s="71" t="s">
        <v>554</v>
      </c>
      <c r="K480" s="321"/>
      <c r="L480" s="326">
        <v>4388.0200000000004</v>
      </c>
      <c r="M480" s="163">
        <f>M479+K480-L480</f>
        <v>-6355.9242799996309</v>
      </c>
    </row>
    <row r="481" spans="1:13">
      <c r="A481" s="54" t="str">
        <f>D481&amp;E481&amp;F481</f>
        <v>FINANZASTELEFONIATELCEL</v>
      </c>
      <c r="B481" t="s">
        <v>515</v>
      </c>
      <c r="C481" s="1">
        <v>45722</v>
      </c>
      <c r="D481" s="71" t="s">
        <v>23</v>
      </c>
      <c r="E481" s="71" t="s">
        <v>181</v>
      </c>
      <c r="F481" s="143" t="s">
        <v>183</v>
      </c>
      <c r="G481" s="71" t="s">
        <v>216</v>
      </c>
      <c r="H481" s="172"/>
      <c r="I481" s="172"/>
      <c r="J481" s="71" t="s">
        <v>555</v>
      </c>
      <c r="K481" s="321"/>
      <c r="L481" s="326">
        <f>4388.02+1923.94</f>
        <v>6311.9600000000009</v>
      </c>
      <c r="M481" s="163">
        <f>M480+K481-L481</f>
        <v>-12667.884279999631</v>
      </c>
    </row>
    <row r="482" spans="1:13">
      <c r="A482" s="54" t="str">
        <f>D482&amp;E482&amp;F482</f>
        <v>HRMKTMKT HR</v>
      </c>
      <c r="B482" t="s">
        <v>515</v>
      </c>
      <c r="C482" s="1">
        <v>45722</v>
      </c>
      <c r="D482" s="71" t="s">
        <v>29</v>
      </c>
      <c r="E482" s="71" t="s">
        <v>19</v>
      </c>
      <c r="F482" s="143" t="s">
        <v>138</v>
      </c>
      <c r="G482" s="71" t="s">
        <v>216</v>
      </c>
      <c r="H482" s="172"/>
      <c r="I482" s="172"/>
      <c r="J482" s="71" t="s">
        <v>556</v>
      </c>
      <c r="K482" s="321"/>
      <c r="L482" s="326">
        <v>1600</v>
      </c>
      <c r="M482" s="163">
        <f>M481+K482-L482</f>
        <v>-14267.884279999631</v>
      </c>
    </row>
    <row r="483" spans="1:13">
      <c r="A483" s="54" t="str">
        <f>D483&amp;E483&amp;F483</f>
        <v>SERVICIOSADQ DE EQ TECNOLOGICOADQ DE EQ TECNOLOGICO</v>
      </c>
      <c r="B483" t="s">
        <v>515</v>
      </c>
      <c r="C483" s="1">
        <v>45722</v>
      </c>
      <c r="D483" s="71" t="s">
        <v>21</v>
      </c>
      <c r="E483" s="71" t="s">
        <v>22</v>
      </c>
      <c r="F483" s="143" t="s">
        <v>22</v>
      </c>
      <c r="G483" s="71" t="s">
        <v>216</v>
      </c>
      <c r="H483" s="172"/>
      <c r="I483" s="172"/>
      <c r="J483" s="71" t="s">
        <v>557</v>
      </c>
      <c r="K483" s="321"/>
      <c r="L483" s="326">
        <v>747</v>
      </c>
      <c r="M483" s="163">
        <f>M482+K483-L483</f>
        <v>-15014.884279999631</v>
      </c>
    </row>
    <row r="484" spans="1:13">
      <c r="A484" s="54" t="str">
        <f>D484&amp;E484&amp;F484</f>
        <v>HRMKTMKT HR</v>
      </c>
      <c r="B484" t="s">
        <v>515</v>
      </c>
      <c r="C484" s="1">
        <v>45722</v>
      </c>
      <c r="D484" s="71" t="s">
        <v>29</v>
      </c>
      <c r="E484" s="71" t="s">
        <v>19</v>
      </c>
      <c r="F484" s="143" t="s">
        <v>138</v>
      </c>
      <c r="G484" s="71" t="s">
        <v>216</v>
      </c>
      <c r="H484" s="172"/>
      <c r="I484" s="172"/>
      <c r="J484" s="71" t="s">
        <v>558</v>
      </c>
      <c r="K484" s="321"/>
      <c r="L484" s="326">
        <v>800</v>
      </c>
      <c r="M484" s="163">
        <f>M483+K484-L484</f>
        <v>-15814.884279999631</v>
      </c>
    </row>
    <row r="485" spans="1:13">
      <c r="A485" s="54" t="str">
        <f>D485&amp;E485&amp;F485</f>
        <v>HRINSUMOSHR</v>
      </c>
      <c r="B485" t="s">
        <v>515</v>
      </c>
      <c r="C485" s="1">
        <v>45722</v>
      </c>
      <c r="D485" s="71" t="s">
        <v>29</v>
      </c>
      <c r="E485" s="71" t="s">
        <v>133</v>
      </c>
      <c r="F485" s="143" t="s">
        <v>29</v>
      </c>
      <c r="G485" s="71" t="s">
        <v>216</v>
      </c>
      <c r="H485" s="172"/>
      <c r="I485" s="172"/>
      <c r="J485" s="76" t="s">
        <v>559</v>
      </c>
      <c r="K485" s="332"/>
      <c r="L485" s="326">
        <v>128</v>
      </c>
      <c r="M485" s="163">
        <f>M484+K485-L485</f>
        <v>-15942.884279999631</v>
      </c>
    </row>
    <row r="486" spans="1:13">
      <c r="A486" s="54" t="str">
        <f>D486&amp;E486&amp;F486</f>
        <v>HRUBERHR</v>
      </c>
      <c r="B486" t="s">
        <v>515</v>
      </c>
      <c r="C486" s="1">
        <v>45722</v>
      </c>
      <c r="D486" s="71" t="s">
        <v>29</v>
      </c>
      <c r="E486" s="71" t="s">
        <v>189</v>
      </c>
      <c r="F486" s="143" t="s">
        <v>29</v>
      </c>
      <c r="G486" s="71" t="s">
        <v>216</v>
      </c>
      <c r="H486" s="172"/>
      <c r="I486" s="172"/>
      <c r="J486" s="76" t="s">
        <v>403</v>
      </c>
      <c r="K486" s="332"/>
      <c r="L486" s="528">
        <v>100</v>
      </c>
      <c r="M486" s="163">
        <f>M485+K486-L486</f>
        <v>-16042.884279999631</v>
      </c>
    </row>
    <row r="487" spans="1:13">
      <c r="A487" s="54" t="str">
        <f>D487&amp;E487&amp;F487</f>
        <v>HRINSUMOSHR</v>
      </c>
      <c r="B487" t="s">
        <v>515</v>
      </c>
      <c r="C487" s="1">
        <v>45722</v>
      </c>
      <c r="D487" s="71" t="s">
        <v>29</v>
      </c>
      <c r="E487" s="71" t="s">
        <v>133</v>
      </c>
      <c r="F487" s="143" t="s">
        <v>29</v>
      </c>
      <c r="G487" s="71" t="s">
        <v>216</v>
      </c>
      <c r="H487" s="172"/>
      <c r="I487" s="172"/>
      <c r="J487" s="76" t="s">
        <v>560</v>
      </c>
      <c r="K487" s="332"/>
      <c r="L487" s="326">
        <v>430</v>
      </c>
      <c r="M487" s="163">
        <f>M486+K487-L487</f>
        <v>-16472.884279999631</v>
      </c>
    </row>
    <row r="488" spans="1:13">
      <c r="A488" s="54" t="str">
        <f>D488&amp;E488&amp;F488</f>
        <v>HRUBERHR</v>
      </c>
      <c r="B488" t="s">
        <v>515</v>
      </c>
      <c r="C488" s="1">
        <v>45722</v>
      </c>
      <c r="D488" s="71" t="s">
        <v>29</v>
      </c>
      <c r="E488" s="71" t="s">
        <v>189</v>
      </c>
      <c r="F488" s="143" t="s">
        <v>29</v>
      </c>
      <c r="G488" s="71" t="s">
        <v>216</v>
      </c>
      <c r="H488" s="172"/>
      <c r="I488" s="172"/>
      <c r="J488" s="76" t="s">
        <v>456</v>
      </c>
      <c r="K488" s="332"/>
      <c r="L488" s="528">
        <v>302</v>
      </c>
      <c r="M488" s="163">
        <f>M487+K488-L488</f>
        <v>-16774.884279999631</v>
      </c>
    </row>
    <row r="489" spans="1:13">
      <c r="A489" s="54" t="str">
        <f>D489&amp;E489&amp;F489</f>
        <v>SERVICIOSMTTO DE EDIFICIOMANTENIMIENTO</v>
      </c>
      <c r="B489" t="s">
        <v>515</v>
      </c>
      <c r="C489" s="1">
        <v>45722</v>
      </c>
      <c r="D489" s="71" t="s">
        <v>21</v>
      </c>
      <c r="E489" s="71" t="s">
        <v>142</v>
      </c>
      <c r="F489" s="143" t="s">
        <v>35</v>
      </c>
      <c r="G489" s="71" t="s">
        <v>216</v>
      </c>
      <c r="H489" s="172"/>
      <c r="I489" s="172"/>
      <c r="J489" s="76" t="s">
        <v>561</v>
      </c>
      <c r="K489" s="332"/>
      <c r="L489" s="326">
        <v>1900</v>
      </c>
      <c r="M489" s="163">
        <f>M488+K489-L489</f>
        <v>-18674.884279999631</v>
      </c>
    </row>
    <row r="490" spans="1:13">
      <c r="A490" s="54" t="str">
        <f>D490&amp;E490&amp;F490</f>
        <v>CAPUBERCAP</v>
      </c>
      <c r="B490" t="s">
        <v>515</v>
      </c>
      <c r="C490" s="1">
        <v>45722</v>
      </c>
      <c r="D490" s="71" t="s">
        <v>31</v>
      </c>
      <c r="E490" s="71" t="s">
        <v>189</v>
      </c>
      <c r="F490" s="143" t="s">
        <v>31</v>
      </c>
      <c r="G490" s="71" t="s">
        <v>216</v>
      </c>
      <c r="H490" s="172"/>
      <c r="I490" s="172"/>
      <c r="J490" s="76" t="s">
        <v>544</v>
      </c>
      <c r="K490" s="322"/>
      <c r="L490" s="527">
        <v>330</v>
      </c>
      <c r="M490" s="163">
        <f>M489+K490-L490</f>
        <v>-19004.884279999631</v>
      </c>
    </row>
    <row r="491" spans="1:13">
      <c r="A491" s="54" t="str">
        <f>D491&amp;E491&amp;F491</f>
        <v>CAPUBERCAP</v>
      </c>
      <c r="B491" t="s">
        <v>515</v>
      </c>
      <c r="C491" s="1">
        <v>45722</v>
      </c>
      <c r="D491" s="71" t="s">
        <v>31</v>
      </c>
      <c r="E491" s="71" t="s">
        <v>189</v>
      </c>
      <c r="F491" s="143" t="s">
        <v>31</v>
      </c>
      <c r="G491" s="71" t="s">
        <v>216</v>
      </c>
      <c r="H491" s="172"/>
      <c r="I491" s="172"/>
      <c r="J491" s="76" t="s">
        <v>257</v>
      </c>
      <c r="K491" s="332"/>
      <c r="L491" s="528">
        <v>190</v>
      </c>
      <c r="M491" s="163">
        <f>M490+K491-L491</f>
        <v>-19194.884279999631</v>
      </c>
    </row>
    <row r="492" spans="1:13">
      <c r="A492" s="54" t="str">
        <f t="shared" si="7"/>
        <v/>
      </c>
      <c r="B492" t="s">
        <v>515</v>
      </c>
      <c r="C492" s="1">
        <v>45723</v>
      </c>
      <c r="D492" s="71"/>
      <c r="F492" s="143"/>
      <c r="H492" s="172"/>
      <c r="I492" s="172"/>
      <c r="J492" s="71" t="s">
        <v>260</v>
      </c>
      <c r="K492" s="346">
        <v>139953.93</v>
      </c>
      <c r="L492" s="321"/>
      <c r="M492" s="163">
        <f>M491+K492-L492</f>
        <v>120759.04572000036</v>
      </c>
    </row>
    <row r="493" spans="1:13">
      <c r="A493" s="54" t="str">
        <f t="shared" si="7"/>
        <v/>
      </c>
      <c r="B493" t="s">
        <v>515</v>
      </c>
      <c r="C493" s="1">
        <v>45723</v>
      </c>
      <c r="D493" s="71"/>
      <c r="F493" s="143"/>
      <c r="H493" s="172"/>
      <c r="I493" s="172"/>
      <c r="J493" s="71" t="s">
        <v>562</v>
      </c>
      <c r="K493" s="332">
        <v>860</v>
      </c>
      <c r="L493" s="321"/>
      <c r="M493" s="163">
        <f>M492+K493-L493</f>
        <v>121619.04572000036</v>
      </c>
    </row>
    <row r="494" spans="1:13">
      <c r="A494" s="54" t="str">
        <f>D494&amp;E494&amp;F494</f>
        <v>FINANZASCOMISIONES BANCARIASTPV</v>
      </c>
      <c r="B494" t="s">
        <v>515</v>
      </c>
      <c r="C494" s="1">
        <v>45723</v>
      </c>
      <c r="D494" s="71" t="s">
        <v>23</v>
      </c>
      <c r="E494" s="71" t="s">
        <v>48</v>
      </c>
      <c r="F494" s="143" t="s">
        <v>50</v>
      </c>
      <c r="G494" s="71" t="s">
        <v>216</v>
      </c>
      <c r="H494" s="172"/>
      <c r="I494" s="172"/>
      <c r="J494" s="233" t="s">
        <v>217</v>
      </c>
      <c r="K494" s="332"/>
      <c r="L494" s="337">
        <f>174+107.23+321.45+1199.21+1072.65</f>
        <v>2874.54</v>
      </c>
      <c r="M494" s="163">
        <f>M493+K494-L494</f>
        <v>118744.50572000036</v>
      </c>
    </row>
    <row r="495" spans="1:13">
      <c r="A495" s="54" t="str">
        <f t="shared" si="7"/>
        <v/>
      </c>
      <c r="B495" t="s">
        <v>515</v>
      </c>
      <c r="C495" s="1">
        <v>45723</v>
      </c>
      <c r="D495" s="71"/>
      <c r="F495" s="143"/>
      <c r="H495" s="172"/>
      <c r="I495" s="234" t="s">
        <v>221</v>
      </c>
      <c r="J495" s="205" t="s">
        <v>563</v>
      </c>
      <c r="K495" s="206"/>
      <c r="L495" s="206">
        <v>60000</v>
      </c>
      <c r="M495" s="163">
        <f>M494+K495-L495</f>
        <v>58744.505720000365</v>
      </c>
    </row>
    <row r="496" spans="1:13">
      <c r="A496" s="54" t="str">
        <f>D496&amp;E496&amp;F496</f>
        <v>HRENERGIA ELECTRICAA23</v>
      </c>
      <c r="B496" t="s">
        <v>515</v>
      </c>
      <c r="C496" s="1">
        <v>45723</v>
      </c>
      <c r="D496" s="71" t="s">
        <v>29</v>
      </c>
      <c r="E496" s="71" t="s">
        <v>87</v>
      </c>
      <c r="F496" s="143" t="s">
        <v>105</v>
      </c>
      <c r="G496" s="71" t="s">
        <v>216</v>
      </c>
      <c r="H496" s="172"/>
      <c r="I496" s="172"/>
      <c r="J496" s="220" t="s">
        <v>225</v>
      </c>
      <c r="K496" s="332"/>
      <c r="L496" s="326">
        <v>3603</v>
      </c>
      <c r="M496" s="163">
        <f>M495+K496-L496</f>
        <v>55141.505720000365</v>
      </c>
    </row>
    <row r="497" spans="1:13">
      <c r="A497" s="54" t="str">
        <f t="shared" si="7"/>
        <v>COMBUSTIBLE</v>
      </c>
      <c r="B497" t="s">
        <v>515</v>
      </c>
      <c r="C497" s="1">
        <v>45723</v>
      </c>
      <c r="D497" s="71"/>
      <c r="E497" s="71" t="s">
        <v>32</v>
      </c>
      <c r="F497" s="143"/>
      <c r="G497" s="71" t="s">
        <v>216</v>
      </c>
      <c r="H497" s="172"/>
      <c r="I497" s="172"/>
      <c r="J497" s="71" t="s">
        <v>564</v>
      </c>
      <c r="K497" s="332"/>
      <c r="L497" s="326">
        <v>32618.2</v>
      </c>
      <c r="M497" s="163">
        <f>M496+K497-L497</f>
        <v>22523.305720000364</v>
      </c>
    </row>
    <row r="498" spans="1:13">
      <c r="A498" s="54" t="str">
        <f>D498&amp;E498&amp;F498</f>
        <v>SERVICIOSMTTO DE EDIFICIOMANTENIMIENTO</v>
      </c>
      <c r="B498" t="s">
        <v>515</v>
      </c>
      <c r="C498" s="1">
        <v>45723</v>
      </c>
      <c r="D498" s="71" t="s">
        <v>21</v>
      </c>
      <c r="E498" s="71" t="s">
        <v>142</v>
      </c>
      <c r="F498" s="143" t="s">
        <v>35</v>
      </c>
      <c r="G498" s="71" t="s">
        <v>216</v>
      </c>
      <c r="H498" s="172"/>
      <c r="I498" s="172"/>
      <c r="J498" s="71" t="s">
        <v>565</v>
      </c>
      <c r="K498" s="332"/>
      <c r="L498" s="326">
        <v>400</v>
      </c>
      <c r="M498" s="163">
        <f>M497+K498-L498</f>
        <v>22123.305720000364</v>
      </c>
    </row>
    <row r="499" spans="1:13">
      <c r="A499" s="54" t="str">
        <f>D499&amp;E499&amp;F499</f>
        <v>SERVICIOSALARMASUCURSALES CAPRICHOS</v>
      </c>
      <c r="B499" t="s">
        <v>515</v>
      </c>
      <c r="C499" s="1">
        <v>45723</v>
      </c>
      <c r="D499" s="71" t="s">
        <v>21</v>
      </c>
      <c r="E499" s="71" t="s">
        <v>25</v>
      </c>
      <c r="F499" s="143" t="s">
        <v>27</v>
      </c>
      <c r="G499" s="71" t="s">
        <v>216</v>
      </c>
      <c r="H499" s="172"/>
      <c r="I499" s="172"/>
      <c r="J499" s="71" t="s">
        <v>566</v>
      </c>
      <c r="K499" s="321"/>
      <c r="L499" s="326">
        <v>386.4</v>
      </c>
      <c r="M499" s="163">
        <f>M498+K499-L499</f>
        <v>21736.905720000363</v>
      </c>
    </row>
    <row r="500" spans="1:13">
      <c r="A500" s="54" t="str">
        <f>D500&amp;E500&amp;F500</f>
        <v>SERVICIOSADQ DE EQ TECNOLOGICOADQ DE EQ TECNOLOGICO</v>
      </c>
      <c r="B500" t="s">
        <v>515</v>
      </c>
      <c r="C500" s="1">
        <v>45723</v>
      </c>
      <c r="D500" s="71" t="s">
        <v>21</v>
      </c>
      <c r="E500" s="71" t="s">
        <v>22</v>
      </c>
      <c r="F500" s="143" t="s">
        <v>22</v>
      </c>
      <c r="G500" s="71" t="s">
        <v>216</v>
      </c>
      <c r="H500" s="172"/>
      <c r="I500" s="172"/>
      <c r="J500" s="71" t="s">
        <v>567</v>
      </c>
      <c r="K500" s="321"/>
      <c r="L500" s="326">
        <v>1400</v>
      </c>
      <c r="M500" s="163">
        <f>M499+K500-L500</f>
        <v>20336.905720000363</v>
      </c>
    </row>
    <row r="501" spans="1:13">
      <c r="A501" s="54" t="str">
        <f>D501&amp;E501&amp;F501</f>
        <v>SERVICIOSMTTO DE EDIFICIOMANTENIMIENTO</v>
      </c>
      <c r="B501" t="s">
        <v>515</v>
      </c>
      <c r="C501" s="1">
        <v>45723</v>
      </c>
      <c r="D501" s="71" t="s">
        <v>21</v>
      </c>
      <c r="E501" s="71" t="s">
        <v>142</v>
      </c>
      <c r="F501" s="143" t="s">
        <v>35</v>
      </c>
      <c r="G501" s="71" t="s">
        <v>216</v>
      </c>
      <c r="H501" s="172"/>
      <c r="I501" s="172"/>
      <c r="J501" s="71" t="s">
        <v>568</v>
      </c>
      <c r="K501" s="321"/>
      <c r="L501" s="326">
        <v>3700</v>
      </c>
      <c r="M501" s="163">
        <f>M500+K501-L501</f>
        <v>16636.905720000363</v>
      </c>
    </row>
    <row r="502" spans="1:13">
      <c r="A502" s="54" t="str">
        <f>D502&amp;E502&amp;F502</f>
        <v>SERVICIOSMTTO EQ DE TRANSPORTECEDIS</v>
      </c>
      <c r="B502" t="s">
        <v>515</v>
      </c>
      <c r="C502" s="1">
        <v>45723</v>
      </c>
      <c r="D502" s="71" t="s">
        <v>21</v>
      </c>
      <c r="E502" s="71" t="s">
        <v>144</v>
      </c>
      <c r="F502" s="143" t="s">
        <v>28</v>
      </c>
      <c r="G502" s="71" t="s">
        <v>258</v>
      </c>
      <c r="H502" s="172"/>
      <c r="I502" s="172"/>
      <c r="J502" s="71" t="s">
        <v>569</v>
      </c>
      <c r="K502" s="321"/>
      <c r="L502" s="208">
        <v>10000</v>
      </c>
      <c r="M502" s="163">
        <f>M501+K502-L502</f>
        <v>6636.9057200003626</v>
      </c>
    </row>
    <row r="503" spans="1:13">
      <c r="A503" s="54" t="str">
        <f>D503&amp;E503&amp;F503</f>
        <v>SERVICIOSFONDO Y REPOSICIONSERVICIOS</v>
      </c>
      <c r="B503" t="s">
        <v>515</v>
      </c>
      <c r="C503" s="1">
        <v>45723</v>
      </c>
      <c r="D503" s="71" t="s">
        <v>21</v>
      </c>
      <c r="E503" s="71" t="s">
        <v>120</v>
      </c>
      <c r="F503" s="143" t="s">
        <v>21</v>
      </c>
      <c r="G503" s="71" t="s">
        <v>216</v>
      </c>
      <c r="H503" s="172"/>
      <c r="I503" s="172"/>
      <c r="J503" s="71" t="s">
        <v>570</v>
      </c>
      <c r="K503" s="321"/>
      <c r="L503" s="326">
        <v>2000</v>
      </c>
      <c r="M503" s="163">
        <f>M502+K503-L503</f>
        <v>4636.9057200003626</v>
      </c>
    </row>
    <row r="504" spans="1:13">
      <c r="A504" s="54" t="str">
        <f>D504&amp;E504&amp;F504</f>
        <v>SERVICIOSVIATICOSCEDIS</v>
      </c>
      <c r="B504" t="s">
        <v>515</v>
      </c>
      <c r="C504" s="1">
        <v>45723</v>
      </c>
      <c r="D504" s="71" t="s">
        <v>21</v>
      </c>
      <c r="E504" s="71" t="s">
        <v>191</v>
      </c>
      <c r="F504" s="143" t="s">
        <v>28</v>
      </c>
      <c r="G504" s="71" t="s">
        <v>216</v>
      </c>
      <c r="H504" s="172"/>
      <c r="I504" s="172"/>
      <c r="J504" s="71" t="s">
        <v>510</v>
      </c>
      <c r="K504" s="332"/>
      <c r="L504" s="326">
        <v>2050</v>
      </c>
      <c r="M504" s="163">
        <f>M503+K504-L504</f>
        <v>2586.9057200003626</v>
      </c>
    </row>
    <row r="505" spans="1:13">
      <c r="A505" s="54" t="str">
        <f>D505&amp;E505&amp;F505</f>
        <v>FINANZASCUOTAS Y SUSCRIPCIONESCONTPAQ</v>
      </c>
      <c r="B505" t="s">
        <v>515</v>
      </c>
      <c r="C505" s="1">
        <v>45723</v>
      </c>
      <c r="D505" s="71" t="s">
        <v>23</v>
      </c>
      <c r="E505" s="178" t="s">
        <v>51</v>
      </c>
      <c r="F505" s="143" t="s">
        <v>73</v>
      </c>
      <c r="G505" s="71" t="s">
        <v>216</v>
      </c>
      <c r="H505" s="172"/>
      <c r="I505" s="172"/>
      <c r="J505" s="71" t="s">
        <v>571</v>
      </c>
      <c r="K505" s="322"/>
      <c r="L505" s="323">
        <v>7528.4</v>
      </c>
      <c r="M505" s="163">
        <f>M504+K505-L505</f>
        <v>-4941.494279999637</v>
      </c>
    </row>
    <row r="506" spans="1:13">
      <c r="A506" s="54" t="str">
        <f t="shared" si="7"/>
        <v/>
      </c>
      <c r="B506" t="s">
        <v>515</v>
      </c>
      <c r="C506" s="1">
        <v>45723</v>
      </c>
      <c r="D506" s="71"/>
      <c r="E506" s="178"/>
      <c r="F506" s="143"/>
      <c r="H506" s="172"/>
      <c r="I506" s="172"/>
      <c r="J506" s="71" t="s">
        <v>572</v>
      </c>
      <c r="K506" s="322"/>
      <c r="L506" s="323">
        <v>3232.3</v>
      </c>
      <c r="M506" s="163">
        <f>M505+K506-L506</f>
        <v>-8173.7942799996372</v>
      </c>
    </row>
    <row r="507" spans="1:13">
      <c r="A507" s="54" t="str">
        <f>D507&amp;E507&amp;F507</f>
        <v>SERVICIOSMTTO DE EDIFICIOMANTENIMIENTO</v>
      </c>
      <c r="B507" t="s">
        <v>515</v>
      </c>
      <c r="C507" s="1">
        <v>45723</v>
      </c>
      <c r="D507" s="71" t="s">
        <v>21</v>
      </c>
      <c r="E507" s="71" t="s">
        <v>142</v>
      </c>
      <c r="F507" s="143" t="s">
        <v>35</v>
      </c>
      <c r="G507" s="71" t="s">
        <v>216</v>
      </c>
      <c r="H507" s="172"/>
      <c r="I507" s="172"/>
      <c r="J507" s="76" t="s">
        <v>573</v>
      </c>
      <c r="K507" s="332"/>
      <c r="L507" s="331">
        <v>400</v>
      </c>
      <c r="M507" s="163">
        <f>M506+K507-L507</f>
        <v>-8573.7942799996381</v>
      </c>
    </row>
    <row r="508" spans="1:13">
      <c r="A508" s="54" t="str">
        <f>D508&amp;E508&amp;F508</f>
        <v>HRUBERHR</v>
      </c>
      <c r="B508" t="s">
        <v>515</v>
      </c>
      <c r="C508" s="1">
        <v>45723</v>
      </c>
      <c r="D508" s="71" t="s">
        <v>29</v>
      </c>
      <c r="E508" s="71" t="s">
        <v>189</v>
      </c>
      <c r="F508" s="143" t="s">
        <v>29</v>
      </c>
      <c r="G508" s="71" t="s">
        <v>216</v>
      </c>
      <c r="H508" s="172"/>
      <c r="I508" s="172"/>
      <c r="J508" s="76" t="s">
        <v>249</v>
      </c>
      <c r="K508" s="332"/>
      <c r="L508" s="526">
        <v>70</v>
      </c>
      <c r="M508" s="163">
        <f>M507+K508-L508</f>
        <v>-8643.7942799996381</v>
      </c>
    </row>
    <row r="509" spans="1:13">
      <c r="A509" s="54" t="str">
        <f>D509&amp;E509&amp;F509</f>
        <v>HRUBERHR</v>
      </c>
      <c r="B509" t="s">
        <v>515</v>
      </c>
      <c r="C509" s="1">
        <v>45723</v>
      </c>
      <c r="D509" s="71" t="s">
        <v>29</v>
      </c>
      <c r="E509" s="71" t="s">
        <v>189</v>
      </c>
      <c r="F509" s="143" t="s">
        <v>29</v>
      </c>
      <c r="G509" s="71" t="s">
        <v>216</v>
      </c>
      <c r="H509" s="172"/>
      <c r="I509" s="172"/>
      <c r="J509" s="76" t="s">
        <v>456</v>
      </c>
      <c r="K509" s="332"/>
      <c r="L509" s="526">
        <v>582</v>
      </c>
      <c r="M509" s="163">
        <f>M508+K509-L509</f>
        <v>-9225.7942799996381</v>
      </c>
    </row>
    <row r="510" spans="1:13">
      <c r="A510" s="54" t="str">
        <f>D510&amp;E510&amp;F510</f>
        <v>CAPUBERCAP</v>
      </c>
      <c r="B510" t="s">
        <v>515</v>
      </c>
      <c r="C510" s="1">
        <v>45723</v>
      </c>
      <c r="D510" s="71" t="s">
        <v>31</v>
      </c>
      <c r="E510" s="71" t="s">
        <v>189</v>
      </c>
      <c r="F510" s="143" t="s">
        <v>31</v>
      </c>
      <c r="G510" s="71" t="s">
        <v>216</v>
      </c>
      <c r="H510" s="172"/>
      <c r="I510" s="172"/>
      <c r="J510" s="76" t="s">
        <v>544</v>
      </c>
      <c r="K510" s="332"/>
      <c r="L510" s="526">
        <v>700</v>
      </c>
      <c r="M510" s="163">
        <f>M509+K510-L510</f>
        <v>-9925.7942799996381</v>
      </c>
    </row>
    <row r="511" spans="1:13">
      <c r="A511" s="54" t="str">
        <f>D511&amp;E511&amp;F511</f>
        <v>CAPINSUMOSCAPRICHOS</v>
      </c>
      <c r="B511" t="s">
        <v>515</v>
      </c>
      <c r="C511" s="1">
        <v>45723</v>
      </c>
      <c r="D511" s="71" t="s">
        <v>31</v>
      </c>
      <c r="E511" s="71" t="s">
        <v>133</v>
      </c>
      <c r="F511" s="143" t="s">
        <v>33</v>
      </c>
      <c r="G511" s="71" t="s">
        <v>216</v>
      </c>
      <c r="H511" s="172"/>
      <c r="I511" s="172"/>
      <c r="J511" s="76" t="s">
        <v>406</v>
      </c>
      <c r="K511" s="332"/>
      <c r="L511" s="331">
        <v>200</v>
      </c>
      <c r="M511" s="163">
        <f>M510+K511-L511</f>
        <v>-10125.794279999638</v>
      </c>
    </row>
    <row r="512" spans="1:13">
      <c r="A512" s="54" t="str">
        <f>D512&amp;E512&amp;F512</f>
        <v>CAPUBERCAP</v>
      </c>
      <c r="B512" t="s">
        <v>515</v>
      </c>
      <c r="C512" s="1">
        <v>45723</v>
      </c>
      <c r="D512" s="71" t="s">
        <v>31</v>
      </c>
      <c r="E512" s="71" t="s">
        <v>189</v>
      </c>
      <c r="F512" s="143" t="s">
        <v>31</v>
      </c>
      <c r="G512" s="71" t="s">
        <v>216</v>
      </c>
      <c r="H512" s="172"/>
      <c r="I512" s="172"/>
      <c r="J512" s="76" t="s">
        <v>257</v>
      </c>
      <c r="K512" s="332"/>
      <c r="L512" s="526">
        <v>150</v>
      </c>
      <c r="M512" s="163">
        <f>M511+K512-L512</f>
        <v>-10275.794279999638</v>
      </c>
    </row>
    <row r="513" spans="1:13">
      <c r="A513" s="54" t="str">
        <f>D513&amp;E513&amp;F513</f>
        <v>FINANZASFALTANTESFALTANTES</v>
      </c>
      <c r="B513" t="s">
        <v>515</v>
      </c>
      <c r="C513" s="1">
        <v>45723</v>
      </c>
      <c r="D513" s="71" t="s">
        <v>23</v>
      </c>
      <c r="E513" s="71" t="s">
        <v>119</v>
      </c>
      <c r="F513" s="143" t="s">
        <v>119</v>
      </c>
      <c r="G513" s="71" t="s">
        <v>258</v>
      </c>
      <c r="H513" s="172"/>
      <c r="I513" s="172"/>
      <c r="J513" s="76" t="s">
        <v>574</v>
      </c>
      <c r="K513" s="332"/>
      <c r="L513" s="331">
        <v>4962.4399999999996</v>
      </c>
      <c r="M513" s="163">
        <f>M512+K513-L513</f>
        <v>-15238.234279999637</v>
      </c>
    </row>
    <row r="514" spans="1:13">
      <c r="A514" s="54" t="str">
        <f>D514&amp;E514&amp;F514</f>
        <v>FINANZASIMSS/INFONAVITIMSS/INFONAVIT</v>
      </c>
      <c r="B514" t="s">
        <v>515</v>
      </c>
      <c r="C514" s="1">
        <v>45723</v>
      </c>
      <c r="D514" s="71" t="s">
        <v>23</v>
      </c>
      <c r="E514" s="71" t="s">
        <v>132</v>
      </c>
      <c r="F514" s="143" t="s">
        <v>132</v>
      </c>
      <c r="G514" s="71" t="s">
        <v>258</v>
      </c>
      <c r="H514" s="172"/>
      <c r="I514" s="172"/>
      <c r="J514" s="71" t="s">
        <v>575</v>
      </c>
      <c r="K514" s="332"/>
      <c r="L514" s="326">
        <v>7840</v>
      </c>
      <c r="M514" s="163">
        <f>M513+K514-L514</f>
        <v>-23078.234279999637</v>
      </c>
    </row>
    <row r="515" spans="1:13">
      <c r="A515" s="54" t="str">
        <f>D515&amp;E515&amp;F515</f>
        <v>FINANZASFONDO Y REPOSICIONFINANZAS</v>
      </c>
      <c r="B515" t="s">
        <v>515</v>
      </c>
      <c r="C515" s="1">
        <v>45723</v>
      </c>
      <c r="D515" s="71" t="s">
        <v>23</v>
      </c>
      <c r="E515" s="71" t="s">
        <v>120</v>
      </c>
      <c r="F515" s="143" t="s">
        <v>23</v>
      </c>
      <c r="G515" s="71" t="s">
        <v>216</v>
      </c>
      <c r="H515" s="172"/>
      <c r="I515" s="172"/>
      <c r="J515" s="71" t="s">
        <v>576</v>
      </c>
      <c r="K515" s="332"/>
      <c r="L515" s="326">
        <v>300</v>
      </c>
      <c r="M515" s="163">
        <f>M514+K515-L515</f>
        <v>-23378.234279999637</v>
      </c>
    </row>
    <row r="516" spans="1:13">
      <c r="A516" s="54" t="str">
        <f>D516&amp;E516&amp;F516</f>
        <v>FINANZASTELEFONIATELCEL</v>
      </c>
      <c r="B516" t="s">
        <v>515</v>
      </c>
      <c r="C516" s="1">
        <v>45723</v>
      </c>
      <c r="D516" s="71" t="s">
        <v>23</v>
      </c>
      <c r="E516" s="71" t="s">
        <v>181</v>
      </c>
      <c r="F516" s="143" t="s">
        <v>183</v>
      </c>
      <c r="G516" s="71" t="s">
        <v>258</v>
      </c>
      <c r="H516" s="172"/>
      <c r="I516" s="172"/>
      <c r="J516" s="71" t="s">
        <v>555</v>
      </c>
      <c r="K516" s="332"/>
      <c r="L516" s="326">
        <v>6311.96</v>
      </c>
      <c r="M516" s="163">
        <f>M515+K516-L516</f>
        <v>-29690.194279999636</v>
      </c>
    </row>
    <row r="517" spans="1:13">
      <c r="A517" s="54" t="str">
        <f t="shared" si="7"/>
        <v/>
      </c>
      <c r="B517" t="s">
        <v>515</v>
      </c>
      <c r="C517" s="1">
        <v>45726</v>
      </c>
      <c r="D517" s="71"/>
      <c r="F517" s="143"/>
      <c r="H517" s="172"/>
      <c r="I517" s="172"/>
      <c r="J517" s="71" t="s">
        <v>260</v>
      </c>
      <c r="K517" s="346">
        <v>686375</v>
      </c>
      <c r="L517" s="332"/>
      <c r="M517" s="163">
        <f>M516+K517-L517</f>
        <v>656684.80572000041</v>
      </c>
    </row>
    <row r="518" spans="1:13">
      <c r="A518" s="54" t="str">
        <f>D518&amp;E518&amp;F518</f>
        <v>FINANZASCOMISIONES BANCARIASTPV</v>
      </c>
      <c r="B518" t="s">
        <v>515</v>
      </c>
      <c r="C518" s="1">
        <v>45726</v>
      </c>
      <c r="D518" s="71" t="s">
        <v>23</v>
      </c>
      <c r="E518" s="71" t="s">
        <v>48</v>
      </c>
      <c r="F518" s="143" t="s">
        <v>50</v>
      </c>
      <c r="G518" s="71" t="s">
        <v>216</v>
      </c>
      <c r="H518" s="172"/>
      <c r="I518" s="172"/>
      <c r="J518" s="233" t="s">
        <v>217</v>
      </c>
      <c r="K518" s="332"/>
      <c r="L518" s="326">
        <f>267.6+2058.95+283.29+4927.2+5792.68</f>
        <v>13329.72</v>
      </c>
      <c r="M518" s="163">
        <f>M517+K518-L518</f>
        <v>643355.08572000044</v>
      </c>
    </row>
    <row r="519" spans="1:13">
      <c r="A519" s="54" t="str">
        <f t="shared" ref="A519:A582" si="8">D519&amp;E519&amp;F519</f>
        <v/>
      </c>
      <c r="B519" t="s">
        <v>515</v>
      </c>
      <c r="C519" s="1">
        <v>45726</v>
      </c>
      <c r="D519" s="71"/>
      <c r="F519" s="143"/>
      <c r="H519" s="172"/>
      <c r="I519" s="172"/>
      <c r="J519" s="205" t="s">
        <v>577</v>
      </c>
      <c r="K519" s="206"/>
      <c r="L519" s="206">
        <v>400000</v>
      </c>
      <c r="M519" s="163">
        <f>M518+K519-L519</f>
        <v>243355.08572000044</v>
      </c>
    </row>
    <row r="520" spans="1:13">
      <c r="A520" s="54" t="str">
        <f t="shared" si="8"/>
        <v/>
      </c>
      <c r="B520" t="s">
        <v>515</v>
      </c>
      <c r="C520" s="1">
        <v>45726</v>
      </c>
      <c r="D520" s="71"/>
      <c r="F520" s="143"/>
      <c r="H520" s="172"/>
      <c r="I520" s="172"/>
      <c r="J520" s="205" t="s">
        <v>563</v>
      </c>
      <c r="K520" s="206"/>
      <c r="L520" s="206">
        <v>200000</v>
      </c>
      <c r="M520" s="163">
        <f>M519+K520-L520</f>
        <v>43355.085720000439</v>
      </c>
    </row>
    <row r="521" spans="1:13">
      <c r="A521" s="54" t="str">
        <f>D521&amp;E521&amp;F521</f>
        <v>HRENERGIA ELECTRICAA1</v>
      </c>
      <c r="B521" t="s">
        <v>515</v>
      </c>
      <c r="C521" s="1">
        <v>45726</v>
      </c>
      <c r="D521" s="71" t="s">
        <v>29</v>
      </c>
      <c r="E521" s="71" t="s">
        <v>87</v>
      </c>
      <c r="F521" s="143" t="s">
        <v>88</v>
      </c>
      <c r="G521" s="71" t="s">
        <v>216</v>
      </c>
      <c r="H521" s="172"/>
      <c r="I521" s="172"/>
      <c r="J521" s="71" t="s">
        <v>302</v>
      </c>
      <c r="K521" s="332"/>
      <c r="L521" s="326">
        <v>6267</v>
      </c>
      <c r="M521" s="163">
        <f>M520+K521-L521</f>
        <v>37088.085720000439</v>
      </c>
    </row>
    <row r="522" spans="1:13">
      <c r="A522" s="54" t="str">
        <f>D522&amp;E522&amp;F522</f>
        <v>HRENERGIA ELECTRICAA9</v>
      </c>
      <c r="B522" t="s">
        <v>515</v>
      </c>
      <c r="C522" s="1">
        <v>45726</v>
      </c>
      <c r="D522" s="71" t="s">
        <v>29</v>
      </c>
      <c r="E522" s="71" t="s">
        <v>87</v>
      </c>
      <c r="F522" s="143" t="s">
        <v>95</v>
      </c>
      <c r="G522" s="71" t="s">
        <v>216</v>
      </c>
      <c r="H522" s="172"/>
      <c r="I522" s="172"/>
      <c r="J522" s="71" t="s">
        <v>578</v>
      </c>
      <c r="K522" s="332"/>
      <c r="L522" s="326">
        <v>11955</v>
      </c>
      <c r="M522" s="163">
        <f>M521+K522-L522</f>
        <v>25133.085720000439</v>
      </c>
    </row>
    <row r="523" spans="1:13">
      <c r="A523" s="54" t="str">
        <f>D523&amp;E523&amp;F523</f>
        <v>FINANZASRECOLECCION DE BASURACEDIS</v>
      </c>
      <c r="B523" t="s">
        <v>515</v>
      </c>
      <c r="C523" s="1">
        <v>45726</v>
      </c>
      <c r="D523" s="71" t="s">
        <v>23</v>
      </c>
      <c r="E523" s="71" t="s">
        <v>166</v>
      </c>
      <c r="F523" s="143" t="s">
        <v>28</v>
      </c>
      <c r="G523" s="71" t="s">
        <v>258</v>
      </c>
      <c r="H523" s="172"/>
      <c r="I523" s="172"/>
      <c r="J523" s="71" t="s">
        <v>579</v>
      </c>
      <c r="K523" s="332"/>
      <c r="L523" s="326">
        <v>2607.75</v>
      </c>
      <c r="M523" s="163">
        <f>M522+K523-L523</f>
        <v>22525.335720000439</v>
      </c>
    </row>
    <row r="524" spans="1:13">
      <c r="A524" s="54" t="str">
        <f>D524&amp;E524&amp;F524</f>
        <v>SERVICIOSPAQUETERIACEDIS (E6)</v>
      </c>
      <c r="B524" t="s">
        <v>515</v>
      </c>
      <c r="C524" s="1">
        <v>45726</v>
      </c>
      <c r="D524" s="71" t="s">
        <v>21</v>
      </c>
      <c r="E524" s="71" t="s">
        <v>160</v>
      </c>
      <c r="F524" s="143" t="s">
        <v>161</v>
      </c>
      <c r="G524" s="71" t="s">
        <v>216</v>
      </c>
      <c r="H524" s="172"/>
      <c r="I524" s="172"/>
      <c r="J524" s="71" t="s">
        <v>580</v>
      </c>
      <c r="K524" s="332"/>
      <c r="L524" s="326">
        <v>1889.01</v>
      </c>
      <c r="M524" s="163">
        <f>M523+K524-L524</f>
        <v>20636.325720000441</v>
      </c>
    </row>
    <row r="525" spans="1:13">
      <c r="A525" s="54" t="str">
        <f>D525&amp;E525&amp;F525</f>
        <v>FINANZASVIATICOSFINANZAS</v>
      </c>
      <c r="B525" t="s">
        <v>515</v>
      </c>
      <c r="C525" s="1">
        <v>45726</v>
      </c>
      <c r="D525" s="71" t="s">
        <v>23</v>
      </c>
      <c r="E525" s="71" t="s">
        <v>191</v>
      </c>
      <c r="F525" s="143" t="s">
        <v>23</v>
      </c>
      <c r="G525" s="71" t="s">
        <v>216</v>
      </c>
      <c r="H525" s="172"/>
      <c r="I525" s="172"/>
      <c r="J525" s="71" t="s">
        <v>581</v>
      </c>
      <c r="K525" s="322"/>
      <c r="L525" s="323">
        <v>700</v>
      </c>
      <c r="M525" s="163">
        <f>M524+K525-L525</f>
        <v>19936.325720000441</v>
      </c>
    </row>
    <row r="526" spans="1:13">
      <c r="A526" s="54" t="str">
        <f>D526&amp;E526&amp;F526</f>
        <v>FINANZASCUOTAS Y SUSCRIPCIONESMULTAS</v>
      </c>
      <c r="B526" t="s">
        <v>515</v>
      </c>
      <c r="C526" s="1">
        <v>45726</v>
      </c>
      <c r="D526" s="71" t="s">
        <v>23</v>
      </c>
      <c r="E526" s="71" t="s">
        <v>51</v>
      </c>
      <c r="F526" s="143" t="s">
        <v>74</v>
      </c>
      <c r="G526" s="71" t="s">
        <v>216</v>
      </c>
      <c r="H526" s="172"/>
      <c r="I526" s="172"/>
      <c r="J526" s="71" t="s">
        <v>582</v>
      </c>
      <c r="K526" s="322"/>
      <c r="L526" s="323">
        <v>11836</v>
      </c>
      <c r="M526" s="163">
        <f>M525+K526-L526</f>
        <v>8100.3257200004409</v>
      </c>
    </row>
    <row r="527" spans="1:13">
      <c r="A527" s="54" t="str">
        <f>D527&amp;E527&amp;F527</f>
        <v>CAPFONDO Y REPOSICIONCAPRICHOS</v>
      </c>
      <c r="B527" t="s">
        <v>515</v>
      </c>
      <c r="C527" s="1">
        <v>45726</v>
      </c>
      <c r="D527" s="71" t="s">
        <v>31</v>
      </c>
      <c r="E527" s="71" t="s">
        <v>120</v>
      </c>
      <c r="F527" s="143" t="s">
        <v>33</v>
      </c>
      <c r="G527" s="71" t="s">
        <v>216</v>
      </c>
      <c r="H527" s="172"/>
      <c r="I527" s="172"/>
      <c r="J527" s="71" t="s">
        <v>583</v>
      </c>
      <c r="K527" s="322"/>
      <c r="L527" s="323">
        <v>3360</v>
      </c>
      <c r="M527" s="163">
        <f>M526+K527-L527</f>
        <v>4740.3257200004409</v>
      </c>
    </row>
    <row r="528" spans="1:13">
      <c r="A528" s="54" t="str">
        <f>D528&amp;E528&amp;F528</f>
        <v>CAPFONDO Y REPOSICIONCAPRICHOS</v>
      </c>
      <c r="B528" t="s">
        <v>515</v>
      </c>
      <c r="C528" s="1">
        <v>45726</v>
      </c>
      <c r="D528" s="71" t="s">
        <v>31</v>
      </c>
      <c r="E528" s="71" t="s">
        <v>120</v>
      </c>
      <c r="F528" s="143" t="s">
        <v>33</v>
      </c>
      <c r="G528" s="71" t="s">
        <v>216</v>
      </c>
      <c r="H528" s="172"/>
      <c r="I528" s="172"/>
      <c r="J528" s="71" t="s">
        <v>584</v>
      </c>
      <c r="K528" s="332"/>
      <c r="L528" s="326">
        <v>1570</v>
      </c>
      <c r="M528" s="163">
        <f>M527+K528-L528</f>
        <v>3170.3257200004409</v>
      </c>
    </row>
    <row r="529" spans="1:13">
      <c r="A529" s="54" t="str">
        <f>D529&amp;E529&amp;F529</f>
        <v>HRNOMINA SUCURSALA10</v>
      </c>
      <c r="B529" t="s">
        <v>515</v>
      </c>
      <c r="C529" s="1">
        <v>45726</v>
      </c>
      <c r="D529" s="71" t="s">
        <v>29</v>
      </c>
      <c r="E529" s="71" t="s">
        <v>154</v>
      </c>
      <c r="F529" s="143" t="s">
        <v>96</v>
      </c>
      <c r="G529" s="71" t="s">
        <v>216</v>
      </c>
      <c r="H529" s="172"/>
      <c r="I529" s="172"/>
      <c r="J529" s="76" t="s">
        <v>585</v>
      </c>
      <c r="K529" s="332"/>
      <c r="L529" s="331">
        <v>501</v>
      </c>
      <c r="M529" s="163">
        <f>M528+K529-L529</f>
        <v>2669.3257200004409</v>
      </c>
    </row>
    <row r="530" spans="1:13">
      <c r="A530" s="54" t="str">
        <f>D530&amp;E530&amp;F530</f>
        <v>HRNOMINA SUCURSALA17</v>
      </c>
      <c r="B530" t="s">
        <v>515</v>
      </c>
      <c r="C530" s="1">
        <v>45726</v>
      </c>
      <c r="D530" s="71" t="s">
        <v>29</v>
      </c>
      <c r="E530" s="71" t="s">
        <v>154</v>
      </c>
      <c r="F530" s="143" t="s">
        <v>102</v>
      </c>
      <c r="G530" s="71" t="s">
        <v>216</v>
      </c>
      <c r="H530" s="172"/>
      <c r="I530" s="172"/>
      <c r="J530" s="76" t="s">
        <v>312</v>
      </c>
      <c r="K530" s="332"/>
      <c r="L530" s="331">
        <v>640</v>
      </c>
      <c r="M530" s="163">
        <f>M529+K530-L530</f>
        <v>2029.3257200004409</v>
      </c>
    </row>
    <row r="531" spans="1:13">
      <c r="A531" s="54" t="str">
        <f>D531&amp;E531&amp;F531</f>
        <v>HRUBERHR</v>
      </c>
      <c r="B531" t="s">
        <v>515</v>
      </c>
      <c r="C531" s="1">
        <v>45726</v>
      </c>
      <c r="D531" s="71" t="s">
        <v>29</v>
      </c>
      <c r="E531" s="71" t="s">
        <v>189</v>
      </c>
      <c r="F531" s="143" t="s">
        <v>29</v>
      </c>
      <c r="G531" s="71" t="s">
        <v>216</v>
      </c>
      <c r="H531" s="172"/>
      <c r="I531" s="172"/>
      <c r="J531" s="76" t="s">
        <v>456</v>
      </c>
      <c r="K531" s="332"/>
      <c r="L531" s="526">
        <v>584</v>
      </c>
      <c r="M531" s="163">
        <f>M530+K531-L531</f>
        <v>1445.3257200004409</v>
      </c>
    </row>
    <row r="532" spans="1:13">
      <c r="A532" s="54" t="str">
        <f>D532&amp;E532&amp;F532</f>
        <v>CAPMKTMKT CAP</v>
      </c>
      <c r="B532" t="s">
        <v>515</v>
      </c>
      <c r="C532" s="1">
        <v>45726</v>
      </c>
      <c r="D532" s="71" t="s">
        <v>31</v>
      </c>
      <c r="E532" s="71" t="s">
        <v>19</v>
      </c>
      <c r="F532" s="143" t="s">
        <v>139</v>
      </c>
      <c r="G532" s="71" t="s">
        <v>216</v>
      </c>
      <c r="H532" s="172"/>
      <c r="I532" s="172"/>
      <c r="J532" s="76" t="s">
        <v>586</v>
      </c>
      <c r="K532" s="332"/>
      <c r="L532" s="331">
        <v>77</v>
      </c>
      <c r="M532" s="163">
        <f>M531+K532-L532</f>
        <v>1368.3257200004409</v>
      </c>
    </row>
    <row r="533" spans="1:13">
      <c r="A533" s="54" t="str">
        <f>D533&amp;E533&amp;F533</f>
        <v>CAPUBERCAP</v>
      </c>
      <c r="B533" t="s">
        <v>515</v>
      </c>
      <c r="C533" s="1">
        <v>45726</v>
      </c>
      <c r="D533" s="71" t="s">
        <v>31</v>
      </c>
      <c r="E533" s="71" t="s">
        <v>189</v>
      </c>
      <c r="F533" s="143" t="s">
        <v>31</v>
      </c>
      <c r="G533" s="71" t="s">
        <v>216</v>
      </c>
      <c r="H533" s="172"/>
      <c r="I533" s="172"/>
      <c r="J533" s="76" t="s">
        <v>253</v>
      </c>
      <c r="K533" s="332"/>
      <c r="L533" s="526">
        <v>1158</v>
      </c>
      <c r="M533" s="163">
        <f>M532+K533-L533</f>
        <v>210.32572000044092</v>
      </c>
    </row>
    <row r="534" spans="1:13">
      <c r="A534" s="54" t="str">
        <f>D534&amp;E534&amp;F534</f>
        <v>CAPJMASE3</v>
      </c>
      <c r="B534" t="s">
        <v>515</v>
      </c>
      <c r="C534" s="1">
        <v>45726</v>
      </c>
      <c r="D534" s="71" t="s">
        <v>31</v>
      </c>
      <c r="E534" s="71" t="s">
        <v>137</v>
      </c>
      <c r="F534" s="143" t="s">
        <v>109</v>
      </c>
      <c r="G534" s="71" t="s">
        <v>216</v>
      </c>
      <c r="H534" s="172"/>
      <c r="I534" s="172"/>
      <c r="J534" s="76" t="s">
        <v>587</v>
      </c>
      <c r="K534" s="332"/>
      <c r="L534" s="331">
        <v>360</v>
      </c>
      <c r="M534" s="163">
        <f>M533+K534-L534</f>
        <v>-149.67427999955908</v>
      </c>
    </row>
    <row r="535" spans="1:13">
      <c r="A535" s="54" t="str">
        <f>D535&amp;E535&amp;F535</f>
        <v>CAPMKTMKT CAP</v>
      </c>
      <c r="B535" t="s">
        <v>515</v>
      </c>
      <c r="C535" s="1">
        <v>45726</v>
      </c>
      <c r="D535" s="71" t="s">
        <v>31</v>
      </c>
      <c r="E535" s="71" t="s">
        <v>19</v>
      </c>
      <c r="F535" s="143" t="s">
        <v>139</v>
      </c>
      <c r="G535" s="71" t="s">
        <v>216</v>
      </c>
      <c r="H535" s="172"/>
      <c r="I535" s="172"/>
      <c r="J535" s="76" t="s">
        <v>588</v>
      </c>
      <c r="K535" s="332"/>
      <c r="L535" s="331">
        <v>108</v>
      </c>
      <c r="M535" s="163">
        <f>M534+K535-L535</f>
        <v>-257.67427999955908</v>
      </c>
    </row>
    <row r="536" spans="1:13">
      <c r="A536" s="54" t="str">
        <f>D536&amp;E536&amp;F536</f>
        <v>CAPUBERCAP</v>
      </c>
      <c r="B536" t="s">
        <v>515</v>
      </c>
      <c r="C536" s="1">
        <v>45726</v>
      </c>
      <c r="D536" s="71" t="s">
        <v>31</v>
      </c>
      <c r="E536" s="71" t="s">
        <v>189</v>
      </c>
      <c r="F536" s="143" t="s">
        <v>31</v>
      </c>
      <c r="G536" s="71" t="s">
        <v>216</v>
      </c>
      <c r="H536" s="172"/>
      <c r="I536" s="172"/>
      <c r="J536" s="76" t="s">
        <v>257</v>
      </c>
      <c r="K536" s="332"/>
      <c r="L536" s="526">
        <v>351</v>
      </c>
      <c r="M536" s="163">
        <f>M535+K536-L536</f>
        <v>-608.67427999955908</v>
      </c>
    </row>
    <row r="537" spans="1:13">
      <c r="A537" s="54" t="str">
        <f>D537&amp;E537&amp;F537</f>
        <v>CAPMKTMKT CAP</v>
      </c>
      <c r="B537" t="s">
        <v>515</v>
      </c>
      <c r="C537" s="1">
        <v>45726</v>
      </c>
      <c r="D537" s="71" t="s">
        <v>31</v>
      </c>
      <c r="E537" s="71" t="s">
        <v>19</v>
      </c>
      <c r="F537" s="143" t="s">
        <v>139</v>
      </c>
      <c r="G537" s="71" t="s">
        <v>216</v>
      </c>
      <c r="H537" s="172"/>
      <c r="I537" s="172"/>
      <c r="J537" s="76" t="s">
        <v>589</v>
      </c>
      <c r="K537" s="332"/>
      <c r="L537" s="331">
        <v>90</v>
      </c>
      <c r="M537" s="163">
        <f>M536+K537-L537</f>
        <v>-698.67427999955908</v>
      </c>
    </row>
    <row r="538" spans="1:13">
      <c r="A538" s="54" t="str">
        <f>D538&amp;E538&amp;F538</f>
        <v>CAPMKTMKT CAP</v>
      </c>
      <c r="B538" t="s">
        <v>515</v>
      </c>
      <c r="C538" s="1">
        <v>45726</v>
      </c>
      <c r="D538" s="71" t="s">
        <v>31</v>
      </c>
      <c r="E538" s="71" t="s">
        <v>19</v>
      </c>
      <c r="F538" s="143" t="s">
        <v>139</v>
      </c>
      <c r="G538" s="71" t="s">
        <v>216</v>
      </c>
      <c r="H538" s="172"/>
      <c r="I538" s="172"/>
      <c r="J538" s="76" t="s">
        <v>590</v>
      </c>
      <c r="K538" s="332"/>
      <c r="L538" s="331">
        <v>75</v>
      </c>
      <c r="M538" s="163">
        <f>M537+K538-L538</f>
        <v>-773.67427999955908</v>
      </c>
    </row>
    <row r="539" spans="1:13">
      <c r="A539" s="54" t="str">
        <f>D539&amp;E539&amp;F539</f>
        <v>CAPMKTMKT CAP</v>
      </c>
      <c r="B539" t="s">
        <v>515</v>
      </c>
      <c r="C539" s="1">
        <v>45726</v>
      </c>
      <c r="D539" s="71" t="s">
        <v>31</v>
      </c>
      <c r="E539" s="71" t="s">
        <v>19</v>
      </c>
      <c r="F539" s="143" t="s">
        <v>139</v>
      </c>
      <c r="G539" s="71" t="s">
        <v>216</v>
      </c>
      <c r="H539" s="172"/>
      <c r="I539" s="172"/>
      <c r="J539" s="76" t="s">
        <v>591</v>
      </c>
      <c r="K539" s="332"/>
      <c r="L539" s="331">
        <v>154</v>
      </c>
      <c r="M539" s="163">
        <f>M538+K539-L539</f>
        <v>-927.67427999955908</v>
      </c>
    </row>
    <row r="540" spans="1:13">
      <c r="A540" s="54" t="str">
        <f t="shared" si="8"/>
        <v/>
      </c>
      <c r="B540" t="s">
        <v>515</v>
      </c>
      <c r="C540" s="1">
        <v>45727</v>
      </c>
      <c r="D540" s="71"/>
      <c r="F540" s="143"/>
      <c r="H540" s="172"/>
      <c r="I540" s="172"/>
      <c r="J540" s="71" t="s">
        <v>260</v>
      </c>
      <c r="K540" s="346">
        <v>142821.10999999999</v>
      </c>
      <c r="L540" s="332"/>
      <c r="M540" s="163">
        <f>M539+K540-L540</f>
        <v>141893.43572000042</v>
      </c>
    </row>
    <row r="541" spans="1:13">
      <c r="A541" s="54" t="str">
        <f>D541&amp;E541&amp;F541</f>
        <v>FINANZASCOMISIONES BANCARIASTPV</v>
      </c>
      <c r="B541" t="s">
        <v>515</v>
      </c>
      <c r="C541" s="1">
        <v>45727</v>
      </c>
      <c r="D541" s="71" t="s">
        <v>23</v>
      </c>
      <c r="E541" s="71" t="s">
        <v>48</v>
      </c>
      <c r="F541" s="143" t="s">
        <v>50</v>
      </c>
      <c r="G541" s="71" t="s">
        <v>592</v>
      </c>
      <c r="H541" s="172"/>
      <c r="I541" s="172"/>
      <c r="J541" s="233" t="s">
        <v>217</v>
      </c>
      <c r="K541" s="332"/>
      <c r="L541" s="331">
        <f>71.08+29.84+1066.09+2081.51+1044</f>
        <v>4292.5200000000004</v>
      </c>
      <c r="M541" s="163">
        <f>M540+K541-L541</f>
        <v>137600.91572000043</v>
      </c>
    </row>
    <row r="542" spans="1:13">
      <c r="A542" s="54" t="str">
        <f t="shared" si="8"/>
        <v/>
      </c>
      <c r="B542" t="s">
        <v>515</v>
      </c>
      <c r="C542" s="1">
        <v>45727</v>
      </c>
      <c r="D542" s="71"/>
      <c r="F542" s="143"/>
      <c r="H542" s="172"/>
      <c r="I542" s="172" t="s">
        <v>219</v>
      </c>
      <c r="J542" s="205" t="s">
        <v>577</v>
      </c>
      <c r="K542" s="206"/>
      <c r="L542" s="206">
        <v>60000</v>
      </c>
      <c r="M542" s="163">
        <f>M541+K542-L542</f>
        <v>77600.915720000427</v>
      </c>
    </row>
    <row r="543" spans="1:13">
      <c r="A543" s="54" t="str">
        <f>D543&amp;E543&amp;F543</f>
        <v>FINANZASSEGUROEQ. DE TRANSPORTE</v>
      </c>
      <c r="B543" t="s">
        <v>515</v>
      </c>
      <c r="C543" s="1">
        <v>45727</v>
      </c>
      <c r="D543" s="71" t="s">
        <v>23</v>
      </c>
      <c r="E543" s="71" t="s">
        <v>173</v>
      </c>
      <c r="F543" s="143" t="s">
        <v>175</v>
      </c>
      <c r="G543" s="71" t="s">
        <v>592</v>
      </c>
      <c r="H543" s="172"/>
      <c r="I543" s="172"/>
      <c r="J543" s="71" t="s">
        <v>593</v>
      </c>
      <c r="K543" s="321"/>
      <c r="L543" s="326">
        <v>4544</v>
      </c>
      <c r="M543" s="163">
        <f>M542+K543-L543</f>
        <v>73056.915720000427</v>
      </c>
    </row>
    <row r="544" spans="1:13">
      <c r="A544" s="54" t="str">
        <f>D544&amp;E544&amp;F544</f>
        <v>SERVICIOSFONDO Y REPOSICIONSERVICIOS</v>
      </c>
      <c r="B544" t="s">
        <v>515</v>
      </c>
      <c r="C544" s="1">
        <v>45727</v>
      </c>
      <c r="D544" s="71" t="s">
        <v>21</v>
      </c>
      <c r="E544" s="71" t="s">
        <v>120</v>
      </c>
      <c r="F544" s="143" t="s">
        <v>21</v>
      </c>
      <c r="G544" s="71" t="s">
        <v>258</v>
      </c>
      <c r="H544" s="172"/>
      <c r="I544" s="172"/>
      <c r="J544" s="71" t="s">
        <v>594</v>
      </c>
      <c r="K544" s="332"/>
      <c r="L544" s="326">
        <v>2000</v>
      </c>
      <c r="M544" s="163">
        <f>M543+K544-L544</f>
        <v>71056.915720000427</v>
      </c>
    </row>
    <row r="545" spans="1:13">
      <c r="A545" s="54" t="str">
        <f>D545&amp;E545&amp;F545</f>
        <v>SERVICIOSADQ DE EQ TECNOLOGICOADQ DE EQ TECNOLOGICO</v>
      </c>
      <c r="B545" t="s">
        <v>515</v>
      </c>
      <c r="C545" s="1">
        <v>45727</v>
      </c>
      <c r="D545" s="71" t="s">
        <v>21</v>
      </c>
      <c r="E545" s="71" t="s">
        <v>22</v>
      </c>
      <c r="F545" s="143" t="s">
        <v>22</v>
      </c>
      <c r="G545" s="71" t="s">
        <v>258</v>
      </c>
      <c r="H545" s="172"/>
      <c r="I545" s="172"/>
      <c r="J545" s="71" t="s">
        <v>595</v>
      </c>
      <c r="K545" s="321"/>
      <c r="L545" s="326">
        <v>42600</v>
      </c>
      <c r="M545" s="163">
        <f>M544+K545-L545</f>
        <v>28456.915720000427</v>
      </c>
    </row>
    <row r="546" spans="1:13">
      <c r="A546" s="54" t="str">
        <f>D546&amp;E546&amp;F546</f>
        <v>FINANZASSEGUROEQ. DE TRANSPORTE</v>
      </c>
      <c r="B546" t="s">
        <v>515</v>
      </c>
      <c r="C546" s="1">
        <v>45727</v>
      </c>
      <c r="D546" s="71" t="s">
        <v>23</v>
      </c>
      <c r="E546" s="71" t="s">
        <v>173</v>
      </c>
      <c r="F546" s="143" t="s">
        <v>175</v>
      </c>
      <c r="G546" s="71" t="s">
        <v>216</v>
      </c>
      <c r="H546" s="172"/>
      <c r="I546" s="172"/>
      <c r="J546" s="71" t="s">
        <v>596</v>
      </c>
      <c r="K546" s="321"/>
      <c r="L546" s="326">
        <v>5162</v>
      </c>
      <c r="M546" s="163">
        <f>M545+K546-L546</f>
        <v>23294.915720000427</v>
      </c>
    </row>
    <row r="547" spans="1:13">
      <c r="A547" s="54" t="str">
        <f>D547&amp;E547&amp;F547</f>
        <v>HRVIATICOSHR</v>
      </c>
      <c r="B547" t="s">
        <v>515</v>
      </c>
      <c r="C547" s="1">
        <v>45727</v>
      </c>
      <c r="D547" s="71" t="s">
        <v>29</v>
      </c>
      <c r="E547" s="71" t="s">
        <v>191</v>
      </c>
      <c r="F547" s="143" t="s">
        <v>29</v>
      </c>
      <c r="G547" s="71" t="s">
        <v>216</v>
      </c>
      <c r="H547" s="172"/>
      <c r="I547" s="172"/>
      <c r="J547" s="71" t="s">
        <v>284</v>
      </c>
      <c r="K547" s="332"/>
      <c r="L547" s="326">
        <v>1200</v>
      </c>
      <c r="M547" s="163">
        <f>M546+K547-L547</f>
        <v>22094.915720000427</v>
      </c>
    </row>
    <row r="548" spans="1:13">
      <c r="A548" s="54" t="str">
        <f>D548&amp;E548&amp;F548</f>
        <v>SERVICIOSINSUMOSCADENA DE SUMINISTROS</v>
      </c>
      <c r="B548" t="s">
        <v>515</v>
      </c>
      <c r="C548" s="1">
        <v>45727</v>
      </c>
      <c r="D548" s="71" t="s">
        <v>21</v>
      </c>
      <c r="E548" s="71" t="s">
        <v>133</v>
      </c>
      <c r="F548" s="143" t="s">
        <v>134</v>
      </c>
      <c r="G548" s="71" t="s">
        <v>216</v>
      </c>
      <c r="H548" s="172"/>
      <c r="I548" s="172"/>
      <c r="J548" s="71" t="s">
        <v>597</v>
      </c>
      <c r="K548" s="332"/>
      <c r="L548" s="326">
        <v>16843.2</v>
      </c>
      <c r="M548" s="163">
        <f>M547+K548-L548</f>
        <v>5251.7157200004258</v>
      </c>
    </row>
    <row r="549" spans="1:13">
      <c r="A549" s="54" t="str">
        <f>D549&amp;E549&amp;F549</f>
        <v>SGEVIATICOSGESTION EMPRESARIAL</v>
      </c>
      <c r="B549" t="s">
        <v>515</v>
      </c>
      <c r="C549" s="1">
        <v>45727</v>
      </c>
      <c r="D549" s="71" t="s">
        <v>39</v>
      </c>
      <c r="E549" s="71" t="s">
        <v>191</v>
      </c>
      <c r="F549" s="143" t="s">
        <v>40</v>
      </c>
      <c r="G549" s="71" t="s">
        <v>216</v>
      </c>
      <c r="H549" s="172"/>
      <c r="I549" s="172"/>
      <c r="J549" s="71" t="s">
        <v>598</v>
      </c>
      <c r="K549" s="332"/>
      <c r="L549" s="326">
        <v>2200</v>
      </c>
      <c r="M549" s="163">
        <f>M548+K549-L549</f>
        <v>3051.7157200004258</v>
      </c>
    </row>
    <row r="550" spans="1:13">
      <c r="A550" s="54" t="str">
        <f>D550&amp;E550&amp;F550</f>
        <v>HRJMASA4</v>
      </c>
      <c r="B550" t="s">
        <v>515</v>
      </c>
      <c r="C550" s="1">
        <v>45727</v>
      </c>
      <c r="D550" s="71" t="s">
        <v>29</v>
      </c>
      <c r="E550" s="71" t="s">
        <v>137</v>
      </c>
      <c r="F550" s="143" t="s">
        <v>91</v>
      </c>
      <c r="G550" s="71" t="s">
        <v>216</v>
      </c>
      <c r="H550" s="172"/>
      <c r="I550" s="172"/>
      <c r="J550" s="76" t="s">
        <v>599</v>
      </c>
      <c r="K550" s="332"/>
      <c r="L550" s="331">
        <v>529</v>
      </c>
      <c r="M550" s="163">
        <f>M549+K550-L550</f>
        <v>2522.7157200004258</v>
      </c>
    </row>
    <row r="551" spans="1:13">
      <c r="A551" s="54" t="str">
        <f>D551&amp;E551&amp;F551</f>
        <v>HRUBERHR</v>
      </c>
      <c r="B551" t="s">
        <v>515</v>
      </c>
      <c r="C551" s="1">
        <v>45727</v>
      </c>
      <c r="D551" s="71" t="s">
        <v>29</v>
      </c>
      <c r="E551" s="71" t="s">
        <v>189</v>
      </c>
      <c r="F551" s="143" t="s">
        <v>29</v>
      </c>
      <c r="G551" s="71" t="s">
        <v>216</v>
      </c>
      <c r="H551" s="172"/>
      <c r="I551" s="172"/>
      <c r="J551" s="76" t="s">
        <v>600</v>
      </c>
      <c r="K551" s="332"/>
      <c r="L551" s="526">
        <v>30</v>
      </c>
      <c r="M551" s="163">
        <f>M550+K551-L551</f>
        <v>2492.7157200004258</v>
      </c>
    </row>
    <row r="552" spans="1:13">
      <c r="A552" s="54" t="str">
        <f>D552&amp;E552&amp;F552</f>
        <v>HRUBERHR</v>
      </c>
      <c r="B552" t="s">
        <v>515</v>
      </c>
      <c r="C552" s="1">
        <v>45727</v>
      </c>
      <c r="D552" s="71" t="s">
        <v>29</v>
      </c>
      <c r="E552" s="71" t="s">
        <v>189</v>
      </c>
      <c r="F552" s="143" t="s">
        <v>29</v>
      </c>
      <c r="G552" s="71" t="s">
        <v>216</v>
      </c>
      <c r="H552" s="172"/>
      <c r="I552" s="172"/>
      <c r="J552" s="76" t="s">
        <v>601</v>
      </c>
      <c r="K552" s="332"/>
      <c r="L552" s="526">
        <v>850</v>
      </c>
      <c r="M552" s="163">
        <f>M551+K552-L552</f>
        <v>1642.7157200004258</v>
      </c>
    </row>
    <row r="553" spans="1:13" ht="15" customHeight="1">
      <c r="A553" s="54" t="str">
        <f>D553&amp;E553&amp;F553</f>
        <v>SERVICIOSMTTO DE EDIFICIOMANTENIMIENTO</v>
      </c>
      <c r="B553" t="s">
        <v>515</v>
      </c>
      <c r="C553" s="1">
        <v>45727</v>
      </c>
      <c r="D553" s="71" t="s">
        <v>21</v>
      </c>
      <c r="E553" s="71" t="s">
        <v>142</v>
      </c>
      <c r="F553" s="143" t="s">
        <v>35</v>
      </c>
      <c r="G553" s="71" t="s">
        <v>216</v>
      </c>
      <c r="H553" s="172"/>
      <c r="I553" s="172"/>
      <c r="J553" s="76" t="s">
        <v>602</v>
      </c>
      <c r="K553" s="332"/>
      <c r="L553" s="331">
        <v>604</v>
      </c>
      <c r="M553" s="163">
        <f>M552+K553-L553</f>
        <v>1038.7157200004258</v>
      </c>
    </row>
    <row r="554" spans="1:13">
      <c r="A554" s="54" t="str">
        <f>D554&amp;E554&amp;F554</f>
        <v>HRUBERHR</v>
      </c>
      <c r="B554" t="s">
        <v>515</v>
      </c>
      <c r="C554" s="1">
        <v>45727</v>
      </c>
      <c r="D554" s="71" t="s">
        <v>29</v>
      </c>
      <c r="E554" s="71" t="s">
        <v>189</v>
      </c>
      <c r="F554" s="143" t="s">
        <v>29</v>
      </c>
      <c r="G554" s="71" t="s">
        <v>216</v>
      </c>
      <c r="H554" s="172"/>
      <c r="I554" s="172"/>
      <c r="J554" s="76" t="s">
        <v>456</v>
      </c>
      <c r="K554" s="322"/>
      <c r="L554" s="525">
        <v>78</v>
      </c>
      <c r="M554" s="163">
        <f>M553+K554-L554</f>
        <v>960.71572000042579</v>
      </c>
    </row>
    <row r="555" spans="1:13">
      <c r="A555" s="54" t="str">
        <f>D555&amp;E555&amp;F555</f>
        <v>CAPUBERCAP</v>
      </c>
      <c r="B555" t="s">
        <v>515</v>
      </c>
      <c r="C555" s="1">
        <v>45727</v>
      </c>
      <c r="D555" s="71" t="s">
        <v>31</v>
      </c>
      <c r="E555" s="71" t="s">
        <v>189</v>
      </c>
      <c r="F555" s="143" t="s">
        <v>31</v>
      </c>
      <c r="G555" s="71" t="s">
        <v>216</v>
      </c>
      <c r="H555" s="172"/>
      <c r="I555" s="172"/>
      <c r="J555" s="76" t="s">
        <v>253</v>
      </c>
      <c r="K555" s="332"/>
      <c r="L555" s="526">
        <v>688</v>
      </c>
      <c r="M555" s="163">
        <f>M554+K555-L555</f>
        <v>272.71572000042579</v>
      </c>
    </row>
    <row r="556" spans="1:13">
      <c r="A556" s="54" t="str">
        <f>D556&amp;E556&amp;F556</f>
        <v>CAPINSUMOSCAPRICHOS</v>
      </c>
      <c r="B556" t="s">
        <v>515</v>
      </c>
      <c r="C556" s="1">
        <v>45727</v>
      </c>
      <c r="D556" s="71" t="s">
        <v>31</v>
      </c>
      <c r="E556" s="71" t="s">
        <v>133</v>
      </c>
      <c r="F556" s="143" t="s">
        <v>33</v>
      </c>
      <c r="G556" s="71" t="s">
        <v>216</v>
      </c>
      <c r="H556" s="172"/>
      <c r="I556" s="172"/>
      <c r="J556" s="76" t="s">
        <v>603</v>
      </c>
      <c r="K556" s="332"/>
      <c r="L556" s="331">
        <v>132</v>
      </c>
      <c r="M556" s="163">
        <f>M555+K556-L556</f>
        <v>140.71572000042579</v>
      </c>
    </row>
    <row r="557" spans="1:13">
      <c r="A557" s="54" t="str">
        <f>D557&amp;E557&amp;F557</f>
        <v>CAPUBERCAP</v>
      </c>
      <c r="B557" t="s">
        <v>515</v>
      </c>
      <c r="C557" s="1">
        <v>45727</v>
      </c>
      <c r="D557" s="71" t="s">
        <v>31</v>
      </c>
      <c r="E557" s="71" t="s">
        <v>189</v>
      </c>
      <c r="F557" s="143" t="s">
        <v>31</v>
      </c>
      <c r="G557" s="71" t="s">
        <v>216</v>
      </c>
      <c r="H557" s="172"/>
      <c r="I557" s="172"/>
      <c r="J557" s="76" t="s">
        <v>253</v>
      </c>
      <c r="K557" s="332"/>
      <c r="L557" s="526">
        <v>190</v>
      </c>
      <c r="M557" s="163">
        <f>M556+K557-L557</f>
        <v>-49.28427999957421</v>
      </c>
    </row>
    <row r="558" spans="1:13">
      <c r="A558" s="54" t="str">
        <f>D558&amp;E558&amp;F558</f>
        <v>SERVICIOSMTTO DE EDIFICIOMANTENIMIENTO</v>
      </c>
      <c r="B558" t="s">
        <v>515</v>
      </c>
      <c r="C558" s="1">
        <v>45727</v>
      </c>
      <c r="D558" s="71" t="s">
        <v>21</v>
      </c>
      <c r="E558" s="71" t="s">
        <v>142</v>
      </c>
      <c r="F558" s="143" t="s">
        <v>35</v>
      </c>
      <c r="G558" s="71" t="s">
        <v>216</v>
      </c>
      <c r="H558" s="172"/>
      <c r="I558" s="172"/>
      <c r="J558" s="76" t="s">
        <v>604</v>
      </c>
      <c r="K558" s="332"/>
      <c r="L558" s="331">
        <v>1500</v>
      </c>
      <c r="M558" s="163">
        <f>M557+K558-L558</f>
        <v>-1549.2842799995742</v>
      </c>
    </row>
    <row r="559" spans="1:13">
      <c r="A559" s="54" t="str">
        <f t="shared" si="8"/>
        <v/>
      </c>
      <c r="B559" t="s">
        <v>515</v>
      </c>
      <c r="C559" s="1">
        <v>45728</v>
      </c>
      <c r="D559" s="71"/>
      <c r="F559" s="143"/>
      <c r="H559" s="172"/>
      <c r="I559" s="172"/>
      <c r="J559" s="71" t="s">
        <v>260</v>
      </c>
      <c r="K559" s="346">
        <v>138226.4</v>
      </c>
      <c r="L559" s="321"/>
      <c r="M559" s="163">
        <f>M558+K559-L559</f>
        <v>136677.11572000041</v>
      </c>
    </row>
    <row r="560" spans="1:13">
      <c r="A560" s="54" t="str">
        <f t="shared" si="8"/>
        <v/>
      </c>
      <c r="B560" t="s">
        <v>515</v>
      </c>
      <c r="C560" s="1">
        <v>45728</v>
      </c>
      <c r="D560" s="71"/>
      <c r="F560" s="143"/>
      <c r="H560" s="172"/>
      <c r="I560" s="172"/>
      <c r="J560" s="71" t="s">
        <v>605</v>
      </c>
      <c r="K560" s="332">
        <v>500000</v>
      </c>
      <c r="L560" s="321"/>
      <c r="M560" s="163">
        <f>M559+K560-L560</f>
        <v>636677.11572000035</v>
      </c>
    </row>
    <row r="561" spans="1:13">
      <c r="A561" s="54" t="str">
        <f>D561&amp;E561&amp;F561</f>
        <v>FINANZASCOMISIONES BANCARIASTPV</v>
      </c>
      <c r="B561" t="s">
        <v>515</v>
      </c>
      <c r="C561" s="1">
        <v>45728</v>
      </c>
      <c r="D561" s="71" t="s">
        <v>23</v>
      </c>
      <c r="E561" s="71" t="s">
        <v>48</v>
      </c>
      <c r="F561" s="143" t="s">
        <v>50</v>
      </c>
      <c r="G561" s="71" t="s">
        <v>216</v>
      </c>
      <c r="H561" s="172"/>
      <c r="I561" s="172"/>
      <c r="J561" s="73" t="s">
        <v>217</v>
      </c>
      <c r="K561" s="332"/>
      <c r="L561" s="326">
        <f>1097.83+1120.91+86.92+217.48</f>
        <v>2523.14</v>
      </c>
      <c r="M561" s="163">
        <f>M560+K561-L561</f>
        <v>634153.97572000034</v>
      </c>
    </row>
    <row r="562" spans="1:13">
      <c r="A562" s="54" t="str">
        <f t="shared" si="8"/>
        <v/>
      </c>
      <c r="B562" t="s">
        <v>515</v>
      </c>
      <c r="C562" s="1">
        <v>45728</v>
      </c>
      <c r="D562" s="71"/>
      <c r="F562" s="143"/>
      <c r="H562" s="172"/>
      <c r="I562" s="172"/>
      <c r="J562" s="205" t="s">
        <v>577</v>
      </c>
      <c r="K562" s="206"/>
      <c r="L562" s="206">
        <v>100000</v>
      </c>
      <c r="M562" s="163">
        <f>M561+K562-L562</f>
        <v>534153.97572000034</v>
      </c>
    </row>
    <row r="563" spans="1:13">
      <c r="A563" s="54" t="str">
        <f t="shared" si="8"/>
        <v/>
      </c>
      <c r="B563" t="s">
        <v>515</v>
      </c>
      <c r="C563" s="1">
        <v>45728</v>
      </c>
      <c r="D563" s="71"/>
      <c r="F563" s="143"/>
      <c r="H563" s="172"/>
      <c r="I563" s="172"/>
      <c r="J563" s="205" t="s">
        <v>606</v>
      </c>
      <c r="K563" s="206"/>
      <c r="L563" s="206">
        <v>500000</v>
      </c>
      <c r="M563" s="163">
        <f>M562+K563-L563</f>
        <v>34153.975720000337</v>
      </c>
    </row>
    <row r="564" spans="1:13">
      <c r="A564" s="54" t="str">
        <f>D564&amp;E564&amp;F564</f>
        <v>SERVICIOSMTTO EQ DE TRANSPORTECEDIS</v>
      </c>
      <c r="B564" t="s">
        <v>515</v>
      </c>
      <c r="C564" s="1">
        <v>45728</v>
      </c>
      <c r="D564" s="71" t="s">
        <v>21</v>
      </c>
      <c r="E564" s="71" t="s">
        <v>144</v>
      </c>
      <c r="F564" s="143" t="s">
        <v>28</v>
      </c>
      <c r="G564" s="71" t="s">
        <v>258</v>
      </c>
      <c r="H564" s="172"/>
      <c r="I564" s="172"/>
      <c r="J564" s="71" t="s">
        <v>607</v>
      </c>
      <c r="K564" s="332"/>
      <c r="L564" s="208">
        <v>4750</v>
      </c>
      <c r="M564" s="163">
        <f>M563+K564-L564</f>
        <v>29403.975720000337</v>
      </c>
    </row>
    <row r="565" spans="1:13">
      <c r="A565" s="54" t="str">
        <f>D565&amp;E565&amp;F565</f>
        <v>HRTELEPEAJEOP HR</v>
      </c>
      <c r="B565" t="s">
        <v>515</v>
      </c>
      <c r="C565" s="1">
        <v>45728</v>
      </c>
      <c r="D565" s="71" t="s">
        <v>29</v>
      </c>
      <c r="E565" s="71" t="s">
        <v>186</v>
      </c>
      <c r="F565" s="143" t="s">
        <v>187</v>
      </c>
      <c r="G565" s="71" t="s">
        <v>216</v>
      </c>
      <c r="H565" s="172"/>
      <c r="I565" s="172"/>
      <c r="J565" s="71" t="s">
        <v>608</v>
      </c>
      <c r="K565" s="332"/>
      <c r="L565" s="326">
        <v>891</v>
      </c>
      <c r="M565" s="163">
        <f>M564+K565-L565</f>
        <v>28512.975720000337</v>
      </c>
    </row>
    <row r="566" spans="1:13">
      <c r="A566" s="54" t="str">
        <f>D566&amp;E566&amp;F566</f>
        <v>HRTELEPEAJEOP HR</v>
      </c>
      <c r="B566" t="s">
        <v>515</v>
      </c>
      <c r="C566" s="1">
        <v>45728</v>
      </c>
      <c r="D566" s="71" t="s">
        <v>29</v>
      </c>
      <c r="E566" s="71" t="s">
        <v>186</v>
      </c>
      <c r="F566" s="143" t="s">
        <v>187</v>
      </c>
      <c r="G566" s="71" t="s">
        <v>216</v>
      </c>
      <c r="H566" s="172"/>
      <c r="I566" s="172"/>
      <c r="J566" s="71" t="s">
        <v>609</v>
      </c>
      <c r="K566" s="339"/>
      <c r="L566" s="326">
        <v>356</v>
      </c>
      <c r="M566" s="163">
        <f>M565+K566-L566</f>
        <v>28156.975720000337</v>
      </c>
    </row>
    <row r="567" spans="1:13">
      <c r="A567" s="54" t="str">
        <f>D567&amp;E567&amp;F567</f>
        <v>HRTELEPEAJEOP HR</v>
      </c>
      <c r="B567" t="s">
        <v>515</v>
      </c>
      <c r="C567" s="1">
        <v>45728</v>
      </c>
      <c r="D567" s="71" t="s">
        <v>29</v>
      </c>
      <c r="E567" s="71" t="s">
        <v>186</v>
      </c>
      <c r="F567" s="143" t="s">
        <v>187</v>
      </c>
      <c r="G567" s="71" t="s">
        <v>216</v>
      </c>
      <c r="H567" s="172"/>
      <c r="I567" s="172"/>
      <c r="J567" s="71" t="s">
        <v>610</v>
      </c>
      <c r="K567" s="339"/>
      <c r="L567" s="326">
        <v>298</v>
      </c>
      <c r="M567" s="163">
        <f>M566+K567-L567</f>
        <v>27858.975720000337</v>
      </c>
    </row>
    <row r="568" spans="1:13">
      <c r="A568" s="54" t="str">
        <f>D568&amp;E568&amp;F568</f>
        <v>SERVICIOSTELEPEAJECEDIS</v>
      </c>
      <c r="B568" t="s">
        <v>515</v>
      </c>
      <c r="C568" s="1">
        <v>45728</v>
      </c>
      <c r="D568" s="71" t="s">
        <v>21</v>
      </c>
      <c r="E568" s="71" t="s">
        <v>186</v>
      </c>
      <c r="F568" s="143" t="s">
        <v>28</v>
      </c>
      <c r="G568" s="71" t="s">
        <v>216</v>
      </c>
      <c r="H568" s="172"/>
      <c r="I568" s="172"/>
      <c r="J568" s="71" t="s">
        <v>611</v>
      </c>
      <c r="K568" s="332"/>
      <c r="L568" s="326">
        <v>2540</v>
      </c>
      <c r="M568" s="163">
        <f>M567+K568-L568</f>
        <v>25318.975720000337</v>
      </c>
    </row>
    <row r="569" spans="1:13">
      <c r="A569" s="54" t="str">
        <f>D569&amp;E569&amp;F569</f>
        <v>SERVICIOSTELEPEAJECEDIS</v>
      </c>
      <c r="B569" t="s">
        <v>515</v>
      </c>
      <c r="C569" s="1">
        <v>45728</v>
      </c>
      <c r="D569" s="71" t="s">
        <v>21</v>
      </c>
      <c r="E569" s="71" t="s">
        <v>186</v>
      </c>
      <c r="F569" s="143" t="s">
        <v>28</v>
      </c>
      <c r="G569" s="71" t="s">
        <v>216</v>
      </c>
      <c r="H569" s="172"/>
      <c r="I569" s="172"/>
      <c r="J569" s="71" t="s">
        <v>611</v>
      </c>
      <c r="K569" s="332"/>
      <c r="L569" s="326">
        <v>658</v>
      </c>
      <c r="M569" s="163">
        <f>M568+K569-L569</f>
        <v>24660.975720000337</v>
      </c>
    </row>
    <row r="570" spans="1:13">
      <c r="A570" s="54" t="str">
        <f>D570&amp;E570&amp;F570</f>
        <v>HRFONDO Y REPOSICIONHR</v>
      </c>
      <c r="B570" t="s">
        <v>515</v>
      </c>
      <c r="C570" s="1">
        <v>45728</v>
      </c>
      <c r="D570" s="71" t="s">
        <v>29</v>
      </c>
      <c r="E570" s="71" t="s">
        <v>120</v>
      </c>
      <c r="F570" s="143" t="s">
        <v>29</v>
      </c>
      <c r="G570" s="71" t="s">
        <v>216</v>
      </c>
      <c r="H570" s="172"/>
      <c r="I570" s="172"/>
      <c r="J570" s="71" t="s">
        <v>612</v>
      </c>
      <c r="K570" s="332"/>
      <c r="L570" s="326">
        <v>3000</v>
      </c>
      <c r="M570" s="163">
        <f>M569+K570-L570</f>
        <v>21660.975720000337</v>
      </c>
    </row>
    <row r="571" spans="1:13">
      <c r="A571" s="54" t="str">
        <f>D571&amp;E571&amp;F571</f>
        <v>HRFONDO Y REPOSICIONHR</v>
      </c>
      <c r="B571" t="s">
        <v>515</v>
      </c>
      <c r="C571" s="1">
        <v>45728</v>
      </c>
      <c r="D571" s="71" t="s">
        <v>29</v>
      </c>
      <c r="E571" s="71" t="s">
        <v>120</v>
      </c>
      <c r="F571" s="143" t="s">
        <v>29</v>
      </c>
      <c r="G571" s="71" t="s">
        <v>216</v>
      </c>
      <c r="H571" s="172"/>
      <c r="I571" s="172"/>
      <c r="J571" s="71" t="s">
        <v>357</v>
      </c>
      <c r="K571" s="332"/>
      <c r="L571" s="326">
        <v>3000</v>
      </c>
      <c r="M571" s="163">
        <f>M570+K571-L571</f>
        <v>18660.975720000337</v>
      </c>
    </row>
    <row r="572" spans="1:13">
      <c r="A572" s="54" t="str">
        <f>D572&amp;E572&amp;F572</f>
        <v>SERVICIOSMTTO DE EDIFICIOMANTENIMIENTO</v>
      </c>
      <c r="B572" t="s">
        <v>515</v>
      </c>
      <c r="C572" s="1">
        <v>45728</v>
      </c>
      <c r="D572" s="71" t="s">
        <v>21</v>
      </c>
      <c r="E572" s="71" t="s">
        <v>142</v>
      </c>
      <c r="F572" s="143" t="s">
        <v>35</v>
      </c>
      <c r="G572" s="71" t="s">
        <v>216</v>
      </c>
      <c r="H572" s="172"/>
      <c r="I572" s="172"/>
      <c r="J572" s="71" t="s">
        <v>613</v>
      </c>
      <c r="K572" s="332"/>
      <c r="L572" s="326">
        <v>8800</v>
      </c>
      <c r="M572" s="163">
        <f>M571+K572-L572</f>
        <v>9860.9757200003369</v>
      </c>
    </row>
    <row r="573" spans="1:13">
      <c r="A573" s="54" t="str">
        <f>D573&amp;E573&amp;F573</f>
        <v>HRFONDO Y REPOSICIONHR</v>
      </c>
      <c r="B573" t="s">
        <v>515</v>
      </c>
      <c r="C573" s="1">
        <v>45728</v>
      </c>
      <c r="D573" s="71" t="s">
        <v>29</v>
      </c>
      <c r="E573" s="71" t="s">
        <v>120</v>
      </c>
      <c r="F573" s="143" t="s">
        <v>29</v>
      </c>
      <c r="G573" s="71" t="s">
        <v>216</v>
      </c>
      <c r="H573" s="172"/>
      <c r="I573" s="172"/>
      <c r="J573" s="71" t="s">
        <v>553</v>
      </c>
      <c r="K573" s="321"/>
      <c r="L573" s="326">
        <v>779</v>
      </c>
      <c r="M573" s="163">
        <f>M572+K573-L573</f>
        <v>9081.9757200003369</v>
      </c>
    </row>
    <row r="574" spans="1:13">
      <c r="A574" s="54" t="str">
        <f>D574&amp;E574&amp;F574</f>
        <v>SERVICIOSVIATICOSINVENTARIOS</v>
      </c>
      <c r="B574" t="s">
        <v>515</v>
      </c>
      <c r="C574" s="1">
        <v>45728</v>
      </c>
      <c r="D574" s="71" t="s">
        <v>21</v>
      </c>
      <c r="E574" s="71" t="s">
        <v>191</v>
      </c>
      <c r="F574" s="143" t="s">
        <v>34</v>
      </c>
      <c r="G574" s="71" t="s">
        <v>216</v>
      </c>
      <c r="H574" s="172"/>
      <c r="I574" s="172"/>
      <c r="J574" s="71" t="s">
        <v>533</v>
      </c>
      <c r="K574" s="321"/>
      <c r="L574" s="326">
        <v>600</v>
      </c>
      <c r="M574" s="163">
        <f>M573+K574-L574</f>
        <v>8481.9757200003369</v>
      </c>
    </row>
    <row r="575" spans="1:13">
      <c r="A575" s="54" t="str">
        <f>D575&amp;E575&amp;F575</f>
        <v>HRMKTMKT HR</v>
      </c>
      <c r="B575" t="s">
        <v>515</v>
      </c>
      <c r="C575" s="1">
        <v>45728</v>
      </c>
      <c r="D575" s="71" t="s">
        <v>29</v>
      </c>
      <c r="E575" s="71" t="s">
        <v>19</v>
      </c>
      <c r="F575" s="143" t="s">
        <v>138</v>
      </c>
      <c r="G575" s="71" t="s">
        <v>216</v>
      </c>
      <c r="H575" s="172"/>
      <c r="I575" s="172"/>
      <c r="J575" s="71" t="s">
        <v>614</v>
      </c>
      <c r="K575" s="321"/>
      <c r="L575" s="326">
        <v>50</v>
      </c>
      <c r="M575" s="163">
        <f>M574+K575-L575</f>
        <v>8431.9757200003369</v>
      </c>
    </row>
    <row r="576" spans="1:13">
      <c r="A576" s="54" t="str">
        <f>D576&amp;E576&amp;F576</f>
        <v>HRMKTMKT HR</v>
      </c>
      <c r="B576" t="s">
        <v>515</v>
      </c>
      <c r="C576" s="1">
        <v>45728</v>
      </c>
      <c r="D576" s="71" t="s">
        <v>29</v>
      </c>
      <c r="E576" s="71" t="s">
        <v>19</v>
      </c>
      <c r="F576" s="143" t="s">
        <v>138</v>
      </c>
      <c r="G576" s="71" t="s">
        <v>216</v>
      </c>
      <c r="H576" s="172"/>
      <c r="I576" s="172"/>
      <c r="J576" s="71" t="s">
        <v>556</v>
      </c>
      <c r="K576" s="332"/>
      <c r="L576" s="326">
        <v>1000</v>
      </c>
      <c r="M576" s="163">
        <f>M575+K576-L576</f>
        <v>7431.9757200003369</v>
      </c>
    </row>
    <row r="577" spans="1:14">
      <c r="A577" s="54" t="str">
        <f>D577&amp;E577&amp;F577</f>
        <v>HRMKTMKT HR</v>
      </c>
      <c r="B577" t="s">
        <v>515</v>
      </c>
      <c r="C577" s="1">
        <v>45728</v>
      </c>
      <c r="D577" s="71" t="s">
        <v>29</v>
      </c>
      <c r="E577" s="71" t="s">
        <v>19</v>
      </c>
      <c r="F577" s="143" t="s">
        <v>138</v>
      </c>
      <c r="G577" s="71" t="s">
        <v>216</v>
      </c>
      <c r="H577" s="172"/>
      <c r="I577" s="172"/>
      <c r="J577" s="71" t="s">
        <v>615</v>
      </c>
      <c r="K577" s="332"/>
      <c r="L577" s="326">
        <v>800</v>
      </c>
      <c r="M577" s="163">
        <f>M576+K577-L577</f>
        <v>6631.9757200003369</v>
      </c>
    </row>
    <row r="578" spans="1:14">
      <c r="A578" s="54" t="str">
        <f>D578&amp;E578&amp;F578</f>
        <v>HRVIATICOSHR</v>
      </c>
      <c r="B578" t="s">
        <v>515</v>
      </c>
      <c r="C578" s="1">
        <v>45728</v>
      </c>
      <c r="D578" s="71" t="s">
        <v>29</v>
      </c>
      <c r="E578" s="71" t="s">
        <v>191</v>
      </c>
      <c r="F578" s="143" t="s">
        <v>29</v>
      </c>
      <c r="G578" s="71" t="s">
        <v>216</v>
      </c>
      <c r="H578" s="172"/>
      <c r="I578" s="172"/>
      <c r="J578" s="71" t="s">
        <v>616</v>
      </c>
      <c r="K578" s="332"/>
      <c r="L578" s="326">
        <v>2200</v>
      </c>
      <c r="M578" s="163">
        <f>M577+K578-L578</f>
        <v>4431.9757200003369</v>
      </c>
    </row>
    <row r="579" spans="1:14">
      <c r="A579" s="54" t="str">
        <f>D579&amp;E579&amp;F579</f>
        <v>HRUBERHR</v>
      </c>
      <c r="B579" t="s">
        <v>515</v>
      </c>
      <c r="C579" s="1">
        <v>45728</v>
      </c>
      <c r="D579" s="71" t="s">
        <v>29</v>
      </c>
      <c r="E579" s="71" t="s">
        <v>189</v>
      </c>
      <c r="F579" s="143" t="s">
        <v>29</v>
      </c>
      <c r="G579" s="71" t="s">
        <v>216</v>
      </c>
      <c r="H579" s="172"/>
      <c r="I579" s="172"/>
      <c r="J579" s="76" t="s">
        <v>403</v>
      </c>
      <c r="K579" s="332"/>
      <c r="L579" s="526">
        <v>120</v>
      </c>
      <c r="M579" s="163">
        <f>M578+K579-L579</f>
        <v>4311.9757200003369</v>
      </c>
    </row>
    <row r="580" spans="1:14">
      <c r="A580" s="54" t="str">
        <f>D580&amp;E580&amp;F580</f>
        <v>HRVIATICOSHR</v>
      </c>
      <c r="B580" t="s">
        <v>515</v>
      </c>
      <c r="C580" s="1">
        <v>45728</v>
      </c>
      <c r="D580" s="71" t="s">
        <v>29</v>
      </c>
      <c r="E580" s="71" t="s">
        <v>191</v>
      </c>
      <c r="F580" s="143" t="s">
        <v>29</v>
      </c>
      <c r="G580" s="71" t="s">
        <v>216</v>
      </c>
      <c r="H580" s="172"/>
      <c r="I580" s="172"/>
      <c r="J580" s="76" t="s">
        <v>617</v>
      </c>
      <c r="K580" s="332"/>
      <c r="L580" s="331">
        <v>5</v>
      </c>
      <c r="M580" s="163">
        <f>M579+K580-L580</f>
        <v>4306.9757200003369</v>
      </c>
    </row>
    <row r="581" spans="1:14">
      <c r="A581" s="54" t="str">
        <f>D581&amp;E581&amp;F581</f>
        <v>HRVACACIONES/FINIQUITOSHR</v>
      </c>
      <c r="B581" t="s">
        <v>515</v>
      </c>
      <c r="C581" s="1">
        <v>45728</v>
      </c>
      <c r="D581" t="s">
        <v>29</v>
      </c>
      <c r="E581" s="12" t="s">
        <v>190</v>
      </c>
      <c r="F581" s="12" t="s">
        <v>29</v>
      </c>
      <c r="G581" s="71" t="s">
        <v>216</v>
      </c>
      <c r="H581" s="172"/>
      <c r="I581" s="172"/>
      <c r="J581" s="76" t="s">
        <v>618</v>
      </c>
      <c r="K581" s="332"/>
      <c r="L581" s="331">
        <v>1064</v>
      </c>
      <c r="M581" s="163">
        <f>M580+K581-L581</f>
        <v>3242.9757200003369</v>
      </c>
    </row>
    <row r="582" spans="1:14">
      <c r="A582" s="54" t="str">
        <f>D582&amp;E582&amp;F582</f>
        <v>HRJMASA22</v>
      </c>
      <c r="B582" t="s">
        <v>515</v>
      </c>
      <c r="C582" s="1">
        <v>45728</v>
      </c>
      <c r="D582" s="71" t="s">
        <v>29</v>
      </c>
      <c r="E582" s="71" t="s">
        <v>137</v>
      </c>
      <c r="F582" s="143" t="s">
        <v>104</v>
      </c>
      <c r="G582" s="71" t="s">
        <v>216</v>
      </c>
      <c r="H582" s="172"/>
      <c r="I582" s="172"/>
      <c r="J582" s="76" t="s">
        <v>619</v>
      </c>
      <c r="K582" s="322"/>
      <c r="L582" s="327">
        <v>897</v>
      </c>
      <c r="M582" s="163">
        <f>M581+K582-L582</f>
        <v>2345.9757200003369</v>
      </c>
    </row>
    <row r="583" spans="1:14">
      <c r="A583" s="54" t="str">
        <f>D583&amp;E583&amp;F583</f>
        <v>HRUBERHR</v>
      </c>
      <c r="B583" t="s">
        <v>515</v>
      </c>
      <c r="C583" s="1">
        <v>45728</v>
      </c>
      <c r="D583" s="71" t="s">
        <v>29</v>
      </c>
      <c r="E583" s="71" t="s">
        <v>189</v>
      </c>
      <c r="F583" s="143" t="s">
        <v>29</v>
      </c>
      <c r="G583" s="71" t="s">
        <v>216</v>
      </c>
      <c r="H583" s="172"/>
      <c r="I583" s="172"/>
      <c r="J583" s="76" t="s">
        <v>456</v>
      </c>
      <c r="K583" s="322"/>
      <c r="L583" s="525">
        <v>310</v>
      </c>
      <c r="M583" s="163">
        <f>M582+K583-L583</f>
        <v>2035.9757200003369</v>
      </c>
    </row>
    <row r="584" spans="1:14">
      <c r="A584" s="54" t="str">
        <f>D584&amp;E584&amp;F584</f>
        <v>CAPUBERCAP</v>
      </c>
      <c r="B584" t="s">
        <v>515</v>
      </c>
      <c r="C584" s="1">
        <v>45728</v>
      </c>
      <c r="D584" s="71" t="s">
        <v>31</v>
      </c>
      <c r="E584" s="71" t="s">
        <v>189</v>
      </c>
      <c r="F584" s="143" t="s">
        <v>31</v>
      </c>
      <c r="G584" s="71" t="s">
        <v>216</v>
      </c>
      <c r="H584" s="172"/>
      <c r="I584" s="172"/>
      <c r="J584" s="76" t="s">
        <v>253</v>
      </c>
      <c r="K584" s="332"/>
      <c r="L584" s="526">
        <v>538</v>
      </c>
      <c r="M584" s="163">
        <f>M583+K584-L584</f>
        <v>1497.9757200003369</v>
      </c>
    </row>
    <row r="585" spans="1:14">
      <c r="A585" s="54" t="str">
        <f>D585&amp;E585&amp;F585</f>
        <v>CAPUBERCAP</v>
      </c>
      <c r="B585" t="s">
        <v>515</v>
      </c>
      <c r="C585" s="1">
        <v>45728</v>
      </c>
      <c r="D585" s="71" t="s">
        <v>31</v>
      </c>
      <c r="E585" s="71" t="s">
        <v>189</v>
      </c>
      <c r="F585" s="143" t="s">
        <v>31</v>
      </c>
      <c r="G585" s="71" t="s">
        <v>216</v>
      </c>
      <c r="H585" s="172"/>
      <c r="I585" s="172"/>
      <c r="J585" s="76" t="s">
        <v>620</v>
      </c>
      <c r="K585" s="332"/>
      <c r="L585" s="526">
        <v>190</v>
      </c>
      <c r="M585" s="163">
        <f>M584+K585-L585</f>
        <v>1307.9757200003369</v>
      </c>
    </row>
    <row r="586" spans="1:14">
      <c r="A586" s="54" t="str">
        <f>D586&amp;E586&amp;F586</f>
        <v>CAPJMASE6</v>
      </c>
      <c r="B586" t="s">
        <v>515</v>
      </c>
      <c r="C586" s="1">
        <v>45728</v>
      </c>
      <c r="D586" s="71" t="s">
        <v>31</v>
      </c>
      <c r="E586" s="71" t="s">
        <v>137</v>
      </c>
      <c r="F586" s="143" t="s">
        <v>112</v>
      </c>
      <c r="G586" s="71" t="s">
        <v>216</v>
      </c>
      <c r="H586" s="172"/>
      <c r="I586" s="172"/>
      <c r="J586" s="76" t="s">
        <v>621</v>
      </c>
      <c r="K586" s="332"/>
      <c r="L586" s="331">
        <v>770</v>
      </c>
      <c r="M586" s="163">
        <f>M585+K586-L586</f>
        <v>537.97572000033688</v>
      </c>
    </row>
    <row r="587" spans="1:14">
      <c r="A587" s="54" t="str">
        <f>D587&amp;E587&amp;F587</f>
        <v>CAPINSUMOSCAPRICHOS</v>
      </c>
      <c r="B587" t="s">
        <v>515</v>
      </c>
      <c r="C587" s="1">
        <v>45728</v>
      </c>
      <c r="D587" s="71" t="s">
        <v>31</v>
      </c>
      <c r="E587" s="71" t="s">
        <v>133</v>
      </c>
      <c r="F587" s="143" t="s">
        <v>33</v>
      </c>
      <c r="G587" s="71" t="s">
        <v>216</v>
      </c>
      <c r="H587" s="172"/>
      <c r="I587" s="172"/>
      <c r="J587" s="76" t="s">
        <v>622</v>
      </c>
      <c r="K587" s="332"/>
      <c r="L587" s="331">
        <v>40</v>
      </c>
      <c r="M587" s="163">
        <f>M586+K587-L587</f>
        <v>497.97572000033688</v>
      </c>
    </row>
    <row r="588" spans="1:14">
      <c r="A588" s="54" t="str">
        <f t="shared" ref="A583:A646" si="9">D588&amp;E588&amp;F588</f>
        <v/>
      </c>
      <c r="B588" t="s">
        <v>515</v>
      </c>
      <c r="C588" s="1">
        <v>45729</v>
      </c>
      <c r="D588" s="71"/>
      <c r="F588" s="143"/>
      <c r="H588" s="172"/>
      <c r="I588" s="172"/>
      <c r="J588" s="71" t="s">
        <v>260</v>
      </c>
      <c r="K588" s="346">
        <v>155125.26</v>
      </c>
      <c r="L588" s="332"/>
      <c r="M588" s="163">
        <f>M587+K588-L588</f>
        <v>155623.23572000035</v>
      </c>
    </row>
    <row r="589" spans="1:14" ht="18.75" customHeight="1">
      <c r="A589" s="54" t="str">
        <f>D589&amp;E589&amp;F589</f>
        <v>FINANZASCOMISIONES BANCARIASTPV</v>
      </c>
      <c r="B589" t="s">
        <v>515</v>
      </c>
      <c r="C589" s="1">
        <v>45729</v>
      </c>
      <c r="D589" s="71" t="s">
        <v>23</v>
      </c>
      <c r="E589" s="71" t="s">
        <v>48</v>
      </c>
      <c r="F589" s="143" t="s">
        <v>50</v>
      </c>
      <c r="G589" s="71" t="s">
        <v>216</v>
      </c>
      <c r="H589" s="172"/>
      <c r="I589" s="172"/>
      <c r="J589" s="73" t="s">
        <v>217</v>
      </c>
      <c r="K589" s="332"/>
      <c r="L589" s="347">
        <f>464+1287.96+1513.54+130.32+1560.6</f>
        <v>4956.42</v>
      </c>
      <c r="M589" s="163">
        <f>M588+K589-L589</f>
        <v>150666.81572000033</v>
      </c>
    </row>
    <row r="590" spans="1:14">
      <c r="A590" s="54" t="str">
        <f t="shared" si="9"/>
        <v/>
      </c>
      <c r="B590" t="s">
        <v>515</v>
      </c>
      <c r="C590" s="1">
        <v>45729</v>
      </c>
      <c r="D590" s="71"/>
      <c r="F590" s="143"/>
      <c r="H590" s="172"/>
      <c r="I590" s="172"/>
      <c r="J590" s="205" t="s">
        <v>577</v>
      </c>
      <c r="K590" s="206"/>
      <c r="L590" s="206">
        <v>100000</v>
      </c>
      <c r="M590" s="163">
        <f>M589+K590-L590</f>
        <v>50666.815720000333</v>
      </c>
    </row>
    <row r="591" spans="1:14">
      <c r="A591" s="54" t="str">
        <f>D591&amp;E591&amp;F591</f>
        <v>SERVICIOSMTTO DE EDIFICIOMANTENIMIENTO</v>
      </c>
      <c r="B591" t="s">
        <v>515</v>
      </c>
      <c r="C591" s="1">
        <v>45729</v>
      </c>
      <c r="D591" s="71" t="s">
        <v>21</v>
      </c>
      <c r="E591" s="71" t="s">
        <v>142</v>
      </c>
      <c r="F591" s="143" t="s">
        <v>35</v>
      </c>
      <c r="G591" s="71" t="s">
        <v>216</v>
      </c>
      <c r="H591" s="172"/>
      <c r="I591" s="172"/>
      <c r="J591" s="233" t="s">
        <v>623</v>
      </c>
      <c r="K591" s="332"/>
      <c r="L591" s="326">
        <v>2000</v>
      </c>
      <c r="M591" s="163">
        <f>M590+K591-L591</f>
        <v>48666.815720000333</v>
      </c>
    </row>
    <row r="592" spans="1:14">
      <c r="A592" s="54" t="str">
        <f>D592&amp;E592&amp;F592</f>
        <v>FINANZASCOMISIONES BANCARIASMANEJO DE CUENTA</v>
      </c>
      <c r="B592" t="s">
        <v>515</v>
      </c>
      <c r="C592" s="1">
        <v>45729</v>
      </c>
      <c r="D592" s="71" t="s">
        <v>23</v>
      </c>
      <c r="E592" s="71" t="s">
        <v>48</v>
      </c>
      <c r="F592" s="143" t="s">
        <v>49</v>
      </c>
      <c r="G592" s="71" t="s">
        <v>258</v>
      </c>
      <c r="H592" s="172"/>
      <c r="I592" s="172"/>
      <c r="J592" s="71" t="s">
        <v>624</v>
      </c>
      <c r="K592" s="332"/>
      <c r="L592" s="326">
        <v>20260</v>
      </c>
      <c r="M592" s="163">
        <f>M591+K592-L592</f>
        <v>28406.815720000333</v>
      </c>
      <c r="N592" s="163"/>
    </row>
    <row r="593" spans="1:13">
      <c r="A593" s="54" t="str">
        <f>D593&amp;E593&amp;F593</f>
        <v>SERVICIOSALARMASUCURSALES HR</v>
      </c>
      <c r="B593" t="s">
        <v>515</v>
      </c>
      <c r="C593" s="1">
        <v>45729</v>
      </c>
      <c r="D593" s="71" t="s">
        <v>21</v>
      </c>
      <c r="E593" s="71" t="s">
        <v>25</v>
      </c>
      <c r="F593" s="143" t="s">
        <v>26</v>
      </c>
      <c r="G593" s="71" t="s">
        <v>216</v>
      </c>
      <c r="H593" s="172"/>
      <c r="I593" s="172"/>
      <c r="J593" s="71" t="s">
        <v>625</v>
      </c>
      <c r="K593" s="332"/>
      <c r="L593" s="326">
        <v>9950</v>
      </c>
      <c r="M593" s="163">
        <f>M592+K593-L593</f>
        <v>18456.815720000333</v>
      </c>
    </row>
    <row r="594" spans="1:13">
      <c r="A594" s="54" t="str">
        <f>D594&amp;E594&amp;F594</f>
        <v>ELIVIATICOSL1</v>
      </c>
      <c r="B594" t="s">
        <v>515</v>
      </c>
      <c r="C594" s="1">
        <v>45729</v>
      </c>
      <c r="D594" s="71" t="s">
        <v>130</v>
      </c>
      <c r="E594" s="71" t="s">
        <v>191</v>
      </c>
      <c r="F594" s="143" t="s">
        <v>136</v>
      </c>
      <c r="G594" s="71" t="s">
        <v>216</v>
      </c>
      <c r="H594" s="172"/>
      <c r="I594" s="172"/>
      <c r="J594" s="71" t="s">
        <v>412</v>
      </c>
      <c r="K594" s="332"/>
      <c r="L594" s="326">
        <v>1000</v>
      </c>
      <c r="M594" s="163">
        <f>M593+K594-L594</f>
        <v>17456.815720000333</v>
      </c>
    </row>
    <row r="595" spans="1:13">
      <c r="A595" s="54" t="str">
        <f>D595&amp;E595&amp;F595</f>
        <v>HRUBERHR</v>
      </c>
      <c r="B595" t="s">
        <v>515</v>
      </c>
      <c r="C595" s="1">
        <v>45729</v>
      </c>
      <c r="D595" s="71" t="s">
        <v>29</v>
      </c>
      <c r="E595" s="71" t="s">
        <v>189</v>
      </c>
      <c r="F595" s="143" t="s">
        <v>29</v>
      </c>
      <c r="G595" s="71" t="s">
        <v>216</v>
      </c>
      <c r="H595" s="172"/>
      <c r="I595" s="172"/>
      <c r="J595" s="76" t="s">
        <v>307</v>
      </c>
      <c r="K595" s="322"/>
      <c r="L595" s="525">
        <v>262</v>
      </c>
      <c r="M595" s="163">
        <f>M594+K595-L595</f>
        <v>17194.815720000333</v>
      </c>
    </row>
    <row r="596" spans="1:13">
      <c r="A596" s="54" t="str">
        <f>D596&amp;E596&amp;F596</f>
        <v>HRUBERHR</v>
      </c>
      <c r="B596" t="s">
        <v>515</v>
      </c>
      <c r="C596" s="1">
        <v>45729</v>
      </c>
      <c r="D596" s="71" t="s">
        <v>29</v>
      </c>
      <c r="E596" s="71" t="s">
        <v>189</v>
      </c>
      <c r="F596" s="143" t="s">
        <v>29</v>
      </c>
      <c r="G596" s="71" t="s">
        <v>216</v>
      </c>
      <c r="H596" s="172"/>
      <c r="I596" s="172"/>
      <c r="J596" s="76" t="s">
        <v>626</v>
      </c>
      <c r="K596" s="332"/>
      <c r="L596" s="526">
        <v>250</v>
      </c>
      <c r="M596" s="163">
        <f>M595+K596-L596</f>
        <v>16944.815720000333</v>
      </c>
    </row>
    <row r="597" spans="1:13">
      <c r="A597" s="54" t="str">
        <f>D597&amp;E597&amp;F597</f>
        <v>SERVICIOSADQ DE EQ TECNOLOGICOADQ DE EQ TECNOLOGICO</v>
      </c>
      <c r="B597" t="s">
        <v>515</v>
      </c>
      <c r="C597" s="1">
        <v>45729</v>
      </c>
      <c r="D597" s="71" t="s">
        <v>21</v>
      </c>
      <c r="E597" s="249" t="s">
        <v>22</v>
      </c>
      <c r="F597" s="143" t="s">
        <v>22</v>
      </c>
      <c r="G597" s="71" t="s">
        <v>258</v>
      </c>
      <c r="H597" s="172"/>
      <c r="I597" s="172"/>
      <c r="J597" s="76" t="s">
        <v>627</v>
      </c>
      <c r="K597" s="332"/>
      <c r="L597" s="331">
        <v>199</v>
      </c>
      <c r="M597" s="163">
        <f>M596+K597-L597</f>
        <v>16745.815720000333</v>
      </c>
    </row>
    <row r="598" spans="1:13">
      <c r="A598" s="54" t="str">
        <f>D598&amp;E598&amp;F598</f>
        <v>FINANZASFONDO Y REPOSICIONFINANZAS</v>
      </c>
      <c r="B598" t="s">
        <v>515</v>
      </c>
      <c r="C598" s="1">
        <v>45729</v>
      </c>
      <c r="D598" s="71" t="s">
        <v>23</v>
      </c>
      <c r="E598" s="71" t="s">
        <v>120</v>
      </c>
      <c r="F598" s="143" t="s">
        <v>23</v>
      </c>
      <c r="G598" s="71" t="s">
        <v>258</v>
      </c>
      <c r="H598" s="172"/>
      <c r="I598" s="172"/>
      <c r="J598" s="76" t="s">
        <v>628</v>
      </c>
      <c r="K598" s="332"/>
      <c r="L598" s="331">
        <v>769</v>
      </c>
      <c r="M598" s="163">
        <f>M597+K598-L598</f>
        <v>15976.815720000333</v>
      </c>
    </row>
    <row r="599" spans="1:13">
      <c r="A599" s="54" t="str">
        <f>D599&amp;E599&amp;F599</f>
        <v>HRMKTMKT HR</v>
      </c>
      <c r="B599" t="s">
        <v>515</v>
      </c>
      <c r="C599" s="1">
        <v>45729</v>
      </c>
      <c r="D599" s="71" t="s">
        <v>29</v>
      </c>
      <c r="E599" s="71" t="s">
        <v>19</v>
      </c>
      <c r="F599" s="143" t="s">
        <v>138</v>
      </c>
      <c r="G599" s="71" t="s">
        <v>216</v>
      </c>
      <c r="H599" s="172"/>
      <c r="I599" s="172"/>
      <c r="J599" s="76" t="s">
        <v>629</v>
      </c>
      <c r="K599" s="332"/>
      <c r="L599" s="331">
        <v>2600</v>
      </c>
      <c r="M599" s="163">
        <f>M598+K599-L599</f>
        <v>13376.815720000333</v>
      </c>
    </row>
    <row r="600" spans="1:13">
      <c r="A600" s="54" t="str">
        <f>D600&amp;E600&amp;F600</f>
        <v>HRMKTMKT HR</v>
      </c>
      <c r="B600" t="s">
        <v>515</v>
      </c>
      <c r="C600" s="1">
        <v>45729</v>
      </c>
      <c r="D600" s="71" t="s">
        <v>29</v>
      </c>
      <c r="E600" s="71" t="s">
        <v>19</v>
      </c>
      <c r="F600" s="143" t="s">
        <v>138</v>
      </c>
      <c r="G600" s="71" t="s">
        <v>216</v>
      </c>
      <c r="H600" s="172"/>
      <c r="I600" s="172"/>
      <c r="J600" s="76" t="s">
        <v>630</v>
      </c>
      <c r="K600" s="332"/>
      <c r="L600" s="331">
        <v>1200</v>
      </c>
      <c r="M600" s="163">
        <f>M599+K600-L600</f>
        <v>12176.815720000333</v>
      </c>
    </row>
    <row r="601" spans="1:13">
      <c r="A601" s="54" t="str">
        <f>D601&amp;E601&amp;F601</f>
        <v>HRUBERHR</v>
      </c>
      <c r="B601" t="s">
        <v>515</v>
      </c>
      <c r="C601" s="1">
        <v>45729</v>
      </c>
      <c r="D601" s="71" t="s">
        <v>29</v>
      </c>
      <c r="E601" s="71" t="s">
        <v>189</v>
      </c>
      <c r="F601" s="143" t="s">
        <v>29</v>
      </c>
      <c r="G601" s="71" t="s">
        <v>216</v>
      </c>
      <c r="H601" s="172"/>
      <c r="I601" s="172"/>
      <c r="J601" s="76" t="s">
        <v>456</v>
      </c>
      <c r="K601" s="332"/>
      <c r="L601" s="526">
        <v>589</v>
      </c>
      <c r="M601" s="163">
        <f>M600+K601-L601</f>
        <v>11587.815720000333</v>
      </c>
    </row>
    <row r="602" spans="1:13">
      <c r="A602" s="54" t="str">
        <f>D602&amp;E602&amp;F602</f>
        <v>CAPFUMIGACIONCAPRICHOS</v>
      </c>
      <c r="B602" t="s">
        <v>515</v>
      </c>
      <c r="C602" s="1">
        <v>45729</v>
      </c>
      <c r="D602" s="71" t="s">
        <v>31</v>
      </c>
      <c r="E602" s="71" t="s">
        <v>121</v>
      </c>
      <c r="F602" s="143" t="s">
        <v>33</v>
      </c>
      <c r="G602" s="71" t="s">
        <v>216</v>
      </c>
      <c r="H602" s="172"/>
      <c r="I602" s="172"/>
      <c r="J602" s="76" t="s">
        <v>631</v>
      </c>
      <c r="K602" s="332"/>
      <c r="L602" s="538">
        <v>650</v>
      </c>
      <c r="M602" s="163">
        <f>M601+K602-L602</f>
        <v>10937.815720000333</v>
      </c>
    </row>
    <row r="603" spans="1:13">
      <c r="A603" s="54" t="str">
        <f>D603&amp;E603&amp;F603</f>
        <v>CAPUBERCAP</v>
      </c>
      <c r="B603" t="s">
        <v>515</v>
      </c>
      <c r="C603" s="1">
        <v>45729</v>
      </c>
      <c r="D603" s="71" t="s">
        <v>31</v>
      </c>
      <c r="E603" s="71" t="s">
        <v>189</v>
      </c>
      <c r="F603" s="143" t="s">
        <v>31</v>
      </c>
      <c r="G603" s="71" t="s">
        <v>216</v>
      </c>
      <c r="H603" s="172"/>
      <c r="I603" s="172"/>
      <c r="J603" s="76" t="s">
        <v>632</v>
      </c>
      <c r="K603" s="332"/>
      <c r="L603" s="526">
        <v>190</v>
      </c>
      <c r="M603" s="163">
        <f>M602+K603-L603</f>
        <v>10747.815720000333</v>
      </c>
    </row>
    <row r="604" spans="1:13">
      <c r="A604" s="54" t="str">
        <f>D604&amp;E604&amp;F604</f>
        <v>CAPUBERCAP</v>
      </c>
      <c r="B604" t="s">
        <v>515</v>
      </c>
      <c r="C604" s="1">
        <v>45730</v>
      </c>
      <c r="D604" s="71" t="s">
        <v>31</v>
      </c>
      <c r="E604" s="71" t="s">
        <v>189</v>
      </c>
      <c r="F604" s="143" t="s">
        <v>31</v>
      </c>
      <c r="G604" s="71" t="s">
        <v>216</v>
      </c>
      <c r="H604" s="172"/>
      <c r="I604" s="172"/>
      <c r="J604" s="76" t="s">
        <v>633</v>
      </c>
      <c r="K604" s="332"/>
      <c r="L604" s="526">
        <v>68</v>
      </c>
      <c r="M604" s="163">
        <f>M603+K604-L604</f>
        <v>10679.815720000333</v>
      </c>
    </row>
    <row r="605" spans="1:13">
      <c r="A605" s="54" t="str">
        <f>D605&amp;E605&amp;F605</f>
        <v>FINANZASFALTANTESFALTANTES</v>
      </c>
      <c r="B605" t="s">
        <v>515</v>
      </c>
      <c r="C605" s="1">
        <v>45730</v>
      </c>
      <c r="D605" s="71" t="s">
        <v>23</v>
      </c>
      <c r="E605" s="71" t="s">
        <v>119</v>
      </c>
      <c r="F605" s="143" t="s">
        <v>119</v>
      </c>
      <c r="G605" s="71" t="s">
        <v>258</v>
      </c>
      <c r="H605" s="172"/>
      <c r="I605" s="172"/>
      <c r="J605" s="76" t="s">
        <v>282</v>
      </c>
      <c r="K605" s="332"/>
      <c r="L605" s="331">
        <v>5559.52</v>
      </c>
      <c r="M605" s="163">
        <f>M604+K605-L605</f>
        <v>5120.2957200003329</v>
      </c>
    </row>
    <row r="606" spans="1:13">
      <c r="A606" s="54" t="str">
        <f t="shared" si="9"/>
        <v/>
      </c>
      <c r="B606" t="s">
        <v>515</v>
      </c>
      <c r="C606" s="1">
        <v>45730</v>
      </c>
      <c r="D606" s="71"/>
      <c r="F606" s="143"/>
      <c r="H606" s="172"/>
      <c r="I606" s="172"/>
      <c r="J606" s="71" t="s">
        <v>260</v>
      </c>
      <c r="K606" s="346">
        <v>173903.51</v>
      </c>
      <c r="L606" s="332"/>
      <c r="M606" s="163">
        <f>M605+K606-L606</f>
        <v>179023.80572000035</v>
      </c>
    </row>
    <row r="607" spans="1:13">
      <c r="A607" s="54" t="str">
        <f>D607&amp;E607&amp;F607</f>
        <v>FINANZASCOMISIONES BANCARIASTPV</v>
      </c>
      <c r="B607" t="s">
        <v>515</v>
      </c>
      <c r="C607" s="1">
        <v>45730</v>
      </c>
      <c r="D607" s="71" t="s">
        <v>23</v>
      </c>
      <c r="E607" s="71" t="s">
        <v>48</v>
      </c>
      <c r="F607" s="143" t="s">
        <v>50</v>
      </c>
      <c r="G607" s="71" t="s">
        <v>216</v>
      </c>
      <c r="H607" s="172"/>
      <c r="I607" s="172"/>
      <c r="J607" s="73" t="s">
        <v>217</v>
      </c>
      <c r="K607" s="332"/>
      <c r="L607" s="331">
        <f>1701.06+1655.28+174+137.77</f>
        <v>3668.11</v>
      </c>
      <c r="M607" s="163">
        <f>M606+K607-L607</f>
        <v>175355.69572000037</v>
      </c>
    </row>
    <row r="608" spans="1:13">
      <c r="A608" s="54" t="str">
        <f t="shared" si="9"/>
        <v/>
      </c>
      <c r="B608" t="s">
        <v>515</v>
      </c>
      <c r="C608" s="1">
        <v>45730</v>
      </c>
      <c r="D608" s="71"/>
      <c r="F608" s="143"/>
      <c r="H608" s="172"/>
      <c r="I608" s="172"/>
      <c r="J608" s="205" t="s">
        <v>577</v>
      </c>
      <c r="K608" s="206"/>
      <c r="L608" s="206">
        <v>50000</v>
      </c>
      <c r="M608" s="163">
        <f>M607+K608-L608</f>
        <v>125355.69572000037</v>
      </c>
    </row>
    <row r="609" spans="1:13">
      <c r="A609" s="54" t="str">
        <f t="shared" si="9"/>
        <v/>
      </c>
      <c r="B609" t="s">
        <v>515</v>
      </c>
      <c r="C609" s="1">
        <v>45730</v>
      </c>
      <c r="D609" s="71"/>
      <c r="F609" s="143"/>
      <c r="H609" s="172"/>
      <c r="I609" s="172"/>
      <c r="J609" s="205" t="s">
        <v>222</v>
      </c>
      <c r="K609" s="206"/>
      <c r="L609" s="206">
        <v>100000</v>
      </c>
      <c r="M609" s="163">
        <f>M608+K609-L609</f>
        <v>25355.695720000367</v>
      </c>
    </row>
    <row r="610" spans="1:13">
      <c r="A610" s="54" t="str">
        <f>D610&amp;E610&amp;F610</f>
        <v>SERVICIOSINSUMOSCADENA DE SUMINISTROS</v>
      </c>
      <c r="B610" t="s">
        <v>515</v>
      </c>
      <c r="C610" s="1">
        <v>45730</v>
      </c>
      <c r="D610" s="71" t="s">
        <v>21</v>
      </c>
      <c r="E610" s="71" t="s">
        <v>133</v>
      </c>
      <c r="F610" s="143" t="s">
        <v>134</v>
      </c>
      <c r="G610" s="71" t="s">
        <v>216</v>
      </c>
      <c r="H610" s="172"/>
      <c r="I610" s="172"/>
      <c r="J610" s="71" t="s">
        <v>634</v>
      </c>
      <c r="K610" s="332"/>
      <c r="L610" s="326">
        <v>2880</v>
      </c>
      <c r="M610" s="163">
        <f>M609+K610-L610</f>
        <v>22475.695720000367</v>
      </c>
    </row>
    <row r="611" spans="1:13">
      <c r="A611" s="54" t="str">
        <f t="shared" si="9"/>
        <v>COMBUSTIBLE</v>
      </c>
      <c r="B611" t="s">
        <v>515</v>
      </c>
      <c r="C611" s="1">
        <v>45730</v>
      </c>
      <c r="D611" s="71"/>
      <c r="E611" s="71" t="s">
        <v>32</v>
      </c>
      <c r="F611" s="143"/>
      <c r="G611" s="71" t="s">
        <v>216</v>
      </c>
      <c r="H611" s="172"/>
      <c r="I611" s="172"/>
      <c r="J611" s="71" t="s">
        <v>635</v>
      </c>
      <c r="K611" s="332"/>
      <c r="L611" s="326">
        <v>31566</v>
      </c>
      <c r="M611" s="163">
        <f>M610+K611-L611</f>
        <v>-9090.3042799996329</v>
      </c>
    </row>
    <row r="612" spans="1:13">
      <c r="A612" s="54" t="str">
        <f>D612&amp;E612&amp;F612</f>
        <v>SERVICIOSMTTO EQ DE COMPUTOMTTO EQ DE COMPUTO</v>
      </c>
      <c r="B612" t="s">
        <v>515</v>
      </c>
      <c r="C612" s="1">
        <v>45730</v>
      </c>
      <c r="D612" s="71" t="s">
        <v>21</v>
      </c>
      <c r="E612" s="71" t="s">
        <v>143</v>
      </c>
      <c r="F612" s="143" t="s">
        <v>143</v>
      </c>
      <c r="G612" s="71" t="s">
        <v>258</v>
      </c>
      <c r="H612" s="172"/>
      <c r="I612" s="172"/>
      <c r="J612" s="71" t="s">
        <v>636</v>
      </c>
      <c r="K612" s="332"/>
      <c r="L612" s="326">
        <v>1914</v>
      </c>
      <c r="M612" s="163">
        <f>M611+K612-L612</f>
        <v>-11004.304279999633</v>
      </c>
    </row>
    <row r="613" spans="1:13">
      <c r="A613" s="54" t="str">
        <f>D613&amp;E613&amp;F613</f>
        <v>DEVIATICOSDIRECCION</v>
      </c>
      <c r="B613" t="s">
        <v>515</v>
      </c>
      <c r="C613" s="1">
        <v>45730</v>
      </c>
      <c r="D613" s="71" t="s">
        <v>41</v>
      </c>
      <c r="E613" s="71" t="s">
        <v>191</v>
      </c>
      <c r="F613" s="143" t="s">
        <v>42</v>
      </c>
      <c r="G613" s="71" t="s">
        <v>216</v>
      </c>
      <c r="H613" s="172"/>
      <c r="I613" s="172"/>
      <c r="J613" s="71" t="s">
        <v>637</v>
      </c>
      <c r="K613" s="332"/>
      <c r="L613" s="326">
        <v>1000</v>
      </c>
      <c r="M613" s="163">
        <f>M612+K613-L613</f>
        <v>-12004.304279999633</v>
      </c>
    </row>
    <row r="614" spans="1:13">
      <c r="A614" s="54" t="str">
        <f>D614&amp;E614&amp;F614</f>
        <v>HRINSUMOSHR</v>
      </c>
      <c r="B614" t="s">
        <v>515</v>
      </c>
      <c r="C614" s="1">
        <v>45730</v>
      </c>
      <c r="D614" s="71" t="s">
        <v>29</v>
      </c>
      <c r="E614" s="71" t="s">
        <v>133</v>
      </c>
      <c r="F614" s="143" t="s">
        <v>29</v>
      </c>
      <c r="G614" s="71" t="s">
        <v>216</v>
      </c>
      <c r="H614" s="172"/>
      <c r="I614" s="172"/>
      <c r="J614" s="76" t="s">
        <v>638</v>
      </c>
      <c r="K614" s="332"/>
      <c r="L614" s="331">
        <v>60</v>
      </c>
      <c r="M614" s="163">
        <f>M613+K614-L614</f>
        <v>-12064.304279999633</v>
      </c>
    </row>
    <row r="615" spans="1:13">
      <c r="A615" s="54" t="str">
        <f>D615&amp;E615&amp;F615</f>
        <v>HRUBERHR</v>
      </c>
      <c r="B615" t="s">
        <v>515</v>
      </c>
      <c r="C615" s="1">
        <v>45730</v>
      </c>
      <c r="D615" s="71" t="s">
        <v>29</v>
      </c>
      <c r="E615" s="71" t="s">
        <v>189</v>
      </c>
      <c r="F615" s="143" t="s">
        <v>29</v>
      </c>
      <c r="G615" s="71" t="s">
        <v>216</v>
      </c>
      <c r="H615" s="172"/>
      <c r="I615" s="172"/>
      <c r="J615" s="269" t="s">
        <v>639</v>
      </c>
      <c r="K615" s="332"/>
      <c r="L615" s="526">
        <v>88</v>
      </c>
      <c r="M615" s="163">
        <f>M614+K615-L615</f>
        <v>-12152.304279999633</v>
      </c>
    </row>
    <row r="616" spans="1:13">
      <c r="A616" s="54" t="str">
        <f>D616&amp;E616&amp;F616</f>
        <v>HRFONDO Y REPOSICIONHR</v>
      </c>
      <c r="B616" t="s">
        <v>515</v>
      </c>
      <c r="C616" s="1">
        <v>45730</v>
      </c>
      <c r="D616" s="71" t="s">
        <v>29</v>
      </c>
      <c r="E616" s="71" t="s">
        <v>120</v>
      </c>
      <c r="F616" s="143" t="s">
        <v>29</v>
      </c>
      <c r="G616" s="71" t="s">
        <v>216</v>
      </c>
      <c r="H616" s="172"/>
      <c r="I616" s="172"/>
      <c r="J616" s="76" t="s">
        <v>640</v>
      </c>
      <c r="K616" s="322"/>
      <c r="L616" s="327">
        <v>20</v>
      </c>
      <c r="M616" s="163">
        <f>M615+K616-L616</f>
        <v>-12172.304279999633</v>
      </c>
    </row>
    <row r="617" spans="1:13">
      <c r="A617" s="54" t="str">
        <f>D617&amp;E617&amp;F617</f>
        <v>HRUBERHR</v>
      </c>
      <c r="B617" t="s">
        <v>515</v>
      </c>
      <c r="C617" s="1">
        <v>45730</v>
      </c>
      <c r="D617" s="71" t="s">
        <v>29</v>
      </c>
      <c r="E617" s="71" t="s">
        <v>189</v>
      </c>
      <c r="F617" s="143" t="s">
        <v>29</v>
      </c>
      <c r="G617" s="71" t="s">
        <v>258</v>
      </c>
      <c r="H617" s="172"/>
      <c r="I617" s="172"/>
      <c r="J617" s="76" t="s">
        <v>456</v>
      </c>
      <c r="K617" s="322"/>
      <c r="L617" s="525">
        <v>493</v>
      </c>
      <c r="M617" s="163">
        <f>M616+K617-L617</f>
        <v>-12665.304279999633</v>
      </c>
    </row>
    <row r="618" spans="1:13">
      <c r="A618" s="54" t="str">
        <f>D618&amp;E618&amp;F618</f>
        <v>CAPUBERCAP</v>
      </c>
      <c r="B618" t="s">
        <v>515</v>
      </c>
      <c r="C618" s="1">
        <v>45730</v>
      </c>
      <c r="D618" s="71" t="s">
        <v>31</v>
      </c>
      <c r="E618" s="71" t="s">
        <v>189</v>
      </c>
      <c r="F618" s="143" t="s">
        <v>31</v>
      </c>
      <c r="G618" s="71" t="s">
        <v>216</v>
      </c>
      <c r="H618" s="172"/>
      <c r="I618" s="172"/>
      <c r="J618" s="76" t="s">
        <v>253</v>
      </c>
      <c r="K618" s="332"/>
      <c r="L618" s="526">
        <v>300</v>
      </c>
      <c r="M618" s="163">
        <f>M617+K618-L618</f>
        <v>-12965.304279999633</v>
      </c>
    </row>
    <row r="619" spans="1:13">
      <c r="A619" s="54" t="str">
        <f>D619&amp;E619&amp;F619</f>
        <v>CAPUBERCAP</v>
      </c>
      <c r="B619" t="s">
        <v>515</v>
      </c>
      <c r="C619" s="1">
        <v>45730</v>
      </c>
      <c r="D619" s="71" t="s">
        <v>31</v>
      </c>
      <c r="E619" s="71" t="s">
        <v>189</v>
      </c>
      <c r="F619" s="143" t="s">
        <v>31</v>
      </c>
      <c r="G619" s="71" t="s">
        <v>216</v>
      </c>
      <c r="H619" s="172"/>
      <c r="I619" s="172"/>
      <c r="J619" s="76" t="s">
        <v>641</v>
      </c>
      <c r="K619" s="332"/>
      <c r="L619" s="526">
        <v>150</v>
      </c>
      <c r="M619" s="163">
        <f>M618+K619-L619</f>
        <v>-13115.304279999633</v>
      </c>
    </row>
    <row r="620" spans="1:13">
      <c r="A620" s="54" t="str">
        <f>D620&amp;E620&amp;F620</f>
        <v>CAPUBERCAP</v>
      </c>
      <c r="B620" t="s">
        <v>515</v>
      </c>
      <c r="C620" s="1">
        <v>45730</v>
      </c>
      <c r="D620" s="71" t="s">
        <v>31</v>
      </c>
      <c r="E620" s="71" t="s">
        <v>189</v>
      </c>
      <c r="F620" s="143" t="s">
        <v>31</v>
      </c>
      <c r="G620" s="71" t="s">
        <v>216</v>
      </c>
      <c r="H620" s="172"/>
      <c r="I620" s="172"/>
      <c r="J620" s="76" t="s">
        <v>642</v>
      </c>
      <c r="K620" s="332"/>
      <c r="L620" s="526">
        <v>80</v>
      </c>
      <c r="M620" s="163">
        <f>M619+K620-L620</f>
        <v>-13195.304279999633</v>
      </c>
    </row>
    <row r="621" spans="1:13">
      <c r="A621" s="54" t="str">
        <f>D621&amp;E621&amp;F621</f>
        <v>FINANZASFALTANTESFALTANTES</v>
      </c>
      <c r="B621" t="s">
        <v>515</v>
      </c>
      <c r="C621" s="1">
        <v>45730</v>
      </c>
      <c r="D621" s="71" t="s">
        <v>23</v>
      </c>
      <c r="E621" s="71" t="s">
        <v>119</v>
      </c>
      <c r="F621" s="143" t="s">
        <v>119</v>
      </c>
      <c r="G621" s="71" t="s">
        <v>258</v>
      </c>
      <c r="H621" s="172"/>
      <c r="I621" s="172"/>
      <c r="J621" s="71" t="s">
        <v>282</v>
      </c>
      <c r="K621" s="332"/>
      <c r="L621" s="326">
        <v>16.190000000000001</v>
      </c>
      <c r="M621" s="163">
        <f>M620+K621-L621</f>
        <v>-13211.494279999633</v>
      </c>
    </row>
    <row r="622" spans="1:13">
      <c r="A622" s="54" t="str">
        <f>D622&amp;E622&amp;F622</f>
        <v>FINANZASFONDO Y REPOSICIONFINANZAS</v>
      </c>
      <c r="B622" t="s">
        <v>515</v>
      </c>
      <c r="C622" s="1">
        <v>45731</v>
      </c>
      <c r="D622" s="71" t="s">
        <v>23</v>
      </c>
      <c r="E622" s="71" t="s">
        <v>120</v>
      </c>
      <c r="F622" s="143" t="s">
        <v>23</v>
      </c>
      <c r="G622" s="71" t="s">
        <v>258</v>
      </c>
      <c r="H622" s="172"/>
      <c r="I622" s="172"/>
      <c r="J622" s="71" t="s">
        <v>643</v>
      </c>
      <c r="K622" s="332"/>
      <c r="L622" s="326">
        <v>525</v>
      </c>
      <c r="M622" s="163">
        <f>M621+K622-L622</f>
        <v>-13736.494279999633</v>
      </c>
    </row>
    <row r="623" spans="1:13">
      <c r="A623" s="54" t="str">
        <f>D623&amp;E623&amp;F623</f>
        <v>FINANZASFONDO Y REPOSICIONFINANZAS</v>
      </c>
      <c r="B623" t="s">
        <v>515</v>
      </c>
      <c r="C623" s="1">
        <v>45731</v>
      </c>
      <c r="D623" s="71" t="s">
        <v>23</v>
      </c>
      <c r="E623" s="71" t="s">
        <v>120</v>
      </c>
      <c r="F623" s="143" t="s">
        <v>23</v>
      </c>
      <c r="G623" s="71" t="s">
        <v>216</v>
      </c>
      <c r="H623" s="172"/>
      <c r="I623" s="172"/>
      <c r="J623" s="71" t="s">
        <v>644</v>
      </c>
      <c r="K623" s="332"/>
      <c r="L623" s="326">
        <v>300</v>
      </c>
      <c r="M623" s="163">
        <f>M622+K623-L623</f>
        <v>-14036.494279999633</v>
      </c>
    </row>
    <row r="624" spans="1:13">
      <c r="A624" s="54" t="str">
        <f>D624&amp;E624&amp;F624</f>
        <v>FINANZASMTTO EQ DE TRANSPORTETESORERIA</v>
      </c>
      <c r="B624" t="s">
        <v>515</v>
      </c>
      <c r="C624" s="1">
        <v>45731</v>
      </c>
      <c r="D624" s="71" t="s">
        <v>23</v>
      </c>
      <c r="E624" s="71" t="s">
        <v>144</v>
      </c>
      <c r="F624" s="143" t="s">
        <v>38</v>
      </c>
      <c r="G624" s="71" t="s">
        <v>258</v>
      </c>
      <c r="H624" s="172"/>
      <c r="I624" s="172"/>
      <c r="J624" s="71" t="s">
        <v>645</v>
      </c>
      <c r="K624" s="332"/>
      <c r="L624" s="326">
        <f>4676+14</f>
        <v>4690</v>
      </c>
      <c r="M624" s="163">
        <f>M623+K624-L624</f>
        <v>-18726.494279999635</v>
      </c>
    </row>
    <row r="625" spans="1:13">
      <c r="A625" s="54" t="str">
        <f>D625&amp;E625&amp;F625</f>
        <v>SERVICIOSVIATICOSCEDIS</v>
      </c>
      <c r="B625" t="s">
        <v>515</v>
      </c>
      <c r="C625" s="1">
        <v>45731</v>
      </c>
      <c r="D625" s="71" t="s">
        <v>21</v>
      </c>
      <c r="E625" s="71" t="s">
        <v>191</v>
      </c>
      <c r="F625" s="143" t="s">
        <v>28</v>
      </c>
      <c r="G625" s="71" t="s">
        <v>216</v>
      </c>
      <c r="H625" s="172"/>
      <c r="I625" s="172"/>
      <c r="J625" s="71" t="s">
        <v>646</v>
      </c>
      <c r="K625" s="332"/>
      <c r="L625" s="326">
        <v>2050</v>
      </c>
      <c r="M625" s="163">
        <f>M624+K625-L625</f>
        <v>-20776.494279999635</v>
      </c>
    </row>
    <row r="626" spans="1:13">
      <c r="A626" s="54" t="str">
        <f>D626&amp;E626&amp;F626</f>
        <v>SERVICIOSMTTO DE EDIFICIOMANTENIMIENTO</v>
      </c>
      <c r="B626" t="s">
        <v>515</v>
      </c>
      <c r="C626" s="1">
        <v>45731</v>
      </c>
      <c r="D626" s="71" t="s">
        <v>21</v>
      </c>
      <c r="E626" s="71" t="s">
        <v>142</v>
      </c>
      <c r="F626" s="143" t="s">
        <v>35</v>
      </c>
      <c r="G626" s="71" t="s">
        <v>258</v>
      </c>
      <c r="H626" s="172"/>
      <c r="I626" s="172"/>
      <c r="J626" s="71" t="s">
        <v>647</v>
      </c>
      <c r="K626" s="332"/>
      <c r="L626" s="326">
        <v>15000</v>
      </c>
      <c r="M626" s="163">
        <f>M625+K626-L626</f>
        <v>-35776.494279999635</v>
      </c>
    </row>
    <row r="627" spans="1:13" ht="18.75" customHeight="1">
      <c r="A627" s="54" t="str">
        <f t="shared" si="9"/>
        <v/>
      </c>
      <c r="B627" t="s">
        <v>515</v>
      </c>
      <c r="C627" s="1">
        <v>45734</v>
      </c>
      <c r="D627" s="71"/>
      <c r="F627" s="143"/>
      <c r="H627" s="172"/>
      <c r="I627" s="172"/>
      <c r="J627" s="71" t="s">
        <v>260</v>
      </c>
      <c r="K627" s="348">
        <f>1060092.6-47179.46</f>
        <v>1012913.1400000001</v>
      </c>
      <c r="L627" s="321"/>
      <c r="M627" s="163">
        <f>M626+K627-L627</f>
        <v>977136.6457200005</v>
      </c>
    </row>
    <row r="628" spans="1:13">
      <c r="A628" s="54" t="str">
        <f>D628&amp;E628&amp;F628</f>
        <v>FINANZASCOMISIONES BANCARIASTPV</v>
      </c>
      <c r="B628" t="s">
        <v>515</v>
      </c>
      <c r="C628" s="1">
        <v>45734</v>
      </c>
      <c r="D628" s="71" t="s">
        <v>23</v>
      </c>
      <c r="E628" s="71" t="s">
        <v>48</v>
      </c>
      <c r="F628" s="143" t="s">
        <v>50</v>
      </c>
      <c r="G628" s="71" t="s">
        <v>216</v>
      </c>
      <c r="H628" s="172"/>
      <c r="I628" s="172"/>
      <c r="J628" s="73" t="s">
        <v>217</v>
      </c>
      <c r="K628" s="332"/>
      <c r="L628" s="326">
        <f>1018.98+2575.24+637.02+8227.26+9069.78</f>
        <v>21528.28</v>
      </c>
      <c r="M628" s="163">
        <f>M627+K628-L628</f>
        <v>955608.36572000047</v>
      </c>
    </row>
    <row r="629" spans="1:13">
      <c r="A629" s="54" t="str">
        <f t="shared" si="9"/>
        <v/>
      </c>
      <c r="B629" t="s">
        <v>515</v>
      </c>
      <c r="C629" s="1">
        <v>45734</v>
      </c>
      <c r="D629" s="71"/>
      <c r="F629" s="143"/>
      <c r="H629" s="172"/>
      <c r="I629" s="172" t="s">
        <v>219</v>
      </c>
      <c r="J629" s="205" t="s">
        <v>577</v>
      </c>
      <c r="K629" s="206"/>
      <c r="L629" s="206">
        <v>200000</v>
      </c>
      <c r="M629" s="163">
        <f>M628+K629-L629</f>
        <v>755608.36572000047</v>
      </c>
    </row>
    <row r="630" spans="1:13">
      <c r="A630" s="54" t="str">
        <f t="shared" si="9"/>
        <v/>
      </c>
      <c r="B630" t="s">
        <v>515</v>
      </c>
      <c r="C630" s="1">
        <v>45734</v>
      </c>
      <c r="D630" s="71"/>
      <c r="F630" s="143"/>
      <c r="H630" s="172"/>
      <c r="I630" s="172" t="s">
        <v>317</v>
      </c>
      <c r="J630" s="205" t="s">
        <v>318</v>
      </c>
      <c r="K630" s="206"/>
      <c r="L630" s="206">
        <v>621000</v>
      </c>
      <c r="M630" s="163">
        <f>M629+K630-L630</f>
        <v>134608.36572000047</v>
      </c>
    </row>
    <row r="631" spans="1:13">
      <c r="A631" s="54" t="str">
        <f>D631&amp;E631&amp;F631</f>
        <v>HRENERGIA ELECTRICAA10</v>
      </c>
      <c r="B631" t="s">
        <v>515</v>
      </c>
      <c r="C631" s="1">
        <v>45734</v>
      </c>
      <c r="D631" s="71" t="s">
        <v>29</v>
      </c>
      <c r="E631" s="71" t="s">
        <v>87</v>
      </c>
      <c r="F631" s="143" t="s">
        <v>96</v>
      </c>
      <c r="G631" s="71" t="s">
        <v>216</v>
      </c>
      <c r="H631" s="172"/>
      <c r="I631" s="172"/>
      <c r="J631" s="71" t="s">
        <v>648</v>
      </c>
      <c r="K631" s="332"/>
      <c r="L631" s="333">
        <v>24554</v>
      </c>
      <c r="M631" s="163">
        <f>M630+K631-L631</f>
        <v>110054.36572000047</v>
      </c>
    </row>
    <row r="632" spans="1:13">
      <c r="A632" s="54" t="str">
        <f>D632&amp;E632&amp;F632</f>
        <v>HRENERGIA ELECTRICAA10</v>
      </c>
      <c r="B632" t="s">
        <v>515</v>
      </c>
      <c r="C632" s="1">
        <v>45734</v>
      </c>
      <c r="D632" s="71" t="s">
        <v>29</v>
      </c>
      <c r="E632" s="71" t="s">
        <v>87</v>
      </c>
      <c r="F632" s="143" t="s">
        <v>96</v>
      </c>
      <c r="G632" s="71" t="s">
        <v>216</v>
      </c>
      <c r="H632" s="172"/>
      <c r="I632" s="172"/>
      <c r="J632" s="71" t="s">
        <v>649</v>
      </c>
      <c r="K632" s="332"/>
      <c r="L632" s="333">
        <v>4001</v>
      </c>
      <c r="M632" s="163">
        <f>M631+K632-L632</f>
        <v>106053.36572000047</v>
      </c>
    </row>
    <row r="633" spans="1:13">
      <c r="A633" s="54" t="str">
        <f>D633&amp;E633&amp;F633</f>
        <v>CAPENERGIA ELECTRICAE1</v>
      </c>
      <c r="B633" t="s">
        <v>515</v>
      </c>
      <c r="C633" s="1">
        <v>45734</v>
      </c>
      <c r="D633" s="71" t="s">
        <v>31</v>
      </c>
      <c r="E633" s="71" t="s">
        <v>87</v>
      </c>
      <c r="F633" s="143" t="s">
        <v>107</v>
      </c>
      <c r="G633" s="71" t="s">
        <v>216</v>
      </c>
      <c r="H633" s="172"/>
      <c r="I633" s="172"/>
      <c r="J633" s="71" t="s">
        <v>650</v>
      </c>
      <c r="K633" s="332"/>
      <c r="L633" s="333">
        <v>6317</v>
      </c>
      <c r="M633" s="163">
        <f>M632+K633-L633</f>
        <v>99736.365720000467</v>
      </c>
    </row>
    <row r="634" spans="1:13">
      <c r="A634" s="54" t="str">
        <f>D634&amp;E634&amp;F634</f>
        <v>HRENERGIA ELECTRICAA14</v>
      </c>
      <c r="B634" t="s">
        <v>515</v>
      </c>
      <c r="C634" s="1">
        <v>45734</v>
      </c>
      <c r="D634" s="71" t="s">
        <v>29</v>
      </c>
      <c r="E634" s="71" t="s">
        <v>87</v>
      </c>
      <c r="F634" s="143" t="s">
        <v>99</v>
      </c>
      <c r="G634" s="71" t="s">
        <v>216</v>
      </c>
      <c r="H634" s="172"/>
      <c r="I634" s="172"/>
      <c r="J634" s="71" t="s">
        <v>651</v>
      </c>
      <c r="K634" s="332"/>
      <c r="L634" s="333">
        <v>13562</v>
      </c>
      <c r="M634" s="163">
        <f>M633+K634-L634</f>
        <v>86174.365720000467</v>
      </c>
    </row>
    <row r="635" spans="1:13">
      <c r="A635" s="54" t="str">
        <f>D635&amp;E635&amp;F635</f>
        <v>SERVICIOSPAQUETERIACEDIS (E6)</v>
      </c>
      <c r="B635" t="s">
        <v>515</v>
      </c>
      <c r="C635" s="1">
        <v>45734</v>
      </c>
      <c r="D635" s="71" t="s">
        <v>21</v>
      </c>
      <c r="E635" s="71" t="s">
        <v>160</v>
      </c>
      <c r="F635" s="143" t="s">
        <v>161</v>
      </c>
      <c r="G635" s="71" t="s">
        <v>216</v>
      </c>
      <c r="H635" s="172"/>
      <c r="I635" s="172"/>
      <c r="J635" s="71" t="s">
        <v>652</v>
      </c>
      <c r="K635" s="321"/>
      <c r="L635" s="326">
        <v>2794.93</v>
      </c>
      <c r="M635" s="163">
        <f>M634+K635-L635</f>
        <v>83379.435720000474</v>
      </c>
    </row>
    <row r="636" spans="1:13">
      <c r="A636" s="54" t="str">
        <f>D636&amp;E636&amp;F636</f>
        <v>HRVIATICOSHR</v>
      </c>
      <c r="B636" t="s">
        <v>515</v>
      </c>
      <c r="C636" s="1">
        <v>45734</v>
      </c>
      <c r="D636" s="71" t="s">
        <v>29</v>
      </c>
      <c r="E636" s="71" t="s">
        <v>191</v>
      </c>
      <c r="F636" s="143" t="s">
        <v>29</v>
      </c>
      <c r="G636" s="71" t="s">
        <v>216</v>
      </c>
      <c r="H636" s="172"/>
      <c r="I636" s="172"/>
      <c r="J636" s="71" t="s">
        <v>653</v>
      </c>
      <c r="K636" s="332"/>
      <c r="L636" s="326">
        <v>1000</v>
      </c>
      <c r="M636" s="163">
        <f>M635+K636-L636</f>
        <v>82379.435720000474</v>
      </c>
    </row>
    <row r="637" spans="1:13">
      <c r="A637" s="54" t="str">
        <f>D637&amp;E637&amp;F637</f>
        <v>SERVICIOSFONDO Y REPOSICIONSERVICIOS</v>
      </c>
      <c r="B637" t="s">
        <v>515</v>
      </c>
      <c r="C637" s="1">
        <v>45734</v>
      </c>
      <c r="D637" s="71" t="s">
        <v>21</v>
      </c>
      <c r="E637" s="71" t="s">
        <v>120</v>
      </c>
      <c r="F637" s="143" t="s">
        <v>21</v>
      </c>
      <c r="G637" s="71" t="s">
        <v>258</v>
      </c>
      <c r="H637" s="172"/>
      <c r="I637" s="172"/>
      <c r="J637" s="71" t="s">
        <v>654</v>
      </c>
      <c r="K637" s="332"/>
      <c r="L637" s="326">
        <v>2000</v>
      </c>
      <c r="M637" s="163">
        <f>M636+K637-L637</f>
        <v>80379.435720000474</v>
      </c>
    </row>
    <row r="638" spans="1:13">
      <c r="A638" s="54" t="str">
        <f>D638&amp;E638&amp;F638</f>
        <v>FINANZASFALTANTESFALTANTES</v>
      </c>
      <c r="B638" t="s">
        <v>515</v>
      </c>
      <c r="C638" s="1">
        <v>45734</v>
      </c>
      <c r="D638" s="71" t="s">
        <v>23</v>
      </c>
      <c r="E638" s="71" t="s">
        <v>119</v>
      </c>
      <c r="F638" s="143" t="s">
        <v>119</v>
      </c>
      <c r="G638" s="71" t="s">
        <v>258</v>
      </c>
      <c r="H638" s="172"/>
      <c r="I638" s="172"/>
      <c r="J638" s="71" t="s">
        <v>655</v>
      </c>
      <c r="K638" s="332"/>
      <c r="L638" s="326">
        <v>200</v>
      </c>
      <c r="M638" s="163">
        <f>M637+K638-L638</f>
        <v>80179.435720000474</v>
      </c>
    </row>
    <row r="639" spans="1:13">
      <c r="A639" s="54" t="str">
        <f>D639&amp;E639&amp;F639</f>
        <v>SERVICIOSVIATICOSCEDIS</v>
      </c>
      <c r="B639" t="s">
        <v>515</v>
      </c>
      <c r="C639" s="1">
        <v>45734</v>
      </c>
      <c r="D639" s="71" t="s">
        <v>21</v>
      </c>
      <c r="E639" s="71" t="s">
        <v>191</v>
      </c>
      <c r="F639" s="143" t="s">
        <v>28</v>
      </c>
      <c r="G639" s="71" t="s">
        <v>216</v>
      </c>
      <c r="H639" s="172"/>
      <c r="I639" s="172"/>
      <c r="J639" s="71" t="s">
        <v>656</v>
      </c>
      <c r="K639" s="322"/>
      <c r="L639" s="323">
        <v>400</v>
      </c>
      <c r="M639" s="163">
        <f>M638+K639-L639</f>
        <v>79779.435720000474</v>
      </c>
    </row>
    <row r="640" spans="1:13">
      <c r="A640" s="54" t="str">
        <f>D640&amp;E640&amp;F640</f>
        <v>SERVICIOSVIATICOSCEDIS</v>
      </c>
      <c r="B640" t="s">
        <v>515</v>
      </c>
      <c r="C640" s="1">
        <v>45734</v>
      </c>
      <c r="D640" s="71" t="s">
        <v>21</v>
      </c>
      <c r="E640" s="71" t="s">
        <v>191</v>
      </c>
      <c r="F640" s="143" t="s">
        <v>28</v>
      </c>
      <c r="G640" s="71" t="s">
        <v>216</v>
      </c>
      <c r="H640" s="172"/>
      <c r="I640" s="172"/>
      <c r="J640" s="71" t="s">
        <v>657</v>
      </c>
      <c r="K640" s="322"/>
      <c r="L640" s="323">
        <v>400</v>
      </c>
      <c r="M640" s="163">
        <f>M639+K640-L640</f>
        <v>79379.435720000474</v>
      </c>
    </row>
    <row r="641" spans="1:13">
      <c r="A641" s="54" t="str">
        <f>D641&amp;E641&amp;F641</f>
        <v>HRUBERHR</v>
      </c>
      <c r="B641" t="s">
        <v>515</v>
      </c>
      <c r="C641" s="1">
        <v>45734</v>
      </c>
      <c r="D641" s="71" t="s">
        <v>29</v>
      </c>
      <c r="E641" s="71" t="s">
        <v>189</v>
      </c>
      <c r="F641" s="143" t="s">
        <v>29</v>
      </c>
      <c r="G641" s="71" t="s">
        <v>258</v>
      </c>
      <c r="H641" s="172"/>
      <c r="I641" s="172"/>
      <c r="J641" s="76" t="s">
        <v>291</v>
      </c>
      <c r="L641" s="526">
        <v>210</v>
      </c>
      <c r="M641" s="163">
        <f>M640+K641-L641</f>
        <v>79169.435720000474</v>
      </c>
    </row>
    <row r="642" spans="1:13">
      <c r="A642" s="54" t="str">
        <f>D642&amp;E642&amp;F642</f>
        <v>HRJMASA5</v>
      </c>
      <c r="B642" t="s">
        <v>515</v>
      </c>
      <c r="C642" s="1">
        <v>45734</v>
      </c>
      <c r="D642" s="71" t="s">
        <v>29</v>
      </c>
      <c r="E642" s="71" t="s">
        <v>137</v>
      </c>
      <c r="F642" s="143" t="s">
        <v>92</v>
      </c>
      <c r="G642" s="71" t="s">
        <v>216</v>
      </c>
      <c r="H642" s="172"/>
      <c r="I642" s="172"/>
      <c r="J642" s="76" t="s">
        <v>658</v>
      </c>
      <c r="K642" s="332"/>
      <c r="L642" s="331">
        <v>68</v>
      </c>
      <c r="M642" s="163">
        <f>M641+K642-L642</f>
        <v>79101.435720000474</v>
      </c>
    </row>
    <row r="643" spans="1:13">
      <c r="A643" s="54" t="str">
        <f>D643&amp;E643&amp;F643</f>
        <v>HRINSUMOSHR</v>
      </c>
      <c r="B643" t="s">
        <v>515</v>
      </c>
      <c r="C643" s="1">
        <v>45734</v>
      </c>
      <c r="D643" s="71" t="s">
        <v>29</v>
      </c>
      <c r="E643" s="71" t="s">
        <v>133</v>
      </c>
      <c r="F643" s="143" t="s">
        <v>29</v>
      </c>
      <c r="G643" s="71" t="s">
        <v>216</v>
      </c>
      <c r="H643" s="172"/>
      <c r="I643" s="172"/>
      <c r="J643" s="76" t="s">
        <v>659</v>
      </c>
      <c r="K643" s="332"/>
      <c r="L643" s="331">
        <v>37</v>
      </c>
      <c r="M643" s="163">
        <f>M642+K643-L643</f>
        <v>79064.435720000474</v>
      </c>
    </row>
    <row r="644" spans="1:13">
      <c r="A644" s="54" t="str">
        <f>D644&amp;E644&amp;F644</f>
        <v>HRJMASA11</v>
      </c>
      <c r="B644" t="s">
        <v>515</v>
      </c>
      <c r="C644" s="1">
        <v>45734</v>
      </c>
      <c r="D644" s="71" t="s">
        <v>29</v>
      </c>
      <c r="E644" s="71" t="s">
        <v>137</v>
      </c>
      <c r="F644" s="143" t="s">
        <v>97</v>
      </c>
      <c r="G644" s="71" t="s">
        <v>216</v>
      </c>
      <c r="H644" s="172"/>
      <c r="I644" s="172"/>
      <c r="J644" s="76" t="s">
        <v>429</v>
      </c>
      <c r="K644" s="332"/>
      <c r="L644" s="331">
        <v>540</v>
      </c>
      <c r="M644" s="163">
        <f>M643+K644-L644</f>
        <v>78524.435720000474</v>
      </c>
    </row>
    <row r="645" spans="1:13">
      <c r="A645" s="54" t="str">
        <f>D645&amp;E645&amp;F645</f>
        <v>HRJMASA14</v>
      </c>
      <c r="B645" t="s">
        <v>515</v>
      </c>
      <c r="C645" s="1">
        <v>45734</v>
      </c>
      <c r="D645" s="71" t="s">
        <v>29</v>
      </c>
      <c r="E645" s="71" t="s">
        <v>137</v>
      </c>
      <c r="F645" s="143" t="s">
        <v>99</v>
      </c>
      <c r="G645" s="71" t="s">
        <v>216</v>
      </c>
      <c r="H645" s="172"/>
      <c r="I645" s="172"/>
      <c r="J645" s="76" t="s">
        <v>310</v>
      </c>
      <c r="K645" s="332"/>
      <c r="L645" s="331">
        <v>1251</v>
      </c>
      <c r="M645" s="163">
        <f>M644+K645-L645</f>
        <v>77273.435720000474</v>
      </c>
    </row>
    <row r="646" spans="1:13">
      <c r="A646" s="54" t="str">
        <f>D646&amp;E646&amp;F646</f>
        <v>HRUBERHR</v>
      </c>
      <c r="B646" t="s">
        <v>515</v>
      </c>
      <c r="C646" s="1">
        <v>45734</v>
      </c>
      <c r="D646" s="71" t="s">
        <v>29</v>
      </c>
      <c r="E646" s="71" t="s">
        <v>189</v>
      </c>
      <c r="F646" s="143" t="s">
        <v>29</v>
      </c>
      <c r="G646" s="71" t="s">
        <v>258</v>
      </c>
      <c r="H646" s="172"/>
      <c r="I646" s="172"/>
      <c r="J646" s="76" t="s">
        <v>249</v>
      </c>
      <c r="K646" s="332"/>
      <c r="L646" s="526">
        <v>144</v>
      </c>
      <c r="M646" s="163">
        <f>M645+K646-L646</f>
        <v>77129.435720000474</v>
      </c>
    </row>
    <row r="647" spans="1:13">
      <c r="A647" s="54" t="str">
        <f>D647&amp;E647&amp;F647</f>
        <v>HRJMASA17</v>
      </c>
      <c r="B647" t="s">
        <v>515</v>
      </c>
      <c r="C647" s="1">
        <v>45734</v>
      </c>
      <c r="D647" s="71" t="s">
        <v>29</v>
      </c>
      <c r="E647" s="71" t="s">
        <v>137</v>
      </c>
      <c r="F647" s="143" t="s">
        <v>102</v>
      </c>
      <c r="G647" s="71" t="s">
        <v>216</v>
      </c>
      <c r="H647" s="172"/>
      <c r="I647" s="172"/>
      <c r="J647" s="76" t="s">
        <v>660</v>
      </c>
      <c r="K647" s="332"/>
      <c r="L647" s="331">
        <v>1705</v>
      </c>
      <c r="M647" s="163">
        <f>M646+K647-L647</f>
        <v>75424.435720000474</v>
      </c>
    </row>
    <row r="648" spans="1:13">
      <c r="A648" s="54" t="str">
        <f>D648&amp;E648&amp;F648</f>
        <v>HRUBERHR</v>
      </c>
      <c r="B648" t="s">
        <v>515</v>
      </c>
      <c r="C648" s="1">
        <v>45734</v>
      </c>
      <c r="D648" s="71" t="s">
        <v>29</v>
      </c>
      <c r="E648" s="71" t="s">
        <v>189</v>
      </c>
      <c r="F648" s="143" t="s">
        <v>29</v>
      </c>
      <c r="G648" s="71" t="s">
        <v>258</v>
      </c>
      <c r="H648" s="172"/>
      <c r="I648" s="172"/>
      <c r="J648" s="76" t="s">
        <v>456</v>
      </c>
      <c r="K648" s="332"/>
      <c r="L648" s="526">
        <v>286</v>
      </c>
      <c r="M648" s="163">
        <f>M647+K648-L648</f>
        <v>75138.435720000474</v>
      </c>
    </row>
    <row r="649" spans="1:13">
      <c r="A649" s="54" t="str">
        <f>D649&amp;E649&amp;F649</f>
        <v>HRJMASA23</v>
      </c>
      <c r="B649" t="s">
        <v>515</v>
      </c>
      <c r="C649" s="1">
        <v>45734</v>
      </c>
      <c r="D649" s="71" t="s">
        <v>29</v>
      </c>
      <c r="E649" s="71" t="s">
        <v>137</v>
      </c>
      <c r="F649" s="143" t="s">
        <v>105</v>
      </c>
      <c r="G649" s="71" t="s">
        <v>216</v>
      </c>
      <c r="H649" s="172"/>
      <c r="I649" s="172"/>
      <c r="J649" s="76" t="s">
        <v>661</v>
      </c>
      <c r="K649" s="332"/>
      <c r="L649" s="331">
        <v>974</v>
      </c>
      <c r="M649" s="163">
        <f>M648+K649-L649</f>
        <v>74164.435720000474</v>
      </c>
    </row>
    <row r="650" spans="1:13">
      <c r="A650" s="54" t="str">
        <f>D650&amp;E650&amp;F650</f>
        <v>HRJMASA24</v>
      </c>
      <c r="B650" t="s">
        <v>515</v>
      </c>
      <c r="C650" s="1">
        <v>45734</v>
      </c>
      <c r="D650" s="71" t="s">
        <v>29</v>
      </c>
      <c r="E650" s="71" t="s">
        <v>137</v>
      </c>
      <c r="F650" s="143" t="s">
        <v>106</v>
      </c>
      <c r="G650" s="71" t="s">
        <v>216</v>
      </c>
      <c r="H650" s="172"/>
      <c r="I650" s="172"/>
      <c r="J650" s="76" t="s">
        <v>662</v>
      </c>
      <c r="K650" s="332"/>
      <c r="L650" s="331">
        <v>1088</v>
      </c>
      <c r="M650" s="163">
        <f>M649+K650-L650</f>
        <v>73076.435720000474</v>
      </c>
    </row>
    <row r="651" spans="1:13">
      <c r="A651" s="54" t="str">
        <f>D651&amp;E651&amp;F651</f>
        <v>HRVACACIONES/FINIQUITOSHR</v>
      </c>
      <c r="B651" t="s">
        <v>515</v>
      </c>
      <c r="C651" s="1">
        <v>45734</v>
      </c>
      <c r="D651" t="s">
        <v>29</v>
      </c>
      <c r="E651" s="12" t="s">
        <v>190</v>
      </c>
      <c r="F651" s="12" t="s">
        <v>29</v>
      </c>
      <c r="G651" s="71" t="s">
        <v>216</v>
      </c>
      <c r="H651" s="172"/>
      <c r="I651" s="172"/>
      <c r="J651" s="76" t="s">
        <v>663</v>
      </c>
      <c r="K651" s="332"/>
      <c r="L651" s="331">
        <v>1438</v>
      </c>
      <c r="M651" s="163">
        <f>M650+K651-L651</f>
        <v>71638.435720000474</v>
      </c>
    </row>
    <row r="652" spans="1:13">
      <c r="A652" s="54" t="str">
        <f>D652&amp;E652&amp;F652</f>
        <v>HRUBERHR</v>
      </c>
      <c r="B652" t="s">
        <v>515</v>
      </c>
      <c r="C652" s="1">
        <v>45734</v>
      </c>
      <c r="D652" s="71" t="s">
        <v>29</v>
      </c>
      <c r="E652" s="71" t="s">
        <v>189</v>
      </c>
      <c r="F652" s="143" t="s">
        <v>29</v>
      </c>
      <c r="G652" s="71" t="s">
        <v>258</v>
      </c>
      <c r="H652" s="172"/>
      <c r="I652" s="172"/>
      <c r="J652" s="76" t="s">
        <v>664</v>
      </c>
      <c r="K652" s="332"/>
      <c r="L652" s="526">
        <v>80</v>
      </c>
      <c r="M652" s="163">
        <f>M651+K652-L652</f>
        <v>71558.435720000474</v>
      </c>
    </row>
    <row r="653" spans="1:13">
      <c r="A653" s="54" t="str">
        <f>D653&amp;E653&amp;F653</f>
        <v>CAPUBERCAP</v>
      </c>
      <c r="B653" t="s">
        <v>515</v>
      </c>
      <c r="C653" s="1">
        <v>45734</v>
      </c>
      <c r="D653" s="71" t="s">
        <v>31</v>
      </c>
      <c r="E653" s="71" t="s">
        <v>189</v>
      </c>
      <c r="F653" s="143" t="s">
        <v>31</v>
      </c>
      <c r="G653" s="71" t="s">
        <v>216</v>
      </c>
      <c r="H653" s="172"/>
      <c r="I653" s="172"/>
      <c r="J653" s="76" t="s">
        <v>253</v>
      </c>
      <c r="K653" s="332"/>
      <c r="L653" s="526">
        <v>1856</v>
      </c>
      <c r="M653" s="163">
        <f>M652+K653-L653</f>
        <v>69702.435720000474</v>
      </c>
    </row>
    <row r="654" spans="1:13">
      <c r="A654" s="54" t="str">
        <f>D654&amp;E654&amp;F654</f>
        <v>FINANZASFALTANTESFALTANTES</v>
      </c>
      <c r="B654" t="s">
        <v>515</v>
      </c>
      <c r="C654" s="244">
        <v>45734</v>
      </c>
      <c r="D654" s="242" t="s">
        <v>23</v>
      </c>
      <c r="E654" s="242" t="s">
        <v>119</v>
      </c>
      <c r="F654" s="143" t="s">
        <v>119</v>
      </c>
      <c r="G654" s="71" t="s">
        <v>258</v>
      </c>
      <c r="H654" s="172"/>
      <c r="I654" s="172"/>
      <c r="J654" s="243" t="s">
        <v>665</v>
      </c>
      <c r="K654" s="332"/>
      <c r="L654" s="331">
        <v>181</v>
      </c>
      <c r="M654" s="163">
        <f>M653+K654-L654</f>
        <v>69521.435720000474</v>
      </c>
    </row>
    <row r="655" spans="1:13">
      <c r="A655" s="54" t="str">
        <f>D655&amp;E655&amp;F655</f>
        <v>CAPUBERCAP</v>
      </c>
      <c r="B655" t="s">
        <v>515</v>
      </c>
      <c r="C655" s="1">
        <v>45734</v>
      </c>
      <c r="D655" s="71" t="s">
        <v>31</v>
      </c>
      <c r="E655" s="71" t="s">
        <v>189</v>
      </c>
      <c r="F655" s="143" t="s">
        <v>31</v>
      </c>
      <c r="G655" s="71" t="s">
        <v>216</v>
      </c>
      <c r="H655" s="172"/>
      <c r="I655" s="172"/>
      <c r="J655" s="76" t="s">
        <v>257</v>
      </c>
      <c r="K655" s="332"/>
      <c r="L655" s="526">
        <v>519</v>
      </c>
      <c r="M655" s="163">
        <f>M654+K655-L655</f>
        <v>69002.435720000474</v>
      </c>
    </row>
    <row r="656" spans="1:13">
      <c r="A656" s="54" t="str">
        <f>D656&amp;E656&amp;F656</f>
        <v>CAPUBERCAP</v>
      </c>
      <c r="B656" t="s">
        <v>515</v>
      </c>
      <c r="C656" s="1">
        <v>45734</v>
      </c>
      <c r="D656" s="71" t="s">
        <v>31</v>
      </c>
      <c r="E656" s="71" t="s">
        <v>189</v>
      </c>
      <c r="F656" s="143" t="s">
        <v>31</v>
      </c>
      <c r="G656" s="71" t="s">
        <v>216</v>
      </c>
      <c r="H656" s="172"/>
      <c r="I656" s="172"/>
      <c r="J656" s="76" t="s">
        <v>255</v>
      </c>
      <c r="K656" s="332"/>
      <c r="L656" s="526">
        <v>145</v>
      </c>
      <c r="M656" s="163">
        <f>M655+K656-L656</f>
        <v>68857.435720000474</v>
      </c>
    </row>
    <row r="657" spans="1:13">
      <c r="A657" s="54" t="str">
        <f>D657&amp;E657&amp;F657</f>
        <v>FINANZASFALTANTESFALTANTES</v>
      </c>
      <c r="B657" t="s">
        <v>515</v>
      </c>
      <c r="C657" s="1">
        <v>45734</v>
      </c>
      <c r="D657" s="71" t="s">
        <v>23</v>
      </c>
      <c r="E657" s="71" t="s">
        <v>119</v>
      </c>
      <c r="F657" s="143" t="s">
        <v>119</v>
      </c>
      <c r="G657" s="71" t="s">
        <v>258</v>
      </c>
      <c r="H657" s="172"/>
      <c r="I657" s="172"/>
      <c r="J657" s="76" t="s">
        <v>282</v>
      </c>
      <c r="K657" s="332"/>
      <c r="L657" s="331">
        <v>5941.28</v>
      </c>
      <c r="M657" s="163">
        <f>M656+K657-L657</f>
        <v>62916.155720000475</v>
      </c>
    </row>
    <row r="658" spans="1:13">
      <c r="A658" s="54" t="str">
        <f t="shared" ref="A647:A710" si="10">D658&amp;E658&amp;F658</f>
        <v/>
      </c>
      <c r="B658" t="s">
        <v>515</v>
      </c>
      <c r="C658" s="1">
        <v>45734</v>
      </c>
      <c r="D658" s="71"/>
      <c r="F658" s="143"/>
      <c r="H658" s="172"/>
      <c r="I658" s="172"/>
      <c r="J658" s="71" t="s">
        <v>260</v>
      </c>
      <c r="K658" s="346">
        <v>157324.81</v>
      </c>
      <c r="L658" s="332"/>
      <c r="M658" s="163">
        <f>M657+K658-L658</f>
        <v>220240.96572000047</v>
      </c>
    </row>
    <row r="659" spans="1:13">
      <c r="A659" s="54" t="str">
        <f t="shared" si="10"/>
        <v/>
      </c>
      <c r="B659" t="s">
        <v>515</v>
      </c>
      <c r="C659" s="1">
        <v>45735</v>
      </c>
      <c r="D659" s="71"/>
      <c r="F659" s="143"/>
      <c r="H659" s="172"/>
      <c r="I659" s="172"/>
      <c r="J659" t="s">
        <v>666</v>
      </c>
      <c r="K659" s="346">
        <v>47179.46</v>
      </c>
      <c r="L659" s="332"/>
      <c r="M659" s="163">
        <f>M658+K659-L659</f>
        <v>267420.42572000046</v>
      </c>
    </row>
    <row r="660" spans="1:13">
      <c r="A660" s="54" t="str">
        <f>D660&amp;E660&amp;F660</f>
        <v>FINANZASCOMISIONES BANCARIASTPV</v>
      </c>
      <c r="B660" t="s">
        <v>515</v>
      </c>
      <c r="C660" s="1">
        <v>45735</v>
      </c>
      <c r="D660" s="71" t="s">
        <v>23</v>
      </c>
      <c r="E660" s="71" t="s">
        <v>48</v>
      </c>
      <c r="F660" s="143" t="s">
        <v>50</v>
      </c>
      <c r="G660" s="71" t="s">
        <v>216</v>
      </c>
      <c r="H660" s="172"/>
      <c r="I660" s="172"/>
      <c r="J660" s="73" t="s">
        <v>217</v>
      </c>
      <c r="K660" s="332"/>
      <c r="L660" s="331">
        <f>1510.87+1099.16+88.5+43.83+67.02</f>
        <v>2809.3799999999997</v>
      </c>
      <c r="M660" s="163">
        <f>M659+K660-L660</f>
        <v>264611.04572000046</v>
      </c>
    </row>
    <row r="661" spans="1:13">
      <c r="A661" s="54" t="str">
        <f t="shared" si="10"/>
        <v/>
      </c>
      <c r="B661" t="s">
        <v>515</v>
      </c>
      <c r="C661" s="1">
        <v>45735</v>
      </c>
      <c r="D661" s="71"/>
      <c r="F661" s="143"/>
      <c r="H661" s="172"/>
      <c r="I661" s="172"/>
      <c r="J661" s="205" t="s">
        <v>577</v>
      </c>
      <c r="K661" s="206"/>
      <c r="L661" s="206">
        <v>100000</v>
      </c>
      <c r="M661" s="163">
        <f>M660+K661-L661</f>
        <v>164611.04572000046</v>
      </c>
    </row>
    <row r="662" spans="1:13">
      <c r="A662" s="54" t="str">
        <f t="shared" si="10"/>
        <v/>
      </c>
      <c r="B662" t="s">
        <v>515</v>
      </c>
      <c r="C662" s="1">
        <v>45735</v>
      </c>
      <c r="D662" s="71"/>
      <c r="F662" s="143"/>
      <c r="H662" s="172"/>
      <c r="I662" s="172"/>
      <c r="J662" s="205" t="s">
        <v>222</v>
      </c>
      <c r="K662" s="206"/>
      <c r="L662" s="206">
        <v>150000</v>
      </c>
      <c r="M662" s="163">
        <f>M661+K662-L662</f>
        <v>14611.04572000046</v>
      </c>
    </row>
    <row r="663" spans="1:13">
      <c r="A663" s="54" t="str">
        <f>D663&amp;E663&amp;F663</f>
        <v>FINANZASVIATICOSFINANZAS</v>
      </c>
      <c r="B663" t="s">
        <v>515</v>
      </c>
      <c r="C663" s="1">
        <v>45735</v>
      </c>
      <c r="D663" s="71" t="s">
        <v>23</v>
      </c>
      <c r="E663" s="71" t="s">
        <v>191</v>
      </c>
      <c r="F663" s="143" t="s">
        <v>23</v>
      </c>
      <c r="G663" s="71" t="s">
        <v>258</v>
      </c>
      <c r="H663" s="172"/>
      <c r="I663" s="172"/>
      <c r="J663" s="71" t="s">
        <v>667</v>
      </c>
      <c r="K663" s="332"/>
      <c r="L663" s="326">
        <v>700</v>
      </c>
      <c r="M663" s="163">
        <f>M662+K663-L663</f>
        <v>13911.04572000046</v>
      </c>
    </row>
    <row r="664" spans="1:13">
      <c r="A664" s="54" t="str">
        <f>D664&amp;E664&amp;F664</f>
        <v>SERVICIOSMTTO EQ DE TRANSPORTECEDIS</v>
      </c>
      <c r="B664" t="s">
        <v>515</v>
      </c>
      <c r="C664" s="1">
        <v>45735</v>
      </c>
      <c r="D664" s="71" t="s">
        <v>21</v>
      </c>
      <c r="E664" s="71" t="s">
        <v>144</v>
      </c>
      <c r="F664" s="143" t="s">
        <v>28</v>
      </c>
      <c r="G664" s="71" t="s">
        <v>258</v>
      </c>
      <c r="H664" s="172"/>
      <c r="I664" s="172"/>
      <c r="J664" s="71" t="s">
        <v>668</v>
      </c>
      <c r="K664" s="321"/>
      <c r="L664" s="208">
        <v>4000</v>
      </c>
      <c r="M664" s="163">
        <f>M663+K664-L664</f>
        <v>9911.0457200004603</v>
      </c>
    </row>
    <row r="665" spans="1:13">
      <c r="A665" s="54" t="str">
        <f>D665&amp;E665&amp;F665</f>
        <v>HRIMAGEN VISUALIMAGEN VISUAL HR</v>
      </c>
      <c r="B665" t="s">
        <v>515</v>
      </c>
      <c r="C665" s="1">
        <v>45735</v>
      </c>
      <c r="D665" s="71" t="s">
        <v>29</v>
      </c>
      <c r="E665" s="71" t="s">
        <v>127</v>
      </c>
      <c r="F665" s="143" t="s">
        <v>128</v>
      </c>
      <c r="G665" s="71" t="s">
        <v>216</v>
      </c>
      <c r="H665" s="172"/>
      <c r="I665" s="172"/>
      <c r="J665" s="71" t="s">
        <v>669</v>
      </c>
      <c r="K665" s="321"/>
      <c r="L665" s="326">
        <v>200</v>
      </c>
      <c r="M665" s="163">
        <f>M664+K665-L665</f>
        <v>9711.0457200004603</v>
      </c>
    </row>
    <row r="666" spans="1:13">
      <c r="A666" s="54" t="str">
        <f>D666&amp;E666&amp;F666</f>
        <v>FINANZASVIATICOSFINANZAS</v>
      </c>
      <c r="B666" t="s">
        <v>515</v>
      </c>
      <c r="C666" s="1">
        <v>45735</v>
      </c>
      <c r="D666" s="71" t="s">
        <v>23</v>
      </c>
      <c r="E666" s="71" t="s">
        <v>191</v>
      </c>
      <c r="F666" s="143" t="s">
        <v>23</v>
      </c>
      <c r="G666" s="71" t="s">
        <v>258</v>
      </c>
      <c r="H666" s="172"/>
      <c r="I666" s="172"/>
      <c r="J666" s="71" t="s">
        <v>670</v>
      </c>
      <c r="K666" s="332"/>
      <c r="L666" s="326">
        <v>2000</v>
      </c>
      <c r="M666" s="163">
        <f>M665+K666-L666</f>
        <v>7711.0457200004603</v>
      </c>
    </row>
    <row r="667" spans="1:13">
      <c r="A667" s="54" t="str">
        <f>D667&amp;E667&amp;F667</f>
        <v>HRFONDO Y REPOSICIONHR</v>
      </c>
      <c r="B667" t="s">
        <v>515</v>
      </c>
      <c r="C667" s="1">
        <v>45735</v>
      </c>
      <c r="D667" s="71" t="s">
        <v>29</v>
      </c>
      <c r="E667" s="71" t="s">
        <v>120</v>
      </c>
      <c r="F667" s="143" t="s">
        <v>29</v>
      </c>
      <c r="G667" s="71" t="s">
        <v>216</v>
      </c>
      <c r="H667" s="172"/>
      <c r="I667" s="172"/>
      <c r="J667" s="71" t="s">
        <v>671</v>
      </c>
      <c r="K667" s="321"/>
      <c r="L667" s="326">
        <v>654</v>
      </c>
      <c r="M667" s="163">
        <f>M666+K667-L667</f>
        <v>7057.0457200004603</v>
      </c>
    </row>
    <row r="668" spans="1:13">
      <c r="A668" s="54" t="str">
        <f>D668&amp;E668&amp;F668</f>
        <v>HRFONDO Y REPOSICIONHR</v>
      </c>
      <c r="B668" t="s">
        <v>515</v>
      </c>
      <c r="C668" s="1">
        <v>45735</v>
      </c>
      <c r="D668" s="71" t="s">
        <v>29</v>
      </c>
      <c r="E668" s="71" t="s">
        <v>120</v>
      </c>
      <c r="F668" s="143" t="s">
        <v>29</v>
      </c>
      <c r="G668" s="71" t="s">
        <v>216</v>
      </c>
      <c r="H668" s="172"/>
      <c r="I668" s="172"/>
      <c r="J668" s="71" t="s">
        <v>266</v>
      </c>
      <c r="K668" s="321"/>
      <c r="L668" s="326">
        <v>2081</v>
      </c>
      <c r="M668" s="163">
        <f>M667+K668-L668</f>
        <v>4976.0457200004603</v>
      </c>
    </row>
    <row r="669" spans="1:13">
      <c r="A669" s="54" t="str">
        <f>D669&amp;E669&amp;F669</f>
        <v>HRFONDO Y REPOSICIONHR</v>
      </c>
      <c r="B669" t="s">
        <v>515</v>
      </c>
      <c r="C669" s="1">
        <v>45735</v>
      </c>
      <c r="D669" s="71" t="s">
        <v>29</v>
      </c>
      <c r="E669" s="71" t="s">
        <v>120</v>
      </c>
      <c r="F669" s="143" t="s">
        <v>29</v>
      </c>
      <c r="G669" s="71" t="s">
        <v>216</v>
      </c>
      <c r="H669" s="172"/>
      <c r="I669" s="172"/>
      <c r="J669" s="71" t="s">
        <v>267</v>
      </c>
      <c r="K669" s="321"/>
      <c r="L669" s="326">
        <v>1513</v>
      </c>
      <c r="M669" s="163">
        <f>M668+K669-L669</f>
        <v>3463.0457200004603</v>
      </c>
    </row>
    <row r="670" spans="1:13">
      <c r="A670" s="54" t="str">
        <f>D670&amp;E670&amp;F670</f>
        <v>FINANZASTELEFONIATELCEL</v>
      </c>
      <c r="B670" t="s">
        <v>515</v>
      </c>
      <c r="C670" s="1">
        <v>45735</v>
      </c>
      <c r="D670" s="71" t="s">
        <v>23</v>
      </c>
      <c r="E670" s="71" t="s">
        <v>181</v>
      </c>
      <c r="F670" s="143" t="s">
        <v>183</v>
      </c>
      <c r="G670" s="71" t="s">
        <v>216</v>
      </c>
      <c r="H670" s="172"/>
      <c r="I670" s="172"/>
      <c r="J670" s="71" t="s">
        <v>672</v>
      </c>
      <c r="K670" s="332"/>
      <c r="L670" s="326">
        <f>538/2</f>
        <v>269</v>
      </c>
      <c r="M670" s="163">
        <f>M669+K670-L670</f>
        <v>3194.0457200004603</v>
      </c>
    </row>
    <row r="671" spans="1:13">
      <c r="A671" s="54" t="str">
        <f>D671&amp;E671&amp;F671</f>
        <v>SERVICIOSVIATICOSINVENTARIOS</v>
      </c>
      <c r="B671" t="s">
        <v>515</v>
      </c>
      <c r="C671" s="1">
        <v>45735</v>
      </c>
      <c r="D671" s="71" t="s">
        <v>21</v>
      </c>
      <c r="E671" s="71" t="s">
        <v>191</v>
      </c>
      <c r="F671" s="143" t="s">
        <v>34</v>
      </c>
      <c r="G671" s="71" t="s">
        <v>216</v>
      </c>
      <c r="H671" s="172"/>
      <c r="I671" s="172"/>
      <c r="J671" s="71" t="s">
        <v>673</v>
      </c>
      <c r="K671" s="332"/>
      <c r="L671" s="326">
        <v>400</v>
      </c>
      <c r="M671" s="163">
        <f>M670+K671-L671</f>
        <v>2794.0457200004603</v>
      </c>
    </row>
    <row r="672" spans="1:13">
      <c r="A672" s="54" t="str">
        <f>D672&amp;E672&amp;F672</f>
        <v>FINANZASCUOTAS Y SUSCRIPCIONESPROTECCION CIVIL</v>
      </c>
      <c r="B672" t="s">
        <v>515</v>
      </c>
      <c r="C672" s="1">
        <v>45735</v>
      </c>
      <c r="D672" s="71" t="s">
        <v>23</v>
      </c>
      <c r="E672" s="71" t="s">
        <v>51</v>
      </c>
      <c r="F672" s="143" t="s">
        <v>76</v>
      </c>
      <c r="G672" s="71" t="s">
        <v>216</v>
      </c>
      <c r="H672" s="172"/>
      <c r="I672" s="172"/>
      <c r="J672" s="71" t="s">
        <v>674</v>
      </c>
      <c r="K672" s="332"/>
      <c r="L672" s="326">
        <v>3643</v>
      </c>
      <c r="M672" s="163">
        <f>M671+K672-L672</f>
        <v>-848.95427999953972</v>
      </c>
    </row>
    <row r="673" spans="1:13">
      <c r="A673" s="54" t="str">
        <f>D673&amp;E673&amp;F673</f>
        <v>FINANZASCUOTAS Y SUSCRIPCIONESPROTECCION CIVIL</v>
      </c>
      <c r="B673" t="s">
        <v>515</v>
      </c>
      <c r="C673" s="1">
        <v>45735</v>
      </c>
      <c r="D673" s="71" t="s">
        <v>23</v>
      </c>
      <c r="E673" s="71" t="s">
        <v>51</v>
      </c>
      <c r="F673" s="143" t="s">
        <v>76</v>
      </c>
      <c r="G673" s="71" t="s">
        <v>216</v>
      </c>
      <c r="H673" s="172"/>
      <c r="I673" s="172"/>
      <c r="J673" s="71" t="s">
        <v>675</v>
      </c>
      <c r="K673" s="332"/>
      <c r="L673" s="326">
        <v>1534</v>
      </c>
      <c r="M673" s="163">
        <f>M672+K673-L673</f>
        <v>-2382.9542799995397</v>
      </c>
    </row>
    <row r="674" spans="1:13">
      <c r="A674" s="54" t="str">
        <f>D674&amp;E674&amp;F674</f>
        <v>HRUBERHR</v>
      </c>
      <c r="B674" t="s">
        <v>515</v>
      </c>
      <c r="C674" s="1">
        <v>45735</v>
      </c>
      <c r="D674" s="71" t="s">
        <v>29</v>
      </c>
      <c r="E674" s="71" t="s">
        <v>189</v>
      </c>
      <c r="F674" s="143" t="s">
        <v>29</v>
      </c>
      <c r="G674" s="71" t="s">
        <v>258</v>
      </c>
      <c r="H674" s="172"/>
      <c r="I674" s="172"/>
      <c r="J674" s="76" t="s">
        <v>291</v>
      </c>
      <c r="K674" s="332"/>
      <c r="L674" s="526">
        <v>85</v>
      </c>
      <c r="M674" s="163">
        <f>M673+K674-L674</f>
        <v>-2467.9542799995397</v>
      </c>
    </row>
    <row r="675" spans="1:13">
      <c r="A675" s="54" t="str">
        <f>D675&amp;E675&amp;F675</f>
        <v>HRINSUMOSHR</v>
      </c>
      <c r="B675" t="s">
        <v>515</v>
      </c>
      <c r="C675" s="1">
        <v>45735</v>
      </c>
      <c r="D675" s="71" t="s">
        <v>29</v>
      </c>
      <c r="E675" s="71" t="s">
        <v>133</v>
      </c>
      <c r="F675" s="143" t="s">
        <v>29</v>
      </c>
      <c r="G675" s="71" t="s">
        <v>216</v>
      </c>
      <c r="H675" s="172"/>
      <c r="I675" s="172"/>
      <c r="J675" s="76" t="s">
        <v>676</v>
      </c>
      <c r="K675" s="332"/>
      <c r="L675" s="331">
        <v>32</v>
      </c>
      <c r="M675" s="163">
        <f>M674+K675-L675</f>
        <v>-2499.9542799995397</v>
      </c>
    </row>
    <row r="676" spans="1:13">
      <c r="A676" s="54" t="str">
        <f>D676&amp;E676&amp;F676</f>
        <v>HRJMASA18</v>
      </c>
      <c r="B676" t="s">
        <v>515</v>
      </c>
      <c r="C676" s="1">
        <v>45735</v>
      </c>
      <c r="D676" s="71" t="s">
        <v>29</v>
      </c>
      <c r="E676" s="71" t="s">
        <v>137</v>
      </c>
      <c r="F676" s="143" t="s">
        <v>103</v>
      </c>
      <c r="G676" s="71" t="s">
        <v>216</v>
      </c>
      <c r="H676" s="172"/>
      <c r="I676" s="172"/>
      <c r="J676" s="76" t="s">
        <v>677</v>
      </c>
      <c r="K676" s="332"/>
      <c r="L676" s="331">
        <v>412</v>
      </c>
      <c r="M676" s="163">
        <f>M675+K676-L676</f>
        <v>-2911.9542799995397</v>
      </c>
    </row>
    <row r="677" spans="1:13">
      <c r="A677" s="54" t="str">
        <f>D677&amp;E677&amp;F677</f>
        <v>HRUBERHR</v>
      </c>
      <c r="B677" t="s">
        <v>515</v>
      </c>
      <c r="C677" s="1">
        <v>45735</v>
      </c>
      <c r="D677" s="71" t="s">
        <v>29</v>
      </c>
      <c r="E677" s="71" t="s">
        <v>189</v>
      </c>
      <c r="F677" s="143" t="s">
        <v>29</v>
      </c>
      <c r="G677" s="71" t="s">
        <v>258</v>
      </c>
      <c r="H677" s="172"/>
      <c r="I677" s="172"/>
      <c r="J677" s="76" t="s">
        <v>678</v>
      </c>
      <c r="K677" s="332"/>
      <c r="L677" s="526">
        <v>168</v>
      </c>
      <c r="M677" s="163">
        <f>M676+K677-L677</f>
        <v>-3079.9542799995397</v>
      </c>
    </row>
    <row r="678" spans="1:13">
      <c r="A678" s="54" t="str">
        <f>D678&amp;E678&amp;F678</f>
        <v>CAPUBERCAP</v>
      </c>
      <c r="B678" t="s">
        <v>515</v>
      </c>
      <c r="C678" s="1">
        <v>45735</v>
      </c>
      <c r="D678" s="71" t="s">
        <v>31</v>
      </c>
      <c r="E678" s="71" t="s">
        <v>189</v>
      </c>
      <c r="F678" s="143" t="s">
        <v>31</v>
      </c>
      <c r="G678" s="71" t="s">
        <v>216</v>
      </c>
      <c r="H678" s="172"/>
      <c r="I678" s="172"/>
      <c r="J678" s="76" t="s">
        <v>253</v>
      </c>
      <c r="K678" s="332"/>
      <c r="L678" s="526">
        <v>477</v>
      </c>
      <c r="M678" s="163">
        <f>M677+K678-L678</f>
        <v>-3556.9542799995397</v>
      </c>
    </row>
    <row r="679" spans="1:13">
      <c r="A679" s="54" t="str">
        <f>D679&amp;E679&amp;F679</f>
        <v>CAPUBERCAP</v>
      </c>
      <c r="B679" t="s">
        <v>515</v>
      </c>
      <c r="C679" s="1">
        <v>45735</v>
      </c>
      <c r="D679" s="71" t="s">
        <v>31</v>
      </c>
      <c r="E679" s="71" t="s">
        <v>189</v>
      </c>
      <c r="F679" s="143" t="s">
        <v>31</v>
      </c>
      <c r="G679" s="71" t="s">
        <v>216</v>
      </c>
      <c r="H679" s="172"/>
      <c r="I679" s="172"/>
      <c r="J679" s="76" t="s">
        <v>257</v>
      </c>
      <c r="K679" s="332"/>
      <c r="L679" s="526">
        <v>180</v>
      </c>
      <c r="M679" s="163">
        <f>M678+K679-L679</f>
        <v>-3736.9542799995397</v>
      </c>
    </row>
    <row r="680" spans="1:13">
      <c r="A680" s="54" t="str">
        <f>D680&amp;E680&amp;F680</f>
        <v>CAPUBERCAP</v>
      </c>
      <c r="B680" t="s">
        <v>515</v>
      </c>
      <c r="C680" s="1">
        <v>45735</v>
      </c>
      <c r="D680" s="71" t="s">
        <v>31</v>
      </c>
      <c r="E680" s="71" t="s">
        <v>189</v>
      </c>
      <c r="F680" s="143" t="s">
        <v>31</v>
      </c>
      <c r="G680" s="71" t="s">
        <v>216</v>
      </c>
      <c r="H680" s="172"/>
      <c r="I680" s="172"/>
      <c r="J680" s="76" t="s">
        <v>255</v>
      </c>
      <c r="K680" s="332"/>
      <c r="L680" s="526">
        <v>53</v>
      </c>
      <c r="M680" s="163">
        <f>M679+K680-L680</f>
        <v>-3789.9542799995397</v>
      </c>
    </row>
    <row r="681" spans="1:13">
      <c r="A681" s="54" t="str">
        <f>D681&amp;E681&amp;F681</f>
        <v>FINANZASFALTANTESFALTANTES</v>
      </c>
      <c r="B681" t="s">
        <v>515</v>
      </c>
      <c r="C681" s="1">
        <v>45735</v>
      </c>
      <c r="D681" s="71" t="s">
        <v>23</v>
      </c>
      <c r="E681" s="71" t="s">
        <v>119</v>
      </c>
      <c r="F681" s="143" t="s">
        <v>119</v>
      </c>
      <c r="G681" s="71" t="s">
        <v>258</v>
      </c>
      <c r="H681" s="172"/>
      <c r="I681" s="172"/>
      <c r="J681" s="242" t="s">
        <v>679</v>
      </c>
      <c r="K681" s="321"/>
      <c r="L681" s="326">
        <f>6197.64+7658</f>
        <v>13855.64</v>
      </c>
      <c r="M681" s="163">
        <f>M680+K681-L681</f>
        <v>-17645.594279999539</v>
      </c>
    </row>
    <row r="682" spans="1:13">
      <c r="A682" s="54" t="str">
        <f t="shared" si="10"/>
        <v/>
      </c>
      <c r="B682" t="s">
        <v>515</v>
      </c>
      <c r="C682" s="1">
        <v>45736</v>
      </c>
      <c r="D682" s="71"/>
      <c r="F682" s="143"/>
      <c r="H682" s="172"/>
      <c r="I682" s="172"/>
      <c r="J682" s="71" t="s">
        <v>260</v>
      </c>
      <c r="K682" s="346">
        <v>171216.72</v>
      </c>
      <c r="L682" s="332"/>
      <c r="M682" s="163">
        <f>M681+K682-L682</f>
        <v>153571.12572000048</v>
      </c>
    </row>
    <row r="683" spans="1:13">
      <c r="A683" s="54" t="str">
        <f t="shared" si="10"/>
        <v/>
      </c>
      <c r="B683" t="s">
        <v>515</v>
      </c>
      <c r="C683" s="1">
        <v>45736</v>
      </c>
      <c r="D683" s="71"/>
      <c r="F683" s="143"/>
      <c r="H683" s="172"/>
      <c r="I683" s="172"/>
      <c r="J683" s="71" t="s">
        <v>680</v>
      </c>
      <c r="K683" s="332">
        <v>7658</v>
      </c>
      <c r="L683" s="332"/>
      <c r="M683" s="163">
        <f>M682+K683-L683</f>
        <v>161229.12572000048</v>
      </c>
    </row>
    <row r="684" spans="1:13">
      <c r="A684" s="54" t="str">
        <f>D684&amp;E684&amp;F684</f>
        <v>FINANZASCOMISIONES BANCARIASTPV</v>
      </c>
      <c r="B684" t="s">
        <v>515</v>
      </c>
      <c r="C684" s="1">
        <v>45736</v>
      </c>
      <c r="D684" s="71" t="s">
        <v>23</v>
      </c>
      <c r="E684" s="71" t="s">
        <v>48</v>
      </c>
      <c r="F684" s="143" t="s">
        <v>50</v>
      </c>
      <c r="G684" s="71" t="s">
        <v>216</v>
      </c>
      <c r="H684" s="172"/>
      <c r="I684" s="172"/>
      <c r="J684" s="71" t="s">
        <v>217</v>
      </c>
      <c r="L684" s="331">
        <f>1721.8+1214.55+184.71+1052.12+18.92</f>
        <v>4192.1000000000004</v>
      </c>
      <c r="M684" s="163">
        <f>M683+K684-L684</f>
        <v>157037.02572000047</v>
      </c>
    </row>
    <row r="685" spans="1:13">
      <c r="A685" s="54" t="str">
        <f t="shared" si="10"/>
        <v/>
      </c>
      <c r="B685" t="s">
        <v>515</v>
      </c>
      <c r="C685" s="1">
        <v>45736</v>
      </c>
      <c r="D685" s="71"/>
      <c r="F685" s="143"/>
      <c r="H685" s="172"/>
      <c r="I685" s="172"/>
      <c r="J685" s="205" t="s">
        <v>577</v>
      </c>
      <c r="K685" s="206"/>
      <c r="L685" s="206">
        <v>150000</v>
      </c>
      <c r="M685" s="163">
        <f>M684+K685-L685</f>
        <v>7037.0257200004708</v>
      </c>
    </row>
    <row r="686" spans="1:13">
      <c r="A686" s="54" t="str">
        <f>D686&amp;E686&amp;F686</f>
        <v>SGECUOTAS Y SUSCRIPCIONESFROGMI</v>
      </c>
      <c r="B686" t="s">
        <v>515</v>
      </c>
      <c r="C686" s="1">
        <v>45736</v>
      </c>
      <c r="D686" s="71" t="s">
        <v>39</v>
      </c>
      <c r="E686" s="178" t="s">
        <v>51</v>
      </c>
      <c r="F686" s="143" t="s">
        <v>57</v>
      </c>
      <c r="G686" s="71" t="s">
        <v>216</v>
      </c>
      <c r="H686" s="172"/>
      <c r="I686" s="172"/>
      <c r="J686" s="71" t="s">
        <v>681</v>
      </c>
      <c r="K686" s="332"/>
      <c r="L686" s="326">
        <v>40679.22</v>
      </c>
      <c r="M686" s="163">
        <f>M685+K686-L686</f>
        <v>-33642.19427999953</v>
      </c>
    </row>
    <row r="687" spans="1:13">
      <c r="A687" s="54" t="str">
        <f>D687&amp;E687&amp;F687</f>
        <v>HRIMAGEN VISUALIMAGEN VISUAL HR</v>
      </c>
      <c r="B687" t="s">
        <v>515</v>
      </c>
      <c r="C687" s="1">
        <v>45736</v>
      </c>
      <c r="D687" s="71" t="s">
        <v>29</v>
      </c>
      <c r="E687" s="71" t="s">
        <v>127</v>
      </c>
      <c r="F687" s="143" t="s">
        <v>128</v>
      </c>
      <c r="G687" s="71" t="s">
        <v>216</v>
      </c>
      <c r="H687" s="172"/>
      <c r="I687" s="172"/>
      <c r="J687" s="71" t="s">
        <v>682</v>
      </c>
      <c r="K687" s="332"/>
      <c r="L687" s="326">
        <v>25551.57</v>
      </c>
      <c r="M687" s="163">
        <f>M686+K687-L687</f>
        <v>-59193.76427999953</v>
      </c>
    </row>
    <row r="688" spans="1:13">
      <c r="A688" s="54" t="str">
        <f>D688&amp;E688&amp;F688</f>
        <v>HRIMAGEN VISUALIMAGEN VISUAL HR</v>
      </c>
      <c r="B688" t="s">
        <v>515</v>
      </c>
      <c r="C688" s="1">
        <v>45736</v>
      </c>
      <c r="D688" s="71" t="s">
        <v>29</v>
      </c>
      <c r="E688" s="71" t="s">
        <v>127</v>
      </c>
      <c r="F688" s="143" t="s">
        <v>128</v>
      </c>
      <c r="G688" s="71" t="s">
        <v>216</v>
      </c>
      <c r="H688" s="172"/>
      <c r="I688" s="172"/>
      <c r="J688" s="71" t="s">
        <v>683</v>
      </c>
      <c r="K688" s="332"/>
      <c r="L688" s="326">
        <v>2386.3000000000002</v>
      </c>
      <c r="M688" s="163">
        <f>M687+K688-L688</f>
        <v>-61580.064279999533</v>
      </c>
    </row>
    <row r="689" spans="1:13">
      <c r="A689" s="54" t="str">
        <f>D689&amp;E689&amp;F689</f>
        <v>SERVICIOSVIATICOSCEDIS</v>
      </c>
      <c r="B689" t="s">
        <v>515</v>
      </c>
      <c r="C689" s="1">
        <v>45736</v>
      </c>
      <c r="D689" s="71" t="s">
        <v>21</v>
      </c>
      <c r="E689" s="71" t="s">
        <v>191</v>
      </c>
      <c r="F689" s="143" t="s">
        <v>28</v>
      </c>
      <c r="G689" s="71" t="s">
        <v>216</v>
      </c>
      <c r="H689" s="172"/>
      <c r="I689" s="172"/>
      <c r="J689" s="71" t="s">
        <v>684</v>
      </c>
      <c r="K689" s="322"/>
      <c r="L689" s="323">
        <v>700</v>
      </c>
      <c r="M689" s="163">
        <f>M688+K689-L689</f>
        <v>-62280.064279999533</v>
      </c>
    </row>
    <row r="690" spans="1:13">
      <c r="A690" s="54" t="str">
        <f>D690&amp;E690&amp;F690</f>
        <v>HRVIATICOSHR</v>
      </c>
      <c r="B690" t="s">
        <v>515</v>
      </c>
      <c r="C690" s="1">
        <v>45736</v>
      </c>
      <c r="D690" s="71" t="s">
        <v>29</v>
      </c>
      <c r="E690" s="71" t="s">
        <v>191</v>
      </c>
      <c r="F690" s="143" t="s">
        <v>29</v>
      </c>
      <c r="G690" s="71" t="s">
        <v>216</v>
      </c>
      <c r="H690" s="172"/>
      <c r="I690" s="172"/>
      <c r="J690" s="71" t="s">
        <v>422</v>
      </c>
      <c r="K690" s="332"/>
      <c r="L690" s="326">
        <v>2600</v>
      </c>
      <c r="M690" s="163">
        <f>M689+K690-L690</f>
        <v>-64880.064279999533</v>
      </c>
    </row>
    <row r="691" spans="1:13">
      <c r="A691" s="54" t="str">
        <f>D691&amp;E691&amp;F691</f>
        <v>DEVIATICOSDIRECCION</v>
      </c>
      <c r="B691" t="s">
        <v>515</v>
      </c>
      <c r="C691" s="1">
        <v>45736</v>
      </c>
      <c r="D691" s="71" t="s">
        <v>41</v>
      </c>
      <c r="E691" s="71" t="s">
        <v>191</v>
      </c>
      <c r="F691" s="143" t="s">
        <v>42</v>
      </c>
      <c r="G691" s="71" t="s">
        <v>216</v>
      </c>
      <c r="H691" s="172"/>
      <c r="I691" s="172"/>
      <c r="J691" s="71" t="s">
        <v>685</v>
      </c>
      <c r="K691" s="332"/>
      <c r="L691" s="326">
        <v>1000</v>
      </c>
      <c r="M691" s="163">
        <f>M690+K691-L691</f>
        <v>-65880.064279999526</v>
      </c>
    </row>
    <row r="692" spans="1:13">
      <c r="A692" s="54" t="str">
        <f>D692&amp;E692&amp;F692</f>
        <v>HRUBERHR</v>
      </c>
      <c r="B692" t="s">
        <v>515</v>
      </c>
      <c r="C692" s="1">
        <v>45736</v>
      </c>
      <c r="D692" s="71" t="s">
        <v>29</v>
      </c>
      <c r="E692" s="71" t="s">
        <v>189</v>
      </c>
      <c r="F692" s="143" t="s">
        <v>29</v>
      </c>
      <c r="G692" s="71" t="s">
        <v>258</v>
      </c>
      <c r="H692" s="172"/>
      <c r="I692" s="172"/>
      <c r="J692" s="76" t="s">
        <v>291</v>
      </c>
      <c r="K692" s="332"/>
      <c r="L692" s="526">
        <v>143</v>
      </c>
      <c r="M692" s="163">
        <f>M691+K692-L692</f>
        <v>-66023.064279999526</v>
      </c>
    </row>
    <row r="693" spans="1:13">
      <c r="A693" s="54" t="str">
        <f>D693&amp;E693&amp;F693</f>
        <v>HRUBERHR</v>
      </c>
      <c r="B693" t="s">
        <v>515</v>
      </c>
      <c r="C693" s="1">
        <v>45736</v>
      </c>
      <c r="D693" s="71" t="s">
        <v>29</v>
      </c>
      <c r="E693" s="71" t="s">
        <v>189</v>
      </c>
      <c r="F693" s="143" t="s">
        <v>29</v>
      </c>
      <c r="G693" s="71" t="s">
        <v>258</v>
      </c>
      <c r="H693" s="172"/>
      <c r="I693" s="172"/>
      <c r="J693" s="76" t="s">
        <v>686</v>
      </c>
      <c r="K693" s="332"/>
      <c r="L693" s="526">
        <v>100</v>
      </c>
      <c r="M693" s="163">
        <f>M692+K693-L693</f>
        <v>-66123.064279999526</v>
      </c>
    </row>
    <row r="694" spans="1:13">
      <c r="A694" s="54" t="str">
        <f>D694&amp;E694&amp;F694</f>
        <v>HRUBERHR</v>
      </c>
      <c r="B694" t="s">
        <v>515</v>
      </c>
      <c r="C694" s="1">
        <v>45736</v>
      </c>
      <c r="D694" s="71" t="s">
        <v>29</v>
      </c>
      <c r="E694" s="71" t="s">
        <v>189</v>
      </c>
      <c r="F694" s="143" t="s">
        <v>29</v>
      </c>
      <c r="G694" s="71" t="s">
        <v>258</v>
      </c>
      <c r="H694" s="172"/>
      <c r="I694" s="172"/>
      <c r="J694" s="76" t="s">
        <v>687</v>
      </c>
      <c r="K694" s="332"/>
      <c r="L694" s="526">
        <v>90</v>
      </c>
      <c r="M694" s="163">
        <f>M693+K694-L694</f>
        <v>-66213.064279999526</v>
      </c>
    </row>
    <row r="695" spans="1:13">
      <c r="A695" s="54" t="str">
        <f>D695&amp;E695&amp;F695</f>
        <v>CAPUBERCAP</v>
      </c>
      <c r="B695" t="s">
        <v>515</v>
      </c>
      <c r="C695" s="1">
        <v>45736</v>
      </c>
      <c r="D695" s="71" t="s">
        <v>31</v>
      </c>
      <c r="E695" s="71" t="s">
        <v>189</v>
      </c>
      <c r="F695" s="143" t="s">
        <v>31</v>
      </c>
      <c r="G695" s="71" t="s">
        <v>216</v>
      </c>
      <c r="H695" s="172"/>
      <c r="I695" s="172"/>
      <c r="J695" s="76" t="s">
        <v>253</v>
      </c>
      <c r="K695" s="332"/>
      <c r="L695" s="526">
        <v>270</v>
      </c>
      <c r="M695" s="163">
        <f>M694+K695-L695</f>
        <v>-66483.064279999526</v>
      </c>
    </row>
    <row r="696" spans="1:13">
      <c r="A696" s="54" t="str">
        <f>D696&amp;E696&amp;F696</f>
        <v>CAPUBERCAP</v>
      </c>
      <c r="B696" t="s">
        <v>515</v>
      </c>
      <c r="C696" s="1">
        <v>45736</v>
      </c>
      <c r="D696" s="71" t="s">
        <v>31</v>
      </c>
      <c r="E696" s="71" t="s">
        <v>189</v>
      </c>
      <c r="F696" s="143" t="s">
        <v>31</v>
      </c>
      <c r="G696" s="71" t="s">
        <v>216</v>
      </c>
      <c r="H696" s="172"/>
      <c r="I696" s="172"/>
      <c r="J696" s="76" t="s">
        <v>257</v>
      </c>
      <c r="K696" s="332"/>
      <c r="L696" s="526">
        <v>140</v>
      </c>
      <c r="M696" s="163">
        <f>M695+K696-L696</f>
        <v>-66623.064279999526</v>
      </c>
    </row>
    <row r="697" spans="1:13">
      <c r="A697" s="54" t="str">
        <f>D697&amp;E697&amp;F697</f>
        <v>CAPUBERCAP</v>
      </c>
      <c r="B697" t="s">
        <v>515</v>
      </c>
      <c r="C697" s="1">
        <v>45736</v>
      </c>
      <c r="D697" s="71" t="s">
        <v>31</v>
      </c>
      <c r="E697" s="71" t="s">
        <v>189</v>
      </c>
      <c r="F697" s="143" t="s">
        <v>31</v>
      </c>
      <c r="G697" s="71" t="s">
        <v>216</v>
      </c>
      <c r="H697" s="172"/>
      <c r="I697" s="172"/>
      <c r="J697" s="76" t="s">
        <v>255</v>
      </c>
      <c r="K697" s="332"/>
      <c r="L697" s="526">
        <v>80</v>
      </c>
      <c r="M697" s="163">
        <f>M696+K697-L697</f>
        <v>-66703.064279999526</v>
      </c>
    </row>
    <row r="698" spans="1:13">
      <c r="A698" s="54" t="str">
        <f t="shared" si="10"/>
        <v/>
      </c>
      <c r="B698" t="s">
        <v>515</v>
      </c>
      <c r="C698" s="1">
        <v>45737</v>
      </c>
      <c r="D698" s="71"/>
      <c r="F698" s="143"/>
      <c r="H698" s="172"/>
      <c r="I698" s="172"/>
      <c r="J698" s="71" t="s">
        <v>260</v>
      </c>
      <c r="K698" s="346">
        <v>194295.3</v>
      </c>
      <c r="L698" s="321"/>
      <c r="M698" s="163">
        <f>M697+K698-L698</f>
        <v>127592.23572000046</v>
      </c>
    </row>
    <row r="699" spans="1:13">
      <c r="A699" s="54" t="str">
        <f t="shared" si="10"/>
        <v/>
      </c>
      <c r="B699" t="s">
        <v>515</v>
      </c>
      <c r="C699" s="1">
        <v>45737</v>
      </c>
      <c r="D699" s="71"/>
      <c r="F699" s="143"/>
      <c r="H699" s="172"/>
      <c r="I699" s="172"/>
      <c r="J699" s="71" t="s">
        <v>688</v>
      </c>
      <c r="K699" s="332">
        <v>450000</v>
      </c>
      <c r="L699" s="321"/>
      <c r="M699" s="163">
        <f>M698+K699-L699</f>
        <v>577592.23572000046</v>
      </c>
    </row>
    <row r="700" spans="1:13">
      <c r="A700" s="54" t="str">
        <f>D700&amp;E700&amp;F700</f>
        <v>FINANZASCOMISIONES BANCARIASTPV</v>
      </c>
      <c r="B700" t="s">
        <v>515</v>
      </c>
      <c r="C700" s="1">
        <v>45737</v>
      </c>
      <c r="D700" s="71" t="s">
        <v>23</v>
      </c>
      <c r="E700" s="71" t="s">
        <v>48</v>
      </c>
      <c r="F700" s="143" t="s">
        <v>50</v>
      </c>
      <c r="G700" s="71" t="s">
        <v>216</v>
      </c>
      <c r="H700" s="172"/>
      <c r="I700" s="172"/>
      <c r="J700" s="71" t="s">
        <v>217</v>
      </c>
      <c r="K700" s="332"/>
      <c r="L700" s="326">
        <f>1649.64+1564.93+306.85+297.78+209.85</f>
        <v>4029.0499999999997</v>
      </c>
      <c r="M700" s="163">
        <f>M699+K700-L700</f>
        <v>573563.18572000042</v>
      </c>
    </row>
    <row r="701" spans="1:13">
      <c r="A701" s="54" t="str">
        <f t="shared" si="10"/>
        <v/>
      </c>
      <c r="B701" t="s">
        <v>515</v>
      </c>
      <c r="C701" s="1">
        <v>45737</v>
      </c>
      <c r="D701" s="71"/>
      <c r="F701" s="143"/>
      <c r="H701" s="172"/>
      <c r="I701" s="172"/>
      <c r="J701" s="205" t="s">
        <v>577</v>
      </c>
      <c r="K701" s="206"/>
      <c r="L701" s="206">
        <v>397090</v>
      </c>
      <c r="M701" s="163">
        <f>M700+K701-L701</f>
        <v>176473.18572000042</v>
      </c>
    </row>
    <row r="702" spans="1:13">
      <c r="A702" s="54" t="str">
        <f t="shared" si="10"/>
        <v/>
      </c>
      <c r="B702" t="s">
        <v>515</v>
      </c>
      <c r="C702" s="1">
        <v>45738</v>
      </c>
      <c r="D702" s="71"/>
      <c r="F702" s="143"/>
      <c r="H702" s="172"/>
      <c r="I702" s="172"/>
      <c r="J702" s="205" t="s">
        <v>222</v>
      </c>
      <c r="K702" s="206"/>
      <c r="L702" s="206">
        <v>100000</v>
      </c>
      <c r="M702" s="163">
        <f>M701+K702-L702</f>
        <v>76473.185720000416</v>
      </c>
    </row>
    <row r="703" spans="1:13">
      <c r="A703" s="54" t="str">
        <f>D703&amp;E703&amp;F703</f>
        <v>SERVICIOSINSUMOSCADENA DE SUMINISTROS</v>
      </c>
      <c r="B703" t="s">
        <v>515</v>
      </c>
      <c r="C703" s="1">
        <v>45737</v>
      </c>
      <c r="D703" s="71" t="s">
        <v>21</v>
      </c>
      <c r="E703" s="71" t="s">
        <v>133</v>
      </c>
      <c r="F703" s="143" t="s">
        <v>134</v>
      </c>
      <c r="G703" s="71" t="s">
        <v>216</v>
      </c>
      <c r="H703" s="172"/>
      <c r="I703" s="172"/>
      <c r="J703" s="71" t="s">
        <v>689</v>
      </c>
      <c r="K703" s="332"/>
      <c r="L703" s="349">
        <f>448.06+2828.94+2569.32</f>
        <v>5846.32</v>
      </c>
      <c r="M703" s="163">
        <f>M702+K703-L703</f>
        <v>70626.865720000409</v>
      </c>
    </row>
    <row r="704" spans="1:13">
      <c r="A704" s="54" t="str">
        <f>D704&amp;E704&amp;F704</f>
        <v>ELIVIATICOSL1</v>
      </c>
      <c r="B704" t="s">
        <v>515</v>
      </c>
      <c r="C704" s="1">
        <v>45737</v>
      </c>
      <c r="D704" s="71" t="s">
        <v>130</v>
      </c>
      <c r="E704" s="71" t="s">
        <v>191</v>
      </c>
      <c r="F704" s="143" t="s">
        <v>136</v>
      </c>
      <c r="G704" s="71" t="s">
        <v>216</v>
      </c>
      <c r="H704" s="172"/>
      <c r="I704" s="172"/>
      <c r="J704" s="71" t="s">
        <v>690</v>
      </c>
      <c r="K704" s="321"/>
      <c r="L704" s="326">
        <v>1000</v>
      </c>
      <c r="M704" s="163">
        <f>M703+K704-L704</f>
        <v>69626.865720000409</v>
      </c>
    </row>
    <row r="705" spans="1:13">
      <c r="A705" s="54" t="str">
        <f>D705&amp;E705&amp;F705</f>
        <v>SERVICIOSINSUMOSCOFFE</v>
      </c>
      <c r="B705" t="s">
        <v>515</v>
      </c>
      <c r="C705" s="1">
        <v>45737</v>
      </c>
      <c r="D705" s="71" t="s">
        <v>21</v>
      </c>
      <c r="E705" s="71" t="s">
        <v>133</v>
      </c>
      <c r="F705" s="143" t="s">
        <v>135</v>
      </c>
      <c r="G705" s="71" t="s">
        <v>216</v>
      </c>
      <c r="H705" s="172"/>
      <c r="I705" s="172"/>
      <c r="J705" s="71" t="s">
        <v>691</v>
      </c>
      <c r="K705" s="321"/>
      <c r="L705" s="350">
        <v>2500</v>
      </c>
      <c r="M705" s="163">
        <f>M704+K705-L705</f>
        <v>67126.865720000409</v>
      </c>
    </row>
    <row r="706" spans="1:13">
      <c r="A706" s="54" t="str">
        <f>D706&amp;E706&amp;F706</f>
        <v>SERVICIOSADQ DE EQ TECNOLOGICOADQ DE EQ TECNOLOGICO</v>
      </c>
      <c r="B706" t="s">
        <v>515</v>
      </c>
      <c r="C706" s="1">
        <v>45737</v>
      </c>
      <c r="D706" s="71" t="s">
        <v>21</v>
      </c>
      <c r="E706" s="71" t="s">
        <v>22</v>
      </c>
      <c r="F706" s="143" t="s">
        <v>22</v>
      </c>
      <c r="G706" s="71" t="s">
        <v>216</v>
      </c>
      <c r="H706" s="172"/>
      <c r="I706" s="172"/>
      <c r="J706" s="71" t="s">
        <v>692</v>
      </c>
      <c r="K706" s="332"/>
      <c r="L706" s="326">
        <v>299</v>
      </c>
      <c r="M706" s="163">
        <f>M705+K706-L706</f>
        <v>66827.865720000409</v>
      </c>
    </row>
    <row r="707" spans="1:13">
      <c r="A707" s="54" t="str">
        <f>D707&amp;E707&amp;F707</f>
        <v>HRMKTMKT HR</v>
      </c>
      <c r="B707" t="s">
        <v>515</v>
      </c>
      <c r="C707" s="1">
        <v>45737</v>
      </c>
      <c r="D707" s="71" t="s">
        <v>29</v>
      </c>
      <c r="E707" s="71" t="s">
        <v>19</v>
      </c>
      <c r="F707" s="143" t="s">
        <v>138</v>
      </c>
      <c r="G707" s="71" t="s">
        <v>216</v>
      </c>
      <c r="H707" s="172"/>
      <c r="I707" s="172"/>
      <c r="J707" s="71" t="s">
        <v>693</v>
      </c>
      <c r="K707" s="332"/>
      <c r="L707" s="326">
        <v>1200</v>
      </c>
      <c r="M707" s="163">
        <f>M706+K707-L707</f>
        <v>65627.865720000409</v>
      </c>
    </row>
    <row r="708" spans="1:13">
      <c r="A708" s="54" t="str">
        <f>D708&amp;E708&amp;F708</f>
        <v>HRMKTMKT HR</v>
      </c>
      <c r="B708" t="s">
        <v>515</v>
      </c>
      <c r="C708" s="1">
        <v>45737</v>
      </c>
      <c r="D708" s="71" t="s">
        <v>29</v>
      </c>
      <c r="E708" s="71" t="s">
        <v>19</v>
      </c>
      <c r="F708" s="143" t="s">
        <v>138</v>
      </c>
      <c r="G708" s="71" t="s">
        <v>216</v>
      </c>
      <c r="H708" s="172"/>
      <c r="I708" s="172"/>
      <c r="J708" s="71" t="s">
        <v>354</v>
      </c>
      <c r="K708" s="332"/>
      <c r="L708" s="326">
        <v>2600</v>
      </c>
      <c r="M708" s="163">
        <f>M707+K708-L708</f>
        <v>63027.865720000409</v>
      </c>
    </row>
    <row r="709" spans="1:13">
      <c r="A709" s="54" t="str">
        <f>D709&amp;E709&amp;F709</f>
        <v>HRMKTMKT HR</v>
      </c>
      <c r="B709" t="s">
        <v>515</v>
      </c>
      <c r="C709" s="1">
        <v>45737</v>
      </c>
      <c r="D709" s="71" t="s">
        <v>29</v>
      </c>
      <c r="E709" s="71" t="s">
        <v>19</v>
      </c>
      <c r="F709" s="143" t="s">
        <v>138</v>
      </c>
      <c r="G709" s="71" t="s">
        <v>216</v>
      </c>
      <c r="H709" s="172"/>
      <c r="I709" s="172"/>
      <c r="J709" s="71" t="s">
        <v>694</v>
      </c>
      <c r="K709" s="332"/>
      <c r="L709" s="326">
        <v>1400</v>
      </c>
      <c r="M709" s="163">
        <f>M708+K709-L709</f>
        <v>61627.865720000409</v>
      </c>
    </row>
    <row r="710" spans="1:13">
      <c r="A710" s="54" t="str">
        <f>D710&amp;E710&amp;F710</f>
        <v>FINANZASFONDO Y REPOSICIONFINANZAS</v>
      </c>
      <c r="B710" t="s">
        <v>515</v>
      </c>
      <c r="C710" s="1">
        <v>45737</v>
      </c>
      <c r="D710" s="71" t="s">
        <v>23</v>
      </c>
      <c r="E710" s="71" t="s">
        <v>120</v>
      </c>
      <c r="F710" s="143" t="s">
        <v>23</v>
      </c>
      <c r="G710" s="71" t="s">
        <v>216</v>
      </c>
      <c r="H710" s="172"/>
      <c r="I710" s="172"/>
      <c r="J710" s="71" t="s">
        <v>695</v>
      </c>
      <c r="K710" s="332"/>
      <c r="L710" s="326">
        <v>300</v>
      </c>
      <c r="M710" s="163">
        <f>M709+K710-L710</f>
        <v>61327.865720000409</v>
      </c>
    </row>
    <row r="711" spans="1:13">
      <c r="A711" s="54" t="str">
        <f>D711&amp;E711&amp;F711</f>
        <v>SERVICIOSNOMINA ADMONMANTENIMIENTO</v>
      </c>
      <c r="B711" t="s">
        <v>515</v>
      </c>
      <c r="C711" s="1">
        <v>45737</v>
      </c>
      <c r="D711" s="71" t="s">
        <v>21</v>
      </c>
      <c r="E711" s="71" t="s">
        <v>147</v>
      </c>
      <c r="F711" s="143" t="s">
        <v>35</v>
      </c>
      <c r="G711" s="71" t="s">
        <v>216</v>
      </c>
      <c r="H711" s="172"/>
      <c r="I711" s="172"/>
      <c r="J711" s="71" t="s">
        <v>696</v>
      </c>
      <c r="K711" s="332"/>
      <c r="L711" s="326">
        <v>1200</v>
      </c>
      <c r="M711" s="163">
        <f>M710+K711-L711</f>
        <v>60127.865720000409</v>
      </c>
    </row>
    <row r="712" spans="1:13">
      <c r="A712" s="54" t="str">
        <f t="shared" ref="A711:A774" si="11">D712&amp;E712&amp;F712</f>
        <v>COMBUSTIBLE</v>
      </c>
      <c r="B712" t="s">
        <v>515</v>
      </c>
      <c r="C712" s="1">
        <v>45737</v>
      </c>
      <c r="D712" s="71"/>
      <c r="E712" s="71" t="s">
        <v>32</v>
      </c>
      <c r="G712" s="71" t="s">
        <v>216</v>
      </c>
      <c r="H712" s="172"/>
      <c r="I712" s="172"/>
      <c r="J712" s="71" t="s">
        <v>697</v>
      </c>
      <c r="K712" s="332"/>
      <c r="L712" s="326">
        <v>15000</v>
      </c>
      <c r="M712" s="163">
        <f>M711+K712-L712</f>
        <v>45127.865720000409</v>
      </c>
    </row>
    <row r="713" spans="1:13">
      <c r="A713" s="54" t="str">
        <f t="shared" si="11"/>
        <v>COMBUSTIBLE</v>
      </c>
      <c r="B713" t="s">
        <v>515</v>
      </c>
      <c r="C713" s="1">
        <v>45737</v>
      </c>
      <c r="D713" s="71"/>
      <c r="E713" s="71" t="s">
        <v>32</v>
      </c>
      <c r="G713" s="71" t="s">
        <v>216</v>
      </c>
      <c r="H713" s="172"/>
      <c r="I713" s="172"/>
      <c r="J713" s="71" t="s">
        <v>698</v>
      </c>
      <c r="K713" s="332"/>
      <c r="L713" s="326">
        <v>21044</v>
      </c>
      <c r="M713" s="163">
        <f>M712+K713-L713</f>
        <v>24083.865720000409</v>
      </c>
    </row>
    <row r="714" spans="1:13">
      <c r="A714" s="54" t="str">
        <f>D714&amp;E714&amp;F714</f>
        <v>FINANZASENERGIA ELECTRICACEDIS</v>
      </c>
      <c r="B714" t="s">
        <v>515</v>
      </c>
      <c r="C714" s="1">
        <v>45737</v>
      </c>
      <c r="D714" s="71" t="s">
        <v>23</v>
      </c>
      <c r="E714" s="71" t="s">
        <v>87</v>
      </c>
      <c r="F714" s="143" t="s">
        <v>28</v>
      </c>
      <c r="G714" s="71" t="s">
        <v>216</v>
      </c>
      <c r="H714" s="172"/>
      <c r="I714" s="172"/>
      <c r="J714" s="242" t="s">
        <v>415</v>
      </c>
      <c r="K714" s="321"/>
      <c r="L714" s="326">
        <v>427</v>
      </c>
      <c r="M714" s="163">
        <f>M713+K714-L714</f>
        <v>23656.865720000409</v>
      </c>
    </row>
    <row r="715" spans="1:13">
      <c r="A715" s="54" t="str">
        <f>D715&amp;E715&amp;F715</f>
        <v>SERVICIOSMTTO DE EDIFICIOMANTENIMIENTO</v>
      </c>
      <c r="B715" t="s">
        <v>515</v>
      </c>
      <c r="C715" s="1">
        <v>45737</v>
      </c>
      <c r="D715" s="71" t="s">
        <v>21</v>
      </c>
      <c r="E715" s="71" t="s">
        <v>142</v>
      </c>
      <c r="F715" s="143" t="s">
        <v>35</v>
      </c>
      <c r="G715" s="71" t="s">
        <v>216</v>
      </c>
      <c r="H715" s="172"/>
      <c r="I715" s="172"/>
      <c r="J715" s="71" t="s">
        <v>699</v>
      </c>
      <c r="K715" s="321"/>
      <c r="L715" s="326">
        <v>5728.62</v>
      </c>
      <c r="M715" s="163">
        <f>M714+K715-L715</f>
        <v>17928.24572000041</v>
      </c>
    </row>
    <row r="716" spans="1:13">
      <c r="A716" s="54" t="str">
        <f>D716&amp;E716&amp;F716</f>
        <v>SERVICIOSVIATICOSCEDIS</v>
      </c>
      <c r="B716" t="s">
        <v>515</v>
      </c>
      <c r="C716" s="1">
        <v>45737</v>
      </c>
      <c r="D716" s="71" t="s">
        <v>21</v>
      </c>
      <c r="E716" s="71" t="s">
        <v>191</v>
      </c>
      <c r="F716" s="143" t="s">
        <v>28</v>
      </c>
      <c r="G716" s="71" t="s">
        <v>216</v>
      </c>
      <c r="H716" s="172"/>
      <c r="I716" s="172"/>
      <c r="J716" s="71" t="s">
        <v>700</v>
      </c>
      <c r="L716" s="326">
        <v>2050</v>
      </c>
      <c r="M716" s="163">
        <f>M715+K716-L716</f>
        <v>15878.24572000041</v>
      </c>
    </row>
    <row r="717" spans="1:13">
      <c r="A717" s="54" t="str">
        <f>D717&amp;E717&amp;F717</f>
        <v>SERVICIOSMTTO DE EDIFICIOMANTENIMIENTO</v>
      </c>
      <c r="B717" t="s">
        <v>515</v>
      </c>
      <c r="C717" s="1">
        <v>45737</v>
      </c>
      <c r="D717" s="71" t="s">
        <v>21</v>
      </c>
      <c r="E717" s="71" t="s">
        <v>142</v>
      </c>
      <c r="F717" s="143" t="s">
        <v>35</v>
      </c>
      <c r="G717" s="71" t="s">
        <v>701</v>
      </c>
      <c r="H717" s="172"/>
      <c r="I717" s="172"/>
      <c r="J717" s="71" t="s">
        <v>702</v>
      </c>
      <c r="L717" s="326">
        <v>10000</v>
      </c>
      <c r="M717" s="163">
        <f>M716+K717-L717</f>
        <v>5878.2457200004101</v>
      </c>
    </row>
    <row r="718" spans="1:13">
      <c r="A718" s="54" t="str">
        <f>D718&amp;E718&amp;F718</f>
        <v>HRUBERHR</v>
      </c>
      <c r="B718" t="s">
        <v>515</v>
      </c>
      <c r="C718" s="1">
        <v>45737</v>
      </c>
      <c r="D718" s="71" t="s">
        <v>29</v>
      </c>
      <c r="E718" s="71" t="s">
        <v>189</v>
      </c>
      <c r="F718" s="143" t="s">
        <v>29</v>
      </c>
      <c r="G718" s="71" t="s">
        <v>258</v>
      </c>
      <c r="H718" s="172"/>
      <c r="I718" s="172"/>
      <c r="J718" s="71" t="s">
        <v>291</v>
      </c>
      <c r="L718" s="528">
        <v>207</v>
      </c>
      <c r="M718" s="163">
        <f>M717+K718-L718</f>
        <v>5671.2457200004101</v>
      </c>
    </row>
    <row r="719" spans="1:13">
      <c r="A719" s="54" t="str">
        <f>D719&amp;E719&amp;F719</f>
        <v>HRUBERHR</v>
      </c>
      <c r="B719" t="s">
        <v>515</v>
      </c>
      <c r="C719" s="1">
        <v>45737</v>
      </c>
      <c r="D719" s="71" t="s">
        <v>29</v>
      </c>
      <c r="E719" s="71" t="s">
        <v>189</v>
      </c>
      <c r="F719" s="143" t="s">
        <v>29</v>
      </c>
      <c r="G719" s="71" t="s">
        <v>258</v>
      </c>
      <c r="H719" s="172"/>
      <c r="I719" s="172"/>
      <c r="J719" s="71" t="s">
        <v>456</v>
      </c>
      <c r="K719" s="332"/>
      <c r="L719" s="528">
        <v>70</v>
      </c>
      <c r="M719" s="163">
        <f>M718+K719-L719</f>
        <v>5601.2457200004101</v>
      </c>
    </row>
    <row r="720" spans="1:13">
      <c r="A720" s="54" t="str">
        <f>D720&amp;E720&amp;F720</f>
        <v>HRUBERHR</v>
      </c>
      <c r="B720" t="s">
        <v>515</v>
      </c>
      <c r="C720" s="1">
        <v>45737</v>
      </c>
      <c r="D720" s="71" t="s">
        <v>29</v>
      </c>
      <c r="E720" s="71" t="s">
        <v>189</v>
      </c>
      <c r="F720" s="143" t="s">
        <v>29</v>
      </c>
      <c r="G720" s="71" t="s">
        <v>258</v>
      </c>
      <c r="H720" s="172"/>
      <c r="I720" s="172"/>
      <c r="J720" s="71" t="s">
        <v>664</v>
      </c>
      <c r="K720" s="322"/>
      <c r="L720" s="527">
        <v>75</v>
      </c>
      <c r="M720" s="163">
        <f>M719+K720-L720</f>
        <v>5526.2457200004101</v>
      </c>
    </row>
    <row r="721" spans="1:13">
      <c r="A721" s="54" t="str">
        <f>D721&amp;E721&amp;F721</f>
        <v>CAPUBERCAP</v>
      </c>
      <c r="B721" t="s">
        <v>515</v>
      </c>
      <c r="C721" s="1">
        <v>45737</v>
      </c>
      <c r="D721" s="71" t="s">
        <v>31</v>
      </c>
      <c r="E721" s="71" t="s">
        <v>189</v>
      </c>
      <c r="F721" s="143" t="s">
        <v>31</v>
      </c>
      <c r="G721" s="71" t="s">
        <v>216</v>
      </c>
      <c r="H721" s="172"/>
      <c r="I721" s="172"/>
      <c r="J721" s="71" t="s">
        <v>253</v>
      </c>
      <c r="K721" s="332"/>
      <c r="L721" s="528">
        <v>283</v>
      </c>
      <c r="M721" s="163">
        <f>M720+K721-L721</f>
        <v>5243.2457200004101</v>
      </c>
    </row>
    <row r="722" spans="1:13">
      <c r="A722" s="54" t="str">
        <f>D722&amp;E722&amp;F722</f>
        <v>CAPUBERCAP</v>
      </c>
      <c r="B722" t="s">
        <v>515</v>
      </c>
      <c r="C722" s="1">
        <v>45737</v>
      </c>
      <c r="D722" s="71" t="s">
        <v>31</v>
      </c>
      <c r="E722" s="71" t="s">
        <v>189</v>
      </c>
      <c r="F722" s="143" t="s">
        <v>31</v>
      </c>
      <c r="G722" s="71" t="s">
        <v>216</v>
      </c>
      <c r="H722" s="172"/>
      <c r="I722" s="172"/>
      <c r="J722" s="71" t="s">
        <v>257</v>
      </c>
      <c r="K722" s="332"/>
      <c r="L722" s="528">
        <v>50</v>
      </c>
      <c r="M722" s="163">
        <f>M721+K722-L722</f>
        <v>5193.2457200004101</v>
      </c>
    </row>
    <row r="723" spans="1:13">
      <c r="A723" s="54" t="str">
        <f>D723&amp;E723&amp;F723</f>
        <v>CAPUBERCAP</v>
      </c>
      <c r="B723" t="s">
        <v>515</v>
      </c>
      <c r="C723" s="1">
        <v>45737</v>
      </c>
      <c r="D723" s="71" t="s">
        <v>31</v>
      </c>
      <c r="E723" s="71" t="s">
        <v>189</v>
      </c>
      <c r="F723" s="143" t="s">
        <v>31</v>
      </c>
      <c r="G723" s="71" t="s">
        <v>216</v>
      </c>
      <c r="H723" s="172"/>
      <c r="I723" s="172"/>
      <c r="J723" s="71" t="s">
        <v>255</v>
      </c>
      <c r="K723" s="332"/>
      <c r="L723" s="528">
        <v>76</v>
      </c>
      <c r="M723" s="163">
        <f>M722+K723-L723</f>
        <v>5117.2457200004101</v>
      </c>
    </row>
    <row r="724" spans="1:13">
      <c r="A724" s="54" t="str">
        <f>D724&amp;E724&amp;F724</f>
        <v>CAPFUMIGACIONCAPRICHOS</v>
      </c>
      <c r="B724" t="s">
        <v>515</v>
      </c>
      <c r="C724" s="1">
        <v>45737</v>
      </c>
      <c r="D724" s="71" t="s">
        <v>31</v>
      </c>
      <c r="E724" s="71" t="s">
        <v>121</v>
      </c>
      <c r="F724" s="143" t="s">
        <v>33</v>
      </c>
      <c r="G724" s="71" t="s">
        <v>216</v>
      </c>
      <c r="H724" s="172"/>
      <c r="I724" s="172"/>
      <c r="J724" s="242" t="s">
        <v>703</v>
      </c>
      <c r="K724" s="332"/>
      <c r="L724" s="539">
        <v>471</v>
      </c>
      <c r="M724" s="163">
        <f>M723+K724-L724</f>
        <v>4646.2457200004101</v>
      </c>
    </row>
    <row r="725" spans="1:13">
      <c r="A725" s="54" t="str">
        <f>D725&amp;E725&amp;F725</f>
        <v>FINANZASFALTANTESFALTANTES</v>
      </c>
      <c r="B725" t="s">
        <v>515</v>
      </c>
      <c r="C725" s="1">
        <v>45737</v>
      </c>
      <c r="D725" s="71" t="s">
        <v>23</v>
      </c>
      <c r="E725" s="71" t="s">
        <v>119</v>
      </c>
      <c r="F725" s="143" t="s">
        <v>119</v>
      </c>
      <c r="G725" s="71" t="s">
        <v>258</v>
      </c>
      <c r="H725" s="172"/>
      <c r="I725" s="172"/>
      <c r="J725" s="71" t="s">
        <v>392</v>
      </c>
      <c r="K725" s="332"/>
      <c r="L725" s="326">
        <v>4368.9399999999996</v>
      </c>
      <c r="M725" s="163">
        <f>M724+K725-L725</f>
        <v>277.30572000041047</v>
      </c>
    </row>
    <row r="726" spans="1:13">
      <c r="A726" s="54" t="str">
        <f t="shared" si="11"/>
        <v/>
      </c>
      <c r="B726" t="s">
        <v>515</v>
      </c>
      <c r="C726" s="1">
        <v>45740</v>
      </c>
      <c r="D726" s="71"/>
      <c r="F726" s="143"/>
      <c r="H726" s="172"/>
      <c r="I726" s="172"/>
      <c r="J726" s="71" t="s">
        <v>260</v>
      </c>
      <c r="K726" s="346">
        <v>772987.02</v>
      </c>
      <c r="L726" s="321"/>
      <c r="M726" s="163">
        <f>M725+K726-L726</f>
        <v>773264.32572000043</v>
      </c>
    </row>
    <row r="727" spans="1:13">
      <c r="A727" s="54" t="str">
        <f>D727&amp;E727&amp;F727</f>
        <v>FINANZASCOMISIONES BANCARIASTPV</v>
      </c>
      <c r="B727" t="s">
        <v>515</v>
      </c>
      <c r="C727" s="1">
        <v>45740</v>
      </c>
      <c r="D727" s="71" t="s">
        <v>23</v>
      </c>
      <c r="E727" s="71" t="s">
        <v>48</v>
      </c>
      <c r="F727" s="143" t="s">
        <v>50</v>
      </c>
      <c r="G727" s="71" t="s">
        <v>216</v>
      </c>
      <c r="H727" s="172"/>
      <c r="I727" s="172"/>
      <c r="J727" s="71" t="s">
        <v>217</v>
      </c>
      <c r="K727" s="332"/>
      <c r="L727" s="326">
        <f>724.53+652.98+406.2+5784.63+7298.83</f>
        <v>14867.17</v>
      </c>
      <c r="M727" s="163">
        <f>M726+K727-L727</f>
        <v>758397.15572000039</v>
      </c>
    </row>
    <row r="728" spans="1:13">
      <c r="A728" s="54" t="str">
        <f t="shared" si="11"/>
        <v/>
      </c>
      <c r="B728" t="s">
        <v>515</v>
      </c>
      <c r="C728" s="1">
        <v>45740</v>
      </c>
      <c r="D728" s="71"/>
      <c r="F728" s="143"/>
      <c r="H728" s="172"/>
      <c r="I728" s="172"/>
      <c r="J728" s="205" t="s">
        <v>577</v>
      </c>
      <c r="K728" s="206"/>
      <c r="L728" s="206">
        <v>400000</v>
      </c>
      <c r="M728" s="163">
        <f>M727+K728-L728</f>
        <v>358397.15572000039</v>
      </c>
    </row>
    <row r="729" spans="1:13">
      <c r="A729" s="54" t="str">
        <f t="shared" si="11"/>
        <v/>
      </c>
      <c r="B729" t="s">
        <v>515</v>
      </c>
      <c r="C729" s="1">
        <v>45740</v>
      </c>
      <c r="D729" s="71"/>
      <c r="F729" s="143"/>
      <c r="H729" s="172"/>
      <c r="I729" s="172"/>
      <c r="J729" s="205" t="s">
        <v>222</v>
      </c>
      <c r="K729" s="206"/>
      <c r="L729" s="206">
        <v>300000</v>
      </c>
      <c r="M729" s="163">
        <f>M728+K729-L729</f>
        <v>58397.155720000388</v>
      </c>
    </row>
    <row r="730" spans="1:13">
      <c r="A730" s="54" t="str">
        <f>D730&amp;E730&amp;F730</f>
        <v>FINANZASVIATICOSFINANZAS</v>
      </c>
      <c r="B730" t="s">
        <v>515</v>
      </c>
      <c r="C730" s="1">
        <v>45740</v>
      </c>
      <c r="D730" s="71" t="s">
        <v>23</v>
      </c>
      <c r="E730" s="71" t="s">
        <v>191</v>
      </c>
      <c r="F730" s="143" t="s">
        <v>23</v>
      </c>
      <c r="G730" s="71" t="s">
        <v>216</v>
      </c>
      <c r="H730" s="172"/>
      <c r="I730" s="172"/>
      <c r="J730" s="71" t="s">
        <v>704</v>
      </c>
      <c r="K730" s="332"/>
      <c r="L730" s="326">
        <v>700</v>
      </c>
      <c r="M730" s="163">
        <f>M729+K730-L730</f>
        <v>57697.155720000388</v>
      </c>
    </row>
    <row r="731" spans="1:13">
      <c r="A731" s="54" t="str">
        <f>D731&amp;E731&amp;F731</f>
        <v>HRIMAGEN VISUALIMAGEN VISUAL HR</v>
      </c>
      <c r="B731" t="s">
        <v>515</v>
      </c>
      <c r="C731" s="1">
        <v>45740</v>
      </c>
      <c r="D731" s="71" t="s">
        <v>29</v>
      </c>
      <c r="E731" s="71" t="s">
        <v>127</v>
      </c>
      <c r="F731" s="143" t="s">
        <v>128</v>
      </c>
      <c r="G731" s="71" t="s">
        <v>216</v>
      </c>
      <c r="H731" s="172"/>
      <c r="I731" s="172"/>
      <c r="J731" s="71" t="s">
        <v>705</v>
      </c>
      <c r="K731" s="332"/>
      <c r="L731" s="326">
        <v>4506.6000000000004</v>
      </c>
      <c r="M731" s="163">
        <f>M730+K731-L731</f>
        <v>53190.55572000039</v>
      </c>
    </row>
    <row r="732" spans="1:13">
      <c r="A732" s="54" t="str">
        <f>D732&amp;E732&amp;F732</f>
        <v>FINANZASTELEPEAJEFINANZAS</v>
      </c>
      <c r="B732" t="s">
        <v>515</v>
      </c>
      <c r="C732" s="1">
        <v>45740</v>
      </c>
      <c r="D732" s="71" t="s">
        <v>23</v>
      </c>
      <c r="E732" s="71" t="s">
        <v>186</v>
      </c>
      <c r="F732" s="143" t="s">
        <v>23</v>
      </c>
      <c r="G732" s="71" t="s">
        <v>216</v>
      </c>
      <c r="H732" s="172"/>
      <c r="I732" s="172"/>
      <c r="J732" s="71" t="s">
        <v>706</v>
      </c>
      <c r="K732" s="332"/>
      <c r="L732" s="326">
        <v>1366</v>
      </c>
      <c r="M732" s="163">
        <f>M731+K732-L732</f>
        <v>51824.55572000039</v>
      </c>
    </row>
    <row r="733" spans="1:13">
      <c r="A733" s="54" t="str">
        <f>D733&amp;E733&amp;F733</f>
        <v>HRTELEPEAJEOP HR</v>
      </c>
      <c r="B733" t="s">
        <v>515</v>
      </c>
      <c r="C733" s="1">
        <v>45740</v>
      </c>
      <c r="D733" s="71" t="s">
        <v>29</v>
      </c>
      <c r="E733" s="71" t="s">
        <v>186</v>
      </c>
      <c r="F733" s="143" t="s">
        <v>187</v>
      </c>
      <c r="G733" s="71" t="s">
        <v>216</v>
      </c>
      <c r="H733" s="172"/>
      <c r="I733" s="172"/>
      <c r="J733" s="71" t="s">
        <v>707</v>
      </c>
      <c r="K733" s="332"/>
      <c r="L733" s="326">
        <v>596</v>
      </c>
      <c r="M733" s="163">
        <f>M732+K733-L733</f>
        <v>51228.55572000039</v>
      </c>
    </row>
    <row r="734" spans="1:13">
      <c r="A734" s="54" t="str">
        <f>D734&amp;E734&amp;F734</f>
        <v>SERVICIOSTELEPEAJESERVICIOS</v>
      </c>
      <c r="B734" t="s">
        <v>515</v>
      </c>
      <c r="C734" s="1">
        <v>45740</v>
      </c>
      <c r="D734" s="71" t="s">
        <v>21</v>
      </c>
      <c r="E734" s="71" t="s">
        <v>186</v>
      </c>
      <c r="F734" s="143" t="s">
        <v>21</v>
      </c>
      <c r="G734" s="71" t="s">
        <v>216</v>
      </c>
      <c r="H734" s="172"/>
      <c r="I734" s="172"/>
      <c r="J734" s="71" t="s">
        <v>708</v>
      </c>
      <c r="K734" s="332"/>
      <c r="L734" s="326">
        <v>1316</v>
      </c>
      <c r="M734" s="163">
        <f>M733+K734-L734</f>
        <v>49912.55572000039</v>
      </c>
    </row>
    <row r="735" spans="1:13">
      <c r="A735" s="54" t="str">
        <f>D735&amp;E735&amp;F735</f>
        <v>SERVICIOSTELEPEAJECEDIS</v>
      </c>
      <c r="B735" t="s">
        <v>515</v>
      </c>
      <c r="C735" s="1">
        <v>45740</v>
      </c>
      <c r="D735" s="71" t="s">
        <v>21</v>
      </c>
      <c r="E735" s="71" t="s">
        <v>186</v>
      </c>
      <c r="F735" s="143" t="s">
        <v>28</v>
      </c>
      <c r="G735" s="71" t="s">
        <v>216</v>
      </c>
      <c r="H735" s="172"/>
      <c r="I735" s="172"/>
      <c r="J735" s="71" t="s">
        <v>238</v>
      </c>
      <c r="K735" s="332"/>
      <c r="L735" s="326">
        <v>5767</v>
      </c>
      <c r="M735" s="163">
        <f>M734+K735-L735</f>
        <v>44145.55572000039</v>
      </c>
    </row>
    <row r="736" spans="1:13">
      <c r="A736" s="54" t="str">
        <f>D736&amp;E736&amp;F736</f>
        <v>CAPINSUMOSCAPRICHOS</v>
      </c>
      <c r="B736" t="s">
        <v>515</v>
      </c>
      <c r="C736" s="1">
        <v>45740</v>
      </c>
      <c r="D736" s="71" t="s">
        <v>31</v>
      </c>
      <c r="E736" s="71" t="s">
        <v>133</v>
      </c>
      <c r="F736" s="143" t="s">
        <v>33</v>
      </c>
      <c r="G736" s="71" t="s">
        <v>258</v>
      </c>
      <c r="H736" s="172"/>
      <c r="I736" s="172"/>
      <c r="J736" s="71" t="s">
        <v>709</v>
      </c>
      <c r="K736" s="332"/>
      <c r="L736" s="326">
        <v>16240</v>
      </c>
      <c r="M736" s="163">
        <f>M735+K736-L736</f>
        <v>27905.55572000039</v>
      </c>
    </row>
    <row r="737" spans="1:13">
      <c r="A737" s="54" t="str">
        <f>D737&amp;E737&amp;F737</f>
        <v>SERVICIOSFONDO Y REPOSICIONSERVICIOS</v>
      </c>
      <c r="B737" t="s">
        <v>515</v>
      </c>
      <c r="C737" s="1">
        <v>45740</v>
      </c>
      <c r="D737" s="71" t="s">
        <v>21</v>
      </c>
      <c r="E737" s="71" t="s">
        <v>120</v>
      </c>
      <c r="F737" s="143" t="s">
        <v>21</v>
      </c>
      <c r="G737" s="71" t="s">
        <v>216</v>
      </c>
      <c r="H737" s="172"/>
      <c r="I737" s="172"/>
      <c r="J737" s="71" t="s">
        <v>710</v>
      </c>
      <c r="K737" s="332"/>
      <c r="L737" s="326">
        <v>2000</v>
      </c>
      <c r="M737" s="163">
        <f>M736+K737-L737</f>
        <v>25905.55572000039</v>
      </c>
    </row>
    <row r="738" spans="1:13">
      <c r="A738" s="54" t="str">
        <f>D738&amp;E738&amp;F738</f>
        <v>SERVICIOSMTTO EQ DE TRANSPORTECEDIS</v>
      </c>
      <c r="B738" t="s">
        <v>515</v>
      </c>
      <c r="C738" s="1">
        <v>45740</v>
      </c>
      <c r="D738" s="71" t="s">
        <v>21</v>
      </c>
      <c r="E738" s="71" t="s">
        <v>144</v>
      </c>
      <c r="F738" s="143" t="s">
        <v>28</v>
      </c>
      <c r="G738" s="71" t="s">
        <v>216</v>
      </c>
      <c r="H738" s="172"/>
      <c r="I738" s="172"/>
      <c r="J738" s="71" t="s">
        <v>711</v>
      </c>
      <c r="K738" s="332"/>
      <c r="L738" s="208">
        <v>4500</v>
      </c>
      <c r="M738" s="163">
        <f>M737+K738-L738</f>
        <v>21405.55572000039</v>
      </c>
    </row>
    <row r="739" spans="1:13">
      <c r="A739" s="54" t="str">
        <f t="shared" si="11"/>
        <v/>
      </c>
      <c r="B739" t="s">
        <v>515</v>
      </c>
      <c r="C739" s="1">
        <v>45740</v>
      </c>
      <c r="D739" s="71"/>
      <c r="F739" s="143"/>
      <c r="G739" s="71" t="s">
        <v>216</v>
      </c>
      <c r="H739" s="172"/>
      <c r="I739" s="172"/>
      <c r="J739" s="71" t="s">
        <v>712</v>
      </c>
      <c r="K739" s="332">
        <v>211</v>
      </c>
      <c r="L739" s="321"/>
      <c r="M739" s="163">
        <f>M738+K739-L739</f>
        <v>21616.55572000039</v>
      </c>
    </row>
    <row r="740" spans="1:13">
      <c r="A740" s="54" t="str">
        <f>D740&amp;E740&amp;F740</f>
        <v>SERVICIOSVIATICOSSISTEMAS</v>
      </c>
      <c r="B740" t="s">
        <v>515</v>
      </c>
      <c r="C740" s="1">
        <v>45740</v>
      </c>
      <c r="D740" s="71" t="s">
        <v>21</v>
      </c>
      <c r="E740" s="71" t="s">
        <v>191</v>
      </c>
      <c r="F740" s="143" t="s">
        <v>36</v>
      </c>
      <c r="G740" s="71" t="s">
        <v>258</v>
      </c>
      <c r="H740" s="172"/>
      <c r="I740" s="172"/>
      <c r="J740" s="71" t="s">
        <v>713</v>
      </c>
      <c r="K740" s="321"/>
      <c r="L740" s="326">
        <v>3300</v>
      </c>
      <c r="M740" s="163">
        <f>M739+K740-L740</f>
        <v>18316.55572000039</v>
      </c>
    </row>
    <row r="741" spans="1:13">
      <c r="A741" s="54" t="str">
        <f>D741&amp;E741&amp;F741</f>
        <v>SERVICIOSVIATICOSINVENTARIOS</v>
      </c>
      <c r="B741" t="s">
        <v>515</v>
      </c>
      <c r="C741" s="1">
        <v>45740</v>
      </c>
      <c r="D741" s="71" t="s">
        <v>21</v>
      </c>
      <c r="E741" s="71" t="s">
        <v>191</v>
      </c>
      <c r="F741" s="143" t="s">
        <v>34</v>
      </c>
      <c r="G741" s="71" t="s">
        <v>216</v>
      </c>
      <c r="H741" s="172"/>
      <c r="I741" s="172"/>
      <c r="J741" s="71" t="s">
        <v>477</v>
      </c>
      <c r="K741" s="321"/>
      <c r="L741" s="326">
        <v>600</v>
      </c>
      <c r="M741" s="163">
        <f>M740+K741-L741</f>
        <v>17716.55572000039</v>
      </c>
    </row>
    <row r="742" spans="1:13">
      <c r="A742" s="54" t="str">
        <f>D742&amp;E742&amp;F742</f>
        <v>SERVICIOSPAQUETERIACEDIS (E6)</v>
      </c>
      <c r="B742" t="s">
        <v>515</v>
      </c>
      <c r="C742" s="1">
        <v>45740</v>
      </c>
      <c r="D742" s="71" t="s">
        <v>21</v>
      </c>
      <c r="E742" s="71" t="s">
        <v>160</v>
      </c>
      <c r="F742" s="143" t="s">
        <v>161</v>
      </c>
      <c r="G742" s="71" t="s">
        <v>216</v>
      </c>
      <c r="H742" s="172"/>
      <c r="I742" s="172"/>
      <c r="J742" s="71" t="s">
        <v>229</v>
      </c>
      <c r="K742" s="321"/>
      <c r="L742" s="326">
        <v>2922.9</v>
      </c>
      <c r="M742" s="163">
        <f>M741+K742-L742</f>
        <v>14793.65572000039</v>
      </c>
    </row>
    <row r="743" spans="1:13">
      <c r="A743" s="54" t="str">
        <f>D743&amp;E743&amp;F743</f>
        <v>HRNOMINA SUCURSALA2</v>
      </c>
      <c r="B743" t="s">
        <v>515</v>
      </c>
      <c r="C743" s="1">
        <v>45740</v>
      </c>
      <c r="D743" s="71" t="s">
        <v>29</v>
      </c>
      <c r="E743" s="71" t="s">
        <v>154</v>
      </c>
      <c r="F743" s="143" t="s">
        <v>89</v>
      </c>
      <c r="G743" s="71" t="s">
        <v>216</v>
      </c>
      <c r="H743" s="172"/>
      <c r="I743" s="172"/>
      <c r="J743" s="76" t="s">
        <v>386</v>
      </c>
      <c r="K743" s="332"/>
      <c r="L743" s="331">
        <v>200</v>
      </c>
      <c r="M743" s="163">
        <f>M742+K743-L743</f>
        <v>14593.65572000039</v>
      </c>
    </row>
    <row r="744" spans="1:13">
      <c r="A744" s="54" t="str">
        <f>D744&amp;E744&amp;F744</f>
        <v>HRIMAGEN VISUALIMAGEN VISUAL HR</v>
      </c>
      <c r="B744" t="s">
        <v>515</v>
      </c>
      <c r="C744" s="1">
        <v>45740</v>
      </c>
      <c r="D744" s="71" t="s">
        <v>29</v>
      </c>
      <c r="E744" s="71" t="s">
        <v>127</v>
      </c>
      <c r="F744" s="143" t="s">
        <v>128</v>
      </c>
      <c r="G744" s="71" t="s">
        <v>216</v>
      </c>
      <c r="H744" s="172"/>
      <c r="I744" s="172"/>
      <c r="J744" s="76" t="s">
        <v>714</v>
      </c>
      <c r="K744" s="332"/>
      <c r="L744" s="331">
        <v>220</v>
      </c>
      <c r="M744" s="163">
        <f>M743+K744-L744</f>
        <v>14373.65572000039</v>
      </c>
    </row>
    <row r="745" spans="1:13">
      <c r="A745" s="54" t="str">
        <f>D745&amp;E745&amp;F745</f>
        <v>HRUBERHR</v>
      </c>
      <c r="B745" t="s">
        <v>515</v>
      </c>
      <c r="C745" s="1">
        <v>45740</v>
      </c>
      <c r="D745" s="71" t="s">
        <v>29</v>
      </c>
      <c r="E745" s="71" t="s">
        <v>189</v>
      </c>
      <c r="F745" s="143" t="s">
        <v>29</v>
      </c>
      <c r="G745" s="71" t="s">
        <v>258</v>
      </c>
      <c r="H745" s="172"/>
      <c r="I745" s="172"/>
      <c r="J745" s="76" t="s">
        <v>715</v>
      </c>
      <c r="K745" s="332"/>
      <c r="L745" s="526">
        <v>185</v>
      </c>
      <c r="M745" s="163">
        <f>M744+K745-L745</f>
        <v>14188.65572000039</v>
      </c>
    </row>
    <row r="746" spans="1:13">
      <c r="A746" s="54" t="str">
        <f>D746&amp;E746&amp;F746</f>
        <v>HRNOMINA SUCURSALA10</v>
      </c>
      <c r="B746" t="s">
        <v>515</v>
      </c>
      <c r="C746" s="1">
        <v>45740</v>
      </c>
      <c r="D746" s="71" t="s">
        <v>29</v>
      </c>
      <c r="E746" s="71" t="s">
        <v>154</v>
      </c>
      <c r="F746" s="143" t="s">
        <v>96</v>
      </c>
      <c r="G746" s="71" t="s">
        <v>216</v>
      </c>
      <c r="H746" s="172"/>
      <c r="I746" s="172"/>
      <c r="J746" s="76" t="s">
        <v>248</v>
      </c>
      <c r="K746" s="332"/>
      <c r="L746" s="331">
        <v>619</v>
      </c>
      <c r="M746" s="163">
        <f>M745+K746-L746</f>
        <v>13569.65572000039</v>
      </c>
    </row>
    <row r="747" spans="1:13">
      <c r="A747" s="54" t="str">
        <f>D747&amp;E747&amp;F747</f>
        <v>HRUBERHR</v>
      </c>
      <c r="B747" t="s">
        <v>515</v>
      </c>
      <c r="C747" s="1">
        <v>45740</v>
      </c>
      <c r="D747" s="71" t="s">
        <v>29</v>
      </c>
      <c r="E747" s="71" t="s">
        <v>189</v>
      </c>
      <c r="F747" s="143" t="s">
        <v>29</v>
      </c>
      <c r="G747" s="71" t="s">
        <v>258</v>
      </c>
      <c r="H747" s="172"/>
      <c r="I747" s="172"/>
      <c r="J747" s="76" t="s">
        <v>716</v>
      </c>
      <c r="K747" s="332"/>
      <c r="L747" s="526">
        <v>125</v>
      </c>
      <c r="M747" s="163">
        <f>M746+K747-L747</f>
        <v>13444.65572000039</v>
      </c>
    </row>
    <row r="748" spans="1:13">
      <c r="A748" s="54" t="str">
        <f>D748&amp;E748&amp;F748</f>
        <v>CAPUBERCAP</v>
      </c>
      <c r="B748" t="s">
        <v>515</v>
      </c>
      <c r="C748" s="1">
        <v>45740</v>
      </c>
      <c r="D748" s="71" t="s">
        <v>31</v>
      </c>
      <c r="E748" s="71" t="s">
        <v>189</v>
      </c>
      <c r="F748" s="143" t="s">
        <v>31</v>
      </c>
      <c r="G748" s="71" t="s">
        <v>216</v>
      </c>
      <c r="H748" s="172"/>
      <c r="I748" s="172"/>
      <c r="J748" s="76" t="s">
        <v>253</v>
      </c>
      <c r="K748" s="332"/>
      <c r="L748" s="526">
        <v>1229</v>
      </c>
      <c r="M748" s="163">
        <f>M747+K748-L748</f>
        <v>12215.65572000039</v>
      </c>
    </row>
    <row r="749" spans="1:13">
      <c r="A749" s="54" t="str">
        <f>D749&amp;E749&amp;F749</f>
        <v>CAPUBERCAP</v>
      </c>
      <c r="B749" t="s">
        <v>515</v>
      </c>
      <c r="C749" s="1">
        <v>45740</v>
      </c>
      <c r="D749" s="71" t="s">
        <v>31</v>
      </c>
      <c r="E749" s="71" t="s">
        <v>189</v>
      </c>
      <c r="F749" s="143" t="s">
        <v>31</v>
      </c>
      <c r="G749" s="71" t="s">
        <v>216</v>
      </c>
      <c r="H749" s="172"/>
      <c r="I749" s="172"/>
      <c r="J749" s="76" t="s">
        <v>257</v>
      </c>
      <c r="K749" s="332"/>
      <c r="L749" s="526">
        <v>200</v>
      </c>
      <c r="M749" s="163">
        <f>M748+K749-L749</f>
        <v>12015.65572000039</v>
      </c>
    </row>
    <row r="750" spans="1:13">
      <c r="A750" s="54" t="str">
        <f>D750&amp;E750&amp;F750</f>
        <v>CAPUBERCAP</v>
      </c>
      <c r="B750" t="s">
        <v>515</v>
      </c>
      <c r="C750" s="1">
        <v>45740</v>
      </c>
      <c r="D750" s="71" t="s">
        <v>31</v>
      </c>
      <c r="E750" s="71" t="s">
        <v>189</v>
      </c>
      <c r="F750" s="143" t="s">
        <v>31</v>
      </c>
      <c r="G750" s="71" t="s">
        <v>216</v>
      </c>
      <c r="H750" s="172"/>
      <c r="I750" s="172"/>
      <c r="J750" s="76" t="s">
        <v>255</v>
      </c>
      <c r="L750" s="528">
        <v>70</v>
      </c>
      <c r="M750" s="163">
        <f>M749+K750-L750</f>
        <v>11945.65572000039</v>
      </c>
    </row>
    <row r="751" spans="1:13">
      <c r="A751" s="54" t="str">
        <f>D751&amp;E751&amp;F751</f>
        <v>CAPINSUMOSCAPRICHOS</v>
      </c>
      <c r="B751" t="s">
        <v>515</v>
      </c>
      <c r="C751" s="1">
        <v>45740</v>
      </c>
      <c r="D751" s="71" t="s">
        <v>31</v>
      </c>
      <c r="E751" s="71" t="s">
        <v>133</v>
      </c>
      <c r="F751" s="143" t="s">
        <v>33</v>
      </c>
      <c r="G751" s="71" t="s">
        <v>216</v>
      </c>
      <c r="H751" s="172"/>
      <c r="I751" s="172"/>
      <c r="J751" s="76" t="s">
        <v>717</v>
      </c>
      <c r="K751" s="322"/>
      <c r="L751" s="327">
        <v>100</v>
      </c>
      <c r="M751" s="163">
        <f>M750+K751-L751</f>
        <v>11845.65572000039</v>
      </c>
    </row>
    <row r="752" spans="1:13">
      <c r="A752" s="54" t="str">
        <f t="shared" si="11"/>
        <v/>
      </c>
      <c r="B752" t="s">
        <v>515</v>
      </c>
      <c r="C752" s="1">
        <v>45741</v>
      </c>
      <c r="D752" s="71"/>
      <c r="F752" s="143"/>
      <c r="G752" s="71" t="s">
        <v>216</v>
      </c>
      <c r="H752" s="172"/>
      <c r="I752" s="172"/>
      <c r="J752" s="71" t="s">
        <v>260</v>
      </c>
      <c r="K752" s="345">
        <v>152141.51</v>
      </c>
      <c r="L752" s="180"/>
      <c r="M752" s="163">
        <f>M751+K752-L752</f>
        <v>163987.1657200004</v>
      </c>
    </row>
    <row r="753" spans="1:13">
      <c r="A753" s="54" t="str">
        <f>D753&amp;E753&amp;F753</f>
        <v>FINANZASCOMISIONES BANCARIASTPV</v>
      </c>
      <c r="B753" t="s">
        <v>515</v>
      </c>
      <c r="C753" s="1">
        <v>45741</v>
      </c>
      <c r="D753" s="71" t="s">
        <v>23</v>
      </c>
      <c r="E753" s="71" t="s">
        <v>48</v>
      </c>
      <c r="F753" s="143" t="s">
        <v>50</v>
      </c>
      <c r="G753" s="71" t="s">
        <v>216</v>
      </c>
      <c r="H753" s="172"/>
      <c r="I753" s="172"/>
      <c r="J753" s="71" t="s">
        <v>217</v>
      </c>
      <c r="K753" s="332"/>
      <c r="L753" s="326">
        <f>182.13+107.83+17.49+1222.26+1007.27</f>
        <v>2536.98</v>
      </c>
      <c r="M753" s="163">
        <f>M752+K753-L753</f>
        <v>161450.18572000039</v>
      </c>
    </row>
    <row r="754" spans="1:13">
      <c r="A754" s="54" t="str">
        <f t="shared" si="11"/>
        <v/>
      </c>
      <c r="B754" t="s">
        <v>515</v>
      </c>
      <c r="C754" s="1">
        <v>45741</v>
      </c>
      <c r="D754" s="71"/>
      <c r="F754" s="143"/>
      <c r="G754" s="71" t="s">
        <v>216</v>
      </c>
      <c r="H754" s="172"/>
      <c r="I754" s="172"/>
      <c r="J754" s="205" t="s">
        <v>577</v>
      </c>
      <c r="K754" s="206"/>
      <c r="L754" s="206">
        <v>100000</v>
      </c>
      <c r="M754" s="163">
        <f>M753+K754-L754</f>
        <v>61450.185720000387</v>
      </c>
    </row>
    <row r="755" spans="1:13">
      <c r="A755" s="54" t="str">
        <f>D755&amp;E755&amp;F755</f>
        <v>HRENERGIA ELECTRICAA2</v>
      </c>
      <c r="B755" t="s">
        <v>515</v>
      </c>
      <c r="C755" s="1">
        <v>45741</v>
      </c>
      <c r="D755" s="71" t="s">
        <v>29</v>
      </c>
      <c r="E755" s="71" t="s">
        <v>87</v>
      </c>
      <c r="F755" s="143" t="s">
        <v>89</v>
      </c>
      <c r="G755" s="71" t="s">
        <v>216</v>
      </c>
      <c r="H755" s="172"/>
      <c r="I755" s="172"/>
      <c r="J755" s="71" t="s">
        <v>718</v>
      </c>
      <c r="K755" s="351"/>
      <c r="L755" s="326">
        <v>2062</v>
      </c>
      <c r="M755" s="163">
        <f>M754+K755-L755</f>
        <v>59388.185720000387</v>
      </c>
    </row>
    <row r="756" spans="1:13">
      <c r="A756" s="54" t="str">
        <f>D756&amp;E756&amp;F756</f>
        <v>SGEVIATICOSGESTION EMPRESARIAL</v>
      </c>
      <c r="B756" t="s">
        <v>515</v>
      </c>
      <c r="C756" s="1">
        <v>45741</v>
      </c>
      <c r="D756" s="71" t="s">
        <v>39</v>
      </c>
      <c r="E756" s="71" t="s">
        <v>191</v>
      </c>
      <c r="F756" s="143" t="s">
        <v>40</v>
      </c>
      <c r="G756" s="71" t="s">
        <v>216</v>
      </c>
      <c r="H756" s="172"/>
      <c r="I756" s="172"/>
      <c r="J756" s="71" t="s">
        <v>719</v>
      </c>
      <c r="K756" s="321"/>
      <c r="L756" s="326">
        <v>2800</v>
      </c>
      <c r="M756" s="163">
        <f>M755+K756-L756</f>
        <v>56588.185720000387</v>
      </c>
    </row>
    <row r="757" spans="1:13">
      <c r="A757" s="54" t="str">
        <f>D757&amp;E757&amp;F757</f>
        <v>CAPMTTO EQ DE TRANSPORTECAPRICHOS</v>
      </c>
      <c r="B757" t="s">
        <v>515</v>
      </c>
      <c r="C757" s="1">
        <v>45741</v>
      </c>
      <c r="D757" s="71" t="s">
        <v>31</v>
      </c>
      <c r="E757" s="71" t="s">
        <v>144</v>
      </c>
      <c r="F757" s="143" t="s">
        <v>33</v>
      </c>
      <c r="G757" s="71" t="s">
        <v>258</v>
      </c>
      <c r="H757" s="172"/>
      <c r="I757" s="172"/>
      <c r="J757" s="71" t="s">
        <v>720</v>
      </c>
      <c r="K757" s="351"/>
      <c r="L757" s="326">
        <v>4819.5</v>
      </c>
      <c r="M757" s="163">
        <f>M756+K757-L757</f>
        <v>51768.685720000387</v>
      </c>
    </row>
    <row r="758" spans="1:13">
      <c r="A758" s="54" t="str">
        <f>D758&amp;E758&amp;F758</f>
        <v>FINANZASRECOLECCION DE BASURAHR</v>
      </c>
      <c r="B758" t="s">
        <v>515</v>
      </c>
      <c r="C758" s="1">
        <v>45741</v>
      </c>
      <c r="D758" s="71" t="s">
        <v>23</v>
      </c>
      <c r="E758" s="71" t="s">
        <v>166</v>
      </c>
      <c r="F758" s="143" t="s">
        <v>29</v>
      </c>
      <c r="G758" s="71" t="s">
        <v>216</v>
      </c>
      <c r="H758" s="172"/>
      <c r="I758" s="172"/>
      <c r="J758" s="71" t="s">
        <v>721</v>
      </c>
      <c r="K758" s="351"/>
      <c r="L758" s="326">
        <v>3299.76</v>
      </c>
      <c r="M758" s="163">
        <f>M757+K758-L758</f>
        <v>48468.925720000385</v>
      </c>
    </row>
    <row r="759" spans="1:13">
      <c r="A759" s="54" t="str">
        <f>D759&amp;E759&amp;F759</f>
        <v>FINANZASINSUMOSFINANZAS</v>
      </c>
      <c r="B759" t="s">
        <v>515</v>
      </c>
      <c r="C759" s="1">
        <v>45741</v>
      </c>
      <c r="D759" s="71" t="s">
        <v>23</v>
      </c>
      <c r="E759" s="71" t="s">
        <v>133</v>
      </c>
      <c r="F759" s="143" t="s">
        <v>23</v>
      </c>
      <c r="G759" s="71" t="s">
        <v>216</v>
      </c>
      <c r="H759" s="172"/>
      <c r="I759" s="172"/>
      <c r="J759" s="71" t="s">
        <v>722</v>
      </c>
      <c r="K759" s="351"/>
      <c r="L759" s="326">
        <v>492</v>
      </c>
      <c r="M759" s="163">
        <f>M758+K759-L759</f>
        <v>47976.925720000385</v>
      </c>
    </row>
    <row r="760" spans="1:13">
      <c r="A760" s="54" t="str">
        <f>D760&amp;E760&amp;F760</f>
        <v>SERVICIOSINSUMOSCOFFE</v>
      </c>
      <c r="B760" t="s">
        <v>515</v>
      </c>
      <c r="C760" s="1">
        <v>45741</v>
      </c>
      <c r="D760" s="71" t="s">
        <v>21</v>
      </c>
      <c r="E760" s="71" t="s">
        <v>133</v>
      </c>
      <c r="F760" s="143" t="s">
        <v>135</v>
      </c>
      <c r="G760" s="71" t="s">
        <v>216</v>
      </c>
      <c r="H760" s="172"/>
      <c r="I760" s="172"/>
      <c r="J760" s="71" t="s">
        <v>723</v>
      </c>
      <c r="K760" s="351"/>
      <c r="L760" s="326">
        <v>1392</v>
      </c>
      <c r="M760" s="163">
        <f>M759+K760-L760</f>
        <v>46584.925720000385</v>
      </c>
    </row>
    <row r="761" spans="1:13">
      <c r="A761" s="54" t="str">
        <f>D761&amp;E761&amp;F761</f>
        <v>FINANZASCUOTAS Y SUSCRIPCIONESMULTAS</v>
      </c>
      <c r="B761" t="s">
        <v>515</v>
      </c>
      <c r="C761" s="1">
        <v>45741</v>
      </c>
      <c r="D761" s="71" t="s">
        <v>23</v>
      </c>
      <c r="E761" s="71" t="s">
        <v>51</v>
      </c>
      <c r="F761" s="143" t="s">
        <v>74</v>
      </c>
      <c r="G761" s="71" t="s">
        <v>216</v>
      </c>
      <c r="H761" s="172"/>
      <c r="I761" s="172"/>
      <c r="J761" s="71" t="s">
        <v>724</v>
      </c>
      <c r="K761" s="351"/>
      <c r="L761" s="326">
        <v>100</v>
      </c>
      <c r="M761" s="163">
        <f>M760+K761-L761</f>
        <v>46484.925720000385</v>
      </c>
    </row>
    <row r="762" spans="1:13">
      <c r="A762" s="54" t="str">
        <f>D762&amp;E762&amp;F762</f>
        <v>HRUBERHR</v>
      </c>
      <c r="B762" t="s">
        <v>515</v>
      </c>
      <c r="C762" s="1">
        <v>45741</v>
      </c>
      <c r="D762" s="71" t="s">
        <v>29</v>
      </c>
      <c r="E762" s="71" t="s">
        <v>189</v>
      </c>
      <c r="F762" s="143" t="s">
        <v>29</v>
      </c>
      <c r="G762" s="71" t="s">
        <v>258</v>
      </c>
      <c r="H762" s="172"/>
      <c r="I762" s="172"/>
      <c r="J762" s="76" t="s">
        <v>291</v>
      </c>
      <c r="K762" s="351"/>
      <c r="L762" s="526">
        <v>83</v>
      </c>
      <c r="M762" s="163">
        <f>M761+K762-L762</f>
        <v>46401.925720000385</v>
      </c>
    </row>
    <row r="763" spans="1:13">
      <c r="A763" s="54" t="str">
        <f>D763&amp;E763&amp;F763</f>
        <v>SERVICIOSMTTO DE EDIFICIOMANTENIMIENTO</v>
      </c>
      <c r="B763" t="s">
        <v>515</v>
      </c>
      <c r="C763" s="1">
        <v>45741</v>
      </c>
      <c r="D763" s="71" t="s">
        <v>21</v>
      </c>
      <c r="E763" s="71" t="s">
        <v>142</v>
      </c>
      <c r="F763" s="143" t="s">
        <v>35</v>
      </c>
      <c r="G763" s="71" t="s">
        <v>216</v>
      </c>
      <c r="H763" s="172"/>
      <c r="I763" s="172"/>
      <c r="J763" s="76" t="s">
        <v>725</v>
      </c>
      <c r="K763" s="332"/>
      <c r="L763" s="331">
        <v>300</v>
      </c>
      <c r="M763" s="163">
        <f>M762+K763-L763</f>
        <v>46101.925720000385</v>
      </c>
    </row>
    <row r="764" spans="1:13">
      <c r="A764" s="54" t="str">
        <f>D764&amp;E764&amp;F764</f>
        <v>CAPUBERCAP</v>
      </c>
      <c r="B764" t="s">
        <v>515</v>
      </c>
      <c r="C764" s="1">
        <v>45741</v>
      </c>
      <c r="D764" s="71" t="s">
        <v>31</v>
      </c>
      <c r="E764" s="71" t="s">
        <v>189</v>
      </c>
      <c r="F764" s="143" t="s">
        <v>31</v>
      </c>
      <c r="G764" s="71" t="s">
        <v>216</v>
      </c>
      <c r="H764" s="172"/>
      <c r="I764" s="172"/>
      <c r="J764" s="76" t="s">
        <v>253</v>
      </c>
      <c r="K764" s="332"/>
      <c r="L764" s="526">
        <v>563</v>
      </c>
      <c r="M764" s="163">
        <f>M763+K764-L764</f>
        <v>45538.925720000385</v>
      </c>
    </row>
    <row r="765" spans="1:13">
      <c r="A765" s="54" t="str">
        <f>D765&amp;E765&amp;F765</f>
        <v>CAPUBERCAP</v>
      </c>
      <c r="B765" t="s">
        <v>515</v>
      </c>
      <c r="C765" s="1">
        <v>45741</v>
      </c>
      <c r="D765" s="71" t="s">
        <v>31</v>
      </c>
      <c r="E765" s="71" t="s">
        <v>189</v>
      </c>
      <c r="F765" s="143" t="s">
        <v>31</v>
      </c>
      <c r="G765" s="71" t="s">
        <v>216</v>
      </c>
      <c r="H765" s="172"/>
      <c r="I765" s="172"/>
      <c r="J765" s="76" t="s">
        <v>257</v>
      </c>
      <c r="K765" s="332"/>
      <c r="L765" s="526">
        <v>150</v>
      </c>
      <c r="M765" s="163">
        <f>M764+K765-L765</f>
        <v>45388.925720000385</v>
      </c>
    </row>
    <row r="766" spans="1:13">
      <c r="A766" s="54" t="str">
        <f>D766&amp;E766&amp;F766</f>
        <v>CAPINSUMOSCAPRICHOS</v>
      </c>
      <c r="B766" t="s">
        <v>515</v>
      </c>
      <c r="C766" s="1">
        <v>45741</v>
      </c>
      <c r="D766" s="71" t="s">
        <v>31</v>
      </c>
      <c r="E766" s="71" t="s">
        <v>133</v>
      </c>
      <c r="F766" s="143" t="s">
        <v>33</v>
      </c>
      <c r="G766" s="71" t="s">
        <v>216</v>
      </c>
      <c r="H766" s="172"/>
      <c r="I766" s="172"/>
      <c r="J766" s="243" t="s">
        <v>362</v>
      </c>
      <c r="K766" s="332"/>
      <c r="L766" s="331">
        <v>28</v>
      </c>
      <c r="M766" s="163">
        <f>M765+K766-L766</f>
        <v>45360.925720000385</v>
      </c>
    </row>
    <row r="767" spans="1:13">
      <c r="A767" s="54" t="str">
        <f>D767&amp;E767&amp;F767</f>
        <v>FINANZASFALTANTESFALTANTES</v>
      </c>
      <c r="B767" t="s">
        <v>515</v>
      </c>
      <c r="C767" s="1">
        <v>45741</v>
      </c>
      <c r="D767" s="71" t="s">
        <v>23</v>
      </c>
      <c r="E767" s="71" t="s">
        <v>119</v>
      </c>
      <c r="F767" s="143" t="s">
        <v>119</v>
      </c>
      <c r="G767" s="71" t="s">
        <v>258</v>
      </c>
      <c r="H767" s="172"/>
      <c r="I767" s="172"/>
      <c r="J767" s="76" t="s">
        <v>259</v>
      </c>
      <c r="K767" s="332"/>
      <c r="L767" s="331">
        <v>1151.82</v>
      </c>
      <c r="M767" s="163">
        <f>M766+K767-L767</f>
        <v>44209.105720000385</v>
      </c>
    </row>
    <row r="768" spans="1:13">
      <c r="A768" s="54" t="str">
        <f t="shared" si="11"/>
        <v/>
      </c>
      <c r="B768" t="s">
        <v>515</v>
      </c>
      <c r="C768" s="1">
        <v>45742</v>
      </c>
      <c r="D768" s="71"/>
      <c r="F768" s="143"/>
      <c r="H768" s="172"/>
      <c r="I768" s="172"/>
      <c r="J768" s="71" t="s">
        <v>260</v>
      </c>
      <c r="K768" s="346">
        <v>162054.04</v>
      </c>
      <c r="L768" s="332"/>
      <c r="M768" s="163">
        <f>M767+K768-L768</f>
        <v>206263.14572000038</v>
      </c>
    </row>
    <row r="769" spans="1:13">
      <c r="A769" s="54" t="str">
        <f>D769&amp;E769&amp;F769</f>
        <v>FINANZASCOMISIONES BANCARIASTPV</v>
      </c>
      <c r="B769" t="s">
        <v>515</v>
      </c>
      <c r="C769" s="1">
        <v>45742</v>
      </c>
      <c r="D769" s="71" t="s">
        <v>23</v>
      </c>
      <c r="E769" s="71" t="s">
        <v>48</v>
      </c>
      <c r="F769" s="143" t="s">
        <v>50</v>
      </c>
      <c r="G769" s="71" t="s">
        <v>216</v>
      </c>
      <c r="H769" s="172"/>
      <c r="I769" s="172"/>
      <c r="J769" s="71" t="s">
        <v>217</v>
      </c>
      <c r="K769" s="332"/>
      <c r="L769" s="331">
        <f>1396.47+1309.83+153.71+57.22+830.22</f>
        <v>3747.45</v>
      </c>
      <c r="M769" s="163">
        <f>M768+K769-L769</f>
        <v>202515.69572000037</v>
      </c>
    </row>
    <row r="770" spans="1:13">
      <c r="A770" s="54" t="str">
        <f t="shared" si="11"/>
        <v/>
      </c>
      <c r="B770" t="s">
        <v>515</v>
      </c>
      <c r="C770" s="1">
        <v>45742</v>
      </c>
      <c r="D770" s="71"/>
      <c r="F770" s="143"/>
      <c r="G770" s="71" t="s">
        <v>216</v>
      </c>
      <c r="H770" s="172"/>
      <c r="I770" s="172"/>
      <c r="J770" s="205" t="s">
        <v>577</v>
      </c>
      <c r="K770" s="206"/>
      <c r="L770" s="206">
        <v>100000</v>
      </c>
      <c r="M770" s="163">
        <f>M769+K770-L770</f>
        <v>102515.69572000037</v>
      </c>
    </row>
    <row r="771" spans="1:13">
      <c r="A771" s="54" t="str">
        <f t="shared" si="11"/>
        <v/>
      </c>
      <c r="B771" t="s">
        <v>515</v>
      </c>
      <c r="C771" s="1">
        <v>45742</v>
      </c>
      <c r="D771" s="71"/>
      <c r="F771" s="143"/>
      <c r="G771" s="71" t="s">
        <v>216</v>
      </c>
      <c r="H771" s="172"/>
      <c r="I771" s="172"/>
      <c r="J771" s="71" t="s">
        <v>726</v>
      </c>
      <c r="K771" s="332"/>
      <c r="L771" s="326">
        <v>88294.31</v>
      </c>
      <c r="M771" s="163">
        <f>M770+K771-L771</f>
        <v>14221.385720000369</v>
      </c>
    </row>
    <row r="772" spans="1:13">
      <c r="A772" s="54" t="str">
        <f>D772&amp;E772&amp;F772</f>
        <v>ELIIMAGEN VISUALIMAGEN VISUAL ELILU</v>
      </c>
      <c r="B772" t="s">
        <v>515</v>
      </c>
      <c r="C772" s="1">
        <v>45742</v>
      </c>
      <c r="D772" s="71" t="s">
        <v>130</v>
      </c>
      <c r="E772" s="71" t="s">
        <v>127</v>
      </c>
      <c r="F772" s="143" t="s">
        <v>131</v>
      </c>
      <c r="G772" s="71" t="s">
        <v>216</v>
      </c>
      <c r="H772" s="172"/>
      <c r="I772" s="172"/>
      <c r="J772" s="71" t="s">
        <v>727</v>
      </c>
      <c r="K772" s="321"/>
      <c r="L772" s="326">
        <v>489.26</v>
      </c>
      <c r="M772" s="163">
        <f>M771+K772-L772</f>
        <v>13732.125720000369</v>
      </c>
    </row>
    <row r="773" spans="1:13">
      <c r="A773" s="54" t="str">
        <f>D773&amp;E773&amp;F773</f>
        <v>SERVICIOSFONDO Y REPOSICIONSERVICIOS</v>
      </c>
      <c r="B773" t="s">
        <v>515</v>
      </c>
      <c r="C773" s="1">
        <v>45742</v>
      </c>
      <c r="D773" s="71" t="s">
        <v>21</v>
      </c>
      <c r="E773" s="71" t="s">
        <v>120</v>
      </c>
      <c r="F773" s="143" t="s">
        <v>21</v>
      </c>
      <c r="G773" s="71" t="s">
        <v>258</v>
      </c>
      <c r="H773" s="172"/>
      <c r="I773" s="172"/>
      <c r="J773" s="71" t="s">
        <v>728</v>
      </c>
      <c r="K773" s="321"/>
      <c r="L773" s="326">
        <v>450</v>
      </c>
      <c r="M773" s="163">
        <f>M772+K773-L773</f>
        <v>13282.125720000369</v>
      </c>
    </row>
    <row r="774" spans="1:13" ht="18" customHeight="1">
      <c r="A774" s="54" t="str">
        <f>D774&amp;E774&amp;F774</f>
        <v>HRFONDO Y REPOSICIONHR</v>
      </c>
      <c r="B774" t="s">
        <v>515</v>
      </c>
      <c r="C774" s="1">
        <v>45742</v>
      </c>
      <c r="D774" s="71" t="s">
        <v>29</v>
      </c>
      <c r="E774" s="248" t="s">
        <v>120</v>
      </c>
      <c r="F774" s="143" t="s">
        <v>29</v>
      </c>
      <c r="G774" s="71" t="s">
        <v>216</v>
      </c>
      <c r="H774" s="172"/>
      <c r="I774" s="172"/>
      <c r="J774" s="71" t="s">
        <v>729</v>
      </c>
      <c r="K774" s="321"/>
      <c r="L774" s="326">
        <v>2432</v>
      </c>
      <c r="M774" s="163">
        <f>M773+K774-L774</f>
        <v>10850.125720000369</v>
      </c>
    </row>
    <row r="775" spans="1:13" ht="17.25" customHeight="1">
      <c r="A775" s="54" t="str">
        <f>D775&amp;E775&amp;F775</f>
        <v>HRVIATICOSHR</v>
      </c>
      <c r="B775" t="s">
        <v>515</v>
      </c>
      <c r="C775" s="1">
        <v>45742</v>
      </c>
      <c r="D775" s="71" t="s">
        <v>29</v>
      </c>
      <c r="E775" s="178" t="s">
        <v>191</v>
      </c>
      <c r="F775" s="143" t="s">
        <v>29</v>
      </c>
      <c r="G775" s="71" t="s">
        <v>216</v>
      </c>
      <c r="H775" s="172"/>
      <c r="I775" s="172"/>
      <c r="J775" s="71" t="s">
        <v>730</v>
      </c>
      <c r="K775" s="332"/>
      <c r="L775" s="326">
        <v>2600</v>
      </c>
      <c r="M775" s="163">
        <f>M774+K775-L775</f>
        <v>8250.1257200003693</v>
      </c>
    </row>
    <row r="776" spans="1:13" ht="18" customHeight="1">
      <c r="A776" s="54" t="str">
        <f>D776&amp;E776&amp;F776</f>
        <v>SERVICIOSMTTO EQ DE TRANSPORTESERVICIOS</v>
      </c>
      <c r="B776" t="s">
        <v>515</v>
      </c>
      <c r="C776" s="1">
        <v>45742</v>
      </c>
      <c r="D776" s="71" t="s">
        <v>21</v>
      </c>
      <c r="E776" s="178" t="s">
        <v>144</v>
      </c>
      <c r="F776" s="143" t="s">
        <v>21</v>
      </c>
      <c r="G776" s="71" t="s">
        <v>258</v>
      </c>
      <c r="H776" s="172"/>
      <c r="I776" s="172"/>
      <c r="J776" s="71" t="s">
        <v>731</v>
      </c>
      <c r="K776" s="332"/>
      <c r="L776" s="326">
        <v>7460</v>
      </c>
      <c r="M776" s="163">
        <f>M775+K776-L776</f>
        <v>790.12572000036926</v>
      </c>
    </row>
    <row r="777" spans="1:13">
      <c r="A777" s="54" t="str">
        <f>D777&amp;E777&amp;F777</f>
        <v>HRUBERHR</v>
      </c>
      <c r="B777" t="s">
        <v>515</v>
      </c>
      <c r="C777" s="1">
        <v>45742</v>
      </c>
      <c r="D777" s="71" t="s">
        <v>29</v>
      </c>
      <c r="E777" s="71" t="s">
        <v>189</v>
      </c>
      <c r="F777" s="143" t="s">
        <v>29</v>
      </c>
      <c r="G777" s="71" t="s">
        <v>258</v>
      </c>
      <c r="H777" s="172"/>
      <c r="I777" s="172"/>
      <c r="J777" s="76" t="s">
        <v>291</v>
      </c>
      <c r="K777" s="332"/>
      <c r="L777" s="526">
        <v>60</v>
      </c>
      <c r="M777" s="163">
        <f>M776+K777-L777</f>
        <v>730.12572000036926</v>
      </c>
    </row>
    <row r="778" spans="1:13">
      <c r="A778" s="54" t="str">
        <f>D778&amp;E778&amp;F778</f>
        <v>HRUBERHR</v>
      </c>
      <c r="B778" t="s">
        <v>515</v>
      </c>
      <c r="C778" s="1">
        <v>45742</v>
      </c>
      <c r="D778" s="71" t="s">
        <v>29</v>
      </c>
      <c r="E778" s="71" t="s">
        <v>189</v>
      </c>
      <c r="F778" s="143" t="s">
        <v>29</v>
      </c>
      <c r="G778" s="71" t="s">
        <v>258</v>
      </c>
      <c r="H778" s="172"/>
      <c r="I778" s="172"/>
      <c r="J778" s="76" t="s">
        <v>308</v>
      </c>
      <c r="K778" s="332"/>
      <c r="L778" s="526">
        <v>100</v>
      </c>
      <c r="M778" s="163">
        <f>M777+K778-L778</f>
        <v>630.12572000036926</v>
      </c>
    </row>
    <row r="779" spans="1:13" ht="18" customHeight="1">
      <c r="A779" s="54" t="str">
        <f>D779&amp;E779&amp;F779</f>
        <v>SIEMCUOTAS Y SUSCRIPCIONESSIEM</v>
      </c>
      <c r="B779" t="s">
        <v>515</v>
      </c>
      <c r="C779" s="1">
        <v>45742</v>
      </c>
      <c r="D779" s="71" t="s">
        <v>58</v>
      </c>
      <c r="E779" s="178" t="s">
        <v>51</v>
      </c>
      <c r="F779" s="143" t="s">
        <v>58</v>
      </c>
      <c r="G779" s="71" t="s">
        <v>216</v>
      </c>
      <c r="H779" s="172"/>
      <c r="I779" s="172"/>
      <c r="J779" s="76" t="s">
        <v>732</v>
      </c>
      <c r="K779" s="332"/>
      <c r="L779" s="331">
        <v>640</v>
      </c>
      <c r="M779" s="163">
        <f>M778+K779-L779</f>
        <v>-9.874279999630744</v>
      </c>
    </row>
    <row r="780" spans="1:13" ht="16.5" customHeight="1">
      <c r="A780" s="54" t="str">
        <f>D780&amp;E780&amp;F780</f>
        <v>HRUBERHR</v>
      </c>
      <c r="B780" t="s">
        <v>515</v>
      </c>
      <c r="C780" s="1">
        <v>45742</v>
      </c>
      <c r="D780" s="71" t="s">
        <v>29</v>
      </c>
      <c r="E780" s="178" t="s">
        <v>189</v>
      </c>
      <c r="F780" s="143" t="s">
        <v>29</v>
      </c>
      <c r="G780" s="71" t="s">
        <v>258</v>
      </c>
      <c r="H780" s="172"/>
      <c r="I780" s="172"/>
      <c r="J780" s="76" t="s">
        <v>456</v>
      </c>
      <c r="K780" s="332"/>
      <c r="L780" s="526">
        <v>300</v>
      </c>
      <c r="M780" s="163">
        <f>M779+K780-L780</f>
        <v>-309.87427999963074</v>
      </c>
    </row>
    <row r="781" spans="1:13">
      <c r="A781" s="54" t="str">
        <f>D781&amp;E781&amp;F781</f>
        <v>CAPUBERCAP</v>
      </c>
      <c r="B781" t="s">
        <v>515</v>
      </c>
      <c r="C781" s="1">
        <v>45742</v>
      </c>
      <c r="D781" s="71" t="s">
        <v>31</v>
      </c>
      <c r="E781" s="71" t="s">
        <v>189</v>
      </c>
      <c r="F781" s="143" t="s">
        <v>31</v>
      </c>
      <c r="G781" s="71" t="s">
        <v>216</v>
      </c>
      <c r="H781" s="172"/>
      <c r="I781" s="172"/>
      <c r="J781" s="76" t="s">
        <v>253</v>
      </c>
      <c r="K781" s="332"/>
      <c r="L781" s="526">
        <v>511</v>
      </c>
      <c r="M781" s="163">
        <f>M780+K781-L781</f>
        <v>-820.87427999963074</v>
      </c>
    </row>
    <row r="782" spans="1:13">
      <c r="A782" s="54" t="str">
        <f>D782&amp;E782&amp;F782</f>
        <v>CAPINSUMOSCAPRICHOS</v>
      </c>
      <c r="B782" t="s">
        <v>515</v>
      </c>
      <c r="C782" s="1">
        <v>45742</v>
      </c>
      <c r="D782" s="71" t="s">
        <v>31</v>
      </c>
      <c r="E782" s="71" t="s">
        <v>133</v>
      </c>
      <c r="F782" s="143" t="s">
        <v>33</v>
      </c>
      <c r="G782" s="71" t="s">
        <v>216</v>
      </c>
      <c r="H782" s="172"/>
      <c r="I782" s="172"/>
      <c r="J782" s="76" t="s">
        <v>457</v>
      </c>
      <c r="K782" s="332"/>
      <c r="L782" s="331">
        <v>227</v>
      </c>
      <c r="M782" s="163">
        <f>M781+K782-L782</f>
        <v>-1047.8742799996307</v>
      </c>
    </row>
    <row r="783" spans="1:13">
      <c r="A783" s="54" t="str">
        <f>D783&amp;E783&amp;F783</f>
        <v>CAPUBERCAP</v>
      </c>
      <c r="B783" t="s">
        <v>515</v>
      </c>
      <c r="C783" s="1">
        <v>45742</v>
      </c>
      <c r="D783" s="71" t="s">
        <v>31</v>
      </c>
      <c r="E783" s="71" t="s">
        <v>189</v>
      </c>
      <c r="F783" s="143" t="s">
        <v>31</v>
      </c>
      <c r="G783" s="71" t="s">
        <v>216</v>
      </c>
      <c r="H783" s="172"/>
      <c r="I783" s="172"/>
      <c r="J783" s="76" t="s">
        <v>257</v>
      </c>
      <c r="K783" s="332"/>
      <c r="L783" s="526">
        <v>190</v>
      </c>
      <c r="M783" s="163">
        <f>M782+K783-L783</f>
        <v>-1237.8742799996307</v>
      </c>
    </row>
    <row r="784" spans="1:13">
      <c r="A784" s="54" t="str">
        <f>D784&amp;E784&amp;F784</f>
        <v>ELIUBERL1</v>
      </c>
      <c r="B784" t="s">
        <v>515</v>
      </c>
      <c r="C784" s="1">
        <v>45742</v>
      </c>
      <c r="D784" s="71" t="s">
        <v>130</v>
      </c>
      <c r="E784" s="71" t="s">
        <v>189</v>
      </c>
      <c r="F784" s="143" t="s">
        <v>136</v>
      </c>
      <c r="G784" s="71" t="s">
        <v>258</v>
      </c>
      <c r="H784" s="172"/>
      <c r="I784" s="172"/>
      <c r="J784" s="76" t="s">
        <v>496</v>
      </c>
      <c r="K784" s="332"/>
      <c r="L784" s="526">
        <v>150</v>
      </c>
      <c r="M784" s="163">
        <f>M783+K784-L784</f>
        <v>-1387.8742799996307</v>
      </c>
    </row>
    <row r="785" spans="1:13">
      <c r="A785" s="54" t="str">
        <f>D785&amp;E785&amp;F785</f>
        <v>FINANZASFALTANTESFALTANTES</v>
      </c>
      <c r="B785" t="s">
        <v>515</v>
      </c>
      <c r="C785" s="1">
        <v>45742</v>
      </c>
      <c r="D785" s="71" t="s">
        <v>23</v>
      </c>
      <c r="E785" s="71" t="s">
        <v>119</v>
      </c>
      <c r="F785" s="143" t="s">
        <v>119</v>
      </c>
      <c r="G785" s="71" t="s">
        <v>258</v>
      </c>
      <c r="H785" s="172"/>
      <c r="I785" s="172"/>
      <c r="J785" s="76" t="s">
        <v>371</v>
      </c>
      <c r="K785" s="332"/>
      <c r="L785" s="331">
        <v>2140.04</v>
      </c>
      <c r="M785" s="163">
        <f>M784+K785-L785</f>
        <v>-3527.9142799996307</v>
      </c>
    </row>
    <row r="786" spans="1:13">
      <c r="A786" s="54" t="str">
        <f t="shared" ref="A775:A838" si="12">D786&amp;E786&amp;F786</f>
        <v/>
      </c>
      <c r="B786" t="s">
        <v>515</v>
      </c>
      <c r="C786" s="1">
        <v>45743</v>
      </c>
      <c r="D786" s="71"/>
      <c r="F786" s="143"/>
      <c r="H786" s="172"/>
      <c r="I786" s="172"/>
      <c r="J786" s="71" t="s">
        <v>260</v>
      </c>
      <c r="K786" s="332">
        <v>155835.10999999999</v>
      </c>
      <c r="L786" s="321"/>
      <c r="M786" s="163">
        <f>M785+K786-L786</f>
        <v>152307.19572000037</v>
      </c>
    </row>
    <row r="787" spans="1:13">
      <c r="A787" s="54" t="str">
        <f>D787&amp;E787&amp;F787</f>
        <v>FINANZASCOMISIONES BANCARIASTPV</v>
      </c>
      <c r="B787" t="s">
        <v>515</v>
      </c>
      <c r="C787" s="1">
        <v>45743</v>
      </c>
      <c r="D787" s="71" t="s">
        <v>23</v>
      </c>
      <c r="E787" s="71" t="s">
        <v>48</v>
      </c>
      <c r="F787" s="143" t="s">
        <v>50</v>
      </c>
      <c r="G787" s="71" t="s">
        <v>216</v>
      </c>
      <c r="H787" s="172"/>
      <c r="I787" s="172"/>
      <c r="J787" s="71" t="s">
        <v>217</v>
      </c>
      <c r="K787" s="332"/>
      <c r="L787" s="326">
        <f>337.06+1482.83+1220.56+696</f>
        <v>3736.45</v>
      </c>
      <c r="M787" s="163">
        <f>M786+K787-L787</f>
        <v>148570.74572000036</v>
      </c>
    </row>
    <row r="788" spans="1:13">
      <c r="A788" s="54" t="str">
        <f t="shared" si="12"/>
        <v/>
      </c>
      <c r="B788" t="s">
        <v>515</v>
      </c>
      <c r="C788" s="1">
        <v>45743</v>
      </c>
      <c r="D788" s="71"/>
      <c r="F788" s="143"/>
      <c r="H788" s="172"/>
      <c r="I788" s="172"/>
      <c r="J788" s="205" t="s">
        <v>577</v>
      </c>
      <c r="K788" s="206"/>
      <c r="L788" s="206">
        <v>100000</v>
      </c>
      <c r="M788" s="163">
        <f>M787+K788-L788</f>
        <v>48570.745720000356</v>
      </c>
    </row>
    <row r="789" spans="1:13">
      <c r="A789" s="54" t="str">
        <f>D789&amp;E789&amp;F789</f>
        <v>HRINSUMOSHR</v>
      </c>
      <c r="B789" t="s">
        <v>515</v>
      </c>
      <c r="C789" s="1">
        <v>45743</v>
      </c>
      <c r="D789" s="71" t="s">
        <v>29</v>
      </c>
      <c r="E789" s="71" t="s">
        <v>133</v>
      </c>
      <c r="F789" s="143" t="s">
        <v>29</v>
      </c>
      <c r="G789" s="71" t="s">
        <v>216</v>
      </c>
      <c r="H789" s="172"/>
      <c r="I789" s="172"/>
      <c r="J789" s="71" t="s">
        <v>733</v>
      </c>
      <c r="K789" s="332"/>
      <c r="L789" s="326">
        <v>945</v>
      </c>
      <c r="M789" s="163">
        <f>M788+K789-L789</f>
        <v>47625.745720000356</v>
      </c>
    </row>
    <row r="790" spans="1:13">
      <c r="A790" s="54" t="str">
        <f>D790&amp;E790&amp;F790</f>
        <v>HRINSUMOSHR</v>
      </c>
      <c r="B790" t="s">
        <v>515</v>
      </c>
      <c r="C790" s="1">
        <v>45743</v>
      </c>
      <c r="D790" s="71" t="s">
        <v>29</v>
      </c>
      <c r="E790" s="71" t="s">
        <v>133</v>
      </c>
      <c r="F790" s="143" t="s">
        <v>29</v>
      </c>
      <c r="G790" s="71" t="s">
        <v>216</v>
      </c>
      <c r="H790" s="172"/>
      <c r="I790" s="172"/>
      <c r="J790" s="71" t="s">
        <v>734</v>
      </c>
      <c r="K790" s="332"/>
      <c r="L790" s="326">
        <v>500</v>
      </c>
      <c r="M790" s="163">
        <f>M789+K790-L790</f>
        <v>47125.745720000356</v>
      </c>
    </row>
    <row r="791" spans="1:13">
      <c r="A791" s="54" t="str">
        <f>D791&amp;E791&amp;F791</f>
        <v>FINANZASFONDO Y REPOSICIONFINANZAS</v>
      </c>
      <c r="B791" t="s">
        <v>515</v>
      </c>
      <c r="C791" s="1">
        <v>45743</v>
      </c>
      <c r="D791" s="71" t="s">
        <v>23</v>
      </c>
      <c r="E791" s="71" t="s">
        <v>120</v>
      </c>
      <c r="F791" s="143" t="s">
        <v>23</v>
      </c>
      <c r="G791" s="71" t="s">
        <v>216</v>
      </c>
      <c r="H791" s="172"/>
      <c r="I791" s="172"/>
      <c r="J791" s="71" t="s">
        <v>735</v>
      </c>
      <c r="K791" s="332"/>
      <c r="L791" s="326">
        <v>1552</v>
      </c>
      <c r="M791" s="163">
        <f>M790+K791-L791</f>
        <v>45573.745720000356</v>
      </c>
    </row>
    <row r="792" spans="1:13">
      <c r="A792" s="54" t="str">
        <f>D792&amp;E792&amp;F792</f>
        <v>CAPENERGIA ELECTRICAE6</v>
      </c>
      <c r="B792" t="s">
        <v>515</v>
      </c>
      <c r="C792" s="1">
        <v>45743</v>
      </c>
      <c r="D792" s="71" t="s">
        <v>31</v>
      </c>
      <c r="E792" s="71" t="s">
        <v>87</v>
      </c>
      <c r="F792" s="143" t="s">
        <v>112</v>
      </c>
      <c r="G792" s="71" t="s">
        <v>216</v>
      </c>
      <c r="H792" s="172"/>
      <c r="I792" s="172"/>
      <c r="J792" s="71" t="s">
        <v>736</v>
      </c>
      <c r="K792" s="339"/>
      <c r="L792" s="333">
        <v>5849</v>
      </c>
      <c r="M792" s="163">
        <f>M791+K792-L792</f>
        <v>39724.745720000356</v>
      </c>
    </row>
    <row r="793" spans="1:13">
      <c r="A793" s="54" t="str">
        <f>D793&amp;E793&amp;F793</f>
        <v>SERVICIOSVIATICOSCEDIS</v>
      </c>
      <c r="B793" t="s">
        <v>515</v>
      </c>
      <c r="C793" s="1">
        <v>45743</v>
      </c>
      <c r="D793" s="71" t="s">
        <v>21</v>
      </c>
      <c r="E793" s="71" t="s">
        <v>191</v>
      </c>
      <c r="F793" s="143" t="s">
        <v>28</v>
      </c>
      <c r="G793" s="71" t="s">
        <v>216</v>
      </c>
      <c r="H793" s="172"/>
      <c r="I793" s="172"/>
      <c r="J793" s="71" t="s">
        <v>737</v>
      </c>
      <c r="K793" s="332"/>
      <c r="L793" s="326">
        <v>700</v>
      </c>
      <c r="M793" s="163">
        <f>M792+K793-L793</f>
        <v>39024.745720000356</v>
      </c>
    </row>
    <row r="794" spans="1:13">
      <c r="A794" s="54" t="str">
        <f>D794&amp;E794&amp;F794</f>
        <v>SERVICIOSFONDO Y REPOSICIONSERVICIOS</v>
      </c>
      <c r="B794" t="s">
        <v>515</v>
      </c>
      <c r="C794" s="1">
        <v>45743</v>
      </c>
      <c r="D794" s="71" t="s">
        <v>21</v>
      </c>
      <c r="E794" s="71" t="s">
        <v>120</v>
      </c>
      <c r="F794" s="143" t="s">
        <v>21</v>
      </c>
      <c r="G794" s="71" t="s">
        <v>216</v>
      </c>
      <c r="H794" s="172"/>
      <c r="I794" s="172"/>
      <c r="J794" s="71" t="s">
        <v>738</v>
      </c>
      <c r="K794" s="332"/>
      <c r="L794" s="326">
        <v>280</v>
      </c>
      <c r="M794" s="163">
        <f>M793+K794-L794</f>
        <v>38744.745720000356</v>
      </c>
    </row>
    <row r="795" spans="1:13">
      <c r="A795" s="54" t="str">
        <f>D795&amp;E795&amp;F795</f>
        <v>CAPFONDO Y REPOSICIONCAPRICHOS</v>
      </c>
      <c r="B795" t="s">
        <v>515</v>
      </c>
      <c r="C795" s="1">
        <v>45743</v>
      </c>
      <c r="D795" s="71" t="s">
        <v>31</v>
      </c>
      <c r="E795" s="71" t="s">
        <v>120</v>
      </c>
      <c r="F795" s="143" t="s">
        <v>33</v>
      </c>
      <c r="G795" s="71" t="s">
        <v>216</v>
      </c>
      <c r="H795" s="172"/>
      <c r="I795" s="172"/>
      <c r="J795" s="71" t="s">
        <v>739</v>
      </c>
      <c r="K795" s="321"/>
      <c r="L795" s="326">
        <v>2907</v>
      </c>
      <c r="M795" s="163">
        <f>M794+K795-L795</f>
        <v>35837.745720000356</v>
      </c>
    </row>
    <row r="796" spans="1:13">
      <c r="A796" s="54" t="str">
        <f>D796&amp;E796&amp;F796</f>
        <v>CAPFONDO Y REPOSICIONCAPRICHOS</v>
      </c>
      <c r="B796" t="s">
        <v>515</v>
      </c>
      <c r="C796" s="1">
        <v>45743</v>
      </c>
      <c r="D796" s="71" t="s">
        <v>31</v>
      </c>
      <c r="E796" s="71" t="s">
        <v>120</v>
      </c>
      <c r="F796" s="143" t="s">
        <v>33</v>
      </c>
      <c r="G796" s="71" t="s">
        <v>216</v>
      </c>
      <c r="H796" s="172"/>
      <c r="I796" s="172"/>
      <c r="J796" s="71" t="s">
        <v>740</v>
      </c>
      <c r="K796" s="321"/>
      <c r="L796" s="326">
        <v>1180</v>
      </c>
      <c r="M796" s="163">
        <f>M795+K796-L796</f>
        <v>34657.745720000356</v>
      </c>
    </row>
    <row r="797" spans="1:13">
      <c r="A797" s="54" t="str">
        <f>D797&amp;E797&amp;F797</f>
        <v>HRUBERHR</v>
      </c>
      <c r="B797" t="s">
        <v>515</v>
      </c>
      <c r="C797" s="1">
        <v>45743</v>
      </c>
      <c r="D797" s="71" t="s">
        <v>29</v>
      </c>
      <c r="E797" s="71" t="s">
        <v>189</v>
      </c>
      <c r="F797" s="143" t="s">
        <v>29</v>
      </c>
      <c r="G797" s="71" t="s">
        <v>258</v>
      </c>
      <c r="H797" s="172"/>
      <c r="I797" s="172"/>
      <c r="J797" s="76" t="s">
        <v>291</v>
      </c>
      <c r="K797" s="332"/>
      <c r="L797" s="526">
        <v>144</v>
      </c>
      <c r="M797" s="163">
        <f>M796+K797-L797</f>
        <v>34513.745720000356</v>
      </c>
    </row>
    <row r="798" spans="1:13">
      <c r="A798" s="54" t="str">
        <f>D798&amp;E798&amp;F798</f>
        <v>HRUBERHR</v>
      </c>
      <c r="B798" t="s">
        <v>515</v>
      </c>
      <c r="C798" s="1">
        <v>45743</v>
      </c>
      <c r="D798" s="71" t="s">
        <v>29</v>
      </c>
      <c r="E798" s="71" t="s">
        <v>189</v>
      </c>
      <c r="F798" s="143" t="s">
        <v>29</v>
      </c>
      <c r="G798" s="71" t="s">
        <v>258</v>
      </c>
      <c r="H798" s="172"/>
      <c r="I798" s="172"/>
      <c r="J798" s="76" t="s">
        <v>741</v>
      </c>
      <c r="K798" s="332"/>
      <c r="L798" s="526">
        <v>107</v>
      </c>
      <c r="M798" s="163">
        <f>M797+K798-L798</f>
        <v>34406.745720000356</v>
      </c>
    </row>
    <row r="799" spans="1:13">
      <c r="A799" s="54" t="str">
        <f>D799&amp;E799&amp;F799</f>
        <v>HRJMASA16</v>
      </c>
      <c r="B799" t="s">
        <v>515</v>
      </c>
      <c r="C799" s="1">
        <v>45743</v>
      </c>
      <c r="D799" s="71" t="s">
        <v>29</v>
      </c>
      <c r="E799" s="71" t="s">
        <v>137</v>
      </c>
      <c r="F799" s="143" t="s">
        <v>101</v>
      </c>
      <c r="G799" s="71" t="s">
        <v>216</v>
      </c>
      <c r="H799" s="172"/>
      <c r="I799" s="172"/>
      <c r="J799" s="76" t="s">
        <v>742</v>
      </c>
      <c r="K799" s="332"/>
      <c r="L799" s="331">
        <v>373</v>
      </c>
      <c r="M799" s="163">
        <f>M798+K799-L799</f>
        <v>34033.745720000356</v>
      </c>
    </row>
    <row r="800" spans="1:13">
      <c r="A800" s="54" t="str">
        <f>D800&amp;E800&amp;F800</f>
        <v>HRUBERHR</v>
      </c>
      <c r="B800" t="s">
        <v>515</v>
      </c>
      <c r="C800" s="1">
        <v>45743</v>
      </c>
      <c r="D800" s="71" t="s">
        <v>29</v>
      </c>
      <c r="E800" s="71" t="s">
        <v>189</v>
      </c>
      <c r="F800" s="143" t="s">
        <v>29</v>
      </c>
      <c r="G800" s="71" t="s">
        <v>258</v>
      </c>
      <c r="H800" s="172"/>
      <c r="I800" s="172"/>
      <c r="J800" s="76" t="s">
        <v>456</v>
      </c>
      <c r="K800" s="332"/>
      <c r="L800" s="526">
        <v>607</v>
      </c>
      <c r="M800" s="163">
        <f>M799+K800-L800</f>
        <v>33426.745720000356</v>
      </c>
    </row>
    <row r="801" spans="1:13">
      <c r="A801" s="54" t="str">
        <f>D801&amp;E801&amp;F801</f>
        <v>CAPUBERCAP</v>
      </c>
      <c r="B801" t="s">
        <v>515</v>
      </c>
      <c r="C801" s="1">
        <v>45743</v>
      </c>
      <c r="D801" s="71" t="s">
        <v>31</v>
      </c>
      <c r="E801" s="71" t="s">
        <v>189</v>
      </c>
      <c r="F801" s="143" t="s">
        <v>31</v>
      </c>
      <c r="G801" s="71" t="s">
        <v>216</v>
      </c>
      <c r="H801" s="172"/>
      <c r="I801" s="172"/>
      <c r="J801" s="76" t="s">
        <v>253</v>
      </c>
      <c r="K801" s="332"/>
      <c r="L801" s="526">
        <v>606</v>
      </c>
      <c r="M801" s="163">
        <f>M800+K801-L801</f>
        <v>32820.745720000356</v>
      </c>
    </row>
    <row r="802" spans="1:13">
      <c r="A802" s="54" t="str">
        <f>D802&amp;E802&amp;F802</f>
        <v>CAPUBERCAP</v>
      </c>
      <c r="B802" t="s">
        <v>515</v>
      </c>
      <c r="C802" s="1">
        <v>45743</v>
      </c>
      <c r="D802" s="71" t="s">
        <v>31</v>
      </c>
      <c r="E802" s="71" t="s">
        <v>189</v>
      </c>
      <c r="F802" s="143" t="s">
        <v>31</v>
      </c>
      <c r="G802" s="71" t="s">
        <v>216</v>
      </c>
      <c r="H802" s="172"/>
      <c r="I802" s="172"/>
      <c r="J802" s="76" t="s">
        <v>257</v>
      </c>
      <c r="K802" s="332"/>
      <c r="L802" s="526">
        <v>190</v>
      </c>
      <c r="M802" s="163">
        <f>M801+K802-L802</f>
        <v>32630.745720000356</v>
      </c>
    </row>
    <row r="803" spans="1:13">
      <c r="A803" s="54" t="str">
        <f>D803&amp;E803&amp;F803</f>
        <v>CAPUBERCAP</v>
      </c>
      <c r="B803" t="s">
        <v>515</v>
      </c>
      <c r="C803" s="1">
        <v>45743</v>
      </c>
      <c r="D803" s="71" t="s">
        <v>31</v>
      </c>
      <c r="E803" s="71" t="s">
        <v>189</v>
      </c>
      <c r="F803" s="143" t="s">
        <v>31</v>
      </c>
      <c r="G803" s="71" t="s">
        <v>216</v>
      </c>
      <c r="H803" s="172"/>
      <c r="I803" s="172"/>
      <c r="J803" s="243" t="s">
        <v>255</v>
      </c>
      <c r="K803" s="332"/>
      <c r="L803" s="526">
        <v>72</v>
      </c>
      <c r="M803" s="163">
        <f>M802+K803-L803</f>
        <v>32558.745720000356</v>
      </c>
    </row>
    <row r="804" spans="1:13">
      <c r="A804" s="54" t="str">
        <f>D804&amp;E804&amp;F804</f>
        <v>CAPINSUMOSCAPRICHOS</v>
      </c>
      <c r="B804" t="s">
        <v>515</v>
      </c>
      <c r="C804" s="1">
        <v>45743</v>
      </c>
      <c r="D804" s="71" t="s">
        <v>31</v>
      </c>
      <c r="E804" s="71" t="s">
        <v>133</v>
      </c>
      <c r="F804" s="143" t="s">
        <v>33</v>
      </c>
      <c r="G804" s="71" t="s">
        <v>216</v>
      </c>
      <c r="H804" s="172"/>
      <c r="I804" s="172"/>
      <c r="J804" s="76" t="s">
        <v>362</v>
      </c>
      <c r="K804" s="332"/>
      <c r="L804" s="331">
        <v>272.5</v>
      </c>
      <c r="M804" s="163">
        <f>M803+K804-L804</f>
        <v>32286.245720000356</v>
      </c>
    </row>
    <row r="805" spans="1:13">
      <c r="A805" s="54" t="str">
        <f>D805&amp;E805&amp;F805</f>
        <v>ELIUBERL1</v>
      </c>
      <c r="B805" t="s">
        <v>515</v>
      </c>
      <c r="C805" s="1">
        <v>45743</v>
      </c>
      <c r="D805" s="71" t="s">
        <v>130</v>
      </c>
      <c r="E805" s="71" t="s">
        <v>189</v>
      </c>
      <c r="F805" s="143" t="s">
        <v>136</v>
      </c>
      <c r="G805" s="71" t="s">
        <v>258</v>
      </c>
      <c r="H805" s="172"/>
      <c r="I805" s="172"/>
      <c r="J805" s="76" t="s">
        <v>535</v>
      </c>
      <c r="K805" s="332"/>
      <c r="L805" s="526">
        <v>180</v>
      </c>
      <c r="M805" s="163">
        <f>M804+K805-L805</f>
        <v>32106.245720000356</v>
      </c>
    </row>
    <row r="806" spans="1:13">
      <c r="A806" s="54" t="str">
        <f>D806&amp;E806&amp;F806</f>
        <v>FINANZASFALTANTESFALTANTES</v>
      </c>
      <c r="B806" t="s">
        <v>515</v>
      </c>
      <c r="C806" s="1">
        <v>45743</v>
      </c>
      <c r="D806" s="71" t="s">
        <v>23</v>
      </c>
      <c r="E806" s="71" t="s">
        <v>119</v>
      </c>
      <c r="F806" s="143" t="s">
        <v>119</v>
      </c>
      <c r="G806" s="71" t="s">
        <v>258</v>
      </c>
      <c r="H806" s="172"/>
      <c r="I806" s="172"/>
      <c r="J806" s="76" t="s">
        <v>371</v>
      </c>
      <c r="K806" s="332"/>
      <c r="L806" s="331">
        <v>1752.11</v>
      </c>
      <c r="M806" s="163">
        <f>M805+K806-L806</f>
        <v>30354.135720000355</v>
      </c>
    </row>
    <row r="807" spans="1:13">
      <c r="A807" s="54" t="str">
        <f t="shared" si="12"/>
        <v/>
      </c>
      <c r="B807" t="s">
        <v>515</v>
      </c>
      <c r="C807" s="1">
        <v>45744</v>
      </c>
      <c r="D807" s="71"/>
      <c r="F807" s="143"/>
      <c r="H807" s="172"/>
      <c r="I807" s="172"/>
      <c r="J807" s="71" t="s">
        <v>260</v>
      </c>
      <c r="K807" s="322">
        <v>171102.2</v>
      </c>
      <c r="L807" s="180"/>
      <c r="M807" s="163">
        <f>M806+K807-L807</f>
        <v>201456.33572000038</v>
      </c>
    </row>
    <row r="808" spans="1:13">
      <c r="A808" s="54" t="str">
        <f t="shared" si="12"/>
        <v/>
      </c>
      <c r="B808" t="s">
        <v>515</v>
      </c>
      <c r="C808" s="1">
        <v>45744</v>
      </c>
      <c r="D808" s="71"/>
      <c r="F808" s="143"/>
      <c r="H808" s="172"/>
      <c r="I808" s="172"/>
      <c r="J808" s="71" t="s">
        <v>743</v>
      </c>
      <c r="K808" s="322">
        <v>26363.86</v>
      </c>
      <c r="L808" s="180"/>
      <c r="M808" s="163">
        <f>M807+K808-L808</f>
        <v>227820.19572000037</v>
      </c>
    </row>
    <row r="809" spans="1:13">
      <c r="A809" s="54" t="str">
        <f>D809&amp;E809&amp;F809</f>
        <v>FINANZASCOMISIONES BANCARIASTPV</v>
      </c>
      <c r="B809" t="s">
        <v>515</v>
      </c>
      <c r="C809" s="1">
        <v>45744</v>
      </c>
      <c r="D809" s="71" t="s">
        <v>23</v>
      </c>
      <c r="E809" s="71" t="s">
        <v>48</v>
      </c>
      <c r="F809" s="143" t="s">
        <v>50</v>
      </c>
      <c r="G809" s="71" t="s">
        <v>216</v>
      </c>
      <c r="H809" s="172"/>
      <c r="I809" s="172"/>
      <c r="J809" s="71" t="s">
        <v>217</v>
      </c>
      <c r="K809" s="322"/>
      <c r="L809" s="323">
        <f>140.18+36.99+235.55+1397.18+1327.36</f>
        <v>3137.26</v>
      </c>
      <c r="M809" s="163">
        <f>M808+K809-L809</f>
        <v>224682.93572000036</v>
      </c>
    </row>
    <row r="810" spans="1:13">
      <c r="A810" s="54" t="str">
        <f t="shared" si="12"/>
        <v/>
      </c>
      <c r="B810" t="s">
        <v>515</v>
      </c>
      <c r="C810" s="1">
        <v>45744</v>
      </c>
      <c r="D810" s="71"/>
      <c r="F810" s="143"/>
      <c r="H810" s="172"/>
      <c r="I810" s="172" t="s">
        <v>219</v>
      </c>
      <c r="J810" s="205" t="s">
        <v>577</v>
      </c>
      <c r="K810" s="206"/>
      <c r="L810" s="206">
        <v>50000</v>
      </c>
      <c r="M810" s="163">
        <f>M809+K810-L810</f>
        <v>174682.93572000036</v>
      </c>
    </row>
    <row r="811" spans="1:13">
      <c r="A811" s="54" t="str">
        <f t="shared" si="12"/>
        <v/>
      </c>
      <c r="B811" t="s">
        <v>515</v>
      </c>
      <c r="C811" s="1">
        <v>45744</v>
      </c>
      <c r="D811" s="71"/>
      <c r="F811" s="143"/>
      <c r="H811" s="172"/>
      <c r="I811" s="172"/>
      <c r="J811" s="205" t="s">
        <v>222</v>
      </c>
      <c r="K811" s="206"/>
      <c r="L811" s="206">
        <v>75000</v>
      </c>
      <c r="M811" s="163">
        <f>M810+K811-L811</f>
        <v>99682.935720000358</v>
      </c>
    </row>
    <row r="812" spans="1:13">
      <c r="A812" s="54" t="str">
        <f>D812&amp;E812&amp;F812</f>
        <v>FINANZASENERGIA ELECTRICACEDIS</v>
      </c>
      <c r="B812" t="s">
        <v>515</v>
      </c>
      <c r="C812" s="1">
        <v>45744</v>
      </c>
      <c r="D812" s="71" t="s">
        <v>23</v>
      </c>
      <c r="E812" s="71" t="s">
        <v>87</v>
      </c>
      <c r="F812" s="143" t="s">
        <v>28</v>
      </c>
      <c r="G812" s="71" t="s">
        <v>216</v>
      </c>
      <c r="H812" s="172"/>
      <c r="I812" s="172"/>
      <c r="J812" s="220" t="s">
        <v>744</v>
      </c>
      <c r="K812" s="339"/>
      <c r="L812" s="333">
        <v>4764</v>
      </c>
      <c r="M812" s="163">
        <f>M811+K812-L812</f>
        <v>94918.935720000358</v>
      </c>
    </row>
    <row r="813" spans="1:13">
      <c r="A813" s="54" t="str">
        <f>D813&amp;E813&amp;F813</f>
        <v>FINANZASENERGIA ELECTRICACEDIS</v>
      </c>
      <c r="B813" t="s">
        <v>515</v>
      </c>
      <c r="C813" s="1">
        <v>45744</v>
      </c>
      <c r="D813" s="71" t="s">
        <v>23</v>
      </c>
      <c r="E813" s="71" t="s">
        <v>87</v>
      </c>
      <c r="F813" s="143" t="s">
        <v>28</v>
      </c>
      <c r="G813" s="71" t="s">
        <v>216</v>
      </c>
      <c r="H813" s="172"/>
      <c r="I813" s="172"/>
      <c r="J813" s="220" t="s">
        <v>745</v>
      </c>
      <c r="K813" s="339"/>
      <c r="L813" s="333">
        <v>281</v>
      </c>
      <c r="M813" s="163">
        <f>M812+K813-L813</f>
        <v>94637.935720000358</v>
      </c>
    </row>
    <row r="814" spans="1:13">
      <c r="A814" s="54" t="str">
        <f>D814&amp;E814&amp;F814</f>
        <v>FINANZASENERGIA ELECTRICACEDIS</v>
      </c>
      <c r="B814" t="s">
        <v>515</v>
      </c>
      <c r="C814" s="1">
        <v>45744</v>
      </c>
      <c r="D814" s="71" t="s">
        <v>23</v>
      </c>
      <c r="E814" s="71" t="s">
        <v>87</v>
      </c>
      <c r="F814" s="143" t="s">
        <v>28</v>
      </c>
      <c r="G814" s="71" t="s">
        <v>216</v>
      </c>
      <c r="H814" s="172"/>
      <c r="I814" s="172"/>
      <c r="J814" s="220" t="s">
        <v>746</v>
      </c>
      <c r="K814" s="339"/>
      <c r="L814" s="333">
        <v>8251</v>
      </c>
      <c r="M814" s="163">
        <f>M813+K814-L814</f>
        <v>86386.935720000358</v>
      </c>
    </row>
    <row r="815" spans="1:13">
      <c r="A815" s="54" t="str">
        <f>D815&amp;E815&amp;F815</f>
        <v>FINANZASENERGIA ELECTRICACEDIS</v>
      </c>
      <c r="B815" t="s">
        <v>515</v>
      </c>
      <c r="C815" s="1">
        <v>45744</v>
      </c>
      <c r="D815" s="71" t="s">
        <v>23</v>
      </c>
      <c r="E815" s="71" t="s">
        <v>87</v>
      </c>
      <c r="F815" s="143" t="s">
        <v>28</v>
      </c>
      <c r="G815" s="71" t="s">
        <v>216</v>
      </c>
      <c r="H815" s="172"/>
      <c r="I815" s="172"/>
      <c r="J815" s="220" t="s">
        <v>747</v>
      </c>
      <c r="K815" s="339"/>
      <c r="L815" s="333">
        <v>2617</v>
      </c>
      <c r="M815" s="163">
        <f>M814+K815-L815</f>
        <v>83769.935720000358</v>
      </c>
    </row>
    <row r="816" spans="1:13">
      <c r="A816" s="54" t="str">
        <f>D816&amp;E816&amp;F816</f>
        <v>FINANZASENERGIA ELECTRICACEDIS</v>
      </c>
      <c r="B816" t="s">
        <v>515</v>
      </c>
      <c r="C816" s="1">
        <v>45744</v>
      </c>
      <c r="D816" s="71" t="s">
        <v>23</v>
      </c>
      <c r="E816" s="71" t="s">
        <v>87</v>
      </c>
      <c r="F816" s="143" t="s">
        <v>28</v>
      </c>
      <c r="G816" s="71" t="s">
        <v>216</v>
      </c>
      <c r="H816" s="172"/>
      <c r="I816" s="172"/>
      <c r="J816" s="220" t="s">
        <v>748</v>
      </c>
      <c r="K816" s="339"/>
      <c r="L816" s="333">
        <v>280</v>
      </c>
      <c r="M816" s="163">
        <f>M815+K816-L816</f>
        <v>83489.935720000358</v>
      </c>
    </row>
    <row r="817" spans="1:13">
      <c r="A817" s="54" t="str">
        <f>D817&amp;E817&amp;F817</f>
        <v>FINANZASHONORARIOSFINANZAS</v>
      </c>
      <c r="B817" t="s">
        <v>515</v>
      </c>
      <c r="C817" s="1">
        <v>45744</v>
      </c>
      <c r="D817" s="71" t="s">
        <v>23</v>
      </c>
      <c r="E817" s="71" t="s">
        <v>124</v>
      </c>
      <c r="F817" s="143" t="s">
        <v>23</v>
      </c>
      <c r="G817" s="71" t="s">
        <v>216</v>
      </c>
      <c r="H817" s="172"/>
      <c r="I817" s="172"/>
      <c r="J817" s="71" t="s">
        <v>749</v>
      </c>
      <c r="K817" s="321"/>
      <c r="L817" s="326">
        <v>10000</v>
      </c>
      <c r="M817" s="163">
        <f>M816+K817-L817</f>
        <v>73489.935720000358</v>
      </c>
    </row>
    <row r="818" spans="1:13">
      <c r="A818" s="54" t="str">
        <f>D818&amp;E818&amp;F818</f>
        <v>SERVICIOSMTTO DE EDIFICIOMANTENIMIENTO</v>
      </c>
      <c r="B818" t="s">
        <v>515</v>
      </c>
      <c r="C818" s="1">
        <v>45744</v>
      </c>
      <c r="D818" s="71" t="s">
        <v>21</v>
      </c>
      <c r="E818" s="71" t="s">
        <v>142</v>
      </c>
      <c r="F818" s="143" t="s">
        <v>35</v>
      </c>
      <c r="G818" s="71" t="s">
        <v>258</v>
      </c>
      <c r="H818" s="172"/>
      <c r="I818" s="172"/>
      <c r="J818" s="71" t="s">
        <v>750</v>
      </c>
      <c r="K818" s="321"/>
      <c r="L818" s="326">
        <v>14860</v>
      </c>
      <c r="M818" s="163">
        <f>M817+K818-L818</f>
        <v>58629.935720000358</v>
      </c>
    </row>
    <row r="819" spans="1:13">
      <c r="A819" s="54" t="str">
        <f>D819&amp;E819&amp;F819</f>
        <v>FINANZASSGMFINANZAS</v>
      </c>
      <c r="B819" t="s">
        <v>515</v>
      </c>
      <c r="C819" s="1">
        <v>45744</v>
      </c>
      <c r="D819" s="71" t="s">
        <v>23</v>
      </c>
      <c r="E819" s="71" t="s">
        <v>176</v>
      </c>
      <c r="F819" s="143" t="s">
        <v>23</v>
      </c>
      <c r="G819" s="71" t="s">
        <v>216</v>
      </c>
      <c r="H819" s="172"/>
      <c r="I819" s="172"/>
      <c r="J819" s="71" t="s">
        <v>751</v>
      </c>
      <c r="K819" s="321"/>
      <c r="L819" s="326">
        <v>4390</v>
      </c>
      <c r="M819" s="163">
        <f>M818+K819-L819</f>
        <v>54239.935720000358</v>
      </c>
    </row>
    <row r="820" spans="1:13">
      <c r="A820" s="54" t="str">
        <f>D820&amp;E820&amp;F820</f>
        <v>SERVICIOSMTTO DE EDIFICIOMANTENIMIENTO</v>
      </c>
      <c r="B820" t="s">
        <v>515</v>
      </c>
      <c r="C820" s="1">
        <v>45744</v>
      </c>
      <c r="D820" s="71" t="s">
        <v>21</v>
      </c>
      <c r="E820" s="71" t="s">
        <v>142</v>
      </c>
      <c r="F820" s="143" t="s">
        <v>35</v>
      </c>
      <c r="G820" s="71" t="s">
        <v>258</v>
      </c>
      <c r="H820" s="172"/>
      <c r="I820" s="172"/>
      <c r="J820" s="71" t="s">
        <v>752</v>
      </c>
      <c r="K820" s="321"/>
      <c r="L820" s="326">
        <v>2674.36</v>
      </c>
      <c r="M820" s="163">
        <f>M819+K820-L820</f>
        <v>51565.575720000357</v>
      </c>
    </row>
    <row r="821" spans="1:13">
      <c r="A821" s="54" t="str">
        <f t="shared" si="12"/>
        <v>COMBUSTIBLE</v>
      </c>
      <c r="B821" t="s">
        <v>515</v>
      </c>
      <c r="C821" s="1">
        <v>45744</v>
      </c>
      <c r="D821" s="71"/>
      <c r="E821" s="71" t="s">
        <v>32</v>
      </c>
      <c r="F821" s="143"/>
      <c r="G821" s="71" t="s">
        <v>216</v>
      </c>
      <c r="H821" s="172"/>
      <c r="I821" s="172"/>
      <c r="J821" s="71" t="s">
        <v>564</v>
      </c>
      <c r="K821" s="321"/>
      <c r="L821" s="326">
        <v>21044</v>
      </c>
      <c r="M821" s="163">
        <f>M820+K821-L821</f>
        <v>30521.575720000357</v>
      </c>
    </row>
    <row r="822" spans="1:13">
      <c r="A822" s="54" t="str">
        <f>D822&amp;E822&amp;F822</f>
        <v>HRIMAGEN VISUALIMAGEN VISUAL HR</v>
      </c>
      <c r="B822" t="s">
        <v>515</v>
      </c>
      <c r="C822" s="1">
        <v>45744</v>
      </c>
      <c r="D822" s="71" t="s">
        <v>29</v>
      </c>
      <c r="E822" s="71" t="s">
        <v>127</v>
      </c>
      <c r="F822" s="143" t="s">
        <v>128</v>
      </c>
      <c r="G822" s="71" t="s">
        <v>216</v>
      </c>
      <c r="H822" s="172"/>
      <c r="I822" s="172"/>
      <c r="J822" s="71" t="s">
        <v>753</v>
      </c>
      <c r="K822" s="321"/>
      <c r="L822" s="326">
        <v>4877.68</v>
      </c>
      <c r="M822" s="163">
        <f>M821+K822-L822</f>
        <v>25643.895720000357</v>
      </c>
    </row>
    <row r="823" spans="1:13">
      <c r="A823" s="54" t="str">
        <f>D823&amp;E823&amp;F823</f>
        <v>SERVICIOSINSUMOSCADENA DE SUMINISTROS</v>
      </c>
      <c r="B823" t="s">
        <v>515</v>
      </c>
      <c r="C823" s="1">
        <v>45744</v>
      </c>
      <c r="D823" s="71" t="s">
        <v>21</v>
      </c>
      <c r="E823" s="71" t="s">
        <v>133</v>
      </c>
      <c r="F823" s="143" t="s">
        <v>134</v>
      </c>
      <c r="G823" s="71" t="s">
        <v>216</v>
      </c>
      <c r="H823" s="172"/>
      <c r="I823" s="172"/>
      <c r="J823" s="71" t="s">
        <v>754</v>
      </c>
      <c r="K823" s="332"/>
      <c r="L823" s="326">
        <v>7656</v>
      </c>
      <c r="M823" s="163">
        <f>M822+K823-L823</f>
        <v>17987.895720000357</v>
      </c>
    </row>
    <row r="824" spans="1:13">
      <c r="A824" s="54" t="str">
        <f>D824&amp;E824&amp;F824</f>
        <v>SERVICIOSMTTO DE EDIFICIOMANTENIMIENTO</v>
      </c>
      <c r="B824" t="s">
        <v>515</v>
      </c>
      <c r="C824" s="1">
        <v>45744</v>
      </c>
      <c r="D824" s="71" t="s">
        <v>21</v>
      </c>
      <c r="E824" s="71" t="s">
        <v>142</v>
      </c>
      <c r="F824" s="143" t="s">
        <v>35</v>
      </c>
      <c r="G824" s="71" t="s">
        <v>258</v>
      </c>
      <c r="H824" s="172"/>
      <c r="I824" s="172"/>
      <c r="J824" s="71" t="s">
        <v>755</v>
      </c>
      <c r="K824" s="332"/>
      <c r="L824" s="326">
        <v>99</v>
      </c>
      <c r="M824" s="163">
        <f>M823+K824-L824</f>
        <v>17888.895720000357</v>
      </c>
    </row>
    <row r="825" spans="1:13">
      <c r="A825" s="54" t="str">
        <f>D825&amp;E825&amp;F825</f>
        <v>FINANZASFONDO Y REPOSICIONFINANZAS</v>
      </c>
      <c r="B825" t="s">
        <v>515</v>
      </c>
      <c r="C825" s="1">
        <v>45744</v>
      </c>
      <c r="D825" s="71" t="s">
        <v>23</v>
      </c>
      <c r="E825" s="71" t="s">
        <v>120</v>
      </c>
      <c r="F825" s="143" t="s">
        <v>23</v>
      </c>
      <c r="G825" s="71" t="s">
        <v>216</v>
      </c>
      <c r="H825" s="172"/>
      <c r="I825" s="172"/>
      <c r="J825" s="71" t="s">
        <v>756</v>
      </c>
      <c r="K825" s="332"/>
      <c r="L825" s="326">
        <v>300</v>
      </c>
      <c r="M825" s="163">
        <f>M824+K825-L825</f>
        <v>17588.895720000357</v>
      </c>
    </row>
    <row r="826" spans="1:13">
      <c r="A826" s="54" t="str">
        <f>D826&amp;E826&amp;F826</f>
        <v>FINANZASCUOTAS Y SUSCRIPCIONESACTAS</v>
      </c>
      <c r="B826" t="s">
        <v>515</v>
      </c>
      <c r="C826" s="1">
        <v>45744</v>
      </c>
      <c r="D826" s="242" t="s">
        <v>23</v>
      </c>
      <c r="E826" s="242" t="s">
        <v>51</v>
      </c>
      <c r="F826" s="177" t="s">
        <v>65</v>
      </c>
      <c r="G826" s="242" t="s">
        <v>258</v>
      </c>
      <c r="H826" s="172"/>
      <c r="I826" s="172"/>
      <c r="J826" s="242" t="s">
        <v>757</v>
      </c>
      <c r="K826" s="322"/>
      <c r="L826" s="323">
        <v>9800</v>
      </c>
      <c r="M826" s="163">
        <f>M825+K826-L826</f>
        <v>7788.895720000357</v>
      </c>
    </row>
    <row r="827" spans="1:13">
      <c r="A827" s="54" t="str">
        <f>D827&amp;E827&amp;F827</f>
        <v>HRUBERHR</v>
      </c>
      <c r="B827" t="s">
        <v>515</v>
      </c>
      <c r="C827" s="1">
        <v>45744</v>
      </c>
      <c r="D827" s="71" t="s">
        <v>29</v>
      </c>
      <c r="E827" s="71" t="s">
        <v>189</v>
      </c>
      <c r="F827" s="143" t="s">
        <v>29</v>
      </c>
      <c r="G827" s="71" t="s">
        <v>258</v>
      </c>
      <c r="H827" s="172"/>
      <c r="I827" s="172"/>
      <c r="J827" s="76" t="s">
        <v>291</v>
      </c>
      <c r="K827" s="322"/>
      <c r="L827" s="525">
        <v>41</v>
      </c>
      <c r="M827" s="163">
        <f>M826+K827-L827</f>
        <v>7747.895720000357</v>
      </c>
    </row>
    <row r="828" spans="1:13">
      <c r="A828" s="54" t="str">
        <f>D828&amp;E828&amp;F828</f>
        <v>HRINSUMOSHR</v>
      </c>
      <c r="B828" t="s">
        <v>515</v>
      </c>
      <c r="C828" s="1">
        <v>45744</v>
      </c>
      <c r="D828" s="71" t="s">
        <v>29</v>
      </c>
      <c r="E828" s="71" t="s">
        <v>133</v>
      </c>
      <c r="F828" s="143" t="s">
        <v>29</v>
      </c>
      <c r="G828" s="71" t="s">
        <v>216</v>
      </c>
      <c r="H828" s="172"/>
      <c r="I828" s="172"/>
      <c r="J828" s="76" t="s">
        <v>638</v>
      </c>
      <c r="K828" s="332"/>
      <c r="L828" s="331">
        <v>60</v>
      </c>
      <c r="M828" s="163">
        <f>M827+K828-L828</f>
        <v>7687.895720000357</v>
      </c>
    </row>
    <row r="829" spans="1:13">
      <c r="A829" s="54" t="str">
        <f>D829&amp;E829&amp;F829</f>
        <v>HRUBERHR</v>
      </c>
      <c r="B829" t="s">
        <v>515</v>
      </c>
      <c r="C829" s="1">
        <v>45744</v>
      </c>
      <c r="D829" s="71" t="s">
        <v>29</v>
      </c>
      <c r="E829" s="71" t="s">
        <v>189</v>
      </c>
      <c r="F829" s="143" t="s">
        <v>29</v>
      </c>
      <c r="G829" s="71" t="s">
        <v>258</v>
      </c>
      <c r="H829" s="172"/>
      <c r="I829" s="172"/>
      <c r="J829" s="76" t="s">
        <v>456</v>
      </c>
      <c r="K829" s="332"/>
      <c r="L829" s="526">
        <v>167</v>
      </c>
      <c r="M829" s="163">
        <f>M828+K829-L829</f>
        <v>7520.895720000357</v>
      </c>
    </row>
    <row r="830" spans="1:13">
      <c r="A830" s="54" t="str">
        <f>D830&amp;E830&amp;F830</f>
        <v>CAPUBERCAP</v>
      </c>
      <c r="B830" t="s">
        <v>515</v>
      </c>
      <c r="C830" s="1">
        <v>45744</v>
      </c>
      <c r="D830" s="178" t="s">
        <v>31</v>
      </c>
      <c r="E830" s="71" t="s">
        <v>189</v>
      </c>
      <c r="F830" s="143" t="s">
        <v>31</v>
      </c>
      <c r="G830" s="71" t="s">
        <v>258</v>
      </c>
      <c r="H830" s="172"/>
      <c r="I830" s="172"/>
      <c r="J830" s="76" t="s">
        <v>253</v>
      </c>
      <c r="K830" s="332"/>
      <c r="L830" s="526">
        <v>554</v>
      </c>
      <c r="M830" s="163">
        <f>M829+K830-L830</f>
        <v>6966.895720000357</v>
      </c>
    </row>
    <row r="831" spans="1:13">
      <c r="A831" s="54" t="str">
        <f>D831&amp;E831&amp;F831</f>
        <v>CAPUBERCAP</v>
      </c>
      <c r="B831" t="s">
        <v>515</v>
      </c>
      <c r="C831" s="1">
        <v>45744</v>
      </c>
      <c r="D831" s="178" t="s">
        <v>31</v>
      </c>
      <c r="E831" s="71" t="s">
        <v>189</v>
      </c>
      <c r="F831" s="143" t="s">
        <v>31</v>
      </c>
      <c r="G831" s="71" t="s">
        <v>258</v>
      </c>
      <c r="H831" s="172"/>
      <c r="I831" s="172"/>
      <c r="J831" s="76" t="s">
        <v>257</v>
      </c>
      <c r="K831" s="332"/>
      <c r="L831" s="526">
        <v>50</v>
      </c>
      <c r="M831" s="163">
        <f>M830+K831-L831</f>
        <v>6916.895720000357</v>
      </c>
    </row>
    <row r="832" spans="1:13">
      <c r="A832" s="54" t="str">
        <f>D832&amp;E832&amp;F832</f>
        <v>CAPUBERCAP</v>
      </c>
      <c r="B832" t="s">
        <v>515</v>
      </c>
      <c r="C832" s="1">
        <v>45744</v>
      </c>
      <c r="D832" s="178" t="s">
        <v>31</v>
      </c>
      <c r="E832" s="71" t="s">
        <v>189</v>
      </c>
      <c r="F832" s="143" t="s">
        <v>31</v>
      </c>
      <c r="G832" s="71" t="s">
        <v>258</v>
      </c>
      <c r="H832" s="172"/>
      <c r="I832" s="172"/>
      <c r="J832" s="76" t="s">
        <v>758</v>
      </c>
      <c r="K832" s="332"/>
      <c r="L832" s="526">
        <v>70</v>
      </c>
      <c r="M832" s="163">
        <f>M831+K832-L832</f>
        <v>6846.895720000357</v>
      </c>
    </row>
    <row r="833" spans="1:13">
      <c r="A833" s="54" t="str">
        <f>D833&amp;E833&amp;F833</f>
        <v>FINANZASRECOLECCION DE BASURACAPRICHOS</v>
      </c>
      <c r="B833" t="s">
        <v>515</v>
      </c>
      <c r="C833" s="1">
        <v>45744</v>
      </c>
      <c r="D833" s="71" t="s">
        <v>23</v>
      </c>
      <c r="E833" s="71" t="s">
        <v>166</v>
      </c>
      <c r="F833" s="143" t="s">
        <v>33</v>
      </c>
      <c r="G833" s="71" t="s">
        <v>216</v>
      </c>
      <c r="H833" s="172"/>
      <c r="I833" s="172"/>
      <c r="J833" s="76" t="s">
        <v>759</v>
      </c>
      <c r="K833" s="332"/>
      <c r="L833" s="331">
        <v>306</v>
      </c>
      <c r="M833" s="163">
        <f>M832+K833-L833</f>
        <v>6540.895720000357</v>
      </c>
    </row>
    <row r="834" spans="1:13">
      <c r="A834" s="54" t="str">
        <f>D834&amp;E834&amp;F834</f>
        <v>FINANZASFALTANTESFALTANTES</v>
      </c>
      <c r="B834" t="s">
        <v>515</v>
      </c>
      <c r="C834" s="1">
        <v>45744</v>
      </c>
      <c r="D834" s="71" t="s">
        <v>23</v>
      </c>
      <c r="E834" s="71" t="s">
        <v>119</v>
      </c>
      <c r="F834" s="143" t="s">
        <v>119</v>
      </c>
      <c r="G834" s="71" t="s">
        <v>258</v>
      </c>
      <c r="H834" s="172"/>
      <c r="I834" s="172"/>
      <c r="J834" s="71" t="s">
        <v>259</v>
      </c>
      <c r="K834" s="321"/>
      <c r="L834" s="326">
        <v>1011.43</v>
      </c>
      <c r="M834" s="163">
        <f>M833+K834-L834</f>
        <v>5529.4657200003567</v>
      </c>
    </row>
    <row r="835" spans="1:13">
      <c r="A835" s="54" t="str">
        <f>D835&amp;E835&amp;F835</f>
        <v>FINANZASCUOTAS Y SUSCRIPCIONESREGISTRO DE MARCA</v>
      </c>
      <c r="B835" t="s">
        <v>515</v>
      </c>
      <c r="C835" s="1">
        <v>45745</v>
      </c>
      <c r="D835" s="71" t="s">
        <v>23</v>
      </c>
      <c r="E835" s="71" t="s">
        <v>51</v>
      </c>
      <c r="F835" s="143" t="s">
        <v>78</v>
      </c>
      <c r="G835" s="71" t="s">
        <v>258</v>
      </c>
      <c r="H835" s="172"/>
      <c r="I835" s="172"/>
      <c r="J835" s="71" t="s">
        <v>760</v>
      </c>
      <c r="K835" s="321"/>
      <c r="L835" s="326">
        <v>4157</v>
      </c>
      <c r="M835" s="163">
        <f>M834+K835-L835</f>
        <v>1372.4657200003567</v>
      </c>
    </row>
    <row r="836" spans="1:13">
      <c r="A836" s="54" t="str">
        <f>D836&amp;E836&amp;F836</f>
        <v>ELIVIATICOSL1</v>
      </c>
      <c r="B836" t="s">
        <v>515</v>
      </c>
      <c r="C836" s="1">
        <v>45745</v>
      </c>
      <c r="D836" s="71" t="s">
        <v>130</v>
      </c>
      <c r="E836" s="71" t="s">
        <v>191</v>
      </c>
      <c r="F836" s="143" t="s">
        <v>136</v>
      </c>
      <c r="G836" s="71" t="s">
        <v>258</v>
      </c>
      <c r="H836" s="172"/>
      <c r="I836" s="172"/>
      <c r="J836" s="71" t="s">
        <v>761</v>
      </c>
      <c r="K836" s="321"/>
      <c r="L836" s="326">
        <v>1000</v>
      </c>
      <c r="M836" s="163">
        <f>M835+K836-L836</f>
        <v>372.46572000035667</v>
      </c>
    </row>
    <row r="837" spans="1:13">
      <c r="A837" s="54" t="str">
        <f>D837&amp;E837&amp;F837</f>
        <v>SERVICIOSVIATICOSCEDIS</v>
      </c>
      <c r="B837" t="s">
        <v>515</v>
      </c>
      <c r="C837" s="1">
        <v>45745</v>
      </c>
      <c r="D837" s="71" t="s">
        <v>21</v>
      </c>
      <c r="E837" s="71" t="s">
        <v>191</v>
      </c>
      <c r="F837" s="143" t="s">
        <v>28</v>
      </c>
      <c r="G837" s="71" t="s">
        <v>216</v>
      </c>
      <c r="H837" s="172"/>
      <c r="I837" s="172"/>
      <c r="J837" s="71" t="s">
        <v>646</v>
      </c>
      <c r="K837" s="321"/>
      <c r="L837" s="326">
        <v>2050</v>
      </c>
      <c r="M837" s="163">
        <f>M836+K837-L837</f>
        <v>-1677.5342799996433</v>
      </c>
    </row>
    <row r="838" spans="1:13">
      <c r="A838" s="54" t="str">
        <f>D838&amp;E838&amp;F838</f>
        <v>SERVICIOSMTTO DE EDIFICIOMANTENIMIENTO</v>
      </c>
      <c r="B838" t="s">
        <v>515</v>
      </c>
      <c r="C838" s="1">
        <v>45745</v>
      </c>
      <c r="D838" s="71" t="s">
        <v>21</v>
      </c>
      <c r="E838" s="71" t="s">
        <v>142</v>
      </c>
      <c r="F838" s="143" t="s">
        <v>35</v>
      </c>
      <c r="G838" s="71" t="s">
        <v>258</v>
      </c>
      <c r="H838" s="172"/>
      <c r="I838" s="172"/>
      <c r="J838" s="71" t="s">
        <v>762</v>
      </c>
      <c r="K838" s="321"/>
      <c r="L838" s="326">
        <v>800</v>
      </c>
      <c r="M838" s="163">
        <f>M837+K838-L838</f>
        <v>-2477.5342799996433</v>
      </c>
    </row>
    <row r="839" spans="1:13">
      <c r="A839" s="54" t="str">
        <f t="shared" ref="A839:A902" si="13">D839&amp;E839&amp;F839</f>
        <v/>
      </c>
      <c r="B839" t="s">
        <v>515</v>
      </c>
      <c r="C839" s="1">
        <v>45747</v>
      </c>
      <c r="D839" s="71"/>
      <c r="F839" s="143"/>
      <c r="H839" s="172"/>
      <c r="I839" s="172"/>
      <c r="J839" s="71" t="s">
        <v>260</v>
      </c>
      <c r="K839" s="332">
        <v>786520.36</v>
      </c>
      <c r="L839" s="321"/>
      <c r="M839" s="163">
        <f>M838+K839-L839</f>
        <v>784042.82572000031</v>
      </c>
    </row>
    <row r="840" spans="1:13">
      <c r="A840" s="54" t="str">
        <f t="shared" si="13"/>
        <v/>
      </c>
      <c r="B840" t="s">
        <v>515</v>
      </c>
      <c r="C840" s="1">
        <v>45747</v>
      </c>
      <c r="D840" s="71"/>
      <c r="F840" s="143"/>
      <c r="H840" s="172"/>
      <c r="I840" s="172"/>
      <c r="J840" s="71" t="s">
        <v>763</v>
      </c>
      <c r="K840" s="332">
        <v>475000</v>
      </c>
      <c r="L840" s="321"/>
      <c r="M840" s="163">
        <f>M839+K840-L840</f>
        <v>1259042.8257200003</v>
      </c>
    </row>
    <row r="841" spans="1:13">
      <c r="A841" s="54" t="str">
        <f>D841&amp;E841&amp;F841</f>
        <v>FINANZASCOMISIONES BANCARIASTPV</v>
      </c>
      <c r="B841" t="s">
        <v>515</v>
      </c>
      <c r="C841" s="1">
        <v>45747</v>
      </c>
      <c r="D841" s="71" t="s">
        <v>23</v>
      </c>
      <c r="E841" s="71" t="s">
        <v>48</v>
      </c>
      <c r="F841" s="143" t="s">
        <v>50</v>
      </c>
      <c r="G841" s="71" t="s">
        <v>216</v>
      </c>
      <c r="H841" s="172"/>
      <c r="I841" s="172"/>
      <c r="J841" s="71" t="s">
        <v>217</v>
      </c>
      <c r="K841" s="332"/>
      <c r="L841" s="326">
        <f>815.21+1029.36+518.48+6325.38+7721.89</f>
        <v>16410.32</v>
      </c>
      <c r="M841" s="163">
        <f>M840+K841-L841</f>
        <v>1242632.5057200002</v>
      </c>
    </row>
    <row r="842" spans="1:13">
      <c r="A842" s="54" t="str">
        <f>D842&amp;E842&amp;F842</f>
        <v>FINANZASCOMISIONES BANCARIASMANEJO DE CUENTA</v>
      </c>
      <c r="B842" t="s">
        <v>515</v>
      </c>
      <c r="C842" s="1">
        <v>45747</v>
      </c>
      <c r="D842" s="71" t="s">
        <v>23</v>
      </c>
      <c r="E842" s="71" t="s">
        <v>48</v>
      </c>
      <c r="F842" s="143" t="s">
        <v>49</v>
      </c>
      <c r="G842" s="71" t="s">
        <v>216</v>
      </c>
      <c r="H842" s="172"/>
      <c r="I842" s="172"/>
      <c r="J842" s="71" t="s">
        <v>764</v>
      </c>
      <c r="K842" s="332"/>
      <c r="L842" s="326">
        <f>7.54+75.4+464+41.18+1044</f>
        <v>1632.12</v>
      </c>
      <c r="M842" s="163">
        <f>M841+K842-L842</f>
        <v>1241000.3857200001</v>
      </c>
    </row>
    <row r="843" spans="1:13">
      <c r="A843" s="54" t="str">
        <f t="shared" si="13"/>
        <v/>
      </c>
      <c r="B843" t="s">
        <v>515</v>
      </c>
      <c r="C843" s="1">
        <v>45747</v>
      </c>
      <c r="D843" s="71"/>
      <c r="F843" s="143"/>
      <c r="H843" s="172"/>
      <c r="I843" s="172"/>
      <c r="J843" s="205" t="s">
        <v>577</v>
      </c>
      <c r="K843" s="206"/>
      <c r="L843" s="206">
        <v>400000</v>
      </c>
      <c r="M843" s="163">
        <f>M842+K843-L843</f>
        <v>841000.38572000014</v>
      </c>
    </row>
    <row r="844" spans="1:13">
      <c r="A844" s="54" t="str">
        <f t="shared" si="13"/>
        <v/>
      </c>
      <c r="B844" t="s">
        <v>515</v>
      </c>
      <c r="C844" s="1">
        <v>45747</v>
      </c>
      <c r="D844" s="71"/>
      <c r="F844" s="143"/>
      <c r="H844" s="172"/>
      <c r="I844" s="172"/>
      <c r="J844" s="205" t="s">
        <v>222</v>
      </c>
      <c r="K844" s="206"/>
      <c r="L844" s="206">
        <v>475000</v>
      </c>
      <c r="M844" s="163">
        <f>M843+K844-L844</f>
        <v>366000.38572000014</v>
      </c>
    </row>
    <row r="845" spans="1:13">
      <c r="A845" s="54" t="str">
        <f>D845&amp;E845&amp;F845</f>
        <v>FINANZASTELEFONIATELMEX</v>
      </c>
      <c r="B845" t="s">
        <v>515</v>
      </c>
      <c r="C845" s="1">
        <v>45747</v>
      </c>
      <c r="D845" s="71" t="s">
        <v>23</v>
      </c>
      <c r="E845" s="71" t="s">
        <v>181</v>
      </c>
      <c r="F845" s="143" t="s">
        <v>182</v>
      </c>
      <c r="G845" s="71" t="s">
        <v>216</v>
      </c>
      <c r="H845" s="172"/>
      <c r="I845" s="172"/>
      <c r="J845" s="71" t="s">
        <v>765</v>
      </c>
      <c r="K845" s="332"/>
      <c r="L845" s="326">
        <v>22908</v>
      </c>
      <c r="M845" s="163">
        <f>M844+K845-L845</f>
        <v>343092.38572000014</v>
      </c>
    </row>
    <row r="846" spans="1:13">
      <c r="A846" s="54" t="str">
        <f>D846&amp;E846&amp;F846</f>
        <v>HRENERGIA ELECTRICAA2</v>
      </c>
      <c r="B846" t="s">
        <v>515</v>
      </c>
      <c r="C846" s="1">
        <v>45747</v>
      </c>
      <c r="D846" s="71" t="s">
        <v>29</v>
      </c>
      <c r="E846" s="71" t="s">
        <v>87</v>
      </c>
      <c r="F846" s="143" t="s">
        <v>89</v>
      </c>
      <c r="G846" s="71" t="s">
        <v>216</v>
      </c>
      <c r="H846" s="172"/>
      <c r="I846" s="172"/>
      <c r="J846" s="71" t="s">
        <v>718</v>
      </c>
      <c r="K846" s="332"/>
      <c r="L846" s="326">
        <v>3895</v>
      </c>
      <c r="M846" s="163">
        <f>M845+K846-L846</f>
        <v>339197.38572000014</v>
      </c>
    </row>
    <row r="847" spans="1:13">
      <c r="A847" s="54" t="str">
        <f>D847&amp;E847&amp;F847</f>
        <v>FINANZASCUOTAS Y SUSCRIPCIONESREGISTRO DE MARCA</v>
      </c>
      <c r="B847" t="s">
        <v>515</v>
      </c>
      <c r="C847" s="1">
        <v>45747</v>
      </c>
      <c r="D847" s="71" t="s">
        <v>23</v>
      </c>
      <c r="E847" s="71" t="s">
        <v>51</v>
      </c>
      <c r="F847" s="143" t="s">
        <v>78</v>
      </c>
      <c r="G847" s="71" t="s">
        <v>258</v>
      </c>
      <c r="H847" s="172"/>
      <c r="I847" s="172"/>
      <c r="J847" s="242" t="s">
        <v>766</v>
      </c>
      <c r="K847" s="332"/>
      <c r="L847" s="326">
        <v>2814</v>
      </c>
      <c r="M847" s="163">
        <f>M846+K847-L847</f>
        <v>336383.38572000014</v>
      </c>
    </row>
    <row r="848" spans="1:13">
      <c r="A848" s="54" t="str">
        <f>D848&amp;E848&amp;F848</f>
        <v>FINANZASFONDO Y REPOSICIONFINANZAS</v>
      </c>
      <c r="B848" t="s">
        <v>515</v>
      </c>
      <c r="C848" s="1">
        <v>45747</v>
      </c>
      <c r="D848" s="71" t="s">
        <v>23</v>
      </c>
      <c r="E848" s="71" t="s">
        <v>120</v>
      </c>
      <c r="F848" s="143" t="s">
        <v>23</v>
      </c>
      <c r="G848" s="71" t="s">
        <v>216</v>
      </c>
      <c r="H848" s="172"/>
      <c r="I848" s="172"/>
      <c r="J848" s="242" t="s">
        <v>767</v>
      </c>
      <c r="K848" s="332"/>
      <c r="L848" s="326">
        <v>300</v>
      </c>
      <c r="M848" s="163">
        <f>M847+K848-L848</f>
        <v>336083.38572000014</v>
      </c>
    </row>
    <row r="849" spans="1:13">
      <c r="A849" s="54" t="str">
        <f>D849&amp;E849&amp;F849</f>
        <v>SERVICIOSVIATICOSCEDIS</v>
      </c>
      <c r="B849" t="s">
        <v>515</v>
      </c>
      <c r="C849" s="1">
        <v>45747</v>
      </c>
      <c r="D849" s="71" t="s">
        <v>21</v>
      </c>
      <c r="E849" s="71" t="s">
        <v>191</v>
      </c>
      <c r="F849" s="143" t="s">
        <v>28</v>
      </c>
      <c r="G849" s="71" t="s">
        <v>216</v>
      </c>
      <c r="H849" s="172"/>
      <c r="I849" s="172"/>
      <c r="J849" s="71" t="s">
        <v>768</v>
      </c>
      <c r="K849" s="332"/>
      <c r="L849" s="326">
        <v>700</v>
      </c>
      <c r="M849" s="163">
        <f>M848+K849-L849</f>
        <v>335383.38572000014</v>
      </c>
    </row>
    <row r="850" spans="1:13">
      <c r="A850" s="54" t="str">
        <f>D850&amp;E850&amp;F850</f>
        <v>SERVICIOSREDESHONORARIOS</v>
      </c>
      <c r="B850" t="s">
        <v>515</v>
      </c>
      <c r="C850" s="1">
        <v>45747</v>
      </c>
      <c r="D850" s="71" t="s">
        <v>21</v>
      </c>
      <c r="E850" s="71" t="s">
        <v>167</v>
      </c>
      <c r="F850" s="143" t="s">
        <v>124</v>
      </c>
      <c r="G850" s="71" t="s">
        <v>216</v>
      </c>
      <c r="H850" s="172"/>
      <c r="I850" s="172"/>
      <c r="J850" s="71" t="s">
        <v>769</v>
      </c>
      <c r="K850" s="332"/>
      <c r="L850" s="326">
        <v>10000</v>
      </c>
      <c r="M850" s="163">
        <f>M849+K850-L850</f>
        <v>325383.38572000014</v>
      </c>
    </row>
    <row r="851" spans="1:13">
      <c r="A851" s="54" t="str">
        <f>D851&amp;E851&amp;F851</f>
        <v>SERVICIOSPAQUETERIACEDIS (E6)</v>
      </c>
      <c r="B851" t="s">
        <v>515</v>
      </c>
      <c r="C851" s="1">
        <v>45747</v>
      </c>
      <c r="D851" s="71" t="s">
        <v>21</v>
      </c>
      <c r="E851" s="71" t="s">
        <v>160</v>
      </c>
      <c r="F851" s="143" t="s">
        <v>161</v>
      </c>
      <c r="G851" s="71" t="s">
        <v>216</v>
      </c>
      <c r="H851" s="172"/>
      <c r="I851" s="172"/>
      <c r="J851" s="71" t="s">
        <v>469</v>
      </c>
      <c r="K851" s="332"/>
      <c r="L851" s="326">
        <v>1969.43</v>
      </c>
      <c r="M851" s="163">
        <f>M850+K851-L851</f>
        <v>323413.95572000014</v>
      </c>
    </row>
    <row r="852" spans="1:13">
      <c r="A852" s="54" t="str">
        <f>D852&amp;E852&amp;F852</f>
        <v>SERVICIOSMTTO EQ DE TRANSPORTESERVICIOS</v>
      </c>
      <c r="B852" t="s">
        <v>515</v>
      </c>
      <c r="C852" s="1">
        <v>45747</v>
      </c>
      <c r="D852" s="71" t="s">
        <v>21</v>
      </c>
      <c r="E852" s="178" t="s">
        <v>144</v>
      </c>
      <c r="F852" s="143" t="s">
        <v>21</v>
      </c>
      <c r="G852" s="71" t="s">
        <v>258</v>
      </c>
      <c r="H852" s="172"/>
      <c r="I852" s="172"/>
      <c r="J852" s="71" t="s">
        <v>770</v>
      </c>
      <c r="K852" s="332"/>
      <c r="L852" s="326">
        <v>7460</v>
      </c>
      <c r="M852" s="163">
        <f>M851+K852-L852</f>
        <v>315953.95572000014</v>
      </c>
    </row>
    <row r="853" spans="1:13">
      <c r="A853" s="54" t="str">
        <f t="shared" si="13"/>
        <v>COMBUSTIBLE</v>
      </c>
      <c r="B853" t="s">
        <v>515</v>
      </c>
      <c r="C853" s="1">
        <v>45747</v>
      </c>
      <c r="D853" s="71"/>
      <c r="E853" s="71" t="s">
        <v>32</v>
      </c>
      <c r="F853" s="143"/>
      <c r="G853" s="71" t="s">
        <v>258</v>
      </c>
      <c r="H853" s="172"/>
      <c r="I853" s="172"/>
      <c r="J853" s="71" t="s">
        <v>440</v>
      </c>
      <c r="K853" s="332"/>
      <c r="L853" s="326">
        <v>26305</v>
      </c>
      <c r="M853" s="163">
        <f>M852+K853-L853</f>
        <v>289648.95572000014</v>
      </c>
    </row>
    <row r="854" spans="1:13">
      <c r="A854" s="54" t="str">
        <f>D854&amp;E854&amp;F854</f>
        <v>HRJMASA5</v>
      </c>
      <c r="B854" t="s">
        <v>515</v>
      </c>
      <c r="C854" s="1">
        <v>45747</v>
      </c>
      <c r="D854" s="71" t="s">
        <v>29</v>
      </c>
      <c r="E854" s="71" t="s">
        <v>137</v>
      </c>
      <c r="F854" s="143" t="s">
        <v>92</v>
      </c>
      <c r="G854" s="71" t="s">
        <v>216</v>
      </c>
      <c r="H854" s="172"/>
      <c r="I854" s="172"/>
      <c r="J854" s="76" t="s">
        <v>771</v>
      </c>
      <c r="L854" s="331">
        <v>555</v>
      </c>
      <c r="M854" s="163">
        <f>M853+K854-L854</f>
        <v>289093.95572000014</v>
      </c>
    </row>
    <row r="855" spans="1:13">
      <c r="A855" s="54" t="str">
        <f>D855&amp;E855&amp;F855</f>
        <v>HRUBERHR</v>
      </c>
      <c r="B855" t="s">
        <v>515</v>
      </c>
      <c r="C855" s="1">
        <v>45747</v>
      </c>
      <c r="D855" s="71" t="s">
        <v>29</v>
      </c>
      <c r="E855" s="71" t="s">
        <v>189</v>
      </c>
      <c r="F855" s="143" t="s">
        <v>29</v>
      </c>
      <c r="G855" s="71" t="s">
        <v>258</v>
      </c>
      <c r="H855" s="172"/>
      <c r="I855" s="172"/>
      <c r="J855" s="76" t="s">
        <v>772</v>
      </c>
      <c r="K855" s="332"/>
      <c r="L855" s="526">
        <v>150</v>
      </c>
      <c r="M855" s="163">
        <f>M854+K855-L855</f>
        <v>288943.95572000014</v>
      </c>
    </row>
    <row r="856" spans="1:13">
      <c r="A856" s="54" t="str">
        <f>D856&amp;E856&amp;F856</f>
        <v>HRNOMINA SUCURSALA15</v>
      </c>
      <c r="B856" t="s">
        <v>515</v>
      </c>
      <c r="C856" s="1">
        <v>45747</v>
      </c>
      <c r="D856" s="71" t="s">
        <v>29</v>
      </c>
      <c r="E856" s="71" t="s">
        <v>154</v>
      </c>
      <c r="F856" s="143" t="s">
        <v>100</v>
      </c>
      <c r="G856" s="71" t="s">
        <v>216</v>
      </c>
      <c r="H856" s="172"/>
      <c r="I856" s="172"/>
      <c r="J856" s="76" t="s">
        <v>773</v>
      </c>
      <c r="K856" s="332"/>
      <c r="L856" s="331">
        <v>300</v>
      </c>
      <c r="M856" s="163">
        <f>M855+K856-L856</f>
        <v>288643.95572000014</v>
      </c>
    </row>
    <row r="857" spans="1:13">
      <c r="A857" s="54" t="str">
        <f>D857&amp;E857&amp;F857</f>
        <v>HRUBERHR</v>
      </c>
      <c r="B857" t="s">
        <v>515</v>
      </c>
      <c r="C857" s="1">
        <v>45747</v>
      </c>
      <c r="D857" s="71" t="s">
        <v>29</v>
      </c>
      <c r="E857" s="71" t="s">
        <v>189</v>
      </c>
      <c r="F857" s="143" t="s">
        <v>29</v>
      </c>
      <c r="G857" s="71" t="s">
        <v>258</v>
      </c>
      <c r="H857" s="172"/>
      <c r="I857" s="172"/>
      <c r="J857" s="76" t="s">
        <v>249</v>
      </c>
      <c r="K857" s="332"/>
      <c r="L857" s="526">
        <v>124</v>
      </c>
      <c r="M857" s="163">
        <f>M856+K857-L857</f>
        <v>288519.95572000014</v>
      </c>
    </row>
    <row r="858" spans="1:13">
      <c r="A858" s="54" t="str">
        <f>D858&amp;E858&amp;F858</f>
        <v>HRNOMINA SUCURSALA17</v>
      </c>
      <c r="B858" t="s">
        <v>515</v>
      </c>
      <c r="C858" s="1">
        <v>45747</v>
      </c>
      <c r="D858" s="71" t="s">
        <v>29</v>
      </c>
      <c r="E858" s="71" t="s">
        <v>154</v>
      </c>
      <c r="F858" s="143" t="s">
        <v>102</v>
      </c>
      <c r="G858" s="71" t="s">
        <v>216</v>
      </c>
      <c r="H858" s="172"/>
      <c r="I858" s="172"/>
      <c r="J858" s="76" t="s">
        <v>774</v>
      </c>
      <c r="K858" s="332"/>
      <c r="L858" s="331">
        <v>191</v>
      </c>
      <c r="M858" s="163">
        <f>M857+K858-L858</f>
        <v>288328.95572000014</v>
      </c>
    </row>
    <row r="859" spans="1:13">
      <c r="A859" s="54" t="str">
        <f>D859&amp;E859&amp;F859</f>
        <v>HRNOMINA SUCURSALA23</v>
      </c>
      <c r="B859" t="s">
        <v>515</v>
      </c>
      <c r="C859" s="1">
        <v>45747</v>
      </c>
      <c r="D859" s="71" t="s">
        <v>29</v>
      </c>
      <c r="E859" s="71" t="s">
        <v>154</v>
      </c>
      <c r="F859" s="143" t="s">
        <v>105</v>
      </c>
      <c r="G859" s="71" t="s">
        <v>216</v>
      </c>
      <c r="H859" s="172"/>
      <c r="I859" s="172"/>
      <c r="J859" s="76" t="s">
        <v>775</v>
      </c>
      <c r="K859" s="332"/>
      <c r="L859" s="331">
        <v>168</v>
      </c>
      <c r="M859" s="163">
        <f>M858+K859-L859</f>
        <v>288160.95572000014</v>
      </c>
    </row>
    <row r="860" spans="1:13">
      <c r="A860" s="54" t="str">
        <f>D860&amp;E860&amp;F860</f>
        <v>HRUBERHR</v>
      </c>
      <c r="B860" t="s">
        <v>515</v>
      </c>
      <c r="C860" s="1">
        <v>45747</v>
      </c>
      <c r="D860" s="71" t="s">
        <v>29</v>
      </c>
      <c r="E860" s="71" t="s">
        <v>189</v>
      </c>
      <c r="F860" s="143" t="s">
        <v>29</v>
      </c>
      <c r="G860" s="71" t="s">
        <v>258</v>
      </c>
      <c r="H860" s="172"/>
      <c r="I860" s="172"/>
      <c r="J860" s="76" t="s">
        <v>664</v>
      </c>
      <c r="L860" s="526">
        <v>76</v>
      </c>
      <c r="M860" s="163">
        <f>M859+K860-L860</f>
        <v>288084.95572000014</v>
      </c>
    </row>
    <row r="861" spans="1:13">
      <c r="A861" s="54" t="str">
        <f>D861&amp;E861&amp;F861</f>
        <v>CAPUBERCAP</v>
      </c>
      <c r="B861" t="s">
        <v>515</v>
      </c>
      <c r="C861" s="1">
        <v>45747</v>
      </c>
      <c r="D861" s="71" t="s">
        <v>31</v>
      </c>
      <c r="E861" s="71" t="s">
        <v>189</v>
      </c>
      <c r="F861" s="143" t="s">
        <v>31</v>
      </c>
      <c r="G861" s="71" t="s">
        <v>258</v>
      </c>
      <c r="H861" s="172"/>
      <c r="I861" s="172"/>
      <c r="J861" s="243" t="s">
        <v>544</v>
      </c>
      <c r="K861" s="332"/>
      <c r="L861" s="526">
        <v>1252</v>
      </c>
      <c r="M861" s="163">
        <f>M860+K861-L861</f>
        <v>286832.95572000014</v>
      </c>
    </row>
    <row r="862" spans="1:13">
      <c r="A862" s="54" t="str">
        <f>D862&amp;E862&amp;F862</f>
        <v>CAPUBERCAP</v>
      </c>
      <c r="B862" t="s">
        <v>515</v>
      </c>
      <c r="C862" s="1">
        <v>45747</v>
      </c>
      <c r="D862" s="71" t="s">
        <v>31</v>
      </c>
      <c r="E862" s="71" t="s">
        <v>189</v>
      </c>
      <c r="F862" s="143" t="s">
        <v>31</v>
      </c>
      <c r="G862" s="71" t="s">
        <v>258</v>
      </c>
      <c r="H862" s="172"/>
      <c r="I862" s="172"/>
      <c r="J862" s="76" t="s">
        <v>776</v>
      </c>
      <c r="K862" s="332"/>
      <c r="L862" s="526">
        <v>434</v>
      </c>
      <c r="M862" s="163">
        <f>M861+K862-L862</f>
        <v>286398.95572000014</v>
      </c>
    </row>
    <row r="863" spans="1:13">
      <c r="A863" s="54" t="str">
        <f>D863&amp;E863&amp;F863</f>
        <v>CAPUBERCAP</v>
      </c>
      <c r="B863" t="s">
        <v>515</v>
      </c>
      <c r="C863" s="1">
        <v>45748</v>
      </c>
      <c r="D863" s="71" t="s">
        <v>31</v>
      </c>
      <c r="E863" s="71" t="s">
        <v>189</v>
      </c>
      <c r="F863" s="143" t="s">
        <v>31</v>
      </c>
      <c r="G863" s="71" t="s">
        <v>258</v>
      </c>
      <c r="H863" s="172"/>
      <c r="I863" s="172"/>
      <c r="J863" s="71" t="s">
        <v>255</v>
      </c>
      <c r="K863" s="332"/>
      <c r="L863" s="526">
        <v>101</v>
      </c>
      <c r="M863" s="163">
        <f>M862+K863-L863</f>
        <v>286297.95572000014</v>
      </c>
    </row>
    <row r="864" spans="1:13">
      <c r="A864" s="54" t="str">
        <f>D864&amp;E864&amp;F864</f>
        <v>FINANZASFALTANTESFALTANTES</v>
      </c>
      <c r="B864" t="s">
        <v>515</v>
      </c>
      <c r="C864" s="1">
        <v>45748</v>
      </c>
      <c r="D864" s="71" t="s">
        <v>23</v>
      </c>
      <c r="E864" s="71" t="s">
        <v>119</v>
      </c>
      <c r="F864" s="143" t="s">
        <v>119</v>
      </c>
      <c r="G864" s="71" t="s">
        <v>258</v>
      </c>
      <c r="H864" s="172"/>
      <c r="I864" s="172"/>
      <c r="J864" s="71" t="s">
        <v>259</v>
      </c>
      <c r="K864" s="332"/>
      <c r="L864" s="331">
        <v>2915.46</v>
      </c>
      <c r="M864" s="163">
        <f>M863+K864-L864</f>
        <v>283382.49572000012</v>
      </c>
    </row>
    <row r="865" spans="1:14">
      <c r="A865" s="54" t="str">
        <f t="shared" si="13"/>
        <v/>
      </c>
      <c r="B865" t="s">
        <v>515</v>
      </c>
      <c r="C865" s="1">
        <v>45748</v>
      </c>
      <c r="D865" s="71"/>
      <c r="F865" s="143"/>
      <c r="H865" s="172"/>
      <c r="I865" s="172"/>
      <c r="J865" s="71" t="s">
        <v>260</v>
      </c>
      <c r="K865" s="332">
        <v>166005.38</v>
      </c>
      <c r="L865" s="332"/>
      <c r="M865" s="163">
        <f>M864+K865-L865</f>
        <v>449387.87572000013</v>
      </c>
    </row>
    <row r="866" spans="1:14">
      <c r="A866" s="54" t="str">
        <f>D866&amp;E866&amp;F866</f>
        <v>FINANZASCOMISIONES BANCARIASTPV</v>
      </c>
      <c r="B866" t="s">
        <v>515</v>
      </c>
      <c r="C866" s="1">
        <v>45748</v>
      </c>
      <c r="D866" s="71" t="s">
        <v>23</v>
      </c>
      <c r="E866" s="71" t="s">
        <v>48</v>
      </c>
      <c r="F866" s="143" t="s">
        <v>50</v>
      </c>
      <c r="G866" s="71" t="s">
        <v>216</v>
      </c>
      <c r="H866" s="172"/>
      <c r="I866" s="172"/>
      <c r="J866" s="71" t="s">
        <v>217</v>
      </c>
      <c r="K866" s="332"/>
      <c r="L866" s="347">
        <f>101.47+78.36+0.81+1594.67+1356.1</f>
        <v>3131.41</v>
      </c>
      <c r="M866" s="163">
        <f>M865+K866-L866</f>
        <v>446256.46572000015</v>
      </c>
    </row>
    <row r="867" spans="1:14">
      <c r="A867" s="54" t="str">
        <f>D867&amp;E867&amp;F867</f>
        <v>FINANZASCOMISIONES BANCARIASMANEJO DE CUENTA</v>
      </c>
      <c r="B867" t="s">
        <v>515</v>
      </c>
      <c r="C867" s="1">
        <v>45748</v>
      </c>
      <c r="D867" s="71" t="s">
        <v>23</v>
      </c>
      <c r="E867" s="71" t="s">
        <v>48</v>
      </c>
      <c r="F867" s="143" t="s">
        <v>49</v>
      </c>
      <c r="G867" s="71" t="s">
        <v>216</v>
      </c>
      <c r="H867" s="172"/>
      <c r="I867" s="172"/>
      <c r="J867" s="71" t="s">
        <v>764</v>
      </c>
      <c r="K867" s="332"/>
      <c r="L867" s="331">
        <f>290+464+20.88+290+580+580+928+452.4</f>
        <v>3605.28</v>
      </c>
      <c r="M867" s="163">
        <f>M866+K867-L867</f>
        <v>442651.18572000013</v>
      </c>
    </row>
    <row r="868" spans="1:14">
      <c r="A868" s="54" t="str">
        <f t="shared" si="13"/>
        <v/>
      </c>
      <c r="B868" t="s">
        <v>515</v>
      </c>
      <c r="C868" s="1">
        <v>45748</v>
      </c>
      <c r="D868" s="71"/>
      <c r="F868" s="143"/>
      <c r="H868" s="172"/>
      <c r="I868" s="172"/>
      <c r="J868" s="205" t="s">
        <v>577</v>
      </c>
      <c r="K868" s="206"/>
      <c r="L868" s="206">
        <v>150000</v>
      </c>
      <c r="M868" s="163">
        <f>M867+K868-L868</f>
        <v>292651.18572000013</v>
      </c>
    </row>
    <row r="869" spans="1:14">
      <c r="A869" s="54" t="str">
        <f t="shared" si="13"/>
        <v/>
      </c>
      <c r="B869" t="s">
        <v>515</v>
      </c>
      <c r="C869" s="1">
        <v>45748</v>
      </c>
      <c r="D869" s="71"/>
      <c r="F869" s="143"/>
      <c r="H869" s="172"/>
      <c r="I869" s="172"/>
      <c r="J869" s="205" t="s">
        <v>222</v>
      </c>
      <c r="K869" s="206"/>
      <c r="L869" s="206"/>
      <c r="M869" s="163">
        <f>M868+K869-L869</f>
        <v>292651.18572000013</v>
      </c>
    </row>
    <row r="870" spans="1:14">
      <c r="A870" s="54" t="str">
        <f>D870&amp;E870&amp;F870</f>
        <v>FINANZASSOLUONESOLUONE (RETAIL)</v>
      </c>
      <c r="B870" t="s">
        <v>515</v>
      </c>
      <c r="C870" s="1">
        <v>45748</v>
      </c>
      <c r="D870" s="71" t="s">
        <v>23</v>
      </c>
      <c r="E870" s="71" t="s">
        <v>179</v>
      </c>
      <c r="F870" s="143" t="s">
        <v>180</v>
      </c>
      <c r="G870" s="71" t="s">
        <v>216</v>
      </c>
      <c r="H870" s="172"/>
      <c r="I870" s="172"/>
      <c r="J870" s="71" t="s">
        <v>777</v>
      </c>
      <c r="K870" s="332"/>
      <c r="L870" s="326">
        <v>40551.22</v>
      </c>
      <c r="M870" s="163">
        <f>M869+K870-L870</f>
        <v>252099.96572000012</v>
      </c>
    </row>
    <row r="871" spans="1:14">
      <c r="A871" s="54" t="str">
        <f>D871&amp;E871&amp;F871</f>
        <v>HRMKTMKT HR</v>
      </c>
      <c r="B871" t="s">
        <v>515</v>
      </c>
      <c r="C871" s="1">
        <v>45748</v>
      </c>
      <c r="D871" s="71" t="s">
        <v>29</v>
      </c>
      <c r="E871" s="71" t="s">
        <v>19</v>
      </c>
      <c r="F871" s="143" t="s">
        <v>138</v>
      </c>
      <c r="G871" s="71" t="s">
        <v>216</v>
      </c>
      <c r="H871" s="172"/>
      <c r="I871" s="172"/>
      <c r="J871" s="71" t="s">
        <v>778</v>
      </c>
      <c r="K871" s="332"/>
      <c r="L871" s="326">
        <v>2088</v>
      </c>
      <c r="M871" s="163">
        <f>M870+K871-L871</f>
        <v>250011.96572000012</v>
      </c>
    </row>
    <row r="872" spans="1:14">
      <c r="A872" s="54" t="str">
        <f t="shared" si="13"/>
        <v>COMBUSTIBLE</v>
      </c>
      <c r="B872" t="s">
        <v>515</v>
      </c>
      <c r="C872" s="1">
        <v>45748</v>
      </c>
      <c r="D872" s="71"/>
      <c r="E872" s="71" t="s">
        <v>32</v>
      </c>
      <c r="F872" s="143"/>
      <c r="G872" s="71" t="s">
        <v>216</v>
      </c>
      <c r="H872" s="172"/>
      <c r="I872" s="172"/>
      <c r="J872" s="71" t="s">
        <v>440</v>
      </c>
      <c r="K872" s="332"/>
      <c r="L872" s="326">
        <v>5261</v>
      </c>
      <c r="M872" s="163">
        <f>M871+K872-L872</f>
        <v>244750.96572000012</v>
      </c>
    </row>
    <row r="873" spans="1:14">
      <c r="A873" s="54" t="str">
        <f>D873&amp;E873&amp;F873</f>
        <v>HRFONDO Y REPOSICIONHR</v>
      </c>
      <c r="B873" t="s">
        <v>515</v>
      </c>
      <c r="C873" s="1">
        <v>45748</v>
      </c>
      <c r="D873" s="71" t="s">
        <v>29</v>
      </c>
      <c r="E873" s="71" t="s">
        <v>120</v>
      </c>
      <c r="F873" s="143" t="s">
        <v>29</v>
      </c>
      <c r="G873" s="71" t="s">
        <v>216</v>
      </c>
      <c r="H873" s="172"/>
      <c r="I873" s="172"/>
      <c r="J873" s="71" t="s">
        <v>779</v>
      </c>
      <c r="K873" s="332"/>
      <c r="L873" s="326">
        <v>3000</v>
      </c>
      <c r="M873" s="163">
        <f>M872+K873-L873</f>
        <v>241750.96572000012</v>
      </c>
    </row>
    <row r="874" spans="1:14">
      <c r="A874" s="54" t="str">
        <f>D874&amp;E874&amp;F874</f>
        <v>HRMKTMKT HR</v>
      </c>
      <c r="B874" t="s">
        <v>515</v>
      </c>
      <c r="C874" s="1">
        <v>45748</v>
      </c>
      <c r="D874" s="71" t="s">
        <v>29</v>
      </c>
      <c r="E874" s="71" t="s">
        <v>19</v>
      </c>
      <c r="F874" s="143" t="s">
        <v>138</v>
      </c>
      <c r="G874" s="71" t="s">
        <v>216</v>
      </c>
      <c r="H874" s="172"/>
      <c r="I874" s="172"/>
      <c r="J874" s="71" t="s">
        <v>780</v>
      </c>
      <c r="K874" s="332"/>
      <c r="L874" s="326">
        <v>2088</v>
      </c>
      <c r="M874" s="163">
        <f>M873+K874-L874</f>
        <v>239662.96572000012</v>
      </c>
    </row>
    <row r="875" spans="1:14">
      <c r="A875" s="54" t="str">
        <f>D875&amp;E875&amp;F875</f>
        <v>HRMKTMKT HR</v>
      </c>
      <c r="B875" t="s">
        <v>515</v>
      </c>
      <c r="C875" s="1">
        <v>45748</v>
      </c>
      <c r="D875" s="71" t="s">
        <v>29</v>
      </c>
      <c r="E875" s="71" t="s">
        <v>19</v>
      </c>
      <c r="F875" s="143" t="s">
        <v>138</v>
      </c>
      <c r="G875" s="71" t="s">
        <v>216</v>
      </c>
      <c r="H875" s="172"/>
      <c r="I875" s="172"/>
      <c r="J875" s="71" t="s">
        <v>781</v>
      </c>
      <c r="K875" s="332"/>
      <c r="L875" s="326">
        <v>560</v>
      </c>
      <c r="M875" s="163">
        <f>M874+K875-L875</f>
        <v>239102.96572000012</v>
      </c>
    </row>
    <row r="876" spans="1:14">
      <c r="A876" s="54" t="str">
        <f>D876&amp;E876&amp;F876</f>
        <v>SGEVIATICOSGESTION EMPRESARIAL</v>
      </c>
      <c r="B876" t="s">
        <v>515</v>
      </c>
      <c r="C876" s="1">
        <v>45748</v>
      </c>
      <c r="D876" s="71" t="s">
        <v>39</v>
      </c>
      <c r="E876" s="71" t="s">
        <v>191</v>
      </c>
      <c r="F876" s="143" t="s">
        <v>40</v>
      </c>
      <c r="G876" s="71" t="s">
        <v>216</v>
      </c>
      <c r="H876" s="172"/>
      <c r="I876" s="172"/>
      <c r="J876" s="71" t="s">
        <v>782</v>
      </c>
      <c r="K876" s="332"/>
      <c r="L876" s="326">
        <v>2200</v>
      </c>
      <c r="M876" s="163">
        <f>M875+K876-L876</f>
        <v>236902.96572000012</v>
      </c>
    </row>
    <row r="877" spans="1:14">
      <c r="A877" s="54" t="str">
        <f>D877&amp;E877&amp;F877</f>
        <v>SERVICIOSVIATICOSINVENTARIOS</v>
      </c>
      <c r="B877" t="s">
        <v>515</v>
      </c>
      <c r="C877" s="1">
        <v>45748</v>
      </c>
      <c r="D877" s="71" t="s">
        <v>21</v>
      </c>
      <c r="E877" s="71" t="s">
        <v>191</v>
      </c>
      <c r="F877" s="143" t="s">
        <v>34</v>
      </c>
      <c r="G877" s="71" t="s">
        <v>216</v>
      </c>
      <c r="H877" s="172"/>
      <c r="I877" s="172"/>
      <c r="J877" s="71" t="s">
        <v>783</v>
      </c>
      <c r="K877" s="332"/>
      <c r="L877" s="326">
        <v>600</v>
      </c>
      <c r="M877" s="163">
        <f>M876+K877-L877</f>
        <v>236302.96572000012</v>
      </c>
    </row>
    <row r="878" spans="1:14">
      <c r="A878" s="54" t="str">
        <f>D878&amp;E878&amp;F878</f>
        <v>FINANZASFONDO Y REPOSICIONFINANZAS</v>
      </c>
      <c r="B878" t="s">
        <v>515</v>
      </c>
      <c r="C878" s="1">
        <v>45748</v>
      </c>
      <c r="D878" s="71" t="s">
        <v>23</v>
      </c>
      <c r="E878" s="71" t="s">
        <v>120</v>
      </c>
      <c r="F878" s="143" t="s">
        <v>23</v>
      </c>
      <c r="H878" s="172"/>
      <c r="I878" s="172"/>
      <c r="J878" s="71" t="s">
        <v>231</v>
      </c>
      <c r="K878" s="332"/>
      <c r="L878" s="326">
        <v>50</v>
      </c>
      <c r="M878" s="163">
        <f>M877+K878-L878</f>
        <v>236252.96572000012</v>
      </c>
    </row>
    <row r="879" spans="1:14">
      <c r="A879" s="54" t="str">
        <f>D879&amp;E879&amp;F879</f>
        <v>HRJMASA5</v>
      </c>
      <c r="B879" t="s">
        <v>515</v>
      </c>
      <c r="C879" s="1">
        <v>45748</v>
      </c>
      <c r="D879" s="71" t="s">
        <v>29</v>
      </c>
      <c r="E879" s="71" t="s">
        <v>137</v>
      </c>
      <c r="F879" s="71" t="s">
        <v>92</v>
      </c>
      <c r="G879" s="71" t="s">
        <v>216</v>
      </c>
      <c r="H879" s="172"/>
      <c r="I879" s="172"/>
      <c r="J879" s="76" t="s">
        <v>784</v>
      </c>
      <c r="K879" s="332"/>
      <c r="L879" s="331">
        <v>100</v>
      </c>
      <c r="M879" s="163">
        <f>M878+K879-L879</f>
        <v>236152.96572000012</v>
      </c>
    </row>
    <row r="880" spans="1:14">
      <c r="A880" s="54" t="str">
        <f>D880&amp;E880&amp;F880</f>
        <v>HRJMASA6</v>
      </c>
      <c r="B880" t="s">
        <v>515</v>
      </c>
      <c r="C880" s="1">
        <v>45748</v>
      </c>
      <c r="D880" s="71" t="s">
        <v>29</v>
      </c>
      <c r="E880" s="71" t="s">
        <v>137</v>
      </c>
      <c r="F880" s="143" t="s">
        <v>93</v>
      </c>
      <c r="G880" s="71" t="s">
        <v>216</v>
      </c>
      <c r="H880" s="172"/>
      <c r="I880" s="172"/>
      <c r="J880" s="76" t="s">
        <v>443</v>
      </c>
      <c r="L880" s="331">
        <v>963</v>
      </c>
      <c r="M880" s="163">
        <f>M879+K880-L880</f>
        <v>235189.96572000012</v>
      </c>
      <c r="N880" s="72"/>
    </row>
    <row r="881" spans="1:16">
      <c r="A881" s="54" t="str">
        <f>D881&amp;E881&amp;F881</f>
        <v>HRUBERHR</v>
      </c>
      <c r="B881" t="s">
        <v>515</v>
      </c>
      <c r="C881" s="1">
        <v>45748</v>
      </c>
      <c r="D881" s="71" t="s">
        <v>29</v>
      </c>
      <c r="E881" s="71" t="s">
        <v>189</v>
      </c>
      <c r="F881" s="143" t="s">
        <v>29</v>
      </c>
      <c r="G881" s="71" t="s">
        <v>258</v>
      </c>
      <c r="H881" s="172"/>
      <c r="I881" s="172"/>
      <c r="J881" s="76" t="s">
        <v>308</v>
      </c>
      <c r="K881" s="332"/>
      <c r="L881" s="526">
        <v>45</v>
      </c>
      <c r="M881" s="163">
        <f>M880+K881-L881</f>
        <v>235144.96572000012</v>
      </c>
      <c r="O881" s="5"/>
    </row>
    <row r="882" spans="1:16">
      <c r="A882" s="54" t="str">
        <f>D882&amp;E882&amp;F882</f>
        <v>HRJMASA14</v>
      </c>
      <c r="B882" t="s">
        <v>515</v>
      </c>
      <c r="C882" s="1">
        <v>45748</v>
      </c>
      <c r="D882" s="71" t="s">
        <v>29</v>
      </c>
      <c r="E882" s="71" t="s">
        <v>137</v>
      </c>
      <c r="F882" s="143" t="s">
        <v>99</v>
      </c>
      <c r="G882" s="71" t="s">
        <v>216</v>
      </c>
      <c r="H882" s="172"/>
      <c r="I882" s="172"/>
      <c r="J882" s="76" t="s">
        <v>785</v>
      </c>
      <c r="K882" s="332"/>
      <c r="L882" s="331">
        <v>370</v>
      </c>
      <c r="M882" s="163">
        <f>M881+K882-L882</f>
        <v>234774.96572000012</v>
      </c>
    </row>
    <row r="883" spans="1:16">
      <c r="A883" s="54" t="str">
        <f>D883&amp;E883&amp;F883</f>
        <v>HRJMASA23</v>
      </c>
      <c r="B883" t="s">
        <v>515</v>
      </c>
      <c r="C883" s="1">
        <v>45748</v>
      </c>
      <c r="D883" s="71" t="s">
        <v>29</v>
      </c>
      <c r="E883" s="71" t="s">
        <v>137</v>
      </c>
      <c r="F883" s="143" t="s">
        <v>105</v>
      </c>
      <c r="G883" s="71" t="s">
        <v>216</v>
      </c>
      <c r="H883" s="172"/>
      <c r="I883" s="172"/>
      <c r="J883" s="76" t="s">
        <v>786</v>
      </c>
      <c r="K883" s="332"/>
      <c r="L883" s="331">
        <v>100</v>
      </c>
      <c r="M883" s="163">
        <f>M882+K883-L883</f>
        <v>234674.96572000012</v>
      </c>
    </row>
    <row r="884" spans="1:16">
      <c r="A884" s="54" t="str">
        <f>D884&amp;E884&amp;F884</f>
        <v>CAPUBERCAP</v>
      </c>
      <c r="B884" t="s">
        <v>515</v>
      </c>
      <c r="C884" s="1">
        <v>45748</v>
      </c>
      <c r="D884" s="71" t="s">
        <v>31</v>
      </c>
      <c r="E884" s="179" t="s">
        <v>189</v>
      </c>
      <c r="F884" s="143" t="s">
        <v>31</v>
      </c>
      <c r="G884" s="71" t="s">
        <v>258</v>
      </c>
      <c r="H884" s="172"/>
      <c r="I884" s="172"/>
      <c r="J884" s="76" t="s">
        <v>253</v>
      </c>
      <c r="K884" s="332"/>
      <c r="L884" s="526">
        <v>676</v>
      </c>
      <c r="M884" s="163">
        <f>M883+K884-L884</f>
        <v>233998.96572000012</v>
      </c>
    </row>
    <row r="885" spans="1:16">
      <c r="A885" s="54" t="str">
        <f>D885&amp;E885&amp;F885</f>
        <v>CAPUBERCAP</v>
      </c>
      <c r="B885" t="s">
        <v>515</v>
      </c>
      <c r="C885" s="1">
        <v>45748</v>
      </c>
      <c r="D885" s="71" t="s">
        <v>31</v>
      </c>
      <c r="E885" s="179" t="s">
        <v>189</v>
      </c>
      <c r="F885" s="143" t="s">
        <v>31</v>
      </c>
      <c r="G885" s="71" t="s">
        <v>258</v>
      </c>
      <c r="H885" s="172"/>
      <c r="I885" s="172"/>
      <c r="J885" s="76" t="s">
        <v>257</v>
      </c>
      <c r="K885" s="332"/>
      <c r="L885" s="525">
        <v>90</v>
      </c>
      <c r="M885" s="163">
        <f>M884+K885-L885</f>
        <v>233908.96572000012</v>
      </c>
    </row>
    <row r="886" spans="1:16" s="145" customFormat="1">
      <c r="A886" s="54" t="str">
        <f>D886&amp;E886&amp;F886</f>
        <v>ELIUBERL1</v>
      </c>
      <c r="B886" t="s">
        <v>515</v>
      </c>
      <c r="C886" s="1">
        <v>45748</v>
      </c>
      <c r="D886" s="71" t="s">
        <v>130</v>
      </c>
      <c r="E886" s="71" t="s">
        <v>189</v>
      </c>
      <c r="F886" s="143" t="s">
        <v>136</v>
      </c>
      <c r="G886" s="71" t="s">
        <v>258</v>
      </c>
      <c r="H886" s="172"/>
      <c r="I886" s="172"/>
      <c r="J886" s="76" t="s">
        <v>787</v>
      </c>
      <c r="K886" s="322"/>
      <c r="L886" s="525">
        <v>180</v>
      </c>
      <c r="M886" s="163">
        <f>M885+K886-L886</f>
        <v>233728.96572000012</v>
      </c>
      <c r="N886" s="71"/>
      <c r="O886"/>
      <c r="P886"/>
    </row>
    <row r="887" spans="1:16" s="145" customFormat="1">
      <c r="A887" s="54" t="str">
        <f>D887&amp;E887&amp;F887</f>
        <v>FINANZASFALTANTESFALTANTES</v>
      </c>
      <c r="B887" t="s">
        <v>515</v>
      </c>
      <c r="C887" s="1">
        <v>45748</v>
      </c>
      <c r="D887" s="71" t="s">
        <v>23</v>
      </c>
      <c r="E887" s="71" t="s">
        <v>119</v>
      </c>
      <c r="F887" s="143" t="s">
        <v>119</v>
      </c>
      <c r="G887" s="71" t="s">
        <v>258</v>
      </c>
      <c r="H887" s="172"/>
      <c r="I887" s="172"/>
      <c r="J887" s="76" t="s">
        <v>788</v>
      </c>
      <c r="K887" s="322"/>
      <c r="L887" s="327">
        <v>1642.64</v>
      </c>
      <c r="M887" s="163">
        <f>M886+K887-L887</f>
        <v>232086.32572000011</v>
      </c>
      <c r="N887" s="71"/>
      <c r="O887"/>
      <c r="P887"/>
    </row>
    <row r="888" spans="1:16">
      <c r="A888" s="54" t="str">
        <f t="shared" si="13"/>
        <v/>
      </c>
      <c r="B888" t="s">
        <v>515</v>
      </c>
      <c r="C888" s="1">
        <v>45749</v>
      </c>
      <c r="D888" s="71"/>
      <c r="F888" s="143"/>
      <c r="H888" s="172"/>
      <c r="I888" s="172"/>
      <c r="J888" s="71" t="s">
        <v>260</v>
      </c>
      <c r="K888" s="332">
        <v>164781.12</v>
      </c>
      <c r="L888" s="321"/>
      <c r="M888" s="163">
        <f>M887+K888-L888</f>
        <v>396867.44572000008</v>
      </c>
    </row>
    <row r="889" spans="1:16">
      <c r="A889" s="54" t="str">
        <f>D889&amp;E889&amp;F889</f>
        <v>FINANZASCOMISIONES BANCARIASTPV</v>
      </c>
      <c r="B889" t="s">
        <v>515</v>
      </c>
      <c r="C889" s="1">
        <v>45749</v>
      </c>
      <c r="D889" s="71" t="s">
        <v>23</v>
      </c>
      <c r="E889" s="71" t="s">
        <v>48</v>
      </c>
      <c r="F889" s="143" t="s">
        <v>50</v>
      </c>
      <c r="G889" s="71" t="s">
        <v>216</v>
      </c>
      <c r="H889" s="172"/>
      <c r="I889" s="172"/>
      <c r="J889" s="71" t="s">
        <v>217</v>
      </c>
      <c r="K889" s="332"/>
      <c r="L889" s="321"/>
      <c r="M889" s="163">
        <f>M888+K889-L889</f>
        <v>396867.44572000008</v>
      </c>
    </row>
    <row r="890" spans="1:16">
      <c r="A890" s="54" t="str">
        <f>D890&amp;E890&amp;F890</f>
        <v>FINANZASCOMISIONES BANCARIASMANEJO DE CUENTA</v>
      </c>
      <c r="B890" t="s">
        <v>515</v>
      </c>
      <c r="C890" s="1">
        <v>45749</v>
      </c>
      <c r="D890" s="71" t="s">
        <v>23</v>
      </c>
      <c r="E890" s="71" t="s">
        <v>48</v>
      </c>
      <c r="F890" s="143" t="s">
        <v>49</v>
      </c>
      <c r="G890" s="71" t="s">
        <v>216</v>
      </c>
      <c r="H890" s="172"/>
      <c r="I890" s="172"/>
      <c r="J890" s="71" t="s">
        <v>764</v>
      </c>
      <c r="K890" s="332"/>
      <c r="L890" s="337">
        <f>1325.64+1299.92+119.89+37.46+42.7</f>
        <v>2825.61</v>
      </c>
      <c r="M890" s="163">
        <f>M889+K890-L890</f>
        <v>394041.83572000009</v>
      </c>
    </row>
    <row r="891" spans="1:16">
      <c r="A891" s="54" t="str">
        <f t="shared" si="13"/>
        <v/>
      </c>
      <c r="B891" t="s">
        <v>515</v>
      </c>
      <c r="C891" s="1">
        <v>45749</v>
      </c>
      <c r="D891" s="71"/>
      <c r="F891" s="143"/>
      <c r="H891" s="172"/>
      <c r="I891" s="172"/>
      <c r="J891" s="205" t="s">
        <v>577</v>
      </c>
      <c r="K891" s="206"/>
      <c r="L891" s="206">
        <v>200000</v>
      </c>
      <c r="M891" s="163">
        <f>M890+K891-L891</f>
        <v>194041.83572000009</v>
      </c>
    </row>
    <row r="892" spans="1:16">
      <c r="A892" s="54" t="str">
        <f t="shared" si="13"/>
        <v/>
      </c>
      <c r="B892" t="s">
        <v>515</v>
      </c>
      <c r="C892" s="1">
        <v>45749</v>
      </c>
      <c r="D892" s="71"/>
      <c r="F892" s="143"/>
      <c r="H892" s="172"/>
      <c r="I892" s="172"/>
      <c r="J892" s="205" t="s">
        <v>222</v>
      </c>
      <c r="K892" s="206"/>
      <c r="L892" s="206"/>
      <c r="M892" s="163">
        <f>M891+K892-L892</f>
        <v>194041.83572000009</v>
      </c>
    </row>
    <row r="893" spans="1:16">
      <c r="A893" s="54" t="str">
        <f>D893&amp;E893&amp;F893</f>
        <v>CAPTELEPEAJEOP CAPRICHOS</v>
      </c>
      <c r="B893" t="s">
        <v>515</v>
      </c>
      <c r="C893" s="1">
        <v>45749</v>
      </c>
      <c r="D893" s="71" t="s">
        <v>31</v>
      </c>
      <c r="E893" s="71" t="s">
        <v>186</v>
      </c>
      <c r="F893" s="143" t="s">
        <v>188</v>
      </c>
      <c r="G893" s="71" t="s">
        <v>216</v>
      </c>
      <c r="H893" s="172"/>
      <c r="I893" s="172"/>
      <c r="J893" s="71" t="s">
        <v>789</v>
      </c>
      <c r="K893" s="332"/>
      <c r="L893" s="326">
        <v>356</v>
      </c>
      <c r="M893" s="163">
        <f>M892+K893-L893</f>
        <v>193685.83572000009</v>
      </c>
    </row>
    <row r="894" spans="1:16">
      <c r="A894" s="54" t="str">
        <f>D894&amp;E894&amp;F894</f>
        <v>HRTELEPEAJEOP HR</v>
      </c>
      <c r="B894" t="s">
        <v>515</v>
      </c>
      <c r="C894" s="1">
        <v>45749</v>
      </c>
      <c r="D894" s="71" t="s">
        <v>29</v>
      </c>
      <c r="E894" s="71" t="s">
        <v>186</v>
      </c>
      <c r="F894" s="77" t="s">
        <v>187</v>
      </c>
      <c r="G894" s="71" t="s">
        <v>216</v>
      </c>
      <c r="H894" s="169"/>
      <c r="I894" s="169"/>
      <c r="J894" s="71" t="s">
        <v>790</v>
      </c>
      <c r="K894" s="332"/>
      <c r="L894" s="326">
        <v>952</v>
      </c>
      <c r="M894" s="163">
        <f>M893+K894-L894</f>
        <v>192733.83572000009</v>
      </c>
    </row>
    <row r="895" spans="1:16">
      <c r="A895" s="54" t="str">
        <f>D895&amp;E895&amp;F895</f>
        <v>SERVICIOSTELEPEAJECEDIS</v>
      </c>
      <c r="B895" t="s">
        <v>515</v>
      </c>
      <c r="C895" s="1">
        <v>45749</v>
      </c>
      <c r="D895" s="71" t="s">
        <v>21</v>
      </c>
      <c r="E895" s="71" t="s">
        <v>186</v>
      </c>
      <c r="F895" s="77" t="s">
        <v>28</v>
      </c>
      <c r="H895" s="169"/>
      <c r="I895" s="169"/>
      <c r="J895" s="71" t="s">
        <v>791</v>
      </c>
      <c r="K895" s="332"/>
      <c r="L895" s="326">
        <v>9761</v>
      </c>
      <c r="M895" s="163">
        <f>M894+K895-L895</f>
        <v>182972.83572000009</v>
      </c>
    </row>
    <row r="896" spans="1:16">
      <c r="A896" s="54" t="str">
        <f>D896&amp;E896&amp;F896</f>
        <v>HRTELEPEAJEOP HR</v>
      </c>
      <c r="B896" t="s">
        <v>515</v>
      </c>
      <c r="C896" s="1">
        <v>45749</v>
      </c>
      <c r="D896" s="71" t="s">
        <v>29</v>
      </c>
      <c r="E896" s="71" t="s">
        <v>186</v>
      </c>
      <c r="F896" s="77" t="s">
        <v>187</v>
      </c>
      <c r="H896" s="169"/>
      <c r="I896" s="169"/>
      <c r="J896" s="71" t="s">
        <v>460</v>
      </c>
      <c r="K896" s="332"/>
      <c r="L896" s="326">
        <v>329</v>
      </c>
      <c r="M896" s="163">
        <f>M895+K896-L896</f>
        <v>182643.83572000009</v>
      </c>
    </row>
    <row r="897" spans="1:13">
      <c r="A897" s="54" t="str">
        <f>D897&amp;E897&amp;F897</f>
        <v>HRTELEPEAJEOP HR</v>
      </c>
      <c r="B897" t="s">
        <v>515</v>
      </c>
      <c r="C897" s="1">
        <v>45749</v>
      </c>
      <c r="D897" s="71" t="s">
        <v>29</v>
      </c>
      <c r="E897" s="71" t="s">
        <v>186</v>
      </c>
      <c r="F897" s="77" t="s">
        <v>187</v>
      </c>
      <c r="H897" s="169"/>
      <c r="I897" s="169"/>
      <c r="J897" s="71" t="s">
        <v>792</v>
      </c>
      <c r="K897" s="332"/>
      <c r="L897" s="326">
        <v>294</v>
      </c>
      <c r="M897" s="163">
        <f>M896+K897-L897</f>
        <v>182349.83572000009</v>
      </c>
    </row>
    <row r="898" spans="1:13">
      <c r="A898" s="54" t="str">
        <f>D898&amp;E898&amp;F898</f>
        <v>CAPTELEPEAJEOP CAPRICHOS</v>
      </c>
      <c r="B898" t="s">
        <v>515</v>
      </c>
      <c r="C898" s="1">
        <v>45749</v>
      </c>
      <c r="D898" s="71" t="s">
        <v>31</v>
      </c>
      <c r="E898" s="71" t="s">
        <v>186</v>
      </c>
      <c r="F898" s="77" t="s">
        <v>188</v>
      </c>
      <c r="H898" s="169"/>
      <c r="I898" s="169"/>
      <c r="J898" s="71" t="s">
        <v>793</v>
      </c>
      <c r="K898" s="332"/>
      <c r="L898" s="326">
        <v>329</v>
      </c>
      <c r="M898" s="163">
        <f>M897+K898-L898</f>
        <v>182020.83572000009</v>
      </c>
    </row>
    <row r="899" spans="1:13">
      <c r="A899" s="54" t="str">
        <f>D899&amp;E899&amp;F899</f>
        <v>FINANZASCOMBUSTIBLEFINANZAS</v>
      </c>
      <c r="B899" t="s">
        <v>515</v>
      </c>
      <c r="C899" s="1">
        <v>45749</v>
      </c>
      <c r="D899" s="71" t="s">
        <v>23</v>
      </c>
      <c r="E899" s="71" t="s">
        <v>32</v>
      </c>
      <c r="F899" s="77" t="s">
        <v>23</v>
      </c>
      <c r="H899" s="169"/>
      <c r="I899" s="169"/>
      <c r="J899" s="71" t="s">
        <v>794</v>
      </c>
      <c r="K899" s="332"/>
      <c r="L899" s="326">
        <v>1620</v>
      </c>
      <c r="M899" s="163">
        <f>M898+K899-L899</f>
        <v>180400.83572000009</v>
      </c>
    </row>
    <row r="900" spans="1:13">
      <c r="A900" s="54" t="str">
        <f>D900&amp;E900&amp;F900</f>
        <v>HRENERGIA ELECTRICAA2</v>
      </c>
      <c r="B900" t="s">
        <v>515</v>
      </c>
      <c r="C900" s="1">
        <v>45749</v>
      </c>
      <c r="D900" s="71" t="s">
        <v>29</v>
      </c>
      <c r="E900" s="71" t="s">
        <v>87</v>
      </c>
      <c r="F900" s="77" t="s">
        <v>89</v>
      </c>
      <c r="H900" s="169"/>
      <c r="I900" s="169"/>
      <c r="J900" s="71" t="s">
        <v>795</v>
      </c>
      <c r="K900" s="332"/>
      <c r="L900" s="326">
        <v>1800</v>
      </c>
      <c r="M900" s="163">
        <f>M899+K900-L900</f>
        <v>178600.83572000009</v>
      </c>
    </row>
    <row r="901" spans="1:13">
      <c r="A901" s="54" t="str">
        <f>D901&amp;E901&amp;F901</f>
        <v>HRUBERHR</v>
      </c>
      <c r="B901" t="s">
        <v>515</v>
      </c>
      <c r="C901" s="1">
        <v>45749</v>
      </c>
      <c r="D901" s="71" t="s">
        <v>29</v>
      </c>
      <c r="E901" s="71" t="s">
        <v>189</v>
      </c>
      <c r="F901" s="77" t="s">
        <v>29</v>
      </c>
      <c r="G901" s="71" t="s">
        <v>258</v>
      </c>
      <c r="H901" s="169"/>
      <c r="I901" s="169"/>
      <c r="J901" s="76" t="s">
        <v>308</v>
      </c>
      <c r="K901" s="332"/>
      <c r="L901" s="526">
        <v>100</v>
      </c>
      <c r="M901" s="163">
        <f>M900+K901-L901</f>
        <v>178500.83572000009</v>
      </c>
    </row>
    <row r="902" spans="1:13">
      <c r="A902" s="54" t="str">
        <f>D902&amp;E902&amp;F902</f>
        <v>HRUBERHR</v>
      </c>
      <c r="B902" t="s">
        <v>515</v>
      </c>
      <c r="C902" s="1">
        <v>45749</v>
      </c>
      <c r="D902" s="71" t="s">
        <v>29</v>
      </c>
      <c r="E902" s="71" t="s">
        <v>189</v>
      </c>
      <c r="F902" s="77" t="s">
        <v>29</v>
      </c>
      <c r="G902" s="71" t="s">
        <v>258</v>
      </c>
      <c r="H902" s="169"/>
      <c r="I902" s="169"/>
      <c r="J902" s="76" t="s">
        <v>456</v>
      </c>
      <c r="K902" s="332"/>
      <c r="L902" s="526">
        <v>260</v>
      </c>
      <c r="M902" s="163">
        <f>M901+K902-L902</f>
        <v>178240.83572000009</v>
      </c>
    </row>
    <row r="903" spans="1:13">
      <c r="A903" s="54" t="str">
        <f>D903&amp;E903&amp;F903</f>
        <v>CAPUBERCAP</v>
      </c>
      <c r="B903" t="s">
        <v>515</v>
      </c>
      <c r="C903" s="1">
        <v>45749</v>
      </c>
      <c r="D903" s="71" t="s">
        <v>31</v>
      </c>
      <c r="E903" s="71" t="s">
        <v>189</v>
      </c>
      <c r="F903" s="77" t="s">
        <v>31</v>
      </c>
      <c r="G903" s="71" t="s">
        <v>258</v>
      </c>
      <c r="H903" s="169"/>
      <c r="I903" s="169"/>
      <c r="J903" s="76" t="s">
        <v>279</v>
      </c>
      <c r="K903" s="332"/>
      <c r="L903" s="526">
        <v>636</v>
      </c>
      <c r="M903" s="163">
        <f>M902+K903-L903</f>
        <v>177604.83572000009</v>
      </c>
    </row>
    <row r="904" spans="1:13">
      <c r="A904" s="54" t="str">
        <f>D904&amp;E904&amp;F904</f>
        <v>CAPUBERCAP</v>
      </c>
      <c r="B904" t="s">
        <v>515</v>
      </c>
      <c r="C904" s="1">
        <v>45749</v>
      </c>
      <c r="D904" s="71" t="s">
        <v>31</v>
      </c>
      <c r="E904" s="71" t="s">
        <v>189</v>
      </c>
      <c r="F904" s="77" t="s">
        <v>31</v>
      </c>
      <c r="G904" s="71" t="s">
        <v>258</v>
      </c>
      <c r="H904" s="169"/>
      <c r="I904" s="169"/>
      <c r="J904" s="76" t="s">
        <v>257</v>
      </c>
      <c r="K904" s="332"/>
      <c r="L904" s="526">
        <v>124</v>
      </c>
      <c r="M904" s="163">
        <f>M903+K904-L904</f>
        <v>177480.83572000009</v>
      </c>
    </row>
    <row r="905" spans="1:13">
      <c r="A905" s="54" t="str">
        <f>D905&amp;E905&amp;F905</f>
        <v>FINANZASFALTANTESFALTANTES</v>
      </c>
      <c r="B905" t="s">
        <v>515</v>
      </c>
      <c r="C905" s="1">
        <v>45749</v>
      </c>
      <c r="D905" s="71" t="s">
        <v>23</v>
      </c>
      <c r="E905" s="71" t="s">
        <v>119</v>
      </c>
      <c r="F905" s="77" t="s">
        <v>119</v>
      </c>
      <c r="G905" s="71" t="s">
        <v>258</v>
      </c>
      <c r="H905" s="169"/>
      <c r="I905" s="169"/>
      <c r="J905" s="71" t="s">
        <v>259</v>
      </c>
      <c r="K905" s="332"/>
      <c r="L905" s="331">
        <v>8306.25</v>
      </c>
      <c r="M905" s="163">
        <f>M904+K905-L905</f>
        <v>169174.58572000009</v>
      </c>
    </row>
    <row r="906" spans="1:13">
      <c r="A906" s="54" t="str">
        <f t="shared" ref="A903:A967" si="14">D906&amp;E906&amp;F906</f>
        <v/>
      </c>
      <c r="B906" t="s">
        <v>515</v>
      </c>
      <c r="C906" s="1">
        <v>45750</v>
      </c>
      <c r="D906" s="71"/>
      <c r="F906" s="77"/>
      <c r="H906" s="169"/>
      <c r="I906" s="169"/>
      <c r="J906" s="71" t="s">
        <v>260</v>
      </c>
      <c r="K906" s="332">
        <v>155244.67000000001</v>
      </c>
      <c r="L906" s="332"/>
      <c r="M906" s="163">
        <f>M905+K906-L906</f>
        <v>324419.25572000013</v>
      </c>
    </row>
    <row r="907" spans="1:13">
      <c r="A907" s="54" t="str">
        <f>D907&amp;E907&amp;F907</f>
        <v>FINANZASCOMISIONES BANCARIASTPV</v>
      </c>
      <c r="B907" t="s">
        <v>515</v>
      </c>
      <c r="C907" s="1">
        <v>45750</v>
      </c>
      <c r="D907" s="71" t="s">
        <v>23</v>
      </c>
      <c r="E907" s="71" t="s">
        <v>48</v>
      </c>
      <c r="F907" s="77" t="s">
        <v>50</v>
      </c>
      <c r="G907" s="71" t="s">
        <v>216</v>
      </c>
      <c r="H907" s="169"/>
      <c r="I907" s="169"/>
      <c r="J907" s="71" t="s">
        <v>217</v>
      </c>
      <c r="K907" s="332"/>
      <c r="L907" s="331">
        <v>2972.2</v>
      </c>
      <c r="M907" s="163">
        <f>M906+K907-L907</f>
        <v>321447.05572000012</v>
      </c>
    </row>
    <row r="908" spans="1:13">
      <c r="A908" s="54" t="str">
        <f>D908&amp;E908&amp;F908</f>
        <v>FINANZASCOMISIONES BANCARIASMANEJO DE CUENTA</v>
      </c>
      <c r="B908" t="s">
        <v>515</v>
      </c>
      <c r="C908" s="1">
        <v>45750</v>
      </c>
      <c r="D908" s="71" t="s">
        <v>23</v>
      </c>
      <c r="E908" s="71" t="s">
        <v>48</v>
      </c>
      <c r="F908" s="77" t="s">
        <v>49</v>
      </c>
      <c r="G908" s="71" t="s">
        <v>216</v>
      </c>
      <c r="H908" s="169"/>
      <c r="I908" s="169"/>
      <c r="J908" s="71" t="s">
        <v>764</v>
      </c>
      <c r="K908" s="332"/>
      <c r="L908" s="331"/>
      <c r="M908" s="163">
        <f>M907+K908-L908</f>
        <v>321447.05572000012</v>
      </c>
    </row>
    <row r="909" spans="1:13">
      <c r="A909" s="54" t="str">
        <f t="shared" si="14"/>
        <v/>
      </c>
      <c r="B909" t="s">
        <v>515</v>
      </c>
      <c r="C909" s="1">
        <v>45750</v>
      </c>
      <c r="D909" s="71"/>
      <c r="H909" s="169"/>
      <c r="I909" s="169"/>
      <c r="J909" s="205" t="s">
        <v>577</v>
      </c>
      <c r="K909" s="206"/>
      <c r="L909" s="206">
        <v>15500</v>
      </c>
      <c r="M909" s="163">
        <f>M908+K909-L909</f>
        <v>305947.05572000012</v>
      </c>
    </row>
    <row r="910" spans="1:13">
      <c r="A910" s="54" t="str">
        <f t="shared" si="14"/>
        <v/>
      </c>
      <c r="B910" t="s">
        <v>515</v>
      </c>
      <c r="C910" s="1">
        <v>45750</v>
      </c>
      <c r="D910" s="71"/>
      <c r="F910" s="77"/>
      <c r="H910" s="169"/>
      <c r="I910" s="169"/>
      <c r="J910" s="205" t="s">
        <v>222</v>
      </c>
      <c r="K910" s="206"/>
      <c r="L910" s="206"/>
      <c r="M910" s="163">
        <f>M909+K910-L910</f>
        <v>305947.05572000012</v>
      </c>
    </row>
    <row r="911" spans="1:13">
      <c r="A911" s="54" t="str">
        <f>D911&amp;E911&amp;F911</f>
        <v>HRMKTMKT HR</v>
      </c>
      <c r="B911" t="s">
        <v>515</v>
      </c>
      <c r="C911" s="1">
        <v>45750</v>
      </c>
      <c r="D911" s="71" t="s">
        <v>29</v>
      </c>
      <c r="E911" s="71" t="s">
        <v>19</v>
      </c>
      <c r="F911" s="77" t="s">
        <v>138</v>
      </c>
      <c r="G911" s="71" t="s">
        <v>216</v>
      </c>
      <c r="H911" s="169"/>
      <c r="I911" s="169"/>
      <c r="J911" s="71" t="s">
        <v>796</v>
      </c>
      <c r="K911" s="321"/>
      <c r="L911" s="326">
        <v>1200</v>
      </c>
      <c r="M911" s="163">
        <f>M910+K911-L911</f>
        <v>304747.05572000012</v>
      </c>
    </row>
    <row r="912" spans="1:13">
      <c r="A912" s="54" t="str">
        <f>D912&amp;E912&amp;F912</f>
        <v>HRFONDO Y REPOSICIONHR</v>
      </c>
      <c r="B912" t="s">
        <v>515</v>
      </c>
      <c r="C912" s="1">
        <v>45750</v>
      </c>
      <c r="D912" s="71" t="s">
        <v>29</v>
      </c>
      <c r="E912" s="71" t="s">
        <v>120</v>
      </c>
      <c r="F912" s="77" t="s">
        <v>29</v>
      </c>
      <c r="G912" s="71" t="s">
        <v>216</v>
      </c>
      <c r="H912" s="169"/>
      <c r="I912" s="169"/>
      <c r="J912" s="71" t="s">
        <v>797</v>
      </c>
      <c r="K912" s="321"/>
      <c r="L912" s="326">
        <v>560</v>
      </c>
      <c r="M912" s="163">
        <f>M911+K912-L912</f>
        <v>304187.05572000012</v>
      </c>
    </row>
    <row r="913" spans="1:13">
      <c r="A913" s="54" t="str">
        <f>D913&amp;E913&amp;F913</f>
        <v>FINANZASRECOLECCION DE BASURACEDIS</v>
      </c>
      <c r="B913" t="s">
        <v>515</v>
      </c>
      <c r="C913" s="1">
        <v>45750</v>
      </c>
      <c r="D913" s="71" t="s">
        <v>23</v>
      </c>
      <c r="E913" s="71" t="s">
        <v>166</v>
      </c>
      <c r="F913" s="77" t="s">
        <v>28</v>
      </c>
      <c r="G913" s="71" t="s">
        <v>258</v>
      </c>
      <c r="H913" s="169"/>
      <c r="I913" s="169"/>
      <c r="J913" s="71" t="s">
        <v>798</v>
      </c>
      <c r="K913" s="321"/>
      <c r="L913" s="326">
        <v>120</v>
      </c>
      <c r="M913" s="163">
        <f>M912+K913-L913</f>
        <v>304067.05572000012</v>
      </c>
    </row>
    <row r="914" spans="1:13">
      <c r="A914" s="54" t="str">
        <f>D914&amp;E914&amp;F914</f>
        <v>CAPFONDO Y REPOSICIONCAPRICHOS</v>
      </c>
      <c r="B914" t="s">
        <v>515</v>
      </c>
      <c r="C914" s="1">
        <v>45750</v>
      </c>
      <c r="D914" s="71" t="s">
        <v>31</v>
      </c>
      <c r="E914" s="71" t="s">
        <v>120</v>
      </c>
      <c r="F914" s="77" t="s">
        <v>33</v>
      </c>
      <c r="G914" s="71" t="s">
        <v>258</v>
      </c>
      <c r="H914" s="169"/>
      <c r="I914" s="169"/>
      <c r="J914" s="71" t="s">
        <v>799</v>
      </c>
      <c r="K914" s="321"/>
      <c r="L914" s="326">
        <v>9000</v>
      </c>
      <c r="M914" s="163">
        <f>M913+K914-L914</f>
        <v>295067.05572000012</v>
      </c>
    </row>
    <row r="915" spans="1:13">
      <c r="A915" s="54" t="str">
        <f>D915&amp;E915&amp;F915</f>
        <v>FINANZASTELEFONIATELCEL</v>
      </c>
      <c r="B915" t="s">
        <v>515</v>
      </c>
      <c r="C915" s="1">
        <v>45750</v>
      </c>
      <c r="D915" s="71" t="s">
        <v>23</v>
      </c>
      <c r="E915" s="71" t="s">
        <v>181</v>
      </c>
      <c r="F915" s="77" t="s">
        <v>183</v>
      </c>
      <c r="H915" s="169"/>
      <c r="I915" s="169"/>
      <c r="J915" s="71" t="s">
        <v>800</v>
      </c>
      <c r="K915" s="332"/>
      <c r="L915" s="326">
        <v>20</v>
      </c>
      <c r="M915" s="163">
        <f>M914+K915-L915</f>
        <v>295047.05572000012</v>
      </c>
    </row>
    <row r="916" spans="1:13">
      <c r="A916" s="54" t="str">
        <f>D916&amp;E916&amp;F916</f>
        <v>HRVIATICOSHR</v>
      </c>
      <c r="B916" t="s">
        <v>515</v>
      </c>
      <c r="C916" s="1">
        <v>45750</v>
      </c>
      <c r="D916" s="71" t="s">
        <v>29</v>
      </c>
      <c r="E916" s="71" t="s">
        <v>191</v>
      </c>
      <c r="F916" s="77" t="s">
        <v>29</v>
      </c>
      <c r="G916" s="71" t="s">
        <v>258</v>
      </c>
      <c r="H916" s="169"/>
      <c r="I916" s="169"/>
      <c r="J916" s="76" t="s">
        <v>801</v>
      </c>
      <c r="L916" s="331">
        <v>20</v>
      </c>
      <c r="M916" s="163">
        <f>M915+K916-L916</f>
        <v>295027.05572000012</v>
      </c>
    </row>
    <row r="917" spans="1:13">
      <c r="A917" s="54" t="str">
        <f>D917&amp;E917&amp;F917</f>
        <v>HRUBERHR</v>
      </c>
      <c r="B917" t="s">
        <v>515</v>
      </c>
      <c r="C917" s="1">
        <v>45750</v>
      </c>
      <c r="D917" s="71" t="s">
        <v>29</v>
      </c>
      <c r="E917" s="71" t="s">
        <v>189</v>
      </c>
      <c r="F917" s="77" t="s">
        <v>29</v>
      </c>
      <c r="G917" s="71" t="s">
        <v>258</v>
      </c>
      <c r="H917" s="169"/>
      <c r="I917" s="169"/>
      <c r="J917" s="76" t="s">
        <v>802</v>
      </c>
      <c r="K917" s="332"/>
      <c r="L917" s="526">
        <v>70</v>
      </c>
      <c r="M917" s="163">
        <f>M916+K917-L917</f>
        <v>294957.05572000012</v>
      </c>
    </row>
    <row r="918" spans="1:13">
      <c r="A918" s="54" t="str">
        <f>D918&amp;E918&amp;F918</f>
        <v>HRUBERHR</v>
      </c>
      <c r="B918" t="s">
        <v>515</v>
      </c>
      <c r="C918" s="1">
        <v>45750</v>
      </c>
      <c r="D918" s="71" t="s">
        <v>29</v>
      </c>
      <c r="E918" s="71" t="s">
        <v>189</v>
      </c>
      <c r="F918" s="77" t="s">
        <v>29</v>
      </c>
      <c r="G918" s="71" t="s">
        <v>258</v>
      </c>
      <c r="H918" s="169"/>
      <c r="I918" s="169"/>
      <c r="J918" s="76" t="s">
        <v>456</v>
      </c>
      <c r="K918" s="332"/>
      <c r="L918" s="526">
        <v>150</v>
      </c>
      <c r="M918" s="163">
        <f>M917+K918-L918</f>
        <v>294807.05572000012</v>
      </c>
    </row>
    <row r="919" spans="1:13">
      <c r="A919" s="54" t="str">
        <f>D919&amp;E919&amp;F919</f>
        <v>CAPUBERCAP</v>
      </c>
      <c r="B919" t="s">
        <v>515</v>
      </c>
      <c r="C919" s="1">
        <v>45750</v>
      </c>
      <c r="D919" s="71" t="s">
        <v>31</v>
      </c>
      <c r="E919" s="71" t="s">
        <v>189</v>
      </c>
      <c r="F919" s="77" t="s">
        <v>31</v>
      </c>
      <c r="G919" s="71" t="s">
        <v>258</v>
      </c>
      <c r="H919" s="169"/>
      <c r="I919" s="169"/>
      <c r="J919" s="76" t="s">
        <v>253</v>
      </c>
      <c r="K919" s="332"/>
      <c r="L919" s="526">
        <v>359</v>
      </c>
      <c r="M919" s="163">
        <f>M918+K919-L919</f>
        <v>294448.05572000012</v>
      </c>
    </row>
    <row r="920" spans="1:13">
      <c r="A920" s="54" t="str">
        <f>D920&amp;E920&amp;F920</f>
        <v>CAPUBERCAP</v>
      </c>
      <c r="B920" t="s">
        <v>515</v>
      </c>
      <c r="C920" s="1">
        <v>45750</v>
      </c>
      <c r="D920" s="71" t="s">
        <v>31</v>
      </c>
      <c r="E920" s="71" t="s">
        <v>189</v>
      </c>
      <c r="F920" s="77" t="s">
        <v>31</v>
      </c>
      <c r="G920" s="71" t="s">
        <v>258</v>
      </c>
      <c r="H920" s="169"/>
      <c r="I920" s="169"/>
      <c r="J920" s="76" t="s">
        <v>257</v>
      </c>
      <c r="K920" s="332"/>
      <c r="L920" s="526">
        <v>50</v>
      </c>
      <c r="M920" s="163">
        <f>M919+K920-L920</f>
        <v>294398.05572000012</v>
      </c>
    </row>
    <row r="921" spans="1:13">
      <c r="A921" s="54" t="str">
        <f>D921&amp;E921&amp;F921</f>
        <v>FINANZASFALTANTESFALTANTES</v>
      </c>
      <c r="B921" t="s">
        <v>515</v>
      </c>
      <c r="C921" s="1">
        <v>45750</v>
      </c>
      <c r="D921" s="71" t="s">
        <v>23</v>
      </c>
      <c r="E921" s="71" t="s">
        <v>119</v>
      </c>
      <c r="F921" s="70" t="s">
        <v>119</v>
      </c>
      <c r="G921" s="71" t="s">
        <v>258</v>
      </c>
      <c r="H921" s="169"/>
      <c r="I921" s="169"/>
      <c r="J921" s="71" t="s">
        <v>803</v>
      </c>
      <c r="K921" s="332">
        <v>6352.79</v>
      </c>
      <c r="L921" s="321"/>
      <c r="M921" s="163">
        <f>M920+K921-L921</f>
        <v>300750.8457200001</v>
      </c>
    </row>
    <row r="922" spans="1:13">
      <c r="A922" s="54" t="str">
        <f t="shared" si="14"/>
        <v/>
      </c>
      <c r="B922" t="s">
        <v>515</v>
      </c>
      <c r="C922" s="1">
        <v>45751</v>
      </c>
      <c r="D922" s="71"/>
      <c r="F922" s="70"/>
      <c r="H922" s="169"/>
      <c r="I922" s="169"/>
      <c r="J922" s="71" t="s">
        <v>260</v>
      </c>
      <c r="K922" s="332">
        <v>192143.32</v>
      </c>
      <c r="L922" s="321"/>
      <c r="M922" s="163">
        <f>M921+K922-L922</f>
        <v>492894.16572000011</v>
      </c>
    </row>
    <row r="923" spans="1:13">
      <c r="A923" s="54" t="str">
        <f>D923&amp;E923&amp;F923</f>
        <v>FINANZASCOMISIONES BANCARIASTPV</v>
      </c>
      <c r="B923" t="s">
        <v>515</v>
      </c>
      <c r="C923" s="1">
        <v>45751</v>
      </c>
      <c r="D923" s="71" t="s">
        <v>23</v>
      </c>
      <c r="E923" s="71" t="s">
        <v>48</v>
      </c>
      <c r="F923" s="77" t="s">
        <v>50</v>
      </c>
      <c r="G923" s="71" t="s">
        <v>216</v>
      </c>
      <c r="H923" s="169"/>
      <c r="I923" s="169"/>
      <c r="J923" s="71" t="s">
        <v>217</v>
      </c>
      <c r="K923" s="332"/>
      <c r="L923" s="326">
        <f>1478.97+1637.84+606.87+1930.09+258.42</f>
        <v>5912.19</v>
      </c>
      <c r="M923" s="163">
        <f>M922+K923-L923</f>
        <v>486981.9757200001</v>
      </c>
    </row>
    <row r="924" spans="1:13">
      <c r="A924" s="54" t="str">
        <f>D924&amp;E924&amp;F924</f>
        <v>FINANZASCOMISIONES BANCARIASMANEJO DE CUENTA</v>
      </c>
      <c r="B924" t="s">
        <v>515</v>
      </c>
      <c r="C924" s="1">
        <v>45751</v>
      </c>
      <c r="D924" s="71" t="s">
        <v>23</v>
      </c>
      <c r="E924" s="71" t="s">
        <v>48</v>
      </c>
      <c r="F924" s="77" t="s">
        <v>49</v>
      </c>
      <c r="G924" s="71" t="s">
        <v>216</v>
      </c>
      <c r="H924" s="169"/>
      <c r="I924" s="169"/>
      <c r="J924" s="71" t="s">
        <v>764</v>
      </c>
      <c r="K924" s="332"/>
      <c r="L924" s="331">
        <f>313.2+237.8+365.4</f>
        <v>916.4</v>
      </c>
      <c r="M924" s="163">
        <f>M923+K924-L924</f>
        <v>486065.57572000008</v>
      </c>
    </row>
    <row r="925" spans="1:13">
      <c r="A925" s="54" t="str">
        <f t="shared" si="14"/>
        <v/>
      </c>
      <c r="B925" t="s">
        <v>515</v>
      </c>
      <c r="C925" s="1">
        <v>45751</v>
      </c>
      <c r="D925" s="71"/>
      <c r="F925" s="77"/>
      <c r="H925" s="169"/>
      <c r="I925" s="169"/>
      <c r="J925" s="205" t="s">
        <v>577</v>
      </c>
      <c r="K925" s="206"/>
      <c r="L925" s="206"/>
      <c r="M925" s="163">
        <f>M924+K925-L925</f>
        <v>486065.57572000008</v>
      </c>
    </row>
    <row r="926" spans="1:13">
      <c r="A926" s="54" t="str">
        <f t="shared" si="14"/>
        <v/>
      </c>
      <c r="B926" t="s">
        <v>515</v>
      </c>
      <c r="C926" s="1">
        <v>45751</v>
      </c>
      <c r="D926" s="71"/>
      <c r="F926" s="77"/>
      <c r="H926" s="169"/>
      <c r="I926" s="169"/>
      <c r="J926" s="205" t="s">
        <v>222</v>
      </c>
      <c r="K926" s="206"/>
      <c r="L926" s="206">
        <v>400000</v>
      </c>
      <c r="M926" s="163">
        <f>M925+K926-L926</f>
        <v>86065.575720000081</v>
      </c>
    </row>
    <row r="927" spans="1:13">
      <c r="A927" s="54" t="str">
        <f>D927&amp;E927&amp;F927</f>
        <v>HRENERGIA ELECTRICAA18</v>
      </c>
      <c r="B927" t="s">
        <v>515</v>
      </c>
      <c r="C927" s="1">
        <v>45751</v>
      </c>
      <c r="D927" s="71" t="s">
        <v>29</v>
      </c>
      <c r="E927" s="71" t="s">
        <v>87</v>
      </c>
      <c r="F927" s="77" t="s">
        <v>103</v>
      </c>
      <c r="G927" s="71" t="s">
        <v>216</v>
      </c>
      <c r="H927" s="169"/>
      <c r="I927" s="169"/>
      <c r="J927" s="71" t="s">
        <v>224</v>
      </c>
      <c r="K927" s="332"/>
      <c r="L927" s="326">
        <v>3768</v>
      </c>
      <c r="M927" s="163">
        <f>M926+K927-L927</f>
        <v>82297.575720000081</v>
      </c>
    </row>
    <row r="928" spans="1:13">
      <c r="A928" s="54" t="str">
        <f>D928&amp;E928&amp;F928</f>
        <v>CAPENERGIA ELECTRICAE8</v>
      </c>
      <c r="B928" t="s">
        <v>515</v>
      </c>
      <c r="C928" s="1">
        <v>45751</v>
      </c>
      <c r="D928" s="71" t="s">
        <v>31</v>
      </c>
      <c r="E928" s="71" t="s">
        <v>87</v>
      </c>
      <c r="F928" s="77" t="s">
        <v>114</v>
      </c>
      <c r="G928" s="71" t="s">
        <v>216</v>
      </c>
      <c r="H928" s="169"/>
      <c r="I928" s="169"/>
      <c r="J928" s="71" t="s">
        <v>226</v>
      </c>
      <c r="K928" s="332"/>
      <c r="L928" s="326">
        <v>13002</v>
      </c>
      <c r="M928" s="163">
        <f>M927+K928-L928</f>
        <v>69295.575720000081</v>
      </c>
    </row>
    <row r="929" spans="1:16">
      <c r="A929" s="54" t="str">
        <f>D929&amp;E929&amp;F929</f>
        <v>SERVICIOSMTTO EQ DE TRANSPORTECEDIS</v>
      </c>
      <c r="B929" t="s">
        <v>515</v>
      </c>
      <c r="C929" s="1">
        <v>45751</v>
      </c>
      <c r="D929" s="71" t="s">
        <v>21</v>
      </c>
      <c r="E929" s="71" t="s">
        <v>144</v>
      </c>
      <c r="F929" s="77" t="s">
        <v>28</v>
      </c>
      <c r="G929" s="71" t="s">
        <v>258</v>
      </c>
      <c r="H929" s="169"/>
      <c r="I929" s="169"/>
      <c r="J929" s="71" t="s">
        <v>804</v>
      </c>
      <c r="K929" s="321"/>
      <c r="L929" s="208">
        <v>7766</v>
      </c>
      <c r="M929" s="163">
        <f t="shared" ref="M929:M936" si="15">M928+K929-L929</f>
        <v>61529.575720000081</v>
      </c>
    </row>
    <row r="930" spans="1:16">
      <c r="A930" s="54" t="str">
        <f>D930&amp;E930&amp;F930</f>
        <v>FINANZASVIATICOSFINANZAS</v>
      </c>
      <c r="B930" t="s">
        <v>515</v>
      </c>
      <c r="C930" s="1">
        <v>45751</v>
      </c>
      <c r="D930" s="71" t="s">
        <v>23</v>
      </c>
      <c r="E930" s="71" t="s">
        <v>191</v>
      </c>
      <c r="F930" s="77" t="s">
        <v>23</v>
      </c>
      <c r="G930" s="71" t="s">
        <v>258</v>
      </c>
      <c r="H930" s="169"/>
      <c r="I930" s="169"/>
      <c r="J930" s="71" t="s">
        <v>805</v>
      </c>
      <c r="K930" s="321"/>
      <c r="L930" s="326">
        <v>700</v>
      </c>
      <c r="M930" s="163">
        <f t="shared" si="15"/>
        <v>60829.575720000081</v>
      </c>
    </row>
    <row r="931" spans="1:16">
      <c r="A931" s="54" t="str">
        <f t="shared" si="14"/>
        <v>COMBUSTIBLE</v>
      </c>
      <c r="B931" t="s">
        <v>515</v>
      </c>
      <c r="C931" s="1">
        <v>45751</v>
      </c>
      <c r="D931" s="71"/>
      <c r="E931" s="71" t="s">
        <v>32</v>
      </c>
      <c r="F931" s="77"/>
      <c r="G931" s="71" t="s">
        <v>216</v>
      </c>
      <c r="H931" s="169"/>
      <c r="I931" s="169"/>
      <c r="J931" s="71" t="s">
        <v>440</v>
      </c>
      <c r="K931" s="321"/>
      <c r="L931" s="326">
        <v>31566</v>
      </c>
      <c r="M931" s="163">
        <f t="shared" si="15"/>
        <v>29263.575720000081</v>
      </c>
    </row>
    <row r="932" spans="1:16">
      <c r="A932" s="54" t="str">
        <f>D932&amp;E932&amp;F932</f>
        <v>HRIMAGEN VISUALIMAGEN VISUAL HR</v>
      </c>
      <c r="B932" t="s">
        <v>515</v>
      </c>
      <c r="C932" s="1">
        <v>45751</v>
      </c>
      <c r="D932" s="71" t="s">
        <v>29</v>
      </c>
      <c r="E932" s="71" t="s">
        <v>127</v>
      </c>
      <c r="F932" s="77" t="s">
        <v>128</v>
      </c>
      <c r="G932" s="71" t="s">
        <v>216</v>
      </c>
      <c r="H932" s="169"/>
      <c r="I932" s="169"/>
      <c r="J932" s="71" t="s">
        <v>806</v>
      </c>
      <c r="K932" s="321"/>
      <c r="L932" s="326">
        <v>3445.2</v>
      </c>
      <c r="M932" s="163">
        <f t="shared" si="15"/>
        <v>25818.37572000008</v>
      </c>
    </row>
    <row r="933" spans="1:16">
      <c r="A933" s="54"/>
      <c r="B933" t="s">
        <v>515</v>
      </c>
      <c r="C933" s="1">
        <v>45751</v>
      </c>
      <c r="D933" s="71"/>
      <c r="F933" s="77"/>
      <c r="H933" s="169"/>
      <c r="I933" s="169"/>
      <c r="J933" s="71" t="s">
        <v>807</v>
      </c>
      <c r="K933" s="321"/>
      <c r="L933" s="326">
        <v>168.34</v>
      </c>
      <c r="M933" s="163">
        <f t="shared" si="15"/>
        <v>25650.03572000008</v>
      </c>
    </row>
    <row r="934" spans="1:16">
      <c r="A934" s="54" t="str">
        <f>D934&amp;E934&amp;F934</f>
        <v>FINANZASTELEFONIATOTAL PLAY (CONTA)</v>
      </c>
      <c r="B934" t="s">
        <v>515</v>
      </c>
      <c r="C934" s="1">
        <v>45751</v>
      </c>
      <c r="D934" s="71" t="s">
        <v>23</v>
      </c>
      <c r="E934" s="71" t="s">
        <v>181</v>
      </c>
      <c r="F934" s="70" t="s">
        <v>185</v>
      </c>
      <c r="G934" s="71" t="s">
        <v>216</v>
      </c>
      <c r="H934" s="169"/>
      <c r="I934" s="169"/>
      <c r="J934" s="71" t="s">
        <v>808</v>
      </c>
      <c r="K934" s="321"/>
      <c r="L934" s="326">
        <v>603</v>
      </c>
      <c r="M934" s="163">
        <f t="shared" si="15"/>
        <v>25047.03572000008</v>
      </c>
    </row>
    <row r="935" spans="1:16">
      <c r="A935" s="54" t="str">
        <f>D935&amp;E935&amp;F935</f>
        <v>HRIMAGEN VISUALIMAGEN VISUAL HR</v>
      </c>
      <c r="B935" t="s">
        <v>515</v>
      </c>
      <c r="C935" s="1">
        <v>45751</v>
      </c>
      <c r="D935" s="71" t="s">
        <v>29</v>
      </c>
      <c r="E935" s="71" t="s">
        <v>127</v>
      </c>
      <c r="F935" s="70" t="s">
        <v>128</v>
      </c>
      <c r="H935" s="169"/>
      <c r="I935" s="169"/>
      <c r="J935" s="71" t="s">
        <v>809</v>
      </c>
      <c r="K935" s="321"/>
      <c r="L935" s="326">
        <v>2600</v>
      </c>
      <c r="M935" s="163">
        <f t="shared" si="15"/>
        <v>22447.03572000008</v>
      </c>
    </row>
    <row r="936" spans="1:16">
      <c r="A936" s="54" t="str">
        <f>D936&amp;E936&amp;F936</f>
        <v>HRVIATICOSHR</v>
      </c>
      <c r="B936" t="s">
        <v>515</v>
      </c>
      <c r="C936" s="1">
        <v>45751</v>
      </c>
      <c r="D936" s="71" t="s">
        <v>29</v>
      </c>
      <c r="E936" s="71" t="s">
        <v>191</v>
      </c>
      <c r="F936" s="71" t="s">
        <v>29</v>
      </c>
      <c r="H936" s="169"/>
      <c r="I936" s="169"/>
      <c r="J936" s="71" t="s">
        <v>810</v>
      </c>
      <c r="K936" s="321"/>
      <c r="L936" s="326">
        <v>1600</v>
      </c>
      <c r="M936" s="163">
        <f t="shared" si="15"/>
        <v>20847.03572000008</v>
      </c>
    </row>
    <row r="937" spans="1:16">
      <c r="A937" s="54" t="str">
        <f>D937&amp;E937&amp;F937</f>
        <v>SERVICIOSINSUMOSSISTEMAS</v>
      </c>
      <c r="B937" t="s">
        <v>515</v>
      </c>
      <c r="C937" s="1">
        <v>45751</v>
      </c>
      <c r="D937" s="71" t="s">
        <v>21</v>
      </c>
      <c r="E937" s="71" t="s">
        <v>133</v>
      </c>
      <c r="F937" s="77" t="s">
        <v>36</v>
      </c>
      <c r="G937" s="71" t="s">
        <v>258</v>
      </c>
      <c r="H937" s="169"/>
      <c r="I937" s="169"/>
      <c r="J937" s="71" t="s">
        <v>811</v>
      </c>
      <c r="L937" s="326">
        <v>10975.68</v>
      </c>
      <c r="M937" s="163">
        <f>M936+K937-L937</f>
        <v>9871.3557200000796</v>
      </c>
    </row>
    <row r="938" spans="1:16">
      <c r="A938" s="54" t="str">
        <f>D938&amp;E938&amp;F938</f>
        <v>HRUBERHR</v>
      </c>
      <c r="B938" t="s">
        <v>515</v>
      </c>
      <c r="C938" s="1">
        <v>45751</v>
      </c>
      <c r="D938" s="71" t="s">
        <v>29</v>
      </c>
      <c r="E938" s="71" t="s">
        <v>189</v>
      </c>
      <c r="F938" s="77" t="s">
        <v>29</v>
      </c>
      <c r="G938" s="71" t="s">
        <v>258</v>
      </c>
      <c r="H938" s="169"/>
      <c r="I938" s="169"/>
      <c r="J938" s="76" t="s">
        <v>456</v>
      </c>
      <c r="K938" s="332"/>
      <c r="L938" s="526">
        <v>276</v>
      </c>
      <c r="M938" s="163">
        <f>M937+K938-L938</f>
        <v>9595.3557200000796</v>
      </c>
    </row>
    <row r="939" spans="1:16">
      <c r="A939" s="54" t="str">
        <f>D939&amp;E939&amp;F939</f>
        <v>CAPUBERCAP</v>
      </c>
      <c r="B939" t="s">
        <v>515</v>
      </c>
      <c r="C939" s="1">
        <v>45751</v>
      </c>
      <c r="D939" s="71" t="s">
        <v>31</v>
      </c>
      <c r="E939" s="71" t="s">
        <v>189</v>
      </c>
      <c r="F939" s="77" t="s">
        <v>31</v>
      </c>
      <c r="G939" s="71" t="s">
        <v>258</v>
      </c>
      <c r="H939" s="169"/>
      <c r="I939" s="169"/>
      <c r="J939" s="76" t="s">
        <v>253</v>
      </c>
      <c r="K939" s="332"/>
      <c r="L939" s="526">
        <v>526</v>
      </c>
      <c r="M939" s="163">
        <f>M938+K939-L939</f>
        <v>9069.3557200000796</v>
      </c>
    </row>
    <row r="940" spans="1:16">
      <c r="A940" s="54" t="str">
        <f>D940&amp;E940&amp;F940</f>
        <v>CAPINSUMOSCAPRICHOS</v>
      </c>
      <c r="B940" t="s">
        <v>515</v>
      </c>
      <c r="C940" s="1">
        <v>45751</v>
      </c>
      <c r="D940" s="71" t="s">
        <v>31</v>
      </c>
      <c r="E940" s="71" t="s">
        <v>133</v>
      </c>
      <c r="F940" s="77" t="s">
        <v>33</v>
      </c>
      <c r="G940" s="71" t="s">
        <v>216</v>
      </c>
      <c r="H940" s="169"/>
      <c r="I940" s="169"/>
      <c r="J940" s="76" t="s">
        <v>362</v>
      </c>
      <c r="K940" s="322"/>
      <c r="L940" s="327">
        <v>36</v>
      </c>
      <c r="M940" s="163">
        <f>M939+K940-L940</f>
        <v>9033.3557200000796</v>
      </c>
    </row>
    <row r="941" spans="1:16">
      <c r="A941" s="54" t="str">
        <f>D941&amp;E941&amp;F941</f>
        <v>FINANZASFALTANTESFALTANTES</v>
      </c>
      <c r="B941" t="s">
        <v>515</v>
      </c>
      <c r="C941" s="1">
        <v>45751</v>
      </c>
      <c r="D941" s="71" t="s">
        <v>23</v>
      </c>
      <c r="E941" s="71" t="s">
        <v>119</v>
      </c>
      <c r="F941" s="77" t="s">
        <v>119</v>
      </c>
      <c r="G941" s="71" t="s">
        <v>258</v>
      </c>
      <c r="H941" s="169"/>
      <c r="I941" s="169"/>
      <c r="J941" s="71" t="s">
        <v>259</v>
      </c>
      <c r="L941" s="326">
        <v>5334.98</v>
      </c>
      <c r="M941" s="163">
        <f>M940+K941-L941</f>
        <v>3698.37572000008</v>
      </c>
    </row>
    <row r="942" spans="1:16">
      <c r="A942" s="54" t="str">
        <f t="shared" si="14"/>
        <v/>
      </c>
      <c r="B942" t="s">
        <v>515</v>
      </c>
      <c r="C942" s="1">
        <v>45751</v>
      </c>
      <c r="D942" s="71"/>
      <c r="F942" s="77"/>
      <c r="H942" s="169"/>
      <c r="I942" s="169"/>
      <c r="J942" s="71" t="s">
        <v>812</v>
      </c>
      <c r="K942" s="325">
        <v>2500</v>
      </c>
      <c r="L942" s="321"/>
      <c r="M942" s="163">
        <f>M941+K942-L942</f>
        <v>6198.37572000008</v>
      </c>
    </row>
    <row r="943" spans="1:16">
      <c r="A943" s="54" t="str">
        <f t="shared" si="14"/>
        <v/>
      </c>
      <c r="B943" t="s">
        <v>515</v>
      </c>
      <c r="C943" s="1">
        <v>45754</v>
      </c>
      <c r="D943" s="71"/>
      <c r="F943" s="77"/>
      <c r="H943" s="169"/>
      <c r="I943" s="169"/>
      <c r="J943" s="71" t="s">
        <v>813</v>
      </c>
      <c r="K943" s="332">
        <v>541853.98</v>
      </c>
      <c r="L943" s="321"/>
      <c r="M943" s="163">
        <f>M942+K943-L943</f>
        <v>548052.35572000011</v>
      </c>
    </row>
    <row r="944" spans="1:16">
      <c r="A944" s="54" t="str">
        <f t="shared" si="14"/>
        <v>NA</v>
      </c>
      <c r="B944" t="s">
        <v>814</v>
      </c>
      <c r="C944" s="1">
        <v>45754</v>
      </c>
      <c r="D944" s="71" t="s">
        <v>815</v>
      </c>
      <c r="F944" s="77"/>
      <c r="H944" s="169"/>
      <c r="I944" s="169"/>
      <c r="J944" s="71" t="s">
        <v>816</v>
      </c>
      <c r="K944" s="322">
        <v>213936.89</v>
      </c>
      <c r="L944" s="321"/>
      <c r="M944" s="163">
        <f>M943+K944-L944</f>
        <v>761989.24572000012</v>
      </c>
      <c r="P944" s="5">
        <f>M944-K944</f>
        <v>548052.35572000011</v>
      </c>
    </row>
    <row r="945" spans="1:13">
      <c r="A945" s="54" t="str">
        <f>D945&amp;E945&amp;F945</f>
        <v>FINANZASCOMISIONES BANCARIASTPV</v>
      </c>
      <c r="B945" t="s">
        <v>814</v>
      </c>
      <c r="C945" s="1">
        <v>45754</v>
      </c>
      <c r="D945" s="71" t="s">
        <v>23</v>
      </c>
      <c r="E945" s="71" t="s">
        <v>48</v>
      </c>
      <c r="F945" s="77" t="s">
        <v>50</v>
      </c>
      <c r="G945" s="71" t="s">
        <v>216</v>
      </c>
      <c r="H945" s="169"/>
      <c r="I945" s="169"/>
      <c r="J945" s="71" t="s">
        <v>217</v>
      </c>
      <c r="K945" s="332"/>
      <c r="L945" s="326">
        <f>1469.45+1673.65+451.27+5241.53+7067.66</f>
        <v>15903.56</v>
      </c>
      <c r="M945" s="163">
        <f>M944+K945-L945</f>
        <v>746085.68572000007</v>
      </c>
    </row>
    <row r="946" spans="1:13">
      <c r="A946" s="54" t="str">
        <f t="shared" si="14"/>
        <v>NA</v>
      </c>
      <c r="B946" t="s">
        <v>814</v>
      </c>
      <c r="C946" s="1">
        <v>45754</v>
      </c>
      <c r="D946" s="71" t="s">
        <v>815</v>
      </c>
      <c r="F946" s="77"/>
      <c r="H946" s="169"/>
      <c r="I946" s="169"/>
      <c r="J946" s="205" t="s">
        <v>577</v>
      </c>
      <c r="K946" s="206"/>
      <c r="L946" s="206">
        <v>100000</v>
      </c>
      <c r="M946" s="163">
        <f>M945+K946-L946</f>
        <v>646085.68572000007</v>
      </c>
    </row>
    <row r="947" spans="1:13">
      <c r="A947" s="54" t="str">
        <f>D947&amp;E947&amp;F947</f>
        <v>FINANZASFONDO Y REPOSICIONFINANZAS</v>
      </c>
      <c r="B947" t="s">
        <v>814</v>
      </c>
      <c r="C947" s="1">
        <v>45754</v>
      </c>
      <c r="D947" s="71" t="s">
        <v>23</v>
      </c>
      <c r="E947" s="71" t="s">
        <v>120</v>
      </c>
      <c r="F947" s="77" t="s">
        <v>23</v>
      </c>
      <c r="G947" s="71" t="s">
        <v>216</v>
      </c>
      <c r="H947" s="169"/>
      <c r="I947" s="169"/>
      <c r="J947" s="71" t="s">
        <v>817</v>
      </c>
      <c r="K947" s="332"/>
      <c r="L947" s="326">
        <v>300</v>
      </c>
      <c r="M947" s="163">
        <f>M946+K947-L947</f>
        <v>645785.68572000007</v>
      </c>
    </row>
    <row r="948" spans="1:13">
      <c r="A948" s="54" t="str">
        <f>D948&amp;E948&amp;F948</f>
        <v>FINANZASFONDO Y REPOSICIONFINANZAS</v>
      </c>
      <c r="B948" t="s">
        <v>814</v>
      </c>
      <c r="C948" s="1">
        <v>45754</v>
      </c>
      <c r="D948" s="71" t="s">
        <v>23</v>
      </c>
      <c r="E948" s="71" t="s">
        <v>120</v>
      </c>
      <c r="F948" s="77" t="s">
        <v>23</v>
      </c>
      <c r="G948" s="71" t="s">
        <v>216</v>
      </c>
      <c r="H948" s="169"/>
      <c r="I948" s="169"/>
      <c r="J948" s="71" t="s">
        <v>818</v>
      </c>
      <c r="K948" s="332"/>
      <c r="L948" s="326">
        <v>50</v>
      </c>
      <c r="M948" s="163">
        <f>M947+K948-L948</f>
        <v>645735.68572000007</v>
      </c>
    </row>
    <row r="949" spans="1:13">
      <c r="A949" s="54" t="str">
        <f t="shared" si="14"/>
        <v>NA</v>
      </c>
      <c r="B949" t="s">
        <v>814</v>
      </c>
      <c r="C949" s="1">
        <v>45754</v>
      </c>
      <c r="D949" s="71" t="s">
        <v>815</v>
      </c>
      <c r="F949" s="77"/>
      <c r="H949" s="169"/>
      <c r="I949" s="169"/>
      <c r="J949" s="71" t="s">
        <v>819</v>
      </c>
      <c r="K949" s="180"/>
      <c r="L949" s="326">
        <v>598689.67000000004</v>
      </c>
      <c r="M949" s="163">
        <f>M948+K949-L949</f>
        <v>47046.015720000025</v>
      </c>
    </row>
    <row r="950" spans="1:13">
      <c r="A950" s="54" t="str">
        <f>D950&amp;E950&amp;F950</f>
        <v>SGEVIATICOSGESTION EMPRESARIAL</v>
      </c>
      <c r="B950" t="s">
        <v>814</v>
      </c>
      <c r="C950" s="1">
        <v>45754</v>
      </c>
      <c r="D950" s="71" t="s">
        <v>39</v>
      </c>
      <c r="E950" s="71" t="s">
        <v>191</v>
      </c>
      <c r="F950" s="77" t="s">
        <v>40</v>
      </c>
      <c r="G950" s="71" t="s">
        <v>216</v>
      </c>
      <c r="H950" s="169"/>
      <c r="I950" s="169"/>
      <c r="J950" s="71" t="s">
        <v>333</v>
      </c>
      <c r="K950" s="180"/>
      <c r="L950" s="326">
        <v>800</v>
      </c>
      <c r="M950" s="163">
        <f>M949+K950-L950</f>
        <v>46246.015720000025</v>
      </c>
    </row>
    <row r="951" spans="1:13">
      <c r="A951" s="54" t="str">
        <f>D951&amp;E951&amp;F951</f>
        <v>SGEINSUMOSGESTION EMPRESARIAL</v>
      </c>
      <c r="B951" t="s">
        <v>814</v>
      </c>
      <c r="C951" s="1">
        <v>45754</v>
      </c>
      <c r="D951" s="71" t="s">
        <v>39</v>
      </c>
      <c r="E951" s="71" t="s">
        <v>133</v>
      </c>
      <c r="F951" s="77" t="s">
        <v>40</v>
      </c>
      <c r="G951" s="71" t="s">
        <v>216</v>
      </c>
      <c r="H951" s="169"/>
      <c r="I951" s="169"/>
      <c r="J951" s="71" t="s">
        <v>820</v>
      </c>
      <c r="K951" s="332"/>
      <c r="L951" s="326">
        <v>3500</v>
      </c>
      <c r="M951" s="163">
        <f>M950+K951-L951</f>
        <v>42746.015720000025</v>
      </c>
    </row>
    <row r="952" spans="1:13">
      <c r="A952" s="54" t="str">
        <f>D952&amp;E952&amp;F952</f>
        <v>SGEINSUMOSGESTION EMPRESARIAL</v>
      </c>
      <c r="B952" t="s">
        <v>814</v>
      </c>
      <c r="C952" s="1">
        <v>45754</v>
      </c>
      <c r="D952" s="71" t="s">
        <v>39</v>
      </c>
      <c r="E952" s="71" t="s">
        <v>133</v>
      </c>
      <c r="F952" s="77" t="s">
        <v>40</v>
      </c>
      <c r="G952" s="71" t="s">
        <v>258</v>
      </c>
      <c r="H952" s="169"/>
      <c r="I952" s="169"/>
      <c r="J952" s="71" t="s">
        <v>821</v>
      </c>
      <c r="K952" s="332"/>
      <c r="L952" s="326">
        <v>7714</v>
      </c>
      <c r="M952" s="163">
        <f>M951+K952-L952</f>
        <v>35032.015720000025</v>
      </c>
    </row>
    <row r="953" spans="1:13">
      <c r="A953" s="54" t="str">
        <f>D953&amp;E953&amp;F953</f>
        <v>SERVICIOSVIATICOSCEDIS</v>
      </c>
      <c r="B953" t="s">
        <v>814</v>
      </c>
      <c r="C953" s="1">
        <v>45754</v>
      </c>
      <c r="D953" s="71" t="s">
        <v>21</v>
      </c>
      <c r="E953" s="71" t="s">
        <v>191</v>
      </c>
      <c r="F953" s="77" t="s">
        <v>28</v>
      </c>
      <c r="G953" s="71" t="s">
        <v>216</v>
      </c>
      <c r="H953" s="169"/>
      <c r="I953" s="169"/>
      <c r="J953" s="71" t="s">
        <v>301</v>
      </c>
      <c r="K953" s="332"/>
      <c r="L953" s="326">
        <v>2050</v>
      </c>
      <c r="M953" s="163">
        <f>M952+K953-L953</f>
        <v>32982.015720000025</v>
      </c>
    </row>
    <row r="954" spans="1:13">
      <c r="A954" s="54" t="str">
        <f>D954&amp;E954&amp;F954</f>
        <v>FINANZASTELEFONIATELCEL</v>
      </c>
      <c r="B954" t="s">
        <v>814</v>
      </c>
      <c r="C954" s="1">
        <v>45754</v>
      </c>
      <c r="D954" s="71" t="s">
        <v>23</v>
      </c>
      <c r="E954" s="71" t="s">
        <v>181</v>
      </c>
      <c r="F954" s="77" t="s">
        <v>183</v>
      </c>
      <c r="G954" s="71" t="s">
        <v>216</v>
      </c>
      <c r="H954" s="169"/>
      <c r="I954" s="169"/>
      <c r="J954" s="71" t="s">
        <v>822</v>
      </c>
      <c r="K954" s="322"/>
      <c r="L954" s="323">
        <v>5011</v>
      </c>
      <c r="M954" s="163">
        <f>M953+K954-L954</f>
        <v>27971.015720000025</v>
      </c>
    </row>
    <row r="955" spans="1:13">
      <c r="A955" s="54" t="str">
        <f>D955&amp;E955&amp;F955</f>
        <v>HRENERGIA ELECTRICAA23</v>
      </c>
      <c r="B955" t="s">
        <v>814</v>
      </c>
      <c r="C955" s="1">
        <v>45754</v>
      </c>
      <c r="D955" s="71" t="s">
        <v>29</v>
      </c>
      <c r="E955" s="71" t="s">
        <v>87</v>
      </c>
      <c r="F955" s="77" t="s">
        <v>105</v>
      </c>
      <c r="G955" s="71" t="s">
        <v>216</v>
      </c>
      <c r="H955" s="169"/>
      <c r="I955" s="169"/>
      <c r="J955" t="s">
        <v>823</v>
      </c>
      <c r="K955" s="332"/>
      <c r="L955" s="326">
        <v>3195</v>
      </c>
      <c r="M955" s="163">
        <f>M954+K955-L955</f>
        <v>24776.015720000025</v>
      </c>
    </row>
    <row r="956" spans="1:13">
      <c r="A956" s="54" t="str">
        <f>D956&amp;E956&amp;F956</f>
        <v>HRENERGIA ELECTRICAA1</v>
      </c>
      <c r="B956" t="s">
        <v>814</v>
      </c>
      <c r="C956" s="1">
        <v>45754</v>
      </c>
      <c r="D956" s="71" t="s">
        <v>29</v>
      </c>
      <c r="E956" s="71" t="s">
        <v>87</v>
      </c>
      <c r="F956" s="77" t="s">
        <v>88</v>
      </c>
      <c r="G956" s="71" t="s">
        <v>216</v>
      </c>
      <c r="H956" s="169"/>
      <c r="I956" s="169"/>
      <c r="J956" t="s">
        <v>302</v>
      </c>
      <c r="K956" s="332"/>
      <c r="L956" s="326">
        <v>5587</v>
      </c>
      <c r="M956" s="163">
        <f>M955+K956-L956</f>
        <v>19189.015720000025</v>
      </c>
    </row>
    <row r="957" spans="1:13">
      <c r="A957" s="54" t="str">
        <f>D957&amp;E957&amp;F957</f>
        <v>DESGMDIRECCION</v>
      </c>
      <c r="B957" t="s">
        <v>814</v>
      </c>
      <c r="C957" s="1">
        <v>45754</v>
      </c>
      <c r="D957" s="71" t="s">
        <v>41</v>
      </c>
      <c r="E957" s="71" t="s">
        <v>176</v>
      </c>
      <c r="F957" s="77" t="s">
        <v>42</v>
      </c>
      <c r="G957" s="71" t="s">
        <v>216</v>
      </c>
      <c r="H957" s="169"/>
      <c r="I957" s="169"/>
      <c r="J957" s="71" t="s">
        <v>824</v>
      </c>
      <c r="K957" s="332"/>
      <c r="L957" s="326">
        <v>37580</v>
      </c>
      <c r="M957" s="163">
        <f>M956+K957-L957</f>
        <v>-18390.984279999975</v>
      </c>
    </row>
    <row r="958" spans="1:13">
      <c r="A958" s="54" t="str">
        <f>D958&amp;E958&amp;F958</f>
        <v>CAPVIATICOSCAPRICHOS</v>
      </c>
      <c r="B958" t="s">
        <v>814</v>
      </c>
      <c r="C958" s="1">
        <v>45754</v>
      </c>
      <c r="D958" s="71" t="s">
        <v>31</v>
      </c>
      <c r="E958" s="71" t="s">
        <v>191</v>
      </c>
      <c r="F958" s="77" t="s">
        <v>33</v>
      </c>
      <c r="G958" s="71" t="s">
        <v>216</v>
      </c>
      <c r="H958" s="169"/>
      <c r="I958" s="169"/>
      <c r="J958" s="71" t="s">
        <v>825</v>
      </c>
      <c r="K958" s="332"/>
      <c r="L958" s="326">
        <v>10000</v>
      </c>
      <c r="M958" s="163">
        <f>M957+K958-L958</f>
        <v>-28390.984279999975</v>
      </c>
    </row>
    <row r="959" spans="1:13">
      <c r="A959" s="54" t="str">
        <f>D959&amp;E959&amp;F959</f>
        <v>SERVICIOSPAQUETERIACEDIS (E6)</v>
      </c>
      <c r="B959" t="s">
        <v>814</v>
      </c>
      <c r="C959" s="1">
        <v>45754</v>
      </c>
      <c r="D959" s="71" t="s">
        <v>21</v>
      </c>
      <c r="E959" s="71" t="s">
        <v>160</v>
      </c>
      <c r="F959" s="77" t="s">
        <v>161</v>
      </c>
      <c r="G959" s="71" t="s">
        <v>216</v>
      </c>
      <c r="H959" s="169"/>
      <c r="I959" s="169"/>
      <c r="J959" s="71" t="s">
        <v>826</v>
      </c>
      <c r="K959" s="332"/>
      <c r="L959" s="326">
        <v>1740.88</v>
      </c>
      <c r="M959" s="163">
        <f>M958+K959-L959</f>
        <v>-30131.864279999976</v>
      </c>
    </row>
    <row r="960" spans="1:13">
      <c r="A960" s="54" t="str">
        <f>D960&amp;E960&amp;F960</f>
        <v>HRMKTMKT HR</v>
      </c>
      <c r="B960" t="s">
        <v>814</v>
      </c>
      <c r="C960" s="1">
        <v>45754</v>
      </c>
      <c r="D960" s="71" t="s">
        <v>29</v>
      </c>
      <c r="E960" s="71" t="s">
        <v>19</v>
      </c>
      <c r="F960" s="77" t="s">
        <v>138</v>
      </c>
      <c r="G960" s="71" t="s">
        <v>216</v>
      </c>
      <c r="H960" s="169"/>
      <c r="I960" s="169"/>
      <c r="J960" s="71" t="s">
        <v>827</v>
      </c>
      <c r="K960" s="332"/>
      <c r="L960" s="326">
        <v>3132</v>
      </c>
      <c r="M960" s="163">
        <f>M959+K960-L960</f>
        <v>-33263.86427999998</v>
      </c>
    </row>
    <row r="961" spans="1:13">
      <c r="A961" s="54" t="str">
        <f>D961&amp;E961&amp;F961</f>
        <v>HRUBERHR</v>
      </c>
      <c r="B961" t="s">
        <v>814</v>
      </c>
      <c r="C961" s="1">
        <v>45754</v>
      </c>
      <c r="D961" s="71" t="s">
        <v>29</v>
      </c>
      <c r="E961" s="71" t="s">
        <v>189</v>
      </c>
      <c r="F961" s="77" t="s">
        <v>29</v>
      </c>
      <c r="G961" s="71" t="s">
        <v>216</v>
      </c>
      <c r="H961" s="169"/>
      <c r="I961" s="169"/>
      <c r="J961" s="76" t="s">
        <v>828</v>
      </c>
      <c r="K961" s="332"/>
      <c r="L961" s="526">
        <v>36</v>
      </c>
      <c r="M961" s="163">
        <f>M960+K961-L961</f>
        <v>-33299.86427999998</v>
      </c>
    </row>
    <row r="962" spans="1:13">
      <c r="A962" s="54" t="str">
        <f>D962&amp;E962&amp;F962</f>
        <v>HRUBERHR</v>
      </c>
      <c r="B962" t="s">
        <v>814</v>
      </c>
      <c r="C962" s="1">
        <v>45754</v>
      </c>
      <c r="D962" s="71" t="s">
        <v>29</v>
      </c>
      <c r="E962" s="71" t="s">
        <v>189</v>
      </c>
      <c r="F962" s="77" t="s">
        <v>29</v>
      </c>
      <c r="G962" s="71" t="s">
        <v>216</v>
      </c>
      <c r="H962" s="169"/>
      <c r="I962" s="169"/>
      <c r="J962" s="76" t="s">
        <v>249</v>
      </c>
      <c r="K962" s="332"/>
      <c r="L962" s="526">
        <v>322</v>
      </c>
      <c r="M962" s="163">
        <f>M961+K962-L962</f>
        <v>-33621.86427999998</v>
      </c>
    </row>
    <row r="963" spans="1:13">
      <c r="A963" s="54" t="str">
        <f>D963&amp;E963&amp;F963</f>
        <v>HRUBERHR</v>
      </c>
      <c r="B963" t="s">
        <v>814</v>
      </c>
      <c r="C963" s="1">
        <v>45754</v>
      </c>
      <c r="D963" s="71" t="s">
        <v>29</v>
      </c>
      <c r="E963" s="71" t="s">
        <v>189</v>
      </c>
      <c r="F963" s="77" t="s">
        <v>29</v>
      </c>
      <c r="G963" s="71" t="s">
        <v>216</v>
      </c>
      <c r="H963" s="169"/>
      <c r="I963" s="169"/>
      <c r="J963" s="76" t="s">
        <v>456</v>
      </c>
      <c r="K963" s="332"/>
      <c r="L963" s="526">
        <v>252</v>
      </c>
      <c r="M963" s="163">
        <f>M962+K963-L963</f>
        <v>-33873.86427999998</v>
      </c>
    </row>
    <row r="964" spans="1:13">
      <c r="A964" s="54" t="str">
        <f>D964&amp;E964&amp;F964</f>
        <v>CAPUBERCAP</v>
      </c>
      <c r="B964" t="s">
        <v>814</v>
      </c>
      <c r="C964" s="1">
        <v>45754</v>
      </c>
      <c r="D964" s="71" t="s">
        <v>31</v>
      </c>
      <c r="E964" s="71" t="s">
        <v>189</v>
      </c>
      <c r="F964" s="77" t="s">
        <v>31</v>
      </c>
      <c r="G964" s="71" t="s">
        <v>216</v>
      </c>
      <c r="H964" s="169"/>
      <c r="I964" s="169"/>
      <c r="J964" s="76" t="s">
        <v>253</v>
      </c>
      <c r="K964" s="332"/>
      <c r="L964" s="526">
        <v>1395</v>
      </c>
      <c r="M964" s="163">
        <f>M963+K964-L964</f>
        <v>-35268.86427999998</v>
      </c>
    </row>
    <row r="965" spans="1:13">
      <c r="A965" s="54" t="str">
        <f>D965&amp;E965&amp;F965</f>
        <v>CAPUBERCAP</v>
      </c>
      <c r="B965" t="s">
        <v>814</v>
      </c>
      <c r="C965" s="1">
        <v>45754</v>
      </c>
      <c r="D965" s="71" t="s">
        <v>31</v>
      </c>
      <c r="E965" s="71" t="s">
        <v>189</v>
      </c>
      <c r="F965" s="77" t="s">
        <v>31</v>
      </c>
      <c r="G965" s="71" t="s">
        <v>216</v>
      </c>
      <c r="H965" s="169"/>
      <c r="I965" s="169"/>
      <c r="J965" s="76" t="s">
        <v>257</v>
      </c>
      <c r="K965" s="332"/>
      <c r="L965" s="526">
        <v>243</v>
      </c>
      <c r="M965" s="163">
        <f>M964+K965-L965</f>
        <v>-35511.86427999998</v>
      </c>
    </row>
    <row r="966" spans="1:13">
      <c r="A966" s="54" t="str">
        <f>D966&amp;E966&amp;F966</f>
        <v>FINANZASFALTANTESFALTANTES</v>
      </c>
      <c r="B966" t="s">
        <v>814</v>
      </c>
      <c r="C966" s="1">
        <v>45754</v>
      </c>
      <c r="D966" s="71" t="s">
        <v>23</v>
      </c>
      <c r="E966" s="71" t="s">
        <v>119</v>
      </c>
      <c r="F966" s="77" t="s">
        <v>119</v>
      </c>
      <c r="G966" s="71" t="s">
        <v>258</v>
      </c>
      <c r="H966" s="169"/>
      <c r="I966" s="169"/>
      <c r="J966" s="76" t="s">
        <v>259</v>
      </c>
      <c r="K966" s="332"/>
      <c r="L966" s="331">
        <v>2857.92</v>
      </c>
      <c r="M966" s="163">
        <f>M965+K966-L966</f>
        <v>-38369.784279999978</v>
      </c>
    </row>
    <row r="967" spans="1:13">
      <c r="A967" s="54" t="str">
        <f t="shared" si="14"/>
        <v>NA</v>
      </c>
      <c r="B967" t="s">
        <v>814</v>
      </c>
      <c r="C967" s="1">
        <v>45755</v>
      </c>
      <c r="D967" s="71" t="s">
        <v>815</v>
      </c>
      <c r="F967" s="77"/>
      <c r="H967" s="169"/>
      <c r="I967" s="169"/>
      <c r="J967" s="71" t="s">
        <v>260</v>
      </c>
      <c r="K967" s="322">
        <f>195597.83-14489</f>
        <v>181108.83</v>
      </c>
      <c r="L967" s="332"/>
      <c r="M967" s="163">
        <f>M966+K967-L967</f>
        <v>142739.04571999999</v>
      </c>
    </row>
    <row r="968" spans="1:13">
      <c r="A968" s="54" t="str">
        <f>D968&amp;E968&amp;F968</f>
        <v>FINANZASCOMISIONES BANCARIASTPV</v>
      </c>
      <c r="B968" t="s">
        <v>814</v>
      </c>
      <c r="C968" s="1">
        <v>45755</v>
      </c>
      <c r="D968" s="71" t="s">
        <v>23</v>
      </c>
      <c r="E968" s="71" t="s">
        <v>48</v>
      </c>
      <c r="F968" s="77" t="s">
        <v>50</v>
      </c>
      <c r="G968" s="71" t="s">
        <v>216</v>
      </c>
      <c r="H968" s="169"/>
      <c r="I968" s="169"/>
      <c r="J968" s="71" t="s">
        <v>217</v>
      </c>
      <c r="K968" s="332"/>
      <c r="L968" s="331">
        <f>2628.79+1197.6+147.7+3170.5+830.75+5.8</f>
        <v>7981.14</v>
      </c>
      <c r="M968" s="163">
        <f>M967+K968-L968</f>
        <v>134757.90571999998</v>
      </c>
    </row>
    <row r="969" spans="1:13">
      <c r="A969" s="54" t="str">
        <f t="shared" ref="A968:A1031" si="16">D969&amp;E969&amp;F969</f>
        <v>NA</v>
      </c>
      <c r="B969" t="s">
        <v>814</v>
      </c>
      <c r="C969" s="1">
        <v>45755</v>
      </c>
      <c r="D969" s="71" t="s">
        <v>815</v>
      </c>
      <c r="F969" s="77"/>
      <c r="H969" s="169"/>
      <c r="I969" s="169"/>
      <c r="J969" s="205" t="s">
        <v>577</v>
      </c>
      <c r="K969" s="206"/>
      <c r="L969" s="206">
        <v>130000</v>
      </c>
      <c r="M969" s="163">
        <f>M968+K969-L969</f>
        <v>4757.9057199999806</v>
      </c>
    </row>
    <row r="970" spans="1:13">
      <c r="A970" s="54" t="str">
        <f>D970&amp;E970&amp;F970</f>
        <v>SERVICIOSALARMASUCURSALES CAPRICHOS</v>
      </c>
      <c r="B970" t="s">
        <v>814</v>
      </c>
      <c r="C970" s="1">
        <v>45755</v>
      </c>
      <c r="D970" s="71" t="s">
        <v>21</v>
      </c>
      <c r="E970" s="71" t="s">
        <v>25</v>
      </c>
      <c r="F970" s="77" t="s">
        <v>27</v>
      </c>
      <c r="G970" s="71" t="s">
        <v>216</v>
      </c>
      <c r="H970" s="169"/>
      <c r="I970" s="169"/>
      <c r="J970" s="71" t="s">
        <v>829</v>
      </c>
      <c r="K970" s="332"/>
      <c r="L970" s="326">
        <v>386.4</v>
      </c>
      <c r="M970" s="163">
        <f>M969+K970-L970</f>
        <v>4371.505719999981</v>
      </c>
    </row>
    <row r="971" spans="1:13">
      <c r="A971" s="54" t="str">
        <f>D971&amp;E971&amp;F971</f>
        <v>HRFONDO Y REPOSICIONHR</v>
      </c>
      <c r="B971" t="s">
        <v>814</v>
      </c>
      <c r="C971" s="1">
        <v>45755</v>
      </c>
      <c r="D971" s="71" t="s">
        <v>29</v>
      </c>
      <c r="E971" s="71" t="s">
        <v>120</v>
      </c>
      <c r="F971" s="77" t="s">
        <v>29</v>
      </c>
      <c r="G971" s="71" t="s">
        <v>216</v>
      </c>
      <c r="H971" s="169"/>
      <c r="I971" s="169"/>
      <c r="J971" s="71" t="s">
        <v>830</v>
      </c>
      <c r="K971" s="332"/>
      <c r="L971" s="326">
        <v>2500</v>
      </c>
      <c r="M971" s="163">
        <f>M970+K971-L971</f>
        <v>1871.505719999981</v>
      </c>
    </row>
    <row r="972" spans="1:13">
      <c r="A972" s="54" t="str">
        <f>D972&amp;E972&amp;F972</f>
        <v>HRFONDO Y REPOSICIONHR</v>
      </c>
      <c r="B972" t="s">
        <v>814</v>
      </c>
      <c r="C972" s="1">
        <v>45755</v>
      </c>
      <c r="D972" s="71" t="s">
        <v>29</v>
      </c>
      <c r="E972" s="71" t="s">
        <v>120</v>
      </c>
      <c r="F972" s="77" t="s">
        <v>29</v>
      </c>
      <c r="G972" s="71" t="s">
        <v>216</v>
      </c>
      <c r="H972" s="169"/>
      <c r="I972" s="169"/>
      <c r="J972" s="71" t="s">
        <v>831</v>
      </c>
      <c r="K972" s="332"/>
      <c r="L972" s="326">
        <v>3200</v>
      </c>
      <c r="M972" s="163">
        <f>M971+K972-L972</f>
        <v>-1328.494280000019</v>
      </c>
    </row>
    <row r="973" spans="1:13">
      <c r="A973" s="54" t="str">
        <f>D973&amp;E973&amp;F973</f>
        <v>HRFONDO Y REPOSICIONHR</v>
      </c>
      <c r="B973" t="s">
        <v>814</v>
      </c>
      <c r="C973" s="1">
        <v>45755</v>
      </c>
      <c r="D973" s="71" t="s">
        <v>29</v>
      </c>
      <c r="E973" s="71" t="s">
        <v>120</v>
      </c>
      <c r="F973" s="77" t="s">
        <v>29</v>
      </c>
      <c r="G973" s="71" t="s">
        <v>216</v>
      </c>
      <c r="H973" s="169"/>
      <c r="I973" s="169"/>
      <c r="J973" s="71" t="s">
        <v>832</v>
      </c>
      <c r="K973" s="322"/>
      <c r="L973" s="323">
        <v>3000</v>
      </c>
      <c r="M973" s="163">
        <f>M972+K973-L973</f>
        <v>-4328.494280000019</v>
      </c>
    </row>
    <row r="974" spans="1:13">
      <c r="A974" s="54" t="str">
        <f>D974&amp;E974&amp;F974</f>
        <v>CAPFONDO Y REPOSICIONCAPRICHOS</v>
      </c>
      <c r="B974" t="s">
        <v>814</v>
      </c>
      <c r="C974" s="1">
        <v>45755</v>
      </c>
      <c r="D974" s="71" t="s">
        <v>31</v>
      </c>
      <c r="E974" s="71" t="s">
        <v>120</v>
      </c>
      <c r="F974" s="77" t="s">
        <v>33</v>
      </c>
      <c r="G974" s="71" t="s">
        <v>216</v>
      </c>
      <c r="H974" s="169"/>
      <c r="I974" s="169"/>
      <c r="J974" s="71" t="s">
        <v>833</v>
      </c>
      <c r="K974" s="332"/>
      <c r="L974" s="326">
        <v>2500</v>
      </c>
      <c r="M974" s="163">
        <f>M973+K974-L974</f>
        <v>-6828.494280000019</v>
      </c>
    </row>
    <row r="975" spans="1:13">
      <c r="A975" s="54" t="str">
        <f>D975&amp;E975&amp;F975</f>
        <v>HRJMASA1</v>
      </c>
      <c r="B975" t="s">
        <v>814</v>
      </c>
      <c r="C975" s="1">
        <v>45755</v>
      </c>
      <c r="D975" s="71" t="s">
        <v>29</v>
      </c>
      <c r="E975" s="71" t="s">
        <v>137</v>
      </c>
      <c r="F975" s="77" t="s">
        <v>88</v>
      </c>
      <c r="G975" s="71" t="s">
        <v>216</v>
      </c>
      <c r="H975" s="169"/>
      <c r="I975" s="169"/>
      <c r="J975" s="270" t="s">
        <v>834</v>
      </c>
      <c r="K975" s="332"/>
      <c r="L975" s="326">
        <v>4000</v>
      </c>
      <c r="M975" s="163">
        <f>M974+K975-L975</f>
        <v>-10828.494280000019</v>
      </c>
    </row>
    <row r="976" spans="1:13">
      <c r="A976" s="54" t="str">
        <f>D976&amp;E976&amp;F976</f>
        <v>HRJMASA10</v>
      </c>
      <c r="B976" t="s">
        <v>814</v>
      </c>
      <c r="C976" s="1">
        <v>45755</v>
      </c>
      <c r="D976" s="71" t="s">
        <v>29</v>
      </c>
      <c r="E976" s="71" t="s">
        <v>137</v>
      </c>
      <c r="F976" s="77" t="s">
        <v>96</v>
      </c>
      <c r="G976" s="71" t="s">
        <v>216</v>
      </c>
      <c r="H976" s="169"/>
      <c r="I976" s="169"/>
      <c r="J976" s="270" t="s">
        <v>835</v>
      </c>
      <c r="K976" s="332"/>
      <c r="L976" s="326">
        <v>9420</v>
      </c>
      <c r="M976" s="163">
        <f>M975+K976-L976</f>
        <v>-20248.494280000021</v>
      </c>
    </row>
    <row r="977" spans="1:13">
      <c r="A977" s="54" t="str">
        <f>D977&amp;E977&amp;F977</f>
        <v>HRJMASA2</v>
      </c>
      <c r="B977" t="s">
        <v>814</v>
      </c>
      <c r="C977" s="1">
        <v>45755</v>
      </c>
      <c r="D977" s="71" t="s">
        <v>29</v>
      </c>
      <c r="E977" s="71" t="s">
        <v>137</v>
      </c>
      <c r="F977" s="77" t="s">
        <v>89</v>
      </c>
      <c r="G977" s="71" t="s">
        <v>216</v>
      </c>
      <c r="H977" s="169"/>
      <c r="I977" s="169"/>
      <c r="J977" s="270" t="s">
        <v>236</v>
      </c>
      <c r="K977" s="332"/>
      <c r="L977" s="326">
        <v>94</v>
      </c>
      <c r="M977" s="163">
        <f>M976+K977-L977</f>
        <v>-20342.494280000021</v>
      </c>
    </row>
    <row r="978" spans="1:13">
      <c r="A978" s="54" t="str">
        <f>D978&amp;E978&amp;F978</f>
        <v>HRJMASA9</v>
      </c>
      <c r="B978" t="s">
        <v>814</v>
      </c>
      <c r="C978" s="1">
        <v>45755</v>
      </c>
      <c r="D978" s="71" t="s">
        <v>29</v>
      </c>
      <c r="E978" s="71" t="s">
        <v>137</v>
      </c>
      <c r="F978" s="77" t="s">
        <v>95</v>
      </c>
      <c r="G978" s="71" t="s">
        <v>216</v>
      </c>
      <c r="H978" s="169"/>
      <c r="I978" s="169"/>
      <c r="J978" s="270" t="s">
        <v>235</v>
      </c>
      <c r="K978" s="332"/>
      <c r="L978" s="326">
        <v>774</v>
      </c>
      <c r="M978" s="163">
        <f>M977+K978-L978</f>
        <v>-21116.494280000021</v>
      </c>
    </row>
    <row r="979" spans="1:13">
      <c r="A979" s="54" t="str">
        <f>D979&amp;E979&amp;F979</f>
        <v>CAPJMASE1</v>
      </c>
      <c r="B979" t="s">
        <v>814</v>
      </c>
      <c r="C979" s="1">
        <v>45755</v>
      </c>
      <c r="D979" s="71" t="s">
        <v>31</v>
      </c>
      <c r="E979" s="71" t="s">
        <v>137</v>
      </c>
      <c r="F979" s="77" t="s">
        <v>107</v>
      </c>
      <c r="G979" s="71" t="s">
        <v>216</v>
      </c>
      <c r="H979" s="169"/>
      <c r="I979" s="169"/>
      <c r="J979" s="270" t="s">
        <v>836</v>
      </c>
      <c r="K979" s="332"/>
      <c r="L979" s="326">
        <v>2310</v>
      </c>
      <c r="M979" s="163">
        <f>M978+K979-L979</f>
        <v>-23426.494280000021</v>
      </c>
    </row>
    <row r="980" spans="1:13">
      <c r="A980" s="54" t="str">
        <f>D980&amp;E980&amp;F980</f>
        <v>HRJMASA1</v>
      </c>
      <c r="B980" t="s">
        <v>814</v>
      </c>
      <c r="C980" s="1">
        <v>45755</v>
      </c>
      <c r="D980" s="71" t="s">
        <v>29</v>
      </c>
      <c r="E980" s="71" t="s">
        <v>137</v>
      </c>
      <c r="F980" s="77" t="s">
        <v>88</v>
      </c>
      <c r="G980" s="71" t="s">
        <v>216</v>
      </c>
      <c r="H980" s="169"/>
      <c r="I980" s="169"/>
      <c r="J980" s="270" t="s">
        <v>232</v>
      </c>
      <c r="K980" s="332"/>
      <c r="L980" s="326">
        <v>1175</v>
      </c>
      <c r="M980" s="163">
        <f>M979+K980-L980</f>
        <v>-24601.494280000021</v>
      </c>
    </row>
    <row r="981" spans="1:13">
      <c r="A981" s="54" t="str">
        <f>D981&amp;E981&amp;F981</f>
        <v>SERVICIOSJMASCEDIS</v>
      </c>
      <c r="B981" t="s">
        <v>814</v>
      </c>
      <c r="C981" s="1">
        <v>45755</v>
      </c>
      <c r="D981" s="71" t="s">
        <v>21</v>
      </c>
      <c r="E981" s="71" t="s">
        <v>137</v>
      </c>
      <c r="F981" s="77" t="s">
        <v>28</v>
      </c>
      <c r="G981" s="71" t="s">
        <v>216</v>
      </c>
      <c r="H981" s="169"/>
      <c r="I981" s="169"/>
      <c r="J981" s="270" t="s">
        <v>237</v>
      </c>
      <c r="K981" s="332"/>
      <c r="L981" s="326">
        <v>2575</v>
      </c>
      <c r="M981" s="163">
        <f>M980+K981-L981</f>
        <v>-27176.494280000021</v>
      </c>
    </row>
    <row r="982" spans="1:13">
      <c r="A982" s="54" t="str">
        <f>D982&amp;E982&amp;F982</f>
        <v>SERVICIOSJMASCEDIS</v>
      </c>
      <c r="B982" t="s">
        <v>814</v>
      </c>
      <c r="C982" s="1">
        <v>45755</v>
      </c>
      <c r="D982" s="71" t="s">
        <v>21</v>
      </c>
      <c r="E982" s="71" t="s">
        <v>137</v>
      </c>
      <c r="F982" s="77" t="s">
        <v>28</v>
      </c>
      <c r="G982" s="71" t="s">
        <v>216</v>
      </c>
      <c r="H982" s="169"/>
      <c r="I982" s="169"/>
      <c r="J982" s="270" t="s">
        <v>237</v>
      </c>
      <c r="K982" s="332"/>
      <c r="L982" s="326">
        <v>1886</v>
      </c>
      <c r="M982" s="163">
        <f>M981+K982-L982</f>
        <v>-29062.494280000021</v>
      </c>
    </row>
    <row r="983" spans="1:13">
      <c r="A983" s="54" t="str">
        <f>D983&amp;E983&amp;F983</f>
        <v>HRJMASA2</v>
      </c>
      <c r="B983" t="s">
        <v>814</v>
      </c>
      <c r="C983" s="1">
        <v>45755</v>
      </c>
      <c r="D983" s="71" t="s">
        <v>29</v>
      </c>
      <c r="E983" s="71" t="s">
        <v>137</v>
      </c>
      <c r="F983" s="77" t="s">
        <v>89</v>
      </c>
      <c r="G983" s="71" t="s">
        <v>216</v>
      </c>
      <c r="H983" s="169"/>
      <c r="I983" s="169"/>
      <c r="J983" s="270" t="s">
        <v>837</v>
      </c>
      <c r="K983" s="332"/>
      <c r="L983" s="326">
        <v>949</v>
      </c>
      <c r="M983" s="163">
        <f>M982+K983-L983</f>
        <v>-30011.494280000021</v>
      </c>
    </row>
    <row r="984" spans="1:13">
      <c r="A984" s="54" t="str">
        <f>D984&amp;E984&amp;F984</f>
        <v>HRJMASA2</v>
      </c>
      <c r="B984" t="s">
        <v>814</v>
      </c>
      <c r="C984" s="1">
        <v>45755</v>
      </c>
      <c r="D984" s="71" t="s">
        <v>29</v>
      </c>
      <c r="E984" s="71" t="s">
        <v>137</v>
      </c>
      <c r="F984" s="77" t="s">
        <v>89</v>
      </c>
      <c r="G984" s="71" t="s">
        <v>216</v>
      </c>
      <c r="H984" s="169"/>
      <c r="I984" s="169"/>
      <c r="J984" s="270" t="s">
        <v>236</v>
      </c>
      <c r="K984" s="332"/>
      <c r="L984" s="326">
        <v>2505</v>
      </c>
      <c r="M984" s="163">
        <f>M983+K984-L984</f>
        <v>-32516.494280000021</v>
      </c>
    </row>
    <row r="985" spans="1:13">
      <c r="A985" s="54" t="str">
        <f>D985&amp;E985&amp;F985</f>
        <v>SERVICIOSMTTO EQ DE TRANSPORTESERVICIOS</v>
      </c>
      <c r="B985" t="s">
        <v>814</v>
      </c>
      <c r="C985" s="1">
        <v>45755</v>
      </c>
      <c r="D985" s="71" t="s">
        <v>21</v>
      </c>
      <c r="E985" s="71" t="s">
        <v>144</v>
      </c>
      <c r="F985" s="77" t="s">
        <v>21</v>
      </c>
      <c r="G985" s="71" t="s">
        <v>258</v>
      </c>
      <c r="H985" s="169"/>
      <c r="I985" s="169"/>
      <c r="J985" s="71" t="s">
        <v>838</v>
      </c>
      <c r="K985" s="332"/>
      <c r="L985" s="326">
        <v>7460</v>
      </c>
      <c r="M985" s="163">
        <f>M984+K985-L985</f>
        <v>-39976.494280000021</v>
      </c>
    </row>
    <row r="986" spans="1:13">
      <c r="A986" s="54" t="str">
        <f>D986&amp;E986&amp;F986</f>
        <v>HRMTTO EQ DE TRANSPORTEHR</v>
      </c>
      <c r="B986" t="s">
        <v>814</v>
      </c>
      <c r="C986" s="1">
        <v>45755</v>
      </c>
      <c r="D986" s="71" t="s">
        <v>29</v>
      </c>
      <c r="E986" s="71" t="s">
        <v>144</v>
      </c>
      <c r="F986" s="77" t="s">
        <v>29</v>
      </c>
      <c r="G986" s="71" t="s">
        <v>216</v>
      </c>
      <c r="H986" s="169"/>
      <c r="I986" s="169"/>
      <c r="J986" s="71" t="s">
        <v>839</v>
      </c>
      <c r="K986" s="332"/>
      <c r="L986" s="326">
        <v>2842</v>
      </c>
      <c r="M986" s="163">
        <f>M985+K986-L986</f>
        <v>-42818.494280000021</v>
      </c>
    </row>
    <row r="987" spans="1:13">
      <c r="A987" s="54" t="str">
        <f>D987&amp;E987&amp;F987</f>
        <v>HRMTTO EQ DE TRANSPORTEHR</v>
      </c>
      <c r="B987" t="s">
        <v>814</v>
      </c>
      <c r="C987" s="1">
        <v>45755</v>
      </c>
      <c r="D987" s="71" t="s">
        <v>29</v>
      </c>
      <c r="E987" s="71" t="s">
        <v>144</v>
      </c>
      <c r="F987" s="77" t="s">
        <v>29</v>
      </c>
      <c r="G987" s="71" t="s">
        <v>216</v>
      </c>
      <c r="H987" s="169"/>
      <c r="I987" s="169"/>
      <c r="J987" s="71" t="s">
        <v>840</v>
      </c>
      <c r="K987" s="332"/>
      <c r="L987" s="326">
        <v>2842</v>
      </c>
      <c r="M987" s="163">
        <f>M986+K987-L987</f>
        <v>-45660.494280000021</v>
      </c>
    </row>
    <row r="988" spans="1:13">
      <c r="A988" s="54" t="str">
        <f t="shared" si="16"/>
        <v>COMBUSTIBLE</v>
      </c>
      <c r="B988" t="s">
        <v>814</v>
      </c>
      <c r="C988" s="1">
        <v>45755</v>
      </c>
      <c r="D988" s="71"/>
      <c r="E988" s="71" t="s">
        <v>32</v>
      </c>
      <c r="F988" s="77"/>
      <c r="G988" s="71" t="s">
        <v>216</v>
      </c>
      <c r="H988" s="169"/>
      <c r="I988" s="169"/>
      <c r="J988" s="174" t="s">
        <v>440</v>
      </c>
      <c r="K988" s="339"/>
      <c r="L988" s="326">
        <v>7365.4</v>
      </c>
      <c r="M988" s="163">
        <f>M987+K988-L988</f>
        <v>-53025.894280000022</v>
      </c>
    </row>
    <row r="989" spans="1:13">
      <c r="A989" s="54" t="str">
        <f>D989&amp;E989&amp;F989</f>
        <v>SGESGMGESTION EMPRESARIAL</v>
      </c>
      <c r="B989" t="s">
        <v>814</v>
      </c>
      <c r="C989" s="1">
        <v>45755</v>
      </c>
      <c r="D989" s="71" t="s">
        <v>39</v>
      </c>
      <c r="E989" s="71" t="s">
        <v>176</v>
      </c>
      <c r="F989" s="77" t="s">
        <v>40</v>
      </c>
      <c r="G989" s="71" t="s">
        <v>216</v>
      </c>
      <c r="H989" s="169"/>
      <c r="I989" s="169"/>
      <c r="J989" s="71" t="s">
        <v>841</v>
      </c>
      <c r="K989" s="339"/>
      <c r="L989" s="326">
        <v>1750</v>
      </c>
      <c r="M989" s="163">
        <f>M988+K989-L989</f>
        <v>-54775.894280000022</v>
      </c>
    </row>
    <row r="990" spans="1:13">
      <c r="A990" s="54" t="str">
        <f>D990&amp;E990&amp;F990</f>
        <v>HRVIATICOSHR</v>
      </c>
      <c r="B990" t="s">
        <v>814</v>
      </c>
      <c r="C990" s="1">
        <v>45755</v>
      </c>
      <c r="D990" s="71" t="s">
        <v>29</v>
      </c>
      <c r="E990" s="71" t="s">
        <v>191</v>
      </c>
      <c r="F990" s="77" t="s">
        <v>29</v>
      </c>
      <c r="G990" s="71" t="s">
        <v>216</v>
      </c>
      <c r="H990" s="169"/>
      <c r="I990" s="169"/>
      <c r="J990" s="71" t="s">
        <v>842</v>
      </c>
      <c r="K990" s="339"/>
      <c r="L990" s="326">
        <v>1200</v>
      </c>
      <c r="M990" s="163">
        <f>M989+K990-L990</f>
        <v>-55975.894280000022</v>
      </c>
    </row>
    <row r="991" spans="1:13">
      <c r="A991" s="54" t="str">
        <f>D991&amp;E991&amp;F991</f>
        <v>HRUBERHR</v>
      </c>
      <c r="B991" t="s">
        <v>814</v>
      </c>
      <c r="C991" s="1">
        <v>45755</v>
      </c>
      <c r="D991" s="71" t="s">
        <v>29</v>
      </c>
      <c r="E991" s="71" t="s">
        <v>189</v>
      </c>
      <c r="F991" s="77" t="s">
        <v>29</v>
      </c>
      <c r="G991" s="71" t="s">
        <v>216</v>
      </c>
      <c r="H991" s="169"/>
      <c r="I991" s="169"/>
      <c r="J991" s="76" t="s">
        <v>456</v>
      </c>
      <c r="K991" s="332"/>
      <c r="L991" s="526">
        <v>75</v>
      </c>
      <c r="M991" s="163">
        <f>M990+K991-L991</f>
        <v>-56050.894280000022</v>
      </c>
    </row>
    <row r="992" spans="1:13">
      <c r="A992" s="54" t="str">
        <f>D992&amp;E992&amp;F992</f>
        <v>CAPUBERCAP</v>
      </c>
      <c r="B992" t="s">
        <v>814</v>
      </c>
      <c r="C992" s="1">
        <v>45755</v>
      </c>
      <c r="D992" s="71" t="s">
        <v>31</v>
      </c>
      <c r="E992" s="71" t="s">
        <v>189</v>
      </c>
      <c r="F992" s="77" t="s">
        <v>31</v>
      </c>
      <c r="G992" s="71" t="s">
        <v>216</v>
      </c>
      <c r="H992" s="169"/>
      <c r="I992" s="169"/>
      <c r="J992" s="76" t="s">
        <v>253</v>
      </c>
      <c r="K992" s="332"/>
      <c r="L992" s="526">
        <v>632</v>
      </c>
      <c r="M992" s="163">
        <f>M991+K992-L992</f>
        <v>-56682.894280000022</v>
      </c>
    </row>
    <row r="993" spans="1:13">
      <c r="A993" s="54" t="str">
        <f>D993&amp;E993&amp;F993</f>
        <v>CAPJMASE3</v>
      </c>
      <c r="B993" t="s">
        <v>814</v>
      </c>
      <c r="C993" s="1">
        <v>45755</v>
      </c>
      <c r="D993" s="71" t="s">
        <v>31</v>
      </c>
      <c r="E993" s="71" t="s">
        <v>137</v>
      </c>
      <c r="F993" s="77" t="s">
        <v>109</v>
      </c>
      <c r="G993" s="71" t="s">
        <v>216</v>
      </c>
      <c r="H993" s="169"/>
      <c r="I993" s="169"/>
      <c r="J993" s="76" t="s">
        <v>843</v>
      </c>
      <c r="K993" s="332"/>
      <c r="L993" s="331">
        <v>355</v>
      </c>
      <c r="M993" s="163">
        <f>M992+K993-L993</f>
        <v>-57037.894280000022</v>
      </c>
    </row>
    <row r="994" spans="1:13">
      <c r="A994" s="54" t="str">
        <f>D994&amp;E994&amp;F994</f>
        <v>CAPUBERCAP</v>
      </c>
      <c r="B994" t="s">
        <v>814</v>
      </c>
      <c r="C994" s="1">
        <v>45755</v>
      </c>
      <c r="D994" s="71" t="s">
        <v>31</v>
      </c>
      <c r="E994" s="71" t="s">
        <v>189</v>
      </c>
      <c r="F994" s="77" t="s">
        <v>31</v>
      </c>
      <c r="G994" s="71" t="s">
        <v>216</v>
      </c>
      <c r="H994" s="169"/>
      <c r="I994" s="169"/>
      <c r="J994" s="76" t="s">
        <v>280</v>
      </c>
      <c r="K994" s="332"/>
      <c r="L994" s="526">
        <v>170</v>
      </c>
      <c r="M994" s="163">
        <f>M993+K994-L994</f>
        <v>-57207.894280000022</v>
      </c>
    </row>
    <row r="995" spans="1:13">
      <c r="A995" s="54" t="str">
        <f>D995&amp;E995&amp;F995</f>
        <v>FINANZASFALTANTESFALTANTES</v>
      </c>
      <c r="B995" t="s">
        <v>814</v>
      </c>
      <c r="C995" s="1">
        <v>45755</v>
      </c>
      <c r="D995" s="71" t="s">
        <v>23</v>
      </c>
      <c r="E995" s="71" t="s">
        <v>119</v>
      </c>
      <c r="F995" s="77" t="s">
        <v>119</v>
      </c>
      <c r="G995" s="71" t="s">
        <v>258</v>
      </c>
      <c r="H995" s="169"/>
      <c r="I995" s="169"/>
      <c r="J995" s="76" t="s">
        <v>259</v>
      </c>
      <c r="K995" s="332"/>
      <c r="L995" s="331">
        <v>13156.18</v>
      </c>
      <c r="M995" s="163">
        <f>M994+K995-L995</f>
        <v>-70364.07428000003</v>
      </c>
    </row>
    <row r="996" spans="1:13">
      <c r="A996" s="54" t="str">
        <f t="shared" si="16"/>
        <v>NA</v>
      </c>
      <c r="B996" t="s">
        <v>814</v>
      </c>
      <c r="C996" s="1">
        <v>45756</v>
      </c>
      <c r="D996" s="71" t="s">
        <v>815</v>
      </c>
      <c r="F996" s="77"/>
      <c r="H996" s="169"/>
      <c r="I996" s="169"/>
      <c r="J996" s="71" t="s">
        <v>260</v>
      </c>
      <c r="K996" s="322">
        <v>186792.87</v>
      </c>
      <c r="L996" s="321"/>
      <c r="M996" s="163">
        <f>M995+K996-L996</f>
        <v>116428.79571999997</v>
      </c>
    </row>
    <row r="997" spans="1:13">
      <c r="A997" s="54" t="str">
        <f t="shared" si="16"/>
        <v>NA</v>
      </c>
      <c r="B997" t="s">
        <v>814</v>
      </c>
      <c r="C997" s="1">
        <v>45756</v>
      </c>
      <c r="D997" s="71" t="s">
        <v>815</v>
      </c>
      <c r="F997" s="77"/>
      <c r="H997" s="169"/>
      <c r="I997" s="169"/>
      <c r="J997" s="71" t="s">
        <v>844</v>
      </c>
      <c r="K997" s="322">
        <v>14489</v>
      </c>
      <c r="L997" s="321"/>
      <c r="M997" s="163">
        <f>M996+K997-L997</f>
        <v>130917.79571999997</v>
      </c>
    </row>
    <row r="998" spans="1:13">
      <c r="A998" s="54" t="str">
        <f>D998&amp;E998&amp;F998</f>
        <v>FINANZASCOMISIONES BANCARIASTPV</v>
      </c>
      <c r="B998" t="s">
        <v>814</v>
      </c>
      <c r="C998" s="1">
        <v>45756</v>
      </c>
      <c r="D998" s="71" t="s">
        <v>23</v>
      </c>
      <c r="E998" s="71" t="s">
        <v>48</v>
      </c>
      <c r="F998" s="77" t="s">
        <v>50</v>
      </c>
      <c r="G998" s="71" t="s">
        <v>216</v>
      </c>
      <c r="H998" s="169"/>
      <c r="I998" s="169"/>
      <c r="J998" s="71" t="s">
        <v>217</v>
      </c>
      <c r="K998" s="332"/>
      <c r="L998" s="331">
        <f>168.66+324.8+214.76+1602.22+1366.86</f>
        <v>3677.3</v>
      </c>
      <c r="M998" s="163">
        <f>M997+K998-L998</f>
        <v>127240.49571999996</v>
      </c>
    </row>
    <row r="999" spans="1:13">
      <c r="A999" s="54" t="str">
        <f t="shared" si="16"/>
        <v>NA</v>
      </c>
      <c r="B999" t="s">
        <v>814</v>
      </c>
      <c r="C999" s="1">
        <v>45756</v>
      </c>
      <c r="D999" s="71" t="s">
        <v>815</v>
      </c>
      <c r="F999" s="77"/>
      <c r="H999" s="169"/>
      <c r="I999" s="169"/>
      <c r="J999" s="205" t="s">
        <v>577</v>
      </c>
      <c r="K999" s="206"/>
      <c r="L999" s="206">
        <v>100000</v>
      </c>
      <c r="M999" s="163">
        <f>M998+K999-L999</f>
        <v>27240.495719999963</v>
      </c>
    </row>
    <row r="1000" spans="1:13">
      <c r="A1000" s="54" t="str">
        <f>D1000&amp;E1000&amp;F1000</f>
        <v>HRENERGIA ELECTRICAA17</v>
      </c>
      <c r="B1000" t="s">
        <v>814</v>
      </c>
      <c r="C1000" s="1">
        <v>45756</v>
      </c>
      <c r="D1000" s="71" t="s">
        <v>29</v>
      </c>
      <c r="E1000" s="71" t="s">
        <v>87</v>
      </c>
      <c r="F1000" s="77" t="s">
        <v>102</v>
      </c>
      <c r="H1000" s="169"/>
      <c r="I1000" s="169"/>
      <c r="J1000" s="71" t="s">
        <v>845</v>
      </c>
      <c r="K1000" s="321"/>
      <c r="L1000" s="326">
        <v>10827</v>
      </c>
      <c r="M1000" s="163">
        <f>M999+K1000-L1000</f>
        <v>16413.495719999963</v>
      </c>
    </row>
    <row r="1001" spans="1:13">
      <c r="A1001" s="54" t="str">
        <f>D1001&amp;E1001&amp;F1001</f>
        <v>SERVICIOSMTTO DE EDIFICIOMANTENIMIENTO</v>
      </c>
      <c r="B1001" t="s">
        <v>814</v>
      </c>
      <c r="C1001" s="1">
        <v>45756</v>
      </c>
      <c r="D1001" s="71" t="s">
        <v>21</v>
      </c>
      <c r="E1001" s="71" t="s">
        <v>142</v>
      </c>
      <c r="F1001" s="77" t="s">
        <v>35</v>
      </c>
      <c r="G1001" s="71" t="s">
        <v>216</v>
      </c>
      <c r="H1001" s="169"/>
      <c r="I1001" s="169"/>
      <c r="J1001" s="71" t="s">
        <v>846</v>
      </c>
      <c r="K1001" s="332"/>
      <c r="L1001" s="326">
        <v>7946.63</v>
      </c>
      <c r="M1001" s="163">
        <f>M1000+K1001-L1001</f>
        <v>8466.8657199999616</v>
      </c>
    </row>
    <row r="1002" spans="1:13">
      <c r="A1002" s="54" t="str">
        <f>D1002&amp;E1002&amp;F1002</f>
        <v>DESGMDIRECCION</v>
      </c>
      <c r="B1002" t="s">
        <v>814</v>
      </c>
      <c r="C1002" s="1">
        <v>45756</v>
      </c>
      <c r="D1002" s="71" t="s">
        <v>41</v>
      </c>
      <c r="E1002" s="71" t="s">
        <v>176</v>
      </c>
      <c r="F1002" s="77" t="s">
        <v>42</v>
      </c>
      <c r="G1002" s="71" t="s">
        <v>216</v>
      </c>
      <c r="H1002" s="169"/>
      <c r="I1002" s="169"/>
      <c r="J1002" s="71" t="s">
        <v>847</v>
      </c>
      <c r="K1002" s="321"/>
      <c r="L1002" s="326">
        <v>28866.22</v>
      </c>
      <c r="M1002" s="163">
        <f>M1001+K1002-L1002</f>
        <v>-20399.35428000004</v>
      </c>
    </row>
    <row r="1003" spans="1:13">
      <c r="A1003" s="54" t="str">
        <f>D1003&amp;E1003&amp;F1003</f>
        <v>SERVICIOSFONDO Y REPOSICIONSERVICIOS</v>
      </c>
      <c r="B1003" t="s">
        <v>814</v>
      </c>
      <c r="C1003" s="1">
        <v>45756</v>
      </c>
      <c r="D1003" s="71" t="s">
        <v>21</v>
      </c>
      <c r="E1003" s="71" t="s">
        <v>120</v>
      </c>
      <c r="F1003" s="77" t="s">
        <v>21</v>
      </c>
      <c r="G1003" s="71" t="s">
        <v>216</v>
      </c>
      <c r="H1003" s="169"/>
      <c r="I1003" s="169"/>
      <c r="J1003" s="71" t="s">
        <v>848</v>
      </c>
      <c r="K1003" s="321"/>
      <c r="L1003" s="326">
        <v>2000</v>
      </c>
      <c r="M1003" s="163">
        <f>M1002+K1003-L1003</f>
        <v>-22399.35428000004</v>
      </c>
    </row>
    <row r="1004" spans="1:13">
      <c r="A1004" s="54" t="str">
        <f>D1004&amp;E1004&amp;F1004</f>
        <v>CAPVIATICOSCAPRICHOS</v>
      </c>
      <c r="B1004" t="s">
        <v>814</v>
      </c>
      <c r="C1004" s="1">
        <v>45756</v>
      </c>
      <c r="D1004" s="71" t="s">
        <v>31</v>
      </c>
      <c r="E1004" s="71" t="s">
        <v>191</v>
      </c>
      <c r="F1004" s="77" t="s">
        <v>33</v>
      </c>
      <c r="G1004" s="71" t="s">
        <v>216</v>
      </c>
      <c r="H1004" s="169"/>
      <c r="I1004" s="169"/>
      <c r="J1004" s="71" t="s">
        <v>849</v>
      </c>
      <c r="K1004" s="321"/>
      <c r="L1004" s="326">
        <v>6000</v>
      </c>
      <c r="M1004" s="163">
        <f>M1003+K1004-L1004</f>
        <v>-28399.35428000004</v>
      </c>
    </row>
    <row r="1005" spans="1:13">
      <c r="A1005" s="54" t="str">
        <f>D1005&amp;E1005&amp;F1005</f>
        <v>SERVICIOSINSUMOSCADENA DE SUMINISTROS</v>
      </c>
      <c r="B1005" t="s">
        <v>814</v>
      </c>
      <c r="C1005" s="1">
        <v>45756</v>
      </c>
      <c r="D1005" s="71" t="s">
        <v>21</v>
      </c>
      <c r="E1005" s="71" t="s">
        <v>133</v>
      </c>
      <c r="F1005" s="77" t="s">
        <v>134</v>
      </c>
      <c r="G1005" s="71" t="s">
        <v>216</v>
      </c>
      <c r="H1005" s="169"/>
      <c r="I1005" s="169"/>
      <c r="J1005" s="71" t="s">
        <v>850</v>
      </c>
      <c r="K1005" s="321"/>
      <c r="L1005" s="326">
        <v>4096.25</v>
      </c>
      <c r="M1005" s="163">
        <f>M1004+K1005-L1005</f>
        <v>-32495.60428000004</v>
      </c>
    </row>
    <row r="1006" spans="1:13">
      <c r="A1006" s="54" t="str">
        <f>D1006&amp;E1006&amp;F1006</f>
        <v>SERVICIOSMTTO DE EDIFICIOMANTENIMIENTO</v>
      </c>
      <c r="B1006" t="s">
        <v>814</v>
      </c>
      <c r="C1006" s="1">
        <v>45756</v>
      </c>
      <c r="D1006" s="71" t="s">
        <v>21</v>
      </c>
      <c r="E1006" s="71" t="s">
        <v>142</v>
      </c>
      <c r="F1006" s="71" t="s">
        <v>35</v>
      </c>
      <c r="G1006" s="71" t="s">
        <v>216</v>
      </c>
      <c r="H1006" s="169"/>
      <c r="I1006" s="169"/>
      <c r="J1006" s="71" t="s">
        <v>851</v>
      </c>
      <c r="K1006" s="332"/>
      <c r="L1006" s="326">
        <v>2715</v>
      </c>
      <c r="M1006" s="163">
        <f>M1005+K1006-L1006</f>
        <v>-35210.604280000043</v>
      </c>
    </row>
    <row r="1007" spans="1:13">
      <c r="A1007" s="54" t="str">
        <f>D1007&amp;E1007&amp;F1007</f>
        <v>FINANZASTELEFONIATELCEL</v>
      </c>
      <c r="B1007" t="s">
        <v>814</v>
      </c>
      <c r="C1007" s="1">
        <v>45756</v>
      </c>
      <c r="D1007" s="71" t="s">
        <v>23</v>
      </c>
      <c r="E1007" s="71" t="s">
        <v>181</v>
      </c>
      <c r="F1007" s="77" t="s">
        <v>183</v>
      </c>
      <c r="H1007" s="169"/>
      <c r="I1007" s="169"/>
      <c r="J1007" s="71" t="s">
        <v>554</v>
      </c>
      <c r="K1007" s="332"/>
      <c r="L1007" s="326">
        <v>3388.04</v>
      </c>
      <c r="M1007" s="163">
        <f>M1006+K1007-L1007</f>
        <v>-38598.644280000044</v>
      </c>
    </row>
    <row r="1008" spans="1:13">
      <c r="A1008" s="54" t="str">
        <f>D1008&amp;E1008&amp;F1008</f>
        <v>HRMKTMKT HR</v>
      </c>
      <c r="B1008" t="s">
        <v>814</v>
      </c>
      <c r="C1008" s="1">
        <v>45756</v>
      </c>
      <c r="D1008" s="71" t="s">
        <v>29</v>
      </c>
      <c r="E1008" s="71" t="s">
        <v>19</v>
      </c>
      <c r="F1008" s="77" t="s">
        <v>138</v>
      </c>
      <c r="G1008" s="71" t="s">
        <v>216</v>
      </c>
      <c r="H1008" s="169"/>
      <c r="I1008" s="169"/>
      <c r="J1008" s="71" t="s">
        <v>852</v>
      </c>
      <c r="K1008" s="332"/>
      <c r="L1008" s="326">
        <v>700</v>
      </c>
      <c r="M1008" s="163">
        <f>M1007+K1008-L1008</f>
        <v>-39298.644280000044</v>
      </c>
    </row>
    <row r="1009" spans="1:13">
      <c r="A1009" s="54" t="str">
        <f>D1009&amp;E1009&amp;F1009</f>
        <v>CAPVIATICOSCAPRICHOS</v>
      </c>
      <c r="B1009" t="s">
        <v>814</v>
      </c>
      <c r="C1009" s="1">
        <v>45756</v>
      </c>
      <c r="D1009" s="71" t="s">
        <v>31</v>
      </c>
      <c r="E1009" s="71" t="s">
        <v>191</v>
      </c>
      <c r="F1009" s="77" t="s">
        <v>33</v>
      </c>
      <c r="G1009" s="71" t="s">
        <v>216</v>
      </c>
      <c r="H1009" s="169"/>
      <c r="I1009" s="169"/>
      <c r="J1009" s="71" t="s">
        <v>853</v>
      </c>
      <c r="K1009" s="322"/>
      <c r="L1009" s="323">
        <v>4200</v>
      </c>
      <c r="M1009" s="163">
        <f>M1008+K1009-L1009</f>
        <v>-43498.644280000044</v>
      </c>
    </row>
    <row r="1010" spans="1:13">
      <c r="A1010" s="54" t="str">
        <f>D1010&amp;E1010&amp;F1010</f>
        <v>CAPVIATICOSCAPRICHOS</v>
      </c>
      <c r="B1010" t="s">
        <v>814</v>
      </c>
      <c r="C1010" s="1">
        <v>45756</v>
      </c>
      <c r="D1010" s="71" t="s">
        <v>31</v>
      </c>
      <c r="E1010" s="71" t="s">
        <v>191</v>
      </c>
      <c r="F1010" s="77" t="s">
        <v>33</v>
      </c>
      <c r="G1010" s="71" t="s">
        <v>216</v>
      </c>
      <c r="H1010" s="169"/>
      <c r="I1010" s="169"/>
      <c r="J1010" s="71" t="s">
        <v>853</v>
      </c>
      <c r="K1010" s="322"/>
      <c r="L1010" s="323">
        <v>6000</v>
      </c>
      <c r="M1010" s="163">
        <f>M1009+K1010-L1010</f>
        <v>-49498.644280000044</v>
      </c>
    </row>
    <row r="1011" spans="1:13">
      <c r="A1011" s="54" t="str">
        <f>D1011&amp;E1011&amp;F1011</f>
        <v>HRUBERHR</v>
      </c>
      <c r="B1011" t="s">
        <v>814</v>
      </c>
      <c r="C1011" s="1">
        <v>45756</v>
      </c>
      <c r="D1011" s="71" t="s">
        <v>29</v>
      </c>
      <c r="E1011" s="71" t="s">
        <v>189</v>
      </c>
      <c r="F1011" s="77" t="s">
        <v>29</v>
      </c>
      <c r="G1011" s="71" t="s">
        <v>216</v>
      </c>
      <c r="H1011" s="169"/>
      <c r="I1011" s="169"/>
      <c r="J1011" s="76" t="s">
        <v>854</v>
      </c>
      <c r="K1011" s="332"/>
      <c r="L1011" s="526">
        <v>420</v>
      </c>
      <c r="M1011" s="163">
        <f>M1010+K1011-L1011</f>
        <v>-49918.644280000044</v>
      </c>
    </row>
    <row r="1012" spans="1:13">
      <c r="A1012" s="54" t="str">
        <f>D1012&amp;E1012&amp;F1012</f>
        <v>CAPUBERCAP</v>
      </c>
      <c r="B1012" t="s">
        <v>814</v>
      </c>
      <c r="C1012" s="1">
        <v>45756</v>
      </c>
      <c r="D1012" s="71" t="s">
        <v>31</v>
      </c>
      <c r="E1012" s="71" t="s">
        <v>189</v>
      </c>
      <c r="F1012" s="77" t="s">
        <v>31</v>
      </c>
      <c r="G1012" s="71" t="s">
        <v>216</v>
      </c>
      <c r="H1012" s="169"/>
      <c r="I1012" s="169"/>
      <c r="J1012" s="76" t="s">
        <v>253</v>
      </c>
      <c r="K1012" s="332"/>
      <c r="L1012" s="526">
        <v>383</v>
      </c>
      <c r="M1012" s="163">
        <f>M1011+K1012-L1012</f>
        <v>-50301.644280000044</v>
      </c>
    </row>
    <row r="1013" spans="1:13">
      <c r="A1013" s="54" t="str">
        <f>D1013&amp;E1013&amp;F1013</f>
        <v>CAPINSUMOSCAPRICHOS</v>
      </c>
      <c r="B1013" t="s">
        <v>814</v>
      </c>
      <c r="C1013" s="1">
        <v>45756</v>
      </c>
      <c r="D1013" s="71" t="s">
        <v>31</v>
      </c>
      <c r="E1013" s="71" t="s">
        <v>133</v>
      </c>
      <c r="F1013" s="77" t="s">
        <v>33</v>
      </c>
      <c r="G1013" s="71" t="s">
        <v>258</v>
      </c>
      <c r="H1013" s="169"/>
      <c r="I1013" s="169"/>
      <c r="J1013" s="76" t="s">
        <v>855</v>
      </c>
      <c r="K1013" s="332"/>
      <c r="L1013" s="331">
        <v>343</v>
      </c>
      <c r="M1013" s="163">
        <f>M1012+K1013-L1013</f>
        <v>-50644.644280000044</v>
      </c>
    </row>
    <row r="1014" spans="1:13">
      <c r="A1014" s="54" t="str">
        <f>D1014&amp;E1014&amp;F1014</f>
        <v>CAPUBERCAP</v>
      </c>
      <c r="B1014" t="s">
        <v>814</v>
      </c>
      <c r="C1014" s="1">
        <v>45756</v>
      </c>
      <c r="D1014" s="71" t="s">
        <v>31</v>
      </c>
      <c r="E1014" s="71" t="s">
        <v>189</v>
      </c>
      <c r="F1014" s="77" t="s">
        <v>31</v>
      </c>
      <c r="G1014" s="71" t="s">
        <v>216</v>
      </c>
      <c r="H1014" s="169"/>
      <c r="I1014" s="169"/>
      <c r="J1014" s="76" t="s">
        <v>257</v>
      </c>
      <c r="K1014" s="332"/>
      <c r="L1014" s="526">
        <v>110</v>
      </c>
      <c r="M1014" s="163">
        <f>M1013+K1014-L1014</f>
        <v>-50754.644280000044</v>
      </c>
    </row>
    <row r="1015" spans="1:13">
      <c r="A1015" s="54" t="str">
        <f>D1015&amp;E1015&amp;F1015</f>
        <v>CAPINSUMOSCAPRICHOS</v>
      </c>
      <c r="B1015" t="s">
        <v>814</v>
      </c>
      <c r="C1015" s="1">
        <v>45756</v>
      </c>
      <c r="D1015" s="71" t="s">
        <v>31</v>
      </c>
      <c r="E1015" s="71" t="s">
        <v>133</v>
      </c>
      <c r="F1015" s="77" t="s">
        <v>33</v>
      </c>
      <c r="G1015" s="71" t="s">
        <v>258</v>
      </c>
      <c r="H1015" s="169"/>
      <c r="I1015" s="169"/>
      <c r="J1015" s="76" t="s">
        <v>362</v>
      </c>
      <c r="K1015" s="332"/>
      <c r="L1015" s="331">
        <v>105</v>
      </c>
      <c r="M1015" s="163">
        <f>M1014+K1015-L1015</f>
        <v>-50859.644280000044</v>
      </c>
    </row>
    <row r="1016" spans="1:13">
      <c r="A1016" s="54" t="str">
        <f>D1016&amp;E1016&amp;F1016</f>
        <v>FINANZASFALTANTESFALTANTES</v>
      </c>
      <c r="B1016" t="s">
        <v>814</v>
      </c>
      <c r="C1016" s="1">
        <v>45756</v>
      </c>
      <c r="D1016" s="71" t="s">
        <v>23</v>
      </c>
      <c r="E1016" s="71" t="s">
        <v>119</v>
      </c>
      <c r="F1016" s="77" t="s">
        <v>119</v>
      </c>
      <c r="G1016" s="71" t="s">
        <v>258</v>
      </c>
      <c r="H1016" s="169"/>
      <c r="I1016" s="169"/>
      <c r="J1016" s="76" t="s">
        <v>259</v>
      </c>
      <c r="K1016" s="332"/>
      <c r="L1016" s="331">
        <v>3101.13</v>
      </c>
      <c r="M1016" s="163">
        <f>M1015+K1016-L1016</f>
        <v>-53960.774280000041</v>
      </c>
    </row>
    <row r="1017" spans="1:13">
      <c r="A1017" s="54" t="str">
        <f t="shared" si="16"/>
        <v>NA</v>
      </c>
      <c r="B1017" t="s">
        <v>814</v>
      </c>
      <c r="C1017" s="1">
        <v>45757</v>
      </c>
      <c r="D1017" s="71" t="s">
        <v>815</v>
      </c>
      <c r="F1017" s="77"/>
      <c r="H1017" s="169"/>
      <c r="I1017" s="169"/>
      <c r="J1017" s="71" t="s">
        <v>260</v>
      </c>
      <c r="K1017" s="322">
        <v>192773.04</v>
      </c>
      <c r="L1017" s="332"/>
      <c r="M1017" s="163">
        <f>M1016+K1017-L1017</f>
        <v>138812.26571999997</v>
      </c>
    </row>
    <row r="1018" spans="1:13">
      <c r="A1018" s="54" t="str">
        <f>D1018&amp;E1018&amp;F1018</f>
        <v>FINANZASCOMISIONES BANCARIASTPV</v>
      </c>
      <c r="B1018" t="s">
        <v>814</v>
      </c>
      <c r="C1018" s="1">
        <v>45757</v>
      </c>
      <c r="D1018" s="71" t="s">
        <v>23</v>
      </c>
      <c r="E1018" s="71" t="s">
        <v>48</v>
      </c>
      <c r="F1018" s="77" t="s">
        <v>50</v>
      </c>
      <c r="G1018" s="71" t="s">
        <v>216</v>
      </c>
      <c r="H1018" s="169"/>
      <c r="I1018" s="169"/>
      <c r="J1018" s="71" t="s">
        <v>217</v>
      </c>
      <c r="K1018" s="332"/>
      <c r="L1018" s="331">
        <f>163+129.91+138.34+1789.23+1646.38</f>
        <v>3866.86</v>
      </c>
      <c r="M1018" s="163">
        <f>M1017+K1018-L1018</f>
        <v>134945.40571999998</v>
      </c>
    </row>
    <row r="1019" spans="1:13">
      <c r="A1019" s="54" t="str">
        <f t="shared" si="16"/>
        <v>NA</v>
      </c>
      <c r="B1019" t="s">
        <v>814</v>
      </c>
      <c r="C1019" s="1">
        <v>45757</v>
      </c>
      <c r="D1019" s="71" t="s">
        <v>815</v>
      </c>
      <c r="F1019" s="77"/>
      <c r="H1019" s="169"/>
      <c r="I1019" s="169"/>
      <c r="J1019" s="205" t="s">
        <v>577</v>
      </c>
      <c r="K1019" s="206"/>
      <c r="L1019" s="206">
        <v>150000</v>
      </c>
      <c r="M1019" s="163">
        <f>M1018+K1019-L1019</f>
        <v>-15054.594280000019</v>
      </c>
    </row>
    <row r="1020" spans="1:13">
      <c r="A1020" s="54" t="str">
        <f>D1020&amp;E1020&amp;F1020</f>
        <v>FINANZASVIATICOSFINANZAS</v>
      </c>
      <c r="B1020" t="s">
        <v>814</v>
      </c>
      <c r="C1020" s="1">
        <v>45757</v>
      </c>
      <c r="D1020" s="71" t="s">
        <v>23</v>
      </c>
      <c r="E1020" s="71" t="s">
        <v>191</v>
      </c>
      <c r="F1020" s="77" t="s">
        <v>23</v>
      </c>
      <c r="G1020" s="71" t="s">
        <v>216</v>
      </c>
      <c r="H1020" s="169"/>
      <c r="I1020" s="169"/>
      <c r="J1020" s="71" t="s">
        <v>856</v>
      </c>
      <c r="K1020" s="332"/>
      <c r="L1020" s="326">
        <v>700</v>
      </c>
      <c r="M1020" s="163">
        <f>M1019+K1020-L1020</f>
        <v>-15754.594280000019</v>
      </c>
    </row>
    <row r="1021" spans="1:13">
      <c r="A1021" s="54" t="str">
        <f>D1021&amp;E1021&amp;F1021</f>
        <v>SERVICIOSPAQUETERIACEDIS (E6)</v>
      </c>
      <c r="B1021" t="s">
        <v>814</v>
      </c>
      <c r="C1021" s="1">
        <v>45757</v>
      </c>
      <c r="D1021" s="71" t="s">
        <v>21</v>
      </c>
      <c r="E1021" s="71" t="s">
        <v>160</v>
      </c>
      <c r="F1021" s="77" t="s">
        <v>161</v>
      </c>
      <c r="G1021" s="71" t="s">
        <v>216</v>
      </c>
      <c r="H1021" s="169"/>
      <c r="I1021" s="169"/>
      <c r="J1021" s="71" t="s">
        <v>857</v>
      </c>
      <c r="K1021" s="321"/>
      <c r="L1021" s="326">
        <v>462.61</v>
      </c>
      <c r="M1021" s="163">
        <f>M1020+K1021-L1021</f>
        <v>-16217.20428000002</v>
      </c>
    </row>
    <row r="1022" spans="1:13">
      <c r="A1022" s="54" t="str">
        <f>D1022&amp;E1022&amp;F1022</f>
        <v>SERVICIOSINSUMOSCADENA DE SUMINISTROS</v>
      </c>
      <c r="B1022" t="s">
        <v>814</v>
      </c>
      <c r="C1022" s="1">
        <v>45757</v>
      </c>
      <c r="D1022" s="71" t="s">
        <v>21</v>
      </c>
      <c r="E1022" s="71" t="s">
        <v>133</v>
      </c>
      <c r="F1022" s="77" t="s">
        <v>134</v>
      </c>
      <c r="G1022" s="71" t="s">
        <v>216</v>
      </c>
      <c r="H1022" s="169"/>
      <c r="I1022" s="169"/>
      <c r="J1022" s="71" t="s">
        <v>858</v>
      </c>
      <c r="K1022" s="321"/>
      <c r="L1022" s="326">
        <v>6496</v>
      </c>
      <c r="M1022" s="163">
        <f>M1021+K1022-L1022</f>
        <v>-22713.20428000002</v>
      </c>
    </row>
    <row r="1023" spans="1:13">
      <c r="A1023" s="54" t="str">
        <f>D1023&amp;E1023&amp;F1023</f>
        <v>CAPFONDO Y REPOSICIONCAPRICHOS</v>
      </c>
      <c r="B1023" t="s">
        <v>814</v>
      </c>
      <c r="C1023" s="1">
        <v>45757</v>
      </c>
      <c r="D1023" s="71" t="s">
        <v>31</v>
      </c>
      <c r="E1023" s="71" t="s">
        <v>120</v>
      </c>
      <c r="F1023" s="77" t="s">
        <v>33</v>
      </c>
      <c r="G1023" s="71" t="s">
        <v>216</v>
      </c>
      <c r="H1023" s="169"/>
      <c r="I1023" s="169"/>
      <c r="J1023" s="71" t="s">
        <v>859</v>
      </c>
      <c r="K1023" s="321"/>
      <c r="L1023" s="326">
        <v>4116</v>
      </c>
      <c r="M1023" s="163">
        <f>M1022+K1023-L1023</f>
        <v>-26829.20428000002</v>
      </c>
    </row>
    <row r="1024" spans="1:13">
      <c r="A1024" s="54" t="str">
        <f>D1024&amp;E1024&amp;F1024</f>
        <v>CAPUBERCAP</v>
      </c>
      <c r="B1024" t="s">
        <v>814</v>
      </c>
      <c r="C1024" s="1">
        <v>45757</v>
      </c>
      <c r="D1024" s="71" t="s">
        <v>31</v>
      </c>
      <c r="E1024" s="71" t="s">
        <v>189</v>
      </c>
      <c r="F1024" s="77" t="s">
        <v>31</v>
      </c>
      <c r="G1024" s="71" t="s">
        <v>216</v>
      </c>
      <c r="H1024" s="169"/>
      <c r="I1024" s="169"/>
      <c r="J1024" s="76" t="s">
        <v>860</v>
      </c>
      <c r="K1024" s="332"/>
      <c r="L1024" s="526">
        <v>418</v>
      </c>
      <c r="M1024" s="163">
        <f>M1023+K1024-L1024</f>
        <v>-27247.20428000002</v>
      </c>
    </row>
    <row r="1025" spans="1:13">
      <c r="A1025" s="54" t="str">
        <f>D1025&amp;E1025&amp;F1025</f>
        <v>CAPUBERCAP</v>
      </c>
      <c r="B1025" t="s">
        <v>814</v>
      </c>
      <c r="C1025" s="1">
        <v>45757</v>
      </c>
      <c r="D1025" s="71" t="s">
        <v>31</v>
      </c>
      <c r="E1025" s="71" t="s">
        <v>189</v>
      </c>
      <c r="F1025" s="77" t="s">
        <v>31</v>
      </c>
      <c r="G1025" s="71" t="s">
        <v>216</v>
      </c>
      <c r="H1025" s="169"/>
      <c r="I1025" s="169"/>
      <c r="J1025" s="76" t="s">
        <v>861</v>
      </c>
      <c r="K1025" s="332"/>
      <c r="L1025" s="526">
        <v>219</v>
      </c>
      <c r="M1025" s="163">
        <f>M1024+K1025-L1025</f>
        <v>-27466.20428000002</v>
      </c>
    </row>
    <row r="1026" spans="1:13">
      <c r="A1026" s="54" t="str">
        <f>D1026&amp;E1026&amp;F1026</f>
        <v>FINANZASFALTANTESFALTANTES</v>
      </c>
      <c r="B1026" t="s">
        <v>814</v>
      </c>
      <c r="C1026" s="1">
        <v>45757</v>
      </c>
      <c r="D1026" s="71" t="s">
        <v>23</v>
      </c>
      <c r="E1026" s="71" t="s">
        <v>119</v>
      </c>
      <c r="F1026" s="77" t="s">
        <v>119</v>
      </c>
      <c r="G1026" s="71" t="s">
        <v>258</v>
      </c>
      <c r="H1026" s="169"/>
      <c r="I1026" s="169"/>
      <c r="J1026" s="76" t="s">
        <v>259</v>
      </c>
      <c r="K1026" s="332"/>
      <c r="L1026" s="326">
        <v>3693.48</v>
      </c>
      <c r="M1026" s="163">
        <f>M1025+K1026-L1026</f>
        <v>-31159.684280000019</v>
      </c>
    </row>
    <row r="1027" spans="1:13">
      <c r="A1027" s="54" t="str">
        <f t="shared" si="16"/>
        <v>NA</v>
      </c>
      <c r="B1027" t="s">
        <v>814</v>
      </c>
      <c r="C1027" s="1">
        <v>45758</v>
      </c>
      <c r="D1027" s="71" t="s">
        <v>815</v>
      </c>
      <c r="F1027" s="77"/>
      <c r="H1027" s="169"/>
      <c r="I1027" s="169"/>
      <c r="J1027" s="71" t="s">
        <v>260</v>
      </c>
      <c r="K1027" s="322">
        <v>221787.51</v>
      </c>
      <c r="L1027" s="332"/>
      <c r="M1027" s="163">
        <f>M1026+K1027-L1027</f>
        <v>190627.82571999999</v>
      </c>
    </row>
    <row r="1028" spans="1:13">
      <c r="A1028" s="54" t="str">
        <f>D1028&amp;E1028&amp;F1028</f>
        <v>FINANZASCOMISIONES BANCARIASTPV</v>
      </c>
      <c r="B1028" t="s">
        <v>814</v>
      </c>
      <c r="C1028" s="1">
        <v>45758</v>
      </c>
      <c r="D1028" s="71" t="s">
        <v>23</v>
      </c>
      <c r="E1028" s="71" t="s">
        <v>48</v>
      </c>
      <c r="F1028" s="77" t="s">
        <v>50</v>
      </c>
      <c r="G1028" s="71" t="s">
        <v>216</v>
      </c>
      <c r="H1028" s="169"/>
      <c r="I1028" s="169"/>
      <c r="J1028" s="71" t="s">
        <v>217</v>
      </c>
      <c r="K1028" s="332"/>
      <c r="L1028" s="331">
        <f>236.04+756.93+197.23+1785.36+1936.59</f>
        <v>4912.1499999999996</v>
      </c>
      <c r="M1028" s="163">
        <f>M1027+K1028-L1028</f>
        <v>185715.67572</v>
      </c>
    </row>
    <row r="1029" spans="1:13">
      <c r="A1029" s="54" t="str">
        <f t="shared" si="16"/>
        <v>NA</v>
      </c>
      <c r="B1029" t="s">
        <v>814</v>
      </c>
      <c r="C1029" s="1">
        <v>45758</v>
      </c>
      <c r="D1029" s="71" t="s">
        <v>815</v>
      </c>
      <c r="F1029" s="77"/>
      <c r="H1029" s="169"/>
      <c r="I1029" s="169"/>
      <c r="J1029" s="205" t="s">
        <v>577</v>
      </c>
      <c r="K1029" s="206"/>
      <c r="L1029" s="206">
        <v>200000</v>
      </c>
      <c r="M1029" s="163">
        <f>M1028+K1029-L1029</f>
        <v>-14284.324280000001</v>
      </c>
    </row>
    <row r="1030" spans="1:13">
      <c r="A1030" s="54" t="str">
        <f>D1030&amp;E1030&amp;F1030</f>
        <v>HRIMAGEN VISUALIMAGEN VISUAL HR</v>
      </c>
      <c r="B1030" t="s">
        <v>814</v>
      </c>
      <c r="C1030" s="1">
        <v>45758</v>
      </c>
      <c r="D1030" s="71" t="s">
        <v>29</v>
      </c>
      <c r="E1030" s="71" t="s">
        <v>127</v>
      </c>
      <c r="F1030" s="77" t="s">
        <v>128</v>
      </c>
      <c r="G1030" s="71" t="s">
        <v>216</v>
      </c>
      <c r="H1030" s="169"/>
      <c r="I1030" s="169"/>
      <c r="J1030" s="71" t="s">
        <v>862</v>
      </c>
      <c r="K1030" s="332"/>
      <c r="L1030" s="326">
        <v>16765.849999999999</v>
      </c>
      <c r="M1030" s="163">
        <f>M1029+K1030-L1030</f>
        <v>-31050.174279999999</v>
      </c>
    </row>
    <row r="1031" spans="1:13">
      <c r="A1031" s="54" t="str">
        <f>D1031&amp;E1031&amp;F1031</f>
        <v>SERVICIOSALARMASUCURSALES HR</v>
      </c>
      <c r="B1031" t="s">
        <v>814</v>
      </c>
      <c r="C1031" s="1">
        <v>45758</v>
      </c>
      <c r="D1031" s="71" t="s">
        <v>21</v>
      </c>
      <c r="E1031" s="71" t="s">
        <v>25</v>
      </c>
      <c r="F1031" s="77" t="s">
        <v>26</v>
      </c>
      <c r="G1031" s="71" t="s">
        <v>216</v>
      </c>
      <c r="H1031" s="169"/>
      <c r="I1031" s="169"/>
      <c r="J1031" s="71" t="s">
        <v>863</v>
      </c>
      <c r="K1031" s="322"/>
      <c r="L1031" s="323">
        <v>5600</v>
      </c>
      <c r="M1031" s="163">
        <f>M1030+K1031-L1031</f>
        <v>-36650.174279999999</v>
      </c>
    </row>
    <row r="1032" spans="1:13">
      <c r="A1032" s="54" t="str">
        <f>D1032&amp;E1032&amp;F1032</f>
        <v>SERVICIOSALARMACEDIS</v>
      </c>
      <c r="B1032" t="s">
        <v>814</v>
      </c>
      <c r="C1032" s="1">
        <v>45758</v>
      </c>
      <c r="D1032" s="71" t="s">
        <v>21</v>
      </c>
      <c r="E1032" s="71" t="s">
        <v>25</v>
      </c>
      <c r="F1032" s="77" t="s">
        <v>28</v>
      </c>
      <c r="G1032" s="71" t="s">
        <v>258</v>
      </c>
      <c r="H1032" s="169"/>
      <c r="I1032" s="169"/>
      <c r="J1032" s="71" t="s">
        <v>864</v>
      </c>
      <c r="K1032" s="332"/>
      <c r="L1032" s="326">
        <v>1350</v>
      </c>
      <c r="M1032" s="163">
        <f>M1031+K1032-L1032</f>
        <v>-38000.174279999999</v>
      </c>
    </row>
    <row r="1033" spans="1:13">
      <c r="A1033" s="54" t="str">
        <f>D1033&amp;E1033&amp;F1033</f>
        <v>SERVICIOSALARMACEDIS</v>
      </c>
      <c r="B1033" t="s">
        <v>814</v>
      </c>
      <c r="C1033" s="1">
        <v>45758</v>
      </c>
      <c r="D1033" s="71" t="s">
        <v>21</v>
      </c>
      <c r="E1033" s="71" t="s">
        <v>25</v>
      </c>
      <c r="F1033" s="77" t="s">
        <v>28</v>
      </c>
      <c r="G1033" s="71" t="s">
        <v>258</v>
      </c>
      <c r="H1033" s="169"/>
      <c r="I1033" s="169"/>
      <c r="J1033" s="71" t="s">
        <v>865</v>
      </c>
      <c r="K1033" s="332"/>
      <c r="L1033" s="326">
        <v>4350</v>
      </c>
      <c r="M1033" s="163">
        <f>M1032+K1033-L1033</f>
        <v>-42350.174279999999</v>
      </c>
    </row>
    <row r="1034" spans="1:13">
      <c r="A1034" s="54" t="str">
        <f>D1034&amp;E1034&amp;F1034</f>
        <v>ELIVIATICOSL1</v>
      </c>
      <c r="B1034" t="s">
        <v>814</v>
      </c>
      <c r="C1034" s="1">
        <v>45758</v>
      </c>
      <c r="D1034" s="71" t="s">
        <v>130</v>
      </c>
      <c r="E1034" s="71" t="s">
        <v>191</v>
      </c>
      <c r="F1034" s="77" t="s">
        <v>136</v>
      </c>
      <c r="G1034" s="71" t="s">
        <v>216</v>
      </c>
      <c r="H1034" s="169"/>
      <c r="I1034" s="169"/>
      <c r="J1034" s="71" t="s">
        <v>866</v>
      </c>
      <c r="K1034" s="332"/>
      <c r="L1034" s="326">
        <v>1000</v>
      </c>
      <c r="M1034" s="163">
        <f>M1033+K1034-L1034</f>
        <v>-43350.174279999999</v>
      </c>
    </row>
    <row r="1035" spans="1:13">
      <c r="A1035" s="54" t="str">
        <f>D1035&amp;E1035&amp;F1035</f>
        <v>DEVIATICOSDIRECCION</v>
      </c>
      <c r="B1035" t="s">
        <v>814</v>
      </c>
      <c r="C1035" s="1">
        <v>45758</v>
      </c>
      <c r="D1035" s="71" t="s">
        <v>41</v>
      </c>
      <c r="E1035" s="71" t="s">
        <v>191</v>
      </c>
      <c r="F1035" s="77" t="s">
        <v>42</v>
      </c>
      <c r="G1035" s="71" t="s">
        <v>258</v>
      </c>
      <c r="H1035" s="169"/>
      <c r="I1035" s="169"/>
      <c r="J1035" s="71" t="s">
        <v>867</v>
      </c>
      <c r="K1035" s="321"/>
      <c r="L1035" s="326">
        <v>3000</v>
      </c>
      <c r="M1035" s="163">
        <f>M1034+K1035-L1035</f>
        <v>-46350.174279999999</v>
      </c>
    </row>
    <row r="1036" spans="1:13">
      <c r="A1036" s="54" t="str">
        <f>D1036&amp;E1036&amp;F1036</f>
        <v>SERVICIOSMTTO EQ DE TRANSPORTECEDIS</v>
      </c>
      <c r="B1036" t="s">
        <v>814</v>
      </c>
      <c r="C1036" s="1">
        <v>45758</v>
      </c>
      <c r="D1036" s="71" t="s">
        <v>21</v>
      </c>
      <c r="E1036" s="71" t="s">
        <v>144</v>
      </c>
      <c r="F1036" s="77" t="s">
        <v>28</v>
      </c>
      <c r="G1036" s="71" t="s">
        <v>258</v>
      </c>
      <c r="H1036" s="169"/>
      <c r="I1036" s="169"/>
      <c r="J1036" s="71" t="s">
        <v>868</v>
      </c>
      <c r="K1036" s="321"/>
      <c r="L1036" s="208">
        <v>7505</v>
      </c>
      <c r="M1036" s="163">
        <f>M1035+K1036-L1036</f>
        <v>-53855.174279999999</v>
      </c>
    </row>
    <row r="1037" spans="1:13">
      <c r="A1037" s="54" t="str">
        <f>D1037&amp;E1037&amp;F1037</f>
        <v>FINANZASFONDO Y REPOSICIONFINANZAS</v>
      </c>
      <c r="B1037" t="s">
        <v>814</v>
      </c>
      <c r="C1037" s="1">
        <v>45758</v>
      </c>
      <c r="D1037" s="71" t="s">
        <v>23</v>
      </c>
      <c r="E1037" s="71" t="s">
        <v>120</v>
      </c>
      <c r="F1037" s="77" t="s">
        <v>23</v>
      </c>
      <c r="G1037" s="71" t="s">
        <v>258</v>
      </c>
      <c r="H1037" s="169"/>
      <c r="I1037" s="169"/>
      <c r="J1037" s="71" t="s">
        <v>869</v>
      </c>
      <c r="K1037" s="321"/>
      <c r="L1037" s="326">
        <v>485</v>
      </c>
      <c r="M1037" s="163">
        <f>M1036+K1037-L1037</f>
        <v>-54340.174279999999</v>
      </c>
    </row>
    <row r="1038" spans="1:13">
      <c r="A1038" s="54" t="str">
        <f>D1038&amp;E1038&amp;F1038</f>
        <v>SERVICIOSMTTO DE EDIFICIOMANTENIMIENTO</v>
      </c>
      <c r="B1038" t="s">
        <v>814</v>
      </c>
      <c r="C1038" s="1">
        <v>45758</v>
      </c>
      <c r="D1038" s="71" t="s">
        <v>21</v>
      </c>
      <c r="E1038" s="71" t="s">
        <v>142</v>
      </c>
      <c r="F1038" s="77" t="s">
        <v>35</v>
      </c>
      <c r="G1038" s="71" t="s">
        <v>258</v>
      </c>
      <c r="H1038" s="169"/>
      <c r="I1038" s="169"/>
      <c r="J1038" s="71" t="s">
        <v>870</v>
      </c>
      <c r="K1038" s="321"/>
      <c r="L1038" s="326">
        <v>16700</v>
      </c>
      <c r="M1038" s="163">
        <f>M1037+K1038-L1038</f>
        <v>-71040.174280000007</v>
      </c>
    </row>
    <row r="1039" spans="1:13">
      <c r="A1039" s="54" t="str">
        <f t="shared" ref="A1032:A1095" si="17">D1039&amp;E1039&amp;F1039</f>
        <v>COMBUSTIBLE</v>
      </c>
      <c r="B1039" t="s">
        <v>814</v>
      </c>
      <c r="C1039" s="1">
        <v>45758</v>
      </c>
      <c r="D1039" s="71"/>
      <c r="E1039" s="71" t="s">
        <v>32</v>
      </c>
      <c r="F1039" s="77"/>
      <c r="G1039" s="71" t="s">
        <v>216</v>
      </c>
      <c r="H1039" s="169"/>
      <c r="I1039" s="169"/>
      <c r="J1039" s="71" t="s">
        <v>440</v>
      </c>
      <c r="K1039" s="332"/>
      <c r="L1039" s="326">
        <v>31566</v>
      </c>
      <c r="M1039" s="163">
        <f>M1038+K1039-L1039</f>
        <v>-102606.17428000001</v>
      </c>
    </row>
    <row r="1040" spans="1:13">
      <c r="A1040" s="54" t="str">
        <f>D1040&amp;E1040&amp;F1040</f>
        <v>HRUBERHR</v>
      </c>
      <c r="B1040" t="s">
        <v>814</v>
      </c>
      <c r="C1040" s="1">
        <v>45758</v>
      </c>
      <c r="D1040" s="71" t="s">
        <v>29</v>
      </c>
      <c r="E1040" s="71" t="s">
        <v>189</v>
      </c>
      <c r="F1040" s="77" t="s">
        <v>29</v>
      </c>
      <c r="G1040" s="71" t="s">
        <v>216</v>
      </c>
      <c r="H1040" s="169"/>
      <c r="I1040" s="169"/>
      <c r="J1040" s="76" t="s">
        <v>306</v>
      </c>
      <c r="K1040" s="332"/>
      <c r="L1040" s="526">
        <v>30</v>
      </c>
      <c r="M1040" s="163">
        <f>M1039+K1040-L1040</f>
        <v>-102636.17428000001</v>
      </c>
    </row>
    <row r="1041" spans="1:13">
      <c r="A1041" s="54" t="str">
        <f>D1041&amp;E1041&amp;F1041</f>
        <v>HRUBERHR</v>
      </c>
      <c r="B1041" t="s">
        <v>814</v>
      </c>
      <c r="C1041" s="1">
        <v>45758</v>
      </c>
      <c r="D1041" s="71" t="s">
        <v>29</v>
      </c>
      <c r="E1041" s="71" t="s">
        <v>189</v>
      </c>
      <c r="F1041" s="77" t="s">
        <v>29</v>
      </c>
      <c r="G1041" s="71" t="s">
        <v>216</v>
      </c>
      <c r="H1041" s="169"/>
      <c r="I1041" s="169"/>
      <c r="J1041" s="76" t="s">
        <v>871</v>
      </c>
      <c r="K1041" s="332"/>
      <c r="L1041" s="526">
        <v>537</v>
      </c>
      <c r="M1041" s="163">
        <f>M1040+K1041-L1041</f>
        <v>-103173.17428000001</v>
      </c>
    </row>
    <row r="1042" spans="1:13">
      <c r="A1042" s="54" t="str">
        <f>D1042&amp;E1042&amp;F1042</f>
        <v>HRJMASA11</v>
      </c>
      <c r="B1042" t="s">
        <v>814</v>
      </c>
      <c r="C1042" s="1">
        <v>45758</v>
      </c>
      <c r="D1042" s="71" t="s">
        <v>29</v>
      </c>
      <c r="E1042" s="71" t="s">
        <v>137</v>
      </c>
      <c r="F1042" s="77" t="s">
        <v>97</v>
      </c>
      <c r="G1042" s="71" t="s">
        <v>216</v>
      </c>
      <c r="H1042" s="169"/>
      <c r="I1042" s="169"/>
      <c r="J1042" s="76" t="s">
        <v>429</v>
      </c>
      <c r="K1042" s="332"/>
      <c r="L1042" s="331">
        <v>547</v>
      </c>
      <c r="M1042" s="163">
        <f>M1041+K1042-L1042</f>
        <v>-103720.17428000001</v>
      </c>
    </row>
    <row r="1043" spans="1:13">
      <c r="A1043" s="54" t="str">
        <f>D1043&amp;E1043&amp;F1043</f>
        <v>HRINSUMOSHR</v>
      </c>
      <c r="B1043" t="s">
        <v>814</v>
      </c>
      <c r="C1043" s="1">
        <v>45758</v>
      </c>
      <c r="D1043" s="71" t="s">
        <v>29</v>
      </c>
      <c r="E1043" s="71" t="s">
        <v>133</v>
      </c>
      <c r="F1043" s="77" t="s">
        <v>29</v>
      </c>
      <c r="G1043" s="71" t="s">
        <v>216</v>
      </c>
      <c r="H1043" s="169"/>
      <c r="I1043" s="169"/>
      <c r="J1043" s="76" t="s">
        <v>638</v>
      </c>
      <c r="K1043" s="332"/>
      <c r="L1043" s="331">
        <v>60</v>
      </c>
      <c r="M1043" s="163">
        <f>M1042+K1043-L1043</f>
        <v>-103780.17428000001</v>
      </c>
    </row>
    <row r="1044" spans="1:13">
      <c r="A1044" s="54" t="str">
        <f>D1044&amp;E1044&amp;F1044</f>
        <v>HRVACACIONES/FINIQUITOSHR</v>
      </c>
      <c r="B1044" t="s">
        <v>814</v>
      </c>
      <c r="C1044" s="1">
        <v>45758</v>
      </c>
      <c r="D1044" t="s">
        <v>29</v>
      </c>
      <c r="E1044" s="12" t="s">
        <v>190</v>
      </c>
      <c r="F1044" s="12" t="s">
        <v>29</v>
      </c>
      <c r="G1044" s="71" t="s">
        <v>216</v>
      </c>
      <c r="H1044" s="169"/>
      <c r="I1044" s="169"/>
      <c r="J1044" s="76" t="s">
        <v>872</v>
      </c>
      <c r="K1044" s="322"/>
      <c r="L1044" s="327">
        <v>200</v>
      </c>
      <c r="M1044" s="163">
        <f>M1043+K1044-L1044</f>
        <v>-103980.17428000001</v>
      </c>
    </row>
    <row r="1045" spans="1:13">
      <c r="A1045" s="54" t="str">
        <f>D1045&amp;E1045&amp;F1045</f>
        <v>HRUBERHR</v>
      </c>
      <c r="B1045" t="s">
        <v>814</v>
      </c>
      <c r="C1045" s="1">
        <v>45758</v>
      </c>
      <c r="D1045" s="71" t="s">
        <v>29</v>
      </c>
      <c r="E1045" s="71" t="s">
        <v>189</v>
      </c>
      <c r="F1045" s="77" t="s">
        <v>29</v>
      </c>
      <c r="G1045" s="71" t="s">
        <v>216</v>
      </c>
      <c r="H1045" s="169"/>
      <c r="I1045" s="169"/>
      <c r="J1045" s="76" t="s">
        <v>250</v>
      </c>
      <c r="K1045" s="322"/>
      <c r="L1045" s="525">
        <v>220</v>
      </c>
      <c r="M1045" s="163">
        <f>M1044+K1045-L1045</f>
        <v>-104200.17428000001</v>
      </c>
    </row>
    <row r="1046" spans="1:13">
      <c r="A1046" s="54" t="str">
        <f>D1046&amp;E1046&amp;F1046</f>
        <v>CAPUBERCAP</v>
      </c>
      <c r="B1046" t="s">
        <v>814</v>
      </c>
      <c r="C1046" s="1">
        <v>45758</v>
      </c>
      <c r="D1046" s="71" t="s">
        <v>31</v>
      </c>
      <c r="E1046" s="71" t="s">
        <v>189</v>
      </c>
      <c r="F1046" s="77" t="s">
        <v>31</v>
      </c>
      <c r="G1046" s="71" t="s">
        <v>216</v>
      </c>
      <c r="H1046" s="169"/>
      <c r="I1046" s="169"/>
      <c r="J1046" s="76" t="s">
        <v>873</v>
      </c>
      <c r="K1046" s="332"/>
      <c r="L1046" s="526">
        <v>511</v>
      </c>
      <c r="M1046" s="163">
        <f>M1045+K1046-L1046</f>
        <v>-104711.17428000001</v>
      </c>
    </row>
    <row r="1047" spans="1:13">
      <c r="A1047" s="54" t="str">
        <f>D1047&amp;E1047&amp;F1047</f>
        <v>CAPUBERCAP</v>
      </c>
      <c r="B1047" t="s">
        <v>814</v>
      </c>
      <c r="C1047" s="1">
        <v>45758</v>
      </c>
      <c r="D1047" s="71" t="s">
        <v>31</v>
      </c>
      <c r="E1047" s="71" t="s">
        <v>189</v>
      </c>
      <c r="F1047" s="77" t="s">
        <v>31</v>
      </c>
      <c r="G1047" s="71" t="s">
        <v>216</v>
      </c>
      <c r="H1047" s="169"/>
      <c r="I1047" s="169"/>
      <c r="J1047" s="76" t="s">
        <v>874</v>
      </c>
      <c r="K1047" s="332"/>
      <c r="L1047" s="526">
        <v>100</v>
      </c>
      <c r="M1047" s="163">
        <f>M1046+K1047-L1047</f>
        <v>-104811.17428000001</v>
      </c>
    </row>
    <row r="1048" spans="1:13">
      <c r="A1048" s="54" t="str">
        <f>D1048&amp;E1048&amp;F1048</f>
        <v>FINANZASFALTANTESFALTANTES</v>
      </c>
      <c r="B1048" t="s">
        <v>814</v>
      </c>
      <c r="C1048" s="1">
        <v>45758</v>
      </c>
      <c r="D1048" s="71" t="s">
        <v>23</v>
      </c>
      <c r="E1048" s="71" t="s">
        <v>119</v>
      </c>
      <c r="F1048" s="77" t="s">
        <v>119</v>
      </c>
      <c r="G1048" s="71" t="s">
        <v>258</v>
      </c>
      <c r="H1048" s="169"/>
      <c r="I1048" s="169"/>
      <c r="J1048" s="71" t="s">
        <v>259</v>
      </c>
      <c r="K1048" s="332"/>
      <c r="L1048" s="331">
        <v>6252.68</v>
      </c>
      <c r="M1048" s="163">
        <f>M1047+K1048-L1048</f>
        <v>-111063.85428</v>
      </c>
    </row>
    <row r="1049" spans="1:13">
      <c r="A1049" s="54" t="str">
        <f t="shared" si="17"/>
        <v>NA</v>
      </c>
      <c r="B1049" t="s">
        <v>814</v>
      </c>
      <c r="C1049" s="1">
        <v>45761</v>
      </c>
      <c r="D1049" s="71" t="s">
        <v>815</v>
      </c>
      <c r="F1049" s="77"/>
      <c r="H1049" s="169"/>
      <c r="I1049" s="169"/>
      <c r="J1049" s="71" t="s">
        <v>260</v>
      </c>
      <c r="K1049" s="322">
        <f>892650.89-38186.51</f>
        <v>854464.38</v>
      </c>
      <c r="L1049" s="332"/>
      <c r="M1049" s="163">
        <f>M1048+K1049-L1049</f>
        <v>743400.52572000003</v>
      </c>
    </row>
    <row r="1050" spans="1:13">
      <c r="A1050" s="54" t="str">
        <f>D1050&amp;E1050&amp;F1050</f>
        <v>FINANZASCOMISIONES BANCARIASTPV</v>
      </c>
      <c r="B1050" t="s">
        <v>814</v>
      </c>
      <c r="C1050" s="1">
        <v>45761</v>
      </c>
      <c r="D1050" s="71" t="s">
        <v>23</v>
      </c>
      <c r="E1050" s="71" t="s">
        <v>48</v>
      </c>
      <c r="F1050" s="77" t="s">
        <v>50</v>
      </c>
      <c r="G1050" s="71" t="s">
        <v>216</v>
      </c>
      <c r="H1050" s="169"/>
      <c r="I1050" s="169"/>
      <c r="J1050" s="71" t="s">
        <v>217</v>
      </c>
      <c r="K1050" s="332"/>
      <c r="L1050" s="331">
        <f>1390.89+2121.03+629.06+7945.48+6454.94</f>
        <v>18541.399999999998</v>
      </c>
      <c r="M1050" s="163">
        <f>M1049+K1050-L1050</f>
        <v>724859.12572000001</v>
      </c>
    </row>
    <row r="1051" spans="1:13">
      <c r="A1051" s="54" t="str">
        <f t="shared" si="17"/>
        <v>NA</v>
      </c>
      <c r="B1051" t="s">
        <v>814</v>
      </c>
      <c r="C1051" s="1">
        <v>45761</v>
      </c>
      <c r="D1051" s="71" t="s">
        <v>815</v>
      </c>
      <c r="F1051" s="77"/>
      <c r="H1051" s="169"/>
      <c r="I1051" s="169"/>
      <c r="J1051" s="205" t="s">
        <v>577</v>
      </c>
      <c r="K1051" s="206"/>
      <c r="L1051" s="206">
        <v>550000</v>
      </c>
      <c r="M1051" s="163">
        <f>M1050+K1051-L1051</f>
        <v>174859.12572000001</v>
      </c>
    </row>
    <row r="1052" spans="1:13">
      <c r="A1052" s="54" t="str">
        <f t="shared" si="17"/>
        <v>NA</v>
      </c>
      <c r="B1052" t="s">
        <v>814</v>
      </c>
      <c r="C1052" s="1">
        <v>45761</v>
      </c>
      <c r="D1052" s="71" t="s">
        <v>815</v>
      </c>
      <c r="F1052" s="77"/>
      <c r="H1052" s="169"/>
      <c r="I1052" s="169"/>
      <c r="J1052" s="205" t="s">
        <v>222</v>
      </c>
      <c r="K1052" s="206"/>
      <c r="L1052" s="206">
        <v>100000</v>
      </c>
      <c r="M1052" s="163">
        <f>M1051+K1052-L1052</f>
        <v>74859.125720000011</v>
      </c>
    </row>
    <row r="1053" spans="1:13">
      <c r="A1053" s="54" t="str">
        <f>D1053&amp;E1053&amp;F1053</f>
        <v>FINANZASFONDO Y REPOSICIONFINANZAS</v>
      </c>
      <c r="B1053" t="s">
        <v>814</v>
      </c>
      <c r="C1053" s="1">
        <v>45761</v>
      </c>
      <c r="D1053" s="71" t="s">
        <v>23</v>
      </c>
      <c r="E1053" s="71" t="s">
        <v>120</v>
      </c>
      <c r="F1053" s="77" t="s">
        <v>23</v>
      </c>
      <c r="G1053" s="71" t="s">
        <v>258</v>
      </c>
      <c r="H1053" s="169"/>
      <c r="I1053" s="169"/>
      <c r="J1053" s="71" t="s">
        <v>875</v>
      </c>
      <c r="K1053" s="332"/>
      <c r="L1053" s="326">
        <v>300</v>
      </c>
      <c r="M1053" s="163">
        <f>M1052+K1053-L1053</f>
        <v>74559.125720000011</v>
      </c>
    </row>
    <row r="1054" spans="1:13">
      <c r="A1054" s="54" t="str">
        <f>D1054&amp;E1054&amp;F1054</f>
        <v>FINANZASMTTO EQ DE TRANSPORTETESORERIA</v>
      </c>
      <c r="B1054" t="s">
        <v>814</v>
      </c>
      <c r="C1054" s="1">
        <v>45761</v>
      </c>
      <c r="D1054" s="71" t="s">
        <v>23</v>
      </c>
      <c r="E1054" s="71" t="s">
        <v>144</v>
      </c>
      <c r="F1054" s="77" t="s">
        <v>38</v>
      </c>
      <c r="G1054" s="71" t="s">
        <v>216</v>
      </c>
      <c r="H1054" s="169"/>
      <c r="I1054" s="169"/>
      <c r="J1054" s="71" t="s">
        <v>876</v>
      </c>
      <c r="K1054" s="332"/>
      <c r="L1054" s="326">
        <v>2500</v>
      </c>
      <c r="M1054" s="163">
        <f>M1053+K1054-L1054</f>
        <v>72059.125720000011</v>
      </c>
    </row>
    <row r="1055" spans="1:13">
      <c r="A1055" s="54" t="str">
        <f>D1055&amp;E1055&amp;F1055</f>
        <v>SERVICIOSVIATICOSCEDIS</v>
      </c>
      <c r="B1055" t="s">
        <v>814</v>
      </c>
      <c r="C1055" s="1">
        <v>45761</v>
      </c>
      <c r="D1055" s="71" t="s">
        <v>21</v>
      </c>
      <c r="E1055" s="71" t="s">
        <v>191</v>
      </c>
      <c r="F1055" s="77" t="s">
        <v>28</v>
      </c>
      <c r="G1055" s="71" t="s">
        <v>216</v>
      </c>
      <c r="H1055" s="169"/>
      <c r="I1055" s="169"/>
      <c r="J1055" s="71" t="s">
        <v>510</v>
      </c>
      <c r="K1055" s="332"/>
      <c r="L1055" s="326">
        <v>2050</v>
      </c>
      <c r="M1055" s="163">
        <f>M1054+K1055-L1055</f>
        <v>70009.125720000011</v>
      </c>
    </row>
    <row r="1056" spans="1:13">
      <c r="A1056" s="54" t="str">
        <f>D1056&amp;E1056&amp;F1056</f>
        <v>FINANZASFONDO Y REPOSICIONFINANZAS</v>
      </c>
      <c r="B1056" t="s">
        <v>814</v>
      </c>
      <c r="C1056" s="1">
        <v>45761</v>
      </c>
      <c r="D1056" s="71" t="s">
        <v>23</v>
      </c>
      <c r="E1056" s="71" t="s">
        <v>120</v>
      </c>
      <c r="F1056" s="77" t="s">
        <v>23</v>
      </c>
      <c r="G1056" s="71" t="s">
        <v>216</v>
      </c>
      <c r="H1056" s="169"/>
      <c r="I1056" s="169"/>
      <c r="J1056" s="71" t="s">
        <v>877</v>
      </c>
      <c r="K1056" s="322"/>
      <c r="L1056" s="323">
        <v>50</v>
      </c>
      <c r="M1056" s="163">
        <f>M1055+K1056-L1056</f>
        <v>69959.125720000011</v>
      </c>
    </row>
    <row r="1057" spans="1:13">
      <c r="A1057" s="54" t="str">
        <f>D1057&amp;E1057&amp;F1057</f>
        <v>SERVICIOSVIATICOSSISTEMAS</v>
      </c>
      <c r="B1057" t="s">
        <v>814</v>
      </c>
      <c r="C1057" s="1">
        <v>45761</v>
      </c>
      <c r="D1057" s="71" t="s">
        <v>21</v>
      </c>
      <c r="E1057" s="71" t="s">
        <v>191</v>
      </c>
      <c r="F1057" s="77" t="s">
        <v>36</v>
      </c>
      <c r="G1057" s="71" t="s">
        <v>701</v>
      </c>
      <c r="H1057" s="169"/>
      <c r="I1057" s="169"/>
      <c r="J1057" s="71" t="s">
        <v>878</v>
      </c>
      <c r="K1057" s="322"/>
      <c r="L1057" s="323">
        <v>400</v>
      </c>
      <c r="M1057" s="163">
        <f>M1056+K1057-L1057</f>
        <v>69559.125720000011</v>
      </c>
    </row>
    <row r="1058" spans="1:13">
      <c r="A1058" s="54" t="str">
        <f>D1058&amp;E1058&amp;F1058</f>
        <v>SERVICIOSMTTO DE EDIFICIOMANTENIMIENTO</v>
      </c>
      <c r="B1058" t="s">
        <v>814</v>
      </c>
      <c r="C1058" s="1">
        <v>45761</v>
      </c>
      <c r="D1058" s="71" t="s">
        <v>21</v>
      </c>
      <c r="E1058" s="71" t="s">
        <v>142</v>
      </c>
      <c r="F1058" s="77" t="s">
        <v>35</v>
      </c>
      <c r="G1058" s="71" t="s">
        <v>216</v>
      </c>
      <c r="H1058" s="169"/>
      <c r="I1058" s="169"/>
      <c r="J1058" s="71" t="s">
        <v>879</v>
      </c>
      <c r="K1058" s="322"/>
      <c r="L1058" s="329">
        <v>10000</v>
      </c>
      <c r="M1058" s="163">
        <f>M1057+K1058-L1058</f>
        <v>59559.125720000011</v>
      </c>
    </row>
    <row r="1059" spans="1:13">
      <c r="A1059" s="54" t="str">
        <f>D1059&amp;E1059&amp;F1059</f>
        <v>FINANZASINSUMOSFINANZAS</v>
      </c>
      <c r="B1059" t="s">
        <v>814</v>
      </c>
      <c r="C1059" s="1">
        <v>45761</v>
      </c>
      <c r="D1059" s="71" t="s">
        <v>23</v>
      </c>
      <c r="E1059" s="71" t="s">
        <v>133</v>
      </c>
      <c r="F1059" s="77" t="s">
        <v>23</v>
      </c>
      <c r="G1059" s="71" t="s">
        <v>216</v>
      </c>
      <c r="H1059" s="169"/>
      <c r="I1059" s="169"/>
      <c r="J1059" s="71" t="s">
        <v>880</v>
      </c>
      <c r="K1059" s="322"/>
      <c r="L1059" s="329">
        <v>66</v>
      </c>
      <c r="M1059" s="163">
        <f>M1058+K1059-L1059</f>
        <v>59493.125720000011</v>
      </c>
    </row>
    <row r="1060" spans="1:13">
      <c r="A1060" s="54" t="str">
        <f>D1060&amp;E1060&amp;F1060</f>
        <v>SERVICIOSMTTO DE EDIFICIOMANTENIMIENTO</v>
      </c>
      <c r="B1060" t="s">
        <v>814</v>
      </c>
      <c r="C1060" s="1">
        <v>45761</v>
      </c>
      <c r="D1060" s="71" t="s">
        <v>21</v>
      </c>
      <c r="E1060" s="71" t="s">
        <v>142</v>
      </c>
      <c r="F1060" s="77" t="s">
        <v>35</v>
      </c>
      <c r="G1060" s="71" t="s">
        <v>216</v>
      </c>
      <c r="H1060" s="169"/>
      <c r="I1060" s="169"/>
      <c r="J1060" s="71" t="s">
        <v>881</v>
      </c>
      <c r="K1060" s="322"/>
      <c r="L1060" s="329">
        <v>881.6</v>
      </c>
      <c r="M1060" s="163">
        <f>M1059+K1060-L1060</f>
        <v>58611.525720000012</v>
      </c>
    </row>
    <row r="1061" spans="1:13">
      <c r="A1061" s="54" t="str">
        <f>D1061&amp;E1061&amp;F1061</f>
        <v>HRSGMHR</v>
      </c>
      <c r="B1061" t="s">
        <v>814</v>
      </c>
      <c r="C1061" s="1">
        <v>45761</v>
      </c>
      <c r="D1061" s="71" t="s">
        <v>29</v>
      </c>
      <c r="E1061" s="71" t="s">
        <v>176</v>
      </c>
      <c r="F1061" s="77" t="s">
        <v>29</v>
      </c>
      <c r="G1061" s="71" t="s">
        <v>216</v>
      </c>
      <c r="H1061" s="169"/>
      <c r="I1061" s="169"/>
      <c r="J1061" s="71" t="s">
        <v>882</v>
      </c>
      <c r="K1061" s="322"/>
      <c r="L1061" s="329">
        <v>17351.37</v>
      </c>
      <c r="M1061" s="163">
        <f>M1060+K1061-L1061</f>
        <v>41260.15572000001</v>
      </c>
    </row>
    <row r="1062" spans="1:13">
      <c r="A1062" s="54" t="str">
        <f>D1062&amp;E1062&amp;F1062</f>
        <v>FINANZASSGMFINANZAS</v>
      </c>
      <c r="B1062" t="s">
        <v>814</v>
      </c>
      <c r="C1062" s="1">
        <v>45761</v>
      </c>
      <c r="D1062" s="71" t="s">
        <v>23</v>
      </c>
      <c r="E1062" s="71" t="s">
        <v>176</v>
      </c>
      <c r="F1062" s="77" t="s">
        <v>23</v>
      </c>
      <c r="G1062" s="71" t="s">
        <v>216</v>
      </c>
      <c r="H1062" s="169"/>
      <c r="I1062" s="169"/>
      <c r="J1062" s="71" t="s">
        <v>883</v>
      </c>
      <c r="K1062" s="322"/>
      <c r="L1062" s="329">
        <v>17351.37</v>
      </c>
      <c r="M1062" s="163">
        <f>M1061+K1062-L1062</f>
        <v>23908.785720000011</v>
      </c>
    </row>
    <row r="1063" spans="1:13">
      <c r="A1063" s="54" t="str">
        <f>D1063&amp;E1063&amp;F1063</f>
        <v>FINANZASSGMFINANZAS</v>
      </c>
      <c r="B1063" t="s">
        <v>814</v>
      </c>
      <c r="C1063" s="1">
        <v>45761</v>
      </c>
      <c r="D1063" s="71" t="s">
        <v>23</v>
      </c>
      <c r="E1063" s="71" t="s">
        <v>176</v>
      </c>
      <c r="F1063" s="77" t="s">
        <v>23</v>
      </c>
      <c r="G1063" s="71" t="s">
        <v>216</v>
      </c>
      <c r="H1063" s="169"/>
      <c r="I1063" s="169"/>
      <c r="J1063" s="71" t="s">
        <v>884</v>
      </c>
      <c r="K1063" s="322"/>
      <c r="L1063" s="329">
        <v>17351.37</v>
      </c>
      <c r="M1063" s="163">
        <f>M1062+K1063-L1063</f>
        <v>6557.4157200000118</v>
      </c>
    </row>
    <row r="1064" spans="1:13">
      <c r="A1064" s="54" t="str">
        <f>D1064&amp;E1064&amp;F1064</f>
        <v>SGESGMGESTION EMPRESARIAL</v>
      </c>
      <c r="B1064" t="s">
        <v>814</v>
      </c>
      <c r="C1064" s="1">
        <v>45761</v>
      </c>
      <c r="D1064" s="71" t="s">
        <v>39</v>
      </c>
      <c r="E1064" s="71" t="s">
        <v>176</v>
      </c>
      <c r="F1064" s="77" t="s">
        <v>40</v>
      </c>
      <c r="G1064" s="71" t="s">
        <v>216</v>
      </c>
      <c r="H1064" s="169"/>
      <c r="I1064" s="169"/>
      <c r="J1064" s="71" t="s">
        <v>885</v>
      </c>
      <c r="K1064" s="322"/>
      <c r="L1064" s="329">
        <v>17351.37</v>
      </c>
      <c r="M1064" s="163">
        <f>M1063+K1064-L1064</f>
        <v>-10793.954279999987</v>
      </c>
    </row>
    <row r="1065" spans="1:13">
      <c r="A1065" s="54" t="str">
        <f>D1065&amp;E1065&amp;F1065</f>
        <v>SERVICIOSSGMSERVICIOS</v>
      </c>
      <c r="B1065" t="s">
        <v>814</v>
      </c>
      <c r="C1065" s="1">
        <v>45761</v>
      </c>
      <c r="D1065" s="71" t="s">
        <v>21</v>
      </c>
      <c r="E1065" s="71" t="s">
        <v>176</v>
      </c>
      <c r="F1065" s="77" t="s">
        <v>21</v>
      </c>
      <c r="G1065" s="71" t="s">
        <v>216</v>
      </c>
      <c r="H1065" s="169"/>
      <c r="I1065" s="169"/>
      <c r="J1065" s="71" t="s">
        <v>886</v>
      </c>
      <c r="K1065" s="322"/>
      <c r="L1065" s="329">
        <v>17351.37</v>
      </c>
      <c r="M1065" s="163">
        <f>M1064+K1065-L1065</f>
        <v>-28145.324279999986</v>
      </c>
    </row>
    <row r="1066" spans="1:13">
      <c r="A1066" s="54" t="str">
        <f>D1066&amp;E1066&amp;F1066</f>
        <v>HRNOMINA SUCURSALA1</v>
      </c>
      <c r="B1066" t="s">
        <v>814</v>
      </c>
      <c r="C1066" s="1">
        <v>45761</v>
      </c>
      <c r="D1066" s="71" t="s">
        <v>29</v>
      </c>
      <c r="E1066" s="71" t="s">
        <v>154</v>
      </c>
      <c r="F1066" s="77" t="s">
        <v>88</v>
      </c>
      <c r="G1066" s="71" t="s">
        <v>216</v>
      </c>
      <c r="H1066" s="169"/>
      <c r="I1066" s="169"/>
      <c r="J1066" s="76" t="s">
        <v>887</v>
      </c>
      <c r="K1066" s="332"/>
      <c r="L1066" s="352">
        <v>97</v>
      </c>
      <c r="M1066" s="163">
        <f>M1065+K1066-L1066</f>
        <v>-28242.324279999986</v>
      </c>
    </row>
    <row r="1067" spans="1:13">
      <c r="A1067" s="54" t="str">
        <f>D1067&amp;E1067&amp;F1067</f>
        <v>HRNOMINA SUCURSALA3</v>
      </c>
      <c r="B1067" t="s">
        <v>814</v>
      </c>
      <c r="C1067" s="1">
        <v>45761</v>
      </c>
      <c r="D1067" s="71" t="s">
        <v>29</v>
      </c>
      <c r="E1067" s="71" t="s">
        <v>154</v>
      </c>
      <c r="F1067" s="77" t="s">
        <v>90</v>
      </c>
      <c r="G1067" s="71" t="s">
        <v>216</v>
      </c>
      <c r="H1067" s="169"/>
      <c r="I1067" s="169"/>
      <c r="J1067" s="76" t="s">
        <v>888</v>
      </c>
      <c r="K1067" s="332"/>
      <c r="L1067" s="352">
        <v>1117</v>
      </c>
      <c r="M1067" s="163">
        <f>M1066+K1067-L1067</f>
        <v>-29359.324279999986</v>
      </c>
    </row>
    <row r="1068" spans="1:13">
      <c r="A1068" s="54" t="str">
        <f>D1068&amp;E1068&amp;F1068</f>
        <v>HRNOMINA SUCURSALA5</v>
      </c>
      <c r="B1068" t="s">
        <v>814</v>
      </c>
      <c r="C1068" s="1">
        <v>45761</v>
      </c>
      <c r="D1068" s="71" t="s">
        <v>29</v>
      </c>
      <c r="E1068" s="71" t="s">
        <v>154</v>
      </c>
      <c r="F1068" s="77" t="s">
        <v>92</v>
      </c>
      <c r="G1068" s="71" t="s">
        <v>216</v>
      </c>
      <c r="H1068" s="169"/>
      <c r="I1068" s="169"/>
      <c r="J1068" s="76" t="s">
        <v>889</v>
      </c>
      <c r="K1068" s="332"/>
      <c r="L1068" s="352">
        <v>476</v>
      </c>
      <c r="M1068" s="163">
        <f>M1067+K1068-L1068</f>
        <v>-29835.324279999986</v>
      </c>
    </row>
    <row r="1069" spans="1:13">
      <c r="A1069" s="54" t="str">
        <f>D1069&amp;E1069&amp;F1069</f>
        <v>HRUBERHR</v>
      </c>
      <c r="B1069" t="s">
        <v>814</v>
      </c>
      <c r="C1069" s="1">
        <v>45761</v>
      </c>
      <c r="D1069" s="71" t="s">
        <v>29</v>
      </c>
      <c r="E1069" s="71" t="s">
        <v>189</v>
      </c>
      <c r="F1069" s="77" t="s">
        <v>29</v>
      </c>
      <c r="G1069" s="71" t="s">
        <v>216</v>
      </c>
      <c r="H1069" s="169"/>
      <c r="I1069" s="169"/>
      <c r="J1069" s="76" t="s">
        <v>307</v>
      </c>
      <c r="K1069" s="322"/>
      <c r="L1069" s="525">
        <v>50</v>
      </c>
      <c r="M1069" s="163">
        <f>M1068+K1069-L1069</f>
        <v>-29885.324279999986</v>
      </c>
    </row>
    <row r="1070" spans="1:13">
      <c r="A1070" s="54" t="str">
        <f>D1070&amp;E1070&amp;F1070</f>
        <v>HRINSUMOSHR</v>
      </c>
      <c r="B1070" t="s">
        <v>814</v>
      </c>
      <c r="C1070" s="1">
        <v>45761</v>
      </c>
      <c r="D1070" s="71" t="s">
        <v>29</v>
      </c>
      <c r="E1070" s="71" t="s">
        <v>133</v>
      </c>
      <c r="F1070" s="77" t="s">
        <v>29</v>
      </c>
      <c r="G1070" s="71" t="s">
        <v>216</v>
      </c>
      <c r="H1070" s="169"/>
      <c r="I1070" s="169"/>
      <c r="J1070" s="76" t="s">
        <v>890</v>
      </c>
      <c r="K1070" s="322"/>
      <c r="L1070" s="353">
        <v>15</v>
      </c>
      <c r="M1070" s="163">
        <f>M1069+K1070-L1070</f>
        <v>-29900.324279999986</v>
      </c>
    </row>
    <row r="1071" spans="1:13">
      <c r="A1071" s="54" t="str">
        <f>D1071&amp;E1071&amp;F1071</f>
        <v>HRNOMINA SUCURSALA6</v>
      </c>
      <c r="B1071" t="s">
        <v>814</v>
      </c>
      <c r="C1071" s="1">
        <v>45761</v>
      </c>
      <c r="D1071" s="71" t="s">
        <v>29</v>
      </c>
      <c r="E1071" s="71" t="s">
        <v>154</v>
      </c>
      <c r="F1071" s="77" t="s">
        <v>93</v>
      </c>
      <c r="G1071" s="71" t="s">
        <v>216</v>
      </c>
      <c r="H1071" s="169"/>
      <c r="I1071" s="169"/>
      <c r="J1071" s="76" t="s">
        <v>891</v>
      </c>
      <c r="K1071" s="322"/>
      <c r="L1071" s="353">
        <v>587</v>
      </c>
      <c r="M1071" s="163">
        <f>M1070+K1071-L1071</f>
        <v>-30487.324279999986</v>
      </c>
    </row>
    <row r="1072" spans="1:13">
      <c r="A1072" s="54" t="str">
        <f>D1072&amp;E1072&amp;F1072</f>
        <v>SERVICIOSMTTO DE EDIFICIOMANTENIMIENTO</v>
      </c>
      <c r="B1072" t="s">
        <v>814</v>
      </c>
      <c r="C1072" s="1">
        <v>45761</v>
      </c>
      <c r="D1072" s="71" t="s">
        <v>21</v>
      </c>
      <c r="E1072" s="71" t="s">
        <v>142</v>
      </c>
      <c r="F1072" s="77" t="s">
        <v>35</v>
      </c>
      <c r="G1072" s="71" t="s">
        <v>216</v>
      </c>
      <c r="H1072" s="169"/>
      <c r="I1072" s="169"/>
      <c r="J1072" s="76" t="s">
        <v>892</v>
      </c>
      <c r="K1072" s="322"/>
      <c r="L1072" s="329">
        <v>748</v>
      </c>
      <c r="M1072" s="163">
        <f>M1071+K1072-L1072</f>
        <v>-31235.324279999986</v>
      </c>
    </row>
    <row r="1073" spans="1:13">
      <c r="A1073" s="54" t="str">
        <f>D1073&amp;E1073&amp;F1073</f>
        <v>HRNOMINA SUCURSALA8</v>
      </c>
      <c r="B1073" t="s">
        <v>814</v>
      </c>
      <c r="C1073" s="1">
        <v>45761</v>
      </c>
      <c r="D1073" s="71" t="s">
        <v>29</v>
      </c>
      <c r="E1073" s="71" t="s">
        <v>154</v>
      </c>
      <c r="F1073" s="77" t="s">
        <v>94</v>
      </c>
      <c r="G1073" s="71" t="s">
        <v>216</v>
      </c>
      <c r="H1073" s="169"/>
      <c r="I1073" s="169"/>
      <c r="J1073" s="76" t="s">
        <v>893</v>
      </c>
      <c r="K1073" s="332"/>
      <c r="L1073" s="323">
        <v>937</v>
      </c>
      <c r="M1073" s="163">
        <f>M1072+K1073-L1073</f>
        <v>-32172.324279999986</v>
      </c>
    </row>
    <row r="1074" spans="1:13">
      <c r="A1074" s="54" t="str">
        <f>D1074&amp;E1074&amp;F1074</f>
        <v>HRNOMINA SUCURSALA10</v>
      </c>
      <c r="B1074" t="s">
        <v>814</v>
      </c>
      <c r="C1074" s="1">
        <v>45761</v>
      </c>
      <c r="D1074" s="71" t="s">
        <v>29</v>
      </c>
      <c r="E1074" s="71" t="s">
        <v>154</v>
      </c>
      <c r="F1074" s="77" t="s">
        <v>96</v>
      </c>
      <c r="G1074" s="71" t="s">
        <v>216</v>
      </c>
      <c r="H1074" s="169"/>
      <c r="I1074" s="169"/>
      <c r="J1074" s="76" t="s">
        <v>248</v>
      </c>
      <c r="K1074" s="322"/>
      <c r="L1074" s="323">
        <v>238</v>
      </c>
      <c r="M1074" s="163">
        <f>M1073+K1074-L1074</f>
        <v>-32410.324279999986</v>
      </c>
    </row>
    <row r="1075" spans="1:13">
      <c r="A1075" s="54" t="str">
        <f>D1075&amp;E1075&amp;F1075</f>
        <v>HRNOMINA SUCURSALA12</v>
      </c>
      <c r="B1075" t="s">
        <v>814</v>
      </c>
      <c r="C1075" s="1">
        <v>45761</v>
      </c>
      <c r="D1075" s="71" t="s">
        <v>29</v>
      </c>
      <c r="E1075" s="71" t="s">
        <v>154</v>
      </c>
      <c r="F1075" s="77" t="s">
        <v>98</v>
      </c>
      <c r="G1075" s="71" t="s">
        <v>216</v>
      </c>
      <c r="H1075" s="169"/>
      <c r="I1075" s="169"/>
      <c r="J1075" s="76" t="s">
        <v>894</v>
      </c>
      <c r="K1075" s="322"/>
      <c r="L1075" s="323">
        <v>551</v>
      </c>
      <c r="M1075" s="163">
        <f>M1074+K1075-L1075</f>
        <v>-32961.324279999986</v>
      </c>
    </row>
    <row r="1076" spans="1:13">
      <c r="A1076" s="54" t="str">
        <f>D1076&amp;E1076&amp;F1076</f>
        <v>HRNOMINA SUCURSALA17</v>
      </c>
      <c r="B1076" t="s">
        <v>814</v>
      </c>
      <c r="C1076" s="1">
        <v>45761</v>
      </c>
      <c r="D1076" s="71" t="s">
        <v>29</v>
      </c>
      <c r="E1076" s="71" t="s">
        <v>154</v>
      </c>
      <c r="F1076" s="77" t="s">
        <v>102</v>
      </c>
      <c r="G1076" s="71" t="s">
        <v>216</v>
      </c>
      <c r="H1076" s="169"/>
      <c r="I1076" s="169"/>
      <c r="J1076" s="76" t="s">
        <v>312</v>
      </c>
      <c r="K1076" s="322"/>
      <c r="L1076" s="323">
        <v>587</v>
      </c>
      <c r="M1076" s="163">
        <f>M1075+K1076-L1076</f>
        <v>-33548.324279999986</v>
      </c>
    </row>
    <row r="1077" spans="1:13">
      <c r="A1077" s="54" t="str">
        <f>D1077&amp;E1077&amp;F1077</f>
        <v>HRFONDO Y REPOSICIONHR</v>
      </c>
      <c r="B1077" t="s">
        <v>814</v>
      </c>
      <c r="C1077" s="1">
        <v>45761</v>
      </c>
      <c r="D1077" s="71" t="s">
        <v>29</v>
      </c>
      <c r="E1077" s="71" t="s">
        <v>120</v>
      </c>
      <c r="F1077" s="77" t="s">
        <v>29</v>
      </c>
      <c r="G1077" s="71" t="s">
        <v>216</v>
      </c>
      <c r="H1077" s="169"/>
      <c r="I1077" s="169"/>
      <c r="J1077" s="76" t="s">
        <v>895</v>
      </c>
      <c r="K1077" s="332"/>
      <c r="L1077" s="331">
        <v>2000</v>
      </c>
      <c r="M1077" s="163">
        <f>M1076+K1077-L1077</f>
        <v>-35548.324279999986</v>
      </c>
    </row>
    <row r="1078" spans="1:13">
      <c r="A1078" s="54" t="str">
        <f>D1078&amp;E1078&amp;F1078</f>
        <v>HRJMASA18</v>
      </c>
      <c r="B1078" t="s">
        <v>814</v>
      </c>
      <c r="C1078" s="1">
        <v>45761</v>
      </c>
      <c r="D1078" s="71" t="s">
        <v>29</v>
      </c>
      <c r="E1078" s="71" t="s">
        <v>137</v>
      </c>
      <c r="F1078" s="77" t="s">
        <v>103</v>
      </c>
      <c r="G1078" s="71" t="s">
        <v>216</v>
      </c>
      <c r="H1078" s="169"/>
      <c r="I1078" s="169"/>
      <c r="J1078" s="76" t="s">
        <v>487</v>
      </c>
      <c r="K1078" s="322"/>
      <c r="L1078" s="327">
        <v>1319</v>
      </c>
      <c r="M1078" s="163">
        <f>M1077+K1078-L1078</f>
        <v>-36867.324279999986</v>
      </c>
    </row>
    <row r="1079" spans="1:13">
      <c r="A1079" s="54" t="str">
        <f>D1079&amp;E1079&amp;F1079</f>
        <v>HRNOMINA SUCURSALA18</v>
      </c>
      <c r="B1079" t="s">
        <v>814</v>
      </c>
      <c r="C1079" s="1">
        <v>45761</v>
      </c>
      <c r="D1079" s="71" t="s">
        <v>29</v>
      </c>
      <c r="E1079" s="71" t="s">
        <v>154</v>
      </c>
      <c r="F1079" s="77" t="s">
        <v>103</v>
      </c>
      <c r="G1079" s="71" t="s">
        <v>216</v>
      </c>
      <c r="H1079" s="169"/>
      <c r="I1079" s="169"/>
      <c r="J1079" s="76" t="s">
        <v>896</v>
      </c>
      <c r="K1079" s="322"/>
      <c r="L1079" s="327">
        <v>621</v>
      </c>
      <c r="M1079" s="163">
        <f>M1078+K1079-L1079</f>
        <v>-37488.324279999986</v>
      </c>
    </row>
    <row r="1080" spans="1:13">
      <c r="A1080" s="54" t="str">
        <f>D1080&amp;E1080&amp;F1080</f>
        <v>HRNOMINA SUCURSALA23</v>
      </c>
      <c r="B1080" t="s">
        <v>814</v>
      </c>
      <c r="C1080" s="1">
        <v>45761</v>
      </c>
      <c r="D1080" s="71" t="s">
        <v>29</v>
      </c>
      <c r="E1080" s="71" t="s">
        <v>154</v>
      </c>
      <c r="F1080" s="77" t="s">
        <v>105</v>
      </c>
      <c r="G1080" s="71" t="s">
        <v>216</v>
      </c>
      <c r="H1080" s="169"/>
      <c r="I1080" s="169"/>
      <c r="J1080" s="76" t="s">
        <v>897</v>
      </c>
      <c r="K1080" s="322"/>
      <c r="L1080" s="327">
        <v>70</v>
      </c>
      <c r="M1080" s="163">
        <f>M1079+K1080-L1080</f>
        <v>-37558.324279999986</v>
      </c>
    </row>
    <row r="1081" spans="1:13">
      <c r="A1081" s="54" t="str">
        <f>D1081&amp;E1081&amp;F1081</f>
        <v>HRNOMINA SUCURSALA24</v>
      </c>
      <c r="B1081" t="s">
        <v>814</v>
      </c>
      <c r="C1081" s="1">
        <v>45761</v>
      </c>
      <c r="D1081" s="71" t="s">
        <v>29</v>
      </c>
      <c r="E1081" s="71" t="s">
        <v>154</v>
      </c>
      <c r="F1081" s="77" t="s">
        <v>106</v>
      </c>
      <c r="G1081" s="71" t="s">
        <v>216</v>
      </c>
      <c r="H1081" s="169"/>
      <c r="I1081" s="169"/>
      <c r="J1081" s="76" t="s">
        <v>898</v>
      </c>
      <c r="K1081" s="322"/>
      <c r="L1081" s="327">
        <v>309</v>
      </c>
      <c r="M1081" s="163">
        <f>M1080+K1081-L1081</f>
        <v>-37867.324279999986</v>
      </c>
    </row>
    <row r="1082" spans="1:13">
      <c r="A1082" s="54" t="str">
        <f>D1082&amp;E1082&amp;F1082</f>
        <v>HRUBERHR</v>
      </c>
      <c r="B1082" t="s">
        <v>814</v>
      </c>
      <c r="C1082" s="1">
        <v>45761</v>
      </c>
      <c r="D1082" s="71" t="s">
        <v>29</v>
      </c>
      <c r="E1082" s="71" t="s">
        <v>189</v>
      </c>
      <c r="F1082" s="77" t="s">
        <v>29</v>
      </c>
      <c r="G1082" s="71" t="s">
        <v>216</v>
      </c>
      <c r="H1082" s="169"/>
      <c r="I1082" s="169"/>
      <c r="J1082" s="76" t="s">
        <v>664</v>
      </c>
      <c r="K1082" s="322"/>
      <c r="L1082" s="525">
        <v>110</v>
      </c>
      <c r="M1082" s="163">
        <f>M1081+K1082-L1082</f>
        <v>-37977.324279999986</v>
      </c>
    </row>
    <row r="1083" spans="1:13">
      <c r="A1083" s="54" t="str">
        <f>D1083&amp;E1083&amp;F1083</f>
        <v>CAPUBERCAP</v>
      </c>
      <c r="B1083" t="s">
        <v>814</v>
      </c>
      <c r="C1083" s="1">
        <v>45761</v>
      </c>
      <c r="D1083" s="71" t="s">
        <v>31</v>
      </c>
      <c r="E1083" s="71" t="s">
        <v>189</v>
      </c>
      <c r="F1083" s="77" t="s">
        <v>31</v>
      </c>
      <c r="G1083" s="71" t="s">
        <v>216</v>
      </c>
      <c r="H1083" s="169"/>
      <c r="I1083" s="169"/>
      <c r="J1083" s="76" t="s">
        <v>253</v>
      </c>
      <c r="K1083" s="322"/>
      <c r="L1083" s="525">
        <v>1435</v>
      </c>
      <c r="M1083" s="163">
        <f>M1082+K1083-L1083</f>
        <v>-39412.324279999986</v>
      </c>
    </row>
    <row r="1084" spans="1:13">
      <c r="A1084" s="54" t="str">
        <f>D1084&amp;E1084&amp;F1084</f>
        <v>CAPUBERCAP</v>
      </c>
      <c r="B1084" t="s">
        <v>814</v>
      </c>
      <c r="C1084" s="1">
        <v>45761</v>
      </c>
      <c r="D1084" s="71" t="s">
        <v>31</v>
      </c>
      <c r="E1084" s="71" t="s">
        <v>189</v>
      </c>
      <c r="F1084" s="77" t="s">
        <v>31</v>
      </c>
      <c r="G1084" s="71" t="s">
        <v>216</v>
      </c>
      <c r="H1084" s="169"/>
      <c r="I1084" s="169"/>
      <c r="J1084" s="76" t="s">
        <v>257</v>
      </c>
      <c r="K1084" s="322"/>
      <c r="L1084" s="525">
        <v>152</v>
      </c>
      <c r="M1084" s="163">
        <f>M1083+K1084-L1084</f>
        <v>-39564.324279999986</v>
      </c>
    </row>
    <row r="1085" spans="1:13">
      <c r="A1085" s="54" t="str">
        <f t="shared" si="17"/>
        <v>NA</v>
      </c>
      <c r="B1085" t="s">
        <v>814</v>
      </c>
      <c r="C1085" s="1">
        <v>45762</v>
      </c>
      <c r="D1085" s="71" t="s">
        <v>815</v>
      </c>
      <c r="F1085" s="77"/>
      <c r="H1085" s="169"/>
      <c r="I1085" s="169"/>
      <c r="J1085" s="71" t="s">
        <v>260</v>
      </c>
      <c r="K1085" s="322">
        <v>225548.43</v>
      </c>
      <c r="L1085" s="322"/>
      <c r="M1085" s="163">
        <f>M1084+K1085-L1085</f>
        <v>185984.10571999999</v>
      </c>
    </row>
    <row r="1086" spans="1:13">
      <c r="A1086" s="54" t="str">
        <f t="shared" si="17"/>
        <v>NA</v>
      </c>
      <c r="B1086" t="s">
        <v>814</v>
      </c>
      <c r="C1086" s="1">
        <v>45762</v>
      </c>
      <c r="D1086" s="71" t="s">
        <v>815</v>
      </c>
      <c r="F1086" s="77"/>
      <c r="H1086" s="169"/>
      <c r="I1086" s="169"/>
      <c r="J1086" s="71" t="s">
        <v>899</v>
      </c>
      <c r="K1086" s="322">
        <v>38186.51</v>
      </c>
      <c r="L1086" s="322"/>
      <c r="M1086" s="163">
        <f>M1085+K1086-L1086</f>
        <v>224170.61572</v>
      </c>
    </row>
    <row r="1087" spans="1:13">
      <c r="A1087" s="54" t="str">
        <f>D1087&amp;E1087&amp;F1087</f>
        <v>FINANZASCOMISIONES BANCARIASTPV</v>
      </c>
      <c r="B1087" t="s">
        <v>814</v>
      </c>
      <c r="C1087" s="1">
        <v>45762</v>
      </c>
      <c r="D1087" s="71" t="s">
        <v>23</v>
      </c>
      <c r="E1087" s="71" t="s">
        <v>48</v>
      </c>
      <c r="F1087" s="77" t="s">
        <v>50</v>
      </c>
      <c r="G1087" s="71" t="s">
        <v>216</v>
      </c>
      <c r="H1087" s="169"/>
      <c r="I1087" s="169"/>
      <c r="J1087" s="71" t="s">
        <v>217</v>
      </c>
      <c r="K1087" s="322"/>
      <c r="L1087" s="327">
        <f>133.75+342.21+1960.91+1525.57+1509.16</f>
        <v>5471.5999999999995</v>
      </c>
      <c r="M1087" s="163">
        <f>M1086+K1087-L1087</f>
        <v>218699.01572</v>
      </c>
    </row>
    <row r="1088" spans="1:13">
      <c r="A1088" s="54" t="str">
        <f t="shared" si="17"/>
        <v>NA</v>
      </c>
      <c r="B1088" t="s">
        <v>814</v>
      </c>
      <c r="C1088" s="1">
        <v>45762</v>
      </c>
      <c r="D1088" s="71" t="s">
        <v>815</v>
      </c>
      <c r="F1088" s="77"/>
      <c r="H1088" s="169"/>
      <c r="I1088" s="169"/>
      <c r="J1088" s="205" t="s">
        <v>577</v>
      </c>
      <c r="K1088" s="206"/>
      <c r="L1088" s="206">
        <v>100000</v>
      </c>
      <c r="M1088" s="163">
        <f>M1087+K1088-L1088</f>
        <v>118699.01572</v>
      </c>
    </row>
    <row r="1089" spans="1:14">
      <c r="A1089" s="54" t="str">
        <f>D1089&amp;E1089&amp;F1089</f>
        <v>SERVICIOSFONDO Y REPOSICIONSERVICIOS</v>
      </c>
      <c r="B1089" t="s">
        <v>814</v>
      </c>
      <c r="C1089" s="1">
        <v>45762</v>
      </c>
      <c r="D1089" s="71" t="s">
        <v>21</v>
      </c>
      <c r="E1089" s="71" t="s">
        <v>120</v>
      </c>
      <c r="F1089" s="77" t="s">
        <v>21</v>
      </c>
      <c r="G1089" s="71" t="s">
        <v>216</v>
      </c>
      <c r="H1089" s="169"/>
      <c r="I1089" s="169"/>
      <c r="J1089" s="71" t="s">
        <v>900</v>
      </c>
      <c r="K1089" s="180"/>
      <c r="L1089" s="323">
        <v>2000</v>
      </c>
      <c r="M1089" s="163">
        <f>M1088+K1089-L1089</f>
        <v>116699.01572</v>
      </c>
    </row>
    <row r="1090" spans="1:14">
      <c r="A1090" s="54" t="str">
        <f>D1090&amp;E1090&amp;F1090</f>
        <v>SERVICIOSINSUMOSCOFFE</v>
      </c>
      <c r="B1090" t="s">
        <v>814</v>
      </c>
      <c r="C1090" s="1">
        <v>45762</v>
      </c>
      <c r="D1090" s="71" t="s">
        <v>21</v>
      </c>
      <c r="E1090" s="71" t="s">
        <v>133</v>
      </c>
      <c r="F1090" s="77" t="s">
        <v>135</v>
      </c>
      <c r="G1090" s="71" t="s">
        <v>216</v>
      </c>
      <c r="H1090" s="169"/>
      <c r="I1090" s="169"/>
      <c r="J1090" s="71" t="s">
        <v>901</v>
      </c>
      <c r="K1090" s="322"/>
      <c r="L1090" s="326">
        <v>1100</v>
      </c>
      <c r="M1090" s="163">
        <f>M1089+K1090-L1090</f>
        <v>115599.01572</v>
      </c>
    </row>
    <row r="1091" spans="1:14">
      <c r="A1091" s="54" t="str">
        <f>D1091&amp;E1091&amp;F1091</f>
        <v>HRENERGIA ELECTRICAA5</v>
      </c>
      <c r="B1091" t="s">
        <v>814</v>
      </c>
      <c r="C1091" s="1">
        <v>45762</v>
      </c>
      <c r="D1091" s="71" t="s">
        <v>29</v>
      </c>
      <c r="E1091" s="71" t="s">
        <v>87</v>
      </c>
      <c r="F1091" s="77" t="s">
        <v>92</v>
      </c>
      <c r="G1091" s="71" t="s">
        <v>216</v>
      </c>
      <c r="H1091" s="169"/>
      <c r="I1091" s="169"/>
      <c r="J1091" s="71" t="s">
        <v>902</v>
      </c>
      <c r="K1091" s="322"/>
      <c r="L1091" s="326">
        <v>6002</v>
      </c>
      <c r="M1091" s="163">
        <f>M1090+K1091-L1091</f>
        <v>109597.01572</v>
      </c>
    </row>
    <row r="1092" spans="1:14">
      <c r="A1092" s="54" t="str">
        <f>D1092&amp;E1092&amp;F1092</f>
        <v>HRENERGIA ELECTRICAA5</v>
      </c>
      <c r="B1092" t="s">
        <v>814</v>
      </c>
      <c r="C1092" s="1">
        <v>45762</v>
      </c>
      <c r="D1092" s="71" t="s">
        <v>29</v>
      </c>
      <c r="E1092" s="71" t="s">
        <v>87</v>
      </c>
      <c r="F1092" s="77" t="s">
        <v>92</v>
      </c>
      <c r="G1092" s="71" t="s">
        <v>216</v>
      </c>
      <c r="H1092" s="169"/>
      <c r="I1092" s="169"/>
      <c r="J1092" s="71" t="s">
        <v>902</v>
      </c>
      <c r="K1092" s="322"/>
      <c r="L1092" s="326">
        <v>3549</v>
      </c>
      <c r="M1092" s="163">
        <f>M1091+K1092-L1092</f>
        <v>106048.01572</v>
      </c>
      <c r="N1092" s="180"/>
    </row>
    <row r="1093" spans="1:14">
      <c r="A1093" s="54" t="str">
        <f>D1093&amp;E1093&amp;F1093</f>
        <v>HRENERGIA ELECTRICAA5</v>
      </c>
      <c r="B1093" t="s">
        <v>814</v>
      </c>
      <c r="C1093" s="1">
        <v>45762</v>
      </c>
      <c r="D1093" s="71" t="s">
        <v>29</v>
      </c>
      <c r="E1093" s="71" t="s">
        <v>87</v>
      </c>
      <c r="F1093" s="77" t="s">
        <v>92</v>
      </c>
      <c r="G1093" s="71" t="s">
        <v>216</v>
      </c>
      <c r="H1093" s="169"/>
      <c r="I1093" s="169"/>
      <c r="J1093" s="71" t="s">
        <v>902</v>
      </c>
      <c r="K1093" s="322"/>
      <c r="L1093" s="326">
        <v>6069</v>
      </c>
      <c r="M1093" s="163">
        <f>M1092+K1093-L1093</f>
        <v>99979.015719999996</v>
      </c>
    </row>
    <row r="1094" spans="1:14">
      <c r="A1094" s="54" t="str">
        <f>D1094&amp;E1094&amp;F1094</f>
        <v>HRENERGIA ELECTRICAA22</v>
      </c>
      <c r="B1094" t="s">
        <v>814</v>
      </c>
      <c r="C1094" s="1">
        <v>45762</v>
      </c>
      <c r="D1094" s="71" t="s">
        <v>29</v>
      </c>
      <c r="E1094" s="71" t="s">
        <v>87</v>
      </c>
      <c r="F1094" s="77" t="s">
        <v>104</v>
      </c>
      <c r="G1094" s="71" t="s">
        <v>216</v>
      </c>
      <c r="H1094" s="169"/>
      <c r="I1094" s="169"/>
      <c r="J1094" s="71" t="s">
        <v>379</v>
      </c>
      <c r="K1094" s="322"/>
      <c r="L1094" s="326">
        <v>6115</v>
      </c>
      <c r="M1094" s="163">
        <f>M1093+K1094-L1094</f>
        <v>93864.015719999996</v>
      </c>
    </row>
    <row r="1095" spans="1:14">
      <c r="A1095" s="54" t="str">
        <f>D1095&amp;E1095&amp;F1095</f>
        <v>HRENERGIA ELECTRICAA8</v>
      </c>
      <c r="B1095" t="s">
        <v>814</v>
      </c>
      <c r="C1095" s="1">
        <v>45762</v>
      </c>
      <c r="D1095" s="71" t="s">
        <v>29</v>
      </c>
      <c r="E1095" s="71" t="s">
        <v>87</v>
      </c>
      <c r="F1095" s="77" t="s">
        <v>94</v>
      </c>
      <c r="G1095" s="71" t="s">
        <v>216</v>
      </c>
      <c r="H1095" s="169"/>
      <c r="I1095" s="169"/>
      <c r="J1095" s="71" t="s">
        <v>903</v>
      </c>
      <c r="K1095" s="322"/>
      <c r="L1095" s="326">
        <v>9759</v>
      </c>
      <c r="M1095" s="163">
        <f>M1094+K1095-L1095</f>
        <v>84105.015719999996</v>
      </c>
    </row>
    <row r="1096" spans="1:14">
      <c r="A1096" s="54" t="str">
        <f>D1096&amp;E1096&amp;F1096</f>
        <v>CAPENERGIA ELECTRICAE7</v>
      </c>
      <c r="B1096" t="s">
        <v>814</v>
      </c>
      <c r="C1096" s="1">
        <v>45762</v>
      </c>
      <c r="D1096" s="71" t="s">
        <v>31</v>
      </c>
      <c r="E1096" s="71" t="s">
        <v>87</v>
      </c>
      <c r="F1096" s="77" t="s">
        <v>113</v>
      </c>
      <c r="G1096" s="71" t="s">
        <v>216</v>
      </c>
      <c r="H1096" s="169"/>
      <c r="I1096" s="169"/>
      <c r="J1096" t="s">
        <v>380</v>
      </c>
      <c r="K1096" s="322"/>
      <c r="L1096" s="326">
        <v>8389</v>
      </c>
      <c r="M1096" s="163">
        <f>M1095+K1096-L1096</f>
        <v>75716.015719999996</v>
      </c>
    </row>
    <row r="1097" spans="1:14">
      <c r="A1097" s="54" t="str">
        <f>D1097&amp;E1097&amp;F1097</f>
        <v>CAPENERGIA ELECTRICAE3</v>
      </c>
      <c r="B1097" t="s">
        <v>814</v>
      </c>
      <c r="C1097" s="1">
        <v>45762</v>
      </c>
      <c r="D1097" s="71" t="s">
        <v>31</v>
      </c>
      <c r="E1097" s="71" t="s">
        <v>87</v>
      </c>
      <c r="F1097" s="77" t="s">
        <v>109</v>
      </c>
      <c r="G1097" s="71" t="s">
        <v>216</v>
      </c>
      <c r="H1097" s="169"/>
      <c r="I1097" s="169"/>
      <c r="J1097" t="s">
        <v>381</v>
      </c>
      <c r="K1097" s="322"/>
      <c r="L1097" s="326">
        <v>6350</v>
      </c>
      <c r="M1097" s="163">
        <f>M1096+K1097-L1097</f>
        <v>69366.015719999996</v>
      </c>
    </row>
    <row r="1098" spans="1:14">
      <c r="A1098" s="54" t="str">
        <f>D1098&amp;E1098&amp;F1098</f>
        <v>CAPENERGIA ELECTRICAE4</v>
      </c>
      <c r="B1098" t="s">
        <v>814</v>
      </c>
      <c r="C1098" s="1">
        <v>45762</v>
      </c>
      <c r="D1098" s="71" t="s">
        <v>31</v>
      </c>
      <c r="E1098" s="71" t="s">
        <v>87</v>
      </c>
      <c r="F1098" s="77" t="s">
        <v>110</v>
      </c>
      <c r="G1098" s="71" t="s">
        <v>216</v>
      </c>
      <c r="H1098" s="169"/>
      <c r="I1098" s="169"/>
      <c r="J1098" t="s">
        <v>382</v>
      </c>
      <c r="K1098" s="322"/>
      <c r="L1098" s="326">
        <v>8432</v>
      </c>
      <c r="M1098" s="163">
        <f>M1097+K1098-L1098</f>
        <v>60934.015719999996</v>
      </c>
    </row>
    <row r="1099" spans="1:14">
      <c r="A1099" s="54" t="str">
        <f>D1099&amp;E1099&amp;F1099</f>
        <v>SERVICIOSVIATICOSCEDIS</v>
      </c>
      <c r="B1099" t="s">
        <v>814</v>
      </c>
      <c r="C1099" s="1">
        <v>45762</v>
      </c>
      <c r="D1099" s="71" t="s">
        <v>21</v>
      </c>
      <c r="E1099" s="71" t="s">
        <v>191</v>
      </c>
      <c r="F1099" s="77" t="s">
        <v>28</v>
      </c>
      <c r="G1099" s="71" t="s">
        <v>216</v>
      </c>
      <c r="H1099" s="169"/>
      <c r="I1099" s="169"/>
      <c r="J1099" s="71" t="s">
        <v>904</v>
      </c>
      <c r="K1099" s="322"/>
      <c r="L1099" s="326">
        <v>700</v>
      </c>
      <c r="M1099" s="163">
        <f>M1098+K1099-L1099</f>
        <v>60234.015719999996</v>
      </c>
    </row>
    <row r="1100" spans="1:14">
      <c r="A1100" s="54" t="str">
        <f>D1100&amp;E1100&amp;F1100</f>
        <v>HRFONDO Y REPOSICIONHR</v>
      </c>
      <c r="B1100" t="s">
        <v>814</v>
      </c>
      <c r="C1100" s="1">
        <v>45762</v>
      </c>
      <c r="D1100" s="71" t="s">
        <v>29</v>
      </c>
      <c r="E1100" s="71" t="s">
        <v>120</v>
      </c>
      <c r="F1100" s="77" t="s">
        <v>29</v>
      </c>
      <c r="G1100" s="71" t="s">
        <v>216</v>
      </c>
      <c r="H1100" s="169"/>
      <c r="I1100" s="169"/>
      <c r="J1100" s="71" t="s">
        <v>539</v>
      </c>
      <c r="K1100" s="322"/>
      <c r="L1100" s="326">
        <v>1671</v>
      </c>
      <c r="M1100" s="163">
        <f>M1099+K1100-L1100</f>
        <v>58563.015719999996</v>
      </c>
    </row>
    <row r="1101" spans="1:14">
      <c r="A1101" s="54" t="str">
        <f>D1101&amp;E1101&amp;F1101</f>
        <v>HRFONDO Y REPOSICIONHR</v>
      </c>
      <c r="B1101" t="s">
        <v>814</v>
      </c>
      <c r="C1101" s="1">
        <v>45762</v>
      </c>
      <c r="D1101" s="71" t="s">
        <v>29</v>
      </c>
      <c r="E1101" s="71" t="s">
        <v>120</v>
      </c>
      <c r="F1101" s="77" t="s">
        <v>29</v>
      </c>
      <c r="G1101" s="71" t="s">
        <v>216</v>
      </c>
      <c r="H1101" s="169"/>
      <c r="I1101" s="169"/>
      <c r="J1101" s="71" t="s">
        <v>357</v>
      </c>
      <c r="K1101" s="322"/>
      <c r="L1101" s="326">
        <v>2829</v>
      </c>
      <c r="M1101" s="163">
        <f>M1100+K1101-L1101</f>
        <v>55734.015719999996</v>
      </c>
    </row>
    <row r="1102" spans="1:14">
      <c r="A1102" s="54" t="str">
        <f>D1102&amp;E1102&amp;F1102</f>
        <v>HRFONDO Y REPOSICIONHR</v>
      </c>
      <c r="B1102" t="s">
        <v>814</v>
      </c>
      <c r="C1102" s="1">
        <v>45762</v>
      </c>
      <c r="D1102" s="71" t="s">
        <v>29</v>
      </c>
      <c r="E1102" s="71" t="s">
        <v>120</v>
      </c>
      <c r="F1102" s="77" t="s">
        <v>29</v>
      </c>
      <c r="G1102" s="71" t="s">
        <v>216</v>
      </c>
      <c r="H1102" s="169"/>
      <c r="I1102" s="169"/>
      <c r="J1102" s="71" t="s">
        <v>553</v>
      </c>
      <c r="K1102" s="322"/>
      <c r="L1102" s="326">
        <v>1018</v>
      </c>
      <c r="M1102" s="163">
        <f>M1101+K1102-L1102</f>
        <v>54716.015719999996</v>
      </c>
    </row>
    <row r="1103" spans="1:14">
      <c r="A1103" s="54" t="str">
        <f>D1103&amp;E1103&amp;F1103</f>
        <v>SERVICIOSPAQUETERIACEDIS (E6)</v>
      </c>
      <c r="B1103" t="s">
        <v>814</v>
      </c>
      <c r="C1103" s="1">
        <v>45762</v>
      </c>
      <c r="D1103" s="71" t="s">
        <v>21</v>
      </c>
      <c r="E1103" s="71" t="s">
        <v>160</v>
      </c>
      <c r="F1103" s="77" t="s">
        <v>161</v>
      </c>
      <c r="G1103" s="71" t="s">
        <v>216</v>
      </c>
      <c r="H1103" s="169"/>
      <c r="I1103" s="169"/>
      <c r="J1103" s="71" t="s">
        <v>652</v>
      </c>
      <c r="K1103" s="322"/>
      <c r="L1103" s="323">
        <v>1974</v>
      </c>
      <c r="M1103" s="163">
        <f>M1102+K1103-L1103</f>
        <v>52742.015719999996</v>
      </c>
    </row>
    <row r="1104" spans="1:14">
      <c r="A1104" s="54" t="str">
        <f>D1104&amp;E1104&amp;F1104</f>
        <v>SERVICIOSINSUMOSCADENA DE SUMINISTROS</v>
      </c>
      <c r="B1104" t="s">
        <v>814</v>
      </c>
      <c r="C1104" s="1">
        <v>45762</v>
      </c>
      <c r="D1104" s="71" t="s">
        <v>21</v>
      </c>
      <c r="E1104" s="71" t="s">
        <v>133</v>
      </c>
      <c r="F1104" s="77" t="s">
        <v>134</v>
      </c>
      <c r="G1104" s="71" t="s">
        <v>216</v>
      </c>
      <c r="H1104" s="169"/>
      <c r="I1104" s="169"/>
      <c r="J1104" s="71" t="s">
        <v>905</v>
      </c>
      <c r="K1104" s="322"/>
      <c r="L1104" s="323">
        <v>4167.8599999999997</v>
      </c>
      <c r="M1104" s="163">
        <f>M1103+K1104-L1104</f>
        <v>48574.155719999995</v>
      </c>
    </row>
    <row r="1105" spans="1:13">
      <c r="A1105" s="54" t="str">
        <f>D1105&amp;E1105&amp;F1105</f>
        <v>SERVICIOSINSUMOSCADENA DE SUMINISTROS</v>
      </c>
      <c r="B1105" t="s">
        <v>814</v>
      </c>
      <c r="C1105" s="1">
        <v>45762</v>
      </c>
      <c r="D1105" s="71" t="s">
        <v>21</v>
      </c>
      <c r="E1105" s="71" t="s">
        <v>133</v>
      </c>
      <c r="F1105" s="77" t="s">
        <v>134</v>
      </c>
      <c r="G1105" s="71" t="s">
        <v>216</v>
      </c>
      <c r="H1105" s="169"/>
      <c r="I1105" s="169"/>
      <c r="J1105" s="71" t="s">
        <v>906</v>
      </c>
      <c r="K1105" s="322"/>
      <c r="L1105" s="323">
        <v>837.01</v>
      </c>
      <c r="M1105" s="163">
        <f>M1104+K1105-L1105</f>
        <v>47737.145719999993</v>
      </c>
    </row>
    <row r="1106" spans="1:13">
      <c r="A1106" s="54" t="str">
        <f>D1106&amp;E1106&amp;F1106</f>
        <v>SERVICIOSINSUMOSSISTEMAS</v>
      </c>
      <c r="B1106" t="s">
        <v>814</v>
      </c>
      <c r="C1106" s="1">
        <v>45762</v>
      </c>
      <c r="D1106" s="71" t="s">
        <v>21</v>
      </c>
      <c r="E1106" s="71" t="s">
        <v>133</v>
      </c>
      <c r="F1106" s="77" t="s">
        <v>36</v>
      </c>
      <c r="G1106" s="71" t="s">
        <v>258</v>
      </c>
      <c r="H1106" s="169"/>
      <c r="I1106" s="169"/>
      <c r="J1106" s="71" t="s">
        <v>907</v>
      </c>
      <c r="K1106" s="322"/>
      <c r="L1106" s="323">
        <v>3712</v>
      </c>
      <c r="M1106" s="163">
        <f>M1105+K1106-L1106</f>
        <v>44025.145719999993</v>
      </c>
    </row>
    <row r="1107" spans="1:13">
      <c r="A1107" s="54" t="str">
        <f>D1107&amp;E1107&amp;F1107</f>
        <v>ELIINSUMOSL1</v>
      </c>
      <c r="B1107" t="s">
        <v>814</v>
      </c>
      <c r="C1107" s="1">
        <v>45762</v>
      </c>
      <c r="D1107" s="71" t="s">
        <v>130</v>
      </c>
      <c r="E1107" s="71" t="s">
        <v>133</v>
      </c>
      <c r="F1107" s="77" t="s">
        <v>136</v>
      </c>
      <c r="G1107" s="71" t="s">
        <v>216</v>
      </c>
      <c r="H1107" s="169"/>
      <c r="I1107" s="169"/>
      <c r="J1107" s="71" t="s">
        <v>908</v>
      </c>
      <c r="K1107" s="322"/>
      <c r="L1107" s="323">
        <v>1000</v>
      </c>
      <c r="M1107" s="163">
        <f>M1106+K1107-L1107</f>
        <v>43025.145719999993</v>
      </c>
    </row>
    <row r="1108" spans="1:13">
      <c r="A1108" s="54" t="str">
        <f>D1108&amp;E1108&amp;F1108</f>
        <v>SERVICIOSTELEPEAJECEDIS</v>
      </c>
      <c r="B1108" t="s">
        <v>814</v>
      </c>
      <c r="C1108" s="1">
        <v>45762</v>
      </c>
      <c r="D1108" s="71" t="s">
        <v>21</v>
      </c>
      <c r="E1108" s="71" t="s">
        <v>186</v>
      </c>
      <c r="F1108" s="77" t="s">
        <v>28</v>
      </c>
      <c r="G1108" s="71" t="s">
        <v>216</v>
      </c>
      <c r="H1108" s="169"/>
      <c r="I1108" s="169"/>
      <c r="J1108" s="71" t="s">
        <v>909</v>
      </c>
      <c r="K1108" s="322"/>
      <c r="L1108" s="323">
        <v>7412</v>
      </c>
      <c r="M1108" s="163">
        <f>M1107+K1108-L1108</f>
        <v>35613.145719999993</v>
      </c>
    </row>
    <row r="1109" spans="1:13">
      <c r="A1109" s="54" t="str">
        <f>D1109&amp;E1109&amp;F1109</f>
        <v>FINANZASTELEPEAJEFINANZAS</v>
      </c>
      <c r="B1109" t="s">
        <v>814</v>
      </c>
      <c r="C1109" s="1">
        <v>45762</v>
      </c>
      <c r="D1109" s="71" t="s">
        <v>23</v>
      </c>
      <c r="E1109" s="71" t="s">
        <v>186</v>
      </c>
      <c r="F1109" s="77" t="s">
        <v>23</v>
      </c>
      <c r="G1109" s="71" t="s">
        <v>216</v>
      </c>
      <c r="H1109" s="169"/>
      <c r="I1109" s="169"/>
      <c r="J1109" s="71" t="s">
        <v>910</v>
      </c>
      <c r="K1109" s="322"/>
      <c r="L1109" s="323">
        <v>1014</v>
      </c>
      <c r="M1109" s="163">
        <f>M1108+K1109-L1109</f>
        <v>34599.145719999993</v>
      </c>
    </row>
    <row r="1110" spans="1:13">
      <c r="A1110" s="54" t="str">
        <f>D1110&amp;E1110&amp;F1110</f>
        <v>HRTELEPEAJEOP HR</v>
      </c>
      <c r="B1110" t="s">
        <v>814</v>
      </c>
      <c r="C1110" s="1">
        <v>45762</v>
      </c>
      <c r="D1110" s="71" t="s">
        <v>29</v>
      </c>
      <c r="E1110" s="71" t="s">
        <v>186</v>
      </c>
      <c r="F1110" s="77" t="s">
        <v>187</v>
      </c>
      <c r="G1110" s="71" t="s">
        <v>216</v>
      </c>
      <c r="H1110" s="169"/>
      <c r="I1110" s="169"/>
      <c r="J1110" s="71" t="s">
        <v>911</v>
      </c>
      <c r="K1110" s="322"/>
      <c r="L1110" s="323">
        <v>441</v>
      </c>
      <c r="M1110" s="163">
        <f>M1109+K1110-L1110</f>
        <v>34158.145719999993</v>
      </c>
    </row>
    <row r="1111" spans="1:13">
      <c r="A1111" s="54" t="str">
        <f>D1111&amp;E1111&amp;F1111</f>
        <v>CAPTELEPEAJEOP CAPRICHOS</v>
      </c>
      <c r="B1111" t="s">
        <v>814</v>
      </c>
      <c r="C1111" s="1">
        <v>45762</v>
      </c>
      <c r="D1111" s="71" t="s">
        <v>31</v>
      </c>
      <c r="E1111" s="71" t="s">
        <v>186</v>
      </c>
      <c r="F1111" s="77" t="s">
        <v>188</v>
      </c>
      <c r="G1111" s="71" t="s">
        <v>216</v>
      </c>
      <c r="H1111" s="169"/>
      <c r="I1111" s="169"/>
      <c r="J1111" s="71" t="s">
        <v>912</v>
      </c>
      <c r="K1111" s="322"/>
      <c r="L1111" s="323">
        <v>356</v>
      </c>
      <c r="M1111" s="163">
        <f>M1110+K1111-L1111</f>
        <v>33802.145719999993</v>
      </c>
    </row>
    <row r="1112" spans="1:13">
      <c r="A1112" s="54" t="str">
        <f>D1112&amp;E1112&amp;F1112</f>
        <v>HRTELEPEAJEOP HR</v>
      </c>
      <c r="B1112" t="s">
        <v>814</v>
      </c>
      <c r="C1112" s="1">
        <v>45762</v>
      </c>
      <c r="D1112" s="71" t="s">
        <v>29</v>
      </c>
      <c r="E1112" s="71" t="s">
        <v>186</v>
      </c>
      <c r="F1112" s="77" t="s">
        <v>187</v>
      </c>
      <c r="G1112" s="71" t="s">
        <v>216</v>
      </c>
      <c r="H1112" s="169"/>
      <c r="I1112" s="169"/>
      <c r="J1112" s="71" t="s">
        <v>913</v>
      </c>
      <c r="K1112" s="322"/>
      <c r="L1112" s="323">
        <v>329</v>
      </c>
      <c r="M1112" s="163">
        <f>M1111+K1112-L1112</f>
        <v>33473.145719999993</v>
      </c>
    </row>
    <row r="1113" spans="1:13">
      <c r="A1113" s="54" t="str">
        <f>D1113&amp;E1113&amp;F1113</f>
        <v>SERVICIOSTELEPEAJESERVICIOS</v>
      </c>
      <c r="B1113" t="s">
        <v>814</v>
      </c>
      <c r="C1113" s="1">
        <v>45762</v>
      </c>
      <c r="D1113" s="71" t="s">
        <v>21</v>
      </c>
      <c r="E1113" s="71" t="s">
        <v>186</v>
      </c>
      <c r="F1113" s="77" t="s">
        <v>21</v>
      </c>
      <c r="G1113" s="71" t="s">
        <v>216</v>
      </c>
      <c r="H1113" s="169"/>
      <c r="I1113" s="169"/>
      <c r="J1113" s="71" t="s">
        <v>914</v>
      </c>
      <c r="K1113" s="322"/>
      <c r="L1113" s="323">
        <v>623</v>
      </c>
      <c r="M1113" s="163">
        <f>M1112+K1113-L1113</f>
        <v>32850.145719999993</v>
      </c>
    </row>
    <row r="1114" spans="1:13">
      <c r="A1114" s="54" t="str">
        <f>D1114&amp;E1114&amp;F1114</f>
        <v>SERVICIOSTELEPEAJECEDIS</v>
      </c>
      <c r="B1114" t="s">
        <v>814</v>
      </c>
      <c r="C1114" s="1">
        <v>45762</v>
      </c>
      <c r="D1114" s="71" t="s">
        <v>21</v>
      </c>
      <c r="E1114" s="71" t="s">
        <v>186</v>
      </c>
      <c r="F1114" s="77" t="s">
        <v>28</v>
      </c>
      <c r="G1114" s="71" t="s">
        <v>216</v>
      </c>
      <c r="H1114" s="169"/>
      <c r="I1114" s="169"/>
      <c r="J1114" s="71" t="s">
        <v>909</v>
      </c>
      <c r="K1114" s="322"/>
      <c r="L1114" s="323">
        <v>751</v>
      </c>
      <c r="M1114" s="163">
        <f>M1113+K1114-L1114</f>
        <v>32099.145719999993</v>
      </c>
    </row>
    <row r="1115" spans="1:13">
      <c r="A1115" s="54" t="str">
        <f t="shared" ref="A1096:A1159" si="18">D1115&amp;E1115&amp;F1115</f>
        <v>COMBUSTIBLE</v>
      </c>
      <c r="B1115" t="s">
        <v>814</v>
      </c>
      <c r="C1115" s="1">
        <v>45762</v>
      </c>
      <c r="D1115" s="71"/>
      <c r="E1115" s="71" t="s">
        <v>32</v>
      </c>
      <c r="F1115" s="77"/>
      <c r="G1115" s="71" t="s">
        <v>216</v>
      </c>
      <c r="H1115" s="169"/>
      <c r="I1115" s="169"/>
      <c r="J1115" s="71" t="s">
        <v>564</v>
      </c>
      <c r="K1115" s="322"/>
      <c r="L1115" s="323">
        <v>31566</v>
      </c>
      <c r="M1115" s="163">
        <f>M1114+K1115-L1115</f>
        <v>533.14571999999316</v>
      </c>
    </row>
    <row r="1116" spans="1:13">
      <c r="A1116" s="54" t="str">
        <f>D1116&amp;E1116&amp;F1116</f>
        <v>CAPUBERCAP</v>
      </c>
      <c r="B1116" t="s">
        <v>814</v>
      </c>
      <c r="C1116" s="1">
        <v>45762</v>
      </c>
      <c r="D1116" s="71" t="s">
        <v>31</v>
      </c>
      <c r="E1116" s="71" t="s">
        <v>189</v>
      </c>
      <c r="F1116" s="77" t="s">
        <v>31</v>
      </c>
      <c r="G1116" s="71" t="s">
        <v>216</v>
      </c>
      <c r="H1116" s="169"/>
      <c r="I1116" s="169"/>
      <c r="J1116" s="76" t="s">
        <v>253</v>
      </c>
      <c r="K1116" s="322"/>
      <c r="L1116" s="525">
        <v>294</v>
      </c>
      <c r="M1116" s="163">
        <f>M1115+K1116-L1116</f>
        <v>239.14571999999316</v>
      </c>
    </row>
    <row r="1117" spans="1:13">
      <c r="A1117" s="54" t="str">
        <f>D1117&amp;E1117&amp;F1117</f>
        <v>CAPUBERCAP</v>
      </c>
      <c r="B1117" t="s">
        <v>814</v>
      </c>
      <c r="C1117" s="1">
        <v>45762</v>
      </c>
      <c r="D1117" s="71" t="s">
        <v>31</v>
      </c>
      <c r="E1117" s="71" t="s">
        <v>189</v>
      </c>
      <c r="F1117" s="77" t="s">
        <v>31</v>
      </c>
      <c r="G1117" s="71" t="s">
        <v>216</v>
      </c>
      <c r="H1117" s="169"/>
      <c r="I1117" s="169"/>
      <c r="J1117" s="76" t="s">
        <v>257</v>
      </c>
      <c r="K1117" s="322"/>
      <c r="L1117" s="525">
        <v>80</v>
      </c>
      <c r="M1117" s="163">
        <f>M1116+K1117-L1117</f>
        <v>159.14571999999316</v>
      </c>
    </row>
    <row r="1118" spans="1:13">
      <c r="A1118" s="54" t="str">
        <f t="shared" si="18"/>
        <v>NA</v>
      </c>
      <c r="B1118" t="s">
        <v>814</v>
      </c>
      <c r="C1118" s="1">
        <v>45763</v>
      </c>
      <c r="D1118" s="71" t="s">
        <v>815</v>
      </c>
      <c r="F1118" s="77"/>
      <c r="H1118" s="169"/>
      <c r="I1118" s="169"/>
      <c r="J1118" s="71" t="s">
        <v>260</v>
      </c>
      <c r="K1118" s="322">
        <f>233189.9-7894</f>
        <v>225295.9</v>
      </c>
      <c r="L1118" s="322"/>
      <c r="M1118" s="163">
        <f>M1117+K1118-L1118</f>
        <v>225455.04571999999</v>
      </c>
    </row>
    <row r="1119" spans="1:13">
      <c r="A1119" s="54" t="str">
        <f t="shared" si="18"/>
        <v>NA</v>
      </c>
      <c r="B1119" t="s">
        <v>814</v>
      </c>
      <c r="C1119" s="1">
        <v>45763</v>
      </c>
      <c r="D1119" s="71" t="s">
        <v>815</v>
      </c>
      <c r="F1119" s="77"/>
      <c r="H1119" s="169"/>
      <c r="I1119" s="169"/>
      <c r="J1119" s="71" t="s">
        <v>915</v>
      </c>
      <c r="K1119" s="322">
        <f>475000+500000</f>
        <v>975000</v>
      </c>
      <c r="L1119" s="322"/>
      <c r="M1119" s="163">
        <f>M1118+K1119-L1119</f>
        <v>1200455.0457200001</v>
      </c>
    </row>
    <row r="1120" spans="1:13">
      <c r="A1120" s="54" t="str">
        <f t="shared" si="18"/>
        <v>NA</v>
      </c>
      <c r="B1120" t="s">
        <v>814</v>
      </c>
      <c r="C1120" s="1">
        <v>45763</v>
      </c>
      <c r="D1120" s="71" t="s">
        <v>815</v>
      </c>
      <c r="F1120" s="77"/>
      <c r="H1120" s="169"/>
      <c r="I1120" s="169"/>
      <c r="J1120" s="71" t="s">
        <v>916</v>
      </c>
      <c r="K1120" s="322">
        <v>1100</v>
      </c>
      <c r="L1120" s="322"/>
      <c r="M1120" s="163">
        <f>M1119+K1120-L1120</f>
        <v>1201555.0457200001</v>
      </c>
    </row>
    <row r="1121" spans="1:13">
      <c r="A1121" s="54" t="str">
        <f>D1121&amp;E1121&amp;F1121</f>
        <v>FINANZASCOMISIONES BANCARIASTPV</v>
      </c>
      <c r="B1121" t="s">
        <v>814</v>
      </c>
      <c r="C1121" s="1">
        <v>45763</v>
      </c>
      <c r="D1121" s="71" t="s">
        <v>23</v>
      </c>
      <c r="E1121" s="71" t="s">
        <v>48</v>
      </c>
      <c r="F1121" s="77" t="s">
        <v>50</v>
      </c>
      <c r="G1121" s="71" t="s">
        <v>216</v>
      </c>
      <c r="H1121" s="169"/>
      <c r="I1121" s="169"/>
      <c r="J1121" s="71" t="s">
        <v>217</v>
      </c>
      <c r="K1121" s="322"/>
      <c r="L1121" s="327">
        <f>274.35+217.71+186.7+1902.5+2012.91</f>
        <v>4594.17</v>
      </c>
      <c r="M1121" s="163">
        <f>M1120+K1121-L1121</f>
        <v>1196960.8757200001</v>
      </c>
    </row>
    <row r="1122" spans="1:13">
      <c r="A1122" s="54" t="str">
        <f t="shared" si="18"/>
        <v>NA</v>
      </c>
      <c r="B1122" t="s">
        <v>814</v>
      </c>
      <c r="C1122" s="1">
        <v>45763</v>
      </c>
      <c r="D1122" s="71" t="s">
        <v>815</v>
      </c>
      <c r="F1122" s="77"/>
      <c r="H1122" s="169"/>
      <c r="I1122" s="169"/>
      <c r="J1122" s="205" t="s">
        <v>577</v>
      </c>
      <c r="K1122" s="206"/>
      <c r="L1122" s="206">
        <v>257000</v>
      </c>
      <c r="M1122" s="163">
        <f>M1121+K1122-L1122</f>
        <v>939960.87572000013</v>
      </c>
    </row>
    <row r="1123" spans="1:13">
      <c r="A1123" s="54" t="str">
        <f t="shared" si="18"/>
        <v>NA</v>
      </c>
      <c r="B1123" t="s">
        <v>814</v>
      </c>
      <c r="C1123" s="1">
        <v>45763</v>
      </c>
      <c r="D1123" s="71" t="s">
        <v>815</v>
      </c>
      <c r="F1123" s="77"/>
      <c r="H1123" s="169"/>
      <c r="I1123" s="169"/>
      <c r="J1123" s="73" t="s">
        <v>917</v>
      </c>
      <c r="K1123" s="336"/>
      <c r="L1123" s="329">
        <v>500000</v>
      </c>
      <c r="M1123" s="163">
        <f>M1122+K1123-L1123</f>
        <v>439960.87572000013</v>
      </c>
    </row>
    <row r="1124" spans="1:13">
      <c r="A1124" s="54" t="str">
        <f t="shared" si="18"/>
        <v>NA</v>
      </c>
      <c r="B1124" t="s">
        <v>814</v>
      </c>
      <c r="C1124" s="1">
        <v>45763</v>
      </c>
      <c r="D1124" s="71" t="s">
        <v>815</v>
      </c>
      <c r="F1124" s="77"/>
      <c r="H1124" s="169"/>
      <c r="I1124" s="169"/>
      <c r="J1124" s="71" t="s">
        <v>918</v>
      </c>
      <c r="K1124" s="180"/>
      <c r="L1124" s="323">
        <f>475000+6969.62</f>
        <v>481969.62</v>
      </c>
      <c r="M1124" s="163">
        <f>M1123+K1124-L1124</f>
        <v>-42008.744279999868</v>
      </c>
    </row>
    <row r="1125" spans="1:13">
      <c r="A1125" s="54" t="str">
        <f>D1125&amp;E1125&amp;F1125</f>
        <v>SERVICIOSVIATICOSMANTENIMIENTO</v>
      </c>
      <c r="B1125" t="s">
        <v>814</v>
      </c>
      <c r="C1125" s="1">
        <v>45763</v>
      </c>
      <c r="D1125" s="71" t="s">
        <v>21</v>
      </c>
      <c r="E1125" s="71" t="s">
        <v>191</v>
      </c>
      <c r="F1125" s="77" t="s">
        <v>35</v>
      </c>
      <c r="G1125" s="71" t="s">
        <v>216</v>
      </c>
      <c r="H1125" s="169"/>
      <c r="I1125" s="169"/>
      <c r="J1125" s="71" t="s">
        <v>919</v>
      </c>
      <c r="K1125" s="180"/>
      <c r="L1125" s="323">
        <v>3100</v>
      </c>
      <c r="M1125" s="163">
        <f>M1124+K1125-L1125</f>
        <v>-45108.744279999868</v>
      </c>
    </row>
    <row r="1126" spans="1:13">
      <c r="A1126" s="54" t="str">
        <f>D1126&amp;E1126&amp;F1126</f>
        <v>DEFONDO Y REPOSICIONDIRECCION</v>
      </c>
      <c r="B1126" t="s">
        <v>814</v>
      </c>
      <c r="C1126" s="1">
        <v>45763</v>
      </c>
      <c r="D1126" s="71" t="s">
        <v>41</v>
      </c>
      <c r="E1126" s="71" t="s">
        <v>120</v>
      </c>
      <c r="F1126" s="77" t="s">
        <v>42</v>
      </c>
      <c r="G1126" s="71" t="s">
        <v>216</v>
      </c>
      <c r="H1126" s="169"/>
      <c r="I1126" s="169"/>
      <c r="J1126" s="71" t="s">
        <v>920</v>
      </c>
      <c r="K1126" s="322"/>
      <c r="L1126" s="323">
        <v>5607</v>
      </c>
      <c r="M1126" s="163">
        <f>M1125+K1126-L1126</f>
        <v>-50715.744279999868</v>
      </c>
    </row>
    <row r="1127" spans="1:13">
      <c r="A1127" s="54" t="str">
        <f>D1127&amp;E1127&amp;F1127</f>
        <v>FINANZASINSUMOSFINANZAS</v>
      </c>
      <c r="B1127" t="s">
        <v>814</v>
      </c>
      <c r="C1127" s="1">
        <v>45763</v>
      </c>
      <c r="D1127" s="71" t="s">
        <v>23</v>
      </c>
      <c r="E1127" s="71" t="s">
        <v>133</v>
      </c>
      <c r="F1127" s="77" t="s">
        <v>23</v>
      </c>
      <c r="G1127" s="71" t="s">
        <v>216</v>
      </c>
      <c r="H1127" s="169"/>
      <c r="I1127" s="169"/>
      <c r="J1127" s="71" t="s">
        <v>921</v>
      </c>
      <c r="K1127" s="180"/>
      <c r="L1127" s="323">
        <f>1330-57</f>
        <v>1273</v>
      </c>
      <c r="M1127" s="163">
        <f>M1126+K1127-L1127</f>
        <v>-51988.744279999868</v>
      </c>
    </row>
    <row r="1128" spans="1:13">
      <c r="A1128" s="54" t="str">
        <f>D1128&amp;E1128&amp;F1128</f>
        <v>HRFONDO Y REPOSICIONHR</v>
      </c>
      <c r="B1128" t="s">
        <v>814</v>
      </c>
      <c r="C1128" s="1">
        <v>45763</v>
      </c>
      <c r="D1128" s="71" t="s">
        <v>29</v>
      </c>
      <c r="E1128" s="71" t="s">
        <v>120</v>
      </c>
      <c r="F1128" s="77" t="s">
        <v>29</v>
      </c>
      <c r="G1128" s="71" t="s">
        <v>216</v>
      </c>
      <c r="H1128" s="169"/>
      <c r="I1128" s="169"/>
      <c r="J1128" s="71" t="s">
        <v>539</v>
      </c>
      <c r="K1128" s="180"/>
      <c r="L1128" s="323">
        <v>1329</v>
      </c>
      <c r="M1128" s="163">
        <f>M1127+K1128-L1128</f>
        <v>-53317.744279999868</v>
      </c>
    </row>
    <row r="1129" spans="1:13">
      <c r="A1129" s="54" t="str">
        <f>D1129&amp;E1129&amp;F1129</f>
        <v>HRMKTMKT HR</v>
      </c>
      <c r="B1129" t="s">
        <v>814</v>
      </c>
      <c r="C1129" s="1">
        <v>45763</v>
      </c>
      <c r="D1129" s="71" t="s">
        <v>29</v>
      </c>
      <c r="E1129" s="71" t="s">
        <v>19</v>
      </c>
      <c r="F1129" s="77" t="s">
        <v>138</v>
      </c>
      <c r="G1129" s="71" t="s">
        <v>216</v>
      </c>
      <c r="H1129" s="169"/>
      <c r="I1129" s="169"/>
      <c r="J1129" s="71" t="s">
        <v>922</v>
      </c>
      <c r="K1129" s="180"/>
      <c r="L1129" s="323">
        <v>2200</v>
      </c>
      <c r="M1129" s="163">
        <f>M1128+K1129-L1129</f>
        <v>-55517.744279999868</v>
      </c>
    </row>
    <row r="1130" spans="1:13">
      <c r="A1130" s="54" t="str">
        <f>D1130&amp;E1130&amp;F1130</f>
        <v>SERVICIOSINSUMOSCADENA DE SUMINISTROS</v>
      </c>
      <c r="B1130" t="s">
        <v>814</v>
      </c>
      <c r="C1130" s="1">
        <v>45763</v>
      </c>
      <c r="D1130" s="71" t="s">
        <v>21</v>
      </c>
      <c r="E1130" s="71" t="s">
        <v>133</v>
      </c>
      <c r="F1130" s="77" t="s">
        <v>134</v>
      </c>
      <c r="G1130" s="71" t="s">
        <v>216</v>
      </c>
      <c r="H1130" s="169"/>
      <c r="I1130" s="169"/>
      <c r="J1130" s="71" t="s">
        <v>923</v>
      </c>
      <c r="L1130" s="326">
        <v>1948.8</v>
      </c>
      <c r="M1130" s="163">
        <f>M1129+K1130-L1130</f>
        <v>-57466.544279999871</v>
      </c>
    </row>
    <row r="1131" spans="1:13">
      <c r="A1131" s="54" t="str">
        <f>D1131&amp;E1131&amp;F1131</f>
        <v>SERVICIOSINSUMOSCADENA DE SUMINISTROS</v>
      </c>
      <c r="B1131" t="s">
        <v>814</v>
      </c>
      <c r="C1131" s="1">
        <v>45763</v>
      </c>
      <c r="D1131" s="71" t="s">
        <v>21</v>
      </c>
      <c r="E1131" s="71" t="s">
        <v>133</v>
      </c>
      <c r="F1131" s="77" t="s">
        <v>134</v>
      </c>
      <c r="G1131" s="71" t="s">
        <v>216</v>
      </c>
      <c r="H1131" s="169"/>
      <c r="I1131" s="169"/>
      <c r="J1131" s="71" t="s">
        <v>924</v>
      </c>
      <c r="L1131" s="326">
        <v>1946.4</v>
      </c>
      <c r="M1131" s="163">
        <f>M1130+K1131-L1131</f>
        <v>-59412.944279999872</v>
      </c>
    </row>
    <row r="1132" spans="1:13">
      <c r="A1132" s="54" t="str">
        <f>D1132&amp;E1132&amp;F1132</f>
        <v>SERVICIOSINSUMOSCADENA DE SUMINISTROS</v>
      </c>
      <c r="B1132" t="s">
        <v>814</v>
      </c>
      <c r="C1132" s="1">
        <v>45763</v>
      </c>
      <c r="D1132" s="71" t="s">
        <v>21</v>
      </c>
      <c r="E1132" s="71" t="s">
        <v>133</v>
      </c>
      <c r="F1132" s="77" t="s">
        <v>134</v>
      </c>
      <c r="G1132" s="71" t="s">
        <v>216</v>
      </c>
      <c r="H1132" s="169"/>
      <c r="I1132" s="169"/>
      <c r="J1132" s="71" t="s">
        <v>925</v>
      </c>
      <c r="L1132" s="326">
        <v>11398.76</v>
      </c>
      <c r="M1132" s="163">
        <f>M1131+K1132-L1132</f>
        <v>-70811.704279999874</v>
      </c>
    </row>
    <row r="1133" spans="1:13">
      <c r="A1133" s="54" t="str">
        <f>D1133&amp;E1133&amp;F1133</f>
        <v>SERVICIOSMTTO DE EDIFICIOMANTENIMIENTO</v>
      </c>
      <c r="B1133" t="s">
        <v>814</v>
      </c>
      <c r="C1133" s="1">
        <v>45763</v>
      </c>
      <c r="D1133" s="71" t="s">
        <v>21</v>
      </c>
      <c r="E1133" s="71" t="s">
        <v>142</v>
      </c>
      <c r="F1133" s="77" t="s">
        <v>35</v>
      </c>
      <c r="G1133" s="71" t="s">
        <v>216</v>
      </c>
      <c r="H1133" s="169"/>
      <c r="I1133" s="169"/>
      <c r="J1133" s="76" t="s">
        <v>926</v>
      </c>
      <c r="K1133" s="322"/>
      <c r="L1133" s="327">
        <v>395.68</v>
      </c>
      <c r="M1133" s="163">
        <f>M1132+K1133-L1133</f>
        <v>-71207.384279999867</v>
      </c>
    </row>
    <row r="1134" spans="1:13">
      <c r="A1134" s="54" t="str">
        <f>D1134&amp;E1134&amp;F1134</f>
        <v>CAPUBERCAP</v>
      </c>
      <c r="B1134" t="s">
        <v>814</v>
      </c>
      <c r="C1134" s="1">
        <v>45763</v>
      </c>
      <c r="D1134" s="71" t="s">
        <v>31</v>
      </c>
      <c r="E1134" s="71" t="s">
        <v>189</v>
      </c>
      <c r="F1134" s="77" t="s">
        <v>31</v>
      </c>
      <c r="G1134" s="71" t="s">
        <v>216</v>
      </c>
      <c r="H1134" s="169"/>
      <c r="I1134" s="169"/>
      <c r="J1134" s="76" t="s">
        <v>279</v>
      </c>
      <c r="K1134" s="322"/>
      <c r="L1134" s="525">
        <v>302</v>
      </c>
      <c r="M1134" s="163">
        <f>M1133+K1134-L1134</f>
        <v>-71509.384279999867</v>
      </c>
    </row>
    <row r="1135" spans="1:13">
      <c r="A1135" s="54" t="str">
        <f>D1135&amp;E1135&amp;F1135</f>
        <v>CAPFUMIGACIONCAPRICHOS</v>
      </c>
      <c r="B1135" t="s">
        <v>814</v>
      </c>
      <c r="C1135" s="1">
        <v>45763</v>
      </c>
      <c r="D1135" s="71" t="s">
        <v>31</v>
      </c>
      <c r="E1135" s="71" t="s">
        <v>121</v>
      </c>
      <c r="F1135" s="77" t="s">
        <v>33</v>
      </c>
      <c r="G1135" s="71" t="s">
        <v>216</v>
      </c>
      <c r="H1135" s="169"/>
      <c r="I1135" s="169"/>
      <c r="J1135" s="76" t="s">
        <v>927</v>
      </c>
      <c r="K1135" s="322"/>
      <c r="L1135" s="537">
        <v>650</v>
      </c>
      <c r="M1135" s="163">
        <f>M1134+K1135-L1135</f>
        <v>-72159.384279999867</v>
      </c>
    </row>
    <row r="1136" spans="1:13">
      <c r="A1136" s="54" t="str">
        <f>D1136&amp;E1136&amp;F1136</f>
        <v>CAPCOMBUSTIBLECAPRICHOS</v>
      </c>
      <c r="B1136" t="s">
        <v>814</v>
      </c>
      <c r="C1136" s="1">
        <v>45763</v>
      </c>
      <c r="D1136" s="71" t="s">
        <v>31</v>
      </c>
      <c r="E1136" s="71" t="s">
        <v>32</v>
      </c>
      <c r="F1136" s="77" t="s">
        <v>33</v>
      </c>
      <c r="G1136" s="71" t="s">
        <v>216</v>
      </c>
      <c r="H1136" s="169"/>
      <c r="I1136" s="169"/>
      <c r="J1136" s="76" t="s">
        <v>928</v>
      </c>
      <c r="K1136" s="322"/>
      <c r="L1136" s="327">
        <v>300</v>
      </c>
      <c r="M1136" s="163">
        <f>M1135+K1136-L1136</f>
        <v>-72459.384279999867</v>
      </c>
    </row>
    <row r="1137" spans="1:14">
      <c r="A1137" s="54" t="str">
        <f>D1137&amp;E1137&amp;F1137</f>
        <v>CAPINSUMOSCAPRICHOS</v>
      </c>
      <c r="B1137" t="s">
        <v>814</v>
      </c>
      <c r="C1137" s="1">
        <v>45763</v>
      </c>
      <c r="D1137" s="71" t="s">
        <v>31</v>
      </c>
      <c r="E1137" s="71" t="s">
        <v>133</v>
      </c>
      <c r="F1137" s="77" t="s">
        <v>33</v>
      </c>
      <c r="G1137" s="71" t="s">
        <v>216</v>
      </c>
      <c r="H1137" s="169"/>
      <c r="I1137" s="169"/>
      <c r="J1137" s="76" t="s">
        <v>929</v>
      </c>
      <c r="K1137" s="322"/>
      <c r="L1137" s="327">
        <v>74.97</v>
      </c>
      <c r="M1137" s="163">
        <f>M1136+K1137-L1137</f>
        <v>-72534.354279999869</v>
      </c>
    </row>
    <row r="1138" spans="1:14">
      <c r="A1138" s="54" t="str">
        <f>D1138&amp;E1138&amp;F1138</f>
        <v>FINANZASFALTANTESFALTANTES</v>
      </c>
      <c r="B1138" t="s">
        <v>814</v>
      </c>
      <c r="C1138" s="1">
        <v>45763</v>
      </c>
      <c r="D1138" s="71" t="s">
        <v>23</v>
      </c>
      <c r="E1138" s="71" t="s">
        <v>119</v>
      </c>
      <c r="F1138" s="77" t="s">
        <v>119</v>
      </c>
      <c r="G1138" s="71" t="s">
        <v>258</v>
      </c>
      <c r="H1138" s="169"/>
      <c r="I1138" s="169"/>
      <c r="J1138" s="76" t="s">
        <v>371</v>
      </c>
      <c r="K1138" s="322"/>
      <c r="L1138" s="327">
        <v>14492.14</v>
      </c>
      <c r="M1138" s="163">
        <f>M1137+K1138-L1138</f>
        <v>-87026.494279999868</v>
      </c>
    </row>
    <row r="1139" spans="1:14">
      <c r="A1139" s="54" t="str">
        <f t="shared" si="18"/>
        <v>NA</v>
      </c>
      <c r="B1139" t="s">
        <v>814</v>
      </c>
      <c r="C1139" s="1">
        <v>45768</v>
      </c>
      <c r="D1139" s="71" t="s">
        <v>815</v>
      </c>
      <c r="F1139" s="77"/>
      <c r="H1139" s="169"/>
      <c r="I1139" s="169"/>
      <c r="J1139" s="71" t="s">
        <v>260</v>
      </c>
      <c r="K1139" s="325">
        <f>1264108.93-61647.53</f>
        <v>1202461.3999999999</v>
      </c>
      <c r="L1139" s="354"/>
      <c r="M1139" s="163">
        <f>M1138+K1139-L1139</f>
        <v>1115434.9057200002</v>
      </c>
    </row>
    <row r="1140" spans="1:14">
      <c r="A1140" s="54" t="str">
        <f>D1140&amp;E1140&amp;F1140</f>
        <v>FINANZASCOMISIONES BANCARIASTPV</v>
      </c>
      <c r="B1140" t="s">
        <v>814</v>
      </c>
      <c r="C1140" s="1">
        <v>45768</v>
      </c>
      <c r="D1140" s="71" t="s">
        <v>23</v>
      </c>
      <c r="E1140" s="71" t="s">
        <v>48</v>
      </c>
      <c r="F1140" s="77" t="s">
        <v>50</v>
      </c>
      <c r="G1140" s="71" t="s">
        <v>216</v>
      </c>
      <c r="H1140" s="169"/>
      <c r="I1140" s="169"/>
      <c r="J1140" s="71" t="s">
        <v>217</v>
      </c>
      <c r="L1140" s="326">
        <f>1130.48+2572.41+543.77+10501.64+11229.53</f>
        <v>25977.83</v>
      </c>
      <c r="M1140" s="163">
        <f>M1139+K1140-L1140</f>
        <v>1089457.0757200001</v>
      </c>
    </row>
    <row r="1141" spans="1:14">
      <c r="A1141" s="54" t="str">
        <f t="shared" si="18"/>
        <v>NA</v>
      </c>
      <c r="B1141" t="s">
        <v>814</v>
      </c>
      <c r="C1141" s="1">
        <v>45768</v>
      </c>
      <c r="D1141" s="71" t="s">
        <v>815</v>
      </c>
      <c r="F1141" s="77"/>
      <c r="H1141" s="169"/>
      <c r="I1141" s="169"/>
      <c r="J1141" s="205" t="s">
        <v>577</v>
      </c>
      <c r="K1141" s="206"/>
      <c r="L1141" s="206">
        <v>450000</v>
      </c>
      <c r="M1141" s="163">
        <f>M1140+K1141-L1141</f>
        <v>639457.07572000008</v>
      </c>
      <c r="N1141" s="72"/>
    </row>
    <row r="1142" spans="1:14">
      <c r="A1142" s="54" t="str">
        <f t="shared" si="18"/>
        <v>NA</v>
      </c>
      <c r="B1142" t="s">
        <v>814</v>
      </c>
      <c r="C1142" s="1">
        <v>45768</v>
      </c>
      <c r="D1142" s="71" t="s">
        <v>815</v>
      </c>
      <c r="F1142" s="77"/>
      <c r="H1142" s="169"/>
      <c r="I1142" s="169"/>
      <c r="J1142" s="205" t="s">
        <v>222</v>
      </c>
      <c r="K1142" s="206"/>
      <c r="L1142" s="206">
        <v>300000</v>
      </c>
      <c r="M1142" s="163">
        <f>M1141+K1142-L1142</f>
        <v>339457.07572000008</v>
      </c>
    </row>
    <row r="1143" spans="1:14">
      <c r="A1143" s="54" t="str">
        <f t="shared" si="18"/>
        <v>NA</v>
      </c>
      <c r="B1143" t="s">
        <v>814</v>
      </c>
      <c r="C1143" s="1">
        <v>45768</v>
      </c>
      <c r="D1143" s="71" t="s">
        <v>815</v>
      </c>
      <c r="F1143" s="77"/>
      <c r="H1143" s="169"/>
      <c r="I1143" s="169"/>
      <c r="J1143" s="205" t="s">
        <v>606</v>
      </c>
      <c r="K1143" s="206"/>
      <c r="L1143" s="206">
        <f>363000+12000</f>
        <v>375000</v>
      </c>
      <c r="M1143" s="163">
        <f>M1142+K1143-L1143</f>
        <v>-35542.924279999919</v>
      </c>
    </row>
    <row r="1144" spans="1:14">
      <c r="A1144" s="54" t="str">
        <f>D1144&amp;E1144&amp;F1144</f>
        <v>HRENERGIA ELECTRICAA24</v>
      </c>
      <c r="B1144" t="s">
        <v>814</v>
      </c>
      <c r="C1144" s="1">
        <v>45768</v>
      </c>
      <c r="D1144" s="71" t="s">
        <v>29</v>
      </c>
      <c r="E1144" s="71" t="s">
        <v>87</v>
      </c>
      <c r="F1144" s="77" t="s">
        <v>106</v>
      </c>
      <c r="G1144" s="71" t="s">
        <v>216</v>
      </c>
      <c r="H1144" s="169"/>
      <c r="I1144" s="169"/>
      <c r="J1144" s="71" t="s">
        <v>930</v>
      </c>
      <c r="L1144" s="355">
        <v>8997</v>
      </c>
      <c r="M1144" s="163">
        <f>M1143+K1144-L1144</f>
        <v>-44539.924279999919</v>
      </c>
    </row>
    <row r="1145" spans="1:14">
      <c r="A1145" s="54" t="str">
        <f>D1145&amp;E1145&amp;F1145</f>
        <v>CAPENERGIA ELECTRICAE5</v>
      </c>
      <c r="B1145" t="s">
        <v>814</v>
      </c>
      <c r="C1145" s="1">
        <v>45768</v>
      </c>
      <c r="D1145" s="71" t="s">
        <v>31</v>
      </c>
      <c r="E1145" s="71" t="s">
        <v>87</v>
      </c>
      <c r="F1145" s="77" t="s">
        <v>111</v>
      </c>
      <c r="G1145" s="71" t="s">
        <v>216</v>
      </c>
      <c r="H1145" s="169"/>
      <c r="I1145" s="169"/>
      <c r="J1145" s="71" t="s">
        <v>931</v>
      </c>
      <c r="K1145" s="322"/>
      <c r="L1145" s="355">
        <v>15036</v>
      </c>
      <c r="M1145" s="163">
        <f>M1144+K1145-L1145</f>
        <v>-59575.924279999919</v>
      </c>
    </row>
    <row r="1146" spans="1:14">
      <c r="A1146" s="54" t="str">
        <f>D1146&amp;E1146&amp;F1146</f>
        <v>FINANZASENERGIA ELECTRICACEDIS</v>
      </c>
      <c r="B1146" t="s">
        <v>814</v>
      </c>
      <c r="C1146" s="1">
        <v>45768</v>
      </c>
      <c r="D1146" s="71" t="s">
        <v>23</v>
      </c>
      <c r="E1146" s="71" t="s">
        <v>87</v>
      </c>
      <c r="F1146" s="71" t="s">
        <v>28</v>
      </c>
      <c r="G1146" s="71" t="s">
        <v>216</v>
      </c>
      <c r="H1146" s="169"/>
      <c r="I1146" s="169"/>
      <c r="J1146" s="71" t="s">
        <v>415</v>
      </c>
      <c r="K1146" s="322"/>
      <c r="L1146" s="355">
        <v>508</v>
      </c>
      <c r="M1146" s="163">
        <f>M1145+K1146-L1146</f>
        <v>-60083.924279999919</v>
      </c>
    </row>
    <row r="1147" spans="1:14">
      <c r="A1147" s="54" t="str">
        <f>D1147&amp;E1147&amp;F1147</f>
        <v>HRENERGIA ELECTRICAA4</v>
      </c>
      <c r="B1147" t="s">
        <v>814</v>
      </c>
      <c r="C1147" s="1">
        <v>45768</v>
      </c>
      <c r="D1147" s="71" t="s">
        <v>29</v>
      </c>
      <c r="E1147" s="71" t="s">
        <v>87</v>
      </c>
      <c r="F1147" s="77" t="s">
        <v>91</v>
      </c>
      <c r="G1147" s="71" t="s">
        <v>216</v>
      </c>
      <c r="H1147" s="169"/>
      <c r="I1147" s="169"/>
      <c r="J1147" s="71" t="s">
        <v>932</v>
      </c>
      <c r="L1147" s="326">
        <v>5926</v>
      </c>
      <c r="M1147" s="163">
        <f>M1146+K1147-L1147</f>
        <v>-66009.924279999919</v>
      </c>
    </row>
    <row r="1148" spans="1:14">
      <c r="A1148" s="54" t="str">
        <f>D1148&amp;E1148&amp;F1148</f>
        <v>HRENERGIA ELECTRICAA12</v>
      </c>
      <c r="B1148" t="s">
        <v>814</v>
      </c>
      <c r="C1148" s="1">
        <v>45768</v>
      </c>
      <c r="D1148" s="71" t="s">
        <v>29</v>
      </c>
      <c r="E1148" s="71" t="s">
        <v>87</v>
      </c>
      <c r="F1148" s="77" t="s">
        <v>98</v>
      </c>
      <c r="G1148" s="71" t="s">
        <v>216</v>
      </c>
      <c r="H1148" s="169"/>
      <c r="I1148" s="169"/>
      <c r="J1148" s="71" t="s">
        <v>933</v>
      </c>
      <c r="L1148" s="326">
        <v>12920</v>
      </c>
      <c r="M1148" s="163">
        <f>M1147+K1148-L1148</f>
        <v>-78929.924279999919</v>
      </c>
    </row>
    <row r="1149" spans="1:14">
      <c r="A1149" s="54" t="str">
        <f>D1149&amp;E1149&amp;F1149</f>
        <v>HRENERGIA ELECTRICAA15</v>
      </c>
      <c r="B1149" t="s">
        <v>814</v>
      </c>
      <c r="C1149" s="1">
        <v>45768</v>
      </c>
      <c r="D1149" s="71" t="s">
        <v>29</v>
      </c>
      <c r="E1149" s="71" t="s">
        <v>87</v>
      </c>
      <c r="F1149" s="77" t="s">
        <v>100</v>
      </c>
      <c r="G1149" s="71" t="s">
        <v>216</v>
      </c>
      <c r="H1149" s="169"/>
      <c r="I1149" s="169"/>
      <c r="J1149" s="71" t="s">
        <v>934</v>
      </c>
      <c r="L1149" s="326">
        <v>8763</v>
      </c>
      <c r="M1149" s="163">
        <f>M1148+K1149-L1149</f>
        <v>-87692.924279999919</v>
      </c>
    </row>
    <row r="1150" spans="1:14">
      <c r="A1150" s="54" t="str">
        <f>D1150&amp;E1150&amp;F1150</f>
        <v>SGECUOTAS Y SUSCRIPCIONESFROGMI</v>
      </c>
      <c r="B1150" t="s">
        <v>814</v>
      </c>
      <c r="C1150" s="1">
        <v>45768</v>
      </c>
      <c r="D1150" s="71" t="s">
        <v>39</v>
      </c>
      <c r="E1150" s="71" t="s">
        <v>51</v>
      </c>
      <c r="F1150" s="77" t="s">
        <v>57</v>
      </c>
      <c r="G1150" s="71" t="s">
        <v>216</v>
      </c>
      <c r="H1150" s="169"/>
      <c r="I1150" s="169"/>
      <c r="J1150" s="71" t="s">
        <v>935</v>
      </c>
      <c r="K1150" s="322"/>
      <c r="L1150" s="323">
        <v>39832.43</v>
      </c>
      <c r="M1150" s="163">
        <f>M1149+K1150-L1150</f>
        <v>-127525.35427999991</v>
      </c>
    </row>
    <row r="1151" spans="1:14">
      <c r="A1151" s="54" t="str">
        <f>D1151&amp;E1151&amp;F1151</f>
        <v>DEMTTO EQ DE TRANSPORTEDIRECCION</v>
      </c>
      <c r="B1151" t="s">
        <v>814</v>
      </c>
      <c r="C1151" s="1">
        <v>45768</v>
      </c>
      <c r="D1151" s="71" t="s">
        <v>41</v>
      </c>
      <c r="E1151" s="71" t="s">
        <v>144</v>
      </c>
      <c r="F1151" s="77" t="s">
        <v>42</v>
      </c>
      <c r="G1151" s="71" t="s">
        <v>258</v>
      </c>
      <c r="H1151" s="169"/>
      <c r="I1151" s="169"/>
      <c r="J1151" s="71" t="s">
        <v>936</v>
      </c>
      <c r="K1151" s="322"/>
      <c r="L1151" s="323">
        <v>8236.2999999999993</v>
      </c>
      <c r="M1151" s="163">
        <f>M1150+K1151-L1151</f>
        <v>-135761.6542799999</v>
      </c>
    </row>
    <row r="1152" spans="1:14">
      <c r="A1152" s="54" t="str">
        <f>D1152&amp;E1152&amp;F1152</f>
        <v>CAPMKTMKT CAP</v>
      </c>
      <c r="B1152" t="s">
        <v>814</v>
      </c>
      <c r="C1152" s="1">
        <v>45768</v>
      </c>
      <c r="D1152" s="71" t="s">
        <v>31</v>
      </c>
      <c r="E1152" s="71" t="s">
        <v>19</v>
      </c>
      <c r="F1152" s="77" t="s">
        <v>139</v>
      </c>
      <c r="G1152" s="71" t="s">
        <v>216</v>
      </c>
      <c r="H1152" s="169"/>
      <c r="I1152" s="169"/>
      <c r="J1152" s="71" t="s">
        <v>384</v>
      </c>
      <c r="K1152" s="322"/>
      <c r="L1152" s="323">
        <v>186</v>
      </c>
      <c r="M1152" s="163">
        <f>M1151+K1152-L1152</f>
        <v>-135947.6542799999</v>
      </c>
    </row>
    <row r="1153" spans="1:13">
      <c r="A1153" s="54" t="str">
        <f>D1153&amp;E1153&amp;F1153</f>
        <v>SERVICIOSMTTO EQ DE TRANSPORTECEDIS</v>
      </c>
      <c r="B1153" t="s">
        <v>814</v>
      </c>
      <c r="C1153" s="1">
        <v>45768</v>
      </c>
      <c r="D1153" s="71" t="s">
        <v>21</v>
      </c>
      <c r="E1153" s="71" t="s">
        <v>144</v>
      </c>
      <c r="F1153" s="77" t="s">
        <v>28</v>
      </c>
      <c r="G1153" s="71" t="s">
        <v>258</v>
      </c>
      <c r="H1153" s="169"/>
      <c r="I1153" s="169"/>
      <c r="J1153" s="71" t="s">
        <v>937</v>
      </c>
      <c r="K1153" s="322"/>
      <c r="L1153" s="417">
        <v>7805</v>
      </c>
      <c r="M1153" s="163">
        <f>M1152+K1153-L1153</f>
        <v>-143752.6542799999</v>
      </c>
    </row>
    <row r="1154" spans="1:13">
      <c r="A1154" s="54" t="str">
        <f>D1154&amp;E1154&amp;F1154</f>
        <v>SERVICIOSVIATICOSCEDIS</v>
      </c>
      <c r="B1154" t="s">
        <v>814</v>
      </c>
      <c r="C1154" s="1">
        <v>45768</v>
      </c>
      <c r="D1154" s="71" t="s">
        <v>21</v>
      </c>
      <c r="E1154" s="71" t="s">
        <v>191</v>
      </c>
      <c r="F1154" s="77" t="s">
        <v>28</v>
      </c>
      <c r="G1154" s="71" t="s">
        <v>216</v>
      </c>
      <c r="H1154" s="169"/>
      <c r="I1154" s="169"/>
      <c r="J1154" s="71" t="s">
        <v>938</v>
      </c>
      <c r="K1154" s="321"/>
      <c r="L1154" s="326">
        <v>2050</v>
      </c>
      <c r="M1154" s="163">
        <f>M1153+K1154-L1154</f>
        <v>-145802.6542799999</v>
      </c>
    </row>
    <row r="1155" spans="1:13">
      <c r="A1155" s="54" t="str">
        <f>D1155&amp;E1155&amp;F1155</f>
        <v>ELIVIATICOSL1</v>
      </c>
      <c r="B1155" t="s">
        <v>814</v>
      </c>
      <c r="C1155" s="1">
        <v>45768</v>
      </c>
      <c r="D1155" s="71" t="s">
        <v>130</v>
      </c>
      <c r="E1155" s="71" t="s">
        <v>191</v>
      </c>
      <c r="F1155" s="77" t="s">
        <v>136</v>
      </c>
      <c r="G1155" s="71" t="s">
        <v>216</v>
      </c>
      <c r="H1155" s="169"/>
      <c r="I1155" s="169"/>
      <c r="J1155" s="71" t="s">
        <v>939</v>
      </c>
      <c r="K1155" s="321"/>
      <c r="L1155" s="326">
        <v>1000</v>
      </c>
      <c r="M1155" s="163">
        <f>M1154+K1155-L1155</f>
        <v>-146802.6542799999</v>
      </c>
    </row>
    <row r="1156" spans="1:13">
      <c r="A1156" s="54" t="str">
        <f>D1156&amp;E1156&amp;F1156</f>
        <v>CAPMTTO EQ DE TRANSPORTECAPRICHOS</v>
      </c>
      <c r="B1156" t="s">
        <v>814</v>
      </c>
      <c r="C1156" s="1">
        <v>45768</v>
      </c>
      <c r="D1156" s="71" t="s">
        <v>31</v>
      </c>
      <c r="E1156" s="71" t="s">
        <v>144</v>
      </c>
      <c r="F1156" s="77" t="s">
        <v>33</v>
      </c>
      <c r="G1156" s="71" t="s">
        <v>258</v>
      </c>
      <c r="H1156" s="169"/>
      <c r="I1156" s="169"/>
      <c r="J1156" s="71" t="s">
        <v>940</v>
      </c>
      <c r="K1156" s="321"/>
      <c r="L1156" s="326">
        <v>300</v>
      </c>
      <c r="M1156" s="163">
        <f>M1155+K1156-L1156</f>
        <v>-147102.6542799999</v>
      </c>
    </row>
    <row r="1157" spans="1:13">
      <c r="A1157" s="54" t="str">
        <f>D1157&amp;E1157&amp;F1157</f>
        <v>FINANZASCUOTAS Y SUSCRIPCIONESKOLBEE</v>
      </c>
      <c r="B1157" t="s">
        <v>814</v>
      </c>
      <c r="C1157" s="1">
        <v>45768</v>
      </c>
      <c r="D1157" s="71" t="s">
        <v>23</v>
      </c>
      <c r="E1157" s="71" t="s">
        <v>51</v>
      </c>
      <c r="F1157" s="77" t="s">
        <v>69</v>
      </c>
      <c r="G1157" s="71" t="s">
        <v>216</v>
      </c>
      <c r="H1157" s="169"/>
      <c r="I1157" s="169"/>
      <c r="J1157" s="71" t="s">
        <v>941</v>
      </c>
      <c r="L1157" s="326">
        <v>1050</v>
      </c>
      <c r="M1157" s="163">
        <f>M1156+K1157-L1157</f>
        <v>-148152.6542799999</v>
      </c>
    </row>
    <row r="1158" spans="1:13">
      <c r="A1158" s="54" t="str">
        <f>D1158&amp;E1158&amp;F1158</f>
        <v>HRMKTMKT HR</v>
      </c>
      <c r="B1158" t="s">
        <v>814</v>
      </c>
      <c r="C1158" s="1">
        <v>45768</v>
      </c>
      <c r="D1158" s="71" t="s">
        <v>29</v>
      </c>
      <c r="E1158" s="71" t="s">
        <v>19</v>
      </c>
      <c r="F1158" s="77" t="s">
        <v>138</v>
      </c>
      <c r="G1158" s="71" t="s">
        <v>216</v>
      </c>
      <c r="H1158" s="169"/>
      <c r="I1158" s="169"/>
      <c r="J1158" s="71" t="s">
        <v>942</v>
      </c>
      <c r="L1158" s="326">
        <v>1300</v>
      </c>
      <c r="M1158" s="163">
        <f>M1157+K1158-L1158</f>
        <v>-149452.6542799999</v>
      </c>
    </row>
    <row r="1159" spans="1:13">
      <c r="A1159" s="54" t="str">
        <f>D1159&amp;E1159&amp;F1159</f>
        <v>CAPMKTMKT CAP</v>
      </c>
      <c r="B1159" t="s">
        <v>814</v>
      </c>
      <c r="C1159" s="1">
        <v>45768</v>
      </c>
      <c r="D1159" s="71" t="s">
        <v>31</v>
      </c>
      <c r="E1159" s="71" t="s">
        <v>19</v>
      </c>
      <c r="F1159" s="77" t="s">
        <v>139</v>
      </c>
      <c r="G1159" s="71" t="s">
        <v>216</v>
      </c>
      <c r="H1159" s="169"/>
      <c r="I1159" s="169"/>
      <c r="J1159" s="71" t="s">
        <v>943</v>
      </c>
      <c r="L1159" s="326">
        <v>1300</v>
      </c>
      <c r="M1159" s="163">
        <f>M1158+K1159-L1159</f>
        <v>-150752.6542799999</v>
      </c>
    </row>
    <row r="1160" spans="1:13">
      <c r="A1160" s="54" t="str">
        <f>D1160&amp;E1160&amp;F1160</f>
        <v>FINANZASFONDO Y REPOSICIONFINANZAS</v>
      </c>
      <c r="B1160" t="s">
        <v>814</v>
      </c>
      <c r="C1160" s="1">
        <v>45768</v>
      </c>
      <c r="D1160" s="71" t="s">
        <v>23</v>
      </c>
      <c r="E1160" s="71" t="s">
        <v>120</v>
      </c>
      <c r="F1160" s="77" t="s">
        <v>23</v>
      </c>
      <c r="G1160" s="144" t="s">
        <v>216</v>
      </c>
      <c r="H1160" s="169"/>
      <c r="I1160" s="169"/>
      <c r="J1160" s="71" t="s">
        <v>944</v>
      </c>
      <c r="K1160" s="321"/>
      <c r="L1160" s="326">
        <v>50</v>
      </c>
      <c r="M1160" s="163">
        <f>M1159+K1160-L1160</f>
        <v>-150802.6542799999</v>
      </c>
    </row>
    <row r="1161" spans="1:13">
      <c r="A1161" s="54" t="str">
        <f>D1161&amp;E1161&amp;F1161</f>
        <v>SERVICIOSINSUMOSCADENA DE SUMINISTROS</v>
      </c>
      <c r="B1161" t="s">
        <v>814</v>
      </c>
      <c r="C1161" s="1">
        <v>45768</v>
      </c>
      <c r="D1161" s="71" t="s">
        <v>21</v>
      </c>
      <c r="E1161" s="71" t="s">
        <v>133</v>
      </c>
      <c r="F1161" s="70" t="s">
        <v>134</v>
      </c>
      <c r="G1161" s="144" t="s">
        <v>216</v>
      </c>
      <c r="H1161" s="169"/>
      <c r="I1161" s="169"/>
      <c r="J1161" s="71" t="s">
        <v>945</v>
      </c>
      <c r="L1161" s="326">
        <v>12900.36</v>
      </c>
      <c r="M1161" s="163">
        <f>M1160+K1161-L1161</f>
        <v>-163703.01427999989</v>
      </c>
    </row>
    <row r="1162" spans="1:13">
      <c r="A1162" s="54" t="str">
        <f>D1162&amp;E1162&amp;F1162</f>
        <v>HRUBERHR</v>
      </c>
      <c r="B1162" t="s">
        <v>814</v>
      </c>
      <c r="C1162" s="1">
        <v>45768</v>
      </c>
      <c r="D1162" s="71" t="s">
        <v>29</v>
      </c>
      <c r="E1162" s="71" t="s">
        <v>189</v>
      </c>
      <c r="F1162" s="77" t="s">
        <v>29</v>
      </c>
      <c r="G1162" s="71" t="s">
        <v>216</v>
      </c>
      <c r="H1162" s="169"/>
      <c r="I1162" s="169"/>
      <c r="J1162" s="76" t="s">
        <v>946</v>
      </c>
      <c r="K1162" s="322"/>
      <c r="L1162" s="525">
        <v>170</v>
      </c>
      <c r="M1162" s="163">
        <f>M1161+K1162-L1162</f>
        <v>-163873.01427999989</v>
      </c>
    </row>
    <row r="1163" spans="1:13">
      <c r="A1163" s="54" t="str">
        <f>D1163&amp;E1163&amp;F1163</f>
        <v>SERVICIOSMTTO DE EDIFICIOMANTENIMIENTO</v>
      </c>
      <c r="B1163" t="s">
        <v>814</v>
      </c>
      <c r="C1163" s="1">
        <v>45768</v>
      </c>
      <c r="D1163" s="71" t="s">
        <v>21</v>
      </c>
      <c r="E1163" s="71" t="s">
        <v>142</v>
      </c>
      <c r="F1163" s="77" t="s">
        <v>35</v>
      </c>
      <c r="G1163" s="144" t="s">
        <v>216</v>
      </c>
      <c r="H1163" s="169"/>
      <c r="I1163" s="169"/>
      <c r="J1163" s="76" t="s">
        <v>947</v>
      </c>
      <c r="K1163" s="322"/>
      <c r="L1163" s="327">
        <v>400</v>
      </c>
      <c r="M1163" s="163">
        <f>M1162+K1163-L1163</f>
        <v>-164273.01427999989</v>
      </c>
    </row>
    <row r="1164" spans="1:13">
      <c r="A1164" s="54" t="str">
        <f>D1164&amp;E1164&amp;F1164</f>
        <v>HRUBERHR</v>
      </c>
      <c r="B1164" t="s">
        <v>814</v>
      </c>
      <c r="C1164" s="1">
        <v>45768</v>
      </c>
      <c r="D1164" s="71" t="s">
        <v>29</v>
      </c>
      <c r="E1164" s="71" t="s">
        <v>189</v>
      </c>
      <c r="F1164" s="77" t="s">
        <v>29</v>
      </c>
      <c r="G1164" s="71" t="s">
        <v>216</v>
      </c>
      <c r="H1164" s="169"/>
      <c r="I1164" s="169"/>
      <c r="J1164" s="76" t="s">
        <v>291</v>
      </c>
      <c r="K1164" s="322"/>
      <c r="L1164" s="525">
        <v>37</v>
      </c>
      <c r="M1164" s="163">
        <f>M1163+K1164-L1164</f>
        <v>-164310.01427999989</v>
      </c>
    </row>
    <row r="1165" spans="1:13">
      <c r="A1165" s="54" t="str">
        <f>D1165&amp;E1165&amp;F1165</f>
        <v>HRUBERHR</v>
      </c>
      <c r="B1165" t="s">
        <v>814</v>
      </c>
      <c r="C1165" s="1">
        <v>45768</v>
      </c>
      <c r="D1165" s="71" t="s">
        <v>29</v>
      </c>
      <c r="E1165" s="71" t="s">
        <v>189</v>
      </c>
      <c r="F1165" s="77" t="s">
        <v>29</v>
      </c>
      <c r="G1165" s="71" t="s">
        <v>216</v>
      </c>
      <c r="H1165" s="169"/>
      <c r="I1165" s="169"/>
      <c r="J1165" s="76" t="s">
        <v>306</v>
      </c>
      <c r="K1165" s="322"/>
      <c r="L1165" s="525">
        <v>240</v>
      </c>
      <c r="M1165" s="163">
        <f>M1164+K1165-L1165</f>
        <v>-164550.01427999989</v>
      </c>
    </row>
    <row r="1166" spans="1:13">
      <c r="A1166" s="54" t="str">
        <f>D1166&amp;E1166&amp;F1166</f>
        <v>HRUBERHR</v>
      </c>
      <c r="B1166" t="s">
        <v>814</v>
      </c>
      <c r="C1166" s="1">
        <v>45768</v>
      </c>
      <c r="D1166" s="71" t="s">
        <v>29</v>
      </c>
      <c r="E1166" s="71" t="s">
        <v>189</v>
      </c>
      <c r="F1166" s="77" t="s">
        <v>29</v>
      </c>
      <c r="G1166" s="71" t="s">
        <v>216</v>
      </c>
      <c r="H1166" s="169"/>
      <c r="I1166" s="169"/>
      <c r="J1166" s="76" t="s">
        <v>403</v>
      </c>
      <c r="K1166" s="322"/>
      <c r="L1166" s="525">
        <v>965</v>
      </c>
      <c r="M1166" s="163">
        <f>M1165+K1166-L1166</f>
        <v>-165515.01427999989</v>
      </c>
    </row>
    <row r="1167" spans="1:13">
      <c r="A1167" s="54" t="str">
        <f>D1167&amp;E1167&amp;F1167</f>
        <v>HRUBERHR</v>
      </c>
      <c r="B1167" t="s">
        <v>814</v>
      </c>
      <c r="C1167" s="1">
        <v>45768</v>
      </c>
      <c r="D1167" s="71" t="s">
        <v>29</v>
      </c>
      <c r="E1167" s="71" t="s">
        <v>189</v>
      </c>
      <c r="F1167" s="77" t="s">
        <v>29</v>
      </c>
      <c r="G1167" s="71" t="s">
        <v>216</v>
      </c>
      <c r="H1167" s="138"/>
      <c r="I1167" s="169"/>
      <c r="J1167" s="76" t="s">
        <v>308</v>
      </c>
      <c r="K1167" s="322"/>
      <c r="L1167" s="525">
        <v>35</v>
      </c>
      <c r="M1167" s="163">
        <f>M1166+K1167-L1167</f>
        <v>-165550.01427999989</v>
      </c>
    </row>
    <row r="1168" spans="1:13">
      <c r="A1168" s="54" t="str">
        <f>D1168&amp;E1168&amp;F1168</f>
        <v>HRUBERHR</v>
      </c>
      <c r="B1168" t="s">
        <v>814</v>
      </c>
      <c r="C1168" s="1">
        <v>45768</v>
      </c>
      <c r="D1168" s="71" t="s">
        <v>29</v>
      </c>
      <c r="E1168" s="71" t="s">
        <v>189</v>
      </c>
      <c r="F1168" s="77" t="s">
        <v>29</v>
      </c>
      <c r="G1168" s="71" t="s">
        <v>216</v>
      </c>
      <c r="H1168" s="138"/>
      <c r="I1168" s="169"/>
      <c r="J1168" s="76" t="s">
        <v>854</v>
      </c>
      <c r="K1168" s="322"/>
      <c r="L1168" s="525">
        <v>380</v>
      </c>
      <c r="M1168" s="163">
        <f>M1167+K1168-L1168</f>
        <v>-165930.01427999989</v>
      </c>
    </row>
    <row r="1169" spans="1:13">
      <c r="A1169" s="54" t="str">
        <f>D1169&amp;E1169&amp;F1169</f>
        <v>HRUBERHR</v>
      </c>
      <c r="B1169" t="s">
        <v>814</v>
      </c>
      <c r="C1169" s="1">
        <v>45768</v>
      </c>
      <c r="D1169" s="71" t="s">
        <v>29</v>
      </c>
      <c r="E1169" s="71" t="s">
        <v>189</v>
      </c>
      <c r="F1169" s="77" t="s">
        <v>29</v>
      </c>
      <c r="G1169" s="71" t="s">
        <v>216</v>
      </c>
      <c r="H1169" s="138"/>
      <c r="I1169" s="169"/>
      <c r="J1169" s="76" t="s">
        <v>249</v>
      </c>
      <c r="K1169" s="322"/>
      <c r="L1169" s="525">
        <v>71</v>
      </c>
      <c r="M1169" s="163">
        <f>M1168+K1169-L1169</f>
        <v>-166001.01427999989</v>
      </c>
    </row>
    <row r="1170" spans="1:13">
      <c r="A1170" s="54" t="str">
        <f>D1170&amp;E1170&amp;F1170</f>
        <v>HRUBERHR</v>
      </c>
      <c r="B1170" t="s">
        <v>814</v>
      </c>
      <c r="C1170" s="1">
        <v>45768</v>
      </c>
      <c r="D1170" s="71" t="s">
        <v>29</v>
      </c>
      <c r="E1170" s="71" t="s">
        <v>189</v>
      </c>
      <c r="F1170" s="77" t="s">
        <v>29</v>
      </c>
      <c r="G1170" s="71" t="s">
        <v>216</v>
      </c>
      <c r="H1170" s="138"/>
      <c r="I1170" s="169"/>
      <c r="J1170" s="76" t="s">
        <v>456</v>
      </c>
      <c r="K1170" s="322"/>
      <c r="L1170" s="525">
        <v>95</v>
      </c>
      <c r="M1170" s="163">
        <f>M1169+K1170-L1170</f>
        <v>-166096.01427999989</v>
      </c>
    </row>
    <row r="1171" spans="1:13">
      <c r="A1171" s="54" t="str">
        <f>D1171&amp;E1171&amp;F1171</f>
        <v>CAPUBERCAP</v>
      </c>
      <c r="B1171" t="s">
        <v>814</v>
      </c>
      <c r="C1171" s="1">
        <v>45768</v>
      </c>
      <c r="D1171" s="71" t="s">
        <v>31</v>
      </c>
      <c r="E1171" s="71" t="s">
        <v>189</v>
      </c>
      <c r="F1171" s="77" t="s">
        <v>31</v>
      </c>
      <c r="G1171" s="71" t="s">
        <v>216</v>
      </c>
      <c r="H1171" s="138"/>
      <c r="I1171" s="169"/>
      <c r="J1171" s="76" t="s">
        <v>253</v>
      </c>
      <c r="K1171" s="332"/>
      <c r="L1171" s="525">
        <v>2140</v>
      </c>
      <c r="M1171" s="163">
        <f>M1170+K1171-L1171</f>
        <v>-168236.01427999989</v>
      </c>
    </row>
    <row r="1172" spans="1:13">
      <c r="A1172" s="54" t="str">
        <f>D1172&amp;E1172&amp;F1172</f>
        <v>CAPINSUMOSCAPRICHOS</v>
      </c>
      <c r="B1172" t="s">
        <v>814</v>
      </c>
      <c r="C1172" s="1">
        <v>45768</v>
      </c>
      <c r="D1172" s="71" t="s">
        <v>31</v>
      </c>
      <c r="E1172" s="71" t="s">
        <v>133</v>
      </c>
      <c r="F1172" s="77" t="s">
        <v>33</v>
      </c>
      <c r="G1172" s="71" t="s">
        <v>216</v>
      </c>
      <c r="H1172" s="138"/>
      <c r="I1172" s="169"/>
      <c r="J1172" s="76" t="s">
        <v>948</v>
      </c>
      <c r="K1172" s="332"/>
      <c r="L1172" s="331">
        <v>95</v>
      </c>
      <c r="M1172" s="163">
        <f>M1171+K1172-L1172</f>
        <v>-168331.01427999989</v>
      </c>
    </row>
    <row r="1173" spans="1:13">
      <c r="A1173" s="54" t="str">
        <f>D1173&amp;E1173&amp;F1173</f>
        <v>CAPINSUMOSCAPRICHOS</v>
      </c>
      <c r="B1173" t="s">
        <v>814</v>
      </c>
      <c r="C1173" s="1">
        <v>45768</v>
      </c>
      <c r="D1173" s="71" t="s">
        <v>31</v>
      </c>
      <c r="E1173" s="71" t="s">
        <v>133</v>
      </c>
      <c r="F1173" s="77" t="s">
        <v>33</v>
      </c>
      <c r="G1173" s="71" t="s">
        <v>216</v>
      </c>
      <c r="H1173" s="138"/>
      <c r="I1173" s="169"/>
      <c r="J1173" s="76" t="s">
        <v>949</v>
      </c>
      <c r="K1173" s="332"/>
      <c r="L1173" s="331">
        <v>742.4</v>
      </c>
      <c r="M1173" s="163">
        <f>M1172+K1173-L1173</f>
        <v>-169073.41427999988</v>
      </c>
    </row>
    <row r="1174" spans="1:13">
      <c r="A1174" s="54" t="str">
        <f>D1174&amp;E1174&amp;F1174</f>
        <v>CAPUBERCAP</v>
      </c>
      <c r="B1174" t="s">
        <v>814</v>
      </c>
      <c r="C1174" s="1">
        <v>45768</v>
      </c>
      <c r="D1174" s="71" t="s">
        <v>31</v>
      </c>
      <c r="E1174" s="71" t="s">
        <v>189</v>
      </c>
      <c r="F1174" s="77" t="s">
        <v>31</v>
      </c>
      <c r="G1174" s="71" t="s">
        <v>216</v>
      </c>
      <c r="H1174" s="138"/>
      <c r="I1174" s="169"/>
      <c r="J1174" s="76" t="s">
        <v>257</v>
      </c>
      <c r="K1174" s="332"/>
      <c r="L1174" s="526">
        <v>400</v>
      </c>
      <c r="M1174" s="163">
        <f>M1173+K1174-L1174</f>
        <v>-169473.41427999988</v>
      </c>
    </row>
    <row r="1175" spans="1:13">
      <c r="A1175" s="54" t="str">
        <f>D1175&amp;E1175&amp;F1175</f>
        <v>CAPFUMIGACIONCAPRICHOS</v>
      </c>
      <c r="B1175" t="s">
        <v>814</v>
      </c>
      <c r="C1175" s="1">
        <v>45768</v>
      </c>
      <c r="D1175" s="71" t="s">
        <v>31</v>
      </c>
      <c r="E1175" s="71" t="s">
        <v>121</v>
      </c>
      <c r="F1175" s="71" t="s">
        <v>33</v>
      </c>
      <c r="G1175" s="71" t="s">
        <v>216</v>
      </c>
      <c r="H1175" s="138"/>
      <c r="I1175" s="169"/>
      <c r="J1175" s="76" t="s">
        <v>950</v>
      </c>
      <c r="K1175" s="332"/>
      <c r="L1175" s="538">
        <v>471</v>
      </c>
      <c r="M1175" s="163">
        <f>M1174+K1175-L1175</f>
        <v>-169944.41427999988</v>
      </c>
    </row>
    <row r="1176" spans="1:13">
      <c r="A1176" s="54" t="str">
        <f>D1176&amp;E1176&amp;F1176</f>
        <v>CAPUBERCAP</v>
      </c>
      <c r="B1176" t="s">
        <v>814</v>
      </c>
      <c r="C1176" s="1">
        <v>45768</v>
      </c>
      <c r="D1176" s="71" t="s">
        <v>31</v>
      </c>
      <c r="E1176" s="71" t="s">
        <v>189</v>
      </c>
      <c r="F1176" s="77" t="s">
        <v>31</v>
      </c>
      <c r="G1176" s="71" t="s">
        <v>216</v>
      </c>
      <c r="H1176" s="138"/>
      <c r="I1176" s="169"/>
      <c r="J1176" s="76" t="s">
        <v>951</v>
      </c>
      <c r="K1176" s="332"/>
      <c r="L1176" s="526">
        <v>400</v>
      </c>
      <c r="M1176" s="163">
        <f>M1175+K1176-L1176</f>
        <v>-170344.41427999988</v>
      </c>
    </row>
    <row r="1177" spans="1:13">
      <c r="A1177" s="54" t="str">
        <f>D1177&amp;E1177&amp;F1177</f>
        <v>CAPINSUMOSCAPRICHOS</v>
      </c>
      <c r="B1177" t="s">
        <v>814</v>
      </c>
      <c r="C1177" s="1">
        <v>45768</v>
      </c>
      <c r="D1177" s="71" t="s">
        <v>31</v>
      </c>
      <c r="E1177" s="71" t="s">
        <v>133</v>
      </c>
      <c r="F1177" s="77" t="s">
        <v>33</v>
      </c>
      <c r="G1177" s="71" t="s">
        <v>216</v>
      </c>
      <c r="H1177" s="138"/>
      <c r="I1177" s="169"/>
      <c r="J1177" s="76" t="s">
        <v>929</v>
      </c>
      <c r="K1177" s="332"/>
      <c r="L1177" s="331">
        <v>110</v>
      </c>
      <c r="M1177" s="163">
        <f>M1176+K1177-L1177</f>
        <v>-170454.41427999988</v>
      </c>
    </row>
    <row r="1178" spans="1:13">
      <c r="A1178" s="54" t="str">
        <f t="shared" ref="A1160:A1223" si="19">D1178&amp;E1178&amp;F1178</f>
        <v>NA</v>
      </c>
      <c r="B1178" t="s">
        <v>814</v>
      </c>
      <c r="C1178" s="1">
        <v>45769</v>
      </c>
      <c r="D1178" s="71" t="s">
        <v>815</v>
      </c>
      <c r="F1178" s="77"/>
      <c r="H1178" s="138"/>
      <c r="I1178" s="169"/>
      <c r="J1178" s="71" t="s">
        <v>260</v>
      </c>
      <c r="K1178" s="322">
        <f>210737.68-8906</f>
        <v>201831.67999999999</v>
      </c>
      <c r="L1178" s="332"/>
      <c r="M1178" s="163">
        <f>M1177+K1178-L1178</f>
        <v>31377.265720000112</v>
      </c>
    </row>
    <row r="1179" spans="1:13">
      <c r="A1179" s="54" t="str">
        <f t="shared" si="19"/>
        <v>NA</v>
      </c>
      <c r="B1179" t="s">
        <v>814</v>
      </c>
      <c r="C1179" s="1">
        <v>45769</v>
      </c>
      <c r="D1179" s="71" t="s">
        <v>815</v>
      </c>
      <c r="F1179" s="77"/>
      <c r="H1179" s="138"/>
      <c r="I1179" s="169"/>
      <c r="J1179" s="71" t="s">
        <v>952</v>
      </c>
      <c r="K1179" s="322">
        <v>61647.53</v>
      </c>
      <c r="L1179" s="332"/>
      <c r="M1179" s="163">
        <f>M1178+K1179-L1179</f>
        <v>93024.795720000111</v>
      </c>
    </row>
    <row r="1180" spans="1:13">
      <c r="A1180" s="54" t="str">
        <f t="shared" si="19"/>
        <v>NA</v>
      </c>
      <c r="B1180" t="s">
        <v>814</v>
      </c>
      <c r="C1180" s="1">
        <v>45769</v>
      </c>
      <c r="D1180" s="71" t="s">
        <v>815</v>
      </c>
      <c r="F1180" s="77"/>
      <c r="H1180" s="138"/>
      <c r="I1180" s="169"/>
      <c r="J1180" s="71" t="s">
        <v>953</v>
      </c>
      <c r="K1180" s="322">
        <v>7894</v>
      </c>
      <c r="L1180" s="332"/>
      <c r="M1180" s="163">
        <f>M1179+K1180-L1180</f>
        <v>100918.79572000011</v>
      </c>
    </row>
    <row r="1181" spans="1:13">
      <c r="A1181" s="54" t="str">
        <f>D1181&amp;E1181&amp;F1181</f>
        <v>FINANZASCOMISIONES BANCARIASTPV</v>
      </c>
      <c r="B1181" t="s">
        <v>814</v>
      </c>
      <c r="C1181" s="1">
        <v>45769</v>
      </c>
      <c r="D1181" s="71" t="s">
        <v>23</v>
      </c>
      <c r="E1181" s="71" t="s">
        <v>48</v>
      </c>
      <c r="F1181" s="77" t="s">
        <v>50</v>
      </c>
      <c r="G1181" s="71" t="s">
        <v>216</v>
      </c>
      <c r="H1181" s="138"/>
      <c r="I1181" s="169"/>
      <c r="J1181" s="71" t="s">
        <v>217</v>
      </c>
      <c r="K1181" s="332"/>
      <c r="L1181" s="331">
        <f>146.67+107.85+1633.49+1638.51</f>
        <v>3526.52</v>
      </c>
      <c r="M1181" s="163">
        <f>M1180+K1181-L1181</f>
        <v>97392.275720000107</v>
      </c>
    </row>
    <row r="1182" spans="1:13">
      <c r="A1182" s="54" t="str">
        <f t="shared" si="19"/>
        <v>NA</v>
      </c>
      <c r="B1182" t="s">
        <v>814</v>
      </c>
      <c r="C1182" s="1">
        <v>45769</v>
      </c>
      <c r="D1182" s="71" t="s">
        <v>815</v>
      </c>
      <c r="F1182" s="77"/>
      <c r="H1182" s="138"/>
      <c r="I1182" s="169"/>
      <c r="J1182" s="205" t="s">
        <v>577</v>
      </c>
      <c r="K1182" s="206"/>
      <c r="L1182" s="206">
        <v>100000</v>
      </c>
      <c r="M1182" s="163">
        <f>M1181+K1182-L1182</f>
        <v>-2607.724279999893</v>
      </c>
    </row>
    <row r="1183" spans="1:13">
      <c r="A1183" s="54" t="str">
        <f t="shared" si="19"/>
        <v>NA</v>
      </c>
      <c r="B1183" t="s">
        <v>814</v>
      </c>
      <c r="C1183" s="1">
        <v>45769</v>
      </c>
      <c r="D1183" s="71" t="s">
        <v>815</v>
      </c>
      <c r="F1183" s="77"/>
      <c r="H1183" s="138"/>
      <c r="I1183" s="169"/>
      <c r="J1183" s="205" t="s">
        <v>222</v>
      </c>
      <c r="K1183" s="206"/>
      <c r="L1183" s="206"/>
      <c r="M1183" s="163">
        <f>M1182+K1183-L1183</f>
        <v>-2607.724279999893</v>
      </c>
    </row>
    <row r="1184" spans="1:13">
      <c r="A1184" s="54" t="str">
        <f>D1184&amp;E1184&amp;F1184</f>
        <v>CAPMTTO EQ DE TRANSPORTECAPRICHOS</v>
      </c>
      <c r="B1184" t="s">
        <v>814</v>
      </c>
      <c r="C1184" s="1">
        <v>45769</v>
      </c>
      <c r="D1184" s="71" t="s">
        <v>31</v>
      </c>
      <c r="E1184" s="71" t="s">
        <v>144</v>
      </c>
      <c r="F1184" s="77" t="s">
        <v>33</v>
      </c>
      <c r="G1184" s="71" t="s">
        <v>216</v>
      </c>
      <c r="H1184" s="138"/>
      <c r="I1184" s="169"/>
      <c r="J1184" s="71" t="s">
        <v>954</v>
      </c>
      <c r="K1184" s="332"/>
      <c r="L1184" s="323">
        <v>1600</v>
      </c>
      <c r="M1184" s="163">
        <f>M1183+K1184-L1184</f>
        <v>-4207.724279999893</v>
      </c>
    </row>
    <row r="1185" spans="1:13">
      <c r="A1185" s="54" t="str">
        <f>D1185&amp;E1185&amp;F1185</f>
        <v>HRFONDO Y REPOSICIONHR</v>
      </c>
      <c r="B1185" t="s">
        <v>814</v>
      </c>
      <c r="C1185" s="1">
        <v>45769</v>
      </c>
      <c r="D1185" s="71" t="s">
        <v>29</v>
      </c>
      <c r="E1185" s="71" t="s">
        <v>120</v>
      </c>
      <c r="F1185" s="77" t="s">
        <v>29</v>
      </c>
      <c r="G1185" s="71" t="s">
        <v>216</v>
      </c>
      <c r="H1185" s="169"/>
      <c r="I1185" s="169"/>
      <c r="J1185" s="71" t="s">
        <v>266</v>
      </c>
      <c r="K1185" s="332"/>
      <c r="L1185" s="323">
        <v>3000</v>
      </c>
      <c r="M1185" s="163">
        <f>M1184+K1185-L1185</f>
        <v>-7207.724279999893</v>
      </c>
    </row>
    <row r="1186" spans="1:13">
      <c r="A1186" s="54" t="str">
        <f>D1186&amp;E1186&amp;F1186</f>
        <v>HRFONDO Y REPOSICIONHR</v>
      </c>
      <c r="B1186" t="s">
        <v>814</v>
      </c>
      <c r="C1186" s="1">
        <v>45769</v>
      </c>
      <c r="D1186" s="71" t="s">
        <v>29</v>
      </c>
      <c r="E1186" s="71" t="s">
        <v>120</v>
      </c>
      <c r="F1186" s="77" t="s">
        <v>29</v>
      </c>
      <c r="G1186" s="71" t="s">
        <v>216</v>
      </c>
      <c r="H1186" s="169"/>
      <c r="I1186" s="169"/>
      <c r="J1186" s="71" t="s">
        <v>265</v>
      </c>
      <c r="K1186" s="322"/>
      <c r="L1186" s="326">
        <v>3000</v>
      </c>
      <c r="M1186" s="163">
        <f>M1185+K1186-L1186</f>
        <v>-10207.724279999893</v>
      </c>
    </row>
    <row r="1187" spans="1:13">
      <c r="A1187" s="54" t="str">
        <f>D1187&amp;E1187&amp;F1187</f>
        <v>HRFONDO Y REPOSICIONHR</v>
      </c>
      <c r="B1187" t="s">
        <v>814</v>
      </c>
      <c r="C1187" s="1">
        <v>45769</v>
      </c>
      <c r="D1187" s="71" t="s">
        <v>29</v>
      </c>
      <c r="E1187" s="71" t="s">
        <v>120</v>
      </c>
      <c r="F1187" s="77" t="s">
        <v>29</v>
      </c>
      <c r="G1187" s="71" t="s">
        <v>216</v>
      </c>
      <c r="H1187" s="169"/>
      <c r="I1187" s="169"/>
      <c r="J1187" s="71" t="s">
        <v>553</v>
      </c>
      <c r="K1187" s="332"/>
      <c r="L1187" s="323">
        <v>2500</v>
      </c>
      <c r="M1187" s="163">
        <f>M1186+K1187-L1187</f>
        <v>-12707.724279999893</v>
      </c>
    </row>
    <row r="1188" spans="1:13">
      <c r="A1188" s="54" t="str">
        <f>D1188&amp;E1188&amp;F1188</f>
        <v>FINANZASCUOTAS Y SUSCRIPCIONESACTAS</v>
      </c>
      <c r="B1188" t="s">
        <v>814</v>
      </c>
      <c r="C1188" s="1">
        <v>45769</v>
      </c>
      <c r="D1188" s="71" t="s">
        <v>23</v>
      </c>
      <c r="E1188" s="71" t="s">
        <v>51</v>
      </c>
      <c r="F1188" s="77" t="s">
        <v>65</v>
      </c>
      <c r="G1188" s="71" t="s">
        <v>258</v>
      </c>
      <c r="H1188" s="169"/>
      <c r="I1188" s="169"/>
      <c r="J1188" s="71" t="s">
        <v>955</v>
      </c>
      <c r="K1188" s="332"/>
      <c r="L1188" s="323">
        <v>300</v>
      </c>
      <c r="M1188" s="163">
        <f>M1187+K1188-L1188</f>
        <v>-13007.724279999893</v>
      </c>
    </row>
    <row r="1189" spans="1:13">
      <c r="A1189" s="54" t="str">
        <f>D1189&amp;E1189&amp;F1189</f>
        <v>SERVICIOSADQ DE EQ TECNOLOGICOADQ DE EQ TECNOLOGICO</v>
      </c>
      <c r="B1189" t="s">
        <v>814</v>
      </c>
      <c r="C1189" s="1">
        <v>45769</v>
      </c>
      <c r="D1189" s="71" t="s">
        <v>21</v>
      </c>
      <c r="E1189" s="71" t="s">
        <v>22</v>
      </c>
      <c r="F1189" s="77" t="s">
        <v>22</v>
      </c>
      <c r="G1189" s="71" t="s">
        <v>216</v>
      </c>
      <c r="H1189" s="169"/>
      <c r="I1189" s="169"/>
      <c r="J1189" s="71" t="s">
        <v>956</v>
      </c>
      <c r="K1189" s="332"/>
      <c r="L1189" s="323">
        <v>399</v>
      </c>
      <c r="M1189" s="163">
        <f>M1188+K1189-L1189</f>
        <v>-13406.724279999893</v>
      </c>
    </row>
    <row r="1190" spans="1:13">
      <c r="A1190" s="54" t="str">
        <f>D1190&amp;E1190&amp;F1190</f>
        <v>FINANZASFALTANTESFALTANTES</v>
      </c>
      <c r="B1190" t="s">
        <v>814</v>
      </c>
      <c r="C1190" s="1">
        <v>45769</v>
      </c>
      <c r="D1190" s="71" t="s">
        <v>23</v>
      </c>
      <c r="E1190" s="71" t="s">
        <v>119</v>
      </c>
      <c r="F1190" s="77" t="s">
        <v>119</v>
      </c>
      <c r="G1190" s="71" t="s">
        <v>258</v>
      </c>
      <c r="H1190" s="169"/>
      <c r="I1190" s="169"/>
      <c r="J1190" s="76" t="s">
        <v>957</v>
      </c>
      <c r="K1190" s="332"/>
      <c r="L1190" s="327">
        <v>175</v>
      </c>
      <c r="M1190" s="163">
        <f>M1189+K1190-L1190</f>
        <v>-13581.724279999893</v>
      </c>
    </row>
    <row r="1191" spans="1:13">
      <c r="A1191" s="54" t="str">
        <f>D1191&amp;E1191&amp;F1191</f>
        <v>CAPUBERCAP</v>
      </c>
      <c r="B1191" t="s">
        <v>814</v>
      </c>
      <c r="C1191" s="1">
        <v>45769</v>
      </c>
      <c r="D1191" s="71" t="s">
        <v>31</v>
      </c>
      <c r="E1191" s="71" t="s">
        <v>189</v>
      </c>
      <c r="F1191" s="77" t="s">
        <v>31</v>
      </c>
      <c r="G1191" s="71" t="s">
        <v>216</v>
      </c>
      <c r="H1191" s="169"/>
      <c r="I1191" s="169"/>
      <c r="J1191" s="76" t="s">
        <v>958</v>
      </c>
      <c r="K1191" s="332"/>
      <c r="L1191" s="526">
        <v>65</v>
      </c>
      <c r="M1191" s="163">
        <f>M1190+K1191-L1191</f>
        <v>-13646.724279999893</v>
      </c>
    </row>
    <row r="1192" spans="1:13">
      <c r="A1192" s="54" t="str">
        <f>D1192&amp;E1192&amp;F1192</f>
        <v>CAPUBERCAP</v>
      </c>
      <c r="B1192" t="s">
        <v>814</v>
      </c>
      <c r="C1192" s="1">
        <v>45769</v>
      </c>
      <c r="D1192" s="71" t="s">
        <v>31</v>
      </c>
      <c r="E1192" s="71" t="s">
        <v>189</v>
      </c>
      <c r="F1192" s="77" t="s">
        <v>31</v>
      </c>
      <c r="G1192" s="71" t="s">
        <v>216</v>
      </c>
      <c r="H1192" s="169"/>
      <c r="I1192" s="169"/>
      <c r="J1192" s="76" t="s">
        <v>257</v>
      </c>
      <c r="K1192" s="332"/>
      <c r="L1192" s="525">
        <v>221</v>
      </c>
      <c r="M1192" s="163">
        <f>M1191+K1192-L1192</f>
        <v>-13867.724279999893</v>
      </c>
    </row>
    <row r="1193" spans="1:13">
      <c r="A1193" s="54" t="str">
        <f>D1193&amp;E1193&amp;F1193</f>
        <v>FINANZASFALTANTESFALTANTES</v>
      </c>
      <c r="B1193" t="s">
        <v>814</v>
      </c>
      <c r="C1193" s="1">
        <v>45769</v>
      </c>
      <c r="D1193" s="71" t="s">
        <v>23</v>
      </c>
      <c r="E1193" s="71" t="s">
        <v>119</v>
      </c>
      <c r="F1193" s="77" t="s">
        <v>119</v>
      </c>
      <c r="G1193" s="71" t="s">
        <v>258</v>
      </c>
      <c r="H1193" s="169"/>
      <c r="I1193" s="169"/>
      <c r="J1193" s="76" t="s">
        <v>259</v>
      </c>
      <c r="K1193" s="332"/>
      <c r="L1193" s="327">
        <v>4295.8100000000004</v>
      </c>
      <c r="M1193" s="163">
        <f>M1192+K1193-L1193</f>
        <v>-18163.534279999894</v>
      </c>
    </row>
    <row r="1194" spans="1:13">
      <c r="A1194" s="54" t="str">
        <f t="shared" si="19"/>
        <v>NA</v>
      </c>
      <c r="B1194" t="s">
        <v>814</v>
      </c>
      <c r="C1194" s="1">
        <v>45770</v>
      </c>
      <c r="D1194" s="71" t="s">
        <v>815</v>
      </c>
      <c r="F1194" s="77"/>
      <c r="H1194" s="169"/>
      <c r="I1194" s="169"/>
      <c r="J1194" s="71" t="s">
        <v>260</v>
      </c>
      <c r="K1194" s="322">
        <f>222408.21-6921</f>
        <v>215487.21</v>
      </c>
      <c r="L1194" s="180"/>
      <c r="M1194" s="163">
        <f>M1193+K1194-L1194</f>
        <v>197323.67572000009</v>
      </c>
    </row>
    <row r="1195" spans="1:13">
      <c r="A1195" s="54" t="str">
        <f>D1195&amp;E1195&amp;F1195</f>
        <v>FINANZASCOMISIONES BANCARIASTPV</v>
      </c>
      <c r="B1195" t="s">
        <v>814</v>
      </c>
      <c r="C1195" s="1">
        <v>45770</v>
      </c>
      <c r="D1195" s="71" t="s">
        <v>23</v>
      </c>
      <c r="E1195" s="71" t="s">
        <v>48</v>
      </c>
      <c r="F1195" s="77" t="s">
        <v>50</v>
      </c>
      <c r="G1195" s="71" t="s">
        <v>216</v>
      </c>
      <c r="H1195" s="169"/>
      <c r="I1195" s="169"/>
      <c r="J1195" s="71" t="s">
        <v>217</v>
      </c>
      <c r="K1195" s="332"/>
      <c r="L1195" s="323">
        <f>162.28+205.36+109.18+1871.47+1710.48</f>
        <v>4058.77</v>
      </c>
      <c r="M1195" s="163">
        <f>M1194+K1195-L1195</f>
        <v>193264.9057200001</v>
      </c>
    </row>
    <row r="1196" spans="1:13">
      <c r="A1196" s="54" t="str">
        <f t="shared" si="19"/>
        <v>NA</v>
      </c>
      <c r="B1196" t="s">
        <v>814</v>
      </c>
      <c r="C1196" s="1">
        <v>45770</v>
      </c>
      <c r="D1196" s="71" t="s">
        <v>815</v>
      </c>
      <c r="F1196" s="77"/>
      <c r="H1196" s="169"/>
      <c r="I1196" s="169"/>
      <c r="J1196" s="205" t="s">
        <v>577</v>
      </c>
      <c r="K1196" s="206"/>
      <c r="L1196" s="206">
        <v>150000</v>
      </c>
      <c r="M1196" s="163">
        <f>M1195+K1196-L1196</f>
        <v>43264.905720000097</v>
      </c>
    </row>
    <row r="1197" spans="1:13">
      <c r="A1197" s="54" t="str">
        <f t="shared" si="19"/>
        <v>NA</v>
      </c>
      <c r="B1197" t="s">
        <v>814</v>
      </c>
      <c r="C1197" s="1">
        <v>45770</v>
      </c>
      <c r="D1197" s="71" t="s">
        <v>815</v>
      </c>
      <c r="F1197" s="77"/>
      <c r="H1197" s="169"/>
      <c r="I1197" s="169"/>
      <c r="J1197" s="205" t="s">
        <v>222</v>
      </c>
      <c r="K1197" s="206"/>
      <c r="L1197" s="206"/>
      <c r="M1197" s="163">
        <f>M1196+K1197-L1197</f>
        <v>43264.905720000097</v>
      </c>
    </row>
    <row r="1198" spans="1:13">
      <c r="A1198" s="54" t="str">
        <f>D1198&amp;E1198&amp;F1198</f>
        <v>SERVICIOSMTTO DE EDIFICIOMANTENIMIENTO</v>
      </c>
      <c r="B1198" t="s">
        <v>814</v>
      </c>
      <c r="C1198" s="1">
        <v>45770</v>
      </c>
      <c r="D1198" s="71" t="s">
        <v>21</v>
      </c>
      <c r="E1198" s="71" t="s">
        <v>142</v>
      </c>
      <c r="F1198" s="77" t="s">
        <v>35</v>
      </c>
      <c r="G1198" s="71" t="s">
        <v>258</v>
      </c>
      <c r="H1198" s="169"/>
      <c r="I1198" s="169"/>
      <c r="J1198" s="71" t="s">
        <v>959</v>
      </c>
      <c r="K1198" s="332"/>
      <c r="L1198" s="326">
        <v>13335.89</v>
      </c>
      <c r="M1198" s="163">
        <f>M1197+K1198-L1198</f>
        <v>29929.015720000098</v>
      </c>
    </row>
    <row r="1199" spans="1:13">
      <c r="A1199" s="54" t="str">
        <f>D1199&amp;E1199&amp;F1199</f>
        <v>HRVIATICOSHR</v>
      </c>
      <c r="B1199" t="s">
        <v>814</v>
      </c>
      <c r="C1199" s="1">
        <v>45770</v>
      </c>
      <c r="D1199" s="71" t="s">
        <v>29</v>
      </c>
      <c r="E1199" s="71" t="s">
        <v>191</v>
      </c>
      <c r="F1199" s="77" t="s">
        <v>29</v>
      </c>
      <c r="G1199" s="71" t="s">
        <v>216</v>
      </c>
      <c r="H1199" s="169"/>
      <c r="I1199" s="169"/>
      <c r="J1199" s="71" t="s">
        <v>960</v>
      </c>
      <c r="K1199" s="332"/>
      <c r="L1199" s="326">
        <v>2400</v>
      </c>
      <c r="M1199" s="163">
        <f>M1198+K1199-L1199</f>
        <v>27529.015720000098</v>
      </c>
    </row>
    <row r="1200" spans="1:13">
      <c r="A1200" s="54" t="str">
        <f>D1200&amp;E1200&amp;F1200</f>
        <v>HRVIATICOSHR</v>
      </c>
      <c r="B1200" t="s">
        <v>814</v>
      </c>
      <c r="C1200" s="1">
        <v>45770</v>
      </c>
      <c r="D1200" s="71" t="s">
        <v>29</v>
      </c>
      <c r="E1200" s="71" t="s">
        <v>191</v>
      </c>
      <c r="F1200" s="77" t="s">
        <v>29</v>
      </c>
      <c r="G1200" s="71" t="s">
        <v>216</v>
      </c>
      <c r="H1200" s="169"/>
      <c r="I1200" s="169"/>
      <c r="J1200" s="71" t="s">
        <v>961</v>
      </c>
      <c r="K1200" s="332"/>
      <c r="L1200" s="323">
        <v>2450</v>
      </c>
      <c r="M1200" s="163">
        <f>M1199+K1200-L1200</f>
        <v>25079.015720000098</v>
      </c>
    </row>
    <row r="1201" spans="1:13">
      <c r="A1201" s="54" t="str">
        <f>D1201&amp;E1201&amp;F1201</f>
        <v>SERVICIOSMTTO DE EDIFICIOMANTENIMIENTO</v>
      </c>
      <c r="B1201" t="s">
        <v>814</v>
      </c>
      <c r="C1201" s="1">
        <v>45770</v>
      </c>
      <c r="D1201" s="71" t="s">
        <v>21</v>
      </c>
      <c r="E1201" s="71" t="s">
        <v>142</v>
      </c>
      <c r="F1201" s="77" t="s">
        <v>35</v>
      </c>
      <c r="G1201" s="71" t="s">
        <v>216</v>
      </c>
      <c r="H1201" s="169"/>
      <c r="I1201" s="169"/>
      <c r="J1201" s="71" t="s">
        <v>962</v>
      </c>
      <c r="K1201" s="332"/>
      <c r="L1201" s="326">
        <v>10000</v>
      </c>
      <c r="M1201" s="163">
        <f>M1200+K1201-L1201</f>
        <v>15079.015720000098</v>
      </c>
    </row>
    <row r="1202" spans="1:13">
      <c r="A1202" s="54" t="str">
        <f>D1202&amp;E1202&amp;F1202</f>
        <v>FINANZASCOMBUSTIBLEFINANZAS</v>
      </c>
      <c r="B1202" t="s">
        <v>814</v>
      </c>
      <c r="C1202" s="1">
        <v>45770</v>
      </c>
      <c r="D1202" s="71" t="s">
        <v>23</v>
      </c>
      <c r="E1202" s="71" t="s">
        <v>32</v>
      </c>
      <c r="F1202" s="77" t="s">
        <v>23</v>
      </c>
      <c r="G1202" s="71" t="s">
        <v>216</v>
      </c>
      <c r="H1202" s="169"/>
      <c r="I1202" s="169"/>
      <c r="J1202" s="71" t="s">
        <v>963</v>
      </c>
      <c r="K1202" s="321"/>
      <c r="L1202" s="326">
        <v>700</v>
      </c>
      <c r="M1202" s="163">
        <f>M1201+K1202-L1202</f>
        <v>14379.015720000098</v>
      </c>
    </row>
    <row r="1203" spans="1:13">
      <c r="A1203" s="54" t="str">
        <f>D1203&amp;E1203&amp;F1203</f>
        <v>DEMTTO EQ DE TRANSPORTEDIRECCION</v>
      </c>
      <c r="B1203" t="s">
        <v>814</v>
      </c>
      <c r="C1203" s="1">
        <v>45770</v>
      </c>
      <c r="D1203" s="71" t="s">
        <v>41</v>
      </c>
      <c r="E1203" s="71" t="s">
        <v>144</v>
      </c>
      <c r="F1203" s="77" t="s">
        <v>42</v>
      </c>
      <c r="G1203" s="71" t="s">
        <v>216</v>
      </c>
      <c r="H1203" s="169"/>
      <c r="I1203" s="169"/>
      <c r="J1203" s="71" t="s">
        <v>964</v>
      </c>
      <c r="K1203" s="321"/>
      <c r="L1203" s="326">
        <v>3200</v>
      </c>
      <c r="M1203" s="163">
        <f>M1202+K1203-L1203</f>
        <v>11179.015720000098</v>
      </c>
    </row>
    <row r="1204" spans="1:13">
      <c r="A1204" s="54" t="str">
        <f>D1204&amp;E1204&amp;F1204</f>
        <v>CAPMKTMKT CAP</v>
      </c>
      <c r="B1204" t="s">
        <v>814</v>
      </c>
      <c r="C1204" s="1">
        <v>45770</v>
      </c>
      <c r="D1204" s="71" t="s">
        <v>31</v>
      </c>
      <c r="E1204" s="71" t="s">
        <v>19</v>
      </c>
      <c r="F1204" s="77" t="s">
        <v>139</v>
      </c>
      <c r="G1204" s="71" t="s">
        <v>216</v>
      </c>
      <c r="H1204" s="169"/>
      <c r="I1204" s="169"/>
      <c r="J1204" s="71" t="s">
        <v>965</v>
      </c>
      <c r="K1204" s="321"/>
      <c r="L1204" s="326">
        <v>1255</v>
      </c>
      <c r="M1204" s="163">
        <f>M1203+K1204-L1204</f>
        <v>9924.0157200000976</v>
      </c>
    </row>
    <row r="1205" spans="1:13">
      <c r="A1205" s="54" t="str">
        <f>D1205&amp;E1205&amp;F1205</f>
        <v>SGEVIATICOSGESTION EMPRESARIAL</v>
      </c>
      <c r="B1205" t="s">
        <v>814</v>
      </c>
      <c r="C1205" s="1">
        <v>45770</v>
      </c>
      <c r="D1205" s="71" t="s">
        <v>39</v>
      </c>
      <c r="E1205" s="71" t="s">
        <v>191</v>
      </c>
      <c r="F1205" s="77" t="s">
        <v>40</v>
      </c>
      <c r="G1205" s="71" t="s">
        <v>216</v>
      </c>
      <c r="H1205" s="169"/>
      <c r="I1205" s="169"/>
      <c r="J1205" s="71" t="s">
        <v>966</v>
      </c>
      <c r="K1205" s="180"/>
      <c r="L1205" s="323">
        <v>2800</v>
      </c>
      <c r="M1205" s="163">
        <f>M1204+K1205-L1205</f>
        <v>7124.0157200000976</v>
      </c>
    </row>
    <row r="1206" spans="1:13">
      <c r="A1206" s="54" t="str">
        <f>D1206&amp;E1206&amp;F1206</f>
        <v>CAPFONDO Y REPOSICIONCAPRICHOS</v>
      </c>
      <c r="B1206" t="s">
        <v>814</v>
      </c>
      <c r="C1206" s="1">
        <v>45770</v>
      </c>
      <c r="D1206" s="71" t="s">
        <v>31</v>
      </c>
      <c r="E1206" s="71" t="s">
        <v>120</v>
      </c>
      <c r="F1206" s="77" t="s">
        <v>33</v>
      </c>
      <c r="G1206" s="71" t="s">
        <v>216</v>
      </c>
      <c r="H1206" s="169"/>
      <c r="I1206" s="169"/>
      <c r="J1206" s="71" t="s">
        <v>967</v>
      </c>
      <c r="K1206" s="180"/>
      <c r="L1206" s="323">
        <v>4827</v>
      </c>
      <c r="M1206" s="163">
        <f>M1205+K1206-L1206</f>
        <v>2297.0157200000976</v>
      </c>
    </row>
    <row r="1207" spans="1:13">
      <c r="A1207" s="54" t="str">
        <f t="shared" si="19"/>
        <v>NA</v>
      </c>
      <c r="B1207" t="s">
        <v>814</v>
      </c>
      <c r="C1207" s="1">
        <v>45770</v>
      </c>
      <c r="D1207" s="71" t="s">
        <v>815</v>
      </c>
      <c r="F1207" s="77"/>
      <c r="H1207" s="169"/>
      <c r="I1207" s="169"/>
      <c r="J1207" s="71" t="s">
        <v>968</v>
      </c>
      <c r="K1207" s="180"/>
      <c r="L1207" s="323">
        <v>5897</v>
      </c>
      <c r="M1207" s="163">
        <f>M1206+K1207-L1207</f>
        <v>-3599.9842799999024</v>
      </c>
    </row>
    <row r="1208" spans="1:13">
      <c r="A1208" s="54" t="str">
        <f t="shared" si="19"/>
        <v>NA</v>
      </c>
      <c r="B1208" t="s">
        <v>814</v>
      </c>
      <c r="C1208" s="1">
        <v>45770</v>
      </c>
      <c r="D1208" s="71" t="s">
        <v>815</v>
      </c>
      <c r="F1208" s="77"/>
      <c r="H1208" s="169"/>
      <c r="I1208" s="169"/>
      <c r="J1208" s="71" t="s">
        <v>969</v>
      </c>
      <c r="K1208" s="180"/>
      <c r="L1208" s="323">
        <v>2848.5</v>
      </c>
      <c r="M1208" s="163">
        <f>M1207+K1208-L1208</f>
        <v>-6448.4842799999024</v>
      </c>
    </row>
    <row r="1209" spans="1:13">
      <c r="A1209" s="54" t="str">
        <f t="shared" si="19"/>
        <v>NA</v>
      </c>
      <c r="B1209" t="s">
        <v>814</v>
      </c>
      <c r="C1209" s="1">
        <v>45770</v>
      </c>
      <c r="D1209" s="71" t="s">
        <v>815</v>
      </c>
      <c r="F1209" s="77"/>
      <c r="H1209" s="169"/>
      <c r="I1209" s="169"/>
      <c r="J1209" s="71" t="s">
        <v>970</v>
      </c>
      <c r="K1209" s="321"/>
      <c r="L1209" s="326">
        <v>1399</v>
      </c>
      <c r="M1209" s="163">
        <f>M1208+K1209-L1209</f>
        <v>-7847.4842799999024</v>
      </c>
    </row>
    <row r="1210" spans="1:13">
      <c r="A1210" s="54" t="str">
        <f t="shared" si="19"/>
        <v>NA</v>
      </c>
      <c r="B1210" t="s">
        <v>814</v>
      </c>
      <c r="C1210" s="1">
        <v>45770</v>
      </c>
      <c r="D1210" s="71" t="s">
        <v>815</v>
      </c>
      <c r="F1210" s="77"/>
      <c r="H1210" s="169"/>
      <c r="I1210" s="169"/>
      <c r="J1210" s="71" t="s">
        <v>971</v>
      </c>
      <c r="K1210" s="321"/>
      <c r="L1210" s="323">
        <v>7495.5</v>
      </c>
      <c r="M1210" s="163">
        <f>M1209+K1210-L1210</f>
        <v>-15342.984279999902</v>
      </c>
    </row>
    <row r="1211" spans="1:13">
      <c r="A1211" s="54" t="str">
        <f>D1211&amp;E1211&amp;F1211</f>
        <v>SERVICIOSPAQUETERIACEDIS (E6)</v>
      </c>
      <c r="B1211" t="s">
        <v>814</v>
      </c>
      <c r="C1211" s="1">
        <v>45770</v>
      </c>
      <c r="D1211" s="71" t="s">
        <v>21</v>
      </c>
      <c r="E1211" s="71" t="s">
        <v>160</v>
      </c>
      <c r="F1211" s="77" t="s">
        <v>161</v>
      </c>
      <c r="G1211" s="71" t="s">
        <v>216</v>
      </c>
      <c r="H1211" s="169"/>
      <c r="I1211" s="169"/>
      <c r="J1211" s="71" t="s">
        <v>652</v>
      </c>
      <c r="K1211" s="332"/>
      <c r="L1211" s="323">
        <v>2587.98</v>
      </c>
      <c r="M1211" s="163">
        <f>M1210+K1211-L1211</f>
        <v>-17930.964279999902</v>
      </c>
    </row>
    <row r="1212" spans="1:13">
      <c r="A1212" s="54" t="str">
        <f>D1212&amp;E1212&amp;F1212</f>
        <v>SERVICIOSMTTO DE EDIFICIOMANTENIMIENTO</v>
      </c>
      <c r="B1212" t="s">
        <v>814</v>
      </c>
      <c r="C1212" s="1">
        <v>45770</v>
      </c>
      <c r="D1212" s="71" t="s">
        <v>21</v>
      </c>
      <c r="E1212" s="71" t="s">
        <v>142</v>
      </c>
      <c r="F1212" s="77" t="s">
        <v>35</v>
      </c>
      <c r="G1212" s="71" t="s">
        <v>258</v>
      </c>
      <c r="H1212" s="169"/>
      <c r="I1212" s="169"/>
      <c r="J1212" s="71" t="s">
        <v>972</v>
      </c>
      <c r="K1212" s="332"/>
      <c r="L1212" s="326">
        <v>997.79</v>
      </c>
      <c r="M1212" s="163">
        <f>M1211+K1212-L1212</f>
        <v>-18928.754279999903</v>
      </c>
    </row>
    <row r="1213" spans="1:13">
      <c r="A1213" s="54" t="str">
        <f>D1213&amp;E1213&amp;F1213</f>
        <v>SERVICIOSMTTO DE EDIFICIOMANTENIMIENTO</v>
      </c>
      <c r="B1213" t="s">
        <v>814</v>
      </c>
      <c r="C1213" s="1">
        <v>45770</v>
      </c>
      <c r="D1213" s="71" t="s">
        <v>21</v>
      </c>
      <c r="E1213" s="71" t="s">
        <v>142</v>
      </c>
      <c r="F1213" s="77" t="s">
        <v>35</v>
      </c>
      <c r="G1213" s="71" t="s">
        <v>258</v>
      </c>
      <c r="H1213" s="169"/>
      <c r="I1213" s="169"/>
      <c r="J1213" s="71" t="s">
        <v>972</v>
      </c>
      <c r="K1213" s="332"/>
      <c r="L1213" s="323">
        <v>506.87</v>
      </c>
      <c r="M1213" s="163">
        <f>M1212+K1213-L1213</f>
        <v>-19435.624279999902</v>
      </c>
    </row>
    <row r="1214" spans="1:13">
      <c r="A1214" s="54" t="str">
        <f>D1214&amp;E1214&amp;F1214</f>
        <v>SERVICIOSMTTO DE EDIFICIOMANTENIMIENTO</v>
      </c>
      <c r="B1214" t="s">
        <v>814</v>
      </c>
      <c r="C1214" s="1">
        <v>45770</v>
      </c>
      <c r="D1214" s="71" t="s">
        <v>21</v>
      </c>
      <c r="E1214" s="71" t="s">
        <v>142</v>
      </c>
      <c r="F1214" s="77" t="s">
        <v>35</v>
      </c>
      <c r="G1214" s="71" t="s">
        <v>258</v>
      </c>
      <c r="H1214" s="169"/>
      <c r="I1214" s="169"/>
      <c r="J1214" s="71" t="s">
        <v>973</v>
      </c>
      <c r="K1214" s="322"/>
      <c r="L1214" s="323">
        <v>2287.77</v>
      </c>
      <c r="M1214" s="163">
        <f>M1213+K1214-L1214</f>
        <v>-21723.394279999902</v>
      </c>
    </row>
    <row r="1215" spans="1:13">
      <c r="A1215" s="54" t="str">
        <f>D1215&amp;E1215&amp;F1215</f>
        <v>FINANZASTELEPEAJEFINANZAS</v>
      </c>
      <c r="B1215" t="s">
        <v>814</v>
      </c>
      <c r="C1215" s="1">
        <v>45770</v>
      </c>
      <c r="D1215" s="71" t="s">
        <v>23</v>
      </c>
      <c r="E1215" s="71" t="s">
        <v>186</v>
      </c>
      <c r="F1215" s="77" t="s">
        <v>23</v>
      </c>
      <c r="G1215" s="71" t="s">
        <v>216</v>
      </c>
      <c r="H1215" s="169"/>
      <c r="I1215" s="169"/>
      <c r="J1215" s="71" t="s">
        <v>974</v>
      </c>
      <c r="K1215" s="356"/>
      <c r="L1215" s="323">
        <v>658</v>
      </c>
      <c r="M1215" s="163">
        <f>M1214+K1215-L1215</f>
        <v>-22381.394279999902</v>
      </c>
    </row>
    <row r="1216" spans="1:13">
      <c r="A1216" s="54" t="str">
        <f>D1216&amp;E1216&amp;F1216</f>
        <v>HRTELEPEAJEOP HR</v>
      </c>
      <c r="B1216" t="s">
        <v>814</v>
      </c>
      <c r="C1216" s="1">
        <v>45770</v>
      </c>
      <c r="D1216" s="71" t="s">
        <v>29</v>
      </c>
      <c r="E1216" s="71" t="s">
        <v>186</v>
      </c>
      <c r="F1216" s="77" t="s">
        <v>187</v>
      </c>
      <c r="G1216" s="71" t="s">
        <v>216</v>
      </c>
      <c r="H1216" s="169"/>
      <c r="I1216" s="169"/>
      <c r="J1216" s="181" t="s">
        <v>240</v>
      </c>
      <c r="K1216" s="357"/>
      <c r="L1216" s="323">
        <v>538</v>
      </c>
      <c r="M1216" s="163">
        <f>M1215+K1216-L1216</f>
        <v>-22919.394279999902</v>
      </c>
    </row>
    <row r="1217" spans="1:13">
      <c r="A1217" s="54" t="str">
        <f>D1217&amp;E1217&amp;F1217</f>
        <v>HRTELEPEAJEOP HR</v>
      </c>
      <c r="B1217" t="s">
        <v>814</v>
      </c>
      <c r="C1217" s="1">
        <v>45770</v>
      </c>
      <c r="D1217" s="71" t="s">
        <v>29</v>
      </c>
      <c r="E1217" s="71" t="s">
        <v>186</v>
      </c>
      <c r="F1217" s="77" t="s">
        <v>187</v>
      </c>
      <c r="G1217" s="71" t="s">
        <v>216</v>
      </c>
      <c r="H1217" s="169"/>
      <c r="I1217" s="169"/>
      <c r="J1217" s="181" t="s">
        <v>975</v>
      </c>
      <c r="K1217" s="322"/>
      <c r="L1217" s="323">
        <v>356</v>
      </c>
      <c r="M1217" s="163">
        <f>M1216+K1217-L1217</f>
        <v>-23275.394279999902</v>
      </c>
    </row>
    <row r="1218" spans="1:13">
      <c r="A1218" s="54" t="str">
        <f>D1218&amp;E1218&amp;F1218</f>
        <v>CAPTELEPEAJEOP CAPRICHOS</v>
      </c>
      <c r="B1218" t="s">
        <v>814</v>
      </c>
      <c r="C1218" s="1">
        <v>45770</v>
      </c>
      <c r="D1218" s="71" t="s">
        <v>31</v>
      </c>
      <c r="E1218" s="71" t="s">
        <v>186</v>
      </c>
      <c r="F1218" s="77" t="s">
        <v>188</v>
      </c>
      <c r="G1218" s="71" t="s">
        <v>216</v>
      </c>
      <c r="H1218" s="169"/>
      <c r="I1218" s="169"/>
      <c r="J1218" s="181" t="s">
        <v>976</v>
      </c>
      <c r="K1218" s="322"/>
      <c r="L1218" s="323">
        <v>329</v>
      </c>
      <c r="M1218" s="163">
        <f>M1217+K1218-L1218</f>
        <v>-23604.394279999902</v>
      </c>
    </row>
    <row r="1219" spans="1:13">
      <c r="A1219" s="54" t="str">
        <f>D1219&amp;E1219&amp;F1219</f>
        <v>SERVICIOSTELEPEAJESERVICIOS</v>
      </c>
      <c r="B1219" t="s">
        <v>814</v>
      </c>
      <c r="C1219" s="1">
        <v>45770</v>
      </c>
      <c r="D1219" s="71" t="s">
        <v>21</v>
      </c>
      <c r="E1219" s="71" t="s">
        <v>186</v>
      </c>
      <c r="F1219" s="77" t="s">
        <v>21</v>
      </c>
      <c r="G1219" s="71" t="s">
        <v>216</v>
      </c>
      <c r="H1219" s="169"/>
      <c r="I1219" s="169"/>
      <c r="J1219" s="181" t="s">
        <v>977</v>
      </c>
      <c r="K1219" s="357"/>
      <c r="L1219" s="323">
        <v>564</v>
      </c>
      <c r="M1219" s="163">
        <f>M1218+K1219-L1219</f>
        <v>-24168.394279999902</v>
      </c>
    </row>
    <row r="1220" spans="1:13">
      <c r="A1220" s="54" t="str">
        <f>D1220&amp;E1220&amp;F1220</f>
        <v>SERVICIOSTELEPEAJECEDIS</v>
      </c>
      <c r="B1220" t="s">
        <v>814</v>
      </c>
      <c r="C1220" s="1">
        <v>45770</v>
      </c>
      <c r="D1220" s="71" t="s">
        <v>21</v>
      </c>
      <c r="E1220" s="71" t="s">
        <v>186</v>
      </c>
      <c r="F1220" s="77" t="s">
        <v>28</v>
      </c>
      <c r="G1220" s="71" t="s">
        <v>216</v>
      </c>
      <c r="H1220" s="169"/>
      <c r="I1220" s="169"/>
      <c r="J1220" s="181" t="s">
        <v>350</v>
      </c>
      <c r="K1220" s="357"/>
      <c r="L1220" s="326">
        <v>2870</v>
      </c>
      <c r="M1220" s="163">
        <f>M1219+K1220-L1220</f>
        <v>-27038.394279999902</v>
      </c>
    </row>
    <row r="1221" spans="1:13">
      <c r="A1221" s="54" t="str">
        <f>D1221&amp;E1221&amp;F1221</f>
        <v>SERVICIOSTELEPEAJECEDIS</v>
      </c>
      <c r="B1221" t="s">
        <v>814</v>
      </c>
      <c r="C1221" s="1">
        <v>45770</v>
      </c>
      <c r="D1221" s="71" t="s">
        <v>21</v>
      </c>
      <c r="E1221" s="71" t="s">
        <v>186</v>
      </c>
      <c r="F1221" s="77" t="s">
        <v>28</v>
      </c>
      <c r="G1221" s="71" t="s">
        <v>216</v>
      </c>
      <c r="H1221" s="169"/>
      <c r="I1221" s="169"/>
      <c r="J1221" s="181" t="s">
        <v>350</v>
      </c>
      <c r="K1221" s="357"/>
      <c r="L1221" s="323">
        <v>751</v>
      </c>
      <c r="M1221" s="163">
        <f>M1220+K1221-L1221</f>
        <v>-27789.394279999902</v>
      </c>
    </row>
    <row r="1222" spans="1:13">
      <c r="A1222" s="54" t="str">
        <f>D1222&amp;E1222&amp;F1222</f>
        <v>HRUBERHR</v>
      </c>
      <c r="B1222" t="s">
        <v>814</v>
      </c>
      <c r="C1222" s="1">
        <v>45770</v>
      </c>
      <c r="D1222" s="71" t="s">
        <v>29</v>
      </c>
      <c r="E1222" s="71" t="s">
        <v>189</v>
      </c>
      <c r="F1222" s="77" t="s">
        <v>29</v>
      </c>
      <c r="G1222" s="71" t="s">
        <v>216</v>
      </c>
      <c r="H1222" s="169"/>
      <c r="I1222" s="169"/>
      <c r="J1222" s="76" t="s">
        <v>291</v>
      </c>
      <c r="K1222" s="332"/>
      <c r="L1222" s="525">
        <v>90</v>
      </c>
      <c r="M1222" s="163">
        <f>M1221+K1222-L1222</f>
        <v>-27879.394279999902</v>
      </c>
    </row>
    <row r="1223" spans="1:13">
      <c r="A1223" s="54" t="str">
        <f>D1223&amp;E1223&amp;F1223</f>
        <v>HRUBERHR</v>
      </c>
      <c r="B1223" t="s">
        <v>814</v>
      </c>
      <c r="C1223" s="1">
        <v>45770</v>
      </c>
      <c r="D1223" s="71" t="s">
        <v>29</v>
      </c>
      <c r="E1223" s="71" t="s">
        <v>189</v>
      </c>
      <c r="F1223" s="77" t="s">
        <v>29</v>
      </c>
      <c r="G1223" s="71" t="s">
        <v>216</v>
      </c>
      <c r="H1223" s="169"/>
      <c r="I1223" s="169"/>
      <c r="J1223" s="76" t="s">
        <v>403</v>
      </c>
      <c r="K1223" s="332"/>
      <c r="L1223" s="525">
        <v>82</v>
      </c>
      <c r="M1223" s="163">
        <f>M1222+K1223-L1223</f>
        <v>-27961.394279999902</v>
      </c>
    </row>
    <row r="1224" spans="1:13">
      <c r="A1224" s="54" t="str">
        <f>D1224&amp;E1224&amp;F1224</f>
        <v>HRINSUMOSHR</v>
      </c>
      <c r="B1224" t="s">
        <v>814</v>
      </c>
      <c r="C1224" s="1">
        <v>45770</v>
      </c>
      <c r="D1224" s="71" t="s">
        <v>29</v>
      </c>
      <c r="E1224" s="71" t="s">
        <v>133</v>
      </c>
      <c r="F1224" s="77" t="s">
        <v>29</v>
      </c>
      <c r="G1224" s="71" t="s">
        <v>216</v>
      </c>
      <c r="H1224" s="169"/>
      <c r="I1224" s="169"/>
      <c r="J1224" s="76" t="s">
        <v>978</v>
      </c>
      <c r="K1224" s="332"/>
      <c r="L1224" s="331">
        <v>60</v>
      </c>
      <c r="M1224" s="163">
        <f>M1223+K1224-L1224</f>
        <v>-28021.394279999902</v>
      </c>
    </row>
    <row r="1225" spans="1:13">
      <c r="A1225" s="54" t="str">
        <f>D1225&amp;E1225&amp;F1225</f>
        <v>CAPUBERCAP</v>
      </c>
      <c r="B1225" t="s">
        <v>814</v>
      </c>
      <c r="C1225" s="1">
        <v>45770</v>
      </c>
      <c r="D1225" s="71" t="s">
        <v>31</v>
      </c>
      <c r="E1225" s="71" t="s">
        <v>189</v>
      </c>
      <c r="F1225" s="77" t="s">
        <v>31</v>
      </c>
      <c r="G1225" s="71" t="s">
        <v>216</v>
      </c>
      <c r="H1225" s="169"/>
      <c r="I1225" s="169"/>
      <c r="J1225" s="76" t="s">
        <v>253</v>
      </c>
      <c r="K1225" s="332"/>
      <c r="L1225" s="526">
        <v>235</v>
      </c>
      <c r="M1225" s="163">
        <f>M1224+K1225-L1225</f>
        <v>-28256.394279999902</v>
      </c>
    </row>
    <row r="1226" spans="1:13">
      <c r="A1226" s="54" t="str">
        <f>D1226&amp;E1226&amp;F1226</f>
        <v>CAPINSUMOSCAPRICHOS</v>
      </c>
      <c r="B1226" t="s">
        <v>814</v>
      </c>
      <c r="C1226" s="1">
        <v>45770</v>
      </c>
      <c r="D1226" s="71" t="s">
        <v>31</v>
      </c>
      <c r="E1226" s="71" t="s">
        <v>133</v>
      </c>
      <c r="F1226" s="77" t="s">
        <v>33</v>
      </c>
      <c r="G1226" s="71" t="s">
        <v>216</v>
      </c>
      <c r="H1226" s="169"/>
      <c r="I1226" s="169"/>
      <c r="J1226" s="76" t="s">
        <v>457</v>
      </c>
      <c r="K1226" s="332"/>
      <c r="L1226" s="331">
        <v>335</v>
      </c>
      <c r="M1226" s="163">
        <f>M1225+K1226-L1226</f>
        <v>-28591.394279999902</v>
      </c>
    </row>
    <row r="1227" spans="1:13">
      <c r="A1227" s="54" t="str">
        <f>D1227&amp;E1227&amp;F1227</f>
        <v>CAPUBERCAP</v>
      </c>
      <c r="B1227" t="s">
        <v>814</v>
      </c>
      <c r="C1227" s="1">
        <v>45770</v>
      </c>
      <c r="D1227" s="71" t="s">
        <v>31</v>
      </c>
      <c r="E1227" s="71" t="s">
        <v>189</v>
      </c>
      <c r="F1227" s="77" t="s">
        <v>31</v>
      </c>
      <c r="G1227" s="71" t="s">
        <v>216</v>
      </c>
      <c r="H1227" s="169"/>
      <c r="I1227" s="169"/>
      <c r="J1227" s="76" t="s">
        <v>257</v>
      </c>
      <c r="K1227" s="332"/>
      <c r="L1227" s="526">
        <v>100</v>
      </c>
      <c r="M1227" s="163">
        <f>M1226+K1227-L1227</f>
        <v>-28691.394279999902</v>
      </c>
    </row>
    <row r="1228" spans="1:13">
      <c r="A1228" s="54" t="str">
        <f>D1228&amp;E1228&amp;F1228</f>
        <v>FINANZASRECOLECCION DE BASURACAPRICHOS</v>
      </c>
      <c r="B1228" t="s">
        <v>814</v>
      </c>
      <c r="C1228" s="1">
        <v>45770</v>
      </c>
      <c r="D1228" s="71" t="s">
        <v>23</v>
      </c>
      <c r="E1228" s="71" t="s">
        <v>166</v>
      </c>
      <c r="F1228" s="77" t="s">
        <v>33</v>
      </c>
      <c r="G1228" s="71" t="s">
        <v>216</v>
      </c>
      <c r="H1228" s="169"/>
      <c r="I1228" s="169"/>
      <c r="J1228" s="76" t="s">
        <v>759</v>
      </c>
      <c r="K1228" s="332"/>
      <c r="L1228" s="331">
        <v>306</v>
      </c>
      <c r="M1228" s="163">
        <f>M1227+K1228-L1228</f>
        <v>-28997.394279999902</v>
      </c>
    </row>
    <row r="1229" spans="1:13">
      <c r="A1229" s="54" t="str">
        <f t="shared" ref="A1224:A1288" si="20">D1229&amp;E1229&amp;F1229</f>
        <v>COMBUSTIBLE</v>
      </c>
      <c r="B1229" t="s">
        <v>814</v>
      </c>
      <c r="C1229" s="1">
        <v>45770</v>
      </c>
      <c r="D1229" s="71"/>
      <c r="E1229" s="71" t="s">
        <v>32</v>
      </c>
      <c r="F1229" s="77"/>
      <c r="H1229" s="169"/>
      <c r="I1229" s="169"/>
      <c r="J1229" s="76" t="s">
        <v>979</v>
      </c>
      <c r="K1229" s="332"/>
      <c r="L1229" s="331">
        <v>300</v>
      </c>
      <c r="M1229" s="163">
        <f>M1228+K1229-L1229</f>
        <v>-29297.394279999902</v>
      </c>
    </row>
    <row r="1230" spans="1:13">
      <c r="A1230" s="54" t="str">
        <f>D1230&amp;E1230&amp;F1230</f>
        <v>FINANZASFALTANTESFALTANTES</v>
      </c>
      <c r="B1230" t="s">
        <v>814</v>
      </c>
      <c r="C1230" s="1">
        <v>45770</v>
      </c>
      <c r="D1230" s="71" t="s">
        <v>23</v>
      </c>
      <c r="E1230" s="71" t="s">
        <v>119</v>
      </c>
      <c r="F1230" s="77" t="s">
        <v>119</v>
      </c>
      <c r="G1230" s="71" t="s">
        <v>258</v>
      </c>
      <c r="H1230" s="169"/>
      <c r="I1230" s="169"/>
      <c r="J1230" s="76" t="s">
        <v>259</v>
      </c>
      <c r="K1230" s="332"/>
      <c r="L1230" s="331">
        <v>713.89</v>
      </c>
      <c r="M1230" s="163">
        <f>M1229+K1230-L1230</f>
        <v>-30011.284279999902</v>
      </c>
    </row>
    <row r="1231" spans="1:13">
      <c r="A1231" s="54" t="str">
        <f t="shared" si="20"/>
        <v>NA</v>
      </c>
      <c r="B1231" t="s">
        <v>814</v>
      </c>
      <c r="C1231" s="1">
        <v>45771</v>
      </c>
      <c r="D1231" s="71" t="s">
        <v>815</v>
      </c>
      <c r="F1231" s="77"/>
      <c r="H1231" s="169"/>
      <c r="I1231" s="169"/>
      <c r="J1231" s="71" t="s">
        <v>260</v>
      </c>
      <c r="K1231" s="322">
        <f>208909.53-8103</f>
        <v>200806.53</v>
      </c>
      <c r="L1231" s="332"/>
      <c r="M1231" s="163">
        <f>M1230+K1231-L1231</f>
        <v>170795.24572000009</v>
      </c>
    </row>
    <row r="1232" spans="1:13">
      <c r="A1232" s="54" t="str">
        <f t="shared" si="20"/>
        <v>NA</v>
      </c>
      <c r="B1232" t="s">
        <v>814</v>
      </c>
      <c r="C1232" s="1">
        <v>45771</v>
      </c>
      <c r="D1232" s="71" t="s">
        <v>815</v>
      </c>
      <c r="F1232" s="77"/>
      <c r="H1232" s="169"/>
      <c r="I1232" s="169"/>
      <c r="J1232" s="71" t="s">
        <v>980</v>
      </c>
      <c r="K1232" s="322">
        <v>8962.7900000000009</v>
      </c>
      <c r="L1232" s="332"/>
      <c r="M1232" s="163">
        <f>M1231+K1232-L1232</f>
        <v>179758.0357200001</v>
      </c>
    </row>
    <row r="1233" spans="1:13">
      <c r="A1233" s="54" t="str">
        <f>D1233&amp;E1233&amp;F1233</f>
        <v>FINANZASCOMISIONES BANCARIASTPV</v>
      </c>
      <c r="B1233" t="s">
        <v>814</v>
      </c>
      <c r="C1233" s="1">
        <v>45771</v>
      </c>
      <c r="D1233" s="71" t="s">
        <v>23</v>
      </c>
      <c r="E1233" s="71" t="s">
        <v>48</v>
      </c>
      <c r="F1233" s="77" t="s">
        <v>50</v>
      </c>
      <c r="G1233" s="71" t="s">
        <v>216</v>
      </c>
      <c r="H1233" s="169"/>
      <c r="I1233" s="169"/>
      <c r="J1233" s="71" t="s">
        <v>217</v>
      </c>
      <c r="K1233" s="332"/>
      <c r="L1233" s="331">
        <f>112.6+267.5+66.83+1691.04+1915.92</f>
        <v>4053.89</v>
      </c>
      <c r="M1233" s="163">
        <f>M1232+K1233-L1233</f>
        <v>175704.14572000009</v>
      </c>
    </row>
    <row r="1234" spans="1:13">
      <c r="A1234" s="54" t="str">
        <f t="shared" si="20"/>
        <v>NA</v>
      </c>
      <c r="B1234" t="s">
        <v>814</v>
      </c>
      <c r="C1234" s="1">
        <v>45771</v>
      </c>
      <c r="D1234" s="71" t="s">
        <v>815</v>
      </c>
      <c r="F1234" s="77"/>
      <c r="H1234" s="169"/>
      <c r="I1234" s="169"/>
      <c r="J1234" s="205" t="s">
        <v>577</v>
      </c>
      <c r="K1234" s="206"/>
      <c r="L1234" s="206">
        <v>50000</v>
      </c>
      <c r="M1234" s="163">
        <f>M1233+K1234-L1234</f>
        <v>125704.14572000009</v>
      </c>
    </row>
    <row r="1235" spans="1:13">
      <c r="A1235" s="54" t="str">
        <f t="shared" si="20"/>
        <v>NA</v>
      </c>
      <c r="B1235" t="s">
        <v>814</v>
      </c>
      <c r="C1235" s="1">
        <v>45771</v>
      </c>
      <c r="D1235" s="71" t="s">
        <v>815</v>
      </c>
      <c r="F1235" s="77"/>
      <c r="H1235" s="169"/>
      <c r="I1235" s="169"/>
      <c r="J1235" s="205" t="s">
        <v>222</v>
      </c>
      <c r="K1235" s="206"/>
      <c r="L1235" s="206">
        <v>100000</v>
      </c>
      <c r="M1235" s="163">
        <f>M1234+K1235-L1235</f>
        <v>25704.145720000088</v>
      </c>
    </row>
    <row r="1236" spans="1:13">
      <c r="A1236" s="54" t="str">
        <f>D1236&amp;E1236&amp;F1236</f>
        <v>SERVICIOSMTTO DE EDIFICIOMANTENIMIENTO</v>
      </c>
      <c r="B1236" t="s">
        <v>814</v>
      </c>
      <c r="C1236" s="1">
        <v>45771</v>
      </c>
      <c r="D1236" s="71" t="s">
        <v>21</v>
      </c>
      <c r="E1236" s="71" t="s">
        <v>142</v>
      </c>
      <c r="F1236" s="77" t="s">
        <v>35</v>
      </c>
      <c r="G1236" s="71" t="s">
        <v>216</v>
      </c>
      <c r="H1236" s="169"/>
      <c r="I1236" s="169"/>
      <c r="J1236" s="71" t="s">
        <v>981</v>
      </c>
      <c r="K1236" s="321"/>
      <c r="L1236" s="326">
        <v>400</v>
      </c>
      <c r="M1236" s="163">
        <f t="shared" ref="M1236:M1242" si="21">M1235+K1236-L1236</f>
        <v>25304.145720000088</v>
      </c>
    </row>
    <row r="1237" spans="1:13">
      <c r="A1237" s="54" t="str">
        <f>D1237&amp;E1237&amp;F1237</f>
        <v>FINANZASVIATICOSFINANZAS</v>
      </c>
      <c r="B1237" t="s">
        <v>814</v>
      </c>
      <c r="C1237" s="1">
        <v>45771</v>
      </c>
      <c r="D1237" s="71" t="s">
        <v>23</v>
      </c>
      <c r="E1237" s="71" t="s">
        <v>191</v>
      </c>
      <c r="F1237" s="77" t="s">
        <v>23</v>
      </c>
      <c r="G1237" s="71" t="s">
        <v>216</v>
      </c>
      <c r="H1237" s="169"/>
      <c r="I1237" s="169"/>
      <c r="J1237" s="71" t="s">
        <v>982</v>
      </c>
      <c r="K1237" s="332"/>
      <c r="L1237" s="326">
        <v>700</v>
      </c>
      <c r="M1237" s="163">
        <f t="shared" si="21"/>
        <v>24604.145720000088</v>
      </c>
    </row>
    <row r="1238" spans="1:13">
      <c r="A1238" s="54" t="str">
        <f>D1238&amp;E1238&amp;F1238</f>
        <v>CAPMKTMKT CAP</v>
      </c>
      <c r="B1238" t="s">
        <v>814</v>
      </c>
      <c r="C1238" s="1">
        <v>45771</v>
      </c>
      <c r="D1238" s="71" t="s">
        <v>31</v>
      </c>
      <c r="E1238" s="71" t="s">
        <v>19</v>
      </c>
      <c r="F1238" s="77" t="s">
        <v>139</v>
      </c>
      <c r="G1238" s="71" t="s">
        <v>216</v>
      </c>
      <c r="H1238" s="169"/>
      <c r="I1238" s="169"/>
      <c r="J1238" s="71" t="s">
        <v>983</v>
      </c>
      <c r="K1238" s="321"/>
      <c r="L1238" s="326">
        <v>800</v>
      </c>
      <c r="M1238" s="163">
        <f t="shared" si="21"/>
        <v>23804.145720000088</v>
      </c>
    </row>
    <row r="1239" spans="1:13">
      <c r="A1239" s="54" t="str">
        <f>D1239&amp;E1239&amp;F1239</f>
        <v>CAPVIATICOSCAPRICHOS</v>
      </c>
      <c r="B1239" t="s">
        <v>814</v>
      </c>
      <c r="C1239" s="1">
        <v>45771</v>
      </c>
      <c r="D1239" s="71" t="s">
        <v>31</v>
      </c>
      <c r="E1239" s="71" t="s">
        <v>191</v>
      </c>
      <c r="F1239" s="77" t="s">
        <v>33</v>
      </c>
      <c r="G1239" s="71" t="s">
        <v>216</v>
      </c>
      <c r="H1239" s="169"/>
      <c r="I1239" s="169"/>
      <c r="J1239" s="71" t="s">
        <v>984</v>
      </c>
      <c r="K1239" s="321"/>
      <c r="L1239" s="326">
        <v>2500</v>
      </c>
      <c r="M1239" s="163">
        <f t="shared" si="21"/>
        <v>21304.145720000088</v>
      </c>
    </row>
    <row r="1240" spans="1:13">
      <c r="A1240" s="54" t="str">
        <f>D1240&amp;E1240&amp;F1240</f>
        <v>HRMKTHR</v>
      </c>
      <c r="B1240" t="s">
        <v>814</v>
      </c>
      <c r="C1240" s="1">
        <v>45771</v>
      </c>
      <c r="D1240" s="71" t="s">
        <v>29</v>
      </c>
      <c r="E1240" s="71" t="s">
        <v>19</v>
      </c>
      <c r="F1240" s="77" t="s">
        <v>29</v>
      </c>
      <c r="G1240" s="71" t="s">
        <v>216</v>
      </c>
      <c r="H1240" s="169"/>
      <c r="I1240" s="169"/>
      <c r="J1240" s="71" t="s">
        <v>985</v>
      </c>
      <c r="K1240" s="321"/>
      <c r="L1240" s="326">
        <v>1189</v>
      </c>
      <c r="M1240" s="163">
        <f t="shared" si="21"/>
        <v>20115.145720000088</v>
      </c>
    </row>
    <row r="1241" spans="1:13">
      <c r="A1241" s="54" t="str">
        <f>D1241&amp;E1241&amp;F1241</f>
        <v>SERVICIOSFONDO Y REPOSICIONSERVICIOS</v>
      </c>
      <c r="B1241" t="s">
        <v>814</v>
      </c>
      <c r="C1241" s="1">
        <v>45771</v>
      </c>
      <c r="D1241" s="71" t="s">
        <v>21</v>
      </c>
      <c r="E1241" s="71" t="s">
        <v>120</v>
      </c>
      <c r="F1241" s="77" t="s">
        <v>21</v>
      </c>
      <c r="G1241" s="71" t="s">
        <v>216</v>
      </c>
      <c r="H1241" s="169"/>
      <c r="I1241" s="169"/>
      <c r="J1241" s="71" t="s">
        <v>986</v>
      </c>
      <c r="K1241" s="321"/>
      <c r="L1241" s="326">
        <v>2000</v>
      </c>
      <c r="M1241" s="163">
        <f t="shared" si="21"/>
        <v>18115.145720000088</v>
      </c>
    </row>
    <row r="1242" spans="1:13">
      <c r="A1242" s="54" t="str">
        <f>D1242&amp;E1242&amp;F1242</f>
        <v>HRINSUMOSHR</v>
      </c>
      <c r="B1242" t="s">
        <v>814</v>
      </c>
      <c r="C1242" s="1">
        <v>45771</v>
      </c>
      <c r="D1242" s="71" t="s">
        <v>29</v>
      </c>
      <c r="E1242" s="71" t="s">
        <v>133</v>
      </c>
      <c r="F1242" s="77" t="s">
        <v>29</v>
      </c>
      <c r="G1242" s="71" t="s">
        <v>258</v>
      </c>
      <c r="H1242" s="169"/>
      <c r="I1242" s="169"/>
      <c r="J1242" s="71" t="s">
        <v>987</v>
      </c>
      <c r="K1242" s="332"/>
      <c r="L1242" s="326">
        <v>11310</v>
      </c>
      <c r="M1242" s="163">
        <f t="shared" si="21"/>
        <v>6805.1457200000877</v>
      </c>
    </row>
    <row r="1243" spans="1:13">
      <c r="A1243" s="54" t="str">
        <f>D1243&amp;E1243&amp;F1243</f>
        <v>HRUBERHR</v>
      </c>
      <c r="B1243" t="s">
        <v>814</v>
      </c>
      <c r="C1243" s="1">
        <v>45771</v>
      </c>
      <c r="D1243" s="71" t="s">
        <v>29</v>
      </c>
      <c r="E1243" s="71" t="s">
        <v>189</v>
      </c>
      <c r="F1243" s="77" t="s">
        <v>29</v>
      </c>
      <c r="G1243" s="71" t="s">
        <v>216</v>
      </c>
      <c r="H1243" s="169"/>
      <c r="I1243" s="169"/>
      <c r="J1243" s="76" t="s">
        <v>307</v>
      </c>
      <c r="K1243" s="332"/>
      <c r="L1243" s="526">
        <v>270</v>
      </c>
      <c r="M1243" s="163">
        <f>M1242+K1243-L1243</f>
        <v>6535.1457200000877</v>
      </c>
    </row>
    <row r="1244" spans="1:13">
      <c r="A1244" s="54" t="str">
        <f>D1244&amp;E1244&amp;F1244</f>
        <v>HRUBERHR</v>
      </c>
      <c r="B1244" t="s">
        <v>814</v>
      </c>
      <c r="C1244" s="1">
        <v>45771</v>
      </c>
      <c r="D1244" s="71" t="s">
        <v>29</v>
      </c>
      <c r="E1244" s="71" t="s">
        <v>189</v>
      </c>
      <c r="F1244" s="77" t="s">
        <v>29</v>
      </c>
      <c r="G1244" s="71" t="s">
        <v>216</v>
      </c>
      <c r="H1244" s="169"/>
      <c r="I1244" s="169"/>
      <c r="J1244" s="76" t="s">
        <v>988</v>
      </c>
      <c r="K1244" s="332"/>
      <c r="L1244" s="526">
        <v>127</v>
      </c>
      <c r="M1244" s="163">
        <f>M1243+K1244-L1244</f>
        <v>6408.1457200000877</v>
      </c>
    </row>
    <row r="1245" spans="1:13">
      <c r="A1245" s="54" t="str">
        <f>D1245&amp;E1245&amp;F1245</f>
        <v>CAPUBERCAP</v>
      </c>
      <c r="B1245" t="s">
        <v>814</v>
      </c>
      <c r="C1245" s="1">
        <v>45771</v>
      </c>
      <c r="D1245" s="71" t="s">
        <v>31</v>
      </c>
      <c r="E1245" s="71" t="s">
        <v>189</v>
      </c>
      <c r="F1245" s="77" t="s">
        <v>31</v>
      </c>
      <c r="G1245" s="71" t="s">
        <v>216</v>
      </c>
      <c r="H1245" s="169"/>
      <c r="I1245" s="169"/>
      <c r="J1245" s="76" t="s">
        <v>253</v>
      </c>
      <c r="K1245" s="332"/>
      <c r="L1245" s="526">
        <v>421</v>
      </c>
      <c r="M1245" s="163">
        <f>M1244+K1245-L1245</f>
        <v>5987.1457200000877</v>
      </c>
    </row>
    <row r="1246" spans="1:13">
      <c r="A1246" s="54" t="str">
        <f>D1246&amp;E1246&amp;F1246</f>
        <v>CAPUBERCAP</v>
      </c>
      <c r="B1246" t="s">
        <v>814</v>
      </c>
      <c r="C1246" s="1">
        <v>45771</v>
      </c>
      <c r="D1246" s="71" t="s">
        <v>31</v>
      </c>
      <c r="E1246" s="71" t="s">
        <v>189</v>
      </c>
      <c r="F1246" s="77" t="s">
        <v>31</v>
      </c>
      <c r="G1246" s="71" t="s">
        <v>216</v>
      </c>
      <c r="H1246" s="169"/>
      <c r="I1246" s="169"/>
      <c r="J1246" s="76" t="s">
        <v>257</v>
      </c>
      <c r="K1246" s="332"/>
      <c r="L1246" s="526">
        <v>100</v>
      </c>
      <c r="M1246" s="163">
        <f>M1245+K1246-L1246</f>
        <v>5887.1457200000877</v>
      </c>
    </row>
    <row r="1247" spans="1:13">
      <c r="A1247" s="54" t="str">
        <f>D1247&amp;E1247&amp;F1247</f>
        <v>CAPINSUMOSCAPRICHOS</v>
      </c>
      <c r="B1247" t="s">
        <v>814</v>
      </c>
      <c r="C1247" s="1">
        <v>45771</v>
      </c>
      <c r="D1247" s="71" t="s">
        <v>31</v>
      </c>
      <c r="E1247" s="71" t="s">
        <v>133</v>
      </c>
      <c r="F1247" s="77" t="s">
        <v>33</v>
      </c>
      <c r="G1247" s="71" t="s">
        <v>216</v>
      </c>
      <c r="H1247" s="169"/>
      <c r="I1247" s="169"/>
      <c r="J1247" s="76" t="s">
        <v>989</v>
      </c>
      <c r="K1247" s="332"/>
      <c r="L1247" s="331">
        <v>39.99</v>
      </c>
      <c r="M1247" s="163">
        <f>M1246+K1247-L1247</f>
        <v>5847.155720000088</v>
      </c>
    </row>
    <row r="1248" spans="1:13">
      <c r="A1248" s="54" t="str">
        <f>D1248&amp;E1248&amp;F1248</f>
        <v>FINANZASFALTANTESFALTANTES</v>
      </c>
      <c r="B1248" t="s">
        <v>814</v>
      </c>
      <c r="C1248" s="1">
        <v>45771</v>
      </c>
      <c r="D1248" s="71" t="s">
        <v>23</v>
      </c>
      <c r="E1248" s="71" t="s">
        <v>119</v>
      </c>
      <c r="F1248" s="77" t="s">
        <v>119</v>
      </c>
      <c r="G1248" s="71" t="s">
        <v>258</v>
      </c>
      <c r="H1248" s="169"/>
      <c r="I1248" s="169"/>
      <c r="J1248" s="76" t="s">
        <v>990</v>
      </c>
      <c r="K1248" s="332"/>
      <c r="L1248" s="331">
        <v>2097.7399999999998</v>
      </c>
      <c r="M1248" s="163">
        <f>M1247+K1248-L1248</f>
        <v>3749.4157200000882</v>
      </c>
    </row>
    <row r="1249" spans="1:13">
      <c r="A1249" s="54" t="str">
        <f t="shared" si="20"/>
        <v>NA</v>
      </c>
      <c r="B1249" t="s">
        <v>814</v>
      </c>
      <c r="C1249" s="1">
        <v>45772</v>
      </c>
      <c r="D1249" s="71" t="s">
        <v>815</v>
      </c>
      <c r="F1249" s="77"/>
      <c r="H1249" s="169"/>
      <c r="I1249" s="169"/>
      <c r="J1249" s="71" t="s">
        <v>260</v>
      </c>
      <c r="K1249" s="322">
        <f>259007.11-12631</f>
        <v>246376.11</v>
      </c>
      <c r="L1249" s="332"/>
      <c r="M1249" s="163">
        <f>M1248+K1249-L1249</f>
        <v>250125.52572000006</v>
      </c>
    </row>
    <row r="1250" spans="1:13">
      <c r="A1250" s="54" t="str">
        <f>D1250&amp;E1250&amp;F1250</f>
        <v>FINANZASCOMISIONES BANCARIASTPV</v>
      </c>
      <c r="B1250" t="s">
        <v>814</v>
      </c>
      <c r="C1250" s="1">
        <v>45772</v>
      </c>
      <c r="D1250" s="71" t="s">
        <v>23</v>
      </c>
      <c r="E1250" s="71" t="s">
        <v>48</v>
      </c>
      <c r="F1250" s="77" t="s">
        <v>50</v>
      </c>
      <c r="G1250" s="71" t="s">
        <v>216</v>
      </c>
      <c r="H1250" s="169"/>
      <c r="I1250" s="169"/>
      <c r="J1250" s="71" t="s">
        <v>217</v>
      </c>
      <c r="K1250" s="332"/>
      <c r="L1250" s="331">
        <f>248.58+2071.26+331.82+232.27</f>
        <v>2883.9300000000003</v>
      </c>
      <c r="M1250" s="163">
        <f>M1249+K1250-L1250</f>
        <v>247241.59572000007</v>
      </c>
    </row>
    <row r="1251" spans="1:13">
      <c r="A1251" s="54" t="str">
        <f t="shared" si="20"/>
        <v>NA</v>
      </c>
      <c r="B1251" t="s">
        <v>814</v>
      </c>
      <c r="C1251" s="1">
        <v>45772</v>
      </c>
      <c r="D1251" s="71" t="s">
        <v>815</v>
      </c>
      <c r="F1251" s="77"/>
      <c r="H1251" s="169"/>
      <c r="I1251" s="169"/>
      <c r="J1251" s="205" t="s">
        <v>577</v>
      </c>
      <c r="K1251" s="206"/>
      <c r="L1251" s="206"/>
      <c r="M1251" s="163">
        <f>M1250+K1251-L1251</f>
        <v>247241.59572000007</v>
      </c>
    </row>
    <row r="1252" spans="1:13">
      <c r="A1252" s="54" t="str">
        <f t="shared" si="20"/>
        <v>NA</v>
      </c>
      <c r="B1252" t="s">
        <v>814</v>
      </c>
      <c r="C1252" s="1">
        <v>45772</v>
      </c>
      <c r="D1252" s="71" t="s">
        <v>815</v>
      </c>
      <c r="F1252" s="77"/>
      <c r="H1252" s="169"/>
      <c r="I1252" s="169"/>
      <c r="J1252" s="205" t="s">
        <v>222</v>
      </c>
      <c r="K1252" s="206"/>
      <c r="L1252" s="206">
        <v>200000</v>
      </c>
      <c r="M1252" s="163">
        <f>M1251+K1252-L1252</f>
        <v>47241.59572000007</v>
      </c>
    </row>
    <row r="1253" spans="1:13">
      <c r="A1253" s="54" t="str">
        <f t="shared" si="20"/>
        <v/>
      </c>
      <c r="B1253" t="s">
        <v>814</v>
      </c>
      <c r="C1253" s="1">
        <v>45772</v>
      </c>
      <c r="D1253" s="71"/>
      <c r="F1253" s="77"/>
      <c r="H1253" s="169" t="s">
        <v>32</v>
      </c>
      <c r="I1253" s="169"/>
      <c r="J1253" s="181" t="s">
        <v>564</v>
      </c>
      <c r="K1253" s="322"/>
      <c r="L1253" s="326">
        <v>31566</v>
      </c>
      <c r="M1253" s="163">
        <f>M1252+K1253-L1253</f>
        <v>15675.59572000007</v>
      </c>
    </row>
    <row r="1254" spans="1:13">
      <c r="A1254" s="54" t="str">
        <f>D1254&amp;E1254&amp;F1254</f>
        <v>HRPUBLICIDADBASEBALL</v>
      </c>
      <c r="B1254" t="s">
        <v>814</v>
      </c>
      <c r="C1254" s="1">
        <v>45772</v>
      </c>
      <c r="D1254" s="71" t="s">
        <v>29</v>
      </c>
      <c r="E1254" s="71" t="s">
        <v>164</v>
      </c>
      <c r="F1254" s="77" t="s">
        <v>165</v>
      </c>
      <c r="G1254" s="71" t="s">
        <v>216</v>
      </c>
      <c r="H1254" s="169"/>
      <c r="I1254" s="169"/>
      <c r="J1254" s="181" t="s">
        <v>991</v>
      </c>
      <c r="K1254" s="322"/>
      <c r="L1254" s="323">
        <v>9569.2999999999993</v>
      </c>
      <c r="M1254" s="163">
        <f>M1253+K1254-L1254</f>
        <v>6106.295720000071</v>
      </c>
    </row>
    <row r="1255" spans="1:13">
      <c r="A1255" s="54" t="str">
        <f>D1255&amp;E1255&amp;F1255</f>
        <v>FINANZASRECOLECCION DE BASURAHR</v>
      </c>
      <c r="B1255" t="s">
        <v>814</v>
      </c>
      <c r="C1255" s="1">
        <v>45772</v>
      </c>
      <c r="D1255" s="71" t="s">
        <v>23</v>
      </c>
      <c r="E1255" s="71" t="s">
        <v>166</v>
      </c>
      <c r="F1255" s="77" t="s">
        <v>29</v>
      </c>
      <c r="G1255" s="71" t="s">
        <v>216</v>
      </c>
      <c r="H1255" s="169"/>
      <c r="I1255" s="169"/>
      <c r="J1255" s="71" t="s">
        <v>992</v>
      </c>
      <c r="K1255" s="322"/>
      <c r="L1255" s="323">
        <v>3299.76</v>
      </c>
      <c r="M1255" s="163">
        <f>M1254+K1255-L1255</f>
        <v>2806.5357200000708</v>
      </c>
    </row>
    <row r="1256" spans="1:13">
      <c r="A1256" s="54" t="str">
        <f>D1256&amp;E1256&amp;F1256</f>
        <v>FINANZASFONDO Y REPOSICIONFINANZAS</v>
      </c>
      <c r="B1256" t="s">
        <v>814</v>
      </c>
      <c r="C1256" s="1">
        <v>45772</v>
      </c>
      <c r="D1256" s="71" t="s">
        <v>23</v>
      </c>
      <c r="E1256" s="71" t="s">
        <v>120</v>
      </c>
      <c r="F1256" s="77" t="s">
        <v>23</v>
      </c>
      <c r="G1256" s="71" t="s">
        <v>216</v>
      </c>
      <c r="H1256" s="169"/>
      <c r="I1256" s="169"/>
      <c r="J1256" s="71" t="s">
        <v>993</v>
      </c>
      <c r="K1256" s="322"/>
      <c r="L1256" s="323">
        <v>300</v>
      </c>
      <c r="M1256" s="163">
        <f>M1255+K1256-L1256</f>
        <v>2506.5357200000708</v>
      </c>
    </row>
    <row r="1257" spans="1:13">
      <c r="A1257" s="54" t="str">
        <f>D1257&amp;E1257&amp;F1257</f>
        <v>FINANZASINSUMOSFINANZAS</v>
      </c>
      <c r="B1257" t="s">
        <v>814</v>
      </c>
      <c r="C1257" s="1">
        <v>45772</v>
      </c>
      <c r="D1257" s="71" t="s">
        <v>23</v>
      </c>
      <c r="E1257" s="71" t="s">
        <v>133</v>
      </c>
      <c r="F1257" s="77" t="s">
        <v>23</v>
      </c>
      <c r="G1257" s="71" t="s">
        <v>216</v>
      </c>
      <c r="H1257" s="169"/>
      <c r="I1257" s="169"/>
      <c r="J1257" s="71" t="s">
        <v>994</v>
      </c>
      <c r="K1257" s="322"/>
      <c r="L1257" s="323">
        <v>84</v>
      </c>
      <c r="M1257" s="163">
        <f>M1256+K1257-L1257</f>
        <v>2422.5357200000708</v>
      </c>
    </row>
    <row r="1258" spans="1:13">
      <c r="A1258" s="54" t="str">
        <f>D1258&amp;E1258&amp;F1258</f>
        <v>FINANZASVIATICOSFINANZAS</v>
      </c>
      <c r="B1258" t="s">
        <v>814</v>
      </c>
      <c r="C1258" s="1">
        <v>45772</v>
      </c>
      <c r="D1258" s="71" t="s">
        <v>23</v>
      </c>
      <c r="E1258" s="71" t="s">
        <v>191</v>
      </c>
      <c r="F1258" s="77" t="s">
        <v>23</v>
      </c>
      <c r="G1258" s="71" t="s">
        <v>216</v>
      </c>
      <c r="H1258" s="169"/>
      <c r="I1258" s="169"/>
      <c r="J1258" s="71" t="s">
        <v>995</v>
      </c>
      <c r="K1258" s="322"/>
      <c r="L1258" s="323">
        <v>4300</v>
      </c>
      <c r="M1258" s="163">
        <f>M1257+K1258-L1258</f>
        <v>-1877.4642799999292</v>
      </c>
    </row>
    <row r="1259" spans="1:13">
      <c r="A1259" s="54" t="str">
        <f>D1259&amp;E1259&amp;F1259</f>
        <v>HRUBERHR</v>
      </c>
      <c r="B1259" t="s">
        <v>814</v>
      </c>
      <c r="C1259" s="1">
        <v>45772</v>
      </c>
      <c r="D1259" s="71" t="s">
        <v>29</v>
      </c>
      <c r="E1259" s="71" t="s">
        <v>189</v>
      </c>
      <c r="F1259" s="77" t="s">
        <v>29</v>
      </c>
      <c r="G1259" s="71" t="s">
        <v>216</v>
      </c>
      <c r="H1259" s="169"/>
      <c r="I1259" s="169"/>
      <c r="J1259" s="76" t="s">
        <v>403</v>
      </c>
      <c r="K1259" s="322"/>
      <c r="L1259" s="525">
        <v>120</v>
      </c>
      <c r="M1259" s="163">
        <f>M1258+K1259-L1259</f>
        <v>-1997.4642799999292</v>
      </c>
    </row>
    <row r="1260" spans="1:13">
      <c r="A1260" s="54" t="str">
        <f>D1260&amp;E1260&amp;F1260</f>
        <v>SERVICIOSMTTO DE EDIFICIOMANTENIMIENTO</v>
      </c>
      <c r="B1260" t="s">
        <v>814</v>
      </c>
      <c r="C1260" s="1">
        <v>45772</v>
      </c>
      <c r="D1260" s="71" t="s">
        <v>21</v>
      </c>
      <c r="E1260" s="71" t="s">
        <v>142</v>
      </c>
      <c r="F1260" s="77" t="s">
        <v>35</v>
      </c>
      <c r="G1260" s="71" t="s">
        <v>216</v>
      </c>
      <c r="H1260" s="169"/>
      <c r="I1260" s="169"/>
      <c r="J1260" s="76" t="s">
        <v>996</v>
      </c>
      <c r="K1260" s="322"/>
      <c r="L1260" s="327">
        <v>243</v>
      </c>
      <c r="M1260" s="163">
        <f>M1259+K1260-L1260</f>
        <v>-2240.4642799999292</v>
      </c>
    </row>
    <row r="1261" spans="1:13">
      <c r="A1261" s="54" t="str">
        <f>D1261&amp;E1261&amp;F1261</f>
        <v>HRUBERHR</v>
      </c>
      <c r="B1261" t="s">
        <v>814</v>
      </c>
      <c r="C1261" s="1">
        <v>45772</v>
      </c>
      <c r="D1261" s="71" t="s">
        <v>29</v>
      </c>
      <c r="E1261" s="71" t="s">
        <v>189</v>
      </c>
      <c r="F1261" s="77" t="s">
        <v>29</v>
      </c>
      <c r="G1261" s="71" t="s">
        <v>216</v>
      </c>
      <c r="H1261" s="169"/>
      <c r="I1261" s="169"/>
      <c r="J1261" s="76" t="s">
        <v>854</v>
      </c>
      <c r="K1261" s="322"/>
      <c r="L1261" s="525">
        <v>320</v>
      </c>
      <c r="M1261" s="163">
        <f>M1260+K1261-L1261</f>
        <v>-2560.4642799999292</v>
      </c>
    </row>
    <row r="1262" spans="1:13">
      <c r="A1262" s="54" t="str">
        <f>D1262&amp;E1262&amp;F1262</f>
        <v>CAPUBERCAP</v>
      </c>
      <c r="B1262" t="s">
        <v>814</v>
      </c>
      <c r="C1262" s="1">
        <v>45772</v>
      </c>
      <c r="D1262" s="71" t="s">
        <v>31</v>
      </c>
      <c r="E1262" s="71" t="s">
        <v>189</v>
      </c>
      <c r="F1262" s="77" t="s">
        <v>31</v>
      </c>
      <c r="G1262" s="71" t="s">
        <v>216</v>
      </c>
      <c r="H1262" s="169"/>
      <c r="I1262" s="169"/>
      <c r="J1262" s="76" t="s">
        <v>253</v>
      </c>
      <c r="K1262" s="322"/>
      <c r="L1262" s="525">
        <v>408</v>
      </c>
      <c r="M1262" s="163">
        <f>M1261+K1262-L1262</f>
        <v>-2968.4642799999292</v>
      </c>
    </row>
    <row r="1263" spans="1:13">
      <c r="A1263" s="54" t="str">
        <f>D1263&amp;E1263&amp;F1263</f>
        <v>CAPUBERCAP</v>
      </c>
      <c r="B1263" t="s">
        <v>814</v>
      </c>
      <c r="C1263" s="1">
        <v>45772</v>
      </c>
      <c r="D1263" s="71" t="s">
        <v>31</v>
      </c>
      <c r="E1263" s="71" t="s">
        <v>189</v>
      </c>
      <c r="F1263" s="77" t="s">
        <v>31</v>
      </c>
      <c r="G1263" s="71" t="s">
        <v>216</v>
      </c>
      <c r="H1263" s="169"/>
      <c r="I1263" s="169"/>
      <c r="J1263" s="76" t="s">
        <v>257</v>
      </c>
      <c r="K1263" s="322"/>
      <c r="L1263" s="525">
        <v>100</v>
      </c>
      <c r="M1263" s="163">
        <f>M1262+K1263-L1263</f>
        <v>-3068.4642799999292</v>
      </c>
    </row>
    <row r="1264" spans="1:13">
      <c r="A1264" s="54" t="str">
        <f>D1264&amp;E1264&amp;F1264</f>
        <v>FINANZASFALTANTESFALTANTES</v>
      </c>
      <c r="B1264" t="s">
        <v>814</v>
      </c>
      <c r="C1264" s="1">
        <v>45772</v>
      </c>
      <c r="D1264" s="71" t="s">
        <v>23</v>
      </c>
      <c r="E1264" s="71" t="s">
        <v>119</v>
      </c>
      <c r="F1264" s="77" t="s">
        <v>119</v>
      </c>
      <c r="G1264" s="71" t="s">
        <v>258</v>
      </c>
      <c r="H1264" s="169"/>
      <c r="I1264" s="169"/>
      <c r="J1264" s="76" t="s">
        <v>259</v>
      </c>
      <c r="K1264" s="322"/>
      <c r="L1264" s="323">
        <v>11342.05</v>
      </c>
      <c r="M1264" s="163">
        <f>M1263+K1264-L1264</f>
        <v>-14410.514279999928</v>
      </c>
    </row>
    <row r="1265" spans="1:13">
      <c r="A1265" s="54" t="str">
        <f t="shared" si="20"/>
        <v>NA</v>
      </c>
      <c r="B1265" t="s">
        <v>814</v>
      </c>
      <c r="C1265" s="1">
        <v>45775</v>
      </c>
      <c r="D1265" s="71" t="s">
        <v>815</v>
      </c>
      <c r="F1265" s="77"/>
      <c r="H1265" s="169"/>
      <c r="I1265" s="169"/>
      <c r="J1265" s="71" t="s">
        <v>260</v>
      </c>
      <c r="K1265" s="322">
        <f>973962.35</f>
        <v>973962.35</v>
      </c>
      <c r="L1265" s="321"/>
      <c r="M1265" s="163">
        <f>M1264+K1265-L1265</f>
        <v>959551.83572000009</v>
      </c>
    </row>
    <row r="1266" spans="1:13">
      <c r="A1266" s="54" t="str">
        <f t="shared" si="20"/>
        <v>NA</v>
      </c>
      <c r="B1266" t="s">
        <v>814</v>
      </c>
      <c r="C1266" s="1">
        <v>45775</v>
      </c>
      <c r="D1266" s="71" t="s">
        <v>815</v>
      </c>
      <c r="F1266" s="77"/>
      <c r="H1266" s="169"/>
      <c r="I1266" s="169"/>
      <c r="J1266" s="71" t="s">
        <v>997</v>
      </c>
      <c r="K1266" s="322">
        <f>8906+6921+8103+12631</f>
        <v>36561</v>
      </c>
      <c r="L1266" s="321"/>
      <c r="M1266" s="163">
        <f>M1265+K1266-L1266</f>
        <v>996112.83572000009</v>
      </c>
    </row>
    <row r="1267" spans="1:13">
      <c r="A1267" s="54" t="str">
        <f t="shared" si="20"/>
        <v>NA</v>
      </c>
      <c r="B1267" t="s">
        <v>814</v>
      </c>
      <c r="C1267" s="1">
        <v>45775</v>
      </c>
      <c r="D1267" s="71" t="s">
        <v>815</v>
      </c>
      <c r="F1267" s="77"/>
      <c r="H1267" s="169"/>
      <c r="I1267" s="169"/>
      <c r="J1267" s="71" t="s">
        <v>998</v>
      </c>
      <c r="K1267" s="322">
        <v>350000</v>
      </c>
      <c r="L1267" s="321"/>
      <c r="M1267" s="163">
        <f>M1266+K1267-L1267</f>
        <v>1346112.8357200001</v>
      </c>
    </row>
    <row r="1268" spans="1:13">
      <c r="A1268" s="54" t="str">
        <f>D1268&amp;E1268&amp;F1268</f>
        <v>FINANZASCOMISIONES BANCARIASTPV</v>
      </c>
      <c r="B1268" t="s">
        <v>814</v>
      </c>
      <c r="C1268" s="1">
        <v>45775</v>
      </c>
      <c r="D1268" s="71" t="s">
        <v>23</v>
      </c>
      <c r="E1268" s="71" t="s">
        <v>48</v>
      </c>
      <c r="F1268" s="77" t="s">
        <v>50</v>
      </c>
      <c r="G1268" s="71" t="s">
        <v>216</v>
      </c>
      <c r="H1268" s="169"/>
      <c r="I1268" s="169"/>
      <c r="J1268" s="71" t="s">
        <v>217</v>
      </c>
      <c r="K1268" s="322"/>
      <c r="L1268" s="358">
        <f>7806.99+8711.52+129.57+1557.74+576.62</f>
        <v>18782.440000000002</v>
      </c>
      <c r="M1268" s="163">
        <f>M1267+K1268-L1268</f>
        <v>1327330.3957200001</v>
      </c>
    </row>
    <row r="1269" spans="1:13">
      <c r="A1269" s="54" t="str">
        <f t="shared" si="20"/>
        <v>NA</v>
      </c>
      <c r="B1269" t="s">
        <v>814</v>
      </c>
      <c r="C1269" s="1">
        <v>45775</v>
      </c>
      <c r="D1269" s="71" t="s">
        <v>815</v>
      </c>
      <c r="F1269" s="77"/>
      <c r="H1269" s="169"/>
      <c r="I1269" s="169"/>
      <c r="J1269" s="205" t="s">
        <v>577</v>
      </c>
      <c r="K1269" s="206"/>
      <c r="L1269" s="206">
        <v>400000</v>
      </c>
      <c r="M1269" s="163">
        <f>M1268+K1269-L1269</f>
        <v>927330.39572000015</v>
      </c>
    </row>
    <row r="1270" spans="1:13">
      <c r="A1270" s="54" t="str">
        <f t="shared" si="20"/>
        <v>NA</v>
      </c>
      <c r="B1270" t="s">
        <v>814</v>
      </c>
      <c r="C1270" s="1">
        <v>45775</v>
      </c>
      <c r="D1270" s="71" t="s">
        <v>815</v>
      </c>
      <c r="F1270" s="77"/>
      <c r="H1270" s="169"/>
      <c r="I1270" s="169"/>
      <c r="J1270" s="205" t="s">
        <v>222</v>
      </c>
      <c r="K1270" s="206"/>
      <c r="L1270" s="206">
        <v>400000</v>
      </c>
      <c r="M1270" s="163">
        <f>M1269+K1270-L1270</f>
        <v>527330.39572000015</v>
      </c>
    </row>
    <row r="1271" spans="1:13">
      <c r="A1271" s="54" t="str">
        <f>D1271&amp;E1271&amp;F1271</f>
        <v>DESGMDIRECCION</v>
      </c>
      <c r="B1271" t="s">
        <v>814</v>
      </c>
      <c r="C1271" s="1">
        <v>45775</v>
      </c>
      <c r="D1271" s="71" t="s">
        <v>41</v>
      </c>
      <c r="E1271" s="71" t="s">
        <v>176</v>
      </c>
      <c r="F1271" s="77" t="s">
        <v>42</v>
      </c>
      <c r="G1271" s="71" t="s">
        <v>216</v>
      </c>
      <c r="H1271" s="169"/>
      <c r="I1271" s="169"/>
      <c r="J1271" s="71" t="s">
        <v>999</v>
      </c>
      <c r="L1271" s="326">
        <v>17800</v>
      </c>
      <c r="M1271" s="163">
        <f>M1270+K1271-L1271</f>
        <v>509530.39572000015</v>
      </c>
    </row>
    <row r="1272" spans="1:13">
      <c r="A1272" s="54" t="str">
        <f>D1272&amp;E1272&amp;F1272</f>
        <v>FINANZASFONDO Y REPOSICIONFINANZAS</v>
      </c>
      <c r="B1272" t="s">
        <v>814</v>
      </c>
      <c r="C1272" s="1">
        <v>45775</v>
      </c>
      <c r="D1272" s="71" t="s">
        <v>23</v>
      </c>
      <c r="E1272" s="71" t="s">
        <v>120</v>
      </c>
      <c r="F1272" s="77" t="s">
        <v>23</v>
      </c>
      <c r="G1272" s="71" t="s">
        <v>216</v>
      </c>
      <c r="H1272" s="169"/>
      <c r="I1272" s="169"/>
      <c r="J1272" s="71" t="s">
        <v>305</v>
      </c>
      <c r="K1272" s="180"/>
      <c r="L1272" s="323">
        <v>50</v>
      </c>
      <c r="M1272" s="163">
        <f>M1271+K1272-L1272</f>
        <v>509480.39572000015</v>
      </c>
    </row>
    <row r="1273" spans="1:13">
      <c r="A1273" s="54" t="str">
        <f>D1273&amp;E1273&amp;F1273</f>
        <v>ELIVIATICOSL1</v>
      </c>
      <c r="B1273" t="s">
        <v>814</v>
      </c>
      <c r="C1273" s="1">
        <v>45775</v>
      </c>
      <c r="D1273" s="71" t="s">
        <v>130</v>
      </c>
      <c r="E1273" s="71" t="s">
        <v>191</v>
      </c>
      <c r="F1273" s="77" t="s">
        <v>136</v>
      </c>
      <c r="G1273" s="71" t="s">
        <v>216</v>
      </c>
      <c r="H1273" s="169"/>
      <c r="I1273" s="169"/>
      <c r="J1273" s="71" t="s">
        <v>1000</v>
      </c>
      <c r="K1273" s="180"/>
      <c r="L1273" s="323">
        <v>1000</v>
      </c>
      <c r="M1273" s="163">
        <f>M1272+K1273-L1273</f>
        <v>508480.39572000015</v>
      </c>
    </row>
    <row r="1274" spans="1:13">
      <c r="A1274" s="54" t="str">
        <f>D1274&amp;E1274&amp;F1274</f>
        <v>FINANZASFONDO Y REPOSICIONFINANZAS</v>
      </c>
      <c r="B1274" t="s">
        <v>814</v>
      </c>
      <c r="C1274" s="1">
        <v>45775</v>
      </c>
      <c r="D1274" s="71" t="s">
        <v>23</v>
      </c>
      <c r="E1274" s="71" t="s">
        <v>120</v>
      </c>
      <c r="F1274" s="77" t="s">
        <v>23</v>
      </c>
      <c r="G1274" s="71" t="s">
        <v>258</v>
      </c>
      <c r="H1274" s="169"/>
      <c r="I1274" s="169"/>
      <c r="J1274" s="71" t="s">
        <v>1001</v>
      </c>
      <c r="K1274" s="180"/>
      <c r="L1274" s="323">
        <v>450</v>
      </c>
      <c r="M1274" s="163">
        <f>M1273+K1274-L1274</f>
        <v>508030.39572000015</v>
      </c>
    </row>
    <row r="1275" spans="1:13">
      <c r="A1275" s="54" t="str">
        <f>D1275&amp;E1275&amp;F1275</f>
        <v>FINANZASFONDO Y REPOSICIONFINANZAS</v>
      </c>
      <c r="B1275" t="s">
        <v>814</v>
      </c>
      <c r="C1275" s="1">
        <v>45775</v>
      </c>
      <c r="D1275" s="71" t="s">
        <v>23</v>
      </c>
      <c r="E1275" s="71" t="s">
        <v>120</v>
      </c>
      <c r="F1275" s="77" t="s">
        <v>23</v>
      </c>
      <c r="G1275" s="71" t="s">
        <v>216</v>
      </c>
      <c r="H1275" s="169"/>
      <c r="I1275" s="169"/>
      <c r="J1275" s="71" t="s">
        <v>1002</v>
      </c>
      <c r="K1275" s="180"/>
      <c r="L1275" s="323">
        <v>600</v>
      </c>
      <c r="M1275" s="163">
        <f>M1274+K1275-L1275</f>
        <v>507430.39572000015</v>
      </c>
    </row>
    <row r="1276" spans="1:13">
      <c r="A1276" s="54" t="str">
        <f>D1276&amp;E1276&amp;F1276</f>
        <v>FINANZASMTTO EQ DE TRANSPORTEFINANZAS</v>
      </c>
      <c r="B1276" t="s">
        <v>814</v>
      </c>
      <c r="C1276" s="1">
        <v>45775</v>
      </c>
      <c r="D1276" s="71" t="s">
        <v>23</v>
      </c>
      <c r="E1276" s="71" t="s">
        <v>144</v>
      </c>
      <c r="F1276" s="77" t="s">
        <v>23</v>
      </c>
      <c r="G1276" s="71" t="s">
        <v>258</v>
      </c>
      <c r="H1276" s="169"/>
      <c r="I1276" s="169"/>
      <c r="J1276" s="71" t="s">
        <v>1003</v>
      </c>
      <c r="K1276" s="180"/>
      <c r="L1276" s="323">
        <v>650</v>
      </c>
      <c r="M1276" s="163">
        <f>M1275+K1276-L1276</f>
        <v>506780.39572000015</v>
      </c>
    </row>
    <row r="1277" spans="1:13">
      <c r="A1277" s="54" t="str">
        <f>D1277&amp;E1277&amp;F1277</f>
        <v>SERVICIOSVIATICOSCEDIS</v>
      </c>
      <c r="B1277" t="s">
        <v>814</v>
      </c>
      <c r="C1277" s="1">
        <v>45775</v>
      </c>
      <c r="D1277" s="71" t="s">
        <v>21</v>
      </c>
      <c r="E1277" s="71" t="s">
        <v>191</v>
      </c>
      <c r="F1277" s="71" t="s">
        <v>28</v>
      </c>
      <c r="G1277" s="71" t="s">
        <v>216</v>
      </c>
      <c r="H1277" s="169"/>
      <c r="I1277" s="169"/>
      <c r="J1277" s="71" t="s">
        <v>1004</v>
      </c>
      <c r="K1277" s="180"/>
      <c r="L1277" s="323">
        <v>2050</v>
      </c>
      <c r="M1277" s="163">
        <f>M1276+K1277-L1277</f>
        <v>504730.39572000015</v>
      </c>
    </row>
    <row r="1278" spans="1:13">
      <c r="A1278" s="54" t="str">
        <f t="shared" si="20"/>
        <v>FINANZAS</v>
      </c>
      <c r="B1278" t="s">
        <v>814</v>
      </c>
      <c r="C1278" s="1">
        <v>45775</v>
      </c>
      <c r="D1278" s="71" t="s">
        <v>23</v>
      </c>
      <c r="F1278" s="77"/>
      <c r="G1278" s="71" t="s">
        <v>216</v>
      </c>
      <c r="H1278" s="169"/>
      <c r="I1278" s="169"/>
      <c r="J1278" s="181" t="s">
        <v>1005</v>
      </c>
      <c r="K1278" s="322"/>
      <c r="L1278" s="323">
        <v>365750</v>
      </c>
      <c r="M1278" s="163">
        <f>M1277+K1278-L1278</f>
        <v>138980.39572000015</v>
      </c>
    </row>
    <row r="1279" spans="1:13">
      <c r="A1279" s="54" t="str">
        <f t="shared" si="20"/>
        <v/>
      </c>
      <c r="B1279" t="s">
        <v>814</v>
      </c>
      <c r="C1279" s="1">
        <v>45775</v>
      </c>
      <c r="D1279" s="71"/>
      <c r="F1279" s="77"/>
      <c r="G1279" s="71" t="s">
        <v>216</v>
      </c>
      <c r="H1279" s="169"/>
      <c r="I1279" s="169"/>
      <c r="J1279" s="181" t="s">
        <v>1006</v>
      </c>
      <c r="K1279" s="322"/>
      <c r="L1279" s="323">
        <v>68832.749999999985</v>
      </c>
      <c r="M1279" s="163">
        <f>M1278+K1279-L1279</f>
        <v>70147.645720000161</v>
      </c>
    </row>
    <row r="1280" spans="1:13">
      <c r="A1280" s="54" t="str">
        <f>D1280&amp;E1280&amp;F1280</f>
        <v>FINANZASTELEFONIATELCEL</v>
      </c>
      <c r="B1280" t="s">
        <v>814</v>
      </c>
      <c r="C1280" s="1">
        <v>45775</v>
      </c>
      <c r="D1280" s="71" t="s">
        <v>23</v>
      </c>
      <c r="E1280" s="71" t="s">
        <v>181</v>
      </c>
      <c r="F1280" s="77" t="s">
        <v>183</v>
      </c>
      <c r="G1280" s="71" t="s">
        <v>216</v>
      </c>
      <c r="H1280" s="169"/>
      <c r="I1280" s="169"/>
      <c r="J1280" s="181" t="s">
        <v>1007</v>
      </c>
      <c r="K1280" s="322"/>
      <c r="L1280" s="323">
        <v>269</v>
      </c>
      <c r="M1280" s="163">
        <f>M1279+K1280-L1280</f>
        <v>69878.645720000161</v>
      </c>
    </row>
    <row r="1281" spans="1:13">
      <c r="A1281" s="54" t="str">
        <f>D1281&amp;E1281&amp;F1281</f>
        <v>HRNOMINA SUCURSALA14</v>
      </c>
      <c r="B1281" t="s">
        <v>814</v>
      </c>
      <c r="C1281" s="1">
        <v>45775</v>
      </c>
      <c r="D1281" s="71" t="s">
        <v>29</v>
      </c>
      <c r="E1281" s="71" t="s">
        <v>154</v>
      </c>
      <c r="F1281" s="77" t="s">
        <v>99</v>
      </c>
      <c r="G1281" s="71" t="s">
        <v>216</v>
      </c>
      <c r="H1281" s="169"/>
      <c r="I1281" s="169"/>
      <c r="J1281" s="272" t="s">
        <v>1008</v>
      </c>
      <c r="K1281" s="356"/>
      <c r="L1281" s="327">
        <v>1125</v>
      </c>
      <c r="M1281" s="163">
        <f>M1280+K1281-L1281</f>
        <v>68753.645720000161</v>
      </c>
    </row>
    <row r="1282" spans="1:13">
      <c r="A1282" s="54" t="str">
        <f>D1282&amp;E1282&amp;F1282</f>
        <v>HRJMASA16</v>
      </c>
      <c r="B1282" t="s">
        <v>814</v>
      </c>
      <c r="C1282" s="1">
        <v>45775</v>
      </c>
      <c r="D1282" s="71" t="s">
        <v>29</v>
      </c>
      <c r="E1282" s="71" t="s">
        <v>137</v>
      </c>
      <c r="F1282" s="77" t="s">
        <v>101</v>
      </c>
      <c r="G1282" s="71" t="s">
        <v>216</v>
      </c>
      <c r="H1282" s="169"/>
      <c r="I1282" s="169"/>
      <c r="J1282" s="76" t="s">
        <v>495</v>
      </c>
      <c r="K1282" s="322"/>
      <c r="L1282" s="327">
        <v>379</v>
      </c>
      <c r="M1282" s="163">
        <f>M1281+K1282-L1282</f>
        <v>68374.645720000161</v>
      </c>
    </row>
    <row r="1283" spans="1:13">
      <c r="A1283" s="54" t="str">
        <f>D1283&amp;E1283&amp;F1283</f>
        <v>HRUBERHR</v>
      </c>
      <c r="B1283" t="s">
        <v>814</v>
      </c>
      <c r="C1283" s="1">
        <v>45775</v>
      </c>
      <c r="D1283" s="71" t="s">
        <v>29</v>
      </c>
      <c r="E1283" s="71" t="s">
        <v>189</v>
      </c>
      <c r="F1283" s="77" t="s">
        <v>29</v>
      </c>
      <c r="G1283" s="71" t="s">
        <v>216</v>
      </c>
      <c r="H1283" s="169"/>
      <c r="I1283" s="169"/>
      <c r="J1283" s="76" t="s">
        <v>664</v>
      </c>
      <c r="K1283" s="322"/>
      <c r="L1283" s="525">
        <v>147</v>
      </c>
      <c r="M1283" s="163">
        <f>M1282+K1283-L1283</f>
        <v>68227.645720000161</v>
      </c>
    </row>
    <row r="1284" spans="1:13">
      <c r="A1284" s="54" t="str">
        <f>D1284&amp;E1284&amp;F1284</f>
        <v>CAPUBERCAP</v>
      </c>
      <c r="B1284" t="s">
        <v>814</v>
      </c>
      <c r="C1284" s="1">
        <v>45775</v>
      </c>
      <c r="D1284" s="71" t="s">
        <v>31</v>
      </c>
      <c r="E1284" s="71" t="s">
        <v>189</v>
      </c>
      <c r="F1284" s="77" t="s">
        <v>31</v>
      </c>
      <c r="G1284" s="71" t="s">
        <v>216</v>
      </c>
      <c r="H1284" s="169"/>
      <c r="I1284" s="169"/>
      <c r="J1284" s="76" t="s">
        <v>253</v>
      </c>
      <c r="K1284" s="322"/>
      <c r="L1284" s="525">
        <v>1015</v>
      </c>
      <c r="M1284" s="163">
        <f>M1283+K1284-L1284</f>
        <v>67212.645720000161</v>
      </c>
    </row>
    <row r="1285" spans="1:13">
      <c r="A1285" s="54" t="str">
        <f>D1285&amp;E1285&amp;F1285</f>
        <v>CAPNOMINA SUCURSALE2</v>
      </c>
      <c r="B1285" t="s">
        <v>814</v>
      </c>
      <c r="C1285" s="1">
        <v>45775</v>
      </c>
      <c r="D1285" s="71" t="s">
        <v>31</v>
      </c>
      <c r="E1285" s="71" t="s">
        <v>154</v>
      </c>
      <c r="F1285" s="77" t="s">
        <v>108</v>
      </c>
      <c r="G1285" s="71" t="s">
        <v>216</v>
      </c>
      <c r="H1285" s="169"/>
      <c r="I1285" s="169"/>
      <c r="J1285" s="273" t="s">
        <v>1009</v>
      </c>
      <c r="K1285" s="322"/>
      <c r="L1285" s="327">
        <v>1862</v>
      </c>
      <c r="M1285" s="163">
        <f>M1284+K1285-L1285</f>
        <v>65350.645720000161</v>
      </c>
    </row>
    <row r="1286" spans="1:13">
      <c r="A1286" s="54" t="str">
        <f>D1286&amp;E1286&amp;F1286</f>
        <v>CAPUBERCAP</v>
      </c>
      <c r="B1286" t="s">
        <v>814</v>
      </c>
      <c r="C1286" s="1">
        <v>45775</v>
      </c>
      <c r="D1286" s="71" t="s">
        <v>31</v>
      </c>
      <c r="E1286" s="71" t="s">
        <v>189</v>
      </c>
      <c r="F1286" s="77" t="s">
        <v>31</v>
      </c>
      <c r="G1286" s="71" t="s">
        <v>216</v>
      </c>
      <c r="H1286" s="169"/>
      <c r="I1286" s="169"/>
      <c r="J1286" s="273" t="s">
        <v>257</v>
      </c>
      <c r="K1286" s="322"/>
      <c r="L1286" s="525">
        <v>226</v>
      </c>
      <c r="M1286" s="163">
        <f>M1285+K1286-L1286</f>
        <v>65124.645720000161</v>
      </c>
    </row>
    <row r="1287" spans="1:13">
      <c r="A1287" s="54" t="str">
        <f>D1287&amp;E1287&amp;F1287</f>
        <v>CAPINSUMOSCAPRICHOS</v>
      </c>
      <c r="B1287" t="s">
        <v>814</v>
      </c>
      <c r="C1287" s="1">
        <v>45775</v>
      </c>
      <c r="D1287" s="71" t="s">
        <v>31</v>
      </c>
      <c r="E1287" s="71" t="s">
        <v>133</v>
      </c>
      <c r="F1287" s="77" t="s">
        <v>33</v>
      </c>
      <c r="G1287" s="71" t="s">
        <v>216</v>
      </c>
      <c r="H1287" s="169"/>
      <c r="I1287" s="169"/>
      <c r="J1287" s="76" t="s">
        <v>362</v>
      </c>
      <c r="K1287" s="322"/>
      <c r="L1287" s="327">
        <v>57</v>
      </c>
      <c r="M1287" s="163">
        <f>M1286+K1287-L1287</f>
        <v>65067.645720000161</v>
      </c>
    </row>
    <row r="1288" spans="1:13">
      <c r="A1288" s="54" t="str">
        <f>D1288&amp;E1288&amp;F1288</f>
        <v>ELINOMINA SUCURSALL1</v>
      </c>
      <c r="B1288" t="s">
        <v>814</v>
      </c>
      <c r="C1288" s="1">
        <v>45775</v>
      </c>
      <c r="D1288" s="71" t="s">
        <v>130</v>
      </c>
      <c r="E1288" s="71" t="s">
        <v>154</v>
      </c>
      <c r="F1288" s="77" t="s">
        <v>136</v>
      </c>
      <c r="G1288" s="71" t="s">
        <v>216</v>
      </c>
      <c r="H1288" s="169"/>
      <c r="I1288" s="169"/>
      <c r="J1288" s="76" t="s">
        <v>1010</v>
      </c>
      <c r="K1288" s="322"/>
      <c r="L1288" s="327">
        <v>1772</v>
      </c>
      <c r="M1288" s="163">
        <f>M1287+K1288-L1288</f>
        <v>63295.645720000161</v>
      </c>
    </row>
    <row r="1289" spans="1:13">
      <c r="A1289" s="54" t="str">
        <f t="shared" ref="A1289:A1352" si="22">D1289&amp;E1289&amp;F1289</f>
        <v>NA</v>
      </c>
      <c r="B1289" t="s">
        <v>814</v>
      </c>
      <c r="C1289" s="1">
        <v>45775</v>
      </c>
      <c r="D1289" s="71" t="s">
        <v>815</v>
      </c>
      <c r="F1289" s="77"/>
      <c r="H1289" s="169"/>
      <c r="I1289" s="169"/>
      <c r="J1289" s="76" t="s">
        <v>316</v>
      </c>
      <c r="K1289" s="322">
        <v>1802.43</v>
      </c>
      <c r="L1289" s="322"/>
      <c r="M1289" s="163">
        <f>M1288+K1289-L1289</f>
        <v>65098.075720000161</v>
      </c>
    </row>
    <row r="1290" spans="1:13">
      <c r="A1290" s="54" t="str">
        <f t="shared" si="22"/>
        <v>NA</v>
      </c>
      <c r="B1290" t="s">
        <v>814</v>
      </c>
      <c r="C1290" s="1">
        <v>45776</v>
      </c>
      <c r="D1290" s="71" t="s">
        <v>815</v>
      </c>
      <c r="F1290" s="77"/>
      <c r="H1290" s="169"/>
      <c r="I1290" s="169"/>
      <c r="J1290" s="71" t="s">
        <v>260</v>
      </c>
      <c r="K1290" s="322">
        <f>215798.26-5328</f>
        <v>210470.26</v>
      </c>
      <c r="L1290" s="332"/>
      <c r="M1290" s="163">
        <f>M1289+K1290-L1290</f>
        <v>275568.33572000015</v>
      </c>
    </row>
    <row r="1291" spans="1:13">
      <c r="A1291" s="54" t="str">
        <f>D1291&amp;E1291&amp;F1291</f>
        <v>FINANZASCOMISIONES BANCARIASTPV</v>
      </c>
      <c r="B1291" t="s">
        <v>814</v>
      </c>
      <c r="C1291" s="1">
        <v>45776</v>
      </c>
      <c r="D1291" s="71" t="s">
        <v>23</v>
      </c>
      <c r="E1291" s="71" t="s">
        <v>48</v>
      </c>
      <c r="F1291" s="77" t="s">
        <v>50</v>
      </c>
      <c r="H1291" s="169"/>
      <c r="I1291" s="169"/>
      <c r="J1291" s="71" t="s">
        <v>217</v>
      </c>
      <c r="K1291" s="322"/>
      <c r="L1291" s="327">
        <f>67.72+189.17+75.73+1632.97+1123.56</f>
        <v>3089.15</v>
      </c>
      <c r="M1291" s="163">
        <f>M1290+K1291-L1291</f>
        <v>272479.18572000013</v>
      </c>
    </row>
    <row r="1292" spans="1:13">
      <c r="A1292" s="54" t="str">
        <f t="shared" si="22"/>
        <v/>
      </c>
      <c r="B1292" t="s">
        <v>814</v>
      </c>
      <c r="C1292" s="1">
        <v>45776</v>
      </c>
      <c r="D1292" s="71"/>
      <c r="F1292" s="77"/>
      <c r="H1292" s="169"/>
      <c r="I1292" s="169"/>
      <c r="J1292" s="205" t="s">
        <v>577</v>
      </c>
      <c r="K1292" s="206"/>
      <c r="L1292" s="206">
        <v>250000</v>
      </c>
      <c r="M1292" s="163">
        <f>M1291+K1292-L1292</f>
        <v>22479.185720000125</v>
      </c>
    </row>
    <row r="1293" spans="1:13">
      <c r="A1293" s="54" t="str">
        <f t="shared" si="22"/>
        <v>NA</v>
      </c>
      <c r="B1293" t="s">
        <v>814</v>
      </c>
      <c r="C1293" s="1">
        <v>45776</v>
      </c>
      <c r="D1293" s="71" t="s">
        <v>815</v>
      </c>
      <c r="H1293" s="169"/>
      <c r="I1293" s="169"/>
      <c r="J1293" s="205" t="s">
        <v>222</v>
      </c>
      <c r="K1293" s="206"/>
      <c r="L1293" s="206"/>
      <c r="M1293" s="163">
        <f>M1292+K1293-L1293</f>
        <v>22479.185720000125</v>
      </c>
    </row>
    <row r="1294" spans="1:13">
      <c r="A1294" s="54" t="str">
        <f>D1294&amp;E1294&amp;F1294</f>
        <v>FINANZASTELEFONIATELMEX</v>
      </c>
      <c r="B1294" t="s">
        <v>814</v>
      </c>
      <c r="C1294" s="1">
        <v>45776</v>
      </c>
      <c r="D1294" s="71" t="s">
        <v>23</v>
      </c>
      <c r="E1294" s="71" t="s">
        <v>181</v>
      </c>
      <c r="F1294" s="77" t="s">
        <v>182</v>
      </c>
      <c r="G1294" s="71" t="s">
        <v>216</v>
      </c>
      <c r="H1294" s="169"/>
      <c r="I1294" s="169"/>
      <c r="J1294" s="71" t="s">
        <v>1011</v>
      </c>
      <c r="L1294" s="326">
        <v>24700.73</v>
      </c>
      <c r="M1294" s="163">
        <f>M1293+K1294-L1294</f>
        <v>-2221.5442799998746</v>
      </c>
    </row>
    <row r="1295" spans="1:13">
      <c r="A1295" s="54" t="str">
        <f>D1295&amp;E1295&amp;F1295</f>
        <v>SERVICIOSVIATICOSINVENTARIOS</v>
      </c>
      <c r="B1295" t="s">
        <v>814</v>
      </c>
      <c r="C1295" s="1">
        <v>45776</v>
      </c>
      <c r="D1295" s="71" t="s">
        <v>21</v>
      </c>
      <c r="E1295" s="71" t="s">
        <v>191</v>
      </c>
      <c r="F1295" s="77" t="s">
        <v>34</v>
      </c>
      <c r="G1295" s="71" t="s">
        <v>216</v>
      </c>
      <c r="H1295" s="169"/>
      <c r="I1295" s="169"/>
      <c r="J1295" s="71" t="s">
        <v>533</v>
      </c>
      <c r="K1295" s="180"/>
      <c r="L1295" s="323">
        <v>600</v>
      </c>
      <c r="M1295" s="163">
        <f>M1294+K1295-L1295</f>
        <v>-2821.5442799998746</v>
      </c>
    </row>
    <row r="1296" spans="1:13">
      <c r="A1296" s="54" t="str">
        <f>D1296&amp;E1296&amp;F1296</f>
        <v>HRFONDO Y REPOSICIONHR</v>
      </c>
      <c r="B1296" t="s">
        <v>814</v>
      </c>
      <c r="C1296" s="1">
        <v>45776</v>
      </c>
      <c r="D1296" s="71" t="s">
        <v>29</v>
      </c>
      <c r="E1296" s="71" t="s">
        <v>120</v>
      </c>
      <c r="F1296" s="77" t="s">
        <v>29</v>
      </c>
      <c r="G1296" s="71" t="s">
        <v>216</v>
      </c>
      <c r="H1296" s="169"/>
      <c r="I1296" s="169"/>
      <c r="J1296" s="181" t="s">
        <v>357</v>
      </c>
      <c r="K1296" s="322"/>
      <c r="L1296" s="323">
        <v>3465</v>
      </c>
      <c r="M1296" s="163">
        <f>M1295+K1296-L1296</f>
        <v>-6286.5442799998746</v>
      </c>
    </row>
    <row r="1297" spans="1:13">
      <c r="A1297" s="54" t="str">
        <f>D1297&amp;E1297&amp;F1297</f>
        <v>SERVICIOSMTTO DE EDIFICIOMANTENIMIENTO</v>
      </c>
      <c r="B1297" t="s">
        <v>814</v>
      </c>
      <c r="C1297" s="1">
        <v>45776</v>
      </c>
      <c r="D1297" s="71" t="s">
        <v>21</v>
      </c>
      <c r="E1297" s="71" t="s">
        <v>142</v>
      </c>
      <c r="F1297" s="77" t="s">
        <v>35</v>
      </c>
      <c r="G1297" s="71" t="s">
        <v>216</v>
      </c>
      <c r="H1297" s="169"/>
      <c r="I1297" s="169"/>
      <c r="J1297" s="71" t="s">
        <v>1012</v>
      </c>
      <c r="K1297" s="322"/>
      <c r="L1297" s="323">
        <v>1385</v>
      </c>
      <c r="M1297" s="163">
        <f>M1296+K1297-L1297</f>
        <v>-7671.5442799998746</v>
      </c>
    </row>
    <row r="1298" spans="1:13">
      <c r="A1298" s="54" t="str">
        <f>D1298&amp;E1298&amp;F1298</f>
        <v>HRMKTMKT HR</v>
      </c>
      <c r="B1298" t="s">
        <v>814</v>
      </c>
      <c r="C1298" s="1">
        <v>45776</v>
      </c>
      <c r="D1298" s="71" t="s">
        <v>29</v>
      </c>
      <c r="E1298" s="71" t="s">
        <v>19</v>
      </c>
      <c r="F1298" s="77" t="s">
        <v>138</v>
      </c>
      <c r="G1298" s="71" t="s">
        <v>216</v>
      </c>
      <c r="H1298" s="169"/>
      <c r="I1298" s="169"/>
      <c r="J1298" s="71" t="s">
        <v>1013</v>
      </c>
      <c r="K1298" s="357"/>
      <c r="L1298" s="323">
        <v>1550</v>
      </c>
      <c r="M1298" s="163">
        <f>M1297+K1298-L1298</f>
        <v>-9221.5442799998746</v>
      </c>
    </row>
    <row r="1299" spans="1:13">
      <c r="A1299" s="54" t="str">
        <f>D1299&amp;E1299&amp;F1299</f>
        <v>HRVIATICOSHR</v>
      </c>
      <c r="B1299" t="s">
        <v>814</v>
      </c>
      <c r="C1299" s="1">
        <v>45776</v>
      </c>
      <c r="D1299" s="71" t="s">
        <v>29</v>
      </c>
      <c r="E1299" s="71" t="s">
        <v>191</v>
      </c>
      <c r="F1299" s="77" t="s">
        <v>29</v>
      </c>
      <c r="G1299" s="71" t="s">
        <v>216</v>
      </c>
      <c r="H1299" s="169"/>
      <c r="I1299" s="169"/>
      <c r="J1299" s="73" t="s">
        <v>1014</v>
      </c>
      <c r="K1299" s="322"/>
      <c r="L1299" s="323">
        <v>2800</v>
      </c>
      <c r="M1299" s="163">
        <f>M1298+K1299-L1299</f>
        <v>-12021.544279999875</v>
      </c>
    </row>
    <row r="1300" spans="1:13">
      <c r="A1300" s="54" t="str">
        <f>D1300&amp;E1300&amp;F1300</f>
        <v>CAPFONDO Y REPOSICIONCAPRICHOS</v>
      </c>
      <c r="B1300" t="s">
        <v>814</v>
      </c>
      <c r="C1300" s="1">
        <v>45776</v>
      </c>
      <c r="D1300" s="71" t="s">
        <v>31</v>
      </c>
      <c r="E1300" s="71" t="s">
        <v>120</v>
      </c>
      <c r="F1300" s="77" t="s">
        <v>33</v>
      </c>
      <c r="G1300" s="71" t="s">
        <v>216</v>
      </c>
      <c r="H1300" s="169"/>
      <c r="I1300" s="169"/>
      <c r="J1300" s="71" t="s">
        <v>583</v>
      </c>
      <c r="K1300" s="322"/>
      <c r="L1300" s="323">
        <v>627</v>
      </c>
      <c r="M1300" s="163">
        <f>M1299+K1300-L1300</f>
        <v>-12648.544279999875</v>
      </c>
    </row>
    <row r="1301" spans="1:13">
      <c r="A1301" s="54" t="str">
        <f>D1301&amp;E1301&amp;F1301</f>
        <v>SERVICIOSMTTO EQ DE COMPUTOMTTO EQ DE COMPUTO</v>
      </c>
      <c r="B1301" t="s">
        <v>814</v>
      </c>
      <c r="C1301" s="1">
        <v>45776</v>
      </c>
      <c r="D1301" s="71" t="s">
        <v>21</v>
      </c>
      <c r="E1301" s="71" t="s">
        <v>143</v>
      </c>
      <c r="F1301" s="77" t="s">
        <v>143</v>
      </c>
      <c r="G1301" s="71" t="s">
        <v>216</v>
      </c>
      <c r="H1301" s="169"/>
      <c r="I1301" s="169"/>
      <c r="J1301" s="71" t="s">
        <v>1015</v>
      </c>
      <c r="K1301" s="322"/>
      <c r="L1301" s="323">
        <v>9270.7199999999993</v>
      </c>
      <c r="M1301" s="163">
        <f>M1300+K1301-L1301</f>
        <v>-21919.264279999872</v>
      </c>
    </row>
    <row r="1302" spans="1:13">
      <c r="A1302" s="54" t="str">
        <f>D1302&amp;E1302&amp;F1302</f>
        <v>HRUBERHR</v>
      </c>
      <c r="B1302" t="s">
        <v>814</v>
      </c>
      <c r="C1302" s="1">
        <v>45776</v>
      </c>
      <c r="D1302" s="71" t="s">
        <v>29</v>
      </c>
      <c r="E1302" s="71" t="s">
        <v>189</v>
      </c>
      <c r="F1302" s="77" t="s">
        <v>29</v>
      </c>
      <c r="G1302" s="71" t="s">
        <v>216</v>
      </c>
      <c r="H1302" s="169"/>
      <c r="I1302" s="169"/>
      <c r="J1302" s="183" t="s">
        <v>403</v>
      </c>
      <c r="K1302" s="322"/>
      <c r="L1302" s="525">
        <v>90</v>
      </c>
      <c r="M1302" s="163">
        <f>M1301+K1302-L1302</f>
        <v>-22009.264279999872</v>
      </c>
    </row>
    <row r="1303" spans="1:13">
      <c r="A1303" s="54" t="str">
        <f>D1303&amp;E1303&amp;F1303</f>
        <v>CAPUBERCAP</v>
      </c>
      <c r="B1303" t="s">
        <v>814</v>
      </c>
      <c r="C1303" s="1">
        <v>45776</v>
      </c>
      <c r="D1303" s="71" t="s">
        <v>31</v>
      </c>
      <c r="E1303" s="71" t="s">
        <v>189</v>
      </c>
      <c r="F1303" s="77" t="s">
        <v>31</v>
      </c>
      <c r="G1303" s="71" t="s">
        <v>216</v>
      </c>
      <c r="H1303" s="169"/>
      <c r="I1303" s="169"/>
      <c r="J1303" s="76" t="s">
        <v>1016</v>
      </c>
      <c r="K1303" s="332"/>
      <c r="L1303" s="525">
        <v>300</v>
      </c>
      <c r="M1303" s="163">
        <f>M1302+K1303-L1303</f>
        <v>-22309.264279999872</v>
      </c>
    </row>
    <row r="1304" spans="1:13">
      <c r="A1304" s="54" t="str">
        <f>D1304&amp;E1304&amp;F1304</f>
        <v>CAPUBERCAP</v>
      </c>
      <c r="B1304" t="s">
        <v>814</v>
      </c>
      <c r="C1304" s="1">
        <v>45776</v>
      </c>
      <c r="D1304" s="71" t="s">
        <v>31</v>
      </c>
      <c r="E1304" s="71" t="s">
        <v>189</v>
      </c>
      <c r="F1304" s="77" t="s">
        <v>31</v>
      </c>
      <c r="G1304" s="71" t="s">
        <v>216</v>
      </c>
      <c r="H1304" s="169"/>
      <c r="I1304" s="169"/>
      <c r="J1304" s="76" t="s">
        <v>257</v>
      </c>
      <c r="K1304" s="332"/>
      <c r="L1304" s="525">
        <v>160</v>
      </c>
      <c r="M1304" s="163">
        <f>M1303+K1304-L1304</f>
        <v>-22469.264279999872</v>
      </c>
    </row>
    <row r="1305" spans="1:13">
      <c r="A1305" s="54" t="str">
        <f>D1305&amp;E1305&amp;F1305</f>
        <v>CAPUBERCAP</v>
      </c>
      <c r="B1305" t="s">
        <v>814</v>
      </c>
      <c r="C1305" s="1">
        <v>45776</v>
      </c>
      <c r="D1305" s="71" t="s">
        <v>31</v>
      </c>
      <c r="E1305" s="71" t="s">
        <v>189</v>
      </c>
      <c r="F1305" s="77" t="s">
        <v>31</v>
      </c>
      <c r="G1305" s="71" t="s">
        <v>216</v>
      </c>
      <c r="H1305" s="169"/>
      <c r="I1305" s="169"/>
      <c r="J1305" s="183" t="s">
        <v>490</v>
      </c>
      <c r="K1305" s="322"/>
      <c r="L1305" s="525">
        <v>300</v>
      </c>
      <c r="M1305" s="163">
        <f>M1304+K1305-L1305</f>
        <v>-22769.264279999872</v>
      </c>
    </row>
    <row r="1306" spans="1:13">
      <c r="A1306" s="54" t="str">
        <f>D1306&amp;E1306&amp;F1306</f>
        <v>CAPINSUMOSCAPRICHOS</v>
      </c>
      <c r="B1306" t="s">
        <v>814</v>
      </c>
      <c r="C1306" s="1">
        <v>45776</v>
      </c>
      <c r="D1306" s="71" t="s">
        <v>31</v>
      </c>
      <c r="E1306" s="71" t="s">
        <v>133</v>
      </c>
      <c r="F1306" s="77" t="s">
        <v>33</v>
      </c>
      <c r="G1306" s="71" t="s">
        <v>216</v>
      </c>
      <c r="H1306" s="169"/>
      <c r="I1306" s="169"/>
      <c r="J1306" s="76" t="s">
        <v>929</v>
      </c>
      <c r="K1306" s="332"/>
      <c r="L1306" s="331">
        <v>183.9</v>
      </c>
      <c r="M1306" s="163">
        <f>M1305+K1306-L1306</f>
        <v>-22953.164279999874</v>
      </c>
    </row>
    <row r="1307" spans="1:13">
      <c r="A1307" s="54" t="str">
        <f>D1307&amp;E1307&amp;F1307</f>
        <v>CAPNOMINA SUCURSALE9</v>
      </c>
      <c r="B1307" t="s">
        <v>814</v>
      </c>
      <c r="C1307" s="1">
        <v>45776</v>
      </c>
      <c r="D1307" s="71" t="s">
        <v>31</v>
      </c>
      <c r="E1307" s="71" t="s">
        <v>154</v>
      </c>
      <c r="F1307" s="77" t="s">
        <v>116</v>
      </c>
      <c r="G1307" s="71" t="s">
        <v>216</v>
      </c>
      <c r="H1307" s="169"/>
      <c r="I1307" s="169"/>
      <c r="J1307" s="76" t="s">
        <v>1017</v>
      </c>
      <c r="K1307" s="322"/>
      <c r="L1307" s="327">
        <v>393</v>
      </c>
      <c r="M1307" s="163">
        <f>M1306+K1307-L1307</f>
        <v>-23346.164279999874</v>
      </c>
    </row>
    <row r="1308" spans="1:13">
      <c r="A1308" s="54" t="str">
        <f>D1308&amp;E1308&amp;F1308</f>
        <v>FINANZASFALTANTESFALTANTES</v>
      </c>
      <c r="B1308" t="s">
        <v>814</v>
      </c>
      <c r="C1308" s="1">
        <v>45776</v>
      </c>
      <c r="D1308" t="s">
        <v>23</v>
      </c>
      <c r="E1308" t="s">
        <v>119</v>
      </c>
      <c r="F1308" s="77" t="s">
        <v>119</v>
      </c>
      <c r="G1308" s="71" t="s">
        <v>258</v>
      </c>
      <c r="H1308" s="169"/>
      <c r="I1308" s="169"/>
      <c r="J1308" s="76" t="s">
        <v>259</v>
      </c>
      <c r="K1308" s="322"/>
      <c r="L1308" s="327">
        <v>2158.14</v>
      </c>
      <c r="M1308" s="163">
        <f>M1307+K1308-L1308</f>
        <v>-25504.304279999873</v>
      </c>
    </row>
    <row r="1309" spans="1:13">
      <c r="A1309" s="54" t="str">
        <f t="shared" si="22"/>
        <v>NA</v>
      </c>
      <c r="B1309" t="s">
        <v>814</v>
      </c>
      <c r="C1309" s="1">
        <v>45777</v>
      </c>
      <c r="D1309" s="71" t="s">
        <v>815</v>
      </c>
      <c r="F1309" s="77"/>
      <c r="H1309" s="169"/>
      <c r="I1309" s="169"/>
      <c r="J1309" s="71" t="s">
        <v>260</v>
      </c>
      <c r="K1309" s="322">
        <f>248375.79-8780</f>
        <v>239595.79</v>
      </c>
      <c r="L1309" s="322"/>
      <c r="M1309" s="163">
        <f>M1308+K1309-L1309</f>
        <v>214091.48572000014</v>
      </c>
    </row>
    <row r="1310" spans="1:13">
      <c r="A1310" s="54" t="str">
        <f>D1310&amp;E1310&amp;F1310</f>
        <v>FINANZASCOMISIONES BANCARIASTPV</v>
      </c>
      <c r="B1310" t="s">
        <v>814</v>
      </c>
      <c r="C1310" s="1">
        <v>45777</v>
      </c>
      <c r="D1310" s="71" t="s">
        <v>23</v>
      </c>
      <c r="E1310" s="71" t="s">
        <v>48</v>
      </c>
      <c r="F1310" s="77" t="s">
        <v>50</v>
      </c>
      <c r="G1310" s="71" t="s">
        <v>216</v>
      </c>
      <c r="H1310" s="169"/>
      <c r="I1310" s="169"/>
      <c r="J1310" s="71" t="s">
        <v>217</v>
      </c>
      <c r="K1310" s="322"/>
      <c r="L1310" s="327">
        <f>595.34+44.65+88.45+2453.53+1520.5+5.8+5.8+49.01</f>
        <v>4763.0800000000008</v>
      </c>
      <c r="M1310" s="163">
        <f>M1309+K1310-L1310</f>
        <v>209328.40572000016</v>
      </c>
    </row>
    <row r="1311" spans="1:13">
      <c r="A1311" s="54" t="str">
        <f>D1311&amp;E1311&amp;F1311</f>
        <v>FINANZASCOMISIONES BANCARIASMANEJO DE CUENTA</v>
      </c>
      <c r="B1311" t="s">
        <v>814</v>
      </c>
      <c r="C1311" s="1">
        <v>45777</v>
      </c>
      <c r="D1311" s="71" t="s">
        <v>23</v>
      </c>
      <c r="E1311" s="71" t="s">
        <v>48</v>
      </c>
      <c r="F1311" s="77" t="s">
        <v>49</v>
      </c>
      <c r="G1311" s="71" t="s">
        <v>216</v>
      </c>
      <c r="H1311" s="169"/>
      <c r="I1311" s="169"/>
      <c r="J1311" s="71" t="s">
        <v>764</v>
      </c>
      <c r="K1311" s="322"/>
      <c r="L1311" s="326">
        <f>464+60.32</f>
        <v>524.32000000000005</v>
      </c>
      <c r="M1311" s="163">
        <f>M1310+K1311-L1311</f>
        <v>208804.08572000015</v>
      </c>
    </row>
    <row r="1312" spans="1:13">
      <c r="A1312" s="54" t="str">
        <f t="shared" si="22"/>
        <v>NA</v>
      </c>
      <c r="B1312" t="s">
        <v>814</v>
      </c>
      <c r="C1312" s="1">
        <v>45777</v>
      </c>
      <c r="D1312" s="71" t="s">
        <v>815</v>
      </c>
      <c r="F1312" s="77"/>
      <c r="H1312" s="169"/>
      <c r="I1312" s="169"/>
      <c r="J1312" s="205" t="s">
        <v>577</v>
      </c>
      <c r="K1312" s="206"/>
      <c r="L1312" s="206">
        <v>150000</v>
      </c>
      <c r="M1312" s="163">
        <f>M1311+K1312-L1312</f>
        <v>58804.085720000148</v>
      </c>
    </row>
    <row r="1313" spans="1:13">
      <c r="A1313" s="54" t="str">
        <f t="shared" si="22"/>
        <v>NA</v>
      </c>
      <c r="B1313" t="s">
        <v>814</v>
      </c>
      <c r="C1313" s="1">
        <v>45777</v>
      </c>
      <c r="D1313" s="71" t="s">
        <v>815</v>
      </c>
      <c r="F1313" s="77"/>
      <c r="H1313" s="169"/>
      <c r="I1313" s="169"/>
      <c r="J1313" s="205" t="s">
        <v>222</v>
      </c>
      <c r="K1313" s="206"/>
      <c r="L1313" s="206"/>
      <c r="M1313" s="163">
        <f>M1312+K1313-L1313</f>
        <v>58804.085720000148</v>
      </c>
    </row>
    <row r="1314" spans="1:13">
      <c r="A1314" s="54" t="str">
        <f>D1314&amp;E1314&amp;F1314</f>
        <v>SERVICIOSPAQUETERIACEDIS (E6)</v>
      </c>
      <c r="B1314" t="s">
        <v>814</v>
      </c>
      <c r="C1314" s="1">
        <v>45777</v>
      </c>
      <c r="D1314" s="71" t="s">
        <v>21</v>
      </c>
      <c r="E1314" s="71" t="s">
        <v>160</v>
      </c>
      <c r="F1314" s="77" t="s">
        <v>161</v>
      </c>
      <c r="G1314" s="71" t="s">
        <v>216</v>
      </c>
      <c r="H1314" s="169"/>
      <c r="I1314" s="169"/>
      <c r="J1314" s="181" t="s">
        <v>1018</v>
      </c>
      <c r="K1314" s="322"/>
      <c r="L1314" s="323">
        <v>3572.59</v>
      </c>
      <c r="M1314" s="163">
        <f>M1313+K1314-L1314</f>
        <v>55231.495720000152</v>
      </c>
    </row>
    <row r="1315" spans="1:13">
      <c r="A1315" s="54" t="str">
        <f>D1315&amp;E1315&amp;F1315</f>
        <v>ELIVIATICOSL1</v>
      </c>
      <c r="B1315" t="s">
        <v>814</v>
      </c>
      <c r="C1315" s="1">
        <v>45777</v>
      </c>
      <c r="D1315" s="71" t="s">
        <v>130</v>
      </c>
      <c r="E1315" s="71" t="s">
        <v>191</v>
      </c>
      <c r="F1315" s="77" t="s">
        <v>136</v>
      </c>
      <c r="G1315" s="71" t="s">
        <v>216</v>
      </c>
      <c r="H1315" s="169"/>
      <c r="I1315" s="169"/>
      <c r="J1315" s="181" t="s">
        <v>1019</v>
      </c>
      <c r="K1315" s="322"/>
      <c r="L1315" s="323">
        <v>1000</v>
      </c>
      <c r="M1315" s="163">
        <f>M1314+K1315-L1315</f>
        <v>54231.495720000152</v>
      </c>
    </row>
    <row r="1316" spans="1:13">
      <c r="A1316" s="54" t="str">
        <f>D1316&amp;E1316&amp;F1316</f>
        <v>ELIMKTL1</v>
      </c>
      <c r="B1316" t="s">
        <v>814</v>
      </c>
      <c r="C1316" s="1">
        <v>45777</v>
      </c>
      <c r="D1316" s="71" t="s">
        <v>130</v>
      </c>
      <c r="E1316" s="71" t="s">
        <v>19</v>
      </c>
      <c r="F1316" s="77" t="s">
        <v>136</v>
      </c>
      <c r="G1316" s="71" t="s">
        <v>216</v>
      </c>
      <c r="H1316" s="169"/>
      <c r="I1316" s="169"/>
      <c r="J1316" s="181" t="s">
        <v>1020</v>
      </c>
      <c r="K1316" s="322"/>
      <c r="L1316" s="323">
        <v>1100</v>
      </c>
      <c r="M1316" s="163">
        <f>M1315+K1316-L1316</f>
        <v>53131.495720000152</v>
      </c>
    </row>
    <row r="1317" spans="1:13">
      <c r="A1317" s="54" t="str">
        <f>D1317&amp;E1317&amp;F1317</f>
        <v>SGEFONDO Y REPOSICIONGESTION EMPRESARIAL</v>
      </c>
      <c r="B1317" t="s">
        <v>814</v>
      </c>
      <c r="C1317" s="1">
        <v>45777</v>
      </c>
      <c r="D1317" s="71" t="s">
        <v>39</v>
      </c>
      <c r="E1317" s="71" t="s">
        <v>120</v>
      </c>
      <c r="F1317" s="77" t="s">
        <v>40</v>
      </c>
      <c r="G1317" s="71" t="s">
        <v>216</v>
      </c>
      <c r="H1317" s="169"/>
      <c r="I1317" s="169"/>
      <c r="J1317" s="181" t="s">
        <v>1021</v>
      </c>
      <c r="K1317" s="322"/>
      <c r="L1317" s="323">
        <v>306</v>
      </c>
      <c r="M1317" s="163">
        <f>M1316+K1317-L1317</f>
        <v>52825.495720000152</v>
      </c>
    </row>
    <row r="1318" spans="1:13">
      <c r="A1318" s="54" t="str">
        <f>D1318&amp;E1318&amp;F1318</f>
        <v>SERVICIOSREDESHONORARIOS</v>
      </c>
      <c r="B1318" t="s">
        <v>814</v>
      </c>
      <c r="C1318" s="1">
        <v>45777</v>
      </c>
      <c r="D1318" s="71" t="s">
        <v>21</v>
      </c>
      <c r="E1318" s="71" t="s">
        <v>167</v>
      </c>
      <c r="F1318" s="77" t="s">
        <v>124</v>
      </c>
      <c r="G1318" s="71" t="s">
        <v>216</v>
      </c>
      <c r="H1318" s="169"/>
      <c r="I1318" s="169"/>
      <c r="J1318" s="181" t="s">
        <v>1022</v>
      </c>
      <c r="K1318" s="322"/>
      <c r="L1318" s="323">
        <v>10000</v>
      </c>
      <c r="M1318" s="163">
        <f>M1317+K1318-L1318</f>
        <v>42825.495720000152</v>
      </c>
    </row>
    <row r="1319" spans="1:13">
      <c r="A1319" s="54" t="str">
        <f>D1319&amp;E1319&amp;F1319</f>
        <v>SERVICIOSVIATICOSMANTENIMIENTO</v>
      </c>
      <c r="B1319" t="s">
        <v>814</v>
      </c>
      <c r="C1319" s="1">
        <v>45777</v>
      </c>
      <c r="D1319" s="71" t="s">
        <v>21</v>
      </c>
      <c r="E1319" s="71" t="s">
        <v>191</v>
      </c>
      <c r="F1319" s="77" t="s">
        <v>35</v>
      </c>
      <c r="G1319" s="71" t="s">
        <v>216</v>
      </c>
      <c r="H1319" s="169"/>
      <c r="I1319" s="169"/>
      <c r="J1319" s="181" t="s">
        <v>424</v>
      </c>
      <c r="K1319" s="322"/>
      <c r="L1319" s="323">
        <v>900</v>
      </c>
      <c r="M1319" s="163">
        <f>M1318+K1319-L1319</f>
        <v>41925.495720000152</v>
      </c>
    </row>
    <row r="1320" spans="1:13">
      <c r="A1320" s="54" t="str">
        <f>D1320&amp;E1320&amp;F1320</f>
        <v>SERVICIOSVIATICOSCEDIS</v>
      </c>
      <c r="B1320" t="s">
        <v>814</v>
      </c>
      <c r="C1320" s="1">
        <v>45777</v>
      </c>
      <c r="D1320" s="71" t="s">
        <v>21</v>
      </c>
      <c r="E1320" s="71" t="s">
        <v>191</v>
      </c>
      <c r="F1320" s="77" t="s">
        <v>28</v>
      </c>
      <c r="G1320" s="71" t="s">
        <v>216</v>
      </c>
      <c r="H1320" s="169"/>
      <c r="I1320" s="169"/>
      <c r="J1320" s="181" t="s">
        <v>1023</v>
      </c>
      <c r="K1320" s="322"/>
      <c r="L1320" s="323">
        <v>200</v>
      </c>
      <c r="M1320" s="163">
        <f>M1319+K1320-L1320</f>
        <v>41725.495720000152</v>
      </c>
    </row>
    <row r="1321" spans="1:13">
      <c r="A1321" s="54" t="str">
        <f>D1321&amp;E1321&amp;F1321</f>
        <v>FINANZASTELEFONIATOTAL PLAY (CONTA)</v>
      </c>
      <c r="B1321" t="s">
        <v>814</v>
      </c>
      <c r="C1321" s="1">
        <v>45777</v>
      </c>
      <c r="D1321" s="71" t="s">
        <v>23</v>
      </c>
      <c r="E1321" s="71" t="s">
        <v>181</v>
      </c>
      <c r="F1321" s="77" t="s">
        <v>185</v>
      </c>
      <c r="H1321" s="169"/>
      <c r="I1321" s="169"/>
      <c r="J1321" s="181" t="s">
        <v>290</v>
      </c>
      <c r="K1321" s="322"/>
      <c r="L1321" s="323">
        <v>602</v>
      </c>
      <c r="M1321" s="163">
        <f>M1320+K1321-L1321</f>
        <v>41123.495720000152</v>
      </c>
    </row>
    <row r="1322" spans="1:13">
      <c r="A1322" s="54" t="str">
        <f>D1322&amp;E1322&amp;F1322</f>
        <v>CAPIMAGEN VISUALIMAGEN VISUAL CAP</v>
      </c>
      <c r="B1322" t="s">
        <v>814</v>
      </c>
      <c r="C1322" s="1">
        <v>45777</v>
      </c>
      <c r="D1322" t="s">
        <v>31</v>
      </c>
      <c r="E1322" s="12" t="s">
        <v>127</v>
      </c>
      <c r="F1322" s="12" t="s">
        <v>129</v>
      </c>
      <c r="G1322" s="71" t="s">
        <v>216</v>
      </c>
      <c r="H1322" s="169"/>
      <c r="I1322" s="169"/>
      <c r="J1322" s="181" t="s">
        <v>1024</v>
      </c>
      <c r="K1322" s="322"/>
      <c r="L1322" s="323">
        <v>3509</v>
      </c>
      <c r="M1322" s="163">
        <f>M1321+K1322-L1322</f>
        <v>37614.495720000152</v>
      </c>
    </row>
    <row r="1323" spans="1:13">
      <c r="A1323" s="54" t="str">
        <f>D1323&amp;E1323&amp;F1323</f>
        <v>CAPFONDO Y REPOSICIONCAPRICHOS</v>
      </c>
      <c r="B1323" t="s">
        <v>814</v>
      </c>
      <c r="C1323" s="1">
        <v>45777</v>
      </c>
      <c r="D1323" s="71" t="s">
        <v>31</v>
      </c>
      <c r="E1323" s="71" t="s">
        <v>120</v>
      </c>
      <c r="F1323" s="77" t="s">
        <v>33</v>
      </c>
      <c r="G1323" s="71" t="s">
        <v>258</v>
      </c>
      <c r="H1323" s="169"/>
      <c r="I1323" s="169"/>
      <c r="J1323" s="181" t="s">
        <v>1025</v>
      </c>
      <c r="K1323" s="322"/>
      <c r="L1323" s="323">
        <v>1325</v>
      </c>
      <c r="M1323" s="163">
        <f>M1322+K1323-L1323</f>
        <v>36289.495720000152</v>
      </c>
    </row>
    <row r="1324" spans="1:13">
      <c r="A1324" s="54" t="str">
        <f>D1324&amp;E1324&amp;F1324</f>
        <v>SERVICIOSVIATICOSCEDIS</v>
      </c>
      <c r="B1324" t="s">
        <v>814</v>
      </c>
      <c r="C1324" s="1">
        <v>45777</v>
      </c>
      <c r="D1324" s="71" t="s">
        <v>21</v>
      </c>
      <c r="E1324" s="71" t="s">
        <v>191</v>
      </c>
      <c r="F1324" s="77" t="s">
        <v>28</v>
      </c>
      <c r="G1324" s="71" t="s">
        <v>258</v>
      </c>
      <c r="H1324" s="169"/>
      <c r="I1324" s="169"/>
      <c r="J1324" s="181" t="s">
        <v>1026</v>
      </c>
      <c r="K1324" s="322"/>
      <c r="L1324" s="323">
        <v>200</v>
      </c>
      <c r="M1324" s="163">
        <f>M1323+K1324-L1324</f>
        <v>36089.495720000152</v>
      </c>
    </row>
    <row r="1325" spans="1:13">
      <c r="A1325" s="54" t="str">
        <f>D1325&amp;E1325&amp;F1325</f>
        <v>FINANZASVIATICOSFINANZAS</v>
      </c>
      <c r="B1325" t="s">
        <v>814</v>
      </c>
      <c r="C1325" s="1">
        <v>45777</v>
      </c>
      <c r="D1325" s="71" t="s">
        <v>23</v>
      </c>
      <c r="E1325" s="71" t="s">
        <v>191</v>
      </c>
      <c r="F1325" s="77" t="s">
        <v>23</v>
      </c>
      <c r="G1325" s="71" t="s">
        <v>258</v>
      </c>
      <c r="H1325" s="169"/>
      <c r="I1325" s="169"/>
      <c r="J1325" s="181" t="s">
        <v>1027</v>
      </c>
      <c r="K1325" s="322"/>
      <c r="L1325" s="323">
        <v>640</v>
      </c>
      <c r="M1325" s="163">
        <f>M1324+K1325-L1325</f>
        <v>35449.495720000152</v>
      </c>
    </row>
    <row r="1326" spans="1:13">
      <c r="A1326" s="54" t="str">
        <f>D1326&amp;E1326&amp;F1326</f>
        <v>SGEVIATICOSGESTION EMPRESARIAL</v>
      </c>
      <c r="B1326" t="s">
        <v>814</v>
      </c>
      <c r="C1326" s="1">
        <v>45777</v>
      </c>
      <c r="D1326" s="71" t="s">
        <v>39</v>
      </c>
      <c r="E1326" s="71" t="s">
        <v>191</v>
      </c>
      <c r="F1326" s="77" t="s">
        <v>40</v>
      </c>
      <c r="G1326" s="71" t="s">
        <v>216</v>
      </c>
      <c r="H1326" s="169"/>
      <c r="I1326" s="169"/>
      <c r="J1326" s="181" t="s">
        <v>1028</v>
      </c>
      <c r="K1326" s="322"/>
      <c r="L1326" s="323">
        <v>800</v>
      </c>
      <c r="M1326" s="163">
        <f>M1325+K1326-L1326</f>
        <v>34649.495720000152</v>
      </c>
    </row>
    <row r="1327" spans="1:13">
      <c r="A1327" s="54" t="str">
        <f>D1327&amp;E1327&amp;F1327</f>
        <v>SERVICIOSVIATICOSCEDIS</v>
      </c>
      <c r="B1327" t="s">
        <v>814</v>
      </c>
      <c r="C1327" s="1">
        <v>45777</v>
      </c>
      <c r="D1327" s="71" t="s">
        <v>21</v>
      </c>
      <c r="E1327" s="71" t="s">
        <v>191</v>
      </c>
      <c r="F1327" s="77" t="s">
        <v>28</v>
      </c>
      <c r="G1327" s="71" t="s">
        <v>258</v>
      </c>
      <c r="H1327" s="169"/>
      <c r="I1327" s="169"/>
      <c r="J1327" s="181" t="s">
        <v>1029</v>
      </c>
      <c r="K1327" s="322"/>
      <c r="L1327" s="323">
        <v>350</v>
      </c>
      <c r="M1327" s="163">
        <f>M1326+K1327-L1327</f>
        <v>34299.495720000152</v>
      </c>
    </row>
    <row r="1328" spans="1:13">
      <c r="A1328" s="54" t="str">
        <f>D1328&amp;E1328&amp;F1328</f>
        <v>SGEVIATICOSGESTION EMPRESARIAL</v>
      </c>
      <c r="B1328" t="s">
        <v>814</v>
      </c>
      <c r="C1328" s="1">
        <v>45777</v>
      </c>
      <c r="D1328" s="71" t="s">
        <v>39</v>
      </c>
      <c r="E1328" s="71" t="s">
        <v>191</v>
      </c>
      <c r="F1328" s="77" t="s">
        <v>40</v>
      </c>
      <c r="G1328" s="71" t="s">
        <v>216</v>
      </c>
      <c r="H1328" s="169"/>
      <c r="I1328" s="169"/>
      <c r="J1328" s="181" t="s">
        <v>1030</v>
      </c>
      <c r="K1328" s="357"/>
      <c r="L1328" s="323">
        <v>80</v>
      </c>
      <c r="M1328" s="163">
        <f>M1327+K1328-L1328</f>
        <v>34219.495720000152</v>
      </c>
    </row>
    <row r="1329" spans="1:13">
      <c r="A1329" s="54" t="str">
        <f>D1329&amp;E1329&amp;F1329</f>
        <v>SGEFONDO Y REPOSICIONGESTION EMPRESARIAL</v>
      </c>
      <c r="B1329" t="s">
        <v>814</v>
      </c>
      <c r="C1329" s="1">
        <v>45777</v>
      </c>
      <c r="D1329" s="71" t="s">
        <v>39</v>
      </c>
      <c r="E1329" s="71" t="s">
        <v>120</v>
      </c>
      <c r="F1329" s="77" t="s">
        <v>40</v>
      </c>
      <c r="G1329" s="71" t="s">
        <v>258</v>
      </c>
      <c r="H1329" s="169"/>
      <c r="I1329" s="169"/>
      <c r="J1329" s="181" t="s">
        <v>1031</v>
      </c>
      <c r="K1329" s="357"/>
      <c r="L1329" s="323">
        <v>3000</v>
      </c>
      <c r="M1329" s="163">
        <f>M1328+K1329-L1329</f>
        <v>31219.495720000152</v>
      </c>
    </row>
    <row r="1330" spans="1:13">
      <c r="A1330" s="54" t="str">
        <f>D1330&amp;E1330&amp;F1330</f>
        <v>SERVICIOSADQ DE EQ TECNOLOGICOADQ DE EQ TECNOLOGICO</v>
      </c>
      <c r="B1330" t="s">
        <v>814</v>
      </c>
      <c r="C1330" s="1">
        <v>45777</v>
      </c>
      <c r="D1330" s="71" t="s">
        <v>21</v>
      </c>
      <c r="E1330" s="71" t="s">
        <v>22</v>
      </c>
      <c r="F1330" s="77" t="s">
        <v>22</v>
      </c>
      <c r="G1330" s="71" t="s">
        <v>258</v>
      </c>
      <c r="H1330" s="169"/>
      <c r="I1330" s="169"/>
      <c r="J1330" s="181" t="s">
        <v>1032</v>
      </c>
      <c r="K1330" s="357"/>
      <c r="L1330" s="323">
        <v>6117.26</v>
      </c>
      <c r="M1330" s="163">
        <f>M1329+K1330-L1330</f>
        <v>25102.23572000015</v>
      </c>
    </row>
    <row r="1331" spans="1:13">
      <c r="A1331" s="54" t="str">
        <f>D1331&amp;E1331&amp;F1331</f>
        <v>DEDONATIVOSDONATIVOS</v>
      </c>
      <c r="B1331" t="s">
        <v>814</v>
      </c>
      <c r="C1331" s="1">
        <v>45777</v>
      </c>
      <c r="D1331" s="71" t="s">
        <v>41</v>
      </c>
      <c r="E1331" s="71" t="s">
        <v>86</v>
      </c>
      <c r="F1331" s="77" t="s">
        <v>86</v>
      </c>
      <c r="G1331" s="71" t="s">
        <v>258</v>
      </c>
      <c r="H1331" s="169"/>
      <c r="I1331" s="169"/>
      <c r="J1331" s="181" t="s">
        <v>1033</v>
      </c>
      <c r="K1331" s="357"/>
      <c r="L1331" s="323">
        <v>6000</v>
      </c>
      <c r="M1331" s="163">
        <f>M1330+K1331-L1331</f>
        <v>19102.23572000015</v>
      </c>
    </row>
    <row r="1332" spans="1:13">
      <c r="A1332" s="54" t="str">
        <f>D1332&amp;E1332&amp;F1332</f>
        <v>CAPUBERCAP</v>
      </c>
      <c r="B1332" t="s">
        <v>814</v>
      </c>
      <c r="C1332" s="1">
        <v>45777</v>
      </c>
      <c r="D1332" s="71" t="s">
        <v>31</v>
      </c>
      <c r="E1332" s="71" t="s">
        <v>189</v>
      </c>
      <c r="F1332" s="77" t="s">
        <v>31</v>
      </c>
      <c r="G1332" s="71" t="s">
        <v>216</v>
      </c>
      <c r="H1332" s="169"/>
      <c r="I1332" s="169"/>
      <c r="J1332" s="76" t="s">
        <v>253</v>
      </c>
      <c r="K1332" s="322"/>
      <c r="L1332" s="525">
        <v>380</v>
      </c>
      <c r="M1332" s="163">
        <f>M1331+K1332-L1332</f>
        <v>18722.23572000015</v>
      </c>
    </row>
    <row r="1333" spans="1:13">
      <c r="A1333" s="54" t="str">
        <f>D1333&amp;E1333&amp;F1333</f>
        <v>CAPUBERCAP</v>
      </c>
      <c r="B1333" t="s">
        <v>814</v>
      </c>
      <c r="C1333" s="1">
        <v>45777</v>
      </c>
      <c r="D1333" s="71" t="s">
        <v>31</v>
      </c>
      <c r="E1333" s="71" t="s">
        <v>189</v>
      </c>
      <c r="F1333" s="77" t="s">
        <v>31</v>
      </c>
      <c r="G1333" s="71" t="s">
        <v>216</v>
      </c>
      <c r="H1333" s="169"/>
      <c r="I1333" s="169"/>
      <c r="J1333" s="76" t="s">
        <v>257</v>
      </c>
      <c r="K1333" s="322"/>
      <c r="L1333" s="525">
        <v>100</v>
      </c>
      <c r="M1333" s="163">
        <f>M1332+K1333-L1333</f>
        <v>18622.23572000015</v>
      </c>
    </row>
    <row r="1334" spans="1:13">
      <c r="A1334" s="54" t="str">
        <f>D1334&amp;E1334&amp;F1334</f>
        <v>SERVICIOSMTTO DE EDIFICIOMANTENIMIENTO</v>
      </c>
      <c r="B1334" t="s">
        <v>814</v>
      </c>
      <c r="C1334" s="1">
        <v>45777</v>
      </c>
      <c r="D1334" s="71" t="s">
        <v>21</v>
      </c>
      <c r="E1334" s="71" t="s">
        <v>142</v>
      </c>
      <c r="F1334" s="77" t="s">
        <v>35</v>
      </c>
      <c r="G1334" s="71" t="s">
        <v>216</v>
      </c>
      <c r="H1334" s="169"/>
      <c r="I1334" s="169"/>
      <c r="J1334" s="76" t="s">
        <v>1034</v>
      </c>
      <c r="K1334" s="322"/>
      <c r="L1334" s="327">
        <v>1300</v>
      </c>
      <c r="M1334" s="163">
        <f>M1333+K1334-L1334</f>
        <v>17322.23572000015</v>
      </c>
    </row>
    <row r="1335" spans="1:13">
      <c r="A1335" s="54" t="str">
        <f>D1335&amp;E1335&amp;F1335</f>
        <v>FINANZASFALTANTESFALTANTES</v>
      </c>
      <c r="B1335" t="s">
        <v>814</v>
      </c>
      <c r="C1335" s="1">
        <v>45777</v>
      </c>
      <c r="D1335" s="71" t="s">
        <v>23</v>
      </c>
      <c r="E1335" s="71" t="s">
        <v>119</v>
      </c>
      <c r="F1335" s="77" t="s">
        <v>119</v>
      </c>
      <c r="G1335" s="71" t="s">
        <v>258</v>
      </c>
      <c r="H1335" s="169"/>
      <c r="I1335" s="169"/>
      <c r="J1335" s="76" t="s">
        <v>259</v>
      </c>
      <c r="K1335" s="322"/>
      <c r="L1335" s="323">
        <v>2397.7399999999998</v>
      </c>
      <c r="M1335" s="163">
        <f>M1334+K1335-L1335</f>
        <v>14924.49572000015</v>
      </c>
    </row>
    <row r="1336" spans="1:13">
      <c r="A1336" s="54" t="str">
        <f t="shared" si="22"/>
        <v>NA</v>
      </c>
      <c r="B1336" t="s">
        <v>814</v>
      </c>
      <c r="C1336" s="1">
        <v>45779</v>
      </c>
      <c r="D1336" s="71" t="s">
        <v>815</v>
      </c>
      <c r="F1336" s="77"/>
      <c r="H1336" s="169"/>
      <c r="I1336" s="169"/>
      <c r="J1336" s="71" t="s">
        <v>260</v>
      </c>
      <c r="K1336" s="322">
        <f>691441.29-17318-5650-10503-16608</f>
        <v>641362.29</v>
      </c>
      <c r="L1336" s="180"/>
      <c r="M1336" s="163">
        <f>M1335+K1336-L1336</f>
        <v>656286.78572000016</v>
      </c>
    </row>
    <row r="1337" spans="1:13">
      <c r="A1337" s="54" t="str">
        <f>D1337&amp;E1337&amp;F1337</f>
        <v>FINANZASCOMISIONES BANCARIASTPV</v>
      </c>
      <c r="B1337" t="s">
        <v>814</v>
      </c>
      <c r="C1337" s="1">
        <v>45779</v>
      </c>
      <c r="D1337" s="71" t="s">
        <v>23</v>
      </c>
      <c r="E1337" s="71" t="s">
        <v>48</v>
      </c>
      <c r="F1337" s="77" t="s">
        <v>50</v>
      </c>
      <c r="G1337" s="71" t="s">
        <v>216</v>
      </c>
      <c r="H1337" s="169"/>
      <c r="I1337" s="169"/>
      <c r="J1337" s="71" t="s">
        <v>217</v>
      </c>
      <c r="K1337" s="322"/>
      <c r="L1337" s="323">
        <f>961.06+526.68+183+63+7810.45+5107.56</f>
        <v>14651.75</v>
      </c>
      <c r="M1337" s="163">
        <f>M1336+K1337-L1337</f>
        <v>641635.03572000016</v>
      </c>
    </row>
    <row r="1338" spans="1:13">
      <c r="A1338" s="54" t="str">
        <f>D1338&amp;E1338&amp;F1338</f>
        <v>FINANZASCOMISIONES BANCARIASMANEJO DE CUENTA</v>
      </c>
      <c r="B1338" t="s">
        <v>814</v>
      </c>
      <c r="C1338" s="1">
        <v>45779</v>
      </c>
      <c r="D1338" s="71" t="s">
        <v>23</v>
      </c>
      <c r="E1338" s="71" t="s">
        <v>48</v>
      </c>
      <c r="F1338" s="77" t="s">
        <v>49</v>
      </c>
      <c r="G1338" s="71" t="s">
        <v>216</v>
      </c>
      <c r="H1338" s="169"/>
      <c r="I1338" s="169"/>
      <c r="J1338" s="71" t="s">
        <v>764</v>
      </c>
      <c r="K1338" s="322"/>
      <c r="L1338" s="180"/>
      <c r="M1338" s="163">
        <f>M1337+K1338-L1338</f>
        <v>641635.03572000016</v>
      </c>
    </row>
    <row r="1339" spans="1:13">
      <c r="A1339" s="54" t="str">
        <f t="shared" si="22"/>
        <v>NA</v>
      </c>
      <c r="B1339" t="s">
        <v>814</v>
      </c>
      <c r="C1339" s="1">
        <v>45779</v>
      </c>
      <c r="D1339" s="71" t="s">
        <v>815</v>
      </c>
      <c r="F1339" s="77"/>
      <c r="H1339" s="169"/>
      <c r="I1339" s="169"/>
      <c r="J1339" s="205" t="s">
        <v>577</v>
      </c>
      <c r="K1339" s="206"/>
      <c r="L1339" s="206"/>
      <c r="M1339" s="163">
        <f>M1338+K1339-L1339</f>
        <v>641635.03572000016</v>
      </c>
    </row>
    <row r="1340" spans="1:13">
      <c r="A1340" s="54" t="str">
        <f t="shared" si="22"/>
        <v>NA</v>
      </c>
      <c r="B1340" t="s">
        <v>814</v>
      </c>
      <c r="C1340" s="1">
        <v>45779</v>
      </c>
      <c r="D1340" s="71" t="s">
        <v>815</v>
      </c>
      <c r="F1340" s="77"/>
      <c r="H1340" s="169"/>
      <c r="I1340" s="169"/>
      <c r="J1340" s="205" t="s">
        <v>222</v>
      </c>
      <c r="K1340" s="206"/>
      <c r="L1340" s="206">
        <v>600000</v>
      </c>
      <c r="M1340" s="163">
        <f>M1339+K1340-L1340</f>
        <v>41635.03572000016</v>
      </c>
    </row>
    <row r="1341" spans="1:13">
      <c r="A1341" s="54" t="str">
        <f>D1341&amp;E1341&amp;F1341</f>
        <v>FINANZASRECOLECCION DE BASURACEDIS</v>
      </c>
      <c r="B1341" t="s">
        <v>814</v>
      </c>
      <c r="C1341" s="1">
        <v>45779</v>
      </c>
      <c r="D1341" s="71" t="s">
        <v>23</v>
      </c>
      <c r="E1341" s="71" t="s">
        <v>166</v>
      </c>
      <c r="F1341" s="77" t="s">
        <v>28</v>
      </c>
      <c r="G1341" s="71" t="s">
        <v>258</v>
      </c>
      <c r="H1341" s="169"/>
      <c r="I1341" s="169"/>
      <c r="J1341" s="71" t="s">
        <v>1035</v>
      </c>
      <c r="K1341" s="180"/>
      <c r="L1341" s="323">
        <v>2574.62</v>
      </c>
      <c r="M1341" s="163">
        <f>M1340+K1341-L1341</f>
        <v>39060.415720000157</v>
      </c>
    </row>
    <row r="1342" spans="1:13">
      <c r="A1342" s="54" t="str">
        <f>D1342&amp;E1342&amp;F1342</f>
        <v>FINANZASRECOLECCION DE BASURACEDIS</v>
      </c>
      <c r="B1342" t="s">
        <v>814</v>
      </c>
      <c r="C1342" s="1">
        <v>45779</v>
      </c>
      <c r="D1342" s="71" t="s">
        <v>23</v>
      </c>
      <c r="E1342" s="71" t="s">
        <v>166</v>
      </c>
      <c r="F1342" s="77" t="s">
        <v>28</v>
      </c>
      <c r="G1342" s="71" t="s">
        <v>258</v>
      </c>
      <c r="H1342" s="169"/>
      <c r="I1342" s="169"/>
      <c r="J1342" s="71" t="s">
        <v>1035</v>
      </c>
      <c r="K1342" s="180"/>
      <c r="L1342" s="323">
        <v>2616.0300000000002</v>
      </c>
      <c r="M1342" s="163">
        <f>M1341+K1342-L1342</f>
        <v>36444.385720000158</v>
      </c>
    </row>
    <row r="1343" spans="1:13">
      <c r="A1343" s="54" t="str">
        <f>D1343&amp;E1343&amp;F1343</f>
        <v>HRENERGIA ELECTRICAA11</v>
      </c>
      <c r="B1343" t="s">
        <v>814</v>
      </c>
      <c r="C1343" s="1">
        <v>45779</v>
      </c>
      <c r="D1343" s="71" t="s">
        <v>29</v>
      </c>
      <c r="E1343" s="71" t="s">
        <v>87</v>
      </c>
      <c r="F1343" s="77" t="s">
        <v>97</v>
      </c>
      <c r="G1343" s="71" t="s">
        <v>216</v>
      </c>
      <c r="H1343" s="169"/>
      <c r="I1343" s="169"/>
      <c r="J1343" s="71" t="s">
        <v>1036</v>
      </c>
      <c r="K1343" s="180"/>
      <c r="L1343" s="323">
        <v>18559</v>
      </c>
      <c r="M1343" s="163">
        <f>M1342+K1343-L1343</f>
        <v>17885.385720000158</v>
      </c>
    </row>
    <row r="1344" spans="1:13">
      <c r="A1344" s="54" t="str">
        <f>D1344&amp;E1344&amp;F1344</f>
        <v>HRENERGIA ELECTRICAA2</v>
      </c>
      <c r="B1344" t="s">
        <v>814</v>
      </c>
      <c r="C1344" s="1">
        <v>45779</v>
      </c>
      <c r="D1344" s="71" t="s">
        <v>29</v>
      </c>
      <c r="E1344" s="71" t="s">
        <v>87</v>
      </c>
      <c r="F1344" s="77" t="s">
        <v>89</v>
      </c>
      <c r="G1344" s="71" t="s">
        <v>216</v>
      </c>
      <c r="H1344" s="169"/>
      <c r="I1344" s="169"/>
      <c r="J1344" s="71" t="s">
        <v>546</v>
      </c>
      <c r="K1344" s="180"/>
      <c r="L1344" s="323">
        <v>13756</v>
      </c>
      <c r="M1344" s="163">
        <f>M1343+K1344-L1344</f>
        <v>4129.3857200001585</v>
      </c>
    </row>
    <row r="1345" spans="1:14">
      <c r="A1345" s="54" t="str">
        <f>D1345&amp;E1345&amp;F1345</f>
        <v>HRENERGIA ELECTRICAA2</v>
      </c>
      <c r="B1345" t="s">
        <v>814</v>
      </c>
      <c r="C1345" s="1">
        <v>45779</v>
      </c>
      <c r="D1345" s="71" t="s">
        <v>29</v>
      </c>
      <c r="E1345" s="71" t="s">
        <v>87</v>
      </c>
      <c r="F1345" s="77" t="s">
        <v>89</v>
      </c>
      <c r="G1345" s="71" t="s">
        <v>216</v>
      </c>
      <c r="H1345" s="169"/>
      <c r="I1345" s="169"/>
      <c r="J1345" s="71" t="s">
        <v>546</v>
      </c>
      <c r="K1345" s="180"/>
      <c r="L1345" s="323">
        <v>300</v>
      </c>
      <c r="M1345" s="163">
        <f>M1344+K1345-L1345</f>
        <v>3829.3857200001585</v>
      </c>
    </row>
    <row r="1346" spans="1:14">
      <c r="A1346" s="54" t="str">
        <f>D1346&amp;E1346&amp;F1346</f>
        <v>HRENERGIA ELECTRICAA3</v>
      </c>
      <c r="B1346" t="s">
        <v>814</v>
      </c>
      <c r="C1346" s="1">
        <v>45779</v>
      </c>
      <c r="D1346" s="71" t="s">
        <v>29</v>
      </c>
      <c r="E1346" s="71" t="s">
        <v>87</v>
      </c>
      <c r="F1346" s="77" t="s">
        <v>90</v>
      </c>
      <c r="G1346" s="71" t="s">
        <v>216</v>
      </c>
      <c r="H1346" s="169"/>
      <c r="I1346" s="169"/>
      <c r="J1346" s="71" t="s">
        <v>547</v>
      </c>
      <c r="K1346" s="180"/>
      <c r="L1346" s="323">
        <v>10512</v>
      </c>
      <c r="M1346" s="163">
        <f>M1345+K1346-L1346</f>
        <v>-6682.6142799998415</v>
      </c>
    </row>
    <row r="1347" spans="1:14">
      <c r="A1347" s="54" t="str">
        <f>D1347&amp;E1347&amp;F1347</f>
        <v>SERVICIOSINSUMOSCOFFE</v>
      </c>
      <c r="B1347" t="s">
        <v>814</v>
      </c>
      <c r="C1347" s="1">
        <v>45779</v>
      </c>
      <c r="D1347" s="71" t="s">
        <v>21</v>
      </c>
      <c r="E1347" s="71" t="s">
        <v>133</v>
      </c>
      <c r="F1347" s="77" t="s">
        <v>135</v>
      </c>
      <c r="G1347" s="71" t="s">
        <v>216</v>
      </c>
      <c r="H1347" s="169"/>
      <c r="I1347" s="169"/>
      <c r="J1347" s="71" t="s">
        <v>1037</v>
      </c>
      <c r="K1347" s="180"/>
      <c r="L1347" s="323">
        <v>2500</v>
      </c>
      <c r="M1347" s="163">
        <f>M1346+K1347-L1347</f>
        <v>-9182.6142799998415</v>
      </c>
    </row>
    <row r="1348" spans="1:14">
      <c r="A1348" s="54" t="str">
        <f>D1348&amp;E1348&amp;F1348</f>
        <v>SERVICIOSVIATICOSCEDIS</v>
      </c>
      <c r="B1348" t="s">
        <v>814</v>
      </c>
      <c r="C1348" s="1">
        <v>45779</v>
      </c>
      <c r="D1348" s="71" t="s">
        <v>21</v>
      </c>
      <c r="E1348" s="71" t="s">
        <v>191</v>
      </c>
      <c r="F1348" s="77" t="s">
        <v>28</v>
      </c>
      <c r="G1348" s="71" t="s">
        <v>216</v>
      </c>
      <c r="H1348" s="169"/>
      <c r="I1348" s="169"/>
      <c r="J1348" s="71" t="s">
        <v>1038</v>
      </c>
      <c r="K1348" s="180"/>
      <c r="L1348" s="323">
        <v>2050</v>
      </c>
      <c r="M1348" s="163">
        <f>M1347+K1348-L1348</f>
        <v>-11232.614279999842</v>
      </c>
    </row>
    <row r="1349" spans="1:14">
      <c r="A1349" s="54" t="str">
        <f>D1349&amp;E1349&amp;F1349</f>
        <v>SERVICIOSVIATICOSMANTENIMIENTO</v>
      </c>
      <c r="B1349" t="s">
        <v>814</v>
      </c>
      <c r="C1349" s="1">
        <v>45779</v>
      </c>
      <c r="D1349" s="71" t="s">
        <v>21</v>
      </c>
      <c r="E1349" s="71" t="s">
        <v>191</v>
      </c>
      <c r="F1349" s="77" t="s">
        <v>35</v>
      </c>
      <c r="G1349" s="71" t="s">
        <v>216</v>
      </c>
      <c r="H1349" s="169"/>
      <c r="I1349" s="169"/>
      <c r="J1349" s="71" t="s">
        <v>1039</v>
      </c>
      <c r="K1349" s="180"/>
      <c r="L1349" s="323">
        <v>900</v>
      </c>
      <c r="M1349" s="163">
        <f>M1348+K1349-L1349</f>
        <v>-12132.614279999842</v>
      </c>
    </row>
    <row r="1350" spans="1:14">
      <c r="A1350" s="54" t="str">
        <f>D1350&amp;E1350&amp;F1350</f>
        <v>SERVICIOSVIATICOSCOMPRAS</v>
      </c>
      <c r="B1350" t="s">
        <v>814</v>
      </c>
      <c r="C1350" s="1">
        <v>45779</v>
      </c>
      <c r="D1350" s="71" t="s">
        <v>21</v>
      </c>
      <c r="E1350" s="71" t="s">
        <v>191</v>
      </c>
      <c r="F1350" s="77" t="s">
        <v>148</v>
      </c>
      <c r="G1350" s="71" t="s">
        <v>216</v>
      </c>
      <c r="H1350" s="169"/>
      <c r="I1350" s="169"/>
      <c r="J1350" s="181" t="s">
        <v>1040</v>
      </c>
      <c r="K1350" s="180"/>
      <c r="L1350" s="323">
        <v>400</v>
      </c>
      <c r="M1350" s="163">
        <f>M1349+K1350-L1350</f>
        <v>-12532.614279999842</v>
      </c>
    </row>
    <row r="1351" spans="1:14">
      <c r="A1351" s="54" t="str">
        <f>D1351&amp;E1351&amp;F1351</f>
        <v>HRUBERHR</v>
      </c>
      <c r="B1351" t="s">
        <v>814</v>
      </c>
      <c r="C1351" s="1">
        <v>45779</v>
      </c>
      <c r="D1351" s="71" t="s">
        <v>29</v>
      </c>
      <c r="E1351" s="71" t="s">
        <v>189</v>
      </c>
      <c r="F1351" s="77" t="s">
        <v>29</v>
      </c>
      <c r="G1351" s="71" t="s">
        <v>216</v>
      </c>
      <c r="H1351" s="169"/>
      <c r="I1351" s="169"/>
      <c r="J1351" s="76" t="s">
        <v>291</v>
      </c>
      <c r="K1351" s="180"/>
      <c r="L1351" s="525">
        <v>232</v>
      </c>
      <c r="M1351" s="163">
        <f>M1350+K1351-L1351</f>
        <v>-12764.614279999842</v>
      </c>
    </row>
    <row r="1352" spans="1:14">
      <c r="A1352" s="54" t="str">
        <f>D1352&amp;E1352&amp;F1352</f>
        <v>SERVICIOSMTTO DE EDIFICIOMANTENIMIENTO</v>
      </c>
      <c r="B1352" t="s">
        <v>814</v>
      </c>
      <c r="C1352" s="1">
        <v>45779</v>
      </c>
      <c r="D1352" s="71" t="s">
        <v>21</v>
      </c>
      <c r="E1352" s="71" t="s">
        <v>142</v>
      </c>
      <c r="F1352" s="77" t="s">
        <v>35</v>
      </c>
      <c r="G1352" s="71" t="s">
        <v>216</v>
      </c>
      <c r="H1352" s="169"/>
      <c r="I1352" s="169"/>
      <c r="J1352" s="76" t="s">
        <v>1041</v>
      </c>
      <c r="K1352" s="180"/>
      <c r="L1352" s="327">
        <v>628</v>
      </c>
      <c r="M1352" s="163">
        <f>M1351+K1352-L1352</f>
        <v>-13392.614279999842</v>
      </c>
    </row>
    <row r="1353" spans="1:14">
      <c r="A1353" s="54" t="str">
        <f>D1353&amp;E1353&amp;F1353</f>
        <v>HRUBERHR</v>
      </c>
      <c r="B1353" t="s">
        <v>814</v>
      </c>
      <c r="C1353" s="1">
        <v>45779</v>
      </c>
      <c r="D1353" s="71" t="s">
        <v>29</v>
      </c>
      <c r="E1353" s="71" t="s">
        <v>189</v>
      </c>
      <c r="F1353" s="77" t="s">
        <v>29</v>
      </c>
      <c r="G1353" s="71" t="s">
        <v>216</v>
      </c>
      <c r="H1353" s="169"/>
      <c r="I1353" s="169"/>
      <c r="J1353" s="76" t="s">
        <v>1042</v>
      </c>
      <c r="K1353" s="180"/>
      <c r="L1353" s="525">
        <v>267</v>
      </c>
      <c r="M1353" s="163">
        <f>M1352+K1353-L1353</f>
        <v>-13659.614279999842</v>
      </c>
    </row>
    <row r="1354" spans="1:14">
      <c r="A1354" s="54" t="str">
        <f>D1354&amp;E1354&amp;F1354</f>
        <v>HRJMASA11</v>
      </c>
      <c r="B1354" t="s">
        <v>814</v>
      </c>
      <c r="C1354" s="1">
        <v>45779</v>
      </c>
      <c r="D1354" s="71" t="s">
        <v>29</v>
      </c>
      <c r="E1354" s="71" t="s">
        <v>137</v>
      </c>
      <c r="F1354" s="77" t="s">
        <v>97</v>
      </c>
      <c r="G1354" s="71" t="s">
        <v>216</v>
      </c>
      <c r="H1354" s="169"/>
      <c r="I1354" s="169"/>
      <c r="J1354" s="76" t="s">
        <v>429</v>
      </c>
      <c r="K1354" s="180"/>
      <c r="L1354" s="327">
        <v>555</v>
      </c>
      <c r="M1354" s="163">
        <f>M1353+K1354-L1354</f>
        <v>-14214.614279999842</v>
      </c>
    </row>
    <row r="1355" spans="1:14">
      <c r="A1355" s="54" t="str">
        <f>D1355&amp;E1355&amp;F1355</f>
        <v>SERVICIOSMTTO DE EDIFICIOMANTENIMIENTO</v>
      </c>
      <c r="B1355" t="s">
        <v>814</v>
      </c>
      <c r="C1355" s="1">
        <v>45779</v>
      </c>
      <c r="D1355" s="71" t="s">
        <v>21</v>
      </c>
      <c r="E1355" s="71" t="s">
        <v>142</v>
      </c>
      <c r="F1355" s="77" t="s">
        <v>35</v>
      </c>
      <c r="G1355" s="71" t="s">
        <v>216</v>
      </c>
      <c r="H1355" s="169"/>
      <c r="I1355" s="169"/>
      <c r="J1355" s="76" t="s">
        <v>1043</v>
      </c>
      <c r="L1355" s="331">
        <v>400</v>
      </c>
      <c r="M1355" s="163">
        <f>M1354+K1355-L1355</f>
        <v>-14614.614279999842</v>
      </c>
      <c r="N1355" s="182"/>
    </row>
    <row r="1356" spans="1:14">
      <c r="A1356" s="54" t="str">
        <f>D1356&amp;E1356&amp;F1356</f>
        <v>HRJMASA15</v>
      </c>
      <c r="B1356" t="s">
        <v>814</v>
      </c>
      <c r="C1356" s="1">
        <v>45779</v>
      </c>
      <c r="D1356" s="71" t="s">
        <v>29</v>
      </c>
      <c r="E1356" s="71" t="s">
        <v>137</v>
      </c>
      <c r="F1356" s="77" t="s">
        <v>100</v>
      </c>
      <c r="G1356" s="71" t="s">
        <v>216</v>
      </c>
      <c r="H1356" s="169"/>
      <c r="I1356" s="169"/>
      <c r="J1356" s="76" t="s">
        <v>1044</v>
      </c>
      <c r="L1356" s="331">
        <v>2000</v>
      </c>
      <c r="M1356" s="163">
        <f>M1355+K1356-L1356</f>
        <v>-16614.614279999842</v>
      </c>
      <c r="N1356" s="180"/>
    </row>
    <row r="1357" spans="1:14">
      <c r="A1357" s="54" t="str">
        <f>D1357&amp;E1357&amp;F1357</f>
        <v>HRUBERHR</v>
      </c>
      <c r="B1357" t="s">
        <v>814</v>
      </c>
      <c r="C1357" s="1">
        <v>45779</v>
      </c>
      <c r="D1357" s="71" t="s">
        <v>29</v>
      </c>
      <c r="E1357" s="71" t="s">
        <v>189</v>
      </c>
      <c r="F1357" s="77" t="s">
        <v>29</v>
      </c>
      <c r="G1357" s="71" t="s">
        <v>216</v>
      </c>
      <c r="H1357" s="169"/>
      <c r="I1357" s="169"/>
      <c r="J1357" s="76" t="s">
        <v>1045</v>
      </c>
      <c r="L1357" s="526">
        <v>142</v>
      </c>
      <c r="M1357" s="163">
        <f>M1356+K1357-L1357</f>
        <v>-16756.614279999842</v>
      </c>
      <c r="N1357" s="180"/>
    </row>
    <row r="1358" spans="1:14">
      <c r="A1358" s="54" t="str">
        <f>D1358&amp;E1358&amp;F1358</f>
        <v>HRJMASA23</v>
      </c>
      <c r="B1358" t="s">
        <v>814</v>
      </c>
      <c r="C1358" s="1">
        <v>45779</v>
      </c>
      <c r="D1358" s="71" t="s">
        <v>29</v>
      </c>
      <c r="E1358" s="71" t="s">
        <v>137</v>
      </c>
      <c r="F1358" s="77" t="s">
        <v>105</v>
      </c>
      <c r="G1358" s="71" t="s">
        <v>216</v>
      </c>
      <c r="H1358" s="169"/>
      <c r="I1358" s="169"/>
      <c r="J1358" s="76" t="s">
        <v>1046</v>
      </c>
      <c r="L1358" s="331">
        <v>982</v>
      </c>
      <c r="M1358" s="163">
        <f>M1357+K1358-L1358</f>
        <v>-17738.614279999842</v>
      </c>
    </row>
    <row r="1359" spans="1:14">
      <c r="A1359" s="54" t="str">
        <f>D1359&amp;E1359&amp;F1359</f>
        <v>CAPUBERCAP</v>
      </c>
      <c r="B1359" t="s">
        <v>814</v>
      </c>
      <c r="C1359" s="1">
        <v>45779</v>
      </c>
      <c r="D1359" s="71" t="s">
        <v>31</v>
      </c>
      <c r="E1359" s="71" t="s">
        <v>189</v>
      </c>
      <c r="F1359" s="77" t="s">
        <v>31</v>
      </c>
      <c r="G1359" s="71" t="s">
        <v>216</v>
      </c>
      <c r="H1359" s="169"/>
      <c r="I1359" s="169"/>
      <c r="J1359" s="76" t="s">
        <v>253</v>
      </c>
      <c r="L1359" s="526">
        <v>1067</v>
      </c>
      <c r="M1359" s="163">
        <f>M1358+K1359-L1359</f>
        <v>-18805.614279999842</v>
      </c>
    </row>
    <row r="1360" spans="1:14">
      <c r="A1360" s="54" t="str">
        <f>D1360&amp;E1360&amp;F1360</f>
        <v>CAPUBERCAP</v>
      </c>
      <c r="B1360" t="s">
        <v>814</v>
      </c>
      <c r="C1360" s="1">
        <v>45779</v>
      </c>
      <c r="D1360" s="71" t="s">
        <v>31</v>
      </c>
      <c r="E1360" s="71" t="s">
        <v>189</v>
      </c>
      <c r="F1360" s="77" t="s">
        <v>31</v>
      </c>
      <c r="G1360" s="71" t="s">
        <v>216</v>
      </c>
      <c r="H1360" s="169"/>
      <c r="I1360" s="169"/>
      <c r="J1360" s="76" t="s">
        <v>257</v>
      </c>
      <c r="L1360" s="526">
        <v>225</v>
      </c>
      <c r="M1360" s="163">
        <f>M1359+K1360-L1360</f>
        <v>-19030.614279999842</v>
      </c>
    </row>
    <row r="1361" spans="1:16">
      <c r="A1361" s="54" t="str">
        <f>D1361&amp;E1361&amp;F1361</f>
        <v>FINANZASFALTANTESFALTANTES</v>
      </c>
      <c r="B1361" t="s">
        <v>814</v>
      </c>
      <c r="C1361" s="1">
        <v>45779</v>
      </c>
      <c r="D1361" s="71" t="s">
        <v>23</v>
      </c>
      <c r="E1361" s="71" t="s">
        <v>119</v>
      </c>
      <c r="F1361" s="71" t="s">
        <v>119</v>
      </c>
      <c r="G1361" s="71" t="s">
        <v>258</v>
      </c>
      <c r="H1361" s="169"/>
      <c r="I1361" s="169"/>
      <c r="J1361" s="71" t="s">
        <v>1047</v>
      </c>
      <c r="L1361" s="326">
        <v>16936.79</v>
      </c>
      <c r="M1361" s="163">
        <f>M1360+K1361-L1361</f>
        <v>-35967.404279999842</v>
      </c>
    </row>
    <row r="1362" spans="1:16">
      <c r="A1362" s="54" t="str">
        <f t="shared" ref="A1353:A1416" si="23">D1362&amp;E1362&amp;F1362</f>
        <v>NA</v>
      </c>
      <c r="B1362" t="s">
        <v>814</v>
      </c>
      <c r="C1362" s="1">
        <v>45782</v>
      </c>
      <c r="D1362" s="71" t="s">
        <v>815</v>
      </c>
      <c r="F1362" s="77"/>
      <c r="H1362" s="169"/>
      <c r="I1362" s="169"/>
      <c r="J1362" s="71" t="s">
        <v>1048</v>
      </c>
      <c r="K1362" s="322">
        <v>782064.67</v>
      </c>
      <c r="L1362" s="354"/>
      <c r="M1362" s="163">
        <f>M1361+K1362-L1362</f>
        <v>746097.26572000026</v>
      </c>
    </row>
    <row r="1363" spans="1:16">
      <c r="A1363" s="54" t="str">
        <f t="shared" si="23"/>
        <v/>
      </c>
      <c r="B1363" t="s">
        <v>1049</v>
      </c>
      <c r="C1363" s="1">
        <v>45782</v>
      </c>
      <c r="D1363" s="71"/>
      <c r="F1363" s="77"/>
      <c r="H1363" s="169"/>
      <c r="I1363" s="169"/>
      <c r="J1363" s="71" t="s">
        <v>1050</v>
      </c>
      <c r="K1363" s="325">
        <f>257162.87-22735-36731-35722-16272-8204.5</f>
        <v>137498.37</v>
      </c>
      <c r="L1363" s="180"/>
      <c r="M1363" s="163">
        <f>M1362+K1363-L1363</f>
        <v>883595.63572000025</v>
      </c>
      <c r="P1363" s="5">
        <f>M1363-K1363</f>
        <v>746097.26572000026</v>
      </c>
    </row>
    <row r="1364" spans="1:16">
      <c r="A1364" s="54" t="str">
        <f t="shared" si="23"/>
        <v/>
      </c>
      <c r="B1364" t="s">
        <v>1049</v>
      </c>
      <c r="C1364" s="1">
        <v>45782</v>
      </c>
      <c r="D1364" s="71"/>
      <c r="F1364" s="77"/>
      <c r="H1364" s="169"/>
      <c r="I1364" s="169"/>
      <c r="J1364" s="303" t="s">
        <v>1051</v>
      </c>
      <c r="K1364" s="359">
        <f>17318+5650</f>
        <v>22968</v>
      </c>
      <c r="L1364" s="180"/>
      <c r="M1364" s="163">
        <f>M1363+K1364-L1364</f>
        <v>906563.63572000025</v>
      </c>
    </row>
    <row r="1365" spans="1:16">
      <c r="A1365" s="54" t="str">
        <f t="shared" si="23"/>
        <v/>
      </c>
      <c r="B1365" t="s">
        <v>1049</v>
      </c>
      <c r="C1365" s="1">
        <v>45782</v>
      </c>
      <c r="D1365" s="71"/>
      <c r="F1365" s="77"/>
      <c r="H1365" s="169"/>
      <c r="I1365" s="169"/>
      <c r="J1365" s="71" t="s">
        <v>1052</v>
      </c>
      <c r="K1365" s="325">
        <v>1100</v>
      </c>
      <c r="L1365" s="180"/>
      <c r="M1365" s="163">
        <f>M1364+K1365-L1365</f>
        <v>907663.63572000025</v>
      </c>
    </row>
    <row r="1366" spans="1:16">
      <c r="A1366" s="54" t="str">
        <f>D1366&amp;E1366&amp;F1366</f>
        <v>FINANZASCOMISIONES BANCARIASTPV</v>
      </c>
      <c r="B1366" t="s">
        <v>1049</v>
      </c>
      <c r="C1366" s="1">
        <v>45782</v>
      </c>
      <c r="D1366" s="71" t="s">
        <v>23</v>
      </c>
      <c r="E1366" s="71" t="s">
        <v>48</v>
      </c>
      <c r="F1366" s="77" t="s">
        <v>50</v>
      </c>
      <c r="G1366" s="71" t="s">
        <v>216</v>
      </c>
      <c r="H1366" s="169"/>
      <c r="I1366" s="169"/>
      <c r="J1366" s="71" t="s">
        <v>217</v>
      </c>
      <c r="K1366" s="360"/>
      <c r="L1366" s="323">
        <f>1019.67+2787.22+710.16+7535.65+8610.46+622.59</f>
        <v>21285.75</v>
      </c>
      <c r="M1366" s="163">
        <f>M1365+K1366-L1366</f>
        <v>886377.88572000025</v>
      </c>
    </row>
    <row r="1367" spans="1:16">
      <c r="A1367" s="54" t="str">
        <f>D1367&amp;E1367&amp;F1367</f>
        <v>FINANZASCOMISIONES BANCARIASMANEJO DE CUENTA</v>
      </c>
      <c r="B1367" t="s">
        <v>1049</v>
      </c>
      <c r="C1367" s="1">
        <v>45782</v>
      </c>
      <c r="D1367" s="71" t="s">
        <v>23</v>
      </c>
      <c r="E1367" s="71" t="s">
        <v>48</v>
      </c>
      <c r="F1367" s="77" t="s">
        <v>49</v>
      </c>
      <c r="G1367" s="71" t="s">
        <v>258</v>
      </c>
      <c r="H1367" s="169"/>
      <c r="I1367" s="169"/>
      <c r="J1367" s="71" t="s">
        <v>764</v>
      </c>
      <c r="K1367" s="322"/>
      <c r="L1367" s="323">
        <v>452.4</v>
      </c>
      <c r="M1367" s="163">
        <f>M1366+K1367-L1367</f>
        <v>885925.48572000023</v>
      </c>
    </row>
    <row r="1368" spans="1:16">
      <c r="A1368" s="54" t="str">
        <f t="shared" si="23"/>
        <v/>
      </c>
      <c r="B1368" t="s">
        <v>1049</v>
      </c>
      <c r="C1368" s="1">
        <v>45782</v>
      </c>
      <c r="D1368" s="71"/>
      <c r="F1368" s="77"/>
      <c r="H1368" s="169" t="s">
        <v>219</v>
      </c>
      <c r="I1368" s="169"/>
      <c r="J1368" s="205" t="s">
        <v>577</v>
      </c>
      <c r="K1368" s="206"/>
      <c r="L1368" s="206">
        <v>300000</v>
      </c>
      <c r="M1368" s="163">
        <f>M1367+K1368-L1368</f>
        <v>585925.48572000023</v>
      </c>
    </row>
    <row r="1369" spans="1:16">
      <c r="A1369" s="54" t="str">
        <f t="shared" si="23"/>
        <v/>
      </c>
      <c r="B1369" t="s">
        <v>1049</v>
      </c>
      <c r="C1369" s="1">
        <v>45782</v>
      </c>
      <c r="D1369" s="71"/>
      <c r="F1369" s="77"/>
      <c r="H1369" s="169" t="s">
        <v>317</v>
      </c>
      <c r="I1369" s="169"/>
      <c r="J1369" s="205" t="s">
        <v>318</v>
      </c>
      <c r="K1369" s="206"/>
      <c r="L1369" s="206">
        <v>550000</v>
      </c>
      <c r="M1369" s="163">
        <f>M1368+K1369-L1369</f>
        <v>35925.48572000023</v>
      </c>
    </row>
    <row r="1370" spans="1:16">
      <c r="A1370" s="54" t="str">
        <f>D1370&amp;E1370&amp;F1370</f>
        <v>FINANZASINSUMOSFINANZAS</v>
      </c>
      <c r="B1370" t="s">
        <v>1049</v>
      </c>
      <c r="C1370" s="1">
        <v>45782</v>
      </c>
      <c r="D1370" s="71" t="s">
        <v>23</v>
      </c>
      <c r="E1370" s="71" t="s">
        <v>133</v>
      </c>
      <c r="F1370" s="77" t="s">
        <v>23</v>
      </c>
      <c r="G1370" s="71" t="s">
        <v>216</v>
      </c>
      <c r="H1370" s="169"/>
      <c r="I1370" s="169"/>
      <c r="J1370" s="181" t="s">
        <v>1053</v>
      </c>
      <c r="K1370" s="357"/>
      <c r="L1370" s="323">
        <v>496</v>
      </c>
      <c r="M1370" s="163">
        <f>M1369+K1370-L1370</f>
        <v>35429.48572000023</v>
      </c>
    </row>
    <row r="1371" spans="1:16">
      <c r="A1371" s="54" t="str">
        <f>D1371&amp;E1371&amp;F1371</f>
        <v>SERVICIOSVIATICOSMANTENIMIENTO</v>
      </c>
      <c r="B1371" t="s">
        <v>1049</v>
      </c>
      <c r="C1371" s="1">
        <v>45782</v>
      </c>
      <c r="D1371" s="71" t="s">
        <v>21</v>
      </c>
      <c r="E1371" s="71" t="s">
        <v>191</v>
      </c>
      <c r="F1371" s="77" t="s">
        <v>35</v>
      </c>
      <c r="G1371" s="71" t="s">
        <v>258</v>
      </c>
      <c r="H1371" s="169"/>
      <c r="I1371" s="169"/>
      <c r="J1371" s="71" t="s">
        <v>1054</v>
      </c>
      <c r="K1371" s="322"/>
      <c r="L1371" s="323">
        <v>500</v>
      </c>
      <c r="M1371" s="163">
        <f>M1370+K1371-L1371</f>
        <v>34929.48572000023</v>
      </c>
    </row>
    <row r="1372" spans="1:16">
      <c r="A1372" s="54" t="str">
        <f>D1372&amp;E1372&amp;F1372</f>
        <v>FINANZASFONDO Y REPOSICIONFINANZAS</v>
      </c>
      <c r="B1372" t="s">
        <v>1049</v>
      </c>
      <c r="C1372" s="1">
        <v>45782</v>
      </c>
      <c r="D1372" s="71" t="s">
        <v>23</v>
      </c>
      <c r="E1372" s="71" t="s">
        <v>120</v>
      </c>
      <c r="F1372" s="77" t="s">
        <v>23</v>
      </c>
      <c r="G1372" s="71" t="s">
        <v>216</v>
      </c>
      <c r="H1372" s="169"/>
      <c r="I1372" s="169"/>
      <c r="J1372" s="71" t="s">
        <v>231</v>
      </c>
      <c r="K1372" s="332"/>
      <c r="L1372" s="323">
        <v>50</v>
      </c>
      <c r="M1372" s="163">
        <f>M1371+K1372-L1372</f>
        <v>34879.48572000023</v>
      </c>
    </row>
    <row r="1373" spans="1:16">
      <c r="A1373" s="54" t="str">
        <f>D1373&amp;E1373&amp;F1373</f>
        <v>FINANZASFONDO Y REPOSICIONFINANZAS</v>
      </c>
      <c r="B1373" t="s">
        <v>1049</v>
      </c>
      <c r="C1373" s="1">
        <v>45782</v>
      </c>
      <c r="D1373" s="71" t="s">
        <v>23</v>
      </c>
      <c r="E1373" s="71" t="s">
        <v>120</v>
      </c>
      <c r="F1373" s="77" t="s">
        <v>23</v>
      </c>
      <c r="G1373" s="71" t="s">
        <v>216</v>
      </c>
      <c r="H1373" s="169"/>
      <c r="I1373" s="169"/>
      <c r="J1373" s="71" t="s">
        <v>1055</v>
      </c>
      <c r="K1373" s="361"/>
      <c r="L1373" s="323">
        <v>300</v>
      </c>
      <c r="M1373" s="163">
        <f>M1372+K1373-L1373</f>
        <v>34579.48572000023</v>
      </c>
    </row>
    <row r="1374" spans="1:16">
      <c r="A1374" s="54" t="str">
        <f>D1374&amp;E1374&amp;F1374</f>
        <v>FINANZASINSUMOSFINANZAS</v>
      </c>
      <c r="B1374" t="s">
        <v>1049</v>
      </c>
      <c r="C1374" s="1">
        <v>45782</v>
      </c>
      <c r="D1374" s="71" t="s">
        <v>23</v>
      </c>
      <c r="E1374" s="71" t="s">
        <v>133</v>
      </c>
      <c r="F1374" s="77" t="s">
        <v>23</v>
      </c>
      <c r="G1374" s="71" t="s">
        <v>216</v>
      </c>
      <c r="H1374" s="169"/>
      <c r="I1374" s="169"/>
      <c r="J1374" s="71" t="s">
        <v>1056</v>
      </c>
      <c r="K1374" s="322"/>
      <c r="L1374" s="323">
        <v>219</v>
      </c>
      <c r="M1374" s="163">
        <f>M1373+K1374-L1374</f>
        <v>34360.48572000023</v>
      </c>
    </row>
    <row r="1375" spans="1:16">
      <c r="A1375" s="54" t="str">
        <f>D1375&amp;E1375&amp;F1375</f>
        <v>HRINSUMOSHR</v>
      </c>
      <c r="B1375" t="s">
        <v>1049</v>
      </c>
      <c r="C1375" s="1">
        <v>45782</v>
      </c>
      <c r="D1375" s="71" t="s">
        <v>29</v>
      </c>
      <c r="E1375" s="71" t="s">
        <v>133</v>
      </c>
      <c r="F1375" s="77" t="s">
        <v>29</v>
      </c>
      <c r="G1375" s="71" t="s">
        <v>216</v>
      </c>
      <c r="H1375" s="169"/>
      <c r="I1375" s="169"/>
      <c r="J1375" s="71" t="s">
        <v>1057</v>
      </c>
      <c r="K1375" s="322"/>
      <c r="L1375" s="323">
        <v>25</v>
      </c>
      <c r="M1375" s="163">
        <f>M1374+K1375-L1375</f>
        <v>34335.48572000023</v>
      </c>
    </row>
    <row r="1376" spans="1:16">
      <c r="A1376" s="54" t="str">
        <f>D1376&amp;E1376&amp;F1376</f>
        <v>SERVICIOSMTTO DE EDIFICIOMANTENIMIENTO</v>
      </c>
      <c r="B1376" t="s">
        <v>1049</v>
      </c>
      <c r="C1376" s="1">
        <v>45782</v>
      </c>
      <c r="D1376" s="71" t="s">
        <v>21</v>
      </c>
      <c r="E1376" s="71" t="s">
        <v>142</v>
      </c>
      <c r="F1376" s="77" t="s">
        <v>35</v>
      </c>
      <c r="G1376" s="71" t="s">
        <v>216</v>
      </c>
      <c r="H1376" s="169"/>
      <c r="I1376" s="169"/>
      <c r="J1376" s="71" t="s">
        <v>1058</v>
      </c>
      <c r="K1376" s="322"/>
      <c r="L1376" s="323">
        <v>2520</v>
      </c>
      <c r="M1376" s="163">
        <f>M1375+K1376-L1376</f>
        <v>31815.48572000023</v>
      </c>
    </row>
    <row r="1377" spans="1:13">
      <c r="A1377" s="54" t="str">
        <f>D1377&amp;E1377&amp;F1377</f>
        <v>FINANZASCUOTAS Y SUSCRIPCIONESPROTECCION CIVIL</v>
      </c>
      <c r="B1377" t="s">
        <v>1049</v>
      </c>
      <c r="C1377" s="1">
        <v>45782</v>
      </c>
      <c r="D1377" s="71" t="s">
        <v>23</v>
      </c>
      <c r="E1377" s="178" t="s">
        <v>51</v>
      </c>
      <c r="F1377" s="77" t="s">
        <v>76</v>
      </c>
      <c r="G1377" s="71" t="s">
        <v>258</v>
      </c>
      <c r="H1377" s="169"/>
      <c r="I1377" s="169"/>
      <c r="J1377" s="71" t="s">
        <v>1059</v>
      </c>
      <c r="K1377" s="322"/>
      <c r="L1377" s="323">
        <v>13688</v>
      </c>
      <c r="M1377" s="163">
        <f>M1376+K1377-L1377</f>
        <v>18127.48572000023</v>
      </c>
    </row>
    <row r="1378" spans="1:13">
      <c r="A1378" s="54" t="str">
        <f>D1378&amp;E1378&amp;F1378</f>
        <v>SERVICIOSTELEPEAJECEDIS</v>
      </c>
      <c r="B1378" t="s">
        <v>1049</v>
      </c>
      <c r="C1378" s="1">
        <v>45782</v>
      </c>
      <c r="D1378" s="71" t="s">
        <v>21</v>
      </c>
      <c r="E1378" s="71" t="s">
        <v>186</v>
      </c>
      <c r="F1378" s="77" t="s">
        <v>28</v>
      </c>
      <c r="G1378" s="71" t="s">
        <v>216</v>
      </c>
      <c r="H1378" s="169"/>
      <c r="I1378" s="169"/>
      <c r="J1378" s="71" t="s">
        <v>1060</v>
      </c>
      <c r="K1378" s="322"/>
      <c r="L1378" s="323">
        <v>4766</v>
      </c>
      <c r="M1378" s="163">
        <f>M1377+K1378-L1378</f>
        <v>13361.48572000023</v>
      </c>
    </row>
    <row r="1379" spans="1:13">
      <c r="A1379" s="54" t="str">
        <f>D1379&amp;E1379&amp;F1379</f>
        <v>HRTELEPEAJEOP HR</v>
      </c>
      <c r="B1379" t="s">
        <v>1049</v>
      </c>
      <c r="C1379" s="1">
        <v>45782</v>
      </c>
      <c r="D1379" s="71" t="s">
        <v>29</v>
      </c>
      <c r="E1379" s="71" t="s">
        <v>186</v>
      </c>
      <c r="F1379" s="77" t="s">
        <v>187</v>
      </c>
      <c r="G1379" s="71" t="s">
        <v>216</v>
      </c>
      <c r="H1379" s="169"/>
      <c r="I1379" s="169"/>
      <c r="J1379" s="71" t="s">
        <v>1061</v>
      </c>
      <c r="K1379" s="322"/>
      <c r="L1379" s="323">
        <v>294</v>
      </c>
      <c r="M1379" s="163">
        <f>M1378+K1379-L1379</f>
        <v>13067.48572000023</v>
      </c>
    </row>
    <row r="1380" spans="1:13">
      <c r="A1380" s="54" t="str">
        <f>D1380&amp;E1380&amp;F1380</f>
        <v>HRTELEPEAJEOP HR</v>
      </c>
      <c r="B1380" t="s">
        <v>1049</v>
      </c>
      <c r="C1380" s="1">
        <v>45782</v>
      </c>
      <c r="D1380" s="71" t="s">
        <v>29</v>
      </c>
      <c r="E1380" s="71" t="s">
        <v>186</v>
      </c>
      <c r="F1380" s="77" t="s">
        <v>187</v>
      </c>
      <c r="G1380" s="71" t="s">
        <v>216</v>
      </c>
      <c r="H1380" s="169"/>
      <c r="I1380" s="169"/>
      <c r="J1380" s="71" t="s">
        <v>460</v>
      </c>
      <c r="K1380" s="322"/>
      <c r="L1380" s="323">
        <v>952</v>
      </c>
      <c r="M1380" s="163">
        <f>M1379+K1380-L1380</f>
        <v>12115.48572000023</v>
      </c>
    </row>
    <row r="1381" spans="1:13">
      <c r="A1381" s="54" t="str">
        <f>D1381&amp;E1381&amp;F1381</f>
        <v>CAPTELEPEAJEOP CAPRICHOS</v>
      </c>
      <c r="B1381" t="s">
        <v>1049</v>
      </c>
      <c r="C1381" s="1">
        <v>45782</v>
      </c>
      <c r="D1381" s="71" t="s">
        <v>31</v>
      </c>
      <c r="E1381" s="71" t="s">
        <v>186</v>
      </c>
      <c r="F1381" s="77" t="s">
        <v>188</v>
      </c>
      <c r="G1381" s="71" t="s">
        <v>216</v>
      </c>
      <c r="H1381" s="169"/>
      <c r="I1381" s="169"/>
      <c r="J1381" s="71" t="s">
        <v>1062</v>
      </c>
      <c r="K1381" s="322"/>
      <c r="L1381" s="323">
        <v>1316</v>
      </c>
      <c r="M1381" s="163">
        <f>M1380+K1381-L1381</f>
        <v>10799.48572000023</v>
      </c>
    </row>
    <row r="1382" spans="1:13">
      <c r="A1382" s="54" t="str">
        <f>D1382&amp;E1382&amp;F1382</f>
        <v>SERVICIOSTELEPEAJECEDIS</v>
      </c>
      <c r="B1382" t="s">
        <v>1049</v>
      </c>
      <c r="C1382" s="1">
        <v>45782</v>
      </c>
      <c r="D1382" s="71" t="s">
        <v>21</v>
      </c>
      <c r="E1382" s="71" t="s">
        <v>186</v>
      </c>
      <c r="F1382" s="77" t="s">
        <v>28</v>
      </c>
      <c r="G1382" s="71" t="s">
        <v>258</v>
      </c>
      <c r="H1382" s="169"/>
      <c r="I1382" s="169"/>
      <c r="J1382" s="71" t="s">
        <v>1060</v>
      </c>
      <c r="K1382" s="322"/>
      <c r="L1382" s="323">
        <v>809</v>
      </c>
      <c r="M1382" s="163">
        <f>M1381+K1382-L1382</f>
        <v>9990.4857200002298</v>
      </c>
    </row>
    <row r="1383" spans="1:13">
      <c r="A1383" s="54" t="str">
        <f>D1383&amp;E1383&amp;F1383</f>
        <v>HRUBERHR</v>
      </c>
      <c r="B1383" t="s">
        <v>1049</v>
      </c>
      <c r="C1383" s="1">
        <v>45782</v>
      </c>
      <c r="D1383" s="71" t="s">
        <v>29</v>
      </c>
      <c r="E1383" s="71" t="s">
        <v>189</v>
      </c>
      <c r="F1383" s="77" t="s">
        <v>29</v>
      </c>
      <c r="G1383" s="71" t="s">
        <v>216</v>
      </c>
      <c r="H1383" s="169"/>
      <c r="I1383" s="169"/>
      <c r="J1383" s="76" t="s">
        <v>1063</v>
      </c>
      <c r="K1383" s="322"/>
      <c r="L1383" s="525">
        <v>1278</v>
      </c>
      <c r="M1383" s="163">
        <f>M1382+K1383-L1383</f>
        <v>8712.4857200002298</v>
      </c>
    </row>
    <row r="1384" spans="1:13">
      <c r="A1384" s="54" t="str">
        <f>D1384&amp;E1384&amp;F1384</f>
        <v>HRUBERHR</v>
      </c>
      <c r="B1384" t="s">
        <v>1049</v>
      </c>
      <c r="C1384" s="1">
        <v>45782</v>
      </c>
      <c r="D1384" s="71" t="s">
        <v>29</v>
      </c>
      <c r="E1384" s="71" t="s">
        <v>189</v>
      </c>
      <c r="F1384" s="77" t="s">
        <v>29</v>
      </c>
      <c r="G1384" s="71" t="s">
        <v>216</v>
      </c>
      <c r="H1384" s="169"/>
      <c r="I1384" s="169"/>
      <c r="J1384" s="76" t="s">
        <v>1063</v>
      </c>
      <c r="K1384" s="322"/>
      <c r="L1384" s="525">
        <v>25</v>
      </c>
      <c r="M1384" s="163">
        <f>M1383+K1384-L1384</f>
        <v>8687.4857200002298</v>
      </c>
    </row>
    <row r="1385" spans="1:13">
      <c r="A1385" s="54" t="str">
        <f>D1385&amp;E1385&amp;F1385</f>
        <v>HRUBERHR</v>
      </c>
      <c r="B1385" t="s">
        <v>1049</v>
      </c>
      <c r="C1385" s="1">
        <v>45782</v>
      </c>
      <c r="D1385" s="71" t="s">
        <v>29</v>
      </c>
      <c r="E1385" s="71" t="s">
        <v>189</v>
      </c>
      <c r="F1385" s="77" t="s">
        <v>29</v>
      </c>
      <c r="G1385" s="71" t="s">
        <v>216</v>
      </c>
      <c r="H1385" s="169"/>
      <c r="I1385" s="169"/>
      <c r="J1385" s="76" t="s">
        <v>291</v>
      </c>
      <c r="K1385" s="322"/>
      <c r="L1385" s="525">
        <v>340</v>
      </c>
      <c r="M1385" s="163">
        <f>M1384+K1385-L1385</f>
        <v>8347.4857200002298</v>
      </c>
    </row>
    <row r="1386" spans="1:13">
      <c r="A1386" s="54" t="str">
        <f>D1386&amp;E1386&amp;F1386</f>
        <v>HRUBERHR</v>
      </c>
      <c r="B1386" t="s">
        <v>1049</v>
      </c>
      <c r="C1386" s="1">
        <v>45782</v>
      </c>
      <c r="D1386" s="71" t="s">
        <v>29</v>
      </c>
      <c r="E1386" s="71" t="s">
        <v>189</v>
      </c>
      <c r="F1386" s="77" t="s">
        <v>29</v>
      </c>
      <c r="G1386" s="71" t="s">
        <v>216</v>
      </c>
      <c r="H1386" s="169"/>
      <c r="I1386" s="169"/>
      <c r="J1386" s="76" t="s">
        <v>403</v>
      </c>
      <c r="K1386" s="322"/>
      <c r="L1386" s="525">
        <v>50</v>
      </c>
      <c r="M1386" s="163">
        <f>M1385+K1386-L1386</f>
        <v>8297.4857200002298</v>
      </c>
    </row>
    <row r="1387" spans="1:13">
      <c r="A1387" s="54" t="str">
        <f>D1387&amp;E1387&amp;F1387</f>
        <v>HRNOMINA SUCURSALA14</v>
      </c>
      <c r="B1387" t="s">
        <v>1049</v>
      </c>
      <c r="C1387" s="1">
        <v>45783</v>
      </c>
      <c r="D1387" s="71" t="s">
        <v>29</v>
      </c>
      <c r="E1387" s="71" t="s">
        <v>154</v>
      </c>
      <c r="F1387" s="77" t="s">
        <v>99</v>
      </c>
      <c r="G1387" s="71" t="s">
        <v>216</v>
      </c>
      <c r="H1387" s="169"/>
      <c r="I1387" s="169"/>
      <c r="J1387" s="76" t="s">
        <v>1008</v>
      </c>
      <c r="L1387" s="331">
        <v>1770</v>
      </c>
      <c r="M1387" s="163">
        <f>M1386+K1387-L1387</f>
        <v>6527.4857200002298</v>
      </c>
    </row>
    <row r="1388" spans="1:13">
      <c r="A1388" s="54" t="str">
        <f>D1388&amp;E1388&amp;F1388</f>
        <v>HRUBERHR</v>
      </c>
      <c r="B1388" t="s">
        <v>1049</v>
      </c>
      <c r="C1388" s="1">
        <v>45783</v>
      </c>
      <c r="D1388" s="71" t="s">
        <v>29</v>
      </c>
      <c r="E1388" s="71" t="s">
        <v>189</v>
      </c>
      <c r="F1388" s="77" t="s">
        <v>29</v>
      </c>
      <c r="G1388" s="71" t="s">
        <v>216</v>
      </c>
      <c r="H1388" s="169"/>
      <c r="I1388" s="169"/>
      <c r="J1388" s="76" t="s">
        <v>854</v>
      </c>
      <c r="L1388" s="526">
        <v>290</v>
      </c>
      <c r="M1388" s="163">
        <f>M1387+K1388-L1388</f>
        <v>6237.4857200002298</v>
      </c>
    </row>
    <row r="1389" spans="1:13">
      <c r="A1389" s="54" t="str">
        <f>D1389&amp;E1389&amp;F1389</f>
        <v>CAPUBERCAP</v>
      </c>
      <c r="B1389" t="s">
        <v>1049</v>
      </c>
      <c r="C1389" s="1">
        <v>45783</v>
      </c>
      <c r="D1389" s="71" t="s">
        <v>31</v>
      </c>
      <c r="E1389" s="71" t="s">
        <v>189</v>
      </c>
      <c r="F1389" s="77" t="s">
        <v>31</v>
      </c>
      <c r="G1389" s="71" t="s">
        <v>216</v>
      </c>
      <c r="H1389" s="169"/>
      <c r="I1389" s="169"/>
      <c r="J1389" s="76" t="s">
        <v>1064</v>
      </c>
      <c r="L1389" s="526">
        <v>970</v>
      </c>
      <c r="M1389" s="163">
        <f>M1388+K1389-L1389</f>
        <v>5267.4857200002298</v>
      </c>
    </row>
    <row r="1390" spans="1:13">
      <c r="A1390" s="54" t="str">
        <f>D1390&amp;E1390&amp;F1390</f>
        <v>CAPINSUMOSCAPRICHOS</v>
      </c>
      <c r="B1390" t="s">
        <v>1049</v>
      </c>
      <c r="C1390" s="1">
        <v>45783</v>
      </c>
      <c r="D1390" s="71" t="s">
        <v>31</v>
      </c>
      <c r="E1390" s="71" t="s">
        <v>133</v>
      </c>
      <c r="F1390" s="77" t="s">
        <v>33</v>
      </c>
      <c r="G1390" s="71" t="s">
        <v>216</v>
      </c>
      <c r="H1390" s="169"/>
      <c r="I1390" s="169"/>
      <c r="J1390" s="76" t="s">
        <v>457</v>
      </c>
      <c r="L1390" s="331">
        <v>50</v>
      </c>
      <c r="M1390" s="163">
        <f>M1389+K1390-L1390</f>
        <v>5217.4857200002298</v>
      </c>
    </row>
    <row r="1391" spans="1:13">
      <c r="A1391" s="54" t="str">
        <f>D1391&amp;E1391&amp;F1391</f>
        <v>CAPUBERCAP</v>
      </c>
      <c r="B1391" t="s">
        <v>1049</v>
      </c>
      <c r="C1391" s="1">
        <v>45783</v>
      </c>
      <c r="D1391" s="71" t="s">
        <v>31</v>
      </c>
      <c r="E1391" s="71" t="s">
        <v>189</v>
      </c>
      <c r="F1391" s="77" t="s">
        <v>31</v>
      </c>
      <c r="G1391" s="71" t="s">
        <v>216</v>
      </c>
      <c r="H1391" s="169"/>
      <c r="I1391" s="169"/>
      <c r="J1391" s="76" t="s">
        <v>257</v>
      </c>
      <c r="L1391" s="526">
        <v>201</v>
      </c>
      <c r="M1391" s="163">
        <f>M1390+K1391-L1391</f>
        <v>5016.4857200002298</v>
      </c>
    </row>
    <row r="1392" spans="1:13">
      <c r="A1392" s="54" t="str">
        <f>D1392&amp;E1392&amp;F1392</f>
        <v>CAPUBERCAP</v>
      </c>
      <c r="B1392" t="s">
        <v>1049</v>
      </c>
      <c r="C1392" s="1">
        <v>45783</v>
      </c>
      <c r="D1392" s="71" t="s">
        <v>31</v>
      </c>
      <c r="E1392" s="71" t="s">
        <v>189</v>
      </c>
      <c r="F1392" s="77" t="s">
        <v>31</v>
      </c>
      <c r="G1392" s="71" t="s">
        <v>216</v>
      </c>
      <c r="H1392" s="169"/>
      <c r="I1392" s="169"/>
      <c r="J1392" s="76" t="s">
        <v>255</v>
      </c>
      <c r="K1392" s="322"/>
      <c r="L1392" s="525">
        <v>177</v>
      </c>
      <c r="M1392" s="163">
        <f>M1391+K1392-L1392</f>
        <v>4839.4857200002298</v>
      </c>
    </row>
    <row r="1393" spans="1:13">
      <c r="A1393" s="54" t="str">
        <f>D1393&amp;E1393&amp;F1393</f>
        <v>CAPINSUMOSCAPRICHOS</v>
      </c>
      <c r="B1393" t="s">
        <v>1049</v>
      </c>
      <c r="C1393" s="1">
        <v>45783</v>
      </c>
      <c r="D1393" s="71" t="s">
        <v>31</v>
      </c>
      <c r="E1393" s="71" t="s">
        <v>133</v>
      </c>
      <c r="F1393" s="77" t="s">
        <v>33</v>
      </c>
      <c r="G1393" s="71" t="s">
        <v>216</v>
      </c>
      <c r="H1393" s="169"/>
      <c r="I1393" s="169"/>
      <c r="J1393" s="76" t="s">
        <v>1065</v>
      </c>
      <c r="K1393" s="322"/>
      <c r="L1393" s="327">
        <v>50</v>
      </c>
      <c r="M1393" s="163">
        <f>M1392+K1393-L1393</f>
        <v>4789.4857200002298</v>
      </c>
    </row>
    <row r="1394" spans="1:13">
      <c r="A1394" s="54" t="str">
        <f>D1394&amp;E1394&amp;F1394</f>
        <v>SERVICIOSADQ DE EQ TECNOLOGICOADQ DE EQ TECNOLOGICO</v>
      </c>
      <c r="B1394" t="s">
        <v>1049</v>
      </c>
      <c r="C1394" s="1">
        <v>45783</v>
      </c>
      <c r="D1394" s="71" t="s">
        <v>21</v>
      </c>
      <c r="E1394" s="71" t="s">
        <v>22</v>
      </c>
      <c r="F1394" s="77" t="s">
        <v>22</v>
      </c>
      <c r="G1394" s="71" t="s">
        <v>216</v>
      </c>
      <c r="H1394" s="169"/>
      <c r="I1394" s="169"/>
      <c r="J1394" s="76" t="s">
        <v>1066</v>
      </c>
      <c r="K1394" s="322"/>
      <c r="L1394" s="327">
        <v>83</v>
      </c>
      <c r="M1394" s="163">
        <f>M1393+K1394-L1394</f>
        <v>4706.4857200002298</v>
      </c>
    </row>
    <row r="1395" spans="1:13">
      <c r="A1395" s="54" t="str">
        <f>D1395&amp;E1395&amp;F1395</f>
        <v>ELINOMINA SUCURSALL1</v>
      </c>
      <c r="B1395" t="s">
        <v>1049</v>
      </c>
      <c r="C1395" s="1">
        <v>45783</v>
      </c>
      <c r="D1395" s="71" t="s">
        <v>130</v>
      </c>
      <c r="E1395" s="71" t="s">
        <v>154</v>
      </c>
      <c r="F1395" s="77" t="s">
        <v>136</v>
      </c>
      <c r="G1395" s="71" t="s">
        <v>216</v>
      </c>
      <c r="H1395" s="169"/>
      <c r="I1395" s="169"/>
      <c r="J1395" s="76" t="s">
        <v>1010</v>
      </c>
      <c r="K1395" s="322"/>
      <c r="L1395" s="327">
        <v>2128</v>
      </c>
      <c r="M1395" s="163">
        <f>M1394+K1395-L1395</f>
        <v>2578.4857200002298</v>
      </c>
    </row>
    <row r="1396" spans="1:13">
      <c r="A1396" s="54" t="str">
        <f t="shared" si="23"/>
        <v/>
      </c>
      <c r="B1396" t="s">
        <v>1049</v>
      </c>
      <c r="C1396" s="1">
        <v>45783</v>
      </c>
      <c r="D1396" s="71"/>
      <c r="F1396" s="77"/>
      <c r="H1396" s="169"/>
      <c r="I1396" s="169"/>
      <c r="J1396" s="76" t="s">
        <v>316</v>
      </c>
      <c r="K1396" s="322">
        <v>4759.92</v>
      </c>
      <c r="L1396" s="362"/>
      <c r="M1396" s="163">
        <f>M1395+K1396-L1396</f>
        <v>7338.4057200002298</v>
      </c>
    </row>
    <row r="1397" spans="1:13">
      <c r="A1397" s="54" t="str">
        <f t="shared" si="23"/>
        <v/>
      </c>
      <c r="B1397" t="s">
        <v>1049</v>
      </c>
      <c r="C1397" s="1">
        <v>45783</v>
      </c>
      <c r="D1397" s="71"/>
      <c r="F1397" s="77"/>
      <c r="H1397" s="169"/>
      <c r="I1397" s="169"/>
      <c r="J1397" s="71" t="s">
        <v>260</v>
      </c>
      <c r="K1397" s="322">
        <f>219906.99-4885</f>
        <v>215021.99</v>
      </c>
      <c r="L1397" s="363"/>
      <c r="M1397" s="163">
        <f>M1396+K1397-L1397</f>
        <v>222360.39572000023</v>
      </c>
    </row>
    <row r="1398" spans="1:13">
      <c r="A1398" s="54" t="str">
        <f t="shared" si="23"/>
        <v/>
      </c>
      <c r="B1398" t="s">
        <v>1049</v>
      </c>
      <c r="C1398" s="1">
        <v>45783</v>
      </c>
      <c r="D1398" s="71"/>
      <c r="F1398" s="77"/>
      <c r="H1398" s="169"/>
      <c r="I1398" s="169"/>
      <c r="J1398" s="303" t="s">
        <v>1067</v>
      </c>
      <c r="K1398" s="364">
        <f>22735+36731+35722+16272+8204.5+10503+8780+5328+16608</f>
        <v>160883.5</v>
      </c>
      <c r="L1398" s="363"/>
      <c r="M1398" s="163">
        <f>M1397+K1398-L1398</f>
        <v>383243.89572000026</v>
      </c>
    </row>
    <row r="1399" spans="1:13">
      <c r="A1399" s="54" t="str">
        <f>D1399&amp;E1399&amp;F1399</f>
        <v>FINANZASCOMISIONES BANCARIASTPV</v>
      </c>
      <c r="B1399" t="s">
        <v>1049</v>
      </c>
      <c r="C1399" s="1">
        <v>45783</v>
      </c>
      <c r="D1399" s="71" t="s">
        <v>23</v>
      </c>
      <c r="E1399" s="71" t="s">
        <v>48</v>
      </c>
      <c r="F1399" s="77" t="s">
        <v>50</v>
      </c>
      <c r="G1399" s="71" t="s">
        <v>216</v>
      </c>
      <c r="H1399" s="169"/>
      <c r="I1399" s="169"/>
      <c r="J1399" s="71" t="s">
        <v>217</v>
      </c>
      <c r="K1399" s="322"/>
      <c r="L1399" s="323">
        <f>267.91+118.14+1108.6+1505.62+1157.02+1004.53</f>
        <v>5161.8199999999988</v>
      </c>
      <c r="M1399" s="163">
        <f>M1398+K1399-L1399</f>
        <v>378082.07572000026</v>
      </c>
    </row>
    <row r="1400" spans="1:13">
      <c r="A1400" s="54" t="str">
        <f t="shared" si="23"/>
        <v/>
      </c>
      <c r="B1400" t="s">
        <v>1049</v>
      </c>
      <c r="C1400" s="1">
        <v>45783</v>
      </c>
      <c r="D1400" s="71"/>
      <c r="F1400" s="77"/>
      <c r="H1400" s="169" t="s">
        <v>219</v>
      </c>
      <c r="I1400" s="169"/>
      <c r="J1400" s="205" t="s">
        <v>577</v>
      </c>
      <c r="K1400" s="206"/>
      <c r="L1400" s="206">
        <v>150000</v>
      </c>
      <c r="M1400" s="163">
        <f>M1399+K1400-L1400</f>
        <v>228082.07572000026</v>
      </c>
    </row>
    <row r="1401" spans="1:13">
      <c r="A1401" s="54" t="str">
        <f t="shared" si="23"/>
        <v/>
      </c>
      <c r="B1401" t="s">
        <v>1049</v>
      </c>
      <c r="C1401" s="1">
        <v>45783</v>
      </c>
      <c r="D1401" s="71"/>
      <c r="F1401" s="77"/>
      <c r="H1401" s="169" t="s">
        <v>317</v>
      </c>
      <c r="I1401" s="169"/>
      <c r="J1401" s="205" t="s">
        <v>606</v>
      </c>
      <c r="K1401" s="206"/>
      <c r="L1401" s="206">
        <v>39000</v>
      </c>
      <c r="M1401" s="163">
        <f>M1400+K1401-L1401</f>
        <v>189082.07572000026</v>
      </c>
    </row>
    <row r="1402" spans="1:13">
      <c r="A1402" s="54" t="str">
        <f>D1402&amp;E1402&amp;F1402</f>
        <v>CAPMTTO EQ DE TRANSPORTECAPRICHOS</v>
      </c>
      <c r="B1402" t="s">
        <v>1049</v>
      </c>
      <c r="C1402" s="1">
        <v>45783</v>
      </c>
      <c r="D1402" s="71" t="s">
        <v>31</v>
      </c>
      <c r="E1402" s="71" t="s">
        <v>144</v>
      </c>
      <c r="F1402" s="77" t="s">
        <v>33</v>
      </c>
      <c r="G1402" s="71" t="s">
        <v>258</v>
      </c>
      <c r="H1402" s="169"/>
      <c r="I1402" s="169"/>
      <c r="J1402" s="71" t="s">
        <v>1068</v>
      </c>
      <c r="K1402" s="322"/>
      <c r="L1402" s="323">
        <v>6403.2</v>
      </c>
      <c r="M1402" s="163">
        <f>M1401+K1402-L1402</f>
        <v>182678.87572000024</v>
      </c>
    </row>
    <row r="1403" spans="1:13">
      <c r="A1403" s="54" t="str">
        <f>D1403&amp;E1403&amp;F1403</f>
        <v>SERVICIOSINSUMOSCADENA DE SUMINISTROS</v>
      </c>
      <c r="B1403" t="s">
        <v>1049</v>
      </c>
      <c r="C1403" s="1">
        <v>45783</v>
      </c>
      <c r="D1403" s="71" t="s">
        <v>21</v>
      </c>
      <c r="E1403" s="71" t="s">
        <v>133</v>
      </c>
      <c r="F1403" s="77" t="s">
        <v>134</v>
      </c>
      <c r="G1403" s="71" t="s">
        <v>216</v>
      </c>
      <c r="H1403" s="169"/>
      <c r="I1403" s="169"/>
      <c r="J1403" s="71" t="s">
        <v>1069</v>
      </c>
      <c r="K1403" s="322"/>
      <c r="L1403" s="323">
        <v>14964</v>
      </c>
      <c r="M1403" s="163">
        <f>M1402+K1403-L1403</f>
        <v>167714.87572000024</v>
      </c>
    </row>
    <row r="1404" spans="1:13">
      <c r="A1404" s="54" t="str">
        <f>D1404&amp;E1404&amp;F1404</f>
        <v>SERVICIOSPAQUETERIACEDIS (E6)</v>
      </c>
      <c r="B1404" t="s">
        <v>1049</v>
      </c>
      <c r="C1404" s="1">
        <v>45783</v>
      </c>
      <c r="D1404" s="71" t="s">
        <v>21</v>
      </c>
      <c r="E1404" s="71" t="s">
        <v>160</v>
      </c>
      <c r="F1404" s="77" t="s">
        <v>161</v>
      </c>
      <c r="G1404" s="71" t="s">
        <v>258</v>
      </c>
      <c r="H1404" s="169"/>
      <c r="I1404" s="169"/>
      <c r="J1404" s="71" t="s">
        <v>304</v>
      </c>
      <c r="K1404" s="322"/>
      <c r="L1404" s="323">
        <v>1074.92</v>
      </c>
      <c r="M1404" s="163">
        <f>M1403+K1404-L1404</f>
        <v>166639.95572000023</v>
      </c>
    </row>
    <row r="1405" spans="1:13">
      <c r="A1405" s="54" t="str">
        <f>D1405&amp;E1405&amp;F1405</f>
        <v>SERVICIOSINSUMOSSISTEMAS</v>
      </c>
      <c r="B1405" t="s">
        <v>1049</v>
      </c>
      <c r="C1405" s="1">
        <v>45783</v>
      </c>
      <c r="D1405" s="71" t="s">
        <v>21</v>
      </c>
      <c r="E1405" s="71" t="s">
        <v>133</v>
      </c>
      <c r="F1405" s="77" t="s">
        <v>36</v>
      </c>
      <c r="G1405" s="71" t="s">
        <v>258</v>
      </c>
      <c r="H1405" s="169"/>
      <c r="I1405" s="169"/>
      <c r="J1405" s="71" t="s">
        <v>1070</v>
      </c>
      <c r="K1405" s="322"/>
      <c r="L1405" s="323">
        <v>3750</v>
      </c>
      <c r="M1405" s="163">
        <f>M1404+K1405-L1405</f>
        <v>162889.95572000023</v>
      </c>
    </row>
    <row r="1406" spans="1:13">
      <c r="A1406" s="54" t="str">
        <f>D1406&amp;E1406&amp;F1406</f>
        <v>SERVICIOSADQ DE EQ TECNOLOGICOADQ DE EQ TECNOLOGICO</v>
      </c>
      <c r="B1406" t="s">
        <v>1049</v>
      </c>
      <c r="C1406" s="1">
        <v>45783</v>
      </c>
      <c r="D1406" s="71" t="s">
        <v>21</v>
      </c>
      <c r="E1406" s="71" t="s">
        <v>22</v>
      </c>
      <c r="F1406" s="77" t="s">
        <v>22</v>
      </c>
      <c r="G1406" s="71" t="s">
        <v>216</v>
      </c>
      <c r="H1406" s="169"/>
      <c r="I1406" s="169"/>
      <c r="J1406" s="71" t="s">
        <v>1071</v>
      </c>
      <c r="K1406" s="332"/>
      <c r="L1406" s="323">
        <v>483.37</v>
      </c>
      <c r="M1406" s="163">
        <f>M1405+K1406-L1406</f>
        <v>162406.58572000024</v>
      </c>
    </row>
    <row r="1407" spans="1:13">
      <c r="A1407" s="54" t="str">
        <f>D1407&amp;E1407&amp;F1407</f>
        <v>FINANZASSEGUROEDIFICIO</v>
      </c>
      <c r="B1407" t="s">
        <v>1049</v>
      </c>
      <c r="C1407" s="1">
        <v>45783</v>
      </c>
      <c r="D1407" s="71" t="s">
        <v>23</v>
      </c>
      <c r="E1407" s="71" t="s">
        <v>173</v>
      </c>
      <c r="F1407" s="77" t="s">
        <v>174</v>
      </c>
      <c r="G1407" s="71" t="s">
        <v>216</v>
      </c>
      <c r="H1407" s="169"/>
      <c r="I1407" s="169"/>
      <c r="J1407" s="71" t="s">
        <v>1072</v>
      </c>
      <c r="K1407" s="332"/>
      <c r="L1407" s="323">
        <v>22131.95</v>
      </c>
      <c r="M1407" s="163">
        <f>M1406+K1407-L1407</f>
        <v>140274.63572000022</v>
      </c>
    </row>
    <row r="1408" spans="1:13">
      <c r="A1408" s="54" t="str">
        <f>D1408&amp;E1408&amp;F1408</f>
        <v>HRFONDO Y REPOSICIONHR</v>
      </c>
      <c r="B1408" t="s">
        <v>1049</v>
      </c>
      <c r="C1408" s="1">
        <v>45783</v>
      </c>
      <c r="D1408" s="71" t="s">
        <v>29</v>
      </c>
      <c r="E1408" s="71" t="s">
        <v>120</v>
      </c>
      <c r="F1408" s="77" t="s">
        <v>29</v>
      </c>
      <c r="G1408" s="71" t="s">
        <v>216</v>
      </c>
      <c r="H1408" s="169"/>
      <c r="I1408" s="169"/>
      <c r="J1408" s="71" t="s">
        <v>1073</v>
      </c>
      <c r="K1408" s="180"/>
      <c r="L1408" s="329">
        <v>7145</v>
      </c>
      <c r="M1408" s="163">
        <f>M1407+K1408-L1408</f>
        <v>133129.63572000022</v>
      </c>
    </row>
    <row r="1409" spans="1:13">
      <c r="A1409" s="54" t="str">
        <f>D1409&amp;E1409&amp;F1409</f>
        <v>HRFONDO Y REPOSICIONHR</v>
      </c>
      <c r="B1409" t="s">
        <v>1049</v>
      </c>
      <c r="C1409" s="1">
        <v>45783</v>
      </c>
      <c r="D1409" s="71" t="s">
        <v>29</v>
      </c>
      <c r="E1409" s="71" t="s">
        <v>120</v>
      </c>
      <c r="F1409" s="77" t="s">
        <v>29</v>
      </c>
      <c r="G1409" s="71" t="s">
        <v>216</v>
      </c>
      <c r="H1409" s="169"/>
      <c r="I1409" s="169"/>
      <c r="J1409" s="71" t="s">
        <v>267</v>
      </c>
      <c r="K1409" s="180"/>
      <c r="L1409" s="329">
        <v>3000</v>
      </c>
      <c r="M1409" s="163">
        <f>M1408+K1409-L1409</f>
        <v>130129.63572000022</v>
      </c>
    </row>
    <row r="1410" spans="1:13">
      <c r="A1410" s="54" t="str">
        <f>D1410&amp;E1410&amp;F1410</f>
        <v>HRFONDO Y REPOSICIONHR</v>
      </c>
      <c r="B1410" t="s">
        <v>1049</v>
      </c>
      <c r="C1410" s="1">
        <v>45783</v>
      </c>
      <c r="D1410" s="71" t="s">
        <v>29</v>
      </c>
      <c r="E1410" s="71" t="s">
        <v>120</v>
      </c>
      <c r="F1410" s="77" t="s">
        <v>29</v>
      </c>
      <c r="G1410" s="71" t="s">
        <v>216</v>
      </c>
      <c r="H1410" s="169"/>
      <c r="I1410" s="169"/>
      <c r="J1410" s="71" t="s">
        <v>357</v>
      </c>
      <c r="K1410" s="180"/>
      <c r="L1410" s="329">
        <v>2000</v>
      </c>
      <c r="M1410" s="163">
        <f>M1409+K1410-L1410</f>
        <v>128129.63572000022</v>
      </c>
    </row>
    <row r="1411" spans="1:13">
      <c r="A1411" s="54" t="str">
        <f>D1411&amp;E1411&amp;F1411</f>
        <v>SERVICIOSVIATICOSCEDIS</v>
      </c>
      <c r="B1411" t="s">
        <v>1049</v>
      </c>
      <c r="C1411" s="1">
        <v>45783</v>
      </c>
      <c r="D1411" s="71" t="s">
        <v>21</v>
      </c>
      <c r="E1411" s="71" t="s">
        <v>191</v>
      </c>
      <c r="F1411" s="77" t="s">
        <v>28</v>
      </c>
      <c r="G1411" s="71" t="s">
        <v>216</v>
      </c>
      <c r="H1411" s="169"/>
      <c r="I1411" s="169"/>
      <c r="J1411" s="71" t="s">
        <v>1074</v>
      </c>
      <c r="K1411" s="180"/>
      <c r="L1411" s="329">
        <v>700</v>
      </c>
      <c r="M1411" s="163">
        <f>M1410+K1411-L1411</f>
        <v>127429.63572000022</v>
      </c>
    </row>
    <row r="1412" spans="1:13">
      <c r="A1412" s="54" t="str">
        <f>D1412&amp;E1412&amp;F1412</f>
        <v>SERVICIOSVIATICOSSISTEMAS</v>
      </c>
      <c r="B1412" t="s">
        <v>1049</v>
      </c>
      <c r="C1412" s="1">
        <v>45783</v>
      </c>
      <c r="D1412" s="71" t="s">
        <v>21</v>
      </c>
      <c r="E1412" s="71" t="s">
        <v>191</v>
      </c>
      <c r="F1412" s="77" t="s">
        <v>36</v>
      </c>
      <c r="G1412" s="71" t="s">
        <v>258</v>
      </c>
      <c r="H1412" s="169"/>
      <c r="I1412" s="169"/>
      <c r="J1412" s="71" t="s">
        <v>1075</v>
      </c>
      <c r="K1412" s="180"/>
      <c r="L1412" s="329">
        <v>800</v>
      </c>
      <c r="M1412" s="163">
        <f>M1411+K1412-L1412</f>
        <v>126629.63572000022</v>
      </c>
    </row>
    <row r="1413" spans="1:13">
      <c r="A1413" s="54" t="str">
        <f>D1413&amp;E1413&amp;F1413</f>
        <v>SERVICIOSVIATICOSINVENTARIOS</v>
      </c>
      <c r="B1413" t="s">
        <v>1049</v>
      </c>
      <c r="C1413" s="1">
        <v>45783</v>
      </c>
      <c r="D1413" s="71" t="s">
        <v>21</v>
      </c>
      <c r="E1413" s="71" t="s">
        <v>191</v>
      </c>
      <c r="F1413" s="77" t="s">
        <v>34</v>
      </c>
      <c r="G1413" s="71" t="s">
        <v>216</v>
      </c>
      <c r="H1413" s="169"/>
      <c r="I1413" s="169"/>
      <c r="J1413" s="71" t="s">
        <v>1076</v>
      </c>
      <c r="K1413" s="180"/>
      <c r="L1413" s="323">
        <v>600</v>
      </c>
      <c r="M1413" s="163">
        <f>M1412+K1413-L1413</f>
        <v>126029.63572000022</v>
      </c>
    </row>
    <row r="1414" spans="1:13">
      <c r="A1414" s="54" t="str">
        <f>D1414&amp;E1414&amp;F1414</f>
        <v>SERVICIOSMTTO DE EDIFICIOMANTENIMIENTO</v>
      </c>
      <c r="B1414" t="s">
        <v>1049</v>
      </c>
      <c r="C1414" s="1">
        <v>45783</v>
      </c>
      <c r="D1414" s="71" t="s">
        <v>21</v>
      </c>
      <c r="E1414" s="71" t="s">
        <v>142</v>
      </c>
      <c r="F1414" s="77" t="s">
        <v>35</v>
      </c>
      <c r="G1414" s="71" t="s">
        <v>216</v>
      </c>
      <c r="H1414" s="169"/>
      <c r="I1414" s="169"/>
      <c r="J1414" s="71" t="s">
        <v>1077</v>
      </c>
      <c r="K1414" s="180"/>
      <c r="L1414" s="323">
        <v>500</v>
      </c>
      <c r="M1414" s="163">
        <f>M1413+K1414-L1414</f>
        <v>125529.63572000022</v>
      </c>
    </row>
    <row r="1415" spans="1:13">
      <c r="A1415" s="54" t="str">
        <f>D1415&amp;E1415&amp;F1415</f>
        <v>HRINSUMOSHR</v>
      </c>
      <c r="B1415" t="s">
        <v>1049</v>
      </c>
      <c r="C1415" s="1">
        <v>45783</v>
      </c>
      <c r="D1415" s="71" t="s">
        <v>29</v>
      </c>
      <c r="E1415" s="71" t="s">
        <v>133</v>
      </c>
      <c r="F1415" s="77" t="s">
        <v>29</v>
      </c>
      <c r="G1415" s="71" t="s">
        <v>216</v>
      </c>
      <c r="H1415" s="169"/>
      <c r="I1415" s="169"/>
      <c r="J1415" s="76" t="s">
        <v>494</v>
      </c>
      <c r="K1415" s="322"/>
      <c r="L1415" s="327">
        <v>64</v>
      </c>
      <c r="M1415" s="163">
        <f>M1414+K1415-L1415</f>
        <v>125465.63572000022</v>
      </c>
    </row>
    <row r="1416" spans="1:13">
      <c r="A1416" s="54" t="str">
        <f>D1416&amp;E1416&amp;F1416</f>
        <v>CAPUBERCAP</v>
      </c>
      <c r="B1416" t="s">
        <v>1049</v>
      </c>
      <c r="C1416" s="1">
        <v>45783</v>
      </c>
      <c r="D1416" s="71" t="s">
        <v>31</v>
      </c>
      <c r="E1416" s="71" t="s">
        <v>189</v>
      </c>
      <c r="F1416" s="77" t="s">
        <v>31</v>
      </c>
      <c r="G1416" s="71" t="s">
        <v>216</v>
      </c>
      <c r="H1416" s="169"/>
      <c r="I1416" s="169"/>
      <c r="J1416" s="76" t="s">
        <v>253</v>
      </c>
      <c r="K1416" s="322"/>
      <c r="L1416" s="525">
        <v>296</v>
      </c>
      <c r="M1416" s="163">
        <f>M1415+K1416-L1416</f>
        <v>125169.63572000022</v>
      </c>
    </row>
    <row r="1417" spans="1:13">
      <c r="A1417" s="54" t="str">
        <f>D1417&amp;E1417&amp;F1417</f>
        <v>CAPUBERCAP</v>
      </c>
      <c r="B1417" t="s">
        <v>1049</v>
      </c>
      <c r="C1417" s="1">
        <v>45783</v>
      </c>
      <c r="D1417" s="71" t="s">
        <v>31</v>
      </c>
      <c r="E1417" s="71" t="s">
        <v>189</v>
      </c>
      <c r="F1417" s="77" t="s">
        <v>31</v>
      </c>
      <c r="G1417" s="71" t="s">
        <v>216</v>
      </c>
      <c r="H1417" s="169"/>
      <c r="I1417" s="169"/>
      <c r="J1417" s="76" t="s">
        <v>758</v>
      </c>
      <c r="K1417" s="322"/>
      <c r="L1417" s="525">
        <v>63</v>
      </c>
      <c r="M1417" s="163">
        <f>M1416+K1417-L1417</f>
        <v>125106.63572000022</v>
      </c>
    </row>
    <row r="1418" spans="1:13">
      <c r="A1418" s="54" t="str">
        <f>D1418&amp;E1418&amp;F1418</f>
        <v>CAPNOMINA SUCURSALE9</v>
      </c>
      <c r="B1418" t="s">
        <v>1049</v>
      </c>
      <c r="C1418" s="1">
        <v>45783</v>
      </c>
      <c r="D1418" s="71" t="s">
        <v>31</v>
      </c>
      <c r="E1418" s="71" t="s">
        <v>154</v>
      </c>
      <c r="F1418" s="77" t="s">
        <v>116</v>
      </c>
      <c r="G1418" s="71" t="s">
        <v>216</v>
      </c>
      <c r="H1418" s="169"/>
      <c r="I1418" s="169"/>
      <c r="J1418" s="76" t="s">
        <v>1017</v>
      </c>
      <c r="K1418" s="322"/>
      <c r="L1418" s="327">
        <v>130</v>
      </c>
      <c r="M1418" s="163">
        <f>M1417+K1418-L1418</f>
        <v>124976.63572000022</v>
      </c>
    </row>
    <row r="1419" spans="1:13">
      <c r="A1419" s="54" t="str">
        <f t="shared" ref="A1417:A1480" si="24">D1419&amp;E1419&amp;F1419</f>
        <v/>
      </c>
      <c r="B1419" t="s">
        <v>1049</v>
      </c>
      <c r="C1419" s="1">
        <v>45784</v>
      </c>
      <c r="D1419" s="71"/>
      <c r="F1419" s="77"/>
      <c r="H1419" s="169"/>
      <c r="I1419" s="169"/>
      <c r="J1419" s="71" t="s">
        <v>260</v>
      </c>
      <c r="K1419" s="322">
        <f>199859.74-5703-12357-12906</f>
        <v>168893.74</v>
      </c>
      <c r="L1419" s="180"/>
      <c r="M1419" s="163">
        <f>M1418+K1419-L1419</f>
        <v>293870.37572000024</v>
      </c>
    </row>
    <row r="1420" spans="1:13">
      <c r="A1420" s="54" t="str">
        <f t="shared" si="24"/>
        <v/>
      </c>
      <c r="B1420" t="s">
        <v>1049</v>
      </c>
      <c r="C1420" s="1">
        <v>45784</v>
      </c>
      <c r="D1420" s="71"/>
      <c r="F1420" s="77"/>
      <c r="H1420" s="169"/>
      <c r="I1420" s="169"/>
      <c r="J1420" s="71" t="s">
        <v>1078</v>
      </c>
      <c r="K1420" s="322">
        <v>4885</v>
      </c>
      <c r="L1420" s="180"/>
      <c r="M1420" s="163">
        <f>M1419+K1420-L1420</f>
        <v>298755.37572000024</v>
      </c>
    </row>
    <row r="1421" spans="1:13">
      <c r="A1421" s="54" t="str">
        <f>D1421&amp;E1421&amp;F1421</f>
        <v>FINANZASCOMISIONES BANCARIASMANEJO DE CUENTA</v>
      </c>
      <c r="B1421" t="s">
        <v>1049</v>
      </c>
      <c r="C1421" s="1">
        <v>45784</v>
      </c>
      <c r="D1421" s="71" t="s">
        <v>23</v>
      </c>
      <c r="E1421" s="71" t="s">
        <v>48</v>
      </c>
      <c r="F1421" s="77" t="s">
        <v>49</v>
      </c>
      <c r="G1421" s="71" t="s">
        <v>258</v>
      </c>
      <c r="H1421" s="169"/>
      <c r="I1421" s="169"/>
      <c r="J1421" s="71" t="s">
        <v>764</v>
      </c>
      <c r="K1421" s="180"/>
      <c r="L1421" s="323">
        <f>243.6+765.6+1368.47+1710.52+591.04</f>
        <v>4679.2299999999996</v>
      </c>
      <c r="M1421" s="163">
        <f>M1420+K1421-L1421</f>
        <v>294076.14572000026</v>
      </c>
    </row>
    <row r="1422" spans="1:13">
      <c r="A1422" s="54" t="str">
        <f t="shared" si="24"/>
        <v/>
      </c>
      <c r="B1422" t="s">
        <v>1049</v>
      </c>
      <c r="C1422" s="1">
        <v>45784</v>
      </c>
      <c r="D1422" s="71"/>
      <c r="F1422" s="77"/>
      <c r="H1422" s="169" t="s">
        <v>219</v>
      </c>
      <c r="I1422" s="169"/>
      <c r="J1422" s="205" t="s">
        <v>577</v>
      </c>
      <c r="K1422" s="206"/>
      <c r="L1422" s="206">
        <v>150000</v>
      </c>
      <c r="M1422" s="163">
        <f>M1421+K1422-L1422</f>
        <v>144076.14572000026</v>
      </c>
    </row>
    <row r="1423" spans="1:13">
      <c r="A1423" s="54" t="str">
        <f>D1423&amp;E1423&amp;F1423</f>
        <v>SERVICIOSMTTO DE EDIFICIOMANTENIMIENTO</v>
      </c>
      <c r="B1423" t="s">
        <v>1049</v>
      </c>
      <c r="C1423" s="1">
        <v>45784</v>
      </c>
      <c r="D1423" s="71" t="s">
        <v>21</v>
      </c>
      <c r="E1423" s="71" t="s">
        <v>142</v>
      </c>
      <c r="F1423" s="77" t="s">
        <v>35</v>
      </c>
      <c r="G1423" s="71" t="s">
        <v>216</v>
      </c>
      <c r="H1423" s="169"/>
      <c r="I1423" s="169"/>
      <c r="J1423" s="71" t="s">
        <v>959</v>
      </c>
      <c r="K1423" s="180"/>
      <c r="L1423" s="323">
        <v>11823.66</v>
      </c>
      <c r="M1423" s="163">
        <f>M1422+K1423-L1423</f>
        <v>132252.48572000026</v>
      </c>
    </row>
    <row r="1424" spans="1:13">
      <c r="A1424" s="54" t="str">
        <f>D1424&amp;E1424&amp;F1424</f>
        <v>SERVICIOSMTTO EQ DE TRANSPORTECEDIS</v>
      </c>
      <c r="B1424" t="s">
        <v>1049</v>
      </c>
      <c r="C1424" s="1">
        <v>45784</v>
      </c>
      <c r="D1424" s="71" t="s">
        <v>21</v>
      </c>
      <c r="E1424" s="71" t="s">
        <v>144</v>
      </c>
      <c r="F1424" s="169" t="s">
        <v>28</v>
      </c>
      <c r="G1424" s="71" t="s">
        <v>258</v>
      </c>
      <c r="H1424" s="169"/>
      <c r="J1424" s="71" t="s">
        <v>1079</v>
      </c>
      <c r="K1424" s="180"/>
      <c r="L1424" s="417">
        <v>5000</v>
      </c>
      <c r="M1424" s="163">
        <f>M1423+K1424-L1424</f>
        <v>127252.48572000026</v>
      </c>
    </row>
    <row r="1425" spans="1:13">
      <c r="A1425" s="54" t="str">
        <f>D1425&amp;E1425&amp;F1425</f>
        <v>SERVICIOSFONDO Y REPOSICIONSERVICIOS</v>
      </c>
      <c r="B1425" t="s">
        <v>1049</v>
      </c>
      <c r="C1425" s="1">
        <v>45784</v>
      </c>
      <c r="D1425" s="71" t="s">
        <v>21</v>
      </c>
      <c r="E1425" s="71" t="s">
        <v>120</v>
      </c>
      <c r="F1425" s="71" t="s">
        <v>21</v>
      </c>
      <c r="G1425" s="71" t="s">
        <v>216</v>
      </c>
      <c r="H1425" s="169"/>
      <c r="J1425" s="71" t="s">
        <v>1080</v>
      </c>
      <c r="K1425" s="180"/>
      <c r="L1425" s="323">
        <v>2000</v>
      </c>
      <c r="M1425" s="163">
        <f>M1424+K1425-L1425</f>
        <v>125252.48572000026</v>
      </c>
    </row>
    <row r="1426" spans="1:13">
      <c r="A1426" s="54" t="str">
        <f>D1426&amp;E1426&amp;F1426</f>
        <v>SERVICIOSFONDO Y REPOSICIONSERVICIOS</v>
      </c>
      <c r="B1426" t="s">
        <v>1049</v>
      </c>
      <c r="C1426" s="1">
        <v>45784</v>
      </c>
      <c r="D1426" s="71" t="s">
        <v>21</v>
      </c>
      <c r="E1426" s="71" t="s">
        <v>120</v>
      </c>
      <c r="F1426" s="71" t="s">
        <v>21</v>
      </c>
      <c r="G1426" s="71" t="s">
        <v>258</v>
      </c>
      <c r="H1426" s="169"/>
      <c r="I1426" s="169"/>
      <c r="J1426" s="71" t="s">
        <v>1081</v>
      </c>
      <c r="K1426" s="180"/>
      <c r="L1426" s="323">
        <v>3000</v>
      </c>
      <c r="M1426" s="163">
        <f>M1425+K1426-L1426</f>
        <v>122252.48572000026</v>
      </c>
    </row>
    <row r="1427" spans="1:13">
      <c r="A1427" s="54" t="str">
        <f>D1427&amp;E1427&amp;F1427</f>
        <v>HRVIATICOSHR</v>
      </c>
      <c r="B1427" t="s">
        <v>1049</v>
      </c>
      <c r="C1427" s="1">
        <v>45784</v>
      </c>
      <c r="D1427" s="71" t="s">
        <v>29</v>
      </c>
      <c r="E1427" s="71" t="s">
        <v>191</v>
      </c>
      <c r="F1427" s="77" t="s">
        <v>29</v>
      </c>
      <c r="G1427" s="71" t="s">
        <v>216</v>
      </c>
      <c r="H1427" s="169"/>
      <c r="I1427" s="169"/>
      <c r="J1427" s="71" t="s">
        <v>1082</v>
      </c>
      <c r="K1427" s="180"/>
      <c r="L1427" s="323">
        <v>2800</v>
      </c>
      <c r="M1427" s="163">
        <f>M1426+K1427-L1427</f>
        <v>119452.48572000026</v>
      </c>
    </row>
    <row r="1428" spans="1:13">
      <c r="A1428" s="54" t="str">
        <f>D1428&amp;E1428&amp;F1428</f>
        <v>HRMKTMKT HR</v>
      </c>
      <c r="B1428" t="s">
        <v>1049</v>
      </c>
      <c r="C1428" s="1">
        <v>45784</v>
      </c>
      <c r="D1428" s="71" t="s">
        <v>29</v>
      </c>
      <c r="E1428" s="71" t="s">
        <v>19</v>
      </c>
      <c r="F1428" s="77" t="s">
        <v>138</v>
      </c>
      <c r="G1428" s="71" t="s">
        <v>216</v>
      </c>
      <c r="H1428" s="169"/>
      <c r="I1428" s="169"/>
      <c r="J1428" s="71" t="s">
        <v>1083</v>
      </c>
      <c r="K1428" s="180"/>
      <c r="L1428" s="323">
        <v>2200</v>
      </c>
      <c r="M1428" s="163">
        <f>M1427+K1428-L1428</f>
        <v>117252.48572000026</v>
      </c>
    </row>
    <row r="1429" spans="1:13">
      <c r="A1429" s="54" t="str">
        <f>D1429&amp;E1429&amp;F1429</f>
        <v>SERVICIOSVIATICOSMANTENIMIENTO</v>
      </c>
      <c r="B1429" t="s">
        <v>1049</v>
      </c>
      <c r="C1429" s="1">
        <v>45784</v>
      </c>
      <c r="D1429" s="71" t="s">
        <v>21</v>
      </c>
      <c r="E1429" s="71" t="s">
        <v>191</v>
      </c>
      <c r="F1429" s="77" t="s">
        <v>35</v>
      </c>
      <c r="G1429" s="71" t="s">
        <v>258</v>
      </c>
      <c r="H1429" s="169"/>
      <c r="I1429" s="169"/>
      <c r="J1429" s="275" t="s">
        <v>1084</v>
      </c>
      <c r="K1429" s="180"/>
      <c r="L1429" s="323">
        <v>600</v>
      </c>
      <c r="M1429" s="163">
        <f>M1428+K1429-L1429</f>
        <v>116652.48572000026</v>
      </c>
    </row>
    <row r="1430" spans="1:13">
      <c r="A1430" s="54" t="str">
        <f>D1430&amp;E1430&amp;F1430</f>
        <v>SGEVIATICOSGESTION EMPRESARIAL</v>
      </c>
      <c r="B1430" t="s">
        <v>1049</v>
      </c>
      <c r="C1430" s="1">
        <v>45784</v>
      </c>
      <c r="D1430" s="71" t="s">
        <v>39</v>
      </c>
      <c r="E1430" s="71" t="s">
        <v>191</v>
      </c>
      <c r="F1430" s="77" t="s">
        <v>40</v>
      </c>
      <c r="G1430" s="71" t="s">
        <v>216</v>
      </c>
      <c r="H1430" s="169"/>
      <c r="I1430" s="169"/>
      <c r="J1430" s="275" t="s">
        <v>719</v>
      </c>
      <c r="K1430" s="180"/>
      <c r="L1430" s="323">
        <v>2000</v>
      </c>
      <c r="M1430" s="163">
        <f>M1429+K1430-L1430</f>
        <v>114652.48572000026</v>
      </c>
    </row>
    <row r="1431" spans="1:13">
      <c r="A1431" s="54" t="str">
        <f>D1431&amp;E1431&amp;F1431</f>
        <v>SERVICIOSMTTO DE EDIFICIOMANTENIMIENTO</v>
      </c>
      <c r="B1431" t="s">
        <v>1049</v>
      </c>
      <c r="C1431" s="1">
        <v>45784</v>
      </c>
      <c r="D1431" s="71" t="s">
        <v>21</v>
      </c>
      <c r="E1431" s="71" t="s">
        <v>142</v>
      </c>
      <c r="F1431" s="77" t="s">
        <v>35</v>
      </c>
      <c r="G1431" s="71" t="s">
        <v>216</v>
      </c>
      <c r="H1431" s="169"/>
      <c r="I1431" s="169"/>
      <c r="J1431" s="275" t="s">
        <v>1085</v>
      </c>
      <c r="K1431" s="180"/>
      <c r="L1431" s="323">
        <v>2296</v>
      </c>
      <c r="M1431" s="163">
        <f>M1430+K1431-L1431</f>
        <v>112356.48572000026</v>
      </c>
    </row>
    <row r="1432" spans="1:13">
      <c r="A1432" s="54" t="str">
        <f>D1432&amp;E1432&amp;F1432</f>
        <v>CAPFONDO Y REPOSICIONCAPRICHOS</v>
      </c>
      <c r="B1432" t="s">
        <v>1049</v>
      </c>
      <c r="C1432" s="1">
        <v>45784</v>
      </c>
      <c r="D1432" s="71" t="s">
        <v>31</v>
      </c>
      <c r="E1432" s="71" t="s">
        <v>120</v>
      </c>
      <c r="F1432" s="77" t="s">
        <v>33</v>
      </c>
      <c r="G1432" s="71" t="s">
        <v>216</v>
      </c>
      <c r="H1432" s="169"/>
      <c r="I1432" s="169"/>
      <c r="J1432" s="71" t="s">
        <v>1086</v>
      </c>
      <c r="K1432" s="180"/>
      <c r="L1432" s="323">
        <v>1210</v>
      </c>
      <c r="M1432" s="163">
        <f>M1431+K1432-L1432</f>
        <v>111146.48572000026</v>
      </c>
    </row>
    <row r="1433" spans="1:13">
      <c r="A1433" s="54" t="str">
        <f>D1433&amp;E1433&amp;F1433</f>
        <v>CAPFONDO Y REPOSICIONCAPRICHOS</v>
      </c>
      <c r="B1433" t="s">
        <v>1049</v>
      </c>
      <c r="C1433" s="1">
        <v>45784</v>
      </c>
      <c r="D1433" s="71" t="s">
        <v>31</v>
      </c>
      <c r="E1433" s="71" t="s">
        <v>120</v>
      </c>
      <c r="F1433" s="77" t="s">
        <v>33</v>
      </c>
      <c r="G1433" s="71" t="s">
        <v>216</v>
      </c>
      <c r="H1433" s="169"/>
      <c r="I1433" s="169"/>
      <c r="J1433" s="275" t="s">
        <v>1087</v>
      </c>
      <c r="K1433" s="180"/>
      <c r="L1433" s="323">
        <v>629</v>
      </c>
      <c r="M1433" s="163">
        <f>M1432+K1433-L1433</f>
        <v>110517.48572000026</v>
      </c>
    </row>
    <row r="1434" spans="1:13">
      <c r="A1434" s="54" t="str">
        <f t="shared" si="24"/>
        <v>TC</v>
      </c>
      <c r="B1434" s="465" t="s">
        <v>1049</v>
      </c>
      <c r="C1434" s="467">
        <v>45784</v>
      </c>
      <c r="D1434" s="470"/>
      <c r="E1434" s="470" t="s">
        <v>1088</v>
      </c>
      <c r="F1434" s="471"/>
      <c r="G1434" s="470" t="s">
        <v>216</v>
      </c>
      <c r="H1434" s="472" t="s">
        <v>1088</v>
      </c>
      <c r="I1434" s="169"/>
      <c r="J1434" s="473" t="s">
        <v>819</v>
      </c>
      <c r="K1434" s="474"/>
      <c r="L1434" s="323">
        <v>1955</v>
      </c>
      <c r="M1434" s="163">
        <f>M1433+K1434-L1434</f>
        <v>108562.48572000026</v>
      </c>
    </row>
    <row r="1435" spans="1:13">
      <c r="A1435" s="54" t="str">
        <f>D1435&amp;E1435&amp;F1435</f>
        <v>FINANZASFONDO Y REPOSICIONFINANZAS</v>
      </c>
      <c r="B1435" t="s">
        <v>1049</v>
      </c>
      <c r="C1435" s="1">
        <v>45784</v>
      </c>
      <c r="D1435" s="71" t="s">
        <v>23</v>
      </c>
      <c r="E1435" s="71" t="s">
        <v>120</v>
      </c>
      <c r="F1435" s="77" t="s">
        <v>23</v>
      </c>
      <c r="G1435" s="71" t="s">
        <v>258</v>
      </c>
      <c r="H1435" s="169"/>
      <c r="I1435" s="169"/>
      <c r="J1435" s="71" t="s">
        <v>1089</v>
      </c>
      <c r="K1435" s="180"/>
      <c r="L1435" s="323">
        <v>700</v>
      </c>
      <c r="M1435" s="163">
        <f>M1434+K1435-L1435</f>
        <v>107862.48572000026</v>
      </c>
    </row>
    <row r="1436" spans="1:13">
      <c r="A1436" s="54" t="str">
        <f>D1436&amp;E1436&amp;F1436</f>
        <v>CAPVIATICOSCAPRICHOS</v>
      </c>
      <c r="B1436" t="s">
        <v>1049</v>
      </c>
      <c r="C1436" s="1">
        <v>45784</v>
      </c>
      <c r="D1436" s="71" t="s">
        <v>31</v>
      </c>
      <c r="E1436" s="71" t="s">
        <v>191</v>
      </c>
      <c r="F1436" s="77" t="s">
        <v>33</v>
      </c>
      <c r="G1436" s="71" t="s">
        <v>216</v>
      </c>
      <c r="H1436" s="169"/>
      <c r="I1436" s="169"/>
      <c r="J1436" s="71" t="s">
        <v>1090</v>
      </c>
      <c r="K1436" s="322"/>
      <c r="L1436" s="323">
        <v>1200</v>
      </c>
      <c r="M1436" s="163">
        <f>M1435+K1436-L1436</f>
        <v>106662.48572000026</v>
      </c>
    </row>
    <row r="1437" spans="1:13">
      <c r="A1437" s="54" t="str">
        <f>D1437&amp;E1437&amp;F1437</f>
        <v>HRJMASA24</v>
      </c>
      <c r="B1437" t="s">
        <v>1049</v>
      </c>
      <c r="C1437" s="1">
        <v>45784</v>
      </c>
      <c r="D1437" s="71" t="s">
        <v>29</v>
      </c>
      <c r="E1437" s="71" t="s">
        <v>137</v>
      </c>
      <c r="F1437" s="77" t="s">
        <v>106</v>
      </c>
      <c r="G1437" s="71" t="s">
        <v>258</v>
      </c>
      <c r="H1437" s="169"/>
      <c r="I1437" s="169"/>
      <c r="J1437" s="76" t="s">
        <v>1091</v>
      </c>
      <c r="K1437" s="322"/>
      <c r="L1437" s="327">
        <v>547</v>
      </c>
      <c r="M1437" s="163">
        <f>M1436+K1437-L1437</f>
        <v>106115.48572000026</v>
      </c>
    </row>
    <row r="1438" spans="1:13">
      <c r="A1438" s="54" t="str">
        <f>D1438&amp;E1438&amp;F1438</f>
        <v>CAPUBERCAP</v>
      </c>
      <c r="B1438" t="s">
        <v>1049</v>
      </c>
      <c r="C1438" s="1">
        <v>45784</v>
      </c>
      <c r="D1438" s="71" t="s">
        <v>31</v>
      </c>
      <c r="E1438" s="71" t="s">
        <v>189</v>
      </c>
      <c r="F1438" s="77" t="s">
        <v>31</v>
      </c>
      <c r="G1438" s="71" t="s">
        <v>216</v>
      </c>
      <c r="H1438" s="169"/>
      <c r="I1438" s="169"/>
      <c r="J1438" s="76" t="s">
        <v>253</v>
      </c>
      <c r="K1438" s="322"/>
      <c r="L1438" s="525">
        <v>428</v>
      </c>
      <c r="M1438" s="163">
        <f>M1437+K1438-L1438</f>
        <v>105687.48572000026</v>
      </c>
    </row>
    <row r="1439" spans="1:13">
      <c r="A1439" s="54" t="str">
        <f>D1439&amp;E1439&amp;F1439</f>
        <v>CAPUBERCAP</v>
      </c>
      <c r="B1439" t="s">
        <v>1049</v>
      </c>
      <c r="C1439" s="1">
        <v>45784</v>
      </c>
      <c r="D1439" s="71" t="s">
        <v>31</v>
      </c>
      <c r="E1439" s="71" t="s">
        <v>189</v>
      </c>
      <c r="F1439" s="77" t="s">
        <v>31</v>
      </c>
      <c r="G1439" s="71" t="s">
        <v>216</v>
      </c>
      <c r="H1439" s="169"/>
      <c r="I1439" s="169"/>
      <c r="J1439" s="76" t="s">
        <v>257</v>
      </c>
      <c r="K1439" s="322"/>
      <c r="L1439" s="525">
        <v>70</v>
      </c>
      <c r="M1439" s="163">
        <f>M1438+K1439-L1439</f>
        <v>105617.48572000026</v>
      </c>
    </row>
    <row r="1440" spans="1:13">
      <c r="A1440" s="54" t="str">
        <f>D1440&amp;E1440&amp;F1440</f>
        <v>CAPINSUMOSCAPRICHOS</v>
      </c>
      <c r="B1440" t="s">
        <v>1049</v>
      </c>
      <c r="C1440" s="1">
        <v>45784</v>
      </c>
      <c r="D1440" s="71" t="s">
        <v>31</v>
      </c>
      <c r="E1440" s="71" t="s">
        <v>133</v>
      </c>
      <c r="F1440" s="77" t="s">
        <v>33</v>
      </c>
      <c r="G1440" s="71" t="s">
        <v>216</v>
      </c>
      <c r="H1440" s="169"/>
      <c r="I1440" s="169"/>
      <c r="J1440" s="76" t="s">
        <v>1092</v>
      </c>
      <c r="K1440" s="322"/>
      <c r="L1440" s="327">
        <v>102</v>
      </c>
      <c r="M1440" s="163">
        <f>M1439+K1440-L1440</f>
        <v>105515.48572000026</v>
      </c>
    </row>
    <row r="1441" spans="1:13">
      <c r="A1441" s="54" t="str">
        <f t="shared" si="24"/>
        <v/>
      </c>
      <c r="B1441" t="s">
        <v>1049</v>
      </c>
      <c r="C1441" s="1">
        <v>45785</v>
      </c>
      <c r="D1441" s="71"/>
      <c r="F1441" s="77"/>
      <c r="H1441" s="169"/>
      <c r="I1441" s="169"/>
      <c r="J1441" s="71" t="s">
        <v>260</v>
      </c>
      <c r="K1441" s="322">
        <f>226370.92-13761-6855</f>
        <v>205754.92</v>
      </c>
      <c r="L1441" s="360"/>
      <c r="M1441" s="163">
        <f>M1440+K1441-L1441</f>
        <v>311270.40572000027</v>
      </c>
    </row>
    <row r="1442" spans="1:13">
      <c r="A1442" s="54" t="str">
        <f t="shared" si="24"/>
        <v/>
      </c>
      <c r="B1442" t="s">
        <v>1049</v>
      </c>
      <c r="C1442" s="1">
        <v>45785</v>
      </c>
      <c r="D1442" s="71"/>
      <c r="F1442" s="77"/>
      <c r="H1442" s="169"/>
      <c r="I1442" s="169"/>
      <c r="J1442" s="71" t="s">
        <v>1093</v>
      </c>
      <c r="K1442" s="322">
        <f>5703+12357</f>
        <v>18060</v>
      </c>
      <c r="L1442" s="360"/>
      <c r="M1442" s="163">
        <f>M1441+K1442-L1442</f>
        <v>329330.40572000027</v>
      </c>
    </row>
    <row r="1443" spans="1:13">
      <c r="A1443" s="54" t="str">
        <f>D1443&amp;E1443&amp;F1443</f>
        <v>FINANZASCOMISIONES BANCARIASTPV</v>
      </c>
      <c r="B1443" t="s">
        <v>1049</v>
      </c>
      <c r="C1443" s="1">
        <v>45785</v>
      </c>
      <c r="D1443" s="71" t="s">
        <v>23</v>
      </c>
      <c r="E1443" s="71" t="s">
        <v>48</v>
      </c>
      <c r="F1443" s="77" t="s">
        <v>50</v>
      </c>
      <c r="G1443" s="71" t="s">
        <v>216</v>
      </c>
      <c r="H1443" s="169"/>
      <c r="I1443" s="169"/>
      <c r="J1443" s="71" t="s">
        <v>217</v>
      </c>
      <c r="K1443" s="322"/>
      <c r="L1443" s="327">
        <f>371.66+1044+519.35+1995.99+493.67+2687.93</f>
        <v>7112.6</v>
      </c>
      <c r="M1443" s="163">
        <f>M1442+K1443-L1443</f>
        <v>322217.80572000029</v>
      </c>
    </row>
    <row r="1444" spans="1:13">
      <c r="A1444" s="54" t="str">
        <f t="shared" si="24"/>
        <v/>
      </c>
      <c r="B1444" t="s">
        <v>1049</v>
      </c>
      <c r="C1444" s="1">
        <v>45785</v>
      </c>
      <c r="D1444" s="71"/>
      <c r="F1444" s="77"/>
      <c r="H1444" s="169" t="s">
        <v>219</v>
      </c>
      <c r="I1444" s="169"/>
      <c r="J1444" s="205" t="s">
        <v>577</v>
      </c>
      <c r="K1444" s="206"/>
      <c r="L1444" s="206">
        <v>100000</v>
      </c>
      <c r="M1444" s="163">
        <f>M1443+K1444-L1444</f>
        <v>222217.80572000029</v>
      </c>
    </row>
    <row r="1445" spans="1:13">
      <c r="A1445" s="54" t="str">
        <f t="shared" si="24"/>
        <v/>
      </c>
      <c r="B1445" t="s">
        <v>1049</v>
      </c>
      <c r="C1445" s="1">
        <v>45785</v>
      </c>
      <c r="D1445" s="71"/>
      <c r="F1445" s="77"/>
      <c r="H1445" s="169" t="s">
        <v>317</v>
      </c>
      <c r="I1445" s="169"/>
      <c r="J1445" s="205" t="s">
        <v>606</v>
      </c>
      <c r="K1445" s="206"/>
      <c r="L1445" s="206">
        <v>80000</v>
      </c>
      <c r="M1445" s="163">
        <f>M1444+K1445-L1445</f>
        <v>142217.80572000029</v>
      </c>
    </row>
    <row r="1446" spans="1:13">
      <c r="A1446" s="54" t="str">
        <f>D1446&amp;E1446&amp;F1446</f>
        <v>SERVICIOSINSUMOSCOFFE</v>
      </c>
      <c r="B1446" t="s">
        <v>1049</v>
      </c>
      <c r="C1446" s="1">
        <v>45785</v>
      </c>
      <c r="D1446" s="71" t="s">
        <v>21</v>
      </c>
      <c r="E1446" s="71" t="s">
        <v>133</v>
      </c>
      <c r="F1446" s="77" t="s">
        <v>135</v>
      </c>
      <c r="G1446" s="71" t="s">
        <v>216</v>
      </c>
      <c r="H1446" s="169"/>
      <c r="I1446" s="169"/>
      <c r="J1446" s="71" t="s">
        <v>1094</v>
      </c>
      <c r="K1446" s="332"/>
      <c r="L1446" s="326">
        <v>2725</v>
      </c>
      <c r="M1446" s="163">
        <f>M1445+K1446-L1446</f>
        <v>139492.80572000029</v>
      </c>
    </row>
    <row r="1447" spans="1:13">
      <c r="A1447" s="54" t="str">
        <f>D1447&amp;E1447&amp;F1447</f>
        <v>HRIMAGEN VISUALIMAGEN VISUAL HR</v>
      </c>
      <c r="B1447" t="s">
        <v>1049</v>
      </c>
      <c r="C1447" s="1">
        <v>45785</v>
      </c>
      <c r="D1447" s="71" t="s">
        <v>29</v>
      </c>
      <c r="E1447" s="71" t="s">
        <v>127</v>
      </c>
      <c r="F1447" s="77" t="s">
        <v>128</v>
      </c>
      <c r="G1447" s="71" t="s">
        <v>216</v>
      </c>
      <c r="H1447" s="169"/>
      <c r="I1447" s="169"/>
      <c r="J1447" s="181" t="s">
        <v>1095</v>
      </c>
      <c r="K1447" s="360"/>
      <c r="L1447" s="323">
        <v>13399.62</v>
      </c>
      <c r="M1447" s="163">
        <f>M1446+K1447-L1447</f>
        <v>126093.1857200003</v>
      </c>
    </row>
    <row r="1448" spans="1:13">
      <c r="A1448" s="54" t="str">
        <f>D1448&amp;E1448&amp;F1448</f>
        <v>SERVICIOSINSUMOSCADENA DE SUMINISTROS</v>
      </c>
      <c r="B1448" t="s">
        <v>1049</v>
      </c>
      <c r="C1448" s="1">
        <v>45785</v>
      </c>
      <c r="D1448" s="71" t="s">
        <v>21</v>
      </c>
      <c r="E1448" s="71" t="s">
        <v>133</v>
      </c>
      <c r="F1448" s="77" t="s">
        <v>134</v>
      </c>
      <c r="G1448" s="71" t="s">
        <v>258</v>
      </c>
      <c r="H1448" s="169"/>
      <c r="I1448" s="169"/>
      <c r="J1448" s="181" t="s">
        <v>1096</v>
      </c>
      <c r="K1448" s="322"/>
      <c r="L1448" s="323">
        <v>21445.54</v>
      </c>
      <c r="M1448" s="163">
        <f>M1447+K1448-L1448</f>
        <v>104647.64572000029</v>
      </c>
    </row>
    <row r="1449" spans="1:13">
      <c r="A1449" s="54" t="str">
        <f>D1449&amp;E1449&amp;F1449</f>
        <v>FINANZASTELEFONIATELCEL</v>
      </c>
      <c r="B1449" t="s">
        <v>1049</v>
      </c>
      <c r="C1449" s="1">
        <v>45785</v>
      </c>
      <c r="D1449" s="71" t="s">
        <v>23</v>
      </c>
      <c r="E1449" s="71" t="s">
        <v>181</v>
      </c>
      <c r="F1449" s="77" t="s">
        <v>183</v>
      </c>
      <c r="G1449" s="71" t="s">
        <v>258</v>
      </c>
      <c r="H1449" s="169"/>
      <c r="I1449" s="169"/>
      <c r="J1449" s="71" t="s">
        <v>1097</v>
      </c>
      <c r="K1449" s="332"/>
      <c r="L1449" s="323">
        <v>5511.02</v>
      </c>
      <c r="M1449" s="163">
        <f>M1448+K1449-L1449</f>
        <v>99136.625720000287</v>
      </c>
    </row>
    <row r="1450" spans="1:13">
      <c r="A1450" s="54" t="str">
        <f>D1450&amp;E1450&amp;F1450</f>
        <v>HRENERGIA ELECTRICAA1</v>
      </c>
      <c r="B1450" t="s">
        <v>1049</v>
      </c>
      <c r="C1450" s="1">
        <v>45785</v>
      </c>
      <c r="D1450" s="71" t="s">
        <v>29</v>
      </c>
      <c r="E1450" s="71" t="s">
        <v>87</v>
      </c>
      <c r="F1450" s="77" t="s">
        <v>88</v>
      </c>
      <c r="G1450" s="71" t="s">
        <v>216</v>
      </c>
      <c r="H1450" s="169"/>
      <c r="I1450" s="169"/>
      <c r="J1450" s="71" t="s">
        <v>1098</v>
      </c>
      <c r="K1450" s="332"/>
      <c r="L1450" s="323">
        <v>5953</v>
      </c>
      <c r="M1450" s="163">
        <f>M1449+K1450-L1450</f>
        <v>93183.625720000287</v>
      </c>
    </row>
    <row r="1451" spans="1:13">
      <c r="A1451" s="54" t="str">
        <f>D1451&amp;E1451&amp;F1451</f>
        <v>HRENERGIA ELECTRICAA18</v>
      </c>
      <c r="B1451" t="s">
        <v>1049</v>
      </c>
      <c r="C1451" s="1">
        <v>45785</v>
      </c>
      <c r="D1451" s="71" t="s">
        <v>29</v>
      </c>
      <c r="E1451" s="71" t="s">
        <v>87</v>
      </c>
      <c r="F1451" s="77" t="s">
        <v>103</v>
      </c>
      <c r="G1451" s="71" t="s">
        <v>216</v>
      </c>
      <c r="H1451" s="169"/>
      <c r="I1451" s="169"/>
      <c r="J1451" s="71" t="s">
        <v>1099</v>
      </c>
      <c r="K1451" s="332"/>
      <c r="L1451" s="323">
        <v>6024</v>
      </c>
      <c r="M1451" s="163">
        <f>M1450+K1451-L1451</f>
        <v>87159.625720000287</v>
      </c>
    </row>
    <row r="1452" spans="1:13">
      <c r="A1452" s="54" t="str">
        <f>D1452&amp;E1452&amp;F1452</f>
        <v>HRENERGIA ELECTRICAA23</v>
      </c>
      <c r="B1452" t="s">
        <v>1049</v>
      </c>
      <c r="C1452" s="1">
        <v>45785</v>
      </c>
      <c r="D1452" s="71" t="s">
        <v>29</v>
      </c>
      <c r="E1452" s="71" t="s">
        <v>87</v>
      </c>
      <c r="F1452" s="77" t="s">
        <v>105</v>
      </c>
      <c r="G1452" s="71" t="s">
        <v>216</v>
      </c>
      <c r="H1452" s="169"/>
      <c r="I1452" s="169"/>
      <c r="J1452" s="71" t="s">
        <v>1100</v>
      </c>
      <c r="K1452" s="332"/>
      <c r="L1452" s="323">
        <v>2814</v>
      </c>
      <c r="M1452" s="163">
        <f>M1451+K1452-L1452</f>
        <v>84345.625720000287</v>
      </c>
    </row>
    <row r="1453" spans="1:13">
      <c r="A1453" s="54" t="str">
        <f>D1453&amp;E1453&amp;F1453</f>
        <v>HRENERGIA ELECTRICAA9</v>
      </c>
      <c r="B1453" t="s">
        <v>1049</v>
      </c>
      <c r="C1453" s="1">
        <v>45785</v>
      </c>
      <c r="D1453" s="71" t="s">
        <v>29</v>
      </c>
      <c r="E1453" s="71" t="s">
        <v>87</v>
      </c>
      <c r="F1453" s="77" t="s">
        <v>95</v>
      </c>
      <c r="G1453" s="71" t="s">
        <v>216</v>
      </c>
      <c r="H1453" s="138"/>
      <c r="I1453" s="169"/>
      <c r="J1453" s="71" t="s">
        <v>1101</v>
      </c>
      <c r="K1453" s="322"/>
      <c r="L1453" s="323">
        <v>18256</v>
      </c>
      <c r="M1453" s="163">
        <f>M1452+K1453-L1453</f>
        <v>66089.625720000287</v>
      </c>
    </row>
    <row r="1454" spans="1:13">
      <c r="A1454" s="54" t="str">
        <f>D1454&amp;E1454&amp;F1454</f>
        <v>FINANZASINSUMOSFINANZAS</v>
      </c>
      <c r="B1454" t="s">
        <v>1049</v>
      </c>
      <c r="C1454" s="1">
        <v>45785</v>
      </c>
      <c r="D1454" s="71" t="s">
        <v>23</v>
      </c>
      <c r="E1454" s="71" t="s">
        <v>133</v>
      </c>
      <c r="F1454" s="77" t="s">
        <v>23</v>
      </c>
      <c r="G1454" s="71" t="s">
        <v>216</v>
      </c>
      <c r="H1454" s="169"/>
      <c r="I1454" s="169"/>
      <c r="J1454" s="71" t="s">
        <v>1102</v>
      </c>
      <c r="K1454" s="332"/>
      <c r="L1454" s="323">
        <v>250</v>
      </c>
      <c r="M1454" s="163">
        <f>M1453+K1454-L1454</f>
        <v>65839.625720000287</v>
      </c>
    </row>
    <row r="1455" spans="1:13">
      <c r="A1455" s="54" t="str">
        <f>D1455&amp;E1455&amp;F1455</f>
        <v>ELIVIATICOSL1</v>
      </c>
      <c r="B1455" t="s">
        <v>1049</v>
      </c>
      <c r="C1455" s="1">
        <v>45785</v>
      </c>
      <c r="D1455" s="71" t="s">
        <v>130</v>
      </c>
      <c r="E1455" s="71" t="s">
        <v>191</v>
      </c>
      <c r="F1455" s="77" t="s">
        <v>136</v>
      </c>
      <c r="G1455" s="71" t="s">
        <v>258</v>
      </c>
      <c r="H1455" s="169"/>
      <c r="I1455" s="169"/>
      <c r="J1455" s="71" t="s">
        <v>1103</v>
      </c>
      <c r="K1455" s="332"/>
      <c r="L1455" s="326">
        <v>1000</v>
      </c>
      <c r="M1455" s="163">
        <f>M1454+K1455-L1455</f>
        <v>64839.625720000287</v>
      </c>
    </row>
    <row r="1456" spans="1:13">
      <c r="A1456" s="54" t="str">
        <f>D1456&amp;E1456&amp;F1456</f>
        <v>HRUBERHR</v>
      </c>
      <c r="B1456" t="s">
        <v>1049</v>
      </c>
      <c r="C1456" s="1">
        <v>45785</v>
      </c>
      <c r="D1456" s="71" t="s">
        <v>29</v>
      </c>
      <c r="E1456" s="71" t="s">
        <v>189</v>
      </c>
      <c r="F1456" s="77" t="s">
        <v>29</v>
      </c>
      <c r="G1456" s="71" t="s">
        <v>216</v>
      </c>
      <c r="H1456" s="169"/>
      <c r="I1456" s="169"/>
      <c r="J1456" s="76" t="s">
        <v>1104</v>
      </c>
      <c r="K1456" s="322"/>
      <c r="L1456" s="525">
        <v>105</v>
      </c>
      <c r="M1456" s="163">
        <f>M1455+K1456-L1456</f>
        <v>64734.625720000287</v>
      </c>
    </row>
    <row r="1457" spans="1:13">
      <c r="A1457" s="54" t="str">
        <f>D1457&amp;E1457&amp;F1457</f>
        <v>CAPUBERCAP</v>
      </c>
      <c r="B1457" t="s">
        <v>1049</v>
      </c>
      <c r="C1457" s="1">
        <v>45785</v>
      </c>
      <c r="D1457" s="71" t="s">
        <v>31</v>
      </c>
      <c r="E1457" s="71" t="s">
        <v>189</v>
      </c>
      <c r="F1457" s="77" t="s">
        <v>31</v>
      </c>
      <c r="G1457" s="71" t="s">
        <v>216</v>
      </c>
      <c r="H1457" s="169"/>
      <c r="I1457" s="169"/>
      <c r="J1457" s="76" t="s">
        <v>253</v>
      </c>
      <c r="K1457" s="322"/>
      <c r="L1457" s="525">
        <v>255</v>
      </c>
      <c r="M1457" s="163">
        <f>M1456+K1457-L1457</f>
        <v>64479.625720000287</v>
      </c>
    </row>
    <row r="1458" spans="1:13">
      <c r="A1458" s="54" t="str">
        <f>D1458&amp;E1458&amp;F1458</f>
        <v>CAPINSUMOSCAPRICHOS</v>
      </c>
      <c r="B1458" t="s">
        <v>1049</v>
      </c>
      <c r="C1458" s="1">
        <v>45785</v>
      </c>
      <c r="D1458" s="71" t="s">
        <v>31</v>
      </c>
      <c r="E1458" s="71" t="s">
        <v>133</v>
      </c>
      <c r="F1458" s="77" t="s">
        <v>33</v>
      </c>
      <c r="G1458" s="71" t="s">
        <v>216</v>
      </c>
      <c r="H1458" s="169"/>
      <c r="I1458" s="169"/>
      <c r="J1458" s="76" t="s">
        <v>1105</v>
      </c>
      <c r="K1458" s="322"/>
      <c r="L1458" s="331">
        <v>60</v>
      </c>
      <c r="M1458" s="163">
        <f>M1457+K1458-L1458</f>
        <v>64419.625720000287</v>
      </c>
    </row>
    <row r="1459" spans="1:13">
      <c r="A1459" s="54" t="str">
        <f>D1459&amp;E1459&amp;F1459</f>
        <v>CAPINSUMOSCAPRICHOS</v>
      </c>
      <c r="B1459" t="s">
        <v>1049</v>
      </c>
      <c r="C1459" s="1">
        <v>45785</v>
      </c>
      <c r="D1459" s="71" t="s">
        <v>31</v>
      </c>
      <c r="E1459" s="71" t="s">
        <v>133</v>
      </c>
      <c r="F1459" s="77" t="s">
        <v>33</v>
      </c>
      <c r="G1459" s="71" t="s">
        <v>216</v>
      </c>
      <c r="H1459" s="169"/>
      <c r="I1459" s="169"/>
      <c r="J1459" s="76" t="s">
        <v>406</v>
      </c>
      <c r="K1459" s="322"/>
      <c r="L1459" s="327">
        <v>95</v>
      </c>
      <c r="M1459" s="163">
        <f>M1458+K1459-L1459</f>
        <v>64324.625720000287</v>
      </c>
    </row>
    <row r="1460" spans="1:13">
      <c r="A1460" s="54" t="str">
        <f>D1460&amp;E1460&amp;F1460</f>
        <v>CAPUBERCAP</v>
      </c>
      <c r="B1460" t="s">
        <v>1049</v>
      </c>
      <c r="C1460" s="1">
        <v>45785</v>
      </c>
      <c r="D1460" s="71" t="s">
        <v>31</v>
      </c>
      <c r="E1460" s="71" t="s">
        <v>189</v>
      </c>
      <c r="F1460" s="77" t="s">
        <v>31</v>
      </c>
      <c r="G1460" s="71" t="s">
        <v>216</v>
      </c>
      <c r="H1460" s="169"/>
      <c r="I1460" s="169"/>
      <c r="J1460" s="76" t="s">
        <v>257</v>
      </c>
      <c r="K1460" s="322"/>
      <c r="L1460" s="525">
        <v>120</v>
      </c>
      <c r="M1460" s="163">
        <f>M1459+K1460-L1460</f>
        <v>64204.625720000287</v>
      </c>
    </row>
    <row r="1461" spans="1:13">
      <c r="A1461" s="54" t="str">
        <f>D1461&amp;E1461&amp;F1461</f>
        <v>CAPINSUMOSCAPRICHOS</v>
      </c>
      <c r="B1461" t="s">
        <v>1049</v>
      </c>
      <c r="C1461" s="1">
        <v>45785</v>
      </c>
      <c r="D1461" s="71" t="s">
        <v>31</v>
      </c>
      <c r="E1461" s="71" t="s">
        <v>133</v>
      </c>
      <c r="F1461" s="77" t="s">
        <v>33</v>
      </c>
      <c r="G1461" s="71" t="s">
        <v>216</v>
      </c>
      <c r="H1461" s="169"/>
      <c r="I1461" s="169"/>
      <c r="J1461" s="76" t="s">
        <v>362</v>
      </c>
      <c r="K1461" s="322"/>
      <c r="L1461" s="327">
        <v>223</v>
      </c>
      <c r="M1461" s="163">
        <f>M1460+K1461-L1461</f>
        <v>63981.625720000287</v>
      </c>
    </row>
    <row r="1462" spans="1:13">
      <c r="A1462" s="54" t="str">
        <f>D1462&amp;E1462&amp;F1462</f>
        <v>CAPCOMBUSTIBLECAPRICHOS</v>
      </c>
      <c r="B1462" t="s">
        <v>1049</v>
      </c>
      <c r="C1462" s="1">
        <v>45785</v>
      </c>
      <c r="D1462" s="71" t="s">
        <v>31</v>
      </c>
      <c r="E1462" s="71" t="s">
        <v>32</v>
      </c>
      <c r="F1462" s="77" t="s">
        <v>33</v>
      </c>
      <c r="G1462" s="71" t="s">
        <v>216</v>
      </c>
      <c r="H1462" s="169"/>
      <c r="I1462" s="169"/>
      <c r="J1462" s="76" t="s">
        <v>1106</v>
      </c>
      <c r="K1462" s="322"/>
      <c r="L1462" s="327">
        <v>300</v>
      </c>
      <c r="M1462" s="163">
        <f>M1461+K1462-L1462</f>
        <v>63681.625720000287</v>
      </c>
    </row>
    <row r="1463" spans="1:13">
      <c r="A1463" s="54" t="str">
        <f t="shared" si="24"/>
        <v/>
      </c>
      <c r="B1463" t="s">
        <v>1049</v>
      </c>
      <c r="C1463" s="1">
        <v>45786</v>
      </c>
      <c r="D1463" s="71"/>
      <c r="F1463" s="77"/>
      <c r="H1463" s="169"/>
      <c r="I1463" s="169"/>
      <c r="J1463" s="71" t="s">
        <v>260</v>
      </c>
      <c r="K1463" s="365">
        <f>320785.84-21691+6855</f>
        <v>305949.84000000003</v>
      </c>
      <c r="L1463" s="363"/>
      <c r="M1463" s="163">
        <f>M1462+K1463-L1463</f>
        <v>369631.46572000033</v>
      </c>
    </row>
    <row r="1464" spans="1:13">
      <c r="A1464" s="54" t="str">
        <f>D1464&amp;E1464&amp;F1464</f>
        <v>FINANZASCOMISIONES BANCARIASTPV</v>
      </c>
      <c r="B1464" t="s">
        <v>1049</v>
      </c>
      <c r="C1464" s="1">
        <v>45786</v>
      </c>
      <c r="D1464" s="71" t="s">
        <v>23</v>
      </c>
      <c r="E1464" s="71" t="s">
        <v>48</v>
      </c>
      <c r="F1464" s="77" t="s">
        <v>50</v>
      </c>
      <c r="H1464" s="169"/>
      <c r="I1464" s="169"/>
      <c r="J1464" s="71" t="s">
        <v>217</v>
      </c>
      <c r="K1464" s="322"/>
      <c r="L1464" s="323">
        <f>566.88+548.2+2713.22+131.56</f>
        <v>3959.8599999999997</v>
      </c>
      <c r="M1464" s="163">
        <f>M1463+K1464-L1464</f>
        <v>365671.60572000034</v>
      </c>
    </row>
    <row r="1465" spans="1:13">
      <c r="A1465" s="54" t="str">
        <f t="shared" si="24"/>
        <v/>
      </c>
      <c r="B1465" t="s">
        <v>1049</v>
      </c>
      <c r="C1465" s="1">
        <v>45786</v>
      </c>
      <c r="D1465" s="71"/>
      <c r="F1465" s="77"/>
      <c r="H1465" s="169" t="s">
        <v>219</v>
      </c>
      <c r="I1465" s="169"/>
      <c r="J1465" s="205" t="s">
        <v>1107</v>
      </c>
      <c r="K1465" s="206"/>
      <c r="L1465" s="206">
        <v>60000</v>
      </c>
      <c r="M1465" s="163">
        <f>M1464+K1465-L1465</f>
        <v>305671.60572000034</v>
      </c>
    </row>
    <row r="1466" spans="1:13">
      <c r="A1466" s="54" t="str">
        <f t="shared" si="24"/>
        <v/>
      </c>
      <c r="B1466" t="s">
        <v>1049</v>
      </c>
      <c r="C1466" s="1">
        <v>45786</v>
      </c>
      <c r="D1466" s="71"/>
      <c r="F1466" s="77"/>
      <c r="H1466" s="169" t="s">
        <v>221</v>
      </c>
      <c r="I1466" s="169"/>
      <c r="J1466" s="205" t="s">
        <v>222</v>
      </c>
      <c r="K1466" s="206"/>
      <c r="L1466" s="206">
        <v>150000</v>
      </c>
      <c r="M1466" s="163">
        <f>M1465+K1466-L1466</f>
        <v>155671.60572000034</v>
      </c>
    </row>
    <row r="1467" spans="1:13">
      <c r="A1467" s="54" t="str">
        <f>D1467&amp;E1467&amp;F1467</f>
        <v>SERVICIOSMTTO EQ DE TRANSPORTECEDIS</v>
      </c>
      <c r="B1467" t="s">
        <v>1049</v>
      </c>
      <c r="C1467" s="1">
        <v>45786</v>
      </c>
      <c r="D1467" s="71" t="s">
        <v>21</v>
      </c>
      <c r="E1467" s="71" t="s">
        <v>144</v>
      </c>
      <c r="F1467" s="77" t="s">
        <v>28</v>
      </c>
      <c r="G1467" s="71" t="s">
        <v>258</v>
      </c>
      <c r="H1467" s="169"/>
      <c r="I1467" s="169"/>
      <c r="J1467" s="71" t="s">
        <v>1108</v>
      </c>
      <c r="K1467" s="322"/>
      <c r="L1467" s="417">
        <v>7832</v>
      </c>
      <c r="M1467" s="163">
        <f>M1466+K1467-L1467</f>
        <v>147839.60572000034</v>
      </c>
    </row>
    <row r="1468" spans="1:13">
      <c r="A1468" s="54" t="str">
        <f>D1468&amp;E1468&amp;F1468</f>
        <v>SERVICIOSVIATICOSCOMPRAS</v>
      </c>
      <c r="B1468" t="s">
        <v>1049</v>
      </c>
      <c r="C1468" s="1">
        <v>45786</v>
      </c>
      <c r="D1468" s="71" t="s">
        <v>21</v>
      </c>
      <c r="E1468" s="71" t="s">
        <v>191</v>
      </c>
      <c r="F1468" s="77" t="s">
        <v>148</v>
      </c>
      <c r="G1468" s="71" t="s">
        <v>216</v>
      </c>
      <c r="H1468" s="169"/>
      <c r="I1468" s="169"/>
      <c r="J1468" s="71" t="s">
        <v>287</v>
      </c>
      <c r="K1468" s="322"/>
      <c r="L1468" s="323">
        <v>600</v>
      </c>
      <c r="M1468" s="163">
        <f>M1467+K1468-L1468</f>
        <v>147239.60572000034</v>
      </c>
    </row>
    <row r="1469" spans="1:13">
      <c r="A1469" s="54" t="str">
        <f>D1469&amp;E1469&amp;F1469</f>
        <v>SERVICIOSMTTO DE EDIFICIOMANTENIMIENTO</v>
      </c>
      <c r="B1469" t="s">
        <v>1049</v>
      </c>
      <c r="C1469" s="1">
        <v>45786</v>
      </c>
      <c r="D1469" s="71" t="s">
        <v>21</v>
      </c>
      <c r="E1469" s="71" t="s">
        <v>142</v>
      </c>
      <c r="F1469" s="77" t="s">
        <v>35</v>
      </c>
      <c r="G1469" s="71" t="s">
        <v>216</v>
      </c>
      <c r="H1469" s="169"/>
      <c r="I1469" s="169"/>
      <c r="J1469" s="71" t="s">
        <v>879</v>
      </c>
      <c r="K1469" s="180"/>
      <c r="L1469" s="323">
        <v>1900</v>
      </c>
      <c r="M1469" s="163">
        <f>M1468+K1469-L1469</f>
        <v>145339.60572000034</v>
      </c>
    </row>
    <row r="1470" spans="1:13">
      <c r="A1470" s="54" t="str">
        <f>D1470&amp;E1470&amp;F1470</f>
        <v>SGEVIATICOSGESTION EMPRESARIAL</v>
      </c>
      <c r="B1470" t="s">
        <v>1049</v>
      </c>
      <c r="C1470" s="1">
        <v>45786</v>
      </c>
      <c r="D1470" s="71" t="s">
        <v>39</v>
      </c>
      <c r="E1470" s="71" t="s">
        <v>191</v>
      </c>
      <c r="F1470" s="77" t="s">
        <v>40</v>
      </c>
      <c r="G1470" s="71" t="s">
        <v>216</v>
      </c>
      <c r="H1470" s="169"/>
      <c r="I1470" s="169"/>
      <c r="J1470" s="71" t="s">
        <v>338</v>
      </c>
      <c r="K1470" s="180"/>
      <c r="L1470" s="323">
        <v>1800</v>
      </c>
      <c r="M1470" s="163">
        <f>M1469+K1470-L1470</f>
        <v>143539.60572000034</v>
      </c>
    </row>
    <row r="1471" spans="1:13">
      <c r="A1471" s="54" t="str">
        <f>D1471&amp;E1471&amp;F1471</f>
        <v>SERVICIOSVIATICOSCEDIS</v>
      </c>
      <c r="B1471" t="s">
        <v>1049</v>
      </c>
      <c r="C1471" s="1">
        <v>45786</v>
      </c>
      <c r="D1471" s="71" t="s">
        <v>21</v>
      </c>
      <c r="E1471" s="71" t="s">
        <v>191</v>
      </c>
      <c r="F1471" s="77" t="s">
        <v>28</v>
      </c>
      <c r="G1471" s="71" t="s">
        <v>216</v>
      </c>
      <c r="H1471" s="169"/>
      <c r="I1471" s="169"/>
      <c r="J1471" s="71" t="s">
        <v>1004</v>
      </c>
      <c r="K1471" s="180"/>
      <c r="L1471" s="323">
        <v>2050</v>
      </c>
      <c r="M1471" s="163">
        <f>M1470+K1471-L1471</f>
        <v>141489.60572000034</v>
      </c>
    </row>
    <row r="1472" spans="1:13">
      <c r="A1472" s="54" t="str">
        <f t="shared" si="24"/>
        <v>COMBUSTIBLE</v>
      </c>
      <c r="B1472" t="s">
        <v>1049</v>
      </c>
      <c r="C1472" s="1">
        <v>45786</v>
      </c>
      <c r="D1472" s="71"/>
      <c r="E1472" s="71" t="s">
        <v>32</v>
      </c>
      <c r="F1472" s="77"/>
      <c r="G1472" s="71" t="s">
        <v>216</v>
      </c>
      <c r="H1472" s="285" t="s">
        <v>32</v>
      </c>
      <c r="I1472" s="169"/>
      <c r="J1472" s="71" t="s">
        <v>440</v>
      </c>
      <c r="K1472" s="180"/>
      <c r="L1472" s="323">
        <v>32618.2</v>
      </c>
      <c r="M1472" s="163">
        <f>M1471+K1472-L1472</f>
        <v>108871.40572000034</v>
      </c>
    </row>
    <row r="1473" spans="1:13">
      <c r="A1473" s="54" t="str">
        <f>D1473&amp;E1473&amp;F1473</f>
        <v>CAPJMASE8</v>
      </c>
      <c r="B1473" t="s">
        <v>1049</v>
      </c>
      <c r="C1473" s="1">
        <v>45786</v>
      </c>
      <c r="D1473" s="71" t="s">
        <v>31</v>
      </c>
      <c r="E1473" s="71" t="s">
        <v>137</v>
      </c>
      <c r="F1473" s="77" t="s">
        <v>114</v>
      </c>
      <c r="G1473" s="71" t="s">
        <v>258</v>
      </c>
      <c r="H1473" s="169"/>
      <c r="I1473" s="169"/>
      <c r="J1473" s="71" t="s">
        <v>1109</v>
      </c>
      <c r="K1473" s="180"/>
      <c r="L1473" s="323">
        <v>1509.07</v>
      </c>
      <c r="M1473" s="163">
        <f>M1472+K1473-L1473</f>
        <v>107362.33572000034</v>
      </c>
    </row>
    <row r="1474" spans="1:13">
      <c r="A1474" s="54" t="str">
        <f>D1474&amp;E1474&amp;F1474</f>
        <v>HRUBERHR</v>
      </c>
      <c r="B1474" t="s">
        <v>1049</v>
      </c>
      <c r="C1474" s="1">
        <v>45786</v>
      </c>
      <c r="D1474" s="71" t="s">
        <v>29</v>
      </c>
      <c r="E1474" s="71" t="s">
        <v>189</v>
      </c>
      <c r="F1474" s="77" t="s">
        <v>29</v>
      </c>
      <c r="G1474" s="71" t="s">
        <v>216</v>
      </c>
      <c r="H1474" s="169"/>
      <c r="I1474" s="169"/>
      <c r="J1474" s="76" t="s">
        <v>291</v>
      </c>
      <c r="K1474" s="322"/>
      <c r="L1474" s="525">
        <v>154</v>
      </c>
      <c r="M1474" s="163">
        <f>M1473+K1474-L1474</f>
        <v>107208.33572000034</v>
      </c>
    </row>
    <row r="1475" spans="1:13">
      <c r="A1475" s="54" t="str">
        <f>D1475&amp;E1475&amp;F1475</f>
        <v>CAPUBERCAP</v>
      </c>
      <c r="B1475" t="s">
        <v>1049</v>
      </c>
      <c r="C1475" s="1">
        <v>45786</v>
      </c>
      <c r="D1475" s="71" t="s">
        <v>31</v>
      </c>
      <c r="E1475" s="71" t="s">
        <v>189</v>
      </c>
      <c r="F1475" s="77" t="s">
        <v>31</v>
      </c>
      <c r="G1475" s="71" t="s">
        <v>216</v>
      </c>
      <c r="H1475" s="169"/>
      <c r="I1475" s="169"/>
      <c r="J1475" s="76" t="s">
        <v>308</v>
      </c>
      <c r="K1475" s="322"/>
      <c r="L1475" s="525">
        <v>73</v>
      </c>
      <c r="M1475" s="163">
        <f>M1474+K1475-L1475</f>
        <v>107135.33572000034</v>
      </c>
    </row>
    <row r="1476" spans="1:13">
      <c r="A1476" s="54" t="str">
        <f>D1476&amp;E1476&amp;F1476</f>
        <v>HRNOMINA SUCURSALA14</v>
      </c>
      <c r="B1476" t="s">
        <v>1049</v>
      </c>
      <c r="C1476" s="1">
        <v>45786</v>
      </c>
      <c r="D1476" s="71" t="s">
        <v>29</v>
      </c>
      <c r="E1476" s="71" t="s">
        <v>154</v>
      </c>
      <c r="F1476" s="77" t="s">
        <v>99</v>
      </c>
      <c r="G1476" s="71" t="s">
        <v>216</v>
      </c>
      <c r="H1476" s="169"/>
      <c r="I1476" s="169"/>
      <c r="J1476" s="76" t="s">
        <v>1008</v>
      </c>
      <c r="K1476" s="322"/>
      <c r="L1476" s="327">
        <v>700</v>
      </c>
      <c r="M1476" s="163">
        <f>M1475+K1476-L1476</f>
        <v>106435.33572000034</v>
      </c>
    </row>
    <row r="1477" spans="1:13">
      <c r="A1477" s="54" t="str">
        <f>D1477&amp;E1477&amp;F1477</f>
        <v>FINANZASCUOTAS Y SUSCRIPCIONESCANACO</v>
      </c>
      <c r="B1477" t="s">
        <v>1049</v>
      </c>
      <c r="C1477" s="1">
        <v>45786</v>
      </c>
      <c r="D1477" s="71" t="s">
        <v>23</v>
      </c>
      <c r="E1477" s="178" t="s">
        <v>51</v>
      </c>
      <c r="F1477" s="77" t="s">
        <v>67</v>
      </c>
      <c r="G1477" s="71" t="s">
        <v>258</v>
      </c>
      <c r="H1477" s="169"/>
      <c r="I1477" s="169"/>
      <c r="J1477" s="76" t="s">
        <v>1110</v>
      </c>
      <c r="K1477" s="322"/>
      <c r="L1477" s="327">
        <v>650</v>
      </c>
      <c r="M1477" s="163">
        <f>M1476+K1477-L1477</f>
        <v>105785.33572000034</v>
      </c>
    </row>
    <row r="1478" spans="1:13">
      <c r="A1478" s="54" t="str">
        <f>D1478&amp;E1478&amp;F1478</f>
        <v>CAPUBERCAP</v>
      </c>
      <c r="B1478" t="s">
        <v>1049</v>
      </c>
      <c r="C1478" s="1">
        <v>45786</v>
      </c>
      <c r="D1478" s="71" t="s">
        <v>31</v>
      </c>
      <c r="E1478" s="71" t="s">
        <v>189</v>
      </c>
      <c r="F1478" s="77" t="s">
        <v>31</v>
      </c>
      <c r="G1478" s="71" t="s">
        <v>216</v>
      </c>
      <c r="H1478" s="169"/>
      <c r="I1478" s="169"/>
      <c r="J1478" s="284" t="s">
        <v>253</v>
      </c>
      <c r="K1478" s="322"/>
      <c r="L1478" s="525">
        <v>655</v>
      </c>
      <c r="M1478" s="163">
        <f>M1477+K1478-L1478</f>
        <v>105130.33572000034</v>
      </c>
    </row>
    <row r="1479" spans="1:13">
      <c r="A1479" s="54" t="str">
        <f>D1479&amp;E1479&amp;F1479</f>
        <v>CAPJMASE3</v>
      </c>
      <c r="B1479" t="s">
        <v>1049</v>
      </c>
      <c r="C1479" s="1">
        <v>45786</v>
      </c>
      <c r="D1479" s="71" t="s">
        <v>31</v>
      </c>
      <c r="E1479" s="71" t="s">
        <v>137</v>
      </c>
      <c r="F1479" s="77" t="s">
        <v>109</v>
      </c>
      <c r="G1479" s="71" t="s">
        <v>216</v>
      </c>
      <c r="H1479" s="169"/>
      <c r="I1479" s="169"/>
      <c r="J1479" s="284" t="s">
        <v>587</v>
      </c>
      <c r="K1479" s="322"/>
      <c r="L1479" s="327">
        <v>361</v>
      </c>
      <c r="M1479" s="163">
        <f>M1478+K1479-L1479</f>
        <v>104769.33572000034</v>
      </c>
    </row>
    <row r="1480" spans="1:13">
      <c r="A1480" s="54" t="str">
        <f>D1480&amp;E1480&amp;F1480</f>
        <v>CAPINSUMOSCAPRICHOS</v>
      </c>
      <c r="B1480" t="s">
        <v>1049</v>
      </c>
      <c r="C1480" s="1">
        <v>45786</v>
      </c>
      <c r="D1480" s="71" t="s">
        <v>31</v>
      </c>
      <c r="E1480" s="71" t="s">
        <v>133</v>
      </c>
      <c r="F1480" s="77" t="s">
        <v>33</v>
      </c>
      <c r="G1480" s="71" t="s">
        <v>216</v>
      </c>
      <c r="H1480" s="169"/>
      <c r="I1480" s="169"/>
      <c r="J1480" s="284" t="s">
        <v>457</v>
      </c>
      <c r="K1480" s="322"/>
      <c r="L1480" s="327">
        <v>390</v>
      </c>
      <c r="M1480" s="163">
        <f>M1479+K1480-L1480</f>
        <v>104379.33572000034</v>
      </c>
    </row>
    <row r="1481" spans="1:13">
      <c r="A1481" s="54" t="str">
        <f>D1481&amp;E1481&amp;F1481</f>
        <v>CAPUBERCAP</v>
      </c>
      <c r="B1481" t="s">
        <v>1049</v>
      </c>
      <c r="C1481" s="1">
        <v>45786</v>
      </c>
      <c r="D1481" s="71" t="s">
        <v>31</v>
      </c>
      <c r="E1481" s="71" t="s">
        <v>189</v>
      </c>
      <c r="F1481" s="77" t="s">
        <v>31</v>
      </c>
      <c r="G1481" s="71" t="s">
        <v>216</v>
      </c>
      <c r="H1481" s="169"/>
      <c r="I1481" s="169"/>
      <c r="J1481" s="284" t="s">
        <v>257</v>
      </c>
      <c r="K1481" s="322"/>
      <c r="L1481" s="525">
        <v>120</v>
      </c>
      <c r="M1481" s="163">
        <f>M1480+K1481-L1481</f>
        <v>104259.33572000034</v>
      </c>
    </row>
    <row r="1482" spans="1:13">
      <c r="A1482" s="54" t="str">
        <f>D1482&amp;E1482&amp;F1482</f>
        <v>SERVICIOSMTTO DE EDIFICIOMANTENIMIENTO</v>
      </c>
      <c r="B1482" t="s">
        <v>1049</v>
      </c>
      <c r="C1482" s="1">
        <v>45786</v>
      </c>
      <c r="D1482" s="71" t="s">
        <v>21</v>
      </c>
      <c r="E1482" s="71" t="s">
        <v>142</v>
      </c>
      <c r="F1482" s="77" t="s">
        <v>35</v>
      </c>
      <c r="G1482" s="71" t="s">
        <v>216</v>
      </c>
      <c r="H1482" s="169"/>
      <c r="I1482" s="169"/>
      <c r="J1482" s="284" t="s">
        <v>1111</v>
      </c>
      <c r="K1482" s="366"/>
      <c r="L1482" s="327">
        <v>500</v>
      </c>
      <c r="M1482" s="163">
        <f>M1481+K1482-L1482</f>
        <v>103759.33572000034</v>
      </c>
    </row>
    <row r="1483" spans="1:13">
      <c r="A1483" s="54" t="str">
        <f t="shared" ref="A1481:A1544" si="25">D1483&amp;E1483&amp;F1483</f>
        <v/>
      </c>
      <c r="B1483" t="s">
        <v>1049</v>
      </c>
      <c r="C1483" s="1">
        <v>45789</v>
      </c>
      <c r="D1483" s="71"/>
      <c r="F1483" s="77"/>
      <c r="H1483" s="169"/>
      <c r="I1483" s="169"/>
      <c r="J1483" s="71" t="s">
        <v>260</v>
      </c>
      <c r="K1483" s="322">
        <f>1352169.35-23326-12165.5</f>
        <v>1316677.8500000001</v>
      </c>
      <c r="L1483" s="367"/>
      <c r="M1483" s="163">
        <f>M1482+K1483-L1483</f>
        <v>1420437.1857200004</v>
      </c>
    </row>
    <row r="1484" spans="1:13">
      <c r="A1484" s="54" t="str">
        <f t="shared" si="25"/>
        <v/>
      </c>
      <c r="B1484" t="s">
        <v>1049</v>
      </c>
      <c r="C1484" s="1">
        <v>45789</v>
      </c>
      <c r="D1484" s="71"/>
      <c r="F1484" s="77"/>
      <c r="H1484" s="169"/>
      <c r="I1484" s="169"/>
      <c r="J1484" s="71" t="s">
        <v>1112</v>
      </c>
      <c r="K1484" s="322">
        <f>12906+13761+21691</f>
        <v>48358</v>
      </c>
      <c r="L1484" s="367"/>
      <c r="M1484" s="163">
        <f>M1483+K1484-L1484</f>
        <v>1468795.1857200004</v>
      </c>
    </row>
    <row r="1485" spans="1:13">
      <c r="A1485" s="54" t="str">
        <f>D1485&amp;E1485&amp;F1485</f>
        <v>FINANZASCOMISIONES BANCARIASTPV</v>
      </c>
      <c r="B1485" t="s">
        <v>1049</v>
      </c>
      <c r="C1485" s="1">
        <v>45789</v>
      </c>
      <c r="D1485" s="71" t="s">
        <v>23</v>
      </c>
      <c r="E1485" s="71" t="s">
        <v>48</v>
      </c>
      <c r="F1485" s="77" t="s">
        <v>50</v>
      </c>
      <c r="H1485" s="169"/>
      <c r="I1485" s="169"/>
      <c r="J1485" s="71" t="s">
        <v>217</v>
      </c>
      <c r="K1485" s="322"/>
      <c r="L1485" s="335">
        <f>1157.46+3219.31+540.71</f>
        <v>4917.4800000000005</v>
      </c>
      <c r="M1485" s="163">
        <f>M1484+K1485-L1485</f>
        <v>1463877.7057200004</v>
      </c>
    </row>
    <row r="1486" spans="1:13">
      <c r="A1486" s="54" t="str">
        <f t="shared" si="25"/>
        <v/>
      </c>
      <c r="B1486" t="s">
        <v>1049</v>
      </c>
      <c r="C1486" s="1">
        <v>45789</v>
      </c>
      <c r="D1486" s="71"/>
      <c r="F1486" s="77"/>
      <c r="H1486" s="169" t="s">
        <v>219</v>
      </c>
      <c r="I1486" s="169"/>
      <c r="J1486" s="205" t="s">
        <v>220</v>
      </c>
      <c r="K1486" s="206"/>
      <c r="L1486" s="206">
        <v>600000</v>
      </c>
      <c r="M1486" s="163">
        <f>M1485+K1486-L1486</f>
        <v>863877.70572000043</v>
      </c>
    </row>
    <row r="1487" spans="1:13">
      <c r="A1487" s="54" t="str">
        <f t="shared" si="25"/>
        <v/>
      </c>
      <c r="B1487" t="s">
        <v>1049</v>
      </c>
      <c r="C1487" s="1">
        <v>45789</v>
      </c>
      <c r="D1487" s="71"/>
      <c r="F1487" s="77"/>
      <c r="H1487" s="169" t="s">
        <v>221</v>
      </c>
      <c r="I1487" s="169"/>
      <c r="J1487" s="205" t="s">
        <v>222</v>
      </c>
      <c r="K1487" s="206"/>
      <c r="L1487" s="206">
        <v>300000</v>
      </c>
      <c r="M1487" s="163">
        <f>M1486+K1487-L1487</f>
        <v>563877.70572000043</v>
      </c>
    </row>
    <row r="1488" spans="1:13">
      <c r="A1488" s="54" t="str">
        <f t="shared" si="25"/>
        <v/>
      </c>
      <c r="B1488" t="s">
        <v>1049</v>
      </c>
      <c r="C1488" s="1">
        <v>45789</v>
      </c>
      <c r="D1488" s="71"/>
      <c r="F1488" s="77"/>
      <c r="H1488" s="169" t="s">
        <v>317</v>
      </c>
      <c r="I1488" s="169"/>
      <c r="J1488" s="205" t="s">
        <v>318</v>
      </c>
      <c r="K1488" s="206"/>
      <c r="L1488" s="206">
        <v>300000</v>
      </c>
      <c r="M1488" s="163">
        <f>M1487+K1488-L1488</f>
        <v>263877.70572000043</v>
      </c>
    </row>
    <row r="1489" spans="1:13">
      <c r="A1489" s="54" t="str">
        <f>D1489&amp;E1489&amp;F1489</f>
        <v>SERVICIOSPAQUETERIACEDIS (E6)</v>
      </c>
      <c r="B1489" t="s">
        <v>1049</v>
      </c>
      <c r="C1489" s="1">
        <v>45789</v>
      </c>
      <c r="D1489" s="71" t="s">
        <v>21</v>
      </c>
      <c r="E1489" s="71" t="s">
        <v>160</v>
      </c>
      <c r="F1489" s="77" t="s">
        <v>161</v>
      </c>
      <c r="G1489" s="71" t="s">
        <v>216</v>
      </c>
      <c r="H1489" s="169"/>
      <c r="I1489" s="169"/>
      <c r="J1489" s="71" t="s">
        <v>229</v>
      </c>
      <c r="K1489" s="332"/>
      <c r="L1489" s="323">
        <v>2395.06</v>
      </c>
      <c r="M1489" s="163">
        <f>M1488+K1489-L1489</f>
        <v>261482.64572000044</v>
      </c>
    </row>
    <row r="1490" spans="1:13">
      <c r="A1490" s="54" t="str">
        <f>D1490&amp;E1490&amp;F1490</f>
        <v>FINANZASFONDO Y REPOSICIONFINANZAS</v>
      </c>
      <c r="B1490" t="s">
        <v>1049</v>
      </c>
      <c r="C1490" s="1">
        <v>45789</v>
      </c>
      <c r="D1490" s="71" t="s">
        <v>23</v>
      </c>
      <c r="E1490" s="71" t="s">
        <v>120</v>
      </c>
      <c r="F1490" s="77" t="s">
        <v>23</v>
      </c>
      <c r="G1490" s="71" t="s">
        <v>216</v>
      </c>
      <c r="H1490" s="169"/>
      <c r="I1490" s="169"/>
      <c r="J1490" s="71" t="s">
        <v>1113</v>
      </c>
      <c r="K1490" s="322"/>
      <c r="L1490" s="323">
        <v>300</v>
      </c>
      <c r="M1490" s="163">
        <f>M1489+K1490-L1490</f>
        <v>261182.64572000044</v>
      </c>
    </row>
    <row r="1491" spans="1:13">
      <c r="A1491" s="54" t="str">
        <f>D1491&amp;E1491&amp;F1491</f>
        <v>FINANZASFONDO Y REPOSICIONFINANZAS</v>
      </c>
      <c r="B1491" t="s">
        <v>1049</v>
      </c>
      <c r="C1491" s="1">
        <v>45789</v>
      </c>
      <c r="D1491" s="71" t="s">
        <v>23</v>
      </c>
      <c r="E1491" s="71" t="s">
        <v>120</v>
      </c>
      <c r="F1491" s="77" t="s">
        <v>23</v>
      </c>
      <c r="G1491" s="71" t="s">
        <v>216</v>
      </c>
      <c r="H1491" s="169"/>
      <c r="I1491" s="169"/>
      <c r="J1491" s="71" t="s">
        <v>1114</v>
      </c>
      <c r="K1491" s="322"/>
      <c r="L1491" s="323">
        <v>50</v>
      </c>
      <c r="M1491" s="163">
        <f>M1490+K1491-L1491</f>
        <v>261132.64572000044</v>
      </c>
    </row>
    <row r="1492" spans="1:13">
      <c r="A1492" s="54" t="str">
        <f>D1492&amp;E1492&amp;F1492</f>
        <v>FINANZASMTTO EQ DE TRANSPORTETESORERIA</v>
      </c>
      <c r="B1492" t="s">
        <v>1049</v>
      </c>
      <c r="C1492" s="1">
        <v>45789</v>
      </c>
      <c r="D1492" s="71" t="s">
        <v>23</v>
      </c>
      <c r="E1492" s="71" t="s">
        <v>144</v>
      </c>
      <c r="F1492" s="77" t="s">
        <v>38</v>
      </c>
      <c r="G1492" s="71" t="s">
        <v>258</v>
      </c>
      <c r="H1492" s="169"/>
      <c r="I1492" s="169"/>
      <c r="J1492" s="71" t="s">
        <v>1115</v>
      </c>
      <c r="K1492" s="322"/>
      <c r="L1492" s="323">
        <v>679</v>
      </c>
      <c r="M1492" s="163">
        <f>M1491+K1492-L1492</f>
        <v>260453.64572000044</v>
      </c>
    </row>
    <row r="1493" spans="1:13">
      <c r="A1493" s="54" t="str">
        <f>D1493&amp;E1493&amp;F1493</f>
        <v>FINANZASVIATICOSFINANZAS</v>
      </c>
      <c r="B1493" t="s">
        <v>1049</v>
      </c>
      <c r="C1493" s="1">
        <v>45789</v>
      </c>
      <c r="D1493" s="71" t="s">
        <v>23</v>
      </c>
      <c r="E1493" s="71" t="s">
        <v>191</v>
      </c>
      <c r="F1493" s="77" t="s">
        <v>23</v>
      </c>
      <c r="G1493" s="71" t="s">
        <v>258</v>
      </c>
      <c r="H1493" s="169"/>
      <c r="I1493" s="169"/>
      <c r="J1493" s="71" t="s">
        <v>1116</v>
      </c>
      <c r="K1493" s="180"/>
      <c r="L1493" s="323">
        <v>600</v>
      </c>
      <c r="M1493" s="163">
        <f>M1492+K1493-L1493</f>
        <v>259853.64572000044</v>
      </c>
    </row>
    <row r="1494" spans="1:13">
      <c r="A1494" s="54" t="str">
        <f>D1494&amp;E1494&amp;F1494</f>
        <v>SERVICIOSMTTO DE EDIFICIOMANTENIMIENTO</v>
      </c>
      <c r="B1494" t="s">
        <v>1049</v>
      </c>
      <c r="C1494" s="1">
        <v>45789</v>
      </c>
      <c r="D1494" s="71" t="s">
        <v>21</v>
      </c>
      <c r="E1494" s="71" t="s">
        <v>142</v>
      </c>
      <c r="F1494" s="77" t="s">
        <v>35</v>
      </c>
      <c r="G1494" s="71" t="s">
        <v>216</v>
      </c>
      <c r="H1494" s="169"/>
      <c r="I1494" s="169"/>
      <c r="J1494" s="71" t="s">
        <v>1117</v>
      </c>
      <c r="K1494" s="180"/>
      <c r="L1494" s="323">
        <v>94</v>
      </c>
      <c r="M1494" s="163">
        <f>M1493+K1494-L1494</f>
        <v>259759.64572000044</v>
      </c>
    </row>
    <row r="1495" spans="1:13">
      <c r="A1495" s="54" t="str">
        <f>D1495&amp;E1495&amp;F1495</f>
        <v>SERVICIOSADQ DE EQ TECNOLOGICOADQ DE EQ TECNOLOGICO</v>
      </c>
      <c r="B1495" t="s">
        <v>1049</v>
      </c>
      <c r="C1495" s="1">
        <v>45789</v>
      </c>
      <c r="D1495" s="71" t="s">
        <v>21</v>
      </c>
      <c r="E1495" s="71" t="s">
        <v>22</v>
      </c>
      <c r="F1495" s="77" t="s">
        <v>22</v>
      </c>
      <c r="G1495" s="71" t="s">
        <v>216</v>
      </c>
      <c r="H1495" s="169"/>
      <c r="I1495" s="169"/>
      <c r="J1495" s="71" t="s">
        <v>1118</v>
      </c>
      <c r="K1495" s="180"/>
      <c r="L1495" s="323">
        <v>397</v>
      </c>
      <c r="M1495" s="163">
        <f>M1494+K1495-L1495</f>
        <v>259362.64572000044</v>
      </c>
    </row>
    <row r="1496" spans="1:13">
      <c r="A1496" s="54" t="str">
        <f>D1496&amp;E1496&amp;F1496</f>
        <v>CAPENERGIA ELECTRICAE9</v>
      </c>
      <c r="B1496" t="s">
        <v>1049</v>
      </c>
      <c r="C1496" s="1">
        <v>45789</v>
      </c>
      <c r="D1496" s="71" t="s">
        <v>31</v>
      </c>
      <c r="E1496" s="71" t="s">
        <v>87</v>
      </c>
      <c r="F1496" s="77" t="s">
        <v>116</v>
      </c>
      <c r="G1496" s="71" t="s">
        <v>216</v>
      </c>
      <c r="H1496" s="169"/>
      <c r="I1496" s="169"/>
      <c r="J1496" s="71" t="s">
        <v>1119</v>
      </c>
      <c r="K1496" s="321"/>
      <c r="L1496" s="326">
        <v>6378</v>
      </c>
      <c r="M1496" s="163">
        <f>M1495+K1496-L1496</f>
        <v>252984.64572000044</v>
      </c>
    </row>
    <row r="1497" spans="1:13">
      <c r="A1497" s="54" t="str">
        <f>D1497&amp;E1497&amp;F1497</f>
        <v>CAPMKTMKT CAP</v>
      </c>
      <c r="B1497" t="s">
        <v>1049</v>
      </c>
      <c r="C1497" s="1">
        <v>45789</v>
      </c>
      <c r="D1497" s="71" t="s">
        <v>31</v>
      </c>
      <c r="E1497" s="71" t="s">
        <v>19</v>
      </c>
      <c r="F1497" s="77" t="s">
        <v>139</v>
      </c>
      <c r="G1497" s="71" t="s">
        <v>258</v>
      </c>
      <c r="H1497" s="169"/>
      <c r="I1497" s="169"/>
      <c r="J1497" s="71" t="s">
        <v>1120</v>
      </c>
      <c r="K1497" s="321"/>
      <c r="L1497" s="326">
        <v>13750</v>
      </c>
      <c r="M1497" s="163">
        <f>M1496+K1497-L1497</f>
        <v>239234.64572000044</v>
      </c>
    </row>
    <row r="1498" spans="1:13">
      <c r="A1498" s="54" t="str">
        <f>D1498&amp;E1498&amp;F1498</f>
        <v>SERVICIOSPAQUETERIACEDIS (E6)</v>
      </c>
      <c r="B1498" t="s">
        <v>1049</v>
      </c>
      <c r="C1498" s="1">
        <v>45789</v>
      </c>
      <c r="D1498" s="71" t="s">
        <v>21</v>
      </c>
      <c r="E1498" s="71" t="s">
        <v>160</v>
      </c>
      <c r="F1498" s="77" t="s">
        <v>161</v>
      </c>
      <c r="G1498" s="71" t="s">
        <v>258</v>
      </c>
      <c r="H1498" s="169"/>
      <c r="I1498" s="169"/>
      <c r="J1498" s="71" t="s">
        <v>1121</v>
      </c>
      <c r="K1498" s="321"/>
      <c r="L1498" s="326">
        <v>2395.06</v>
      </c>
      <c r="M1498" s="163">
        <f>M1497+K1498-L1498</f>
        <v>236839.58572000044</v>
      </c>
    </row>
    <row r="1499" spans="1:13">
      <c r="A1499" s="54" t="str">
        <f>D1499&amp;E1499&amp;F1499</f>
        <v>HRNOMINA SUCURSALA2</v>
      </c>
      <c r="B1499" t="s">
        <v>1049</v>
      </c>
      <c r="C1499" s="1">
        <v>45789</v>
      </c>
      <c r="D1499" s="71" t="s">
        <v>29</v>
      </c>
      <c r="E1499" s="71" t="s">
        <v>154</v>
      </c>
      <c r="F1499" s="77" t="s">
        <v>89</v>
      </c>
      <c r="G1499" s="71" t="s">
        <v>216</v>
      </c>
      <c r="H1499" s="169"/>
      <c r="I1499" s="169"/>
      <c r="J1499" s="71" t="s">
        <v>1122</v>
      </c>
      <c r="K1499" s="321"/>
      <c r="L1499" s="326">
        <v>600</v>
      </c>
      <c r="M1499" s="163">
        <f>M1498+K1499-L1499</f>
        <v>236239.58572000044</v>
      </c>
    </row>
    <row r="1500" spans="1:13">
      <c r="A1500" s="54" t="str">
        <f>D1500&amp;E1500&amp;F1500</f>
        <v>HRUBERHR</v>
      </c>
      <c r="B1500" t="s">
        <v>1049</v>
      </c>
      <c r="C1500" s="1">
        <v>45789</v>
      </c>
      <c r="D1500" s="71" t="s">
        <v>29</v>
      </c>
      <c r="E1500" s="71" t="s">
        <v>189</v>
      </c>
      <c r="F1500" s="77" t="s">
        <v>29</v>
      </c>
      <c r="G1500" s="71" t="s">
        <v>216</v>
      </c>
      <c r="H1500" s="169"/>
      <c r="I1500" s="169"/>
      <c r="J1500" s="76" t="s">
        <v>946</v>
      </c>
      <c r="K1500" s="332"/>
      <c r="L1500" s="526">
        <v>220</v>
      </c>
      <c r="M1500" s="163">
        <f>M1499+K1500-L1500</f>
        <v>236019.58572000044</v>
      </c>
    </row>
    <row r="1501" spans="1:13">
      <c r="A1501" s="54" t="str">
        <f>D1501&amp;E1501&amp;F1501</f>
        <v>HRUBERHR</v>
      </c>
      <c r="B1501" t="s">
        <v>1049</v>
      </c>
      <c r="C1501" s="1">
        <v>45789</v>
      </c>
      <c r="D1501" s="71" t="s">
        <v>29</v>
      </c>
      <c r="E1501" s="71" t="s">
        <v>189</v>
      </c>
      <c r="F1501" s="77" t="s">
        <v>29</v>
      </c>
      <c r="G1501" s="71" t="s">
        <v>216</v>
      </c>
      <c r="H1501" s="169"/>
      <c r="I1501" s="169"/>
      <c r="J1501" s="183" t="s">
        <v>291</v>
      </c>
      <c r="K1501" s="332"/>
      <c r="L1501" s="526">
        <v>262</v>
      </c>
      <c r="M1501" s="163">
        <f>M1500+K1501-L1501</f>
        <v>235757.58572000044</v>
      </c>
    </row>
    <row r="1502" spans="1:13">
      <c r="A1502" s="54" t="str">
        <f>D1502&amp;E1502&amp;F1502</f>
        <v>HRJMASA4</v>
      </c>
      <c r="B1502" t="s">
        <v>1049</v>
      </c>
      <c r="C1502" s="1">
        <v>45789</v>
      </c>
      <c r="D1502" s="71" t="s">
        <v>29</v>
      </c>
      <c r="E1502" s="71" t="s">
        <v>137</v>
      </c>
      <c r="F1502" s="77" t="s">
        <v>91</v>
      </c>
      <c r="G1502" s="71" t="s">
        <v>216</v>
      </c>
      <c r="H1502" s="169"/>
      <c r="I1502" s="169"/>
      <c r="J1502" s="183" t="s">
        <v>335</v>
      </c>
      <c r="K1502" s="368"/>
      <c r="L1502" s="327">
        <v>547</v>
      </c>
      <c r="M1502" s="163">
        <f>M1501+K1502-L1502</f>
        <v>235210.58572000044</v>
      </c>
    </row>
    <row r="1503" spans="1:13">
      <c r="A1503" s="54" t="str">
        <f>D1503&amp;E1503&amp;F1503</f>
        <v>HRUBERHR</v>
      </c>
      <c r="B1503" t="s">
        <v>1049</v>
      </c>
      <c r="C1503" s="1">
        <v>45789</v>
      </c>
      <c r="D1503" s="71" t="s">
        <v>29</v>
      </c>
      <c r="E1503" s="71" t="s">
        <v>189</v>
      </c>
      <c r="F1503" s="77" t="s">
        <v>29</v>
      </c>
      <c r="G1503" s="71" t="s">
        <v>216</v>
      </c>
      <c r="H1503" s="169"/>
      <c r="I1503" s="169"/>
      <c r="J1503" s="76" t="s">
        <v>306</v>
      </c>
      <c r="K1503" s="322"/>
      <c r="L1503" s="525">
        <v>30</v>
      </c>
      <c r="M1503" s="163">
        <f>M1502+K1503-L1503</f>
        <v>235180.58572000044</v>
      </c>
    </row>
    <row r="1504" spans="1:13">
      <c r="A1504" s="54" t="str">
        <f>D1504&amp;E1504&amp;F1504</f>
        <v>HRUBERHR</v>
      </c>
      <c r="B1504" t="s">
        <v>1049</v>
      </c>
      <c r="C1504" s="1">
        <v>45789</v>
      </c>
      <c r="D1504" s="71" t="s">
        <v>29</v>
      </c>
      <c r="E1504" s="71" t="s">
        <v>189</v>
      </c>
      <c r="F1504" s="77" t="s">
        <v>29</v>
      </c>
      <c r="G1504" s="71" t="s">
        <v>216</v>
      </c>
      <c r="H1504" s="169"/>
      <c r="I1504" s="169"/>
      <c r="J1504" s="76" t="s">
        <v>403</v>
      </c>
      <c r="K1504" s="332"/>
      <c r="L1504" s="525">
        <v>55</v>
      </c>
      <c r="M1504" s="163">
        <f>M1503+K1504-L1504</f>
        <v>235125.58572000044</v>
      </c>
    </row>
    <row r="1505" spans="1:13">
      <c r="A1505" s="54" t="str">
        <f>D1505&amp;E1505&amp;F1505</f>
        <v>HRUBERHR</v>
      </c>
      <c r="B1505" t="s">
        <v>1049</v>
      </c>
      <c r="C1505" s="1">
        <v>45789</v>
      </c>
      <c r="D1505" s="71" t="s">
        <v>29</v>
      </c>
      <c r="E1505" s="71" t="s">
        <v>189</v>
      </c>
      <c r="F1505" s="77" t="s">
        <v>29</v>
      </c>
      <c r="G1505" s="71" t="s">
        <v>216</v>
      </c>
      <c r="H1505" s="169"/>
      <c r="I1505" s="169"/>
      <c r="J1505" s="76" t="s">
        <v>308</v>
      </c>
      <c r="K1505" s="322"/>
      <c r="L1505" s="525">
        <v>422</v>
      </c>
      <c r="M1505" s="163">
        <f>M1504+K1505-L1505</f>
        <v>234703.58572000044</v>
      </c>
    </row>
    <row r="1506" spans="1:13">
      <c r="A1506" s="54" t="str">
        <f>D1506&amp;E1506&amp;F1506</f>
        <v>HRUBERHR</v>
      </c>
      <c r="B1506" t="s">
        <v>1049</v>
      </c>
      <c r="C1506" s="1">
        <v>45789</v>
      </c>
      <c r="D1506" s="71" t="s">
        <v>29</v>
      </c>
      <c r="E1506" s="71" t="s">
        <v>189</v>
      </c>
      <c r="F1506" s="77" t="s">
        <v>29</v>
      </c>
      <c r="G1506" s="71" t="s">
        <v>216</v>
      </c>
      <c r="H1506" s="169"/>
      <c r="I1506" s="169"/>
      <c r="J1506" s="76" t="s">
        <v>1123</v>
      </c>
      <c r="K1506" s="322"/>
      <c r="L1506" s="525">
        <v>130</v>
      </c>
      <c r="M1506" s="163">
        <f>M1505+K1506-L1506</f>
        <v>234573.58572000044</v>
      </c>
    </row>
    <row r="1507" spans="1:13">
      <c r="A1507" s="54" t="str">
        <f>D1507&amp;E1507&amp;F1507</f>
        <v>HRUBERHR</v>
      </c>
      <c r="B1507" t="s">
        <v>1049</v>
      </c>
      <c r="C1507" s="1">
        <v>45789</v>
      </c>
      <c r="D1507" s="71" t="s">
        <v>29</v>
      </c>
      <c r="E1507" s="71" t="s">
        <v>189</v>
      </c>
      <c r="F1507" s="77" t="s">
        <v>29</v>
      </c>
      <c r="G1507" s="71" t="s">
        <v>216</v>
      </c>
      <c r="H1507" s="169"/>
      <c r="I1507" s="169"/>
      <c r="J1507" s="76" t="s">
        <v>626</v>
      </c>
      <c r="K1507" s="322"/>
      <c r="L1507" s="525">
        <v>250</v>
      </c>
      <c r="M1507" s="163">
        <f>M1506+K1507-L1507</f>
        <v>234323.58572000044</v>
      </c>
    </row>
    <row r="1508" spans="1:13">
      <c r="A1508" s="54" t="str">
        <f>D1508&amp;E1508&amp;F1508</f>
        <v>HRJMASA14</v>
      </c>
      <c r="B1508" t="s">
        <v>1049</v>
      </c>
      <c r="C1508" s="1">
        <v>45789</v>
      </c>
      <c r="D1508" s="71" t="s">
        <v>29</v>
      </c>
      <c r="E1508" s="71" t="s">
        <v>137</v>
      </c>
      <c r="F1508" s="77" t="s">
        <v>99</v>
      </c>
      <c r="G1508" s="71" t="s">
        <v>216</v>
      </c>
      <c r="H1508" s="169"/>
      <c r="I1508" s="169"/>
      <c r="J1508" s="76" t="s">
        <v>785</v>
      </c>
      <c r="K1508" s="322"/>
      <c r="L1508" s="327">
        <v>399</v>
      </c>
      <c r="M1508" s="163">
        <f>M1507+K1508-L1508</f>
        <v>233924.58572000044</v>
      </c>
    </row>
    <row r="1509" spans="1:13">
      <c r="A1509" s="54" t="str">
        <f>D1509&amp;E1509&amp;F1509</f>
        <v>HRUBERHR</v>
      </c>
      <c r="B1509" t="s">
        <v>1049</v>
      </c>
      <c r="C1509" s="1">
        <v>45789</v>
      </c>
      <c r="D1509" s="71" t="s">
        <v>29</v>
      </c>
      <c r="E1509" s="71" t="s">
        <v>189</v>
      </c>
      <c r="F1509" s="77" t="s">
        <v>29</v>
      </c>
      <c r="G1509" s="71" t="s">
        <v>216</v>
      </c>
      <c r="H1509" s="169"/>
      <c r="I1509" s="169"/>
      <c r="J1509" s="76" t="s">
        <v>249</v>
      </c>
      <c r="K1509" s="322"/>
      <c r="L1509" s="525">
        <v>210</v>
      </c>
      <c r="M1509" s="163">
        <f>M1508+K1509-L1509</f>
        <v>233714.58572000044</v>
      </c>
    </row>
    <row r="1510" spans="1:13">
      <c r="A1510" s="54" t="str">
        <f>D1510&amp;E1510&amp;F1510</f>
        <v>CAPUBERCAP</v>
      </c>
      <c r="B1510" t="s">
        <v>1049</v>
      </c>
      <c r="C1510" s="1">
        <v>45789</v>
      </c>
      <c r="D1510" s="71" t="s">
        <v>31</v>
      </c>
      <c r="E1510" s="71" t="s">
        <v>189</v>
      </c>
      <c r="F1510" s="77" t="s">
        <v>31</v>
      </c>
      <c r="G1510" s="71" t="s">
        <v>216</v>
      </c>
      <c r="H1510" s="169"/>
      <c r="I1510" s="169"/>
      <c r="J1510" s="76" t="s">
        <v>253</v>
      </c>
      <c r="K1510" s="322"/>
      <c r="L1510" s="525">
        <v>2370</v>
      </c>
      <c r="M1510" s="163">
        <f>M1509+K1510-L1510</f>
        <v>231344.58572000044</v>
      </c>
    </row>
    <row r="1511" spans="1:13">
      <c r="A1511" s="54" t="str">
        <f>D1511&amp;E1511&amp;F1511</f>
        <v>CAPUBERCAP</v>
      </c>
      <c r="B1511" t="s">
        <v>1049</v>
      </c>
      <c r="C1511" s="1">
        <v>45789</v>
      </c>
      <c r="D1511" s="71" t="s">
        <v>31</v>
      </c>
      <c r="E1511" s="71" t="s">
        <v>189</v>
      </c>
      <c r="F1511" s="77" t="s">
        <v>31</v>
      </c>
      <c r="G1511" s="71" t="s">
        <v>216</v>
      </c>
      <c r="H1511" s="169"/>
      <c r="I1511" s="169"/>
      <c r="J1511" s="76" t="s">
        <v>257</v>
      </c>
      <c r="K1511" s="322"/>
      <c r="L1511" s="525">
        <v>310</v>
      </c>
      <c r="M1511" s="163">
        <f>M1510+K1511-L1511</f>
        <v>231034.58572000044</v>
      </c>
    </row>
    <row r="1512" spans="1:13">
      <c r="A1512" s="54" t="str">
        <f>D1512&amp;E1512&amp;F1512</f>
        <v>CAPINSUMOSCAPRICHOS</v>
      </c>
      <c r="B1512" t="s">
        <v>1049</v>
      </c>
      <c r="C1512" s="1">
        <v>45789</v>
      </c>
      <c r="D1512" s="71" t="s">
        <v>31</v>
      </c>
      <c r="E1512" s="71" t="s">
        <v>133</v>
      </c>
      <c r="F1512" s="77" t="s">
        <v>33</v>
      </c>
      <c r="G1512" s="71" t="s">
        <v>216</v>
      </c>
      <c r="H1512" s="169"/>
      <c r="I1512" s="169"/>
      <c r="J1512" s="76" t="s">
        <v>1124</v>
      </c>
      <c r="K1512" s="322"/>
      <c r="L1512" s="327">
        <v>36</v>
      </c>
      <c r="M1512" s="163">
        <f>M1511+K1512-L1512</f>
        <v>230998.58572000044</v>
      </c>
    </row>
    <row r="1513" spans="1:13">
      <c r="A1513" s="54" t="str">
        <f>D1513&amp;E1513&amp;F1513</f>
        <v>FINANZASFALTANTESFALTANTES</v>
      </c>
      <c r="B1513" t="s">
        <v>1049</v>
      </c>
      <c r="C1513" s="1">
        <v>45789</v>
      </c>
      <c r="D1513" s="71" t="s">
        <v>23</v>
      </c>
      <c r="E1513" s="71" t="s">
        <v>119</v>
      </c>
      <c r="F1513" s="77" t="s">
        <v>119</v>
      </c>
      <c r="G1513" s="71" t="s">
        <v>258</v>
      </c>
      <c r="H1513" s="169"/>
      <c r="I1513" s="169"/>
      <c r="J1513" s="76" t="s">
        <v>1125</v>
      </c>
      <c r="K1513" s="322"/>
      <c r="L1513" s="327">
        <v>678</v>
      </c>
      <c r="M1513" s="163">
        <f>M1512+K1513-L1513</f>
        <v>230320.58572000044</v>
      </c>
    </row>
    <row r="1514" spans="1:13">
      <c r="A1514" s="54" t="str">
        <f t="shared" si="25"/>
        <v/>
      </c>
      <c r="B1514" t="s">
        <v>1049</v>
      </c>
      <c r="C1514" s="1">
        <v>45790</v>
      </c>
      <c r="D1514" s="71"/>
      <c r="F1514" s="77"/>
      <c r="H1514" s="169"/>
      <c r="I1514" s="169"/>
      <c r="J1514" s="71" t="s">
        <v>260</v>
      </c>
      <c r="K1514" s="322">
        <f>197571.08-13049+23326+12165.5-7038</f>
        <v>212975.58</v>
      </c>
      <c r="L1514" s="368"/>
      <c r="M1514" s="163">
        <f>M1513+K1514-L1514</f>
        <v>443296.1657200004</v>
      </c>
    </row>
    <row r="1515" spans="1:13">
      <c r="A1515" s="54" t="str">
        <f>D1515&amp;E1515&amp;F1515</f>
        <v>FINANZASCOMISIONES BANCARIASTPV</v>
      </c>
      <c r="B1515" t="s">
        <v>1049</v>
      </c>
      <c r="C1515" s="1">
        <v>45790</v>
      </c>
      <c r="D1515" s="71" t="s">
        <v>23</v>
      </c>
      <c r="E1515" s="71" t="s">
        <v>48</v>
      </c>
      <c r="F1515" s="77" t="s">
        <v>50</v>
      </c>
      <c r="H1515" s="169"/>
      <c r="I1515" s="169"/>
      <c r="J1515" s="71" t="s">
        <v>217</v>
      </c>
      <c r="K1515" s="322"/>
      <c r="L1515" s="327">
        <f>179.02+387.05+74.19+1312.04+568.85</f>
        <v>2521.15</v>
      </c>
      <c r="M1515" s="163">
        <f>M1514+K1515-L1515</f>
        <v>440775.01572000037</v>
      </c>
    </row>
    <row r="1516" spans="1:13">
      <c r="A1516" s="54" t="str">
        <f t="shared" si="25"/>
        <v/>
      </c>
      <c r="B1516" t="s">
        <v>1049</v>
      </c>
      <c r="C1516" s="1">
        <v>45790</v>
      </c>
      <c r="D1516" s="71"/>
      <c r="F1516" s="77"/>
      <c r="H1516" s="169" t="s">
        <v>219</v>
      </c>
      <c r="I1516" s="169"/>
      <c r="J1516" s="205" t="s">
        <v>220</v>
      </c>
      <c r="K1516" s="206"/>
      <c r="L1516" s="206">
        <v>100000</v>
      </c>
      <c r="M1516" s="163">
        <f>M1515+K1516-L1516</f>
        <v>340775.01572000037</v>
      </c>
    </row>
    <row r="1517" spans="1:13">
      <c r="A1517" s="54" t="str">
        <f t="shared" si="25"/>
        <v/>
      </c>
      <c r="B1517" t="s">
        <v>1049</v>
      </c>
      <c r="C1517" s="1">
        <v>45790</v>
      </c>
      <c r="D1517" s="71"/>
      <c r="F1517" s="77"/>
      <c r="H1517" s="169" t="s">
        <v>317</v>
      </c>
      <c r="I1517" s="169"/>
      <c r="J1517" s="205" t="s">
        <v>318</v>
      </c>
      <c r="K1517" s="206"/>
      <c r="L1517" s="206">
        <v>100000</v>
      </c>
      <c r="M1517" s="163">
        <f>M1516+K1517-L1517</f>
        <v>240775.01572000037</v>
      </c>
    </row>
    <row r="1518" spans="1:13">
      <c r="A1518" s="54" t="str">
        <f>D1518&amp;E1518&amp;F1518</f>
        <v>FINANZASCUOTAS Y SUSCRIPCIONESREVALIDACION</v>
      </c>
      <c r="B1518" t="s">
        <v>1049</v>
      </c>
      <c r="C1518" s="1">
        <v>45790</v>
      </c>
      <c r="D1518" s="71" t="s">
        <v>23</v>
      </c>
      <c r="E1518" s="71" t="s">
        <v>51</v>
      </c>
      <c r="F1518" s="77" t="s">
        <v>64</v>
      </c>
      <c r="H1518" s="169"/>
      <c r="I1518" s="169"/>
      <c r="J1518" s="71" t="s">
        <v>1126</v>
      </c>
      <c r="K1518" s="322"/>
      <c r="L1518" s="323">
        <f>1800-39</f>
        <v>1761</v>
      </c>
      <c r="M1518" s="163">
        <f>M1517+K1518-L1518</f>
        <v>239014.01572000037</v>
      </c>
    </row>
    <row r="1519" spans="1:13">
      <c r="A1519" s="54" t="str">
        <f>D1519&amp;E1519&amp;F1519</f>
        <v>HRJMASA1</v>
      </c>
      <c r="B1519" t="s">
        <v>1049</v>
      </c>
      <c r="C1519" s="1">
        <v>45790</v>
      </c>
      <c r="D1519" s="71" t="s">
        <v>29</v>
      </c>
      <c r="E1519" s="71" t="s">
        <v>137</v>
      </c>
      <c r="F1519" s="77" t="s">
        <v>88</v>
      </c>
      <c r="G1519" s="71" t="s">
        <v>258</v>
      </c>
      <c r="H1519" s="169"/>
      <c r="I1519" s="169"/>
      <c r="J1519" s="71" t="s">
        <v>232</v>
      </c>
      <c r="K1519" s="322"/>
      <c r="L1519" s="323">
        <v>399</v>
      </c>
      <c r="M1519" s="163">
        <f>M1518+K1519-L1519</f>
        <v>238615.01572000037</v>
      </c>
    </row>
    <row r="1520" spans="1:13">
      <c r="A1520" s="54" t="str">
        <f>D1520&amp;E1520&amp;F1520</f>
        <v>HRJMASA1</v>
      </c>
      <c r="B1520" t="s">
        <v>1049</v>
      </c>
      <c r="C1520" s="1">
        <v>45790</v>
      </c>
      <c r="D1520" s="71" t="s">
        <v>29</v>
      </c>
      <c r="E1520" s="71" t="s">
        <v>137</v>
      </c>
      <c r="F1520" s="77" t="s">
        <v>88</v>
      </c>
      <c r="G1520" s="178" t="s">
        <v>1127</v>
      </c>
      <c r="H1520" s="169"/>
      <c r="I1520" s="169"/>
      <c r="J1520" s="71" t="s">
        <v>232</v>
      </c>
      <c r="K1520" s="322"/>
      <c r="L1520" s="323">
        <v>5000</v>
      </c>
      <c r="M1520" s="163">
        <f>M1519+K1520-L1520</f>
        <v>233615.01572000037</v>
      </c>
    </row>
    <row r="1521" spans="1:13">
      <c r="A1521" s="54" t="str">
        <f>D1521&amp;E1521&amp;F1521</f>
        <v>HRJMASA9</v>
      </c>
      <c r="B1521" t="s">
        <v>1049</v>
      </c>
      <c r="C1521" s="1">
        <v>45790</v>
      </c>
      <c r="D1521" s="71" t="s">
        <v>29</v>
      </c>
      <c r="E1521" s="71" t="s">
        <v>137</v>
      </c>
      <c r="F1521" s="77" t="s">
        <v>95</v>
      </c>
      <c r="G1521" s="71" t="s">
        <v>216</v>
      </c>
      <c r="H1521" s="169"/>
      <c r="I1521" s="169"/>
      <c r="J1521" s="73" t="s">
        <v>235</v>
      </c>
      <c r="K1521" s="322"/>
      <c r="L1521" s="323">
        <v>392</v>
      </c>
      <c r="M1521" s="163">
        <f>M1520+K1521-L1521</f>
        <v>233223.01572000037</v>
      </c>
    </row>
    <row r="1522" spans="1:13">
      <c r="A1522" s="54" t="str">
        <f>D1522&amp;E1522&amp;F1522</f>
        <v>HRJMASA10</v>
      </c>
      <c r="B1522" t="s">
        <v>1049</v>
      </c>
      <c r="C1522" s="1">
        <v>45790</v>
      </c>
      <c r="D1522" s="71" t="s">
        <v>29</v>
      </c>
      <c r="E1522" s="71" t="s">
        <v>137</v>
      </c>
      <c r="F1522" s="77" t="s">
        <v>96</v>
      </c>
      <c r="G1522" s="71" t="s">
        <v>258</v>
      </c>
      <c r="H1522" s="169"/>
      <c r="I1522" s="169"/>
      <c r="J1522" s="73" t="s">
        <v>234</v>
      </c>
      <c r="K1522" s="369"/>
      <c r="L1522" s="323">
        <v>5000</v>
      </c>
      <c r="M1522" s="163">
        <f>M1521+K1522-L1522</f>
        <v>228223.01572000037</v>
      </c>
    </row>
    <row r="1523" spans="1:13">
      <c r="A1523" s="54" t="str">
        <f>D1523&amp;E1523&amp;F1523</f>
        <v>SERVICIOSJMASCEDIS</v>
      </c>
      <c r="B1523" t="s">
        <v>1049</v>
      </c>
      <c r="C1523" s="1">
        <v>45790</v>
      </c>
      <c r="D1523" s="71" t="s">
        <v>21</v>
      </c>
      <c r="E1523" s="71" t="s">
        <v>137</v>
      </c>
      <c r="F1523" s="77" t="s">
        <v>28</v>
      </c>
      <c r="G1523" s="71" t="s">
        <v>216</v>
      </c>
      <c r="H1523" s="169"/>
      <c r="I1523" s="169"/>
      <c r="J1523" s="73" t="s">
        <v>1128</v>
      </c>
      <c r="K1523" s="369"/>
      <c r="L1523" s="323">
        <v>1219</v>
      </c>
      <c r="M1523" s="163">
        <f>M1522+K1523-L1523</f>
        <v>227004.01572000037</v>
      </c>
    </row>
    <row r="1524" spans="1:13">
      <c r="A1524" s="54" t="str">
        <f>D1524&amp;E1524&amp;F1524</f>
        <v>SERVICIOSJMASCEDIS</v>
      </c>
      <c r="B1524" t="s">
        <v>1049</v>
      </c>
      <c r="C1524" s="1">
        <v>45790</v>
      </c>
      <c r="D1524" s="71" t="s">
        <v>21</v>
      </c>
      <c r="E1524" s="71" t="s">
        <v>137</v>
      </c>
      <c r="F1524" s="77" t="s">
        <v>28</v>
      </c>
      <c r="G1524" s="71" t="s">
        <v>216</v>
      </c>
      <c r="H1524" s="169"/>
      <c r="I1524" s="169"/>
      <c r="J1524" s="73" t="s">
        <v>1128</v>
      </c>
      <c r="K1524" s="322"/>
      <c r="L1524" s="323">
        <v>72</v>
      </c>
      <c r="M1524" s="163">
        <f>M1523+K1524-L1524</f>
        <v>226932.01572000037</v>
      </c>
    </row>
    <row r="1525" spans="1:13">
      <c r="A1525" s="54" t="str">
        <f>D1525&amp;E1525&amp;F1525</f>
        <v>SERVICIOSJMASCEDIS</v>
      </c>
      <c r="B1525" t="s">
        <v>1049</v>
      </c>
      <c r="C1525" s="1">
        <v>45790</v>
      </c>
      <c r="D1525" s="71" t="s">
        <v>21</v>
      </c>
      <c r="E1525" s="71" t="s">
        <v>137</v>
      </c>
      <c r="F1525" s="77" t="s">
        <v>28</v>
      </c>
      <c r="G1525" s="71" t="s">
        <v>216</v>
      </c>
      <c r="H1525" s="169"/>
      <c r="I1525" s="169"/>
      <c r="J1525" s="73" t="s">
        <v>1128</v>
      </c>
      <c r="K1525" s="336"/>
      <c r="L1525" s="323">
        <v>2295</v>
      </c>
      <c r="M1525" s="163">
        <f>M1524+K1525-L1525</f>
        <v>224637.01572000037</v>
      </c>
    </row>
    <row r="1526" spans="1:13">
      <c r="A1526" s="54" t="str">
        <f>D1526&amp;E1526&amp;F1526</f>
        <v>CAPJMASE1</v>
      </c>
      <c r="B1526" t="s">
        <v>1049</v>
      </c>
      <c r="C1526" s="1">
        <v>45790</v>
      </c>
      <c r="D1526" s="71" t="s">
        <v>31</v>
      </c>
      <c r="E1526" s="71" t="s">
        <v>137</v>
      </c>
      <c r="F1526" s="77" t="s">
        <v>107</v>
      </c>
      <c r="G1526" s="71" t="s">
        <v>258</v>
      </c>
      <c r="H1526" s="169"/>
      <c r="I1526" s="169"/>
      <c r="J1526" s="71" t="s">
        <v>233</v>
      </c>
      <c r="K1526" s="336"/>
      <c r="L1526" s="323">
        <v>4640</v>
      </c>
      <c r="M1526" s="163">
        <f>M1525+K1526-L1526</f>
        <v>219997.01572000037</v>
      </c>
    </row>
    <row r="1527" spans="1:13">
      <c r="A1527" s="54" t="str">
        <f>D1527&amp;E1527&amp;F1527</f>
        <v>HRJMASA2</v>
      </c>
      <c r="B1527" t="s">
        <v>1049</v>
      </c>
      <c r="C1527" s="1">
        <v>45790</v>
      </c>
      <c r="D1527" s="71" t="s">
        <v>29</v>
      </c>
      <c r="E1527" s="71" t="s">
        <v>137</v>
      </c>
      <c r="F1527" s="77" t="s">
        <v>89</v>
      </c>
      <c r="G1527" s="71" t="s">
        <v>216</v>
      </c>
      <c r="H1527" s="169"/>
      <c r="I1527" s="169"/>
      <c r="J1527" s="71" t="s">
        <v>236</v>
      </c>
      <c r="K1527" s="322"/>
      <c r="L1527" s="323">
        <v>403</v>
      </c>
      <c r="M1527" s="163">
        <f>M1526+K1527-L1527</f>
        <v>219594.01572000037</v>
      </c>
    </row>
    <row r="1528" spans="1:13">
      <c r="A1528" s="54" t="str">
        <f>D1528&amp;E1528&amp;F1528</f>
        <v>HRJMASA3</v>
      </c>
      <c r="B1528" t="s">
        <v>1049</v>
      </c>
      <c r="C1528" s="1">
        <v>45790</v>
      </c>
      <c r="D1528" s="71" t="s">
        <v>29</v>
      </c>
      <c r="E1528" s="71" t="s">
        <v>137</v>
      </c>
      <c r="F1528" s="77" t="s">
        <v>90</v>
      </c>
      <c r="G1528" s="71" t="s">
        <v>258</v>
      </c>
      <c r="H1528" s="169"/>
      <c r="I1528" s="169"/>
      <c r="J1528" s="71" t="s">
        <v>1129</v>
      </c>
      <c r="K1528" s="322"/>
      <c r="L1528" s="323">
        <v>402</v>
      </c>
      <c r="M1528" s="163">
        <f>M1527+K1528-L1528</f>
        <v>219192.01572000037</v>
      </c>
    </row>
    <row r="1529" spans="1:13">
      <c r="A1529" s="54" t="str">
        <f>D1529&amp;E1529&amp;F1529</f>
        <v>HRFONDO Y REPOSICIONHR</v>
      </c>
      <c r="B1529" t="s">
        <v>1049</v>
      </c>
      <c r="C1529" s="1">
        <v>45790</v>
      </c>
      <c r="D1529" s="71" t="s">
        <v>29</v>
      </c>
      <c r="E1529" s="71" t="s">
        <v>120</v>
      </c>
      <c r="F1529" s="77" t="s">
        <v>29</v>
      </c>
      <c r="G1529" s="71" t="s">
        <v>216</v>
      </c>
      <c r="H1529" s="169"/>
      <c r="I1529" s="169"/>
      <c r="J1529" s="71" t="s">
        <v>830</v>
      </c>
      <c r="K1529" s="322"/>
      <c r="L1529" s="323">
        <v>3928</v>
      </c>
      <c r="M1529" s="163">
        <f>M1528+K1529-L1529</f>
        <v>215264.01572000037</v>
      </c>
    </row>
    <row r="1530" spans="1:13">
      <c r="A1530" s="54" t="str">
        <f>D1530&amp;E1530&amp;F1530</f>
        <v>HRFONDO Y REPOSICIONHR</v>
      </c>
      <c r="B1530" t="s">
        <v>1049</v>
      </c>
      <c r="C1530" s="1">
        <v>45790</v>
      </c>
      <c r="D1530" s="71" t="s">
        <v>29</v>
      </c>
      <c r="E1530" s="71" t="s">
        <v>120</v>
      </c>
      <c r="F1530" s="77" t="s">
        <v>29</v>
      </c>
      <c r="G1530" s="71" t="s">
        <v>216</v>
      </c>
      <c r="H1530" s="169"/>
      <c r="I1530" s="169"/>
      <c r="J1530" s="71" t="s">
        <v>267</v>
      </c>
      <c r="K1530" s="322"/>
      <c r="L1530" s="323">
        <v>1975</v>
      </c>
      <c r="M1530" s="163">
        <f>M1529+K1530-L1530</f>
        <v>213289.01572000037</v>
      </c>
    </row>
    <row r="1531" spans="1:13">
      <c r="A1531" s="54" t="str">
        <f>D1531&amp;E1531&amp;F1531</f>
        <v>HRFONDO Y REPOSICIONHR</v>
      </c>
      <c r="B1531" t="s">
        <v>1049</v>
      </c>
      <c r="C1531" s="1">
        <v>45790</v>
      </c>
      <c r="D1531" s="71" t="s">
        <v>29</v>
      </c>
      <c r="E1531" s="71" t="s">
        <v>120</v>
      </c>
      <c r="F1531" s="77" t="s">
        <v>29</v>
      </c>
      <c r="G1531" s="71" t="s">
        <v>216</v>
      </c>
      <c r="H1531" s="169"/>
      <c r="I1531" s="169"/>
      <c r="J1531" s="71" t="s">
        <v>357</v>
      </c>
      <c r="K1531" s="322"/>
      <c r="L1531" s="323">
        <v>1800</v>
      </c>
      <c r="M1531" s="163">
        <f>M1530+K1531-L1531</f>
        <v>211489.01572000037</v>
      </c>
    </row>
    <row r="1532" spans="1:13">
      <c r="A1532" s="54" t="str">
        <f>D1532&amp;E1532&amp;F1532</f>
        <v>SERVICIOSVIATICOSCEDIS</v>
      </c>
      <c r="B1532" t="s">
        <v>1049</v>
      </c>
      <c r="C1532" s="1">
        <v>45790</v>
      </c>
      <c r="D1532" s="71" t="s">
        <v>21</v>
      </c>
      <c r="E1532" s="71" t="s">
        <v>191</v>
      </c>
      <c r="F1532" s="77" t="s">
        <v>28</v>
      </c>
      <c r="G1532" s="71" t="s">
        <v>216</v>
      </c>
      <c r="H1532" s="169"/>
      <c r="I1532" s="169"/>
      <c r="J1532" s="71" t="s">
        <v>510</v>
      </c>
      <c r="L1532" s="326">
        <v>1100</v>
      </c>
      <c r="M1532" s="163">
        <f>M1531+K1532-L1532</f>
        <v>210389.01572000037</v>
      </c>
    </row>
    <row r="1533" spans="1:13">
      <c r="A1533" s="54" t="str">
        <f>D1533&amp;E1533&amp;F1533</f>
        <v>HRJMASA5</v>
      </c>
      <c r="B1533" t="s">
        <v>1049</v>
      </c>
      <c r="C1533" s="1">
        <v>45790</v>
      </c>
      <c r="D1533" s="71" t="s">
        <v>29</v>
      </c>
      <c r="E1533" s="71" t="s">
        <v>137</v>
      </c>
      <c r="F1533" s="77" t="s">
        <v>92</v>
      </c>
      <c r="G1533" s="71" t="s">
        <v>258</v>
      </c>
      <c r="H1533" s="169"/>
      <c r="I1533" s="169"/>
      <c r="J1533" s="76" t="s">
        <v>658</v>
      </c>
      <c r="K1533" s="322"/>
      <c r="L1533" s="327">
        <v>600</v>
      </c>
      <c r="M1533" s="163">
        <f>M1532+K1533-L1533</f>
        <v>209789.01572000037</v>
      </c>
    </row>
    <row r="1534" spans="1:13">
      <c r="A1534" s="54" t="str">
        <f>D1534&amp;E1534&amp;F1534</f>
        <v>CAPUBERCAP</v>
      </c>
      <c r="B1534" t="s">
        <v>1049</v>
      </c>
      <c r="C1534" s="1">
        <v>45790</v>
      </c>
      <c r="D1534" s="71" t="s">
        <v>31</v>
      </c>
      <c r="E1534" s="71" t="s">
        <v>189</v>
      </c>
      <c r="F1534" s="77" t="s">
        <v>31</v>
      </c>
      <c r="G1534" s="71" t="s">
        <v>216</v>
      </c>
      <c r="H1534" s="169"/>
      <c r="I1534" s="169"/>
      <c r="J1534" s="76" t="s">
        <v>253</v>
      </c>
      <c r="K1534" s="322"/>
      <c r="L1534" s="525">
        <v>105</v>
      </c>
      <c r="M1534" s="163">
        <f>M1533+K1534-L1534</f>
        <v>209684.01572000037</v>
      </c>
    </row>
    <row r="1535" spans="1:13">
      <c r="A1535" s="54" t="str">
        <f>D1535&amp;E1535&amp;F1535</f>
        <v>CAPUBERCAP</v>
      </c>
      <c r="B1535" t="s">
        <v>1049</v>
      </c>
      <c r="C1535" s="1">
        <v>45790</v>
      </c>
      <c r="D1535" s="71" t="s">
        <v>31</v>
      </c>
      <c r="E1535" s="71" t="s">
        <v>189</v>
      </c>
      <c r="F1535" s="77" t="s">
        <v>31</v>
      </c>
      <c r="G1535" s="71" t="s">
        <v>216</v>
      </c>
      <c r="H1535" s="169"/>
      <c r="I1535" s="169"/>
      <c r="J1535" s="76" t="s">
        <v>490</v>
      </c>
      <c r="K1535" s="322"/>
      <c r="L1535" s="525">
        <v>300</v>
      </c>
      <c r="M1535" s="163">
        <f>M1534+K1535-L1535</f>
        <v>209384.01572000037</v>
      </c>
    </row>
    <row r="1536" spans="1:13">
      <c r="A1536" s="54" t="str">
        <f t="shared" si="25"/>
        <v/>
      </c>
      <c r="B1536" t="s">
        <v>1049</v>
      </c>
      <c r="C1536" s="1">
        <v>45791</v>
      </c>
      <c r="D1536" s="71"/>
      <c r="F1536" s="77"/>
      <c r="H1536" s="169"/>
      <c r="I1536" s="169"/>
      <c r="J1536" s="71" t="s">
        <v>260</v>
      </c>
      <c r="K1536" s="322">
        <f>191807.65+7038-10771</f>
        <v>188074.65</v>
      </c>
      <c r="L1536" s="322"/>
      <c r="M1536" s="163">
        <f>M1535+K1536-L1536</f>
        <v>397458.6657200004</v>
      </c>
    </row>
    <row r="1537" spans="1:13">
      <c r="A1537" s="54" t="str">
        <f>D1537&amp;E1537&amp;F1537</f>
        <v>FINANZASCOMISIONES BANCARIASTPV</v>
      </c>
      <c r="B1537" t="s">
        <v>1049</v>
      </c>
      <c r="C1537" s="1">
        <v>45791</v>
      </c>
      <c r="D1537" s="71" t="s">
        <v>23</v>
      </c>
      <c r="E1537" s="71" t="s">
        <v>48</v>
      </c>
      <c r="F1537" s="77" t="s">
        <v>50</v>
      </c>
      <c r="G1537" s="71" t="s">
        <v>216</v>
      </c>
      <c r="H1537" s="169"/>
      <c r="I1537" s="169"/>
      <c r="J1537" s="71" t="s">
        <v>217</v>
      </c>
      <c r="K1537" s="322"/>
      <c r="L1537" s="327">
        <f>301.14+288.67+74.19+1541.98+348.81</f>
        <v>2554.79</v>
      </c>
      <c r="M1537" s="163">
        <f>M1536+K1537-L1537</f>
        <v>394903.87572000042</v>
      </c>
    </row>
    <row r="1538" spans="1:13">
      <c r="A1538" s="54" t="str">
        <f t="shared" si="25"/>
        <v/>
      </c>
      <c r="B1538" t="s">
        <v>1049</v>
      </c>
      <c r="C1538" s="1">
        <v>45791</v>
      </c>
      <c r="D1538" s="71"/>
      <c r="F1538" s="77"/>
      <c r="H1538" s="169" t="s">
        <v>219</v>
      </c>
      <c r="I1538" s="169"/>
      <c r="J1538" s="205" t="s">
        <v>220</v>
      </c>
      <c r="K1538" s="206"/>
      <c r="L1538" s="206">
        <v>50000</v>
      </c>
      <c r="M1538" s="163">
        <f>M1537+K1538-L1538</f>
        <v>344903.87572000042</v>
      </c>
    </row>
    <row r="1539" spans="1:13">
      <c r="A1539" s="54" t="str">
        <f t="shared" si="25"/>
        <v/>
      </c>
      <c r="B1539" t="s">
        <v>1049</v>
      </c>
      <c r="C1539" s="1">
        <v>45791</v>
      </c>
      <c r="D1539" s="71"/>
      <c r="F1539" s="77"/>
      <c r="H1539" s="169" t="s">
        <v>317</v>
      </c>
      <c r="I1539" s="169"/>
      <c r="J1539" s="205" t="s">
        <v>318</v>
      </c>
      <c r="K1539" s="206"/>
      <c r="L1539" s="206">
        <f>146000-19768</f>
        <v>126232</v>
      </c>
      <c r="M1539" s="163">
        <f>M1538+K1539-L1539</f>
        <v>218671.87572000042</v>
      </c>
    </row>
    <row r="1540" spans="1:13">
      <c r="A1540" s="54" t="str">
        <f>D1540&amp;E1540&amp;F1540</f>
        <v>HRJMASA22</v>
      </c>
      <c r="B1540" t="s">
        <v>1049</v>
      </c>
      <c r="C1540" s="1">
        <v>45791</v>
      </c>
      <c r="D1540" s="71" t="s">
        <v>29</v>
      </c>
      <c r="E1540" s="71" t="s">
        <v>137</v>
      </c>
      <c r="F1540" s="77" t="s">
        <v>104</v>
      </c>
      <c r="G1540" s="71" t="s">
        <v>258</v>
      </c>
      <c r="H1540" s="169"/>
      <c r="I1540" s="169"/>
      <c r="J1540" s="71" t="s">
        <v>1130</v>
      </c>
      <c r="L1540" s="326">
        <v>550</v>
      </c>
      <c r="M1540" s="163">
        <f>M1539+K1540-L1540</f>
        <v>218121.87572000042</v>
      </c>
    </row>
    <row r="1541" spans="1:13">
      <c r="A1541" s="54" t="str">
        <f>D1541&amp;E1541&amp;F1541</f>
        <v>HRENERGIA ELECTRICAA2</v>
      </c>
      <c r="B1541" t="s">
        <v>1049</v>
      </c>
      <c r="C1541" s="1">
        <v>45791</v>
      </c>
      <c r="D1541" s="71" t="s">
        <v>29</v>
      </c>
      <c r="E1541" s="71" t="s">
        <v>87</v>
      </c>
      <c r="F1541" s="77" t="s">
        <v>89</v>
      </c>
      <c r="G1541" s="71" t="s">
        <v>216</v>
      </c>
      <c r="H1541" s="169"/>
      <c r="I1541" s="169"/>
      <c r="J1541" s="71" t="s">
        <v>1131</v>
      </c>
      <c r="K1541" s="180"/>
      <c r="L1541" s="323">
        <f>2087+80</f>
        <v>2167</v>
      </c>
      <c r="M1541" s="163">
        <f>M1540+K1541-L1541</f>
        <v>215954.87572000042</v>
      </c>
    </row>
    <row r="1542" spans="1:13">
      <c r="A1542" s="54" t="str">
        <f>D1542&amp;E1542&amp;F1542</f>
        <v>CAPVIATICOSCAPRICHOS</v>
      </c>
      <c r="B1542" t="s">
        <v>1049</v>
      </c>
      <c r="C1542" s="1">
        <v>45791</v>
      </c>
      <c r="D1542" s="71" t="s">
        <v>31</v>
      </c>
      <c r="E1542" s="71" t="s">
        <v>191</v>
      </c>
      <c r="F1542" s="77" t="s">
        <v>33</v>
      </c>
      <c r="G1542" s="71" t="s">
        <v>216</v>
      </c>
      <c r="H1542" s="169"/>
      <c r="I1542" s="169"/>
      <c r="J1542" s="71" t="s">
        <v>1132</v>
      </c>
      <c r="K1542" s="180"/>
      <c r="L1542" s="323">
        <v>800</v>
      </c>
      <c r="M1542" s="163">
        <f>M1541+K1542-L1542</f>
        <v>215154.87572000042</v>
      </c>
    </row>
    <row r="1543" spans="1:13">
      <c r="A1543" s="54" t="str">
        <f>D1543&amp;E1543&amp;F1543</f>
        <v>HRMKTMKT HR</v>
      </c>
      <c r="B1543" t="s">
        <v>1049</v>
      </c>
      <c r="C1543" s="1">
        <v>45791</v>
      </c>
      <c r="D1543" s="71" t="s">
        <v>29</v>
      </c>
      <c r="E1543" s="71" t="s">
        <v>19</v>
      </c>
      <c r="F1543" s="77" t="s">
        <v>138</v>
      </c>
      <c r="G1543" s="71" t="s">
        <v>216</v>
      </c>
      <c r="H1543" s="169"/>
      <c r="I1543" s="169"/>
      <c r="J1543" s="71" t="s">
        <v>1133</v>
      </c>
      <c r="K1543" s="180"/>
      <c r="L1543" s="323">
        <v>1600</v>
      </c>
      <c r="M1543" s="163">
        <f>M1542+K1543-L1543</f>
        <v>213554.87572000042</v>
      </c>
    </row>
    <row r="1544" spans="1:13">
      <c r="A1544" s="54" t="str">
        <f>D1544&amp;E1544&amp;F1544</f>
        <v>CAPCOMBUSTIBLECAPRICHOS</v>
      </c>
      <c r="B1544" t="s">
        <v>1049</v>
      </c>
      <c r="C1544" s="1">
        <v>45791</v>
      </c>
      <c r="D1544" s="71" t="s">
        <v>31</v>
      </c>
      <c r="E1544" s="71" t="s">
        <v>32</v>
      </c>
      <c r="F1544" s="77" t="s">
        <v>33</v>
      </c>
      <c r="G1544" s="71" t="s">
        <v>216</v>
      </c>
      <c r="H1544" s="169"/>
      <c r="I1544" s="169"/>
      <c r="J1544" s="71" t="s">
        <v>1134</v>
      </c>
      <c r="K1544" s="180"/>
      <c r="L1544" s="323">
        <v>200</v>
      </c>
      <c r="M1544" s="163">
        <f>M1543+K1544-L1544</f>
        <v>213354.87572000042</v>
      </c>
    </row>
    <row r="1545" spans="1:13">
      <c r="A1545" s="54" t="str">
        <f>D1545&amp;E1545&amp;F1545</f>
        <v>HRUBERHR</v>
      </c>
      <c r="B1545" t="s">
        <v>1049</v>
      </c>
      <c r="C1545" s="1">
        <v>45791</v>
      </c>
      <c r="D1545" s="71" t="s">
        <v>29</v>
      </c>
      <c r="E1545" s="71" t="s">
        <v>189</v>
      </c>
      <c r="F1545" s="77" t="s">
        <v>29</v>
      </c>
      <c r="G1545" s="71" t="s">
        <v>216</v>
      </c>
      <c r="H1545" s="169"/>
      <c r="I1545" s="169"/>
      <c r="J1545" s="76" t="s">
        <v>291</v>
      </c>
      <c r="K1545" s="322"/>
      <c r="L1545" s="525">
        <v>100</v>
      </c>
      <c r="M1545" s="163">
        <f>M1544+K1545-L1545</f>
        <v>213254.87572000042</v>
      </c>
    </row>
    <row r="1546" spans="1:13">
      <c r="A1546" s="54" t="str">
        <f>D1546&amp;E1546&amp;F1546</f>
        <v>HRJMASA6</v>
      </c>
      <c r="B1546" t="s">
        <v>1049</v>
      </c>
      <c r="C1546" s="1">
        <v>45791</v>
      </c>
      <c r="D1546" s="71" t="s">
        <v>29</v>
      </c>
      <c r="E1546" s="71" t="s">
        <v>137</v>
      </c>
      <c r="F1546" s="77" t="s">
        <v>93</v>
      </c>
      <c r="G1546" s="71" t="s">
        <v>258</v>
      </c>
      <c r="H1546" s="169"/>
      <c r="I1546" s="169"/>
      <c r="J1546" s="76" t="s">
        <v>1135</v>
      </c>
      <c r="K1546" s="322"/>
      <c r="L1546" s="327">
        <v>493</v>
      </c>
      <c r="M1546" s="163">
        <f>M1545+K1546-L1546</f>
        <v>212761.87572000042</v>
      </c>
    </row>
    <row r="1547" spans="1:13">
      <c r="A1547" s="54" t="str">
        <f>D1547&amp;E1547&amp;F1547</f>
        <v>SERVICIOSMTTO DE EDIFICIOMANTENIMIENTO</v>
      </c>
      <c r="B1547" t="s">
        <v>1049</v>
      </c>
      <c r="C1547" s="1">
        <v>45791</v>
      </c>
      <c r="D1547" s="71" t="s">
        <v>21</v>
      </c>
      <c r="E1547" s="71" t="s">
        <v>142</v>
      </c>
      <c r="F1547" s="77" t="s">
        <v>35</v>
      </c>
      <c r="G1547" s="71" t="s">
        <v>216</v>
      </c>
      <c r="H1547" s="169"/>
      <c r="I1547" s="169"/>
      <c r="J1547" s="76" t="s">
        <v>1136</v>
      </c>
      <c r="K1547" s="322"/>
      <c r="L1547" s="327">
        <v>80</v>
      </c>
      <c r="M1547" s="163">
        <f>M1546+K1547-L1547</f>
        <v>212681.87572000042</v>
      </c>
    </row>
    <row r="1548" spans="1:13">
      <c r="A1548" s="54" t="str">
        <f>D1548&amp;E1548&amp;F1548</f>
        <v>HRNOMINA SUCURSALA16</v>
      </c>
      <c r="B1548" t="s">
        <v>1049</v>
      </c>
      <c r="C1548" s="1">
        <v>45791</v>
      </c>
      <c r="D1548" s="71" t="s">
        <v>29</v>
      </c>
      <c r="E1548" s="71" t="s">
        <v>154</v>
      </c>
      <c r="F1548" s="77" t="s">
        <v>101</v>
      </c>
      <c r="G1548" s="71" t="s">
        <v>216</v>
      </c>
      <c r="H1548" s="169"/>
      <c r="I1548" s="169"/>
      <c r="J1548" s="76" t="s">
        <v>1137</v>
      </c>
      <c r="K1548" s="322"/>
      <c r="L1548" s="327">
        <v>185</v>
      </c>
      <c r="M1548" s="163">
        <f>M1547+K1548-L1548</f>
        <v>212496.87572000042</v>
      </c>
    </row>
    <row r="1549" spans="1:13">
      <c r="A1549" s="54" t="str">
        <f>D1549&amp;E1549&amp;F1549</f>
        <v>HRJMASA18</v>
      </c>
      <c r="B1549" t="s">
        <v>1049</v>
      </c>
      <c r="C1549" s="1">
        <v>45791</v>
      </c>
      <c r="D1549" s="71" t="s">
        <v>29</v>
      </c>
      <c r="E1549" s="71" t="s">
        <v>137</v>
      </c>
      <c r="F1549" s="77" t="s">
        <v>103</v>
      </c>
      <c r="G1549" s="71" t="s">
        <v>258</v>
      </c>
      <c r="H1549" s="169"/>
      <c r="I1549" s="169"/>
      <c r="J1549" s="76" t="s">
        <v>487</v>
      </c>
      <c r="K1549" s="322"/>
      <c r="L1549" s="327">
        <v>1294</v>
      </c>
      <c r="M1549" s="163">
        <f>M1548+K1549-L1549</f>
        <v>211202.87572000042</v>
      </c>
    </row>
    <row r="1550" spans="1:13">
      <c r="A1550" s="54" t="str">
        <f>D1550&amp;E1550&amp;F1550</f>
        <v>HRJMASA22</v>
      </c>
      <c r="B1550" t="s">
        <v>1049</v>
      </c>
      <c r="C1550" s="1">
        <v>45791</v>
      </c>
      <c r="D1550" s="71" t="s">
        <v>29</v>
      </c>
      <c r="E1550" s="71" t="s">
        <v>137</v>
      </c>
      <c r="F1550" s="77" t="s">
        <v>104</v>
      </c>
      <c r="G1550" s="71" t="s">
        <v>258</v>
      </c>
      <c r="H1550" s="169"/>
      <c r="I1550" s="169"/>
      <c r="J1550" s="76" t="s">
        <v>619</v>
      </c>
      <c r="K1550" s="322"/>
      <c r="L1550" s="327">
        <v>925</v>
      </c>
      <c r="M1550" s="163">
        <f>M1549+K1550-L1550</f>
        <v>210277.87572000042</v>
      </c>
    </row>
    <row r="1551" spans="1:13">
      <c r="A1551" s="54" t="str">
        <f>D1551&amp;E1551&amp;F1551</f>
        <v>CAPNOMINA SUCURSALE1</v>
      </c>
      <c r="B1551" t="s">
        <v>1049</v>
      </c>
      <c r="C1551" s="1">
        <v>45791</v>
      </c>
      <c r="D1551" s="71" t="s">
        <v>31</v>
      </c>
      <c r="E1551" s="71" t="s">
        <v>154</v>
      </c>
      <c r="F1551" s="77" t="s">
        <v>107</v>
      </c>
      <c r="G1551" s="71" t="s">
        <v>216</v>
      </c>
      <c r="H1551" s="169"/>
      <c r="I1551" s="169"/>
      <c r="J1551" s="76" t="s">
        <v>1138</v>
      </c>
      <c r="K1551" s="322"/>
      <c r="L1551" s="327">
        <v>480</v>
      </c>
      <c r="M1551" s="163">
        <f>M1550+K1551-L1551</f>
        <v>209797.87572000042</v>
      </c>
    </row>
    <row r="1552" spans="1:13">
      <c r="A1552" s="54" t="str">
        <f>D1552&amp;E1552&amp;F1552</f>
        <v>CAPUBERCAP</v>
      </c>
      <c r="B1552" t="s">
        <v>1049</v>
      </c>
      <c r="C1552" s="1">
        <v>45791</v>
      </c>
      <c r="D1552" s="71" t="s">
        <v>31</v>
      </c>
      <c r="E1552" s="71" t="s">
        <v>189</v>
      </c>
      <c r="F1552" s="77" t="s">
        <v>31</v>
      </c>
      <c r="G1552" s="71" t="s">
        <v>216</v>
      </c>
      <c r="H1552" s="169"/>
      <c r="I1552" s="169"/>
      <c r="J1552" s="76" t="s">
        <v>253</v>
      </c>
      <c r="K1552" s="322"/>
      <c r="L1552" s="525">
        <v>228</v>
      </c>
      <c r="M1552" s="163">
        <f>M1551+K1552-L1552</f>
        <v>209569.87572000042</v>
      </c>
    </row>
    <row r="1553" spans="1:13">
      <c r="A1553" s="54" t="str">
        <f>D1553&amp;E1553&amp;F1553</f>
        <v>CAPFUMIGACIONCAPRICHOS</v>
      </c>
      <c r="B1553" t="s">
        <v>1049</v>
      </c>
      <c r="C1553" s="1">
        <v>45791</v>
      </c>
      <c r="D1553" s="71" t="s">
        <v>31</v>
      </c>
      <c r="E1553" s="71" t="s">
        <v>121</v>
      </c>
      <c r="F1553" s="77" t="s">
        <v>33</v>
      </c>
      <c r="G1553" s="71" t="s">
        <v>258</v>
      </c>
      <c r="H1553" s="169"/>
      <c r="I1553" s="169"/>
      <c r="J1553" s="76" t="s">
        <v>631</v>
      </c>
      <c r="K1553" s="322"/>
      <c r="L1553" s="537">
        <v>650</v>
      </c>
      <c r="M1553" s="163">
        <f>M1552+K1553-L1553</f>
        <v>208919.87572000042</v>
      </c>
    </row>
    <row r="1554" spans="1:13">
      <c r="A1554" s="54" t="str">
        <f>D1554&amp;E1554&amp;F1554</f>
        <v>CAPUBERCAP</v>
      </c>
      <c r="B1554" t="s">
        <v>1049</v>
      </c>
      <c r="C1554" s="1">
        <v>45791</v>
      </c>
      <c r="D1554" s="71" t="s">
        <v>31</v>
      </c>
      <c r="E1554" s="71" t="s">
        <v>189</v>
      </c>
      <c r="F1554" s="77" t="s">
        <v>31</v>
      </c>
      <c r="G1554" s="71" t="s">
        <v>216</v>
      </c>
      <c r="H1554" s="169"/>
      <c r="I1554" s="169"/>
      <c r="J1554" s="76" t="s">
        <v>257</v>
      </c>
      <c r="K1554" s="322"/>
      <c r="L1554" s="525">
        <v>70</v>
      </c>
      <c r="M1554" s="163">
        <f>M1553+K1554-L1554</f>
        <v>208849.87572000042</v>
      </c>
    </row>
    <row r="1555" spans="1:13">
      <c r="A1555" s="54" t="str">
        <f t="shared" ref="A1545:A1608" si="26">D1555&amp;E1555&amp;F1555</f>
        <v/>
      </c>
      <c r="B1555" t="s">
        <v>1049</v>
      </c>
      <c r="C1555" s="1">
        <v>45792</v>
      </c>
      <c r="D1555" s="71"/>
      <c r="F1555" s="77"/>
      <c r="H1555" s="169"/>
      <c r="I1555" s="169"/>
      <c r="J1555" s="71" t="s">
        <v>260</v>
      </c>
      <c r="K1555" s="322">
        <f>210977.55-6076-12252</f>
        <v>192649.55</v>
      </c>
      <c r="L1555" s="369"/>
      <c r="M1555" s="163">
        <f>M1554+K1555-L1555</f>
        <v>401499.42572000041</v>
      </c>
    </row>
    <row r="1556" spans="1:13">
      <c r="A1556" s="54" t="str">
        <f>D1556&amp;E1556&amp;F1556</f>
        <v>FINANZASCOMISIONES BANCARIASTPV</v>
      </c>
      <c r="B1556" t="s">
        <v>1049</v>
      </c>
      <c r="C1556" s="1">
        <v>45792</v>
      </c>
      <c r="D1556" s="71" t="s">
        <v>23</v>
      </c>
      <c r="E1556" s="71" t="s">
        <v>48</v>
      </c>
      <c r="F1556" s="77" t="s">
        <v>50</v>
      </c>
      <c r="G1556" s="71" t="s">
        <v>216</v>
      </c>
      <c r="H1556" s="169"/>
      <c r="I1556" s="169"/>
      <c r="J1556" s="71" t="s">
        <v>217</v>
      </c>
      <c r="K1556" s="322"/>
      <c r="L1556" s="327">
        <f>301.78+437.18+83.34+1749.59+389.26+1211.52+254.93</f>
        <v>4427.6000000000004</v>
      </c>
      <c r="M1556" s="163">
        <f>M1555+K1556-L1556</f>
        <v>397071.82572000043</v>
      </c>
    </row>
    <row r="1557" spans="1:13">
      <c r="A1557" s="54" t="str">
        <f t="shared" si="26"/>
        <v/>
      </c>
      <c r="B1557" t="s">
        <v>1049</v>
      </c>
      <c r="C1557" s="1">
        <v>45792</v>
      </c>
      <c r="D1557" s="71"/>
      <c r="F1557" s="77"/>
      <c r="H1557" s="169" t="s">
        <v>219</v>
      </c>
      <c r="I1557" s="169"/>
      <c r="J1557" s="205" t="s">
        <v>220</v>
      </c>
      <c r="K1557" s="206"/>
      <c r="L1557" s="206">
        <v>50000</v>
      </c>
      <c r="M1557" s="163">
        <f>M1556+K1557-L1557</f>
        <v>347071.82572000043</v>
      </c>
    </row>
    <row r="1558" spans="1:13">
      <c r="A1558" s="54" t="str">
        <f>D1558&amp;E1558&amp;F1558</f>
        <v>FINANZASTELEPEAJEFINANZAS</v>
      </c>
      <c r="B1558" t="s">
        <v>1049</v>
      </c>
      <c r="C1558" s="1">
        <v>45792</v>
      </c>
      <c r="D1558" s="71" t="s">
        <v>23</v>
      </c>
      <c r="E1558" s="71" t="s">
        <v>186</v>
      </c>
      <c r="F1558" s="77" t="s">
        <v>23</v>
      </c>
      <c r="G1558" s="71" t="s">
        <v>216</v>
      </c>
      <c r="H1558" s="169"/>
      <c r="I1558" s="169"/>
      <c r="J1558" s="73" t="s">
        <v>910</v>
      </c>
      <c r="K1558" s="322"/>
      <c r="L1558" s="323">
        <v>294</v>
      </c>
      <c r="M1558" s="163">
        <f>M1557+K1558-L1558</f>
        <v>346777.82572000043</v>
      </c>
    </row>
    <row r="1559" spans="1:13">
      <c r="A1559" s="54" t="str">
        <f>D1559&amp;E1559&amp;F1559</f>
        <v>CAPTELEPEAJEOP CAPRICHOS</v>
      </c>
      <c r="B1559" t="s">
        <v>1049</v>
      </c>
      <c r="C1559" s="1">
        <v>45792</v>
      </c>
      <c r="D1559" s="71" t="s">
        <v>31</v>
      </c>
      <c r="E1559" s="71" t="s">
        <v>186</v>
      </c>
      <c r="F1559" s="77" t="s">
        <v>188</v>
      </c>
      <c r="G1559" s="71" t="s">
        <v>258</v>
      </c>
      <c r="H1559" s="169"/>
      <c r="I1559" s="169"/>
      <c r="J1559" s="73" t="s">
        <v>1139</v>
      </c>
      <c r="K1559" s="369"/>
      <c r="L1559" s="323">
        <v>89</v>
      </c>
      <c r="M1559" s="163">
        <f>M1558+K1559-L1559</f>
        <v>346688.82572000043</v>
      </c>
    </row>
    <row r="1560" spans="1:13">
      <c r="A1560" s="54" t="str">
        <f>D1560&amp;E1560&amp;F1560</f>
        <v>SERVICIOSTELEPEAJECEDIS</v>
      </c>
      <c r="B1560" t="s">
        <v>1049</v>
      </c>
      <c r="C1560" s="1">
        <v>45792</v>
      </c>
      <c r="D1560" s="71" t="s">
        <v>21</v>
      </c>
      <c r="E1560" s="71" t="s">
        <v>186</v>
      </c>
      <c r="F1560" s="77" t="s">
        <v>28</v>
      </c>
      <c r="G1560" s="71" t="s">
        <v>216</v>
      </c>
      <c r="H1560" s="169"/>
      <c r="I1560" s="169"/>
      <c r="J1560" s="73" t="s">
        <v>1140</v>
      </c>
      <c r="K1560" s="369"/>
      <c r="L1560" s="323">
        <v>4505</v>
      </c>
      <c r="M1560" s="163">
        <f>M1559+K1560-L1560</f>
        <v>342183.82572000043</v>
      </c>
    </row>
    <row r="1561" spans="1:13">
      <c r="A1561" s="54" t="str">
        <f>D1561&amp;E1561&amp;F1561</f>
        <v>HRTELEPEAJEOP HR</v>
      </c>
      <c r="B1561" t="s">
        <v>1049</v>
      </c>
      <c r="C1561" s="1">
        <v>45792</v>
      </c>
      <c r="D1561" s="71" t="s">
        <v>29</v>
      </c>
      <c r="E1561" s="71" t="s">
        <v>186</v>
      </c>
      <c r="F1561" s="77" t="s">
        <v>187</v>
      </c>
      <c r="G1561" s="71" t="s">
        <v>216</v>
      </c>
      <c r="H1561" s="169"/>
      <c r="I1561" s="169"/>
      <c r="J1561" s="73" t="s">
        <v>1141</v>
      </c>
      <c r="K1561" s="322"/>
      <c r="L1561" s="323">
        <v>596</v>
      </c>
      <c r="M1561" s="163">
        <f>M1560+K1561-L1561</f>
        <v>341587.82572000043</v>
      </c>
    </row>
    <row r="1562" spans="1:13">
      <c r="A1562" s="54" t="str">
        <f>D1562&amp;E1562&amp;F1562</f>
        <v>SERVICIOSTELEPEAJECEDIS</v>
      </c>
      <c r="B1562" t="s">
        <v>1049</v>
      </c>
      <c r="C1562" s="1">
        <v>45792</v>
      </c>
      <c r="D1562" s="71" t="s">
        <v>21</v>
      </c>
      <c r="E1562" s="71" t="s">
        <v>186</v>
      </c>
      <c r="F1562" s="77" t="s">
        <v>28</v>
      </c>
      <c r="G1562" s="71" t="s">
        <v>216</v>
      </c>
      <c r="H1562" s="169"/>
      <c r="I1562" s="169"/>
      <c r="J1562" s="73" t="s">
        <v>1142</v>
      </c>
      <c r="K1562" s="336"/>
      <c r="L1562" s="323">
        <v>151</v>
      </c>
      <c r="M1562" s="163">
        <f>M1561+K1562-L1562</f>
        <v>341436.82572000043</v>
      </c>
    </row>
    <row r="1563" spans="1:13">
      <c r="A1563" s="54" t="str">
        <f>D1563&amp;E1563&amp;F1563</f>
        <v>CAPFONDO Y REPOSICIONCAPRICHOS</v>
      </c>
      <c r="B1563" t="s">
        <v>1049</v>
      </c>
      <c r="C1563" s="1">
        <v>45792</v>
      </c>
      <c r="D1563" s="71" t="s">
        <v>31</v>
      </c>
      <c r="E1563" s="71" t="s">
        <v>120</v>
      </c>
      <c r="F1563" s="77" t="s">
        <v>33</v>
      </c>
      <c r="G1563" s="71" t="s">
        <v>216</v>
      </c>
      <c r="H1563" s="169"/>
      <c r="I1563" s="169"/>
      <c r="J1563" s="73" t="s">
        <v>1143</v>
      </c>
      <c r="K1563" s="322"/>
      <c r="L1563" s="323">
        <v>2167</v>
      </c>
      <c r="M1563" s="163">
        <f>M1562+K1563-L1563</f>
        <v>339269.82572000043</v>
      </c>
    </row>
    <row r="1564" spans="1:13">
      <c r="A1564" s="54" t="str">
        <f>D1564&amp;E1564&amp;F1564</f>
        <v>FINANZASFONDO Y REPOSICIONFINANZAS</v>
      </c>
      <c r="B1564" t="s">
        <v>1049</v>
      </c>
      <c r="C1564" s="1">
        <v>45792</v>
      </c>
      <c r="D1564" s="71" t="s">
        <v>23</v>
      </c>
      <c r="E1564" s="71" t="s">
        <v>120</v>
      </c>
      <c r="F1564" s="77" t="s">
        <v>23</v>
      </c>
      <c r="G1564" s="71" t="s">
        <v>258</v>
      </c>
      <c r="H1564" s="169"/>
      <c r="I1564" s="169"/>
      <c r="J1564" s="73" t="s">
        <v>1144</v>
      </c>
      <c r="K1564" s="322"/>
      <c r="L1564" s="323">
        <v>50</v>
      </c>
      <c r="M1564" s="163">
        <f>M1563+K1564-L1564</f>
        <v>339219.82572000043</v>
      </c>
    </row>
    <row r="1565" spans="1:13">
      <c r="A1565" s="54" t="str">
        <f>D1565&amp;E1565&amp;F1565</f>
        <v>SERVICIOSINSUMOSCEDIS</v>
      </c>
      <c r="B1565" t="s">
        <v>1049</v>
      </c>
      <c r="C1565" s="1">
        <v>45792</v>
      </c>
      <c r="D1565" s="71" t="s">
        <v>21</v>
      </c>
      <c r="E1565" s="71" t="s">
        <v>133</v>
      </c>
      <c r="F1565" s="77" t="s">
        <v>28</v>
      </c>
      <c r="G1565" s="71" t="s">
        <v>258</v>
      </c>
      <c r="H1565" s="169"/>
      <c r="I1565" s="169"/>
      <c r="J1565" s="73" t="s">
        <v>1145</v>
      </c>
      <c r="K1565" s="322"/>
      <c r="L1565" s="323">
        <v>4176</v>
      </c>
      <c r="M1565" s="163">
        <f>M1564+K1565-L1565</f>
        <v>335043.82572000043</v>
      </c>
    </row>
    <row r="1566" spans="1:13">
      <c r="A1566" s="54" t="str">
        <f>D1566&amp;E1566&amp;F1566</f>
        <v>CAPMTTO EQ DE TRANSPORTECAPRICHOS</v>
      </c>
      <c r="B1566" t="s">
        <v>1049</v>
      </c>
      <c r="C1566" s="1">
        <v>45792</v>
      </c>
      <c r="D1566" s="71" t="s">
        <v>31</v>
      </c>
      <c r="E1566" s="71" t="s">
        <v>144</v>
      </c>
      <c r="F1566" s="77" t="s">
        <v>33</v>
      </c>
      <c r="G1566" s="71" t="s">
        <v>258</v>
      </c>
      <c r="H1566" s="169"/>
      <c r="I1566" s="169"/>
      <c r="J1566" s="71" t="s">
        <v>1146</v>
      </c>
      <c r="K1566" s="322"/>
      <c r="L1566" s="323">
        <v>2850</v>
      </c>
      <c r="M1566" s="163">
        <f>M1565+K1566-L1566</f>
        <v>332193.82572000043</v>
      </c>
    </row>
    <row r="1567" spans="1:13">
      <c r="A1567" s="54" t="str">
        <f>D1567&amp;E1567&amp;F1567</f>
        <v>SERVICIOSINSUMOSCADENA DE SUMINISTROS</v>
      </c>
      <c r="B1567" t="s">
        <v>1049</v>
      </c>
      <c r="C1567" s="1">
        <v>45792</v>
      </c>
      <c r="D1567" s="71" t="s">
        <v>21</v>
      </c>
      <c r="E1567" s="71" t="s">
        <v>133</v>
      </c>
      <c r="F1567" s="77" t="s">
        <v>134</v>
      </c>
      <c r="G1567" s="71" t="s">
        <v>216</v>
      </c>
      <c r="H1567" s="169"/>
      <c r="I1567" s="169"/>
      <c r="J1567" s="71" t="s">
        <v>1147</v>
      </c>
      <c r="K1567" s="322"/>
      <c r="L1567" s="323">
        <v>2158.6999999999998</v>
      </c>
      <c r="M1567" s="163">
        <f>M1566+K1567-L1567</f>
        <v>330035.12572000042</v>
      </c>
    </row>
    <row r="1568" spans="1:13">
      <c r="A1568" s="54" t="str">
        <f>D1568&amp;E1568&amp;F1568</f>
        <v>HRUBERHR</v>
      </c>
      <c r="B1568" t="s">
        <v>1049</v>
      </c>
      <c r="C1568" s="1">
        <v>45792</v>
      </c>
      <c r="D1568" s="71" t="s">
        <v>29</v>
      </c>
      <c r="E1568" s="71" t="s">
        <v>189</v>
      </c>
      <c r="F1568" s="77" t="s">
        <v>29</v>
      </c>
      <c r="G1568" s="71" t="s">
        <v>216</v>
      </c>
      <c r="H1568" s="169"/>
      <c r="I1568" s="169"/>
      <c r="J1568" s="76" t="s">
        <v>291</v>
      </c>
      <c r="K1568" s="322"/>
      <c r="L1568" s="525">
        <v>150</v>
      </c>
      <c r="M1568" s="163">
        <f>M1567+K1568-L1568</f>
        <v>329885.12572000042</v>
      </c>
    </row>
    <row r="1569" spans="1:14">
      <c r="A1569" s="54" t="str">
        <f>D1569&amp;E1569&amp;F1569</f>
        <v>HRUBERHR</v>
      </c>
      <c r="B1569" t="s">
        <v>1049</v>
      </c>
      <c r="C1569" s="1">
        <v>45792</v>
      </c>
      <c r="D1569" s="71" t="s">
        <v>29</v>
      </c>
      <c r="E1569" s="71" t="s">
        <v>189</v>
      </c>
      <c r="F1569" s="77" t="s">
        <v>29</v>
      </c>
      <c r="G1569" s="71" t="s">
        <v>216</v>
      </c>
      <c r="H1569" s="169"/>
      <c r="I1569" s="169"/>
      <c r="J1569" s="76" t="s">
        <v>802</v>
      </c>
      <c r="K1569" s="322"/>
      <c r="L1569" s="525">
        <v>117</v>
      </c>
      <c r="M1569" s="163">
        <f>M1568+K1569-L1569</f>
        <v>329768.12572000042</v>
      </c>
    </row>
    <row r="1570" spans="1:14">
      <c r="A1570" s="54" t="str">
        <f>D1570&amp;E1570&amp;F1570</f>
        <v>CAPUBERCAP</v>
      </c>
      <c r="B1570" t="s">
        <v>1049</v>
      </c>
      <c r="C1570" s="1">
        <v>45792</v>
      </c>
      <c r="D1570" s="71" t="s">
        <v>31</v>
      </c>
      <c r="E1570" s="71" t="s">
        <v>189</v>
      </c>
      <c r="F1570" s="77" t="s">
        <v>31</v>
      </c>
      <c r="G1570" s="71" t="s">
        <v>216</v>
      </c>
      <c r="H1570" s="169"/>
      <c r="I1570" s="169"/>
      <c r="J1570" s="76" t="s">
        <v>253</v>
      </c>
      <c r="K1570" s="322"/>
      <c r="L1570" s="525">
        <v>415</v>
      </c>
      <c r="M1570" s="163">
        <f>M1569+K1570-L1570</f>
        <v>329353.12572000042</v>
      </c>
    </row>
    <row r="1571" spans="1:14">
      <c r="A1571" s="54" t="str">
        <f>D1571&amp;E1571&amp;F1571</f>
        <v>CAPUBERCAP</v>
      </c>
      <c r="B1571" t="s">
        <v>1049</v>
      </c>
      <c r="C1571" s="1">
        <v>45792</v>
      </c>
      <c r="D1571" s="71" t="s">
        <v>31</v>
      </c>
      <c r="E1571" s="71" t="s">
        <v>189</v>
      </c>
      <c r="F1571" s="77" t="s">
        <v>31</v>
      </c>
      <c r="G1571" s="71" t="s">
        <v>216</v>
      </c>
      <c r="H1571" s="169"/>
      <c r="I1571" s="169"/>
      <c r="J1571" s="76" t="s">
        <v>257</v>
      </c>
      <c r="K1571" s="322"/>
      <c r="L1571" s="525">
        <v>254</v>
      </c>
      <c r="M1571" s="163">
        <f>M1570+K1571-L1571</f>
        <v>329099.12572000042</v>
      </c>
    </row>
    <row r="1572" spans="1:14">
      <c r="A1572" s="54" t="str">
        <f>D1572&amp;E1572&amp;F1572</f>
        <v>CAPUBERCAP</v>
      </c>
      <c r="B1572" t="s">
        <v>1049</v>
      </c>
      <c r="C1572" s="1">
        <v>45792</v>
      </c>
      <c r="D1572" s="71" t="s">
        <v>31</v>
      </c>
      <c r="E1572" s="71" t="s">
        <v>189</v>
      </c>
      <c r="F1572" s="77" t="s">
        <v>31</v>
      </c>
      <c r="G1572" s="71" t="s">
        <v>216</v>
      </c>
      <c r="H1572" s="169"/>
      <c r="I1572" s="169"/>
      <c r="J1572" s="76" t="s">
        <v>255</v>
      </c>
      <c r="K1572" s="322"/>
      <c r="L1572" s="525">
        <v>96</v>
      </c>
      <c r="M1572" s="163">
        <f>M1571+K1572-L1572</f>
        <v>329003.12572000042</v>
      </c>
    </row>
    <row r="1573" spans="1:14">
      <c r="A1573" s="54" t="str">
        <f t="shared" si="26"/>
        <v/>
      </c>
      <c r="B1573" t="s">
        <v>1049</v>
      </c>
      <c r="C1573" s="1">
        <v>45793</v>
      </c>
      <c r="D1573" s="71"/>
      <c r="F1573" s="77"/>
      <c r="H1573" s="169"/>
      <c r="I1573" s="169"/>
      <c r="J1573" s="71" t="s">
        <v>260</v>
      </c>
      <c r="K1573" s="322">
        <f>308765.54-13648-14273.5+6076</f>
        <v>286920.03999999998</v>
      </c>
      <c r="L1573" s="370"/>
      <c r="M1573" s="163">
        <f>M1572+K1573-L1573</f>
        <v>615923.1657200004</v>
      </c>
    </row>
    <row r="1574" spans="1:14">
      <c r="A1574" s="54" t="str">
        <f>D1574&amp;E1574&amp;F1574</f>
        <v>FINANZASCOMISIONES BANCARIASTPV</v>
      </c>
      <c r="B1574" t="s">
        <v>1049</v>
      </c>
      <c r="C1574" s="1">
        <v>45793</v>
      </c>
      <c r="D1574" s="71" t="s">
        <v>23</v>
      </c>
      <c r="E1574" s="71" t="s">
        <v>48</v>
      </c>
      <c r="F1574" s="77" t="s">
        <v>50</v>
      </c>
      <c r="G1574" s="71" t="s">
        <v>216</v>
      </c>
      <c r="H1574" s="169"/>
      <c r="I1574" s="169"/>
      <c r="J1574" s="71" t="s">
        <v>217</v>
      </c>
      <c r="K1574" s="322"/>
      <c r="L1574" s="323">
        <f>444.01+126.59+213.84+2549.98+38.92+1196.49</f>
        <v>4569.83</v>
      </c>
      <c r="M1574" s="163">
        <f>M1573+K1574-L1574</f>
        <v>611353.33572000044</v>
      </c>
    </row>
    <row r="1575" spans="1:14">
      <c r="A1575" s="54" t="str">
        <f t="shared" si="26"/>
        <v/>
      </c>
      <c r="B1575" t="s">
        <v>1049</v>
      </c>
      <c r="C1575" s="1">
        <v>45793</v>
      </c>
      <c r="D1575" s="71"/>
      <c r="F1575" s="77"/>
      <c r="H1575" s="169" t="s">
        <v>221</v>
      </c>
      <c r="I1575" s="169"/>
      <c r="J1575" s="205" t="s">
        <v>222</v>
      </c>
      <c r="K1575" s="206"/>
      <c r="L1575" s="206">
        <v>280000</v>
      </c>
      <c r="M1575" s="163">
        <f>M1574+K1575-L1575</f>
        <v>331353.33572000044</v>
      </c>
    </row>
    <row r="1576" spans="1:14">
      <c r="A1576" s="54" t="str">
        <f>D1576&amp;E1576&amp;F1576</f>
        <v>HRVIATICOSHR</v>
      </c>
      <c r="B1576" t="s">
        <v>1049</v>
      </c>
      <c r="C1576" s="1">
        <v>45793</v>
      </c>
      <c r="D1576" s="71" t="s">
        <v>29</v>
      </c>
      <c r="E1576" s="71" t="s">
        <v>191</v>
      </c>
      <c r="F1576" s="77" t="s">
        <v>29</v>
      </c>
      <c r="H1576" s="169"/>
      <c r="I1576" s="169"/>
      <c r="J1576" s="71" t="s">
        <v>1148</v>
      </c>
      <c r="L1576" s="323">
        <v>1200</v>
      </c>
      <c r="M1576" s="163">
        <f>M1575+K1576-L1576</f>
        <v>330153.33572000044</v>
      </c>
    </row>
    <row r="1577" spans="1:14">
      <c r="A1577" s="54" t="str">
        <f>D1577&amp;E1577&amp;F1577</f>
        <v>ELIVIATICOSL1</v>
      </c>
      <c r="B1577" t="s">
        <v>1049</v>
      </c>
      <c r="C1577" s="1">
        <v>45793</v>
      </c>
      <c r="D1577" t="s">
        <v>130</v>
      </c>
      <c r="E1577" t="s">
        <v>191</v>
      </c>
      <c r="F1577" s="77" t="s">
        <v>136</v>
      </c>
      <c r="G1577" t="s">
        <v>258</v>
      </c>
      <c r="H1577" s="169"/>
      <c r="I1577" s="169"/>
      <c r="J1577" s="71" t="s">
        <v>1149</v>
      </c>
      <c r="L1577" s="323">
        <v>1000</v>
      </c>
      <c r="M1577" s="163">
        <f>M1576+K1577-L1577</f>
        <v>329153.33572000044</v>
      </c>
    </row>
    <row r="1578" spans="1:14">
      <c r="A1578" s="54" t="str">
        <f t="shared" si="26"/>
        <v>COMBUSTIBLE</v>
      </c>
      <c r="B1578" t="s">
        <v>1049</v>
      </c>
      <c r="C1578" s="1">
        <v>45793</v>
      </c>
      <c r="D1578" s="71"/>
      <c r="E1578" s="71" t="s">
        <v>32</v>
      </c>
      <c r="F1578" s="77"/>
      <c r="H1578" s="169" t="s">
        <v>32</v>
      </c>
      <c r="I1578" s="169"/>
      <c r="J1578" s="71" t="s">
        <v>564</v>
      </c>
      <c r="K1578" s="322"/>
      <c r="L1578" s="323">
        <v>31618.2</v>
      </c>
      <c r="M1578" s="163">
        <f>M1577+K1578-L1578</f>
        <v>297535.13572000043</v>
      </c>
    </row>
    <row r="1579" spans="1:14">
      <c r="A1579" s="54" t="str">
        <f>D1579&amp;E1579&amp;F1579</f>
        <v>FINANZASSOLUONESOLUONE (RETAIL)</v>
      </c>
      <c r="B1579" t="s">
        <v>1049</v>
      </c>
      <c r="C1579" s="1">
        <v>45793</v>
      </c>
      <c r="D1579" t="s">
        <v>23</v>
      </c>
      <c r="E1579" t="s">
        <v>179</v>
      </c>
      <c r="F1579" t="s">
        <v>180</v>
      </c>
      <c r="G1579" s="71" t="s">
        <v>216</v>
      </c>
      <c r="H1579" s="169"/>
      <c r="I1579" s="169"/>
      <c r="J1579" s="71" t="s">
        <v>1150</v>
      </c>
      <c r="K1579" s="322"/>
      <c r="L1579" s="329">
        <v>79858.7</v>
      </c>
      <c r="M1579" s="163">
        <f>M1578+K1579-L1579</f>
        <v>217676.43572000042</v>
      </c>
    </row>
    <row r="1580" spans="1:14">
      <c r="A1580" s="54" t="str">
        <f t="shared" si="26"/>
        <v/>
      </c>
      <c r="B1580" t="s">
        <v>1049</v>
      </c>
      <c r="C1580" s="1">
        <v>45793</v>
      </c>
      <c r="D1580" s="71"/>
      <c r="F1580" s="77"/>
      <c r="H1580" s="169"/>
      <c r="I1580" s="169"/>
      <c r="J1580" s="71" t="s">
        <v>1151</v>
      </c>
      <c r="K1580" s="322"/>
      <c r="L1580" s="329">
        <v>50569.120000000003</v>
      </c>
      <c r="M1580" s="163">
        <f>M1579+K1580-L1580</f>
        <v>167107.31572000042</v>
      </c>
    </row>
    <row r="1581" spans="1:14">
      <c r="A1581" s="54" t="str">
        <f>D1581&amp;E1581&amp;F1581</f>
        <v>FINANZASVIATICOSFINANZAS</v>
      </c>
      <c r="B1581" t="s">
        <v>1049</v>
      </c>
      <c r="C1581" s="1">
        <v>45793</v>
      </c>
      <c r="D1581" s="71" t="s">
        <v>23</v>
      </c>
      <c r="E1581" s="71" t="s">
        <v>191</v>
      </c>
      <c r="F1581" s="77" t="s">
        <v>23</v>
      </c>
      <c r="G1581" s="71" t="s">
        <v>216</v>
      </c>
      <c r="H1581" s="169"/>
      <c r="I1581" s="169"/>
      <c r="J1581" s="71" t="s">
        <v>805</v>
      </c>
      <c r="K1581" s="180"/>
      <c r="L1581" s="323">
        <v>700</v>
      </c>
      <c r="M1581" s="163">
        <f>M1580+K1581-L1581</f>
        <v>166407.31572000042</v>
      </c>
    </row>
    <row r="1582" spans="1:14">
      <c r="A1582" s="54" t="str">
        <f>D1582&amp;E1582&amp;F1582</f>
        <v>HRJMASA15</v>
      </c>
      <c r="B1582" t="s">
        <v>1049</v>
      </c>
      <c r="C1582" s="1">
        <v>45793</v>
      </c>
      <c r="D1582" s="71" t="s">
        <v>29</v>
      </c>
      <c r="E1582" s="71" t="s">
        <v>137</v>
      </c>
      <c r="F1582" s="77" t="s">
        <v>100</v>
      </c>
      <c r="H1582" s="169"/>
      <c r="I1582" s="169"/>
      <c r="J1582" s="71" t="s">
        <v>1152</v>
      </c>
      <c r="K1582" s="180"/>
      <c r="L1582" s="323">
        <v>2000</v>
      </c>
      <c r="M1582" s="163">
        <f>M1581+K1582-L1582</f>
        <v>164407.31572000042</v>
      </c>
    </row>
    <row r="1583" spans="1:14">
      <c r="A1583" s="54" t="str">
        <f t="shared" si="26"/>
        <v/>
      </c>
      <c r="B1583" t="s">
        <v>1049</v>
      </c>
      <c r="C1583" s="1">
        <v>45793</v>
      </c>
      <c r="D1583" s="71"/>
      <c r="F1583" s="77"/>
      <c r="H1583" s="169"/>
      <c r="I1583" s="169"/>
      <c r="J1583" s="71" t="s">
        <v>1153</v>
      </c>
      <c r="K1583" s="180"/>
      <c r="L1583" s="323">
        <v>400</v>
      </c>
      <c r="M1583" s="163">
        <f>M1582+K1583-L1583</f>
        <v>164007.31572000042</v>
      </c>
      <c r="N1583" s="136"/>
    </row>
    <row r="1584" spans="1:14">
      <c r="A1584" s="54" t="str">
        <f>D1584&amp;E1584&amp;F1584</f>
        <v>FINANZASINSUMOSFINANZAS</v>
      </c>
      <c r="B1584" t="s">
        <v>1049</v>
      </c>
      <c r="C1584" s="1">
        <v>45793</v>
      </c>
      <c r="D1584" s="71" t="s">
        <v>23</v>
      </c>
      <c r="E1584" s="71" t="s">
        <v>133</v>
      </c>
      <c r="F1584" s="77" t="s">
        <v>23</v>
      </c>
      <c r="H1584" s="169"/>
      <c r="I1584" s="169"/>
      <c r="J1584" s="71" t="s">
        <v>1154</v>
      </c>
      <c r="K1584" s="180"/>
      <c r="L1584" s="323">
        <v>37</v>
      </c>
      <c r="M1584" s="163">
        <f>M1583+K1584-L1584</f>
        <v>163970.31572000042</v>
      </c>
    </row>
    <row r="1585" spans="1:13">
      <c r="A1585" s="54" t="str">
        <f>D1585&amp;E1585&amp;F1585</f>
        <v>HRUBERHR</v>
      </c>
      <c r="B1585" t="s">
        <v>1049</v>
      </c>
      <c r="C1585" s="1">
        <v>45793</v>
      </c>
      <c r="D1585" s="71" t="s">
        <v>29</v>
      </c>
      <c r="E1585" s="71" t="s">
        <v>189</v>
      </c>
      <c r="F1585" s="77" t="s">
        <v>29</v>
      </c>
      <c r="G1585" s="71" t="s">
        <v>216</v>
      </c>
      <c r="H1585" s="169"/>
      <c r="I1585" s="169"/>
      <c r="J1585" s="76" t="s">
        <v>291</v>
      </c>
      <c r="K1585" s="322"/>
      <c r="L1585" s="525">
        <v>110</v>
      </c>
      <c r="M1585" s="163">
        <f>M1584+K1585-L1585</f>
        <v>163860.31572000042</v>
      </c>
    </row>
    <row r="1586" spans="1:13">
      <c r="A1586" s="54" t="str">
        <f>D1586&amp;E1586&amp;F1586</f>
        <v>HRUBERHR</v>
      </c>
      <c r="B1586" t="s">
        <v>1049</v>
      </c>
      <c r="C1586" s="1">
        <v>45793</v>
      </c>
      <c r="D1586" s="71" t="s">
        <v>29</v>
      </c>
      <c r="E1586" s="71" t="s">
        <v>189</v>
      </c>
      <c r="F1586" s="77" t="s">
        <v>29</v>
      </c>
      <c r="G1586" s="71" t="s">
        <v>216</v>
      </c>
      <c r="H1586" s="169"/>
      <c r="I1586" s="169"/>
      <c r="J1586" s="76" t="s">
        <v>802</v>
      </c>
      <c r="K1586" s="322"/>
      <c r="L1586" s="525">
        <v>135</v>
      </c>
      <c r="M1586" s="163">
        <f>M1585+K1586-L1586</f>
        <v>163725.31572000042</v>
      </c>
    </row>
    <row r="1587" spans="1:13">
      <c r="A1587" s="54" t="str">
        <f>D1587&amp;E1587&amp;F1587</f>
        <v>CAPUBERCAP</v>
      </c>
      <c r="B1587" t="s">
        <v>1049</v>
      </c>
      <c r="C1587" s="1">
        <v>45793</v>
      </c>
      <c r="D1587" s="71" t="s">
        <v>31</v>
      </c>
      <c r="E1587" s="71" t="s">
        <v>189</v>
      </c>
      <c r="F1587" s="77" t="s">
        <v>31</v>
      </c>
      <c r="H1587" s="169"/>
      <c r="I1587" s="169"/>
      <c r="J1587" s="76" t="s">
        <v>253</v>
      </c>
      <c r="K1587" s="322"/>
      <c r="L1587" s="525">
        <v>460</v>
      </c>
      <c r="M1587" s="163">
        <f>M1586+K1587-L1587</f>
        <v>163265.31572000042</v>
      </c>
    </row>
    <row r="1588" spans="1:13">
      <c r="A1588" s="54" t="str">
        <f>D1588&amp;E1588&amp;F1588</f>
        <v>CAPUBERCAP</v>
      </c>
      <c r="B1588" t="s">
        <v>1049</v>
      </c>
      <c r="C1588" s="1">
        <v>45793</v>
      </c>
      <c r="D1588" s="71" t="s">
        <v>31</v>
      </c>
      <c r="E1588" s="71" t="s">
        <v>189</v>
      </c>
      <c r="F1588" s="77" t="s">
        <v>31</v>
      </c>
      <c r="H1588" s="169"/>
      <c r="I1588" s="169"/>
      <c r="J1588" s="173" t="s">
        <v>951</v>
      </c>
      <c r="K1588" s="322"/>
      <c r="L1588" s="525">
        <v>50</v>
      </c>
      <c r="M1588" s="163">
        <f>M1587+K1588-L1588</f>
        <v>163215.31572000042</v>
      </c>
    </row>
    <row r="1589" spans="1:13">
      <c r="A1589" s="54" t="str">
        <f t="shared" si="26"/>
        <v/>
      </c>
      <c r="B1589" t="s">
        <v>1049</v>
      </c>
      <c r="C1589" s="1">
        <v>45796</v>
      </c>
      <c r="D1589" s="71"/>
      <c r="F1589" s="77"/>
      <c r="H1589" s="169"/>
      <c r="I1589" s="169"/>
      <c r="J1589" s="71" t="s">
        <v>260</v>
      </c>
      <c r="K1589" s="322">
        <f>917188.9-15704-33328-29250-15214-9078</f>
        <v>814614.9</v>
      </c>
      <c r="L1589" s="180"/>
      <c r="M1589" s="163">
        <f>M1588+K1589-L1589</f>
        <v>977830.21572000044</v>
      </c>
    </row>
    <row r="1590" spans="1:13">
      <c r="A1590" s="54" t="str">
        <f>D1590&amp;E1590&amp;F1590</f>
        <v>FINANZASCOMISIONES BANCARIASTPV</v>
      </c>
      <c r="B1590" t="s">
        <v>1049</v>
      </c>
      <c r="C1590" s="1">
        <v>45796</v>
      </c>
      <c r="D1590" s="71" t="s">
        <v>23</v>
      </c>
      <c r="E1590" s="71" t="s">
        <v>48</v>
      </c>
      <c r="F1590" s="77" t="s">
        <v>50</v>
      </c>
      <c r="H1590" s="169"/>
      <c r="I1590" s="169"/>
      <c r="J1590" s="71" t="s">
        <v>217</v>
      </c>
      <c r="K1590" s="332"/>
      <c r="L1590" s="323">
        <f>987.06+1223.77+6910.57+787.93+5739.4</f>
        <v>15648.73</v>
      </c>
      <c r="M1590" s="163">
        <f>M1589+K1590-L1590</f>
        <v>962181.48572000046</v>
      </c>
    </row>
    <row r="1591" spans="1:13">
      <c r="A1591" s="54" t="str">
        <f t="shared" si="26"/>
        <v/>
      </c>
      <c r="B1591" t="s">
        <v>1049</v>
      </c>
      <c r="C1591" s="1">
        <v>45796</v>
      </c>
      <c r="D1591" s="71"/>
      <c r="F1591" s="77"/>
      <c r="H1591" s="169"/>
      <c r="I1591" s="169"/>
      <c r="J1591" s="205" t="s">
        <v>220</v>
      </c>
      <c r="K1591" s="206"/>
      <c r="L1591" s="206">
        <v>400000</v>
      </c>
      <c r="M1591" s="163">
        <f>M1590+K1591-L1591</f>
        <v>562181.48572000046</v>
      </c>
    </row>
    <row r="1592" spans="1:13">
      <c r="A1592" s="54" t="str">
        <f t="shared" si="26"/>
        <v/>
      </c>
      <c r="B1592" t="s">
        <v>1049</v>
      </c>
      <c r="C1592" s="1">
        <v>45796</v>
      </c>
      <c r="D1592" s="71"/>
      <c r="F1592" s="77"/>
      <c r="H1592" s="169"/>
      <c r="I1592" s="169"/>
      <c r="J1592" s="205" t="s">
        <v>563</v>
      </c>
      <c r="K1592" s="206"/>
      <c r="L1592" s="206">
        <v>400000</v>
      </c>
      <c r="M1592" s="163">
        <f>M1591+K1592-L1592</f>
        <v>162181.48572000046</v>
      </c>
    </row>
    <row r="1593" spans="1:13">
      <c r="A1593" s="54" t="str">
        <f>D1593&amp;E1593&amp;F1593</f>
        <v>FINANZASFONDO Y REPOSICIONFINANZAS</v>
      </c>
      <c r="B1593" t="s">
        <v>1049</v>
      </c>
      <c r="C1593" s="1">
        <v>45796</v>
      </c>
      <c r="D1593" s="71" t="s">
        <v>23</v>
      </c>
      <c r="E1593" s="71" t="s">
        <v>120</v>
      </c>
      <c r="F1593" s="77" t="s">
        <v>23</v>
      </c>
      <c r="G1593" s="71" t="s">
        <v>216</v>
      </c>
      <c r="H1593" s="169"/>
      <c r="I1593" s="169"/>
      <c r="J1593" s="71" t="s">
        <v>1155</v>
      </c>
      <c r="K1593" s="322"/>
      <c r="L1593" s="323">
        <v>300</v>
      </c>
      <c r="M1593" s="163">
        <f>M1592+K1593-L1593</f>
        <v>161881.48572000046</v>
      </c>
    </row>
    <row r="1594" spans="1:13">
      <c r="A1594" s="54" t="str">
        <f>D1594&amp;E1594&amp;F1594</f>
        <v>FINANZASFONDO Y REPOSICIONFINANZAS</v>
      </c>
      <c r="B1594" t="s">
        <v>1049</v>
      </c>
      <c r="C1594" s="1">
        <v>45796</v>
      </c>
      <c r="D1594" s="71" t="s">
        <v>23</v>
      </c>
      <c r="E1594" s="71" t="s">
        <v>120</v>
      </c>
      <c r="F1594" s="77" t="s">
        <v>23</v>
      </c>
      <c r="G1594" s="71" t="s">
        <v>258</v>
      </c>
      <c r="H1594" s="169"/>
      <c r="I1594" s="169"/>
      <c r="J1594" s="71" t="s">
        <v>1156</v>
      </c>
      <c r="K1594" s="332"/>
      <c r="L1594" s="326">
        <v>230</v>
      </c>
      <c r="M1594" s="163">
        <f>M1593+K1594-L1594</f>
        <v>161651.48572000046</v>
      </c>
    </row>
    <row r="1595" spans="1:13">
      <c r="A1595" s="54" t="str">
        <f>D1595&amp;E1595&amp;F1595</f>
        <v>SERVICIOSMTTO EQ DE TRANSPORTECEDIS</v>
      </c>
      <c r="B1595" t="s">
        <v>1049</v>
      </c>
      <c r="C1595" s="1">
        <v>45796</v>
      </c>
      <c r="D1595" s="71" t="s">
        <v>21</v>
      </c>
      <c r="E1595" s="71" t="s">
        <v>144</v>
      </c>
      <c r="F1595" s="77" t="s">
        <v>28</v>
      </c>
      <c r="G1595" s="71" t="s">
        <v>258</v>
      </c>
      <c r="H1595" s="169"/>
      <c r="I1595" s="169"/>
      <c r="J1595" s="71" t="s">
        <v>1157</v>
      </c>
      <c r="K1595" s="322"/>
      <c r="L1595" s="417">
        <v>1500</v>
      </c>
      <c r="M1595" s="163">
        <f>M1594+K1595-L1595</f>
        <v>160151.48572000046</v>
      </c>
    </row>
    <row r="1596" spans="1:13">
      <c r="A1596" s="54" t="str">
        <f>D1596&amp;E1596&amp;F1596</f>
        <v>SERVICIOSVIATICOSCEDIS</v>
      </c>
      <c r="B1596" t="s">
        <v>1049</v>
      </c>
      <c r="C1596" s="1">
        <v>45796</v>
      </c>
      <c r="D1596" s="71" t="s">
        <v>21</v>
      </c>
      <c r="E1596" s="71" t="s">
        <v>191</v>
      </c>
      <c r="F1596" s="77" t="s">
        <v>28</v>
      </c>
      <c r="G1596" s="71" t="s">
        <v>216</v>
      </c>
      <c r="H1596" s="169"/>
      <c r="I1596" s="169"/>
      <c r="J1596" s="71" t="s">
        <v>1158</v>
      </c>
      <c r="K1596" s="322"/>
      <c r="L1596" s="323">
        <v>2050</v>
      </c>
      <c r="M1596" s="163">
        <f>M1595+K1596-L1596</f>
        <v>158101.48572000046</v>
      </c>
    </row>
    <row r="1597" spans="1:13">
      <c r="A1597" s="54" t="str">
        <f>D1597&amp;E1597&amp;F1597</f>
        <v>SERVICIOSPAQUETERIACEDIS (E6)</v>
      </c>
      <c r="B1597" t="s">
        <v>1049</v>
      </c>
      <c r="C1597" s="1">
        <v>45796</v>
      </c>
      <c r="D1597" s="71" t="s">
        <v>21</v>
      </c>
      <c r="E1597" s="71" t="s">
        <v>160</v>
      </c>
      <c r="F1597" s="77" t="s">
        <v>161</v>
      </c>
      <c r="G1597" s="71" t="s">
        <v>216</v>
      </c>
      <c r="H1597" s="169"/>
      <c r="I1597" s="169"/>
      <c r="J1597" s="71" t="s">
        <v>1159</v>
      </c>
      <c r="K1597" s="322"/>
      <c r="L1597" s="323">
        <v>2901.09</v>
      </c>
      <c r="M1597" s="163">
        <f>M1596+K1597-L1597</f>
        <v>155200.39572000047</v>
      </c>
    </row>
    <row r="1598" spans="1:13">
      <c r="A1598" s="54" t="str">
        <f>D1598&amp;E1598&amp;F1598</f>
        <v>SERVICIOSFONDO Y REPOSICIONSERVICIOS</v>
      </c>
      <c r="B1598" t="s">
        <v>1049</v>
      </c>
      <c r="C1598" s="1">
        <v>45796</v>
      </c>
      <c r="D1598" s="71" t="s">
        <v>21</v>
      </c>
      <c r="E1598" s="71" t="s">
        <v>120</v>
      </c>
      <c r="F1598" s="77" t="s">
        <v>21</v>
      </c>
      <c r="G1598" s="71" t="s">
        <v>258</v>
      </c>
      <c r="H1598" s="169"/>
      <c r="I1598" s="169"/>
      <c r="J1598" s="71" t="s">
        <v>1160</v>
      </c>
      <c r="K1598" s="322"/>
      <c r="L1598" s="323">
        <v>702</v>
      </c>
      <c r="M1598" s="163">
        <f>M1597+K1598-L1598</f>
        <v>154498.39572000047</v>
      </c>
    </row>
    <row r="1599" spans="1:13">
      <c r="A1599" s="54" t="str">
        <f>D1599&amp;E1599&amp;F1599</f>
        <v>SERVICIOSMTTO EQ DE TRANSPORTECEDIS</v>
      </c>
      <c r="B1599" t="s">
        <v>1049</v>
      </c>
      <c r="C1599" s="1">
        <v>45796</v>
      </c>
      <c r="D1599" s="71" t="s">
        <v>21</v>
      </c>
      <c r="E1599" s="71" t="s">
        <v>144</v>
      </c>
      <c r="F1599" s="77" t="s">
        <v>28</v>
      </c>
      <c r="G1599" s="71" t="s">
        <v>258</v>
      </c>
      <c r="H1599" s="169"/>
      <c r="I1599" s="169"/>
      <c r="J1599" s="71" t="s">
        <v>1157</v>
      </c>
      <c r="K1599" s="322"/>
      <c r="L1599" s="417">
        <v>1800</v>
      </c>
      <c r="M1599" s="163">
        <f>M1598+K1599-L1599</f>
        <v>152698.39572000047</v>
      </c>
    </row>
    <row r="1600" spans="1:13">
      <c r="A1600" s="54" t="str">
        <f>D1600&amp;E1600&amp;F1600</f>
        <v>FINANZASFONDO Y REPOSICIONFINANZAS</v>
      </c>
      <c r="B1600" t="s">
        <v>1049</v>
      </c>
      <c r="C1600" s="1">
        <v>45796</v>
      </c>
      <c r="D1600" s="71" t="s">
        <v>23</v>
      </c>
      <c r="E1600" s="71" t="s">
        <v>120</v>
      </c>
      <c r="F1600" s="70" t="s">
        <v>23</v>
      </c>
      <c r="H1600" s="169"/>
      <c r="I1600" s="169"/>
      <c r="J1600" s="71" t="s">
        <v>1161</v>
      </c>
      <c r="K1600" s="332"/>
      <c r="L1600" s="326">
        <v>100</v>
      </c>
      <c r="M1600" s="163">
        <f>M1599+K1600-L1600</f>
        <v>152598.39572000047</v>
      </c>
    </row>
    <row r="1601" spans="1:13">
      <c r="A1601" s="54" t="str">
        <f>D1601&amp;E1601&amp;F1601</f>
        <v>SERVICIOSADQ DE EQ TECNOLOGICOADQ DE EQ TECNOLOGICO</v>
      </c>
      <c r="B1601" t="s">
        <v>1049</v>
      </c>
      <c r="C1601" s="1">
        <v>45796</v>
      </c>
      <c r="D1601" s="71" t="s">
        <v>21</v>
      </c>
      <c r="E1601" s="71" t="s">
        <v>22</v>
      </c>
      <c r="F1601" s="77" t="s">
        <v>22</v>
      </c>
      <c r="G1601" s="71" t="s">
        <v>258</v>
      </c>
      <c r="H1601" s="169"/>
      <c r="I1601" s="169"/>
      <c r="J1601" s="71" t="s">
        <v>1162</v>
      </c>
      <c r="K1601" s="322"/>
      <c r="L1601" s="323">
        <v>3000</v>
      </c>
      <c r="M1601" s="163">
        <f>M1600+K1601-L1601</f>
        <v>149598.39572000047</v>
      </c>
    </row>
    <row r="1602" spans="1:13">
      <c r="A1602" s="54" t="str">
        <f>D1602&amp;E1602&amp;F1602</f>
        <v>HRUBERHR</v>
      </c>
      <c r="B1602" t="s">
        <v>1049</v>
      </c>
      <c r="C1602" s="1">
        <v>45796</v>
      </c>
      <c r="D1602" s="71" t="s">
        <v>29</v>
      </c>
      <c r="E1602" s="71" t="s">
        <v>189</v>
      </c>
      <c r="F1602" s="77" t="s">
        <v>29</v>
      </c>
      <c r="G1602" s="71" t="s">
        <v>216</v>
      </c>
      <c r="H1602" s="169"/>
      <c r="I1602" s="169"/>
      <c r="J1602" s="76" t="s">
        <v>291</v>
      </c>
      <c r="K1602" s="332"/>
      <c r="L1602" s="526">
        <v>228</v>
      </c>
      <c r="M1602" s="163">
        <f>M1601+K1602-L1602</f>
        <v>149370.39572000047</v>
      </c>
    </row>
    <row r="1603" spans="1:13">
      <c r="A1603" s="54" t="str">
        <f>D1603&amp;E1603&amp;F1603</f>
        <v>HRNOMINA SUCURSALA6</v>
      </c>
      <c r="B1603" t="s">
        <v>1049</v>
      </c>
      <c r="C1603" s="1">
        <v>45796</v>
      </c>
      <c r="D1603" s="71" t="s">
        <v>29</v>
      </c>
      <c r="E1603" s="71" t="s">
        <v>154</v>
      </c>
      <c r="F1603" s="77" t="s">
        <v>93</v>
      </c>
      <c r="G1603" s="71" t="s">
        <v>216</v>
      </c>
      <c r="H1603" s="169"/>
      <c r="I1603" s="169"/>
      <c r="J1603" s="76" t="s">
        <v>1163</v>
      </c>
      <c r="K1603" s="322"/>
      <c r="L1603" s="327">
        <v>172</v>
      </c>
      <c r="M1603" s="163">
        <f>M1602+K1603-L1603</f>
        <v>149198.39572000047</v>
      </c>
    </row>
    <row r="1604" spans="1:13">
      <c r="A1604" s="54" t="str">
        <f>D1604&amp;E1604&amp;F1604</f>
        <v>HRUBERHR</v>
      </c>
      <c r="B1604" t="s">
        <v>1049</v>
      </c>
      <c r="C1604" s="1">
        <v>45796</v>
      </c>
      <c r="D1604" s="71" t="s">
        <v>29</v>
      </c>
      <c r="E1604" s="71" t="s">
        <v>189</v>
      </c>
      <c r="F1604" s="77" t="s">
        <v>29</v>
      </c>
      <c r="G1604" s="71" t="s">
        <v>216</v>
      </c>
      <c r="H1604" s="169"/>
      <c r="I1604" s="169"/>
      <c r="J1604" s="76" t="s">
        <v>308</v>
      </c>
      <c r="K1604" s="322"/>
      <c r="L1604" s="525">
        <v>100</v>
      </c>
      <c r="M1604" s="163">
        <f>M1603+K1604-L1604</f>
        <v>149098.39572000047</v>
      </c>
    </row>
    <row r="1605" spans="1:13">
      <c r="A1605" s="54" t="str">
        <f>D1605&amp;E1605&amp;F1605</f>
        <v>HRUBERHR</v>
      </c>
      <c r="B1605" t="s">
        <v>1049</v>
      </c>
      <c r="C1605" s="1">
        <v>45796</v>
      </c>
      <c r="D1605" s="71" t="s">
        <v>29</v>
      </c>
      <c r="E1605" s="71" t="s">
        <v>189</v>
      </c>
      <c r="F1605" s="77" t="s">
        <v>29</v>
      </c>
      <c r="G1605" s="71" t="s">
        <v>216</v>
      </c>
      <c r="H1605" s="169"/>
      <c r="I1605" s="169"/>
      <c r="J1605" s="76" t="s">
        <v>1123</v>
      </c>
      <c r="K1605" s="322"/>
      <c r="L1605" s="525">
        <v>260</v>
      </c>
      <c r="M1605" s="163">
        <f>M1604+K1605-L1605</f>
        <v>148838.39572000047</v>
      </c>
    </row>
    <row r="1606" spans="1:13">
      <c r="A1606" s="54" t="str">
        <f>D1606&amp;E1606&amp;F1606</f>
        <v>HRMKTMKT HR</v>
      </c>
      <c r="B1606" t="s">
        <v>1049</v>
      </c>
      <c r="C1606" s="1">
        <v>45796</v>
      </c>
      <c r="D1606" s="71" t="s">
        <v>29</v>
      </c>
      <c r="E1606" s="71" t="s">
        <v>19</v>
      </c>
      <c r="F1606" s="77" t="s">
        <v>138</v>
      </c>
      <c r="G1606" s="71" t="s">
        <v>216</v>
      </c>
      <c r="H1606" s="169"/>
      <c r="I1606" s="169"/>
      <c r="J1606" s="76" t="s">
        <v>1164</v>
      </c>
      <c r="K1606" s="322"/>
      <c r="L1606" s="327">
        <v>158</v>
      </c>
      <c r="M1606" s="163">
        <f>M1605+K1606-L1606</f>
        <v>148680.39572000047</v>
      </c>
    </row>
    <row r="1607" spans="1:13">
      <c r="A1607" s="54" t="str">
        <f>D1607&amp;E1607&amp;F1607</f>
        <v>HRINSUMOSHR</v>
      </c>
      <c r="B1607" t="s">
        <v>1049</v>
      </c>
      <c r="C1607" s="1">
        <v>45796</v>
      </c>
      <c r="D1607" s="71" t="s">
        <v>29</v>
      </c>
      <c r="E1607" s="71" t="s">
        <v>133</v>
      </c>
      <c r="F1607" s="77" t="s">
        <v>29</v>
      </c>
      <c r="G1607" s="71" t="s">
        <v>216</v>
      </c>
      <c r="H1607" s="169"/>
      <c r="I1607" s="169"/>
      <c r="J1607" s="76" t="s">
        <v>1165</v>
      </c>
      <c r="K1607" s="369"/>
      <c r="L1607" s="327">
        <v>64</v>
      </c>
      <c r="M1607" s="163">
        <f>M1606+K1607-L1607</f>
        <v>148616.39572000047</v>
      </c>
    </row>
    <row r="1608" spans="1:13">
      <c r="A1608" s="54" t="str">
        <f>D1608&amp;E1608&amp;F1608</f>
        <v>HRNOMINA SUCURSALA11</v>
      </c>
      <c r="B1608" t="s">
        <v>1049</v>
      </c>
      <c r="C1608" s="1">
        <v>45796</v>
      </c>
      <c r="D1608" s="71" t="s">
        <v>29</v>
      </c>
      <c r="E1608" s="71" t="s">
        <v>154</v>
      </c>
      <c r="F1608" s="77" t="s">
        <v>97</v>
      </c>
      <c r="G1608" s="71" t="s">
        <v>216</v>
      </c>
      <c r="H1608" s="169"/>
      <c r="I1608" s="169"/>
      <c r="J1608" s="76" t="s">
        <v>1166</v>
      </c>
      <c r="K1608" s="322"/>
      <c r="L1608" s="327">
        <v>926</v>
      </c>
      <c r="M1608" s="163">
        <f>M1607+K1608-L1608</f>
        <v>147690.39572000047</v>
      </c>
    </row>
    <row r="1609" spans="1:13">
      <c r="A1609" s="54" t="str">
        <f>D1609&amp;E1609&amp;F1609</f>
        <v>HRUBERHR</v>
      </c>
      <c r="B1609" t="s">
        <v>1049</v>
      </c>
      <c r="C1609" s="1">
        <v>45796</v>
      </c>
      <c r="D1609" s="71" t="s">
        <v>29</v>
      </c>
      <c r="E1609" s="71" t="s">
        <v>189</v>
      </c>
      <c r="F1609" s="77" t="s">
        <v>29</v>
      </c>
      <c r="G1609" s="71" t="s">
        <v>216</v>
      </c>
      <c r="H1609" s="169"/>
      <c r="I1609" s="169"/>
      <c r="J1609" s="76" t="s">
        <v>802</v>
      </c>
      <c r="K1609" s="322"/>
      <c r="L1609" s="525">
        <v>150</v>
      </c>
      <c r="M1609" s="163">
        <f>M1608+K1609-L1609</f>
        <v>147540.39572000047</v>
      </c>
    </row>
    <row r="1610" spans="1:13">
      <c r="A1610" s="54" t="str">
        <f>D1610&amp;E1610&amp;F1610</f>
        <v>HRNOMINA SUCURSALA14</v>
      </c>
      <c r="B1610" t="s">
        <v>1049</v>
      </c>
      <c r="C1610" s="1">
        <v>45796</v>
      </c>
      <c r="D1610" s="71" t="s">
        <v>29</v>
      </c>
      <c r="E1610" s="71" t="s">
        <v>154</v>
      </c>
      <c r="F1610" s="77" t="s">
        <v>99</v>
      </c>
      <c r="G1610" s="71" t="s">
        <v>216</v>
      </c>
      <c r="H1610" s="169"/>
      <c r="I1610" s="169"/>
      <c r="J1610" s="183" t="s">
        <v>1008</v>
      </c>
      <c r="K1610" s="322"/>
      <c r="L1610" s="327">
        <v>285</v>
      </c>
      <c r="M1610" s="163">
        <f>M1609+K1610-L1610</f>
        <v>147255.39572000047</v>
      </c>
    </row>
    <row r="1611" spans="1:13">
      <c r="A1611" s="54" t="str">
        <f>D1611&amp;E1611&amp;F1611</f>
        <v>HRUBERHR</v>
      </c>
      <c r="B1611" t="s">
        <v>1049</v>
      </c>
      <c r="C1611" s="1">
        <v>45796</v>
      </c>
      <c r="D1611" s="71" t="s">
        <v>29</v>
      </c>
      <c r="E1611" s="71" t="s">
        <v>189</v>
      </c>
      <c r="F1611" s="77" t="s">
        <v>29</v>
      </c>
      <c r="G1611" s="71" t="s">
        <v>216</v>
      </c>
      <c r="H1611" s="169"/>
      <c r="I1611" s="169"/>
      <c r="J1611" s="183" t="s">
        <v>249</v>
      </c>
      <c r="K1611" s="369"/>
      <c r="L1611" s="525">
        <v>140</v>
      </c>
      <c r="M1611" s="163">
        <f>M1610+K1611-L1611</f>
        <v>147115.39572000047</v>
      </c>
    </row>
    <row r="1612" spans="1:13">
      <c r="A1612" s="54" t="str">
        <f>D1612&amp;E1612&amp;F1612</f>
        <v>HRUBERHR</v>
      </c>
      <c r="B1612" t="s">
        <v>1049</v>
      </c>
      <c r="C1612" s="1">
        <v>45796</v>
      </c>
      <c r="D1612" s="71" t="s">
        <v>29</v>
      </c>
      <c r="E1612" s="71" t="s">
        <v>189</v>
      </c>
      <c r="F1612" s="77" t="s">
        <v>29</v>
      </c>
      <c r="G1612" s="71" t="s">
        <v>216</v>
      </c>
      <c r="H1612" s="169"/>
      <c r="I1612" s="169"/>
      <c r="J1612" s="76" t="s">
        <v>250</v>
      </c>
      <c r="K1612" s="322"/>
      <c r="L1612" s="525">
        <v>220</v>
      </c>
      <c r="M1612" s="163">
        <f>M1611+K1612-L1612</f>
        <v>146895.39572000047</v>
      </c>
    </row>
    <row r="1613" spans="1:13">
      <c r="A1613" s="54" t="str">
        <f>D1613&amp;E1613&amp;F1613</f>
        <v>HRNOMINA SUCURSALA24</v>
      </c>
      <c r="B1613" t="s">
        <v>1049</v>
      </c>
      <c r="C1613" s="1">
        <v>45796</v>
      </c>
      <c r="D1613" s="71" t="s">
        <v>29</v>
      </c>
      <c r="E1613" s="71" t="s">
        <v>154</v>
      </c>
      <c r="F1613" s="70" t="s">
        <v>106</v>
      </c>
      <c r="G1613" s="71" t="s">
        <v>216</v>
      </c>
      <c r="H1613" s="169"/>
      <c r="I1613" s="169"/>
      <c r="J1613" s="76" t="s">
        <v>1167</v>
      </c>
      <c r="K1613" s="322"/>
      <c r="L1613" s="327">
        <v>75</v>
      </c>
      <c r="M1613" s="163">
        <f>M1612+K1613-L1613</f>
        <v>146820.39572000047</v>
      </c>
    </row>
    <row r="1614" spans="1:13">
      <c r="A1614" s="54" t="str">
        <f>D1614&amp;E1614&amp;F1614</f>
        <v>HRUBERHR</v>
      </c>
      <c r="B1614" t="s">
        <v>1049</v>
      </c>
      <c r="C1614" s="1">
        <v>45796</v>
      </c>
      <c r="D1614" s="71" t="s">
        <v>29</v>
      </c>
      <c r="E1614" s="71" t="s">
        <v>189</v>
      </c>
      <c r="F1614" s="77" t="s">
        <v>29</v>
      </c>
      <c r="G1614" s="71" t="s">
        <v>216</v>
      </c>
      <c r="H1614" s="169"/>
      <c r="I1614" s="169"/>
      <c r="J1614" s="183" t="s">
        <v>664</v>
      </c>
      <c r="K1614" s="322"/>
      <c r="L1614" s="525">
        <v>100</v>
      </c>
      <c r="M1614" s="163">
        <f>M1613+K1614-L1614</f>
        <v>146720.39572000047</v>
      </c>
    </row>
    <row r="1615" spans="1:13">
      <c r="A1615" s="54" t="str">
        <f>D1615&amp;E1615&amp;F1615</f>
        <v>CAPMKTMKT CAP</v>
      </c>
      <c r="B1615" t="s">
        <v>1049</v>
      </c>
      <c r="C1615" s="1">
        <v>45796</v>
      </c>
      <c r="D1615" s="71" t="s">
        <v>31</v>
      </c>
      <c r="E1615" s="71" t="s">
        <v>19</v>
      </c>
      <c r="F1615" s="77" t="s">
        <v>139</v>
      </c>
      <c r="G1615" s="71" t="s">
        <v>258</v>
      </c>
      <c r="H1615" s="169"/>
      <c r="I1615" s="169"/>
      <c r="J1615" s="183" t="s">
        <v>1168</v>
      </c>
      <c r="K1615" s="336"/>
      <c r="L1615" s="327">
        <v>350</v>
      </c>
      <c r="M1615" s="163">
        <f>M1614+K1615-L1615</f>
        <v>146370.39572000047</v>
      </c>
    </row>
    <row r="1616" spans="1:13">
      <c r="A1616" s="54" t="str">
        <f>D1616&amp;E1616&amp;F1616</f>
        <v>CAPINSUMOSCAPRICHOS</v>
      </c>
      <c r="B1616" t="s">
        <v>1049</v>
      </c>
      <c r="C1616" s="1">
        <v>45796</v>
      </c>
      <c r="D1616" s="71" t="s">
        <v>31</v>
      </c>
      <c r="E1616" s="71" t="s">
        <v>133</v>
      </c>
      <c r="F1616" s="77" t="s">
        <v>33</v>
      </c>
      <c r="G1616" s="71" t="s">
        <v>216</v>
      </c>
      <c r="H1616" s="169"/>
      <c r="I1616" s="169"/>
      <c r="J1616" s="183" t="s">
        <v>1169</v>
      </c>
      <c r="K1616" s="336"/>
      <c r="L1616" s="327">
        <v>90</v>
      </c>
      <c r="M1616" s="163">
        <f>M1615+K1616-L1616</f>
        <v>146280.39572000047</v>
      </c>
    </row>
    <row r="1617" spans="1:13">
      <c r="A1617" s="54" t="str">
        <f>D1617&amp;E1617&amp;F1617</f>
        <v>CAPUBERCAP</v>
      </c>
      <c r="B1617" t="s">
        <v>1049</v>
      </c>
      <c r="C1617" s="1">
        <v>45796</v>
      </c>
      <c r="D1617" s="71" t="s">
        <v>31</v>
      </c>
      <c r="E1617" s="71" t="s">
        <v>189</v>
      </c>
      <c r="F1617" s="77" t="s">
        <v>31</v>
      </c>
      <c r="G1617" s="71" t="s">
        <v>216</v>
      </c>
      <c r="H1617" s="169"/>
      <c r="I1617" s="169"/>
      <c r="J1617" s="183" t="s">
        <v>1170</v>
      </c>
      <c r="K1617" s="336"/>
      <c r="L1617" s="525">
        <v>800</v>
      </c>
      <c r="M1617" s="163">
        <f t="shared" ref="M1617:M1658" si="27">M1616+K1617-L1617</f>
        <v>145480.39572000047</v>
      </c>
    </row>
    <row r="1618" spans="1:13">
      <c r="A1618" s="54" t="str">
        <f>D1618&amp;E1618&amp;F1618</f>
        <v>CAPNOMINA SUCURSALE4</v>
      </c>
      <c r="B1618" t="s">
        <v>1049</v>
      </c>
      <c r="C1618" s="1">
        <v>45796</v>
      </c>
      <c r="D1618" s="71" t="s">
        <v>31</v>
      </c>
      <c r="E1618" s="71" t="s">
        <v>154</v>
      </c>
      <c r="F1618" s="77" t="s">
        <v>110</v>
      </c>
      <c r="G1618" s="71" t="s">
        <v>216</v>
      </c>
      <c r="H1618" s="169"/>
      <c r="I1618" s="169"/>
      <c r="J1618" s="296" t="s">
        <v>1171</v>
      </c>
      <c r="K1618" s="336"/>
      <c r="L1618" s="327">
        <v>120</v>
      </c>
      <c r="M1618" s="163">
        <f t="shared" si="27"/>
        <v>145360.39572000047</v>
      </c>
    </row>
    <row r="1619" spans="1:13">
      <c r="A1619" s="54" t="str">
        <f>D1619&amp;E1619&amp;F1619</f>
        <v>CAPUBERCAP</v>
      </c>
      <c r="B1619" t="s">
        <v>1049</v>
      </c>
      <c r="C1619" s="1">
        <v>45796</v>
      </c>
      <c r="D1619" s="71" t="s">
        <v>31</v>
      </c>
      <c r="E1619" s="71" t="s">
        <v>189</v>
      </c>
      <c r="F1619" s="77" t="s">
        <v>31</v>
      </c>
      <c r="G1619" s="71" t="s">
        <v>216</v>
      </c>
      <c r="H1619" s="169"/>
      <c r="I1619" s="169"/>
      <c r="J1619" s="296" t="s">
        <v>257</v>
      </c>
      <c r="K1619" s="336"/>
      <c r="L1619" s="525">
        <v>613</v>
      </c>
      <c r="M1619" s="163">
        <f t="shared" si="27"/>
        <v>144747.39572000047</v>
      </c>
    </row>
    <row r="1620" spans="1:13">
      <c r="A1620" s="54" t="str">
        <f>D1620&amp;E1620&amp;F1620</f>
        <v>FINANZASRECOLECCION DE BASURACAPRICHOS</v>
      </c>
      <c r="B1620" t="s">
        <v>1049</v>
      </c>
      <c r="C1620" s="1">
        <v>45796</v>
      </c>
      <c r="D1620" s="71" t="s">
        <v>23</v>
      </c>
      <c r="E1620" s="71" t="s">
        <v>166</v>
      </c>
      <c r="F1620" s="77" t="s">
        <v>33</v>
      </c>
      <c r="G1620" s="71" t="s">
        <v>258</v>
      </c>
      <c r="H1620" s="169"/>
      <c r="I1620" s="169"/>
      <c r="J1620" s="296" t="s">
        <v>1172</v>
      </c>
      <c r="K1620" s="336"/>
      <c r="L1620" s="327">
        <v>305</v>
      </c>
      <c r="M1620" s="163">
        <f t="shared" si="27"/>
        <v>144442.39572000047</v>
      </c>
    </row>
    <row r="1621" spans="1:13">
      <c r="A1621" s="54" t="str">
        <f>D1621&amp;E1621&amp;F1621</f>
        <v>CAPINSUMOSCAPRICHOS</v>
      </c>
      <c r="B1621" t="s">
        <v>1049</v>
      </c>
      <c r="C1621" s="1">
        <v>45796</v>
      </c>
      <c r="D1621" s="71" t="s">
        <v>31</v>
      </c>
      <c r="E1621" s="71" t="s">
        <v>133</v>
      </c>
      <c r="F1621" s="77" t="s">
        <v>33</v>
      </c>
      <c r="G1621" s="71" t="s">
        <v>216</v>
      </c>
      <c r="H1621" s="169"/>
      <c r="I1621" s="169"/>
      <c r="J1621" s="297" t="s">
        <v>1173</v>
      </c>
      <c r="K1621" s="322"/>
      <c r="L1621" s="327">
        <v>55</v>
      </c>
      <c r="M1621" s="163">
        <f t="shared" si="27"/>
        <v>144387.39572000047</v>
      </c>
    </row>
    <row r="1622" spans="1:13">
      <c r="A1622" s="54" t="str">
        <f>D1622&amp;E1622&amp;F1622</f>
        <v>CAPUBERCAP</v>
      </c>
      <c r="B1622" t="s">
        <v>1049</v>
      </c>
      <c r="C1622" s="1">
        <v>45796</v>
      </c>
      <c r="D1622" s="71" t="s">
        <v>31</v>
      </c>
      <c r="E1622" s="71" t="s">
        <v>189</v>
      </c>
      <c r="F1622" s="77" t="s">
        <v>31</v>
      </c>
      <c r="G1622" s="71" t="s">
        <v>216</v>
      </c>
      <c r="H1622" s="169"/>
      <c r="I1622" s="169"/>
      <c r="J1622" s="76" t="s">
        <v>490</v>
      </c>
      <c r="K1622" s="322"/>
      <c r="L1622" s="525">
        <v>288.5</v>
      </c>
      <c r="M1622" s="163">
        <f t="shared" si="27"/>
        <v>144098.89572000047</v>
      </c>
    </row>
    <row r="1623" spans="1:13">
      <c r="A1623" s="54" t="str">
        <f>D1623&amp;E1623&amp;F1623</f>
        <v>CAPUBERCAP</v>
      </c>
      <c r="B1623" t="s">
        <v>1049</v>
      </c>
      <c r="C1623" s="1">
        <v>45796</v>
      </c>
      <c r="D1623" s="71" t="s">
        <v>31</v>
      </c>
      <c r="E1623" s="71" t="s">
        <v>189</v>
      </c>
      <c r="F1623" s="77" t="s">
        <v>31</v>
      </c>
      <c r="G1623" s="71" t="s">
        <v>216</v>
      </c>
      <c r="H1623" s="169"/>
      <c r="I1623" s="169"/>
      <c r="J1623" s="76" t="s">
        <v>951</v>
      </c>
      <c r="K1623" s="322"/>
      <c r="L1623" s="525">
        <v>434</v>
      </c>
      <c r="M1623" s="163">
        <f t="shared" si="27"/>
        <v>143664.89572000047</v>
      </c>
    </row>
    <row r="1624" spans="1:13">
      <c r="A1624" s="54" t="str">
        <f t="shared" ref="A1609:A1672" si="28">D1624&amp;E1624&amp;F1624</f>
        <v/>
      </c>
      <c r="B1624" t="s">
        <v>1049</v>
      </c>
      <c r="C1624" s="1">
        <v>45797</v>
      </c>
      <c r="D1624" s="71"/>
      <c r="F1624" s="77"/>
      <c r="H1624" s="169"/>
      <c r="I1624" s="169"/>
      <c r="J1624" s="71" t="s">
        <v>260</v>
      </c>
      <c r="K1624" s="322">
        <v>175214.58</v>
      </c>
      <c r="L1624" s="369"/>
      <c r="M1624" s="163">
        <f t="shared" si="27"/>
        <v>318879.47572000045</v>
      </c>
    </row>
    <row r="1625" spans="1:13" ht="18" customHeight="1">
      <c r="A1625" s="54" t="str">
        <f t="shared" si="28"/>
        <v/>
      </c>
      <c r="B1625" t="s">
        <v>1049</v>
      </c>
      <c r="C1625" s="1">
        <v>45797</v>
      </c>
      <c r="D1625" s="71"/>
      <c r="F1625" s="77"/>
      <c r="H1625" s="169"/>
      <c r="I1625" s="169"/>
      <c r="J1625" s="178" t="s">
        <v>1174</v>
      </c>
      <c r="K1625" s="322">
        <v>14273.5</v>
      </c>
      <c r="L1625" s="369"/>
      <c r="M1625" s="163">
        <f t="shared" si="27"/>
        <v>333152.97572000045</v>
      </c>
    </row>
    <row r="1626" spans="1:13">
      <c r="A1626" s="54" t="str">
        <f>D1626&amp;E1626&amp;F1626</f>
        <v>FINANZASCOMISIONES BANCARIASTPV</v>
      </c>
      <c r="B1626" t="s">
        <v>1049</v>
      </c>
      <c r="C1626" s="1">
        <v>45797</v>
      </c>
      <c r="D1626" s="71" t="s">
        <v>23</v>
      </c>
      <c r="E1626" s="71" t="s">
        <v>48</v>
      </c>
      <c r="F1626" s="77" t="s">
        <v>50</v>
      </c>
      <c r="G1626" s="71" t="s">
        <v>216</v>
      </c>
      <c r="H1626" s="169"/>
      <c r="I1626" s="169"/>
      <c r="J1626" s="71" t="s">
        <v>217</v>
      </c>
      <c r="K1626" s="322"/>
      <c r="L1626" s="327">
        <f>204.43+194.04+1376.57+624.69+607.54</f>
        <v>3007.27</v>
      </c>
      <c r="M1626" s="163">
        <f t="shared" si="27"/>
        <v>330145.70572000043</v>
      </c>
    </row>
    <row r="1627" spans="1:13">
      <c r="A1627" s="54" t="str">
        <f t="shared" si="28"/>
        <v/>
      </c>
      <c r="B1627" t="s">
        <v>1049</v>
      </c>
      <c r="C1627" s="1">
        <v>45797</v>
      </c>
      <c r="D1627" s="71"/>
      <c r="F1627" s="77"/>
      <c r="H1627" s="169"/>
      <c r="I1627" s="169"/>
      <c r="J1627" s="205" t="s">
        <v>220</v>
      </c>
      <c r="K1627" s="206"/>
      <c r="L1627" s="206">
        <v>150000</v>
      </c>
      <c r="M1627" s="163">
        <f t="shared" si="27"/>
        <v>180145.70572000043</v>
      </c>
    </row>
    <row r="1628" spans="1:13">
      <c r="A1628" s="54" t="str">
        <f>D1628&amp;E1628&amp;F1628</f>
        <v>SERVICIOSMTTO DE EDIFICIOMANTENIMIENTO</v>
      </c>
      <c r="B1628" t="s">
        <v>1049</v>
      </c>
      <c r="C1628" s="1">
        <v>45797</v>
      </c>
      <c r="D1628" s="71" t="s">
        <v>21</v>
      </c>
      <c r="E1628" s="71" t="s">
        <v>142</v>
      </c>
      <c r="F1628" s="77" t="s">
        <v>35</v>
      </c>
      <c r="G1628" s="71" t="s">
        <v>216</v>
      </c>
      <c r="H1628" s="169"/>
      <c r="I1628" s="169"/>
      <c r="J1628" s="71" t="s">
        <v>1175</v>
      </c>
      <c r="K1628" s="180"/>
      <c r="L1628" s="323">
        <v>3320</v>
      </c>
      <c r="M1628" s="163">
        <f t="shared" si="27"/>
        <v>176825.70572000043</v>
      </c>
    </row>
    <row r="1629" spans="1:13">
      <c r="A1629" s="54" t="str">
        <f>D1629&amp;E1629&amp;F1629</f>
        <v>CAPVIATICOSCAPRICHOS</v>
      </c>
      <c r="B1629" t="s">
        <v>1049</v>
      </c>
      <c r="C1629" s="1">
        <v>45797</v>
      </c>
      <c r="D1629" s="71" t="s">
        <v>31</v>
      </c>
      <c r="E1629" s="71" t="s">
        <v>191</v>
      </c>
      <c r="F1629" s="77" t="s">
        <v>33</v>
      </c>
      <c r="G1629" s="71" t="s">
        <v>216</v>
      </c>
      <c r="H1629" s="169"/>
      <c r="I1629" s="169"/>
      <c r="J1629" s="71" t="s">
        <v>1132</v>
      </c>
      <c r="K1629" s="180"/>
      <c r="L1629" s="323">
        <v>1000</v>
      </c>
      <c r="M1629" s="163">
        <f t="shared" si="27"/>
        <v>175825.70572000043</v>
      </c>
    </row>
    <row r="1630" spans="1:13">
      <c r="A1630" s="54" t="str">
        <f>D1630&amp;E1630&amp;F1630</f>
        <v>HRVIATICOSHR</v>
      </c>
      <c r="B1630" t="s">
        <v>1049</v>
      </c>
      <c r="C1630" s="1">
        <v>45797</v>
      </c>
      <c r="D1630" s="71" t="s">
        <v>29</v>
      </c>
      <c r="E1630" s="71" t="s">
        <v>191</v>
      </c>
      <c r="F1630" s="77" t="s">
        <v>29</v>
      </c>
      <c r="G1630" s="71" t="s">
        <v>216</v>
      </c>
      <c r="H1630" s="169"/>
      <c r="I1630" s="169"/>
      <c r="J1630" s="71" t="s">
        <v>267</v>
      </c>
      <c r="K1630" s="180"/>
      <c r="L1630" s="323">
        <v>1200</v>
      </c>
      <c r="M1630" s="163">
        <f t="shared" si="27"/>
        <v>174625.70572000043</v>
      </c>
    </row>
    <row r="1631" spans="1:13">
      <c r="A1631" s="54" t="str">
        <f>D1631&amp;E1631&amp;F1631</f>
        <v>HRVIATICOSHR</v>
      </c>
      <c r="B1631" t="s">
        <v>1049</v>
      </c>
      <c r="C1631" s="1">
        <v>45797</v>
      </c>
      <c r="D1631" s="71" t="s">
        <v>29</v>
      </c>
      <c r="E1631" s="71" t="s">
        <v>191</v>
      </c>
      <c r="F1631" s="77" t="s">
        <v>29</v>
      </c>
      <c r="G1631" s="71" t="s">
        <v>216</v>
      </c>
      <c r="H1631" s="169"/>
      <c r="I1631" s="169"/>
      <c r="J1631" s="71" t="s">
        <v>671</v>
      </c>
      <c r="K1631" s="180"/>
      <c r="L1631" s="323">
        <v>4107</v>
      </c>
      <c r="M1631" s="163">
        <f t="shared" si="27"/>
        <v>170518.70572000043</v>
      </c>
    </row>
    <row r="1632" spans="1:13">
      <c r="A1632" s="54" t="str">
        <f>D1632&amp;E1632&amp;F1632</f>
        <v>SERVICIOSMTTO DE EDIFICIOMANTENIMIENTO</v>
      </c>
      <c r="B1632" t="s">
        <v>1049</v>
      </c>
      <c r="C1632" s="1">
        <v>45797</v>
      </c>
      <c r="D1632" s="71" t="s">
        <v>21</v>
      </c>
      <c r="E1632" s="71" t="s">
        <v>142</v>
      </c>
      <c r="F1632" s="77" t="s">
        <v>35</v>
      </c>
      <c r="G1632" s="71" t="s">
        <v>216</v>
      </c>
      <c r="H1632" s="169"/>
      <c r="I1632" s="169"/>
      <c r="J1632" s="71" t="s">
        <v>1176</v>
      </c>
      <c r="K1632" s="180"/>
      <c r="L1632" s="326">
        <v>900</v>
      </c>
      <c r="M1632" s="163">
        <f t="shared" si="27"/>
        <v>169618.70572000043</v>
      </c>
    </row>
    <row r="1633" spans="1:13">
      <c r="A1633" s="54" t="str">
        <f>D1633&amp;E1633&amp;F1633</f>
        <v>SERVICIOSVIATICOSSISTEMAS</v>
      </c>
      <c r="B1633" t="s">
        <v>1049</v>
      </c>
      <c r="C1633" s="1">
        <v>45797</v>
      </c>
      <c r="D1633" s="71" t="s">
        <v>21</v>
      </c>
      <c r="E1633" s="71" t="s">
        <v>191</v>
      </c>
      <c r="F1633" s="70" t="s">
        <v>36</v>
      </c>
      <c r="G1633" s="71" t="s">
        <v>216</v>
      </c>
      <c r="H1633" s="138"/>
      <c r="J1633" s="71" t="s">
        <v>1177</v>
      </c>
      <c r="K1633" s="354"/>
      <c r="L1633" s="326">
        <v>450</v>
      </c>
      <c r="M1633" s="163">
        <f t="shared" si="27"/>
        <v>169168.70572000043</v>
      </c>
    </row>
    <row r="1634" spans="1:13">
      <c r="A1634" s="54" t="str">
        <f>D1634&amp;E1634&amp;F1634</f>
        <v>SGEVIATICOSGESTION EMPRESARIAL</v>
      </c>
      <c r="B1634" t="s">
        <v>1049</v>
      </c>
      <c r="C1634" s="1">
        <v>45797</v>
      </c>
      <c r="D1634" s="71" t="s">
        <v>39</v>
      </c>
      <c r="E1634" s="71" t="s">
        <v>191</v>
      </c>
      <c r="F1634" s="70" t="s">
        <v>40</v>
      </c>
      <c r="G1634" s="71" t="s">
        <v>216</v>
      </c>
      <c r="H1634" s="138"/>
      <c r="J1634" s="71" t="s">
        <v>1030</v>
      </c>
      <c r="K1634" s="354"/>
      <c r="L1634" s="326">
        <v>2800</v>
      </c>
      <c r="M1634" s="163">
        <f t="shared" si="27"/>
        <v>166368.70572000043</v>
      </c>
    </row>
    <row r="1635" spans="1:13">
      <c r="A1635" s="54" t="str">
        <f>D1635&amp;E1635&amp;F1635</f>
        <v>SERVICIOSSGMSERVICIOS</v>
      </c>
      <c r="B1635" t="s">
        <v>1049</v>
      </c>
      <c r="C1635" s="1">
        <v>45797</v>
      </c>
      <c r="D1635" s="71" t="s">
        <v>21</v>
      </c>
      <c r="E1635" s="71" t="s">
        <v>176</v>
      </c>
      <c r="F1635" s="70" t="s">
        <v>21</v>
      </c>
      <c r="G1635" s="71" t="s">
        <v>258</v>
      </c>
      <c r="H1635" s="138"/>
      <c r="J1635" s="71" t="s">
        <v>1178</v>
      </c>
      <c r="K1635" s="354"/>
      <c r="L1635" s="326">
        <v>2000</v>
      </c>
      <c r="M1635" s="163">
        <f t="shared" si="27"/>
        <v>164368.70572000043</v>
      </c>
    </row>
    <row r="1636" spans="1:13">
      <c r="A1636" s="54" t="str">
        <f>D1636&amp;E1636&amp;F1636</f>
        <v>HRUBERHR</v>
      </c>
      <c r="B1636" t="s">
        <v>1049</v>
      </c>
      <c r="C1636" s="1">
        <v>45797</v>
      </c>
      <c r="D1636" s="71" t="s">
        <v>29</v>
      </c>
      <c r="E1636" s="71" t="s">
        <v>189</v>
      </c>
      <c r="F1636" s="70" t="s">
        <v>29</v>
      </c>
      <c r="G1636" s="71" t="s">
        <v>216</v>
      </c>
      <c r="H1636" s="138"/>
      <c r="J1636" s="76" t="s">
        <v>291</v>
      </c>
      <c r="L1636" s="526">
        <v>106</v>
      </c>
      <c r="M1636" s="163">
        <f t="shared" si="27"/>
        <v>164262.70572000043</v>
      </c>
    </row>
    <row r="1637" spans="1:13">
      <c r="A1637" s="54" t="str">
        <f>D1637&amp;E1637&amp;F1637</f>
        <v>HRUBERHR</v>
      </c>
      <c r="B1637" t="s">
        <v>1049</v>
      </c>
      <c r="C1637" s="1">
        <v>45797</v>
      </c>
      <c r="D1637" s="71" t="s">
        <v>29</v>
      </c>
      <c r="E1637" s="71" t="s">
        <v>189</v>
      </c>
      <c r="F1637" s="70" t="s">
        <v>29</v>
      </c>
      <c r="G1637" s="71" t="s">
        <v>216</v>
      </c>
      <c r="H1637" s="138"/>
      <c r="J1637" s="76" t="s">
        <v>403</v>
      </c>
      <c r="L1637" s="526">
        <v>127</v>
      </c>
      <c r="M1637" s="163">
        <f t="shared" si="27"/>
        <v>164135.70572000043</v>
      </c>
    </row>
    <row r="1638" spans="1:13">
      <c r="A1638" s="54" t="str">
        <f>D1638&amp;E1638&amp;F1638</f>
        <v>HRNOMINA SUCURSALA12</v>
      </c>
      <c r="B1638" t="s">
        <v>1049</v>
      </c>
      <c r="C1638" s="1">
        <v>45797</v>
      </c>
      <c r="D1638" s="71" t="s">
        <v>29</v>
      </c>
      <c r="E1638" s="71" t="s">
        <v>154</v>
      </c>
      <c r="F1638" s="70" t="s">
        <v>98</v>
      </c>
      <c r="G1638" s="71" t="s">
        <v>216</v>
      </c>
      <c r="H1638" s="138"/>
      <c r="J1638" s="76" t="s">
        <v>894</v>
      </c>
      <c r="L1638" s="331">
        <v>700</v>
      </c>
      <c r="M1638" s="163">
        <f t="shared" si="27"/>
        <v>163435.70572000043</v>
      </c>
    </row>
    <row r="1639" spans="1:13">
      <c r="A1639" s="54" t="str">
        <f>D1639&amp;E1639&amp;F1639</f>
        <v>HRFONDO Y REPOSICIONHR</v>
      </c>
      <c r="B1639" t="s">
        <v>1049</v>
      </c>
      <c r="C1639" s="1">
        <v>45797</v>
      </c>
      <c r="D1639" s="71" t="s">
        <v>29</v>
      </c>
      <c r="E1639" s="71" t="s">
        <v>120</v>
      </c>
      <c r="F1639" s="70" t="s">
        <v>29</v>
      </c>
      <c r="G1639" s="71" t="s">
        <v>216</v>
      </c>
      <c r="H1639" s="138"/>
      <c r="J1639" s="76" t="s">
        <v>1179</v>
      </c>
      <c r="L1639" s="331">
        <v>120</v>
      </c>
      <c r="M1639" s="163">
        <f t="shared" si="27"/>
        <v>163315.70572000043</v>
      </c>
    </row>
    <row r="1640" spans="1:13">
      <c r="A1640" s="54" t="str">
        <f>D1640&amp;E1640&amp;F1640</f>
        <v>CAPUBERCAP</v>
      </c>
      <c r="B1640" t="s">
        <v>1049</v>
      </c>
      <c r="C1640" s="1">
        <v>45797</v>
      </c>
      <c r="D1640" s="71" t="s">
        <v>31</v>
      </c>
      <c r="E1640" s="71" t="s">
        <v>189</v>
      </c>
      <c r="F1640" s="70" t="s">
        <v>31</v>
      </c>
      <c r="G1640" s="71" t="s">
        <v>216</v>
      </c>
      <c r="H1640" s="138"/>
      <c r="J1640" s="76" t="s">
        <v>253</v>
      </c>
      <c r="L1640" s="526">
        <v>122</v>
      </c>
      <c r="M1640" s="163">
        <f t="shared" si="27"/>
        <v>163193.70572000043</v>
      </c>
    </row>
    <row r="1641" spans="1:13">
      <c r="A1641" s="54" t="str">
        <f>D1641&amp;E1641&amp;F1641</f>
        <v>CAPINSUMOSCAPRICHOS</v>
      </c>
      <c r="B1641" t="s">
        <v>1049</v>
      </c>
      <c r="C1641" s="1">
        <v>45797</v>
      </c>
      <c r="D1641" s="71" t="s">
        <v>31</v>
      </c>
      <c r="E1641" s="71" t="s">
        <v>133</v>
      </c>
      <c r="F1641" s="70" t="s">
        <v>33</v>
      </c>
      <c r="G1641" s="71" t="s">
        <v>216</v>
      </c>
      <c r="H1641" s="138"/>
      <c r="J1641" s="76" t="s">
        <v>457</v>
      </c>
      <c r="L1641" s="331">
        <v>100</v>
      </c>
      <c r="M1641" s="163">
        <f t="shared" si="27"/>
        <v>163093.70572000043</v>
      </c>
    </row>
    <row r="1642" spans="1:13">
      <c r="A1642" s="54" t="str">
        <f>D1642&amp;E1642&amp;F1642</f>
        <v>CAPCOMBUSTIBLECAPRICHOS</v>
      </c>
      <c r="B1642" t="s">
        <v>1049</v>
      </c>
      <c r="C1642" s="1">
        <v>45797</v>
      </c>
      <c r="D1642" s="71" t="s">
        <v>31</v>
      </c>
      <c r="E1642" s="71" t="s">
        <v>32</v>
      </c>
      <c r="F1642" s="70" t="s">
        <v>33</v>
      </c>
      <c r="G1642" s="71" t="s">
        <v>216</v>
      </c>
      <c r="H1642" s="138"/>
      <c r="J1642" s="76" t="s">
        <v>1180</v>
      </c>
      <c r="L1642" s="331">
        <v>300</v>
      </c>
      <c r="M1642" s="163">
        <f t="shared" si="27"/>
        <v>162793.70572000043</v>
      </c>
    </row>
    <row r="1643" spans="1:13">
      <c r="A1643" s="54" t="str">
        <f>D1643&amp;E1643&amp;F1643</f>
        <v>CAPINSUMOSCAPRICHOS</v>
      </c>
      <c r="B1643" t="s">
        <v>1049</v>
      </c>
      <c r="C1643" s="1">
        <v>45797</v>
      </c>
      <c r="D1643" s="71" t="s">
        <v>31</v>
      </c>
      <c r="E1643" s="71" t="s">
        <v>133</v>
      </c>
      <c r="F1643" s="70" t="s">
        <v>33</v>
      </c>
      <c r="G1643" s="71" t="s">
        <v>216</v>
      </c>
      <c r="H1643" s="138"/>
      <c r="J1643" s="76" t="s">
        <v>929</v>
      </c>
      <c r="L1643" s="331">
        <v>40</v>
      </c>
      <c r="M1643" s="163">
        <f t="shared" si="27"/>
        <v>162753.70572000043</v>
      </c>
    </row>
    <row r="1644" spans="1:13">
      <c r="A1644" s="54" t="str">
        <f t="shared" si="28"/>
        <v/>
      </c>
      <c r="B1644" t="s">
        <v>1049</v>
      </c>
      <c r="C1644" s="1">
        <v>45798</v>
      </c>
      <c r="D1644" s="71"/>
      <c r="F1644" s="70"/>
      <c r="H1644" s="138"/>
      <c r="J1644" s="71" t="s">
        <v>260</v>
      </c>
      <c r="K1644" s="354">
        <f>180300.42-7674</f>
        <v>172626.42</v>
      </c>
      <c r="L1644" s="354"/>
      <c r="M1644" s="163">
        <f t="shared" si="27"/>
        <v>335380.12572000048</v>
      </c>
    </row>
    <row r="1645" spans="1:13" ht="16.5" customHeight="1">
      <c r="A1645" s="54" t="str">
        <f t="shared" si="28"/>
        <v/>
      </c>
      <c r="B1645" t="s">
        <v>1049</v>
      </c>
      <c r="C1645" s="1">
        <v>45798</v>
      </c>
      <c r="D1645" s="71"/>
      <c r="F1645" s="70"/>
      <c r="H1645" s="138"/>
      <c r="J1645" s="178" t="s">
        <v>1181</v>
      </c>
      <c r="K1645" s="322">
        <f>13049+10771+12252+13648+15704+33328+29250+15214+9078</f>
        <v>152294</v>
      </c>
      <c r="L1645" s="354"/>
      <c r="M1645" s="163">
        <f t="shared" si="27"/>
        <v>487674.12572000048</v>
      </c>
    </row>
    <row r="1646" spans="1:13">
      <c r="A1646" s="54" t="str">
        <f>D1646&amp;E1646&amp;F1646</f>
        <v>FINANZASCOMISIONES BANCARIASTPV</v>
      </c>
      <c r="B1646" t="s">
        <v>1049</v>
      </c>
      <c r="C1646" s="1">
        <v>45798</v>
      </c>
      <c r="D1646" s="71" t="s">
        <v>23</v>
      </c>
      <c r="E1646" s="71" t="s">
        <v>48</v>
      </c>
      <c r="F1646" s="70" t="s">
        <v>50</v>
      </c>
      <c r="H1646" s="138"/>
      <c r="J1646" s="71" t="s">
        <v>217</v>
      </c>
      <c r="L1646" s="326">
        <f>264.04+228.93+42.02+1373.07+896.47+459.44</f>
        <v>3263.97</v>
      </c>
      <c r="M1646" s="163">
        <f t="shared" si="27"/>
        <v>484410.1557200005</v>
      </c>
    </row>
    <row r="1647" spans="1:13">
      <c r="A1647" s="54" t="str">
        <f t="shared" si="28"/>
        <v/>
      </c>
      <c r="B1647" t="s">
        <v>1049</v>
      </c>
      <c r="C1647" s="1">
        <v>45798</v>
      </c>
      <c r="D1647" s="71"/>
      <c r="F1647" s="70"/>
      <c r="H1647" s="138"/>
      <c r="J1647" s="205" t="s">
        <v>220</v>
      </c>
      <c r="K1647" s="206"/>
      <c r="L1647" s="206">
        <v>150000</v>
      </c>
      <c r="M1647" s="163">
        <f t="shared" si="27"/>
        <v>334410.1557200005</v>
      </c>
    </row>
    <row r="1648" spans="1:13">
      <c r="A1648" s="54" t="str">
        <f>D1648&amp;E1648&amp;F1648</f>
        <v>SGECUOTAS Y SUSCRIPCIONESFROGMI</v>
      </c>
      <c r="B1648" t="s">
        <v>1049</v>
      </c>
      <c r="C1648" s="1">
        <v>45798</v>
      </c>
      <c r="D1648" s="71" t="s">
        <v>39</v>
      </c>
      <c r="E1648" s="178" t="s">
        <v>51</v>
      </c>
      <c r="F1648" s="70" t="s">
        <v>57</v>
      </c>
      <c r="G1648" s="71" t="s">
        <v>216</v>
      </c>
      <c r="H1648" s="138"/>
      <c r="J1648" s="71" t="s">
        <v>935</v>
      </c>
      <c r="L1648" s="326">
        <v>39141.81</v>
      </c>
      <c r="M1648" s="163">
        <f t="shared" si="27"/>
        <v>295268.34572000051</v>
      </c>
    </row>
    <row r="1649" spans="1:13">
      <c r="A1649" s="54" t="str">
        <f>D1649&amp;E1649&amp;F1649</f>
        <v>SERVICIOSVIATICOSINVENTARIOS</v>
      </c>
      <c r="B1649" t="s">
        <v>1049</v>
      </c>
      <c r="C1649" s="1">
        <v>45798</v>
      </c>
      <c r="D1649" s="71" t="s">
        <v>21</v>
      </c>
      <c r="E1649" s="71" t="s">
        <v>191</v>
      </c>
      <c r="F1649" s="70" t="s">
        <v>34</v>
      </c>
      <c r="H1649" s="138"/>
      <c r="J1649" s="71" t="s">
        <v>1182</v>
      </c>
      <c r="L1649" s="326">
        <v>400</v>
      </c>
      <c r="M1649" s="163">
        <f t="shared" si="27"/>
        <v>294868.34572000051</v>
      </c>
    </row>
    <row r="1650" spans="1:13">
      <c r="A1650" s="54" t="str">
        <f>D1650&amp;E1650&amp;F1650</f>
        <v>DESGMDIRECCION</v>
      </c>
      <c r="B1650" t="s">
        <v>1049</v>
      </c>
      <c r="C1650" s="1">
        <v>45798</v>
      </c>
      <c r="D1650" s="71" t="s">
        <v>41</v>
      </c>
      <c r="E1650" s="71" t="s">
        <v>176</v>
      </c>
      <c r="F1650" s="70" t="s">
        <v>42</v>
      </c>
      <c r="G1650" s="71" t="s">
        <v>258</v>
      </c>
      <c r="H1650" s="138"/>
      <c r="J1650" s="71" t="s">
        <v>1183</v>
      </c>
      <c r="L1650" s="326">
        <v>24870</v>
      </c>
      <c r="M1650" s="163">
        <f t="shared" si="27"/>
        <v>269998.34572000051</v>
      </c>
    </row>
    <row r="1651" spans="1:13">
      <c r="A1651" s="54" t="str">
        <f>D1651&amp;E1651&amp;F1651</f>
        <v>FINANZASMTTO EQ DE TRANSPORTETESORERIA</v>
      </c>
      <c r="B1651" t="s">
        <v>1049</v>
      </c>
      <c r="C1651" s="1">
        <v>45798</v>
      </c>
      <c r="D1651" s="71" t="s">
        <v>23</v>
      </c>
      <c r="E1651" s="71" t="s">
        <v>144</v>
      </c>
      <c r="F1651" s="70" t="s">
        <v>38</v>
      </c>
      <c r="G1651" s="71" t="s">
        <v>216</v>
      </c>
      <c r="H1651" s="138"/>
      <c r="J1651" s="71" t="s">
        <v>1184</v>
      </c>
      <c r="L1651" s="326">
        <v>429</v>
      </c>
      <c r="M1651" s="163">
        <f t="shared" si="27"/>
        <v>269569.34572000051</v>
      </c>
    </row>
    <row r="1652" spans="1:13">
      <c r="A1652" s="54" t="str">
        <f>D1652&amp;E1652&amp;F1652</f>
        <v>HRFONDO Y REPOSICIONHR</v>
      </c>
      <c r="B1652" t="s">
        <v>1049</v>
      </c>
      <c r="C1652" s="1">
        <v>45798</v>
      </c>
      <c r="D1652" s="71" t="s">
        <v>29</v>
      </c>
      <c r="E1652" s="71" t="s">
        <v>120</v>
      </c>
      <c r="F1652" s="70" t="s">
        <v>29</v>
      </c>
      <c r="G1652" s="71" t="s">
        <v>216</v>
      </c>
      <c r="H1652" s="138"/>
      <c r="J1652" s="71" t="s">
        <v>357</v>
      </c>
      <c r="L1652" s="326">
        <v>1800</v>
      </c>
      <c r="M1652" s="163">
        <f t="shared" si="27"/>
        <v>267769.34572000051</v>
      </c>
    </row>
    <row r="1653" spans="1:13">
      <c r="A1653" s="54" t="str">
        <f>D1653&amp;E1653&amp;F1653</f>
        <v>CAPFONDO Y REPOSICIONCAPRICHOS</v>
      </c>
      <c r="B1653" t="s">
        <v>1049</v>
      </c>
      <c r="C1653" s="1">
        <v>45798</v>
      </c>
      <c r="D1653" s="71" t="s">
        <v>31</v>
      </c>
      <c r="E1653" s="71" t="s">
        <v>120</v>
      </c>
      <c r="F1653" s="70" t="s">
        <v>33</v>
      </c>
      <c r="G1653" s="71" t="s">
        <v>216</v>
      </c>
      <c r="H1653" s="138"/>
      <c r="J1653" s="71" t="s">
        <v>1185</v>
      </c>
      <c r="L1653" s="326">
        <v>1123</v>
      </c>
      <c r="M1653" s="163">
        <f t="shared" si="27"/>
        <v>266646.34572000051</v>
      </c>
    </row>
    <row r="1654" spans="1:13">
      <c r="A1654" s="54" t="str">
        <f>D1654&amp;E1654&amp;F1654</f>
        <v>CAPFONDO Y REPOSICIONCAPRICHOS</v>
      </c>
      <c r="B1654" t="s">
        <v>1049</v>
      </c>
      <c r="C1654" s="1">
        <v>45798</v>
      </c>
      <c r="D1654" s="71" t="s">
        <v>31</v>
      </c>
      <c r="E1654" s="71" t="s">
        <v>120</v>
      </c>
      <c r="F1654" s="70" t="s">
        <v>33</v>
      </c>
      <c r="G1654" s="71" t="s">
        <v>216</v>
      </c>
      <c r="H1654" s="138"/>
      <c r="J1654" s="71" t="s">
        <v>1186</v>
      </c>
      <c r="L1654" s="326">
        <v>222</v>
      </c>
      <c r="M1654" s="163">
        <f t="shared" si="27"/>
        <v>266424.34572000051</v>
      </c>
    </row>
    <row r="1655" spans="1:13">
      <c r="A1655" s="54" t="str">
        <f>D1655&amp;E1655&amp;F1655</f>
        <v>HRVIATICOSHR</v>
      </c>
      <c r="B1655" t="s">
        <v>1049</v>
      </c>
      <c r="C1655" s="1">
        <v>45798</v>
      </c>
      <c r="D1655" s="71" t="s">
        <v>29</v>
      </c>
      <c r="E1655" s="71" t="s">
        <v>191</v>
      </c>
      <c r="F1655" s="70" t="s">
        <v>29</v>
      </c>
      <c r="G1655" s="71" t="s">
        <v>216</v>
      </c>
      <c r="H1655" s="138"/>
      <c r="J1655" s="71" t="s">
        <v>1187</v>
      </c>
      <c r="L1655" s="326">
        <v>2400</v>
      </c>
      <c r="M1655" s="163">
        <f t="shared" si="27"/>
        <v>264024.34572000051</v>
      </c>
    </row>
    <row r="1656" spans="1:13">
      <c r="A1656" s="54" t="str">
        <f>D1656&amp;E1656&amp;F1656</f>
        <v>HRMKTMKT HR</v>
      </c>
      <c r="B1656" t="s">
        <v>1049</v>
      </c>
      <c r="C1656" s="1">
        <v>45798</v>
      </c>
      <c r="D1656" s="71" t="s">
        <v>29</v>
      </c>
      <c r="E1656" s="71" t="s">
        <v>19</v>
      </c>
      <c r="F1656" s="70" t="s">
        <v>138</v>
      </c>
      <c r="G1656" s="71" t="s">
        <v>216</v>
      </c>
      <c r="H1656" s="138"/>
      <c r="J1656" s="71" t="s">
        <v>1188</v>
      </c>
      <c r="L1656" s="326">
        <v>2200</v>
      </c>
      <c r="M1656" s="163">
        <f t="shared" si="27"/>
        <v>261824.34572000051</v>
      </c>
    </row>
    <row r="1657" spans="1:13">
      <c r="A1657" s="54" t="str">
        <f>D1657&amp;E1657&amp;F1657</f>
        <v>HRENERGIA ELECTRICAA14</v>
      </c>
      <c r="B1657" t="s">
        <v>1049</v>
      </c>
      <c r="C1657" s="1">
        <v>45798</v>
      </c>
      <c r="D1657" s="71" t="s">
        <v>29</v>
      </c>
      <c r="E1657" s="71" t="s">
        <v>87</v>
      </c>
      <c r="F1657" s="70" t="s">
        <v>99</v>
      </c>
      <c r="G1657" s="71" t="s">
        <v>216</v>
      </c>
      <c r="H1657" s="138"/>
      <c r="J1657" s="71" t="s">
        <v>1189</v>
      </c>
      <c r="L1657" s="326">
        <v>8534</v>
      </c>
      <c r="M1657" s="163">
        <f t="shared" si="27"/>
        <v>253290.34572000051</v>
      </c>
    </row>
    <row r="1658" spans="1:13">
      <c r="A1658" s="54" t="str">
        <f>D1658&amp;E1658&amp;F1658</f>
        <v>HRENERGIA ELECTRICAA10</v>
      </c>
      <c r="B1658" t="s">
        <v>1049</v>
      </c>
      <c r="C1658" s="1">
        <v>45798</v>
      </c>
      <c r="D1658" s="71" t="s">
        <v>29</v>
      </c>
      <c r="E1658" s="71" t="s">
        <v>87</v>
      </c>
      <c r="F1658" s="70" t="s">
        <v>96</v>
      </c>
      <c r="G1658" s="71" t="s">
        <v>216</v>
      </c>
      <c r="H1658" s="138"/>
      <c r="J1658" s="71" t="s">
        <v>1190</v>
      </c>
      <c r="L1658" s="326">
        <v>27820</v>
      </c>
      <c r="M1658" s="163">
        <f t="shared" si="27"/>
        <v>225470.34572000051</v>
      </c>
    </row>
    <row r="1659" spans="1:13">
      <c r="A1659" s="54" t="str">
        <f>D1659&amp;E1659&amp;F1659</f>
        <v>HRENERGIA ELECTRICAA10</v>
      </c>
      <c r="B1659" t="s">
        <v>1049</v>
      </c>
      <c r="C1659" s="1">
        <v>45798</v>
      </c>
      <c r="D1659" s="71" t="s">
        <v>29</v>
      </c>
      <c r="E1659" s="71" t="s">
        <v>87</v>
      </c>
      <c r="F1659" s="70" t="s">
        <v>96</v>
      </c>
      <c r="G1659" s="71" t="s">
        <v>216</v>
      </c>
      <c r="H1659" s="138"/>
      <c r="J1659" s="71" t="s">
        <v>1190</v>
      </c>
      <c r="L1659" s="326">
        <v>5069</v>
      </c>
      <c r="M1659" s="163">
        <f>M1658+K1659-L1659</f>
        <v>220401.34572000051</v>
      </c>
    </row>
    <row r="1660" spans="1:13">
      <c r="A1660" s="54" t="str">
        <f>D1660&amp;E1660&amp;F1660</f>
        <v>FINANZASENERGIA ELECTRICACEDIS</v>
      </c>
      <c r="B1660" t="s">
        <v>1049</v>
      </c>
      <c r="C1660" s="1">
        <v>45798</v>
      </c>
      <c r="D1660" s="71" t="s">
        <v>23</v>
      </c>
      <c r="E1660" s="71" t="s">
        <v>87</v>
      </c>
      <c r="F1660" s="70" t="s">
        <v>28</v>
      </c>
      <c r="G1660" s="71" t="s">
        <v>216</v>
      </c>
      <c r="H1660" s="138"/>
      <c r="J1660" s="71" t="s">
        <v>415</v>
      </c>
      <c r="L1660" s="326">
        <v>374</v>
      </c>
      <c r="M1660" s="163">
        <f>M1659+K1660-L1660</f>
        <v>220027.34572000051</v>
      </c>
    </row>
    <row r="1661" spans="1:13">
      <c r="A1661" s="54" t="str">
        <f>D1661&amp;E1661&amp;F1661</f>
        <v>CAPENERGIA ELECTRICAE1</v>
      </c>
      <c r="B1661" t="s">
        <v>1049</v>
      </c>
      <c r="C1661" s="1">
        <v>45798</v>
      </c>
      <c r="D1661" s="71" t="s">
        <v>31</v>
      </c>
      <c r="E1661" s="71" t="s">
        <v>87</v>
      </c>
      <c r="F1661" s="70" t="s">
        <v>107</v>
      </c>
      <c r="G1661" s="71" t="s">
        <v>216</v>
      </c>
      <c r="H1661" s="138"/>
      <c r="J1661" s="71" t="s">
        <v>1191</v>
      </c>
      <c r="L1661" s="326">
        <v>15302</v>
      </c>
      <c r="M1661" s="163">
        <f>M1660+K1661-L1661</f>
        <v>204725.34572000051</v>
      </c>
    </row>
    <row r="1662" spans="1:13">
      <c r="A1662" s="54" t="str">
        <f>D1662&amp;E1662&amp;F1662</f>
        <v>SERVICIOSADQ DE EQ TECNOLOGICOADQ DE EQ TECNOLOGICO</v>
      </c>
      <c r="B1662" t="s">
        <v>1049</v>
      </c>
      <c r="C1662" s="1">
        <v>45798</v>
      </c>
      <c r="D1662" s="71" t="s">
        <v>21</v>
      </c>
      <c r="E1662" s="71" t="s">
        <v>22</v>
      </c>
      <c r="F1662" s="70" t="s">
        <v>22</v>
      </c>
      <c r="G1662" s="71" t="s">
        <v>216</v>
      </c>
      <c r="H1662" s="138"/>
      <c r="J1662" s="71" t="s">
        <v>1192</v>
      </c>
      <c r="L1662" s="326">
        <v>298</v>
      </c>
      <c r="M1662" s="163">
        <f>M1661+K1662-L1662</f>
        <v>204427.34572000051</v>
      </c>
    </row>
    <row r="1663" spans="1:13">
      <c r="A1663" s="54" t="str">
        <f>D1663&amp;E1663&amp;F1663</f>
        <v>HRFONDO Y REPOSICIONHR</v>
      </c>
      <c r="B1663" t="s">
        <v>1049</v>
      </c>
      <c r="C1663" s="1">
        <v>45798</v>
      </c>
      <c r="D1663" s="71" t="s">
        <v>29</v>
      </c>
      <c r="E1663" s="71" t="s">
        <v>120</v>
      </c>
      <c r="F1663" s="70" t="s">
        <v>29</v>
      </c>
      <c r="G1663" s="71" t="s">
        <v>216</v>
      </c>
      <c r="H1663" s="138"/>
      <c r="J1663" s="71" t="s">
        <v>396</v>
      </c>
      <c r="L1663" s="326">
        <v>1800</v>
      </c>
      <c r="M1663" s="163">
        <f>M1662+K1663-L1663</f>
        <v>202627.34572000051</v>
      </c>
    </row>
    <row r="1664" spans="1:13">
      <c r="A1664" s="54" t="str">
        <f>D1664&amp;E1664&amp;F1664</f>
        <v>HRVIATICOSHR</v>
      </c>
      <c r="B1664" t="s">
        <v>1049</v>
      </c>
      <c r="C1664" s="1">
        <v>45798</v>
      </c>
      <c r="D1664" s="71" t="s">
        <v>29</v>
      </c>
      <c r="E1664" s="71" t="s">
        <v>191</v>
      </c>
      <c r="F1664" s="70" t="s">
        <v>29</v>
      </c>
      <c r="G1664" s="71" t="s">
        <v>216</v>
      </c>
      <c r="H1664" s="138"/>
      <c r="J1664" s="76" t="s">
        <v>1193</v>
      </c>
      <c r="L1664" s="331">
        <v>20</v>
      </c>
      <c r="M1664" s="163">
        <f>M1663+K1664-L1664</f>
        <v>202607.34572000051</v>
      </c>
    </row>
    <row r="1665" spans="1:13">
      <c r="A1665" s="54" t="str">
        <f>D1665&amp;E1665&amp;F1665</f>
        <v>HRUBERHR</v>
      </c>
      <c r="B1665" t="s">
        <v>1049</v>
      </c>
      <c r="C1665" s="1">
        <v>45798</v>
      </c>
      <c r="D1665" s="71" t="s">
        <v>29</v>
      </c>
      <c r="E1665" s="71" t="s">
        <v>189</v>
      </c>
      <c r="F1665" s="70" t="s">
        <v>29</v>
      </c>
      <c r="G1665" s="71" t="s">
        <v>216</v>
      </c>
      <c r="H1665" s="138"/>
      <c r="J1665" s="76" t="s">
        <v>250</v>
      </c>
      <c r="L1665" s="526">
        <v>210</v>
      </c>
      <c r="M1665" s="163">
        <f>M1664+K1665-L1665</f>
        <v>202397.34572000051</v>
      </c>
    </row>
    <row r="1666" spans="1:13">
      <c r="A1666" s="54" t="str">
        <f>D1666&amp;E1666&amp;F1666</f>
        <v>CAPUBERCAP</v>
      </c>
      <c r="B1666" t="s">
        <v>1049</v>
      </c>
      <c r="C1666" s="1">
        <v>45798</v>
      </c>
      <c r="D1666" s="71" t="s">
        <v>31</v>
      </c>
      <c r="E1666" s="71" t="s">
        <v>189</v>
      </c>
      <c r="F1666" s="70" t="s">
        <v>31</v>
      </c>
      <c r="G1666" s="71" t="s">
        <v>216</v>
      </c>
      <c r="H1666" s="138"/>
      <c r="J1666" s="76" t="s">
        <v>253</v>
      </c>
      <c r="L1666" s="526">
        <v>445</v>
      </c>
      <c r="M1666" s="163">
        <f>M1665+K1666-L1666</f>
        <v>201952.34572000051</v>
      </c>
    </row>
    <row r="1667" spans="1:13">
      <c r="A1667" s="54" t="str">
        <f>D1667&amp;E1667&amp;F1667</f>
        <v>CAPUBERCAP</v>
      </c>
      <c r="B1667" t="s">
        <v>1049</v>
      </c>
      <c r="C1667" s="1">
        <v>45798</v>
      </c>
      <c r="D1667" s="71" t="s">
        <v>31</v>
      </c>
      <c r="E1667" s="71" t="s">
        <v>189</v>
      </c>
      <c r="F1667" s="70" t="s">
        <v>31</v>
      </c>
      <c r="G1667" s="71" t="s">
        <v>216</v>
      </c>
      <c r="H1667" s="138"/>
      <c r="J1667" s="76" t="s">
        <v>257</v>
      </c>
      <c r="L1667" s="526">
        <v>105</v>
      </c>
      <c r="M1667" s="163">
        <f>M1666+K1667-L1667</f>
        <v>201847.34572000051</v>
      </c>
    </row>
    <row r="1668" spans="1:13">
      <c r="A1668" s="54" t="str">
        <f>D1668&amp;E1668&amp;F1668</f>
        <v>CAPVIATICOSCAPRICHOS</v>
      </c>
      <c r="B1668" t="s">
        <v>1049</v>
      </c>
      <c r="C1668" s="1">
        <v>45798</v>
      </c>
      <c r="D1668" s="71" t="s">
        <v>31</v>
      </c>
      <c r="E1668" s="71" t="s">
        <v>191</v>
      </c>
      <c r="F1668" s="70" t="s">
        <v>33</v>
      </c>
      <c r="G1668" s="71" t="s">
        <v>216</v>
      </c>
      <c r="H1668" s="138"/>
      <c r="J1668" s="76" t="s">
        <v>1194</v>
      </c>
      <c r="L1668" s="331">
        <v>300</v>
      </c>
      <c r="M1668" s="163">
        <f>M1667+K1668-L1668</f>
        <v>201547.34572000051</v>
      </c>
    </row>
    <row r="1669" spans="1:13">
      <c r="A1669" s="54" t="str">
        <f>D1669&amp;E1669&amp;F1669</f>
        <v>CAPCOMBUSTIBLECAPRICHOS</v>
      </c>
      <c r="B1669" t="s">
        <v>1049</v>
      </c>
      <c r="C1669" s="1">
        <v>45798</v>
      </c>
      <c r="D1669" s="71" t="s">
        <v>31</v>
      </c>
      <c r="E1669" s="71" t="s">
        <v>32</v>
      </c>
      <c r="F1669" s="70" t="s">
        <v>33</v>
      </c>
      <c r="G1669" s="71" t="s">
        <v>216</v>
      </c>
      <c r="H1669" s="138"/>
      <c r="J1669" s="76" t="s">
        <v>1195</v>
      </c>
      <c r="L1669" s="331">
        <v>300</v>
      </c>
      <c r="M1669" s="163">
        <f>M1668+K1669-L1669</f>
        <v>201247.34572000051</v>
      </c>
    </row>
    <row r="1670" spans="1:13">
      <c r="A1670" s="54" t="str">
        <f>D1670&amp;E1670&amp;F1670</f>
        <v>CAPUBERCAP</v>
      </c>
      <c r="B1670" t="s">
        <v>1049</v>
      </c>
      <c r="C1670" s="1">
        <v>45799</v>
      </c>
      <c r="D1670" s="71" t="s">
        <v>31</v>
      </c>
      <c r="E1670" s="71" t="s">
        <v>189</v>
      </c>
      <c r="F1670" s="70" t="s">
        <v>31</v>
      </c>
      <c r="G1670" s="71" t="s">
        <v>216</v>
      </c>
      <c r="H1670" s="138"/>
      <c r="J1670" s="76" t="s">
        <v>951</v>
      </c>
      <c r="L1670" s="526">
        <v>170</v>
      </c>
      <c r="M1670" s="163">
        <f>M1669+K1670-L1670</f>
        <v>201077.34572000051</v>
      </c>
    </row>
    <row r="1671" spans="1:13">
      <c r="A1671" s="54" t="str">
        <f t="shared" si="28"/>
        <v/>
      </c>
      <c r="B1671" t="s">
        <v>1049</v>
      </c>
      <c r="C1671" s="1">
        <v>45799</v>
      </c>
      <c r="D1671" s="71"/>
      <c r="F1671" s="70"/>
      <c r="H1671" s="138"/>
      <c r="J1671" s="71" t="s">
        <v>260</v>
      </c>
      <c r="K1671" s="325">
        <f>169538.34-10878</f>
        <v>158660.34</v>
      </c>
      <c r="L1671" s="354"/>
      <c r="M1671" s="163">
        <f>M1670+K1671-L1671</f>
        <v>359737.68572000053</v>
      </c>
    </row>
    <row r="1672" spans="1:13">
      <c r="A1672" s="54" t="str">
        <f>D1672&amp;E1672&amp;F1672</f>
        <v>FINANZASCOMISIONES BANCARIASTPV</v>
      </c>
      <c r="B1672" t="s">
        <v>1049</v>
      </c>
      <c r="C1672" s="1">
        <v>45799</v>
      </c>
      <c r="D1672" s="71" t="s">
        <v>23</v>
      </c>
      <c r="E1672" s="71" t="s">
        <v>48</v>
      </c>
      <c r="F1672" s="70" t="s">
        <v>50</v>
      </c>
      <c r="H1672" s="138"/>
      <c r="J1672" s="71" t="s">
        <v>217</v>
      </c>
      <c r="L1672" s="326">
        <f>131.57+610.48+1479.4+746.32+524.45</f>
        <v>3492.2200000000003</v>
      </c>
      <c r="M1672" s="163">
        <f>M1671+K1672-L1672</f>
        <v>356245.46572000056</v>
      </c>
    </row>
    <row r="1673" spans="1:13">
      <c r="A1673" s="54" t="str">
        <f t="shared" ref="A1673:A1738" si="29">D1673&amp;E1673&amp;F1673</f>
        <v/>
      </c>
      <c r="B1673" t="s">
        <v>1049</v>
      </c>
      <c r="C1673" s="1">
        <v>45799</v>
      </c>
      <c r="D1673" s="71"/>
      <c r="H1673" s="138"/>
      <c r="J1673" s="205" t="s">
        <v>220</v>
      </c>
      <c r="K1673" s="206"/>
      <c r="L1673" s="206">
        <v>10000</v>
      </c>
      <c r="M1673" s="163">
        <f>M1672+K1673-L1673</f>
        <v>346245.46572000056</v>
      </c>
    </row>
    <row r="1674" spans="1:13">
      <c r="A1674" s="54" t="str">
        <f>D1674&amp;E1674&amp;F1674</f>
        <v>FINANZASMTTO EQ DE TRANSPORTETESORERIA</v>
      </c>
      <c r="B1674" t="s">
        <v>1049</v>
      </c>
      <c r="C1674" s="1">
        <v>45799</v>
      </c>
      <c r="D1674" s="71" t="s">
        <v>23</v>
      </c>
      <c r="E1674" s="71" t="s">
        <v>144</v>
      </c>
      <c r="F1674" s="71" t="s">
        <v>38</v>
      </c>
      <c r="G1674" s="71" t="s">
        <v>216</v>
      </c>
      <c r="H1674" s="138"/>
      <c r="J1674" s="71" t="s">
        <v>1196</v>
      </c>
      <c r="L1674" s="326">
        <v>2868.75</v>
      </c>
      <c r="M1674" s="163">
        <f>M1673+K1674-L1674</f>
        <v>343376.71572000056</v>
      </c>
    </row>
    <row r="1675" spans="1:13">
      <c r="A1675" s="54" t="str">
        <f>D1675&amp;E1675&amp;F1675</f>
        <v>FINANZASVIATICOSFINANZAS</v>
      </c>
      <c r="B1675" t="s">
        <v>1049</v>
      </c>
      <c r="C1675" s="1">
        <v>45799</v>
      </c>
      <c r="D1675" s="71" t="s">
        <v>23</v>
      </c>
      <c r="E1675" s="71" t="s">
        <v>191</v>
      </c>
      <c r="F1675" s="71" t="s">
        <v>23</v>
      </c>
      <c r="G1675" s="71" t="s">
        <v>216</v>
      </c>
      <c r="H1675" s="138"/>
      <c r="J1675" s="71" t="s">
        <v>805</v>
      </c>
      <c r="L1675" s="326">
        <v>1900</v>
      </c>
      <c r="M1675" s="163">
        <f>M1674+K1675-L1675</f>
        <v>341476.71572000056</v>
      </c>
    </row>
    <row r="1676" spans="1:13">
      <c r="A1676" s="54" t="str">
        <f>D1676&amp;E1676&amp;F1676</f>
        <v>FINANZASFONDO Y REPOSICIONFINANZAS</v>
      </c>
      <c r="B1676" t="s">
        <v>1049</v>
      </c>
      <c r="C1676" s="1">
        <v>45799</v>
      </c>
      <c r="D1676" s="71" t="s">
        <v>23</v>
      </c>
      <c r="E1676" s="71" t="s">
        <v>120</v>
      </c>
      <c r="F1676" s="71" t="s">
        <v>23</v>
      </c>
      <c r="G1676" s="71" t="s">
        <v>258</v>
      </c>
      <c r="H1676" s="138"/>
      <c r="J1676" s="71" t="s">
        <v>1197</v>
      </c>
      <c r="L1676" s="326">
        <v>105</v>
      </c>
      <c r="M1676" s="163">
        <f>M1675+K1676-L1676</f>
        <v>341371.71572000056</v>
      </c>
    </row>
    <row r="1677" spans="1:13">
      <c r="A1677" s="54" t="str">
        <f>D1677&amp;E1677&amp;F1677</f>
        <v>FINANZASFONDO Y REPOSICIONFINANZAS</v>
      </c>
      <c r="B1677" t="s">
        <v>1049</v>
      </c>
      <c r="C1677" s="1">
        <v>45799</v>
      </c>
      <c r="D1677" s="71" t="s">
        <v>23</v>
      </c>
      <c r="E1677" s="71" t="s">
        <v>120</v>
      </c>
      <c r="F1677" s="71" t="s">
        <v>23</v>
      </c>
      <c r="G1677" s="71" t="s">
        <v>258</v>
      </c>
      <c r="H1677" s="138"/>
      <c r="J1677" s="71" t="s">
        <v>1198</v>
      </c>
      <c r="L1677" s="326">
        <v>100</v>
      </c>
      <c r="M1677" s="163">
        <f>M1676+K1677-L1677</f>
        <v>341271.71572000056</v>
      </c>
    </row>
    <row r="1678" spans="1:13">
      <c r="A1678" s="54" t="str">
        <f>D1678&amp;E1678&amp;F1678</f>
        <v>ELIVIATICOSL1</v>
      </c>
      <c r="B1678" t="s">
        <v>1049</v>
      </c>
      <c r="C1678" s="1">
        <v>45799</v>
      </c>
      <c r="D1678" s="71" t="s">
        <v>130</v>
      </c>
      <c r="E1678" s="71" t="s">
        <v>191</v>
      </c>
      <c r="F1678" s="71" t="s">
        <v>136</v>
      </c>
      <c r="G1678" s="71" t="s">
        <v>258</v>
      </c>
      <c r="H1678" s="138"/>
      <c r="J1678" s="71" t="s">
        <v>1199</v>
      </c>
      <c r="L1678" s="326">
        <v>1000</v>
      </c>
      <c r="M1678" s="163">
        <f>M1677+K1678-L1678</f>
        <v>340271.71572000056</v>
      </c>
    </row>
    <row r="1679" spans="1:13">
      <c r="A1679" s="54" t="str">
        <f>D1679&amp;E1679&amp;F1679</f>
        <v>SERVICIOSMTTO DE EDIFICIOMANTENIMIENTO</v>
      </c>
      <c r="B1679" t="s">
        <v>1049</v>
      </c>
      <c r="C1679" s="1">
        <v>45799</v>
      </c>
      <c r="D1679" s="71" t="s">
        <v>21</v>
      </c>
      <c r="E1679" s="71" t="s">
        <v>142</v>
      </c>
      <c r="F1679" s="71" t="s">
        <v>35</v>
      </c>
      <c r="G1679" s="71" t="s">
        <v>216</v>
      </c>
      <c r="H1679" s="138"/>
      <c r="J1679" s="71" t="s">
        <v>1200</v>
      </c>
      <c r="L1679" s="326">
        <v>184.36</v>
      </c>
      <c r="M1679" s="163">
        <f>M1678+K1679-L1679</f>
        <v>340087.35572000057</v>
      </c>
    </row>
    <row r="1680" spans="1:13">
      <c r="A1680" s="54" t="str">
        <f>D1680&amp;E1680&amp;F1680</f>
        <v>HRUBERHR</v>
      </c>
      <c r="B1680" t="s">
        <v>1049</v>
      </c>
      <c r="C1680" s="1">
        <v>45799</v>
      </c>
      <c r="D1680" s="71" t="s">
        <v>29</v>
      </c>
      <c r="E1680" s="71" t="s">
        <v>189</v>
      </c>
      <c r="F1680" s="70" t="s">
        <v>29</v>
      </c>
      <c r="G1680" s="71" t="s">
        <v>216</v>
      </c>
      <c r="H1680" s="138"/>
      <c r="J1680" s="76" t="s">
        <v>249</v>
      </c>
      <c r="L1680" s="526">
        <v>320</v>
      </c>
      <c r="M1680" s="163">
        <f>M1679+K1680-L1680</f>
        <v>339767.35572000057</v>
      </c>
    </row>
    <row r="1681" spans="1:13">
      <c r="A1681" s="54" t="str">
        <f>D1681&amp;E1681&amp;F1681</f>
        <v>HRUBERHR</v>
      </c>
      <c r="B1681" t="s">
        <v>1049</v>
      </c>
      <c r="C1681" s="1">
        <v>45799</v>
      </c>
      <c r="D1681" s="71" t="s">
        <v>29</v>
      </c>
      <c r="E1681" s="71" t="s">
        <v>189</v>
      </c>
      <c r="F1681" s="70" t="s">
        <v>29</v>
      </c>
      <c r="G1681" s="71" t="s">
        <v>216</v>
      </c>
      <c r="H1681" s="138"/>
      <c r="J1681" s="76" t="s">
        <v>250</v>
      </c>
      <c r="L1681" s="526">
        <v>110</v>
      </c>
      <c r="M1681" s="163">
        <f>M1680+K1681-L1681</f>
        <v>339657.35572000057</v>
      </c>
    </row>
    <row r="1682" spans="1:13">
      <c r="A1682" s="54" t="str">
        <f>D1682&amp;E1682&amp;F1682</f>
        <v>CAPUBERCAP</v>
      </c>
      <c r="B1682" t="s">
        <v>1049</v>
      </c>
      <c r="C1682" s="1">
        <v>45799</v>
      </c>
      <c r="D1682" s="71" t="s">
        <v>31</v>
      </c>
      <c r="E1682" s="71" t="s">
        <v>189</v>
      </c>
      <c r="F1682" s="70" t="s">
        <v>31</v>
      </c>
      <c r="G1682" s="71" t="s">
        <v>216</v>
      </c>
      <c r="H1682" s="138"/>
      <c r="J1682" s="76" t="s">
        <v>253</v>
      </c>
      <c r="L1682" s="526">
        <v>427</v>
      </c>
      <c r="M1682" s="163">
        <f>M1681+K1682-L1682</f>
        <v>339230.35572000057</v>
      </c>
    </row>
    <row r="1683" spans="1:13">
      <c r="A1683" s="54" t="str">
        <f>D1683&amp;E1683&amp;F1683</f>
        <v>CAPUBERCAP</v>
      </c>
      <c r="B1683" t="s">
        <v>1049</v>
      </c>
      <c r="C1683" s="1">
        <v>45799</v>
      </c>
      <c r="D1683" s="71" t="s">
        <v>31</v>
      </c>
      <c r="E1683" s="71" t="s">
        <v>189</v>
      </c>
      <c r="F1683" s="70" t="s">
        <v>31</v>
      </c>
      <c r="G1683" s="71" t="s">
        <v>258</v>
      </c>
      <c r="H1683" s="138"/>
      <c r="J1683" s="76" t="s">
        <v>1201</v>
      </c>
      <c r="L1683" s="526">
        <v>50</v>
      </c>
      <c r="M1683" s="163">
        <f>M1682+K1683-L1683</f>
        <v>339180.35572000057</v>
      </c>
    </row>
    <row r="1684" spans="1:13">
      <c r="A1684" s="54" t="str">
        <f>D1684&amp;E1684&amp;F1684</f>
        <v>CAPJMASE6</v>
      </c>
      <c r="B1684" t="s">
        <v>1049</v>
      </c>
      <c r="C1684" s="1">
        <v>45799</v>
      </c>
      <c r="D1684" s="71" t="s">
        <v>31</v>
      </c>
      <c r="E1684" s="71" t="s">
        <v>137</v>
      </c>
      <c r="F1684" s="71" t="s">
        <v>112</v>
      </c>
      <c r="G1684" s="71" t="s">
        <v>216</v>
      </c>
      <c r="H1684" s="138"/>
      <c r="J1684" s="76" t="s">
        <v>315</v>
      </c>
      <c r="L1684" s="331">
        <v>88</v>
      </c>
      <c r="M1684" s="163">
        <f>M1683+K1684-L1684</f>
        <v>339092.35572000057</v>
      </c>
    </row>
    <row r="1685" spans="1:13">
      <c r="A1685" s="54" t="str">
        <f>D1685&amp;E1685&amp;F1685</f>
        <v>CAPCOMBUSTIBLECAPRICHOS</v>
      </c>
      <c r="B1685" t="s">
        <v>1049</v>
      </c>
      <c r="C1685" s="1">
        <v>45799</v>
      </c>
      <c r="D1685" s="71" t="s">
        <v>31</v>
      </c>
      <c r="E1685" s="71" t="s">
        <v>32</v>
      </c>
      <c r="F1685" s="70" t="s">
        <v>33</v>
      </c>
      <c r="G1685" s="71" t="s">
        <v>216</v>
      </c>
      <c r="H1685" s="138"/>
      <c r="J1685" s="76" t="s">
        <v>1202</v>
      </c>
      <c r="L1685" s="331">
        <v>300</v>
      </c>
      <c r="M1685" s="163">
        <f>M1684+K1685-L1685</f>
        <v>338792.35572000057</v>
      </c>
    </row>
    <row r="1686" spans="1:13">
      <c r="A1686" s="54" t="str">
        <f t="shared" si="29"/>
        <v/>
      </c>
      <c r="B1686" t="s">
        <v>1049</v>
      </c>
      <c r="C1686" s="1">
        <v>45800</v>
      </c>
      <c r="D1686" s="71"/>
      <c r="H1686" s="138"/>
      <c r="J1686" s="71" t="s">
        <v>260</v>
      </c>
      <c r="K1686" s="325">
        <f>209021.28-14253</f>
        <v>194768.28</v>
      </c>
      <c r="L1686" s="354"/>
      <c r="M1686" s="163">
        <f>M1685+K1686-L1686</f>
        <v>533560.6357200006</v>
      </c>
    </row>
    <row r="1687" spans="1:13">
      <c r="A1687" s="54" t="str">
        <f>D1687&amp;E1687&amp;F1687</f>
        <v>FINANZASCOMISIONES BANCARIASTPV</v>
      </c>
      <c r="B1687" t="s">
        <v>1049</v>
      </c>
      <c r="C1687" s="1">
        <v>45800</v>
      </c>
      <c r="D1687" s="71" t="s">
        <v>23</v>
      </c>
      <c r="E1687" s="71" t="s">
        <v>48</v>
      </c>
      <c r="F1687" s="70" t="s">
        <v>50</v>
      </c>
      <c r="G1687" s="71" t="s">
        <v>216</v>
      </c>
      <c r="H1687" s="138"/>
      <c r="J1687" s="71" t="s">
        <v>217</v>
      </c>
      <c r="L1687" s="326">
        <f>319.86+664.05+88.31+1691.45+959.01+727.03</f>
        <v>4449.71</v>
      </c>
      <c r="M1687" s="163">
        <f>M1686+K1687-L1687</f>
        <v>529110.92572000064</v>
      </c>
    </row>
    <row r="1688" spans="1:13">
      <c r="A1688" s="54" t="str">
        <f t="shared" si="29"/>
        <v/>
      </c>
      <c r="B1688" t="s">
        <v>1049</v>
      </c>
      <c r="C1688" s="1">
        <v>45800</v>
      </c>
      <c r="D1688" s="71"/>
      <c r="H1688" s="138"/>
      <c r="J1688" s="205" t="s">
        <v>220</v>
      </c>
      <c r="K1688" s="206"/>
      <c r="L1688" s="206"/>
      <c r="M1688" s="163">
        <f>M1687+K1688-L1688</f>
        <v>529110.92572000064</v>
      </c>
    </row>
    <row r="1689" spans="1:13">
      <c r="A1689" s="54" t="str">
        <f t="shared" si="29"/>
        <v/>
      </c>
      <c r="B1689" t="s">
        <v>1049</v>
      </c>
      <c r="C1689" s="1">
        <v>45800</v>
      </c>
      <c r="D1689" s="71"/>
      <c r="H1689" s="138"/>
      <c r="J1689" s="205" t="s">
        <v>563</v>
      </c>
      <c r="K1689" s="206"/>
      <c r="L1689" s="206"/>
      <c r="M1689" s="163">
        <f>M1688+K1689-L1689</f>
        <v>529110.92572000064</v>
      </c>
    </row>
    <row r="1690" spans="1:13">
      <c r="A1690" s="54" t="str">
        <f>D1690&amp;E1690&amp;F1690</f>
        <v>SERVICIOSINSUMOSSISTEMAS</v>
      </c>
      <c r="B1690" t="s">
        <v>1049</v>
      </c>
      <c r="C1690" s="1">
        <v>45800</v>
      </c>
      <c r="D1690" s="71" t="s">
        <v>21</v>
      </c>
      <c r="E1690" s="71" t="s">
        <v>133</v>
      </c>
      <c r="F1690" s="71" t="s">
        <v>36</v>
      </c>
      <c r="G1690" s="71" t="s">
        <v>258</v>
      </c>
      <c r="H1690" s="138"/>
      <c r="J1690" s="71" t="s">
        <v>1203</v>
      </c>
      <c r="L1690" s="326">
        <v>16843.2</v>
      </c>
      <c r="M1690" s="163">
        <f>M1689+K1690-L1690</f>
        <v>512267.72572000063</v>
      </c>
    </row>
    <row r="1691" spans="1:13">
      <c r="A1691" s="54" t="str">
        <f t="shared" si="29"/>
        <v>COMBUSTIBLE</v>
      </c>
      <c r="B1691" t="s">
        <v>1049</v>
      </c>
      <c r="C1691" s="1">
        <v>45800</v>
      </c>
      <c r="D1691" s="71"/>
      <c r="E1691" s="71" t="s">
        <v>32</v>
      </c>
      <c r="G1691" s="71" t="s">
        <v>216</v>
      </c>
      <c r="H1691" s="138"/>
      <c r="J1691" s="71" t="s">
        <v>1204</v>
      </c>
      <c r="L1691" s="326">
        <v>21044</v>
      </c>
      <c r="M1691" s="163">
        <f t="shared" ref="M1691:M1695" si="30">M1690+K1691-L1691</f>
        <v>491223.72572000063</v>
      </c>
    </row>
    <row r="1692" spans="1:13">
      <c r="A1692" s="54" t="str">
        <f>D1692&amp;E1692&amp;F1692</f>
        <v>FINANZASVIATICOSFINANZAS</v>
      </c>
      <c r="B1692" t="s">
        <v>1049</v>
      </c>
      <c r="C1692" s="1">
        <v>45800</v>
      </c>
      <c r="D1692" s="71" t="s">
        <v>23</v>
      </c>
      <c r="E1692" s="71" t="s">
        <v>191</v>
      </c>
      <c r="F1692" s="71" t="s">
        <v>23</v>
      </c>
      <c r="G1692" s="71" t="s">
        <v>216</v>
      </c>
      <c r="H1692" s="138"/>
      <c r="J1692" s="71" t="s">
        <v>1205</v>
      </c>
      <c r="L1692" s="326">
        <v>200</v>
      </c>
      <c r="M1692" s="163">
        <f t="shared" si="30"/>
        <v>491023.72572000063</v>
      </c>
    </row>
    <row r="1693" spans="1:13">
      <c r="A1693" s="54" t="str">
        <f>D1693&amp;E1693&amp;F1693</f>
        <v>FINANZASSEGUROEQ. DE TRANSPORTE</v>
      </c>
      <c r="B1693" t="s">
        <v>1049</v>
      </c>
      <c r="C1693" s="1">
        <v>45800</v>
      </c>
      <c r="D1693" s="71" t="s">
        <v>23</v>
      </c>
      <c r="E1693" s="71" t="s">
        <v>173</v>
      </c>
      <c r="F1693" s="71" t="s">
        <v>175</v>
      </c>
      <c r="G1693" s="71" t="s">
        <v>216</v>
      </c>
      <c r="H1693" s="138"/>
      <c r="J1693" s="71" t="s">
        <v>1206</v>
      </c>
      <c r="L1693" s="326">
        <v>8871.76</v>
      </c>
      <c r="M1693" s="163">
        <f t="shared" si="30"/>
        <v>482151.96572000062</v>
      </c>
    </row>
    <row r="1694" spans="1:13">
      <c r="A1694" s="54" t="str">
        <f t="shared" si="29"/>
        <v/>
      </c>
      <c r="B1694" t="s">
        <v>1049</v>
      </c>
      <c r="C1694" s="1">
        <v>45800</v>
      </c>
      <c r="D1694" s="71"/>
      <c r="H1694" s="138"/>
      <c r="J1694" s="71" t="s">
        <v>1207</v>
      </c>
      <c r="L1694" s="326">
        <v>400</v>
      </c>
      <c r="M1694" s="163">
        <f t="shared" si="30"/>
        <v>481751.96572000062</v>
      </c>
    </row>
    <row r="1695" spans="1:13">
      <c r="A1695" s="54" t="str">
        <f>D1695&amp;E1695&amp;F1695</f>
        <v>HRUBERHR</v>
      </c>
      <c r="B1695" t="s">
        <v>1049</v>
      </c>
      <c r="C1695" s="1">
        <v>45800</v>
      </c>
      <c r="D1695" s="71" t="s">
        <v>29</v>
      </c>
      <c r="E1695" s="71" t="s">
        <v>189</v>
      </c>
      <c r="F1695" s="70" t="s">
        <v>29</v>
      </c>
      <c r="G1695" s="71" t="s">
        <v>216</v>
      </c>
      <c r="H1695" s="138"/>
      <c r="J1695" s="76" t="s">
        <v>291</v>
      </c>
      <c r="L1695" s="526">
        <v>190</v>
      </c>
      <c r="M1695" s="163">
        <f t="shared" si="30"/>
        <v>481561.96572000062</v>
      </c>
    </row>
    <row r="1696" spans="1:13">
      <c r="A1696" s="54" t="str">
        <f>D1696&amp;E1696&amp;F1696</f>
        <v>HRUBERHR</v>
      </c>
      <c r="B1696" t="s">
        <v>1049</v>
      </c>
      <c r="C1696" s="1">
        <v>45800</v>
      </c>
      <c r="D1696" s="71" t="s">
        <v>29</v>
      </c>
      <c r="E1696" s="71" t="s">
        <v>189</v>
      </c>
      <c r="F1696" s="70" t="s">
        <v>29</v>
      </c>
      <c r="G1696" s="71" t="s">
        <v>216</v>
      </c>
      <c r="H1696" s="138"/>
      <c r="J1696" s="76" t="s">
        <v>249</v>
      </c>
      <c r="L1696" s="526">
        <v>376</v>
      </c>
      <c r="M1696" s="163">
        <f>M1695+K1696-L1696</f>
        <v>481185.96572000062</v>
      </c>
    </row>
    <row r="1697" spans="1:13">
      <c r="A1697" s="54" t="str">
        <f>D1697&amp;E1697&amp;F1697</f>
        <v>HRUBERHR</v>
      </c>
      <c r="B1697" t="s">
        <v>1049</v>
      </c>
      <c r="C1697" s="1">
        <v>45800</v>
      </c>
      <c r="D1697" s="71" t="s">
        <v>29</v>
      </c>
      <c r="E1697" s="71" t="s">
        <v>189</v>
      </c>
      <c r="F1697" s="70" t="s">
        <v>29</v>
      </c>
      <c r="G1697" s="71" t="s">
        <v>216</v>
      </c>
      <c r="H1697" s="138"/>
      <c r="J1697" s="76" t="s">
        <v>250</v>
      </c>
      <c r="L1697" s="526">
        <v>160</v>
      </c>
      <c r="M1697" s="163">
        <f>M1696+K1697-L1697</f>
        <v>481025.96572000062</v>
      </c>
    </row>
    <row r="1698" spans="1:13">
      <c r="A1698" s="54" t="str">
        <f>D1698&amp;E1698&amp;F1698</f>
        <v>CAPUBERCAP</v>
      </c>
      <c r="B1698" t="s">
        <v>1049</v>
      </c>
      <c r="C1698" s="1">
        <v>45800</v>
      </c>
      <c r="D1698" s="71" t="s">
        <v>31</v>
      </c>
      <c r="E1698" s="71" t="s">
        <v>189</v>
      </c>
      <c r="F1698" s="70" t="s">
        <v>31</v>
      </c>
      <c r="G1698" s="71" t="s">
        <v>258</v>
      </c>
      <c r="H1698" s="138"/>
      <c r="J1698" s="76" t="s">
        <v>253</v>
      </c>
      <c r="L1698" s="526">
        <v>407</v>
      </c>
      <c r="M1698" s="163">
        <f>M1697+K1698-L1698</f>
        <v>480618.96572000062</v>
      </c>
    </row>
    <row r="1699" spans="1:13">
      <c r="A1699" s="54" t="str">
        <f>D1699&amp;E1699&amp;F1699</f>
        <v>CAPUBERCAP</v>
      </c>
      <c r="B1699" t="s">
        <v>1049</v>
      </c>
      <c r="C1699" s="1">
        <v>45800</v>
      </c>
      <c r="D1699" s="71" t="s">
        <v>31</v>
      </c>
      <c r="E1699" s="71" t="s">
        <v>189</v>
      </c>
      <c r="F1699" s="70" t="s">
        <v>31</v>
      </c>
      <c r="G1699" s="71" t="s">
        <v>258</v>
      </c>
      <c r="H1699" s="138"/>
      <c r="J1699" s="76" t="s">
        <v>257</v>
      </c>
      <c r="L1699" s="526">
        <v>110</v>
      </c>
      <c r="M1699" s="163">
        <f>M1698+K1699-L1699</f>
        <v>480508.96572000062</v>
      </c>
    </row>
    <row r="1700" spans="1:13">
      <c r="A1700" s="54" t="str">
        <f>D1700&amp;E1700&amp;F1700</f>
        <v>CAPFUMIGACIONCAPRICHOS</v>
      </c>
      <c r="B1700" t="s">
        <v>1049</v>
      </c>
      <c r="C1700" s="1">
        <v>45800</v>
      </c>
      <c r="D1700" s="71" t="s">
        <v>31</v>
      </c>
      <c r="E1700" s="71" t="s">
        <v>121</v>
      </c>
      <c r="F1700" s="71" t="s">
        <v>33</v>
      </c>
      <c r="G1700" s="71" t="s">
        <v>258</v>
      </c>
      <c r="H1700" s="138"/>
      <c r="J1700" s="76" t="s">
        <v>1208</v>
      </c>
      <c r="L1700" s="538">
        <v>471</v>
      </c>
      <c r="M1700" s="163">
        <f>M1699+K1700-L1700</f>
        <v>480037.96572000062</v>
      </c>
    </row>
    <row r="1701" spans="1:13">
      <c r="A1701" s="54" t="str">
        <f>D1701&amp;E1701&amp;F1701</f>
        <v>CAPUBERCAP</v>
      </c>
      <c r="B1701" t="s">
        <v>1049</v>
      </c>
      <c r="C1701" s="1">
        <v>45800</v>
      </c>
      <c r="D1701" s="71" t="s">
        <v>31</v>
      </c>
      <c r="E1701" s="71" t="s">
        <v>189</v>
      </c>
      <c r="F1701" s="70" t="s">
        <v>31</v>
      </c>
      <c r="G1701" s="71" t="s">
        <v>258</v>
      </c>
      <c r="H1701" s="138"/>
      <c r="J1701" s="76" t="s">
        <v>490</v>
      </c>
      <c r="L1701" s="526">
        <v>250</v>
      </c>
      <c r="M1701" s="163">
        <f>M1700+K1701-L1701</f>
        <v>479787.96572000062</v>
      </c>
    </row>
    <row r="1702" spans="1:13">
      <c r="A1702" s="54" t="str">
        <f>D1702&amp;E1702&amp;F1702</f>
        <v>CAPUBERCAP</v>
      </c>
      <c r="B1702" t="s">
        <v>1049</v>
      </c>
      <c r="C1702" s="1">
        <v>45800</v>
      </c>
      <c r="D1702" s="71" t="s">
        <v>31</v>
      </c>
      <c r="E1702" s="71" t="s">
        <v>189</v>
      </c>
      <c r="F1702" s="70" t="s">
        <v>31</v>
      </c>
      <c r="G1702" s="71" t="s">
        <v>258</v>
      </c>
      <c r="H1702" s="138"/>
      <c r="J1702" s="76" t="s">
        <v>951</v>
      </c>
      <c r="L1702" s="526">
        <v>170</v>
      </c>
      <c r="M1702" s="163">
        <f>M1701+K1702-L1702</f>
        <v>479617.96572000062</v>
      </c>
    </row>
    <row r="1703" spans="1:13">
      <c r="A1703" s="54" t="str">
        <f t="shared" si="29"/>
        <v/>
      </c>
      <c r="B1703" t="s">
        <v>1049</v>
      </c>
      <c r="C1703" s="1">
        <v>45803</v>
      </c>
      <c r="D1703" s="71"/>
      <c r="F1703" s="70"/>
      <c r="H1703" s="138"/>
      <c r="J1703" s="71" t="s">
        <v>260</v>
      </c>
      <c r="K1703" s="325">
        <f>901376.29-8160-16285</f>
        <v>876931.29</v>
      </c>
      <c r="L1703" s="354"/>
      <c r="M1703" s="163">
        <f>M1702+K1703-L1703</f>
        <v>1356549.2557200007</v>
      </c>
    </row>
    <row r="1704" spans="1:13">
      <c r="A1704" s="54" t="str">
        <f t="shared" si="29"/>
        <v/>
      </c>
      <c r="B1704" t="s">
        <v>1049</v>
      </c>
      <c r="C1704" s="1">
        <v>45803</v>
      </c>
      <c r="D1704" s="71"/>
      <c r="F1704" s="70"/>
      <c r="H1704" s="138"/>
      <c r="J1704" s="71" t="s">
        <v>1209</v>
      </c>
      <c r="K1704" s="325">
        <f>7674+10878+14253</f>
        <v>32805</v>
      </c>
      <c r="L1704" s="354"/>
      <c r="M1704" s="163">
        <f>M1703+K1704-L1704</f>
        <v>1389354.2557200007</v>
      </c>
    </row>
    <row r="1705" spans="1:13">
      <c r="A1705" s="54" t="str">
        <f>D1705&amp;E1705&amp;F1705</f>
        <v>FINANZASCOMISIONES BANCARIASTPV</v>
      </c>
      <c r="B1705" t="s">
        <v>1049</v>
      </c>
      <c r="C1705" s="1">
        <v>45803</v>
      </c>
      <c r="D1705" s="71" t="s">
        <v>23</v>
      </c>
      <c r="E1705" s="71" t="s">
        <v>48</v>
      </c>
      <c r="F1705" s="70" t="s">
        <v>50</v>
      </c>
      <c r="G1705" s="71" t="s">
        <v>216</v>
      </c>
      <c r="H1705" s="138"/>
      <c r="J1705" s="71" t="s">
        <v>217</v>
      </c>
      <c r="L1705" s="326">
        <f>975.79+1732.24+352.62+6634.12+5507.67+2346.14</f>
        <v>17548.580000000002</v>
      </c>
      <c r="M1705" s="163">
        <f>M1704+K1705-L1705</f>
        <v>1371805.6757200006</v>
      </c>
    </row>
    <row r="1706" spans="1:13">
      <c r="A1706" s="54" t="str">
        <f t="shared" si="29"/>
        <v/>
      </c>
      <c r="B1706" t="s">
        <v>1049</v>
      </c>
      <c r="C1706" s="1">
        <v>45803</v>
      </c>
      <c r="D1706" s="71"/>
      <c r="F1706" s="70"/>
      <c r="H1706" s="138"/>
      <c r="J1706" s="205" t="s">
        <v>220</v>
      </c>
      <c r="K1706" s="206"/>
      <c r="L1706" s="206">
        <v>700000</v>
      </c>
      <c r="M1706" s="163">
        <f>M1705+K1706-L1706</f>
        <v>671805.67572000064</v>
      </c>
    </row>
    <row r="1707" spans="1:13">
      <c r="A1707" s="54" t="str">
        <f t="shared" si="29"/>
        <v/>
      </c>
      <c r="B1707" t="s">
        <v>1049</v>
      </c>
      <c r="C1707" s="1">
        <v>45803</v>
      </c>
      <c r="D1707" s="71"/>
      <c r="F1707" s="70"/>
      <c r="H1707" s="138"/>
      <c r="J1707" s="205" t="s">
        <v>563</v>
      </c>
      <c r="K1707" s="206"/>
      <c r="L1707" s="206">
        <v>150000</v>
      </c>
      <c r="M1707" s="163">
        <f t="shared" ref="M1707:M1715" si="31">M1706+K1707-L1707</f>
        <v>521805.67572000064</v>
      </c>
    </row>
    <row r="1708" spans="1:13">
      <c r="A1708" s="54" t="str">
        <f>D1708&amp;E1708&amp;F1708</f>
        <v>SERVICIOSMTTO EQ DE TRANSPORTECEDIS</v>
      </c>
      <c r="B1708" t="s">
        <v>1049</v>
      </c>
      <c r="C1708" s="1">
        <v>45803</v>
      </c>
      <c r="D1708" s="71" t="s">
        <v>21</v>
      </c>
      <c r="E1708" s="71" t="s">
        <v>144</v>
      </c>
      <c r="F1708" s="70" t="s">
        <v>28</v>
      </c>
      <c r="H1708" s="138"/>
      <c r="J1708" s="71" t="s">
        <v>1210</v>
      </c>
      <c r="L1708" s="208">
        <v>425</v>
      </c>
      <c r="M1708" s="163">
        <f t="shared" si="31"/>
        <v>521380.67572000064</v>
      </c>
    </row>
    <row r="1709" spans="1:13">
      <c r="A1709" s="54" t="str">
        <f>D1709&amp;E1709&amp;F1709</f>
        <v>FINANZASMTTO EQ DE TRANSPORTETESORERIA</v>
      </c>
      <c r="B1709" t="s">
        <v>1049</v>
      </c>
      <c r="C1709" s="1">
        <v>45803</v>
      </c>
      <c r="D1709" s="71" t="s">
        <v>23</v>
      </c>
      <c r="E1709" s="71" t="s">
        <v>144</v>
      </c>
      <c r="F1709" s="70" t="s">
        <v>38</v>
      </c>
      <c r="G1709" s="71" t="s">
        <v>216</v>
      </c>
      <c r="H1709" s="138"/>
      <c r="J1709" s="71" t="s">
        <v>1211</v>
      </c>
      <c r="L1709" s="326">
        <v>2000</v>
      </c>
      <c r="M1709" s="163">
        <f t="shared" si="31"/>
        <v>519380.67572000064</v>
      </c>
    </row>
    <row r="1710" spans="1:13">
      <c r="A1710" s="54" t="str">
        <f>D1710&amp;E1710&amp;F1710</f>
        <v>FINANZASFONDO Y REPOSICIONFINANZAS</v>
      </c>
      <c r="B1710" t="s">
        <v>1049</v>
      </c>
      <c r="C1710" s="1">
        <v>45803</v>
      </c>
      <c r="D1710" s="71" t="s">
        <v>23</v>
      </c>
      <c r="E1710" s="71" t="s">
        <v>120</v>
      </c>
      <c r="F1710" s="70" t="s">
        <v>23</v>
      </c>
      <c r="G1710" s="71" t="s">
        <v>216</v>
      </c>
      <c r="H1710" s="138"/>
      <c r="J1710" s="71" t="s">
        <v>511</v>
      </c>
      <c r="L1710" s="326">
        <v>300</v>
      </c>
      <c r="M1710" s="163">
        <f t="shared" si="31"/>
        <v>519080.67572000064</v>
      </c>
    </row>
    <row r="1711" spans="1:13">
      <c r="A1711" s="54" t="str">
        <f>D1711&amp;E1711&amp;F1711</f>
        <v>FINANZASFONDO Y REPOSICIONFINANZAS</v>
      </c>
      <c r="B1711" t="s">
        <v>1049</v>
      </c>
      <c r="C1711" s="1">
        <v>45803</v>
      </c>
      <c r="D1711" s="71" t="s">
        <v>23</v>
      </c>
      <c r="E1711" s="71" t="s">
        <v>120</v>
      </c>
      <c r="F1711" s="70" t="s">
        <v>23</v>
      </c>
      <c r="G1711" s="71" t="s">
        <v>216</v>
      </c>
      <c r="H1711" s="138"/>
      <c r="J1711" s="71" t="s">
        <v>1212</v>
      </c>
      <c r="L1711" s="326">
        <v>50</v>
      </c>
      <c r="M1711" s="163">
        <f t="shared" si="31"/>
        <v>519030.67572000064</v>
      </c>
    </row>
    <row r="1712" spans="1:13">
      <c r="A1712" s="54" t="str">
        <f>D1712&amp;E1712&amp;F1712</f>
        <v>SERVICIOSMTTO DE EDIFICIOMANTENIMIENTO</v>
      </c>
      <c r="B1712" t="s">
        <v>1049</v>
      </c>
      <c r="C1712" s="1">
        <v>45803</v>
      </c>
      <c r="D1712" s="71" t="s">
        <v>21</v>
      </c>
      <c r="E1712" s="71" t="s">
        <v>142</v>
      </c>
      <c r="F1712" s="70" t="s">
        <v>35</v>
      </c>
      <c r="H1712" s="138"/>
      <c r="J1712" s="71" t="s">
        <v>1213</v>
      </c>
      <c r="L1712" s="326">
        <v>6747.3</v>
      </c>
      <c r="M1712" s="163">
        <f t="shared" si="31"/>
        <v>512283.37572000065</v>
      </c>
    </row>
    <row r="1713" spans="1:13">
      <c r="A1713" s="54" t="str">
        <f>D1713&amp;E1713&amp;F1713</f>
        <v>SERVICIOSVIATICOSCEDIS</v>
      </c>
      <c r="B1713" t="s">
        <v>1049</v>
      </c>
      <c r="C1713" s="1">
        <v>45803</v>
      </c>
      <c r="D1713" s="71" t="s">
        <v>21</v>
      </c>
      <c r="E1713" s="71" t="s">
        <v>191</v>
      </c>
      <c r="F1713" s="70" t="s">
        <v>28</v>
      </c>
      <c r="G1713" s="71" t="s">
        <v>216</v>
      </c>
      <c r="H1713" s="138"/>
      <c r="J1713" s="71" t="s">
        <v>1214</v>
      </c>
      <c r="L1713" s="326">
        <v>2050</v>
      </c>
      <c r="M1713" s="163">
        <f t="shared" si="31"/>
        <v>510233.37572000065</v>
      </c>
    </row>
    <row r="1714" spans="1:13">
      <c r="A1714" s="54" t="str">
        <f>D1714&amp;E1714&amp;F1714</f>
        <v>SERVICIOSFONDO Y REPOSICIONSERVICIOS</v>
      </c>
      <c r="B1714" t="s">
        <v>1049</v>
      </c>
      <c r="C1714" s="1">
        <v>45803</v>
      </c>
      <c r="D1714" s="71" t="s">
        <v>21</v>
      </c>
      <c r="E1714" s="71" t="s">
        <v>120</v>
      </c>
      <c r="F1714" s="70" t="s">
        <v>21</v>
      </c>
      <c r="G1714" s="71" t="s">
        <v>216</v>
      </c>
      <c r="H1714" s="138"/>
      <c r="J1714" s="71" t="s">
        <v>1215</v>
      </c>
      <c r="L1714" s="326">
        <v>2000</v>
      </c>
      <c r="M1714" s="163">
        <f t="shared" si="31"/>
        <v>508233.37572000065</v>
      </c>
    </row>
    <row r="1715" spans="1:13">
      <c r="A1715" s="54" t="str">
        <f>D1715&amp;E1715&amp;F1715</f>
        <v>SERVICIOSALARMACEDIS</v>
      </c>
      <c r="B1715" t="s">
        <v>1049</v>
      </c>
      <c r="C1715" s="1">
        <v>45803</v>
      </c>
      <c r="D1715" s="71" t="s">
        <v>21</v>
      </c>
      <c r="E1715" s="71" t="s">
        <v>25</v>
      </c>
      <c r="F1715" s="70" t="s">
        <v>28</v>
      </c>
      <c r="G1715" s="71" t="s">
        <v>216</v>
      </c>
      <c r="H1715" s="138"/>
      <c r="J1715" s="71" t="s">
        <v>1216</v>
      </c>
      <c r="L1715" s="326">
        <v>560</v>
      </c>
      <c r="M1715" s="163">
        <f t="shared" si="31"/>
        <v>507673.37572000065</v>
      </c>
    </row>
    <row r="1716" spans="1:13">
      <c r="A1716" s="54" t="str">
        <f>D1716&amp;E1716&amp;F1716</f>
        <v>SERVICIOSADQ DE EQ TECNOLOGICOADQ DE EQ TECNOLOGICO</v>
      </c>
      <c r="B1716" t="s">
        <v>1049</v>
      </c>
      <c r="C1716" s="1">
        <v>45803</v>
      </c>
      <c r="D1716" s="71" t="s">
        <v>21</v>
      </c>
      <c r="E1716" s="71" t="s">
        <v>22</v>
      </c>
      <c r="F1716" s="70" t="s">
        <v>22</v>
      </c>
      <c r="G1716" s="71" t="s">
        <v>258</v>
      </c>
      <c r="H1716" s="138"/>
      <c r="J1716" s="71" t="s">
        <v>1217</v>
      </c>
      <c r="L1716" s="326">
        <v>39899</v>
      </c>
      <c r="M1716" s="163">
        <f>M1715+K1716-L1716</f>
        <v>467774.37572000065</v>
      </c>
    </row>
    <row r="1717" spans="1:13">
      <c r="A1717" s="54" t="str">
        <f t="shared" si="29"/>
        <v/>
      </c>
      <c r="B1717" t="s">
        <v>1049</v>
      </c>
      <c r="C1717" s="1">
        <v>45803</v>
      </c>
      <c r="D1717" s="71"/>
      <c r="F1717" s="70"/>
      <c r="H1717" s="138"/>
      <c r="J1717" s="71" t="s">
        <v>1218</v>
      </c>
      <c r="L1717" s="326">
        <v>63174.95</v>
      </c>
      <c r="M1717" s="163">
        <f>M1716+K1717-L1717</f>
        <v>404599.42572000064</v>
      </c>
    </row>
    <row r="1718" spans="1:13">
      <c r="A1718" s="54" t="str">
        <f>D1718&amp;E1718&amp;F1718</f>
        <v>SERVICIOSALARMACEDIS</v>
      </c>
      <c r="B1718" t="s">
        <v>1049</v>
      </c>
      <c r="C1718" s="1">
        <v>45803</v>
      </c>
      <c r="D1718" s="71" t="s">
        <v>21</v>
      </c>
      <c r="E1718" s="71" t="s">
        <v>25</v>
      </c>
      <c r="F1718" s="70" t="s">
        <v>28</v>
      </c>
      <c r="G1718" s="71" t="s">
        <v>258</v>
      </c>
      <c r="H1718" s="138"/>
      <c r="J1718" s="71" t="s">
        <v>1219</v>
      </c>
      <c r="L1718" s="326">
        <v>560</v>
      </c>
      <c r="M1718" s="163">
        <f>M1717+K1718-L1718</f>
        <v>404039.42572000064</v>
      </c>
    </row>
    <row r="1719" spans="1:13">
      <c r="A1719" s="54" t="str">
        <f>D1719&amp;E1719&amp;F1719</f>
        <v>SERVICIOSALARMASUCURSALES HR</v>
      </c>
      <c r="B1719" t="s">
        <v>1049</v>
      </c>
      <c r="C1719" s="1">
        <v>45803</v>
      </c>
      <c r="D1719" s="71" t="s">
        <v>21</v>
      </c>
      <c r="E1719" s="71" t="s">
        <v>25</v>
      </c>
      <c r="F1719" s="70" t="s">
        <v>26</v>
      </c>
      <c r="G1719" s="71" t="s">
        <v>216</v>
      </c>
      <c r="H1719" s="138"/>
      <c r="J1719" s="71" t="s">
        <v>1220</v>
      </c>
      <c r="L1719" s="326">
        <v>5600.02</v>
      </c>
      <c r="M1719" s="163">
        <f>M1718+K1719-L1719</f>
        <v>398439.40572000062</v>
      </c>
    </row>
    <row r="1720" spans="1:13">
      <c r="A1720" s="54" t="str">
        <f>D1720&amp;E1720&amp;F1720</f>
        <v>SERVICIOSALARMASUCURSALES CAPRICHOS</v>
      </c>
      <c r="B1720" t="s">
        <v>1049</v>
      </c>
      <c r="C1720" s="1">
        <v>45803</v>
      </c>
      <c r="D1720" s="71" t="s">
        <v>21</v>
      </c>
      <c r="E1720" s="71" t="s">
        <v>25</v>
      </c>
      <c r="F1720" s="70" t="s">
        <v>27</v>
      </c>
      <c r="G1720" s="71" t="s">
        <v>258</v>
      </c>
      <c r="H1720" s="138"/>
      <c r="J1720" s="71" t="s">
        <v>1221</v>
      </c>
      <c r="L1720" s="326">
        <v>2520</v>
      </c>
      <c r="M1720" s="163">
        <f>M1719+K1720-L1720</f>
        <v>395919.40572000062</v>
      </c>
    </row>
    <row r="1721" spans="1:13">
      <c r="A1721" s="54" t="str">
        <f>D1721&amp;E1721&amp;F1721</f>
        <v>CAPJMASE4</v>
      </c>
      <c r="B1721" t="s">
        <v>1049</v>
      </c>
      <c r="C1721" s="1">
        <v>45803</v>
      </c>
      <c r="D1721" s="71" t="s">
        <v>31</v>
      </c>
      <c r="E1721" s="71" t="s">
        <v>137</v>
      </c>
      <c r="F1721" s="70" t="s">
        <v>110</v>
      </c>
      <c r="G1721" s="71" t="s">
        <v>216</v>
      </c>
      <c r="H1721" s="138"/>
      <c r="J1721" s="71" t="s">
        <v>1222</v>
      </c>
      <c r="L1721" s="326">
        <v>54</v>
      </c>
      <c r="M1721" s="163">
        <f>M1720+K1721-L1721</f>
        <v>395865.40572000062</v>
      </c>
    </row>
    <row r="1722" spans="1:13">
      <c r="A1722" s="54" t="str">
        <f>D1722&amp;E1722&amp;F1722</f>
        <v>HRJMASA8</v>
      </c>
      <c r="B1722" t="s">
        <v>1049</v>
      </c>
      <c r="C1722" s="1">
        <v>45803</v>
      </c>
      <c r="D1722" s="71" t="s">
        <v>29</v>
      </c>
      <c r="E1722" s="71" t="s">
        <v>137</v>
      </c>
      <c r="F1722" s="70" t="s">
        <v>94</v>
      </c>
      <c r="G1722" s="71" t="s">
        <v>216</v>
      </c>
      <c r="H1722" s="138"/>
      <c r="J1722" s="71" t="s">
        <v>1223</v>
      </c>
      <c r="L1722" s="326">
        <v>277.63</v>
      </c>
      <c r="M1722" s="163">
        <f>M1721+K1722-L1722</f>
        <v>395587.77572000062</v>
      </c>
    </row>
    <row r="1723" spans="1:13">
      <c r="A1723" s="54" t="str">
        <f>D1723&amp;E1723&amp;F1723</f>
        <v>HRUBERHR</v>
      </c>
      <c r="B1723" t="s">
        <v>1049</v>
      </c>
      <c r="C1723" s="1">
        <v>45803</v>
      </c>
      <c r="D1723" s="71" t="s">
        <v>29</v>
      </c>
      <c r="E1723" s="71" t="s">
        <v>189</v>
      </c>
      <c r="F1723" s="70" t="s">
        <v>29</v>
      </c>
      <c r="G1723" s="71" t="s">
        <v>216</v>
      </c>
      <c r="H1723" s="138"/>
      <c r="J1723" s="76" t="s">
        <v>291</v>
      </c>
      <c r="L1723" s="526">
        <v>100</v>
      </c>
      <c r="M1723" s="163">
        <f>M1722+K1723-L1723</f>
        <v>395487.77572000062</v>
      </c>
    </row>
    <row r="1724" spans="1:13">
      <c r="A1724" s="54" t="str">
        <f>D1724&amp;E1724&amp;F1724</f>
        <v>HRNOMINA SUCURSALA3</v>
      </c>
      <c r="B1724" t="s">
        <v>1049</v>
      </c>
      <c r="C1724" s="1">
        <v>45803</v>
      </c>
      <c r="D1724" s="71" t="s">
        <v>29</v>
      </c>
      <c r="E1724" s="71" t="s">
        <v>154</v>
      </c>
      <c r="F1724" s="70" t="s">
        <v>90</v>
      </c>
      <c r="G1724" s="71" t="s">
        <v>216</v>
      </c>
      <c r="H1724" s="138"/>
      <c r="J1724" s="76" t="s">
        <v>1224</v>
      </c>
      <c r="L1724" s="331">
        <v>100</v>
      </c>
      <c r="M1724" s="163">
        <f>M1723+K1724-L1724</f>
        <v>395387.77572000062</v>
      </c>
    </row>
    <row r="1725" spans="1:13">
      <c r="A1725" s="54" t="str">
        <f>D1725&amp;E1725&amp;F1725</f>
        <v>HRJMASA5</v>
      </c>
      <c r="B1725" t="s">
        <v>1049</v>
      </c>
      <c r="C1725" s="1">
        <v>45803</v>
      </c>
      <c r="D1725" s="71" t="s">
        <v>29</v>
      </c>
      <c r="E1725" s="71" t="s">
        <v>137</v>
      </c>
      <c r="F1725" s="70" t="s">
        <v>92</v>
      </c>
      <c r="G1725" s="71" t="s">
        <v>216</v>
      </c>
      <c r="H1725" s="138"/>
      <c r="J1725" s="76" t="s">
        <v>784</v>
      </c>
      <c r="L1725" s="331">
        <v>600</v>
      </c>
      <c r="M1725" s="163">
        <f>M1724+K1725-L1725</f>
        <v>394787.77572000062</v>
      </c>
    </row>
    <row r="1726" spans="1:13">
      <c r="A1726" s="54" t="str">
        <f>D1726&amp;E1726&amp;F1726</f>
        <v>HRUBERHR</v>
      </c>
      <c r="B1726" t="s">
        <v>1049</v>
      </c>
      <c r="C1726" s="1">
        <v>45803</v>
      </c>
      <c r="D1726" s="71" t="s">
        <v>29</v>
      </c>
      <c r="E1726" s="71" t="s">
        <v>189</v>
      </c>
      <c r="F1726" s="70" t="s">
        <v>29</v>
      </c>
      <c r="G1726" s="71" t="s">
        <v>216</v>
      </c>
      <c r="H1726" s="138"/>
      <c r="J1726" s="76" t="s">
        <v>403</v>
      </c>
      <c r="L1726" s="526">
        <v>136</v>
      </c>
      <c r="M1726" s="163">
        <f>M1725+K1726-L1726</f>
        <v>394651.77572000062</v>
      </c>
    </row>
    <row r="1727" spans="1:13">
      <c r="A1727" s="54" t="str">
        <f>D1727&amp;E1727&amp;F1727</f>
        <v>HRUBERHR</v>
      </c>
      <c r="B1727" t="s">
        <v>1049</v>
      </c>
      <c r="C1727" s="1">
        <v>45803</v>
      </c>
      <c r="D1727" s="71" t="s">
        <v>29</v>
      </c>
      <c r="E1727" s="71" t="s">
        <v>189</v>
      </c>
      <c r="F1727" s="70" t="s">
        <v>29</v>
      </c>
      <c r="G1727" s="71" t="s">
        <v>216</v>
      </c>
      <c r="H1727" s="138"/>
      <c r="J1727" s="76" t="s">
        <v>854</v>
      </c>
      <c r="L1727" s="526">
        <v>200</v>
      </c>
      <c r="M1727" s="163">
        <f>M1726+K1727-L1727</f>
        <v>394451.77572000062</v>
      </c>
    </row>
    <row r="1728" spans="1:13">
      <c r="A1728" s="54" t="str">
        <f>D1728&amp;E1728&amp;F1728</f>
        <v>HRUBERHR</v>
      </c>
      <c r="B1728" t="s">
        <v>1049</v>
      </c>
      <c r="C1728" s="1">
        <v>45803</v>
      </c>
      <c r="D1728" s="71" t="s">
        <v>29</v>
      </c>
      <c r="E1728" s="71" t="s">
        <v>189</v>
      </c>
      <c r="F1728" s="70" t="s">
        <v>29</v>
      </c>
      <c r="G1728" s="71" t="s">
        <v>216</v>
      </c>
      <c r="H1728" s="138"/>
      <c r="J1728" s="76" t="s">
        <v>1225</v>
      </c>
      <c r="L1728" s="526">
        <v>50</v>
      </c>
      <c r="M1728" s="163">
        <f>M1727+K1728-L1728</f>
        <v>394401.77572000062</v>
      </c>
    </row>
    <row r="1729" spans="1:13">
      <c r="A1729" s="54" t="str">
        <f>D1729&amp;E1729&amp;F1729</f>
        <v>SERVICIOSINSUMOSCADENA DE SUMINISTROS</v>
      </c>
      <c r="B1729" t="s">
        <v>1049</v>
      </c>
      <c r="C1729" s="1">
        <v>45803</v>
      </c>
      <c r="D1729" s="71" t="s">
        <v>21</v>
      </c>
      <c r="E1729" s="71" t="s">
        <v>133</v>
      </c>
      <c r="F1729" s="70" t="s">
        <v>134</v>
      </c>
      <c r="G1729" s="71" t="s">
        <v>216</v>
      </c>
      <c r="H1729" s="138"/>
      <c r="J1729" s="76" t="s">
        <v>1226</v>
      </c>
      <c r="L1729" s="331">
        <v>198</v>
      </c>
      <c r="M1729" s="163">
        <f>M1728+K1729-L1729</f>
        <v>394203.77572000062</v>
      </c>
    </row>
    <row r="1730" spans="1:13">
      <c r="A1730" s="54" t="str">
        <f>D1730&amp;E1730&amp;F1730</f>
        <v>HRUBERHR</v>
      </c>
      <c r="B1730" t="s">
        <v>1049</v>
      </c>
      <c r="C1730" s="1">
        <v>45803</v>
      </c>
      <c r="D1730" s="71" t="s">
        <v>29</v>
      </c>
      <c r="E1730" s="71" t="s">
        <v>189</v>
      </c>
      <c r="F1730" s="70" t="s">
        <v>29</v>
      </c>
      <c r="G1730" s="71" t="s">
        <v>258</v>
      </c>
      <c r="H1730" s="138"/>
      <c r="J1730" s="76" t="s">
        <v>249</v>
      </c>
      <c r="L1730" s="526">
        <v>646</v>
      </c>
      <c r="M1730" s="163">
        <f>M1729+K1730-L1730</f>
        <v>393557.77572000062</v>
      </c>
    </row>
    <row r="1731" spans="1:13">
      <c r="A1731" s="54" t="str">
        <f>D1731&amp;E1731&amp;F1731</f>
        <v>HRUBERHR</v>
      </c>
      <c r="B1731" t="s">
        <v>1049</v>
      </c>
      <c r="C1731" s="1">
        <v>45803</v>
      </c>
      <c r="D1731" s="71" t="s">
        <v>29</v>
      </c>
      <c r="E1731" s="71" t="s">
        <v>189</v>
      </c>
      <c r="F1731" s="70" t="s">
        <v>29</v>
      </c>
      <c r="G1731" s="71" t="s">
        <v>258</v>
      </c>
      <c r="H1731" s="138"/>
      <c r="J1731" s="76" t="s">
        <v>250</v>
      </c>
      <c r="L1731" s="526">
        <v>392</v>
      </c>
      <c r="M1731" s="163">
        <f>M1730+K1731-L1731</f>
        <v>393165.77572000062</v>
      </c>
    </row>
    <row r="1732" spans="1:13">
      <c r="A1732" s="54" t="str">
        <f>D1732&amp;E1732&amp;F1732</f>
        <v>CAPNOMINA SUCURSALE1</v>
      </c>
      <c r="B1732" t="s">
        <v>1049</v>
      </c>
      <c r="C1732" s="1">
        <v>45803</v>
      </c>
      <c r="D1732" s="71" t="s">
        <v>31</v>
      </c>
      <c r="E1732" s="71" t="s">
        <v>154</v>
      </c>
      <c r="F1732" s="70" t="s">
        <v>107</v>
      </c>
      <c r="G1732" s="71" t="s">
        <v>216</v>
      </c>
      <c r="H1732" s="138"/>
      <c r="J1732" s="76" t="s">
        <v>1227</v>
      </c>
      <c r="L1732" s="331">
        <v>810</v>
      </c>
      <c r="M1732" s="163">
        <f>M1731+K1732-L1732</f>
        <v>392355.77572000062</v>
      </c>
    </row>
    <row r="1733" spans="1:13">
      <c r="A1733" s="54" t="str">
        <f>D1733&amp;E1733&amp;F1733</f>
        <v>CAPUBERCAP</v>
      </c>
      <c r="B1733" t="s">
        <v>1049</v>
      </c>
      <c r="C1733" s="1">
        <v>45803</v>
      </c>
      <c r="D1733" s="71" t="s">
        <v>31</v>
      </c>
      <c r="E1733" s="71" t="s">
        <v>189</v>
      </c>
      <c r="F1733" s="70" t="s">
        <v>31</v>
      </c>
      <c r="G1733" s="71" t="s">
        <v>258</v>
      </c>
      <c r="H1733" s="138"/>
      <c r="J1733" s="76" t="s">
        <v>253</v>
      </c>
      <c r="L1733" s="526">
        <v>1260</v>
      </c>
      <c r="M1733" s="163">
        <f>M1732+K1733-L1733</f>
        <v>391095.77572000062</v>
      </c>
    </row>
    <row r="1734" spans="1:13">
      <c r="A1734" s="54" t="str">
        <f>D1734&amp;E1734&amp;F1734</f>
        <v>CAPUBERCAP</v>
      </c>
      <c r="B1734" t="s">
        <v>1049</v>
      </c>
      <c r="C1734" s="1">
        <v>45803</v>
      </c>
      <c r="D1734" s="71" t="s">
        <v>31</v>
      </c>
      <c r="E1734" s="71" t="s">
        <v>189</v>
      </c>
      <c r="F1734" s="70" t="s">
        <v>31</v>
      </c>
      <c r="G1734" s="71" t="s">
        <v>258</v>
      </c>
      <c r="H1734" s="138"/>
      <c r="J1734" s="76" t="s">
        <v>257</v>
      </c>
      <c r="L1734" s="526">
        <v>430</v>
      </c>
      <c r="M1734" s="163">
        <f>M1733+K1734-L1734</f>
        <v>390665.77572000062</v>
      </c>
    </row>
    <row r="1735" spans="1:13">
      <c r="A1735" s="54" t="str">
        <f>D1735&amp;E1735&amp;F1735</f>
        <v>CAPINSUMOSCAPRICHOS</v>
      </c>
      <c r="B1735" t="s">
        <v>1049</v>
      </c>
      <c r="C1735" s="1">
        <v>45803</v>
      </c>
      <c r="D1735" s="71" t="s">
        <v>31</v>
      </c>
      <c r="E1735" s="71" t="s">
        <v>133</v>
      </c>
      <c r="F1735" s="70" t="s">
        <v>33</v>
      </c>
      <c r="G1735" s="71" t="s">
        <v>216</v>
      </c>
      <c r="H1735" s="138"/>
      <c r="J1735" s="76" t="s">
        <v>1228</v>
      </c>
      <c r="L1735" s="331">
        <v>60</v>
      </c>
      <c r="M1735" s="163">
        <f>M1734+K1735-L1735</f>
        <v>390605.77572000062</v>
      </c>
    </row>
    <row r="1736" spans="1:13">
      <c r="A1736" s="54" t="str">
        <f>D1736&amp;E1736&amp;F1736</f>
        <v>CAPNOMINA SUCURSALE7</v>
      </c>
      <c r="B1736" t="s">
        <v>1049</v>
      </c>
      <c r="C1736" s="1">
        <v>45803</v>
      </c>
      <c r="D1736" s="71" t="s">
        <v>31</v>
      </c>
      <c r="E1736" s="71" t="s">
        <v>154</v>
      </c>
      <c r="F1736" s="70" t="s">
        <v>113</v>
      </c>
      <c r="G1736" s="71" t="s">
        <v>216</v>
      </c>
      <c r="H1736" s="138"/>
      <c r="J1736" s="76" t="s">
        <v>1229</v>
      </c>
      <c r="L1736" s="331">
        <v>414</v>
      </c>
      <c r="M1736" s="163">
        <f>M1735+K1736-L1736</f>
        <v>390191.77572000062</v>
      </c>
    </row>
    <row r="1737" spans="1:13">
      <c r="A1737" s="54" t="str">
        <f>D1737&amp;E1737&amp;F1737</f>
        <v>CAPUBERCAP</v>
      </c>
      <c r="B1737" t="s">
        <v>1049</v>
      </c>
      <c r="C1737" s="1">
        <v>45803</v>
      </c>
      <c r="D1737" s="71" t="s">
        <v>31</v>
      </c>
      <c r="E1737" s="71" t="s">
        <v>189</v>
      </c>
      <c r="F1737" s="70" t="s">
        <v>31</v>
      </c>
      <c r="G1737" s="71" t="s">
        <v>258</v>
      </c>
      <c r="H1737" s="138"/>
      <c r="J1737" s="76" t="s">
        <v>490</v>
      </c>
      <c r="L1737" s="526">
        <v>450</v>
      </c>
      <c r="M1737" s="163">
        <f>M1736+K1737-L1737</f>
        <v>389741.77572000062</v>
      </c>
    </row>
    <row r="1738" spans="1:13">
      <c r="A1738" s="54" t="str">
        <f>D1738&amp;E1738&amp;F1738</f>
        <v>CAPINSUMOSCAPRICHOS</v>
      </c>
      <c r="B1738" t="s">
        <v>1049</v>
      </c>
      <c r="C1738" s="1">
        <v>45803</v>
      </c>
      <c r="D1738" s="71" t="s">
        <v>31</v>
      </c>
      <c r="E1738" s="71" t="s">
        <v>133</v>
      </c>
      <c r="F1738" s="70" t="s">
        <v>33</v>
      </c>
      <c r="G1738" s="71" t="s">
        <v>216</v>
      </c>
      <c r="H1738" s="138"/>
      <c r="J1738" s="76" t="s">
        <v>362</v>
      </c>
      <c r="L1738" s="331">
        <v>28</v>
      </c>
      <c r="M1738" s="163">
        <f>M1737+K1738-L1738</f>
        <v>389713.77572000062</v>
      </c>
    </row>
    <row r="1739" spans="1:13">
      <c r="A1739" s="54" t="str">
        <f>D1739&amp;E1739&amp;F1739</f>
        <v>CAPUBERCAP</v>
      </c>
      <c r="B1739" t="s">
        <v>1049</v>
      </c>
      <c r="C1739" s="1">
        <v>45803</v>
      </c>
      <c r="D1739" s="71" t="s">
        <v>31</v>
      </c>
      <c r="E1739" s="71" t="s">
        <v>189</v>
      </c>
      <c r="F1739" s="70" t="s">
        <v>31</v>
      </c>
      <c r="G1739" s="71" t="s">
        <v>258</v>
      </c>
      <c r="H1739" s="138"/>
      <c r="J1739" s="76" t="s">
        <v>951</v>
      </c>
      <c r="L1739" s="526">
        <v>250</v>
      </c>
      <c r="M1739" s="163">
        <f>M1738+K1739-L1739</f>
        <v>389463.77572000062</v>
      </c>
    </row>
    <row r="1740" spans="1:13">
      <c r="A1740" s="54" t="str">
        <f>D1740&amp;E1740&amp;F1740</f>
        <v>ELIUBERL1</v>
      </c>
      <c r="B1740" t="s">
        <v>1049</v>
      </c>
      <c r="C1740" s="1">
        <v>45803</v>
      </c>
      <c r="D1740" s="71" t="s">
        <v>130</v>
      </c>
      <c r="E1740" s="71" t="s">
        <v>189</v>
      </c>
      <c r="F1740" s="70" t="s">
        <v>136</v>
      </c>
      <c r="G1740" s="71" t="s">
        <v>216</v>
      </c>
      <c r="H1740" s="138"/>
      <c r="J1740" s="76" t="s">
        <v>535</v>
      </c>
      <c r="L1740" s="526">
        <v>200</v>
      </c>
      <c r="M1740" s="163">
        <f>M1739+K1740-L1740</f>
        <v>389263.77572000062</v>
      </c>
    </row>
    <row r="1741" spans="1:13">
      <c r="A1741" s="54" t="str">
        <f t="shared" ref="A1739:A1803" si="32">D1741&amp;E1741&amp;F1741</f>
        <v/>
      </c>
      <c r="B1741" t="s">
        <v>1049</v>
      </c>
      <c r="C1741" s="1">
        <v>45804</v>
      </c>
      <c r="D1741" s="71"/>
      <c r="F1741" s="70"/>
      <c r="H1741" s="138"/>
      <c r="J1741" s="71" t="s">
        <v>260</v>
      </c>
      <c r="K1741" s="325">
        <f>174119.17-9783</f>
        <v>164336.17000000001</v>
      </c>
      <c r="L1741" s="354"/>
      <c r="M1741" s="163">
        <f>M1740+K1741-L1741</f>
        <v>553599.94572000066</v>
      </c>
    </row>
    <row r="1742" spans="1:13">
      <c r="A1742" s="54" t="str">
        <f t="shared" si="32"/>
        <v/>
      </c>
      <c r="B1742" t="s">
        <v>1049</v>
      </c>
      <c r="C1742" s="1">
        <v>45804</v>
      </c>
      <c r="D1742" s="71"/>
      <c r="F1742" s="70"/>
      <c r="H1742" s="138"/>
      <c r="J1742" s="71" t="s">
        <v>1230</v>
      </c>
      <c r="K1742" s="325">
        <f>16285+8160</f>
        <v>24445</v>
      </c>
      <c r="L1742" s="354"/>
      <c r="M1742" s="163">
        <f>M1741+K1742-L1742</f>
        <v>578044.94572000066</v>
      </c>
    </row>
    <row r="1743" spans="1:13">
      <c r="A1743" s="54" t="str">
        <f>D1743&amp;E1743&amp;F1743</f>
        <v>FINANZASCOMISIONES BANCARIASTPV</v>
      </c>
      <c r="B1743" t="s">
        <v>1049</v>
      </c>
      <c r="C1743" s="1">
        <v>45804</v>
      </c>
      <c r="D1743" s="71" t="s">
        <v>23</v>
      </c>
      <c r="E1743" s="71" t="s">
        <v>48</v>
      </c>
      <c r="F1743" s="70" t="s">
        <v>50</v>
      </c>
      <c r="G1743" s="71" t="s">
        <v>216</v>
      </c>
      <c r="H1743" s="138"/>
      <c r="J1743" s="71" t="s">
        <v>217</v>
      </c>
      <c r="L1743" s="326">
        <f>276.35+97.58+34.24+1346.96+943.27+401.32+3.48+41.76</f>
        <v>3144.9600000000005</v>
      </c>
      <c r="M1743" s="163">
        <f>M1742+K1743-L1743</f>
        <v>574899.9857200007</v>
      </c>
    </row>
    <row r="1744" spans="1:13">
      <c r="A1744" s="54" t="str">
        <f t="shared" si="32"/>
        <v/>
      </c>
      <c r="B1744" t="s">
        <v>1049</v>
      </c>
      <c r="C1744" s="1">
        <v>45804</v>
      </c>
      <c r="D1744" s="71"/>
      <c r="F1744" s="70"/>
      <c r="H1744" s="138"/>
      <c r="J1744" s="205" t="s">
        <v>220</v>
      </c>
      <c r="K1744" s="206"/>
      <c r="L1744" s="206"/>
      <c r="M1744" s="163">
        <f>M1743+K1744-L1744</f>
        <v>574899.9857200007</v>
      </c>
    </row>
    <row r="1745" spans="1:13">
      <c r="A1745" s="54" t="str">
        <f t="shared" si="32"/>
        <v/>
      </c>
      <c r="B1745" t="s">
        <v>1049</v>
      </c>
      <c r="C1745" s="1">
        <v>45804</v>
      </c>
      <c r="D1745" s="71"/>
      <c r="F1745" s="70"/>
      <c r="H1745" s="138"/>
      <c r="J1745" s="205" t="s">
        <v>563</v>
      </c>
      <c r="K1745" s="206"/>
      <c r="L1745" s="206"/>
      <c r="M1745" s="163">
        <f>M1744+K1745-L1745</f>
        <v>574899.9857200007</v>
      </c>
    </row>
    <row r="1746" spans="1:13">
      <c r="A1746" s="54" t="str">
        <f>D1746&amp;E1746&amp;F1746</f>
        <v>CAPIMAGEN VISUALIMAGEN VISUAL CAP</v>
      </c>
      <c r="B1746" t="s">
        <v>1049</v>
      </c>
      <c r="C1746" s="1">
        <v>45804</v>
      </c>
      <c r="D1746" s="71" t="s">
        <v>31</v>
      </c>
      <c r="E1746" s="71" t="s">
        <v>127</v>
      </c>
      <c r="F1746" s="70" t="s">
        <v>129</v>
      </c>
      <c r="G1746" s="71" t="s">
        <v>216</v>
      </c>
      <c r="H1746" s="138"/>
      <c r="J1746" s="71" t="s">
        <v>1231</v>
      </c>
      <c r="L1746" s="326">
        <v>1740</v>
      </c>
      <c r="M1746" s="163">
        <f>M1745+K1746-L1746</f>
        <v>573159.9857200007</v>
      </c>
    </row>
    <row r="1747" spans="1:13">
      <c r="A1747" s="54" t="str">
        <f>D1747&amp;E1747&amp;F1747</f>
        <v>CAPVIATICOSCAPRICHOS</v>
      </c>
      <c r="B1747" t="s">
        <v>1049</v>
      </c>
      <c r="C1747" s="1">
        <v>45804</v>
      </c>
      <c r="D1747" s="71" t="s">
        <v>31</v>
      </c>
      <c r="E1747" s="71" t="s">
        <v>191</v>
      </c>
      <c r="F1747" s="70" t="s">
        <v>33</v>
      </c>
      <c r="G1747" s="71" t="s">
        <v>258</v>
      </c>
      <c r="H1747" s="138"/>
      <c r="J1747" s="71" t="s">
        <v>1232</v>
      </c>
      <c r="L1747" s="326">
        <v>13000</v>
      </c>
      <c r="M1747" s="163">
        <f>M1746+K1747-L1747</f>
        <v>560159.9857200007</v>
      </c>
    </row>
    <row r="1748" spans="1:13">
      <c r="A1748" s="54" t="str">
        <f>D1748&amp;E1748&amp;F1748</f>
        <v>SERVICIOSINSUMOSCADENA DE SUMINISTROS</v>
      </c>
      <c r="B1748" t="s">
        <v>1049</v>
      </c>
      <c r="C1748" s="1">
        <v>45804</v>
      </c>
      <c r="D1748" s="242" t="s">
        <v>21</v>
      </c>
      <c r="E1748" s="242" t="s">
        <v>133</v>
      </c>
      <c r="F1748" s="77" t="s">
        <v>134</v>
      </c>
      <c r="G1748" s="71" t="s">
        <v>216</v>
      </c>
      <c r="H1748" s="138"/>
      <c r="J1748" s="71" t="s">
        <v>1233</v>
      </c>
      <c r="L1748" s="326">
        <v>22446</v>
      </c>
      <c r="M1748" s="136">
        <f>M1747+K1748-L1748</f>
        <v>537713.9857200007</v>
      </c>
    </row>
    <row r="1749" spans="1:13">
      <c r="A1749" s="54" t="str">
        <f>D1749&amp;E1749&amp;F1749</f>
        <v>SERVICIOSTELEPEAJECEDIS</v>
      </c>
      <c r="B1749" t="s">
        <v>1049</v>
      </c>
      <c r="C1749" s="1">
        <v>45804</v>
      </c>
      <c r="D1749" s="71" t="s">
        <v>21</v>
      </c>
      <c r="E1749" s="71" t="s">
        <v>186</v>
      </c>
      <c r="F1749" s="70" t="s">
        <v>28</v>
      </c>
      <c r="G1749" s="71" t="s">
        <v>216</v>
      </c>
      <c r="H1749" s="138"/>
      <c r="J1749" s="71" t="s">
        <v>238</v>
      </c>
      <c r="L1749" s="326">
        <v>3466</v>
      </c>
      <c r="M1749" s="136">
        <f>M1748+K1749-L1749</f>
        <v>534247.9857200007</v>
      </c>
    </row>
    <row r="1750" spans="1:13">
      <c r="A1750" s="54" t="str">
        <f>D1750&amp;E1750&amp;F1750</f>
        <v>HRTELEPEAJEOP HR</v>
      </c>
      <c r="B1750" t="s">
        <v>1049</v>
      </c>
      <c r="C1750" s="1">
        <v>45804</v>
      </c>
      <c r="D1750" s="71" t="s">
        <v>29</v>
      </c>
      <c r="E1750" s="71" t="s">
        <v>186</v>
      </c>
      <c r="F1750" s="70" t="s">
        <v>187</v>
      </c>
      <c r="G1750" s="71" t="s">
        <v>216</v>
      </c>
      <c r="H1750" s="138"/>
      <c r="J1750" s="71" t="s">
        <v>346</v>
      </c>
      <c r="L1750" s="326">
        <v>356</v>
      </c>
      <c r="M1750" s="136">
        <f>M1749+K1750-L1750</f>
        <v>533891.9857200007</v>
      </c>
    </row>
    <row r="1751" spans="1:13">
      <c r="A1751" s="54" t="str">
        <f>D1751&amp;E1751&amp;F1751</f>
        <v>HRTELEPEAJEOP HR</v>
      </c>
      <c r="B1751" t="s">
        <v>1049</v>
      </c>
      <c r="C1751" s="1">
        <v>45804</v>
      </c>
      <c r="D1751" s="71" t="s">
        <v>29</v>
      </c>
      <c r="E1751" s="71" t="s">
        <v>186</v>
      </c>
      <c r="F1751" s="70" t="s">
        <v>187</v>
      </c>
      <c r="G1751" s="71" t="s">
        <v>216</v>
      </c>
      <c r="H1751" s="138"/>
      <c r="J1751" s="71" t="s">
        <v>550</v>
      </c>
      <c r="L1751" s="326">
        <v>294</v>
      </c>
      <c r="M1751" s="136">
        <f>M1750+K1751-L1751</f>
        <v>533597.9857200007</v>
      </c>
    </row>
    <row r="1752" spans="1:13">
      <c r="A1752" s="54" t="str">
        <f>D1752&amp;E1752&amp;F1752</f>
        <v>SERVICIOSTELEPEAJECEDIS</v>
      </c>
      <c r="B1752" t="s">
        <v>1049</v>
      </c>
      <c r="C1752" s="1">
        <v>45804</v>
      </c>
      <c r="D1752" s="71" t="s">
        <v>21</v>
      </c>
      <c r="E1752" s="71" t="s">
        <v>186</v>
      </c>
      <c r="F1752" s="70" t="s">
        <v>28</v>
      </c>
      <c r="G1752" s="71" t="s">
        <v>258</v>
      </c>
      <c r="H1752" s="138"/>
      <c r="J1752" s="71" t="s">
        <v>238</v>
      </c>
      <c r="L1752" s="326">
        <v>658</v>
      </c>
      <c r="M1752" s="136">
        <f>M1751+K1752-L1752</f>
        <v>532939.9857200007</v>
      </c>
    </row>
    <row r="1753" spans="1:13">
      <c r="A1753" s="54" t="str">
        <f>D1753&amp;E1753&amp;F1753</f>
        <v>FINANZASTELEFONIATELCEL</v>
      </c>
      <c r="B1753" t="s">
        <v>1049</v>
      </c>
      <c r="C1753" s="1">
        <v>45804</v>
      </c>
      <c r="D1753" s="71" t="s">
        <v>23</v>
      </c>
      <c r="E1753" s="71" t="s">
        <v>181</v>
      </c>
      <c r="F1753" s="70" t="s">
        <v>183</v>
      </c>
      <c r="G1753" s="71" t="s">
        <v>258</v>
      </c>
      <c r="H1753" s="138"/>
      <c r="J1753" s="71" t="s">
        <v>1234</v>
      </c>
      <c r="L1753" s="326">
        <v>269</v>
      </c>
      <c r="M1753" s="136">
        <f>M1752+K1753-L1753</f>
        <v>532670.9857200007</v>
      </c>
    </row>
    <row r="1754" spans="1:13">
      <c r="A1754" s="54" t="str">
        <f>D1754&amp;E1754&amp;F1754</f>
        <v>HRVIATICOSHR</v>
      </c>
      <c r="B1754" t="s">
        <v>1049</v>
      </c>
      <c r="C1754" s="1">
        <v>45804</v>
      </c>
      <c r="D1754" s="71" t="s">
        <v>29</v>
      </c>
      <c r="E1754" s="71" t="s">
        <v>191</v>
      </c>
      <c r="F1754" s="70" t="s">
        <v>29</v>
      </c>
      <c r="H1754" s="138"/>
      <c r="J1754" s="71" t="s">
        <v>1235</v>
      </c>
      <c r="L1754" s="326">
        <v>5200</v>
      </c>
      <c r="M1754" s="136">
        <f>M1753+K1754-L1754</f>
        <v>527470.9857200007</v>
      </c>
    </row>
    <row r="1755" spans="1:13">
      <c r="A1755" s="54" t="str">
        <f t="shared" si="32"/>
        <v/>
      </c>
      <c r="B1755" t="s">
        <v>1049</v>
      </c>
      <c r="C1755" s="1">
        <v>45804</v>
      </c>
      <c r="D1755" s="71"/>
      <c r="F1755" s="70"/>
      <c r="H1755" s="138"/>
      <c r="J1755" s="71" t="s">
        <v>1236</v>
      </c>
      <c r="L1755" s="326">
        <v>500000</v>
      </c>
      <c r="M1755" s="136">
        <f>M1754+K1755-L1755</f>
        <v>27470.985720000695</v>
      </c>
    </row>
    <row r="1756" spans="1:13">
      <c r="A1756" s="54" t="str">
        <f>D1756&amp;E1756&amp;F1756</f>
        <v>SERVICIOSFONDO Y REPOSICIONSERVICIOS</v>
      </c>
      <c r="B1756" t="s">
        <v>1049</v>
      </c>
      <c r="C1756" s="1">
        <v>45804</v>
      </c>
      <c r="D1756" s="71" t="s">
        <v>21</v>
      </c>
      <c r="E1756" s="71" t="s">
        <v>120</v>
      </c>
      <c r="F1756" s="70" t="s">
        <v>21</v>
      </c>
      <c r="G1756" s="71" t="s">
        <v>216</v>
      </c>
      <c r="H1756" s="138"/>
      <c r="J1756" s="71" t="s">
        <v>1237</v>
      </c>
      <c r="L1756" s="326">
        <v>2000</v>
      </c>
      <c r="M1756" s="136">
        <f>M1755+K1756-L1756</f>
        <v>25470.985720000695</v>
      </c>
    </row>
    <row r="1757" spans="1:13">
      <c r="A1757" s="54" t="str">
        <f>D1757&amp;E1757&amp;F1757</f>
        <v>SERVICIOSINSUMOSCOFFE</v>
      </c>
      <c r="B1757" t="s">
        <v>1049</v>
      </c>
      <c r="C1757" s="1">
        <v>45804</v>
      </c>
      <c r="D1757" s="71" t="s">
        <v>21</v>
      </c>
      <c r="E1757" s="71" t="s">
        <v>133</v>
      </c>
      <c r="F1757" s="70" t="s">
        <v>135</v>
      </c>
      <c r="G1757" s="71" t="s">
        <v>216</v>
      </c>
      <c r="H1757" s="138"/>
      <c r="J1757" s="71" t="s">
        <v>1238</v>
      </c>
      <c r="L1757" s="326">
        <v>2000</v>
      </c>
      <c r="M1757" s="136">
        <f>M1756+K1757-L1757</f>
        <v>23470.985720000695</v>
      </c>
    </row>
    <row r="1758" spans="1:13">
      <c r="A1758" s="54" t="str">
        <f>D1758&amp;E1758&amp;F1758</f>
        <v>HRFONDO Y REPOSICIONHR</v>
      </c>
      <c r="B1758" t="s">
        <v>1049</v>
      </c>
      <c r="C1758" s="1">
        <v>45804</v>
      </c>
      <c r="D1758" s="71" t="s">
        <v>29</v>
      </c>
      <c r="E1758" s="71" t="s">
        <v>120</v>
      </c>
      <c r="F1758" s="70" t="s">
        <v>29</v>
      </c>
      <c r="G1758" s="71" t="s">
        <v>216</v>
      </c>
      <c r="H1758" s="138"/>
      <c r="J1758" s="71" t="s">
        <v>1239</v>
      </c>
      <c r="L1758" s="326">
        <v>2001</v>
      </c>
      <c r="M1758" s="136">
        <f>M1757+K1758-L1758</f>
        <v>21469.985720000695</v>
      </c>
    </row>
    <row r="1759" spans="1:13">
      <c r="A1759" s="54" t="str">
        <f>D1759&amp;E1759&amp;F1759</f>
        <v>HRFONDO Y REPOSICIONHR</v>
      </c>
      <c r="B1759" t="s">
        <v>1049</v>
      </c>
      <c r="C1759" s="1">
        <v>45804</v>
      </c>
      <c r="D1759" s="71" t="s">
        <v>29</v>
      </c>
      <c r="E1759" s="71" t="s">
        <v>120</v>
      </c>
      <c r="F1759" s="70" t="s">
        <v>29</v>
      </c>
      <c r="G1759" s="71" t="s">
        <v>216</v>
      </c>
      <c r="H1759" s="138"/>
      <c r="J1759" s="71" t="s">
        <v>1240</v>
      </c>
      <c r="L1759" s="326">
        <v>1456</v>
      </c>
      <c r="M1759" s="136">
        <f>M1758+K1759-L1759</f>
        <v>20013.985720000695</v>
      </c>
    </row>
    <row r="1760" spans="1:13">
      <c r="A1760" s="54" t="str">
        <f>D1760&amp;E1760&amp;F1760</f>
        <v>HRVACACIONES/FINIQUITOSHR</v>
      </c>
      <c r="B1760" t="s">
        <v>1049</v>
      </c>
      <c r="C1760" s="1">
        <v>45804</v>
      </c>
      <c r="D1760" t="s">
        <v>29</v>
      </c>
      <c r="E1760" s="12" t="s">
        <v>190</v>
      </c>
      <c r="F1760" s="12" t="s">
        <v>29</v>
      </c>
      <c r="G1760" s="71" t="s">
        <v>216</v>
      </c>
      <c r="H1760" s="138"/>
      <c r="J1760" s="76" t="s">
        <v>1241</v>
      </c>
      <c r="L1760" s="331">
        <v>796</v>
      </c>
      <c r="M1760" s="136">
        <f>M1759+K1760-L1760</f>
        <v>19217.985720000695</v>
      </c>
    </row>
    <row r="1761" spans="1:13">
      <c r="A1761" s="54" t="str">
        <f>D1761&amp;E1761&amp;F1761</f>
        <v>HRUBERHR</v>
      </c>
      <c r="B1761" t="s">
        <v>1049</v>
      </c>
      <c r="C1761" s="1">
        <v>45804</v>
      </c>
      <c r="D1761" s="71" t="s">
        <v>29</v>
      </c>
      <c r="E1761" s="71" t="s">
        <v>189</v>
      </c>
      <c r="F1761" s="70" t="s">
        <v>29</v>
      </c>
      <c r="G1761" s="71" t="s">
        <v>216</v>
      </c>
      <c r="H1761" s="138"/>
      <c r="J1761" s="76" t="s">
        <v>249</v>
      </c>
      <c r="L1761" s="526">
        <v>175</v>
      </c>
      <c r="M1761" s="136">
        <f>M1760+K1761-L1761</f>
        <v>19042.985720000695</v>
      </c>
    </row>
    <row r="1762" spans="1:13">
      <c r="A1762" s="54" t="str">
        <f>D1762&amp;E1762&amp;F1762</f>
        <v>HRUBERHR</v>
      </c>
      <c r="B1762" t="s">
        <v>1049</v>
      </c>
      <c r="C1762" s="1">
        <v>45804</v>
      </c>
      <c r="D1762" s="71" t="s">
        <v>29</v>
      </c>
      <c r="E1762" s="71" t="s">
        <v>189</v>
      </c>
      <c r="F1762" s="70" t="s">
        <v>29</v>
      </c>
      <c r="G1762" s="71" t="s">
        <v>258</v>
      </c>
      <c r="H1762" s="138"/>
      <c r="J1762" s="76" t="s">
        <v>250</v>
      </c>
      <c r="L1762" s="526">
        <v>180</v>
      </c>
      <c r="M1762" s="136">
        <f>M1761+K1762-L1762</f>
        <v>18862.985720000695</v>
      </c>
    </row>
    <row r="1763" spans="1:13">
      <c r="A1763" s="54" t="str">
        <f>D1763&amp;E1763&amp;F1763</f>
        <v>CAPUBERCAP</v>
      </c>
      <c r="B1763" t="s">
        <v>1049</v>
      </c>
      <c r="C1763" s="1">
        <v>45804</v>
      </c>
      <c r="D1763" s="71" t="s">
        <v>31</v>
      </c>
      <c r="E1763" s="71" t="s">
        <v>189</v>
      </c>
      <c r="F1763" s="70" t="s">
        <v>31</v>
      </c>
      <c r="G1763" s="71" t="s">
        <v>258</v>
      </c>
      <c r="H1763" s="138"/>
      <c r="J1763" s="76" t="s">
        <v>253</v>
      </c>
      <c r="L1763" s="526">
        <v>845</v>
      </c>
      <c r="M1763" s="136">
        <f>M1762+K1763-L1763</f>
        <v>18017.985720000695</v>
      </c>
    </row>
    <row r="1764" spans="1:13">
      <c r="A1764" s="54" t="str">
        <f>D1764&amp;E1764&amp;F1764</f>
        <v>FINANZASFALTANTESFALTANTES</v>
      </c>
      <c r="B1764" t="s">
        <v>1049</v>
      </c>
      <c r="C1764" s="1">
        <v>45804</v>
      </c>
      <c r="D1764" s="71" t="s">
        <v>23</v>
      </c>
      <c r="E1764" s="71" t="s">
        <v>119</v>
      </c>
      <c r="F1764" s="70" t="s">
        <v>119</v>
      </c>
      <c r="G1764" s="71" t="s">
        <v>216</v>
      </c>
      <c r="H1764" s="138"/>
      <c r="J1764" s="76" t="s">
        <v>1242</v>
      </c>
      <c r="L1764" s="331">
        <v>363</v>
      </c>
      <c r="M1764" s="136">
        <f>M1763+K1764-L1764</f>
        <v>17654.985720000695</v>
      </c>
    </row>
    <row r="1765" spans="1:13">
      <c r="A1765" s="54" t="str">
        <f>D1765&amp;E1765&amp;F1765</f>
        <v>CAPJMASE5</v>
      </c>
      <c r="B1765" t="s">
        <v>1049</v>
      </c>
      <c r="C1765" s="1">
        <v>45804</v>
      </c>
      <c r="D1765" s="71" t="s">
        <v>31</v>
      </c>
      <c r="E1765" s="71" t="s">
        <v>137</v>
      </c>
      <c r="F1765" s="70" t="s">
        <v>111</v>
      </c>
      <c r="G1765" s="71" t="s">
        <v>258</v>
      </c>
      <c r="H1765" s="138"/>
      <c r="J1765" s="76" t="s">
        <v>1243</v>
      </c>
      <c r="L1765" s="331">
        <v>5903</v>
      </c>
      <c r="M1765" s="136">
        <f>M1764+K1765-L1765</f>
        <v>11751.985720000695</v>
      </c>
    </row>
    <row r="1766" spans="1:13">
      <c r="A1766" s="54" t="str">
        <f>D1766&amp;E1766&amp;F1766</f>
        <v>CAPINSUMOSCAPRICHOS</v>
      </c>
      <c r="B1766" t="s">
        <v>1049</v>
      </c>
      <c r="C1766" s="1">
        <v>45804</v>
      </c>
      <c r="D1766" s="71" t="s">
        <v>31</v>
      </c>
      <c r="E1766" s="71" t="s">
        <v>133</v>
      </c>
      <c r="F1766" s="70" t="s">
        <v>33</v>
      </c>
      <c r="G1766" s="71" t="s">
        <v>216</v>
      </c>
      <c r="H1766" s="138"/>
      <c r="J1766" s="76" t="s">
        <v>457</v>
      </c>
      <c r="L1766" s="331">
        <v>381</v>
      </c>
      <c r="M1766" s="136">
        <f>M1765+K1766-L1766</f>
        <v>11370.985720000695</v>
      </c>
    </row>
    <row r="1767" spans="1:13">
      <c r="A1767" s="54" t="str">
        <f>D1767&amp;E1767&amp;F1767</f>
        <v>CAPINSUMOSCAPRICHOS</v>
      </c>
      <c r="B1767" t="s">
        <v>1049</v>
      </c>
      <c r="C1767" s="1">
        <v>45804</v>
      </c>
      <c r="D1767" s="71" t="s">
        <v>31</v>
      </c>
      <c r="E1767" s="71" t="s">
        <v>133</v>
      </c>
      <c r="F1767" s="70" t="s">
        <v>33</v>
      </c>
      <c r="G1767" s="71" t="s">
        <v>216</v>
      </c>
      <c r="H1767" s="138"/>
      <c r="J1767" s="76" t="s">
        <v>1244</v>
      </c>
      <c r="L1767" s="331">
        <v>285</v>
      </c>
      <c r="M1767" s="136">
        <f>M1766+K1767-L1767</f>
        <v>11085.985720000695</v>
      </c>
    </row>
    <row r="1768" spans="1:13">
      <c r="A1768" s="54" t="str">
        <f>D1768&amp;E1768&amp;F1768</f>
        <v>CAPCOMBUSTIBLECAPRICHOS</v>
      </c>
      <c r="B1768" t="s">
        <v>1049</v>
      </c>
      <c r="C1768" s="1">
        <v>45804</v>
      </c>
      <c r="D1768" s="71" t="s">
        <v>31</v>
      </c>
      <c r="E1768" s="71" t="s">
        <v>32</v>
      </c>
      <c r="F1768" s="70" t="s">
        <v>33</v>
      </c>
      <c r="G1768" s="71" t="s">
        <v>216</v>
      </c>
      <c r="H1768" s="138"/>
      <c r="J1768" s="76" t="s">
        <v>1195</v>
      </c>
      <c r="L1768" s="331">
        <v>300</v>
      </c>
      <c r="M1768" s="136">
        <f>M1767+K1768-L1768</f>
        <v>10785.985720000695</v>
      </c>
    </row>
    <row r="1769" spans="1:13">
      <c r="A1769" s="54" t="str">
        <f t="shared" si="32"/>
        <v/>
      </c>
      <c r="B1769" t="s">
        <v>1049</v>
      </c>
      <c r="C1769" s="1">
        <v>45805</v>
      </c>
      <c r="D1769" s="71"/>
      <c r="F1769" s="70"/>
      <c r="H1769" s="138"/>
      <c r="J1769" s="71" t="s">
        <v>260</v>
      </c>
      <c r="K1769" s="325">
        <f>173411.65-9859</f>
        <v>163552.65</v>
      </c>
      <c r="L1769" s="354"/>
      <c r="M1769" s="136">
        <f>M1768+K1769-L1769</f>
        <v>174338.63572000069</v>
      </c>
    </row>
    <row r="1770" spans="1:13">
      <c r="A1770" s="54" t="str">
        <f>D1770&amp;E1770&amp;F1770</f>
        <v>FINANZASCOMISIONES BANCARIASTPV</v>
      </c>
      <c r="B1770" t="s">
        <v>1049</v>
      </c>
      <c r="C1770" s="1">
        <v>45805</v>
      </c>
      <c r="D1770" s="71" t="s">
        <v>23</v>
      </c>
      <c r="E1770" s="71" t="s">
        <v>48</v>
      </c>
      <c r="F1770" s="70" t="s">
        <v>50</v>
      </c>
      <c r="G1770" s="71" t="s">
        <v>216</v>
      </c>
      <c r="H1770" s="138"/>
      <c r="J1770" s="71" t="s">
        <v>217</v>
      </c>
      <c r="L1770" s="326">
        <f>258+72.34+1269.46+1107.05+408.98+13.92+42.76</f>
        <v>3172.5100000000007</v>
      </c>
      <c r="M1770" s="136">
        <f>M1769+K1770-L1770</f>
        <v>171166.12572000068</v>
      </c>
    </row>
    <row r="1771" spans="1:13">
      <c r="A1771" s="54" t="str">
        <f t="shared" si="32"/>
        <v/>
      </c>
      <c r="B1771" t="s">
        <v>1049</v>
      </c>
      <c r="C1771" s="1">
        <v>45805</v>
      </c>
      <c r="D1771" s="71"/>
      <c r="F1771" s="70"/>
      <c r="H1771" s="138"/>
      <c r="J1771" s="205" t="s">
        <v>220</v>
      </c>
      <c r="K1771" s="206"/>
      <c r="L1771" s="206"/>
      <c r="M1771" s="136">
        <f>M1770+K1771-L1771</f>
        <v>171166.12572000068</v>
      </c>
    </row>
    <row r="1772" spans="1:13">
      <c r="A1772" s="54" t="str">
        <f t="shared" si="32"/>
        <v/>
      </c>
      <c r="B1772" t="s">
        <v>1049</v>
      </c>
      <c r="C1772" s="1">
        <v>45805</v>
      </c>
      <c r="D1772" s="71"/>
      <c r="F1772" s="70"/>
      <c r="H1772" s="138"/>
      <c r="J1772" s="205" t="s">
        <v>563</v>
      </c>
      <c r="K1772" s="206"/>
      <c r="L1772" s="206"/>
      <c r="M1772" s="136">
        <f>M1771+K1772-L1772</f>
        <v>171166.12572000068</v>
      </c>
    </row>
    <row r="1773" spans="1:13">
      <c r="A1773" s="54" t="str">
        <f t="shared" si="32"/>
        <v/>
      </c>
      <c r="B1773" t="s">
        <v>1049</v>
      </c>
      <c r="C1773" s="1">
        <v>45805</v>
      </c>
      <c r="D1773" s="71"/>
      <c r="F1773" s="70"/>
      <c r="H1773" s="138"/>
      <c r="J1773" s="71" t="s">
        <v>1245</v>
      </c>
      <c r="L1773" s="326">
        <v>100000</v>
      </c>
      <c r="M1773" s="136">
        <f>M1772+K1773-L1773</f>
        <v>71166.12572000068</v>
      </c>
    </row>
    <row r="1774" spans="1:13">
      <c r="A1774" s="54" t="str">
        <f>D1774&amp;E1774&amp;F1774</f>
        <v>SERVICIOSVIATICOSCEDIS</v>
      </c>
      <c r="B1774" t="s">
        <v>1049</v>
      </c>
      <c r="C1774" s="1">
        <v>45805</v>
      </c>
      <c r="D1774" s="71" t="s">
        <v>21</v>
      </c>
      <c r="E1774" s="71" t="s">
        <v>191</v>
      </c>
      <c r="F1774" s="70" t="s">
        <v>28</v>
      </c>
      <c r="G1774" s="71" t="s">
        <v>258</v>
      </c>
      <c r="H1774" s="138"/>
      <c r="J1774" s="71" t="s">
        <v>1246</v>
      </c>
      <c r="L1774" s="326">
        <v>1100</v>
      </c>
      <c r="M1774" s="136">
        <f>M1773+K1774-L1774</f>
        <v>70066.12572000068</v>
      </c>
    </row>
    <row r="1775" spans="1:13">
      <c r="A1775" s="54" t="str">
        <f>D1775&amp;E1775&amp;F1775</f>
        <v>SERVICIOSVIATICOSSISTEMAS</v>
      </c>
      <c r="B1775" t="s">
        <v>1049</v>
      </c>
      <c r="C1775" s="1">
        <v>45805</v>
      </c>
      <c r="D1775" s="71" t="s">
        <v>21</v>
      </c>
      <c r="E1775" s="71" t="s">
        <v>191</v>
      </c>
      <c r="F1775" s="70" t="s">
        <v>36</v>
      </c>
      <c r="G1775" s="71" t="s">
        <v>216</v>
      </c>
      <c r="H1775" s="138"/>
      <c r="J1775" s="71" t="s">
        <v>470</v>
      </c>
      <c r="L1775" s="326">
        <v>500</v>
      </c>
      <c r="M1775" s="136">
        <f t="shared" ref="M1775:M1778" si="33">M1774+K1775-L1775</f>
        <v>69566.12572000068</v>
      </c>
    </row>
    <row r="1776" spans="1:13">
      <c r="A1776" s="54" t="str">
        <f>D1776&amp;E1776&amp;F1776</f>
        <v>CAPFONDO Y REPOSICIONCAPRICHOS</v>
      </c>
      <c r="B1776" t="s">
        <v>1049</v>
      </c>
      <c r="C1776" s="1">
        <v>45805</v>
      </c>
      <c r="D1776" s="71" t="s">
        <v>31</v>
      </c>
      <c r="E1776" s="71" t="s">
        <v>120</v>
      </c>
      <c r="F1776" s="70" t="s">
        <v>33</v>
      </c>
      <c r="G1776" s="71" t="s">
        <v>216</v>
      </c>
      <c r="H1776" s="138"/>
      <c r="J1776" s="71" t="s">
        <v>1247</v>
      </c>
      <c r="L1776" s="326">
        <v>2187</v>
      </c>
      <c r="M1776" s="136">
        <f t="shared" si="33"/>
        <v>67379.12572000068</v>
      </c>
    </row>
    <row r="1777" spans="1:13">
      <c r="A1777" s="54" t="str">
        <f>D1777&amp;E1777&amp;F1777</f>
        <v>CAPJMASE8</v>
      </c>
      <c r="B1777" t="s">
        <v>1049</v>
      </c>
      <c r="C1777" s="1">
        <v>45805</v>
      </c>
      <c r="D1777" s="71" t="s">
        <v>31</v>
      </c>
      <c r="E1777" s="71" t="s">
        <v>137</v>
      </c>
      <c r="F1777" s="70" t="s">
        <v>114</v>
      </c>
      <c r="G1777" s="71" t="s">
        <v>216</v>
      </c>
      <c r="H1777" s="138"/>
      <c r="J1777" s="71" t="s">
        <v>1248</v>
      </c>
      <c r="L1777" s="326">
        <v>290.83999999999997</v>
      </c>
      <c r="M1777" s="136">
        <f t="shared" si="33"/>
        <v>67088.285720000684</v>
      </c>
    </row>
    <row r="1778" spans="1:13">
      <c r="A1778" s="54" t="str">
        <f>D1778&amp;E1778&amp;F1778</f>
        <v>CAPFONDO Y REPOSICIONCAPRICHOS</v>
      </c>
      <c r="B1778" t="s">
        <v>1049</v>
      </c>
      <c r="C1778" s="1">
        <v>45805</v>
      </c>
      <c r="D1778" s="71" t="s">
        <v>31</v>
      </c>
      <c r="E1778" s="71" t="s">
        <v>120</v>
      </c>
      <c r="F1778" s="70" t="s">
        <v>33</v>
      </c>
      <c r="G1778" s="71" t="s">
        <v>258</v>
      </c>
      <c r="H1778" s="138"/>
      <c r="J1778" s="71" t="s">
        <v>1249</v>
      </c>
      <c r="L1778" s="326">
        <v>2266</v>
      </c>
      <c r="M1778" s="136">
        <f t="shared" si="33"/>
        <v>64822.285720000684</v>
      </c>
    </row>
    <row r="1779" spans="1:13">
      <c r="A1779" s="54" t="str">
        <f>D1779&amp;E1779&amp;F1779</f>
        <v>CAPVIATICOSCAPRICHOS</v>
      </c>
      <c r="B1779" t="s">
        <v>1049</v>
      </c>
      <c r="C1779" s="1">
        <v>45805</v>
      </c>
      <c r="D1779" s="71" t="s">
        <v>31</v>
      </c>
      <c r="E1779" s="71" t="s">
        <v>191</v>
      </c>
      <c r="F1779" s="70" t="s">
        <v>33</v>
      </c>
      <c r="G1779" s="71" t="s">
        <v>216</v>
      </c>
      <c r="H1779" s="138"/>
      <c r="J1779" s="71" t="s">
        <v>1250</v>
      </c>
      <c r="L1779" s="326">
        <v>300</v>
      </c>
      <c r="M1779" s="136">
        <f>M1778+K1779-L1779</f>
        <v>64522.285720000684</v>
      </c>
    </row>
    <row r="1780" spans="1:13">
      <c r="A1780" s="54" t="str">
        <f>D1780&amp;E1780&amp;F1780</f>
        <v>HRMKTMKT HR</v>
      </c>
      <c r="B1780" t="s">
        <v>1049</v>
      </c>
      <c r="C1780" s="1">
        <v>45805</v>
      </c>
      <c r="D1780" s="71" t="s">
        <v>29</v>
      </c>
      <c r="E1780" s="71" t="s">
        <v>19</v>
      </c>
      <c r="F1780" s="70" t="s">
        <v>138</v>
      </c>
      <c r="G1780" s="71" t="s">
        <v>216</v>
      </c>
      <c r="H1780" s="138"/>
      <c r="J1780" s="71" t="s">
        <v>1251</v>
      </c>
      <c r="L1780" s="326">
        <v>1200</v>
      </c>
      <c r="M1780" s="136">
        <f>M1779+K1780-L1780</f>
        <v>63322.285720000684</v>
      </c>
    </row>
    <row r="1781" spans="1:13">
      <c r="A1781" s="54" t="str">
        <f>D1781&amp;E1781&amp;F1781</f>
        <v>HRMKTMKT HR</v>
      </c>
      <c r="B1781" t="s">
        <v>1049</v>
      </c>
      <c r="C1781" s="1">
        <v>45805</v>
      </c>
      <c r="D1781" s="71" t="s">
        <v>29</v>
      </c>
      <c r="E1781" s="71" t="s">
        <v>19</v>
      </c>
      <c r="F1781" s="70" t="s">
        <v>138</v>
      </c>
      <c r="G1781" s="71" t="s">
        <v>216</v>
      </c>
      <c r="H1781" s="138"/>
      <c r="J1781" s="71" t="s">
        <v>1252</v>
      </c>
      <c r="L1781" s="326">
        <v>2600</v>
      </c>
      <c r="M1781" s="136">
        <f>M1780+K1781-L1781</f>
        <v>60722.285720000684</v>
      </c>
    </row>
    <row r="1782" spans="1:13">
      <c r="A1782" s="54" t="str">
        <f>D1782&amp;E1782&amp;F1782</f>
        <v>HRVIATICOSHR</v>
      </c>
      <c r="B1782" t="s">
        <v>1049</v>
      </c>
      <c r="C1782" s="1">
        <v>45805</v>
      </c>
      <c r="D1782" s="71" t="s">
        <v>29</v>
      </c>
      <c r="E1782" s="71" t="s">
        <v>191</v>
      </c>
      <c r="F1782" s="70" t="s">
        <v>29</v>
      </c>
      <c r="G1782" s="71" t="s">
        <v>216</v>
      </c>
      <c r="H1782" s="138"/>
      <c r="J1782" s="71" t="s">
        <v>1253</v>
      </c>
      <c r="L1782" s="326">
        <v>4000</v>
      </c>
      <c r="M1782" s="136">
        <f>M1781+K1782-L1782</f>
        <v>56722.285720000684</v>
      </c>
    </row>
    <row r="1783" spans="1:13">
      <c r="A1783" s="54" t="str">
        <f>D1783&amp;E1783&amp;F1783</f>
        <v>FINANZASRECOLECCION DE BASURAHR</v>
      </c>
      <c r="B1783" t="s">
        <v>1049</v>
      </c>
      <c r="C1783" s="1">
        <v>45805</v>
      </c>
      <c r="D1783" s="71" t="s">
        <v>23</v>
      </c>
      <c r="E1783" s="71" t="s">
        <v>166</v>
      </c>
      <c r="F1783" s="70" t="s">
        <v>29</v>
      </c>
      <c r="G1783" s="71" t="s">
        <v>216</v>
      </c>
      <c r="H1783" s="138"/>
      <c r="J1783" s="71" t="s">
        <v>1254</v>
      </c>
      <c r="L1783" s="326">
        <v>3299.76</v>
      </c>
      <c r="M1783" s="136">
        <f>M1782+K1783-L1783</f>
        <v>53422.525720000682</v>
      </c>
    </row>
    <row r="1784" spans="1:13">
      <c r="A1784" s="54" t="str">
        <f>D1784&amp;E1784&amp;F1784</f>
        <v>HRUBERHR</v>
      </c>
      <c r="B1784" t="s">
        <v>1049</v>
      </c>
      <c r="C1784" s="1">
        <v>45805</v>
      </c>
      <c r="D1784" s="71" t="s">
        <v>29</v>
      </c>
      <c r="E1784" s="71" t="s">
        <v>189</v>
      </c>
      <c r="F1784" s="70" t="s">
        <v>29</v>
      </c>
      <c r="G1784" s="71" t="s">
        <v>216</v>
      </c>
      <c r="H1784" s="138"/>
      <c r="J1784" s="76" t="s">
        <v>1255</v>
      </c>
      <c r="L1784" s="526">
        <v>100</v>
      </c>
      <c r="M1784" s="136">
        <f>M1783+K1784-L1784</f>
        <v>53322.525720000682</v>
      </c>
    </row>
    <row r="1785" spans="1:13">
      <c r="A1785" s="54" t="str">
        <f>D1785&amp;E1785&amp;F1785</f>
        <v>HRINSUMOSHR</v>
      </c>
      <c r="B1785" t="s">
        <v>1049</v>
      </c>
      <c r="C1785" s="1">
        <v>45805</v>
      </c>
      <c r="D1785" s="71" t="s">
        <v>29</v>
      </c>
      <c r="E1785" s="71" t="s">
        <v>133</v>
      </c>
      <c r="F1785" s="70" t="s">
        <v>29</v>
      </c>
      <c r="G1785" s="71" t="s">
        <v>216</v>
      </c>
      <c r="H1785" s="138"/>
      <c r="J1785" s="76" t="s">
        <v>638</v>
      </c>
      <c r="L1785" s="331">
        <v>64</v>
      </c>
      <c r="M1785" s="136">
        <f>M1784+K1785-L1785</f>
        <v>53258.525720000682</v>
      </c>
    </row>
    <row r="1786" spans="1:13">
      <c r="A1786" s="54" t="str">
        <f>D1786&amp;E1786&amp;F1786</f>
        <v>SERVICIOSMTTO EQ DE COMPUTOMTTO EQ DE COMPUTO</v>
      </c>
      <c r="B1786" t="s">
        <v>1049</v>
      </c>
      <c r="C1786" s="1">
        <v>45805</v>
      </c>
      <c r="D1786" s="71" t="s">
        <v>21</v>
      </c>
      <c r="E1786" s="71" t="s">
        <v>143</v>
      </c>
      <c r="F1786" s="70" t="s">
        <v>143</v>
      </c>
      <c r="G1786" s="71" t="s">
        <v>258</v>
      </c>
      <c r="H1786" s="138"/>
      <c r="J1786" s="76" t="s">
        <v>1256</v>
      </c>
      <c r="L1786" s="331">
        <v>1040</v>
      </c>
      <c r="M1786" s="136">
        <f>M1785+K1786-L1786</f>
        <v>52218.525720000682</v>
      </c>
    </row>
    <row r="1787" spans="1:13">
      <c r="A1787" s="54" t="str">
        <f>D1787&amp;E1787&amp;F1787</f>
        <v>HRUBERHR</v>
      </c>
      <c r="B1787" t="s">
        <v>1049</v>
      </c>
      <c r="C1787" s="1">
        <v>45805</v>
      </c>
      <c r="D1787" s="71" t="s">
        <v>29</v>
      </c>
      <c r="E1787" s="71" t="s">
        <v>189</v>
      </c>
      <c r="F1787" s="70" t="s">
        <v>29</v>
      </c>
      <c r="G1787" s="71" t="s">
        <v>258</v>
      </c>
      <c r="H1787" s="138"/>
      <c r="J1787" s="76" t="s">
        <v>249</v>
      </c>
      <c r="L1787" s="526">
        <v>147</v>
      </c>
      <c r="M1787" s="136">
        <f>M1786+K1787-L1787</f>
        <v>52071.525720000682</v>
      </c>
    </row>
    <row r="1788" spans="1:13">
      <c r="A1788" s="54" t="str">
        <f>D1788&amp;E1788&amp;F1788</f>
        <v>CAPUBERCAP</v>
      </c>
      <c r="B1788" t="s">
        <v>1049</v>
      </c>
      <c r="C1788" s="1">
        <v>45805</v>
      </c>
      <c r="D1788" s="71" t="s">
        <v>31</v>
      </c>
      <c r="E1788" s="71" t="s">
        <v>189</v>
      </c>
      <c r="F1788" s="70" t="s">
        <v>31</v>
      </c>
      <c r="G1788" s="71" t="s">
        <v>258</v>
      </c>
      <c r="H1788" s="138"/>
      <c r="J1788" s="76" t="s">
        <v>253</v>
      </c>
      <c r="L1788" s="526">
        <v>757</v>
      </c>
      <c r="M1788" s="136">
        <f>M1787+K1788-L1788</f>
        <v>51314.525720000682</v>
      </c>
    </row>
    <row r="1789" spans="1:13">
      <c r="A1789" s="54" t="str">
        <f>D1789&amp;E1789&amp;F1789</f>
        <v>CAPUBERCAP</v>
      </c>
      <c r="B1789" t="s">
        <v>1049</v>
      </c>
      <c r="C1789" s="1">
        <v>45805</v>
      </c>
      <c r="D1789" s="71" t="s">
        <v>31</v>
      </c>
      <c r="E1789" s="71" t="s">
        <v>189</v>
      </c>
      <c r="F1789" s="70" t="s">
        <v>31</v>
      </c>
      <c r="G1789" s="71" t="s">
        <v>258</v>
      </c>
      <c r="H1789" s="138"/>
      <c r="J1789" s="76" t="s">
        <v>257</v>
      </c>
      <c r="L1789" s="526">
        <v>80</v>
      </c>
      <c r="M1789" s="136">
        <f>M1788+K1789-L1789</f>
        <v>51234.525720000682</v>
      </c>
    </row>
    <row r="1790" spans="1:13">
      <c r="A1790" s="54" t="str">
        <f t="shared" si="32"/>
        <v/>
      </c>
      <c r="B1790" t="s">
        <v>1049</v>
      </c>
      <c r="C1790" s="1">
        <v>45806</v>
      </c>
      <c r="D1790" s="71"/>
      <c r="F1790" s="70"/>
      <c r="H1790" s="138"/>
      <c r="J1790" s="71" t="s">
        <v>260</v>
      </c>
      <c r="K1790" s="325">
        <f>181036.4-10315</f>
        <v>170721.4</v>
      </c>
      <c r="L1790" s="354"/>
      <c r="M1790" s="136">
        <f>M1789+K1790-L1790</f>
        <v>221955.92572000067</v>
      </c>
    </row>
    <row r="1791" spans="1:13">
      <c r="A1791" s="54" t="str">
        <f>D1791&amp;E1791&amp;F1791</f>
        <v>FINANZASCOMISIONES BANCARIASTPV</v>
      </c>
      <c r="B1791" t="s">
        <v>1049</v>
      </c>
      <c r="C1791" s="1">
        <v>45806</v>
      </c>
      <c r="D1791" s="71" t="s">
        <v>23</v>
      </c>
      <c r="E1791" s="71" t="s">
        <v>48</v>
      </c>
      <c r="F1791" s="70" t="s">
        <v>50</v>
      </c>
      <c r="G1791" s="71" t="s">
        <v>216</v>
      </c>
      <c r="H1791" s="138"/>
      <c r="J1791" s="71" t="s">
        <v>217</v>
      </c>
      <c r="L1791" s="326">
        <f>313.41+305.1+47.12+1262.07+3.48+31.32+1081.28+549.38</f>
        <v>3593.16</v>
      </c>
      <c r="M1791" s="136">
        <f>M1790+K1791-L1791</f>
        <v>218362.76572000067</v>
      </c>
    </row>
    <row r="1792" spans="1:13">
      <c r="A1792" s="54" t="str">
        <f t="shared" si="32"/>
        <v/>
      </c>
      <c r="B1792" t="s">
        <v>1049</v>
      </c>
      <c r="C1792" s="1">
        <v>45806</v>
      </c>
      <c r="D1792" s="71"/>
      <c r="F1792" s="70"/>
      <c r="H1792" s="138"/>
      <c r="J1792" s="205" t="s">
        <v>220</v>
      </c>
      <c r="K1792" s="206"/>
      <c r="L1792" s="206">
        <v>20000</v>
      </c>
      <c r="M1792" s="136">
        <f>M1791+K1792-L1792</f>
        <v>198362.76572000067</v>
      </c>
    </row>
    <row r="1793" spans="1:13">
      <c r="A1793" s="54" t="str">
        <f t="shared" si="32"/>
        <v/>
      </c>
      <c r="B1793" t="s">
        <v>1049</v>
      </c>
      <c r="C1793" s="1">
        <v>45806</v>
      </c>
      <c r="D1793" s="71"/>
      <c r="F1793" s="70"/>
      <c r="H1793" s="138"/>
      <c r="J1793" s="205" t="s">
        <v>563</v>
      </c>
      <c r="K1793" s="206"/>
      <c r="L1793" s="206"/>
      <c r="M1793" s="136">
        <f>M1792+K1793-L1793</f>
        <v>198362.76572000067</v>
      </c>
    </row>
    <row r="1794" spans="1:13">
      <c r="A1794" s="54" t="str">
        <f>D1794&amp;E1794&amp;F1794</f>
        <v>FINANZASINSUMOSFINANZAS</v>
      </c>
      <c r="B1794" t="s">
        <v>1049</v>
      </c>
      <c r="C1794" s="1">
        <v>45806</v>
      </c>
      <c r="D1794" s="71" t="s">
        <v>23</v>
      </c>
      <c r="E1794" s="71" t="s">
        <v>133</v>
      </c>
      <c r="F1794" s="70" t="s">
        <v>23</v>
      </c>
      <c r="G1794" s="71" t="s">
        <v>258</v>
      </c>
      <c r="H1794" s="138"/>
      <c r="J1794" s="71" t="s">
        <v>1257</v>
      </c>
      <c r="L1794" s="326">
        <v>2500</v>
      </c>
      <c r="M1794" s="136">
        <f>M1793+K1794-L1794</f>
        <v>195862.76572000067</v>
      </c>
    </row>
    <row r="1795" spans="1:13">
      <c r="A1795" s="54" t="str">
        <f>D1795&amp;E1795&amp;F1795</f>
        <v>CAPENERGIA ELECTRICAE6</v>
      </c>
      <c r="B1795" t="s">
        <v>1049</v>
      </c>
      <c r="C1795" s="1">
        <v>45806</v>
      </c>
      <c r="D1795" s="71" t="s">
        <v>31</v>
      </c>
      <c r="E1795" s="71" t="s">
        <v>87</v>
      </c>
      <c r="F1795" s="70" t="s">
        <v>112</v>
      </c>
      <c r="G1795" s="71" t="s">
        <v>216</v>
      </c>
      <c r="H1795" s="138"/>
      <c r="J1795" s="71" t="s">
        <v>736</v>
      </c>
      <c r="L1795" s="326">
        <v>9151</v>
      </c>
      <c r="M1795" s="136">
        <f>M1794+K1795-L1795</f>
        <v>186711.76572000067</v>
      </c>
    </row>
    <row r="1796" spans="1:13">
      <c r="A1796" s="54" t="str">
        <f>D1796&amp;E1796&amp;F1796</f>
        <v>FINANZASENERGIA ELECTRICACEDIS</v>
      </c>
      <c r="B1796" t="s">
        <v>1049</v>
      </c>
      <c r="C1796" s="1">
        <v>45806</v>
      </c>
      <c r="D1796" s="71" t="s">
        <v>23</v>
      </c>
      <c r="E1796" s="71" t="s">
        <v>87</v>
      </c>
      <c r="F1796" s="70" t="s">
        <v>28</v>
      </c>
      <c r="G1796" s="71" t="s">
        <v>216</v>
      </c>
      <c r="H1796" s="138"/>
      <c r="J1796" s="71" t="s">
        <v>1258</v>
      </c>
      <c r="L1796" s="326">
        <f>281*4</f>
        <v>1124</v>
      </c>
      <c r="M1796" s="136">
        <f>M1795+K1796-L1796</f>
        <v>185587.76572000067</v>
      </c>
    </row>
    <row r="1797" spans="1:13">
      <c r="A1797" s="54" t="str">
        <f t="shared" si="32"/>
        <v/>
      </c>
      <c r="B1797" t="s">
        <v>1049</v>
      </c>
      <c r="C1797" s="1">
        <v>45806</v>
      </c>
      <c r="D1797" s="71"/>
      <c r="F1797" s="70"/>
      <c r="G1797" s="71" t="s">
        <v>216</v>
      </c>
      <c r="H1797" s="138"/>
      <c r="J1797" s="71" t="s">
        <v>1245</v>
      </c>
      <c r="L1797" s="326">
        <v>154006</v>
      </c>
      <c r="M1797" s="136">
        <f>M1796+K1797-L1797</f>
        <v>31581.765720000665</v>
      </c>
    </row>
    <row r="1798" spans="1:13">
      <c r="A1798" s="54" t="str">
        <f t="shared" si="32"/>
        <v/>
      </c>
      <c r="B1798" t="s">
        <v>1049</v>
      </c>
      <c r="C1798" s="1">
        <v>45806</v>
      </c>
      <c r="D1798" s="71"/>
      <c r="F1798" s="70"/>
      <c r="G1798" s="71" t="s">
        <v>258</v>
      </c>
      <c r="H1798" s="138"/>
      <c r="J1798" s="71" t="s">
        <v>1259</v>
      </c>
      <c r="L1798" s="326">
        <v>1200</v>
      </c>
      <c r="M1798" s="136">
        <f>M1797+K1798-L1798</f>
        <v>30381.765720000665</v>
      </c>
    </row>
    <row r="1799" spans="1:13">
      <c r="A1799" s="54" t="str">
        <f>D1799&amp;E1799&amp;F1799</f>
        <v>FINANZASTELEFONIATELCEL</v>
      </c>
      <c r="B1799" t="s">
        <v>1049</v>
      </c>
      <c r="C1799" s="1">
        <v>45806</v>
      </c>
      <c r="D1799" s="71" t="s">
        <v>23</v>
      </c>
      <c r="E1799" s="71" t="s">
        <v>181</v>
      </c>
      <c r="F1799" s="70" t="s">
        <v>183</v>
      </c>
      <c r="G1799" s="71" t="s">
        <v>258</v>
      </c>
      <c r="H1799" s="138"/>
      <c r="J1799" s="71" t="s">
        <v>1260</v>
      </c>
      <c r="L1799" s="326">
        <v>80</v>
      </c>
      <c r="M1799" s="136">
        <f>M1798+K1799-L1799</f>
        <v>30301.765720000665</v>
      </c>
    </row>
    <row r="1800" spans="1:13">
      <c r="A1800" s="54" t="str">
        <f>D1800&amp;E1800&amp;F1800</f>
        <v>HRUBERHR</v>
      </c>
      <c r="B1800" t="s">
        <v>1049</v>
      </c>
      <c r="C1800" s="1">
        <v>45806</v>
      </c>
      <c r="D1800" s="71" t="s">
        <v>29</v>
      </c>
      <c r="E1800" s="71" t="s">
        <v>189</v>
      </c>
      <c r="F1800" s="70" t="s">
        <v>29</v>
      </c>
      <c r="G1800" s="71" t="s">
        <v>216</v>
      </c>
      <c r="H1800" s="138"/>
      <c r="J1800" s="76" t="s">
        <v>249</v>
      </c>
      <c r="L1800" s="526">
        <v>160</v>
      </c>
      <c r="M1800" s="136">
        <f>M1799+K1800-L1800</f>
        <v>30141.765720000665</v>
      </c>
    </row>
    <row r="1801" spans="1:13">
      <c r="A1801" s="54" t="str">
        <f>D1801&amp;E1801&amp;F1801</f>
        <v>CAPUBERCAP</v>
      </c>
      <c r="B1801" t="s">
        <v>1049</v>
      </c>
      <c r="C1801" s="1">
        <v>45806</v>
      </c>
      <c r="D1801" s="71" t="s">
        <v>31</v>
      </c>
      <c r="E1801" s="71" t="s">
        <v>189</v>
      </c>
      <c r="F1801" s="70" t="s">
        <v>31</v>
      </c>
      <c r="G1801" s="71" t="s">
        <v>216</v>
      </c>
      <c r="H1801" s="138"/>
      <c r="J1801" s="76" t="s">
        <v>253</v>
      </c>
      <c r="L1801" s="526">
        <v>766</v>
      </c>
      <c r="M1801" s="136">
        <f>M1800+K1801-L1801</f>
        <v>29375.765720000665</v>
      </c>
    </row>
    <row r="1802" spans="1:13">
      <c r="A1802" s="54" t="str">
        <f>D1802&amp;E1802&amp;F1802</f>
        <v>CAPINSUMOSCAPRICHOS</v>
      </c>
      <c r="B1802" t="s">
        <v>1049</v>
      </c>
      <c r="C1802" s="1">
        <v>45806</v>
      </c>
      <c r="D1802" s="71" t="s">
        <v>31</v>
      </c>
      <c r="E1802" s="71" t="s">
        <v>133</v>
      </c>
      <c r="F1802" s="70" t="s">
        <v>33</v>
      </c>
      <c r="G1802" s="71" t="s">
        <v>216</v>
      </c>
      <c r="H1802" s="138"/>
      <c r="J1802" s="76" t="s">
        <v>406</v>
      </c>
      <c r="L1802" s="331">
        <v>114</v>
      </c>
      <c r="M1802" s="136">
        <f>M1801+K1802-L1802</f>
        <v>29261.765720000665</v>
      </c>
    </row>
    <row r="1803" spans="1:13">
      <c r="A1803" s="54" t="str">
        <f>D1803&amp;E1803&amp;F1803</f>
        <v>CAPUBERCAP</v>
      </c>
      <c r="B1803" t="s">
        <v>1049</v>
      </c>
      <c r="C1803" s="1">
        <v>45806</v>
      </c>
      <c r="D1803" s="71" t="s">
        <v>31</v>
      </c>
      <c r="E1803" s="71" t="s">
        <v>189</v>
      </c>
      <c r="F1803" s="70" t="s">
        <v>31</v>
      </c>
      <c r="G1803" s="71" t="s">
        <v>216</v>
      </c>
      <c r="H1803" s="138"/>
      <c r="J1803" s="76" t="s">
        <v>257</v>
      </c>
      <c r="L1803" s="526">
        <v>50</v>
      </c>
      <c r="M1803" s="136">
        <f>M1802+K1803-L1803</f>
        <v>29211.765720000665</v>
      </c>
    </row>
    <row r="1804" spans="1:13">
      <c r="A1804" s="54" t="str">
        <f>D1804&amp;E1804&amp;F1804</f>
        <v>CAPINSUMOSCAPRICHOS</v>
      </c>
      <c r="B1804" t="s">
        <v>1049</v>
      </c>
      <c r="C1804" s="1">
        <v>45806</v>
      </c>
      <c r="D1804" s="71" t="s">
        <v>31</v>
      </c>
      <c r="E1804" s="71" t="s">
        <v>133</v>
      </c>
      <c r="F1804" s="70" t="s">
        <v>33</v>
      </c>
      <c r="G1804" s="71" t="s">
        <v>216</v>
      </c>
      <c r="H1804" s="138"/>
      <c r="J1804" s="76" t="s">
        <v>1261</v>
      </c>
      <c r="L1804" s="331">
        <v>80</v>
      </c>
      <c r="M1804" s="136">
        <f>M1803+K1804-L1804</f>
        <v>29131.765720000665</v>
      </c>
    </row>
    <row r="1805" spans="1:13">
      <c r="A1805" s="54" t="str">
        <f t="shared" ref="A1804:A1867" si="34">D1805&amp;E1805&amp;F1805</f>
        <v/>
      </c>
      <c r="B1805" t="s">
        <v>1049</v>
      </c>
      <c r="C1805" s="1">
        <v>45807</v>
      </c>
      <c r="D1805" s="71"/>
      <c r="F1805" s="70"/>
      <c r="H1805" s="138"/>
      <c r="J1805" s="71" t="s">
        <v>260</v>
      </c>
      <c r="K1805" s="325">
        <f>223471.77-11948</f>
        <v>211523.77</v>
      </c>
      <c r="L1805" s="354"/>
      <c r="M1805" s="136">
        <f>M1804+K1805-L1805</f>
        <v>240655.53572000065</v>
      </c>
    </row>
    <row r="1806" spans="1:13">
      <c r="A1806" s="54" t="str">
        <f>D1806&amp;E1806&amp;F1806</f>
        <v>FINANZASCOMISIONES BANCARIASTPV</v>
      </c>
      <c r="B1806" t="s">
        <v>1049</v>
      </c>
      <c r="C1806" s="1">
        <v>45807</v>
      </c>
      <c r="D1806" s="71" t="s">
        <v>23</v>
      </c>
      <c r="E1806" s="71" t="s">
        <v>48</v>
      </c>
      <c r="F1806" s="70" t="s">
        <v>50</v>
      </c>
      <c r="G1806" s="71" t="s">
        <v>216</v>
      </c>
      <c r="H1806" s="138"/>
      <c r="J1806" s="71" t="s">
        <v>217</v>
      </c>
      <c r="L1806" s="326">
        <f>328.23+335.84+80.41+2175+1397.7+62.08+256.95+20.88+72.33+30</f>
        <v>4759.42</v>
      </c>
      <c r="M1806" s="136">
        <f>M1805+K1806-L1806</f>
        <v>235896.11572000064</v>
      </c>
    </row>
    <row r="1807" spans="1:13">
      <c r="A1807" s="54" t="str">
        <f t="shared" si="34"/>
        <v/>
      </c>
      <c r="B1807" t="s">
        <v>1049</v>
      </c>
      <c r="C1807" s="1">
        <v>45807</v>
      </c>
      <c r="D1807" s="71"/>
      <c r="F1807" s="70"/>
      <c r="H1807" s="138"/>
      <c r="J1807" s="205" t="s">
        <v>220</v>
      </c>
      <c r="K1807" s="206"/>
      <c r="L1807" s="206">
        <v>27600</v>
      </c>
      <c r="M1807" s="136">
        <f>M1806+K1807-L1807</f>
        <v>208296.11572000064</v>
      </c>
    </row>
    <row r="1808" spans="1:13">
      <c r="A1808" s="54" t="str">
        <f t="shared" si="34"/>
        <v/>
      </c>
      <c r="B1808" t="s">
        <v>1049</v>
      </c>
      <c r="C1808" s="1">
        <v>45807</v>
      </c>
      <c r="D1808" s="71"/>
      <c r="F1808" s="70"/>
      <c r="H1808" s="138"/>
      <c r="J1808" s="205" t="s">
        <v>563</v>
      </c>
      <c r="K1808" s="206"/>
      <c r="L1808" s="206">
        <f>3072.48+24304.79</f>
        <v>27377.27</v>
      </c>
      <c r="M1808" s="136">
        <f>M1807+K1808-L1808</f>
        <v>180918.84572000065</v>
      </c>
    </row>
    <row r="1809" spans="1:13">
      <c r="A1809" s="54" t="str">
        <f>D1809&amp;E1809&amp;F1809</f>
        <v>SERVICIOSMTTO DE EDIFICIOMANTENIMIENTO</v>
      </c>
      <c r="B1809" t="s">
        <v>1049</v>
      </c>
      <c r="C1809" s="1">
        <v>45807</v>
      </c>
      <c r="D1809" s="71" t="s">
        <v>21</v>
      </c>
      <c r="E1809" s="71" t="s">
        <v>142</v>
      </c>
      <c r="F1809" s="70" t="s">
        <v>35</v>
      </c>
      <c r="G1809" s="71" t="s">
        <v>216</v>
      </c>
      <c r="H1809" s="138"/>
      <c r="J1809" s="71" t="s">
        <v>1262</v>
      </c>
      <c r="L1809" s="326">
        <v>34306</v>
      </c>
      <c r="M1809" s="136">
        <f>M1808+K1809-L1809</f>
        <v>146612.84572000065</v>
      </c>
    </row>
    <row r="1810" spans="1:13">
      <c r="A1810" s="54" t="str">
        <f>D1810&amp;E1810&amp;F1810</f>
        <v>HRENERGIA ELECTRICAA6</v>
      </c>
      <c r="B1810" t="s">
        <v>1049</v>
      </c>
      <c r="C1810" s="1">
        <v>45807</v>
      </c>
      <c r="D1810" s="71" t="s">
        <v>29</v>
      </c>
      <c r="E1810" s="71" t="s">
        <v>87</v>
      </c>
      <c r="F1810" s="70" t="s">
        <v>93</v>
      </c>
      <c r="G1810" s="71" t="s">
        <v>216</v>
      </c>
      <c r="H1810" s="138"/>
      <c r="J1810" s="71" t="s">
        <v>1263</v>
      </c>
      <c r="L1810" s="326">
        <v>287</v>
      </c>
      <c r="M1810" s="136">
        <f>M1809+K1810-L1810</f>
        <v>146325.84572000065</v>
      </c>
    </row>
    <row r="1811" spans="1:13">
      <c r="A1811" s="54" t="str">
        <f>D1811&amp;E1811&amp;F1811</f>
        <v>ELIVIATICOSL1</v>
      </c>
      <c r="B1811" t="s">
        <v>1049</v>
      </c>
      <c r="C1811" s="1">
        <v>45807</v>
      </c>
      <c r="D1811" s="71" t="s">
        <v>130</v>
      </c>
      <c r="E1811" s="71" t="s">
        <v>191</v>
      </c>
      <c r="F1811" s="70" t="s">
        <v>136</v>
      </c>
      <c r="G1811" s="71" t="s">
        <v>216</v>
      </c>
      <c r="H1811" s="138"/>
      <c r="J1811" s="71" t="s">
        <v>1264</v>
      </c>
      <c r="L1811" s="326">
        <v>1000</v>
      </c>
      <c r="M1811" s="136">
        <f>M1810+K1811-L1811</f>
        <v>145325.84572000065</v>
      </c>
    </row>
    <row r="1812" spans="1:13">
      <c r="A1812" s="54" t="str">
        <f>D1812&amp;E1812&amp;F1812</f>
        <v>HRJMASA10</v>
      </c>
      <c r="B1812" t="s">
        <v>1049</v>
      </c>
      <c r="C1812" s="1">
        <v>45807</v>
      </c>
      <c r="D1812" s="71" t="s">
        <v>29</v>
      </c>
      <c r="E1812" s="71" t="s">
        <v>137</v>
      </c>
      <c r="F1812" s="70" t="s">
        <v>96</v>
      </c>
      <c r="G1812" s="71" t="s">
        <v>216</v>
      </c>
      <c r="H1812" s="138"/>
      <c r="J1812" s="71" t="s">
        <v>1265</v>
      </c>
      <c r="L1812" s="326">
        <v>2000</v>
      </c>
      <c r="M1812" s="136">
        <f>M1811+K1812-L1812</f>
        <v>143325.84572000065</v>
      </c>
    </row>
    <row r="1813" spans="1:13">
      <c r="A1813" s="54" t="str">
        <f>D1813&amp;E1813&amp;F1813</f>
        <v>HRJMASA1</v>
      </c>
      <c r="B1813" t="s">
        <v>1049</v>
      </c>
      <c r="C1813" s="1">
        <v>45807</v>
      </c>
      <c r="D1813" s="71" t="s">
        <v>29</v>
      </c>
      <c r="E1813" s="71" t="s">
        <v>137</v>
      </c>
      <c r="F1813" s="70" t="s">
        <v>88</v>
      </c>
      <c r="G1813" s="71" t="s">
        <v>216</v>
      </c>
      <c r="H1813" s="138"/>
      <c r="J1813" s="71" t="s">
        <v>232</v>
      </c>
      <c r="L1813" s="326">
        <v>3155</v>
      </c>
      <c r="M1813" s="136">
        <f>M1812+K1813-L1813</f>
        <v>140170.84572000065</v>
      </c>
    </row>
    <row r="1814" spans="1:13">
      <c r="A1814" s="54" t="str">
        <f t="shared" si="34"/>
        <v>COMBUSTIBLE</v>
      </c>
      <c r="B1814" t="s">
        <v>1049</v>
      </c>
      <c r="C1814" s="1">
        <v>45807</v>
      </c>
      <c r="D1814" s="71"/>
      <c r="E1814" s="71" t="s">
        <v>32</v>
      </c>
      <c r="F1814" s="70"/>
      <c r="G1814" s="71" t="s">
        <v>216</v>
      </c>
      <c r="H1814" s="138"/>
      <c r="J1814" s="71" t="s">
        <v>1266</v>
      </c>
      <c r="L1814" s="326">
        <v>31566</v>
      </c>
      <c r="M1814" s="136">
        <f>M1813+K1814-L1814</f>
        <v>108604.84572000065</v>
      </c>
    </row>
    <row r="1815" spans="1:13">
      <c r="A1815" s="54" t="str">
        <f>D1815&amp;E1815&amp;F1815</f>
        <v>HRIMAGEN VISUALIMAGEN VISUAL HR</v>
      </c>
      <c r="B1815" t="s">
        <v>1049</v>
      </c>
      <c r="C1815" s="1">
        <v>45807</v>
      </c>
      <c r="D1815" s="71" t="s">
        <v>29</v>
      </c>
      <c r="E1815" s="71" t="s">
        <v>127</v>
      </c>
      <c r="F1815" s="70" t="s">
        <v>128</v>
      </c>
      <c r="G1815" s="71" t="s">
        <v>216</v>
      </c>
      <c r="H1815" s="138"/>
      <c r="J1815" s="71" t="s">
        <v>1267</v>
      </c>
      <c r="L1815" s="326">
        <v>5500.49</v>
      </c>
      <c r="M1815" s="136">
        <f>M1814+K1815-L1815</f>
        <v>103104.35572000065</v>
      </c>
    </row>
    <row r="1816" spans="1:13">
      <c r="A1816" s="54" t="str">
        <f>D1816&amp;E1816&amp;F1816</f>
        <v>HRIMAGEN VISUALIMAGEN VISUAL HR</v>
      </c>
      <c r="B1816" t="s">
        <v>1049</v>
      </c>
      <c r="C1816" s="1">
        <v>45807</v>
      </c>
      <c r="D1816" s="71" t="s">
        <v>29</v>
      </c>
      <c r="E1816" s="71" t="s">
        <v>127</v>
      </c>
      <c r="F1816" s="70" t="s">
        <v>128</v>
      </c>
      <c r="G1816" s="71" t="s">
        <v>216</v>
      </c>
      <c r="H1816" s="138"/>
      <c r="J1816" s="71" t="s">
        <v>1267</v>
      </c>
      <c r="L1816" s="326">
        <v>1189</v>
      </c>
      <c r="M1816" s="136">
        <f>M1815+K1816-L1816</f>
        <v>101915.35572000065</v>
      </c>
    </row>
    <row r="1817" spans="1:13">
      <c r="A1817" s="54" t="str">
        <f>D1817&amp;E1817&amp;F1817</f>
        <v>CAPVIATICOSCAPRICHOS</v>
      </c>
      <c r="B1817" t="s">
        <v>1049</v>
      </c>
      <c r="C1817" s="1">
        <v>45807</v>
      </c>
      <c r="D1817" s="71" t="s">
        <v>31</v>
      </c>
      <c r="E1817" s="71" t="s">
        <v>191</v>
      </c>
      <c r="F1817" s="70" t="s">
        <v>33</v>
      </c>
      <c r="G1817" s="71" t="s">
        <v>216</v>
      </c>
      <c r="H1817" s="138"/>
      <c r="J1817" s="71" t="s">
        <v>1268</v>
      </c>
      <c r="L1817" s="326">
        <v>800</v>
      </c>
      <c r="M1817" s="136">
        <f>M1816+K1817-L1817</f>
        <v>101115.35572000065</v>
      </c>
    </row>
    <row r="1818" spans="1:13">
      <c r="A1818" s="54" t="str">
        <f>D1818&amp;E1818&amp;F1818</f>
        <v>SERVICIOSVIATICOSCEDIS</v>
      </c>
      <c r="B1818" t="s">
        <v>1049</v>
      </c>
      <c r="C1818" s="1">
        <v>45807</v>
      </c>
      <c r="D1818" s="71" t="s">
        <v>21</v>
      </c>
      <c r="E1818" s="71" t="s">
        <v>191</v>
      </c>
      <c r="F1818" s="70" t="s">
        <v>28</v>
      </c>
      <c r="G1818" s="71" t="s">
        <v>216</v>
      </c>
      <c r="H1818" s="138"/>
      <c r="J1818" s="71" t="s">
        <v>646</v>
      </c>
      <c r="L1818" s="326">
        <v>2050</v>
      </c>
      <c r="M1818" s="136">
        <f>M1817+K1818-L1818</f>
        <v>99065.355720000647</v>
      </c>
    </row>
    <row r="1819" spans="1:13">
      <c r="A1819" s="54" t="str">
        <f>D1819&amp;E1819&amp;F1819</f>
        <v>FINANZASTELEFONIATELEFONIA</v>
      </c>
      <c r="B1819" t="s">
        <v>1049</v>
      </c>
      <c r="C1819" s="1">
        <v>45807</v>
      </c>
      <c r="D1819" s="71" t="s">
        <v>23</v>
      </c>
      <c r="E1819" s="71" t="s">
        <v>181</v>
      </c>
      <c r="F1819" s="70" t="s">
        <v>181</v>
      </c>
      <c r="G1819" s="71" t="s">
        <v>216</v>
      </c>
      <c r="H1819" s="138"/>
      <c r="J1819" s="71" t="s">
        <v>1269</v>
      </c>
      <c r="L1819" s="326">
        <v>24483.5</v>
      </c>
      <c r="M1819" s="136">
        <f>M1818+K1819-L1819</f>
        <v>74581.855720000647</v>
      </c>
    </row>
    <row r="1820" spans="1:13">
      <c r="A1820" s="54" t="str">
        <f t="shared" si="34"/>
        <v/>
      </c>
      <c r="B1820" t="s">
        <v>1049</v>
      </c>
      <c r="C1820" s="1">
        <v>45807</v>
      </c>
      <c r="D1820" s="71"/>
      <c r="F1820" s="70"/>
      <c r="H1820" s="138"/>
      <c r="J1820" s="71" t="s">
        <v>1270</v>
      </c>
      <c r="L1820" s="326">
        <v>193365.83</v>
      </c>
      <c r="M1820" s="136">
        <f>M1819+K1820-L1820</f>
        <v>-118783.97427999934</v>
      </c>
    </row>
    <row r="1821" spans="1:13">
      <c r="A1821" s="54" t="str">
        <f>D1821&amp;E1821&amp;F1821</f>
        <v>CAPMKTMKT CAP</v>
      </c>
      <c r="B1821" t="s">
        <v>1049</v>
      </c>
      <c r="C1821" s="1">
        <v>45807</v>
      </c>
      <c r="D1821" s="71" t="s">
        <v>31</v>
      </c>
      <c r="E1821" s="71" t="s">
        <v>19</v>
      </c>
      <c r="F1821" s="70" t="s">
        <v>139</v>
      </c>
      <c r="G1821" s="71" t="s">
        <v>258</v>
      </c>
      <c r="H1821" s="138"/>
      <c r="J1821" s="71" t="s">
        <v>1271</v>
      </c>
      <c r="L1821" s="326">
        <v>500</v>
      </c>
      <c r="M1821" s="136">
        <f>M1820+K1821-L1821</f>
        <v>-119283.97427999934</v>
      </c>
    </row>
    <row r="1822" spans="1:13">
      <c r="A1822" s="54" t="str">
        <f>D1822&amp;E1822&amp;F1822</f>
        <v>MMVIATICOSMARKET MAX</v>
      </c>
      <c r="B1822" t="s">
        <v>1049</v>
      </c>
      <c r="C1822" s="1">
        <v>45807</v>
      </c>
      <c r="D1822" s="71" t="s">
        <v>45</v>
      </c>
      <c r="E1822" s="71" t="s">
        <v>191</v>
      </c>
      <c r="F1822" s="70" t="s">
        <v>46</v>
      </c>
      <c r="G1822" s="71" t="s">
        <v>258</v>
      </c>
      <c r="H1822" s="138"/>
      <c r="J1822" s="71" t="s">
        <v>1272</v>
      </c>
      <c r="L1822" s="326">
        <v>420</v>
      </c>
      <c r="M1822" s="136">
        <f>M1821+K1822-L1822</f>
        <v>-119703.97427999934</v>
      </c>
    </row>
    <row r="1823" spans="1:13">
      <c r="A1823" s="54" t="str">
        <f>D1823&amp;E1823&amp;F1823</f>
        <v>SGECUOTAS Y SUSCRIPCIONESGOOGLE CAPCUT</v>
      </c>
      <c r="B1823" t="s">
        <v>1049</v>
      </c>
      <c r="C1823" s="1">
        <v>45807</v>
      </c>
      <c r="D1823" s="71" t="s">
        <v>39</v>
      </c>
      <c r="E1823" s="178" t="s">
        <v>51</v>
      </c>
      <c r="F1823" t="s">
        <v>80</v>
      </c>
      <c r="G1823" s="71" t="s">
        <v>258</v>
      </c>
      <c r="H1823" s="138"/>
      <c r="J1823" s="71" t="s">
        <v>1273</v>
      </c>
      <c r="L1823" s="326">
        <v>1500</v>
      </c>
      <c r="M1823" s="136">
        <f>M1822+K1823-L1823</f>
        <v>-121203.97427999934</v>
      </c>
    </row>
    <row r="1824" spans="1:13">
      <c r="A1824" s="54" t="str">
        <f>D1824&amp;E1824&amp;F1824</f>
        <v>HRUBERHR</v>
      </c>
      <c r="B1824" t="s">
        <v>1049</v>
      </c>
      <c r="C1824" s="1">
        <v>45807</v>
      </c>
      <c r="D1824" s="71" t="s">
        <v>29</v>
      </c>
      <c r="E1824" s="71" t="s">
        <v>189</v>
      </c>
      <c r="F1824" s="70" t="s">
        <v>29</v>
      </c>
      <c r="G1824" s="71" t="s">
        <v>216</v>
      </c>
      <c r="H1824" s="138"/>
      <c r="J1824" s="76" t="s">
        <v>715</v>
      </c>
      <c r="L1824" s="528">
        <v>100</v>
      </c>
      <c r="M1824" s="136">
        <f>M1823+K1824-L1824</f>
        <v>-121303.97427999934</v>
      </c>
    </row>
    <row r="1825" spans="1:15">
      <c r="A1825" s="54" t="str">
        <f>D1825&amp;E1825&amp;F1825</f>
        <v>SERVICIOSMTTO DE EDIFICIOMANTENIMIENTO</v>
      </c>
      <c r="B1825" t="s">
        <v>1049</v>
      </c>
      <c r="C1825" s="1">
        <v>45807</v>
      </c>
      <c r="D1825" s="71" t="s">
        <v>21</v>
      </c>
      <c r="E1825" s="71" t="s">
        <v>142</v>
      </c>
      <c r="F1825" s="70" t="s">
        <v>35</v>
      </c>
      <c r="G1825" s="71" t="s">
        <v>216</v>
      </c>
      <c r="H1825" s="138"/>
      <c r="J1825" s="76" t="s">
        <v>1274</v>
      </c>
      <c r="L1825" s="326">
        <v>4263</v>
      </c>
      <c r="M1825" s="136">
        <f>M1824+K1825-L1825</f>
        <v>-125566.97427999934</v>
      </c>
    </row>
    <row r="1826" spans="1:15">
      <c r="A1826" s="54" t="str">
        <f>D1826&amp;E1826&amp;F1826</f>
        <v>HRUBERHR</v>
      </c>
      <c r="B1826" t="s">
        <v>1049</v>
      </c>
      <c r="C1826" s="1">
        <v>45807</v>
      </c>
      <c r="D1826" s="71" t="s">
        <v>29</v>
      </c>
      <c r="E1826" s="71" t="s">
        <v>189</v>
      </c>
      <c r="F1826" s="70" t="s">
        <v>29</v>
      </c>
      <c r="G1826" s="71" t="s">
        <v>216</v>
      </c>
      <c r="H1826" s="138"/>
      <c r="J1826" s="76" t="s">
        <v>249</v>
      </c>
      <c r="L1826" s="528">
        <v>278</v>
      </c>
      <c r="M1826" s="136">
        <f>M1825+K1826-L1826</f>
        <v>-125844.97427999934</v>
      </c>
    </row>
    <row r="1827" spans="1:15">
      <c r="A1827" s="54" t="str">
        <f>D1827&amp;E1827&amp;F1827</f>
        <v>HRUBERHR</v>
      </c>
      <c r="B1827" t="s">
        <v>1049</v>
      </c>
      <c r="C1827" s="1">
        <v>45807</v>
      </c>
      <c r="D1827" s="71" t="s">
        <v>29</v>
      </c>
      <c r="E1827" s="71" t="s">
        <v>189</v>
      </c>
      <c r="F1827" s="70" t="s">
        <v>29</v>
      </c>
      <c r="G1827" s="71" t="s">
        <v>216</v>
      </c>
      <c r="H1827" s="138"/>
      <c r="J1827" s="76" t="s">
        <v>250</v>
      </c>
      <c r="L1827" s="528">
        <v>250</v>
      </c>
      <c r="M1827" s="136">
        <f>M1826+K1827-L1827</f>
        <v>-126094.97427999934</v>
      </c>
    </row>
    <row r="1828" spans="1:15">
      <c r="A1828" s="54" t="str">
        <f>D1828&amp;E1828&amp;F1828</f>
        <v>CAPUBERCAP</v>
      </c>
      <c r="B1828" t="s">
        <v>1049</v>
      </c>
      <c r="C1828" s="1">
        <v>45807</v>
      </c>
      <c r="D1828" s="71" t="s">
        <v>31</v>
      </c>
      <c r="E1828" s="71" t="s">
        <v>189</v>
      </c>
      <c r="F1828" s="70" t="s">
        <v>31</v>
      </c>
      <c r="G1828" s="71" t="s">
        <v>216</v>
      </c>
      <c r="H1828" s="138"/>
      <c r="J1828" s="76" t="s">
        <v>253</v>
      </c>
      <c r="L1828" s="528">
        <v>704</v>
      </c>
      <c r="M1828" s="136">
        <f>M1827+K1828-L1828</f>
        <v>-126798.97427999934</v>
      </c>
    </row>
    <row r="1829" spans="1:15">
      <c r="A1829" s="54" t="str">
        <f>D1829&amp;E1829&amp;F1829</f>
        <v>CAPUBERCAP</v>
      </c>
      <c r="B1829" t="s">
        <v>1049</v>
      </c>
      <c r="C1829" s="1">
        <v>45807</v>
      </c>
      <c r="D1829" s="71" t="s">
        <v>31</v>
      </c>
      <c r="E1829" s="71" t="s">
        <v>189</v>
      </c>
      <c r="F1829" s="70" t="s">
        <v>31</v>
      </c>
      <c r="G1829" s="71" t="s">
        <v>216</v>
      </c>
      <c r="H1829" s="138"/>
      <c r="J1829" s="76" t="s">
        <v>257</v>
      </c>
      <c r="L1829" s="528">
        <v>80</v>
      </c>
      <c r="M1829" s="136">
        <f>M1828+K1829-L1829</f>
        <v>-126878.97427999934</v>
      </c>
    </row>
    <row r="1830" spans="1:15">
      <c r="A1830" s="54" t="str">
        <f t="shared" si="34"/>
        <v/>
      </c>
      <c r="B1830" t="s">
        <v>1049</v>
      </c>
      <c r="C1830" s="1">
        <v>45810</v>
      </c>
      <c r="D1830" s="71"/>
      <c r="F1830" s="70"/>
      <c r="H1830" s="138"/>
      <c r="J1830" s="71" t="s">
        <v>1275</v>
      </c>
      <c r="K1830" s="325">
        <f>730335.2-13445.5-7737.5</f>
        <v>709152.2</v>
      </c>
      <c r="L1830" s="354"/>
      <c r="M1830" s="136">
        <f>M1829+K1830-L1830</f>
        <v>582273.22572000057</v>
      </c>
    </row>
    <row r="1831" spans="1:15" ht="16.5" customHeight="1">
      <c r="A1831" s="54" t="str">
        <f t="shared" si="34"/>
        <v/>
      </c>
      <c r="B1831" t="s">
        <v>1049</v>
      </c>
      <c r="C1831" s="1">
        <v>45810</v>
      </c>
      <c r="D1831" s="71"/>
      <c r="F1831" s="70"/>
      <c r="H1831" s="138"/>
      <c r="J1831" s="178" t="s">
        <v>1276</v>
      </c>
      <c r="K1831" s="325">
        <f>41905</f>
        <v>41905</v>
      </c>
      <c r="L1831" s="354"/>
      <c r="M1831" s="136">
        <f>M1830+K1831-L1831</f>
        <v>624178.22572000057</v>
      </c>
    </row>
    <row r="1832" spans="1:15">
      <c r="A1832" s="54" t="str">
        <f t="shared" si="34"/>
        <v/>
      </c>
      <c r="B1832" t="s">
        <v>1277</v>
      </c>
      <c r="C1832" s="1">
        <v>45810</v>
      </c>
      <c r="D1832" s="71"/>
      <c r="F1832" s="70"/>
      <c r="H1832" s="138"/>
      <c r="J1832" s="71" t="s">
        <v>1278</v>
      </c>
      <c r="K1832" s="325">
        <f>249806.31</f>
        <v>249806.31</v>
      </c>
      <c r="L1832" s="354"/>
      <c r="M1832" s="136">
        <f>M1831+K1832-L1832</f>
        <v>873984.53572000051</v>
      </c>
      <c r="O1832" s="5">
        <f>M1832-K1832</f>
        <v>624178.22572000045</v>
      </c>
    </row>
    <row r="1833" spans="1:15">
      <c r="A1833" s="54" t="str">
        <f>D1833&amp;E1833&amp;F1833</f>
        <v>FINANZASCOMISIONES BANCARIASTPV</v>
      </c>
      <c r="B1833" t="s">
        <v>1277</v>
      </c>
      <c r="C1833" s="1">
        <v>45810</v>
      </c>
      <c r="D1833" s="71" t="s">
        <v>23</v>
      </c>
      <c r="E1833" s="71" t="s">
        <v>48</v>
      </c>
      <c r="F1833" s="70" t="s">
        <v>50</v>
      </c>
      <c r="G1833" s="71" t="s">
        <v>216</v>
      </c>
      <c r="H1833" s="138"/>
      <c r="J1833" s="71" t="s">
        <v>217</v>
      </c>
      <c r="L1833" s="321">
        <v>20446.43</v>
      </c>
      <c r="M1833" s="136">
        <f>M1832+K1833-L1833</f>
        <v>853538.10572000046</v>
      </c>
    </row>
    <row r="1834" spans="1:15">
      <c r="A1834" s="54" t="str">
        <f>D1834&amp;E1834&amp;F1834</f>
        <v>FINANZASCOMISIONES BANCARIASMANEJO DE CUENTA</v>
      </c>
      <c r="B1834" t="s">
        <v>1277</v>
      </c>
      <c r="C1834" s="1">
        <v>45810</v>
      </c>
      <c r="D1834" s="71" t="s">
        <v>23</v>
      </c>
      <c r="E1834" s="71" t="s">
        <v>48</v>
      </c>
      <c r="F1834" s="70" t="s">
        <v>49</v>
      </c>
      <c r="G1834" s="71" t="s">
        <v>258</v>
      </c>
      <c r="H1834" s="138"/>
      <c r="J1834" s="71" t="s">
        <v>764</v>
      </c>
      <c r="L1834" s="326">
        <v>20184</v>
      </c>
      <c r="M1834" s="136">
        <f>M1833+K1834-L1834</f>
        <v>833354.10572000046</v>
      </c>
    </row>
    <row r="1835" spans="1:15">
      <c r="A1835" s="54" t="str">
        <f t="shared" si="34"/>
        <v/>
      </c>
      <c r="B1835" t="s">
        <v>1277</v>
      </c>
      <c r="C1835" s="1">
        <v>45810</v>
      </c>
      <c r="D1835" s="71"/>
      <c r="F1835" s="70"/>
      <c r="H1835" s="138"/>
      <c r="J1835" s="205" t="s">
        <v>220</v>
      </c>
      <c r="K1835" s="206"/>
      <c r="L1835" s="206">
        <v>350000</v>
      </c>
      <c r="M1835" s="136">
        <f>M1834+K1835-L1835</f>
        <v>483354.10572000046</v>
      </c>
    </row>
    <row r="1836" spans="1:15">
      <c r="A1836" s="54" t="str">
        <f t="shared" si="34"/>
        <v/>
      </c>
      <c r="B1836" t="s">
        <v>1277</v>
      </c>
      <c r="C1836" s="1">
        <v>45810</v>
      </c>
      <c r="D1836" s="71"/>
      <c r="F1836" s="70"/>
      <c r="H1836" s="138"/>
      <c r="J1836" s="205" t="s">
        <v>563</v>
      </c>
      <c r="K1836" s="206"/>
      <c r="L1836" s="206">
        <v>200000</v>
      </c>
      <c r="M1836" s="136">
        <f>M1835+K1836-L1836</f>
        <v>283354.10572000046</v>
      </c>
    </row>
    <row r="1837" spans="1:15">
      <c r="A1837" s="54" t="str">
        <f>D1837&amp;E1837&amp;F1837</f>
        <v>SERVICIOSVIATICOSMANTENIMIENTO</v>
      </c>
      <c r="B1837" t="s">
        <v>1277</v>
      </c>
      <c r="C1837" s="1">
        <v>45810</v>
      </c>
      <c r="D1837" s="71" t="s">
        <v>21</v>
      </c>
      <c r="E1837" s="71" t="s">
        <v>191</v>
      </c>
      <c r="F1837" s="70" t="s">
        <v>35</v>
      </c>
      <c r="G1837" s="71" t="s">
        <v>258</v>
      </c>
      <c r="H1837" s="138"/>
      <c r="J1837" s="71" t="s">
        <v>1279</v>
      </c>
      <c r="L1837" s="326">
        <v>500</v>
      </c>
      <c r="M1837" s="136">
        <f>M1836+K1837-L1837</f>
        <v>282854.10572000046</v>
      </c>
    </row>
    <row r="1838" spans="1:15">
      <c r="A1838" s="54" t="str">
        <f>D1838&amp;E1838&amp;F1838</f>
        <v>SERVICIOSPAQUETERIACEDIS (E6)</v>
      </c>
      <c r="B1838" t="s">
        <v>1277</v>
      </c>
      <c r="C1838" s="1">
        <v>45810</v>
      </c>
      <c r="D1838" s="71" t="s">
        <v>21</v>
      </c>
      <c r="E1838" s="71" t="s">
        <v>160</v>
      </c>
      <c r="F1838" s="70" t="s">
        <v>161</v>
      </c>
      <c r="G1838" s="71" t="s">
        <v>216</v>
      </c>
      <c r="H1838" s="138"/>
      <c r="J1838" s="71" t="s">
        <v>229</v>
      </c>
      <c r="L1838" s="326">
        <v>2142.54</v>
      </c>
      <c r="M1838" s="136">
        <f>M1837+K1838-L1838</f>
        <v>280711.56572000048</v>
      </c>
    </row>
    <row r="1839" spans="1:15">
      <c r="A1839" s="54" t="str">
        <f t="shared" si="34"/>
        <v/>
      </c>
      <c r="B1839" t="s">
        <v>1277</v>
      </c>
      <c r="C1839" s="1">
        <v>45810</v>
      </c>
      <c r="D1839" s="71"/>
      <c r="F1839" s="70"/>
      <c r="H1839" s="138"/>
      <c r="J1839" s="71" t="s">
        <v>1245</v>
      </c>
      <c r="L1839" s="326">
        <v>247363.78</v>
      </c>
      <c r="M1839" s="136">
        <f>M1838+K1839-L1839</f>
        <v>33347.78572000048</v>
      </c>
    </row>
    <row r="1840" spans="1:15">
      <c r="A1840" s="54" t="str">
        <f>D1840&amp;E1840&amp;F1840</f>
        <v>FINANZASFONDO Y REPOSICIONFINANZAS</v>
      </c>
      <c r="B1840" t="s">
        <v>1277</v>
      </c>
      <c r="C1840" s="1">
        <v>45810</v>
      </c>
      <c r="D1840" s="71" t="s">
        <v>23</v>
      </c>
      <c r="E1840" s="71" t="s">
        <v>120</v>
      </c>
      <c r="F1840" s="70" t="s">
        <v>23</v>
      </c>
      <c r="G1840" s="71" t="s">
        <v>216</v>
      </c>
      <c r="H1840" s="138"/>
      <c r="J1840" s="71" t="s">
        <v>1280</v>
      </c>
      <c r="L1840" s="326">
        <v>50</v>
      </c>
      <c r="M1840" s="136">
        <f>M1839+K1840-L1840</f>
        <v>33297.78572000048</v>
      </c>
    </row>
    <row r="1841" spans="1:13">
      <c r="A1841" s="54" t="str">
        <f>D1841&amp;E1841&amp;F1841</f>
        <v>FINANZASFONDO Y REPOSICIONFINANZAS</v>
      </c>
      <c r="B1841" t="s">
        <v>1277</v>
      </c>
      <c r="C1841" s="1">
        <v>45810</v>
      </c>
      <c r="D1841" s="71" t="s">
        <v>23</v>
      </c>
      <c r="E1841" s="71" t="s">
        <v>120</v>
      </c>
      <c r="F1841" s="70" t="s">
        <v>23</v>
      </c>
      <c r="G1841" s="71" t="s">
        <v>216</v>
      </c>
      <c r="H1841" s="138"/>
      <c r="J1841" s="71" t="s">
        <v>1281</v>
      </c>
      <c r="L1841" s="326">
        <v>300</v>
      </c>
      <c r="M1841" s="136">
        <f>M1840+K1841-L1841</f>
        <v>32997.78572000048</v>
      </c>
    </row>
    <row r="1842" spans="1:13">
      <c r="A1842" s="54" t="str">
        <f>D1842&amp;E1842&amp;F1842</f>
        <v>FINANZASINSUMOSFINANZAS</v>
      </c>
      <c r="B1842" t="s">
        <v>1277</v>
      </c>
      <c r="C1842" s="1">
        <v>45810</v>
      </c>
      <c r="D1842" s="71" t="s">
        <v>23</v>
      </c>
      <c r="E1842" s="71" t="s">
        <v>133</v>
      </c>
      <c r="F1842" s="70" t="s">
        <v>23</v>
      </c>
      <c r="G1842" s="71" t="s">
        <v>258</v>
      </c>
      <c r="H1842" s="138"/>
      <c r="J1842" s="71" t="s">
        <v>1282</v>
      </c>
      <c r="L1842" s="326">
        <v>500</v>
      </c>
      <c r="M1842" s="136">
        <f>M1841+K1842-L1842</f>
        <v>32497.78572000048</v>
      </c>
    </row>
    <row r="1843" spans="1:13">
      <c r="A1843" s="54" t="str">
        <f t="shared" si="34"/>
        <v/>
      </c>
      <c r="B1843" t="s">
        <v>1277</v>
      </c>
      <c r="C1843" s="1">
        <v>45810</v>
      </c>
      <c r="D1843" s="71"/>
      <c r="F1843" s="70"/>
      <c r="H1843" s="138"/>
      <c r="J1843" s="71" t="s">
        <v>1283</v>
      </c>
      <c r="L1843" s="326">
        <v>400</v>
      </c>
      <c r="M1843" s="136">
        <f>M1842+K1843-L1843</f>
        <v>32097.78572000048</v>
      </c>
    </row>
    <row r="1844" spans="1:13">
      <c r="A1844" s="54" t="str">
        <f>D1844&amp;E1844&amp;F1844</f>
        <v>HRNOMINA SUCURSALA2</v>
      </c>
      <c r="B1844" t="s">
        <v>1277</v>
      </c>
      <c r="C1844" s="1">
        <v>45810</v>
      </c>
      <c r="D1844" s="71" t="s">
        <v>29</v>
      </c>
      <c r="E1844" s="71" t="s">
        <v>154</v>
      </c>
      <c r="F1844" s="70" t="s">
        <v>89</v>
      </c>
      <c r="G1844" s="71" t="s">
        <v>216</v>
      </c>
      <c r="H1844" s="138"/>
      <c r="J1844" s="76" t="s">
        <v>1284</v>
      </c>
      <c r="L1844" s="331">
        <v>647</v>
      </c>
      <c r="M1844" s="136">
        <f>M1843+K1844-L1844</f>
        <v>31450.78572000048</v>
      </c>
    </row>
    <row r="1845" spans="1:13">
      <c r="A1845" s="54" t="str">
        <f>D1845&amp;E1845&amp;F1845</f>
        <v>HRUBERHR</v>
      </c>
      <c r="B1845" t="s">
        <v>1277</v>
      </c>
      <c r="C1845" s="1">
        <v>45810</v>
      </c>
      <c r="D1845" s="71" t="s">
        <v>29</v>
      </c>
      <c r="E1845" s="71" t="s">
        <v>189</v>
      </c>
      <c r="F1845" s="70" t="s">
        <v>29</v>
      </c>
      <c r="G1845" s="71" t="s">
        <v>216</v>
      </c>
      <c r="H1845" s="138"/>
      <c r="J1845" s="76" t="s">
        <v>291</v>
      </c>
      <c r="L1845" s="526">
        <v>140</v>
      </c>
      <c r="M1845" s="136">
        <f>M1844+K1845-L1845</f>
        <v>31310.78572000048</v>
      </c>
    </row>
    <row r="1846" spans="1:13">
      <c r="A1846" s="54" t="str">
        <f>D1846&amp;E1846&amp;F1846</f>
        <v>HRUBERHR</v>
      </c>
      <c r="B1846" t="s">
        <v>1277</v>
      </c>
      <c r="C1846" s="1">
        <v>45810</v>
      </c>
      <c r="D1846" s="71" t="s">
        <v>29</v>
      </c>
      <c r="E1846" s="71" t="s">
        <v>189</v>
      </c>
      <c r="F1846" s="70" t="s">
        <v>29</v>
      </c>
      <c r="G1846" s="71" t="s">
        <v>216</v>
      </c>
      <c r="H1846" s="138"/>
      <c r="J1846" s="76" t="s">
        <v>308</v>
      </c>
      <c r="L1846" s="526">
        <v>165</v>
      </c>
      <c r="M1846" s="136">
        <f>M1845+K1846-L1846</f>
        <v>31145.78572000048</v>
      </c>
    </row>
    <row r="1847" spans="1:13">
      <c r="A1847" s="54" t="str">
        <f>D1847&amp;E1847&amp;F1847</f>
        <v>HRVIATICOSHR</v>
      </c>
      <c r="B1847" t="s">
        <v>1277</v>
      </c>
      <c r="C1847" s="1">
        <v>45810</v>
      </c>
      <c r="D1847" s="71" t="s">
        <v>29</v>
      </c>
      <c r="E1847" s="71" t="s">
        <v>191</v>
      </c>
      <c r="F1847" s="70" t="s">
        <v>29</v>
      </c>
      <c r="G1847" s="71" t="s">
        <v>216</v>
      </c>
      <c r="H1847" s="138"/>
      <c r="J1847" s="76" t="s">
        <v>617</v>
      </c>
      <c r="L1847" s="331">
        <v>20</v>
      </c>
      <c r="M1847" s="136">
        <f>M1846+K1847-L1847</f>
        <v>31125.78572000048</v>
      </c>
    </row>
    <row r="1848" spans="1:13">
      <c r="A1848" s="54" t="str">
        <f>D1848&amp;E1848&amp;F1848</f>
        <v>HRNOMINA SUCURSALA12</v>
      </c>
      <c r="B1848" t="s">
        <v>1277</v>
      </c>
      <c r="C1848" s="1">
        <v>45810</v>
      </c>
      <c r="D1848" s="71" t="s">
        <v>29</v>
      </c>
      <c r="E1848" s="71" t="s">
        <v>154</v>
      </c>
      <c r="F1848" s="70" t="s">
        <v>98</v>
      </c>
      <c r="G1848" s="71" t="s">
        <v>216</v>
      </c>
      <c r="H1848" s="138"/>
      <c r="J1848" s="76" t="s">
        <v>894</v>
      </c>
      <c r="L1848" s="331">
        <v>400</v>
      </c>
      <c r="M1848" s="136">
        <f>M1847+K1848-L1848</f>
        <v>30725.78572000048</v>
      </c>
    </row>
    <row r="1849" spans="1:13">
      <c r="A1849" s="54" t="str">
        <f>D1849&amp;E1849&amp;F1849</f>
        <v>HRFONDO Y REPOSICIONHR</v>
      </c>
      <c r="B1849" t="s">
        <v>1277</v>
      </c>
      <c r="C1849" s="1">
        <v>45810</v>
      </c>
      <c r="D1849" s="71" t="s">
        <v>29</v>
      </c>
      <c r="E1849" s="71" t="s">
        <v>120</v>
      </c>
      <c r="F1849" s="71" t="s">
        <v>29</v>
      </c>
      <c r="H1849" s="138"/>
      <c r="J1849" s="76" t="s">
        <v>1285</v>
      </c>
      <c r="L1849" s="331">
        <v>20</v>
      </c>
      <c r="M1849" s="136">
        <f>M1848+K1849-L1849</f>
        <v>30705.78572000048</v>
      </c>
    </row>
    <row r="1850" spans="1:13">
      <c r="A1850" s="54" t="str">
        <f>D1850&amp;E1850&amp;F1850</f>
        <v>HRJMASA16</v>
      </c>
      <c r="B1850" t="s">
        <v>1277</v>
      </c>
      <c r="C1850" s="1">
        <v>45810</v>
      </c>
      <c r="D1850" s="71" t="s">
        <v>29</v>
      </c>
      <c r="E1850" s="71" t="s">
        <v>137</v>
      </c>
      <c r="F1850" s="70" t="s">
        <v>101</v>
      </c>
      <c r="G1850" s="71" t="s">
        <v>216</v>
      </c>
      <c r="H1850" s="138"/>
      <c r="J1850" s="76" t="s">
        <v>495</v>
      </c>
      <c r="L1850" s="331">
        <v>1958</v>
      </c>
      <c r="M1850" s="136">
        <f>M1849+K1850-L1850</f>
        <v>28747.78572000048</v>
      </c>
    </row>
    <row r="1851" spans="1:13">
      <c r="A1851" s="54" t="str">
        <f>D1851&amp;E1851&amp;F1851</f>
        <v>HRUBERHR</v>
      </c>
      <c r="B1851" t="s">
        <v>1277</v>
      </c>
      <c r="C1851" s="1">
        <v>45810</v>
      </c>
      <c r="D1851" s="71" t="s">
        <v>29</v>
      </c>
      <c r="E1851" s="71" t="s">
        <v>189</v>
      </c>
      <c r="F1851" s="70" t="s">
        <v>29</v>
      </c>
      <c r="G1851" s="71" t="s">
        <v>216</v>
      </c>
      <c r="H1851" s="138"/>
      <c r="J1851" s="76" t="s">
        <v>249</v>
      </c>
      <c r="L1851" s="526">
        <v>441</v>
      </c>
      <c r="M1851" s="136">
        <f>M1850+K1851-L1851</f>
        <v>28306.78572000048</v>
      </c>
    </row>
    <row r="1852" spans="1:13">
      <c r="A1852" s="54" t="str">
        <f>D1852&amp;E1852&amp;F1852</f>
        <v>HRUBERHR</v>
      </c>
      <c r="B1852" t="s">
        <v>1277</v>
      </c>
      <c r="C1852" s="1">
        <v>45810</v>
      </c>
      <c r="D1852" s="71" t="s">
        <v>29</v>
      </c>
      <c r="E1852" s="71" t="s">
        <v>189</v>
      </c>
      <c r="F1852" s="70" t="s">
        <v>29</v>
      </c>
      <c r="G1852" s="71" t="s">
        <v>216</v>
      </c>
      <c r="H1852" s="138"/>
      <c r="J1852" s="76" t="s">
        <v>250</v>
      </c>
      <c r="L1852" s="526">
        <v>200</v>
      </c>
      <c r="M1852" s="136">
        <f>M1851+K1852-L1852</f>
        <v>28106.78572000048</v>
      </c>
    </row>
    <row r="1853" spans="1:13">
      <c r="A1853" s="54" t="str">
        <f>D1853&amp;E1853&amp;F1853</f>
        <v>CAPVIATICOSCAPRICHOS</v>
      </c>
      <c r="B1853" t="s">
        <v>1277</v>
      </c>
      <c r="C1853" s="1">
        <v>45810</v>
      </c>
      <c r="D1853" s="71" t="s">
        <v>31</v>
      </c>
      <c r="E1853" s="71" t="s">
        <v>191</v>
      </c>
      <c r="F1853" s="70" t="s">
        <v>33</v>
      </c>
      <c r="G1853" s="71" t="s">
        <v>216</v>
      </c>
      <c r="H1853" s="138"/>
      <c r="J1853" s="76" t="s">
        <v>1286</v>
      </c>
      <c r="L1853" s="332">
        <v>15</v>
      </c>
      <c r="M1853" s="136">
        <f>M1852+K1853-L1853</f>
        <v>28091.78572000048</v>
      </c>
    </row>
    <row r="1854" spans="1:13">
      <c r="A1854" s="54" t="str">
        <f>D1854&amp;E1854&amp;F1854</f>
        <v>CAPUBERCAP</v>
      </c>
      <c r="B1854" t="s">
        <v>1277</v>
      </c>
      <c r="C1854" s="1">
        <v>45810</v>
      </c>
      <c r="D1854" s="71" t="s">
        <v>31</v>
      </c>
      <c r="E1854" s="71" t="s">
        <v>189</v>
      </c>
      <c r="F1854" s="70" t="s">
        <v>31</v>
      </c>
      <c r="G1854" s="71" t="s">
        <v>216</v>
      </c>
      <c r="H1854" s="138"/>
      <c r="J1854" s="76" t="s">
        <v>253</v>
      </c>
      <c r="L1854" s="526">
        <v>1351</v>
      </c>
      <c r="M1854" s="136">
        <f>M1853+K1854-L1854</f>
        <v>26740.78572000048</v>
      </c>
    </row>
    <row r="1855" spans="1:13">
      <c r="A1855" s="54" t="str">
        <f>D1855&amp;E1855&amp;F1855</f>
        <v>CAPUBERCAP</v>
      </c>
      <c r="B1855" t="s">
        <v>1277</v>
      </c>
      <c r="C1855" s="1">
        <v>45810</v>
      </c>
      <c r="D1855" s="71" t="s">
        <v>31</v>
      </c>
      <c r="E1855" s="71" t="s">
        <v>189</v>
      </c>
      <c r="F1855" s="70" t="s">
        <v>31</v>
      </c>
      <c r="G1855" s="71" t="s">
        <v>216</v>
      </c>
      <c r="H1855" s="138"/>
      <c r="J1855" s="76" t="s">
        <v>257</v>
      </c>
      <c r="L1855" s="526">
        <v>761</v>
      </c>
      <c r="M1855" s="136">
        <f>M1854+K1855-L1855</f>
        <v>25979.78572000048</v>
      </c>
    </row>
    <row r="1856" spans="1:13">
      <c r="A1856" s="54" t="str">
        <f>D1856&amp;E1856&amp;F1856</f>
        <v>CAPINSUMOSCAPRICHOS</v>
      </c>
      <c r="B1856" t="s">
        <v>1277</v>
      </c>
      <c r="C1856" s="1">
        <v>45810</v>
      </c>
      <c r="D1856" s="71" t="s">
        <v>31</v>
      </c>
      <c r="E1856" s="71" t="s">
        <v>133</v>
      </c>
      <c r="F1856" s="70" t="s">
        <v>33</v>
      </c>
      <c r="G1856" s="71" t="s">
        <v>216</v>
      </c>
      <c r="H1856" s="138"/>
      <c r="J1856" s="76" t="s">
        <v>362</v>
      </c>
      <c r="L1856" s="331">
        <v>142</v>
      </c>
      <c r="M1856" s="136">
        <f>M1855+K1856-L1856</f>
        <v>25837.78572000048</v>
      </c>
    </row>
    <row r="1857" spans="1:13">
      <c r="A1857" s="54" t="str">
        <f t="shared" si="34"/>
        <v/>
      </c>
      <c r="B1857" t="s">
        <v>1277</v>
      </c>
      <c r="C1857" s="1">
        <v>45811</v>
      </c>
      <c r="D1857" s="71"/>
      <c r="F1857" s="70"/>
      <c r="H1857" s="138"/>
      <c r="J1857" s="71" t="s">
        <v>260</v>
      </c>
      <c r="K1857" s="325">
        <f>198762.03-11535</f>
        <v>187227.03</v>
      </c>
      <c r="L1857" s="354"/>
      <c r="M1857" s="136">
        <f>M1856+K1857-L1857</f>
        <v>213064.81572000048</v>
      </c>
    </row>
    <row r="1858" spans="1:13">
      <c r="A1858" s="54" t="str">
        <f t="shared" si="34"/>
        <v/>
      </c>
      <c r="B1858" t="s">
        <v>1277</v>
      </c>
      <c r="C1858" s="1">
        <v>45811</v>
      </c>
      <c r="D1858" s="71"/>
      <c r="F1858" s="70"/>
      <c r="H1858" s="138"/>
      <c r="J1858" s="71" t="s">
        <v>1287</v>
      </c>
      <c r="K1858" s="325">
        <v>1100</v>
      </c>
      <c r="L1858" s="354"/>
      <c r="M1858" s="136">
        <f>M1857+K1858-L1858</f>
        <v>214164.81572000048</v>
      </c>
    </row>
    <row r="1859" spans="1:13">
      <c r="A1859" s="54" t="str">
        <f t="shared" si="34"/>
        <v/>
      </c>
      <c r="B1859" t="s">
        <v>1277</v>
      </c>
      <c r="C1859" s="1">
        <v>45811</v>
      </c>
      <c r="D1859" s="71"/>
      <c r="F1859" s="70"/>
      <c r="H1859" s="138"/>
      <c r="J1859" s="71" t="s">
        <v>1288</v>
      </c>
      <c r="K1859" s="325">
        <f>7737.5+13445.5</f>
        <v>21183</v>
      </c>
      <c r="L1859" s="354"/>
      <c r="M1859" s="136">
        <f>M1858+K1859-L1859</f>
        <v>235347.81572000048</v>
      </c>
    </row>
    <row r="1860" spans="1:13">
      <c r="A1860" s="54" t="str">
        <f>D1860&amp;E1860&amp;F1860</f>
        <v>FINANZASCOMISIONES BANCARIASTPV</v>
      </c>
      <c r="B1860" t="s">
        <v>1277</v>
      </c>
      <c r="C1860" s="1">
        <v>45811</v>
      </c>
      <c r="D1860" s="71" t="s">
        <v>23</v>
      </c>
      <c r="E1860" s="71" t="s">
        <v>48</v>
      </c>
      <c r="F1860" s="70" t="s">
        <v>50</v>
      </c>
      <c r="G1860" s="71" t="s">
        <v>216</v>
      </c>
      <c r="H1860" s="138"/>
      <c r="J1860" s="71" t="s">
        <v>217</v>
      </c>
      <c r="L1860" s="321">
        <f>185.59+154.64+16.08+1487.37+1434.78+609.44+10.44</f>
        <v>3898.34</v>
      </c>
      <c r="M1860" s="136">
        <f>M1859+K1860-L1860</f>
        <v>231449.47572000048</v>
      </c>
    </row>
    <row r="1861" spans="1:13">
      <c r="A1861" s="54" t="str">
        <f t="shared" si="34"/>
        <v/>
      </c>
      <c r="B1861" t="s">
        <v>1277</v>
      </c>
      <c r="C1861" s="1">
        <v>45811</v>
      </c>
      <c r="D1861" s="71"/>
      <c r="F1861" s="70"/>
      <c r="H1861" s="138"/>
      <c r="J1861" s="205" t="s">
        <v>220</v>
      </c>
      <c r="K1861" s="206"/>
      <c r="L1861" s="206">
        <v>200000</v>
      </c>
      <c r="M1861" s="136">
        <f>M1860+K1861-L1861</f>
        <v>31449.475720000482</v>
      </c>
    </row>
    <row r="1862" spans="1:13">
      <c r="A1862" s="54" t="str">
        <f t="shared" si="34"/>
        <v/>
      </c>
      <c r="B1862" t="s">
        <v>1277</v>
      </c>
      <c r="C1862" s="1">
        <v>45811</v>
      </c>
      <c r="D1862" s="71"/>
      <c r="F1862" s="70"/>
      <c r="H1862" s="138"/>
      <c r="J1862" s="205" t="s">
        <v>563</v>
      </c>
      <c r="K1862" s="206"/>
      <c r="L1862" s="206"/>
      <c r="M1862" s="136">
        <f>M1861+K1862-L1862</f>
        <v>31449.475720000482</v>
      </c>
    </row>
    <row r="1863" spans="1:13">
      <c r="A1863" s="54" t="str">
        <f>D1863&amp;E1863&amp;F1863</f>
        <v>SERVICIOSMTTO DE EDIFICIOMANTENIMIENTO</v>
      </c>
      <c r="B1863" t="s">
        <v>1277</v>
      </c>
      <c r="C1863" s="1">
        <v>45811</v>
      </c>
      <c r="D1863" s="71" t="s">
        <v>21</v>
      </c>
      <c r="E1863" s="71" t="s">
        <v>142</v>
      </c>
      <c r="F1863" s="70" t="s">
        <v>35</v>
      </c>
      <c r="G1863" s="71" t="s">
        <v>216</v>
      </c>
      <c r="H1863" s="138"/>
      <c r="J1863" s="71" t="s">
        <v>1289</v>
      </c>
      <c r="L1863" s="321">
        <v>5117.92</v>
      </c>
      <c r="M1863" s="136">
        <f>M1862+K1863-L1863</f>
        <v>26331.555720000484</v>
      </c>
    </row>
    <row r="1864" spans="1:13">
      <c r="A1864" s="54" t="str">
        <f>D1864&amp;E1864&amp;F1864</f>
        <v>SERVICIOSALARMASUCURSALES CAPRICHOS</v>
      </c>
      <c r="B1864" t="s">
        <v>1277</v>
      </c>
      <c r="C1864" s="1">
        <v>45811</v>
      </c>
      <c r="D1864" s="71" t="s">
        <v>21</v>
      </c>
      <c r="E1864" s="71" t="s">
        <v>25</v>
      </c>
      <c r="F1864" s="70" t="s">
        <v>27</v>
      </c>
      <c r="H1864" s="138"/>
      <c r="J1864" s="71" t="s">
        <v>1290</v>
      </c>
      <c r="L1864" s="326">
        <v>386.4</v>
      </c>
      <c r="M1864" s="136">
        <f>M1863+K1864-L1864</f>
        <v>25945.155720000483</v>
      </c>
    </row>
    <row r="1865" spans="1:13">
      <c r="A1865" s="54" t="str">
        <f>D1865&amp;E1865&amp;F1865</f>
        <v>SERVICIOSADQ DE EQ TECNOLOGICOADQ DE EQ TECNOLOGICO</v>
      </c>
      <c r="B1865" t="s">
        <v>1277</v>
      </c>
      <c r="C1865" s="1">
        <v>45811</v>
      </c>
      <c r="D1865" s="71" t="s">
        <v>21</v>
      </c>
      <c r="E1865" s="71" t="s">
        <v>22</v>
      </c>
      <c r="F1865" s="70" t="s">
        <v>22</v>
      </c>
      <c r="G1865" s="71" t="s">
        <v>216</v>
      </c>
      <c r="H1865" s="138"/>
      <c r="J1865" s="71" t="s">
        <v>1291</v>
      </c>
      <c r="L1865" s="326">
        <v>3797</v>
      </c>
      <c r="M1865" s="136">
        <f>M1864+K1865-L1865</f>
        <v>22148.155720000483</v>
      </c>
    </row>
    <row r="1866" spans="1:13">
      <c r="A1866" s="54" t="str">
        <f>D1866&amp;E1866&amp;F1866</f>
        <v>SERVICIOSADQ DE EQ TECNOLOGICOADQ DE EQ TECNOLOGICO</v>
      </c>
      <c r="B1866" t="s">
        <v>1277</v>
      </c>
      <c r="C1866" s="1">
        <v>45811</v>
      </c>
      <c r="D1866" s="71" t="s">
        <v>21</v>
      </c>
      <c r="E1866" s="71" t="s">
        <v>22</v>
      </c>
      <c r="F1866" s="70" t="s">
        <v>22</v>
      </c>
      <c r="G1866" s="71" t="s">
        <v>216</v>
      </c>
      <c r="H1866" s="138"/>
      <c r="J1866" s="71" t="s">
        <v>1292</v>
      </c>
      <c r="L1866" s="326">
        <v>811</v>
      </c>
      <c r="M1866" s="136">
        <f>M1865+K1866-L1866</f>
        <v>21337.155720000483</v>
      </c>
    </row>
    <row r="1867" spans="1:13">
      <c r="A1867" s="54" t="str">
        <f>D1867&amp;E1867&amp;F1867</f>
        <v>CAPVIATICOSCAPRICHOS</v>
      </c>
      <c r="B1867" t="s">
        <v>1277</v>
      </c>
      <c r="C1867" s="1">
        <v>45811</v>
      </c>
      <c r="D1867" s="71" t="s">
        <v>31</v>
      </c>
      <c r="E1867" s="71" t="s">
        <v>191</v>
      </c>
      <c r="F1867" s="70" t="s">
        <v>33</v>
      </c>
      <c r="G1867" s="71" t="s">
        <v>216</v>
      </c>
      <c r="H1867" s="138"/>
      <c r="J1867" s="71" t="s">
        <v>1293</v>
      </c>
      <c r="L1867" s="321">
        <v>1000</v>
      </c>
      <c r="M1867" s="136">
        <f>M1866+K1867-L1867</f>
        <v>20337.155720000483</v>
      </c>
    </row>
    <row r="1868" spans="1:13">
      <c r="A1868" s="54" t="str">
        <f>D1868&amp;E1868&amp;F1868</f>
        <v>HRUBERHR</v>
      </c>
      <c r="B1868" t="s">
        <v>1277</v>
      </c>
      <c r="C1868" s="1">
        <v>45811</v>
      </c>
      <c r="D1868" s="71" t="s">
        <v>29</v>
      </c>
      <c r="E1868" s="71" t="s">
        <v>189</v>
      </c>
      <c r="F1868" s="70" t="s">
        <v>29</v>
      </c>
      <c r="G1868" s="71" t="s">
        <v>216</v>
      </c>
      <c r="H1868" s="138"/>
      <c r="J1868" s="76" t="s">
        <v>308</v>
      </c>
      <c r="L1868" s="526">
        <v>144</v>
      </c>
      <c r="M1868" s="136">
        <f>M1867+K1868-L1868</f>
        <v>20193.155720000483</v>
      </c>
    </row>
    <row r="1869" spans="1:13">
      <c r="A1869" s="54" t="str">
        <f>D1869&amp;E1869&amp;F1869</f>
        <v>HRVIATICOSHR</v>
      </c>
      <c r="B1869" t="s">
        <v>1277</v>
      </c>
      <c r="C1869" s="1">
        <v>45811</v>
      </c>
      <c r="D1869" s="71" t="s">
        <v>29</v>
      </c>
      <c r="E1869" s="71" t="s">
        <v>191</v>
      </c>
      <c r="F1869" s="70" t="s">
        <v>29</v>
      </c>
      <c r="G1869" s="71" t="s">
        <v>216</v>
      </c>
      <c r="H1869" s="138"/>
      <c r="J1869" s="76" t="s">
        <v>1193</v>
      </c>
      <c r="L1869" s="331">
        <v>5</v>
      </c>
      <c r="M1869" s="136">
        <f>M1868+K1869-L1869</f>
        <v>20188.155720000483</v>
      </c>
    </row>
    <row r="1870" spans="1:13">
      <c r="A1870" s="54" t="str">
        <f>D1870&amp;E1870&amp;F1870</f>
        <v>HRJMASA11</v>
      </c>
      <c r="B1870" t="s">
        <v>1277</v>
      </c>
      <c r="C1870" s="1">
        <v>45811</v>
      </c>
      <c r="D1870" s="71" t="s">
        <v>29</v>
      </c>
      <c r="E1870" s="71" t="s">
        <v>137</v>
      </c>
      <c r="F1870" s="70" t="s">
        <v>97</v>
      </c>
      <c r="G1870" s="71" t="s">
        <v>216</v>
      </c>
      <c r="H1870" s="138"/>
      <c r="J1870" s="76" t="s">
        <v>429</v>
      </c>
      <c r="L1870" s="331">
        <v>563</v>
      </c>
      <c r="M1870" s="136">
        <f>M1869+K1870-L1870</f>
        <v>19625.155720000483</v>
      </c>
    </row>
    <row r="1871" spans="1:13">
      <c r="A1871" s="54" t="str">
        <f>D1871&amp;E1871&amp;F1871</f>
        <v>SERVICIOSMTTO DE EDIFICIOMANTENIMIENTO</v>
      </c>
      <c r="B1871" t="s">
        <v>1277</v>
      </c>
      <c r="C1871" s="1">
        <v>45811</v>
      </c>
      <c r="D1871" s="71" t="s">
        <v>21</v>
      </c>
      <c r="E1871" s="71" t="s">
        <v>142</v>
      </c>
      <c r="F1871" s="70" t="s">
        <v>35</v>
      </c>
      <c r="G1871" s="71" t="s">
        <v>216</v>
      </c>
      <c r="H1871" s="138"/>
      <c r="J1871" s="76" t="s">
        <v>1294</v>
      </c>
      <c r="L1871" s="332">
        <v>170</v>
      </c>
      <c r="M1871" s="136">
        <f>M1870+K1871-L1871</f>
        <v>19455.155720000483</v>
      </c>
    </row>
    <row r="1872" spans="1:13">
      <c r="A1872" s="54" t="str">
        <f>D1872&amp;E1872&amp;F1872</f>
        <v>HRJMASA24</v>
      </c>
      <c r="B1872" t="s">
        <v>1277</v>
      </c>
      <c r="C1872" s="1">
        <v>45811</v>
      </c>
      <c r="D1872" s="71" t="s">
        <v>29</v>
      </c>
      <c r="E1872" s="71" t="s">
        <v>137</v>
      </c>
      <c r="F1872" s="70" t="s">
        <v>106</v>
      </c>
      <c r="G1872" s="71" t="s">
        <v>216</v>
      </c>
      <c r="H1872" s="138"/>
      <c r="J1872" s="76" t="s">
        <v>662</v>
      </c>
      <c r="L1872" s="331">
        <v>550</v>
      </c>
      <c r="M1872" s="136">
        <f>M1871+K1872-L1872</f>
        <v>18905.155720000483</v>
      </c>
    </row>
    <row r="1873" spans="1:13">
      <c r="A1873" s="54" t="str">
        <f>D1873&amp;E1873&amp;F1873</f>
        <v>CAPUBERCAP</v>
      </c>
      <c r="B1873" t="s">
        <v>1277</v>
      </c>
      <c r="C1873" s="1">
        <v>45811</v>
      </c>
      <c r="D1873" s="71" t="s">
        <v>31</v>
      </c>
      <c r="E1873" s="71" t="s">
        <v>189</v>
      </c>
      <c r="F1873" s="70" t="s">
        <v>31</v>
      </c>
      <c r="G1873" s="71" t="s">
        <v>216</v>
      </c>
      <c r="H1873" s="138"/>
      <c r="J1873" s="76" t="s">
        <v>253</v>
      </c>
      <c r="L1873" s="526">
        <v>400</v>
      </c>
      <c r="M1873" s="136">
        <f>M1872+K1873-L1873</f>
        <v>18505.155720000483</v>
      </c>
    </row>
    <row r="1874" spans="1:13">
      <c r="A1874" s="54" t="str">
        <f>D1874&amp;E1874&amp;F1874</f>
        <v>CAPUBERCAP</v>
      </c>
      <c r="B1874" t="s">
        <v>1277</v>
      </c>
      <c r="C1874" s="1">
        <v>45811</v>
      </c>
      <c r="D1874" s="71" t="s">
        <v>31</v>
      </c>
      <c r="E1874" s="71" t="s">
        <v>189</v>
      </c>
      <c r="F1874" s="70" t="s">
        <v>31</v>
      </c>
      <c r="G1874" s="71" t="s">
        <v>216</v>
      </c>
      <c r="H1874" s="138"/>
      <c r="J1874" s="76" t="s">
        <v>257</v>
      </c>
      <c r="L1874" s="526">
        <v>50</v>
      </c>
      <c r="M1874" s="136">
        <f>M1873+K1874-L1874</f>
        <v>18455.155720000483</v>
      </c>
    </row>
    <row r="1875" spans="1:13">
      <c r="A1875" s="54" t="str">
        <f>D1875&amp;E1875&amp;F1875</f>
        <v>CAPCOMBUSTIBLECAPRICHOS</v>
      </c>
      <c r="B1875" t="s">
        <v>1277</v>
      </c>
      <c r="C1875" s="1">
        <v>45811</v>
      </c>
      <c r="D1875" s="71" t="s">
        <v>31</v>
      </c>
      <c r="E1875" s="71" t="s">
        <v>32</v>
      </c>
      <c r="F1875" s="70" t="s">
        <v>33</v>
      </c>
      <c r="G1875" s="71" t="s">
        <v>216</v>
      </c>
      <c r="H1875" s="138"/>
      <c r="J1875" s="76" t="s">
        <v>1195</v>
      </c>
      <c r="L1875" s="331">
        <v>300</v>
      </c>
      <c r="M1875" s="136">
        <f>M1874+K1875-L1875</f>
        <v>18155.155720000483</v>
      </c>
    </row>
    <row r="1876" spans="1:13">
      <c r="A1876" s="54" t="str">
        <f t="shared" ref="A1868:A1931" si="35">D1876&amp;E1876&amp;F1876</f>
        <v/>
      </c>
      <c r="B1876" t="s">
        <v>1277</v>
      </c>
      <c r="C1876" s="1">
        <v>45812</v>
      </c>
      <c r="D1876" s="71"/>
      <c r="F1876" s="70"/>
      <c r="H1876" s="138"/>
      <c r="J1876" s="71" t="s">
        <v>260</v>
      </c>
      <c r="K1876" s="325">
        <f>243696.5-7662</f>
        <v>236034.5</v>
      </c>
      <c r="L1876" s="354"/>
      <c r="M1876" s="136">
        <f>M1875+K1876-L1876</f>
        <v>254189.65572000048</v>
      </c>
    </row>
    <row r="1877" spans="1:13">
      <c r="A1877" s="54" t="str">
        <f>D1877&amp;E1877&amp;F1877</f>
        <v>FINANZASCOMISIONES BANCARIASTPV</v>
      </c>
      <c r="B1877" t="s">
        <v>1277</v>
      </c>
      <c r="C1877" s="1">
        <v>45812</v>
      </c>
      <c r="D1877" s="71" t="s">
        <v>23</v>
      </c>
      <c r="E1877" s="71" t="s">
        <v>48</v>
      </c>
      <c r="F1877" s="70" t="s">
        <v>50</v>
      </c>
      <c r="H1877" s="138"/>
      <c r="J1877" s="71" t="s">
        <v>217</v>
      </c>
      <c r="L1877" s="321">
        <f>215.87+230.78+112.34+1683.33+1087.67+398.8+3.48+20.88</f>
        <v>3753.15</v>
      </c>
      <c r="M1877" s="136">
        <f>M1876+K1877-L1877</f>
        <v>250436.50572000048</v>
      </c>
    </row>
    <row r="1878" spans="1:13">
      <c r="A1878" s="54" t="str">
        <f t="shared" si="35"/>
        <v/>
      </c>
      <c r="B1878" t="s">
        <v>1277</v>
      </c>
      <c r="C1878" s="1">
        <v>45812</v>
      </c>
      <c r="D1878" s="71"/>
      <c r="F1878" s="70"/>
      <c r="H1878" s="138"/>
      <c r="J1878" s="205" t="s">
        <v>220</v>
      </c>
      <c r="K1878" s="206"/>
      <c r="L1878" s="206">
        <v>200000</v>
      </c>
      <c r="M1878" s="136">
        <f>M1877+K1878-L1878</f>
        <v>50436.505720000481</v>
      </c>
    </row>
    <row r="1879" spans="1:13">
      <c r="A1879" s="54" t="str">
        <f t="shared" si="35"/>
        <v/>
      </c>
      <c r="B1879" t="s">
        <v>1277</v>
      </c>
      <c r="C1879" s="1">
        <v>45812</v>
      </c>
      <c r="D1879" s="71"/>
      <c r="F1879" s="70"/>
      <c r="H1879" s="138"/>
      <c r="J1879" s="205" t="s">
        <v>563</v>
      </c>
      <c r="K1879" s="206"/>
      <c r="L1879" s="206"/>
      <c r="M1879" s="136">
        <f>M1878+K1879-L1879</f>
        <v>50436.505720000481</v>
      </c>
    </row>
    <row r="1880" spans="1:13">
      <c r="A1880" s="54" t="str">
        <f>D1880&amp;E1880&amp;F1880</f>
        <v>SERVICIOSINSUMOSSISTEMAS</v>
      </c>
      <c r="B1880" t="s">
        <v>1277</v>
      </c>
      <c r="C1880" s="1">
        <v>45812</v>
      </c>
      <c r="D1880" s="71" t="s">
        <v>21</v>
      </c>
      <c r="E1880" s="71" t="s">
        <v>133</v>
      </c>
      <c r="F1880" s="70" t="s">
        <v>36</v>
      </c>
      <c r="G1880" s="71" t="s">
        <v>216</v>
      </c>
      <c r="H1880" s="138"/>
      <c r="J1880" s="71" t="s">
        <v>1295</v>
      </c>
      <c r="L1880" s="326">
        <v>9309.16</v>
      </c>
      <c r="M1880" s="136">
        <f>M1879+K1880-L1880</f>
        <v>41127.345720000478</v>
      </c>
    </row>
    <row r="1881" spans="1:13">
      <c r="A1881" s="54" t="str">
        <f>D1881&amp;E1881&amp;F1881</f>
        <v>SERVICIOSMTTO DE EDIFICIOMANTENIMIENTO</v>
      </c>
      <c r="B1881" t="s">
        <v>1277</v>
      </c>
      <c r="C1881" s="1">
        <v>45812</v>
      </c>
      <c r="D1881" s="71" t="s">
        <v>21</v>
      </c>
      <c r="E1881" s="71" t="s">
        <v>142</v>
      </c>
      <c r="F1881" s="70" t="s">
        <v>35</v>
      </c>
      <c r="G1881" s="71" t="s">
        <v>216</v>
      </c>
      <c r="H1881" s="138"/>
      <c r="J1881" s="71" t="s">
        <v>1296</v>
      </c>
      <c r="L1881" s="321">
        <v>1510.3</v>
      </c>
      <c r="M1881" s="136">
        <f>M1880+K1881-L1881</f>
        <v>39617.045720000475</v>
      </c>
    </row>
    <row r="1882" spans="1:13">
      <c r="A1882" s="54" t="str">
        <f>D1882&amp;E1882&amp;F1882</f>
        <v>SERVICIOSALARMACEDIS</v>
      </c>
      <c r="B1882" t="s">
        <v>1277</v>
      </c>
      <c r="C1882" s="1">
        <v>45812</v>
      </c>
      <c r="D1882" s="71" t="s">
        <v>21</v>
      </c>
      <c r="E1882" s="71" t="s">
        <v>25</v>
      </c>
      <c r="F1882" s="70" t="s">
        <v>28</v>
      </c>
      <c r="G1882" s="71" t="s">
        <v>216</v>
      </c>
      <c r="H1882" s="138"/>
      <c r="J1882" s="71" t="s">
        <v>1297</v>
      </c>
      <c r="L1882" s="326">
        <v>560</v>
      </c>
      <c r="M1882" s="136">
        <f>M1881+K1882-L1882</f>
        <v>39057.045720000475</v>
      </c>
    </row>
    <row r="1883" spans="1:13">
      <c r="A1883" s="54" t="str">
        <f>D1883&amp;E1883&amp;F1883</f>
        <v>HRMKTMKT HR</v>
      </c>
      <c r="B1883" t="s">
        <v>1277</v>
      </c>
      <c r="C1883" s="1">
        <v>45812</v>
      </c>
      <c r="D1883" s="71" t="s">
        <v>29</v>
      </c>
      <c r="E1883" s="71" t="s">
        <v>19</v>
      </c>
      <c r="F1883" s="70" t="s">
        <v>138</v>
      </c>
      <c r="G1883" s="71" t="s">
        <v>216</v>
      </c>
      <c r="H1883" s="138"/>
      <c r="J1883" s="71" t="s">
        <v>1298</v>
      </c>
      <c r="L1883" s="326">
        <v>800</v>
      </c>
      <c r="M1883" s="136">
        <f>M1882+K1883-L1883</f>
        <v>38257.045720000475</v>
      </c>
    </row>
    <row r="1884" spans="1:13">
      <c r="A1884" s="54" t="str">
        <f>D1884&amp;E1884&amp;F1884</f>
        <v>FINANZASCUOTAS Y SUSCRIPCIONESCANACO</v>
      </c>
      <c r="B1884" t="s">
        <v>1277</v>
      </c>
      <c r="C1884" s="1">
        <v>45812</v>
      </c>
      <c r="D1884" s="71" t="s">
        <v>23</v>
      </c>
      <c r="E1884" s="71" t="s">
        <v>51</v>
      </c>
      <c r="F1884" s="70" t="s">
        <v>67</v>
      </c>
      <c r="G1884" s="71" t="s">
        <v>258</v>
      </c>
      <c r="H1884" s="138"/>
      <c r="J1884" s="71" t="s">
        <v>1299</v>
      </c>
      <c r="L1884" s="326">
        <v>2400</v>
      </c>
      <c r="M1884" s="136">
        <f>M1883+K1884-L1884</f>
        <v>35857.045720000475</v>
      </c>
    </row>
    <row r="1885" spans="1:13">
      <c r="A1885" s="54" t="str">
        <f>D1885&amp;E1885&amp;F1885</f>
        <v>HRIMAGEN VISUALIMAGEN VISUAL HR</v>
      </c>
      <c r="B1885" t="s">
        <v>1277</v>
      </c>
      <c r="C1885" s="1">
        <v>45812</v>
      </c>
      <c r="D1885" s="71" t="s">
        <v>29</v>
      </c>
      <c r="E1885" s="71" t="s">
        <v>127</v>
      </c>
      <c r="F1885" s="70" t="s">
        <v>128</v>
      </c>
      <c r="G1885" s="71" t="s">
        <v>216</v>
      </c>
      <c r="H1885" s="138"/>
      <c r="J1885" s="71" t="s">
        <v>1300</v>
      </c>
      <c r="L1885" s="326">
        <v>2200</v>
      </c>
      <c r="M1885" s="136">
        <f>M1884+K1885-L1885</f>
        <v>33657.045720000475</v>
      </c>
    </row>
    <row r="1886" spans="1:13">
      <c r="A1886" s="54" t="str">
        <f>D1886&amp;E1886&amp;F1886</f>
        <v>HRVIATICOSHR</v>
      </c>
      <c r="B1886" t="s">
        <v>1277</v>
      </c>
      <c r="C1886" s="1">
        <v>45812</v>
      </c>
      <c r="D1886" s="71" t="s">
        <v>29</v>
      </c>
      <c r="E1886" s="71" t="s">
        <v>191</v>
      </c>
      <c r="F1886" s="70" t="s">
        <v>29</v>
      </c>
      <c r="G1886" s="71" t="s">
        <v>216</v>
      </c>
      <c r="H1886" s="138"/>
      <c r="J1886" s="71" t="s">
        <v>1301</v>
      </c>
      <c r="L1886" s="326">
        <v>1800</v>
      </c>
      <c r="M1886" s="136">
        <f>M1885+K1886-L1886</f>
        <v>31857.045720000475</v>
      </c>
    </row>
    <row r="1887" spans="1:13">
      <c r="A1887" s="54" t="str">
        <f>D1887&amp;E1887&amp;F1887</f>
        <v>SERVICIOSMTTO DE EDIFICIOMANTENIMIENTO</v>
      </c>
      <c r="B1887" t="s">
        <v>1277</v>
      </c>
      <c r="C1887" s="1">
        <v>45812</v>
      </c>
      <c r="D1887" s="71" t="s">
        <v>21</v>
      </c>
      <c r="E1887" s="71" t="s">
        <v>142</v>
      </c>
      <c r="F1887" s="70" t="s">
        <v>35</v>
      </c>
      <c r="G1887" s="71" t="s">
        <v>216</v>
      </c>
      <c r="H1887" s="138"/>
      <c r="J1887" s="71" t="s">
        <v>1302</v>
      </c>
      <c r="L1887" s="321">
        <v>615</v>
      </c>
      <c r="M1887" s="136">
        <f>M1886+K1887-L1887</f>
        <v>31242.045720000475</v>
      </c>
    </row>
    <row r="1888" spans="1:13">
      <c r="A1888" s="54" t="str">
        <f>D1888&amp;E1888&amp;F1888</f>
        <v>FINANZASCOMBUSTIBLETESORERIA</v>
      </c>
      <c r="B1888" t="s">
        <v>1277</v>
      </c>
      <c r="C1888" s="1">
        <v>45812</v>
      </c>
      <c r="D1888" s="71" t="s">
        <v>23</v>
      </c>
      <c r="E1888" s="71" t="s">
        <v>32</v>
      </c>
      <c r="F1888" s="70" t="s">
        <v>38</v>
      </c>
      <c r="G1888" s="71" t="s">
        <v>216</v>
      </c>
      <c r="H1888" s="138"/>
      <c r="J1888" s="71" t="s">
        <v>1303</v>
      </c>
      <c r="L1888" s="326">
        <v>150</v>
      </c>
      <c r="M1888" s="136">
        <f>M1887+K1888-L1888</f>
        <v>31092.045720000475</v>
      </c>
    </row>
    <row r="1889" spans="1:13">
      <c r="A1889" s="54" t="str">
        <f>D1889&amp;E1889&amp;F1889</f>
        <v>HRUBERHR</v>
      </c>
      <c r="B1889" t="s">
        <v>1277</v>
      </c>
      <c r="C1889" s="1">
        <v>45812</v>
      </c>
      <c r="D1889" s="71" t="s">
        <v>29</v>
      </c>
      <c r="E1889" s="71" t="s">
        <v>189</v>
      </c>
      <c r="F1889" s="70" t="s">
        <v>29</v>
      </c>
      <c r="G1889" s="71" t="s">
        <v>216</v>
      </c>
      <c r="H1889" s="138"/>
      <c r="J1889" s="76" t="s">
        <v>291</v>
      </c>
      <c r="L1889" s="526">
        <v>100</v>
      </c>
      <c r="M1889" s="136">
        <f>M1888+K1889-L1889</f>
        <v>30992.045720000475</v>
      </c>
    </row>
    <row r="1890" spans="1:13">
      <c r="A1890" s="54" t="str">
        <f>D1890&amp;E1890&amp;F1890</f>
        <v>HRUBERHR</v>
      </c>
      <c r="B1890" t="s">
        <v>1277</v>
      </c>
      <c r="C1890" s="1">
        <v>45812</v>
      </c>
      <c r="D1890" s="71" t="s">
        <v>29</v>
      </c>
      <c r="E1890" s="71" t="s">
        <v>189</v>
      </c>
      <c r="F1890" s="70" t="s">
        <v>29</v>
      </c>
      <c r="G1890" s="71" t="s">
        <v>216</v>
      </c>
      <c r="H1890" s="138"/>
      <c r="J1890" s="76" t="s">
        <v>249</v>
      </c>
      <c r="L1890" s="526">
        <v>140</v>
      </c>
      <c r="M1890" s="136">
        <f>M1889+K1890-L1890</f>
        <v>30852.045720000475</v>
      </c>
    </row>
    <row r="1891" spans="1:13">
      <c r="A1891" s="54" t="str">
        <f>D1891&amp;E1891&amp;F1891</f>
        <v>CAPUBERCAP</v>
      </c>
      <c r="B1891" t="s">
        <v>1277</v>
      </c>
      <c r="C1891" s="1">
        <v>45812</v>
      </c>
      <c r="D1891" s="71" t="s">
        <v>31</v>
      </c>
      <c r="E1891" s="71" t="s">
        <v>189</v>
      </c>
      <c r="F1891" s="70" t="s">
        <v>31</v>
      </c>
      <c r="G1891" s="71" t="s">
        <v>216</v>
      </c>
      <c r="H1891" s="138"/>
      <c r="J1891" s="76" t="s">
        <v>489</v>
      </c>
      <c r="L1891" s="526">
        <v>245</v>
      </c>
      <c r="M1891" s="136">
        <f>M1890+K1891-L1891</f>
        <v>30607.045720000475</v>
      </c>
    </row>
    <row r="1892" spans="1:13">
      <c r="A1892" s="54" t="str">
        <f>D1892&amp;E1892&amp;F1892</f>
        <v>CAPINSUMOSCAPRICHOS</v>
      </c>
      <c r="B1892" t="s">
        <v>1277</v>
      </c>
      <c r="C1892" s="1">
        <v>45812</v>
      </c>
      <c r="D1892" s="71" t="s">
        <v>31</v>
      </c>
      <c r="E1892" s="71" t="s">
        <v>133</v>
      </c>
      <c r="F1892" s="70" t="s">
        <v>33</v>
      </c>
      <c r="G1892" s="71" t="s">
        <v>216</v>
      </c>
      <c r="H1892" s="138"/>
      <c r="J1892" s="76" t="s">
        <v>929</v>
      </c>
      <c r="L1892" s="331">
        <v>159</v>
      </c>
      <c r="M1892" s="136">
        <f>M1891+K1892-L1892</f>
        <v>30448.045720000475</v>
      </c>
    </row>
    <row r="1893" spans="1:13">
      <c r="A1893" s="54" t="str">
        <f t="shared" si="35"/>
        <v/>
      </c>
      <c r="B1893" t="s">
        <v>1277</v>
      </c>
      <c r="C1893" s="1">
        <v>45813</v>
      </c>
      <c r="D1893" s="71"/>
      <c r="F1893" s="70"/>
      <c r="H1893" s="138"/>
      <c r="J1893" s="71" t="s">
        <v>260</v>
      </c>
      <c r="K1893" s="325">
        <f>200060.19-8523</f>
        <v>191537.19</v>
      </c>
      <c r="L1893" s="354"/>
      <c r="M1893" s="136">
        <f>M1892+K1893-L1893</f>
        <v>221985.23572000046</v>
      </c>
    </row>
    <row r="1894" spans="1:13">
      <c r="A1894" s="54" t="str">
        <f>D1894&amp;E1894&amp;F1894</f>
        <v>FINANZASCOMISIONES BANCARIASTPV</v>
      </c>
      <c r="B1894" t="s">
        <v>1277</v>
      </c>
      <c r="C1894" s="1">
        <v>45813</v>
      </c>
      <c r="D1894" s="71" t="s">
        <v>23</v>
      </c>
      <c r="E1894" s="71" t="s">
        <v>48</v>
      </c>
      <c r="F1894" s="70" t="s">
        <v>50</v>
      </c>
      <c r="G1894" s="71" t="s">
        <v>216</v>
      </c>
      <c r="H1894" s="138"/>
      <c r="J1894" s="71" t="s">
        <v>217</v>
      </c>
      <c r="L1894" s="321">
        <f>5.8+5.8+290.91+115.47+125.71+1539.07+1145.48+539.62+3.48+13.92</f>
        <v>3785.26</v>
      </c>
      <c r="M1894" s="136">
        <f>M1893+K1894-L1894</f>
        <v>218199.97572000045</v>
      </c>
    </row>
    <row r="1895" spans="1:13">
      <c r="A1895" s="54" t="str">
        <f>D1895&amp;E1895&amp;F1895</f>
        <v>FINANZASCOMISIONES BANCARIASMANEJO DE CUENTA</v>
      </c>
      <c r="B1895" t="s">
        <v>1277</v>
      </c>
      <c r="C1895" s="1">
        <v>45813</v>
      </c>
      <c r="D1895" s="71" t="s">
        <v>23</v>
      </c>
      <c r="E1895" s="71" t="s">
        <v>48</v>
      </c>
      <c r="F1895" s="70" t="s">
        <v>49</v>
      </c>
      <c r="G1895" s="71" t="s">
        <v>216</v>
      </c>
      <c r="H1895" s="138"/>
      <c r="J1895" s="71" t="s">
        <v>218</v>
      </c>
      <c r="L1895" s="326">
        <f>319+11.6</f>
        <v>330.6</v>
      </c>
      <c r="M1895" s="136">
        <f>M1894+K1895-L1895</f>
        <v>217869.37572000045</v>
      </c>
    </row>
    <row r="1896" spans="1:13">
      <c r="A1896" s="54" t="str">
        <f t="shared" si="35"/>
        <v/>
      </c>
      <c r="B1896" t="s">
        <v>1277</v>
      </c>
      <c r="C1896" s="1">
        <v>45813</v>
      </c>
      <c r="D1896" s="71"/>
      <c r="F1896" s="70"/>
      <c r="H1896" s="138"/>
      <c r="J1896" s="205" t="s">
        <v>220</v>
      </c>
      <c r="K1896" s="206"/>
      <c r="L1896" s="206"/>
      <c r="M1896" s="136">
        <f>M1895+K1896-L1896</f>
        <v>217869.37572000045</v>
      </c>
    </row>
    <row r="1897" spans="1:13">
      <c r="A1897" s="54" t="str">
        <f t="shared" si="35"/>
        <v/>
      </c>
      <c r="B1897" t="s">
        <v>1277</v>
      </c>
      <c r="C1897" s="1">
        <v>45813</v>
      </c>
      <c r="D1897" s="71"/>
      <c r="F1897" s="70"/>
      <c r="H1897" s="138"/>
      <c r="J1897" s="205" t="s">
        <v>563</v>
      </c>
      <c r="K1897" s="206"/>
      <c r="L1897" s="206"/>
      <c r="M1897" s="136">
        <f>M1896+K1897-L1897</f>
        <v>217869.37572000045</v>
      </c>
    </row>
    <row r="1898" spans="1:13">
      <c r="A1898" s="54" t="str">
        <f>D1898&amp;E1898&amp;F1898</f>
        <v>FINANZASRENTASCONTABILIDAD (WT)</v>
      </c>
      <c r="B1898" t="s">
        <v>1277</v>
      </c>
      <c r="C1898" s="1">
        <v>45813</v>
      </c>
      <c r="D1898" s="71" t="s">
        <v>23</v>
      </c>
      <c r="E1898" s="71" t="s">
        <v>169</v>
      </c>
      <c r="F1898" s="70" t="s">
        <v>171</v>
      </c>
      <c r="G1898" s="71" t="s">
        <v>258</v>
      </c>
      <c r="H1898" s="138"/>
      <c r="J1898" s="71" t="s">
        <v>1304</v>
      </c>
      <c r="L1898" s="326">
        <v>15620</v>
      </c>
      <c r="M1898" s="136">
        <f>M1897+K1898-L1898</f>
        <v>202249.37572000045</v>
      </c>
    </row>
    <row r="1899" spans="1:13">
      <c r="A1899" s="54" t="str">
        <f t="shared" si="35"/>
        <v/>
      </c>
      <c r="B1899" t="s">
        <v>1277</v>
      </c>
      <c r="C1899" s="1">
        <v>45813</v>
      </c>
      <c r="D1899" s="71"/>
      <c r="F1899" s="70"/>
      <c r="H1899" s="138"/>
      <c r="J1899" s="71" t="s">
        <v>1305</v>
      </c>
      <c r="L1899" s="326">
        <v>146809.4</v>
      </c>
      <c r="M1899" s="136">
        <f>M1898+K1899-L1899</f>
        <v>55439.975720000453</v>
      </c>
    </row>
    <row r="1900" spans="1:13">
      <c r="A1900" s="54" t="str">
        <f>D1900&amp;E1900&amp;F1900</f>
        <v>SERVICIOSVIATICOSCOMPRAS</v>
      </c>
      <c r="B1900" t="s">
        <v>1277</v>
      </c>
      <c r="C1900" s="1">
        <v>45813</v>
      </c>
      <c r="D1900" s="71" t="s">
        <v>21</v>
      </c>
      <c r="E1900" s="71" t="s">
        <v>191</v>
      </c>
      <c r="F1900" s="70" t="s">
        <v>148</v>
      </c>
      <c r="G1900" s="71" t="s">
        <v>216</v>
      </c>
      <c r="H1900" s="138"/>
      <c r="J1900" s="71" t="s">
        <v>287</v>
      </c>
      <c r="L1900" s="326">
        <v>600</v>
      </c>
      <c r="M1900" s="136">
        <f>M1899+K1900-L1900</f>
        <v>54839.975720000453</v>
      </c>
    </row>
    <row r="1901" spans="1:13">
      <c r="A1901" s="54" t="str">
        <f>D1901&amp;E1901&amp;F1901</f>
        <v>CAPENERGIA ELECTRICAE8</v>
      </c>
      <c r="B1901" t="s">
        <v>1277</v>
      </c>
      <c r="C1901" s="1">
        <v>45813</v>
      </c>
      <c r="D1901" s="71" t="s">
        <v>31</v>
      </c>
      <c r="E1901" s="71" t="s">
        <v>87</v>
      </c>
      <c r="F1901" s="70" t="s">
        <v>114</v>
      </c>
      <c r="G1901" s="71" t="s">
        <v>216</v>
      </c>
      <c r="H1901" s="138"/>
      <c r="J1901" s="71" t="s">
        <v>1306</v>
      </c>
      <c r="L1901" s="326">
        <v>19871</v>
      </c>
      <c r="M1901" s="136">
        <f>M1900+K1901-L1901</f>
        <v>34968.975720000453</v>
      </c>
    </row>
    <row r="1902" spans="1:13">
      <c r="A1902" s="54" t="str">
        <f>D1902&amp;E1902&amp;F1902</f>
        <v>HRENERGIA ELECTRICAA18</v>
      </c>
      <c r="B1902" t="s">
        <v>1277</v>
      </c>
      <c r="C1902" s="1">
        <v>45813</v>
      </c>
      <c r="D1902" s="71" t="s">
        <v>29</v>
      </c>
      <c r="E1902" s="71" t="s">
        <v>87</v>
      </c>
      <c r="F1902" s="70" t="s">
        <v>103</v>
      </c>
      <c r="G1902" s="71" t="s">
        <v>216</v>
      </c>
      <c r="H1902" s="138"/>
      <c r="J1902" s="71" t="s">
        <v>1307</v>
      </c>
      <c r="L1902" s="326">
        <v>7153</v>
      </c>
      <c r="M1902" s="136">
        <f>M1901+K1902-L1902</f>
        <v>27815.975720000453</v>
      </c>
    </row>
    <row r="1903" spans="1:13">
      <c r="A1903" s="54" t="str">
        <f>D1903&amp;E1903&amp;F1903</f>
        <v>HRJMASA9</v>
      </c>
      <c r="B1903" t="s">
        <v>1277</v>
      </c>
      <c r="C1903" s="1">
        <v>45813</v>
      </c>
      <c r="D1903" s="71" t="s">
        <v>29</v>
      </c>
      <c r="E1903" s="71" t="s">
        <v>137</v>
      </c>
      <c r="F1903" s="70" t="s">
        <v>95</v>
      </c>
      <c r="G1903" s="71" t="s">
        <v>216</v>
      </c>
      <c r="H1903" s="138"/>
      <c r="J1903" s="71" t="s">
        <v>235</v>
      </c>
      <c r="L1903" s="326">
        <v>547</v>
      </c>
      <c r="M1903" s="136">
        <f>M1902+K1903-L1903</f>
        <v>27268.975720000453</v>
      </c>
    </row>
    <row r="1904" spans="1:13">
      <c r="A1904" s="54" t="str">
        <f>D1904&amp;E1904&amp;F1904</f>
        <v>HRJMASA2</v>
      </c>
      <c r="B1904" t="s">
        <v>1277</v>
      </c>
      <c r="C1904" s="1">
        <v>45813</v>
      </c>
      <c r="D1904" s="71" t="s">
        <v>29</v>
      </c>
      <c r="E1904" s="71" t="s">
        <v>137</v>
      </c>
      <c r="F1904" s="70" t="s">
        <v>89</v>
      </c>
      <c r="G1904" s="71" t="s">
        <v>216</v>
      </c>
      <c r="H1904" s="138"/>
      <c r="J1904" s="71" t="s">
        <v>236</v>
      </c>
      <c r="L1904" s="326">
        <v>818</v>
      </c>
      <c r="M1904" s="136">
        <f>M1903+K1904-L1904</f>
        <v>26450.975720000453</v>
      </c>
    </row>
    <row r="1905" spans="1:13">
      <c r="A1905" s="54" t="str">
        <f>D1905&amp;E1905&amp;F1905</f>
        <v>SERVICIOSPAQUETERIACT INTERNACIONAL</v>
      </c>
      <c r="B1905" t="s">
        <v>1277</v>
      </c>
      <c r="C1905" s="1">
        <v>45813</v>
      </c>
      <c r="D1905" s="71" t="s">
        <v>21</v>
      </c>
      <c r="E1905" s="71" t="s">
        <v>160</v>
      </c>
      <c r="F1905" s="70" t="s">
        <v>162</v>
      </c>
      <c r="G1905" s="71" t="s">
        <v>216</v>
      </c>
      <c r="H1905" s="138"/>
      <c r="J1905" s="71" t="s">
        <v>275</v>
      </c>
      <c r="L1905" s="326">
        <v>160</v>
      </c>
      <c r="M1905" s="136">
        <f>M1904+K1905-L1905</f>
        <v>26290.975720000453</v>
      </c>
    </row>
    <row r="1906" spans="1:13">
      <c r="A1906" s="54" t="str">
        <f>D1906&amp;E1906&amp;F1906</f>
        <v>HRUBERHR</v>
      </c>
      <c r="B1906" t="s">
        <v>1277</v>
      </c>
      <c r="C1906" s="1">
        <v>45813</v>
      </c>
      <c r="D1906" s="71" t="s">
        <v>29</v>
      </c>
      <c r="E1906" s="71" t="s">
        <v>189</v>
      </c>
      <c r="F1906" s="70" t="s">
        <v>29</v>
      </c>
      <c r="G1906" s="71" t="s">
        <v>216</v>
      </c>
      <c r="H1906" s="138"/>
      <c r="J1906" s="76" t="s">
        <v>802</v>
      </c>
      <c r="L1906" s="526">
        <v>233</v>
      </c>
      <c r="M1906" s="136">
        <f>M1905+K1906-L1906</f>
        <v>26057.975720000453</v>
      </c>
    </row>
    <row r="1907" spans="1:13">
      <c r="A1907" s="54" t="str">
        <f>D1907&amp;E1907&amp;F1907</f>
        <v>SERVICIOSMTTO DE EDIFICIOMANTENIMIENTO</v>
      </c>
      <c r="B1907" t="s">
        <v>1277</v>
      </c>
      <c r="C1907" s="1">
        <v>45813</v>
      </c>
      <c r="D1907" s="71" t="s">
        <v>21</v>
      </c>
      <c r="E1907" s="71" t="s">
        <v>142</v>
      </c>
      <c r="F1907" s="70" t="s">
        <v>35</v>
      </c>
      <c r="G1907" s="71" t="s">
        <v>216</v>
      </c>
      <c r="H1907" s="138"/>
      <c r="J1907" s="76" t="s">
        <v>1308</v>
      </c>
      <c r="L1907" s="332">
        <v>500</v>
      </c>
      <c r="M1907" s="136">
        <f>M1906+K1907-L1907</f>
        <v>25557.975720000453</v>
      </c>
    </row>
    <row r="1908" spans="1:13">
      <c r="A1908" s="54" t="str">
        <f>D1908&amp;E1908&amp;F1908</f>
        <v>HRUBERHR</v>
      </c>
      <c r="B1908" t="s">
        <v>1277</v>
      </c>
      <c r="C1908" s="1">
        <v>45813</v>
      </c>
      <c r="D1908" s="71" t="s">
        <v>29</v>
      </c>
      <c r="E1908" s="71" t="s">
        <v>189</v>
      </c>
      <c r="F1908" s="70" t="s">
        <v>29</v>
      </c>
      <c r="G1908" s="71" t="s">
        <v>216</v>
      </c>
      <c r="H1908" s="138"/>
      <c r="J1908" s="76" t="s">
        <v>249</v>
      </c>
      <c r="L1908" s="526">
        <v>50</v>
      </c>
      <c r="M1908" s="136">
        <f>M1907+K1908-L1908</f>
        <v>25507.975720000453</v>
      </c>
    </row>
    <row r="1909" spans="1:13">
      <c r="A1909" s="54" t="str">
        <f>D1909&amp;E1909&amp;F1909</f>
        <v>FINANZASCUOTAS Y SUSCRIPCIONESCANACO</v>
      </c>
      <c r="B1909" t="s">
        <v>1277</v>
      </c>
      <c r="C1909" s="1">
        <v>45813</v>
      </c>
      <c r="D1909" s="71" t="s">
        <v>23</v>
      </c>
      <c r="E1909" s="71" t="s">
        <v>51</v>
      </c>
      <c r="F1909" s="70" t="s">
        <v>67</v>
      </c>
      <c r="G1909" s="71" t="s">
        <v>258</v>
      </c>
      <c r="H1909" s="138"/>
      <c r="J1909" s="76" t="s">
        <v>1309</v>
      </c>
      <c r="L1909" s="331">
        <v>2400</v>
      </c>
      <c r="M1909" s="136">
        <f>M1908+K1909-L1909</f>
        <v>23107.975720000453</v>
      </c>
    </row>
    <row r="1910" spans="1:13">
      <c r="A1910" s="54" t="str">
        <f>D1910&amp;E1910&amp;F1910</f>
        <v>CAPUBERCAP</v>
      </c>
      <c r="B1910" t="s">
        <v>1277</v>
      </c>
      <c r="C1910" s="1">
        <v>45813</v>
      </c>
      <c r="D1910" s="71" t="s">
        <v>31</v>
      </c>
      <c r="E1910" s="71" t="s">
        <v>189</v>
      </c>
      <c r="F1910" s="70" t="s">
        <v>31</v>
      </c>
      <c r="G1910" s="71" t="s">
        <v>216</v>
      </c>
      <c r="H1910" s="138"/>
      <c r="J1910" s="76" t="s">
        <v>253</v>
      </c>
      <c r="L1910" s="526">
        <v>255</v>
      </c>
      <c r="M1910" s="136">
        <f>M1909+K1910-L1910</f>
        <v>22852.975720000453</v>
      </c>
    </row>
    <row r="1911" spans="1:13">
      <c r="A1911" s="54" t="str">
        <f t="shared" si="35"/>
        <v/>
      </c>
      <c r="B1911" t="s">
        <v>1277</v>
      </c>
      <c r="C1911" s="1">
        <v>45814</v>
      </c>
      <c r="D1911" s="71"/>
      <c r="F1911" s="70"/>
      <c r="H1911" s="138"/>
      <c r="J1911" s="71" t="s">
        <v>260</v>
      </c>
      <c r="K1911" s="325">
        <f>217928.32-13280</f>
        <v>204648.32000000001</v>
      </c>
      <c r="L1911" s="354"/>
      <c r="M1911" s="136">
        <f>M1910+K1911-L1911</f>
        <v>227501.29572000046</v>
      </c>
    </row>
    <row r="1912" spans="1:13">
      <c r="A1912" s="54" t="str">
        <f>D1912&amp;E1912&amp;F1912</f>
        <v>FINANZASCOMISIONES BANCARIASTPV</v>
      </c>
      <c r="B1912" t="s">
        <v>1277</v>
      </c>
      <c r="C1912" s="1">
        <v>45814</v>
      </c>
      <c r="D1912" s="71" t="s">
        <v>23</v>
      </c>
      <c r="E1912" s="71" t="s">
        <v>48</v>
      </c>
      <c r="F1912" s="70" t="s">
        <v>50</v>
      </c>
      <c r="G1912" s="71" t="s">
        <v>216</v>
      </c>
      <c r="H1912" s="138"/>
      <c r="J1912" s="71" t="s">
        <v>217</v>
      </c>
      <c r="L1912" s="321">
        <f>323.56+266.72+68.52+1737.42+1324.54+47.05+6.96+20.88+174</f>
        <v>3969.6500000000005</v>
      </c>
      <c r="M1912" s="136">
        <f>M1911+K1912-L1912</f>
        <v>223531.64572000047</v>
      </c>
    </row>
    <row r="1913" spans="1:13">
      <c r="A1913" s="54" t="str">
        <f t="shared" si="35"/>
        <v/>
      </c>
      <c r="B1913" t="s">
        <v>1277</v>
      </c>
      <c r="C1913" s="1">
        <v>45814</v>
      </c>
      <c r="D1913" s="71"/>
      <c r="F1913" s="70"/>
      <c r="H1913" s="138"/>
      <c r="J1913" s="205" t="s">
        <v>220</v>
      </c>
      <c r="K1913" s="206"/>
      <c r="L1913" s="206"/>
      <c r="M1913" s="136">
        <f>M1912+K1913-L1913</f>
        <v>223531.64572000047</v>
      </c>
    </row>
    <row r="1914" spans="1:13">
      <c r="A1914" s="54" t="str">
        <f t="shared" si="35"/>
        <v/>
      </c>
      <c r="B1914" t="s">
        <v>1277</v>
      </c>
      <c r="C1914" s="1">
        <v>45814</v>
      </c>
      <c r="D1914" s="71"/>
      <c r="F1914" s="70"/>
      <c r="H1914" s="138"/>
      <c r="J1914" s="205" t="s">
        <v>563</v>
      </c>
      <c r="K1914" s="206"/>
      <c r="L1914" s="206"/>
      <c r="M1914" s="136">
        <f>M1913+K1914-L1914</f>
        <v>223531.64572000047</v>
      </c>
    </row>
    <row r="1915" spans="1:13">
      <c r="A1915" s="54" t="str">
        <f t="shared" si="35"/>
        <v/>
      </c>
      <c r="B1915" t="s">
        <v>1277</v>
      </c>
      <c r="C1915" s="1">
        <v>45814</v>
      </c>
      <c r="D1915" s="71"/>
      <c r="F1915" s="12"/>
      <c r="H1915" s="138"/>
      <c r="J1915" s="71" t="s">
        <v>564</v>
      </c>
      <c r="L1915" s="326">
        <v>31566</v>
      </c>
      <c r="M1915" s="136">
        <f>M1914+K1915-L1915</f>
        <v>191965.64572000047</v>
      </c>
    </row>
    <row r="1916" spans="1:13">
      <c r="A1916" s="54" t="str">
        <f>D1916&amp;E1916&amp;F1916</f>
        <v>SERVICIOSVIATICOSCOMPRAS</v>
      </c>
      <c r="B1916" t="s">
        <v>1277</v>
      </c>
      <c r="C1916" s="1">
        <v>45814</v>
      </c>
      <c r="D1916" s="71" t="s">
        <v>21</v>
      </c>
      <c r="E1916" s="71" t="s">
        <v>191</v>
      </c>
      <c r="F1916" s="70" t="s">
        <v>148</v>
      </c>
      <c r="G1916" s="71" t="s">
        <v>216</v>
      </c>
      <c r="H1916" s="138"/>
      <c r="J1916" s="71" t="s">
        <v>1310</v>
      </c>
      <c r="L1916" s="326">
        <v>600</v>
      </c>
      <c r="M1916" s="136">
        <f>M1915+K1916-L1916</f>
        <v>191365.64572000047</v>
      </c>
    </row>
    <row r="1917" spans="1:13">
      <c r="A1917" s="54" t="str">
        <f>D1917&amp;E1917&amp;F1917</f>
        <v>CAPINSUMOSCAPRICHOS</v>
      </c>
      <c r="B1917" t="s">
        <v>1277</v>
      </c>
      <c r="C1917" s="1">
        <v>45814</v>
      </c>
      <c r="D1917" s="71" t="s">
        <v>31</v>
      </c>
      <c r="E1917" s="71" t="s">
        <v>133</v>
      </c>
      <c r="F1917" s="70" t="s">
        <v>33</v>
      </c>
      <c r="G1917" s="71" t="s">
        <v>216</v>
      </c>
      <c r="H1917" s="138"/>
      <c r="J1917" s="71" t="s">
        <v>1311</v>
      </c>
      <c r="L1917" s="326">
        <v>1622.64</v>
      </c>
      <c r="M1917" s="136">
        <f>M1916+K1917-L1917</f>
        <v>189743.00572000045</v>
      </c>
    </row>
    <row r="1918" spans="1:13">
      <c r="A1918" s="54" t="str">
        <f t="shared" si="35"/>
        <v/>
      </c>
      <c r="B1918" t="s">
        <v>1277</v>
      </c>
      <c r="C1918" s="1">
        <v>45814</v>
      </c>
      <c r="D1918" s="71"/>
      <c r="F1918" s="70"/>
      <c r="H1918" s="138"/>
      <c r="J1918" s="71" t="s">
        <v>1312</v>
      </c>
      <c r="L1918" s="326">
        <v>9495</v>
      </c>
      <c r="M1918" s="136">
        <f>M1917+K1918-L1918</f>
        <v>180248.00572000045</v>
      </c>
    </row>
    <row r="1919" spans="1:13">
      <c r="A1919" s="54" t="str">
        <f t="shared" si="35"/>
        <v/>
      </c>
      <c r="B1919" t="s">
        <v>1277</v>
      </c>
      <c r="C1919" s="1">
        <v>45814</v>
      </c>
      <c r="D1919" s="71"/>
      <c r="F1919" s="70"/>
      <c r="H1919" s="138"/>
      <c r="J1919" s="71" t="s">
        <v>1313</v>
      </c>
      <c r="L1919" s="326">
        <v>7755</v>
      </c>
      <c r="M1919" s="136">
        <f>M1918+K1919-L1919</f>
        <v>172493.00572000045</v>
      </c>
    </row>
    <row r="1920" spans="1:13">
      <c r="A1920" s="54" t="str">
        <f t="shared" si="35"/>
        <v/>
      </c>
      <c r="B1920" t="s">
        <v>1277</v>
      </c>
      <c r="C1920" s="1">
        <v>45814</v>
      </c>
      <c r="D1920" s="71"/>
      <c r="F1920" s="70"/>
      <c r="H1920" s="138"/>
      <c r="J1920" s="71" t="s">
        <v>1314</v>
      </c>
      <c r="L1920" s="326">
        <v>7496</v>
      </c>
      <c r="M1920" s="136">
        <f>M1919+K1920-L1920</f>
        <v>164997.00572000045</v>
      </c>
    </row>
    <row r="1921" spans="1:13">
      <c r="A1921" s="54" t="str">
        <f>D1921&amp;E1921&amp;F1921</f>
        <v>HRIMAGEN VISUALIMAGEN VISUAL HR</v>
      </c>
      <c r="B1921" t="s">
        <v>1277</v>
      </c>
      <c r="C1921" s="1">
        <v>45814</v>
      </c>
      <c r="D1921" s="71" t="s">
        <v>29</v>
      </c>
      <c r="E1921" s="71" t="s">
        <v>127</v>
      </c>
      <c r="F1921" s="70" t="s">
        <v>128</v>
      </c>
      <c r="G1921" s="71" t="s">
        <v>216</v>
      </c>
      <c r="H1921" s="138"/>
      <c r="J1921" s="71" t="s">
        <v>1315</v>
      </c>
      <c r="L1921" s="326">
        <v>3828</v>
      </c>
      <c r="M1921" s="136">
        <f>M1920+K1921-L1921</f>
        <v>161169.00572000045</v>
      </c>
    </row>
    <row r="1922" spans="1:13">
      <c r="A1922" s="54" t="str">
        <f>D1922&amp;E1922&amp;F1922</f>
        <v>HRIMAGEN VISUALIMAGEN VISUAL HR</v>
      </c>
      <c r="B1922" t="s">
        <v>1277</v>
      </c>
      <c r="C1922" s="1">
        <v>45814</v>
      </c>
      <c r="D1922" s="71" t="s">
        <v>29</v>
      </c>
      <c r="E1922" s="71" t="s">
        <v>127</v>
      </c>
      <c r="F1922" s="70" t="s">
        <v>128</v>
      </c>
      <c r="G1922" s="71" t="s">
        <v>216</v>
      </c>
      <c r="H1922" s="138"/>
      <c r="J1922" s="71" t="s">
        <v>1316</v>
      </c>
      <c r="L1922" s="326">
        <v>7124.25</v>
      </c>
      <c r="M1922" s="136">
        <f>M1921+K1922-L1922</f>
        <v>154044.75572000045</v>
      </c>
    </row>
    <row r="1923" spans="1:13">
      <c r="A1923" s="54" t="str">
        <f t="shared" si="35"/>
        <v/>
      </c>
      <c r="B1923" t="s">
        <v>1277</v>
      </c>
      <c r="C1923" s="1">
        <v>45814</v>
      </c>
      <c r="D1923" s="71"/>
      <c r="F1923" s="70"/>
      <c r="G1923" s="71" t="s">
        <v>216</v>
      </c>
      <c r="H1923" s="138"/>
      <c r="J1923" s="71" t="s">
        <v>1317</v>
      </c>
      <c r="L1923" s="326">
        <v>9144.619999999999</v>
      </c>
      <c r="M1923" s="136">
        <f>M1922+K1923-L1923</f>
        <v>144900.13572000046</v>
      </c>
    </row>
    <row r="1924" spans="1:13">
      <c r="A1924" s="54" t="str">
        <f>D1924&amp;E1924&amp;F1924</f>
        <v>FINANZASVIATICOSFINANZAS</v>
      </c>
      <c r="B1924" t="s">
        <v>1277</v>
      </c>
      <c r="C1924" s="1">
        <v>45814</v>
      </c>
      <c r="D1924" s="71" t="s">
        <v>23</v>
      </c>
      <c r="E1924" s="71" t="s">
        <v>191</v>
      </c>
      <c r="F1924" s="70" t="s">
        <v>23</v>
      </c>
      <c r="G1924" s="71" t="s">
        <v>216</v>
      </c>
      <c r="H1924" s="138"/>
      <c r="J1924" s="71" t="s">
        <v>1318</v>
      </c>
      <c r="L1924" s="326">
        <v>700</v>
      </c>
      <c r="M1924" s="136">
        <f>M1923+K1924-L1924</f>
        <v>144200.13572000046</v>
      </c>
    </row>
    <row r="1925" spans="1:13">
      <c r="A1925" s="54" t="str">
        <f>D1925&amp;E1925&amp;F1925</f>
        <v>SERVICIOSMTTO DE EDIFICIOMANTENIMIENTO</v>
      </c>
      <c r="B1925" t="s">
        <v>1277</v>
      </c>
      <c r="C1925" s="1">
        <v>45814</v>
      </c>
      <c r="D1925" s="71" t="s">
        <v>21</v>
      </c>
      <c r="E1925" s="71" t="s">
        <v>142</v>
      </c>
      <c r="F1925" s="70" t="s">
        <v>35</v>
      </c>
      <c r="G1925" s="71" t="s">
        <v>216</v>
      </c>
      <c r="H1925" s="138"/>
      <c r="J1925" s="71" t="s">
        <v>1319</v>
      </c>
      <c r="L1925" s="321">
        <v>4200</v>
      </c>
      <c r="M1925" s="136">
        <f>M1924+K1925-L1925</f>
        <v>140000.13572000046</v>
      </c>
    </row>
    <row r="1926" spans="1:13">
      <c r="A1926" s="54" t="str">
        <f t="shared" si="35"/>
        <v/>
      </c>
      <c r="B1926" t="s">
        <v>1277</v>
      </c>
      <c r="C1926" s="1">
        <v>45814</v>
      </c>
      <c r="D1926" s="71"/>
      <c r="F1926" s="70"/>
      <c r="G1926" s="71" t="s">
        <v>216</v>
      </c>
      <c r="H1926" s="138"/>
      <c r="J1926" s="71" t="s">
        <v>1320</v>
      </c>
      <c r="L1926" s="326">
        <v>1200</v>
      </c>
      <c r="M1926" s="136">
        <f>M1925+K1926-L1926</f>
        <v>138800.13572000046</v>
      </c>
    </row>
    <row r="1927" spans="1:13">
      <c r="A1927" s="54" t="str">
        <f>D1927&amp;E1927&amp;F1927</f>
        <v>FINANZASINSUMOSFINANZAS</v>
      </c>
      <c r="B1927" t="s">
        <v>1277</v>
      </c>
      <c r="C1927" s="1">
        <v>45814</v>
      </c>
      <c r="D1927" s="71" t="s">
        <v>23</v>
      </c>
      <c r="E1927" s="71" t="s">
        <v>133</v>
      </c>
      <c r="F1927" s="70" t="s">
        <v>23</v>
      </c>
      <c r="G1927" s="71" t="s">
        <v>216</v>
      </c>
      <c r="H1927" s="138"/>
      <c r="J1927" s="71" t="s">
        <v>1321</v>
      </c>
      <c r="L1927" s="326">
        <v>620</v>
      </c>
      <c r="M1927" s="136">
        <f>M1926+K1927-L1927</f>
        <v>138180.13572000046</v>
      </c>
    </row>
    <row r="1928" spans="1:13">
      <c r="A1928" s="54" t="str">
        <f>D1928&amp;E1928&amp;F1928</f>
        <v>ELIVIATICOSL1</v>
      </c>
      <c r="B1928" t="s">
        <v>1277</v>
      </c>
      <c r="C1928" s="1">
        <v>45814</v>
      </c>
      <c r="D1928" s="71" t="s">
        <v>130</v>
      </c>
      <c r="E1928" s="71" t="s">
        <v>191</v>
      </c>
      <c r="F1928" s="70" t="s">
        <v>136</v>
      </c>
      <c r="G1928" s="71" t="s">
        <v>258</v>
      </c>
      <c r="H1928" s="138"/>
      <c r="J1928" s="71" t="s">
        <v>1322</v>
      </c>
      <c r="L1928" s="326">
        <v>1000</v>
      </c>
      <c r="M1928" s="136">
        <f>M1927+K1928-L1928</f>
        <v>137180.13572000046</v>
      </c>
    </row>
    <row r="1929" spans="1:13">
      <c r="A1929" s="54" t="str">
        <f>D1929&amp;E1929&amp;F1929</f>
        <v>SERVICIOSMTTO EQ DE TRANSPORTESERVICIOS</v>
      </c>
      <c r="B1929" t="s">
        <v>1277</v>
      </c>
      <c r="C1929" s="1">
        <v>45814</v>
      </c>
      <c r="D1929" s="71" t="s">
        <v>21</v>
      </c>
      <c r="E1929" s="71" t="s">
        <v>144</v>
      </c>
      <c r="F1929" s="70" t="s">
        <v>21</v>
      </c>
      <c r="G1929" s="71" t="s">
        <v>258</v>
      </c>
      <c r="H1929" s="138"/>
      <c r="J1929" s="71" t="s">
        <v>1323</v>
      </c>
      <c r="L1929" s="326">
        <v>1700</v>
      </c>
      <c r="M1929" s="136">
        <f>M1928+K1929-L1929</f>
        <v>135480.13572000046</v>
      </c>
    </row>
    <row r="1930" spans="1:13">
      <c r="A1930" s="54" t="str">
        <f>D1930&amp;E1930&amp;F1930</f>
        <v>SERVICIOSINSUMOSCADENA DE SUMINISTROS</v>
      </c>
      <c r="B1930" t="s">
        <v>1277</v>
      </c>
      <c r="C1930" s="1">
        <v>45814</v>
      </c>
      <c r="D1930" s="71" t="s">
        <v>21</v>
      </c>
      <c r="E1930" s="71" t="s">
        <v>133</v>
      </c>
      <c r="F1930" s="70" t="s">
        <v>134</v>
      </c>
      <c r="G1930" s="71" t="s">
        <v>216</v>
      </c>
      <c r="H1930" s="138"/>
      <c r="J1930" s="71" t="s">
        <v>1324</v>
      </c>
      <c r="L1930" s="326">
        <v>8464.69</v>
      </c>
      <c r="M1930" s="136">
        <f>M1929+K1930-L1930</f>
        <v>127015.44572000045</v>
      </c>
    </row>
    <row r="1931" spans="1:13">
      <c r="A1931" s="54" t="str">
        <f>D1931&amp;E1931&amp;F1931</f>
        <v>SERVICIOSINSUMOSCADENA DE SUMINISTROS</v>
      </c>
      <c r="B1931" t="s">
        <v>1277</v>
      </c>
      <c r="C1931" s="1">
        <v>45814</v>
      </c>
      <c r="D1931" s="71" t="s">
        <v>21</v>
      </c>
      <c r="E1931" s="71" t="s">
        <v>133</v>
      </c>
      <c r="F1931" s="70" t="s">
        <v>134</v>
      </c>
      <c r="G1931" s="71" t="s">
        <v>216</v>
      </c>
      <c r="H1931" s="138"/>
      <c r="J1931" s="71" t="s">
        <v>858</v>
      </c>
      <c r="L1931" s="326">
        <v>10771.33</v>
      </c>
      <c r="M1931" s="136">
        <f>M1930+K1931-L1931</f>
        <v>116244.11572000045</v>
      </c>
    </row>
    <row r="1932" spans="1:13">
      <c r="A1932" s="54" t="str">
        <f>D1932&amp;E1932&amp;F1932</f>
        <v>HRUBERHR</v>
      </c>
      <c r="B1932" t="s">
        <v>1277</v>
      </c>
      <c r="C1932" s="1">
        <v>45814</v>
      </c>
      <c r="D1932" s="71" t="s">
        <v>29</v>
      </c>
      <c r="E1932" s="71" t="s">
        <v>189</v>
      </c>
      <c r="F1932" s="70" t="s">
        <v>29</v>
      </c>
      <c r="G1932" s="71" t="s">
        <v>216</v>
      </c>
      <c r="H1932" s="138"/>
      <c r="J1932" s="76" t="s">
        <v>291</v>
      </c>
      <c r="L1932" s="526">
        <v>100</v>
      </c>
      <c r="M1932" s="136">
        <f>M1931+K1932-L1932</f>
        <v>116144.11572000045</v>
      </c>
    </row>
    <row r="1933" spans="1:13">
      <c r="A1933" s="54" t="str">
        <f>D1933&amp;E1933&amp;F1933</f>
        <v>HRUBERHR</v>
      </c>
      <c r="B1933" t="s">
        <v>1277</v>
      </c>
      <c r="C1933" s="1">
        <v>45814</v>
      </c>
      <c r="D1933" s="71" t="s">
        <v>29</v>
      </c>
      <c r="E1933" s="71" t="s">
        <v>189</v>
      </c>
      <c r="F1933" s="70" t="s">
        <v>29</v>
      </c>
      <c r="G1933" s="71" t="s">
        <v>216</v>
      </c>
      <c r="H1933" s="138"/>
      <c r="J1933" s="76" t="s">
        <v>249</v>
      </c>
      <c r="L1933" s="526">
        <v>161</v>
      </c>
      <c r="M1933" s="136">
        <f>M1932+K1933-L1933</f>
        <v>115983.11572000045</v>
      </c>
    </row>
    <row r="1934" spans="1:13">
      <c r="A1934" s="54" t="str">
        <f>D1934&amp;E1934&amp;F1934</f>
        <v>HRINSUMOSHR</v>
      </c>
      <c r="B1934" t="s">
        <v>1277</v>
      </c>
      <c r="C1934" s="1">
        <v>45814</v>
      </c>
      <c r="D1934" s="71" t="s">
        <v>29</v>
      </c>
      <c r="E1934" s="71" t="s">
        <v>133</v>
      </c>
      <c r="F1934" s="70" t="s">
        <v>29</v>
      </c>
      <c r="G1934" s="71" t="s">
        <v>216</v>
      </c>
      <c r="H1934" s="138"/>
      <c r="J1934" s="76" t="s">
        <v>1325</v>
      </c>
      <c r="L1934" s="331">
        <v>1303</v>
      </c>
      <c r="M1934" s="136">
        <f>M1933+K1934-L1934</f>
        <v>114680.11572000045</v>
      </c>
    </row>
    <row r="1935" spans="1:13">
      <c r="A1935" s="54" t="str">
        <f>D1935&amp;E1935&amp;F1935</f>
        <v>CAPUBERCAP</v>
      </c>
      <c r="B1935" t="s">
        <v>1277</v>
      </c>
      <c r="C1935" s="1">
        <v>45814</v>
      </c>
      <c r="D1935" s="71" t="s">
        <v>31</v>
      </c>
      <c r="E1935" s="71" t="s">
        <v>189</v>
      </c>
      <c r="F1935" s="70" t="s">
        <v>31</v>
      </c>
      <c r="G1935" s="71" t="s">
        <v>216</v>
      </c>
      <c r="H1935" s="138"/>
      <c r="J1935" s="76" t="s">
        <v>253</v>
      </c>
      <c r="L1935" s="526">
        <v>500</v>
      </c>
      <c r="M1935" s="136">
        <f>M1934+K1935-L1935</f>
        <v>114180.11572000045</v>
      </c>
    </row>
    <row r="1936" spans="1:13">
      <c r="A1936" s="54" t="str">
        <f>D1936&amp;E1936&amp;F1936</f>
        <v>CAPJMASE3</v>
      </c>
      <c r="B1936" t="s">
        <v>1277</v>
      </c>
      <c r="C1936" s="1">
        <v>45814</v>
      </c>
      <c r="D1936" s="71" t="s">
        <v>31</v>
      </c>
      <c r="E1936" s="71" t="s">
        <v>137</v>
      </c>
      <c r="F1936" s="70" t="s">
        <v>109</v>
      </c>
      <c r="G1936" s="71" t="s">
        <v>216</v>
      </c>
      <c r="H1936" s="138"/>
      <c r="J1936" s="76" t="s">
        <v>587</v>
      </c>
      <c r="L1936" s="331">
        <v>367</v>
      </c>
      <c r="M1936" s="136">
        <f>M1935+K1936-L1936</f>
        <v>113813.11572000045</v>
      </c>
    </row>
    <row r="1937" spans="1:13">
      <c r="A1937" s="54" t="str">
        <f>D1937&amp;E1937&amp;F1937</f>
        <v>CAPINSUMOSCAPRICHOS</v>
      </c>
      <c r="B1937" t="s">
        <v>1277</v>
      </c>
      <c r="C1937" s="1">
        <v>45814</v>
      </c>
      <c r="D1937" s="71" t="s">
        <v>31</v>
      </c>
      <c r="E1937" s="71" t="s">
        <v>133</v>
      </c>
      <c r="F1937" s="70" t="s">
        <v>33</v>
      </c>
      <c r="G1937" s="71" t="s">
        <v>216</v>
      </c>
      <c r="H1937" s="138"/>
      <c r="J1937" s="76" t="s">
        <v>406</v>
      </c>
      <c r="L1937" s="331">
        <v>26</v>
      </c>
      <c r="M1937" s="136">
        <f>M1936+K1937-L1937</f>
        <v>113787.11572000045</v>
      </c>
    </row>
    <row r="1938" spans="1:13">
      <c r="A1938" s="54" t="str">
        <f>D1938&amp;E1938&amp;F1938</f>
        <v>CAPUBERCAP</v>
      </c>
      <c r="B1938" t="s">
        <v>1277</v>
      </c>
      <c r="C1938" s="1">
        <v>45814</v>
      </c>
      <c r="D1938" s="71" t="s">
        <v>31</v>
      </c>
      <c r="E1938" s="71" t="s">
        <v>189</v>
      </c>
      <c r="F1938" s="70" t="s">
        <v>31</v>
      </c>
      <c r="G1938" s="71" t="s">
        <v>216</v>
      </c>
      <c r="H1938" s="138"/>
      <c r="J1938" s="76" t="s">
        <v>489</v>
      </c>
      <c r="L1938" s="526">
        <v>101</v>
      </c>
      <c r="M1938" s="136">
        <f>M1937+K1938-L1938</f>
        <v>113686.11572000045</v>
      </c>
    </row>
    <row r="1939" spans="1:13">
      <c r="A1939" s="54" t="str">
        <f>D1939&amp;E1939&amp;F1939</f>
        <v>SERVICIOSVIATICOSCEDIS</v>
      </c>
      <c r="B1939" t="s">
        <v>1277</v>
      </c>
      <c r="C1939" s="1">
        <v>45815</v>
      </c>
      <c r="D1939" s="71" t="s">
        <v>21</v>
      </c>
      <c r="E1939" s="71" t="s">
        <v>191</v>
      </c>
      <c r="F1939" s="70" t="s">
        <v>28</v>
      </c>
      <c r="G1939" s="71" t="s">
        <v>216</v>
      </c>
      <c r="H1939" s="138"/>
      <c r="J1939" s="71" t="s">
        <v>510</v>
      </c>
      <c r="L1939" s="326">
        <v>2050</v>
      </c>
      <c r="M1939" s="136">
        <f>M1938+K1939-L1939</f>
        <v>111636.11572000045</v>
      </c>
    </row>
    <row r="1940" spans="1:13">
      <c r="A1940" s="54" t="str">
        <f>D1940&amp;E1940&amp;F1940</f>
        <v>SERVICIOSGASCEDIS</v>
      </c>
      <c r="B1940" t="s">
        <v>1277</v>
      </c>
      <c r="C1940" s="1">
        <v>45815</v>
      </c>
      <c r="D1940" s="71" t="s">
        <v>21</v>
      </c>
      <c r="E1940" s="71" t="s">
        <v>122</v>
      </c>
      <c r="F1940" s="70" t="s">
        <v>28</v>
      </c>
      <c r="G1940" s="71" t="s">
        <v>216</v>
      </c>
      <c r="H1940" s="138"/>
      <c r="J1940" s="71" t="s">
        <v>1326</v>
      </c>
      <c r="L1940" s="326">
        <v>300</v>
      </c>
      <c r="M1940" s="136">
        <f>M1939+K1940-L1940</f>
        <v>111336.11572000045</v>
      </c>
    </row>
    <row r="1941" spans="1:13">
      <c r="A1941" s="54" t="str">
        <f>D1941&amp;E1941&amp;F1941</f>
        <v>SERVICIOSMTTO DE EDIFICIOMANTENIMIENTO</v>
      </c>
      <c r="B1941" t="s">
        <v>1277</v>
      </c>
      <c r="C1941" s="1">
        <v>45815</v>
      </c>
      <c r="D1941" s="71" t="s">
        <v>21</v>
      </c>
      <c r="E1941" s="71" t="s">
        <v>142</v>
      </c>
      <c r="F1941" s="70" t="s">
        <v>35</v>
      </c>
      <c r="G1941" s="71" t="s">
        <v>216</v>
      </c>
      <c r="H1941" s="138"/>
      <c r="J1941" s="71" t="s">
        <v>1327</v>
      </c>
      <c r="L1941" s="321">
        <v>3000</v>
      </c>
      <c r="M1941" s="136">
        <f>M1940+K1941-L1941</f>
        <v>108336.11572000045</v>
      </c>
    </row>
    <row r="1942" spans="1:13">
      <c r="A1942" s="54" t="str">
        <f t="shared" ref="A1932:A1995" si="36">D1942&amp;E1942&amp;F1942</f>
        <v/>
      </c>
      <c r="B1942" t="s">
        <v>1277</v>
      </c>
      <c r="C1942" s="1">
        <v>45817</v>
      </c>
      <c r="D1942" s="71"/>
      <c r="F1942" s="70"/>
      <c r="H1942" s="138"/>
      <c r="J1942" s="71" t="s">
        <v>260</v>
      </c>
      <c r="K1942" s="325">
        <v>963677.24</v>
      </c>
      <c r="L1942" s="354"/>
      <c r="M1942" s="136">
        <f>M1941+K1942-L1942</f>
        <v>1072013.3557200003</v>
      </c>
    </row>
    <row r="1943" spans="1:13">
      <c r="A1943" s="54" t="str">
        <f>D1943&amp;E1943&amp;F1943</f>
        <v>FINANZASCOMISIONES BANCARIASTPV</v>
      </c>
      <c r="B1943" t="s">
        <v>1277</v>
      </c>
      <c r="C1943" s="1">
        <v>45817</v>
      </c>
      <c r="D1943" s="71" t="s">
        <v>23</v>
      </c>
      <c r="E1943" s="71" t="s">
        <v>48</v>
      </c>
      <c r="F1943" s="70" t="s">
        <v>50</v>
      </c>
      <c r="G1943" s="71" t="s">
        <v>216</v>
      </c>
      <c r="H1943" s="138"/>
      <c r="J1943" s="71" t="s">
        <v>217</v>
      </c>
      <c r="L1943" s="321">
        <f>1547.64+852.63+398.65+7205.85+6093.75+2408.63+27.84</f>
        <v>18534.990000000002</v>
      </c>
      <c r="M1943" s="136">
        <f>M1942+K1943-L1943</f>
        <v>1053478.3657200004</v>
      </c>
    </row>
    <row r="1944" spans="1:13">
      <c r="A1944" s="54" t="str">
        <f t="shared" si="36"/>
        <v/>
      </c>
      <c r="B1944" t="s">
        <v>1277</v>
      </c>
      <c r="C1944" s="1">
        <v>45817</v>
      </c>
      <c r="D1944" s="71"/>
      <c r="F1944" s="70"/>
      <c r="H1944" s="138"/>
      <c r="J1944" s="205" t="s">
        <v>220</v>
      </c>
      <c r="K1944" s="206"/>
      <c r="L1944" s="206">
        <v>400000</v>
      </c>
      <c r="M1944" s="136">
        <f>M1943+K1944-L1944</f>
        <v>653478.36572000035</v>
      </c>
    </row>
    <row r="1945" spans="1:13">
      <c r="A1945" s="54" t="str">
        <f t="shared" si="36"/>
        <v/>
      </c>
      <c r="B1945" t="s">
        <v>1277</v>
      </c>
      <c r="C1945" s="1">
        <v>45817</v>
      </c>
      <c r="D1945" s="71"/>
      <c r="F1945" s="70"/>
      <c r="G1945" s="71" t="s">
        <v>216</v>
      </c>
      <c r="H1945" s="138"/>
      <c r="J1945" s="205" t="s">
        <v>563</v>
      </c>
      <c r="K1945" s="206"/>
      <c r="L1945" s="206">
        <v>440000</v>
      </c>
      <c r="M1945" s="136">
        <f>M1944+K1945-L1945</f>
        <v>213478.36572000035</v>
      </c>
    </row>
    <row r="1946" spans="1:13">
      <c r="A1946" s="54" t="str">
        <f>D1946&amp;E1946&amp;F1946</f>
        <v>SERVICIOSMTTO DE EDIFICIOMANTENIMIENTO</v>
      </c>
      <c r="B1946" t="s">
        <v>1277</v>
      </c>
      <c r="C1946" s="1">
        <v>45817</v>
      </c>
      <c r="D1946" s="71" t="s">
        <v>21</v>
      </c>
      <c r="E1946" s="71" t="s">
        <v>142</v>
      </c>
      <c r="F1946" s="70" t="s">
        <v>35</v>
      </c>
      <c r="G1946" s="71" t="s">
        <v>216</v>
      </c>
      <c r="H1946" s="138"/>
      <c r="J1946" s="71" t="s">
        <v>1328</v>
      </c>
      <c r="L1946" s="321">
        <v>1500</v>
      </c>
      <c r="M1946" s="136">
        <f>M1945+K1946-L1946</f>
        <v>211978.36572000035</v>
      </c>
    </row>
    <row r="1947" spans="1:13">
      <c r="A1947" s="54" t="str">
        <f>D1947&amp;E1947&amp;F1947</f>
        <v>SERVICIOSMTTO DE EDIFICIOMANTENIMIENTO</v>
      </c>
      <c r="B1947" t="s">
        <v>1277</v>
      </c>
      <c r="C1947" s="1">
        <v>45817</v>
      </c>
      <c r="D1947" s="71" t="s">
        <v>21</v>
      </c>
      <c r="E1947" s="71" t="s">
        <v>142</v>
      </c>
      <c r="F1947" s="70" t="s">
        <v>35</v>
      </c>
      <c r="G1947" s="71" t="s">
        <v>216</v>
      </c>
      <c r="H1947" s="138"/>
      <c r="J1947" s="71" t="s">
        <v>1329</v>
      </c>
      <c r="L1947" s="321">
        <v>6450</v>
      </c>
      <c r="M1947" s="136">
        <f>M1946+K1947-L1947</f>
        <v>205528.36572000035</v>
      </c>
    </row>
    <row r="1948" spans="1:13">
      <c r="A1948" s="54" t="str">
        <f>D1948&amp;E1948&amp;F1948</f>
        <v>SERVICIOSMTTO EQ DE TRANSPORTECEDIS</v>
      </c>
      <c r="B1948" t="s">
        <v>1277</v>
      </c>
      <c r="C1948" s="1">
        <v>45817</v>
      </c>
      <c r="D1948" s="71" t="s">
        <v>21</v>
      </c>
      <c r="E1948" s="71" t="s">
        <v>144</v>
      </c>
      <c r="F1948" s="70" t="s">
        <v>28</v>
      </c>
      <c r="G1948" s="71" t="s">
        <v>258</v>
      </c>
      <c r="H1948" s="138"/>
      <c r="J1948" s="71" t="s">
        <v>1330</v>
      </c>
      <c r="L1948" s="208">
        <v>7200</v>
      </c>
      <c r="M1948" s="136">
        <f>M1947+K1948-L1948</f>
        <v>198328.36572000035</v>
      </c>
    </row>
    <row r="1949" spans="1:13">
      <c r="A1949" s="54" t="str">
        <f>D1949&amp;E1949&amp;F1949</f>
        <v>SERVICIOSINSUMOSCADENA DE SUMINISTROS</v>
      </c>
      <c r="B1949" t="s">
        <v>1277</v>
      </c>
      <c r="C1949" s="1">
        <v>45817</v>
      </c>
      <c r="D1949" s="71" t="s">
        <v>21</v>
      </c>
      <c r="E1949" s="71" t="s">
        <v>133</v>
      </c>
      <c r="F1949" s="70" t="s">
        <v>134</v>
      </c>
      <c r="G1949" s="71" t="s">
        <v>216</v>
      </c>
      <c r="H1949" s="138"/>
      <c r="J1949" s="71" t="s">
        <v>1331</v>
      </c>
      <c r="L1949" s="326">
        <v>3845</v>
      </c>
      <c r="M1949" s="136">
        <f>M1948+K1949-L1949</f>
        <v>194483.36572000035</v>
      </c>
    </row>
    <row r="1950" spans="1:13">
      <c r="A1950" s="54" t="str">
        <f>D1950&amp;E1950&amp;F1950</f>
        <v>FINANZASFONDO Y REPOSICIONFINANZAS</v>
      </c>
      <c r="B1950" t="s">
        <v>1277</v>
      </c>
      <c r="C1950" s="1">
        <v>45817</v>
      </c>
      <c r="D1950" s="71" t="s">
        <v>23</v>
      </c>
      <c r="E1950" s="71" t="s">
        <v>120</v>
      </c>
      <c r="F1950" s="70" t="s">
        <v>23</v>
      </c>
      <c r="G1950" s="71" t="s">
        <v>216</v>
      </c>
      <c r="H1950" s="138"/>
      <c r="J1950" s="71" t="s">
        <v>818</v>
      </c>
      <c r="L1950" s="326">
        <v>50</v>
      </c>
      <c r="M1950" s="136">
        <f>M1949+K1950-L1950</f>
        <v>194433.36572000035</v>
      </c>
    </row>
    <row r="1951" spans="1:13">
      <c r="A1951" s="54" t="str">
        <f>D1951&amp;E1951&amp;F1951</f>
        <v>SERVICIOSINSUMOSCADENA DE SUMINISTROS</v>
      </c>
      <c r="B1951" t="s">
        <v>1277</v>
      </c>
      <c r="C1951" s="1">
        <v>45817</v>
      </c>
      <c r="D1951" s="71" t="s">
        <v>21</v>
      </c>
      <c r="E1951" s="71" t="s">
        <v>133</v>
      </c>
      <c r="F1951" s="70" t="s">
        <v>134</v>
      </c>
      <c r="G1951" s="71" t="s">
        <v>216</v>
      </c>
      <c r="H1951" s="138"/>
      <c r="J1951" s="71" t="s">
        <v>1332</v>
      </c>
      <c r="L1951" s="326">
        <v>8667.6</v>
      </c>
      <c r="M1951" s="136">
        <f>M1950+K1951-L1951</f>
        <v>185765.76572000035</v>
      </c>
    </row>
    <row r="1952" spans="1:13">
      <c r="A1952" s="54" t="str">
        <f>D1952&amp;E1952&amp;F1952</f>
        <v>SERVICIOSMTTO DE EDIFICIOMANTENIMIENTO</v>
      </c>
      <c r="B1952" t="s">
        <v>1277</v>
      </c>
      <c r="C1952" s="1">
        <v>45817</v>
      </c>
      <c r="D1952" s="71" t="s">
        <v>21</v>
      </c>
      <c r="E1952" s="71" t="s">
        <v>142</v>
      </c>
      <c r="F1952" s="70" t="s">
        <v>35</v>
      </c>
      <c r="G1952" s="71" t="s">
        <v>216</v>
      </c>
      <c r="H1952" s="138"/>
      <c r="J1952" s="71" t="s">
        <v>1333</v>
      </c>
      <c r="L1952" s="321">
        <v>2000</v>
      </c>
      <c r="M1952" s="136">
        <f>M1951+K1952-L1952</f>
        <v>183765.76572000035</v>
      </c>
    </row>
    <row r="1953" spans="1:13">
      <c r="A1953" s="54" t="str">
        <f>D1953&amp;E1953&amp;F1953</f>
        <v>CAPVIATICOSCAPRICHOS</v>
      </c>
      <c r="B1953" t="s">
        <v>1277</v>
      </c>
      <c r="C1953" s="1">
        <v>45817</v>
      </c>
      <c r="D1953" s="71" t="s">
        <v>31</v>
      </c>
      <c r="E1953" s="71" t="s">
        <v>191</v>
      </c>
      <c r="F1953" s="70" t="s">
        <v>33</v>
      </c>
      <c r="G1953" s="71" t="s">
        <v>216</v>
      </c>
      <c r="H1953" s="138"/>
      <c r="J1953" s="71" t="s">
        <v>1334</v>
      </c>
      <c r="L1953" s="321">
        <v>2400</v>
      </c>
      <c r="M1953" s="136">
        <f>M1952+K1953-L1953</f>
        <v>181365.76572000035</v>
      </c>
    </row>
    <row r="1954" spans="1:13">
      <c r="A1954" s="54" t="str">
        <f>D1954&amp;E1954&amp;F1954</f>
        <v>FINANZASTELEFONIATELCEL</v>
      </c>
      <c r="B1954" t="s">
        <v>1277</v>
      </c>
      <c r="C1954" s="1">
        <v>45817</v>
      </c>
      <c r="D1954" s="71" t="s">
        <v>23</v>
      </c>
      <c r="E1954" s="71" t="s">
        <v>181</v>
      </c>
      <c r="F1954" s="70" t="s">
        <v>183</v>
      </c>
      <c r="G1954" s="71" t="s">
        <v>258</v>
      </c>
      <c r="H1954" s="138"/>
      <c r="J1954" s="71" t="s">
        <v>1335</v>
      </c>
      <c r="L1954" s="326">
        <v>864.11</v>
      </c>
      <c r="M1954" s="136">
        <f>M1953+K1954-L1954</f>
        <v>180501.65572000036</v>
      </c>
    </row>
    <row r="1955" spans="1:13">
      <c r="A1955" s="54" t="str">
        <f>D1955&amp;E1955&amp;F1955</f>
        <v>FINANZASTELEFONIATELCEL</v>
      </c>
      <c r="B1955" t="s">
        <v>1277</v>
      </c>
      <c r="C1955" s="1">
        <v>45817</v>
      </c>
      <c r="D1955" s="71" t="s">
        <v>23</v>
      </c>
      <c r="E1955" s="71" t="s">
        <v>181</v>
      </c>
      <c r="F1955" s="70" t="s">
        <v>183</v>
      </c>
      <c r="G1955" s="71" t="s">
        <v>258</v>
      </c>
      <c r="H1955" s="138"/>
      <c r="J1955" s="71" t="s">
        <v>555</v>
      </c>
      <c r="L1955" s="326">
        <v>4911</v>
      </c>
      <c r="M1955" s="136">
        <f>M1954+K1955-L1955</f>
        <v>175590.65572000036</v>
      </c>
    </row>
    <row r="1956" spans="1:13">
      <c r="A1956" s="54" t="str">
        <f>D1956&amp;E1956&amp;F1956</f>
        <v>CAPENERGIA ELECTRICAE9</v>
      </c>
      <c r="B1956" t="s">
        <v>1277</v>
      </c>
      <c r="C1956" s="1">
        <v>45817</v>
      </c>
      <c r="D1956" s="71" t="s">
        <v>31</v>
      </c>
      <c r="E1956" s="71" t="s">
        <v>87</v>
      </c>
      <c r="F1956" s="70" t="s">
        <v>116</v>
      </c>
      <c r="G1956" s="71" t="s">
        <v>258</v>
      </c>
      <c r="H1956" s="138"/>
      <c r="J1956" s="71" t="s">
        <v>1336</v>
      </c>
      <c r="L1956" s="326">
        <v>14177</v>
      </c>
      <c r="M1956" s="136">
        <f>M1955+K1956-L1956</f>
        <v>161413.65572000036</v>
      </c>
    </row>
    <row r="1957" spans="1:13">
      <c r="A1957" s="54" t="str">
        <f>D1957&amp;E1957&amp;F1957</f>
        <v>HRENERGIA ELECTRICAA23</v>
      </c>
      <c r="B1957" t="s">
        <v>1277</v>
      </c>
      <c r="C1957" s="1">
        <v>45817</v>
      </c>
      <c r="D1957" s="71" t="s">
        <v>29</v>
      </c>
      <c r="E1957" s="71" t="s">
        <v>87</v>
      </c>
      <c r="F1957" s="70" t="s">
        <v>105</v>
      </c>
      <c r="G1957" s="71" t="s">
        <v>216</v>
      </c>
      <c r="H1957" s="138"/>
      <c r="J1957" s="71" t="s">
        <v>1337</v>
      </c>
      <c r="L1957" s="326">
        <v>4170</v>
      </c>
      <c r="M1957" s="136">
        <f>M1956+K1957-L1957</f>
        <v>157243.65572000036</v>
      </c>
    </row>
    <row r="1958" spans="1:13">
      <c r="A1958" s="54" t="str">
        <f>D1958&amp;E1958&amp;F1958</f>
        <v>HRENERGIA ELECTRICAA17</v>
      </c>
      <c r="B1958" t="s">
        <v>1277</v>
      </c>
      <c r="C1958" s="1">
        <v>45817</v>
      </c>
      <c r="D1958" s="71" t="s">
        <v>29</v>
      </c>
      <c r="E1958" s="71" t="s">
        <v>87</v>
      </c>
      <c r="F1958" s="70" t="s">
        <v>102</v>
      </c>
      <c r="G1958" s="71" t="s">
        <v>216</v>
      </c>
      <c r="H1958" s="138"/>
      <c r="J1958" s="71" t="s">
        <v>1338</v>
      </c>
      <c r="L1958" s="326">
        <v>14678</v>
      </c>
      <c r="M1958" s="136">
        <f>M1957+K1958-L1958</f>
        <v>142565.65572000036</v>
      </c>
    </row>
    <row r="1959" spans="1:13">
      <c r="A1959" s="54" t="str">
        <f>D1959&amp;E1959&amp;F1959</f>
        <v>HRENERGIA ELECTRICAA1</v>
      </c>
      <c r="B1959" t="s">
        <v>1277</v>
      </c>
      <c r="C1959" s="1">
        <v>45817</v>
      </c>
      <c r="D1959" s="71" t="s">
        <v>29</v>
      </c>
      <c r="E1959" s="71" t="s">
        <v>87</v>
      </c>
      <c r="F1959" s="70" t="s">
        <v>88</v>
      </c>
      <c r="G1959" s="71" t="s">
        <v>216</v>
      </c>
      <c r="H1959" s="138"/>
      <c r="J1959" s="71" t="s">
        <v>302</v>
      </c>
      <c r="L1959" s="326">
        <v>7323</v>
      </c>
      <c r="M1959" s="136">
        <f>M1958+K1959-L1959</f>
        <v>135242.65572000036</v>
      </c>
    </row>
    <row r="1960" spans="1:13">
      <c r="A1960" s="54" t="str">
        <f>D1960&amp;E1960&amp;F1960</f>
        <v>HRUBERHR</v>
      </c>
      <c r="B1960" t="s">
        <v>1277</v>
      </c>
      <c r="C1960" s="1">
        <v>45817</v>
      </c>
      <c r="D1960" s="71" t="s">
        <v>29</v>
      </c>
      <c r="E1960" s="71" t="s">
        <v>189</v>
      </c>
      <c r="F1960" s="70" t="s">
        <v>29</v>
      </c>
      <c r="G1960" s="71" t="s">
        <v>216</v>
      </c>
      <c r="H1960" s="138"/>
      <c r="J1960" s="76" t="s">
        <v>456</v>
      </c>
      <c r="L1960" s="526">
        <v>250</v>
      </c>
      <c r="M1960" s="136">
        <f>M1959+K1960-L1960</f>
        <v>134992.65572000036</v>
      </c>
    </row>
    <row r="1961" spans="1:13">
      <c r="A1961" s="54" t="str">
        <f>D1961&amp;E1961&amp;F1961</f>
        <v>HRUBERHR</v>
      </c>
      <c r="B1961" t="s">
        <v>1277</v>
      </c>
      <c r="C1961" s="1">
        <v>45817</v>
      </c>
      <c r="D1961" s="71" t="s">
        <v>29</v>
      </c>
      <c r="E1961" s="71" t="s">
        <v>189</v>
      </c>
      <c r="F1961" s="70" t="s">
        <v>29</v>
      </c>
      <c r="G1961" s="71" t="s">
        <v>216</v>
      </c>
      <c r="H1961" s="138"/>
      <c r="J1961" s="76" t="s">
        <v>403</v>
      </c>
      <c r="L1961" s="526">
        <v>50</v>
      </c>
      <c r="M1961" s="136">
        <f>M1960+K1961-L1961</f>
        <v>134942.65572000036</v>
      </c>
    </row>
    <row r="1962" spans="1:13">
      <c r="A1962" s="54" t="str">
        <f>D1962&amp;E1962&amp;F1962</f>
        <v>HRUBERHR</v>
      </c>
      <c r="B1962" t="s">
        <v>1277</v>
      </c>
      <c r="C1962" s="1">
        <v>45817</v>
      </c>
      <c r="D1962" s="71" t="s">
        <v>29</v>
      </c>
      <c r="E1962" s="71" t="s">
        <v>189</v>
      </c>
      <c r="F1962" s="70" t="s">
        <v>29</v>
      </c>
      <c r="G1962" s="71" t="s">
        <v>216</v>
      </c>
      <c r="H1962" s="138"/>
      <c r="J1962" s="76" t="s">
        <v>308</v>
      </c>
      <c r="L1962" s="526">
        <v>216</v>
      </c>
      <c r="M1962" s="136">
        <f>M1961+K1962-L1962</f>
        <v>134726.65572000036</v>
      </c>
    </row>
    <row r="1963" spans="1:13">
      <c r="A1963" s="54" t="str">
        <f>D1963&amp;E1963&amp;F1963</f>
        <v>HRINSUMOSHR</v>
      </c>
      <c r="B1963" t="s">
        <v>1277</v>
      </c>
      <c r="C1963" s="1">
        <v>45817</v>
      </c>
      <c r="D1963" s="71" t="s">
        <v>29</v>
      </c>
      <c r="E1963" s="71" t="s">
        <v>133</v>
      </c>
      <c r="F1963" s="70" t="s">
        <v>29</v>
      </c>
      <c r="G1963" s="71" t="s">
        <v>216</v>
      </c>
      <c r="H1963" s="138"/>
      <c r="J1963" s="76" t="s">
        <v>1339</v>
      </c>
      <c r="L1963" s="331">
        <v>64</v>
      </c>
      <c r="M1963" s="136">
        <f>M1962+K1963-L1963</f>
        <v>134662.65572000036</v>
      </c>
    </row>
    <row r="1964" spans="1:13">
      <c r="A1964" s="54" t="str">
        <f>D1964&amp;E1964&amp;F1964</f>
        <v>HRUBERHR</v>
      </c>
      <c r="B1964" t="s">
        <v>1277</v>
      </c>
      <c r="C1964" s="1">
        <v>45817</v>
      </c>
      <c r="D1964" s="71" t="s">
        <v>29</v>
      </c>
      <c r="E1964" s="71" t="s">
        <v>189</v>
      </c>
      <c r="F1964" s="70" t="s">
        <v>29</v>
      </c>
      <c r="G1964" s="71" t="s">
        <v>216</v>
      </c>
      <c r="H1964" s="138"/>
      <c r="J1964" s="76" t="s">
        <v>802</v>
      </c>
      <c r="L1964" s="526">
        <v>151</v>
      </c>
      <c r="M1964" s="136">
        <f>M1963+K1964-L1964</f>
        <v>134511.65572000036</v>
      </c>
    </row>
    <row r="1965" spans="1:13">
      <c r="A1965" s="54" t="str">
        <f>D1965&amp;E1965&amp;F1965</f>
        <v>HRUBERHR</v>
      </c>
      <c r="B1965" t="s">
        <v>1277</v>
      </c>
      <c r="C1965" s="1">
        <v>45817</v>
      </c>
      <c r="D1965" s="71" t="s">
        <v>29</v>
      </c>
      <c r="E1965" s="71" t="s">
        <v>189</v>
      </c>
      <c r="F1965" s="70" t="s">
        <v>29</v>
      </c>
      <c r="G1965" s="71" t="s">
        <v>216</v>
      </c>
      <c r="H1965" s="138"/>
      <c r="J1965" s="76" t="s">
        <v>249</v>
      </c>
      <c r="L1965" s="526">
        <v>963</v>
      </c>
      <c r="M1965" s="136">
        <f>M1964+K1965-L1965</f>
        <v>133548.65572000036</v>
      </c>
    </row>
    <row r="1966" spans="1:13">
      <c r="A1966" s="54" t="str">
        <f>D1966&amp;E1966&amp;F1966</f>
        <v>HRUBERHR</v>
      </c>
      <c r="B1966" t="s">
        <v>1277</v>
      </c>
      <c r="C1966" s="1">
        <v>45817</v>
      </c>
      <c r="D1966" s="71" t="s">
        <v>29</v>
      </c>
      <c r="E1966" s="71" t="s">
        <v>189</v>
      </c>
      <c r="F1966" s="70" t="s">
        <v>29</v>
      </c>
      <c r="G1966" s="71" t="s">
        <v>216</v>
      </c>
      <c r="H1966" s="138"/>
      <c r="J1966" s="76" t="s">
        <v>250</v>
      </c>
      <c r="L1966" s="526">
        <v>400</v>
      </c>
      <c r="M1966" s="136">
        <f>M1965+K1966-L1966</f>
        <v>133148.65572000036</v>
      </c>
    </row>
    <row r="1967" spans="1:13">
      <c r="A1967" s="54" t="str">
        <f>D1967&amp;E1967&amp;F1967</f>
        <v>CAPUBERCAP</v>
      </c>
      <c r="B1967" t="s">
        <v>1277</v>
      </c>
      <c r="C1967" s="1">
        <v>45817</v>
      </c>
      <c r="D1967" s="71" t="s">
        <v>31</v>
      </c>
      <c r="E1967" s="71" t="s">
        <v>189</v>
      </c>
      <c r="F1967" s="70" t="s">
        <v>31</v>
      </c>
      <c r="G1967" s="71" t="s">
        <v>216</v>
      </c>
      <c r="H1967" s="138"/>
      <c r="J1967" s="76" t="s">
        <v>253</v>
      </c>
      <c r="L1967" s="526">
        <v>1114</v>
      </c>
      <c r="M1967" s="136">
        <f>M1966+K1967-L1967</f>
        <v>132034.65572000036</v>
      </c>
    </row>
    <row r="1968" spans="1:13">
      <c r="A1968" s="54" t="str">
        <f>D1968&amp;E1968&amp;F1968</f>
        <v>CAPNOMINA SUCURSALE2</v>
      </c>
      <c r="B1968" t="s">
        <v>1277</v>
      </c>
      <c r="C1968" s="1">
        <v>45817</v>
      </c>
      <c r="D1968" s="71" t="s">
        <v>31</v>
      </c>
      <c r="E1968" s="71" t="s">
        <v>154</v>
      </c>
      <c r="F1968" s="70" t="s">
        <v>108</v>
      </c>
      <c r="H1968" s="138"/>
      <c r="J1968" s="76" t="s">
        <v>1009</v>
      </c>
      <c r="L1968" s="331">
        <v>2400</v>
      </c>
      <c r="M1968" s="136">
        <f>M1967+K1968-L1968</f>
        <v>129634.65572000036</v>
      </c>
    </row>
    <row r="1969" spans="1:13">
      <c r="A1969" s="54" t="str">
        <f>D1969&amp;E1969&amp;F1969</f>
        <v>CAPUBERCAP</v>
      </c>
      <c r="B1969" t="s">
        <v>1277</v>
      </c>
      <c r="C1969" s="1">
        <v>45817</v>
      </c>
      <c r="D1969" s="71" t="s">
        <v>31</v>
      </c>
      <c r="E1969" s="71" t="s">
        <v>189</v>
      </c>
      <c r="F1969" s="70" t="s">
        <v>31</v>
      </c>
      <c r="G1969" s="71" t="s">
        <v>216</v>
      </c>
      <c r="H1969" s="138"/>
      <c r="J1969" s="76" t="s">
        <v>257</v>
      </c>
      <c r="L1969" s="526">
        <v>300</v>
      </c>
      <c r="M1969" s="136">
        <f>M1968+K1969-L1969</f>
        <v>129334.65572000036</v>
      </c>
    </row>
    <row r="1970" spans="1:13">
      <c r="A1970" s="54" t="str">
        <f>D1970&amp;E1970&amp;F1970</f>
        <v>CAPINSUMOSCAPRICHOS</v>
      </c>
      <c r="B1970" t="s">
        <v>1277</v>
      </c>
      <c r="C1970" s="1">
        <v>45817</v>
      </c>
      <c r="D1970" s="71" t="s">
        <v>31</v>
      </c>
      <c r="E1970" s="71" t="s">
        <v>133</v>
      </c>
      <c r="F1970" s="70" t="s">
        <v>33</v>
      </c>
      <c r="G1970" s="71" t="s">
        <v>216</v>
      </c>
      <c r="H1970" s="138"/>
      <c r="J1970" s="76" t="s">
        <v>1171</v>
      </c>
      <c r="L1970" s="331">
        <v>200</v>
      </c>
      <c r="M1970" s="136">
        <f>M1969+K1970-L1970</f>
        <v>129134.65572000036</v>
      </c>
    </row>
    <row r="1971" spans="1:13">
      <c r="A1971" s="54" t="str">
        <f>D1971&amp;E1971&amp;F1971</f>
        <v>CAPINSUMOSCAPRICHOS</v>
      </c>
      <c r="B1971" t="s">
        <v>1277</v>
      </c>
      <c r="C1971" s="1">
        <v>45817</v>
      </c>
      <c r="D1971" s="71" t="s">
        <v>31</v>
      </c>
      <c r="E1971" s="71" t="s">
        <v>133</v>
      </c>
      <c r="F1971" s="70" t="s">
        <v>33</v>
      </c>
      <c r="G1971" s="71" t="s">
        <v>216</v>
      </c>
      <c r="H1971" s="138"/>
      <c r="J1971" s="76" t="s">
        <v>1340</v>
      </c>
      <c r="L1971" s="331">
        <v>92</v>
      </c>
      <c r="M1971" s="136">
        <f>M1970+K1971-L1971</f>
        <v>129042.65572000036</v>
      </c>
    </row>
    <row r="1972" spans="1:13">
      <c r="A1972" s="54" t="str">
        <f>D1972&amp;E1972&amp;F1972</f>
        <v>CAPINSUMOSCAPRICHOS</v>
      </c>
      <c r="B1972" t="s">
        <v>1277</v>
      </c>
      <c r="C1972" s="1">
        <v>45817</v>
      </c>
      <c r="D1972" s="71" t="s">
        <v>31</v>
      </c>
      <c r="E1972" s="71" t="s">
        <v>133</v>
      </c>
      <c r="F1972" s="70" t="s">
        <v>33</v>
      </c>
      <c r="G1972" s="71" t="s">
        <v>216</v>
      </c>
      <c r="H1972" s="138"/>
      <c r="J1972" s="76" t="s">
        <v>362</v>
      </c>
      <c r="L1972" s="331">
        <v>176</v>
      </c>
      <c r="M1972" s="136">
        <f>M1971+K1972-L1972</f>
        <v>128866.65572000036</v>
      </c>
    </row>
    <row r="1973" spans="1:13">
      <c r="A1973" s="54" t="str">
        <f t="shared" si="36"/>
        <v/>
      </c>
      <c r="B1973" t="s">
        <v>1277</v>
      </c>
      <c r="C1973" s="1">
        <v>45818</v>
      </c>
      <c r="D1973" s="71"/>
      <c r="F1973" s="70"/>
      <c r="H1973" s="138"/>
      <c r="J1973" s="71" t="s">
        <v>260</v>
      </c>
      <c r="K1973" s="325">
        <v>201437.41</v>
      </c>
      <c r="L1973" s="354"/>
      <c r="M1973" s="136">
        <f>M1972+K1973-L1973</f>
        <v>330304.06572000036</v>
      </c>
    </row>
    <row r="1974" spans="1:13">
      <c r="A1974" s="54" t="str">
        <f>D1974&amp;E1974&amp;F1974</f>
        <v>FINANZASCOMISIONES BANCARIASTPV</v>
      </c>
      <c r="B1974" t="s">
        <v>1277</v>
      </c>
      <c r="C1974" s="1">
        <v>45818</v>
      </c>
      <c r="D1974" s="71" t="s">
        <v>23</v>
      </c>
      <c r="E1974" s="71" t="s">
        <v>48</v>
      </c>
      <c r="F1974" s="70" t="s">
        <v>50</v>
      </c>
      <c r="G1974" s="71" t="s">
        <v>216</v>
      </c>
      <c r="H1974" s="138"/>
      <c r="J1974" s="71" t="s">
        <v>217</v>
      </c>
      <c r="L1974" s="321">
        <f>13.92+190+100.5+41.46+1748.96+858.36+440.69</f>
        <v>3393.8900000000003</v>
      </c>
      <c r="M1974" s="136">
        <f>M1973+K1974-L1974</f>
        <v>326910.17572000035</v>
      </c>
    </row>
    <row r="1975" spans="1:13">
      <c r="A1975" s="54" t="str">
        <f t="shared" si="36"/>
        <v/>
      </c>
      <c r="B1975" t="s">
        <v>1277</v>
      </c>
      <c r="C1975" s="1">
        <v>45818</v>
      </c>
      <c r="D1975" s="71"/>
      <c r="F1975" s="70"/>
      <c r="H1975" s="138"/>
      <c r="J1975" s="205" t="s">
        <v>220</v>
      </c>
      <c r="K1975" s="206"/>
      <c r="L1975" s="206">
        <v>200000</v>
      </c>
      <c r="M1975" s="136">
        <f>M1974+K1975-L1975</f>
        <v>126910.17572000035</v>
      </c>
    </row>
    <row r="1976" spans="1:13">
      <c r="A1976" s="54" t="str">
        <f t="shared" si="36"/>
        <v/>
      </c>
      <c r="B1976" t="s">
        <v>1277</v>
      </c>
      <c r="C1976" s="1">
        <v>45818</v>
      </c>
      <c r="D1976" s="71"/>
      <c r="F1976" s="70"/>
      <c r="H1976" s="138"/>
      <c r="J1976" s="205" t="s">
        <v>563</v>
      </c>
      <c r="K1976" s="206"/>
      <c r="L1976" s="206"/>
      <c r="M1976" s="136">
        <f>M1975+K1976-L1976</f>
        <v>126910.17572000035</v>
      </c>
    </row>
    <row r="1977" spans="1:13">
      <c r="A1977" s="54" t="str">
        <f>D1977&amp;E1977&amp;F1977</f>
        <v>SERVICIOSVIATICOSINVENTARIOS</v>
      </c>
      <c r="B1977" t="s">
        <v>1277</v>
      </c>
      <c r="C1977" s="1">
        <v>45818</v>
      </c>
      <c r="D1977" s="71" t="s">
        <v>21</v>
      </c>
      <c r="E1977" s="71" t="s">
        <v>191</v>
      </c>
      <c r="F1977" s="70" t="s">
        <v>34</v>
      </c>
      <c r="G1977" s="71" t="s">
        <v>216</v>
      </c>
      <c r="H1977" s="138"/>
      <c r="J1977" s="71" t="s">
        <v>533</v>
      </c>
      <c r="L1977" s="326">
        <v>400</v>
      </c>
      <c r="M1977" s="136">
        <f>M1976+K1977-L1977</f>
        <v>126510.17572000035</v>
      </c>
    </row>
    <row r="1978" spans="1:13">
      <c r="A1978" s="54" t="str">
        <f>D1978&amp;E1978&amp;F1978</f>
        <v>FINANZASSOLUONESOLUONE (RETAIL)</v>
      </c>
      <c r="B1978" t="s">
        <v>1277</v>
      </c>
      <c r="C1978" s="1">
        <v>45818</v>
      </c>
      <c r="D1978" s="71" t="s">
        <v>23</v>
      </c>
      <c r="E1978" s="71" t="s">
        <v>179</v>
      </c>
      <c r="F1978" s="70" t="s">
        <v>180</v>
      </c>
      <c r="G1978" s="71" t="s">
        <v>216</v>
      </c>
      <c r="H1978" s="138"/>
      <c r="J1978" s="71" t="s">
        <v>1150</v>
      </c>
      <c r="L1978" s="326">
        <v>38151.79</v>
      </c>
      <c r="M1978" s="136">
        <f>M1977+K1978-L1978</f>
        <v>88358.38572000034</v>
      </c>
    </row>
    <row r="1979" spans="1:13">
      <c r="A1979" s="54" t="str">
        <f>D1979&amp;E1979&amp;F1979</f>
        <v>SERVICIOSMTTO EQ DE TRANSPORTECEDIS</v>
      </c>
      <c r="B1979" t="s">
        <v>1277</v>
      </c>
      <c r="C1979" s="1">
        <v>45818</v>
      </c>
      <c r="D1979" s="71" t="s">
        <v>21</v>
      </c>
      <c r="E1979" s="71" t="s">
        <v>144</v>
      </c>
      <c r="F1979" s="70" t="s">
        <v>28</v>
      </c>
      <c r="G1979" s="71" t="s">
        <v>216</v>
      </c>
      <c r="H1979" s="138"/>
      <c r="J1979" s="71" t="s">
        <v>1341</v>
      </c>
      <c r="L1979" s="144">
        <v>2000</v>
      </c>
      <c r="M1979" s="136">
        <f>M1978+K1979-L1979</f>
        <v>86358.38572000034</v>
      </c>
    </row>
    <row r="1980" spans="1:13">
      <c r="A1980" s="54" t="str">
        <f>D1980&amp;E1980&amp;F1980</f>
        <v>SERVICIOSVIATICOSCEDIS</v>
      </c>
      <c r="B1980" t="s">
        <v>1277</v>
      </c>
      <c r="C1980" s="1">
        <v>45818</v>
      </c>
      <c r="D1980" s="71" t="s">
        <v>21</v>
      </c>
      <c r="E1980" s="71" t="s">
        <v>191</v>
      </c>
      <c r="F1980" s="70" t="s">
        <v>28</v>
      </c>
      <c r="G1980" s="71" t="s">
        <v>216</v>
      </c>
      <c r="H1980" s="138"/>
      <c r="J1980" s="71" t="s">
        <v>1342</v>
      </c>
      <c r="L1980" s="326">
        <v>1100</v>
      </c>
      <c r="M1980" s="136">
        <f>M1979+K1980-L1980</f>
        <v>85258.38572000034</v>
      </c>
    </row>
    <row r="1981" spans="1:13">
      <c r="A1981" s="54" t="str">
        <f t="shared" si="36"/>
        <v/>
      </c>
      <c r="B1981" t="s">
        <v>1277</v>
      </c>
      <c r="C1981" s="1">
        <v>45818</v>
      </c>
      <c r="D1981" s="71"/>
      <c r="F1981" s="70"/>
      <c r="H1981" s="138"/>
      <c r="J1981" s="71" t="s">
        <v>1343</v>
      </c>
      <c r="L1981" s="326">
        <v>400</v>
      </c>
      <c r="M1981" s="136">
        <f>M1980+K1981-L1981</f>
        <v>84858.38572000034</v>
      </c>
    </row>
    <row r="1982" spans="1:13">
      <c r="A1982" s="54" t="str">
        <f>D1982&amp;E1982&amp;F1982</f>
        <v>CAPFONDO Y REPOSICIONCAPRICHOS</v>
      </c>
      <c r="B1982" t="s">
        <v>1277</v>
      </c>
      <c r="C1982" s="1">
        <v>45818</v>
      </c>
      <c r="D1982" s="71" t="s">
        <v>31</v>
      </c>
      <c r="E1982" s="71" t="s">
        <v>120</v>
      </c>
      <c r="F1982" s="70" t="s">
        <v>33</v>
      </c>
      <c r="G1982" s="71" t="s">
        <v>216</v>
      </c>
      <c r="H1982" s="138"/>
      <c r="J1982" s="71" t="s">
        <v>1344</v>
      </c>
      <c r="L1982" s="326">
        <v>1387</v>
      </c>
      <c r="M1982" s="136">
        <f>M1981+K1982-L1982</f>
        <v>83471.38572000034</v>
      </c>
    </row>
    <row r="1983" spans="1:13">
      <c r="A1983" s="54" t="str">
        <f>D1983&amp;E1983&amp;F1983</f>
        <v>HRFONDO Y REPOSICIONHR</v>
      </c>
      <c r="B1983" t="s">
        <v>1277</v>
      </c>
      <c r="C1983" s="1">
        <v>45818</v>
      </c>
      <c r="D1983" s="71" t="s">
        <v>29</v>
      </c>
      <c r="E1983" s="71" t="s">
        <v>120</v>
      </c>
      <c r="F1983" s="70" t="s">
        <v>29</v>
      </c>
      <c r="G1983" s="71" t="s">
        <v>216</v>
      </c>
      <c r="H1983" s="138"/>
      <c r="J1983" s="71" t="s">
        <v>553</v>
      </c>
      <c r="L1983" s="326">
        <v>1500</v>
      </c>
      <c r="M1983" s="136">
        <f>M1982+K1983-L1983</f>
        <v>81971.38572000034</v>
      </c>
    </row>
    <row r="1984" spans="1:13">
      <c r="A1984" s="54" t="str">
        <f>D1984&amp;E1984&amp;F1984</f>
        <v>HRVIATICOSHR</v>
      </c>
      <c r="B1984" t="s">
        <v>1277</v>
      </c>
      <c r="C1984" s="1">
        <v>45818</v>
      </c>
      <c r="D1984" s="71" t="s">
        <v>29</v>
      </c>
      <c r="E1984" s="71" t="s">
        <v>191</v>
      </c>
      <c r="F1984" s="70" t="s">
        <v>29</v>
      </c>
      <c r="G1984" s="71" t="s">
        <v>216</v>
      </c>
      <c r="H1984" s="138"/>
      <c r="J1984" s="71" t="s">
        <v>1345</v>
      </c>
      <c r="L1984" s="326">
        <v>1800</v>
      </c>
      <c r="M1984" s="136">
        <f>M1983+K1984-L1984</f>
        <v>80171.38572000034</v>
      </c>
    </row>
    <row r="1985" spans="1:13">
      <c r="A1985" s="54" t="str">
        <f>D1985&amp;E1985&amp;F1985</f>
        <v>HRUBERHR</v>
      </c>
      <c r="B1985" t="s">
        <v>1277</v>
      </c>
      <c r="C1985" s="1">
        <v>45818</v>
      </c>
      <c r="D1985" s="71" t="s">
        <v>29</v>
      </c>
      <c r="E1985" s="71" t="s">
        <v>189</v>
      </c>
      <c r="F1985" s="70" t="s">
        <v>29</v>
      </c>
      <c r="G1985" s="71" t="s">
        <v>216</v>
      </c>
      <c r="H1985" s="138"/>
      <c r="J1985" s="76" t="s">
        <v>308</v>
      </c>
      <c r="L1985" s="526">
        <v>124</v>
      </c>
      <c r="M1985" s="136">
        <f>M1984+K1985-L1985</f>
        <v>80047.38572000034</v>
      </c>
    </row>
    <row r="1986" spans="1:13">
      <c r="A1986" s="54" t="str">
        <f>D1986&amp;E1986&amp;F1986</f>
        <v>HRUBERHR</v>
      </c>
      <c r="B1986" t="s">
        <v>1277</v>
      </c>
      <c r="C1986" s="1">
        <v>45818</v>
      </c>
      <c r="D1986" s="71" t="s">
        <v>29</v>
      </c>
      <c r="E1986" s="71" t="s">
        <v>189</v>
      </c>
      <c r="F1986" s="70" t="s">
        <v>29</v>
      </c>
      <c r="G1986" s="71" t="s">
        <v>216</v>
      </c>
      <c r="H1986" s="138"/>
      <c r="J1986" s="76" t="s">
        <v>249</v>
      </c>
      <c r="L1986" s="526">
        <v>108</v>
      </c>
      <c r="M1986" s="136">
        <f>M1985+K1986-L1986</f>
        <v>79939.38572000034</v>
      </c>
    </row>
    <row r="1987" spans="1:13">
      <c r="A1987" s="54" t="str">
        <f>D1987&amp;E1987&amp;F1987</f>
        <v>CAPUBERCAP</v>
      </c>
      <c r="B1987" t="s">
        <v>1277</v>
      </c>
      <c r="C1987" s="1">
        <v>45818</v>
      </c>
      <c r="D1987" s="71" t="s">
        <v>31</v>
      </c>
      <c r="E1987" s="71" t="s">
        <v>189</v>
      </c>
      <c r="F1987" s="70" t="s">
        <v>31</v>
      </c>
      <c r="G1987" s="71" t="s">
        <v>216</v>
      </c>
      <c r="H1987" s="138"/>
      <c r="J1987" s="76" t="s">
        <v>253</v>
      </c>
      <c r="L1987" s="526">
        <v>570</v>
      </c>
      <c r="M1987" s="136">
        <f>M1986+K1987-L1987</f>
        <v>79369.38572000034</v>
      </c>
    </row>
    <row r="1988" spans="1:13">
      <c r="A1988" s="54" t="str">
        <f>D1988&amp;E1988&amp;F1988</f>
        <v>CAPUBERCAP</v>
      </c>
      <c r="B1988" t="s">
        <v>1277</v>
      </c>
      <c r="C1988" s="1">
        <v>45818</v>
      </c>
      <c r="D1988" s="71" t="s">
        <v>31</v>
      </c>
      <c r="E1988" s="71" t="s">
        <v>189</v>
      </c>
      <c r="F1988" s="70" t="s">
        <v>31</v>
      </c>
      <c r="G1988" s="71" t="s">
        <v>216</v>
      </c>
      <c r="H1988" s="138"/>
      <c r="J1988" s="76" t="s">
        <v>257</v>
      </c>
      <c r="L1988" s="526">
        <v>115</v>
      </c>
      <c r="M1988" s="136">
        <f>M1987+K1988-L1988</f>
        <v>79254.38572000034</v>
      </c>
    </row>
    <row r="1989" spans="1:13">
      <c r="A1989" s="54" t="str">
        <f>D1989&amp;E1989&amp;F1989</f>
        <v>CAPINSUMOSCAPRICHOS</v>
      </c>
      <c r="B1989" t="s">
        <v>1277</v>
      </c>
      <c r="C1989" s="1">
        <v>45818</v>
      </c>
      <c r="D1989" s="71" t="s">
        <v>31</v>
      </c>
      <c r="E1989" s="71" t="s">
        <v>133</v>
      </c>
      <c r="F1989" s="70" t="s">
        <v>33</v>
      </c>
      <c r="G1989" s="71" t="s">
        <v>216</v>
      </c>
      <c r="H1989" s="138"/>
      <c r="J1989" s="76" t="s">
        <v>362</v>
      </c>
      <c r="L1989" s="331">
        <v>80</v>
      </c>
      <c r="M1989" s="136">
        <f>M1988+K1989-L1989</f>
        <v>79174.38572000034</v>
      </c>
    </row>
    <row r="1990" spans="1:13">
      <c r="A1990" s="54" t="str">
        <f t="shared" si="36"/>
        <v/>
      </c>
      <c r="B1990" t="s">
        <v>1277</v>
      </c>
      <c r="C1990" s="1">
        <v>45819</v>
      </c>
      <c r="D1990" s="71"/>
      <c r="F1990" s="70"/>
      <c r="H1990" s="138"/>
      <c r="J1990" s="71" t="s">
        <v>260</v>
      </c>
      <c r="K1990" s="325">
        <v>199126.21</v>
      </c>
      <c r="L1990" s="354"/>
      <c r="M1990" s="136">
        <f>M1989+K1990-L1990</f>
        <v>278300.59572000033</v>
      </c>
    </row>
    <row r="1991" spans="1:13">
      <c r="A1991" s="54" t="str">
        <f>D1991&amp;E1991&amp;F1991</f>
        <v>FINANZASCOMISIONES BANCARIASTPV</v>
      </c>
      <c r="B1991" t="s">
        <v>1277</v>
      </c>
      <c r="C1991" s="1">
        <v>45819</v>
      </c>
      <c r="D1991" s="71" t="s">
        <v>23</v>
      </c>
      <c r="E1991" s="71" t="s">
        <v>48</v>
      </c>
      <c r="F1991" s="70" t="s">
        <v>50</v>
      </c>
      <c r="G1991" s="71" t="s">
        <v>216</v>
      </c>
      <c r="H1991" s="138"/>
      <c r="J1991" s="71" t="s">
        <v>217</v>
      </c>
      <c r="L1991" s="321">
        <v>3674.15</v>
      </c>
      <c r="M1991" s="136">
        <f>M1990+K1991-L1991</f>
        <v>274626.44572000031</v>
      </c>
    </row>
    <row r="1992" spans="1:13">
      <c r="A1992" s="54" t="str">
        <f t="shared" si="36"/>
        <v/>
      </c>
      <c r="B1992" t="s">
        <v>1277</v>
      </c>
      <c r="C1992" s="1">
        <v>45819</v>
      </c>
      <c r="D1992" s="71"/>
      <c r="F1992" s="70"/>
      <c r="H1992" s="138"/>
      <c r="J1992" s="205" t="s">
        <v>220</v>
      </c>
      <c r="K1992" s="206"/>
      <c r="L1992" s="206">
        <v>100000</v>
      </c>
      <c r="M1992" s="136">
        <f>M1991+K1992-L1992</f>
        <v>174626.44572000031</v>
      </c>
    </row>
    <row r="1993" spans="1:13">
      <c r="A1993" s="54" t="str">
        <f t="shared" si="36"/>
        <v/>
      </c>
      <c r="B1993" t="s">
        <v>1277</v>
      </c>
      <c r="C1993" s="1">
        <v>45819</v>
      </c>
      <c r="D1993" s="71"/>
      <c r="F1993" s="70"/>
      <c r="H1993" s="138"/>
      <c r="J1993" s="205" t="s">
        <v>563</v>
      </c>
      <c r="K1993" s="206"/>
      <c r="L1993" s="206"/>
      <c r="M1993" s="136">
        <f>M1992+K1993-L1993</f>
        <v>174626.44572000031</v>
      </c>
    </row>
    <row r="1994" spans="1:13">
      <c r="A1994" s="54" t="str">
        <f>D1994&amp;E1994&amp;F1994</f>
        <v>HRFONDO Y REPOSICIONHR</v>
      </c>
      <c r="B1994" t="s">
        <v>1277</v>
      </c>
      <c r="C1994" s="1">
        <v>45819</v>
      </c>
      <c r="D1994" s="71" t="s">
        <v>29</v>
      </c>
      <c r="E1994" s="71" t="s">
        <v>120</v>
      </c>
      <c r="F1994" s="70" t="s">
        <v>29</v>
      </c>
      <c r="G1994" s="71" t="s">
        <v>216</v>
      </c>
      <c r="H1994" s="138"/>
      <c r="J1994" s="71" t="s">
        <v>1346</v>
      </c>
      <c r="L1994" s="326">
        <v>3000</v>
      </c>
      <c r="M1994" s="136">
        <f>M1993+K1994-L1994</f>
        <v>171626.44572000031</v>
      </c>
    </row>
    <row r="1995" spans="1:13">
      <c r="A1995" s="54" t="str">
        <f>D1995&amp;E1995&amp;F1995</f>
        <v>CAPVIATICOSCAPRICHOS</v>
      </c>
      <c r="B1995" t="s">
        <v>1277</v>
      </c>
      <c r="C1995" s="1">
        <v>45819</v>
      </c>
      <c r="D1995" s="71" t="s">
        <v>31</v>
      </c>
      <c r="E1995" s="71" t="s">
        <v>191</v>
      </c>
      <c r="F1995" s="70" t="s">
        <v>33</v>
      </c>
      <c r="G1995" s="71" t="s">
        <v>258</v>
      </c>
      <c r="H1995" s="138"/>
      <c r="J1995" s="71" t="s">
        <v>1347</v>
      </c>
      <c r="L1995" s="326">
        <v>10000</v>
      </c>
      <c r="M1995" s="136">
        <f>M1994+K1995-L1995</f>
        <v>161626.44572000031</v>
      </c>
    </row>
    <row r="1996" spans="1:13">
      <c r="A1996" s="54" t="str">
        <f>D1996&amp;E1996&amp;F1996</f>
        <v>HRMKTMKT HR</v>
      </c>
      <c r="B1996" t="s">
        <v>1277</v>
      </c>
      <c r="C1996" s="1">
        <v>45819</v>
      </c>
      <c r="D1996" s="71" t="s">
        <v>29</v>
      </c>
      <c r="E1996" s="71" t="s">
        <v>19</v>
      </c>
      <c r="F1996" s="71" t="s">
        <v>138</v>
      </c>
      <c r="G1996" s="71" t="s">
        <v>216</v>
      </c>
      <c r="H1996" s="138"/>
      <c r="J1996" s="71" t="s">
        <v>1348</v>
      </c>
      <c r="L1996" s="326">
        <v>800</v>
      </c>
      <c r="M1996" s="136">
        <f t="shared" ref="M1996:M2002" si="37">M1995+K1996-L1996</f>
        <v>160826.44572000031</v>
      </c>
    </row>
    <row r="1997" spans="1:13">
      <c r="A1997" s="54" t="str">
        <f>D1997&amp;E1997&amp;F1997</f>
        <v>HRMKTMKT HR</v>
      </c>
      <c r="B1997" t="s">
        <v>1277</v>
      </c>
      <c r="C1997" s="1">
        <v>45819</v>
      </c>
      <c r="D1997" s="71" t="s">
        <v>29</v>
      </c>
      <c r="E1997" s="71" t="s">
        <v>19</v>
      </c>
      <c r="F1997" s="71" t="s">
        <v>138</v>
      </c>
      <c r="G1997" s="71" t="s">
        <v>216</v>
      </c>
      <c r="H1997" s="138"/>
      <c r="J1997" s="71" t="s">
        <v>1349</v>
      </c>
      <c r="L1997" s="326">
        <v>800</v>
      </c>
      <c r="M1997" s="136">
        <f t="shared" si="37"/>
        <v>160026.44572000031</v>
      </c>
    </row>
    <row r="1998" spans="1:13">
      <c r="A1998" s="54" t="str">
        <f>D1998&amp;E1998&amp;F1998</f>
        <v>HRVIATICOSHR</v>
      </c>
      <c r="B1998" t="s">
        <v>1277</v>
      </c>
      <c r="C1998" s="1">
        <v>45819</v>
      </c>
      <c r="D1998" s="71" t="s">
        <v>29</v>
      </c>
      <c r="E1998" s="71" t="s">
        <v>191</v>
      </c>
      <c r="F1998" s="70" t="s">
        <v>29</v>
      </c>
      <c r="G1998" s="71" t="s">
        <v>216</v>
      </c>
      <c r="H1998" s="138"/>
      <c r="J1998" s="71" t="s">
        <v>1350</v>
      </c>
      <c r="L1998" s="326">
        <v>2400</v>
      </c>
      <c r="M1998" s="136">
        <f t="shared" si="37"/>
        <v>157626.44572000031</v>
      </c>
    </row>
    <row r="1999" spans="1:13">
      <c r="A1999" s="54" t="str">
        <f>D1999&amp;E1999&amp;F1999</f>
        <v>HRMKTMKT HR</v>
      </c>
      <c r="B1999" t="s">
        <v>1277</v>
      </c>
      <c r="C1999" s="1">
        <v>45819</v>
      </c>
      <c r="D1999" s="71" t="s">
        <v>29</v>
      </c>
      <c r="E1999" s="71" t="s">
        <v>19</v>
      </c>
      <c r="F1999" s="71" t="s">
        <v>138</v>
      </c>
      <c r="H1999" s="138"/>
      <c r="J1999" s="71" t="s">
        <v>1351</v>
      </c>
      <c r="L1999" s="326">
        <v>1600</v>
      </c>
      <c r="M1999" s="136">
        <f t="shared" si="37"/>
        <v>156026.44572000031</v>
      </c>
    </row>
    <row r="2000" spans="1:13">
      <c r="A2000" s="54" t="str">
        <f>D2000&amp;E2000&amp;F2000</f>
        <v>SERVICIOSINSUMOSCEDIS</v>
      </c>
      <c r="B2000" t="s">
        <v>1277</v>
      </c>
      <c r="C2000" s="1">
        <v>45819</v>
      </c>
      <c r="D2000" s="71" t="s">
        <v>21</v>
      </c>
      <c r="E2000" s="71" t="s">
        <v>133</v>
      </c>
      <c r="F2000" s="70" t="s">
        <v>28</v>
      </c>
      <c r="G2000" s="71" t="s">
        <v>258</v>
      </c>
      <c r="H2000" s="138"/>
      <c r="J2000" s="71" t="s">
        <v>1352</v>
      </c>
      <c r="L2000" s="326">
        <v>2324</v>
      </c>
      <c r="M2000" s="136">
        <f t="shared" si="37"/>
        <v>153702.44572000031</v>
      </c>
    </row>
    <row r="2001" spans="1:13">
      <c r="A2001" s="54" t="str">
        <f>D2001&amp;E2001&amp;F2001</f>
        <v>SERVICIOSFONDO Y REPOSICIONSERVICIOS</v>
      </c>
      <c r="B2001" t="s">
        <v>1277</v>
      </c>
      <c r="C2001" s="1">
        <v>45819</v>
      </c>
      <c r="D2001" s="71" t="s">
        <v>21</v>
      </c>
      <c r="E2001" s="71" t="s">
        <v>120</v>
      </c>
      <c r="F2001" s="70" t="s">
        <v>21</v>
      </c>
      <c r="G2001" s="71" t="s">
        <v>216</v>
      </c>
      <c r="H2001" s="138"/>
      <c r="J2001" s="71" t="s">
        <v>986</v>
      </c>
      <c r="L2001" s="326">
        <v>2000</v>
      </c>
      <c r="M2001" s="136">
        <f t="shared" si="37"/>
        <v>151702.44572000031</v>
      </c>
    </row>
    <row r="2002" spans="1:13">
      <c r="A2002" s="54" t="str">
        <f>D2002&amp;E2002&amp;F2002</f>
        <v>SERVICIOSALARMASUCURSALES CAPRICHOS</v>
      </c>
      <c r="B2002" t="s">
        <v>1277</v>
      </c>
      <c r="C2002" s="1">
        <v>45819</v>
      </c>
      <c r="D2002" s="71" t="s">
        <v>21</v>
      </c>
      <c r="E2002" s="71" t="s">
        <v>25</v>
      </c>
      <c r="F2002" s="70" t="s">
        <v>27</v>
      </c>
      <c r="G2002" s="71" t="s">
        <v>216</v>
      </c>
      <c r="H2002" s="138"/>
      <c r="J2002" s="71" t="s">
        <v>1353</v>
      </c>
      <c r="L2002" s="326">
        <v>450</v>
      </c>
      <c r="M2002" s="136">
        <f t="shared" si="37"/>
        <v>151252.44572000031</v>
      </c>
    </row>
    <row r="2003" spans="1:13">
      <c r="A2003" s="54" t="str">
        <f>D2003&amp;E2003&amp;F2003</f>
        <v>SGEFONDO Y REPOSICIONGESTION EMPRESARIAL</v>
      </c>
      <c r="B2003" t="s">
        <v>1277</v>
      </c>
      <c r="C2003" s="1">
        <v>45819</v>
      </c>
      <c r="D2003" s="71" t="s">
        <v>39</v>
      </c>
      <c r="E2003" s="71" t="s">
        <v>120</v>
      </c>
      <c r="F2003" s="70" t="s">
        <v>40</v>
      </c>
      <c r="G2003" s="71" t="s">
        <v>258</v>
      </c>
      <c r="H2003" s="138"/>
      <c r="J2003" s="71" t="s">
        <v>1354</v>
      </c>
      <c r="L2003" s="326">
        <v>178</v>
      </c>
      <c r="M2003" s="136">
        <f>M2002+K2003-L2003</f>
        <v>151074.44572000031</v>
      </c>
    </row>
    <row r="2004" spans="1:13">
      <c r="A2004" s="54" t="str">
        <f>D2004&amp;E2004&amp;F2004</f>
        <v>SERVICIOSMTTO DE EDIFICIOMANTENIMIENTO</v>
      </c>
      <c r="B2004" t="s">
        <v>1277</v>
      </c>
      <c r="C2004" s="1">
        <v>45819</v>
      </c>
      <c r="D2004" s="71" t="s">
        <v>21</v>
      </c>
      <c r="E2004" s="71" t="s">
        <v>142</v>
      </c>
      <c r="F2004" s="70" t="s">
        <v>35</v>
      </c>
      <c r="G2004" s="71" t="s">
        <v>216</v>
      </c>
      <c r="H2004" s="138"/>
      <c r="J2004" s="71" t="s">
        <v>1355</v>
      </c>
      <c r="L2004" s="321">
        <v>1450</v>
      </c>
      <c r="M2004" s="136">
        <f>M2003+K2004-L2004</f>
        <v>149624.44572000031</v>
      </c>
    </row>
    <row r="2005" spans="1:13">
      <c r="A2005" s="54" t="str">
        <f>D2005&amp;E2005&amp;F2005</f>
        <v>SERVICIOSMTTO DE EDIFICIOMANTENIMIENTO</v>
      </c>
      <c r="B2005" t="s">
        <v>1277</v>
      </c>
      <c r="C2005" s="1">
        <v>45819</v>
      </c>
      <c r="D2005" s="71" t="s">
        <v>21</v>
      </c>
      <c r="E2005" s="71" t="s">
        <v>142</v>
      </c>
      <c r="F2005" s="70" t="s">
        <v>35</v>
      </c>
      <c r="G2005" s="71" t="s">
        <v>216</v>
      </c>
      <c r="H2005" s="138"/>
      <c r="J2005" s="71" t="s">
        <v>1356</v>
      </c>
      <c r="L2005" s="321">
        <v>7000</v>
      </c>
      <c r="M2005" s="136">
        <f>M2004+K2005-L2005</f>
        <v>142624.44572000031</v>
      </c>
    </row>
    <row r="2006" spans="1:13">
      <c r="A2006" s="54" t="str">
        <f>D2006&amp;E2006&amp;F2006</f>
        <v>CAPFONDO Y REPOSICIONCAPRICHOS</v>
      </c>
      <c r="B2006" t="s">
        <v>1277</v>
      </c>
      <c r="C2006" s="1">
        <v>45819</v>
      </c>
      <c r="D2006" s="71" t="s">
        <v>31</v>
      </c>
      <c r="E2006" s="71" t="s">
        <v>120</v>
      </c>
      <c r="F2006" s="70" t="s">
        <v>33</v>
      </c>
      <c r="H2006" s="138"/>
      <c r="J2006" s="71" t="s">
        <v>583</v>
      </c>
      <c r="L2006" s="326">
        <v>1726</v>
      </c>
      <c r="M2006" s="136">
        <f>M2005+K2006-L2006</f>
        <v>140898.44572000031</v>
      </c>
    </row>
    <row r="2007" spans="1:13">
      <c r="A2007" s="54" t="str">
        <f>D2007&amp;E2007&amp;F2007</f>
        <v>HRJMASA4</v>
      </c>
      <c r="B2007" t="s">
        <v>1277</v>
      </c>
      <c r="C2007" s="1">
        <v>45819</v>
      </c>
      <c r="D2007" s="71" t="s">
        <v>29</v>
      </c>
      <c r="E2007" s="71" t="s">
        <v>137</v>
      </c>
      <c r="F2007" s="70" t="s">
        <v>91</v>
      </c>
      <c r="G2007" s="71" t="s">
        <v>216</v>
      </c>
      <c r="H2007" s="138"/>
      <c r="J2007" s="76" t="s">
        <v>1357</v>
      </c>
      <c r="L2007" s="331">
        <v>560</v>
      </c>
      <c r="M2007" s="136">
        <f>M2006+K2007-L2007</f>
        <v>140338.44572000031</v>
      </c>
    </row>
    <row r="2008" spans="1:13">
      <c r="A2008" s="54" t="str">
        <f>D2008&amp;E2008&amp;F2008</f>
        <v>SERVICIOSMTTO DE EDIFICIOMANTENIMIENTO</v>
      </c>
      <c r="B2008" t="s">
        <v>1277</v>
      </c>
      <c r="C2008" s="1">
        <v>45819</v>
      </c>
      <c r="D2008" s="71" t="s">
        <v>21</v>
      </c>
      <c r="E2008" s="71" t="s">
        <v>142</v>
      </c>
      <c r="F2008" s="70" t="s">
        <v>35</v>
      </c>
      <c r="G2008" s="71" t="s">
        <v>216</v>
      </c>
      <c r="H2008" s="138"/>
      <c r="J2008" s="76" t="s">
        <v>1358</v>
      </c>
      <c r="L2008" s="332">
        <v>40</v>
      </c>
      <c r="M2008" s="136">
        <f>M2007+K2008-L2008</f>
        <v>140298.44572000031</v>
      </c>
    </row>
    <row r="2009" spans="1:13">
      <c r="A2009" s="54" t="str">
        <f>D2009&amp;E2009&amp;F2009</f>
        <v>HRUBERHR</v>
      </c>
      <c r="B2009" t="s">
        <v>1277</v>
      </c>
      <c r="C2009" s="1">
        <v>45819</v>
      </c>
      <c r="D2009" s="71" t="s">
        <v>29</v>
      </c>
      <c r="E2009" s="71" t="s">
        <v>189</v>
      </c>
      <c r="F2009" s="70" t="s">
        <v>29</v>
      </c>
      <c r="G2009" s="71" t="s">
        <v>216</v>
      </c>
      <c r="H2009" s="138"/>
      <c r="J2009" s="76" t="s">
        <v>336</v>
      </c>
      <c r="L2009" s="526">
        <v>50</v>
      </c>
      <c r="M2009" s="136">
        <f>M2008+K2009-L2009</f>
        <v>140248.44572000031</v>
      </c>
    </row>
    <row r="2010" spans="1:13">
      <c r="A2010" s="54" t="str">
        <f>D2010&amp;E2010&amp;F2010</f>
        <v>HRUBERHR</v>
      </c>
      <c r="B2010" t="s">
        <v>1277</v>
      </c>
      <c r="C2010" s="1">
        <v>45819</v>
      </c>
      <c r="D2010" s="71" t="s">
        <v>29</v>
      </c>
      <c r="E2010" s="71" t="s">
        <v>189</v>
      </c>
      <c r="F2010" s="70" t="s">
        <v>29</v>
      </c>
      <c r="G2010" s="71" t="s">
        <v>216</v>
      </c>
      <c r="H2010" s="138"/>
      <c r="J2010" s="76" t="s">
        <v>741</v>
      </c>
      <c r="L2010" s="526">
        <v>120</v>
      </c>
      <c r="M2010" s="136">
        <f>M2009+K2010-L2010</f>
        <v>140128.44572000031</v>
      </c>
    </row>
    <row r="2011" spans="1:13">
      <c r="A2011" s="54" t="str">
        <f>D2011&amp;E2011&amp;F2011</f>
        <v>HRUBERHR</v>
      </c>
      <c r="B2011" t="s">
        <v>1277</v>
      </c>
      <c r="C2011" s="1">
        <v>45819</v>
      </c>
      <c r="D2011" s="71" t="s">
        <v>29</v>
      </c>
      <c r="E2011" s="71" t="s">
        <v>189</v>
      </c>
      <c r="F2011" s="70" t="s">
        <v>29</v>
      </c>
      <c r="G2011" s="71" t="s">
        <v>216</v>
      </c>
      <c r="H2011" s="138"/>
      <c r="J2011" s="76" t="s">
        <v>1359</v>
      </c>
      <c r="L2011" s="526">
        <v>110</v>
      </c>
      <c r="M2011" s="136">
        <f>M2010+K2011-L2011</f>
        <v>140018.44572000031</v>
      </c>
    </row>
    <row r="2012" spans="1:13">
      <c r="A2012" s="54" t="str">
        <f>D2012&amp;E2012&amp;F2012</f>
        <v>HRUBERHR</v>
      </c>
      <c r="B2012" t="s">
        <v>1277</v>
      </c>
      <c r="C2012" s="1">
        <v>45819</v>
      </c>
      <c r="D2012" s="71" t="s">
        <v>29</v>
      </c>
      <c r="E2012" s="71" t="s">
        <v>189</v>
      </c>
      <c r="F2012" s="70" t="s">
        <v>29</v>
      </c>
      <c r="G2012" s="71" t="s">
        <v>216</v>
      </c>
      <c r="H2012" s="138"/>
      <c r="J2012" s="76" t="s">
        <v>1360</v>
      </c>
      <c r="L2012" s="526">
        <v>120</v>
      </c>
      <c r="M2012" s="136">
        <f>M2011+K2012-L2012</f>
        <v>139898.44572000031</v>
      </c>
    </row>
    <row r="2013" spans="1:13">
      <c r="A2013" s="54" t="str">
        <f>D2013&amp;E2013&amp;F2013</f>
        <v>CAPCOMBUSTIBLECAPRICHOS</v>
      </c>
      <c r="B2013" t="s">
        <v>1277</v>
      </c>
      <c r="C2013" s="1">
        <v>45819</v>
      </c>
      <c r="D2013" s="71" t="s">
        <v>31</v>
      </c>
      <c r="E2013" s="71" t="s">
        <v>32</v>
      </c>
      <c r="F2013" s="70" t="s">
        <v>33</v>
      </c>
      <c r="G2013" s="71" t="s">
        <v>216</v>
      </c>
      <c r="H2013" s="138"/>
      <c r="J2013" s="76" t="s">
        <v>1361</v>
      </c>
      <c r="L2013" s="331">
        <v>500</v>
      </c>
      <c r="M2013" s="136">
        <f>M2012+K2013-L2013</f>
        <v>139398.44572000031</v>
      </c>
    </row>
    <row r="2014" spans="1:13">
      <c r="A2014" s="54" t="str">
        <f>D2014&amp;E2014&amp;F2014</f>
        <v>CAPUBERCAP</v>
      </c>
      <c r="B2014" t="s">
        <v>1277</v>
      </c>
      <c r="C2014" s="1">
        <v>45819</v>
      </c>
      <c r="D2014" s="71" t="s">
        <v>31</v>
      </c>
      <c r="E2014" s="71" t="s">
        <v>189</v>
      </c>
      <c r="F2014" s="70" t="s">
        <v>31</v>
      </c>
      <c r="G2014" s="71" t="s">
        <v>216</v>
      </c>
      <c r="H2014" s="138"/>
      <c r="J2014" s="76" t="s">
        <v>445</v>
      </c>
      <c r="L2014" s="526">
        <v>535</v>
      </c>
      <c r="M2014" s="136">
        <f>M2013+K2014-L2014</f>
        <v>138863.44572000031</v>
      </c>
    </row>
    <row r="2015" spans="1:13">
      <c r="A2015" s="54" t="str">
        <f>D2015&amp;E2015&amp;F2015</f>
        <v>CAPUBERCAP</v>
      </c>
      <c r="B2015" t="s">
        <v>1277</v>
      </c>
      <c r="C2015" s="1">
        <v>45819</v>
      </c>
      <c r="D2015" s="71" t="s">
        <v>31</v>
      </c>
      <c r="E2015" s="71" t="s">
        <v>189</v>
      </c>
      <c r="F2015" s="70" t="s">
        <v>31</v>
      </c>
      <c r="G2015" s="71" t="s">
        <v>216</v>
      </c>
      <c r="H2015" s="138"/>
      <c r="J2015" s="76" t="s">
        <v>489</v>
      </c>
      <c r="L2015" s="526">
        <v>130</v>
      </c>
      <c r="M2015" s="136">
        <f>M2014+K2015-L2015</f>
        <v>138733.44572000031</v>
      </c>
    </row>
    <row r="2016" spans="1:13">
      <c r="A2016" s="54" t="str">
        <f>D2016&amp;E2016&amp;F2016</f>
        <v>CAPFUMIGACIONCAPRICHOS</v>
      </c>
      <c r="B2016" t="s">
        <v>1277</v>
      </c>
      <c r="C2016" s="1">
        <v>45819</v>
      </c>
      <c r="D2016" s="71" t="s">
        <v>31</v>
      </c>
      <c r="E2016" s="71" t="s">
        <v>121</v>
      </c>
      <c r="F2016" s="70" t="s">
        <v>33</v>
      </c>
      <c r="G2016" s="71" t="s">
        <v>216</v>
      </c>
      <c r="H2016" s="138"/>
      <c r="J2016" s="76" t="s">
        <v>631</v>
      </c>
      <c r="L2016" s="538">
        <v>650</v>
      </c>
      <c r="M2016" s="136">
        <f>M2015+K2016-L2016</f>
        <v>138083.44572000031</v>
      </c>
    </row>
    <row r="2017" spans="1:13">
      <c r="A2017" s="54" t="str">
        <f>D2017&amp;E2017&amp;F2017</f>
        <v>CAPUBERCAP</v>
      </c>
      <c r="B2017" t="s">
        <v>1277</v>
      </c>
      <c r="C2017" s="1">
        <v>45819</v>
      </c>
      <c r="D2017" s="71" t="s">
        <v>31</v>
      </c>
      <c r="E2017" s="71" t="s">
        <v>189</v>
      </c>
      <c r="F2017" s="70" t="s">
        <v>31</v>
      </c>
      <c r="G2017" s="71" t="s">
        <v>216</v>
      </c>
      <c r="H2017" s="138"/>
      <c r="J2017" s="76" t="s">
        <v>1362</v>
      </c>
      <c r="L2017" s="526">
        <v>250</v>
      </c>
      <c r="M2017" s="136">
        <f>M2016+K2017-L2017</f>
        <v>137833.44572000031</v>
      </c>
    </row>
    <row r="2018" spans="1:13">
      <c r="A2018" s="54" t="str">
        <f>D2018&amp;E2018&amp;F2018</f>
        <v>CAPINSUMOSCAPRICHOS</v>
      </c>
      <c r="B2018" t="s">
        <v>1277</v>
      </c>
      <c r="C2018" s="1">
        <v>45819</v>
      </c>
      <c r="D2018" s="71" t="s">
        <v>31</v>
      </c>
      <c r="E2018" s="71" t="s">
        <v>133</v>
      </c>
      <c r="F2018" s="70" t="s">
        <v>33</v>
      </c>
      <c r="G2018" s="71" t="s">
        <v>216</v>
      </c>
      <c r="H2018" s="138"/>
      <c r="J2018" s="76" t="s">
        <v>1363</v>
      </c>
      <c r="L2018" s="331">
        <v>100</v>
      </c>
      <c r="M2018" s="136">
        <f>M2017+K2018-L2018</f>
        <v>137733.44572000031</v>
      </c>
    </row>
    <row r="2019" spans="1:13">
      <c r="A2019" s="54" t="str">
        <f t="shared" ref="A1996:A2060" si="38">D2019&amp;E2019&amp;F2019</f>
        <v/>
      </c>
      <c r="B2019" t="s">
        <v>1277</v>
      </c>
      <c r="C2019" s="1">
        <v>45820</v>
      </c>
      <c r="D2019" s="71"/>
      <c r="F2019" s="70"/>
      <c r="H2019" s="138"/>
      <c r="J2019" s="71" t="s">
        <v>260</v>
      </c>
      <c r="K2019" s="325">
        <v>213005.7</v>
      </c>
      <c r="L2019" s="354"/>
      <c r="M2019" s="136">
        <f>M2018+K2019-L2019</f>
        <v>350739.14572000032</v>
      </c>
    </row>
    <row r="2020" spans="1:13">
      <c r="A2020" s="54" t="str">
        <f>D2020&amp;E2020&amp;F2020</f>
        <v>FINANZASCOMISIONES BANCARIASTPV</v>
      </c>
      <c r="B2020" t="s">
        <v>1277</v>
      </c>
      <c r="C2020" s="1">
        <v>45820</v>
      </c>
      <c r="D2020" s="71" t="s">
        <v>23</v>
      </c>
      <c r="E2020" s="71" t="s">
        <v>48</v>
      </c>
      <c r="F2020" s="70" t="s">
        <v>50</v>
      </c>
      <c r="G2020" s="71" t="s">
        <v>216</v>
      </c>
      <c r="H2020" s="138"/>
      <c r="J2020" s="71" t="s">
        <v>217</v>
      </c>
      <c r="L2020" s="321">
        <f>398.17+151.93+74.26+1705.66+1272.31+678.8+10.44</f>
        <v>4291.57</v>
      </c>
      <c r="M2020" s="136">
        <f>M2019+K2020-L2020</f>
        <v>346447.57572000031</v>
      </c>
    </row>
    <row r="2021" spans="1:13">
      <c r="A2021" s="54" t="str">
        <f t="shared" si="38"/>
        <v/>
      </c>
      <c r="B2021" t="s">
        <v>1277</v>
      </c>
      <c r="C2021" s="1">
        <v>45820</v>
      </c>
      <c r="D2021" s="71"/>
      <c r="F2021" s="70"/>
      <c r="H2021" s="138"/>
      <c r="J2021" s="205" t="s">
        <v>318</v>
      </c>
      <c r="K2021" s="206"/>
      <c r="L2021" s="206">
        <v>200000</v>
      </c>
      <c r="M2021" s="136">
        <f>M2020+K2021-L2021</f>
        <v>146447.57572000031</v>
      </c>
    </row>
    <row r="2022" spans="1:13">
      <c r="A2022" s="54" t="str">
        <f t="shared" si="38"/>
        <v/>
      </c>
      <c r="B2022" t="s">
        <v>1277</v>
      </c>
      <c r="C2022" s="1">
        <v>45820</v>
      </c>
      <c r="D2022" s="71"/>
      <c r="F2022" s="70"/>
      <c r="H2022" s="138"/>
      <c r="J2022" s="205" t="s">
        <v>563</v>
      </c>
      <c r="K2022" s="206"/>
      <c r="L2022" s="206"/>
      <c r="M2022" s="136">
        <f>M2021+K2022-L2022</f>
        <v>146447.57572000031</v>
      </c>
    </row>
    <row r="2023" spans="1:13">
      <c r="A2023" s="54" t="str">
        <f>D2023&amp;E2023&amp;F2023</f>
        <v>SERVICIOSMTTO DE EDIFICIOMANTENIMIENTO</v>
      </c>
      <c r="B2023" t="s">
        <v>1277</v>
      </c>
      <c r="C2023" s="1">
        <v>45820</v>
      </c>
      <c r="D2023" s="71" t="s">
        <v>21</v>
      </c>
      <c r="E2023" s="71" t="s">
        <v>142</v>
      </c>
      <c r="F2023" s="70" t="s">
        <v>35</v>
      </c>
      <c r="G2023" s="71" t="s">
        <v>216</v>
      </c>
      <c r="H2023" s="138"/>
      <c r="J2023" s="71" t="s">
        <v>1364</v>
      </c>
      <c r="L2023" s="321">
        <v>1000</v>
      </c>
      <c r="M2023" s="136">
        <f>M2022+K2023-L2023</f>
        <v>145447.57572000031</v>
      </c>
    </row>
    <row r="2024" spans="1:13">
      <c r="A2024" s="54" t="str">
        <f>D2024&amp;E2024&amp;F2024</f>
        <v>SGEVIATICOSGESTION EMPRESARIAL</v>
      </c>
      <c r="B2024" t="s">
        <v>1277</v>
      </c>
      <c r="C2024" s="1">
        <v>45820</v>
      </c>
      <c r="D2024" s="71" t="s">
        <v>39</v>
      </c>
      <c r="E2024" s="71" t="s">
        <v>191</v>
      </c>
      <c r="F2024" s="70" t="s">
        <v>40</v>
      </c>
      <c r="G2024" s="71" t="s">
        <v>216</v>
      </c>
      <c r="H2024" s="138"/>
      <c r="J2024" s="71" t="s">
        <v>1365</v>
      </c>
      <c r="L2024" s="326">
        <v>1800</v>
      </c>
      <c r="M2024" s="136">
        <f>M2023+K2024-L2024</f>
        <v>143647.57572000031</v>
      </c>
    </row>
    <row r="2025" spans="1:13">
      <c r="A2025" s="54" t="str">
        <f>D2025&amp;E2025&amp;F2025</f>
        <v>SERVICIOSADQ DE EQ TECNOLOGICOADQ DE EQ TECNOLOGICO</v>
      </c>
      <c r="B2025" t="s">
        <v>1277</v>
      </c>
      <c r="C2025" s="1">
        <v>45820</v>
      </c>
      <c r="D2025" s="71" t="s">
        <v>21</v>
      </c>
      <c r="E2025" s="71" t="s">
        <v>22</v>
      </c>
      <c r="F2025" s="70" t="s">
        <v>22</v>
      </c>
      <c r="G2025" s="71" t="s">
        <v>216</v>
      </c>
      <c r="H2025" s="138"/>
      <c r="J2025" s="71" t="s">
        <v>1366</v>
      </c>
      <c r="L2025" s="326">
        <v>10250.9</v>
      </c>
      <c r="M2025" s="136">
        <f>M2024+K2025-L2025</f>
        <v>133396.67572000032</v>
      </c>
    </row>
    <row r="2026" spans="1:13">
      <c r="A2026" s="54" t="str">
        <f>D2026&amp;E2026&amp;F2026</f>
        <v>SERVICIOSPAQUETERIACEDIS (E6)</v>
      </c>
      <c r="B2026" t="s">
        <v>1277</v>
      </c>
      <c r="C2026" s="1">
        <v>45820</v>
      </c>
      <c r="D2026" s="71" t="s">
        <v>21</v>
      </c>
      <c r="E2026" s="71" t="s">
        <v>160</v>
      </c>
      <c r="F2026" s="70" t="s">
        <v>161</v>
      </c>
      <c r="G2026" s="71" t="s">
        <v>216</v>
      </c>
      <c r="H2026" s="138"/>
      <c r="J2026" s="71" t="s">
        <v>1367</v>
      </c>
      <c r="L2026" s="326">
        <v>2017.97</v>
      </c>
      <c r="M2026" s="136">
        <f>M2025+K2026-L2026</f>
        <v>131378.70572000032</v>
      </c>
    </row>
    <row r="2027" spans="1:13">
      <c r="A2027" s="54" t="str">
        <f>D2027&amp;E2027&amp;F2027</f>
        <v>FINANZASTELEFONIATELCEL</v>
      </c>
      <c r="B2027" t="s">
        <v>1277</v>
      </c>
      <c r="C2027" s="1">
        <v>45820</v>
      </c>
      <c r="D2027" s="71" t="s">
        <v>23</v>
      </c>
      <c r="E2027" s="71" t="s">
        <v>181</v>
      </c>
      <c r="F2027" s="70" t="s">
        <v>183</v>
      </c>
      <c r="G2027" s="71" t="s">
        <v>258</v>
      </c>
      <c r="H2027" s="138"/>
      <c r="J2027" s="71" t="s">
        <v>1368</v>
      </c>
      <c r="L2027" s="326">
        <v>116</v>
      </c>
      <c r="M2027" s="136">
        <f>M2026+K2027-L2027</f>
        <v>131262.70572000032</v>
      </c>
    </row>
    <row r="2028" spans="1:13">
      <c r="A2028" s="54" t="str">
        <f>D2028&amp;E2028&amp;F2028</f>
        <v>HRUBERHR</v>
      </c>
      <c r="B2028" t="s">
        <v>1277</v>
      </c>
      <c r="C2028" s="1">
        <v>45820</v>
      </c>
      <c r="D2028" s="71" t="s">
        <v>29</v>
      </c>
      <c r="E2028" s="71" t="s">
        <v>189</v>
      </c>
      <c r="F2028" s="70" t="s">
        <v>29</v>
      </c>
      <c r="G2028" s="71" t="s">
        <v>216</v>
      </c>
      <c r="H2028" s="138"/>
      <c r="J2028" s="76" t="s">
        <v>403</v>
      </c>
      <c r="L2028" s="526">
        <v>196</v>
      </c>
      <c r="M2028" s="136">
        <f>M2027+K2028-L2028</f>
        <v>131066.70572000032</v>
      </c>
    </row>
    <row r="2029" spans="1:13">
      <c r="A2029" s="54" t="str">
        <f>D2029&amp;E2029&amp;F2029</f>
        <v>HRJMASA6</v>
      </c>
      <c r="B2029" t="s">
        <v>1277</v>
      </c>
      <c r="C2029" s="1">
        <v>45820</v>
      </c>
      <c r="D2029" s="71" t="s">
        <v>29</v>
      </c>
      <c r="E2029" s="71" t="s">
        <v>137</v>
      </c>
      <c r="F2029" s="70" t="s">
        <v>93</v>
      </c>
      <c r="H2029" s="138"/>
      <c r="J2029" s="76" t="s">
        <v>443</v>
      </c>
      <c r="L2029" s="331">
        <v>502</v>
      </c>
      <c r="M2029" s="136">
        <f>M2028+K2029-L2029</f>
        <v>130564.70572000032</v>
      </c>
    </row>
    <row r="2030" spans="1:13">
      <c r="A2030" s="54" t="str">
        <f>D2030&amp;E2030&amp;F2030</f>
        <v>SERVICIOSMTTO DE EDIFICIOMANTENIMIENTO</v>
      </c>
      <c r="B2030" t="s">
        <v>1277</v>
      </c>
      <c r="C2030" s="1">
        <v>45820</v>
      </c>
      <c r="D2030" s="71" t="s">
        <v>21</v>
      </c>
      <c r="E2030" s="71" t="s">
        <v>142</v>
      </c>
      <c r="F2030" s="70" t="s">
        <v>35</v>
      </c>
      <c r="G2030" s="71" t="s">
        <v>216</v>
      </c>
      <c r="H2030" s="138"/>
      <c r="J2030" s="76" t="s">
        <v>1369</v>
      </c>
      <c r="L2030" s="332">
        <v>70</v>
      </c>
      <c r="M2030" s="136">
        <f>M2029+K2030-L2030</f>
        <v>130494.70572000032</v>
      </c>
    </row>
    <row r="2031" spans="1:13">
      <c r="A2031" s="54" t="str">
        <f>D2031&amp;E2031&amp;F2031</f>
        <v>HRUBERHR</v>
      </c>
      <c r="B2031" t="s">
        <v>1277</v>
      </c>
      <c r="C2031" s="1">
        <v>45820</v>
      </c>
      <c r="D2031" s="71" t="s">
        <v>29</v>
      </c>
      <c r="E2031" s="71" t="s">
        <v>189</v>
      </c>
      <c r="F2031" s="70" t="s">
        <v>29</v>
      </c>
      <c r="G2031" s="71" t="s">
        <v>216</v>
      </c>
      <c r="H2031" s="138"/>
      <c r="J2031" s="76" t="s">
        <v>854</v>
      </c>
      <c r="L2031" s="526">
        <v>200</v>
      </c>
      <c r="M2031" s="136">
        <f>M2030+K2031-L2031</f>
        <v>130294.70572000032</v>
      </c>
    </row>
    <row r="2032" spans="1:13">
      <c r="A2032" s="54" t="str">
        <f>D2032&amp;E2032&amp;F2032</f>
        <v>HRUBERHR</v>
      </c>
      <c r="B2032" t="s">
        <v>1277</v>
      </c>
      <c r="C2032" s="1">
        <v>45820</v>
      </c>
      <c r="D2032" s="71" t="s">
        <v>29</v>
      </c>
      <c r="E2032" s="71" t="s">
        <v>189</v>
      </c>
      <c r="F2032" s="70" t="s">
        <v>29</v>
      </c>
      <c r="G2032" s="71" t="s">
        <v>216</v>
      </c>
      <c r="H2032" s="138"/>
      <c r="J2032" s="76" t="s">
        <v>249</v>
      </c>
      <c r="L2032" s="526">
        <v>354</v>
      </c>
      <c r="M2032" s="136">
        <f>M2031+K2032-L2032</f>
        <v>129940.70572000032</v>
      </c>
    </row>
    <row r="2033" spans="1:13">
      <c r="A2033" s="54" t="str">
        <f>D2033&amp;E2033&amp;F2033</f>
        <v>CAPUBERCAP</v>
      </c>
      <c r="B2033" t="s">
        <v>1277</v>
      </c>
      <c r="C2033" s="1">
        <v>45820</v>
      </c>
      <c r="D2033" s="71" t="s">
        <v>31</v>
      </c>
      <c r="E2033" s="71" t="s">
        <v>189</v>
      </c>
      <c r="F2033" s="70" t="s">
        <v>31</v>
      </c>
      <c r="G2033" s="71" t="s">
        <v>216</v>
      </c>
      <c r="H2033" s="138"/>
      <c r="J2033" s="76" t="s">
        <v>253</v>
      </c>
      <c r="L2033" s="526">
        <v>495</v>
      </c>
      <c r="M2033" s="136">
        <f>M2032+K2033-L2033</f>
        <v>129445.70572000032</v>
      </c>
    </row>
    <row r="2034" spans="1:13">
      <c r="A2034" s="54" t="str">
        <f>D2034&amp;E2034&amp;F2034</f>
        <v>CAPUBERCAP</v>
      </c>
      <c r="B2034" t="s">
        <v>1277</v>
      </c>
      <c r="C2034" s="1">
        <v>45820</v>
      </c>
      <c r="D2034" s="71" t="s">
        <v>31</v>
      </c>
      <c r="E2034" s="71" t="s">
        <v>189</v>
      </c>
      <c r="F2034" s="70" t="s">
        <v>31</v>
      </c>
      <c r="G2034" s="71" t="s">
        <v>216</v>
      </c>
      <c r="H2034" s="138"/>
      <c r="J2034" s="76" t="s">
        <v>257</v>
      </c>
      <c r="L2034" s="526">
        <v>385</v>
      </c>
      <c r="M2034" s="136">
        <f>M2033+K2034-L2034</f>
        <v>129060.70572000032</v>
      </c>
    </row>
    <row r="2035" spans="1:13">
      <c r="A2035" s="54" t="str">
        <f>D2035&amp;E2035&amp;F2035</f>
        <v>CAPUBERCAP</v>
      </c>
      <c r="B2035" t="s">
        <v>1277</v>
      </c>
      <c r="C2035" s="1">
        <v>45820</v>
      </c>
      <c r="D2035" s="71" t="s">
        <v>31</v>
      </c>
      <c r="E2035" s="71" t="s">
        <v>189</v>
      </c>
      <c r="F2035" s="70" t="s">
        <v>31</v>
      </c>
      <c r="G2035" s="71" t="s">
        <v>216</v>
      </c>
      <c r="H2035" s="138"/>
      <c r="J2035" s="76" t="s">
        <v>490</v>
      </c>
      <c r="L2035" s="526">
        <v>400</v>
      </c>
      <c r="M2035" s="136">
        <f>M2034+K2035-L2035</f>
        <v>128660.70572000032</v>
      </c>
    </row>
    <row r="2036" spans="1:13">
      <c r="A2036" s="54" t="str">
        <f t="shared" si="38"/>
        <v/>
      </c>
      <c r="B2036" t="s">
        <v>1277</v>
      </c>
      <c r="C2036" s="1">
        <v>45821</v>
      </c>
      <c r="D2036" s="71"/>
      <c r="H2036" s="138"/>
      <c r="J2036" s="71" t="s">
        <v>260</v>
      </c>
      <c r="K2036" s="325">
        <v>248064.39</v>
      </c>
      <c r="L2036" s="354"/>
      <c r="M2036" s="136">
        <f>M2035+K2036-L2036</f>
        <v>376725.09572000033</v>
      </c>
    </row>
    <row r="2037" spans="1:13">
      <c r="A2037" s="54" t="str">
        <f>D2037&amp;E2037&amp;F2037</f>
        <v>FINANZASCOMISIONES BANCARIASTPV</v>
      </c>
      <c r="B2037" t="s">
        <v>1277</v>
      </c>
      <c r="C2037" s="1">
        <v>45821</v>
      </c>
      <c r="D2037" s="71" t="s">
        <v>23</v>
      </c>
      <c r="E2037" s="71" t="s">
        <v>48</v>
      </c>
      <c r="F2037" s="70" t="s">
        <v>50</v>
      </c>
      <c r="G2037" s="71" t="s">
        <v>216</v>
      </c>
      <c r="H2037" s="138"/>
      <c r="J2037" s="71" t="s">
        <v>217</v>
      </c>
      <c r="L2037" s="321">
        <f>336.74+269.81+190.24+2222.05+1494.65+939.19+3.48+20.88</f>
        <v>5477.04</v>
      </c>
      <c r="M2037" s="136">
        <f>M2036+K2037-L2037</f>
        <v>371248.05572000035</v>
      </c>
    </row>
    <row r="2038" spans="1:13">
      <c r="A2038" s="54" t="str">
        <f t="shared" si="38"/>
        <v/>
      </c>
      <c r="B2038" t="s">
        <v>1277</v>
      </c>
      <c r="C2038" s="1">
        <v>45821</v>
      </c>
      <c r="D2038" s="71"/>
      <c r="H2038" s="138"/>
      <c r="J2038" s="205" t="s">
        <v>318</v>
      </c>
      <c r="K2038" s="206"/>
      <c r="L2038" s="206">
        <v>173050</v>
      </c>
      <c r="M2038" s="136">
        <f>M2037+K2038-L2038</f>
        <v>198198.05572000035</v>
      </c>
    </row>
    <row r="2039" spans="1:13">
      <c r="A2039" s="54" t="str">
        <f t="shared" si="38"/>
        <v/>
      </c>
      <c r="B2039" t="s">
        <v>1277</v>
      </c>
      <c r="C2039" s="1">
        <v>45821</v>
      </c>
      <c r="D2039" s="71"/>
      <c r="H2039" s="138"/>
      <c r="J2039" s="205" t="s">
        <v>563</v>
      </c>
      <c r="K2039" s="206"/>
      <c r="L2039" s="206">
        <v>120000</v>
      </c>
      <c r="M2039" s="136">
        <f>M2038+K2039-L2039</f>
        <v>78198.055720000353</v>
      </c>
    </row>
    <row r="2040" spans="1:13">
      <c r="A2040" s="54" t="str">
        <f>D2040&amp;E2040&amp;F2040</f>
        <v>SERVICIOSMTTO DE EDIFICIOMANTENIMIENTO</v>
      </c>
      <c r="B2040" t="s">
        <v>1277</v>
      </c>
      <c r="C2040" s="1">
        <v>45821</v>
      </c>
      <c r="D2040" s="71" t="s">
        <v>21</v>
      </c>
      <c r="E2040" s="71" t="s">
        <v>142</v>
      </c>
      <c r="F2040" s="70" t="s">
        <v>35</v>
      </c>
      <c r="G2040" s="71" t="s">
        <v>216</v>
      </c>
      <c r="H2040" s="138"/>
      <c r="J2040" s="71" t="s">
        <v>1370</v>
      </c>
      <c r="L2040" s="321">
        <v>900</v>
      </c>
      <c r="M2040" s="136">
        <f>M2039+K2040-L2040</f>
        <v>77298.055720000353</v>
      </c>
    </row>
    <row r="2041" spans="1:13">
      <c r="A2041" s="54" t="str">
        <f>D2041&amp;E2041&amp;F2041</f>
        <v>SERVICIOSMTTO DE EDIFICIOMANTENIMIENTO</v>
      </c>
      <c r="B2041" t="s">
        <v>1277</v>
      </c>
      <c r="C2041" s="1">
        <v>45821</v>
      </c>
      <c r="D2041" s="71" t="s">
        <v>21</v>
      </c>
      <c r="E2041" s="71" t="s">
        <v>142</v>
      </c>
      <c r="F2041" s="70" t="s">
        <v>35</v>
      </c>
      <c r="G2041" s="71" t="s">
        <v>216</v>
      </c>
      <c r="H2041" s="138"/>
      <c r="J2041" s="71" t="s">
        <v>1371</v>
      </c>
      <c r="L2041" s="321">
        <v>1000</v>
      </c>
      <c r="M2041" s="136">
        <f>M2040+K2041-L2041</f>
        <v>76298.055720000353</v>
      </c>
    </row>
    <row r="2042" spans="1:13">
      <c r="A2042" s="54" t="str">
        <f t="shared" si="38"/>
        <v>COMBUSTIBLE</v>
      </c>
      <c r="B2042" t="s">
        <v>1277</v>
      </c>
      <c r="C2042" s="1">
        <v>45821</v>
      </c>
      <c r="D2042" s="71"/>
      <c r="E2042" s="71" t="s">
        <v>32</v>
      </c>
      <c r="F2042" s="70"/>
      <c r="G2042" s="71" t="s">
        <v>216</v>
      </c>
      <c r="H2042" s="138"/>
      <c r="J2042" s="71" t="s">
        <v>1372</v>
      </c>
      <c r="L2042" s="326">
        <v>33670.400000000001</v>
      </c>
      <c r="M2042" s="136">
        <f t="shared" ref="M2042:M2049" si="39">M2041+K2042-L2042</f>
        <v>42627.655720000352</v>
      </c>
    </row>
    <row r="2043" spans="1:13">
      <c r="A2043" s="54" t="str">
        <f>D2043&amp;E2043&amp;F2043</f>
        <v>CAPVIATICOSCAPRICHOS</v>
      </c>
      <c r="B2043" t="s">
        <v>1277</v>
      </c>
      <c r="C2043" s="1">
        <v>45821</v>
      </c>
      <c r="D2043" s="71" t="s">
        <v>31</v>
      </c>
      <c r="E2043" s="71" t="s">
        <v>191</v>
      </c>
      <c r="F2043" s="70" t="s">
        <v>33</v>
      </c>
      <c r="G2043" s="71" t="s">
        <v>258</v>
      </c>
      <c r="H2043" s="138"/>
      <c r="J2043" s="71" t="s">
        <v>1373</v>
      </c>
      <c r="L2043" s="326">
        <v>11500</v>
      </c>
      <c r="M2043" s="136">
        <f t="shared" si="39"/>
        <v>31127.655720000352</v>
      </c>
    </row>
    <row r="2044" spans="1:13">
      <c r="A2044" s="54" t="str">
        <f>D2044&amp;E2044&amp;F2044</f>
        <v>SERVICIOSPAQUETERIACT INTERNACIONAL</v>
      </c>
      <c r="B2044" t="s">
        <v>1277</v>
      </c>
      <c r="C2044" s="1">
        <v>45821</v>
      </c>
      <c r="D2044" s="71" t="s">
        <v>21</v>
      </c>
      <c r="E2044" s="71" t="s">
        <v>160</v>
      </c>
      <c r="F2044" s="70" t="s">
        <v>162</v>
      </c>
      <c r="G2044" s="71" t="s">
        <v>216</v>
      </c>
      <c r="H2044" s="71"/>
      <c r="J2044" s="71" t="s">
        <v>275</v>
      </c>
      <c r="L2044" s="326">
        <v>140</v>
      </c>
      <c r="M2044" s="136">
        <f t="shared" si="39"/>
        <v>30987.655720000352</v>
      </c>
    </row>
    <row r="2045" spans="1:13">
      <c r="A2045" s="54" t="str">
        <f>D2045&amp;E2045&amp;F2045</f>
        <v>SERVICIOSINSUMOSCADENA DE SUMINISTROS</v>
      </c>
      <c r="B2045" t="s">
        <v>1277</v>
      </c>
      <c r="C2045" s="1">
        <v>45821</v>
      </c>
      <c r="D2045" s="71" t="s">
        <v>21</v>
      </c>
      <c r="E2045" s="71" t="s">
        <v>133</v>
      </c>
      <c r="F2045" s="70" t="s">
        <v>134</v>
      </c>
      <c r="H2045" s="71"/>
      <c r="J2045" s="71" t="s">
        <v>1374</v>
      </c>
      <c r="L2045" s="326">
        <v>3073</v>
      </c>
      <c r="M2045" s="136">
        <f t="shared" si="39"/>
        <v>27914.655720000352</v>
      </c>
    </row>
    <row r="2046" spans="1:13">
      <c r="A2046" s="54" t="str">
        <f>D2046&amp;E2046&amp;F2046</f>
        <v>HRFONDO Y REPOSICIONHR</v>
      </c>
      <c r="B2046" t="s">
        <v>1277</v>
      </c>
      <c r="C2046" s="1">
        <v>45821</v>
      </c>
      <c r="D2046" s="71" t="s">
        <v>29</v>
      </c>
      <c r="E2046" s="71" t="s">
        <v>120</v>
      </c>
      <c r="F2046" s="70" t="s">
        <v>29</v>
      </c>
      <c r="G2046" s="71" t="s">
        <v>216</v>
      </c>
      <c r="H2046" s="71"/>
      <c r="J2046" s="71" t="s">
        <v>1375</v>
      </c>
      <c r="L2046" s="326">
        <v>2000</v>
      </c>
      <c r="M2046" s="136">
        <f t="shared" si="39"/>
        <v>25914.655720000352</v>
      </c>
    </row>
    <row r="2047" spans="1:13">
      <c r="A2047" s="54" t="str">
        <f>D2047&amp;E2047&amp;F2047</f>
        <v>FINANZASTELEPEAJEFINANZAS</v>
      </c>
      <c r="B2047" t="s">
        <v>1277</v>
      </c>
      <c r="C2047" s="1">
        <v>45821</v>
      </c>
      <c r="D2047" s="71" t="s">
        <v>23</v>
      </c>
      <c r="E2047" s="71" t="s">
        <v>186</v>
      </c>
      <c r="F2047" s="70" t="s">
        <v>23</v>
      </c>
      <c r="G2047" s="71" t="s">
        <v>216</v>
      </c>
      <c r="H2047" s="71"/>
      <c r="J2047" s="71" t="s">
        <v>1376</v>
      </c>
      <c r="L2047" s="326">
        <v>178</v>
      </c>
      <c r="M2047" s="136">
        <f t="shared" si="39"/>
        <v>25736.655720000352</v>
      </c>
    </row>
    <row r="2048" spans="1:13">
      <c r="A2048" s="54" t="str">
        <f>D2048&amp;E2048&amp;F2048</f>
        <v>SERVICIOSTELEPEAJECEDIS</v>
      </c>
      <c r="B2048" t="s">
        <v>1277</v>
      </c>
      <c r="C2048" s="1">
        <v>45821</v>
      </c>
      <c r="D2048" s="71" t="s">
        <v>21</v>
      </c>
      <c r="E2048" s="71" t="s">
        <v>186</v>
      </c>
      <c r="F2048" s="70" t="s">
        <v>28</v>
      </c>
      <c r="G2048" s="71" t="s">
        <v>216</v>
      </c>
      <c r="H2048" s="71"/>
      <c r="J2048" s="71" t="s">
        <v>1377</v>
      </c>
      <c r="L2048" s="326">
        <v>2835</v>
      </c>
      <c r="M2048" s="136">
        <f t="shared" si="39"/>
        <v>22901.655720000352</v>
      </c>
    </row>
    <row r="2049" spans="1:13">
      <c r="A2049" s="54" t="str">
        <f>D2049&amp;E2049&amp;F2049</f>
        <v>HRTELEPEAJEOP HR</v>
      </c>
      <c r="B2049" t="s">
        <v>1277</v>
      </c>
      <c r="C2049" s="1">
        <v>45821</v>
      </c>
      <c r="D2049" s="71" t="s">
        <v>29</v>
      </c>
      <c r="E2049" s="71" t="s">
        <v>186</v>
      </c>
      <c r="F2049" s="70" t="s">
        <v>187</v>
      </c>
      <c r="G2049" s="71" t="s">
        <v>216</v>
      </c>
      <c r="H2049" s="71"/>
      <c r="J2049" s="71" t="s">
        <v>1378</v>
      </c>
      <c r="L2049" s="326">
        <v>294</v>
      </c>
      <c r="M2049" s="136">
        <f t="shared" si="39"/>
        <v>22607.655720000352</v>
      </c>
    </row>
    <row r="2050" spans="1:13">
      <c r="A2050" s="54" t="str">
        <f>D2050&amp;E2050&amp;F2050</f>
        <v>HRTELEPEAJEOP HR</v>
      </c>
      <c r="B2050" t="s">
        <v>1277</v>
      </c>
      <c r="C2050" s="1">
        <v>45821</v>
      </c>
      <c r="D2050" s="71" t="s">
        <v>29</v>
      </c>
      <c r="E2050" s="71" t="s">
        <v>186</v>
      </c>
      <c r="F2050" s="70" t="s">
        <v>187</v>
      </c>
      <c r="G2050" s="71" t="s">
        <v>216</v>
      </c>
      <c r="H2050" s="71"/>
      <c r="J2050" s="71" t="s">
        <v>1379</v>
      </c>
      <c r="L2050" s="326">
        <v>596</v>
      </c>
      <c r="M2050" s="136">
        <f t="shared" ref="M2049:M2060" si="40">M2049+K2050-L2050</f>
        <v>22011.655720000352</v>
      </c>
    </row>
    <row r="2051" spans="1:13">
      <c r="A2051" s="54" t="str">
        <f>D2051&amp;E2051&amp;F2051</f>
        <v>CAPTELEPEAJEOP CAPRICHOS</v>
      </c>
      <c r="B2051" t="s">
        <v>1277</v>
      </c>
      <c r="C2051" s="1">
        <v>45821</v>
      </c>
      <c r="D2051" s="71" t="s">
        <v>31</v>
      </c>
      <c r="E2051" s="71" t="s">
        <v>186</v>
      </c>
      <c r="F2051" s="70" t="s">
        <v>188</v>
      </c>
      <c r="G2051" s="71" t="s">
        <v>216</v>
      </c>
      <c r="H2051" s="71"/>
      <c r="J2051" s="71" t="s">
        <v>1380</v>
      </c>
      <c r="L2051" s="326">
        <v>329</v>
      </c>
      <c r="M2051" s="136">
        <f t="shared" si="40"/>
        <v>21682.655720000352</v>
      </c>
    </row>
    <row r="2052" spans="1:13">
      <c r="A2052" s="54" t="str">
        <f>D2052&amp;E2052&amp;F2052</f>
        <v>HRMTTO EQ DE TRANSPORTEHR</v>
      </c>
      <c r="B2052" t="s">
        <v>1277</v>
      </c>
      <c r="C2052" s="1">
        <v>45821</v>
      </c>
      <c r="D2052" s="71" t="s">
        <v>29</v>
      </c>
      <c r="E2052" s="71" t="s">
        <v>144</v>
      </c>
      <c r="F2052" s="70" t="s">
        <v>29</v>
      </c>
      <c r="G2052" s="71" t="s">
        <v>258</v>
      </c>
      <c r="H2052" s="71"/>
      <c r="J2052" s="71" t="s">
        <v>1381</v>
      </c>
      <c r="L2052" s="326">
        <v>3654</v>
      </c>
      <c r="M2052" s="136">
        <f t="shared" si="40"/>
        <v>18028.655720000352</v>
      </c>
    </row>
    <row r="2053" spans="1:13">
      <c r="A2053" s="54" t="str">
        <f>D2053&amp;E2053&amp;F2053</f>
        <v>FINANZASRECOLECCION DE BASURACEDIS</v>
      </c>
      <c r="B2053" t="s">
        <v>1277</v>
      </c>
      <c r="C2053" s="1">
        <v>45821</v>
      </c>
      <c r="D2053" s="71" t="s">
        <v>23</v>
      </c>
      <c r="E2053" s="71" t="s">
        <v>166</v>
      </c>
      <c r="F2053" s="70" t="s">
        <v>28</v>
      </c>
      <c r="G2053" s="71" t="s">
        <v>258</v>
      </c>
      <c r="H2053" s="71"/>
      <c r="J2053" s="71" t="s">
        <v>1382</v>
      </c>
      <c r="L2053" s="326">
        <v>4953.22</v>
      </c>
      <c r="M2053" s="136">
        <f t="shared" si="40"/>
        <v>13075.435720000351</v>
      </c>
    </row>
    <row r="2054" spans="1:13">
      <c r="A2054" s="54" t="str">
        <f>D2054&amp;E2054&amp;F2054</f>
        <v>HRUBERHR</v>
      </c>
      <c r="B2054" t="s">
        <v>1277</v>
      </c>
      <c r="C2054" s="1">
        <v>45821</v>
      </c>
      <c r="D2054" s="71" t="s">
        <v>29</v>
      </c>
      <c r="E2054" s="71" t="s">
        <v>189</v>
      </c>
      <c r="F2054" s="70" t="s">
        <v>29</v>
      </c>
      <c r="G2054" s="71" t="s">
        <v>216</v>
      </c>
      <c r="H2054" s="71"/>
      <c r="J2054" s="76" t="s">
        <v>802</v>
      </c>
      <c r="L2054" s="526">
        <v>125</v>
      </c>
      <c r="M2054" s="136">
        <f t="shared" si="40"/>
        <v>12950.435720000351</v>
      </c>
    </row>
    <row r="2055" spans="1:13">
      <c r="A2055" s="54" t="str">
        <f>D2055&amp;E2055&amp;F2055</f>
        <v>HRUBERHR</v>
      </c>
      <c r="B2055" t="s">
        <v>1277</v>
      </c>
      <c r="C2055" s="1">
        <v>45821</v>
      </c>
      <c r="D2055" s="71" t="s">
        <v>29</v>
      </c>
      <c r="E2055" s="71" t="s">
        <v>189</v>
      </c>
      <c r="F2055" s="70" t="s">
        <v>29</v>
      </c>
      <c r="G2055" s="71" t="s">
        <v>216</v>
      </c>
      <c r="H2055" s="71"/>
      <c r="J2055" s="76" t="s">
        <v>988</v>
      </c>
      <c r="L2055" s="526">
        <v>193</v>
      </c>
      <c r="M2055" s="136">
        <f t="shared" si="40"/>
        <v>12757.435720000351</v>
      </c>
    </row>
    <row r="2056" spans="1:13">
      <c r="A2056" s="54" t="str">
        <f>D2056&amp;E2056&amp;F2056</f>
        <v>HRJMASA22</v>
      </c>
      <c r="B2056" t="s">
        <v>1277</v>
      </c>
      <c r="C2056" s="1">
        <v>45821</v>
      </c>
      <c r="D2056" s="71" t="s">
        <v>29</v>
      </c>
      <c r="E2056" s="71" t="s">
        <v>137</v>
      </c>
      <c r="F2056" s="70" t="s">
        <v>104</v>
      </c>
      <c r="G2056" s="71" t="s">
        <v>258</v>
      </c>
      <c r="H2056" s="71"/>
      <c r="J2056" s="76" t="s">
        <v>619</v>
      </c>
      <c r="L2056" s="331">
        <v>667</v>
      </c>
      <c r="M2056" s="136">
        <f t="shared" si="40"/>
        <v>12090.435720000351</v>
      </c>
    </row>
    <row r="2057" spans="1:13">
      <c r="A2057" s="54" t="str">
        <f>D2057&amp;E2057&amp;F2057</f>
        <v>CAPUBERCAP</v>
      </c>
      <c r="B2057" t="s">
        <v>1277</v>
      </c>
      <c r="C2057" s="1">
        <v>45821</v>
      </c>
      <c r="D2057" s="71" t="s">
        <v>31</v>
      </c>
      <c r="E2057" s="71" t="s">
        <v>189</v>
      </c>
      <c r="F2057" s="70" t="s">
        <v>31</v>
      </c>
      <c r="G2057" s="71" t="s">
        <v>216</v>
      </c>
      <c r="H2057" s="138"/>
      <c r="J2057" s="76" t="s">
        <v>873</v>
      </c>
      <c r="L2057" s="526">
        <v>420</v>
      </c>
      <c r="M2057" s="136">
        <f>M2056+K2057-L2057</f>
        <v>11670.435720000351</v>
      </c>
    </row>
    <row r="2058" spans="1:13">
      <c r="A2058" s="54" t="str">
        <f>D2058&amp;E2058&amp;F2058</f>
        <v>CAPINSUMOSCAPRICHOS</v>
      </c>
      <c r="B2058" t="s">
        <v>1277</v>
      </c>
      <c r="C2058" s="1">
        <v>45821</v>
      </c>
      <c r="D2058" s="71" t="s">
        <v>31</v>
      </c>
      <c r="E2058" s="71" t="s">
        <v>133</v>
      </c>
      <c r="F2058" s="70" t="s">
        <v>33</v>
      </c>
      <c r="G2058" s="71" t="s">
        <v>216</v>
      </c>
      <c r="H2058" s="138"/>
      <c r="J2058" s="76" t="s">
        <v>717</v>
      </c>
      <c r="L2058" s="331">
        <v>45</v>
      </c>
      <c r="M2058" s="136">
        <f>M2057+K2058-L2058</f>
        <v>11625.435720000351</v>
      </c>
    </row>
    <row r="2059" spans="1:13">
      <c r="A2059" s="54" t="str">
        <f>D2059&amp;E2059&amp;F2059</f>
        <v>CAPINSUMOSCAPRICHOS</v>
      </c>
      <c r="B2059" t="s">
        <v>1277</v>
      </c>
      <c r="C2059" s="1">
        <v>45821</v>
      </c>
      <c r="D2059" s="71" t="s">
        <v>31</v>
      </c>
      <c r="E2059" s="71" t="s">
        <v>133</v>
      </c>
      <c r="F2059" s="70" t="s">
        <v>33</v>
      </c>
      <c r="G2059" s="71" t="s">
        <v>216</v>
      </c>
      <c r="H2059" s="138"/>
      <c r="J2059" s="76" t="s">
        <v>362</v>
      </c>
      <c r="L2059" s="331">
        <v>110</v>
      </c>
      <c r="M2059" s="136">
        <f>M2058+K2059-L2059</f>
        <v>11515.435720000351</v>
      </c>
    </row>
    <row r="2060" spans="1:13">
      <c r="A2060" s="54" t="str">
        <f>D2060&amp;E2060&amp;F2060</f>
        <v>CAPFUMIGACIONCAPRICHOS</v>
      </c>
      <c r="B2060" t="s">
        <v>1277</v>
      </c>
      <c r="C2060" s="1">
        <v>45821</v>
      </c>
      <c r="D2060" s="71" t="s">
        <v>31</v>
      </c>
      <c r="E2060" s="71" t="s">
        <v>121</v>
      </c>
      <c r="F2060" s="70" t="s">
        <v>33</v>
      </c>
      <c r="G2060" s="71" t="s">
        <v>216</v>
      </c>
      <c r="H2060" s="138"/>
      <c r="J2060" s="76" t="s">
        <v>1383</v>
      </c>
      <c r="L2060" s="538">
        <v>1000</v>
      </c>
      <c r="M2060" s="136">
        <f>M2059+K2060-L2060</f>
        <v>10515.435720000351</v>
      </c>
    </row>
    <row r="2061" spans="1:13">
      <c r="A2061" s="54" t="str">
        <f>D2061&amp;E2061&amp;F2061</f>
        <v>SERVICIOSVIATICOSCEDIS</v>
      </c>
      <c r="B2061" t="s">
        <v>1277</v>
      </c>
      <c r="C2061" s="1">
        <v>45822</v>
      </c>
      <c r="D2061" s="71" t="s">
        <v>21</v>
      </c>
      <c r="E2061" s="71" t="s">
        <v>191</v>
      </c>
      <c r="F2061" s="70" t="s">
        <v>28</v>
      </c>
      <c r="G2061" s="71" t="s">
        <v>216</v>
      </c>
      <c r="H2061" s="138"/>
      <c r="J2061" s="71" t="s">
        <v>1384</v>
      </c>
      <c r="L2061" s="326">
        <v>2050</v>
      </c>
      <c r="M2061" s="136">
        <f>M2060+K2061-L2061</f>
        <v>8465.4357200003506</v>
      </c>
    </row>
    <row r="2062" spans="1:13">
      <c r="A2062" s="54" t="str">
        <f>D2062&amp;E2062&amp;F2062</f>
        <v>FINANZASFONDO Y REPOSICIONFINANZAS</v>
      </c>
      <c r="B2062" t="s">
        <v>1277</v>
      </c>
      <c r="C2062" s="1">
        <v>45822</v>
      </c>
      <c r="D2062" s="71" t="s">
        <v>23</v>
      </c>
      <c r="E2062" s="71" t="s">
        <v>120</v>
      </c>
      <c r="F2062" s="70" t="s">
        <v>23</v>
      </c>
      <c r="G2062" s="71" t="s">
        <v>216</v>
      </c>
      <c r="H2062" s="138"/>
      <c r="J2062" s="71" t="s">
        <v>1385</v>
      </c>
      <c r="L2062" s="326">
        <v>300</v>
      </c>
      <c r="M2062" s="136">
        <f t="shared" ref="M2062:M2073" si="41">M2061+K2062-L2062</f>
        <v>8165.4357200003506</v>
      </c>
    </row>
    <row r="2063" spans="1:13">
      <c r="A2063" s="54" t="str">
        <f>D2063&amp;E2063&amp;F2063</f>
        <v>HRPUBLICIDADBASEBALL</v>
      </c>
      <c r="B2063" t="s">
        <v>1277</v>
      </c>
      <c r="C2063" s="1">
        <v>45822</v>
      </c>
      <c r="D2063" t="s">
        <v>29</v>
      </c>
      <c r="E2063" s="12" t="s">
        <v>164</v>
      </c>
      <c r="F2063" s="12" t="s">
        <v>165</v>
      </c>
      <c r="H2063" s="138"/>
      <c r="J2063" s="71" t="s">
        <v>1386</v>
      </c>
      <c r="L2063" s="326">
        <v>25000</v>
      </c>
      <c r="M2063" s="136">
        <f t="shared" si="41"/>
        <v>-16834.564279999649</v>
      </c>
    </row>
    <row r="2064" spans="1:13">
      <c r="A2064" s="54" t="str">
        <f>D2064&amp;E2064&amp;F2064</f>
        <v>ELIVIATICOSL1</v>
      </c>
      <c r="B2064" t="s">
        <v>1277</v>
      </c>
      <c r="C2064" s="1">
        <v>45822</v>
      </c>
      <c r="D2064" s="71" t="s">
        <v>130</v>
      </c>
      <c r="E2064" s="71" t="s">
        <v>191</v>
      </c>
      <c r="F2064" s="70" t="s">
        <v>136</v>
      </c>
      <c r="G2064" s="71" t="s">
        <v>258</v>
      </c>
      <c r="H2064" s="138"/>
      <c r="J2064" s="71" t="s">
        <v>1387</v>
      </c>
      <c r="L2064" s="326">
        <v>1000</v>
      </c>
      <c r="M2064" s="136">
        <f t="shared" si="41"/>
        <v>-17834.564279999649</v>
      </c>
    </row>
    <row r="2065" spans="1:13">
      <c r="A2065" s="54" t="str">
        <f t="shared" ref="A2061:A2124" si="42">D2065&amp;E2065&amp;F2065</f>
        <v/>
      </c>
      <c r="B2065" t="s">
        <v>1277</v>
      </c>
      <c r="C2065" s="1">
        <v>45824</v>
      </c>
      <c r="D2065" s="71"/>
      <c r="F2065" s="70"/>
      <c r="H2065" s="138"/>
      <c r="J2065" s="71" t="s">
        <v>260</v>
      </c>
      <c r="K2065" s="325">
        <v>1106086.02</v>
      </c>
      <c r="L2065" s="354"/>
      <c r="M2065" s="136">
        <f t="shared" si="41"/>
        <v>1088251.4557200004</v>
      </c>
    </row>
    <row r="2066" spans="1:13">
      <c r="A2066" s="54" t="str">
        <f t="shared" si="42"/>
        <v/>
      </c>
      <c r="B2066" t="s">
        <v>1277</v>
      </c>
      <c r="C2066" s="1">
        <v>45824</v>
      </c>
      <c r="D2066" s="71"/>
      <c r="F2066" s="70"/>
      <c r="H2066" s="138"/>
      <c r="J2066" s="71" t="s">
        <v>1388</v>
      </c>
      <c r="K2066" s="325">
        <f>12123.66+2429.06+24943.43</f>
        <v>39496.15</v>
      </c>
      <c r="L2066" s="354"/>
      <c r="M2066" s="136">
        <f t="shared" si="41"/>
        <v>1127747.6057200003</v>
      </c>
    </row>
    <row r="2067" spans="1:13">
      <c r="A2067" s="54" t="str">
        <f>D2067&amp;E2067&amp;F2067</f>
        <v>FINANZASCOMISIONES BANCARIASTPV</v>
      </c>
      <c r="B2067" t="s">
        <v>1277</v>
      </c>
      <c r="C2067" s="1">
        <v>45824</v>
      </c>
      <c r="D2067" s="71" t="s">
        <v>23</v>
      </c>
      <c r="E2067" s="71" t="s">
        <v>48</v>
      </c>
      <c r="F2067" s="70" t="s">
        <v>50</v>
      </c>
      <c r="G2067" s="71" t="s">
        <v>216</v>
      </c>
      <c r="H2067" s="138"/>
      <c r="J2067" s="71" t="s">
        <v>217</v>
      </c>
      <c r="L2067" s="332">
        <f>2598.22+3.48+20.88+1499.21+2786.94+599.66+10106.6+5968.64</f>
        <v>23583.629999999997</v>
      </c>
      <c r="M2067" s="136">
        <f t="shared" si="41"/>
        <v>1104163.9757200005</v>
      </c>
    </row>
    <row r="2068" spans="1:13">
      <c r="A2068" s="54" t="str">
        <f t="shared" si="42"/>
        <v/>
      </c>
      <c r="B2068" t="s">
        <v>1277</v>
      </c>
      <c r="C2068" s="1">
        <v>45824</v>
      </c>
      <c r="D2068" s="71"/>
      <c r="F2068" s="70"/>
      <c r="H2068" s="138"/>
      <c r="J2068" s="205" t="s">
        <v>220</v>
      </c>
      <c r="K2068" s="206"/>
      <c r="L2068" s="206">
        <v>400000</v>
      </c>
      <c r="M2068" s="136">
        <f t="shared" si="41"/>
        <v>704163.97572000045</v>
      </c>
    </row>
    <row r="2069" spans="1:13">
      <c r="A2069" s="54" t="str">
        <f t="shared" si="42"/>
        <v/>
      </c>
      <c r="B2069" t="s">
        <v>1277</v>
      </c>
      <c r="C2069" s="1">
        <v>45824</v>
      </c>
      <c r="D2069" s="71"/>
      <c r="F2069" s="70"/>
      <c r="H2069" s="138"/>
      <c r="J2069" s="205" t="s">
        <v>563</v>
      </c>
      <c r="K2069" s="206"/>
      <c r="L2069" s="206">
        <v>600000</v>
      </c>
      <c r="M2069" s="136">
        <f t="shared" si="41"/>
        <v>104163.97572000045</v>
      </c>
    </row>
    <row r="2070" spans="1:13">
      <c r="A2070" s="54" t="str">
        <f>D2070&amp;E2070&amp;F2070</f>
        <v>SERVICIOSINSUMOSCEDIS</v>
      </c>
      <c r="B2070" t="s">
        <v>1277</v>
      </c>
      <c r="C2070" s="1">
        <v>45824</v>
      </c>
      <c r="D2070" s="71" t="s">
        <v>21</v>
      </c>
      <c r="E2070" s="71" t="s">
        <v>133</v>
      </c>
      <c r="F2070" s="70" t="s">
        <v>28</v>
      </c>
      <c r="G2070" s="71" t="s">
        <v>216</v>
      </c>
      <c r="H2070" s="138"/>
      <c r="J2070" s="71" t="s">
        <v>1389</v>
      </c>
      <c r="L2070" s="326">
        <v>14964.93</v>
      </c>
      <c r="M2070" s="136">
        <f t="shared" si="41"/>
        <v>89199.04572000046</v>
      </c>
    </row>
    <row r="2071" spans="1:13">
      <c r="A2071" s="54" t="str">
        <f>D2071&amp;E2071&amp;F2071</f>
        <v>FINANZASFONDO Y REPOSICIONFINANZAS</v>
      </c>
      <c r="B2071" t="s">
        <v>1277</v>
      </c>
      <c r="C2071" s="1">
        <v>45824</v>
      </c>
      <c r="D2071" s="71" t="s">
        <v>23</v>
      </c>
      <c r="E2071" s="71" t="s">
        <v>120</v>
      </c>
      <c r="F2071" s="70" t="s">
        <v>23</v>
      </c>
      <c r="G2071" s="71" t="s">
        <v>216</v>
      </c>
      <c r="H2071" s="138"/>
      <c r="J2071" s="71" t="s">
        <v>1390</v>
      </c>
      <c r="L2071" s="326">
        <v>50</v>
      </c>
      <c r="M2071" s="136">
        <f t="shared" si="41"/>
        <v>89149.04572000046</v>
      </c>
    </row>
    <row r="2072" spans="1:13">
      <c r="A2072" s="54" t="str">
        <f t="shared" si="42"/>
        <v/>
      </c>
      <c r="B2072" t="s">
        <v>1277</v>
      </c>
      <c r="C2072" s="1">
        <v>45824</v>
      </c>
      <c r="D2072" s="71"/>
      <c r="F2072" s="70"/>
      <c r="H2072" s="138"/>
      <c r="J2072" s="71" t="s">
        <v>1391</v>
      </c>
      <c r="L2072" s="326">
        <v>400</v>
      </c>
      <c r="M2072" s="136">
        <f t="shared" si="41"/>
        <v>88749.04572000046</v>
      </c>
    </row>
    <row r="2073" spans="1:13">
      <c r="A2073" s="54" t="str">
        <f>D2073&amp;E2073&amp;F2073</f>
        <v>SERVICIOSVIATICOSSISTEMAS</v>
      </c>
      <c r="B2073" t="s">
        <v>1277</v>
      </c>
      <c r="C2073" s="1">
        <v>45824</v>
      </c>
      <c r="D2073" s="71" t="s">
        <v>21</v>
      </c>
      <c r="E2073" s="71" t="s">
        <v>191</v>
      </c>
      <c r="F2073" s="70" t="s">
        <v>36</v>
      </c>
      <c r="G2073" s="71" t="s">
        <v>216</v>
      </c>
      <c r="H2073" s="138"/>
      <c r="J2073" s="71" t="s">
        <v>1392</v>
      </c>
      <c r="L2073" s="326">
        <v>400</v>
      </c>
      <c r="M2073" s="136">
        <f t="shared" si="41"/>
        <v>88349.04572000046</v>
      </c>
    </row>
    <row r="2074" spans="1:13">
      <c r="A2074" s="54" t="str">
        <f>D2074&amp;E2074&amp;F2074</f>
        <v>HRUBERHR</v>
      </c>
      <c r="B2074" t="s">
        <v>1277</v>
      </c>
      <c r="C2074" s="1">
        <v>45824</v>
      </c>
      <c r="D2074" s="71" t="s">
        <v>29</v>
      </c>
      <c r="E2074" s="71" t="s">
        <v>189</v>
      </c>
      <c r="F2074" s="70" t="s">
        <v>29</v>
      </c>
      <c r="G2074" s="71" t="s">
        <v>216</v>
      </c>
      <c r="H2074" s="138"/>
      <c r="J2074" s="76" t="s">
        <v>946</v>
      </c>
      <c r="L2074" s="526">
        <v>240</v>
      </c>
      <c r="M2074" s="136">
        <f>M2073+K2074-L2074</f>
        <v>88109.04572000046</v>
      </c>
    </row>
    <row r="2075" spans="1:13">
      <c r="A2075" s="54" t="str">
        <f>D2075&amp;E2075&amp;F2075</f>
        <v>SERVICIOSMTTO DE EDIFICIOMANTENIMIENTO</v>
      </c>
      <c r="B2075" t="s">
        <v>1277</v>
      </c>
      <c r="C2075" s="1">
        <v>45824</v>
      </c>
      <c r="D2075" s="71" t="s">
        <v>21</v>
      </c>
      <c r="E2075" s="71" t="s">
        <v>142</v>
      </c>
      <c r="F2075" s="70" t="s">
        <v>35</v>
      </c>
      <c r="G2075" s="71" t="s">
        <v>216</v>
      </c>
      <c r="H2075" s="138"/>
      <c r="J2075" s="76" t="s">
        <v>1393</v>
      </c>
      <c r="L2075" s="332">
        <v>380</v>
      </c>
      <c r="M2075" s="136">
        <f>M2074+K2075-L2075</f>
        <v>87729.04572000046</v>
      </c>
    </row>
    <row r="2076" spans="1:13">
      <c r="A2076" s="54" t="str">
        <f>D2076&amp;E2076&amp;F2076</f>
        <v>HRUBERHR</v>
      </c>
      <c r="B2076" t="s">
        <v>1277</v>
      </c>
      <c r="C2076" s="1">
        <v>45824</v>
      </c>
      <c r="D2076" s="71" t="s">
        <v>29</v>
      </c>
      <c r="E2076" s="71" t="s">
        <v>189</v>
      </c>
      <c r="F2076" s="70" t="s">
        <v>29</v>
      </c>
      <c r="G2076" s="71" t="s">
        <v>216</v>
      </c>
      <c r="H2076" s="138"/>
      <c r="J2076" s="76" t="s">
        <v>1394</v>
      </c>
      <c r="L2076" s="526">
        <v>120</v>
      </c>
      <c r="M2076" s="136">
        <f t="shared" ref="M2076:M2140" si="43">M2075+K2076-L2076</f>
        <v>87609.04572000046</v>
      </c>
    </row>
    <row r="2077" spans="1:13">
      <c r="A2077" s="54" t="str">
        <f>D2077&amp;E2077&amp;F2077</f>
        <v>CAPUBERCAP</v>
      </c>
      <c r="B2077" t="s">
        <v>1277</v>
      </c>
      <c r="C2077" s="1">
        <v>45824</v>
      </c>
      <c r="D2077" s="71" t="s">
        <v>31</v>
      </c>
      <c r="E2077" s="71" t="s">
        <v>189</v>
      </c>
      <c r="F2077" s="70" t="s">
        <v>31</v>
      </c>
      <c r="G2077" s="71" t="s">
        <v>216</v>
      </c>
      <c r="H2077" s="138"/>
      <c r="J2077" s="76" t="s">
        <v>255</v>
      </c>
      <c r="L2077" s="526">
        <v>576</v>
      </c>
      <c r="M2077" s="136">
        <f t="shared" si="43"/>
        <v>87033.04572000046</v>
      </c>
    </row>
    <row r="2078" spans="1:13">
      <c r="A2078" s="54" t="str">
        <f>D2078&amp;E2078&amp;F2078</f>
        <v>HRUBERHR</v>
      </c>
      <c r="B2078" t="s">
        <v>1277</v>
      </c>
      <c r="C2078" s="1">
        <v>45824</v>
      </c>
      <c r="D2078" s="71" t="s">
        <v>29</v>
      </c>
      <c r="E2078" s="71" t="s">
        <v>189</v>
      </c>
      <c r="F2078" s="70" t="s">
        <v>29</v>
      </c>
      <c r="G2078" s="71" t="s">
        <v>216</v>
      </c>
      <c r="H2078" s="138"/>
      <c r="J2078" s="76" t="s">
        <v>308</v>
      </c>
      <c r="L2078" s="526">
        <v>100</v>
      </c>
      <c r="M2078" s="136">
        <f t="shared" si="43"/>
        <v>86933.04572000046</v>
      </c>
    </row>
    <row r="2079" spans="1:13">
      <c r="A2079" s="54" t="str">
        <f>D2079&amp;E2079&amp;F2079</f>
        <v>HRNOMINA SUCURSALA8</v>
      </c>
      <c r="B2079" t="s">
        <v>1277</v>
      </c>
      <c r="C2079" s="1">
        <v>45824</v>
      </c>
      <c r="D2079" s="71" t="s">
        <v>29</v>
      </c>
      <c r="E2079" s="71" t="s">
        <v>154</v>
      </c>
      <c r="F2079" s="70" t="s">
        <v>94</v>
      </c>
      <c r="G2079" s="71" t="s">
        <v>216</v>
      </c>
      <c r="H2079" s="138"/>
      <c r="J2079" s="76" t="s">
        <v>1395</v>
      </c>
      <c r="L2079" s="331">
        <v>300</v>
      </c>
      <c r="M2079" s="136">
        <f t="shared" si="43"/>
        <v>86633.04572000046</v>
      </c>
    </row>
    <row r="2080" spans="1:13">
      <c r="A2080" s="54" t="str">
        <f>D2080&amp;E2080&amp;F2080</f>
        <v>HRUBERHR</v>
      </c>
      <c r="B2080" t="s">
        <v>1277</v>
      </c>
      <c r="C2080" s="1">
        <v>45824</v>
      </c>
      <c r="D2080" s="71" t="s">
        <v>29</v>
      </c>
      <c r="E2080" s="71" t="s">
        <v>189</v>
      </c>
      <c r="F2080" s="70" t="s">
        <v>29</v>
      </c>
      <c r="G2080" s="71" t="s">
        <v>216</v>
      </c>
      <c r="H2080" s="138"/>
      <c r="J2080" s="76" t="s">
        <v>1123</v>
      </c>
      <c r="L2080" s="526">
        <v>265</v>
      </c>
      <c r="M2080" s="136">
        <f t="shared" si="43"/>
        <v>86368.04572000046</v>
      </c>
    </row>
    <row r="2081" spans="1:13">
      <c r="A2081" s="54" t="str">
        <f>D2081&amp;E2081&amp;F2081</f>
        <v>HRINSUMOSHR</v>
      </c>
      <c r="B2081" t="s">
        <v>1277</v>
      </c>
      <c r="C2081" s="1">
        <v>45824</v>
      </c>
      <c r="D2081" s="71" t="s">
        <v>29</v>
      </c>
      <c r="E2081" s="71" t="s">
        <v>133</v>
      </c>
      <c r="F2081" s="70" t="s">
        <v>29</v>
      </c>
      <c r="G2081" s="71" t="s">
        <v>216</v>
      </c>
      <c r="H2081" s="138"/>
      <c r="J2081" s="76" t="s">
        <v>1396</v>
      </c>
      <c r="L2081" s="331">
        <v>64</v>
      </c>
      <c r="M2081" s="136">
        <f t="shared" si="43"/>
        <v>86304.04572000046</v>
      </c>
    </row>
    <row r="2082" spans="1:13">
      <c r="A2082" s="54" t="str">
        <f>D2082&amp;E2082&amp;F2082</f>
        <v>HRUBERHR</v>
      </c>
      <c r="B2082" t="s">
        <v>1277</v>
      </c>
      <c r="C2082" s="1">
        <v>45824</v>
      </c>
      <c r="D2082" s="71" t="s">
        <v>29</v>
      </c>
      <c r="E2082" s="71" t="s">
        <v>189</v>
      </c>
      <c r="F2082" s="70" t="s">
        <v>29</v>
      </c>
      <c r="G2082" s="71" t="s">
        <v>216</v>
      </c>
      <c r="H2082" s="138"/>
      <c r="J2082" s="76" t="s">
        <v>1397</v>
      </c>
      <c r="L2082" s="526">
        <v>250</v>
      </c>
      <c r="M2082" s="136">
        <f t="shared" si="43"/>
        <v>86054.04572000046</v>
      </c>
    </row>
    <row r="2083" spans="1:13">
      <c r="A2083" s="54" t="str">
        <f>D2083&amp;E2083&amp;F2083</f>
        <v>HRUBERHR</v>
      </c>
      <c r="B2083" t="s">
        <v>1277</v>
      </c>
      <c r="C2083" s="1">
        <v>45824</v>
      </c>
      <c r="D2083" s="71" t="s">
        <v>29</v>
      </c>
      <c r="E2083" s="71" t="s">
        <v>189</v>
      </c>
      <c r="F2083" s="70" t="s">
        <v>29</v>
      </c>
      <c r="G2083" s="71" t="s">
        <v>216</v>
      </c>
      <c r="H2083" s="138"/>
      <c r="J2083" s="76" t="s">
        <v>802</v>
      </c>
      <c r="L2083" s="526">
        <v>170</v>
      </c>
      <c r="M2083" s="136">
        <f t="shared" si="43"/>
        <v>85884.04572000046</v>
      </c>
    </row>
    <row r="2084" spans="1:13">
      <c r="A2084" s="54" t="str">
        <f>D2084&amp;E2084&amp;F2084</f>
        <v>HRVIATICOSHR</v>
      </c>
      <c r="B2084" t="s">
        <v>1277</v>
      </c>
      <c r="C2084" s="1">
        <v>45824</v>
      </c>
      <c r="D2084" s="71" t="s">
        <v>29</v>
      </c>
      <c r="E2084" s="71" t="s">
        <v>191</v>
      </c>
      <c r="F2084" s="70" t="s">
        <v>29</v>
      </c>
      <c r="G2084" s="71" t="s">
        <v>216</v>
      </c>
      <c r="H2084" s="138"/>
      <c r="J2084" s="76" t="s">
        <v>1398</v>
      </c>
      <c r="L2084" s="331">
        <v>2400</v>
      </c>
      <c r="M2084" s="136">
        <f t="shared" si="43"/>
        <v>83484.04572000046</v>
      </c>
    </row>
    <row r="2085" spans="1:13">
      <c r="A2085" s="54" t="str">
        <f>D2085&amp;E2085&amp;F2085</f>
        <v>HRUBERHR</v>
      </c>
      <c r="B2085" t="s">
        <v>1277</v>
      </c>
      <c r="C2085" s="1">
        <v>45824</v>
      </c>
      <c r="D2085" s="71" t="s">
        <v>29</v>
      </c>
      <c r="E2085" s="71" t="s">
        <v>189</v>
      </c>
      <c r="F2085" s="70" t="s">
        <v>29</v>
      </c>
      <c r="G2085" s="71" t="s">
        <v>216</v>
      </c>
      <c r="H2085" s="138"/>
      <c r="J2085" s="76" t="s">
        <v>854</v>
      </c>
      <c r="L2085" s="526">
        <v>330</v>
      </c>
      <c r="M2085" s="136">
        <f t="shared" si="43"/>
        <v>83154.04572000046</v>
      </c>
    </row>
    <row r="2086" spans="1:13">
      <c r="A2086" s="54" t="str">
        <f>D2086&amp;E2086&amp;F2086</f>
        <v>SERVICIOSMTTO DE EDIFICIOMANTENIMIENTO</v>
      </c>
      <c r="B2086" t="s">
        <v>1277</v>
      </c>
      <c r="C2086" s="1">
        <v>45824</v>
      </c>
      <c r="D2086" s="71" t="s">
        <v>21</v>
      </c>
      <c r="E2086" s="71" t="s">
        <v>142</v>
      </c>
      <c r="F2086" s="70" t="s">
        <v>35</v>
      </c>
      <c r="G2086" s="71" t="s">
        <v>216</v>
      </c>
      <c r="H2086" s="138"/>
      <c r="J2086" s="76" t="s">
        <v>1399</v>
      </c>
      <c r="L2086" s="332">
        <v>98</v>
      </c>
      <c r="M2086" s="136">
        <f t="shared" si="43"/>
        <v>83056.04572000046</v>
      </c>
    </row>
    <row r="2087" spans="1:13">
      <c r="A2087" s="54" t="str">
        <f>D2087&amp;E2087&amp;F2087</f>
        <v>HRUBERHR</v>
      </c>
      <c r="B2087" t="s">
        <v>1277</v>
      </c>
      <c r="C2087" s="1">
        <v>45824</v>
      </c>
      <c r="D2087" s="71" t="s">
        <v>29</v>
      </c>
      <c r="E2087" s="71" t="s">
        <v>189</v>
      </c>
      <c r="F2087" s="70" t="s">
        <v>29</v>
      </c>
      <c r="G2087" s="71" t="s">
        <v>258</v>
      </c>
      <c r="H2087" s="138"/>
      <c r="J2087" s="76" t="s">
        <v>249</v>
      </c>
      <c r="L2087" s="526">
        <v>1071</v>
      </c>
      <c r="M2087" s="136">
        <f t="shared" si="43"/>
        <v>81985.04572000046</v>
      </c>
    </row>
    <row r="2088" spans="1:13">
      <c r="A2088" s="54" t="str">
        <f>D2088&amp;E2088&amp;F2088</f>
        <v>HRJMASA17</v>
      </c>
      <c r="B2088" t="s">
        <v>1277</v>
      </c>
      <c r="C2088" s="1">
        <v>45824</v>
      </c>
      <c r="D2088" s="71" t="s">
        <v>29</v>
      </c>
      <c r="E2088" s="71" t="s">
        <v>137</v>
      </c>
      <c r="F2088" s="70" t="s">
        <v>102</v>
      </c>
      <c r="G2088" s="71" t="s">
        <v>258</v>
      </c>
      <c r="H2088" s="138"/>
      <c r="J2088" s="76" t="s">
        <v>1400</v>
      </c>
      <c r="L2088" s="331">
        <v>3433</v>
      </c>
      <c r="M2088" s="136">
        <f t="shared" si="43"/>
        <v>78552.04572000046</v>
      </c>
    </row>
    <row r="2089" spans="1:13">
      <c r="A2089" s="54" t="str">
        <f>D2089&amp;E2089&amp;F2089</f>
        <v>HRUBERHR</v>
      </c>
      <c r="B2089" t="s">
        <v>1277</v>
      </c>
      <c r="C2089" s="1">
        <v>45824</v>
      </c>
      <c r="D2089" s="71" t="s">
        <v>29</v>
      </c>
      <c r="E2089" s="71" t="s">
        <v>189</v>
      </c>
      <c r="F2089" s="70" t="s">
        <v>29</v>
      </c>
      <c r="G2089" s="71" t="s">
        <v>216</v>
      </c>
      <c r="H2089" s="138"/>
      <c r="J2089" s="76" t="s">
        <v>716</v>
      </c>
      <c r="L2089" s="526">
        <v>150</v>
      </c>
      <c r="M2089" s="136">
        <f t="shared" si="43"/>
        <v>78402.04572000046</v>
      </c>
    </row>
    <row r="2090" spans="1:13">
      <c r="A2090" s="54" t="str">
        <f>D2090&amp;E2090&amp;F2090</f>
        <v>HRJMASA23</v>
      </c>
      <c r="B2090" t="s">
        <v>1277</v>
      </c>
      <c r="C2090" s="1">
        <v>45824</v>
      </c>
      <c r="D2090" s="71" t="s">
        <v>29</v>
      </c>
      <c r="E2090" s="71" t="s">
        <v>137</v>
      </c>
      <c r="F2090" s="70" t="s">
        <v>105</v>
      </c>
      <c r="G2090" s="71" t="s">
        <v>258</v>
      </c>
      <c r="H2090" s="138"/>
      <c r="J2090" s="76" t="s">
        <v>1046</v>
      </c>
      <c r="L2090" s="331">
        <v>1001</v>
      </c>
      <c r="M2090" s="136">
        <f t="shared" si="43"/>
        <v>77401.04572000046</v>
      </c>
    </row>
    <row r="2091" spans="1:13">
      <c r="A2091" s="54" t="str">
        <f>D2091&amp;E2091&amp;F2091</f>
        <v>CAPINSUMOSCAPRICHOS</v>
      </c>
      <c r="B2091" t="s">
        <v>1277</v>
      </c>
      <c r="C2091" s="1">
        <v>45824</v>
      </c>
      <c r="D2091" s="71" t="s">
        <v>31</v>
      </c>
      <c r="E2091" s="71" t="s">
        <v>133</v>
      </c>
      <c r="F2091" s="70" t="s">
        <v>33</v>
      </c>
      <c r="G2091" s="71" t="s">
        <v>216</v>
      </c>
      <c r="H2091" s="138"/>
      <c r="J2091" s="76" t="s">
        <v>1169</v>
      </c>
      <c r="L2091" s="331">
        <v>120</v>
      </c>
      <c r="M2091" s="136">
        <f t="shared" si="43"/>
        <v>77281.04572000046</v>
      </c>
    </row>
    <row r="2092" spans="1:13">
      <c r="A2092" s="54" t="str">
        <f>D2092&amp;E2092&amp;F2092</f>
        <v>CAPUBERCAP</v>
      </c>
      <c r="B2092" t="s">
        <v>1277</v>
      </c>
      <c r="C2092" s="1">
        <v>45824</v>
      </c>
      <c r="D2092" s="71" t="s">
        <v>31</v>
      </c>
      <c r="E2092" s="71" t="s">
        <v>189</v>
      </c>
      <c r="F2092" s="70" t="s">
        <v>31</v>
      </c>
      <c r="G2092" s="71" t="s">
        <v>258</v>
      </c>
      <c r="H2092" s="138"/>
      <c r="J2092" s="76" t="s">
        <v>253</v>
      </c>
      <c r="L2092" s="526">
        <v>1365</v>
      </c>
      <c r="M2092" s="136">
        <f t="shared" si="43"/>
        <v>75916.04572000046</v>
      </c>
    </row>
    <row r="2093" spans="1:13">
      <c r="A2093" s="54" t="str">
        <f>D2093&amp;E2093&amp;F2093</f>
        <v>CAPINSUMOSCAPRICHOS</v>
      </c>
      <c r="B2093" t="s">
        <v>1277</v>
      </c>
      <c r="C2093" s="1">
        <v>45824</v>
      </c>
      <c r="D2093" s="71" t="s">
        <v>31</v>
      </c>
      <c r="E2093" s="71" t="s">
        <v>133</v>
      </c>
      <c r="F2093" s="70" t="s">
        <v>33</v>
      </c>
      <c r="G2093" s="71" t="s">
        <v>216</v>
      </c>
      <c r="H2093" s="138"/>
      <c r="J2093" s="76" t="s">
        <v>457</v>
      </c>
      <c r="L2093" s="331">
        <v>464</v>
      </c>
      <c r="M2093" s="136">
        <f t="shared" si="43"/>
        <v>75452.04572000046</v>
      </c>
    </row>
    <row r="2094" spans="1:13">
      <c r="A2094" s="54" t="str">
        <f>D2094&amp;E2094&amp;F2094</f>
        <v>CAPUBERCAP</v>
      </c>
      <c r="B2094" t="s">
        <v>1277</v>
      </c>
      <c r="C2094" s="1">
        <v>45824</v>
      </c>
      <c r="D2094" s="71" t="s">
        <v>31</v>
      </c>
      <c r="E2094" s="71" t="s">
        <v>189</v>
      </c>
      <c r="F2094" s="70" t="s">
        <v>31</v>
      </c>
      <c r="G2094" s="71" t="s">
        <v>216</v>
      </c>
      <c r="H2094" s="138"/>
      <c r="J2094" s="76" t="s">
        <v>257</v>
      </c>
      <c r="L2094" s="526">
        <v>596</v>
      </c>
      <c r="M2094" s="136">
        <f t="shared" si="43"/>
        <v>74856.04572000046</v>
      </c>
    </row>
    <row r="2095" spans="1:13">
      <c r="A2095" s="54" t="str">
        <f>D2095&amp;E2095&amp;F2095</f>
        <v>CAPINSUMOSCAPRICHOS</v>
      </c>
      <c r="B2095" t="s">
        <v>1277</v>
      </c>
      <c r="C2095" s="1">
        <v>45824</v>
      </c>
      <c r="D2095" s="71" t="s">
        <v>31</v>
      </c>
      <c r="E2095" s="71" t="s">
        <v>133</v>
      </c>
      <c r="F2095" s="70" t="s">
        <v>33</v>
      </c>
      <c r="G2095" s="71" t="s">
        <v>216</v>
      </c>
      <c r="H2095" s="138"/>
      <c r="J2095" s="76" t="s">
        <v>1401</v>
      </c>
      <c r="L2095" s="331">
        <v>100</v>
      </c>
      <c r="M2095" s="136">
        <f t="shared" si="43"/>
        <v>74756.04572000046</v>
      </c>
    </row>
    <row r="2096" spans="1:13">
      <c r="A2096" s="54" t="str">
        <f>D2096&amp;E2096&amp;F2096</f>
        <v>CAPINSUMOSCAPRICHOS</v>
      </c>
      <c r="B2096" t="s">
        <v>1277</v>
      </c>
      <c r="C2096" s="1">
        <v>45824</v>
      </c>
      <c r="D2096" s="71" t="s">
        <v>31</v>
      </c>
      <c r="E2096" s="71" t="s">
        <v>133</v>
      </c>
      <c r="F2096" s="70" t="s">
        <v>33</v>
      </c>
      <c r="G2096" s="71" t="s">
        <v>216</v>
      </c>
      <c r="H2096" s="138"/>
      <c r="J2096" s="76" t="s">
        <v>717</v>
      </c>
      <c r="L2096" s="331">
        <v>20</v>
      </c>
      <c r="M2096" s="136">
        <f t="shared" si="43"/>
        <v>74736.04572000046</v>
      </c>
    </row>
    <row r="2097" spans="1:13">
      <c r="A2097" s="54" t="str">
        <f>D2097&amp;E2097&amp;F2097</f>
        <v>CAPUBERCAP</v>
      </c>
      <c r="B2097" t="s">
        <v>1277</v>
      </c>
      <c r="C2097" s="1">
        <v>45824</v>
      </c>
      <c r="D2097" s="71" t="s">
        <v>31</v>
      </c>
      <c r="E2097" s="71" t="s">
        <v>189</v>
      </c>
      <c r="F2097" s="70" t="s">
        <v>31</v>
      </c>
      <c r="G2097" s="71" t="s">
        <v>258</v>
      </c>
      <c r="H2097" s="138"/>
      <c r="J2097" s="76" t="s">
        <v>490</v>
      </c>
      <c r="L2097" s="526">
        <v>876</v>
      </c>
      <c r="M2097" s="136">
        <f t="shared" si="43"/>
        <v>73860.04572000046</v>
      </c>
    </row>
    <row r="2098" spans="1:13">
      <c r="A2098" s="54" t="str">
        <f>D2098&amp;E2098&amp;F2098</f>
        <v>CAPINSUMOSCAPRICHOS</v>
      </c>
      <c r="B2098" t="s">
        <v>1277</v>
      </c>
      <c r="C2098" s="1">
        <v>45824</v>
      </c>
      <c r="D2098" s="71" t="s">
        <v>31</v>
      </c>
      <c r="E2098" s="71" t="s">
        <v>133</v>
      </c>
      <c r="F2098" s="70" t="s">
        <v>33</v>
      </c>
      <c r="G2098" s="71" t="s">
        <v>216</v>
      </c>
      <c r="H2098" s="138"/>
      <c r="J2098" s="76" t="s">
        <v>1402</v>
      </c>
      <c r="L2098" s="331">
        <v>60</v>
      </c>
      <c r="M2098" s="136">
        <f t="shared" si="43"/>
        <v>73800.04572000046</v>
      </c>
    </row>
    <row r="2099" spans="1:13">
      <c r="A2099" s="54" t="str">
        <f>D2099&amp;E2099&amp;F2099</f>
        <v>ELIUBERL1</v>
      </c>
      <c r="B2099" t="s">
        <v>1277</v>
      </c>
      <c r="C2099" s="1">
        <v>45824</v>
      </c>
      <c r="D2099" s="71" t="s">
        <v>130</v>
      </c>
      <c r="E2099" s="71" t="s">
        <v>189</v>
      </c>
      <c r="F2099" s="70" t="s">
        <v>136</v>
      </c>
      <c r="G2099" s="71" t="s">
        <v>258</v>
      </c>
      <c r="H2099" s="138"/>
      <c r="J2099" s="76" t="s">
        <v>535</v>
      </c>
      <c r="L2099" s="526">
        <v>300</v>
      </c>
      <c r="M2099" s="136">
        <f t="shared" si="43"/>
        <v>73500.04572000046</v>
      </c>
    </row>
    <row r="2100" spans="1:13">
      <c r="A2100" s="54" t="str">
        <f t="shared" si="42"/>
        <v/>
      </c>
      <c r="B2100" t="s">
        <v>1277</v>
      </c>
      <c r="C2100" s="1">
        <v>45825</v>
      </c>
      <c r="D2100" s="71"/>
      <c r="F2100" s="70"/>
      <c r="H2100" s="138"/>
      <c r="J2100" s="71" t="s">
        <v>260</v>
      </c>
      <c r="K2100" s="325">
        <v>205215.56</v>
      </c>
      <c r="L2100" s="354"/>
      <c r="M2100" s="136">
        <f t="shared" si="43"/>
        <v>278715.60572000046</v>
      </c>
    </row>
    <row r="2101" spans="1:13">
      <c r="A2101" s="54" t="str">
        <f>D2101&amp;E2101&amp;F2101</f>
        <v>FINANZASCOMISIONES BANCARIASTPV</v>
      </c>
      <c r="B2101" t="s">
        <v>1277</v>
      </c>
      <c r="C2101" s="1">
        <v>45825</v>
      </c>
      <c r="D2101" s="71" t="s">
        <v>23</v>
      </c>
      <c r="E2101" s="71" t="s">
        <v>48</v>
      </c>
      <c r="F2101" s="70" t="s">
        <v>50</v>
      </c>
      <c r="G2101" s="71" t="s">
        <v>216</v>
      </c>
      <c r="H2101" s="138"/>
      <c r="J2101" s="71" t="s">
        <v>217</v>
      </c>
      <c r="L2101" s="321">
        <f>358.22+173.62+64.57+1595.13+1173.57+484.37+20.88+20.88</f>
        <v>3891.24</v>
      </c>
      <c r="M2101" s="136">
        <f t="shared" si="43"/>
        <v>274824.36572000047</v>
      </c>
    </row>
    <row r="2102" spans="1:13">
      <c r="A2102" s="54" t="str">
        <f t="shared" si="42"/>
        <v/>
      </c>
      <c r="B2102" t="s">
        <v>1277</v>
      </c>
      <c r="C2102" s="1">
        <v>45825</v>
      </c>
      <c r="D2102" s="71"/>
      <c r="F2102" s="70"/>
      <c r="H2102" s="138"/>
      <c r="J2102" s="205" t="s">
        <v>220</v>
      </c>
      <c r="K2102" s="206"/>
      <c r="L2102" s="206">
        <v>100000</v>
      </c>
      <c r="M2102" s="136">
        <f t="shared" si="43"/>
        <v>174824.36572000047</v>
      </c>
    </row>
    <row r="2103" spans="1:13">
      <c r="A2103" s="54" t="str">
        <f t="shared" si="42"/>
        <v/>
      </c>
      <c r="B2103" t="s">
        <v>1277</v>
      </c>
      <c r="C2103" s="1">
        <v>45825</v>
      </c>
      <c r="D2103" s="71"/>
      <c r="F2103" s="70"/>
      <c r="H2103" s="138"/>
      <c r="J2103" s="205" t="s">
        <v>563</v>
      </c>
      <c r="K2103" s="206"/>
      <c r="L2103" s="206"/>
      <c r="M2103" s="136">
        <f t="shared" si="43"/>
        <v>174824.36572000047</v>
      </c>
    </row>
    <row r="2104" spans="1:13">
      <c r="A2104" s="54" t="str">
        <f t="shared" si="42"/>
        <v/>
      </c>
      <c r="B2104" t="s">
        <v>1277</v>
      </c>
      <c r="C2104" s="1">
        <v>45825</v>
      </c>
      <c r="D2104" s="71"/>
      <c r="F2104" s="70"/>
      <c r="H2104" s="138"/>
      <c r="J2104" s="71" t="s">
        <v>1403</v>
      </c>
      <c r="L2104" s="326">
        <v>446.6</v>
      </c>
      <c r="M2104" s="136">
        <f t="shared" si="43"/>
        <v>174377.76572000046</v>
      </c>
    </row>
    <row r="2105" spans="1:13">
      <c r="A2105" s="54" t="str">
        <f>D2105&amp;E2105&amp;F2105</f>
        <v>CAPENERGIA ELECTRICAE7</v>
      </c>
      <c r="B2105" t="s">
        <v>1277</v>
      </c>
      <c r="C2105" s="1">
        <v>45825</v>
      </c>
      <c r="D2105" s="71" t="s">
        <v>31</v>
      </c>
      <c r="E2105" s="71" t="s">
        <v>87</v>
      </c>
      <c r="F2105" s="70" t="s">
        <v>113</v>
      </c>
      <c r="G2105" s="71" t="s">
        <v>258</v>
      </c>
      <c r="H2105" s="138"/>
      <c r="J2105" s="71" t="s">
        <v>1404</v>
      </c>
      <c r="L2105" s="326">
        <v>9778</v>
      </c>
      <c r="M2105" s="136">
        <f t="shared" si="43"/>
        <v>164599.76572000046</v>
      </c>
    </row>
    <row r="2106" spans="1:13">
      <c r="A2106" s="54" t="str">
        <f>D2106&amp;E2106&amp;F2106</f>
        <v>HRENERGIA ELECTRICAA5</v>
      </c>
      <c r="B2106" t="s">
        <v>1277</v>
      </c>
      <c r="C2106" s="1">
        <v>45825</v>
      </c>
      <c r="D2106" s="71" t="s">
        <v>29</v>
      </c>
      <c r="E2106" s="71" t="s">
        <v>87</v>
      </c>
      <c r="F2106" s="70" t="s">
        <v>92</v>
      </c>
      <c r="G2106" s="71" t="s">
        <v>216</v>
      </c>
      <c r="H2106" s="138"/>
      <c r="J2106" s="71" t="s">
        <v>1405</v>
      </c>
      <c r="L2106" s="326">
        <v>2881</v>
      </c>
      <c r="M2106" s="136">
        <f t="shared" si="43"/>
        <v>161718.76572000046</v>
      </c>
    </row>
    <row r="2107" spans="1:13">
      <c r="A2107" s="54" t="str">
        <f>D2107&amp;E2107&amp;F2107</f>
        <v>CAPENERGIA ELECTRICAE3</v>
      </c>
      <c r="B2107" t="s">
        <v>1277</v>
      </c>
      <c r="C2107" s="1">
        <v>45825</v>
      </c>
      <c r="D2107" s="71" t="s">
        <v>31</v>
      </c>
      <c r="E2107" s="71" t="s">
        <v>87</v>
      </c>
      <c r="F2107" s="70" t="s">
        <v>109</v>
      </c>
      <c r="G2107" s="71" t="s">
        <v>216</v>
      </c>
      <c r="H2107" s="138"/>
      <c r="J2107" s="71" t="s">
        <v>381</v>
      </c>
      <c r="L2107" s="326">
        <v>6856</v>
      </c>
      <c r="M2107" s="136">
        <f t="shared" si="43"/>
        <v>154862.76572000046</v>
      </c>
    </row>
    <row r="2108" spans="1:13">
      <c r="A2108" s="54" t="str">
        <f>D2108&amp;E2108&amp;F2108</f>
        <v>CAPENERGIA ELECTRICAE4</v>
      </c>
      <c r="B2108" t="s">
        <v>1277</v>
      </c>
      <c r="C2108" s="1">
        <v>45825</v>
      </c>
      <c r="D2108" s="71" t="s">
        <v>31</v>
      </c>
      <c r="E2108" s="71" t="s">
        <v>87</v>
      </c>
      <c r="F2108" s="70" t="s">
        <v>110</v>
      </c>
      <c r="G2108" s="71" t="s">
        <v>216</v>
      </c>
      <c r="H2108" s="138"/>
      <c r="J2108" s="71" t="s">
        <v>1406</v>
      </c>
      <c r="L2108" s="326">
        <v>7916</v>
      </c>
      <c r="M2108" s="136">
        <f t="shared" si="43"/>
        <v>146946.76572000046</v>
      </c>
    </row>
    <row r="2109" spans="1:13">
      <c r="A2109" s="54" t="str">
        <f>D2109&amp;E2109&amp;F2109</f>
        <v>HRENERGIA ELECTRICAA22</v>
      </c>
      <c r="B2109" t="s">
        <v>1277</v>
      </c>
      <c r="C2109" s="1">
        <v>45825</v>
      </c>
      <c r="D2109" s="71" t="s">
        <v>29</v>
      </c>
      <c r="E2109" s="71" t="s">
        <v>87</v>
      </c>
      <c r="F2109" s="70" t="s">
        <v>104</v>
      </c>
      <c r="G2109" s="71" t="s">
        <v>216</v>
      </c>
      <c r="H2109" s="138"/>
      <c r="J2109" s="71" t="s">
        <v>379</v>
      </c>
      <c r="L2109" s="326">
        <v>6443</v>
      </c>
      <c r="M2109" s="136">
        <f t="shared" si="43"/>
        <v>140503.76572000046</v>
      </c>
    </row>
    <row r="2110" spans="1:13">
      <c r="A2110" s="54" t="str">
        <f>D2110&amp;E2110&amp;F2110</f>
        <v>HRENERGIA ELECTRICAA8</v>
      </c>
      <c r="B2110" t="s">
        <v>1277</v>
      </c>
      <c r="C2110" s="1">
        <v>45825</v>
      </c>
      <c r="D2110" s="71" t="s">
        <v>29</v>
      </c>
      <c r="E2110" s="71" t="s">
        <v>87</v>
      </c>
      <c r="F2110" s="70" t="s">
        <v>94</v>
      </c>
      <c r="G2110" s="71" t="s">
        <v>216</v>
      </c>
      <c r="H2110" s="138"/>
      <c r="J2110" s="71" t="s">
        <v>1407</v>
      </c>
      <c r="L2110" s="326">
        <v>10118</v>
      </c>
      <c r="M2110" s="136">
        <f t="shared" si="43"/>
        <v>130385.76572000046</v>
      </c>
    </row>
    <row r="2111" spans="1:13">
      <c r="A2111" s="54" t="str">
        <f>D2111&amp;E2111&amp;F2111</f>
        <v>HRENERGIA ELECTRICAA5</v>
      </c>
      <c r="B2111" t="s">
        <v>1277</v>
      </c>
      <c r="C2111" s="1">
        <v>45825</v>
      </c>
      <c r="D2111" s="71" t="s">
        <v>29</v>
      </c>
      <c r="E2111" s="71" t="s">
        <v>87</v>
      </c>
      <c r="F2111" s="70" t="s">
        <v>92</v>
      </c>
      <c r="G2111" s="71" t="s">
        <v>216</v>
      </c>
      <c r="H2111" s="138"/>
      <c r="J2111" s="71" t="s">
        <v>1405</v>
      </c>
      <c r="L2111" s="326">
        <v>7117</v>
      </c>
      <c r="M2111" s="136">
        <f t="shared" si="43"/>
        <v>123268.76572000046</v>
      </c>
    </row>
    <row r="2112" spans="1:13">
      <c r="A2112" s="54" t="str">
        <f>D2112&amp;E2112&amp;F2112</f>
        <v>HRENERGIA ELECTRICAA5</v>
      </c>
      <c r="B2112" t="s">
        <v>1277</v>
      </c>
      <c r="C2112" s="1">
        <v>45825</v>
      </c>
      <c r="D2112" s="71" t="s">
        <v>29</v>
      </c>
      <c r="E2112" s="71" t="s">
        <v>87</v>
      </c>
      <c r="F2112" s="70" t="s">
        <v>92</v>
      </c>
      <c r="G2112" s="71" t="s">
        <v>216</v>
      </c>
      <c r="H2112" s="138"/>
      <c r="J2112" s="71" t="s">
        <v>1408</v>
      </c>
      <c r="L2112" s="326">
        <v>3831</v>
      </c>
      <c r="M2112" s="136">
        <f t="shared" si="43"/>
        <v>119437.76572000046</v>
      </c>
    </row>
    <row r="2113" spans="1:13">
      <c r="A2113" s="54" t="str">
        <f>D2113&amp;E2113&amp;F2113</f>
        <v>HRENERGIA ELECTRICAA4</v>
      </c>
      <c r="B2113" t="s">
        <v>1277</v>
      </c>
      <c r="C2113" s="1">
        <v>45825</v>
      </c>
      <c r="D2113" s="71" t="s">
        <v>29</v>
      </c>
      <c r="E2113" s="71" t="s">
        <v>87</v>
      </c>
      <c r="F2113" s="70" t="s">
        <v>91</v>
      </c>
      <c r="G2113" s="71" t="s">
        <v>216</v>
      </c>
      <c r="H2113" s="138"/>
      <c r="J2113" s="71" t="s">
        <v>1409</v>
      </c>
      <c r="L2113" s="326">
        <v>8706</v>
      </c>
      <c r="M2113" s="136">
        <f t="shared" si="43"/>
        <v>110731.76572000046</v>
      </c>
    </row>
    <row r="2114" spans="1:13">
      <c r="A2114" s="54" t="str">
        <f>D2114&amp;E2114&amp;F2114</f>
        <v>SERVICIOSADQ DE EQ TECNOLOGICOADQ DE EQ TECNOLOGICO</v>
      </c>
      <c r="B2114" t="s">
        <v>1277</v>
      </c>
      <c r="C2114" s="1">
        <v>45825</v>
      </c>
      <c r="D2114" s="71" t="s">
        <v>21</v>
      </c>
      <c r="E2114" s="71" t="s">
        <v>22</v>
      </c>
      <c r="F2114" s="70" t="s">
        <v>22</v>
      </c>
      <c r="G2114" s="71" t="s">
        <v>216</v>
      </c>
      <c r="H2114" s="138"/>
      <c r="J2114" s="71" t="s">
        <v>1410</v>
      </c>
      <c r="L2114" s="326">
        <v>5438.75</v>
      </c>
      <c r="M2114" s="136">
        <f t="shared" si="43"/>
        <v>105293.01572000046</v>
      </c>
    </row>
    <row r="2115" spans="1:13">
      <c r="A2115" s="54" t="str">
        <f>D2115&amp;E2115&amp;F2115</f>
        <v>SERVICIOSINSUMOSCADENA DE SUMINISTROS</v>
      </c>
      <c r="B2115" t="s">
        <v>1277</v>
      </c>
      <c r="C2115" s="1">
        <v>45825</v>
      </c>
      <c r="D2115" s="71" t="s">
        <v>21</v>
      </c>
      <c r="E2115" s="71" t="s">
        <v>133</v>
      </c>
      <c r="F2115" s="70" t="s">
        <v>134</v>
      </c>
      <c r="G2115" s="71" t="s">
        <v>216</v>
      </c>
      <c r="H2115" s="138"/>
      <c r="J2115" s="71" t="s">
        <v>1411</v>
      </c>
      <c r="L2115" s="326">
        <v>1628.71</v>
      </c>
      <c r="M2115" s="136">
        <f t="shared" si="43"/>
        <v>103664.30572000046</v>
      </c>
    </row>
    <row r="2116" spans="1:13">
      <c r="A2116" s="54" t="str">
        <f>D2116&amp;E2116&amp;F2116</f>
        <v>SERVICIOSPAQUETERIACEDIS (E6)</v>
      </c>
      <c r="B2116" t="s">
        <v>1277</v>
      </c>
      <c r="C2116" s="1">
        <v>45825</v>
      </c>
      <c r="D2116" s="71" t="s">
        <v>21</v>
      </c>
      <c r="E2116" s="71" t="s">
        <v>160</v>
      </c>
      <c r="F2116" s="70" t="s">
        <v>161</v>
      </c>
      <c r="G2116" s="71" t="s">
        <v>258</v>
      </c>
      <c r="H2116" s="138"/>
      <c r="J2116" s="71" t="s">
        <v>1412</v>
      </c>
      <c r="L2116" s="326">
        <v>2279.4699999999998</v>
      </c>
      <c r="M2116" s="136">
        <f t="shared" si="43"/>
        <v>101384.83572000045</v>
      </c>
    </row>
    <row r="2117" spans="1:13">
      <c r="A2117" s="54" t="str">
        <f>D2117&amp;E2117&amp;F2117</f>
        <v>CAPFONDO Y REPOSICIONCAPRICHOS</v>
      </c>
      <c r="B2117" t="s">
        <v>1277</v>
      </c>
      <c r="C2117" s="1">
        <v>45825</v>
      </c>
      <c r="D2117" s="71" t="s">
        <v>31</v>
      </c>
      <c r="E2117" s="71" t="s">
        <v>120</v>
      </c>
      <c r="F2117" s="70" t="s">
        <v>33</v>
      </c>
      <c r="G2117" s="71" t="s">
        <v>216</v>
      </c>
      <c r="H2117" s="138"/>
      <c r="J2117" s="71" t="s">
        <v>1413</v>
      </c>
      <c r="L2117" s="326">
        <v>3727</v>
      </c>
      <c r="M2117" s="136">
        <f t="shared" si="43"/>
        <v>97657.835720000454</v>
      </c>
    </row>
    <row r="2118" spans="1:13">
      <c r="A2118" s="54" t="str">
        <f>D2118&amp;E2118&amp;F2118</f>
        <v>HRUBERHR</v>
      </c>
      <c r="B2118" t="s">
        <v>1277</v>
      </c>
      <c r="C2118" s="1">
        <v>45825</v>
      </c>
      <c r="D2118" s="71" t="s">
        <v>29</v>
      </c>
      <c r="E2118" s="71" t="s">
        <v>189</v>
      </c>
      <c r="F2118" s="70" t="s">
        <v>29</v>
      </c>
      <c r="G2118" s="71" t="s">
        <v>216</v>
      </c>
      <c r="H2118" s="138"/>
      <c r="J2118" s="76" t="s">
        <v>249</v>
      </c>
      <c r="L2118" s="526">
        <v>86</v>
      </c>
      <c r="M2118" s="136">
        <f t="shared" si="43"/>
        <v>97571.835720000454</v>
      </c>
    </row>
    <row r="2119" spans="1:13">
      <c r="A2119" s="54" t="str">
        <f>D2119&amp;E2119&amp;F2119</f>
        <v>CAPUBERCAP</v>
      </c>
      <c r="B2119" t="s">
        <v>1277</v>
      </c>
      <c r="C2119" s="1">
        <v>45825</v>
      </c>
      <c r="D2119" s="71" t="s">
        <v>31</v>
      </c>
      <c r="E2119" s="71" t="s">
        <v>189</v>
      </c>
      <c r="F2119" s="70" t="s">
        <v>31</v>
      </c>
      <c r="G2119" s="71" t="s">
        <v>216</v>
      </c>
      <c r="H2119" s="138"/>
      <c r="J2119" s="76" t="s">
        <v>253</v>
      </c>
      <c r="L2119" s="526">
        <v>510</v>
      </c>
      <c r="M2119" s="136">
        <f t="shared" si="43"/>
        <v>97061.835720000454</v>
      </c>
    </row>
    <row r="2120" spans="1:13">
      <c r="A2120" s="54" t="str">
        <f>D2120&amp;E2120&amp;F2120</f>
        <v>CAPNOMINA SUCURSALE2</v>
      </c>
      <c r="B2120" t="s">
        <v>1277</v>
      </c>
      <c r="C2120" s="1">
        <v>45825</v>
      </c>
      <c r="D2120" s="71" t="s">
        <v>31</v>
      </c>
      <c r="E2120" s="71" t="s">
        <v>154</v>
      </c>
      <c r="F2120" s="70" t="s">
        <v>108</v>
      </c>
      <c r="G2120" s="71" t="s">
        <v>216</v>
      </c>
      <c r="H2120" s="138"/>
      <c r="J2120" s="76" t="s">
        <v>1009</v>
      </c>
      <c r="L2120" s="331">
        <v>1100</v>
      </c>
      <c r="M2120" s="136">
        <f t="shared" si="43"/>
        <v>95961.835720000454</v>
      </c>
    </row>
    <row r="2121" spans="1:13">
      <c r="A2121" s="54" t="str">
        <f>D2121&amp;E2121&amp;F2121</f>
        <v>CAPUBERCAP</v>
      </c>
      <c r="B2121" t="s">
        <v>1277</v>
      </c>
      <c r="C2121" s="1">
        <v>45825</v>
      </c>
      <c r="D2121" s="71" t="s">
        <v>31</v>
      </c>
      <c r="E2121" s="71" t="s">
        <v>189</v>
      </c>
      <c r="F2121" s="70" t="s">
        <v>31</v>
      </c>
      <c r="G2121" s="71" t="s">
        <v>258</v>
      </c>
      <c r="H2121" s="138"/>
      <c r="J2121" s="76" t="s">
        <v>1414</v>
      </c>
      <c r="L2121" s="526">
        <v>100</v>
      </c>
      <c r="M2121" s="136">
        <f t="shared" si="43"/>
        <v>95861.835720000454</v>
      </c>
    </row>
    <row r="2122" spans="1:13">
      <c r="A2122" s="54" t="str">
        <f t="shared" si="42"/>
        <v/>
      </c>
      <c r="B2122" t="s">
        <v>1277</v>
      </c>
      <c r="C2122" s="1">
        <v>45826</v>
      </c>
      <c r="D2122" s="71"/>
      <c r="F2122" s="70"/>
      <c r="H2122" s="138"/>
      <c r="J2122" s="71" t="s">
        <v>260</v>
      </c>
      <c r="K2122" s="325">
        <v>203946.58</v>
      </c>
      <c r="L2122" s="354"/>
      <c r="M2122" s="136">
        <f t="shared" si="43"/>
        <v>299808.41572000046</v>
      </c>
    </row>
    <row r="2123" spans="1:13">
      <c r="A2123" s="54" t="str">
        <f>D2123&amp;E2123&amp;F2123</f>
        <v>FINANZASCOMISIONES BANCARIASTPV</v>
      </c>
      <c r="B2123" t="s">
        <v>1277</v>
      </c>
      <c r="C2123" s="1">
        <v>45826</v>
      </c>
      <c r="D2123" s="71" t="s">
        <v>23</v>
      </c>
      <c r="E2123" s="71" t="s">
        <v>48</v>
      </c>
      <c r="F2123" s="70" t="s">
        <v>50</v>
      </c>
      <c r="G2123" s="71" t="s">
        <v>216</v>
      </c>
      <c r="H2123" s="138"/>
      <c r="J2123" s="71" t="s">
        <v>217</v>
      </c>
      <c r="L2123" s="326">
        <f>223.79+94.86+88.28+1653.6+1959.15+485.26+6.96+20.88</f>
        <v>4532.78</v>
      </c>
      <c r="M2123" s="136">
        <f t="shared" si="43"/>
        <v>295275.63572000043</v>
      </c>
    </row>
    <row r="2124" spans="1:13">
      <c r="A2124" s="54" t="str">
        <f t="shared" si="42"/>
        <v/>
      </c>
      <c r="B2124" t="s">
        <v>1277</v>
      </c>
      <c r="C2124" s="1">
        <v>45826</v>
      </c>
      <c r="D2124" s="71"/>
      <c r="H2124" s="138"/>
      <c r="J2124" s="205" t="s">
        <v>220</v>
      </c>
      <c r="K2124" s="206"/>
      <c r="L2124" s="206">
        <v>150000</v>
      </c>
      <c r="M2124" s="136">
        <f t="shared" si="43"/>
        <v>145275.63572000043</v>
      </c>
    </row>
    <row r="2125" spans="1:13">
      <c r="A2125" s="54" t="str">
        <f t="shared" ref="A2125:A2188" si="44">D2125&amp;E2125&amp;F2125</f>
        <v/>
      </c>
      <c r="B2125" t="s">
        <v>1277</v>
      </c>
      <c r="C2125" s="1">
        <v>45826</v>
      </c>
      <c r="D2125" s="71"/>
      <c r="F2125" s="70"/>
      <c r="H2125" s="138"/>
      <c r="J2125" s="205" t="s">
        <v>563</v>
      </c>
      <c r="K2125" s="206"/>
      <c r="L2125" s="206"/>
      <c r="M2125" s="136">
        <f t="shared" si="43"/>
        <v>145275.63572000043</v>
      </c>
    </row>
    <row r="2126" spans="1:13">
      <c r="A2126" s="54" t="str">
        <f>D2126&amp;E2126&amp;F2126</f>
        <v>SGEVIATICOSGESTION EMPRESARIAL</v>
      </c>
      <c r="B2126" t="s">
        <v>1277</v>
      </c>
      <c r="C2126" s="1">
        <v>45826</v>
      </c>
      <c r="D2126" s="71" t="s">
        <v>39</v>
      </c>
      <c r="E2126" s="71" t="s">
        <v>191</v>
      </c>
      <c r="F2126" s="70" t="s">
        <v>40</v>
      </c>
      <c r="G2126" s="71" t="s">
        <v>216</v>
      </c>
      <c r="H2126" s="138"/>
      <c r="J2126" s="71" t="s">
        <v>1415</v>
      </c>
      <c r="L2126" s="326">
        <v>2900</v>
      </c>
      <c r="M2126" s="136">
        <f t="shared" si="43"/>
        <v>142375.63572000043</v>
      </c>
    </row>
    <row r="2127" spans="1:13">
      <c r="A2127" s="54" t="str">
        <f>D2127&amp;E2127&amp;F2127</f>
        <v>CAPVIATICOSCAPRICHOS</v>
      </c>
      <c r="B2127" t="s">
        <v>1277</v>
      </c>
      <c r="C2127" s="1">
        <v>45826</v>
      </c>
      <c r="D2127" s="71" t="s">
        <v>31</v>
      </c>
      <c r="E2127" s="71" t="s">
        <v>191</v>
      </c>
      <c r="F2127" s="70" t="s">
        <v>33</v>
      </c>
      <c r="G2127" s="71" t="s">
        <v>258</v>
      </c>
      <c r="H2127" s="138"/>
      <c r="J2127" s="71" t="s">
        <v>1132</v>
      </c>
      <c r="L2127" s="326">
        <v>1500</v>
      </c>
      <c r="M2127" s="136">
        <f t="shared" si="43"/>
        <v>140875.63572000043</v>
      </c>
    </row>
    <row r="2128" spans="1:13">
      <c r="A2128" s="54" t="str">
        <f>D2128&amp;E2128&amp;F2128</f>
        <v>HRFONDO Y REPOSICIONHR</v>
      </c>
      <c r="B2128" t="s">
        <v>1277</v>
      </c>
      <c r="C2128" s="1">
        <v>45826</v>
      </c>
      <c r="D2128" s="71" t="s">
        <v>29</v>
      </c>
      <c r="E2128" s="71" t="s">
        <v>120</v>
      </c>
      <c r="F2128" s="70" t="s">
        <v>29</v>
      </c>
      <c r="G2128" s="71" t="s">
        <v>216</v>
      </c>
      <c r="H2128" s="138"/>
      <c r="J2128" s="71" t="s">
        <v>267</v>
      </c>
      <c r="L2128" s="326">
        <v>3000</v>
      </c>
      <c r="M2128" s="136">
        <f t="shared" si="43"/>
        <v>137875.63572000043</v>
      </c>
    </row>
    <row r="2129" spans="1:13">
      <c r="A2129" s="54" t="str">
        <f>D2129&amp;E2129&amp;F2129</f>
        <v>HRFONDO Y REPOSICIONHR</v>
      </c>
      <c r="B2129" t="s">
        <v>1277</v>
      </c>
      <c r="C2129" s="1">
        <v>45826</v>
      </c>
      <c r="D2129" s="71" t="s">
        <v>29</v>
      </c>
      <c r="E2129" s="71" t="s">
        <v>120</v>
      </c>
      <c r="F2129" s="70" t="s">
        <v>29</v>
      </c>
      <c r="G2129" s="71" t="s">
        <v>216</v>
      </c>
      <c r="H2129" s="138"/>
      <c r="J2129" s="71" t="s">
        <v>266</v>
      </c>
      <c r="L2129" s="326">
        <v>2000</v>
      </c>
      <c r="M2129" s="136">
        <f t="shared" si="43"/>
        <v>135875.63572000043</v>
      </c>
    </row>
    <row r="2130" spans="1:13">
      <c r="A2130" s="54" t="str">
        <f>D2130&amp;E2130&amp;F2130</f>
        <v>FINANZASTELEFONIATELCEL</v>
      </c>
      <c r="B2130" t="s">
        <v>1277</v>
      </c>
      <c r="C2130" s="1">
        <v>45826</v>
      </c>
      <c r="D2130" s="71" t="s">
        <v>23</v>
      </c>
      <c r="E2130" s="71" t="s">
        <v>181</v>
      </c>
      <c r="F2130" s="70" t="s">
        <v>183</v>
      </c>
      <c r="G2130" s="71" t="s">
        <v>258</v>
      </c>
      <c r="H2130" s="138"/>
      <c r="J2130" s="71" t="s">
        <v>1416</v>
      </c>
      <c r="L2130" s="326">
        <v>80</v>
      </c>
      <c r="M2130" s="136">
        <f t="shared" si="43"/>
        <v>135795.63572000043</v>
      </c>
    </row>
    <row r="2131" spans="1:13">
      <c r="A2131" s="54" t="str">
        <f>D2131&amp;E2131&amp;F2131</f>
        <v>FINANZASCUOTAS Y SUSCRIPCIONESKOLBEE</v>
      </c>
      <c r="B2131" t="s">
        <v>1277</v>
      </c>
      <c r="C2131" s="1">
        <v>45826</v>
      </c>
      <c r="D2131" s="71" t="s">
        <v>23</v>
      </c>
      <c r="E2131" s="71" t="s">
        <v>51</v>
      </c>
      <c r="F2131" s="70" t="s">
        <v>69</v>
      </c>
      <c r="G2131" s="71" t="s">
        <v>258</v>
      </c>
      <c r="H2131" s="138"/>
      <c r="J2131" s="71" t="s">
        <v>1417</v>
      </c>
      <c r="L2131" s="326">
        <v>2100</v>
      </c>
      <c r="M2131" s="136">
        <f t="shared" si="43"/>
        <v>133695.63572000043</v>
      </c>
    </row>
    <row r="2132" spans="1:13">
      <c r="A2132" s="54" t="str">
        <f>D2132&amp;E2132&amp;F2132</f>
        <v>SERVICIOSALARMASUCURSALES CAPRICHOS</v>
      </c>
      <c r="B2132" t="s">
        <v>1277</v>
      </c>
      <c r="C2132" s="1">
        <v>45826</v>
      </c>
      <c r="D2132" s="71" t="s">
        <v>21</v>
      </c>
      <c r="E2132" s="71" t="s">
        <v>25</v>
      </c>
      <c r="F2132" s="70" t="s">
        <v>27</v>
      </c>
      <c r="G2132" s="71" t="s">
        <v>216</v>
      </c>
      <c r="H2132" s="138"/>
      <c r="J2132" s="71" t="s">
        <v>1418</v>
      </c>
      <c r="L2132" s="326">
        <v>386.4</v>
      </c>
      <c r="M2132" s="136">
        <f t="shared" si="43"/>
        <v>133309.23572000043</v>
      </c>
    </row>
    <row r="2133" spans="1:13">
      <c r="A2133" s="54" t="str">
        <f>D2133&amp;E2133&amp;F2133</f>
        <v>FINANZASMTTO EQ DE TRANSPORTETESORERIA</v>
      </c>
      <c r="B2133" t="s">
        <v>1277</v>
      </c>
      <c r="C2133" s="1">
        <v>45826</v>
      </c>
      <c r="D2133" s="71" t="s">
        <v>23</v>
      </c>
      <c r="E2133" s="71" t="s">
        <v>144</v>
      </c>
      <c r="F2133" s="70" t="s">
        <v>38</v>
      </c>
      <c r="G2133" s="71" t="s">
        <v>258</v>
      </c>
      <c r="H2133" s="138"/>
      <c r="J2133" s="71" t="s">
        <v>1419</v>
      </c>
      <c r="L2133" s="326">
        <v>4721</v>
      </c>
      <c r="M2133" s="136">
        <f t="shared" si="43"/>
        <v>128588.23572000043</v>
      </c>
    </row>
    <row r="2134" spans="1:13">
      <c r="A2134" s="54" t="str">
        <f>D2134&amp;E2134&amp;F2134</f>
        <v>HRJMASA8</v>
      </c>
      <c r="B2134" t="s">
        <v>1277</v>
      </c>
      <c r="C2134" s="1">
        <v>45826</v>
      </c>
      <c r="D2134" s="71" t="s">
        <v>29</v>
      </c>
      <c r="E2134" s="71" t="s">
        <v>137</v>
      </c>
      <c r="F2134" s="70" t="s">
        <v>94</v>
      </c>
      <c r="G2134" s="71" t="s">
        <v>258</v>
      </c>
      <c r="H2134" s="138"/>
      <c r="J2134" s="71" t="s">
        <v>1420</v>
      </c>
      <c r="L2134" s="326">
        <v>356.07</v>
      </c>
      <c r="M2134" s="136">
        <f t="shared" si="43"/>
        <v>128232.16572000043</v>
      </c>
    </row>
    <row r="2135" spans="1:13">
      <c r="A2135" s="54" t="str">
        <f>D2135&amp;E2135&amp;F2135</f>
        <v>CAPJMASE8</v>
      </c>
      <c r="B2135" t="s">
        <v>1277</v>
      </c>
      <c r="C2135" s="1">
        <v>45826</v>
      </c>
      <c r="D2135" s="71" t="s">
        <v>31</v>
      </c>
      <c r="E2135" s="71" t="s">
        <v>137</v>
      </c>
      <c r="F2135" s="70" t="s">
        <v>114</v>
      </c>
      <c r="G2135" s="71" t="s">
        <v>216</v>
      </c>
      <c r="H2135" s="138"/>
      <c r="J2135" s="71" t="s">
        <v>1109</v>
      </c>
      <c r="L2135" s="326">
        <v>1397.29</v>
      </c>
      <c r="M2135" s="136">
        <f t="shared" si="43"/>
        <v>126834.87572000043</v>
      </c>
    </row>
    <row r="2136" spans="1:13" ht="16.5" customHeight="1">
      <c r="A2136" s="54" t="str">
        <f>D2136&amp;E2136&amp;F2136</f>
        <v>HRMKTMKT HR</v>
      </c>
      <c r="B2136" t="s">
        <v>1277</v>
      </c>
      <c r="C2136" s="1">
        <v>45826</v>
      </c>
      <c r="D2136" s="71" t="s">
        <v>29</v>
      </c>
      <c r="E2136" s="71" t="s">
        <v>19</v>
      </c>
      <c r="F2136" s="70" t="s">
        <v>138</v>
      </c>
      <c r="G2136" s="71" t="s">
        <v>216</v>
      </c>
      <c r="H2136" s="138"/>
      <c r="J2136" s="178" t="s">
        <v>1421</v>
      </c>
      <c r="L2136" s="326">
        <v>4800</v>
      </c>
      <c r="M2136" s="136">
        <f t="shared" si="43"/>
        <v>122034.87572000043</v>
      </c>
    </row>
    <row r="2137" spans="1:13">
      <c r="A2137" s="54" t="str">
        <f>D2137&amp;E2137&amp;F2137</f>
        <v>HRVIATICOSHR</v>
      </c>
      <c r="B2137" t="s">
        <v>1277</v>
      </c>
      <c r="C2137" s="1">
        <v>45826</v>
      </c>
      <c r="D2137" s="71" t="s">
        <v>29</v>
      </c>
      <c r="E2137" s="71" t="s">
        <v>191</v>
      </c>
      <c r="F2137" s="70" t="s">
        <v>29</v>
      </c>
      <c r="G2137" s="71" t="s">
        <v>216</v>
      </c>
      <c r="H2137" s="138"/>
      <c r="J2137" s="71" t="s">
        <v>1422</v>
      </c>
      <c r="L2137" s="326">
        <v>2600</v>
      </c>
      <c r="M2137" s="136">
        <f t="shared" si="43"/>
        <v>119434.87572000043</v>
      </c>
    </row>
    <row r="2138" spans="1:13">
      <c r="A2138" s="54" t="str">
        <f>D2138&amp;E2138&amp;F2138</f>
        <v>HRVIATICOSHR</v>
      </c>
      <c r="B2138" t="s">
        <v>1277</v>
      </c>
      <c r="C2138" s="1">
        <v>45826</v>
      </c>
      <c r="D2138" s="71" t="s">
        <v>29</v>
      </c>
      <c r="E2138" s="71" t="s">
        <v>191</v>
      </c>
      <c r="F2138" s="70" t="s">
        <v>29</v>
      </c>
      <c r="G2138" s="71" t="s">
        <v>216</v>
      </c>
      <c r="H2138" s="138"/>
      <c r="J2138" s="71" t="s">
        <v>1423</v>
      </c>
      <c r="L2138" s="326">
        <v>1800</v>
      </c>
      <c r="M2138" s="136">
        <f t="shared" si="43"/>
        <v>117634.87572000043</v>
      </c>
    </row>
    <row r="2139" spans="1:13">
      <c r="A2139" s="54" t="str">
        <f>D2139&amp;E2139&amp;F2139</f>
        <v>HRVIATICOSHR</v>
      </c>
      <c r="B2139" t="s">
        <v>1277</v>
      </c>
      <c r="C2139" s="1">
        <v>45826</v>
      </c>
      <c r="D2139" s="71" t="s">
        <v>29</v>
      </c>
      <c r="E2139" s="71" t="s">
        <v>191</v>
      </c>
      <c r="F2139" s="70" t="s">
        <v>29</v>
      </c>
      <c r="G2139" s="71" t="s">
        <v>216</v>
      </c>
      <c r="H2139" s="138"/>
      <c r="J2139" s="71" t="s">
        <v>1424</v>
      </c>
      <c r="L2139" s="326">
        <v>4600</v>
      </c>
      <c r="M2139" s="136">
        <f t="shared" si="43"/>
        <v>113034.87572000043</v>
      </c>
    </row>
    <row r="2140" spans="1:13">
      <c r="A2140" s="54" t="str">
        <f>D2140&amp;E2140&amp;F2140</f>
        <v>HRUBERHR</v>
      </c>
      <c r="B2140" t="s">
        <v>1277</v>
      </c>
      <c r="C2140" s="1">
        <v>45826</v>
      </c>
      <c r="D2140" s="71" t="s">
        <v>29</v>
      </c>
      <c r="E2140" s="71" t="s">
        <v>189</v>
      </c>
      <c r="F2140" s="70" t="s">
        <v>29</v>
      </c>
      <c r="G2140" s="71" t="s">
        <v>216</v>
      </c>
      <c r="H2140" s="138"/>
      <c r="J2140" s="76" t="s">
        <v>291</v>
      </c>
      <c r="L2140" s="526">
        <v>200</v>
      </c>
      <c r="M2140" s="136">
        <f t="shared" si="43"/>
        <v>112834.87572000043</v>
      </c>
    </row>
    <row r="2141" spans="1:13">
      <c r="A2141" s="54" t="str">
        <f>D2141&amp;E2141&amp;F2141</f>
        <v>HRUBERHR</v>
      </c>
      <c r="B2141" t="s">
        <v>1277</v>
      </c>
      <c r="C2141" s="1">
        <v>45826</v>
      </c>
      <c r="D2141" s="71" t="s">
        <v>29</v>
      </c>
      <c r="E2141" s="71" t="s">
        <v>189</v>
      </c>
      <c r="F2141" s="70" t="s">
        <v>29</v>
      </c>
      <c r="G2141" s="71" t="s">
        <v>216</v>
      </c>
      <c r="H2141" s="138"/>
      <c r="J2141" s="76" t="s">
        <v>802</v>
      </c>
      <c r="L2141" s="526">
        <v>210</v>
      </c>
      <c r="M2141" s="136">
        <f t="shared" ref="M2141:M2204" si="45">M2140+K2141-L2141</f>
        <v>112624.87572000043</v>
      </c>
    </row>
    <row r="2142" spans="1:13">
      <c r="A2142" s="54" t="str">
        <f>D2142&amp;E2142&amp;F2142</f>
        <v>HRUBERHR</v>
      </c>
      <c r="B2142" t="s">
        <v>1277</v>
      </c>
      <c r="C2142" s="1">
        <v>45826</v>
      </c>
      <c r="D2142" s="71" t="s">
        <v>29</v>
      </c>
      <c r="E2142" s="71" t="s">
        <v>189</v>
      </c>
      <c r="F2142" s="70" t="s">
        <v>29</v>
      </c>
      <c r="G2142" s="71" t="s">
        <v>258</v>
      </c>
      <c r="H2142" s="138"/>
      <c r="J2142" s="76" t="s">
        <v>854</v>
      </c>
      <c r="L2142" s="526">
        <v>400</v>
      </c>
      <c r="M2142" s="136">
        <f t="shared" si="45"/>
        <v>112224.87572000043</v>
      </c>
    </row>
    <row r="2143" spans="1:13">
      <c r="A2143" s="54" t="str">
        <f>D2143&amp;E2143&amp;F2143</f>
        <v>HRUBERHR</v>
      </c>
      <c r="B2143" t="s">
        <v>1277</v>
      </c>
      <c r="C2143" s="1">
        <v>45826</v>
      </c>
      <c r="D2143" s="71" t="s">
        <v>29</v>
      </c>
      <c r="E2143" s="71" t="s">
        <v>189</v>
      </c>
      <c r="F2143" s="70" t="s">
        <v>29</v>
      </c>
      <c r="G2143" s="71" t="s">
        <v>216</v>
      </c>
      <c r="H2143" s="138"/>
      <c r="J2143" s="76" t="s">
        <v>249</v>
      </c>
      <c r="L2143" s="526">
        <v>140</v>
      </c>
      <c r="M2143" s="136">
        <f t="shared" si="45"/>
        <v>112084.87572000043</v>
      </c>
    </row>
    <row r="2144" spans="1:13">
      <c r="A2144" s="54" t="str">
        <f>D2144&amp;E2144&amp;F2144</f>
        <v>CAPUBERCAP</v>
      </c>
      <c r="B2144" t="s">
        <v>1277</v>
      </c>
      <c r="C2144" s="1">
        <v>45826</v>
      </c>
      <c r="D2144" s="71" t="s">
        <v>31</v>
      </c>
      <c r="E2144" s="71" t="s">
        <v>189</v>
      </c>
      <c r="F2144" s="70" t="s">
        <v>31</v>
      </c>
      <c r="G2144" s="71" t="s">
        <v>258</v>
      </c>
      <c r="H2144" s="138"/>
      <c r="J2144" s="76" t="s">
        <v>253</v>
      </c>
      <c r="L2144" s="526">
        <v>395</v>
      </c>
      <c r="M2144" s="136">
        <f t="shared" si="45"/>
        <v>111689.87572000043</v>
      </c>
    </row>
    <row r="2145" spans="1:13">
      <c r="A2145" s="54" t="str">
        <f>D2145&amp;E2145&amp;F2145</f>
        <v>CAPUBERCAP</v>
      </c>
      <c r="B2145" t="s">
        <v>1277</v>
      </c>
      <c r="C2145" s="1">
        <v>45826</v>
      </c>
      <c r="D2145" s="71" t="s">
        <v>31</v>
      </c>
      <c r="E2145" s="71" t="s">
        <v>189</v>
      </c>
      <c r="F2145" s="70" t="s">
        <v>31</v>
      </c>
      <c r="G2145" s="71" t="s">
        <v>258</v>
      </c>
      <c r="H2145" s="138"/>
      <c r="J2145" s="76" t="s">
        <v>257</v>
      </c>
      <c r="L2145" s="526">
        <v>87</v>
      </c>
      <c r="M2145" s="136">
        <f t="shared" si="45"/>
        <v>111602.87572000043</v>
      </c>
    </row>
    <row r="2146" spans="1:13">
      <c r="A2146" s="54" t="str">
        <f>D2146&amp;E2146&amp;F2146</f>
        <v>CAPVIATICOSCAPRICHOS</v>
      </c>
      <c r="B2146" t="s">
        <v>1277</v>
      </c>
      <c r="C2146" s="1">
        <v>45826</v>
      </c>
      <c r="D2146" s="71" t="s">
        <v>31</v>
      </c>
      <c r="E2146" s="71" t="s">
        <v>191</v>
      </c>
      <c r="F2146" s="70" t="s">
        <v>33</v>
      </c>
      <c r="G2146" s="71" t="s">
        <v>216</v>
      </c>
      <c r="H2146" s="138"/>
      <c r="J2146" s="76" t="s">
        <v>1425</v>
      </c>
      <c r="L2146" s="331">
        <v>150</v>
      </c>
      <c r="M2146" s="136">
        <f t="shared" si="45"/>
        <v>111452.87572000043</v>
      </c>
    </row>
    <row r="2147" spans="1:13">
      <c r="A2147" s="54" t="str">
        <f>D2147&amp;E2147&amp;F2147</f>
        <v>CAPINSUMOSCAPRICHOS</v>
      </c>
      <c r="B2147" t="s">
        <v>1277</v>
      </c>
      <c r="C2147" s="1">
        <v>45826</v>
      </c>
      <c r="D2147" s="71" t="s">
        <v>31</v>
      </c>
      <c r="E2147" s="71" t="s">
        <v>133</v>
      </c>
      <c r="F2147" s="70" t="s">
        <v>33</v>
      </c>
      <c r="G2147" s="71" t="s">
        <v>216</v>
      </c>
      <c r="H2147" s="138"/>
      <c r="J2147" s="76" t="s">
        <v>362</v>
      </c>
      <c r="L2147" s="331">
        <v>292</v>
      </c>
      <c r="M2147" s="136">
        <f t="shared" si="45"/>
        <v>111160.87572000043</v>
      </c>
    </row>
    <row r="2148" spans="1:13">
      <c r="A2148" s="54" t="str">
        <f t="shared" si="44"/>
        <v/>
      </c>
      <c r="B2148" t="s">
        <v>1277</v>
      </c>
      <c r="C2148" s="1">
        <v>45827</v>
      </c>
      <c r="D2148" s="71"/>
      <c r="H2148" s="138"/>
      <c r="J2148" s="71" t="s">
        <v>260</v>
      </c>
      <c r="K2148" s="325">
        <v>219010.3</v>
      </c>
      <c r="L2148" s="354"/>
      <c r="M2148" s="136">
        <f t="shared" si="45"/>
        <v>330171.17572000041</v>
      </c>
    </row>
    <row r="2149" spans="1:13">
      <c r="A2149" s="54" t="str">
        <f t="shared" si="44"/>
        <v/>
      </c>
      <c r="B2149" t="s">
        <v>1277</v>
      </c>
      <c r="C2149" s="1">
        <v>45827</v>
      </c>
      <c r="D2149" s="71"/>
      <c r="H2149" s="138"/>
      <c r="J2149" s="71" t="s">
        <v>1426</v>
      </c>
      <c r="K2149" s="325">
        <f>11535+7662+8523+13280</f>
        <v>41000</v>
      </c>
      <c r="L2149" s="354"/>
      <c r="M2149" s="136">
        <f t="shared" si="45"/>
        <v>371171.17572000041</v>
      </c>
    </row>
    <row r="2150" spans="1:13">
      <c r="A2150" s="54" t="str">
        <f>D2150&amp;E2150&amp;F2150</f>
        <v>FINANZASCOMISIONES BANCARIASTPV</v>
      </c>
      <c r="B2150" t="s">
        <v>1277</v>
      </c>
      <c r="C2150" s="1">
        <v>45827</v>
      </c>
      <c r="D2150" s="71" t="s">
        <v>23</v>
      </c>
      <c r="E2150" s="71" t="s">
        <v>48</v>
      </c>
      <c r="F2150" s="70" t="s">
        <v>50</v>
      </c>
      <c r="G2150" s="71" t="s">
        <v>216</v>
      </c>
      <c r="H2150" s="138"/>
      <c r="J2150" s="71" t="s">
        <v>217</v>
      </c>
      <c r="L2150" s="326">
        <f>307.32+107.77+1816.91+1327.74+1632.97+6.96+6.96+9.28</f>
        <v>5215.91</v>
      </c>
      <c r="M2150" s="136">
        <f t="shared" si="45"/>
        <v>365955.26572000043</v>
      </c>
    </row>
    <row r="2151" spans="1:13">
      <c r="A2151" s="54" t="str">
        <f t="shared" si="44"/>
        <v/>
      </c>
      <c r="B2151" t="s">
        <v>1277</v>
      </c>
      <c r="C2151" s="1">
        <v>45827</v>
      </c>
      <c r="D2151" s="71"/>
      <c r="F2151" s="70"/>
      <c r="H2151" s="138"/>
      <c r="J2151" s="205" t="s">
        <v>220</v>
      </c>
      <c r="K2151" s="206"/>
      <c r="L2151" s="206">
        <v>80000</v>
      </c>
      <c r="M2151" s="136">
        <f t="shared" si="45"/>
        <v>285955.26572000043</v>
      </c>
    </row>
    <row r="2152" spans="1:13">
      <c r="A2152" s="54" t="str">
        <f t="shared" si="44"/>
        <v/>
      </c>
      <c r="B2152" t="s">
        <v>1277</v>
      </c>
      <c r="C2152" s="1">
        <v>45827</v>
      </c>
      <c r="D2152" s="71"/>
      <c r="F2152" s="70"/>
      <c r="H2152" s="138"/>
      <c r="J2152" s="205" t="s">
        <v>563</v>
      </c>
      <c r="K2152" s="206"/>
      <c r="L2152" s="206">
        <v>200000</v>
      </c>
      <c r="M2152" s="136">
        <f t="shared" si="45"/>
        <v>85955.265720000432</v>
      </c>
    </row>
    <row r="2153" spans="1:13">
      <c r="A2153" s="54" t="str">
        <f>D2153&amp;E2153&amp;F2153</f>
        <v>CAPIMAGEN VISUALIMAGEN VISUAL CAP</v>
      </c>
      <c r="B2153" t="s">
        <v>1277</v>
      </c>
      <c r="C2153" s="1">
        <v>45827</v>
      </c>
      <c r="D2153" s="71" t="s">
        <v>31</v>
      </c>
      <c r="E2153" s="71" t="s">
        <v>127</v>
      </c>
      <c r="F2153" s="70" t="s">
        <v>129</v>
      </c>
      <c r="G2153" s="71" t="s">
        <v>216</v>
      </c>
      <c r="H2153" s="138"/>
      <c r="J2153" s="71" t="s">
        <v>1427</v>
      </c>
      <c r="L2153" s="326">
        <v>3967.2</v>
      </c>
      <c r="M2153" s="136">
        <f t="shared" si="45"/>
        <v>81988.065720000435</v>
      </c>
    </row>
    <row r="2154" spans="1:13">
      <c r="A2154" s="54" t="str">
        <f>D2154&amp;E2154&amp;F2154</f>
        <v>SERVICIOSINSUMOSCADENA DE SUMINISTROS</v>
      </c>
      <c r="B2154" t="s">
        <v>1277</v>
      </c>
      <c r="C2154" s="1">
        <v>45827</v>
      </c>
      <c r="D2154" s="71" t="s">
        <v>21</v>
      </c>
      <c r="E2154" s="71" t="s">
        <v>133</v>
      </c>
      <c r="F2154" s="70" t="s">
        <v>134</v>
      </c>
      <c r="G2154" s="71" t="s">
        <v>216</v>
      </c>
      <c r="H2154" s="138"/>
      <c r="J2154" s="71" t="s">
        <v>1428</v>
      </c>
      <c r="L2154" s="326">
        <v>4174.47</v>
      </c>
      <c r="M2154" s="136">
        <f t="shared" si="45"/>
        <v>77813.595720000434</v>
      </c>
    </row>
    <row r="2155" spans="1:13">
      <c r="A2155" s="54" t="str">
        <f>D2155&amp;E2155&amp;F2155</f>
        <v>SERVICIOSPAQUETERIACT INTERNACIONAL</v>
      </c>
      <c r="B2155" t="s">
        <v>1277</v>
      </c>
      <c r="C2155" s="1">
        <v>45827</v>
      </c>
      <c r="D2155" s="71" t="s">
        <v>21</v>
      </c>
      <c r="E2155" s="71" t="s">
        <v>160</v>
      </c>
      <c r="F2155" s="70" t="s">
        <v>162</v>
      </c>
      <c r="G2155" s="71" t="s">
        <v>216</v>
      </c>
      <c r="H2155" s="138"/>
      <c r="J2155" s="71" t="s">
        <v>275</v>
      </c>
      <c r="L2155" s="326">
        <v>160</v>
      </c>
      <c r="M2155" s="136">
        <f t="shared" si="45"/>
        <v>77653.595720000434</v>
      </c>
    </row>
    <row r="2156" spans="1:13">
      <c r="A2156" s="54" t="str">
        <f>D2156&amp;E2156&amp;F2156</f>
        <v>HRUBERHR</v>
      </c>
      <c r="B2156" t="s">
        <v>1277</v>
      </c>
      <c r="C2156" s="1">
        <v>45827</v>
      </c>
      <c r="D2156" s="71" t="s">
        <v>29</v>
      </c>
      <c r="E2156" s="71" t="s">
        <v>189</v>
      </c>
      <c r="F2156" s="70" t="s">
        <v>29</v>
      </c>
      <c r="G2156" s="71" t="s">
        <v>258</v>
      </c>
      <c r="H2156" s="138"/>
      <c r="J2156" s="76" t="s">
        <v>291</v>
      </c>
      <c r="L2156" s="526">
        <v>220</v>
      </c>
      <c r="M2156" s="136">
        <f>M2155+K2156-L2156</f>
        <v>77433.595720000434</v>
      </c>
    </row>
    <row r="2157" spans="1:13">
      <c r="A2157" s="54" t="str">
        <f>D2157&amp;E2157&amp;F2157</f>
        <v>HRUBERHR</v>
      </c>
      <c r="B2157" t="s">
        <v>1277</v>
      </c>
      <c r="C2157" s="1">
        <v>45827</v>
      </c>
      <c r="D2157" s="71" t="s">
        <v>29</v>
      </c>
      <c r="E2157" s="71" t="s">
        <v>189</v>
      </c>
      <c r="F2157" s="70" t="s">
        <v>29</v>
      </c>
      <c r="G2157" s="71" t="s">
        <v>216</v>
      </c>
      <c r="H2157" s="138"/>
      <c r="J2157" s="76" t="s">
        <v>308</v>
      </c>
      <c r="L2157" s="526">
        <v>130</v>
      </c>
      <c r="M2157" s="136">
        <f t="shared" si="45"/>
        <v>77303.595720000434</v>
      </c>
    </row>
    <row r="2158" spans="1:13">
      <c r="A2158" s="54" t="str">
        <f>D2158&amp;E2158&amp;F2158</f>
        <v>HRUBERHR</v>
      </c>
      <c r="B2158" t="s">
        <v>1277</v>
      </c>
      <c r="C2158" s="1">
        <v>45827</v>
      </c>
      <c r="D2158" s="71" t="s">
        <v>29</v>
      </c>
      <c r="E2158" s="71" t="s">
        <v>189</v>
      </c>
      <c r="F2158" s="70" t="s">
        <v>29</v>
      </c>
      <c r="G2158" s="71" t="s">
        <v>258</v>
      </c>
      <c r="H2158" s="138"/>
      <c r="J2158" s="76" t="s">
        <v>854</v>
      </c>
      <c r="L2158" s="526">
        <v>100</v>
      </c>
      <c r="M2158" s="136">
        <f t="shared" si="45"/>
        <v>77203.595720000434</v>
      </c>
    </row>
    <row r="2159" spans="1:13">
      <c r="A2159" s="54" t="str">
        <f>D2159&amp;E2159&amp;F2159</f>
        <v>HRUBERHR</v>
      </c>
      <c r="B2159" t="s">
        <v>1277</v>
      </c>
      <c r="C2159" s="1">
        <v>45827</v>
      </c>
      <c r="D2159" s="71" t="s">
        <v>29</v>
      </c>
      <c r="E2159" s="71" t="s">
        <v>189</v>
      </c>
      <c r="F2159" s="70" t="s">
        <v>29</v>
      </c>
      <c r="G2159" s="71" t="s">
        <v>258</v>
      </c>
      <c r="H2159" s="138"/>
      <c r="J2159" s="76" t="s">
        <v>249</v>
      </c>
      <c r="L2159" s="526">
        <v>96</v>
      </c>
      <c r="M2159" s="136">
        <f t="shared" si="45"/>
        <v>77107.595720000434</v>
      </c>
    </row>
    <row r="2160" spans="1:13">
      <c r="A2160" s="54" t="str">
        <f>D2160&amp;E2160&amp;F2160</f>
        <v>CAPUBERCAP</v>
      </c>
      <c r="B2160" t="s">
        <v>1277</v>
      </c>
      <c r="C2160" s="1">
        <v>45827</v>
      </c>
      <c r="D2160" s="71" t="s">
        <v>31</v>
      </c>
      <c r="E2160" s="71" t="s">
        <v>189</v>
      </c>
      <c r="F2160" s="70" t="s">
        <v>31</v>
      </c>
      <c r="G2160" s="71" t="s">
        <v>258</v>
      </c>
      <c r="H2160" s="138"/>
      <c r="J2160" s="76" t="s">
        <v>253</v>
      </c>
      <c r="L2160" s="526">
        <v>455</v>
      </c>
      <c r="M2160" s="136">
        <f t="shared" si="45"/>
        <v>76652.595720000434</v>
      </c>
    </row>
    <row r="2161" spans="1:13">
      <c r="A2161" s="54" t="str">
        <f>D2161&amp;E2161&amp;F2161</f>
        <v>CAPINSUMOSCAPRICHOS</v>
      </c>
      <c r="B2161" t="s">
        <v>1277</v>
      </c>
      <c r="C2161" s="1">
        <v>45827</v>
      </c>
      <c r="D2161" s="71" t="s">
        <v>31</v>
      </c>
      <c r="E2161" s="71" t="s">
        <v>133</v>
      </c>
      <c r="F2161" s="70" t="s">
        <v>33</v>
      </c>
      <c r="G2161" s="71" t="s">
        <v>216</v>
      </c>
      <c r="H2161" s="138"/>
      <c r="J2161" s="76" t="s">
        <v>406</v>
      </c>
      <c r="L2161" s="331">
        <v>93</v>
      </c>
      <c r="M2161" s="136">
        <f t="shared" si="45"/>
        <v>76559.595720000434</v>
      </c>
    </row>
    <row r="2162" spans="1:13">
      <c r="A2162" s="54" t="str">
        <f>D2162&amp;E2162&amp;F2162</f>
        <v>CAPUBERCAP</v>
      </c>
      <c r="B2162" t="s">
        <v>1277</v>
      </c>
      <c r="C2162" s="1">
        <v>45827</v>
      </c>
      <c r="D2162" s="71" t="s">
        <v>31</v>
      </c>
      <c r="E2162" s="71" t="s">
        <v>189</v>
      </c>
      <c r="F2162" s="70" t="s">
        <v>31</v>
      </c>
      <c r="G2162" s="71" t="s">
        <v>258</v>
      </c>
      <c r="H2162" s="138"/>
      <c r="J2162" s="76" t="s">
        <v>1429</v>
      </c>
      <c r="L2162" s="526">
        <v>140</v>
      </c>
      <c r="M2162" s="136">
        <f t="shared" si="45"/>
        <v>76419.595720000434</v>
      </c>
    </row>
    <row r="2163" spans="1:13">
      <c r="A2163" s="54" t="str">
        <f>D2163&amp;E2163&amp;F2163</f>
        <v>CAPJMASE5</v>
      </c>
      <c r="B2163" t="s">
        <v>1277</v>
      </c>
      <c r="C2163" s="1">
        <v>45827</v>
      </c>
      <c r="D2163" s="71" t="s">
        <v>31</v>
      </c>
      <c r="E2163" s="71" t="s">
        <v>137</v>
      </c>
      <c r="F2163" s="70" t="s">
        <v>111</v>
      </c>
      <c r="G2163" s="71" t="s">
        <v>258</v>
      </c>
      <c r="H2163" s="138"/>
      <c r="J2163" s="76" t="s">
        <v>1430</v>
      </c>
      <c r="L2163" s="331">
        <v>566</v>
      </c>
      <c r="M2163" s="136">
        <f t="shared" si="45"/>
        <v>75853.595720000434</v>
      </c>
    </row>
    <row r="2164" spans="1:13">
      <c r="A2164" s="54" t="str">
        <f t="shared" si="44"/>
        <v/>
      </c>
      <c r="B2164" t="s">
        <v>1277</v>
      </c>
      <c r="C2164" s="1">
        <v>45828</v>
      </c>
      <c r="D2164" s="71"/>
      <c r="F2164" s="70"/>
      <c r="H2164" s="138"/>
      <c r="J2164" s="71" t="s">
        <v>260</v>
      </c>
      <c r="K2164" s="325">
        <v>241744.55</v>
      </c>
      <c r="L2164" s="354"/>
      <c r="M2164" s="136">
        <f t="shared" si="45"/>
        <v>317598.14572000044</v>
      </c>
    </row>
    <row r="2165" spans="1:13">
      <c r="A2165" s="54" t="str">
        <f>D2165&amp;E2165&amp;F2165</f>
        <v>FINANZASCOMISIONES BANCARIASTPV</v>
      </c>
      <c r="B2165" t="s">
        <v>1277</v>
      </c>
      <c r="C2165" s="1">
        <v>45828</v>
      </c>
      <c r="D2165" s="71" t="s">
        <v>23</v>
      </c>
      <c r="E2165" s="71" t="s">
        <v>48</v>
      </c>
      <c r="F2165" s="70" t="s">
        <v>50</v>
      </c>
      <c r="G2165" s="71" t="s">
        <v>216</v>
      </c>
      <c r="H2165" s="138"/>
      <c r="J2165" s="71" t="s">
        <v>217</v>
      </c>
      <c r="L2165" s="321">
        <f>365.81+214.94+74.75+2079.89+1482.99+851.1+3.48+34.8</f>
        <v>5107.76</v>
      </c>
      <c r="M2165" s="136">
        <f t="shared" si="45"/>
        <v>312490.38572000043</v>
      </c>
    </row>
    <row r="2166" spans="1:13">
      <c r="A2166" s="54" t="str">
        <f t="shared" si="44"/>
        <v/>
      </c>
      <c r="B2166" t="s">
        <v>1277</v>
      </c>
      <c r="C2166" s="1">
        <v>45828</v>
      </c>
      <c r="D2166" s="71"/>
      <c r="F2166" s="70"/>
      <c r="H2166" s="138"/>
      <c r="J2166" s="205" t="s">
        <v>220</v>
      </c>
      <c r="K2166" s="206"/>
      <c r="L2166" s="206"/>
      <c r="M2166" s="136">
        <f t="shared" si="45"/>
        <v>312490.38572000043</v>
      </c>
    </row>
    <row r="2167" spans="1:13">
      <c r="A2167" s="54" t="str">
        <f t="shared" si="44"/>
        <v/>
      </c>
      <c r="B2167" t="s">
        <v>1277</v>
      </c>
      <c r="C2167" s="1">
        <v>45828</v>
      </c>
      <c r="D2167" s="71"/>
      <c r="F2167" s="70"/>
      <c r="H2167" s="138"/>
      <c r="J2167" s="205" t="s">
        <v>563</v>
      </c>
      <c r="K2167" s="206"/>
      <c r="L2167" s="206">
        <v>100000</v>
      </c>
      <c r="M2167" s="136">
        <f t="shared" si="45"/>
        <v>212490.38572000043</v>
      </c>
    </row>
    <row r="2168" spans="1:13">
      <c r="A2168" s="54" t="str">
        <f>D2168&amp;E2168&amp;F2168</f>
        <v>SGECUOTAS Y SUSCRIPCIONESFROGMI</v>
      </c>
      <c r="B2168" t="s">
        <v>1277</v>
      </c>
      <c r="C2168" s="1">
        <v>45828</v>
      </c>
      <c r="D2168" s="71" t="s">
        <v>39</v>
      </c>
      <c r="E2168" s="71" t="s">
        <v>51</v>
      </c>
      <c r="F2168" s="70" t="s">
        <v>57</v>
      </c>
      <c r="G2168" s="71" t="s">
        <v>216</v>
      </c>
      <c r="H2168" s="138"/>
      <c r="J2168" s="71" t="s">
        <v>1431</v>
      </c>
      <c r="L2168" s="326">
        <v>38680.339999999997</v>
      </c>
      <c r="M2168" s="136">
        <f t="shared" si="45"/>
        <v>173810.04572000043</v>
      </c>
    </row>
    <row r="2169" spans="1:13">
      <c r="A2169" s="54" t="str">
        <f t="shared" si="44"/>
        <v>COMBUSTIBLE</v>
      </c>
      <c r="B2169" t="s">
        <v>1277</v>
      </c>
      <c r="C2169" s="1">
        <v>45828</v>
      </c>
      <c r="D2169" s="71"/>
      <c r="E2169" s="71" t="s">
        <v>32</v>
      </c>
      <c r="F2169" s="70"/>
      <c r="G2169" s="71" t="s">
        <v>216</v>
      </c>
      <c r="H2169" s="138"/>
      <c r="J2169" s="71" t="s">
        <v>440</v>
      </c>
      <c r="L2169" s="326">
        <v>35774.800000000003</v>
      </c>
      <c r="M2169" s="136">
        <f t="shared" si="45"/>
        <v>138035.24572000041</v>
      </c>
    </row>
    <row r="2170" spans="1:13">
      <c r="A2170" s="54" t="str">
        <f>D2170&amp;E2170&amp;F2170</f>
        <v>ELIVIATICOSL1</v>
      </c>
      <c r="B2170" t="s">
        <v>1277</v>
      </c>
      <c r="C2170" s="1">
        <v>45828</v>
      </c>
      <c r="D2170" s="71" t="s">
        <v>130</v>
      </c>
      <c r="E2170" s="71" t="s">
        <v>191</v>
      </c>
      <c r="F2170" s="70" t="s">
        <v>136</v>
      </c>
      <c r="G2170" s="71" t="s">
        <v>258</v>
      </c>
      <c r="H2170" s="138"/>
      <c r="J2170" s="71" t="s">
        <v>690</v>
      </c>
      <c r="L2170" s="326">
        <v>1000</v>
      </c>
      <c r="M2170" s="136">
        <f t="shared" si="45"/>
        <v>137035.24572000041</v>
      </c>
    </row>
    <row r="2171" spans="1:13">
      <c r="A2171" s="54" t="str">
        <f t="shared" si="44"/>
        <v/>
      </c>
      <c r="B2171" t="s">
        <v>1277</v>
      </c>
      <c r="C2171" s="1">
        <v>45828</v>
      </c>
      <c r="D2171" s="71"/>
      <c r="F2171" s="70"/>
      <c r="G2171" s="71" t="s">
        <v>216</v>
      </c>
      <c r="H2171" s="138"/>
      <c r="J2171" s="71" t="s">
        <v>1207</v>
      </c>
      <c r="L2171" s="326">
        <v>400</v>
      </c>
      <c r="M2171" s="136">
        <f t="shared" si="45"/>
        <v>136635.24572000041</v>
      </c>
    </row>
    <row r="2172" spans="1:13">
      <c r="A2172" s="54" t="str">
        <f>D2172&amp;E2172&amp;F2172</f>
        <v>HRPUBLICIDADBASEBALL</v>
      </c>
      <c r="B2172" t="s">
        <v>1277</v>
      </c>
      <c r="C2172" s="1">
        <v>45828</v>
      </c>
      <c r="D2172" s="71" t="s">
        <v>29</v>
      </c>
      <c r="E2172" s="71" t="s">
        <v>164</v>
      </c>
      <c r="F2172" s="70" t="s">
        <v>165</v>
      </c>
      <c r="G2172" s="71" t="s">
        <v>216</v>
      </c>
      <c r="H2172" s="138"/>
      <c r="J2172" s="71" t="s">
        <v>1432</v>
      </c>
      <c r="L2172" s="326">
        <v>25000</v>
      </c>
      <c r="M2172" s="136">
        <f t="shared" si="45"/>
        <v>111635.24572000041</v>
      </c>
    </row>
    <row r="2173" spans="1:13">
      <c r="A2173" s="54" t="str">
        <f>D2173&amp;E2173&amp;F2173</f>
        <v>SERVICIOSMTTO DE EDIFICIOMANTENIMIENTO</v>
      </c>
      <c r="B2173" t="s">
        <v>1277</v>
      </c>
      <c r="C2173" s="1">
        <v>45828</v>
      </c>
      <c r="D2173" s="71" t="s">
        <v>21</v>
      </c>
      <c r="E2173" s="71" t="s">
        <v>142</v>
      </c>
      <c r="F2173" s="70" t="s">
        <v>35</v>
      </c>
      <c r="G2173" s="71" t="s">
        <v>216</v>
      </c>
      <c r="H2173" s="138"/>
      <c r="J2173" s="71" t="s">
        <v>1433</v>
      </c>
      <c r="L2173" s="321">
        <v>1200</v>
      </c>
      <c r="M2173" s="136">
        <f t="shared" si="45"/>
        <v>110435.24572000041</v>
      </c>
    </row>
    <row r="2174" spans="1:13">
      <c r="A2174" s="54" t="str">
        <f>D2174&amp;E2174&amp;F2174</f>
        <v>SERVICIOSINSUMOSCADENA DE SUMINISTROS</v>
      </c>
      <c r="B2174" t="s">
        <v>1277</v>
      </c>
      <c r="C2174" s="1">
        <v>45828</v>
      </c>
      <c r="D2174" s="71" t="s">
        <v>21</v>
      </c>
      <c r="E2174" s="71" t="s">
        <v>133</v>
      </c>
      <c r="F2174" s="70" t="s">
        <v>134</v>
      </c>
      <c r="G2174" s="71" t="s">
        <v>258</v>
      </c>
      <c r="H2174" s="138"/>
      <c r="J2174" s="71" t="s">
        <v>1434</v>
      </c>
      <c r="L2174" s="326">
        <v>5822</v>
      </c>
      <c r="M2174" s="136">
        <f t="shared" si="45"/>
        <v>104613.24572000041</v>
      </c>
    </row>
    <row r="2175" spans="1:13">
      <c r="A2175" s="54" t="str">
        <f>D2175&amp;E2175&amp;F2175</f>
        <v>SERVICIOSINSUMOSCADENA DE SUMINISTROS</v>
      </c>
      <c r="B2175" t="s">
        <v>1277</v>
      </c>
      <c r="C2175" s="1">
        <v>45828</v>
      </c>
      <c r="D2175" s="71" t="s">
        <v>21</v>
      </c>
      <c r="E2175" s="71" t="s">
        <v>133</v>
      </c>
      <c r="F2175" s="70" t="s">
        <v>134</v>
      </c>
      <c r="G2175" s="71" t="s">
        <v>258</v>
      </c>
      <c r="H2175" s="138"/>
      <c r="J2175" s="71" t="s">
        <v>1435</v>
      </c>
      <c r="L2175" s="326">
        <v>14601.6</v>
      </c>
      <c r="M2175" s="136">
        <f t="shared" si="45"/>
        <v>90011.645720000408</v>
      </c>
    </row>
    <row r="2176" spans="1:13">
      <c r="A2176" s="54" t="str">
        <f>D2176&amp;E2176&amp;F2176</f>
        <v>FINANZASRECOLECCION DE BASURACEDIS</v>
      </c>
      <c r="B2176" t="s">
        <v>1277</v>
      </c>
      <c r="C2176" s="1">
        <v>45828</v>
      </c>
      <c r="D2176" s="71" t="s">
        <v>23</v>
      </c>
      <c r="E2176" s="71" t="s">
        <v>166</v>
      </c>
      <c r="F2176" s="70" t="s">
        <v>28</v>
      </c>
      <c r="G2176" s="71" t="s">
        <v>258</v>
      </c>
      <c r="H2176" s="138"/>
      <c r="J2176" s="71" t="s">
        <v>1436</v>
      </c>
      <c r="L2176" s="326">
        <v>8759.16</v>
      </c>
      <c r="M2176" s="136">
        <f t="shared" si="45"/>
        <v>81252.485720000404</v>
      </c>
    </row>
    <row r="2177" spans="1:13">
      <c r="A2177" s="54" t="str">
        <f>D2177&amp;E2177&amp;F2177</f>
        <v>DEMTTO EQ DE TRANSPORTEDIRECCION</v>
      </c>
      <c r="B2177" t="s">
        <v>1277</v>
      </c>
      <c r="C2177" s="1">
        <v>45828</v>
      </c>
      <c r="D2177" s="71" t="s">
        <v>41</v>
      </c>
      <c r="E2177" s="71" t="s">
        <v>144</v>
      </c>
      <c r="F2177" s="70" t="s">
        <v>42</v>
      </c>
      <c r="G2177" s="71" t="s">
        <v>258</v>
      </c>
      <c r="H2177" s="138"/>
      <c r="J2177" s="71" t="s">
        <v>1437</v>
      </c>
      <c r="L2177" s="326">
        <v>765.6</v>
      </c>
      <c r="M2177" s="136">
        <f t="shared" si="45"/>
        <v>80486.885720000399</v>
      </c>
    </row>
    <row r="2178" spans="1:13">
      <c r="A2178" s="54" t="str">
        <f>D2178&amp;E2178&amp;F2178</f>
        <v>HRENERGIA ELECTRICAA12</v>
      </c>
      <c r="B2178" t="s">
        <v>1277</v>
      </c>
      <c r="C2178" s="1">
        <v>45828</v>
      </c>
      <c r="D2178" s="71" t="s">
        <v>29</v>
      </c>
      <c r="E2178" s="71" t="s">
        <v>87</v>
      </c>
      <c r="F2178" s="70" t="s">
        <v>98</v>
      </c>
      <c r="G2178" s="71" t="s">
        <v>216</v>
      </c>
      <c r="H2178" s="138"/>
      <c r="J2178" s="71" t="s">
        <v>436</v>
      </c>
      <c r="L2178" s="326">
        <v>17247</v>
      </c>
      <c r="M2178" s="136">
        <f t="shared" si="45"/>
        <v>63239.885720000399</v>
      </c>
    </row>
    <row r="2179" spans="1:13">
      <c r="A2179" s="54" t="str">
        <f>D2179&amp;E2179&amp;F2179</f>
        <v>HRENERGIA ELECTRICAA15</v>
      </c>
      <c r="B2179" t="s">
        <v>1277</v>
      </c>
      <c r="C2179" s="1">
        <v>45828</v>
      </c>
      <c r="D2179" s="71" t="s">
        <v>29</v>
      </c>
      <c r="E2179" s="71" t="s">
        <v>87</v>
      </c>
      <c r="F2179" s="70" t="s">
        <v>100</v>
      </c>
      <c r="G2179" s="71" t="s">
        <v>216</v>
      </c>
      <c r="H2179" s="138"/>
      <c r="J2179" s="71" t="s">
        <v>377</v>
      </c>
      <c r="L2179" s="326">
        <v>10323</v>
      </c>
      <c r="M2179" s="136">
        <f t="shared" si="45"/>
        <v>52916.885720000399</v>
      </c>
    </row>
    <row r="2180" spans="1:13">
      <c r="A2180" s="54" t="str">
        <f>D2180&amp;E2180&amp;F2180</f>
        <v>HRENERGIA ELECTRICAA24</v>
      </c>
      <c r="B2180" t="s">
        <v>1277</v>
      </c>
      <c r="C2180" s="1">
        <v>45828</v>
      </c>
      <c r="D2180" s="71" t="s">
        <v>29</v>
      </c>
      <c r="E2180" s="71" t="s">
        <v>87</v>
      </c>
      <c r="F2180" s="70" t="s">
        <v>106</v>
      </c>
      <c r="G2180" s="71" t="s">
        <v>258</v>
      </c>
      <c r="H2180" s="138"/>
      <c r="J2180" s="71" t="s">
        <v>930</v>
      </c>
      <c r="L2180" s="326">
        <v>12651</v>
      </c>
      <c r="M2180" s="136">
        <f t="shared" si="45"/>
        <v>40265.885720000399</v>
      </c>
    </row>
    <row r="2181" spans="1:13">
      <c r="A2181" s="54" t="str">
        <f>D2181&amp;E2181&amp;F2181</f>
        <v>CAPENERGIA ELECTRICAE5</v>
      </c>
      <c r="B2181" t="s">
        <v>1277</v>
      </c>
      <c r="C2181" s="1">
        <v>45828</v>
      </c>
      <c r="D2181" s="71" t="s">
        <v>31</v>
      </c>
      <c r="E2181" s="71" t="s">
        <v>87</v>
      </c>
      <c r="F2181" s="70" t="s">
        <v>111</v>
      </c>
      <c r="G2181" s="71" t="s">
        <v>216</v>
      </c>
      <c r="H2181" s="138"/>
      <c r="J2181" s="71" t="s">
        <v>1438</v>
      </c>
      <c r="L2181" s="326">
        <v>18166</v>
      </c>
      <c r="M2181" s="136">
        <f t="shared" si="45"/>
        <v>22099.885720000399</v>
      </c>
    </row>
    <row r="2182" spans="1:13">
      <c r="A2182" s="54" t="str">
        <f>D2182&amp;E2182&amp;F2182</f>
        <v>FINANZASENERGIA ELECTRICACEDIS</v>
      </c>
      <c r="B2182" t="s">
        <v>1277</v>
      </c>
      <c r="C2182" s="1">
        <v>45828</v>
      </c>
      <c r="D2182" s="71" t="s">
        <v>23</v>
      </c>
      <c r="E2182" s="71" t="s">
        <v>87</v>
      </c>
      <c r="F2182" s="70" t="s">
        <v>28</v>
      </c>
      <c r="G2182" s="71" t="s">
        <v>216</v>
      </c>
      <c r="H2182" s="138"/>
      <c r="J2182" s="71" t="s">
        <v>415</v>
      </c>
      <c r="L2182" s="326">
        <v>158</v>
      </c>
      <c r="M2182" s="136">
        <f t="shared" si="45"/>
        <v>21941.885720000399</v>
      </c>
    </row>
    <row r="2183" spans="1:13">
      <c r="A2183" s="54" t="str">
        <f>D2183&amp;E2183&amp;F2183</f>
        <v>CAPMKTMKT CAP</v>
      </c>
      <c r="B2183" t="s">
        <v>1277</v>
      </c>
      <c r="C2183" s="1">
        <v>45828</v>
      </c>
      <c r="D2183" s="71" t="s">
        <v>31</v>
      </c>
      <c r="E2183" s="71" t="s">
        <v>19</v>
      </c>
      <c r="F2183" s="70" t="s">
        <v>139</v>
      </c>
      <c r="G2183" s="71" t="s">
        <v>258</v>
      </c>
      <c r="H2183" s="138"/>
      <c r="J2183" s="71" t="s">
        <v>1439</v>
      </c>
      <c r="L2183" s="326">
        <v>3566.42</v>
      </c>
      <c r="M2183" s="136">
        <f t="shared" si="45"/>
        <v>18375.4657200004</v>
      </c>
    </row>
    <row r="2184" spans="1:13">
      <c r="A2184" s="54" t="str">
        <f>D2184&amp;E2184&amp;F2184</f>
        <v>SERVICIOSFONDO Y REPOSICIONMANTENIMIENTO</v>
      </c>
      <c r="B2184" t="s">
        <v>1277</v>
      </c>
      <c r="C2184" s="1">
        <v>45828</v>
      </c>
      <c r="D2184" s="71" t="s">
        <v>21</v>
      </c>
      <c r="E2184" s="71" t="s">
        <v>120</v>
      </c>
      <c r="F2184" s="70" t="s">
        <v>35</v>
      </c>
      <c r="G2184" s="71" t="s">
        <v>258</v>
      </c>
      <c r="H2184" s="138"/>
      <c r="J2184" s="71" t="s">
        <v>1440</v>
      </c>
      <c r="L2184" s="326">
        <v>5000</v>
      </c>
      <c r="M2184" s="136">
        <f t="shared" si="45"/>
        <v>13375.4657200004</v>
      </c>
    </row>
    <row r="2185" spans="1:13">
      <c r="A2185" s="54" t="str">
        <f>D2185&amp;E2185&amp;F2185</f>
        <v>SERVICIOSMTTO EQ DE TRANSPORTESERVICIOS</v>
      </c>
      <c r="B2185" t="s">
        <v>1277</v>
      </c>
      <c r="C2185" s="1">
        <v>45828</v>
      </c>
      <c r="D2185" s="71" t="s">
        <v>21</v>
      </c>
      <c r="E2185" s="71" t="s">
        <v>144</v>
      </c>
      <c r="F2185" s="70" t="s">
        <v>21</v>
      </c>
      <c r="G2185" s="71" t="s">
        <v>258</v>
      </c>
      <c r="H2185" s="138"/>
      <c r="J2185" s="71" t="s">
        <v>1441</v>
      </c>
      <c r="L2185" s="326">
        <v>150</v>
      </c>
      <c r="M2185" s="136">
        <f t="shared" si="45"/>
        <v>13225.4657200004</v>
      </c>
    </row>
    <row r="2186" spans="1:13">
      <c r="A2186" s="54" t="str">
        <f>D2186&amp;E2186&amp;F2186</f>
        <v>FINANZASVIATICOSFINANZAS</v>
      </c>
      <c r="B2186" t="s">
        <v>1277</v>
      </c>
      <c r="C2186" s="1">
        <v>45828</v>
      </c>
      <c r="D2186" s="71" t="s">
        <v>23</v>
      </c>
      <c r="E2186" s="71" t="s">
        <v>191</v>
      </c>
      <c r="F2186" s="70" t="s">
        <v>23</v>
      </c>
      <c r="G2186" s="71" t="s">
        <v>216</v>
      </c>
      <c r="H2186" s="138"/>
      <c r="J2186" s="71" t="s">
        <v>581</v>
      </c>
      <c r="L2186" s="326">
        <v>700</v>
      </c>
      <c r="M2186" s="136">
        <f t="shared" si="45"/>
        <v>12525.4657200004</v>
      </c>
    </row>
    <row r="2187" spans="1:13">
      <c r="A2187" s="54" t="str">
        <f>D2187&amp;E2187&amp;F2187</f>
        <v>SERVICIOSINSUMOSCADENA DE SUMINISTROS</v>
      </c>
      <c r="B2187" t="s">
        <v>1277</v>
      </c>
      <c r="C2187" s="1">
        <v>45828</v>
      </c>
      <c r="D2187" s="71" t="s">
        <v>21</v>
      </c>
      <c r="E2187" s="71" t="s">
        <v>133</v>
      </c>
      <c r="F2187" s="70" t="s">
        <v>134</v>
      </c>
      <c r="G2187" s="71" t="s">
        <v>258</v>
      </c>
      <c r="H2187" s="138"/>
      <c r="J2187" s="71" t="s">
        <v>1442</v>
      </c>
      <c r="L2187" s="326">
        <v>9135</v>
      </c>
      <c r="M2187" s="136">
        <f t="shared" si="45"/>
        <v>3390.4657200004003</v>
      </c>
    </row>
    <row r="2188" spans="1:13">
      <c r="A2188" s="54" t="str">
        <f>D2188&amp;E2188&amp;F2188</f>
        <v>HRFONDO Y REPOSICIONHR</v>
      </c>
      <c r="B2188" t="s">
        <v>1277</v>
      </c>
      <c r="C2188" s="1">
        <v>45828</v>
      </c>
      <c r="D2188" s="71" t="s">
        <v>29</v>
      </c>
      <c r="E2188" s="71" t="s">
        <v>120</v>
      </c>
      <c r="F2188" s="70" t="s">
        <v>29</v>
      </c>
      <c r="G2188" s="71" t="s">
        <v>216</v>
      </c>
      <c r="H2188" s="138"/>
      <c r="J2188" s="71" t="s">
        <v>553</v>
      </c>
      <c r="L2188" s="326">
        <v>2817</v>
      </c>
      <c r="M2188" s="136">
        <f t="shared" si="45"/>
        <v>573.46572000040032</v>
      </c>
    </row>
    <row r="2189" spans="1:13">
      <c r="A2189" s="54" t="str">
        <f>D2189&amp;E2189&amp;F2189</f>
        <v>HRFONDO Y REPOSICIONHR</v>
      </c>
      <c r="B2189" t="s">
        <v>1277</v>
      </c>
      <c r="C2189" s="1">
        <v>45828</v>
      </c>
      <c r="D2189" s="71" t="s">
        <v>29</v>
      </c>
      <c r="E2189" s="71" t="s">
        <v>120</v>
      </c>
      <c r="F2189" s="70" t="s">
        <v>29</v>
      </c>
      <c r="G2189" s="71" t="s">
        <v>216</v>
      </c>
      <c r="H2189" s="138"/>
      <c r="J2189" s="76" t="s">
        <v>1443</v>
      </c>
      <c r="L2189" s="331">
        <v>50</v>
      </c>
      <c r="M2189" s="136">
        <f t="shared" si="45"/>
        <v>523.46572000040032</v>
      </c>
    </row>
    <row r="2190" spans="1:13">
      <c r="A2190" s="54" t="str">
        <f>D2190&amp;E2190&amp;F2190</f>
        <v>HRNOMINA SUCURSALA3</v>
      </c>
      <c r="B2190" t="s">
        <v>1277</v>
      </c>
      <c r="C2190" s="1">
        <v>45828</v>
      </c>
      <c r="D2190" s="71" t="s">
        <v>29</v>
      </c>
      <c r="E2190" s="71" t="s">
        <v>154</v>
      </c>
      <c r="F2190" s="70" t="s">
        <v>90</v>
      </c>
      <c r="G2190" s="71" t="s">
        <v>216</v>
      </c>
      <c r="H2190" s="138"/>
      <c r="J2190" s="76" t="s">
        <v>1224</v>
      </c>
      <c r="L2190" s="331">
        <v>110</v>
      </c>
      <c r="M2190" s="136">
        <f t="shared" si="45"/>
        <v>413.46572000040032</v>
      </c>
    </row>
    <row r="2191" spans="1:13">
      <c r="A2191" s="54" t="str">
        <f>D2191&amp;E2191&amp;F2191</f>
        <v>HRUBERHR</v>
      </c>
      <c r="B2191" t="s">
        <v>1277</v>
      </c>
      <c r="C2191" s="1">
        <v>45828</v>
      </c>
      <c r="D2191" s="71" t="s">
        <v>29</v>
      </c>
      <c r="E2191" s="71" t="s">
        <v>189</v>
      </c>
      <c r="F2191" s="70" t="s">
        <v>29</v>
      </c>
      <c r="G2191" s="71" t="s">
        <v>258</v>
      </c>
      <c r="H2191" s="138"/>
      <c r="J2191" s="76" t="s">
        <v>291</v>
      </c>
      <c r="L2191" s="526">
        <v>97</v>
      </c>
      <c r="M2191" s="136">
        <f t="shared" si="45"/>
        <v>316.46572000040032</v>
      </c>
    </row>
    <row r="2192" spans="1:13">
      <c r="A2192" s="54" t="str">
        <f>D2192&amp;E2192&amp;F2192</f>
        <v>SERVICIOSMTTO DE EDIFICIOMANTENIMIENTO</v>
      </c>
      <c r="B2192" t="s">
        <v>1277</v>
      </c>
      <c r="C2192" s="1">
        <v>45828</v>
      </c>
      <c r="D2192" s="71" t="s">
        <v>21</v>
      </c>
      <c r="E2192" s="71" t="s">
        <v>142</v>
      </c>
      <c r="F2192" s="70" t="s">
        <v>35</v>
      </c>
      <c r="G2192" s="71" t="s">
        <v>216</v>
      </c>
      <c r="H2192" s="138"/>
      <c r="J2192" s="76" t="s">
        <v>1444</v>
      </c>
      <c r="L2192" s="332">
        <v>2800</v>
      </c>
      <c r="M2192" s="136">
        <f t="shared" si="45"/>
        <v>-2483.5342799995997</v>
      </c>
    </row>
    <row r="2193" spans="1:13">
      <c r="A2193" s="54" t="str">
        <f>D2193&amp;E2193&amp;F2193</f>
        <v>SERVICIOSMTTO DE EDIFICIOMANTENIMIENTO</v>
      </c>
      <c r="B2193" t="s">
        <v>1277</v>
      </c>
      <c r="C2193" s="1">
        <v>45828</v>
      </c>
      <c r="D2193" s="71" t="s">
        <v>21</v>
      </c>
      <c r="E2193" s="71" t="s">
        <v>142</v>
      </c>
      <c r="F2193" s="70" t="s">
        <v>35</v>
      </c>
      <c r="G2193" s="71" t="s">
        <v>216</v>
      </c>
      <c r="H2193" s="138"/>
      <c r="J2193" s="76" t="s">
        <v>1445</v>
      </c>
      <c r="L2193" s="332">
        <v>377</v>
      </c>
      <c r="M2193" s="136">
        <f t="shared" si="45"/>
        <v>-2860.5342799995997</v>
      </c>
    </row>
    <row r="2194" spans="1:13">
      <c r="A2194" s="54" t="str">
        <f>D2194&amp;E2194&amp;F2194</f>
        <v>HRUBERHR</v>
      </c>
      <c r="B2194" t="s">
        <v>1277</v>
      </c>
      <c r="C2194" s="1">
        <v>45828</v>
      </c>
      <c r="D2194" s="71" t="s">
        <v>29</v>
      </c>
      <c r="E2194" s="71" t="s">
        <v>189</v>
      </c>
      <c r="F2194" s="70" t="s">
        <v>29</v>
      </c>
      <c r="G2194" s="71" t="s">
        <v>258</v>
      </c>
      <c r="H2194" s="138"/>
      <c r="J2194" s="76" t="s">
        <v>802</v>
      </c>
      <c r="L2194" s="526">
        <v>110</v>
      </c>
      <c r="M2194" s="136">
        <f t="shared" si="45"/>
        <v>-2970.5342799995997</v>
      </c>
    </row>
    <row r="2195" spans="1:13">
      <c r="A2195" s="54" t="str">
        <f>D2195&amp;E2195&amp;F2195</f>
        <v>HRJMASA14</v>
      </c>
      <c r="B2195" t="s">
        <v>1277</v>
      </c>
      <c r="C2195" s="1">
        <v>45828</v>
      </c>
      <c r="D2195" s="71" t="s">
        <v>29</v>
      </c>
      <c r="E2195" s="71" t="s">
        <v>137</v>
      </c>
      <c r="F2195" s="70" t="s">
        <v>99</v>
      </c>
      <c r="G2195" s="71" t="s">
        <v>216</v>
      </c>
      <c r="H2195" s="138"/>
      <c r="J2195" s="76" t="s">
        <v>785</v>
      </c>
      <c r="L2195" s="331">
        <v>1376</v>
      </c>
      <c r="M2195" s="136">
        <f t="shared" si="45"/>
        <v>-4346.5342799995997</v>
      </c>
    </row>
    <row r="2196" spans="1:13">
      <c r="A2196" s="54" t="str">
        <f>D2196&amp;E2196&amp;F2196</f>
        <v>HRUBERHR</v>
      </c>
      <c r="B2196" t="s">
        <v>1277</v>
      </c>
      <c r="C2196" s="1">
        <v>45828</v>
      </c>
      <c r="D2196" s="71" t="s">
        <v>29</v>
      </c>
      <c r="E2196" s="71" t="s">
        <v>189</v>
      </c>
      <c r="F2196" s="70" t="s">
        <v>29</v>
      </c>
      <c r="G2196" s="71" t="s">
        <v>258</v>
      </c>
      <c r="H2196" s="138"/>
      <c r="J2196" s="76" t="s">
        <v>1446</v>
      </c>
      <c r="L2196" s="526">
        <v>182</v>
      </c>
      <c r="M2196" s="136">
        <f t="shared" si="45"/>
        <v>-4528.5342799995997</v>
      </c>
    </row>
    <row r="2197" spans="1:13">
      <c r="A2197" s="54" t="str">
        <f>D2197&amp;E2197&amp;F2197</f>
        <v>HRINSUMOSHR</v>
      </c>
      <c r="B2197" t="s">
        <v>1277</v>
      </c>
      <c r="C2197" s="1">
        <v>45828</v>
      </c>
      <c r="D2197" s="71" t="s">
        <v>29</v>
      </c>
      <c r="E2197" s="71" t="s">
        <v>133</v>
      </c>
      <c r="F2197" s="70" t="s">
        <v>29</v>
      </c>
      <c r="G2197" s="71" t="s">
        <v>216</v>
      </c>
      <c r="H2197" s="138"/>
      <c r="J2197" s="76" t="s">
        <v>1447</v>
      </c>
      <c r="L2197" s="331">
        <v>55</v>
      </c>
      <c r="M2197" s="136">
        <f t="shared" si="45"/>
        <v>-4583.5342799995997</v>
      </c>
    </row>
    <row r="2198" spans="1:13">
      <c r="A2198" s="54" t="str">
        <f>D2198&amp;E2198&amp;F2198</f>
        <v>CAPUBERCAP</v>
      </c>
      <c r="B2198" t="s">
        <v>1277</v>
      </c>
      <c r="C2198" s="1">
        <v>45828</v>
      </c>
      <c r="D2198" s="71" t="s">
        <v>31</v>
      </c>
      <c r="E2198" s="71" t="s">
        <v>189</v>
      </c>
      <c r="F2198" s="70" t="s">
        <v>31</v>
      </c>
      <c r="G2198" s="71" t="s">
        <v>258</v>
      </c>
      <c r="H2198" s="138"/>
      <c r="J2198" s="76" t="s">
        <v>253</v>
      </c>
      <c r="L2198" s="526">
        <v>360</v>
      </c>
      <c r="M2198" s="136">
        <f t="shared" si="45"/>
        <v>-4943.5342799995997</v>
      </c>
    </row>
    <row r="2199" spans="1:13">
      <c r="A2199" s="54" t="str">
        <f>D2199&amp;E2199&amp;F2199</f>
        <v>CAPNOMINA SUCURSALE4</v>
      </c>
      <c r="B2199" t="s">
        <v>1277</v>
      </c>
      <c r="C2199" s="1">
        <v>45828</v>
      </c>
      <c r="D2199" s="71" t="s">
        <v>31</v>
      </c>
      <c r="E2199" s="71" t="s">
        <v>154</v>
      </c>
      <c r="F2199" s="70" t="s">
        <v>110</v>
      </c>
      <c r="G2199" s="71" t="s">
        <v>216</v>
      </c>
      <c r="H2199" s="138"/>
      <c r="J2199" s="76" t="s">
        <v>254</v>
      </c>
      <c r="L2199" s="331">
        <v>5043</v>
      </c>
      <c r="M2199" s="136">
        <f t="shared" si="45"/>
        <v>-9986.5342799995997</v>
      </c>
    </row>
    <row r="2200" spans="1:13">
      <c r="A2200" s="54" t="str">
        <f>D2200&amp;E2200&amp;F2200</f>
        <v>CAPINSUMOSCAPRICHOS</v>
      </c>
      <c r="B2200" t="s">
        <v>1277</v>
      </c>
      <c r="C2200" s="1">
        <v>45828</v>
      </c>
      <c r="D2200" s="71" t="s">
        <v>31</v>
      </c>
      <c r="E2200" s="71" t="s">
        <v>133</v>
      </c>
      <c r="F2200" s="70" t="s">
        <v>33</v>
      </c>
      <c r="G2200" s="71" t="s">
        <v>216</v>
      </c>
      <c r="H2200" s="138"/>
      <c r="J2200" s="76" t="s">
        <v>1448</v>
      </c>
      <c r="L2200" s="331">
        <v>60</v>
      </c>
      <c r="M2200" s="136">
        <f>M2199+K2200-L2200</f>
        <v>-10046.5342799996</v>
      </c>
    </row>
    <row r="2201" spans="1:13">
      <c r="A2201" s="54" t="str">
        <f>D2201&amp;E2201&amp;F2201</f>
        <v>CAPFONDO Y REPOSICIONCAPRICHOS</v>
      </c>
      <c r="B2201" t="s">
        <v>1277</v>
      </c>
      <c r="C2201" s="1">
        <v>45828</v>
      </c>
      <c r="D2201" s="71" t="s">
        <v>31</v>
      </c>
      <c r="E2201" s="71" t="s">
        <v>120</v>
      </c>
      <c r="F2201" s="70" t="s">
        <v>33</v>
      </c>
      <c r="G2201" s="71" t="s">
        <v>216</v>
      </c>
      <c r="H2201" s="138"/>
      <c r="J2201" s="76" t="s">
        <v>1425</v>
      </c>
      <c r="L2201" s="331">
        <v>130</v>
      </c>
      <c r="M2201" s="136">
        <f>M2200+K2201-L2201</f>
        <v>-10176.5342799996</v>
      </c>
    </row>
    <row r="2202" spans="1:13">
      <c r="A2202" s="54" t="str">
        <f>D2202&amp;E2202&amp;F2202</f>
        <v>CAPFUMIGACIONCAPRICHOS</v>
      </c>
      <c r="B2202" t="s">
        <v>1277</v>
      </c>
      <c r="C2202" s="1">
        <v>45828</v>
      </c>
      <c r="D2202" s="71" t="s">
        <v>31</v>
      </c>
      <c r="E2202" s="71" t="s">
        <v>121</v>
      </c>
      <c r="F2202" s="70" t="s">
        <v>33</v>
      </c>
      <c r="G2202" s="71" t="s">
        <v>216</v>
      </c>
      <c r="H2202" s="138"/>
      <c r="J2202" s="76" t="s">
        <v>1449</v>
      </c>
      <c r="L2202" s="538">
        <v>471</v>
      </c>
      <c r="M2202" s="136">
        <f>M2201+K2202-L2202</f>
        <v>-10647.5342799996</v>
      </c>
    </row>
    <row r="2203" spans="1:13">
      <c r="A2203" s="54" t="str">
        <f t="shared" ref="A2189:A2252" si="46">D2203&amp;E2203&amp;F2203</f>
        <v/>
      </c>
      <c r="B2203" t="s">
        <v>1277</v>
      </c>
      <c r="C2203" s="1">
        <v>45831</v>
      </c>
      <c r="D2203" s="71"/>
      <c r="F2203" s="70"/>
      <c r="H2203" s="138"/>
      <c r="J2203" s="71" t="s">
        <v>260</v>
      </c>
      <c r="K2203" s="325">
        <v>978505.25</v>
      </c>
      <c r="L2203" s="354"/>
      <c r="M2203" s="136">
        <f>M2202+K2203-L2203</f>
        <v>967857.71572000044</v>
      </c>
    </row>
    <row r="2204" spans="1:13">
      <c r="A2204" s="54" t="str">
        <f>D2204&amp;E2204&amp;F2204</f>
        <v>FINANZASCOMISIONES BANCARIASTPV</v>
      </c>
      <c r="B2204" t="s">
        <v>1277</v>
      </c>
      <c r="C2204" s="1">
        <v>45831</v>
      </c>
      <c r="D2204" s="71" t="s">
        <v>23</v>
      </c>
      <c r="E2204" s="71" t="s">
        <v>48</v>
      </c>
      <c r="F2204" s="70" t="s">
        <v>50</v>
      </c>
      <c r="G2204" s="71" t="s">
        <v>216</v>
      </c>
      <c r="H2204" s="138"/>
      <c r="J2204" s="71" t="s">
        <v>217</v>
      </c>
      <c r="L2204" s="321">
        <f>1207.94+954.29+678.2+6917.31+6407.55+2330.53+3.48+34.8</f>
        <v>18534.099999999999</v>
      </c>
      <c r="M2204" s="136">
        <f>M2203+K2204-L2204</f>
        <v>949323.61572000047</v>
      </c>
    </row>
    <row r="2205" spans="1:13">
      <c r="A2205" s="54" t="str">
        <f t="shared" si="46"/>
        <v/>
      </c>
      <c r="B2205" t="s">
        <v>1277</v>
      </c>
      <c r="C2205" s="1">
        <v>45831</v>
      </c>
      <c r="D2205" s="71"/>
      <c r="F2205" s="70"/>
      <c r="H2205" s="138"/>
      <c r="J2205" s="205" t="s">
        <v>220</v>
      </c>
      <c r="K2205" s="206"/>
      <c r="L2205" s="206">
        <v>300000</v>
      </c>
      <c r="M2205" s="136">
        <f>M2204+K2205-L2205</f>
        <v>649323.61572000047</v>
      </c>
    </row>
    <row r="2206" spans="1:13">
      <c r="A2206" s="54" t="str">
        <f t="shared" si="46"/>
        <v/>
      </c>
      <c r="B2206" t="s">
        <v>1277</v>
      </c>
      <c r="C2206" s="1">
        <v>45831</v>
      </c>
      <c r="D2206" s="71"/>
      <c r="F2206" s="70"/>
      <c r="H2206" s="138"/>
      <c r="J2206" s="205" t="s">
        <v>222</v>
      </c>
      <c r="K2206" s="206"/>
      <c r="L2206" s="206">
        <v>65000</v>
      </c>
      <c r="M2206" s="136">
        <f>M2205+K2206-L2206</f>
        <v>584323.61572000047</v>
      </c>
    </row>
    <row r="2207" spans="1:13">
      <c r="A2207" s="54" t="str">
        <f>D2207&amp;E2207&amp;F2207</f>
        <v>SERVICIOSINSUMOSCADENA DE SUMINISTROS</v>
      </c>
      <c r="B2207" t="s">
        <v>1277</v>
      </c>
      <c r="C2207" s="1">
        <v>45831</v>
      </c>
      <c r="D2207" s="71" t="s">
        <v>21</v>
      </c>
      <c r="E2207" s="71" t="s">
        <v>133</v>
      </c>
      <c r="F2207" s="70" t="s">
        <v>134</v>
      </c>
      <c r="G2207" s="71" t="s">
        <v>258</v>
      </c>
      <c r="H2207" s="138"/>
      <c r="J2207" s="71" t="s">
        <v>1450</v>
      </c>
      <c r="L2207" s="326">
        <v>7980.8</v>
      </c>
      <c r="M2207" s="136">
        <f>M2206+K2207-L2207</f>
        <v>576342.81572000042</v>
      </c>
    </row>
    <row r="2208" spans="1:13">
      <c r="A2208" s="54" t="str">
        <f>D2208&amp;E2208&amp;F2208</f>
        <v>SERVICIOSINSUMOSCADENA DE SUMINISTROS</v>
      </c>
      <c r="B2208" t="s">
        <v>1277</v>
      </c>
      <c r="C2208" s="1">
        <v>45831</v>
      </c>
      <c r="D2208" s="71" t="s">
        <v>21</v>
      </c>
      <c r="E2208" s="71" t="s">
        <v>133</v>
      </c>
      <c r="F2208" s="70" t="s">
        <v>134</v>
      </c>
      <c r="G2208" s="71" t="s">
        <v>258</v>
      </c>
      <c r="H2208" s="138"/>
      <c r="J2208" s="71" t="s">
        <v>1451</v>
      </c>
      <c r="L2208" s="326">
        <v>2610</v>
      </c>
      <c r="M2208" s="136">
        <f t="shared" ref="M2205:M2277" si="47">M2207+K2208-L2208</f>
        <v>573732.81572000042</v>
      </c>
    </row>
    <row r="2209" spans="1:13">
      <c r="A2209" s="54" t="str">
        <f>D2209&amp;E2209&amp;F2209</f>
        <v>HRMKTMKT HR</v>
      </c>
      <c r="B2209" t="s">
        <v>1277</v>
      </c>
      <c r="C2209" s="1">
        <v>45831</v>
      </c>
      <c r="D2209" s="71" t="s">
        <v>29</v>
      </c>
      <c r="E2209" s="71" t="s">
        <v>19</v>
      </c>
      <c r="F2209" s="70" t="s">
        <v>138</v>
      </c>
      <c r="G2209" s="71" t="s">
        <v>216</v>
      </c>
      <c r="H2209" s="138"/>
      <c r="J2209" s="71" t="s">
        <v>1452</v>
      </c>
      <c r="L2209" s="326">
        <v>1500</v>
      </c>
      <c r="M2209" s="136">
        <f t="shared" si="47"/>
        <v>572232.81572000042</v>
      </c>
    </row>
    <row r="2210" spans="1:13">
      <c r="A2210" s="54" t="str">
        <f>D2210&amp;E2210&amp;F2210</f>
        <v>HRMKTMKT HR</v>
      </c>
      <c r="B2210" t="s">
        <v>1277</v>
      </c>
      <c r="C2210" s="1">
        <v>45831</v>
      </c>
      <c r="D2210" s="71" t="s">
        <v>29</v>
      </c>
      <c r="E2210" s="71" t="s">
        <v>19</v>
      </c>
      <c r="F2210" s="70" t="s">
        <v>138</v>
      </c>
      <c r="G2210" s="71" t="s">
        <v>216</v>
      </c>
      <c r="H2210" s="138"/>
      <c r="J2210" s="71" t="s">
        <v>1453</v>
      </c>
      <c r="L2210" s="326">
        <v>3500</v>
      </c>
      <c r="M2210" s="136">
        <f t="shared" si="47"/>
        <v>568732.81572000042</v>
      </c>
    </row>
    <row r="2211" spans="1:13">
      <c r="A2211" s="54" t="str">
        <f>D2211&amp;E2211&amp;F2211</f>
        <v>FINANZASFONDO Y REPOSICIONFINANZAS</v>
      </c>
      <c r="B2211" t="s">
        <v>1277</v>
      </c>
      <c r="C2211" s="1">
        <v>45831</v>
      </c>
      <c r="D2211" s="71" t="s">
        <v>23</v>
      </c>
      <c r="E2211" s="71" t="s">
        <v>120</v>
      </c>
      <c r="F2211" s="70" t="s">
        <v>23</v>
      </c>
      <c r="G2211" s="71" t="s">
        <v>216</v>
      </c>
      <c r="H2211" s="138"/>
      <c r="J2211" s="71" t="s">
        <v>1454</v>
      </c>
      <c r="L2211" s="326">
        <v>300</v>
      </c>
      <c r="M2211" s="136">
        <f t="shared" si="47"/>
        <v>568432.81572000042</v>
      </c>
    </row>
    <row r="2212" spans="1:13" ht="15.75" customHeight="1">
      <c r="A2212" s="54" t="str">
        <f>D2212&amp;E2212&amp;F2212</f>
        <v>SERVICIOSMTTO DE EDIFICIOMANTENIMIENTO</v>
      </c>
      <c r="B2212" t="s">
        <v>1277</v>
      </c>
      <c r="C2212" s="1">
        <v>45831</v>
      </c>
      <c r="D2212" s="71" t="s">
        <v>21</v>
      </c>
      <c r="E2212" s="71" t="s">
        <v>142</v>
      </c>
      <c r="F2212" s="70" t="s">
        <v>35</v>
      </c>
      <c r="G2212" s="71" t="s">
        <v>216</v>
      </c>
      <c r="H2212" s="138"/>
      <c r="J2212" s="71" t="s">
        <v>1455</v>
      </c>
      <c r="L2212" s="321">
        <v>3800</v>
      </c>
      <c r="M2212" s="136">
        <f t="shared" si="47"/>
        <v>564632.81572000042</v>
      </c>
    </row>
    <row r="2213" spans="1:13">
      <c r="A2213" s="54" t="str">
        <f>D2213&amp;E2213&amp;F2213</f>
        <v>SERVICIOSVIATICOSCEDIS</v>
      </c>
      <c r="B2213" t="s">
        <v>1277</v>
      </c>
      <c r="C2213" s="1">
        <v>45831</v>
      </c>
      <c r="D2213" s="71" t="s">
        <v>21</v>
      </c>
      <c r="E2213" s="71" t="s">
        <v>191</v>
      </c>
      <c r="F2213" s="70" t="s">
        <v>28</v>
      </c>
      <c r="G2213" s="71" t="s">
        <v>216</v>
      </c>
      <c r="H2213" s="138"/>
      <c r="J2213" s="71" t="s">
        <v>1456</v>
      </c>
      <c r="L2213" s="326">
        <v>2050</v>
      </c>
      <c r="M2213" s="136">
        <f t="shared" si="47"/>
        <v>562582.81572000042</v>
      </c>
    </row>
    <row r="2214" spans="1:13">
      <c r="A2214" s="54" t="str">
        <f>D2214&amp;E2214&amp;F2214</f>
        <v>FINANZASTELEFONIATELCEL</v>
      </c>
      <c r="B2214" t="s">
        <v>1277</v>
      </c>
      <c r="C2214" s="1">
        <v>45831</v>
      </c>
      <c r="D2214" s="71" t="s">
        <v>23</v>
      </c>
      <c r="E2214" s="71" t="s">
        <v>181</v>
      </c>
      <c r="F2214" s="70" t="s">
        <v>183</v>
      </c>
      <c r="G2214" s="71" t="s">
        <v>258</v>
      </c>
      <c r="H2214" s="138"/>
      <c r="J2214" s="71" t="s">
        <v>1457</v>
      </c>
      <c r="L2214" s="326">
        <v>269</v>
      </c>
      <c r="M2214" s="136">
        <f t="shared" si="47"/>
        <v>562313.81572000042</v>
      </c>
    </row>
    <row r="2215" spans="1:13">
      <c r="A2215" s="54" t="str">
        <f>D2215&amp;E2215&amp;F2215</f>
        <v>FINANZASFALTANTESFALTANTES</v>
      </c>
      <c r="B2215" t="s">
        <v>1277</v>
      </c>
      <c r="C2215" s="1">
        <v>45831</v>
      </c>
      <c r="D2215" s="71" t="s">
        <v>23</v>
      </c>
      <c r="E2215" s="71" t="s">
        <v>119</v>
      </c>
      <c r="F2215" s="70" t="s">
        <v>119</v>
      </c>
      <c r="G2215" s="71" t="s">
        <v>258</v>
      </c>
      <c r="H2215" s="138"/>
      <c r="J2215" s="71" t="s">
        <v>1458</v>
      </c>
      <c r="L2215" s="326">
        <v>80</v>
      </c>
      <c r="M2215" s="136">
        <f t="shared" si="47"/>
        <v>562233.81572000042</v>
      </c>
    </row>
    <row r="2216" spans="1:13">
      <c r="A2216" s="54" t="str">
        <f>D2216&amp;E2216&amp;F2216</f>
        <v>SERVICIOSMTTO DE EDIFICIOMANTENIMIENTO</v>
      </c>
      <c r="B2216" t="s">
        <v>1277</v>
      </c>
      <c r="C2216" s="1">
        <v>45831</v>
      </c>
      <c r="D2216" s="71" t="s">
        <v>21</v>
      </c>
      <c r="E2216" s="71" t="s">
        <v>142</v>
      </c>
      <c r="F2216" s="70" t="s">
        <v>35</v>
      </c>
      <c r="G2216" s="71" t="s">
        <v>216</v>
      </c>
      <c r="H2216" s="138"/>
      <c r="J2216" s="71" t="s">
        <v>1459</v>
      </c>
      <c r="L2216" s="321">
        <v>377</v>
      </c>
      <c r="M2216" s="136">
        <f t="shared" si="47"/>
        <v>561856.81572000042</v>
      </c>
    </row>
    <row r="2217" spans="1:13">
      <c r="A2217" s="54" t="str">
        <f>D2217&amp;E2217&amp;F2217</f>
        <v>HRUBERHR</v>
      </c>
      <c r="B2217" t="s">
        <v>1277</v>
      </c>
      <c r="C2217" s="1">
        <v>45831</v>
      </c>
      <c r="D2217" s="71" t="s">
        <v>29</v>
      </c>
      <c r="E2217" s="71" t="s">
        <v>189</v>
      </c>
      <c r="F2217" s="70" t="s">
        <v>29</v>
      </c>
      <c r="G2217" s="71" t="s">
        <v>258</v>
      </c>
      <c r="H2217" s="138"/>
      <c r="J2217" s="76" t="s">
        <v>715</v>
      </c>
      <c r="L2217" s="526">
        <v>305</v>
      </c>
      <c r="M2217" s="136">
        <f t="shared" si="47"/>
        <v>561551.81572000042</v>
      </c>
    </row>
    <row r="2218" spans="1:13">
      <c r="A2218" s="54" t="str">
        <f>D2218&amp;E2218&amp;F2218</f>
        <v>HRUBERHR</v>
      </c>
      <c r="B2218" t="s">
        <v>1277</v>
      </c>
      <c r="C2218" s="1">
        <v>45831</v>
      </c>
      <c r="D2218" s="71" t="s">
        <v>29</v>
      </c>
      <c r="E2218" s="71" t="s">
        <v>189</v>
      </c>
      <c r="F2218" s="70" t="s">
        <v>29</v>
      </c>
      <c r="G2218" s="71" t="s">
        <v>258</v>
      </c>
      <c r="H2218" s="138"/>
      <c r="J2218" s="76" t="s">
        <v>802</v>
      </c>
      <c r="L2218" s="526">
        <v>165</v>
      </c>
      <c r="M2218" s="136">
        <f t="shared" si="47"/>
        <v>561386.81572000042</v>
      </c>
    </row>
    <row r="2219" spans="1:13">
      <c r="A2219" s="54" t="str">
        <f>D2219&amp;E2219&amp;F2219</f>
        <v>HRUBERHR</v>
      </c>
      <c r="B2219" t="s">
        <v>1277</v>
      </c>
      <c r="C2219" s="1">
        <v>45831</v>
      </c>
      <c r="D2219" s="71" t="s">
        <v>29</v>
      </c>
      <c r="E2219" s="71" t="s">
        <v>189</v>
      </c>
      <c r="F2219" s="70" t="s">
        <v>29</v>
      </c>
      <c r="G2219" s="71" t="s">
        <v>258</v>
      </c>
      <c r="H2219" s="138"/>
      <c r="J2219" s="76" t="s">
        <v>249</v>
      </c>
      <c r="L2219" s="526">
        <v>0.26666666666666666</v>
      </c>
      <c r="M2219" s="136">
        <f t="shared" si="47"/>
        <v>561386.5490533337</v>
      </c>
    </row>
    <row r="2220" spans="1:13">
      <c r="A2220" s="54" t="str">
        <f>D2220&amp;E2220&amp;F2220</f>
        <v>HRNOMINA SUCURSALA17</v>
      </c>
      <c r="B2220" t="s">
        <v>1277</v>
      </c>
      <c r="C2220" s="1">
        <v>45831</v>
      </c>
      <c r="D2220" s="71" t="s">
        <v>29</v>
      </c>
      <c r="E2220" s="71" t="s">
        <v>154</v>
      </c>
      <c r="F2220" s="70" t="s">
        <v>102</v>
      </c>
      <c r="G2220" s="71" t="s">
        <v>216</v>
      </c>
      <c r="J2220" s="76" t="s">
        <v>312</v>
      </c>
      <c r="L2220" s="331">
        <v>100</v>
      </c>
      <c r="M2220" s="136">
        <f t="shared" si="47"/>
        <v>561286.5490533337</v>
      </c>
    </row>
    <row r="2221" spans="1:13">
      <c r="A2221" s="54" t="str">
        <f>D2221&amp;E2221&amp;F2221</f>
        <v>HRINSUMOSHR</v>
      </c>
      <c r="B2221" t="s">
        <v>1277</v>
      </c>
      <c r="C2221" s="1">
        <v>45831</v>
      </c>
      <c r="D2221" s="71" t="s">
        <v>29</v>
      </c>
      <c r="E2221" s="71" t="s">
        <v>133</v>
      </c>
      <c r="F2221" s="70" t="s">
        <v>29</v>
      </c>
      <c r="G2221" s="71" t="s">
        <v>216</v>
      </c>
      <c r="J2221" s="76" t="s">
        <v>1460</v>
      </c>
      <c r="L2221" s="331">
        <v>75</v>
      </c>
      <c r="M2221" s="136">
        <f t="shared" si="47"/>
        <v>561211.5490533337</v>
      </c>
    </row>
    <row r="2222" spans="1:13">
      <c r="A2222" s="54" t="str">
        <f>D2222&amp;E2222&amp;F2222</f>
        <v>HRUBERHR</v>
      </c>
      <c r="B2222" t="s">
        <v>1277</v>
      </c>
      <c r="C2222" s="1">
        <v>45831</v>
      </c>
      <c r="D2222" s="71" t="s">
        <v>29</v>
      </c>
      <c r="E2222" s="71" t="s">
        <v>189</v>
      </c>
      <c r="F2222" s="70" t="s">
        <v>29</v>
      </c>
      <c r="G2222" s="71" t="s">
        <v>258</v>
      </c>
      <c r="H2222" s="138"/>
      <c r="J2222" s="76" t="s">
        <v>456</v>
      </c>
      <c r="L2222" s="526">
        <v>163</v>
      </c>
      <c r="M2222" s="136">
        <f t="shared" si="47"/>
        <v>561048.5490533337</v>
      </c>
    </row>
    <row r="2223" spans="1:13">
      <c r="A2223" s="54" t="str">
        <f>D2223&amp;E2223&amp;F2223</f>
        <v>CAPINSUMOSCAPRICHOS</v>
      </c>
      <c r="B2223" t="s">
        <v>1277</v>
      </c>
      <c r="C2223" s="1">
        <v>45831</v>
      </c>
      <c r="D2223" s="71" t="s">
        <v>31</v>
      </c>
      <c r="E2223" s="71" t="s">
        <v>133</v>
      </c>
      <c r="F2223" s="70" t="s">
        <v>33</v>
      </c>
      <c r="G2223" s="71" t="s">
        <v>216</v>
      </c>
      <c r="J2223" s="76" t="s">
        <v>1169</v>
      </c>
      <c r="L2223" s="331">
        <v>40</v>
      </c>
      <c r="M2223" s="136">
        <f t="shared" si="47"/>
        <v>561008.5490533337</v>
      </c>
    </row>
    <row r="2224" spans="1:13">
      <c r="A2224" s="54" t="str">
        <f>D2224&amp;E2224&amp;F2224</f>
        <v>CAPUBERCAP</v>
      </c>
      <c r="B2224" t="s">
        <v>1277</v>
      </c>
      <c r="C2224" s="1">
        <v>45831</v>
      </c>
      <c r="D2224" s="71" t="s">
        <v>31</v>
      </c>
      <c r="E2224" s="71" t="s">
        <v>189</v>
      </c>
      <c r="F2224" s="70" t="s">
        <v>31</v>
      </c>
      <c r="G2224" s="71" t="s">
        <v>258</v>
      </c>
      <c r="J2224" s="76" t="s">
        <v>253</v>
      </c>
      <c r="L2224" s="526">
        <v>1760</v>
      </c>
      <c r="M2224" s="136">
        <f t="shared" si="47"/>
        <v>559248.5490533337</v>
      </c>
    </row>
    <row r="2225" spans="1:13">
      <c r="A2225" s="54" t="str">
        <f>D2225&amp;E2225&amp;F2225</f>
        <v>CAPINSUMOSCAPRICHOS</v>
      </c>
      <c r="B2225" t="s">
        <v>1277</v>
      </c>
      <c r="C2225" s="1">
        <v>45831</v>
      </c>
      <c r="D2225" s="71" t="s">
        <v>31</v>
      </c>
      <c r="E2225" s="71" t="s">
        <v>133</v>
      </c>
      <c r="F2225" s="70" t="s">
        <v>33</v>
      </c>
      <c r="G2225" s="71" t="s">
        <v>216</v>
      </c>
      <c r="J2225" s="76" t="s">
        <v>457</v>
      </c>
      <c r="L2225" s="331">
        <v>57</v>
      </c>
      <c r="M2225" s="136">
        <f t="shared" si="47"/>
        <v>559191.5490533337</v>
      </c>
    </row>
    <row r="2226" spans="1:13">
      <c r="A2226" s="54" t="str">
        <f>D2226&amp;E2226&amp;F2226</f>
        <v>CAPUBERCAP</v>
      </c>
      <c r="B2226" t="s">
        <v>1277</v>
      </c>
      <c r="C2226" s="1">
        <v>45831</v>
      </c>
      <c r="D2226" s="71" t="s">
        <v>31</v>
      </c>
      <c r="E2226" s="71" t="s">
        <v>189</v>
      </c>
      <c r="F2226" s="70" t="s">
        <v>31</v>
      </c>
      <c r="G2226" s="71" t="s">
        <v>258</v>
      </c>
      <c r="J2226" s="76" t="s">
        <v>257</v>
      </c>
      <c r="L2226" s="526">
        <v>240</v>
      </c>
      <c r="M2226" s="136">
        <f t="shared" si="47"/>
        <v>558951.5490533337</v>
      </c>
    </row>
    <row r="2227" spans="1:13">
      <c r="A2227" s="54" t="str">
        <f>D2227&amp;E2227&amp;F2227</f>
        <v>CAPVIATICOSCAPRICHOS</v>
      </c>
      <c r="B2227" t="s">
        <v>1277</v>
      </c>
      <c r="C2227" s="1">
        <v>45831</v>
      </c>
      <c r="D2227" s="71" t="s">
        <v>31</v>
      </c>
      <c r="E2227" s="71" t="s">
        <v>191</v>
      </c>
      <c r="F2227" s="70" t="s">
        <v>33</v>
      </c>
      <c r="G2227" s="71" t="s">
        <v>216</v>
      </c>
      <c r="J2227" s="76" t="s">
        <v>1425</v>
      </c>
      <c r="L2227" s="332">
        <v>130</v>
      </c>
      <c r="M2227" s="136">
        <f t="shared" si="47"/>
        <v>558821.5490533337</v>
      </c>
    </row>
    <row r="2228" spans="1:13">
      <c r="A2228" s="54" t="str">
        <f>D2228&amp;E2228&amp;F2228</f>
        <v>CAPJMASE6</v>
      </c>
      <c r="B2228" t="s">
        <v>1277</v>
      </c>
      <c r="C2228" s="1">
        <v>45831</v>
      </c>
      <c r="D2228" s="71" t="s">
        <v>31</v>
      </c>
      <c r="E2228" s="71" t="s">
        <v>137</v>
      </c>
      <c r="F2228" s="70" t="s">
        <v>112</v>
      </c>
      <c r="G2228" s="71" t="s">
        <v>258</v>
      </c>
      <c r="J2228" s="76" t="s">
        <v>315</v>
      </c>
      <c r="L2228" s="331">
        <v>87.5</v>
      </c>
      <c r="M2228" s="136">
        <f t="shared" si="47"/>
        <v>558734.0490533337</v>
      </c>
    </row>
    <row r="2229" spans="1:13">
      <c r="A2229" s="54" t="str">
        <f>D2229&amp;E2229&amp;F2229</f>
        <v>CAPNOMINA SUCURSALE8</v>
      </c>
      <c r="B2229" t="s">
        <v>1277</v>
      </c>
      <c r="C2229" s="1">
        <v>45831</v>
      </c>
      <c r="D2229" s="71" t="s">
        <v>31</v>
      </c>
      <c r="E2229" s="71" t="s">
        <v>154</v>
      </c>
      <c r="F2229" s="70" t="s">
        <v>114</v>
      </c>
      <c r="G2229" s="71" t="s">
        <v>216</v>
      </c>
      <c r="J2229" s="76" t="s">
        <v>1461</v>
      </c>
      <c r="L2229" s="331">
        <v>3000</v>
      </c>
      <c r="M2229" s="136">
        <f t="shared" si="47"/>
        <v>555734.0490533337</v>
      </c>
    </row>
    <row r="2230" spans="1:13">
      <c r="A2230" s="54" t="str">
        <f t="shared" si="46"/>
        <v/>
      </c>
      <c r="B2230" t="s">
        <v>1277</v>
      </c>
      <c r="C2230" s="1">
        <v>45832</v>
      </c>
      <c r="D2230" s="71"/>
      <c r="F2230" s="70"/>
      <c r="J2230" s="71" t="s">
        <v>260</v>
      </c>
      <c r="K2230" s="325">
        <v>222084.56</v>
      </c>
      <c r="L2230" s="354"/>
      <c r="M2230" s="136">
        <f t="shared" si="47"/>
        <v>777818.60905333376</v>
      </c>
    </row>
    <row r="2231" spans="1:13">
      <c r="A2231" s="54" t="str">
        <f>D2231&amp;E2231&amp;F2231</f>
        <v>FINANZASCOMISIONES BANCARIASTPV</v>
      </c>
      <c r="B2231" t="s">
        <v>1277</v>
      </c>
      <c r="C2231" s="1">
        <v>45832</v>
      </c>
      <c r="D2231" s="71" t="s">
        <v>23</v>
      </c>
      <c r="E2231" s="71" t="s">
        <v>48</v>
      </c>
      <c r="F2231" s="70" t="s">
        <v>50</v>
      </c>
      <c r="G2231" s="71" t="s">
        <v>216</v>
      </c>
      <c r="J2231" s="71" t="s">
        <v>217</v>
      </c>
      <c r="L2231" s="321">
        <f>304.96+115.64+16.93+1615.5+1024.03+564.66+3.48+13.92</f>
        <v>3659.1199999999994</v>
      </c>
      <c r="M2231" s="136">
        <f t="shared" si="47"/>
        <v>774159.48905333376</v>
      </c>
    </row>
    <row r="2232" spans="1:13">
      <c r="A2232" s="54" t="str">
        <f t="shared" si="46"/>
        <v/>
      </c>
      <c r="B2232" t="s">
        <v>1277</v>
      </c>
      <c r="C2232" s="1">
        <v>45832</v>
      </c>
      <c r="D2232" s="71"/>
      <c r="F2232" s="70"/>
      <c r="J2232" s="205" t="s">
        <v>220</v>
      </c>
      <c r="K2232" s="206"/>
      <c r="L2232" s="206">
        <v>200000</v>
      </c>
      <c r="M2232" s="136">
        <f t="shared" si="47"/>
        <v>574159.48905333376</v>
      </c>
    </row>
    <row r="2233" spans="1:13">
      <c r="A2233" s="54" t="str">
        <f>D2233&amp;E2233&amp;F2233</f>
        <v>SERVICIOSPAQUETERIACEDIS (E6)</v>
      </c>
      <c r="B2233" t="s">
        <v>1277</v>
      </c>
      <c r="C2233" s="1">
        <v>45832</v>
      </c>
      <c r="D2233" s="71" t="s">
        <v>21</v>
      </c>
      <c r="E2233" s="71" t="s">
        <v>160</v>
      </c>
      <c r="F2233" s="70" t="s">
        <v>161</v>
      </c>
      <c r="G2233" s="71" t="s">
        <v>258</v>
      </c>
      <c r="J2233" s="71" t="s">
        <v>1159</v>
      </c>
      <c r="L2233" s="326">
        <v>2498.19</v>
      </c>
      <c r="M2233" s="136">
        <f t="shared" si="47"/>
        <v>571661.29905333382</v>
      </c>
    </row>
    <row r="2234" spans="1:13">
      <c r="A2234" s="54" t="str">
        <f>D2234&amp;E2234&amp;F2234</f>
        <v>FINANZASINSUMOSFINANZAS</v>
      </c>
      <c r="B2234" t="s">
        <v>1277</v>
      </c>
      <c r="C2234" s="1">
        <v>45832</v>
      </c>
      <c r="D2234" s="71" t="s">
        <v>23</v>
      </c>
      <c r="E2234" s="71" t="s">
        <v>133</v>
      </c>
      <c r="F2234" s="70" t="s">
        <v>23</v>
      </c>
      <c r="G2234" s="71" t="s">
        <v>258</v>
      </c>
      <c r="J2234" s="71" t="s">
        <v>1462</v>
      </c>
      <c r="L2234" s="326">
        <v>2500</v>
      </c>
      <c r="M2234" s="136">
        <f t="shared" si="47"/>
        <v>569161.29905333382</v>
      </c>
    </row>
    <row r="2235" spans="1:13">
      <c r="A2235" s="54" t="str">
        <f>D2235&amp;E2235&amp;F2235</f>
        <v>HRINSUMOSHR</v>
      </c>
      <c r="B2235" t="s">
        <v>1277</v>
      </c>
      <c r="C2235" s="1">
        <v>45832</v>
      </c>
      <c r="D2235" s="71" t="s">
        <v>29</v>
      </c>
      <c r="E2235" s="71" t="s">
        <v>133</v>
      </c>
      <c r="F2235" s="70" t="s">
        <v>29</v>
      </c>
      <c r="G2235" s="71" t="s">
        <v>216</v>
      </c>
      <c r="J2235" s="71" t="s">
        <v>1463</v>
      </c>
      <c r="L2235" s="326">
        <v>2200</v>
      </c>
      <c r="M2235" s="136">
        <f t="shared" si="47"/>
        <v>566961.29905333382</v>
      </c>
    </row>
    <row r="2236" spans="1:13">
      <c r="A2236" s="54" t="str">
        <f>D2236&amp;E2236&amp;F2236</f>
        <v>HRFONDO Y REPOSICIONHR</v>
      </c>
      <c r="B2236" t="s">
        <v>1277</v>
      </c>
      <c r="C2236" s="1">
        <v>45832</v>
      </c>
      <c r="D2236" s="71" t="s">
        <v>29</v>
      </c>
      <c r="E2236" s="71" t="s">
        <v>120</v>
      </c>
      <c r="F2236" s="70" t="s">
        <v>29</v>
      </c>
      <c r="G2236" s="71" t="s">
        <v>216</v>
      </c>
      <c r="J2236" s="71" t="s">
        <v>267</v>
      </c>
      <c r="L2236" s="326">
        <v>1000</v>
      </c>
      <c r="M2236" s="136">
        <f t="shared" si="47"/>
        <v>565961.29905333382</v>
      </c>
    </row>
    <row r="2237" spans="1:13">
      <c r="A2237" s="54" t="str">
        <f>D2237&amp;E2237&amp;F2237</f>
        <v>SERVICIOSMTTO DE EDIFICIOMANTENIMIENTO</v>
      </c>
      <c r="B2237" t="s">
        <v>1277</v>
      </c>
      <c r="C2237" s="1">
        <v>45832</v>
      </c>
      <c r="D2237" s="71" t="s">
        <v>21</v>
      </c>
      <c r="E2237" s="71" t="s">
        <v>142</v>
      </c>
      <c r="F2237" s="70" t="s">
        <v>35</v>
      </c>
      <c r="G2237" s="71" t="s">
        <v>216</v>
      </c>
      <c r="J2237" s="71" t="s">
        <v>1464</v>
      </c>
      <c r="L2237" s="321">
        <v>3600</v>
      </c>
      <c r="M2237" s="136">
        <f t="shared" si="47"/>
        <v>562361.29905333382</v>
      </c>
    </row>
    <row r="2238" spans="1:13">
      <c r="A2238" s="54" t="str">
        <f>D2238&amp;E2238&amp;F2238</f>
        <v>SERVICIOSMTTO DE EDIFICIOMANTENIMIENTO</v>
      </c>
      <c r="B2238" t="s">
        <v>1277</v>
      </c>
      <c r="C2238" s="1">
        <v>45832</v>
      </c>
      <c r="D2238" s="71" t="s">
        <v>21</v>
      </c>
      <c r="E2238" s="71" t="s">
        <v>142</v>
      </c>
      <c r="F2238" s="70" t="s">
        <v>35</v>
      </c>
      <c r="G2238" s="71" t="s">
        <v>216</v>
      </c>
      <c r="J2238" s="71" t="s">
        <v>1465</v>
      </c>
      <c r="L2238" s="321">
        <v>3000</v>
      </c>
      <c r="M2238" s="136">
        <f t="shared" si="47"/>
        <v>559361.29905333382</v>
      </c>
    </row>
    <row r="2239" spans="1:13">
      <c r="A2239" s="54" t="str">
        <f>D2239&amp;E2239&amp;F2239</f>
        <v>HRFONDO Y REPOSICIONHR</v>
      </c>
      <c r="B2239" t="s">
        <v>1277</v>
      </c>
      <c r="C2239" s="1">
        <v>45832</v>
      </c>
      <c r="D2239" s="71" t="s">
        <v>29</v>
      </c>
      <c r="E2239" s="71" t="s">
        <v>120</v>
      </c>
      <c r="F2239" s="70" t="s">
        <v>29</v>
      </c>
      <c r="G2239" s="71" t="s">
        <v>216</v>
      </c>
      <c r="J2239" s="71" t="s">
        <v>357</v>
      </c>
      <c r="L2239" s="326">
        <v>3000</v>
      </c>
      <c r="M2239" s="136">
        <f t="shared" si="47"/>
        <v>556361.29905333382</v>
      </c>
    </row>
    <row r="2240" spans="1:13">
      <c r="A2240" s="54" t="str">
        <f>D2240&amp;E2240&amp;F2240</f>
        <v>HRFONDO Y REPOSICIONHR</v>
      </c>
      <c r="B2240" t="s">
        <v>1277</v>
      </c>
      <c r="C2240" s="1">
        <v>45832</v>
      </c>
      <c r="D2240" s="71" t="s">
        <v>29</v>
      </c>
      <c r="E2240" s="71" t="s">
        <v>120</v>
      </c>
      <c r="F2240" s="70" t="s">
        <v>29</v>
      </c>
      <c r="G2240" s="71" t="s">
        <v>216</v>
      </c>
      <c r="J2240" s="71" t="s">
        <v>1466</v>
      </c>
      <c r="L2240" s="326">
        <v>3000</v>
      </c>
      <c r="M2240" s="136">
        <f t="shared" si="47"/>
        <v>553361.29905333382</v>
      </c>
    </row>
    <row r="2241" spans="1:13">
      <c r="A2241" s="54" t="str">
        <f>D2241&amp;E2241&amp;F2241</f>
        <v>CAPVIATICOSCAPRICHOS</v>
      </c>
      <c r="B2241" t="s">
        <v>1277</v>
      </c>
      <c r="C2241" s="1">
        <v>45832</v>
      </c>
      <c r="D2241" s="71" t="s">
        <v>31</v>
      </c>
      <c r="E2241" s="71" t="s">
        <v>191</v>
      </c>
      <c r="F2241" s="70" t="s">
        <v>33</v>
      </c>
      <c r="G2241" s="71" t="s">
        <v>258</v>
      </c>
      <c r="J2241" s="71" t="s">
        <v>1132</v>
      </c>
      <c r="L2241" s="326">
        <v>1500</v>
      </c>
      <c r="M2241" s="136">
        <f t="shared" si="47"/>
        <v>551861.29905333382</v>
      </c>
    </row>
    <row r="2242" spans="1:13">
      <c r="A2242" s="54" t="str">
        <f>D2242&amp;E2242&amp;F2242</f>
        <v>CAPVIATICOSCAPRICHOS</v>
      </c>
      <c r="B2242" t="s">
        <v>1277</v>
      </c>
      <c r="C2242" s="1">
        <v>45832</v>
      </c>
      <c r="D2242" s="71" t="s">
        <v>31</v>
      </c>
      <c r="E2242" s="71" t="s">
        <v>191</v>
      </c>
      <c r="F2242" s="70" t="s">
        <v>33</v>
      </c>
      <c r="G2242" s="71" t="s">
        <v>258</v>
      </c>
      <c r="J2242" s="71" t="s">
        <v>1467</v>
      </c>
      <c r="L2242" s="326">
        <v>1100</v>
      </c>
      <c r="M2242" s="136">
        <f t="shared" si="47"/>
        <v>550761.29905333382</v>
      </c>
    </row>
    <row r="2243" spans="1:13">
      <c r="A2243" s="54" t="str">
        <f>D2243&amp;E2243&amp;F2243</f>
        <v>SERVICIOSMTTO DE EDIFICIOMANTENIMIENTO</v>
      </c>
      <c r="B2243" t="s">
        <v>1277</v>
      </c>
      <c r="C2243" s="1">
        <v>45832</v>
      </c>
      <c r="D2243" s="71" t="s">
        <v>21</v>
      </c>
      <c r="E2243" s="71" t="s">
        <v>142</v>
      </c>
      <c r="F2243" s="70" t="s">
        <v>35</v>
      </c>
      <c r="G2243" s="71" t="s">
        <v>216</v>
      </c>
      <c r="J2243" s="76" t="s">
        <v>1468</v>
      </c>
      <c r="L2243" s="332">
        <v>180</v>
      </c>
      <c r="M2243" s="136">
        <f t="shared" si="47"/>
        <v>550581.29905333382</v>
      </c>
    </row>
    <row r="2244" spans="1:13">
      <c r="A2244" s="54" t="str">
        <f>D2244&amp;E2244&amp;F2244</f>
        <v>HRNOMINA SUCURSALA11</v>
      </c>
      <c r="B2244" t="s">
        <v>1277</v>
      </c>
      <c r="C2244" s="1">
        <v>45832</v>
      </c>
      <c r="D2244" s="71" t="s">
        <v>29</v>
      </c>
      <c r="E2244" s="71" t="s">
        <v>154</v>
      </c>
      <c r="F2244" s="70" t="s">
        <v>97</v>
      </c>
      <c r="G2244" s="71" t="s">
        <v>216</v>
      </c>
      <c r="J2244" s="76" t="s">
        <v>1469</v>
      </c>
      <c r="L2244" s="331">
        <v>100</v>
      </c>
      <c r="M2244" s="136">
        <f t="shared" si="47"/>
        <v>550481.29905333382</v>
      </c>
    </row>
    <row r="2245" spans="1:13">
      <c r="A2245" s="54" t="str">
        <f>D2245&amp;E2245&amp;F2245</f>
        <v>HRUBERHR</v>
      </c>
      <c r="B2245" t="s">
        <v>1277</v>
      </c>
      <c r="C2245" s="1">
        <v>45832</v>
      </c>
      <c r="D2245" s="71" t="s">
        <v>29</v>
      </c>
      <c r="E2245" s="71" t="s">
        <v>189</v>
      </c>
      <c r="F2245" s="70" t="s">
        <v>29</v>
      </c>
      <c r="G2245" s="71" t="s">
        <v>258</v>
      </c>
      <c r="H2245" s="138"/>
      <c r="J2245" s="76" t="s">
        <v>1446</v>
      </c>
      <c r="L2245" s="526">
        <v>82</v>
      </c>
      <c r="M2245" s="136">
        <f t="shared" si="47"/>
        <v>550399.29905333382</v>
      </c>
    </row>
    <row r="2246" spans="1:13">
      <c r="A2246" s="54" t="str">
        <f>D2246&amp;E2246&amp;F2246</f>
        <v>CAPUBERCAP</v>
      </c>
      <c r="B2246" t="s">
        <v>1277</v>
      </c>
      <c r="C2246" s="1">
        <v>45832</v>
      </c>
      <c r="D2246" s="71" t="s">
        <v>31</v>
      </c>
      <c r="E2246" s="71" t="s">
        <v>189</v>
      </c>
      <c r="F2246" s="70" t="s">
        <v>31</v>
      </c>
      <c r="G2246" s="71" t="s">
        <v>258</v>
      </c>
      <c r="J2246" s="76" t="s">
        <v>253</v>
      </c>
      <c r="L2246" s="526">
        <v>490</v>
      </c>
      <c r="M2246" s="136">
        <f t="shared" si="47"/>
        <v>549909.29905333382</v>
      </c>
    </row>
    <row r="2247" spans="1:13">
      <c r="A2247" s="54" t="str">
        <f>D2247&amp;E2247&amp;F2247</f>
        <v>CAPUBERCAP</v>
      </c>
      <c r="B2247" t="s">
        <v>1277</v>
      </c>
      <c r="C2247" s="1">
        <v>45832</v>
      </c>
      <c r="D2247" s="71" t="s">
        <v>31</v>
      </c>
      <c r="E2247" s="71" t="s">
        <v>189</v>
      </c>
      <c r="F2247" s="70" t="s">
        <v>31</v>
      </c>
      <c r="G2247" s="71" t="s">
        <v>258</v>
      </c>
      <c r="J2247" s="76" t="s">
        <v>257</v>
      </c>
      <c r="L2247" s="526">
        <v>100</v>
      </c>
      <c r="M2247" s="136">
        <f t="shared" si="47"/>
        <v>549809.29905333382</v>
      </c>
    </row>
    <row r="2248" spans="1:13">
      <c r="A2248" s="54" t="str">
        <f>D2248&amp;E2248&amp;F2248</f>
        <v>FINANZASRECOLECCION DE BASURACAPRICHOS</v>
      </c>
      <c r="B2248" t="s">
        <v>1277</v>
      </c>
      <c r="C2248" s="1">
        <v>45832</v>
      </c>
      <c r="D2248" s="71" t="s">
        <v>23</v>
      </c>
      <c r="E2248" s="71" t="s">
        <v>166</v>
      </c>
      <c r="F2248" s="70" t="s">
        <v>33</v>
      </c>
      <c r="G2248" s="71" t="s">
        <v>258</v>
      </c>
      <c r="J2248" s="76" t="s">
        <v>759</v>
      </c>
      <c r="L2248" s="331">
        <v>305</v>
      </c>
      <c r="M2248" s="136">
        <f>M2247+K2248-L2248</f>
        <v>549504.29905333382</v>
      </c>
    </row>
    <row r="2249" spans="1:13">
      <c r="A2249" s="54" t="str">
        <f>D2249&amp;E2249&amp;F2249</f>
        <v>CAPVIATICOSCAPRICHOS</v>
      </c>
      <c r="B2249" t="s">
        <v>1277</v>
      </c>
      <c r="C2249" s="1">
        <v>45832</v>
      </c>
      <c r="D2249" s="71" t="s">
        <v>31</v>
      </c>
      <c r="E2249" s="71" t="s">
        <v>191</v>
      </c>
      <c r="F2249" s="70" t="s">
        <v>33</v>
      </c>
      <c r="G2249" s="71" t="s">
        <v>216</v>
      </c>
      <c r="J2249" s="76" t="s">
        <v>1425</v>
      </c>
      <c r="L2249" s="332">
        <v>130</v>
      </c>
      <c r="M2249" s="136">
        <f>M2248+K2249-L2249</f>
        <v>549374.29905333382</v>
      </c>
    </row>
    <row r="2250" spans="1:13">
      <c r="A2250" s="54" t="str">
        <f t="shared" si="46"/>
        <v/>
      </c>
      <c r="B2250" t="s">
        <v>1277</v>
      </c>
      <c r="C2250" s="1">
        <v>45833</v>
      </c>
      <c r="D2250" s="71"/>
      <c r="F2250" s="70"/>
      <c r="J2250" s="71" t="s">
        <v>260</v>
      </c>
      <c r="K2250" s="332">
        <v>232738.44</v>
      </c>
      <c r="L2250" s="354"/>
      <c r="M2250" s="136">
        <f>M2249+K2250-L2250</f>
        <v>782112.73905333388</v>
      </c>
    </row>
    <row r="2251" spans="1:13" ht="18" customHeight="1">
      <c r="A2251" s="54" t="str">
        <f>D2251&amp;E2251&amp;F2251</f>
        <v>FINANZASCOMISIONES BANCARIASTPV</v>
      </c>
      <c r="B2251" t="s">
        <v>1277</v>
      </c>
      <c r="C2251" s="1">
        <v>45833</v>
      </c>
      <c r="D2251" s="71" t="s">
        <v>23</v>
      </c>
      <c r="E2251" s="71" t="s">
        <v>48</v>
      </c>
      <c r="F2251" s="70" t="s">
        <v>50</v>
      </c>
      <c r="G2251" s="71" t="s">
        <v>216</v>
      </c>
      <c r="J2251" s="71" t="s">
        <v>217</v>
      </c>
      <c r="L2251" s="337">
        <v>3968.1600000000003</v>
      </c>
      <c r="M2251" s="136">
        <f>M2250+K2251-L2251</f>
        <v>778144.57905333384</v>
      </c>
    </row>
    <row r="2252" spans="1:13">
      <c r="A2252" s="54" t="str">
        <f t="shared" si="46"/>
        <v/>
      </c>
      <c r="B2252" t="s">
        <v>1277</v>
      </c>
      <c r="C2252" s="1">
        <v>45833</v>
      </c>
      <c r="D2252" s="71"/>
      <c r="F2252" s="70"/>
      <c r="J2252" s="205" t="s">
        <v>220</v>
      </c>
      <c r="K2252" s="206"/>
      <c r="L2252" s="206">
        <v>200000</v>
      </c>
      <c r="M2252" s="136">
        <f>M2251+K2252-L2252</f>
        <v>578144.57905333384</v>
      </c>
    </row>
    <row r="2253" spans="1:13">
      <c r="A2253" s="54" t="str">
        <f t="shared" ref="A2253:A2316" si="48">D2253&amp;E2253&amp;F2253</f>
        <v/>
      </c>
      <c r="B2253" t="s">
        <v>1277</v>
      </c>
      <c r="C2253" s="1">
        <v>45833</v>
      </c>
      <c r="D2253" s="71"/>
      <c r="F2253" s="70"/>
      <c r="J2253" s="71" t="s">
        <v>1470</v>
      </c>
      <c r="L2253" s="326">
        <v>532250</v>
      </c>
      <c r="M2253" s="136">
        <f>M2252+K2253-L2253</f>
        <v>45894.579053333844</v>
      </c>
    </row>
    <row r="2254" spans="1:13">
      <c r="A2254" s="54" t="str">
        <f>D2254&amp;E2254&amp;F2254</f>
        <v>FINANZASRECOLECCION DE BASURAHR</v>
      </c>
      <c r="B2254" t="s">
        <v>1277</v>
      </c>
      <c r="C2254" s="1">
        <v>45833</v>
      </c>
      <c r="D2254" s="71" t="s">
        <v>23</v>
      </c>
      <c r="E2254" s="71" t="s">
        <v>166</v>
      </c>
      <c r="F2254" s="70" t="s">
        <v>29</v>
      </c>
      <c r="G2254" s="71" t="s">
        <v>216</v>
      </c>
      <c r="J2254" s="71" t="s">
        <v>1471</v>
      </c>
      <c r="L2254" s="326">
        <v>3299</v>
      </c>
      <c r="M2254" s="136">
        <f>M2253+K2254-L2254</f>
        <v>42595.579053333844</v>
      </c>
    </row>
    <row r="2255" spans="1:13">
      <c r="A2255" s="54" t="str">
        <f>D2255&amp;E2255&amp;F2255</f>
        <v>HRENERGIA ELECTRICAA6</v>
      </c>
      <c r="B2255" t="s">
        <v>1277</v>
      </c>
      <c r="C2255" s="1">
        <v>45833</v>
      </c>
      <c r="D2255" s="71" t="s">
        <v>29</v>
      </c>
      <c r="E2255" s="71" t="s">
        <v>87</v>
      </c>
      <c r="F2255" s="70" t="s">
        <v>93</v>
      </c>
      <c r="G2255" s="71" t="s">
        <v>216</v>
      </c>
      <c r="J2255" s="71" t="s">
        <v>1472</v>
      </c>
      <c r="L2255" s="326">
        <f>9042+4064</f>
        <v>13106</v>
      </c>
      <c r="M2255" s="136">
        <f>M2254+K2255-L2255</f>
        <v>29489.579053333844</v>
      </c>
    </row>
    <row r="2256" spans="1:13">
      <c r="A2256" s="54" t="str">
        <f>D2256&amp;E2256&amp;F2256</f>
        <v>HRFONDO Y REPOSICIONHR</v>
      </c>
      <c r="B2256" t="s">
        <v>1277</v>
      </c>
      <c r="C2256" s="1">
        <v>45833</v>
      </c>
      <c r="D2256" s="71" t="s">
        <v>29</v>
      </c>
      <c r="E2256" s="71" t="s">
        <v>120</v>
      </c>
      <c r="F2256" s="70" t="s">
        <v>29</v>
      </c>
      <c r="G2256" s="71" t="s">
        <v>216</v>
      </c>
      <c r="J2256" s="71" t="s">
        <v>539</v>
      </c>
      <c r="L2256" s="326">
        <v>2000</v>
      </c>
      <c r="M2256" s="136">
        <f>M2255+K2256-L2256</f>
        <v>27489.579053333844</v>
      </c>
    </row>
    <row r="2257" spans="1:13">
      <c r="A2257" s="54" t="str">
        <f>D2257&amp;E2257&amp;F2257</f>
        <v>FINANZASCUOTAS Y SUSCRIPCIONESTRAMITES</v>
      </c>
      <c r="B2257" t="s">
        <v>1277</v>
      </c>
      <c r="C2257" s="1">
        <v>45833</v>
      </c>
      <c r="D2257" s="71" t="s">
        <v>23</v>
      </c>
      <c r="E2257" s="71" t="s">
        <v>51</v>
      </c>
      <c r="F2257" s="70" t="s">
        <v>81</v>
      </c>
      <c r="G2257" s="71" t="s">
        <v>258</v>
      </c>
      <c r="J2257" s="71" t="s">
        <v>1473</v>
      </c>
      <c r="L2257" s="326">
        <v>4500</v>
      </c>
      <c r="M2257" s="136">
        <f t="shared" si="47"/>
        <v>22989.579053333844</v>
      </c>
    </row>
    <row r="2258" spans="1:13">
      <c r="A2258" s="54" t="str">
        <f>D2258&amp;E2258&amp;F2258</f>
        <v>FINANZASCUOTAS Y SUSCRIPCIONESPROTECCION CIVIL</v>
      </c>
      <c r="B2258" t="s">
        <v>1277</v>
      </c>
      <c r="C2258" s="1">
        <v>45833</v>
      </c>
      <c r="D2258" s="71" t="s">
        <v>23</v>
      </c>
      <c r="E2258" s="71" t="s">
        <v>51</v>
      </c>
      <c r="F2258" s="70" t="s">
        <v>76</v>
      </c>
      <c r="G2258" s="71" t="s">
        <v>216</v>
      </c>
      <c r="J2258" s="71" t="s">
        <v>1474</v>
      </c>
      <c r="L2258" s="326">
        <v>1500</v>
      </c>
      <c r="M2258" s="136">
        <f t="shared" si="47"/>
        <v>21489.579053333844</v>
      </c>
    </row>
    <row r="2259" spans="1:13">
      <c r="A2259" s="54" t="str">
        <f>D2259&amp;E2259&amp;F2259</f>
        <v>SERVICIOSTELEPEAJECEDIS</v>
      </c>
      <c r="B2259" t="s">
        <v>1277</v>
      </c>
      <c r="C2259" s="1">
        <v>45833</v>
      </c>
      <c r="D2259" s="71" t="s">
        <v>21</v>
      </c>
      <c r="E2259" s="71" t="s">
        <v>186</v>
      </c>
      <c r="F2259" s="70" t="s">
        <v>28</v>
      </c>
      <c r="G2259" s="71" t="s">
        <v>216</v>
      </c>
      <c r="J2259" s="71" t="s">
        <v>238</v>
      </c>
      <c r="L2259" s="326">
        <v>658</v>
      </c>
      <c r="M2259" s="136">
        <f t="shared" si="47"/>
        <v>20831.579053333844</v>
      </c>
    </row>
    <row r="2260" spans="1:13">
      <c r="A2260" s="54" t="str">
        <f>D2260&amp;E2260&amp;F2260</f>
        <v>FINANZASTELEPEAJEFINANZAS</v>
      </c>
      <c r="B2260" t="s">
        <v>1277</v>
      </c>
      <c r="C2260" s="1">
        <v>45833</v>
      </c>
      <c r="D2260" s="71" t="s">
        <v>23</v>
      </c>
      <c r="E2260" s="71" t="s">
        <v>186</v>
      </c>
      <c r="F2260" s="70" t="s">
        <v>23</v>
      </c>
      <c r="G2260" s="71" t="s">
        <v>216</v>
      </c>
      <c r="J2260" s="71" t="s">
        <v>974</v>
      </c>
      <c r="L2260" s="326">
        <v>836</v>
      </c>
      <c r="M2260" s="136">
        <f t="shared" si="47"/>
        <v>19995.579053333844</v>
      </c>
    </row>
    <row r="2261" spans="1:13">
      <c r="A2261" s="54" t="str">
        <f>D2261&amp;E2261&amp;F2261</f>
        <v>CAPTELEPEAJEOP CAPRICHOS</v>
      </c>
      <c r="B2261" t="s">
        <v>1277</v>
      </c>
      <c r="C2261" s="1">
        <v>45833</v>
      </c>
      <c r="D2261" s="71" t="s">
        <v>31</v>
      </c>
      <c r="E2261" s="71" t="s">
        <v>186</v>
      </c>
      <c r="F2261" s="70" t="s">
        <v>188</v>
      </c>
      <c r="G2261" s="71" t="s">
        <v>216</v>
      </c>
      <c r="J2261" s="71" t="s">
        <v>551</v>
      </c>
      <c r="L2261" s="326">
        <v>445</v>
      </c>
      <c r="M2261" s="136">
        <f t="shared" si="47"/>
        <v>19550.579053333844</v>
      </c>
    </row>
    <row r="2262" spans="1:13">
      <c r="A2262" s="54" t="str">
        <f>D2262&amp;E2262&amp;F2262</f>
        <v>SERVICIOSTELEPEAJECEDIS</v>
      </c>
      <c r="B2262" t="s">
        <v>1277</v>
      </c>
      <c r="C2262" s="1">
        <v>45833</v>
      </c>
      <c r="D2262" s="71" t="s">
        <v>21</v>
      </c>
      <c r="E2262" s="71" t="s">
        <v>186</v>
      </c>
      <c r="F2262" s="70" t="s">
        <v>28</v>
      </c>
      <c r="G2262" s="71" t="s">
        <v>216</v>
      </c>
      <c r="J2262" s="71" t="s">
        <v>238</v>
      </c>
      <c r="L2262" s="326">
        <v>3313</v>
      </c>
      <c r="M2262" s="136">
        <f>M2261+K2262-L2262</f>
        <v>16237.579053333844</v>
      </c>
    </row>
    <row r="2263" spans="1:13">
      <c r="A2263" s="54" t="str">
        <f>D2263&amp;E2263&amp;F2263</f>
        <v>HRTELEPEAJEOP HR</v>
      </c>
      <c r="B2263" t="s">
        <v>1277</v>
      </c>
      <c r="C2263" s="1">
        <v>45833</v>
      </c>
      <c r="D2263" s="71" t="s">
        <v>29</v>
      </c>
      <c r="E2263" s="71" t="s">
        <v>186</v>
      </c>
      <c r="F2263" s="70" t="s">
        <v>187</v>
      </c>
      <c r="G2263" s="71" t="s">
        <v>216</v>
      </c>
      <c r="J2263" s="71" t="s">
        <v>1475</v>
      </c>
      <c r="L2263" s="326">
        <v>1548</v>
      </c>
      <c r="M2263" s="136">
        <f>M2262+K2263-L2263</f>
        <v>14689.579053333844</v>
      </c>
    </row>
    <row r="2264" spans="1:13">
      <c r="A2264" s="54" t="str">
        <f>D2264&amp;E2264&amp;F2264</f>
        <v>HRTELEPEAJEOP HR</v>
      </c>
      <c r="B2264" t="s">
        <v>1277</v>
      </c>
      <c r="C2264" s="1">
        <v>45833</v>
      </c>
      <c r="D2264" s="71" t="s">
        <v>29</v>
      </c>
      <c r="E2264" s="71" t="s">
        <v>186</v>
      </c>
      <c r="F2264" s="70" t="s">
        <v>187</v>
      </c>
      <c r="G2264" s="71" t="s">
        <v>216</v>
      </c>
      <c r="J2264" s="71" t="s">
        <v>1476</v>
      </c>
      <c r="L2264" s="326">
        <v>370</v>
      </c>
      <c r="M2264" s="136">
        <f>M2263+K2264-L2264</f>
        <v>14319.579053333844</v>
      </c>
    </row>
    <row r="2265" spans="1:13">
      <c r="A2265" s="54" t="str">
        <f>D2265&amp;E2265&amp;F2265</f>
        <v>CAPTELEPEAJEOP CAPRICHOS</v>
      </c>
      <c r="B2265" t="s">
        <v>1277</v>
      </c>
      <c r="C2265" s="1">
        <v>45833</v>
      </c>
      <c r="D2265" s="71" t="s">
        <v>31</v>
      </c>
      <c r="E2265" s="71" t="s">
        <v>186</v>
      </c>
      <c r="F2265" s="70" t="s">
        <v>188</v>
      </c>
      <c r="G2265" s="71" t="s">
        <v>216</v>
      </c>
      <c r="J2265" s="71" t="s">
        <v>1477</v>
      </c>
      <c r="L2265" s="326">
        <v>329</v>
      </c>
      <c r="M2265" s="136">
        <f>M2264+K2265-L2265</f>
        <v>13990.579053333844</v>
      </c>
    </row>
    <row r="2266" spans="1:13">
      <c r="A2266" s="54" t="str">
        <f>D2266&amp;E2266&amp;F2266</f>
        <v>HRUBERHR</v>
      </c>
      <c r="B2266" t="s">
        <v>1277</v>
      </c>
      <c r="C2266" s="1">
        <v>45833</v>
      </c>
      <c r="D2266" s="71" t="s">
        <v>29</v>
      </c>
      <c r="E2266" s="71" t="s">
        <v>189</v>
      </c>
      <c r="F2266" s="70" t="s">
        <v>29</v>
      </c>
      <c r="G2266" s="71" t="s">
        <v>258</v>
      </c>
      <c r="J2266" s="76" t="s">
        <v>308</v>
      </c>
      <c r="L2266" s="526">
        <v>72</v>
      </c>
      <c r="M2266" s="136">
        <f>M2265+K2266-L2266</f>
        <v>13918.579053333844</v>
      </c>
    </row>
    <row r="2267" spans="1:13">
      <c r="A2267" s="54" t="str">
        <f>D2267&amp;E2267&amp;F2267</f>
        <v>HRINSUMOSHR</v>
      </c>
      <c r="B2267" t="s">
        <v>1277</v>
      </c>
      <c r="C2267" s="1">
        <v>45833</v>
      </c>
      <c r="D2267" s="71" t="s">
        <v>29</v>
      </c>
      <c r="E2267" s="71" t="s">
        <v>133</v>
      </c>
      <c r="F2267" s="70" t="s">
        <v>29</v>
      </c>
      <c r="G2267" s="71" t="s">
        <v>216</v>
      </c>
      <c r="J2267" s="76" t="s">
        <v>1478</v>
      </c>
      <c r="L2267" s="331">
        <v>64</v>
      </c>
      <c r="M2267" s="136">
        <f>M2266+K2267-L2267</f>
        <v>13854.579053333844</v>
      </c>
    </row>
    <row r="2268" spans="1:13">
      <c r="A2268" s="54" t="str">
        <f>D2268&amp;E2268&amp;F2268</f>
        <v>HRUBERHR</v>
      </c>
      <c r="B2268" t="s">
        <v>1277</v>
      </c>
      <c r="C2268" s="1">
        <v>45833</v>
      </c>
      <c r="D2268" s="71" t="s">
        <v>29</v>
      </c>
      <c r="E2268" s="71" t="s">
        <v>189</v>
      </c>
      <c r="F2268" s="70" t="s">
        <v>29</v>
      </c>
      <c r="G2268" s="71" t="s">
        <v>258</v>
      </c>
      <c r="J2268" s="76" t="s">
        <v>802</v>
      </c>
      <c r="L2268" s="526">
        <v>2845.5</v>
      </c>
      <c r="M2268" s="136">
        <f>M2267+K2268-L2268</f>
        <v>11009.079053333844</v>
      </c>
    </row>
    <row r="2269" spans="1:13">
      <c r="A2269" s="54" t="str">
        <f>D2269&amp;E2269&amp;F2269</f>
        <v>FINANZASIMSS/INFONAVITIMSS/INFONAVIT</v>
      </c>
      <c r="B2269" t="s">
        <v>1277</v>
      </c>
      <c r="C2269" s="1">
        <v>45833</v>
      </c>
      <c r="D2269" s="71" t="s">
        <v>23</v>
      </c>
      <c r="E2269" s="71" t="s">
        <v>132</v>
      </c>
      <c r="F2269" s="70" t="s">
        <v>132</v>
      </c>
      <c r="G2269" s="71" t="s">
        <v>216</v>
      </c>
      <c r="J2269" s="76" t="s">
        <v>1479</v>
      </c>
      <c r="L2269" s="331">
        <v>2780</v>
      </c>
      <c r="M2269" s="136">
        <f>M2268+K2269-L2269</f>
        <v>8229.0790533338441</v>
      </c>
    </row>
    <row r="2270" spans="1:13">
      <c r="A2270" s="54" t="str">
        <f>D2270&amp;E2270&amp;F2270</f>
        <v>HRJMASA16</v>
      </c>
      <c r="B2270" t="s">
        <v>1277</v>
      </c>
      <c r="C2270" s="1">
        <v>45833</v>
      </c>
      <c r="D2270" s="71" t="s">
        <v>29</v>
      </c>
      <c r="E2270" s="71" t="s">
        <v>137</v>
      </c>
      <c r="F2270" s="70" t="s">
        <v>101</v>
      </c>
      <c r="G2270" s="71" t="s">
        <v>216</v>
      </c>
      <c r="J2270" s="76" t="s">
        <v>495</v>
      </c>
      <c r="L2270" s="331">
        <v>151</v>
      </c>
      <c r="M2270" s="136">
        <f>M2269+K2270-L2270</f>
        <v>8078.0790533338441</v>
      </c>
    </row>
    <row r="2271" spans="1:13">
      <c r="A2271" s="54" t="str">
        <f>D2271&amp;E2271&amp;F2271</f>
        <v>HRUBERHR</v>
      </c>
      <c r="B2271" t="s">
        <v>1277</v>
      </c>
      <c r="C2271" s="1">
        <v>45833</v>
      </c>
      <c r="D2271" s="71" t="s">
        <v>29</v>
      </c>
      <c r="E2271" s="71" t="s">
        <v>189</v>
      </c>
      <c r="F2271" s="70" t="s">
        <v>29</v>
      </c>
      <c r="G2271" s="71" t="s">
        <v>258</v>
      </c>
      <c r="J2271" s="76" t="s">
        <v>249</v>
      </c>
      <c r="L2271" s="526">
        <v>200</v>
      </c>
      <c r="M2271" s="136">
        <f>M2270+K2271-L2271</f>
        <v>7878.0790533338441</v>
      </c>
    </row>
    <row r="2272" spans="1:13">
      <c r="A2272" s="54" t="str">
        <f>D2272&amp;E2272&amp;F2272</f>
        <v>CAPUBERCAP</v>
      </c>
      <c r="B2272" t="s">
        <v>1277</v>
      </c>
      <c r="C2272" s="1">
        <v>45833</v>
      </c>
      <c r="D2272" s="71" t="s">
        <v>31</v>
      </c>
      <c r="E2272" s="71" t="s">
        <v>189</v>
      </c>
      <c r="F2272" s="70" t="s">
        <v>31</v>
      </c>
      <c r="G2272" s="71" t="s">
        <v>258</v>
      </c>
      <c r="J2272" s="76" t="s">
        <v>1480</v>
      </c>
      <c r="L2272" s="526">
        <v>40</v>
      </c>
      <c r="M2272" s="136">
        <f>M2271+K2272-L2272</f>
        <v>7838.0790533338441</v>
      </c>
    </row>
    <row r="2273" spans="1:13">
      <c r="A2273" s="54" t="str">
        <f>D2273&amp;E2273&amp;F2273</f>
        <v>CAPUBERCAP</v>
      </c>
      <c r="B2273" t="s">
        <v>1277</v>
      </c>
      <c r="C2273" s="1">
        <v>45833</v>
      </c>
      <c r="D2273" s="71" t="s">
        <v>31</v>
      </c>
      <c r="E2273" s="71" t="s">
        <v>189</v>
      </c>
      <c r="F2273" s="70" t="s">
        <v>31</v>
      </c>
      <c r="G2273" s="71" t="s">
        <v>258</v>
      </c>
      <c r="J2273" s="76" t="s">
        <v>257</v>
      </c>
      <c r="L2273" s="526">
        <v>200</v>
      </c>
      <c r="M2273" s="136">
        <f>M2272+K2273-L2273</f>
        <v>7638.0790533338441</v>
      </c>
    </row>
    <row r="2274" spans="1:13">
      <c r="A2274" s="54" t="str">
        <f>D2274&amp;E2274&amp;F2274</f>
        <v>CAPFONDO Y REPOSICIONCAPRICHOS</v>
      </c>
      <c r="B2274" t="s">
        <v>1277</v>
      </c>
      <c r="C2274" s="1">
        <v>45833</v>
      </c>
      <c r="D2274" s="71" t="s">
        <v>31</v>
      </c>
      <c r="E2274" s="71" t="s">
        <v>120</v>
      </c>
      <c r="F2274" s="70" t="s">
        <v>33</v>
      </c>
      <c r="G2274" s="71" t="s">
        <v>216</v>
      </c>
      <c r="J2274" s="76" t="s">
        <v>1481</v>
      </c>
      <c r="L2274" s="326"/>
      <c r="M2274" s="136">
        <f>M2273+K2274-L2274</f>
        <v>7638.0790533338441</v>
      </c>
    </row>
    <row r="2275" spans="1:13">
      <c r="A2275" s="54" t="str">
        <f t="shared" si="48"/>
        <v/>
      </c>
      <c r="B2275" t="s">
        <v>1277</v>
      </c>
      <c r="C2275" s="1">
        <v>45834</v>
      </c>
      <c r="D2275" s="71"/>
      <c r="F2275" s="70"/>
      <c r="J2275" s="71" t="s">
        <v>260</v>
      </c>
      <c r="K2275" s="332">
        <v>238029.05</v>
      </c>
      <c r="L2275" s="354"/>
      <c r="M2275" s="136">
        <f>M2274+K2275-L2275</f>
        <v>245667.12905333383</v>
      </c>
    </row>
    <row r="2276" spans="1:13">
      <c r="A2276" s="54" t="str">
        <f>D2276&amp;E2276&amp;F2276</f>
        <v>FINANZASCOMISIONES BANCARIASTPV</v>
      </c>
      <c r="B2276" t="s">
        <v>1277</v>
      </c>
      <c r="C2276" s="1">
        <v>45834</v>
      </c>
      <c r="D2276" s="71" t="s">
        <v>23</v>
      </c>
      <c r="E2276" s="71" t="s">
        <v>48</v>
      </c>
      <c r="F2276" s="70" t="s">
        <v>50</v>
      </c>
      <c r="G2276" s="71" t="s">
        <v>216</v>
      </c>
      <c r="J2276" s="71" t="s">
        <v>217</v>
      </c>
      <c r="L2276" s="326">
        <v>4376.6399999999994</v>
      </c>
      <c r="M2276" s="136">
        <f>M2275+K2276-L2276</f>
        <v>241290.48905333382</v>
      </c>
    </row>
    <row r="2277" spans="1:13">
      <c r="A2277" s="54" t="str">
        <f t="shared" si="48"/>
        <v/>
      </c>
      <c r="B2277" t="s">
        <v>1277</v>
      </c>
      <c r="C2277" s="1">
        <v>45834</v>
      </c>
      <c r="D2277" s="71"/>
      <c r="F2277" s="70"/>
      <c r="J2277" s="205" t="s">
        <v>220</v>
      </c>
      <c r="K2277" s="206"/>
      <c r="L2277" s="206">
        <v>50000</v>
      </c>
      <c r="M2277" s="136">
        <f>M2276+K2277-L2277</f>
        <v>191290.48905333382</v>
      </c>
    </row>
    <row r="2278" spans="1:13">
      <c r="A2278" s="54" t="str">
        <f t="shared" si="48"/>
        <v/>
      </c>
      <c r="B2278" t="s">
        <v>1277</v>
      </c>
      <c r="C2278" s="1">
        <v>45834</v>
      </c>
      <c r="D2278" s="71"/>
      <c r="F2278" s="70"/>
      <c r="J2278" s="71" t="s">
        <v>1482</v>
      </c>
      <c r="L2278" s="326">
        <v>68013.14</v>
      </c>
      <c r="M2278" s="136">
        <f>M2277+K2278-L2278</f>
        <v>123277.34905333382</v>
      </c>
    </row>
    <row r="2279" spans="1:13">
      <c r="A2279" s="54" t="str">
        <f>D2279&amp;E2279&amp;F2279</f>
        <v>FINANZASVIATICOSFINANZAS</v>
      </c>
      <c r="B2279" t="s">
        <v>1277</v>
      </c>
      <c r="C2279" s="1">
        <v>45834</v>
      </c>
      <c r="D2279" s="71" t="s">
        <v>23</v>
      </c>
      <c r="E2279" s="71" t="s">
        <v>191</v>
      </c>
      <c r="F2279" s="70" t="s">
        <v>23</v>
      </c>
      <c r="G2279" s="71" t="s">
        <v>216</v>
      </c>
      <c r="J2279" s="71" t="s">
        <v>1483</v>
      </c>
      <c r="L2279" s="326">
        <v>450</v>
      </c>
      <c r="M2279" s="136">
        <f>M2278+K2279-L2279</f>
        <v>122827.34905333382</v>
      </c>
    </row>
    <row r="2280" spans="1:13">
      <c r="A2280" s="54" t="str">
        <f>D2280&amp;E2280&amp;F2280</f>
        <v>SGEVIATICOSGESTION EMPRESARIAL</v>
      </c>
      <c r="B2280" t="s">
        <v>1277</v>
      </c>
      <c r="C2280" s="1">
        <v>45834</v>
      </c>
      <c r="D2280" s="71" t="s">
        <v>39</v>
      </c>
      <c r="E2280" s="71" t="s">
        <v>191</v>
      </c>
      <c r="F2280" s="70" t="s">
        <v>40</v>
      </c>
      <c r="J2280" s="71" t="s">
        <v>1030</v>
      </c>
      <c r="L2280" s="326">
        <v>2400</v>
      </c>
      <c r="M2280" s="136">
        <f>M2279+K2280-L2280</f>
        <v>120427.34905333382</v>
      </c>
    </row>
    <row r="2281" spans="1:13">
      <c r="A2281" s="54" t="str">
        <f>D2281&amp;E2281&amp;F2281</f>
        <v>SERVICIOSMTTO DE EDIFICIOMANTENIMIENTO</v>
      </c>
      <c r="B2281" t="s">
        <v>1277</v>
      </c>
      <c r="C2281" s="1">
        <v>45834</v>
      </c>
      <c r="D2281" s="71" t="s">
        <v>21</v>
      </c>
      <c r="E2281" s="71" t="s">
        <v>142</v>
      </c>
      <c r="F2281" s="70" t="s">
        <v>35</v>
      </c>
      <c r="G2281" s="71" t="s">
        <v>258</v>
      </c>
      <c r="J2281" s="71" t="s">
        <v>1484</v>
      </c>
      <c r="L2281" s="326">
        <v>10500</v>
      </c>
      <c r="M2281" s="136">
        <f>M2280+K2281-L2281</f>
        <v>109927.34905333382</v>
      </c>
    </row>
    <row r="2282" spans="1:13">
      <c r="A2282" s="54" t="str">
        <f>D2282&amp;E2282&amp;F2282</f>
        <v>SERVICIOSMTTO EQ DE TRANSPORTECEDIS</v>
      </c>
      <c r="B2282" t="s">
        <v>1277</v>
      </c>
      <c r="C2282" s="1">
        <v>45834</v>
      </c>
      <c r="D2282" s="71" t="s">
        <v>21</v>
      </c>
      <c r="E2282" s="71" t="s">
        <v>144</v>
      </c>
      <c r="F2282" s="70" t="s">
        <v>28</v>
      </c>
      <c r="G2282" s="71" t="s">
        <v>258</v>
      </c>
      <c r="J2282" s="71" t="s">
        <v>1485</v>
      </c>
      <c r="L2282" s="208">
        <v>5700</v>
      </c>
      <c r="M2282" s="136">
        <f>M2281+K2282-L2282</f>
        <v>104227.34905333382</v>
      </c>
    </row>
    <row r="2283" spans="1:13">
      <c r="A2283" s="54" t="str">
        <f>D2283&amp;E2283&amp;F2283</f>
        <v>FINANZASSOLUONESOLUONE (RETAIL)</v>
      </c>
      <c r="B2283" t="s">
        <v>1277</v>
      </c>
      <c r="C2283" s="1">
        <v>45834</v>
      </c>
      <c r="D2283" s="71" t="s">
        <v>23</v>
      </c>
      <c r="E2283" s="71" t="s">
        <v>179</v>
      </c>
      <c r="F2283" s="70" t="s">
        <v>180</v>
      </c>
      <c r="G2283" s="71" t="s">
        <v>258</v>
      </c>
      <c r="J2283" s="71" t="s">
        <v>1150</v>
      </c>
      <c r="L2283" s="326">
        <v>8886.5</v>
      </c>
      <c r="M2283" s="136">
        <f>M2282+K2283-L2283</f>
        <v>95340.849053333819</v>
      </c>
    </row>
    <row r="2284" spans="1:13">
      <c r="A2284" s="54" t="str">
        <f>D2284&amp;E2284&amp;F2284</f>
        <v>CAPMKTMKT CAP</v>
      </c>
      <c r="B2284" t="s">
        <v>1277</v>
      </c>
      <c r="C2284" s="1">
        <v>45834</v>
      </c>
      <c r="D2284" s="71" t="s">
        <v>31</v>
      </c>
      <c r="E2284" s="71" t="s">
        <v>19</v>
      </c>
      <c r="F2284" s="70" t="s">
        <v>139</v>
      </c>
      <c r="G2284" s="71" t="s">
        <v>216</v>
      </c>
      <c r="J2284" s="71" t="s">
        <v>1486</v>
      </c>
      <c r="L2284" s="326">
        <v>3000</v>
      </c>
      <c r="M2284" s="136">
        <f>M2283+K2284-L2284</f>
        <v>92340.849053333819</v>
      </c>
    </row>
    <row r="2285" spans="1:13">
      <c r="A2285" s="54" t="str">
        <f>D2285&amp;E2285&amp;F2285</f>
        <v>HRVIATICOSHR</v>
      </c>
      <c r="B2285" t="s">
        <v>1277</v>
      </c>
      <c r="C2285" s="1">
        <v>45834</v>
      </c>
      <c r="D2285" s="71" t="s">
        <v>29</v>
      </c>
      <c r="E2285" s="71" t="s">
        <v>191</v>
      </c>
      <c r="F2285" s="70" t="s">
        <v>29</v>
      </c>
      <c r="G2285" s="71" t="s">
        <v>216</v>
      </c>
      <c r="J2285" s="71" t="s">
        <v>1487</v>
      </c>
      <c r="L2285" s="326">
        <v>1200</v>
      </c>
      <c r="M2285" s="136">
        <f>M2284+K2285-L2285</f>
        <v>91140.849053333819</v>
      </c>
    </row>
    <row r="2286" spans="1:13">
      <c r="A2286" s="54" t="str">
        <f>D2286&amp;E2286&amp;F2286</f>
        <v>HRVIATICOSHR</v>
      </c>
      <c r="B2286" t="s">
        <v>1277</v>
      </c>
      <c r="C2286" s="1">
        <v>45834</v>
      </c>
      <c r="D2286" s="71" t="s">
        <v>29</v>
      </c>
      <c r="E2286" s="71" t="s">
        <v>191</v>
      </c>
      <c r="F2286" s="70" t="s">
        <v>29</v>
      </c>
      <c r="G2286" s="71" t="s">
        <v>216</v>
      </c>
      <c r="J2286" s="71" t="s">
        <v>1488</v>
      </c>
      <c r="L2286" s="326">
        <v>1800</v>
      </c>
      <c r="M2286" s="136">
        <f>M2285+K2286-L2286</f>
        <v>89340.849053333819</v>
      </c>
    </row>
    <row r="2287" spans="1:13">
      <c r="A2287" s="54" t="str">
        <f>D2287&amp;E2287&amp;F2287</f>
        <v>HRUBERHR</v>
      </c>
      <c r="B2287" t="s">
        <v>1277</v>
      </c>
      <c r="C2287" s="1">
        <v>45834</v>
      </c>
      <c r="D2287" s="71" t="s">
        <v>29</v>
      </c>
      <c r="E2287" s="71" t="s">
        <v>189</v>
      </c>
      <c r="F2287" s="70" t="s">
        <v>29</v>
      </c>
      <c r="G2287" s="71" t="s">
        <v>258</v>
      </c>
      <c r="J2287" s="76" t="s">
        <v>1063</v>
      </c>
      <c r="L2287" s="526">
        <v>136</v>
      </c>
      <c r="M2287" s="136">
        <f>M2286+K2287-L2287</f>
        <v>89204.849053333819</v>
      </c>
    </row>
    <row r="2288" spans="1:13">
      <c r="A2288" s="54" t="str">
        <f>D2288&amp;E2288&amp;F2288</f>
        <v>HRUBERHR</v>
      </c>
      <c r="B2288" t="s">
        <v>1277</v>
      </c>
      <c r="C2288" s="1">
        <v>45834</v>
      </c>
      <c r="D2288" s="71" t="s">
        <v>29</v>
      </c>
      <c r="E2288" s="71" t="s">
        <v>189</v>
      </c>
      <c r="F2288" s="70" t="s">
        <v>29</v>
      </c>
      <c r="G2288" s="71" t="s">
        <v>258</v>
      </c>
      <c r="J2288" s="76" t="s">
        <v>249</v>
      </c>
      <c r="L2288" s="526">
        <v>331</v>
      </c>
      <c r="M2288" s="136">
        <f>M2287+K2288-L2288</f>
        <v>88873.849053333819</v>
      </c>
    </row>
    <row r="2289" spans="1:13">
      <c r="A2289" s="54" t="str">
        <f>D2289&amp;E2289&amp;F2289</f>
        <v>CAPUBERCAP</v>
      </c>
      <c r="B2289" t="s">
        <v>1277</v>
      </c>
      <c r="C2289" s="1">
        <v>45834</v>
      </c>
      <c r="D2289" s="71" t="s">
        <v>31</v>
      </c>
      <c r="E2289" s="71" t="s">
        <v>189</v>
      </c>
      <c r="F2289" s="70" t="s">
        <v>31</v>
      </c>
      <c r="G2289" s="71" t="s">
        <v>258</v>
      </c>
      <c r="J2289" s="76" t="s">
        <v>253</v>
      </c>
      <c r="L2289" s="526">
        <v>323</v>
      </c>
      <c r="M2289" s="136">
        <f>M2288+K2289-L2289</f>
        <v>88550.849053333819</v>
      </c>
    </row>
    <row r="2290" spans="1:13">
      <c r="A2290" s="54" t="str">
        <f t="shared" si="48"/>
        <v/>
      </c>
      <c r="B2290" t="s">
        <v>1277</v>
      </c>
      <c r="C2290" s="1">
        <v>45835</v>
      </c>
      <c r="D2290" s="71"/>
      <c r="F2290" s="70"/>
      <c r="J2290" s="71" t="s">
        <v>260</v>
      </c>
      <c r="K2290" s="325">
        <v>274538.2</v>
      </c>
      <c r="L2290" s="354"/>
      <c r="M2290" s="136">
        <f>M2289+K2290-L2290</f>
        <v>363089.04905333382</v>
      </c>
    </row>
    <row r="2291" spans="1:13">
      <c r="A2291" s="54" t="str">
        <f>D2291&amp;E2291&amp;F2291</f>
        <v>FINANZASCOMISIONES BANCARIASTPV</v>
      </c>
      <c r="B2291" t="s">
        <v>1277</v>
      </c>
      <c r="C2291" s="1">
        <v>45835</v>
      </c>
      <c r="D2291" s="71" t="s">
        <v>23</v>
      </c>
      <c r="E2291" s="71" t="s">
        <v>48</v>
      </c>
      <c r="F2291" s="70" t="s">
        <v>50</v>
      </c>
      <c r="G2291" s="71" t="s">
        <v>216</v>
      </c>
      <c r="J2291" s="71" t="s">
        <v>217</v>
      </c>
      <c r="L2291" s="326">
        <f>492.19+283.53+91.87+2086.95+1725.11+1093.15+3.48+14.4</f>
        <v>5790.6799999999985</v>
      </c>
      <c r="M2291" s="136">
        <f>M2290+K2291-L2291</f>
        <v>357298.36905333382</v>
      </c>
    </row>
    <row r="2292" spans="1:13">
      <c r="A2292" s="54" t="str">
        <f t="shared" si="48"/>
        <v/>
      </c>
      <c r="B2292" t="s">
        <v>1277</v>
      </c>
      <c r="C2292" s="1">
        <v>45835</v>
      </c>
      <c r="D2292" s="71"/>
      <c r="F2292" s="70"/>
      <c r="J2292" s="205" t="s">
        <v>220</v>
      </c>
      <c r="K2292" s="205"/>
      <c r="L2292" s="206">
        <v>23900</v>
      </c>
      <c r="M2292" s="136">
        <f>M2291+K2292-L2292</f>
        <v>333398.36905333382</v>
      </c>
    </row>
    <row r="2293" spans="1:13">
      <c r="A2293" s="54" t="str">
        <f t="shared" si="48"/>
        <v>COMBUSTIBLE</v>
      </c>
      <c r="B2293" t="s">
        <v>1277</v>
      </c>
      <c r="C2293" s="1">
        <v>45835</v>
      </c>
      <c r="D2293" s="71"/>
      <c r="E2293" s="71" t="s">
        <v>32</v>
      </c>
      <c r="F2293" s="70"/>
      <c r="G2293" s="71" t="s">
        <v>1489</v>
      </c>
      <c r="J2293" s="71" t="s">
        <v>564</v>
      </c>
      <c r="L2293" s="326">
        <v>26305</v>
      </c>
      <c r="M2293" s="136">
        <f>M2292+K2293-L2293</f>
        <v>307093.36905333382</v>
      </c>
    </row>
    <row r="2294" spans="1:13">
      <c r="A2294" s="54" t="str">
        <f>D2294&amp;E2294&amp;F2294</f>
        <v>SERVICIOSFONDO Y REPOSICIONSERVICIOS</v>
      </c>
      <c r="B2294" t="s">
        <v>1277</v>
      </c>
      <c r="C2294" s="1">
        <v>45835</v>
      </c>
      <c r="D2294" s="71" t="s">
        <v>21</v>
      </c>
      <c r="E2294" s="71" t="s">
        <v>120</v>
      </c>
      <c r="F2294" s="70" t="s">
        <v>21</v>
      </c>
      <c r="G2294" s="71" t="s">
        <v>216</v>
      </c>
      <c r="J2294" s="71" t="s">
        <v>710</v>
      </c>
      <c r="L2294" s="326">
        <v>2000</v>
      </c>
      <c r="M2294" s="136">
        <f>M2293+K2294-L2294</f>
        <v>305093.36905333382</v>
      </c>
    </row>
    <row r="2295" spans="1:13">
      <c r="A2295" s="54" t="str">
        <f>D2295&amp;E2295&amp;F2295</f>
        <v>DEVIATICOSDIRECCION</v>
      </c>
      <c r="B2295" t="s">
        <v>1277</v>
      </c>
      <c r="C2295" s="1">
        <v>45835</v>
      </c>
      <c r="D2295" s="71" t="s">
        <v>41</v>
      </c>
      <c r="E2295" s="71" t="s">
        <v>191</v>
      </c>
      <c r="F2295" s="70" t="s">
        <v>42</v>
      </c>
      <c r="G2295" s="71" t="s">
        <v>258</v>
      </c>
      <c r="J2295" s="71" t="s">
        <v>1490</v>
      </c>
      <c r="L2295" s="326">
        <v>500</v>
      </c>
      <c r="M2295" s="136">
        <f>M2294+K2295-L2295</f>
        <v>304593.36905333382</v>
      </c>
    </row>
    <row r="2296" spans="1:13">
      <c r="A2296" s="54" t="str">
        <f>D2296&amp;E2296&amp;F2296</f>
        <v>SERVICIOSADQ DE EQ TECNOLOGICOADQ DE EQ TECNOLOGICO</v>
      </c>
      <c r="B2296" t="s">
        <v>1277</v>
      </c>
      <c r="C2296" s="1">
        <v>45835</v>
      </c>
      <c r="D2296" s="71" t="s">
        <v>21</v>
      </c>
      <c r="E2296" s="71" t="s">
        <v>22</v>
      </c>
      <c r="F2296" s="70" t="s">
        <v>22</v>
      </c>
      <c r="G2296" s="71" t="s">
        <v>258</v>
      </c>
      <c r="J2296" s="71" t="s">
        <v>1491</v>
      </c>
      <c r="L2296" s="326">
        <v>10000</v>
      </c>
      <c r="M2296" s="136">
        <f>M2295+K2296-L2296</f>
        <v>294593.36905333382</v>
      </c>
    </row>
    <row r="2297" spans="1:13">
      <c r="A2297" s="54" t="str">
        <f>D2297&amp;E2297&amp;F2297</f>
        <v>HRIMAGEN VISUALIMAGEN VISUAL HR</v>
      </c>
      <c r="B2297" t="s">
        <v>1277</v>
      </c>
      <c r="C2297" s="1">
        <v>45835</v>
      </c>
      <c r="D2297" s="71" t="s">
        <v>29</v>
      </c>
      <c r="E2297" s="71" t="s">
        <v>127</v>
      </c>
      <c r="F2297" s="70" t="s">
        <v>128</v>
      </c>
      <c r="G2297" s="71" t="s">
        <v>216</v>
      </c>
      <c r="J2297" s="71" t="s">
        <v>1492</v>
      </c>
      <c r="L2297" s="326">
        <v>17762.18</v>
      </c>
      <c r="M2297" s="136">
        <f>M2296+K2297-L2297</f>
        <v>276831.18905333383</v>
      </c>
    </row>
    <row r="2298" spans="1:13">
      <c r="A2298" s="54" t="str">
        <f>D2298&amp;E2298&amp;F2298</f>
        <v>CAPIMAGEN VISUALIMAGEN VISUAL CAP</v>
      </c>
      <c r="B2298" t="s">
        <v>1277</v>
      </c>
      <c r="C2298" s="1">
        <v>45835</v>
      </c>
      <c r="D2298" s="71" t="s">
        <v>31</v>
      </c>
      <c r="E2298" s="71" t="s">
        <v>127</v>
      </c>
      <c r="F2298" s="70" t="s">
        <v>129</v>
      </c>
      <c r="G2298" s="71" t="s">
        <v>216</v>
      </c>
      <c r="J2298" s="71" t="s">
        <v>1493</v>
      </c>
      <c r="L2298" s="326">
        <v>11306.86</v>
      </c>
      <c r="M2298" s="136">
        <f>M2297+K2298-L2298</f>
        <v>265524.32905333384</v>
      </c>
    </row>
    <row r="2299" spans="1:13">
      <c r="A2299" s="54" t="str">
        <f t="shared" si="48"/>
        <v/>
      </c>
      <c r="B2299" t="s">
        <v>1277</v>
      </c>
      <c r="C2299" s="1">
        <v>45835</v>
      </c>
      <c r="D2299" s="71"/>
      <c r="F2299" s="70"/>
      <c r="G2299" s="71" t="s">
        <v>216</v>
      </c>
      <c r="J2299" s="71" t="s">
        <v>1391</v>
      </c>
      <c r="L2299" s="326">
        <v>400</v>
      </c>
      <c r="M2299" s="136">
        <f>M2298+K2299-L2299</f>
        <v>265124.32905333384</v>
      </c>
    </row>
    <row r="2300" spans="1:13">
      <c r="A2300" s="54" t="str">
        <f>D2300&amp;E2300&amp;F2300</f>
        <v>SERVICIOSMTTO EQ DE TRANSPORTECEDIS</v>
      </c>
      <c r="B2300" t="s">
        <v>1277</v>
      </c>
      <c r="C2300" s="1">
        <v>45835</v>
      </c>
      <c r="D2300" s="71" t="s">
        <v>21</v>
      </c>
      <c r="E2300" s="71" t="s">
        <v>144</v>
      </c>
      <c r="F2300" s="70" t="s">
        <v>28</v>
      </c>
      <c r="G2300" s="71" t="s">
        <v>258</v>
      </c>
      <c r="J2300" s="71" t="s">
        <v>1494</v>
      </c>
      <c r="L2300" s="208">
        <v>7621</v>
      </c>
      <c r="M2300" s="136">
        <f>M2299+K2300-L2300</f>
        <v>257503.32905333384</v>
      </c>
    </row>
    <row r="2301" spans="1:13">
      <c r="A2301" s="54" t="str">
        <f>D2301&amp;E2301&amp;F2301</f>
        <v>SERVICIOSMTTO EQ DE TRANSPORTECEDIS</v>
      </c>
      <c r="B2301" t="s">
        <v>1277</v>
      </c>
      <c r="C2301" s="1">
        <v>45835</v>
      </c>
      <c r="D2301" s="71" t="s">
        <v>21</v>
      </c>
      <c r="E2301" s="71" t="s">
        <v>144</v>
      </c>
      <c r="F2301" s="70" t="s">
        <v>28</v>
      </c>
      <c r="G2301" s="71" t="s">
        <v>216</v>
      </c>
      <c r="J2301" s="71" t="s">
        <v>1495</v>
      </c>
      <c r="L2301" s="208">
        <v>2842</v>
      </c>
      <c r="M2301" s="136">
        <f>M2300+K2301-L2301</f>
        <v>254661.32905333384</v>
      </c>
    </row>
    <row r="2302" spans="1:13">
      <c r="A2302" s="54" t="str">
        <f>D2302&amp;E2302&amp;F2302</f>
        <v>FINANZASCOMBUSTIBLEFINANZAS</v>
      </c>
      <c r="B2302" t="s">
        <v>1277</v>
      </c>
      <c r="C2302" s="1">
        <v>45835</v>
      </c>
      <c r="D2302" s="71" t="s">
        <v>23</v>
      </c>
      <c r="E2302" s="71" t="s">
        <v>32</v>
      </c>
      <c r="F2302" s="70" t="s">
        <v>23</v>
      </c>
      <c r="G2302" s="71" t="s">
        <v>216</v>
      </c>
      <c r="J2302" s="71" t="s">
        <v>1496</v>
      </c>
      <c r="L2302" s="326">
        <v>300</v>
      </c>
      <c r="M2302" s="136">
        <f>M2301+K2302-L2302</f>
        <v>254361.32905333384</v>
      </c>
    </row>
    <row r="2303" spans="1:13">
      <c r="A2303" s="54" t="str">
        <f>D2303&amp;E2303&amp;F2303</f>
        <v>HRVACACIONES/FINIQUITOSHR</v>
      </c>
      <c r="B2303" t="s">
        <v>1277</v>
      </c>
      <c r="C2303" s="1">
        <v>45838</v>
      </c>
      <c r="D2303" t="s">
        <v>29</v>
      </c>
      <c r="E2303" s="12" t="s">
        <v>190</v>
      </c>
      <c r="F2303" s="12" t="s">
        <v>29</v>
      </c>
      <c r="G2303" s="71" t="s">
        <v>216</v>
      </c>
      <c r="J2303" s="76" t="s">
        <v>1241</v>
      </c>
      <c r="L2303" s="331">
        <v>2683</v>
      </c>
      <c r="M2303" s="136">
        <f>M2302+K2303-L2303</f>
        <v>251678.32905333384</v>
      </c>
    </row>
    <row r="2304" spans="1:13">
      <c r="A2304" s="54" t="str">
        <f>D2304&amp;E2304&amp;F2304</f>
        <v>HRUBERHR</v>
      </c>
      <c r="B2304" t="s">
        <v>1277</v>
      </c>
      <c r="C2304" s="1">
        <v>45838</v>
      </c>
      <c r="D2304" s="71" t="s">
        <v>29</v>
      </c>
      <c r="E2304" s="71" t="s">
        <v>189</v>
      </c>
      <c r="F2304" s="70" t="s">
        <v>29</v>
      </c>
      <c r="G2304" s="71" t="s">
        <v>258</v>
      </c>
      <c r="J2304" s="76" t="s">
        <v>802</v>
      </c>
      <c r="L2304" s="526">
        <v>110</v>
      </c>
      <c r="M2304" s="136">
        <f>M2303+K2304-L2304</f>
        <v>251568.32905333384</v>
      </c>
    </row>
    <row r="2305" spans="1:13">
      <c r="A2305" s="54" t="str">
        <f>D2305&amp;E2305&amp;F2305</f>
        <v>HRUBERHR</v>
      </c>
      <c r="B2305" t="s">
        <v>1277</v>
      </c>
      <c r="C2305" s="1">
        <v>45838</v>
      </c>
      <c r="D2305" s="71" t="s">
        <v>29</v>
      </c>
      <c r="E2305" s="71" t="s">
        <v>189</v>
      </c>
      <c r="F2305" s="70" t="s">
        <v>29</v>
      </c>
      <c r="G2305" s="71" t="s">
        <v>258</v>
      </c>
      <c r="J2305" s="76" t="s">
        <v>1497</v>
      </c>
      <c r="L2305" s="526">
        <v>125</v>
      </c>
      <c r="M2305" s="136">
        <f>M2304+K2305-L2305</f>
        <v>251443.32905333384</v>
      </c>
    </row>
    <row r="2306" spans="1:13">
      <c r="A2306" s="54" t="str">
        <f>D2306&amp;E2306&amp;F2306</f>
        <v>CAPUBERCAP</v>
      </c>
      <c r="B2306" t="s">
        <v>1277</v>
      </c>
      <c r="C2306" s="1">
        <v>45838</v>
      </c>
      <c r="D2306" s="71" t="s">
        <v>31</v>
      </c>
      <c r="E2306" s="71" t="s">
        <v>189</v>
      </c>
      <c r="F2306" s="70" t="s">
        <v>31</v>
      </c>
      <c r="G2306" s="71" t="s">
        <v>258</v>
      </c>
      <c r="J2306" s="76" t="s">
        <v>873</v>
      </c>
      <c r="L2306" s="526">
        <v>312</v>
      </c>
      <c r="M2306" s="136">
        <f>M2305+K2306-L2306</f>
        <v>251131.32905333384</v>
      </c>
    </row>
    <row r="2307" spans="1:13">
      <c r="A2307" s="54" t="str">
        <f>D2307&amp;E2307&amp;F2307</f>
        <v>CAPUBERCAP</v>
      </c>
      <c r="B2307" t="s">
        <v>1277</v>
      </c>
      <c r="C2307" s="1">
        <v>45838</v>
      </c>
      <c r="D2307" s="71" t="s">
        <v>31</v>
      </c>
      <c r="E2307" s="71" t="s">
        <v>189</v>
      </c>
      <c r="F2307" s="70" t="s">
        <v>31</v>
      </c>
      <c r="G2307" s="71" t="s">
        <v>258</v>
      </c>
      <c r="J2307" s="76" t="s">
        <v>257</v>
      </c>
      <c r="L2307" s="526">
        <v>102</v>
      </c>
      <c r="M2307" s="136">
        <f>M2306+K2307-L2307</f>
        <v>251029.32905333384</v>
      </c>
    </row>
    <row r="2308" spans="1:13">
      <c r="A2308" s="54" t="str">
        <f>D2308&amp;E2308&amp;F2308</f>
        <v>CAPMKTMKT CAP</v>
      </c>
      <c r="B2308" t="s">
        <v>1277</v>
      </c>
      <c r="C2308" s="1">
        <v>45838</v>
      </c>
      <c r="D2308" s="71" t="s">
        <v>31</v>
      </c>
      <c r="E2308" s="71" t="s">
        <v>19</v>
      </c>
      <c r="F2308" s="70" t="s">
        <v>139</v>
      </c>
      <c r="G2308" s="71" t="s">
        <v>258</v>
      </c>
      <c r="J2308" s="76" t="s">
        <v>1498</v>
      </c>
      <c r="L2308" s="331">
        <v>2200</v>
      </c>
      <c r="M2308" s="136">
        <f>M2307+K2308-L2308</f>
        <v>248829.32905333384</v>
      </c>
    </row>
    <row r="2309" spans="1:13">
      <c r="A2309" s="54" t="str">
        <f>D2309&amp;E2309&amp;F2309</f>
        <v>ELIUBERL1</v>
      </c>
      <c r="B2309" t="s">
        <v>1277</v>
      </c>
      <c r="C2309" s="1">
        <v>45838</v>
      </c>
      <c r="D2309" s="71" t="s">
        <v>130</v>
      </c>
      <c r="E2309" s="71" t="s">
        <v>189</v>
      </c>
      <c r="F2309" s="70" t="s">
        <v>136</v>
      </c>
      <c r="G2309" s="71" t="s">
        <v>258</v>
      </c>
      <c r="J2309" s="76" t="s">
        <v>496</v>
      </c>
      <c r="L2309" s="526">
        <v>300</v>
      </c>
      <c r="M2309" s="136">
        <f>M2308+K2309-L2309</f>
        <v>248529.32905333384</v>
      </c>
    </row>
    <row r="2310" spans="1:13">
      <c r="A2310" s="54" t="str">
        <f t="shared" si="48"/>
        <v/>
      </c>
      <c r="B2310" t="s">
        <v>1277</v>
      </c>
      <c r="C2310" s="1">
        <v>45838</v>
      </c>
      <c r="D2310" s="71"/>
      <c r="F2310" s="70"/>
      <c r="J2310" s="71" t="s">
        <v>260</v>
      </c>
      <c r="K2310" s="325">
        <v>1072779.6499999999</v>
      </c>
      <c r="L2310" s="354"/>
      <c r="M2310" s="136">
        <f t="shared" ref="M2310:M2313" si="49">M2309+K2310-L2310</f>
        <v>1321308.9790533339</v>
      </c>
    </row>
    <row r="2311" spans="1:13">
      <c r="A2311" s="54" t="str">
        <f>D2311&amp;E2311&amp;F2311</f>
        <v>FINANZASCOMISIONES BANCARIASTPV</v>
      </c>
      <c r="B2311" t="s">
        <v>1277</v>
      </c>
      <c r="C2311" s="1">
        <v>45838</v>
      </c>
      <c r="D2311" s="71" t="s">
        <v>23</v>
      </c>
      <c r="E2311" s="71" t="s">
        <v>48</v>
      </c>
      <c r="F2311" s="70" t="s">
        <v>50</v>
      </c>
      <c r="G2311" s="71" t="s">
        <v>216</v>
      </c>
      <c r="H2311" s="83" t="s">
        <v>258</v>
      </c>
      <c r="J2311" s="71" t="s">
        <v>217</v>
      </c>
      <c r="L2311" s="326">
        <f>981.25+1176.85+8035+7726.56+2717.18+10.44</f>
        <v>20647.28</v>
      </c>
      <c r="M2311" s="136">
        <f t="shared" si="49"/>
        <v>1300661.6990533338</v>
      </c>
    </row>
    <row r="2312" spans="1:13">
      <c r="A2312" s="54" t="str">
        <f>D2312&amp;E2312&amp;F2312</f>
        <v>FINANZASCOMISIONES BANCARIASMANEJO DE CUENTA</v>
      </c>
      <c r="B2312" t="s">
        <v>1277</v>
      </c>
      <c r="C2312" s="1">
        <v>45838</v>
      </c>
      <c r="D2312" s="71" t="s">
        <v>23</v>
      </c>
      <c r="E2312" s="71" t="s">
        <v>48</v>
      </c>
      <c r="F2312" s="70" t="s">
        <v>49</v>
      </c>
      <c r="J2312" s="71" t="s">
        <v>218</v>
      </c>
      <c r="L2312" s="326">
        <f>5800+8932+464+464+552.74</f>
        <v>16212.74</v>
      </c>
      <c r="M2312" s="136">
        <f t="shared" si="49"/>
        <v>1284448.9590533338</v>
      </c>
    </row>
    <row r="2313" spans="1:13">
      <c r="A2313" s="54" t="str">
        <f t="shared" si="48"/>
        <v/>
      </c>
      <c r="B2313" t="s">
        <v>1277</v>
      </c>
      <c r="C2313" s="1">
        <v>45838</v>
      </c>
      <c r="D2313" s="71"/>
      <c r="F2313" s="70"/>
      <c r="J2313" s="205" t="s">
        <v>220</v>
      </c>
      <c r="K2313" s="205"/>
      <c r="L2313" s="206">
        <v>200000</v>
      </c>
      <c r="M2313" s="136">
        <f t="shared" si="49"/>
        <v>1084448.9590533338</v>
      </c>
    </row>
    <row r="2314" spans="1:13">
      <c r="A2314" s="54" t="str">
        <f t="shared" si="48"/>
        <v/>
      </c>
      <c r="B2314" t="s">
        <v>1277</v>
      </c>
      <c r="C2314" s="1">
        <v>45838</v>
      </c>
      <c r="D2314" s="71"/>
      <c r="F2314" s="70"/>
      <c r="J2314" s="205" t="s">
        <v>222</v>
      </c>
      <c r="K2314" s="205"/>
      <c r="L2314" s="206">
        <v>3000</v>
      </c>
      <c r="M2314" s="136">
        <f>M2313+K2314-L2314</f>
        <v>1081448.9590533338</v>
      </c>
    </row>
    <row r="2315" spans="1:13">
      <c r="A2315" s="54" t="str">
        <f t="shared" si="48"/>
        <v/>
      </c>
      <c r="B2315" t="s">
        <v>1277</v>
      </c>
      <c r="C2315" s="1">
        <v>45838</v>
      </c>
      <c r="D2315" s="71"/>
      <c r="F2315" s="70"/>
      <c r="J2315" s="71" t="s">
        <v>1499</v>
      </c>
      <c r="L2315" s="326">
        <v>1063000</v>
      </c>
      <c r="M2315" s="136">
        <f>M2314+K2315-L2315</f>
        <v>18448.959053333849</v>
      </c>
    </row>
    <row r="2316" spans="1:13">
      <c r="A2316" s="54" t="str">
        <f>D2316&amp;E2316&amp;F2316</f>
        <v>SERVICIOSMTTO EQ DE TRANSPORTECEDIS</v>
      </c>
      <c r="B2316" t="s">
        <v>1277</v>
      </c>
      <c r="C2316" s="1">
        <v>45838</v>
      </c>
      <c r="D2316" s="71" t="s">
        <v>21</v>
      </c>
      <c r="E2316" s="71" t="s">
        <v>144</v>
      </c>
      <c r="F2316" s="70" t="s">
        <v>28</v>
      </c>
      <c r="G2316" s="71" t="s">
        <v>216</v>
      </c>
      <c r="J2316" s="71" t="s">
        <v>1500</v>
      </c>
      <c r="L2316" s="144">
        <v>980</v>
      </c>
      <c r="M2316" s="136">
        <f>M2315+K2316-L2316</f>
        <v>17468.959053333849</v>
      </c>
    </row>
    <row r="2317" spans="1:13">
      <c r="A2317" s="54" t="str">
        <f>D2317&amp;E2317&amp;F2317</f>
        <v>HRMKTMKT HR</v>
      </c>
      <c r="B2317" t="s">
        <v>1277</v>
      </c>
      <c r="C2317" s="1">
        <v>45838</v>
      </c>
      <c r="D2317" s="71" t="s">
        <v>29</v>
      </c>
      <c r="E2317" s="71" t="s">
        <v>19</v>
      </c>
      <c r="F2317" s="70" t="s">
        <v>138</v>
      </c>
      <c r="G2317" s="71" t="s">
        <v>216</v>
      </c>
      <c r="J2317" s="71" t="s">
        <v>1501</v>
      </c>
      <c r="L2317" s="326">
        <v>5800</v>
      </c>
      <c r="M2317" s="136">
        <f t="shared" ref="M2317:M2351" si="50">M2316+K2317-L2317</f>
        <v>11668.959053333849</v>
      </c>
    </row>
    <row r="2318" spans="1:13">
      <c r="A2318" s="54" t="str">
        <f>D2318&amp;E2318&amp;F2318</f>
        <v>SERVICIOSVIATICOSCEDIS</v>
      </c>
      <c r="B2318" t="s">
        <v>1277</v>
      </c>
      <c r="C2318" s="1">
        <v>45838</v>
      </c>
      <c r="D2318" s="71" t="s">
        <v>21</v>
      </c>
      <c r="E2318" s="71" t="s">
        <v>191</v>
      </c>
      <c r="F2318" s="70" t="s">
        <v>28</v>
      </c>
      <c r="G2318" s="71" t="s">
        <v>216</v>
      </c>
      <c r="J2318" s="71" t="s">
        <v>1502</v>
      </c>
      <c r="L2318" s="326">
        <v>2050</v>
      </c>
      <c r="M2318" s="136">
        <f t="shared" si="50"/>
        <v>9618.9590533338487</v>
      </c>
    </row>
    <row r="2319" spans="1:13">
      <c r="A2319" s="54" t="str">
        <f>D2319&amp;E2319&amp;F2319</f>
        <v>HRNOMINA SUCURSALA2</v>
      </c>
      <c r="B2319" t="s">
        <v>1277</v>
      </c>
      <c r="C2319" s="1">
        <v>45838</v>
      </c>
      <c r="D2319" s="71" t="s">
        <v>29</v>
      </c>
      <c r="E2319" s="71" t="s">
        <v>154</v>
      </c>
      <c r="F2319" s="70" t="s">
        <v>89</v>
      </c>
      <c r="J2319" s="76" t="s">
        <v>386</v>
      </c>
      <c r="L2319" s="331">
        <v>500</v>
      </c>
      <c r="M2319" s="136">
        <f t="shared" si="50"/>
        <v>9118.9590533338487</v>
      </c>
    </row>
    <row r="2320" spans="1:13">
      <c r="A2320" s="54" t="str">
        <f>D2320&amp;E2320&amp;F2320</f>
        <v>HRJMASA5</v>
      </c>
      <c r="B2320" t="s">
        <v>1277</v>
      </c>
      <c r="C2320" s="1">
        <v>45838</v>
      </c>
      <c r="D2320" s="71" t="s">
        <v>29</v>
      </c>
      <c r="E2320" s="71" t="s">
        <v>137</v>
      </c>
      <c r="F2320" s="70" t="s">
        <v>92</v>
      </c>
      <c r="J2320" s="76" t="s">
        <v>1503</v>
      </c>
      <c r="L2320" s="331">
        <v>570</v>
      </c>
      <c r="M2320" s="136">
        <f t="shared" si="50"/>
        <v>8548.9590533338487</v>
      </c>
    </row>
    <row r="2321" spans="1:13">
      <c r="A2321" s="54" t="str">
        <f>D2321&amp;E2321&amp;F2321</f>
        <v>HRUBERHR</v>
      </c>
      <c r="B2321" t="s">
        <v>1277</v>
      </c>
      <c r="C2321" s="1">
        <v>45838</v>
      </c>
      <c r="D2321" s="71" t="s">
        <v>29</v>
      </c>
      <c r="E2321" s="71" t="s">
        <v>189</v>
      </c>
      <c r="F2321" s="70" t="s">
        <v>29</v>
      </c>
      <c r="G2321" s="71" t="s">
        <v>258</v>
      </c>
      <c r="J2321" s="76" t="s">
        <v>403</v>
      </c>
      <c r="L2321" s="526">
        <v>47</v>
      </c>
      <c r="M2321" s="136">
        <f t="shared" si="50"/>
        <v>8501.9590533338487</v>
      </c>
    </row>
    <row r="2322" spans="1:13">
      <c r="A2322" s="54" t="str">
        <f>D2322&amp;E2322&amp;F2322</f>
        <v>HRUBERHR</v>
      </c>
      <c r="B2322" t="s">
        <v>1277</v>
      </c>
      <c r="C2322" s="1">
        <v>45838</v>
      </c>
      <c r="D2322" s="71" t="s">
        <v>29</v>
      </c>
      <c r="E2322" s="71" t="s">
        <v>189</v>
      </c>
      <c r="F2322" s="70" t="s">
        <v>29</v>
      </c>
      <c r="G2322" s="71" t="s">
        <v>258</v>
      </c>
      <c r="J2322" s="76" t="s">
        <v>308</v>
      </c>
      <c r="L2322" s="526">
        <v>105</v>
      </c>
      <c r="M2322" s="136">
        <f t="shared" si="50"/>
        <v>8396.9590533338487</v>
      </c>
    </row>
    <row r="2323" spans="1:13">
      <c r="A2323" s="54" t="str">
        <f>D2323&amp;E2323&amp;F2323</f>
        <v>HRUBERHR</v>
      </c>
      <c r="B2323" t="s">
        <v>1277</v>
      </c>
      <c r="C2323" s="1">
        <v>45838</v>
      </c>
      <c r="D2323" s="71" t="s">
        <v>29</v>
      </c>
      <c r="E2323" s="71" t="s">
        <v>189</v>
      </c>
      <c r="F2323" s="70" t="s">
        <v>29</v>
      </c>
      <c r="G2323" s="71" t="s">
        <v>258</v>
      </c>
      <c r="J2323" s="76" t="s">
        <v>1504</v>
      </c>
      <c r="L2323" s="526">
        <v>135</v>
      </c>
      <c r="M2323" s="136">
        <f t="shared" si="50"/>
        <v>8261.9590533338487</v>
      </c>
    </row>
    <row r="2324" spans="1:13">
      <c r="A2324" s="54" t="str">
        <f>D2324&amp;E2324&amp;F2324</f>
        <v>HRUBERHR</v>
      </c>
      <c r="B2324" t="s">
        <v>1277</v>
      </c>
      <c r="C2324" s="1">
        <v>45838</v>
      </c>
      <c r="D2324" s="71" t="s">
        <v>29</v>
      </c>
      <c r="E2324" s="71" t="s">
        <v>189</v>
      </c>
      <c r="F2324" s="70" t="s">
        <v>29</v>
      </c>
      <c r="G2324" s="71" t="s">
        <v>258</v>
      </c>
      <c r="J2324" s="76" t="s">
        <v>249</v>
      </c>
      <c r="L2324" s="526">
        <v>766</v>
      </c>
      <c r="M2324" s="136">
        <f>M2323+K2324-L2324</f>
        <v>7495.9590533338487</v>
      </c>
    </row>
    <row r="2325" spans="1:13">
      <c r="A2325" s="54" t="str">
        <f>D2325&amp;E2325&amp;F2325</f>
        <v>HRINSUMOSHR</v>
      </c>
      <c r="B2325" t="s">
        <v>1277</v>
      </c>
      <c r="C2325" s="1">
        <v>45838</v>
      </c>
      <c r="D2325" s="71" t="s">
        <v>29</v>
      </c>
      <c r="E2325" s="71" t="s">
        <v>133</v>
      </c>
      <c r="F2325" s="70" t="s">
        <v>29</v>
      </c>
      <c r="G2325" s="71" t="s">
        <v>216</v>
      </c>
      <c r="J2325" s="76" t="s">
        <v>1505</v>
      </c>
      <c r="L2325" s="331">
        <v>187</v>
      </c>
      <c r="M2325" s="136">
        <f>M2324+K2325-L2325</f>
        <v>7308.9590533338487</v>
      </c>
    </row>
    <row r="2326" spans="1:13">
      <c r="A2326" s="54" t="str">
        <f>D2326&amp;E2326&amp;F2326</f>
        <v>SERVICIOSMTTO DE EDIFICIOMANTENIMIENTO</v>
      </c>
      <c r="B2326" t="s">
        <v>1277</v>
      </c>
      <c r="C2326" s="1">
        <v>45838</v>
      </c>
      <c r="D2326" s="71" t="s">
        <v>21</v>
      </c>
      <c r="E2326" s="71" t="s">
        <v>142</v>
      </c>
      <c r="F2326" s="70" t="s">
        <v>35</v>
      </c>
      <c r="G2326" s="71" t="s">
        <v>216</v>
      </c>
      <c r="J2326" s="76" t="s">
        <v>1506</v>
      </c>
      <c r="L2326" s="331">
        <v>282</v>
      </c>
      <c r="M2326" s="136">
        <f>M2325+K2326-L2326</f>
        <v>7026.9590533338487</v>
      </c>
    </row>
    <row r="2327" spans="1:13">
      <c r="A2327" s="54" t="str">
        <f>D2327&amp;E2327&amp;F2327</f>
        <v>CAPUBERCAP</v>
      </c>
      <c r="B2327" t="s">
        <v>1277</v>
      </c>
      <c r="C2327" s="1">
        <v>45838</v>
      </c>
      <c r="D2327" s="71" t="s">
        <v>31</v>
      </c>
      <c r="E2327" s="71" t="s">
        <v>189</v>
      </c>
      <c r="F2327" s="70" t="s">
        <v>31</v>
      </c>
      <c r="G2327" s="71" t="s">
        <v>258</v>
      </c>
      <c r="J2327" s="76" t="s">
        <v>253</v>
      </c>
      <c r="L2327" s="526">
        <v>1600</v>
      </c>
      <c r="M2327" s="136">
        <f>M2326+K2327-L2327</f>
        <v>5426.9590533338487</v>
      </c>
    </row>
    <row r="2328" spans="1:13">
      <c r="A2328" s="54" t="str">
        <f>D2328&amp;E2328&amp;F2328</f>
        <v>CAPUBERCAP</v>
      </c>
      <c r="B2328" t="s">
        <v>1277</v>
      </c>
      <c r="C2328" s="1">
        <v>45838</v>
      </c>
      <c r="D2328" s="71" t="s">
        <v>31</v>
      </c>
      <c r="E2328" s="71" t="s">
        <v>189</v>
      </c>
      <c r="F2328" s="70" t="s">
        <v>31</v>
      </c>
      <c r="G2328" s="71" t="s">
        <v>258</v>
      </c>
      <c r="J2328" s="76" t="s">
        <v>489</v>
      </c>
      <c r="L2328" s="526">
        <v>250</v>
      </c>
      <c r="M2328" s="136">
        <f>M2327+K2328-L2328</f>
        <v>5176.9590533338487</v>
      </c>
    </row>
    <row r="2329" spans="1:13">
      <c r="A2329" s="54" t="str">
        <f>D2329&amp;E2329&amp;F2329</f>
        <v>CAPNOMINA SUCURSALE5</v>
      </c>
      <c r="B2329" t="s">
        <v>1277</v>
      </c>
      <c r="C2329" s="1">
        <v>45838</v>
      </c>
      <c r="D2329" s="71" t="s">
        <v>31</v>
      </c>
      <c r="E2329" s="71" t="s">
        <v>154</v>
      </c>
      <c r="F2329" s="70" t="s">
        <v>111</v>
      </c>
      <c r="J2329" s="76" t="s">
        <v>1507</v>
      </c>
      <c r="L2329" s="331">
        <v>4671</v>
      </c>
      <c r="M2329" s="136">
        <f>M2328+K2329-L2329</f>
        <v>505.95905333384871</v>
      </c>
    </row>
    <row r="2330" spans="1:13">
      <c r="A2330" s="54" t="str">
        <f>D2330&amp;E2330&amp;F2330</f>
        <v>CAPUBERCAP</v>
      </c>
      <c r="B2330" t="s">
        <v>1277</v>
      </c>
      <c r="C2330" s="1">
        <v>45838</v>
      </c>
      <c r="D2330" s="71" t="s">
        <v>31</v>
      </c>
      <c r="E2330" s="71" t="s">
        <v>189</v>
      </c>
      <c r="F2330" s="70" t="s">
        <v>31</v>
      </c>
      <c r="G2330" s="71" t="s">
        <v>258</v>
      </c>
      <c r="J2330" s="76" t="s">
        <v>490</v>
      </c>
      <c r="L2330" s="526">
        <v>180</v>
      </c>
      <c r="M2330" s="136">
        <f>M2329+K2330-L2330</f>
        <v>325.95905333384871</v>
      </c>
    </row>
    <row r="2331" spans="1:13">
      <c r="A2331" s="54" t="str">
        <f>D2331&amp;E2331&amp;F2331</f>
        <v>CAPINSUMOSCAPRICHOS</v>
      </c>
      <c r="B2331" t="s">
        <v>1277</v>
      </c>
      <c r="C2331" s="1">
        <v>45838</v>
      </c>
      <c r="D2331" s="71" t="s">
        <v>31</v>
      </c>
      <c r="E2331" s="71" t="s">
        <v>133</v>
      </c>
      <c r="F2331" s="70" t="s">
        <v>33</v>
      </c>
      <c r="G2331" s="71" t="s">
        <v>216</v>
      </c>
      <c r="J2331" s="76" t="s">
        <v>362</v>
      </c>
      <c r="L2331" s="331">
        <v>138</v>
      </c>
      <c r="M2331" s="136">
        <f>M2330+K2331-L2331</f>
        <v>187.95905333384871</v>
      </c>
    </row>
    <row r="2332" spans="1:13">
      <c r="A2332" s="54" t="str">
        <f>D2332&amp;E2332&amp;F2332</f>
        <v>CAPUBERCAP</v>
      </c>
      <c r="B2332" t="s">
        <v>1277</v>
      </c>
      <c r="C2332" s="1">
        <v>45838</v>
      </c>
      <c r="D2332" s="71" t="s">
        <v>31</v>
      </c>
      <c r="E2332" s="71" t="s">
        <v>189</v>
      </c>
      <c r="F2332" s="70" t="s">
        <v>31</v>
      </c>
      <c r="G2332" s="71" t="s">
        <v>258</v>
      </c>
      <c r="J2332" s="76" t="s">
        <v>951</v>
      </c>
      <c r="L2332" s="526">
        <v>150</v>
      </c>
      <c r="M2332" s="136">
        <f>M2331+K2332-L2332</f>
        <v>37.959053333848715</v>
      </c>
    </row>
    <row r="2333" spans="1:13">
      <c r="A2333" s="54" t="str">
        <f>D2333&amp;E2333&amp;F2333</f>
        <v>ELIVIATICOSL1</v>
      </c>
      <c r="B2333" t="s">
        <v>1277</v>
      </c>
      <c r="C2333" s="1">
        <v>45838</v>
      </c>
      <c r="D2333" s="71" t="s">
        <v>130</v>
      </c>
      <c r="E2333" s="71" t="s">
        <v>191</v>
      </c>
      <c r="F2333" s="70" t="s">
        <v>136</v>
      </c>
      <c r="G2333" s="71" t="s">
        <v>258</v>
      </c>
      <c r="J2333" s="71" t="s">
        <v>1103</v>
      </c>
      <c r="L2333" s="326">
        <v>1000</v>
      </c>
      <c r="M2333" s="136">
        <f>M2332+K2333-L2333</f>
        <v>-962.04094666615129</v>
      </c>
    </row>
    <row r="2334" spans="1:13">
      <c r="A2334" s="54" t="str">
        <f>D2334&amp;E2334&amp;F2334</f>
        <v>CAPVIATICOSCAPRICHOS</v>
      </c>
      <c r="B2334" t="s">
        <v>1277</v>
      </c>
      <c r="C2334" s="1">
        <v>45838</v>
      </c>
      <c r="D2334" s="71" t="s">
        <v>31</v>
      </c>
      <c r="E2334" s="71" t="s">
        <v>191</v>
      </c>
      <c r="F2334" s="70" t="s">
        <v>33</v>
      </c>
      <c r="G2334" s="71" t="s">
        <v>258</v>
      </c>
      <c r="J2334" s="71" t="s">
        <v>1508</v>
      </c>
      <c r="L2334" s="326">
        <v>5000</v>
      </c>
      <c r="M2334" s="136">
        <f>M2333+K2334-L2334</f>
        <v>-5962.0409466661513</v>
      </c>
    </row>
    <row r="2335" spans="1:13">
      <c r="A2335" s="54" t="str">
        <f>D2335&amp;E2335&amp;F2335</f>
        <v>FINANZASFONDO Y REPOSICIONFINANZAS</v>
      </c>
      <c r="B2335" t="s">
        <v>1277</v>
      </c>
      <c r="C2335" s="1">
        <v>45838</v>
      </c>
      <c r="D2335" s="71" t="s">
        <v>23</v>
      </c>
      <c r="E2335" s="71" t="s">
        <v>120</v>
      </c>
      <c r="F2335" s="70" t="s">
        <v>23</v>
      </c>
      <c r="G2335" s="71" t="s">
        <v>216</v>
      </c>
      <c r="J2335" s="71" t="s">
        <v>1509</v>
      </c>
      <c r="L2335" s="326">
        <v>300</v>
      </c>
      <c r="M2335" s="136">
        <f>M2334+K2335-L2335</f>
        <v>-6262.0409466661513</v>
      </c>
    </row>
    <row r="2336" spans="1:13">
      <c r="A2336" s="54" t="str">
        <f>D2336&amp;E2336&amp;F2336</f>
        <v>FINANZASFONDO Y REPOSICIONFINANZAS</v>
      </c>
      <c r="B2336" t="s">
        <v>1277</v>
      </c>
      <c r="C2336" s="1">
        <v>45838</v>
      </c>
      <c r="D2336" s="71" t="s">
        <v>23</v>
      </c>
      <c r="E2336" s="71" t="s">
        <v>120</v>
      </c>
      <c r="F2336" s="70" t="s">
        <v>23</v>
      </c>
      <c r="G2336" s="71" t="s">
        <v>216</v>
      </c>
      <c r="J2336" s="71" t="s">
        <v>231</v>
      </c>
      <c r="L2336" s="326">
        <v>50</v>
      </c>
      <c r="M2336" s="136">
        <f>M2335+K2336-L2336</f>
        <v>-6312.0409466661513</v>
      </c>
    </row>
    <row r="2337" spans="1:13">
      <c r="A2337" s="54" t="str">
        <f>D2337&amp;E2337&amp;F2337</f>
        <v>FINANZASTELEFONIATELMEX</v>
      </c>
      <c r="B2337" t="s">
        <v>1277</v>
      </c>
      <c r="C2337" s="1">
        <v>45838</v>
      </c>
      <c r="D2337" s="71" t="s">
        <v>23</v>
      </c>
      <c r="E2337" s="71" t="s">
        <v>181</v>
      </c>
      <c r="F2337" s="70" t="s">
        <v>182</v>
      </c>
      <c r="G2337" s="71" t="s">
        <v>258</v>
      </c>
      <c r="J2337" s="71" t="s">
        <v>1269</v>
      </c>
      <c r="L2337" s="326">
        <v>24535</v>
      </c>
      <c r="M2337" s="136">
        <f t="shared" ref="M2337:M2366" si="51">M2336+K2337-L2337</f>
        <v>-30847.040946666151</v>
      </c>
    </row>
    <row r="2338" spans="1:13">
      <c r="A2338" s="54" t="str">
        <f>D2338&amp;E2338&amp;F2338</f>
        <v>FINANZASCOMBUSTIBLETESORERIA</v>
      </c>
      <c r="B2338" t="s">
        <v>1277</v>
      </c>
      <c r="C2338" s="1">
        <v>45838</v>
      </c>
      <c r="D2338" s="71" t="s">
        <v>23</v>
      </c>
      <c r="E2338" s="71" t="s">
        <v>32</v>
      </c>
      <c r="F2338" s="70" t="s">
        <v>38</v>
      </c>
      <c r="G2338" s="71" t="s">
        <v>258</v>
      </c>
      <c r="J2338" s="71" t="s">
        <v>1510</v>
      </c>
      <c r="L2338" s="326">
        <v>652</v>
      </c>
      <c r="M2338" s="136">
        <f t="shared" si="51"/>
        <v>-31499.040946666151</v>
      </c>
    </row>
    <row r="2339" spans="1:13">
      <c r="A2339" s="54" t="str">
        <f>D2339&amp;E2339&amp;F2339</f>
        <v>SERVICIOSINSUMOSCADENA DE SUMINISTROS</v>
      </c>
      <c r="B2339" t="s">
        <v>1277</v>
      </c>
      <c r="C2339" s="1">
        <v>45838</v>
      </c>
      <c r="D2339" s="71" t="s">
        <v>21</v>
      </c>
      <c r="E2339" s="71" t="s">
        <v>133</v>
      </c>
      <c r="F2339" s="70" t="s">
        <v>134</v>
      </c>
      <c r="G2339" s="71" t="s">
        <v>216</v>
      </c>
      <c r="J2339" s="71" t="s">
        <v>1511</v>
      </c>
      <c r="L2339" s="326">
        <v>1508.14</v>
      </c>
      <c r="M2339" s="136">
        <f t="shared" si="51"/>
        <v>-33007.180946666151</v>
      </c>
    </row>
    <row r="2340" spans="1:13">
      <c r="A2340" s="54" t="str">
        <f>D2340&amp;E2340&amp;F2340</f>
        <v>HRJMASA1</v>
      </c>
      <c r="B2340" t="s">
        <v>1277</v>
      </c>
      <c r="C2340" s="1">
        <v>45838</v>
      </c>
      <c r="D2340" s="71" t="s">
        <v>29</v>
      </c>
      <c r="E2340" s="71" t="s">
        <v>137</v>
      </c>
      <c r="F2340" s="70" t="s">
        <v>88</v>
      </c>
      <c r="G2340" s="71" t="s">
        <v>216</v>
      </c>
      <c r="J2340" s="71" t="s">
        <v>232</v>
      </c>
      <c r="L2340" s="326">
        <f>408+821</f>
        <v>1229</v>
      </c>
      <c r="M2340" s="136">
        <f t="shared" si="51"/>
        <v>-34236.180946666151</v>
      </c>
    </row>
    <row r="2341" spans="1:13">
      <c r="A2341" s="54" t="str">
        <f>D2341&amp;E2341&amp;F2341</f>
        <v>HRJMASA9</v>
      </c>
      <c r="B2341" t="s">
        <v>1277</v>
      </c>
      <c r="C2341" s="1">
        <v>45838</v>
      </c>
      <c r="D2341" s="71" t="s">
        <v>29</v>
      </c>
      <c r="E2341" s="71" t="s">
        <v>137</v>
      </c>
      <c r="F2341" s="70" t="s">
        <v>95</v>
      </c>
      <c r="G2341" s="71" t="s">
        <v>216</v>
      </c>
      <c r="J2341" s="71" t="s">
        <v>235</v>
      </c>
      <c r="L2341" s="326">
        <v>1207</v>
      </c>
      <c r="M2341" s="136">
        <f t="shared" si="51"/>
        <v>-35443.180946666151</v>
      </c>
    </row>
    <row r="2342" spans="1:13">
      <c r="A2342" s="54" t="str">
        <f>D2342&amp;E2342&amp;F2342</f>
        <v>HRJMASA10</v>
      </c>
      <c r="B2342" t="s">
        <v>1277</v>
      </c>
      <c r="C2342" s="1">
        <v>45838</v>
      </c>
      <c r="D2342" s="71" t="s">
        <v>29</v>
      </c>
      <c r="E2342" s="71" t="s">
        <v>137</v>
      </c>
      <c r="F2342" s="70" t="s">
        <v>96</v>
      </c>
      <c r="G2342" s="71" t="s">
        <v>258</v>
      </c>
      <c r="J2342" s="71" t="s">
        <v>1512</v>
      </c>
      <c r="L2342" s="326">
        <v>7785</v>
      </c>
      <c r="M2342" s="136">
        <f t="shared" si="51"/>
        <v>-43228.180946666151</v>
      </c>
    </row>
    <row r="2343" spans="1:13">
      <c r="A2343" s="54" t="str">
        <f>D2343&amp;E2343&amp;F2343</f>
        <v>SERVICIOSJMASCEDIS</v>
      </c>
      <c r="B2343" t="s">
        <v>1277</v>
      </c>
      <c r="C2343" s="1">
        <v>45838</v>
      </c>
      <c r="D2343" s="71" t="s">
        <v>21</v>
      </c>
      <c r="E2343" s="71" t="s">
        <v>137</v>
      </c>
      <c r="F2343" s="70" t="s">
        <v>28</v>
      </c>
      <c r="G2343" s="71" t="s">
        <v>216</v>
      </c>
      <c r="J2343" s="71" t="s">
        <v>1128</v>
      </c>
      <c r="L2343" s="326">
        <f>735+1824</f>
        <v>2559</v>
      </c>
      <c r="M2343" s="136">
        <f t="shared" si="51"/>
        <v>-45787.180946666151</v>
      </c>
    </row>
    <row r="2344" spans="1:13">
      <c r="A2344" s="54" t="str">
        <f>D2344&amp;E2344&amp;F2344</f>
        <v>CAPJMASE1</v>
      </c>
      <c r="B2344" t="s">
        <v>1277</v>
      </c>
      <c r="C2344" s="1">
        <v>45838</v>
      </c>
      <c r="D2344" s="71" t="s">
        <v>31</v>
      </c>
      <c r="E2344" s="71" t="s">
        <v>137</v>
      </c>
      <c r="F2344" s="70" t="s">
        <v>107</v>
      </c>
      <c r="G2344" s="71" t="s">
        <v>216</v>
      </c>
      <c r="J2344" s="71" t="s">
        <v>233</v>
      </c>
      <c r="L2344" s="326">
        <v>406</v>
      </c>
      <c r="M2344" s="136">
        <f t="shared" si="51"/>
        <v>-46193.180946666151</v>
      </c>
    </row>
    <row r="2345" spans="1:13">
      <c r="A2345" s="54" t="str">
        <f t="shared" ref="A2317:A2380" si="52">D2345&amp;E2345&amp;F2345</f>
        <v/>
      </c>
      <c r="B2345" t="s">
        <v>1277</v>
      </c>
      <c r="C2345" s="1">
        <v>45838</v>
      </c>
      <c r="D2345" s="71"/>
      <c r="F2345" s="70"/>
      <c r="J2345" s="71" t="s">
        <v>260</v>
      </c>
      <c r="K2345" s="325">
        <v>234690.73</v>
      </c>
      <c r="L2345" s="354"/>
      <c r="M2345" s="136">
        <f t="shared" si="51"/>
        <v>188497.54905333387</v>
      </c>
    </row>
    <row r="2346" spans="1:13">
      <c r="A2346" s="54" t="str">
        <f>D2346&amp;E2346&amp;F2346</f>
        <v>FINANZASCOMISIONES BANCARIASTPV</v>
      </c>
      <c r="B2346" t="s">
        <v>1277</v>
      </c>
      <c r="C2346" s="1">
        <v>45839</v>
      </c>
      <c r="D2346" s="71" t="s">
        <v>23</v>
      </c>
      <c r="E2346" s="71" t="s">
        <v>48</v>
      </c>
      <c r="F2346" s="70" t="s">
        <v>50</v>
      </c>
      <c r="G2346" s="71" t="s">
        <v>216</v>
      </c>
      <c r="J2346" s="71" t="s">
        <v>217</v>
      </c>
      <c r="L2346" s="321">
        <f>357+274.77+119.33+1759.07+1873.5+483.45</f>
        <v>4867.12</v>
      </c>
      <c r="M2346" s="136">
        <f t="shared" si="51"/>
        <v>183630.42905333388</v>
      </c>
    </row>
    <row r="2347" spans="1:13">
      <c r="A2347" s="54" t="str">
        <f t="shared" si="52"/>
        <v/>
      </c>
      <c r="B2347" t="s">
        <v>1277</v>
      </c>
      <c r="C2347" s="1">
        <v>45839</v>
      </c>
      <c r="D2347" s="71"/>
      <c r="G2347" s="71" t="s">
        <v>216</v>
      </c>
      <c r="J2347" s="205" t="s">
        <v>220</v>
      </c>
      <c r="K2347" s="205"/>
      <c r="L2347" s="206">
        <v>200000</v>
      </c>
      <c r="M2347" s="136">
        <f t="shared" si="51"/>
        <v>-16369.570946666121</v>
      </c>
    </row>
    <row r="2348" spans="1:13">
      <c r="A2348" s="54" t="str">
        <f>D2348&amp;E2348&amp;F2348</f>
        <v>HRFONDO Y REPOSICIONHR</v>
      </c>
      <c r="B2348" t="s">
        <v>1277</v>
      </c>
      <c r="C2348" s="1">
        <v>45839</v>
      </c>
      <c r="D2348" s="71" t="s">
        <v>29</v>
      </c>
      <c r="E2348" s="71" t="s">
        <v>120</v>
      </c>
      <c r="F2348" s="70" t="s">
        <v>29</v>
      </c>
      <c r="G2348" s="71" t="s">
        <v>216</v>
      </c>
      <c r="J2348" s="71" t="s">
        <v>830</v>
      </c>
      <c r="L2348" s="326">
        <v>4345</v>
      </c>
      <c r="M2348" s="136">
        <f t="shared" si="51"/>
        <v>-20714.570946666121</v>
      </c>
    </row>
    <row r="2349" spans="1:13">
      <c r="A2349" s="54" t="str">
        <f>D2349&amp;E2349&amp;F2349</f>
        <v>HRFONDO Y REPOSICIONHR</v>
      </c>
      <c r="B2349" t="s">
        <v>1277</v>
      </c>
      <c r="C2349" s="1">
        <v>45839</v>
      </c>
      <c r="D2349" s="71" t="s">
        <v>29</v>
      </c>
      <c r="E2349" s="71" t="s">
        <v>120</v>
      </c>
      <c r="F2349" s="70" t="s">
        <v>29</v>
      </c>
      <c r="G2349" s="71" t="s">
        <v>216</v>
      </c>
      <c r="J2349" s="71" t="s">
        <v>1513</v>
      </c>
      <c r="L2349" s="326">
        <v>3000</v>
      </c>
      <c r="M2349" s="136">
        <f t="shared" si="51"/>
        <v>-23714.570946666121</v>
      </c>
    </row>
    <row r="2350" spans="1:13">
      <c r="A2350" s="54" t="str">
        <f>D2350&amp;E2350&amp;F2350</f>
        <v>HRFONDO Y REPOSICIONHR</v>
      </c>
      <c r="B2350" t="s">
        <v>1277</v>
      </c>
      <c r="C2350" s="1">
        <v>45839</v>
      </c>
      <c r="D2350" s="71" t="s">
        <v>29</v>
      </c>
      <c r="E2350" s="71" t="s">
        <v>120</v>
      </c>
      <c r="F2350" s="70" t="s">
        <v>29</v>
      </c>
      <c r="G2350" s="71" t="s">
        <v>216</v>
      </c>
      <c r="J2350" s="71" t="s">
        <v>1514</v>
      </c>
      <c r="L2350" s="326">
        <v>2000</v>
      </c>
      <c r="M2350" s="136">
        <f t="shared" si="51"/>
        <v>-25714.570946666121</v>
      </c>
    </row>
    <row r="2351" spans="1:13">
      <c r="A2351" s="54" t="str">
        <f>D2351&amp;E2351&amp;F2351</f>
        <v>CAPVIATICOSCAPRICHOS</v>
      </c>
      <c r="B2351" t="s">
        <v>1277</v>
      </c>
      <c r="C2351" s="1">
        <v>45839</v>
      </c>
      <c r="D2351" s="71" t="s">
        <v>31</v>
      </c>
      <c r="E2351" s="71" t="s">
        <v>191</v>
      </c>
      <c r="F2351" s="70" t="s">
        <v>33</v>
      </c>
      <c r="G2351" s="71" t="s">
        <v>258</v>
      </c>
      <c r="J2351" s="71" t="s">
        <v>1515</v>
      </c>
      <c r="L2351" s="326">
        <v>7000</v>
      </c>
      <c r="M2351" s="136">
        <f t="shared" si="51"/>
        <v>-32714.570946666121</v>
      </c>
    </row>
    <row r="2352" spans="1:13">
      <c r="A2352" s="54" t="str">
        <f>D2352&amp;E2352&amp;F2352</f>
        <v>FINANZASSEGUROEQ. DE TRANSPORTE</v>
      </c>
      <c r="B2352" t="s">
        <v>1277</v>
      </c>
      <c r="C2352" s="1">
        <v>45839</v>
      </c>
      <c r="D2352" s="71" t="s">
        <v>23</v>
      </c>
      <c r="E2352" s="71" t="s">
        <v>173</v>
      </c>
      <c r="F2352" s="70" t="s">
        <v>175</v>
      </c>
      <c r="G2352" s="71" t="s">
        <v>216</v>
      </c>
      <c r="J2352" s="71" t="s">
        <v>1516</v>
      </c>
      <c r="L2352" s="326">
        <v>4749</v>
      </c>
      <c r="M2352" s="136">
        <f t="shared" si="51"/>
        <v>-37463.570946666121</v>
      </c>
    </row>
    <row r="2353" spans="1:13">
      <c r="A2353" s="54" t="str">
        <f>D2353&amp;E2353&amp;F2353</f>
        <v>CAPVIATICOSCAPRICHOS</v>
      </c>
      <c r="B2353" t="s">
        <v>1277</v>
      </c>
      <c r="C2353" s="1">
        <v>45839</v>
      </c>
      <c r="D2353" s="71" t="s">
        <v>31</v>
      </c>
      <c r="E2353" s="71" t="s">
        <v>191</v>
      </c>
      <c r="F2353" s="70" t="s">
        <v>33</v>
      </c>
      <c r="G2353" s="71" t="s">
        <v>258</v>
      </c>
      <c r="J2353" s="71" t="s">
        <v>1517</v>
      </c>
      <c r="L2353" s="326">
        <v>1600</v>
      </c>
      <c r="M2353" s="136">
        <f t="shared" si="51"/>
        <v>-39063.570946666121</v>
      </c>
    </row>
    <row r="2354" spans="1:13">
      <c r="A2354" s="54" t="str">
        <f>D2354&amp;E2354&amp;F2354</f>
        <v>HRVIATICOSHR</v>
      </c>
      <c r="B2354" t="s">
        <v>1277</v>
      </c>
      <c r="C2354" s="1">
        <v>45839</v>
      </c>
      <c r="D2354" s="71" t="s">
        <v>29</v>
      </c>
      <c r="E2354" s="71" t="s">
        <v>191</v>
      </c>
      <c r="F2354" s="70" t="s">
        <v>29</v>
      </c>
      <c r="G2354" s="71" t="s">
        <v>216</v>
      </c>
      <c r="J2354" s="76" t="s">
        <v>1443</v>
      </c>
      <c r="L2354" s="331">
        <v>25</v>
      </c>
      <c r="M2354" s="136">
        <f t="shared" si="51"/>
        <v>-39088.570946666121</v>
      </c>
    </row>
    <row r="2355" spans="1:13">
      <c r="A2355" s="54" t="str">
        <f>D2355&amp;E2355&amp;F2355</f>
        <v>CAPUBERCAP</v>
      </c>
      <c r="B2355" t="s">
        <v>1277</v>
      </c>
      <c r="C2355" s="1">
        <v>45839</v>
      </c>
      <c r="D2355" s="71" t="s">
        <v>31</v>
      </c>
      <c r="E2355" s="71" t="s">
        <v>189</v>
      </c>
      <c r="F2355" s="70" t="s">
        <v>31</v>
      </c>
      <c r="G2355" s="71" t="s">
        <v>258</v>
      </c>
      <c r="J2355" s="76" t="s">
        <v>253</v>
      </c>
      <c r="L2355" s="526">
        <v>570</v>
      </c>
      <c r="M2355" s="136">
        <f t="shared" si="51"/>
        <v>-39658.570946666121</v>
      </c>
    </row>
    <row r="2356" spans="1:13">
      <c r="A2356" s="54" t="str">
        <f>D2356&amp;E2356&amp;F2356</f>
        <v>CAPUBERCAP</v>
      </c>
      <c r="B2356" t="s">
        <v>1277</v>
      </c>
      <c r="C2356" s="1">
        <v>45839</v>
      </c>
      <c r="D2356" s="71" t="s">
        <v>31</v>
      </c>
      <c r="E2356" s="71" t="s">
        <v>189</v>
      </c>
      <c r="F2356" s="70" t="s">
        <v>31</v>
      </c>
      <c r="G2356" s="71" t="s">
        <v>258</v>
      </c>
      <c r="J2356" s="76" t="s">
        <v>257</v>
      </c>
      <c r="L2356" s="526">
        <v>70</v>
      </c>
      <c r="M2356" s="136">
        <f t="shared" si="51"/>
        <v>-39728.570946666121</v>
      </c>
    </row>
    <row r="2357" spans="1:13">
      <c r="A2357" s="54" t="str">
        <f>D2357&amp;E2357&amp;F2357</f>
        <v>CAPINSUMOSCAPRICHOS</v>
      </c>
      <c r="B2357" t="s">
        <v>1277</v>
      </c>
      <c r="C2357" s="1">
        <v>45839</v>
      </c>
      <c r="D2357" s="71" t="s">
        <v>31</v>
      </c>
      <c r="E2357" s="71" t="s">
        <v>133</v>
      </c>
      <c r="F2357" s="70" t="s">
        <v>33</v>
      </c>
      <c r="G2357" s="71" t="s">
        <v>216</v>
      </c>
      <c r="J2357" s="76" t="s">
        <v>362</v>
      </c>
      <c r="L2357" s="331">
        <v>11</v>
      </c>
      <c r="M2357" s="136">
        <f t="shared" si="51"/>
        <v>-39739.570946666121</v>
      </c>
    </row>
    <row r="2358" spans="1:13">
      <c r="A2358" s="54" t="str">
        <f t="shared" si="52"/>
        <v/>
      </c>
      <c r="B2358" t="s">
        <v>1277</v>
      </c>
      <c r="C2358" s="1">
        <v>45840</v>
      </c>
      <c r="D2358" s="71"/>
      <c r="F2358" s="70"/>
      <c r="J2358" s="71" t="s">
        <v>260</v>
      </c>
      <c r="K2358" s="325">
        <v>265468.55</v>
      </c>
      <c r="L2358" s="354"/>
      <c r="M2358" s="136">
        <f t="shared" si="51"/>
        <v>225728.97905333387</v>
      </c>
    </row>
    <row r="2359" spans="1:13" ht="17.25" customHeight="1">
      <c r="A2359" s="54" t="str">
        <f>D2359&amp;E2359&amp;F2359</f>
        <v>FINANZASCOMISIONES BANCARIASTPV</v>
      </c>
      <c r="B2359" t="s">
        <v>1277</v>
      </c>
      <c r="C2359" s="1">
        <v>45840</v>
      </c>
      <c r="D2359" s="71" t="s">
        <v>23</v>
      </c>
      <c r="E2359" s="71" t="s">
        <v>48</v>
      </c>
      <c r="F2359" s="70" t="s">
        <v>50</v>
      </c>
      <c r="G2359" s="71" t="s">
        <v>216</v>
      </c>
      <c r="J2359" s="71" t="s">
        <v>217</v>
      </c>
      <c r="L2359" s="337">
        <f>357.99+274.77+119.33+1759.07+1873.5+483.45</f>
        <v>4868.1099999999997</v>
      </c>
      <c r="M2359" s="136">
        <f t="shared" si="51"/>
        <v>220860.86905333388</v>
      </c>
    </row>
    <row r="2360" spans="1:13">
      <c r="A2360" s="54" t="str">
        <f>D2360&amp;E2360&amp;F2360</f>
        <v>FINANZASCOMISIONES BANCARIASMANEJO DE CUENTA</v>
      </c>
      <c r="B2360" t="s">
        <v>1277</v>
      </c>
      <c r="C2360" s="1">
        <v>45840</v>
      </c>
      <c r="D2360" s="71" t="s">
        <v>23</v>
      </c>
      <c r="E2360" s="71" t="s">
        <v>48</v>
      </c>
      <c r="F2360" s="70" t="s">
        <v>49</v>
      </c>
      <c r="J2360" s="71" t="s">
        <v>1518</v>
      </c>
      <c r="L2360" s="326">
        <f>301.6+580+145</f>
        <v>1026.5999999999999</v>
      </c>
      <c r="M2360" s="136">
        <f t="shared" si="51"/>
        <v>219834.26905333388</v>
      </c>
    </row>
    <row r="2361" spans="1:13">
      <c r="A2361" s="54" t="str">
        <f t="shared" si="52"/>
        <v/>
      </c>
      <c r="B2361" t="s">
        <v>1277</v>
      </c>
      <c r="C2361" s="1">
        <v>45840</v>
      </c>
      <c r="D2361" s="71"/>
      <c r="F2361" s="70"/>
      <c r="J2361" s="205" t="s">
        <v>220</v>
      </c>
      <c r="K2361" s="205"/>
      <c r="L2361" s="206">
        <v>200000</v>
      </c>
      <c r="M2361" s="136">
        <f t="shared" si="51"/>
        <v>19834.269053333875</v>
      </c>
    </row>
    <row r="2362" spans="1:13">
      <c r="A2362" s="54" t="str">
        <f>D2362&amp;E2362&amp;F2362</f>
        <v>HRVIATICOSHR</v>
      </c>
      <c r="B2362" t="s">
        <v>1277</v>
      </c>
      <c r="C2362" s="1">
        <v>45840</v>
      </c>
      <c r="D2362" s="71" t="s">
        <v>29</v>
      </c>
      <c r="E2362" s="71" t="s">
        <v>191</v>
      </c>
      <c r="F2362" s="70" t="s">
        <v>29</v>
      </c>
      <c r="G2362" s="71" t="s">
        <v>216</v>
      </c>
      <c r="J2362" s="71" t="s">
        <v>1519</v>
      </c>
      <c r="L2362" s="326">
        <v>3200</v>
      </c>
      <c r="M2362" s="136">
        <f t="shared" si="51"/>
        <v>16634.269053333875</v>
      </c>
    </row>
    <row r="2363" spans="1:13">
      <c r="A2363" s="54" t="str">
        <f>D2363&amp;E2363&amp;F2363</f>
        <v>HRVIATICOSHR</v>
      </c>
      <c r="B2363" t="s">
        <v>1277</v>
      </c>
      <c r="C2363" s="1">
        <v>45840</v>
      </c>
      <c r="D2363" s="71" t="s">
        <v>29</v>
      </c>
      <c r="E2363" s="71" t="s">
        <v>191</v>
      </c>
      <c r="F2363" s="70" t="s">
        <v>29</v>
      </c>
      <c r="G2363" s="71" t="s">
        <v>216</v>
      </c>
      <c r="J2363" s="71" t="s">
        <v>1520</v>
      </c>
      <c r="L2363" s="326">
        <v>3600</v>
      </c>
      <c r="M2363" s="136">
        <f t="shared" si="51"/>
        <v>13034.269053333875</v>
      </c>
    </row>
    <row r="2364" spans="1:13">
      <c r="A2364" s="54" t="str">
        <f>D2364&amp;E2364&amp;F2364</f>
        <v>HRVIATICOSHR</v>
      </c>
      <c r="B2364" t="s">
        <v>1277</v>
      </c>
      <c r="C2364" s="1">
        <v>45840</v>
      </c>
      <c r="D2364" s="71" t="s">
        <v>29</v>
      </c>
      <c r="E2364" s="71" t="s">
        <v>191</v>
      </c>
      <c r="F2364" s="70" t="s">
        <v>29</v>
      </c>
      <c r="G2364" s="71" t="s">
        <v>216</v>
      </c>
      <c r="J2364" s="71" t="s">
        <v>1521</v>
      </c>
      <c r="L2364" s="326">
        <v>2400</v>
      </c>
      <c r="M2364" s="136">
        <f t="shared" si="51"/>
        <v>10634.269053333875</v>
      </c>
    </row>
    <row r="2365" spans="1:13">
      <c r="A2365" s="54" t="str">
        <f>D2365&amp;E2365&amp;F2365</f>
        <v>SGEINSUMOSGESTION EMPRESARIAL</v>
      </c>
      <c r="B2365" t="s">
        <v>1277</v>
      </c>
      <c r="C2365" s="1">
        <v>45840</v>
      </c>
      <c r="D2365" s="71" t="s">
        <v>39</v>
      </c>
      <c r="E2365" s="71" t="s">
        <v>133</v>
      </c>
      <c r="F2365" s="70" t="s">
        <v>40</v>
      </c>
      <c r="G2365" s="71" t="s">
        <v>216</v>
      </c>
      <c r="J2365" s="71" t="s">
        <v>1522</v>
      </c>
      <c r="L2365" s="326">
        <v>3200</v>
      </c>
      <c r="M2365" s="136">
        <f t="shared" si="51"/>
        <v>7434.2690533338755</v>
      </c>
    </row>
    <row r="2366" spans="1:13">
      <c r="A2366" s="54" t="str">
        <f>D2366&amp;E2366&amp;F2366</f>
        <v>SGEINSUMOSGESTION EMPRESARIAL</v>
      </c>
      <c r="B2366" t="s">
        <v>1277</v>
      </c>
      <c r="C2366" s="1">
        <v>45840</v>
      </c>
      <c r="D2366" s="71" t="s">
        <v>39</v>
      </c>
      <c r="E2366" s="71" t="s">
        <v>133</v>
      </c>
      <c r="F2366" s="70" t="s">
        <v>40</v>
      </c>
      <c r="G2366" s="71" t="s">
        <v>216</v>
      </c>
      <c r="J2366" s="71" t="s">
        <v>1523</v>
      </c>
      <c r="L2366" s="326">
        <v>7714</v>
      </c>
      <c r="M2366" s="136">
        <f t="shared" si="51"/>
        <v>-279.73094666612451</v>
      </c>
    </row>
    <row r="2367" spans="1:13">
      <c r="A2367" s="54" t="str">
        <f>D2367&amp;E2367&amp;F2367</f>
        <v>SERVICIOSMTTO DE EDIFICIOMANTENIMIENTO</v>
      </c>
      <c r="B2367" t="s">
        <v>1277</v>
      </c>
      <c r="C2367" s="1">
        <v>45840</v>
      </c>
      <c r="D2367" s="71" t="s">
        <v>21</v>
      </c>
      <c r="E2367" s="71" t="s">
        <v>142</v>
      </c>
      <c r="F2367" s="70" t="s">
        <v>35</v>
      </c>
      <c r="G2367" s="71" t="s">
        <v>216</v>
      </c>
      <c r="J2367" s="71" t="s">
        <v>1524</v>
      </c>
      <c r="L2367" s="326">
        <v>1200</v>
      </c>
      <c r="M2367" s="136">
        <f>M2366+K2367-L2367</f>
        <v>-1479.7309466661245</v>
      </c>
    </row>
    <row r="2368" spans="1:13">
      <c r="A2368" s="54" t="str">
        <f>D2368&amp;E2368&amp;F2368</f>
        <v>SERVICIOSMTTO DE EDIFICIOMANTENIMIENTO</v>
      </c>
      <c r="B2368" t="s">
        <v>1277</v>
      </c>
      <c r="C2368" s="1">
        <v>45840</v>
      </c>
      <c r="D2368" s="71" t="s">
        <v>21</v>
      </c>
      <c r="E2368" s="71" t="s">
        <v>142</v>
      </c>
      <c r="F2368" s="70" t="s">
        <v>35</v>
      </c>
      <c r="G2368" s="71" t="s">
        <v>216</v>
      </c>
      <c r="J2368" s="71" t="s">
        <v>1525</v>
      </c>
      <c r="L2368" s="326">
        <v>4000</v>
      </c>
      <c r="M2368" s="136">
        <f>M2367+K2368-L2368</f>
        <v>-5479.7309466661245</v>
      </c>
    </row>
    <row r="2369" spans="1:13">
      <c r="A2369" s="54" t="str">
        <f>D2369&amp;E2369&amp;F2369</f>
        <v>SERVICIOSJMASCEDIS</v>
      </c>
      <c r="B2369" t="s">
        <v>1277</v>
      </c>
      <c r="C2369" s="1">
        <v>45840</v>
      </c>
      <c r="D2369" s="71" t="s">
        <v>21</v>
      </c>
      <c r="E2369" s="71" t="s">
        <v>137</v>
      </c>
      <c r="F2369" s="70" t="s">
        <v>28</v>
      </c>
      <c r="G2369" s="71" t="s">
        <v>216</v>
      </c>
      <c r="J2369" s="71" t="s">
        <v>1526</v>
      </c>
      <c r="L2369" s="326">
        <v>4000</v>
      </c>
      <c r="M2369" s="136">
        <f>M2368+K2369-L2369</f>
        <v>-9479.7309466661245</v>
      </c>
    </row>
    <row r="2370" spans="1:13">
      <c r="A2370" s="54" t="str">
        <f>D2370&amp;E2370&amp;F2370</f>
        <v>FINANZASMTTO EQ DE TRANSPORTETESORERIA</v>
      </c>
      <c r="B2370" t="s">
        <v>1277</v>
      </c>
      <c r="C2370" s="1">
        <v>45840</v>
      </c>
      <c r="D2370" s="71" t="s">
        <v>23</v>
      </c>
      <c r="E2370" s="71" t="s">
        <v>144</v>
      </c>
      <c r="F2370" s="70" t="s">
        <v>38</v>
      </c>
      <c r="G2370" s="71" t="s">
        <v>258</v>
      </c>
      <c r="J2370" s="71" t="s">
        <v>1527</v>
      </c>
      <c r="L2370" s="326">
        <v>357</v>
      </c>
      <c r="M2370" s="136">
        <f t="shared" ref="M2370:M2385" si="53">M2369+K2370-L2370</f>
        <v>-9836.7309466661245</v>
      </c>
    </row>
    <row r="2371" spans="1:13">
      <c r="A2371" s="54" t="str">
        <f>D2371&amp;E2371&amp;F2371</f>
        <v>HRVIATICOSHR</v>
      </c>
      <c r="B2371" t="s">
        <v>1277</v>
      </c>
      <c r="C2371" s="1">
        <v>45840</v>
      </c>
      <c r="D2371" s="71" t="s">
        <v>29</v>
      </c>
      <c r="E2371" s="71" t="s">
        <v>191</v>
      </c>
      <c r="F2371" s="70" t="s">
        <v>29</v>
      </c>
      <c r="G2371" s="71" t="s">
        <v>216</v>
      </c>
      <c r="J2371" s="76" t="s">
        <v>1528</v>
      </c>
      <c r="L2371" s="331">
        <v>20</v>
      </c>
      <c r="M2371" s="136">
        <f t="shared" si="53"/>
        <v>-9856.7309466661245</v>
      </c>
    </row>
    <row r="2372" spans="1:13">
      <c r="A2372" s="54" t="str">
        <f>D2372&amp;E2372&amp;F2372</f>
        <v>HRINSUMOSHR</v>
      </c>
      <c r="B2372" t="s">
        <v>1277</v>
      </c>
      <c r="C2372" s="1">
        <v>45840</v>
      </c>
      <c r="D2372" s="71" t="s">
        <v>29</v>
      </c>
      <c r="E2372" s="71" t="s">
        <v>133</v>
      </c>
      <c r="F2372" s="70" t="s">
        <v>29</v>
      </c>
      <c r="G2372" s="71" t="s">
        <v>216</v>
      </c>
      <c r="J2372" s="76" t="s">
        <v>1529</v>
      </c>
      <c r="L2372" s="331">
        <v>245</v>
      </c>
      <c r="M2372" s="136">
        <f t="shared" si="53"/>
        <v>-10101.730946666125</v>
      </c>
    </row>
    <row r="2373" spans="1:13">
      <c r="A2373" s="54" t="str">
        <f>D2373&amp;E2373&amp;F2373</f>
        <v>CAPUBERCAP</v>
      </c>
      <c r="B2373" t="s">
        <v>1277</v>
      </c>
      <c r="C2373" s="1">
        <v>45840</v>
      </c>
      <c r="D2373" s="71" t="s">
        <v>31</v>
      </c>
      <c r="E2373" s="71" t="s">
        <v>189</v>
      </c>
      <c r="F2373" s="70" t="s">
        <v>31</v>
      </c>
      <c r="G2373" s="71" t="s">
        <v>258</v>
      </c>
      <c r="J2373" s="76" t="s">
        <v>253</v>
      </c>
      <c r="L2373" s="526">
        <v>356</v>
      </c>
      <c r="M2373" s="136">
        <f>M2372+K2373-L2373</f>
        <v>-10457.730946666125</v>
      </c>
    </row>
    <row r="2374" spans="1:13">
      <c r="A2374" s="54" t="str">
        <f>D2374&amp;E2374&amp;F2374</f>
        <v>SERVICIOSMTTO DE EDIFICIOMANTENIMIENTO</v>
      </c>
      <c r="B2374" t="s">
        <v>1277</v>
      </c>
      <c r="C2374" s="1">
        <v>45840</v>
      </c>
      <c r="D2374" s="71" t="s">
        <v>21</v>
      </c>
      <c r="E2374" s="71" t="s">
        <v>142</v>
      </c>
      <c r="F2374" s="70" t="s">
        <v>35</v>
      </c>
      <c r="G2374" s="71" t="s">
        <v>216</v>
      </c>
      <c r="J2374" s="76" t="s">
        <v>1530</v>
      </c>
      <c r="L2374" s="331">
        <v>800</v>
      </c>
      <c r="M2374" s="136">
        <f>M2373+K2374-L2374</f>
        <v>-11257.730946666125</v>
      </c>
    </row>
    <row r="2375" spans="1:13">
      <c r="A2375" s="54" t="str">
        <f>D2375&amp;E2375&amp;F2375</f>
        <v>CAPUBERCAP</v>
      </c>
      <c r="B2375" t="s">
        <v>1277</v>
      </c>
      <c r="C2375" s="1">
        <v>45840</v>
      </c>
      <c r="D2375" s="71" t="s">
        <v>31</v>
      </c>
      <c r="E2375" s="71" t="s">
        <v>189</v>
      </c>
      <c r="F2375" s="70" t="s">
        <v>31</v>
      </c>
      <c r="G2375" s="71" t="s">
        <v>258</v>
      </c>
      <c r="J2375" s="76" t="s">
        <v>257</v>
      </c>
      <c r="L2375" s="526">
        <v>40</v>
      </c>
      <c r="M2375" s="136">
        <f>M2374+K2375-L2375</f>
        <v>-11297.730946666125</v>
      </c>
    </row>
    <row r="2376" spans="1:13">
      <c r="A2376" s="54" t="str">
        <f>D2376&amp;E2376&amp;F2376</f>
        <v>CAPINSUMOSCAPRICHOS</v>
      </c>
      <c r="B2376" t="s">
        <v>1277</v>
      </c>
      <c r="C2376" s="1">
        <v>45840</v>
      </c>
      <c r="D2376" s="71" t="s">
        <v>31</v>
      </c>
      <c r="E2376" s="71" t="s">
        <v>133</v>
      </c>
      <c r="F2376" s="70" t="s">
        <v>33</v>
      </c>
      <c r="G2376" s="71" t="s">
        <v>216</v>
      </c>
      <c r="J2376" s="76" t="s">
        <v>1531</v>
      </c>
      <c r="L2376" s="331">
        <v>25</v>
      </c>
      <c r="M2376" s="136">
        <f>M2375+K2376-L2376</f>
        <v>-11322.730946666125</v>
      </c>
    </row>
    <row r="2377" spans="1:13">
      <c r="A2377" s="54" t="str">
        <f t="shared" si="52"/>
        <v/>
      </c>
      <c r="B2377" t="s">
        <v>1277</v>
      </c>
      <c r="C2377" s="1">
        <v>45841</v>
      </c>
      <c r="D2377" s="71"/>
      <c r="F2377" s="70"/>
      <c r="G2377" s="71" t="s">
        <v>216</v>
      </c>
      <c r="J2377" s="71" t="s">
        <v>260</v>
      </c>
      <c r="K2377" s="325">
        <v>226053.81</v>
      </c>
      <c r="L2377" s="354"/>
      <c r="M2377" s="136">
        <f>M2376+K2377-L2377</f>
        <v>214731.07905333387</v>
      </c>
    </row>
    <row r="2378" spans="1:13">
      <c r="A2378" s="54" t="str">
        <f>D2378&amp;E2378&amp;F2378</f>
        <v>FINANZASCOMISIONES BANCARIASTPV</v>
      </c>
      <c r="B2378" t="s">
        <v>1277</v>
      </c>
      <c r="C2378" s="1">
        <v>45841</v>
      </c>
      <c r="D2378" s="71" t="s">
        <v>23</v>
      </c>
      <c r="E2378" s="71" t="s">
        <v>48</v>
      </c>
      <c r="F2378" s="70" t="s">
        <v>50</v>
      </c>
      <c r="G2378" s="71" t="s">
        <v>216</v>
      </c>
      <c r="H2378" s="83" t="s">
        <v>258</v>
      </c>
      <c r="J2378" s="71" t="s">
        <v>217</v>
      </c>
      <c r="L2378" s="326">
        <f>385.23+180.98+103.3+1699+1465.67+631.69+13.92</f>
        <v>4479.7900000000009</v>
      </c>
      <c r="M2378" s="136">
        <f>M2377+K2378-L2378</f>
        <v>210251.28905333387</v>
      </c>
    </row>
    <row r="2379" spans="1:13">
      <c r="A2379" s="54" t="str">
        <f t="shared" si="52"/>
        <v/>
      </c>
      <c r="B2379" t="s">
        <v>1277</v>
      </c>
      <c r="C2379" s="1">
        <v>45841</v>
      </c>
      <c r="D2379" s="71"/>
      <c r="F2379" s="70"/>
      <c r="J2379" s="205" t="s">
        <v>220</v>
      </c>
      <c r="K2379" s="205"/>
      <c r="L2379" s="206">
        <v>151000</v>
      </c>
      <c r="M2379" s="136">
        <f>M2378+K2379-L2379</f>
        <v>59251.289053333865</v>
      </c>
    </row>
    <row r="2380" spans="1:13">
      <c r="A2380" s="54" t="str">
        <f>D2380&amp;E2380&amp;F2380</f>
        <v>SERVICIOSADQ DE EQ TECNOLOGICOADQ DE EQ TECNOLOGICO</v>
      </c>
      <c r="B2380" t="s">
        <v>1277</v>
      </c>
      <c r="C2380" s="1">
        <v>45841</v>
      </c>
      <c r="D2380" s="71" t="s">
        <v>21</v>
      </c>
      <c r="E2380" s="71" t="s">
        <v>22</v>
      </c>
      <c r="F2380" s="70" t="s">
        <v>22</v>
      </c>
      <c r="G2380" s="71" t="s">
        <v>258</v>
      </c>
      <c r="J2380" s="71" t="s">
        <v>1532</v>
      </c>
      <c r="L2380" s="326">
        <v>9000.02</v>
      </c>
      <c r="M2380" s="136">
        <f>M2379+K2380-L2380</f>
        <v>50251.269053333861</v>
      </c>
    </row>
    <row r="2381" spans="1:13">
      <c r="A2381" s="54" t="str">
        <f>D2381&amp;E2381&amp;F2381</f>
        <v>SERVICIOSMTTO DE EDIFICIOMANTENIMIENTO</v>
      </c>
      <c r="B2381" t="s">
        <v>1277</v>
      </c>
      <c r="C2381" s="1">
        <v>45841</v>
      </c>
      <c r="D2381" s="71" t="s">
        <v>21</v>
      </c>
      <c r="E2381" s="71" t="s">
        <v>142</v>
      </c>
      <c r="F2381" s="70" t="s">
        <v>35</v>
      </c>
      <c r="G2381" s="71" t="s">
        <v>258</v>
      </c>
      <c r="J2381" s="71" t="s">
        <v>1533</v>
      </c>
      <c r="L2381" s="326">
        <v>3900</v>
      </c>
      <c r="M2381" s="136">
        <f>M2380+K2381-L2381</f>
        <v>46351.269053333861</v>
      </c>
    </row>
    <row r="2382" spans="1:13">
      <c r="A2382" s="54" t="str">
        <f>D2382&amp;E2382&amp;F2382</f>
        <v>SERVICIOSVIATICOSMANTENIMIENTO</v>
      </c>
      <c r="B2382" t="s">
        <v>1277</v>
      </c>
      <c r="C2382" s="1">
        <v>45841</v>
      </c>
      <c r="D2382" s="71" t="s">
        <v>21</v>
      </c>
      <c r="E2382" s="71" t="s">
        <v>191</v>
      </c>
      <c r="F2382" s="70" t="s">
        <v>35</v>
      </c>
      <c r="J2382" s="71" t="s">
        <v>1534</v>
      </c>
      <c r="L2382" s="326">
        <v>1100</v>
      </c>
      <c r="M2382" s="136">
        <f>M2381+K2382-L2382</f>
        <v>45251.269053333861</v>
      </c>
    </row>
    <row r="2383" spans="1:13">
      <c r="A2383" s="54" t="str">
        <f>D2383&amp;E2383&amp;F2383</f>
        <v>DECOMBUSTIBLEDIRECCION</v>
      </c>
      <c r="B2383" t="s">
        <v>1277</v>
      </c>
      <c r="C2383" s="1">
        <v>45841</v>
      </c>
      <c r="D2383" s="71" t="s">
        <v>41</v>
      </c>
      <c r="E2383" s="71" t="s">
        <v>32</v>
      </c>
      <c r="F2383" s="70" t="s">
        <v>42</v>
      </c>
      <c r="J2383" s="71" t="s">
        <v>1535</v>
      </c>
      <c r="L2383" s="326">
        <v>500</v>
      </c>
      <c r="M2383" s="136">
        <f>M2382+K2383-L2383</f>
        <v>44751.269053333861</v>
      </c>
    </row>
    <row r="2384" spans="1:13">
      <c r="A2384" s="54" t="str">
        <f>D2384&amp;E2384&amp;F2384</f>
        <v>FINANZASMTTO EQ DE TRANSPORTEMANTENIMIENTO</v>
      </c>
      <c r="B2384" t="s">
        <v>1277</v>
      </c>
      <c r="C2384" s="1">
        <v>45841</v>
      </c>
      <c r="D2384" s="71" t="s">
        <v>23</v>
      </c>
      <c r="E2384" s="71" t="s">
        <v>144</v>
      </c>
      <c r="F2384" s="70" t="s">
        <v>35</v>
      </c>
      <c r="G2384" s="71" t="s">
        <v>258</v>
      </c>
      <c r="J2384" s="71" t="s">
        <v>1536</v>
      </c>
      <c r="L2384" s="208">
        <v>680</v>
      </c>
      <c r="M2384" s="136">
        <f>M2383+K2384-L2384</f>
        <v>44071.269053333861</v>
      </c>
    </row>
    <row r="2385" spans="1:13">
      <c r="A2385" s="54" t="str">
        <f>D2385&amp;E2385&amp;F2385</f>
        <v>FINANZASINSUMOSFINANZAS</v>
      </c>
      <c r="B2385" t="s">
        <v>1277</v>
      </c>
      <c r="C2385" s="1">
        <v>45841</v>
      </c>
      <c r="D2385" s="71" t="s">
        <v>23</v>
      </c>
      <c r="E2385" s="71" t="s">
        <v>133</v>
      </c>
      <c r="F2385" s="70" t="s">
        <v>23</v>
      </c>
      <c r="J2385" s="71" t="s">
        <v>1537</v>
      </c>
      <c r="L2385" s="326">
        <v>578</v>
      </c>
      <c r="M2385" s="136">
        <f>M2384+K2385-L2385</f>
        <v>43493.269053333861</v>
      </c>
    </row>
    <row r="2386" spans="1:13">
      <c r="A2386" s="54" t="str">
        <f>D2386&amp;E2386&amp;F2386</f>
        <v>HRVIATICOSHR</v>
      </c>
      <c r="B2386" t="s">
        <v>1277</v>
      </c>
      <c r="C2386" s="1">
        <v>45841</v>
      </c>
      <c r="D2386" s="71" t="s">
        <v>29</v>
      </c>
      <c r="E2386" s="71" t="s">
        <v>191</v>
      </c>
      <c r="F2386" s="70" t="s">
        <v>29</v>
      </c>
      <c r="J2386" s="76" t="s">
        <v>1538</v>
      </c>
      <c r="L2386" s="331">
        <v>20</v>
      </c>
      <c r="M2386" s="136">
        <f>M2385+K2386-L2386</f>
        <v>43473.269053333861</v>
      </c>
    </row>
    <row r="2387" spans="1:13">
      <c r="A2387" s="54" t="str">
        <f>D2387&amp;E2387&amp;F2387</f>
        <v>CAPUBERCAP</v>
      </c>
      <c r="B2387" t="s">
        <v>1277</v>
      </c>
      <c r="C2387" s="1">
        <v>45841</v>
      </c>
      <c r="D2387" s="71" t="s">
        <v>31</v>
      </c>
      <c r="E2387" s="71" t="s">
        <v>189</v>
      </c>
      <c r="F2387" s="70" t="s">
        <v>31</v>
      </c>
      <c r="J2387" s="76" t="s">
        <v>253</v>
      </c>
      <c r="L2387" s="526">
        <v>870</v>
      </c>
      <c r="M2387" s="136">
        <f>M2386+K2387-L2387</f>
        <v>42603.269053333861</v>
      </c>
    </row>
    <row r="2388" spans="1:13">
      <c r="A2388" s="54" t="str">
        <f>D2388&amp;E2388&amp;F2388</f>
        <v>CAPUBERCAP</v>
      </c>
      <c r="B2388" t="s">
        <v>1277</v>
      </c>
      <c r="C2388" s="1">
        <v>45841</v>
      </c>
      <c r="D2388" s="71" t="s">
        <v>31</v>
      </c>
      <c r="E2388" s="71" t="s">
        <v>189</v>
      </c>
      <c r="F2388" s="70" t="s">
        <v>31</v>
      </c>
      <c r="J2388" s="76" t="s">
        <v>1539</v>
      </c>
      <c r="L2388" s="526">
        <v>60</v>
      </c>
      <c r="M2388" s="136">
        <f>M2387+K2388-L2388</f>
        <v>42543.269053333861</v>
      </c>
    </row>
    <row r="2389" spans="1:13">
      <c r="A2389" s="54" t="str">
        <f>D2389&amp;E2389&amp;F2389</f>
        <v>CAPINSUMOSCAPRICHOS</v>
      </c>
      <c r="B2389" t="s">
        <v>1277</v>
      </c>
      <c r="C2389" s="1">
        <v>45841</v>
      </c>
      <c r="D2389" s="71" t="s">
        <v>31</v>
      </c>
      <c r="E2389" s="71" t="s">
        <v>133</v>
      </c>
      <c r="F2389" s="70" t="s">
        <v>33</v>
      </c>
      <c r="J2389" s="76" t="s">
        <v>929</v>
      </c>
      <c r="L2389" s="331">
        <v>60</v>
      </c>
      <c r="M2389" s="136">
        <f>M2388+K2389-L2389</f>
        <v>42483.269053333861</v>
      </c>
    </row>
    <row r="2390" spans="1:13">
      <c r="A2390" s="54" t="str">
        <f t="shared" ref="A2381:A2444" si="54">D2390&amp;E2390&amp;F2390</f>
        <v/>
      </c>
      <c r="B2390" t="s">
        <v>1277</v>
      </c>
      <c r="C2390" s="1">
        <v>45842</v>
      </c>
      <c r="D2390" s="71"/>
      <c r="F2390" s="70"/>
      <c r="J2390" s="71" t="s">
        <v>260</v>
      </c>
      <c r="K2390" s="325">
        <v>269619.81</v>
      </c>
      <c r="L2390" s="354"/>
      <c r="M2390" s="136">
        <f>M2389+K2390-L2390</f>
        <v>312103.07905333384</v>
      </c>
    </row>
    <row r="2391" spans="1:13">
      <c r="A2391" s="54" t="str">
        <f t="shared" si="54"/>
        <v/>
      </c>
      <c r="B2391" t="s">
        <v>1277</v>
      </c>
      <c r="C2391" s="1">
        <v>45842</v>
      </c>
      <c r="D2391" s="71"/>
      <c r="F2391" s="70"/>
      <c r="J2391" s="71" t="s">
        <v>1540</v>
      </c>
      <c r="K2391" s="325">
        <v>13068.72</v>
      </c>
      <c r="L2391" s="354"/>
      <c r="M2391" s="136">
        <f>M2390+K2391-L2391</f>
        <v>325171.79905333382</v>
      </c>
    </row>
    <row r="2392" spans="1:13">
      <c r="A2392" s="54" t="str">
        <f>D2392&amp;E2392&amp;F2392</f>
        <v>FINANZASCOMISIONES BANCARIASTPV</v>
      </c>
      <c r="B2392" t="s">
        <v>1277</v>
      </c>
      <c r="C2392" s="1">
        <v>45842</v>
      </c>
      <c r="D2392" s="71" t="s">
        <v>23</v>
      </c>
      <c r="E2392" s="71" t="s">
        <v>48</v>
      </c>
      <c r="F2392" s="70" t="s">
        <v>50</v>
      </c>
      <c r="G2392" s="71" t="s">
        <v>216</v>
      </c>
      <c r="J2392" s="71" t="s">
        <v>217</v>
      </c>
      <c r="L2392" s="326">
        <f>405.2+332.24+38.23+2292.94+1788.99+799.21+27.84</f>
        <v>5684.6500000000005</v>
      </c>
      <c r="M2392" s="136">
        <f>M2391+K2392-L2392</f>
        <v>319487.14905333379</v>
      </c>
    </row>
    <row r="2393" spans="1:13">
      <c r="A2393" s="54" t="str">
        <f t="shared" si="54"/>
        <v/>
      </c>
      <c r="B2393" t="s">
        <v>1277</v>
      </c>
      <c r="C2393" s="1">
        <v>45842</v>
      </c>
      <c r="D2393" s="71"/>
      <c r="F2393" s="70"/>
      <c r="J2393" s="205" t="s">
        <v>222</v>
      </c>
      <c r="K2393" s="205"/>
      <c r="L2393" s="206">
        <v>250000</v>
      </c>
      <c r="M2393" s="136">
        <f>M2392+K2393-L2393</f>
        <v>69487.149053333793</v>
      </c>
    </row>
    <row r="2394" spans="1:13">
      <c r="A2394" s="54" t="str">
        <f t="shared" si="54"/>
        <v>COMBUSTIBLE</v>
      </c>
      <c r="B2394" t="s">
        <v>1277</v>
      </c>
      <c r="C2394" s="1">
        <v>45842</v>
      </c>
      <c r="D2394" s="71"/>
      <c r="E2394" s="71" t="s">
        <v>32</v>
      </c>
      <c r="F2394" s="70"/>
      <c r="G2394" s="71" t="s">
        <v>216</v>
      </c>
      <c r="J2394" s="71" t="s">
        <v>440</v>
      </c>
      <c r="L2394" s="326">
        <v>27357.200000000001</v>
      </c>
      <c r="M2394" s="136">
        <f>M2393+K2394-L2394</f>
        <v>42129.949053333796</v>
      </c>
    </row>
    <row r="2395" spans="1:13">
      <c r="A2395" s="54" t="str">
        <f>D2395&amp;E2395&amp;F2395</f>
        <v>HRMKTMKT HR</v>
      </c>
      <c r="B2395" t="s">
        <v>1277</v>
      </c>
      <c r="C2395" s="1">
        <v>45842</v>
      </c>
      <c r="D2395" s="71" t="s">
        <v>29</v>
      </c>
      <c r="E2395" s="71" t="s">
        <v>19</v>
      </c>
      <c r="F2395" s="70" t="s">
        <v>138</v>
      </c>
      <c r="G2395" s="71" t="s">
        <v>216</v>
      </c>
      <c r="J2395" s="71" t="s">
        <v>1541</v>
      </c>
      <c r="L2395" s="326">
        <v>1620</v>
      </c>
      <c r="M2395" s="136">
        <f>M2394+K2395-L2395</f>
        <v>40509.949053333796</v>
      </c>
    </row>
    <row r="2396" spans="1:13">
      <c r="A2396" s="54" t="str">
        <f>D2396&amp;E2396&amp;F2396</f>
        <v>FINANZASFONDO Y REPOSICIONFINANZAS</v>
      </c>
      <c r="B2396" t="s">
        <v>1277</v>
      </c>
      <c r="C2396" s="1">
        <v>45842</v>
      </c>
      <c r="D2396" s="71" t="s">
        <v>23</v>
      </c>
      <c r="E2396" s="71" t="s">
        <v>120</v>
      </c>
      <c r="F2396" s="70" t="s">
        <v>23</v>
      </c>
      <c r="G2396" s="71" t="s">
        <v>216</v>
      </c>
      <c r="J2396" s="71" t="s">
        <v>576</v>
      </c>
      <c r="L2396" s="326">
        <v>300</v>
      </c>
      <c r="M2396" s="136">
        <f>M2395+K2396-L2396</f>
        <v>40209.949053333796</v>
      </c>
    </row>
    <row r="2397" spans="1:13">
      <c r="A2397" s="54" t="str">
        <f>D2397&amp;E2397&amp;F2397</f>
        <v>HRMKTMKT HR</v>
      </c>
      <c r="B2397" t="s">
        <v>1277</v>
      </c>
      <c r="C2397" s="1">
        <v>45842</v>
      </c>
      <c r="D2397" s="71" t="s">
        <v>29</v>
      </c>
      <c r="E2397" s="71" t="s">
        <v>19</v>
      </c>
      <c r="F2397" s="70" t="s">
        <v>138</v>
      </c>
      <c r="G2397" s="71" t="s">
        <v>216</v>
      </c>
      <c r="J2397" s="71" t="s">
        <v>1542</v>
      </c>
      <c r="L2397" s="326">
        <v>3000</v>
      </c>
      <c r="M2397" s="136">
        <f>M2396+K2397-L2397</f>
        <v>37209.949053333796</v>
      </c>
    </row>
    <row r="2398" spans="1:13">
      <c r="A2398" s="54" t="str">
        <f>D2398&amp;E2398&amp;F2398</f>
        <v>CAPVIATICOSCAPRICHOS</v>
      </c>
      <c r="B2398" t="s">
        <v>1277</v>
      </c>
      <c r="C2398" s="1">
        <v>45842</v>
      </c>
      <c r="D2398" s="71" t="s">
        <v>31</v>
      </c>
      <c r="E2398" s="71" t="s">
        <v>191</v>
      </c>
      <c r="F2398" s="70" t="s">
        <v>33</v>
      </c>
      <c r="G2398" s="71" t="s">
        <v>216</v>
      </c>
      <c r="J2398" s="71" t="s">
        <v>1543</v>
      </c>
      <c r="L2398" s="326">
        <v>4500</v>
      </c>
      <c r="M2398" s="136">
        <f>M2397+K2398-L2398</f>
        <v>32709.949053333796</v>
      </c>
    </row>
    <row r="2399" spans="1:13">
      <c r="A2399" s="54" t="str">
        <f>D2399&amp;E2399&amp;F2399</f>
        <v>CAPMKTMKT CAP</v>
      </c>
      <c r="B2399" t="s">
        <v>1277</v>
      </c>
      <c r="C2399" s="1">
        <v>45842</v>
      </c>
      <c r="D2399" s="71" t="s">
        <v>31</v>
      </c>
      <c r="E2399" s="71" t="s">
        <v>19</v>
      </c>
      <c r="F2399" s="70" t="s">
        <v>139</v>
      </c>
      <c r="G2399" s="71" t="s">
        <v>216</v>
      </c>
      <c r="J2399" s="71" t="s">
        <v>1544</v>
      </c>
      <c r="L2399" s="326">
        <v>7000</v>
      </c>
      <c r="M2399" s="136">
        <f>M2398+K2399-L2399</f>
        <v>25709.949053333796</v>
      </c>
    </row>
    <row r="2400" spans="1:13">
      <c r="A2400" s="54" t="str">
        <f>D2400&amp;E2400&amp;F2400</f>
        <v>SERVICIOSFONDO Y REPOSICIONSERVICIOS</v>
      </c>
      <c r="B2400" t="s">
        <v>1277</v>
      </c>
      <c r="C2400" s="1">
        <v>45842</v>
      </c>
      <c r="D2400" s="71" t="s">
        <v>21</v>
      </c>
      <c r="E2400" s="71" t="s">
        <v>120</v>
      </c>
      <c r="F2400" s="70" t="s">
        <v>21</v>
      </c>
      <c r="G2400" s="71" t="s">
        <v>1127</v>
      </c>
      <c r="J2400" s="71" t="s">
        <v>1545</v>
      </c>
      <c r="L2400" s="326">
        <v>416</v>
      </c>
      <c r="M2400" s="136">
        <f>M2399+K2400-L2400</f>
        <v>25293.949053333796</v>
      </c>
    </row>
    <row r="2401" spans="1:13">
      <c r="A2401" s="54" t="str">
        <f>D2401&amp;E2401&amp;F2401</f>
        <v>SERVICIOSALARMASUCURSALES HR</v>
      </c>
      <c r="B2401" t="s">
        <v>1277</v>
      </c>
      <c r="C2401" s="1">
        <v>45842</v>
      </c>
      <c r="D2401" s="71" t="s">
        <v>21</v>
      </c>
      <c r="E2401" s="71" t="s">
        <v>25</v>
      </c>
      <c r="F2401" s="70" t="s">
        <v>26</v>
      </c>
      <c r="G2401" s="71" t="s">
        <v>216</v>
      </c>
      <c r="J2401" s="71" t="s">
        <v>1546</v>
      </c>
      <c r="L2401" s="326">
        <v>5600</v>
      </c>
      <c r="M2401" s="136">
        <f>M2400+K2401-L2401</f>
        <v>19693.949053333796</v>
      </c>
    </row>
    <row r="2402" spans="1:13">
      <c r="A2402" s="54" t="str">
        <f>D2402&amp;E2402&amp;F2402</f>
        <v>FINANZASTELEFONIATOTAL PLAY (CONTA)</v>
      </c>
      <c r="B2402" t="s">
        <v>1277</v>
      </c>
      <c r="C2402" s="1">
        <v>45842</v>
      </c>
      <c r="D2402" s="71" t="s">
        <v>23</v>
      </c>
      <c r="E2402" s="71" t="s">
        <v>181</v>
      </c>
      <c r="F2402" s="70" t="s">
        <v>185</v>
      </c>
      <c r="G2402" s="71" t="s">
        <v>216</v>
      </c>
      <c r="J2402" s="71" t="s">
        <v>1547</v>
      </c>
      <c r="L2402" s="326">
        <v>602</v>
      </c>
      <c r="M2402" s="136">
        <f>M2401+K2402-L2402</f>
        <v>19091.949053333796</v>
      </c>
    </row>
    <row r="2403" spans="1:13">
      <c r="A2403" s="54" t="str">
        <f>D2403&amp;E2403&amp;F2403</f>
        <v>SERVICIOSMTTO DE EDIFICIOMANTENIMIENTO</v>
      </c>
      <c r="B2403" t="s">
        <v>1277</v>
      </c>
      <c r="C2403" s="1">
        <v>45842</v>
      </c>
      <c r="D2403" s="71" t="s">
        <v>21</v>
      </c>
      <c r="E2403" s="71" t="s">
        <v>142</v>
      </c>
      <c r="F2403" s="70" t="s">
        <v>35</v>
      </c>
      <c r="G2403" s="71" t="s">
        <v>258</v>
      </c>
      <c r="J2403" s="71" t="s">
        <v>1548</v>
      </c>
      <c r="L2403" s="326">
        <v>5000</v>
      </c>
      <c r="M2403" s="136">
        <f>M2402+K2403-L2403</f>
        <v>14091.949053333796</v>
      </c>
    </row>
    <row r="2404" spans="1:13">
      <c r="A2404" s="54" t="str">
        <f>D2404&amp;E2404&amp;F2404</f>
        <v>HRIMAGEN VISUALIMAGEN VISUAL HR</v>
      </c>
      <c r="B2404" t="s">
        <v>1277</v>
      </c>
      <c r="C2404" s="1">
        <v>45842</v>
      </c>
      <c r="D2404" s="71" t="s">
        <v>29</v>
      </c>
      <c r="E2404" s="71" t="s">
        <v>127</v>
      </c>
      <c r="F2404" s="70" t="s">
        <v>128</v>
      </c>
      <c r="G2404" s="71" t="s">
        <v>216</v>
      </c>
      <c r="J2404" s="71" t="s">
        <v>1549</v>
      </c>
      <c r="L2404" s="326">
        <v>6403.2</v>
      </c>
      <c r="M2404" s="136">
        <f>M2403+K2404-L2404</f>
        <v>7688.7490533337959</v>
      </c>
    </row>
    <row r="2405" spans="1:13">
      <c r="A2405" s="54" t="str">
        <f>D2405&amp;E2405&amp;F2405</f>
        <v>CAPMKTMKT CAP</v>
      </c>
      <c r="B2405" t="s">
        <v>1277</v>
      </c>
      <c r="C2405" s="1">
        <v>45842</v>
      </c>
      <c r="D2405" s="71" t="s">
        <v>31</v>
      </c>
      <c r="E2405" s="71" t="s">
        <v>19</v>
      </c>
      <c r="F2405" s="70" t="s">
        <v>139</v>
      </c>
      <c r="G2405" s="71" t="s">
        <v>216</v>
      </c>
      <c r="J2405" s="71" t="s">
        <v>1550</v>
      </c>
      <c r="L2405" s="326">
        <v>12600</v>
      </c>
      <c r="M2405" s="136">
        <f>M2404+K2405-L2405</f>
        <v>-4911.2509466662041</v>
      </c>
    </row>
    <row r="2406" spans="1:13">
      <c r="A2406" s="54" t="str">
        <f>D2406&amp;E2406&amp;F2406</f>
        <v>SERVICIOSMTTO DE EDIFICIOMANTENIMIENTO</v>
      </c>
      <c r="B2406" t="s">
        <v>1277</v>
      </c>
      <c r="C2406" s="1">
        <v>45842</v>
      </c>
      <c r="D2406" s="71" t="s">
        <v>21</v>
      </c>
      <c r="E2406" s="71" t="s">
        <v>142</v>
      </c>
      <c r="F2406" s="70" t="s">
        <v>35</v>
      </c>
      <c r="G2406" s="71" t="s">
        <v>258</v>
      </c>
      <c r="J2406" s="71" t="s">
        <v>1551</v>
      </c>
      <c r="L2406" s="326">
        <v>5248.96</v>
      </c>
      <c r="M2406" s="136">
        <f>M2405+K2406-L2406</f>
        <v>-10160.210946666204</v>
      </c>
    </row>
    <row r="2407" spans="1:13">
      <c r="A2407" s="54" t="str">
        <f>D2407&amp;E2407&amp;F2407</f>
        <v>FINANZASRECOLECCION DE BASURACEDIS</v>
      </c>
      <c r="B2407" t="s">
        <v>1277</v>
      </c>
      <c r="C2407" s="1">
        <v>45842</v>
      </c>
      <c r="D2407" s="71" t="s">
        <v>23</v>
      </c>
      <c r="E2407" s="71" t="s">
        <v>166</v>
      </c>
      <c r="F2407" s="70" t="s">
        <v>28</v>
      </c>
      <c r="G2407" s="71" t="s">
        <v>258</v>
      </c>
      <c r="J2407" s="71" t="s">
        <v>1035</v>
      </c>
      <c r="L2407" s="326">
        <v>5839.44</v>
      </c>
      <c r="M2407" s="136">
        <f>M2406+K2407-L2407</f>
        <v>-15999.650946666203</v>
      </c>
    </row>
    <row r="2408" spans="1:13">
      <c r="A2408" s="54" t="str">
        <f>D2408&amp;E2408&amp;F2408</f>
        <v>SERVICIOSTELEPEAJECEDIS</v>
      </c>
      <c r="B2408" t="s">
        <v>1277</v>
      </c>
      <c r="C2408" s="1">
        <v>45842</v>
      </c>
      <c r="D2408" s="71" t="s">
        <v>21</v>
      </c>
      <c r="E2408" s="71" t="s">
        <v>186</v>
      </c>
      <c r="F2408" s="70" t="s">
        <v>28</v>
      </c>
      <c r="G2408" s="71" t="s">
        <v>216</v>
      </c>
      <c r="J2408" s="71" t="s">
        <v>1552</v>
      </c>
      <c r="L2408" s="326">
        <v>658</v>
      </c>
      <c r="M2408" s="136">
        <f>M2407+K2408-L2408</f>
        <v>-16657.650946666203</v>
      </c>
    </row>
    <row r="2409" spans="1:13">
      <c r="A2409" s="54" t="str">
        <f>D2409&amp;E2409&amp;F2409</f>
        <v>HRTELEPEAJEOP HR</v>
      </c>
      <c r="B2409" t="s">
        <v>1277</v>
      </c>
      <c r="C2409" s="1">
        <v>45842</v>
      </c>
      <c r="D2409" s="71" t="s">
        <v>29</v>
      </c>
      <c r="E2409" s="71" t="s">
        <v>186</v>
      </c>
      <c r="F2409" s="70" t="s">
        <v>187</v>
      </c>
      <c r="G2409" s="71" t="s">
        <v>216</v>
      </c>
      <c r="J2409" s="71" t="s">
        <v>1553</v>
      </c>
      <c r="L2409" s="326">
        <v>513</v>
      </c>
      <c r="M2409" s="136">
        <f t="shared" ref="M2409:M2448" si="55">M2408+K2409-L2409</f>
        <v>-17170.650946666203</v>
      </c>
    </row>
    <row r="2410" spans="1:13">
      <c r="A2410" s="54" t="str">
        <f>D2410&amp;E2410&amp;F2410</f>
        <v>CAPTELEPEAJEOP CAPRICHOS</v>
      </c>
      <c r="B2410" t="s">
        <v>1277</v>
      </c>
      <c r="C2410" s="1">
        <v>45842</v>
      </c>
      <c r="D2410" s="71" t="s">
        <v>31</v>
      </c>
      <c r="E2410" s="71" t="s">
        <v>186</v>
      </c>
      <c r="F2410" s="70" t="s">
        <v>188</v>
      </c>
      <c r="G2410" s="71" t="s">
        <v>216</v>
      </c>
      <c r="J2410" s="71" t="s">
        <v>1554</v>
      </c>
      <c r="L2410" s="326">
        <v>786</v>
      </c>
      <c r="M2410" s="136">
        <f t="shared" si="55"/>
        <v>-17956.650946666203</v>
      </c>
    </row>
    <row r="2411" spans="1:13">
      <c r="A2411" s="54" t="str">
        <f>D2411&amp;E2411&amp;F2411</f>
        <v>SERVICIOSTELEPEAJECEDIS</v>
      </c>
      <c r="B2411" t="s">
        <v>1277</v>
      </c>
      <c r="C2411" s="1">
        <v>45842</v>
      </c>
      <c r="D2411" s="71" t="s">
        <v>21</v>
      </c>
      <c r="E2411" s="71" t="s">
        <v>186</v>
      </c>
      <c r="F2411" s="70" t="s">
        <v>28</v>
      </c>
      <c r="G2411" s="71" t="s">
        <v>216</v>
      </c>
      <c r="J2411" s="71" t="s">
        <v>1555</v>
      </c>
      <c r="L2411" s="326">
        <v>1918</v>
      </c>
      <c r="M2411" s="136">
        <f t="shared" si="55"/>
        <v>-19874.650946666203</v>
      </c>
    </row>
    <row r="2412" spans="1:13">
      <c r="A2412" s="54" t="str">
        <f>D2412&amp;E2412&amp;F2412</f>
        <v>SERVICIOSMTTO DE EDIFICIOMANTENIMIENTO</v>
      </c>
      <c r="B2412" t="s">
        <v>1277</v>
      </c>
      <c r="C2412" s="1">
        <v>45842</v>
      </c>
      <c r="D2412" s="71" t="s">
        <v>21</v>
      </c>
      <c r="E2412" s="71" t="s">
        <v>142</v>
      </c>
      <c r="F2412" s="70" t="s">
        <v>35</v>
      </c>
      <c r="G2412" s="71" t="s">
        <v>258</v>
      </c>
      <c r="J2412" s="71" t="s">
        <v>1556</v>
      </c>
      <c r="L2412" s="326">
        <v>3713.16</v>
      </c>
      <c r="M2412" s="136">
        <f t="shared" si="55"/>
        <v>-23587.810946666203</v>
      </c>
    </row>
    <row r="2413" spans="1:13">
      <c r="A2413" s="54" t="str">
        <f>D2413&amp;E2413&amp;F2413</f>
        <v>HRINSUMOSHR</v>
      </c>
      <c r="B2413" t="s">
        <v>1277</v>
      </c>
      <c r="C2413" s="1">
        <v>45842</v>
      </c>
      <c r="D2413" s="71" t="s">
        <v>29</v>
      </c>
      <c r="E2413" s="71" t="s">
        <v>133</v>
      </c>
      <c r="F2413" s="70" t="s">
        <v>29</v>
      </c>
      <c r="G2413" s="71" t="s">
        <v>216</v>
      </c>
      <c r="J2413" s="76" t="s">
        <v>1557</v>
      </c>
      <c r="L2413" s="331">
        <v>100</v>
      </c>
      <c r="M2413" s="136">
        <f t="shared" si="55"/>
        <v>-23687.810946666203</v>
      </c>
    </row>
    <row r="2414" spans="1:13">
      <c r="A2414" s="54" t="str">
        <f>D2414&amp;E2414&amp;F2414</f>
        <v>HRJMASA23</v>
      </c>
      <c r="B2414" t="s">
        <v>1277</v>
      </c>
      <c r="C2414" s="1">
        <v>45842</v>
      </c>
      <c r="D2414" s="71" t="s">
        <v>29</v>
      </c>
      <c r="E2414" s="71" t="s">
        <v>137</v>
      </c>
      <c r="F2414" s="70" t="s">
        <v>105</v>
      </c>
      <c r="G2414" s="71" t="s">
        <v>216</v>
      </c>
      <c r="J2414" s="76" t="s">
        <v>1046</v>
      </c>
      <c r="L2414" s="331">
        <v>2018</v>
      </c>
      <c r="M2414" s="136">
        <f t="shared" si="55"/>
        <v>-25705.810946666203</v>
      </c>
    </row>
    <row r="2415" spans="1:13">
      <c r="A2415" s="54" t="str">
        <f>D2415&amp;E2415&amp;F2415</f>
        <v>CAPUBERCAP</v>
      </c>
      <c r="B2415" t="s">
        <v>1277</v>
      </c>
      <c r="C2415" s="1">
        <v>45842</v>
      </c>
      <c r="D2415" s="71" t="s">
        <v>31</v>
      </c>
      <c r="E2415" s="71" t="s">
        <v>189</v>
      </c>
      <c r="F2415" s="70" t="s">
        <v>31</v>
      </c>
      <c r="G2415" s="71" t="s">
        <v>216</v>
      </c>
      <c r="J2415" s="76" t="s">
        <v>253</v>
      </c>
      <c r="L2415" s="526">
        <v>552</v>
      </c>
      <c r="M2415" s="136">
        <f t="shared" si="55"/>
        <v>-26257.810946666203</v>
      </c>
    </row>
    <row r="2416" spans="1:13">
      <c r="A2416" s="54" t="str">
        <f>D2416&amp;E2416&amp;F2416</f>
        <v>CAPUBERCAP</v>
      </c>
      <c r="B2416" t="s">
        <v>1277</v>
      </c>
      <c r="C2416" s="1">
        <v>45842</v>
      </c>
      <c r="D2416" s="71" t="s">
        <v>31</v>
      </c>
      <c r="E2416" s="71" t="s">
        <v>189</v>
      </c>
      <c r="F2416" s="70" t="s">
        <v>31</v>
      </c>
      <c r="G2416" s="71" t="s">
        <v>216</v>
      </c>
      <c r="J2416" s="76" t="s">
        <v>257</v>
      </c>
      <c r="L2416" s="526">
        <v>720</v>
      </c>
      <c r="M2416" s="136">
        <f t="shared" si="55"/>
        <v>-26977.810946666203</v>
      </c>
    </row>
    <row r="2417" spans="1:15">
      <c r="A2417" s="54" t="str">
        <f>D2417&amp;E2417&amp;F2417</f>
        <v>CAPINSUMOSCAPRICHOS</v>
      </c>
      <c r="B2417" t="s">
        <v>1277</v>
      </c>
      <c r="C2417" s="1">
        <v>45842</v>
      </c>
      <c r="D2417" s="71" t="s">
        <v>31</v>
      </c>
      <c r="E2417" s="71" t="s">
        <v>133</v>
      </c>
      <c r="F2417" s="70" t="s">
        <v>33</v>
      </c>
      <c r="G2417" s="71" t="s">
        <v>216</v>
      </c>
      <c r="J2417" s="76" t="s">
        <v>1401</v>
      </c>
      <c r="L2417" s="331">
        <v>200</v>
      </c>
      <c r="M2417" s="136">
        <f t="shared" si="55"/>
        <v>-27177.810946666203</v>
      </c>
    </row>
    <row r="2418" spans="1:15">
      <c r="A2418" s="54" t="str">
        <f>D2418&amp;E2418&amp;F2418</f>
        <v>HRINSUMOSHR</v>
      </c>
      <c r="B2418" t="s">
        <v>1277</v>
      </c>
      <c r="C2418" s="1">
        <v>45842</v>
      </c>
      <c r="D2418" s="71" t="s">
        <v>29</v>
      </c>
      <c r="E2418" s="71" t="s">
        <v>133</v>
      </c>
      <c r="F2418" s="70" t="s">
        <v>29</v>
      </c>
      <c r="G2418" s="71" t="s">
        <v>216</v>
      </c>
      <c r="J2418" s="76" t="s">
        <v>1558</v>
      </c>
      <c r="L2418" s="331">
        <v>45</v>
      </c>
      <c r="M2418" s="136">
        <f t="shared" si="55"/>
        <v>-27222.810946666203</v>
      </c>
    </row>
    <row r="2419" spans="1:15">
      <c r="A2419" s="54" t="str">
        <f t="shared" si="54"/>
        <v/>
      </c>
      <c r="B2419" t="s">
        <v>1277</v>
      </c>
      <c r="C2419" s="1">
        <v>45845</v>
      </c>
      <c r="D2419" s="71"/>
      <c r="F2419" s="70"/>
      <c r="J2419" s="71" t="s">
        <v>1559</v>
      </c>
      <c r="K2419" s="325">
        <v>736773.59</v>
      </c>
      <c r="L2419" s="354"/>
      <c r="M2419" s="136">
        <f t="shared" si="55"/>
        <v>709550.7790533338</v>
      </c>
      <c r="O2419" s="5">
        <f>M2420-K2420</f>
        <v>709550.77905333391</v>
      </c>
    </row>
    <row r="2420" spans="1:15">
      <c r="A2420" s="54" t="str">
        <f t="shared" si="54"/>
        <v/>
      </c>
      <c r="B2420" t="s">
        <v>1560</v>
      </c>
      <c r="C2420" s="1">
        <v>45845</v>
      </c>
      <c r="D2420" s="71"/>
      <c r="F2420" s="70"/>
      <c r="J2420" s="71" t="s">
        <v>1561</v>
      </c>
      <c r="K2420" s="325">
        <v>242955.18</v>
      </c>
      <c r="L2420" s="354"/>
      <c r="M2420" s="136">
        <f t="shared" si="55"/>
        <v>952505.95905333385</v>
      </c>
      <c r="O2420" s="5">
        <f>M2420-K2420</f>
        <v>709550.77905333391</v>
      </c>
    </row>
    <row r="2421" spans="1:15">
      <c r="A2421" s="54" t="str">
        <f>D2421&amp;E2421&amp;F2421</f>
        <v>FINANZASCOMISIONES BANCARIASTPV</v>
      </c>
      <c r="B2421" t="s">
        <v>1560</v>
      </c>
      <c r="C2421" s="1">
        <v>45845</v>
      </c>
      <c r="D2421" s="71" t="s">
        <v>23</v>
      </c>
      <c r="E2421" s="71" t="s">
        <v>48</v>
      </c>
      <c r="F2421" s="70" t="s">
        <v>50</v>
      </c>
      <c r="G2421" s="71" t="s">
        <v>216</v>
      </c>
      <c r="J2421" s="71" t="s">
        <v>217</v>
      </c>
      <c r="L2421" s="326">
        <f>966.05+1227.35+652.35+7068.96+7179.77+2843.59+10.44</f>
        <v>19948.509999999998</v>
      </c>
      <c r="M2421" s="136">
        <f t="shared" si="55"/>
        <v>932557.44905333384</v>
      </c>
    </row>
    <row r="2422" spans="1:15">
      <c r="A2422" s="54" t="str">
        <f t="shared" si="54"/>
        <v/>
      </c>
      <c r="B2422" t="s">
        <v>1560</v>
      </c>
      <c r="C2422" s="1">
        <v>45845</v>
      </c>
      <c r="D2422" s="71"/>
      <c r="F2422" s="70"/>
      <c r="H2422" s="83" t="s">
        <v>219</v>
      </c>
      <c r="J2422" s="205" t="s">
        <v>1562</v>
      </c>
      <c r="K2422" s="205"/>
      <c r="L2422" s="206">
        <v>400000</v>
      </c>
      <c r="M2422" s="136">
        <f t="shared" si="55"/>
        <v>532557.44905333384</v>
      </c>
    </row>
    <row r="2423" spans="1:15">
      <c r="A2423" s="54" t="str">
        <f t="shared" si="54"/>
        <v/>
      </c>
      <c r="B2423" t="s">
        <v>1560</v>
      </c>
      <c r="C2423" s="1">
        <v>45845</v>
      </c>
      <c r="D2423" s="71"/>
      <c r="F2423" s="70"/>
      <c r="H2423" s="83" t="s">
        <v>221</v>
      </c>
      <c r="J2423" s="205" t="s">
        <v>222</v>
      </c>
      <c r="K2423" s="205"/>
      <c r="L2423" s="206">
        <v>200000</v>
      </c>
      <c r="M2423" s="136">
        <f t="shared" si="55"/>
        <v>332557.44905333384</v>
      </c>
    </row>
    <row r="2424" spans="1:15">
      <c r="A2424" s="54" t="str">
        <f>D2424&amp;E2424&amp;F2424</f>
        <v>HRENERGIA ELECTRICAA11</v>
      </c>
      <c r="B2424" t="s">
        <v>1560</v>
      </c>
      <c r="C2424" s="1">
        <v>45845</v>
      </c>
      <c r="D2424" s="71" t="s">
        <v>29</v>
      </c>
      <c r="E2424" s="71" t="s">
        <v>87</v>
      </c>
      <c r="F2424" s="70" t="s">
        <v>97</v>
      </c>
      <c r="G2424" s="71" t="s">
        <v>216</v>
      </c>
      <c r="J2424" s="71" t="s">
        <v>1563</v>
      </c>
      <c r="L2424" s="326">
        <v>25653</v>
      </c>
      <c r="M2424" s="136">
        <f t="shared" si="55"/>
        <v>306904.44905333384</v>
      </c>
    </row>
    <row r="2425" spans="1:15">
      <c r="A2425" s="54" t="str">
        <f>D2425&amp;E2425&amp;F2425</f>
        <v>HRENERGIA ELECTRICAA2</v>
      </c>
      <c r="B2425" t="s">
        <v>1560</v>
      </c>
      <c r="C2425" s="1">
        <v>45845</v>
      </c>
      <c r="D2425" s="71" t="s">
        <v>29</v>
      </c>
      <c r="E2425" s="71" t="s">
        <v>87</v>
      </c>
      <c r="F2425" s="70" t="s">
        <v>89</v>
      </c>
      <c r="G2425" s="71" t="s">
        <v>216</v>
      </c>
      <c r="J2425" s="71" t="s">
        <v>718</v>
      </c>
      <c r="L2425" s="326">
        <v>34380</v>
      </c>
      <c r="M2425" s="136">
        <f t="shared" si="55"/>
        <v>272524.44905333384</v>
      </c>
    </row>
    <row r="2426" spans="1:15">
      <c r="A2426" s="54" t="str">
        <f>D2426&amp;E2426&amp;F2426</f>
        <v>HRENERGIA ELECTRICAA3</v>
      </c>
      <c r="B2426" t="s">
        <v>1560</v>
      </c>
      <c r="C2426" s="1">
        <v>45845</v>
      </c>
      <c r="D2426" s="71" t="s">
        <v>29</v>
      </c>
      <c r="E2426" s="71" t="s">
        <v>87</v>
      </c>
      <c r="F2426" s="70" t="s">
        <v>90</v>
      </c>
      <c r="G2426" s="71" t="s">
        <v>216</v>
      </c>
      <c r="J2426" s="71" t="s">
        <v>1564</v>
      </c>
      <c r="L2426" s="326">
        <v>11602</v>
      </c>
      <c r="M2426" s="136">
        <f t="shared" si="55"/>
        <v>260922.44905333384</v>
      </c>
    </row>
    <row r="2427" spans="1:15">
      <c r="A2427" s="54" t="str">
        <f>D2427&amp;E2427&amp;F2427</f>
        <v>CAPENERGIA ELECTRICAE9</v>
      </c>
      <c r="B2427" t="s">
        <v>1560</v>
      </c>
      <c r="C2427" s="1">
        <v>45845</v>
      </c>
      <c r="D2427" s="71" t="s">
        <v>31</v>
      </c>
      <c r="E2427" s="71" t="s">
        <v>87</v>
      </c>
      <c r="F2427" s="70" t="s">
        <v>116</v>
      </c>
      <c r="G2427" s="71" t="s">
        <v>216</v>
      </c>
      <c r="J2427" s="71" t="s">
        <v>1119</v>
      </c>
      <c r="L2427" s="326">
        <v>15726</v>
      </c>
      <c r="M2427" s="136">
        <f t="shared" si="55"/>
        <v>245196.44905333384</v>
      </c>
    </row>
    <row r="2428" spans="1:15">
      <c r="A2428" s="54" t="str">
        <f>D2428&amp;E2428&amp;F2428</f>
        <v>HRENERGIA ELECTRICAA9</v>
      </c>
      <c r="B2428" t="s">
        <v>1560</v>
      </c>
      <c r="C2428" s="1">
        <v>45845</v>
      </c>
      <c r="D2428" s="71" t="s">
        <v>29</v>
      </c>
      <c r="E2428" s="71" t="s">
        <v>87</v>
      </c>
      <c r="F2428" s="70" t="s">
        <v>95</v>
      </c>
      <c r="G2428" s="71" t="s">
        <v>216</v>
      </c>
      <c r="J2428" s="71" t="s">
        <v>578</v>
      </c>
      <c r="L2428" s="326">
        <v>17015</v>
      </c>
      <c r="M2428" s="136">
        <f t="shared" si="55"/>
        <v>228181.44905333384</v>
      </c>
    </row>
    <row r="2429" spans="1:15">
      <c r="A2429" s="54" t="str">
        <f>D2429&amp;E2429&amp;F2429</f>
        <v>HRENERGIA ELECTRICAA1</v>
      </c>
      <c r="B2429" t="s">
        <v>1560</v>
      </c>
      <c r="C2429" s="1">
        <v>45845</v>
      </c>
      <c r="D2429" s="71" t="s">
        <v>29</v>
      </c>
      <c r="E2429" s="71" t="s">
        <v>87</v>
      </c>
      <c r="F2429" s="70" t="s">
        <v>88</v>
      </c>
      <c r="G2429" s="71" t="s">
        <v>216</v>
      </c>
      <c r="J2429" s="71" t="s">
        <v>302</v>
      </c>
      <c r="L2429" s="326">
        <v>7209</v>
      </c>
      <c r="M2429" s="136">
        <f t="shared" si="55"/>
        <v>220972.44905333384</v>
      </c>
    </row>
    <row r="2430" spans="1:15">
      <c r="A2430" s="54" t="str">
        <f>D2430&amp;E2430&amp;F2430</f>
        <v>HRENERGIA ELECTRICAA23</v>
      </c>
      <c r="B2430" t="s">
        <v>1560</v>
      </c>
      <c r="C2430" s="1">
        <v>45845</v>
      </c>
      <c r="D2430" s="71" t="s">
        <v>29</v>
      </c>
      <c r="E2430" s="71" t="s">
        <v>87</v>
      </c>
      <c r="F2430" s="70" t="s">
        <v>105</v>
      </c>
      <c r="G2430" s="71" t="s">
        <v>216</v>
      </c>
      <c r="J2430" s="71" t="s">
        <v>225</v>
      </c>
      <c r="L2430" s="326">
        <v>4187</v>
      </c>
      <c r="M2430" s="136">
        <f t="shared" si="55"/>
        <v>216785.44905333384</v>
      </c>
    </row>
    <row r="2431" spans="1:15">
      <c r="A2431" s="54" t="str">
        <f>D2431&amp;E2431&amp;F2431</f>
        <v>HRENERGIA ELECTRICAA18</v>
      </c>
      <c r="B2431" t="s">
        <v>1560</v>
      </c>
      <c r="C2431" s="1">
        <v>45845</v>
      </c>
      <c r="D2431" s="71" t="s">
        <v>29</v>
      </c>
      <c r="E2431" s="71" t="s">
        <v>87</v>
      </c>
      <c r="F2431" s="70" t="s">
        <v>103</v>
      </c>
      <c r="G2431" s="71" t="s">
        <v>216</v>
      </c>
      <c r="J2431" s="71" t="s">
        <v>224</v>
      </c>
      <c r="L2431" s="326">
        <v>8767</v>
      </c>
      <c r="M2431" s="136">
        <f t="shared" si="55"/>
        <v>208018.44905333384</v>
      </c>
    </row>
    <row r="2432" spans="1:15">
      <c r="A2432" s="54" t="str">
        <f>D2432&amp;E2432&amp;F2432</f>
        <v>HRENERGIA ELECTRICAA2</v>
      </c>
      <c r="B2432" t="s">
        <v>1560</v>
      </c>
      <c r="C2432" s="1">
        <v>45845</v>
      </c>
      <c r="D2432" s="71" t="s">
        <v>29</v>
      </c>
      <c r="E2432" s="71" t="s">
        <v>87</v>
      </c>
      <c r="F2432" s="70" t="s">
        <v>89</v>
      </c>
      <c r="G2432" s="71" t="s">
        <v>216</v>
      </c>
      <c r="J2432" s="71" t="s">
        <v>718</v>
      </c>
      <c r="L2432" s="326">
        <v>300</v>
      </c>
      <c r="M2432" s="136">
        <f t="shared" si="55"/>
        <v>207718.44905333384</v>
      </c>
    </row>
    <row r="2433" spans="1:13">
      <c r="A2433" s="54" t="str">
        <f>D2433&amp;E2433&amp;F2433</f>
        <v>SERVICIOSMTTO DE EDIFICIOMANTENIMIENTO</v>
      </c>
      <c r="B2433" t="s">
        <v>1560</v>
      </c>
      <c r="C2433" s="1">
        <v>45845</v>
      </c>
      <c r="D2433" s="71" t="s">
        <v>21</v>
      </c>
      <c r="E2433" s="71" t="s">
        <v>142</v>
      </c>
      <c r="F2433" s="70" t="s">
        <v>35</v>
      </c>
      <c r="G2433" s="71" t="s">
        <v>216</v>
      </c>
      <c r="J2433" s="71" t="s">
        <v>1565</v>
      </c>
      <c r="L2433" s="326">
        <v>5760</v>
      </c>
      <c r="M2433" s="136">
        <f t="shared" si="55"/>
        <v>201958.44905333384</v>
      </c>
    </row>
    <row r="2434" spans="1:13">
      <c r="A2434" s="54" t="str">
        <f>D2434&amp;E2434&amp;F2434</f>
        <v>FINANZASFONDO Y REPOSICIONFINANZAS</v>
      </c>
      <c r="B2434" t="s">
        <v>1560</v>
      </c>
      <c r="C2434" s="1">
        <v>45845</v>
      </c>
      <c r="D2434" s="71" t="s">
        <v>23</v>
      </c>
      <c r="E2434" s="71" t="s">
        <v>120</v>
      </c>
      <c r="F2434" s="70" t="s">
        <v>23</v>
      </c>
      <c r="G2434" s="71" t="s">
        <v>216</v>
      </c>
      <c r="J2434" s="71" t="s">
        <v>818</v>
      </c>
      <c r="L2434" s="326">
        <v>50</v>
      </c>
      <c r="M2434" s="136">
        <f t="shared" si="55"/>
        <v>201908.44905333384</v>
      </c>
    </row>
    <row r="2435" spans="1:13">
      <c r="A2435" s="54" t="str">
        <f t="shared" si="54"/>
        <v/>
      </c>
      <c r="B2435" t="s">
        <v>1560</v>
      </c>
      <c r="C2435" s="1">
        <v>45845</v>
      </c>
      <c r="D2435" s="71"/>
      <c r="F2435" s="70"/>
      <c r="G2435" s="71" t="s">
        <v>216</v>
      </c>
      <c r="J2435" s="71" t="s">
        <v>1343</v>
      </c>
      <c r="L2435" s="326">
        <v>400</v>
      </c>
      <c r="M2435" s="136">
        <f t="shared" si="55"/>
        <v>201508.44905333384</v>
      </c>
    </row>
    <row r="2436" spans="1:13">
      <c r="A2436" s="54" t="str">
        <f>D2436&amp;E2436&amp;F2436</f>
        <v>SERVICIOSVIATICOSCEDIS</v>
      </c>
      <c r="B2436" t="s">
        <v>1560</v>
      </c>
      <c r="C2436" s="1">
        <v>45845</v>
      </c>
      <c r="D2436" s="71" t="s">
        <v>21</v>
      </c>
      <c r="E2436" s="71" t="s">
        <v>191</v>
      </c>
      <c r="F2436" s="70" t="s">
        <v>28</v>
      </c>
      <c r="G2436" s="71" t="s">
        <v>258</v>
      </c>
      <c r="J2436" s="71" t="s">
        <v>1566</v>
      </c>
      <c r="L2436" s="326">
        <v>1000</v>
      </c>
      <c r="M2436" s="136">
        <f t="shared" si="55"/>
        <v>200508.44905333384</v>
      </c>
    </row>
    <row r="2437" spans="1:13">
      <c r="A2437" s="54" t="str">
        <f>D2437&amp;E2437&amp;F2437</f>
        <v>SERVICIOSVIATICOSSISTEMAS</v>
      </c>
      <c r="B2437" t="s">
        <v>1560</v>
      </c>
      <c r="C2437" s="1">
        <v>45845</v>
      </c>
      <c r="D2437" s="71" t="s">
        <v>21</v>
      </c>
      <c r="E2437" s="71" t="s">
        <v>191</v>
      </c>
      <c r="F2437" s="70" t="s">
        <v>36</v>
      </c>
      <c r="G2437" s="71" t="s">
        <v>258</v>
      </c>
      <c r="J2437" s="71" t="s">
        <v>1567</v>
      </c>
      <c r="L2437" s="326">
        <v>1200</v>
      </c>
      <c r="M2437" s="136">
        <f t="shared" si="55"/>
        <v>199308.44905333384</v>
      </c>
    </row>
    <row r="2438" spans="1:13">
      <c r="A2438" s="54" t="str">
        <f>D2438&amp;E2438&amp;F2438</f>
        <v>SERVICIOSPAQUETERIACEDIS (E6)</v>
      </c>
      <c r="B2438" t="s">
        <v>1560</v>
      </c>
      <c r="C2438" s="1">
        <v>45845</v>
      </c>
      <c r="D2438" s="71" t="s">
        <v>21</v>
      </c>
      <c r="E2438" s="71" t="s">
        <v>160</v>
      </c>
      <c r="F2438" s="70" t="s">
        <v>161</v>
      </c>
      <c r="G2438" s="71" t="s">
        <v>216</v>
      </c>
      <c r="J2438" s="71" t="s">
        <v>1159</v>
      </c>
      <c r="L2438" s="326">
        <v>3069.78</v>
      </c>
      <c r="M2438" s="136">
        <f t="shared" si="55"/>
        <v>196238.66905333384</v>
      </c>
    </row>
    <row r="2439" spans="1:13">
      <c r="A2439" s="54" t="str">
        <f>D2439&amp;E2439&amp;F2439</f>
        <v>SERVICIOSMTTO EQ DE TRANSPORTECEDIS</v>
      </c>
      <c r="B2439" t="s">
        <v>1560</v>
      </c>
      <c r="C2439" s="1">
        <v>45845</v>
      </c>
      <c r="D2439" s="71" t="s">
        <v>21</v>
      </c>
      <c r="E2439" s="71" t="s">
        <v>144</v>
      </c>
      <c r="F2439" s="70" t="s">
        <v>28</v>
      </c>
      <c r="G2439" s="71" t="s">
        <v>216</v>
      </c>
      <c r="J2439" s="71" t="s">
        <v>1568</v>
      </c>
      <c r="L2439" s="208">
        <v>4292</v>
      </c>
      <c r="M2439" s="136">
        <f t="shared" si="55"/>
        <v>191946.66905333384</v>
      </c>
    </row>
    <row r="2440" spans="1:13">
      <c r="A2440" s="54" t="str">
        <f t="shared" si="54"/>
        <v/>
      </c>
      <c r="B2440" t="s">
        <v>1560</v>
      </c>
      <c r="C2440" s="1">
        <v>45845</v>
      </c>
      <c r="D2440" s="71"/>
      <c r="F2440" s="70"/>
      <c r="J2440" s="71" t="s">
        <v>1569</v>
      </c>
      <c r="L2440" s="326">
        <v>79314.830000000016</v>
      </c>
      <c r="M2440" s="136">
        <f t="shared" si="55"/>
        <v>112631.83905333382</v>
      </c>
    </row>
    <row r="2441" spans="1:13">
      <c r="A2441" s="54" t="str">
        <f>D2441&amp;E2441&amp;F2441</f>
        <v>HRUBERHR</v>
      </c>
      <c r="B2441" t="s">
        <v>1560</v>
      </c>
      <c r="C2441" s="1">
        <v>45845</v>
      </c>
      <c r="D2441" s="71" t="s">
        <v>29</v>
      </c>
      <c r="E2441" s="71" t="s">
        <v>189</v>
      </c>
      <c r="F2441" s="70" t="s">
        <v>29</v>
      </c>
      <c r="G2441" s="71" t="s">
        <v>216</v>
      </c>
      <c r="J2441" s="76" t="s">
        <v>291</v>
      </c>
      <c r="L2441" s="526">
        <v>143</v>
      </c>
      <c r="M2441" s="136">
        <f t="shared" si="55"/>
        <v>112488.83905333382</v>
      </c>
    </row>
    <row r="2442" spans="1:13">
      <c r="A2442" s="54" t="str">
        <f>D2442&amp;E2442&amp;F2442</f>
        <v>HRNOMINA SUCURSALA8</v>
      </c>
      <c r="B2442" t="s">
        <v>1560</v>
      </c>
      <c r="C2442" s="1">
        <v>45845</v>
      </c>
      <c r="D2442" s="71" t="s">
        <v>29</v>
      </c>
      <c r="E2442" s="71" t="s">
        <v>154</v>
      </c>
      <c r="F2442" s="70" t="s">
        <v>94</v>
      </c>
      <c r="G2442" s="71" t="s">
        <v>216</v>
      </c>
      <c r="J2442" s="371" t="s">
        <v>1570</v>
      </c>
      <c r="L2442" s="331">
        <v>1500</v>
      </c>
      <c r="M2442" s="136">
        <f t="shared" si="55"/>
        <v>110988.83905333382</v>
      </c>
    </row>
    <row r="2443" spans="1:13">
      <c r="A2443" s="54" t="str">
        <f>D2443&amp;E2443&amp;F2443</f>
        <v>HRMKTMKT HR</v>
      </c>
      <c r="B2443" t="s">
        <v>1560</v>
      </c>
      <c r="C2443" s="1">
        <v>45845</v>
      </c>
      <c r="D2443" s="71" t="s">
        <v>29</v>
      </c>
      <c r="E2443" s="71" t="s">
        <v>19</v>
      </c>
      <c r="F2443" s="70" t="s">
        <v>138</v>
      </c>
      <c r="G2443" s="71" t="s">
        <v>216</v>
      </c>
      <c r="J2443" s="76" t="s">
        <v>1571</v>
      </c>
      <c r="L2443" s="331">
        <v>800</v>
      </c>
      <c r="M2443" s="136">
        <f t="shared" si="55"/>
        <v>110188.83905333382</v>
      </c>
    </row>
    <row r="2444" spans="1:13">
      <c r="A2444" s="54" t="str">
        <f>D2444&amp;E2444&amp;F2444</f>
        <v>HRNOMINA SUCURSALA10</v>
      </c>
      <c r="B2444" t="s">
        <v>1560</v>
      </c>
      <c r="C2444" s="1">
        <v>45845</v>
      </c>
      <c r="D2444" s="71" t="s">
        <v>29</v>
      </c>
      <c r="E2444" s="71" t="s">
        <v>154</v>
      </c>
      <c r="F2444" s="70" t="s">
        <v>96</v>
      </c>
      <c r="G2444" s="71" t="s">
        <v>216</v>
      </c>
      <c r="J2444" s="76" t="s">
        <v>248</v>
      </c>
      <c r="L2444" s="331">
        <v>2283</v>
      </c>
      <c r="M2444" s="136">
        <f t="shared" si="55"/>
        <v>107905.83905333382</v>
      </c>
    </row>
    <row r="2445" spans="1:13">
      <c r="A2445" s="54" t="str">
        <f>D2445&amp;E2445&amp;F2445</f>
        <v>HRINSUMOSHR</v>
      </c>
      <c r="B2445" t="s">
        <v>1560</v>
      </c>
      <c r="C2445" s="1">
        <v>45845</v>
      </c>
      <c r="D2445" s="71" t="s">
        <v>29</v>
      </c>
      <c r="E2445" s="71" t="s">
        <v>133</v>
      </c>
      <c r="F2445" s="70" t="s">
        <v>29</v>
      </c>
      <c r="G2445" s="71" t="s">
        <v>216</v>
      </c>
      <c r="J2445" s="76" t="s">
        <v>1572</v>
      </c>
      <c r="L2445" s="331">
        <v>64</v>
      </c>
      <c r="M2445" s="136">
        <f t="shared" si="55"/>
        <v>107841.83905333382</v>
      </c>
    </row>
    <row r="2446" spans="1:13">
      <c r="A2446" s="54" t="str">
        <f>D2446&amp;E2446&amp;F2446</f>
        <v>HRNOMINA SUCURSALA12</v>
      </c>
      <c r="B2446" t="s">
        <v>1560</v>
      </c>
      <c r="C2446" s="1">
        <v>45845</v>
      </c>
      <c r="D2446" s="71" t="s">
        <v>29</v>
      </c>
      <c r="E2446" s="71" t="s">
        <v>154</v>
      </c>
      <c r="F2446" s="70" t="s">
        <v>98</v>
      </c>
      <c r="G2446" s="71" t="s">
        <v>216</v>
      </c>
      <c r="J2446" s="76" t="s">
        <v>894</v>
      </c>
      <c r="L2446" s="331">
        <v>420</v>
      </c>
      <c r="M2446" s="136">
        <f t="shared" si="55"/>
        <v>107421.83905333382</v>
      </c>
    </row>
    <row r="2447" spans="1:13">
      <c r="A2447" s="54" t="str">
        <f>D2447&amp;E2447&amp;F2447</f>
        <v>SERVICIOSMTTO DE EDIFICIOMANTENIMIENTO</v>
      </c>
      <c r="B2447" t="s">
        <v>1560</v>
      </c>
      <c r="C2447" s="1">
        <v>45845</v>
      </c>
      <c r="D2447" s="71" t="s">
        <v>21</v>
      </c>
      <c r="E2447" s="71" t="s">
        <v>142</v>
      </c>
      <c r="F2447" s="70" t="s">
        <v>35</v>
      </c>
      <c r="G2447" s="71" t="s">
        <v>216</v>
      </c>
      <c r="J2447" s="76" t="s">
        <v>1573</v>
      </c>
      <c r="L2447" s="331">
        <v>553</v>
      </c>
      <c r="M2447" s="136">
        <f t="shared" si="55"/>
        <v>106868.83905333382</v>
      </c>
    </row>
    <row r="2448" spans="1:13">
      <c r="A2448" s="54" t="str">
        <f>D2448&amp;E2448&amp;F2448</f>
        <v>HRINSUMOSHR</v>
      </c>
      <c r="B2448" t="s">
        <v>1560</v>
      </c>
      <c r="C2448" s="1">
        <v>45845</v>
      </c>
      <c r="D2448" s="71" t="s">
        <v>29</v>
      </c>
      <c r="E2448" s="71" t="s">
        <v>133</v>
      </c>
      <c r="F2448" s="70" t="s">
        <v>29</v>
      </c>
      <c r="G2448" s="71" t="s">
        <v>216</v>
      </c>
      <c r="J2448" s="76" t="s">
        <v>1574</v>
      </c>
      <c r="L2448" s="331">
        <v>557</v>
      </c>
      <c r="M2448" s="136">
        <f t="shared" si="55"/>
        <v>106311.83905333382</v>
      </c>
    </row>
    <row r="2449" spans="1:13">
      <c r="A2449" s="54" t="str">
        <f>D2449&amp;E2449&amp;F2449</f>
        <v>HRUBERHR</v>
      </c>
      <c r="B2449" t="s">
        <v>1560</v>
      </c>
      <c r="C2449" s="1">
        <v>45845</v>
      </c>
      <c r="D2449" s="71" t="s">
        <v>29</v>
      </c>
      <c r="E2449" s="71" t="s">
        <v>189</v>
      </c>
      <c r="F2449" s="70" t="s">
        <v>29</v>
      </c>
      <c r="G2449" s="71" t="s">
        <v>216</v>
      </c>
      <c r="J2449" s="76" t="s">
        <v>249</v>
      </c>
      <c r="L2449" s="526">
        <v>126</v>
      </c>
      <c r="M2449" s="136">
        <f>M2448+K2449-L2449</f>
        <v>106185.83905333382</v>
      </c>
    </row>
    <row r="2450" spans="1:13">
      <c r="A2450" s="54" t="str">
        <f>D2450&amp;E2450&amp;F2450</f>
        <v>CAPNOMINA SUCURSALE1</v>
      </c>
      <c r="B2450" t="s">
        <v>1560</v>
      </c>
      <c r="C2450" s="1">
        <v>45845</v>
      </c>
      <c r="D2450" s="71" t="s">
        <v>31</v>
      </c>
      <c r="E2450" s="71" t="s">
        <v>154</v>
      </c>
      <c r="F2450" s="70" t="s">
        <v>107</v>
      </c>
      <c r="G2450" s="71" t="s">
        <v>216</v>
      </c>
      <c r="J2450" s="76" t="s">
        <v>1227</v>
      </c>
      <c r="L2450" s="331">
        <v>755</v>
      </c>
      <c r="M2450" s="136">
        <f>M2449+K2450-L2450</f>
        <v>105430.83905333382</v>
      </c>
    </row>
    <row r="2451" spans="1:13">
      <c r="A2451" s="54" t="str">
        <f>D2451&amp;E2451&amp;F2451</f>
        <v>CAPINSUMOSCAPRICHOS</v>
      </c>
      <c r="B2451" t="s">
        <v>1560</v>
      </c>
      <c r="C2451" s="1">
        <v>45845</v>
      </c>
      <c r="D2451" s="71" t="s">
        <v>31</v>
      </c>
      <c r="E2451" s="71" t="s">
        <v>133</v>
      </c>
      <c r="F2451" s="70" t="s">
        <v>33</v>
      </c>
      <c r="G2451" s="71" t="s">
        <v>216</v>
      </c>
      <c r="J2451" s="371" t="s">
        <v>1575</v>
      </c>
      <c r="L2451" s="331">
        <v>212</v>
      </c>
      <c r="M2451" s="136">
        <f>M2450+K2451-L2451</f>
        <v>105218.83905333382</v>
      </c>
    </row>
    <row r="2452" spans="1:13">
      <c r="A2452" s="54" t="str">
        <f>D2452&amp;E2452&amp;F2452</f>
        <v>CAPUBERCAP</v>
      </c>
      <c r="B2452" t="s">
        <v>1560</v>
      </c>
      <c r="C2452" s="1">
        <v>45845</v>
      </c>
      <c r="D2452" s="71" t="s">
        <v>31</v>
      </c>
      <c r="E2452" s="71" t="s">
        <v>189</v>
      </c>
      <c r="F2452" s="70" t="s">
        <v>31</v>
      </c>
      <c r="G2452" s="71" t="s">
        <v>216</v>
      </c>
      <c r="J2452" s="76" t="s">
        <v>253</v>
      </c>
      <c r="L2452" s="526">
        <v>1280</v>
      </c>
      <c r="M2452" s="136">
        <f>M2451+K2452-L2452</f>
        <v>103938.83905333382</v>
      </c>
    </row>
    <row r="2453" spans="1:13">
      <c r="A2453" s="54" t="str">
        <f>D2453&amp;E2453&amp;F2453</f>
        <v>HRJMASE3</v>
      </c>
      <c r="B2453" t="s">
        <v>1560</v>
      </c>
      <c r="C2453" s="1">
        <v>45845</v>
      </c>
      <c r="D2453" s="71" t="s">
        <v>29</v>
      </c>
      <c r="E2453" s="71" t="s">
        <v>137</v>
      </c>
      <c r="F2453" s="70" t="s">
        <v>109</v>
      </c>
      <c r="G2453" s="71" t="s">
        <v>216</v>
      </c>
      <c r="J2453" s="76" t="s">
        <v>587</v>
      </c>
      <c r="L2453" s="331">
        <v>372</v>
      </c>
      <c r="M2453" s="136">
        <f>M2452+K2453-L2453</f>
        <v>103566.83905333382</v>
      </c>
    </row>
    <row r="2454" spans="1:13">
      <c r="A2454" s="54" t="str">
        <f>D2454&amp;E2454&amp;F2454</f>
        <v>CAPUBERCAP</v>
      </c>
      <c r="B2454" t="s">
        <v>1560</v>
      </c>
      <c r="C2454" s="1">
        <v>45845</v>
      </c>
      <c r="D2454" s="71" t="s">
        <v>31</v>
      </c>
      <c r="E2454" s="71" t="s">
        <v>189</v>
      </c>
      <c r="F2454" s="70" t="s">
        <v>31</v>
      </c>
      <c r="G2454" s="71" t="s">
        <v>216</v>
      </c>
      <c r="J2454" s="76" t="s">
        <v>257</v>
      </c>
      <c r="L2454" s="526">
        <v>418</v>
      </c>
      <c r="M2454" s="136">
        <f>M2453+K2454-L2454</f>
        <v>103148.83905333382</v>
      </c>
    </row>
    <row r="2455" spans="1:13">
      <c r="A2455" s="54" t="str">
        <f>D2455&amp;E2455&amp;F2455</f>
        <v>CAPNOMINA SUCURSALE5</v>
      </c>
      <c r="B2455" t="s">
        <v>1560</v>
      </c>
      <c r="C2455" s="1">
        <v>45845</v>
      </c>
      <c r="D2455" s="71" t="s">
        <v>31</v>
      </c>
      <c r="E2455" s="71" t="s">
        <v>154</v>
      </c>
      <c r="F2455" s="70" t="s">
        <v>111</v>
      </c>
      <c r="G2455" s="71" t="s">
        <v>216</v>
      </c>
      <c r="J2455" s="76" t="s">
        <v>314</v>
      </c>
      <c r="L2455" s="331">
        <v>1644</v>
      </c>
      <c r="M2455" s="136">
        <f>M2454+K2455-L2455</f>
        <v>101504.83905333382</v>
      </c>
    </row>
    <row r="2456" spans="1:13">
      <c r="A2456" s="54" t="str">
        <f>D2456&amp;E2456&amp;F2456</f>
        <v>SERVICIOSMTTO DE EDIFICIOMANTENIMIENTO</v>
      </c>
      <c r="B2456" t="s">
        <v>1560</v>
      </c>
      <c r="C2456" s="1">
        <v>45845</v>
      </c>
      <c r="D2456" s="71" t="s">
        <v>21</v>
      </c>
      <c r="E2456" s="71" t="s">
        <v>142</v>
      </c>
      <c r="F2456" s="70" t="s">
        <v>35</v>
      </c>
      <c r="G2456" s="71" t="s">
        <v>216</v>
      </c>
      <c r="J2456" s="76" t="s">
        <v>1576</v>
      </c>
      <c r="L2456" s="331">
        <v>645</v>
      </c>
      <c r="M2456" s="136">
        <f t="shared" ref="M2456:M2470" si="56">M2455+K2456-L2456</f>
        <v>100859.83905333382</v>
      </c>
    </row>
    <row r="2457" spans="1:13">
      <c r="A2457" s="54" t="str">
        <f>D2457&amp;E2457&amp;F2457</f>
        <v>CAPINSUMOSCAPRICHOS</v>
      </c>
      <c r="B2457" t="s">
        <v>1560</v>
      </c>
      <c r="C2457" s="1">
        <v>45845</v>
      </c>
      <c r="D2457" s="71" t="s">
        <v>31</v>
      </c>
      <c r="E2457" s="71" t="s">
        <v>133</v>
      </c>
      <c r="F2457" s="70" t="s">
        <v>33</v>
      </c>
      <c r="G2457" s="71" t="s">
        <v>216</v>
      </c>
      <c r="J2457" s="76" t="s">
        <v>717</v>
      </c>
      <c r="L2457" s="331">
        <v>90</v>
      </c>
      <c r="M2457" s="136">
        <f t="shared" si="56"/>
        <v>100769.83905333382</v>
      </c>
    </row>
    <row r="2458" spans="1:13">
      <c r="A2458" s="54" t="str">
        <f>D2458&amp;E2458&amp;F2458</f>
        <v>CAPSGMCAPRICHOS</v>
      </c>
      <c r="B2458" t="s">
        <v>1560</v>
      </c>
      <c r="C2458" s="1">
        <v>45845</v>
      </c>
      <c r="D2458" s="71" t="s">
        <v>31</v>
      </c>
      <c r="E2458" s="71" t="s">
        <v>176</v>
      </c>
      <c r="F2458" s="71" t="s">
        <v>33</v>
      </c>
      <c r="G2458" s="71" t="s">
        <v>216</v>
      </c>
      <c r="J2458" s="76" t="s">
        <v>1577</v>
      </c>
      <c r="L2458" s="331">
        <v>224</v>
      </c>
      <c r="M2458" s="136">
        <f t="shared" si="56"/>
        <v>100545.83905333382</v>
      </c>
    </row>
    <row r="2459" spans="1:13">
      <c r="A2459" s="54" t="str">
        <f>D2459&amp;E2459&amp;F2459</f>
        <v>CAPINSUMOSCAPRICHOS</v>
      </c>
      <c r="B2459" t="s">
        <v>1560</v>
      </c>
      <c r="C2459" s="1">
        <v>45845</v>
      </c>
      <c r="D2459" s="71" t="s">
        <v>31</v>
      </c>
      <c r="E2459" s="71" t="s">
        <v>133</v>
      </c>
      <c r="F2459" s="70" t="s">
        <v>33</v>
      </c>
      <c r="G2459" s="71" t="s">
        <v>216</v>
      </c>
      <c r="J2459" s="76" t="s">
        <v>362</v>
      </c>
      <c r="L2459" s="331">
        <v>227</v>
      </c>
      <c r="M2459" s="136">
        <f>M2458+K2459-L2459</f>
        <v>100318.83905333382</v>
      </c>
    </row>
    <row r="2460" spans="1:13">
      <c r="A2460" s="54" t="str">
        <f>D2460&amp;E2460&amp;F2460</f>
        <v>ELIIMAGEN VISUALIMAGEN VISUAL ELILU</v>
      </c>
      <c r="B2460" t="s">
        <v>1560</v>
      </c>
      <c r="C2460" s="1">
        <v>45845</v>
      </c>
      <c r="D2460" s="71" t="s">
        <v>130</v>
      </c>
      <c r="E2460" s="71" t="s">
        <v>127</v>
      </c>
      <c r="F2460" s="70" t="s">
        <v>131</v>
      </c>
      <c r="G2460" s="71" t="s">
        <v>258</v>
      </c>
      <c r="J2460" s="76" t="s">
        <v>1578</v>
      </c>
      <c r="L2460" s="331">
        <v>150</v>
      </c>
      <c r="M2460" s="136">
        <f>M2459+K2460-L2460</f>
        <v>100168.83905333382</v>
      </c>
    </row>
    <row r="2461" spans="1:13">
      <c r="A2461" s="54" t="str">
        <f>D2461&amp;E2461&amp;F2461</f>
        <v>ELIVIATICOSL1</v>
      </c>
      <c r="B2461" t="s">
        <v>1560</v>
      </c>
      <c r="C2461" s="1">
        <v>45845</v>
      </c>
      <c r="D2461" s="71" t="s">
        <v>130</v>
      </c>
      <c r="E2461" s="71" t="s">
        <v>191</v>
      </c>
      <c r="F2461" s="70" t="s">
        <v>136</v>
      </c>
      <c r="G2461" s="71" t="s">
        <v>258</v>
      </c>
      <c r="J2461" s="76" t="s">
        <v>1579</v>
      </c>
      <c r="L2461" s="331">
        <v>300</v>
      </c>
      <c r="M2461" s="136">
        <f>M2460+K2461-L2461</f>
        <v>99868.839053333824</v>
      </c>
    </row>
    <row r="2462" spans="1:13">
      <c r="A2462" s="54" t="str">
        <f t="shared" ref="A2445:A2508" si="57">D2462&amp;E2462&amp;F2462</f>
        <v/>
      </c>
      <c r="B2462" t="s">
        <v>1560</v>
      </c>
      <c r="C2462" s="1">
        <v>45846</v>
      </c>
      <c r="D2462" s="71"/>
      <c r="F2462" s="70"/>
      <c r="J2462" s="71" t="s">
        <v>260</v>
      </c>
      <c r="K2462" s="325">
        <v>221408.54</v>
      </c>
      <c r="L2462" s="354"/>
      <c r="M2462" s="136">
        <f>M2461+K2462-L2462</f>
        <v>321277.37905333383</v>
      </c>
    </row>
    <row r="2463" spans="1:13">
      <c r="A2463" s="54" t="str">
        <f>D2463&amp;E2463&amp;F2463</f>
        <v>FINANZASCOMISIONES BANCARIASTPV</v>
      </c>
      <c r="B2463" t="s">
        <v>1560</v>
      </c>
      <c r="C2463" s="1">
        <v>45846</v>
      </c>
      <c r="D2463" s="71" t="s">
        <v>23</v>
      </c>
      <c r="E2463" s="71" t="s">
        <v>48</v>
      </c>
      <c r="F2463" s="70" t="s">
        <v>50</v>
      </c>
      <c r="G2463" s="71" t="s">
        <v>216</v>
      </c>
      <c r="J2463" s="71" t="s">
        <v>217</v>
      </c>
      <c r="L2463" s="326">
        <v>4956.8899999999994</v>
      </c>
      <c r="M2463" s="136">
        <f>M2462+K2463-L2463</f>
        <v>316320.48905333382</v>
      </c>
    </row>
    <row r="2464" spans="1:13">
      <c r="A2464" s="54" t="str">
        <f t="shared" si="57"/>
        <v/>
      </c>
      <c r="B2464" t="s">
        <v>1560</v>
      </c>
      <c r="C2464" s="1">
        <v>45846</v>
      </c>
      <c r="D2464" s="71"/>
      <c r="F2464" s="70"/>
      <c r="H2464" s="83" t="s">
        <v>219</v>
      </c>
      <c r="J2464" s="205" t="s">
        <v>1562</v>
      </c>
      <c r="K2464" s="205"/>
      <c r="L2464" s="206">
        <v>200000</v>
      </c>
      <c r="M2464" s="136">
        <f>M2463+K2464-L2464</f>
        <v>116320.48905333382</v>
      </c>
    </row>
    <row r="2465" spans="1:13">
      <c r="A2465" s="54" t="str">
        <f t="shared" si="57"/>
        <v/>
      </c>
      <c r="B2465" t="s">
        <v>1560</v>
      </c>
      <c r="C2465" s="1">
        <v>45846</v>
      </c>
      <c r="D2465" s="71"/>
      <c r="F2465" s="70"/>
      <c r="H2465" s="83" t="s">
        <v>221</v>
      </c>
      <c r="J2465" s="205" t="s">
        <v>222</v>
      </c>
      <c r="K2465" s="205"/>
      <c r="L2465" s="205"/>
      <c r="M2465" s="136">
        <f>M2464+K2465-L2465</f>
        <v>116320.48905333382</v>
      </c>
    </row>
    <row r="2466" spans="1:13">
      <c r="A2466" s="54" t="str">
        <f>D2466&amp;E2466&amp;F2466</f>
        <v>FINANZASTELEFONIATELEFONIA</v>
      </c>
      <c r="B2466" t="s">
        <v>1560</v>
      </c>
      <c r="C2466" s="1">
        <v>45846</v>
      </c>
      <c r="D2466" s="71" t="s">
        <v>23</v>
      </c>
      <c r="E2466" s="71" t="s">
        <v>181</v>
      </c>
      <c r="F2466" s="12" t="s">
        <v>181</v>
      </c>
      <c r="G2466" s="71" t="s">
        <v>216</v>
      </c>
      <c r="J2466" s="71" t="s">
        <v>554</v>
      </c>
      <c r="L2466" s="326">
        <v>3588.04</v>
      </c>
      <c r="M2466" s="136">
        <f>M2465+K2466-L2466</f>
        <v>112732.44905333382</v>
      </c>
    </row>
    <row r="2467" spans="1:13">
      <c r="A2467" s="54" t="str">
        <f>D2467&amp;E2467&amp;F2467</f>
        <v>FINANZASTELEFONIATELEFONIA</v>
      </c>
      <c r="B2467" t="s">
        <v>1560</v>
      </c>
      <c r="C2467" s="1">
        <v>45846</v>
      </c>
      <c r="D2467" s="71" t="s">
        <v>23</v>
      </c>
      <c r="E2467" s="71" t="s">
        <v>181</v>
      </c>
      <c r="F2467" s="12" t="s">
        <v>181</v>
      </c>
      <c r="G2467" s="71" t="s">
        <v>216</v>
      </c>
      <c r="J2467" s="71" t="s">
        <v>555</v>
      </c>
      <c r="L2467" s="326">
        <v>4911.03</v>
      </c>
      <c r="M2467" s="136">
        <f>M2466+K2467-L2467</f>
        <v>107821.41905333383</v>
      </c>
    </row>
    <row r="2468" spans="1:13">
      <c r="A2468" s="54" t="str">
        <f>D2468&amp;E2468&amp;F2468</f>
        <v>SERVICIOSMTTO DE EDIFICIOMANTENIMIENTO</v>
      </c>
      <c r="B2468" t="s">
        <v>1560</v>
      </c>
      <c r="C2468" s="1">
        <v>45846</v>
      </c>
      <c r="D2468" s="71" t="s">
        <v>21</v>
      </c>
      <c r="E2468" s="71" t="s">
        <v>142</v>
      </c>
      <c r="F2468" s="70" t="s">
        <v>35</v>
      </c>
      <c r="J2468" s="71" t="s">
        <v>1580</v>
      </c>
      <c r="L2468" s="326">
        <v>5000</v>
      </c>
      <c r="M2468" s="136">
        <f>M2467+K2468-L2468</f>
        <v>102821.41905333383</v>
      </c>
    </row>
    <row r="2469" spans="1:13">
      <c r="A2469" s="54" t="str">
        <f>D2469&amp;E2469&amp;F2469</f>
        <v>SERVICIOSADQ DE EQ TECNOLOGICOADQ DE EQ TECNOLOGICO</v>
      </c>
      <c r="B2469" t="s">
        <v>1560</v>
      </c>
      <c r="C2469" s="1">
        <v>45846</v>
      </c>
      <c r="D2469" s="71" t="s">
        <v>21</v>
      </c>
      <c r="E2469" s="71" t="s">
        <v>22</v>
      </c>
      <c r="F2469" s="70" t="s">
        <v>22</v>
      </c>
      <c r="G2469" s="71" t="s">
        <v>216</v>
      </c>
      <c r="J2469" s="71" t="s">
        <v>1581</v>
      </c>
      <c r="L2469" s="326">
        <v>3382.68</v>
      </c>
      <c r="M2469" s="136">
        <f>M2468+K2469-L2469</f>
        <v>99438.739053333833</v>
      </c>
    </row>
    <row r="2470" spans="1:13">
      <c r="A2470" s="54" t="str">
        <f>D2470&amp;E2470&amp;F2470</f>
        <v>HRFONDO Y REPOSICIONHR</v>
      </c>
      <c r="B2470" t="s">
        <v>1560</v>
      </c>
      <c r="C2470" s="1">
        <v>45846</v>
      </c>
      <c r="D2470" s="71" t="s">
        <v>29</v>
      </c>
      <c r="E2470" s="71" t="s">
        <v>120</v>
      </c>
      <c r="F2470" s="70" t="s">
        <v>29</v>
      </c>
      <c r="G2470" s="71" t="s">
        <v>216</v>
      </c>
      <c r="J2470" s="71" t="s">
        <v>266</v>
      </c>
      <c r="L2470" s="326">
        <v>3771</v>
      </c>
      <c r="M2470" s="136">
        <f>M2469+K2470-L2470</f>
        <v>95667.739053333833</v>
      </c>
    </row>
    <row r="2471" spans="1:13">
      <c r="A2471" s="54" t="str">
        <f>D2471&amp;E2471&amp;F2471</f>
        <v>HRFONDO Y REPOSICIONHR</v>
      </c>
      <c r="B2471" t="s">
        <v>1560</v>
      </c>
      <c r="C2471" s="1">
        <v>45846</v>
      </c>
      <c r="D2471" s="71" t="s">
        <v>29</v>
      </c>
      <c r="E2471" s="71" t="s">
        <v>120</v>
      </c>
      <c r="F2471" s="70" t="s">
        <v>29</v>
      </c>
      <c r="G2471" s="71" t="s">
        <v>216</v>
      </c>
      <c r="J2471" s="71" t="s">
        <v>265</v>
      </c>
      <c r="L2471" s="326">
        <v>4500</v>
      </c>
      <c r="M2471" s="136">
        <f>M2470+K2471-L2471</f>
        <v>91167.739053333833</v>
      </c>
    </row>
    <row r="2472" spans="1:13">
      <c r="A2472" s="54" t="str">
        <f>D2472&amp;E2472&amp;F2472</f>
        <v>HRFONDO Y REPOSICIONHR</v>
      </c>
      <c r="B2472" t="s">
        <v>1560</v>
      </c>
      <c r="C2472" s="1">
        <v>45846</v>
      </c>
      <c r="D2472" s="71" t="s">
        <v>29</v>
      </c>
      <c r="E2472" s="71" t="s">
        <v>120</v>
      </c>
      <c r="F2472" s="70" t="s">
        <v>29</v>
      </c>
      <c r="G2472" s="71" t="s">
        <v>216</v>
      </c>
      <c r="J2472" s="71" t="s">
        <v>267</v>
      </c>
      <c r="L2472" s="326">
        <v>1500</v>
      </c>
      <c r="M2472" s="136">
        <f>M2471+K2472-L2472</f>
        <v>89667.739053333833</v>
      </c>
    </row>
    <row r="2473" spans="1:13">
      <c r="A2473" s="54" t="str">
        <f>D2473&amp;E2473&amp;F2473</f>
        <v>CAPVIATICOSCAPRICHOS</v>
      </c>
      <c r="B2473" t="s">
        <v>1560</v>
      </c>
      <c r="C2473" s="1">
        <v>45846</v>
      </c>
      <c r="D2473" s="71" t="s">
        <v>31</v>
      </c>
      <c r="E2473" s="71" t="s">
        <v>191</v>
      </c>
      <c r="F2473" s="70" t="s">
        <v>33</v>
      </c>
      <c r="G2473" s="71" t="s">
        <v>216</v>
      </c>
      <c r="J2473" s="71" t="s">
        <v>1582</v>
      </c>
      <c r="L2473" s="326">
        <v>1200</v>
      </c>
      <c r="M2473" s="136">
        <f>M2472+K2473-L2473</f>
        <v>88467.739053333833</v>
      </c>
    </row>
    <row r="2474" spans="1:13">
      <c r="A2474" s="54" t="str">
        <f>D2474&amp;E2474&amp;F2474</f>
        <v>CAPFONDO Y REPOSICIONCAPRICHOS</v>
      </c>
      <c r="B2474" t="s">
        <v>1560</v>
      </c>
      <c r="C2474" s="1">
        <v>45846</v>
      </c>
      <c r="D2474" s="71" t="s">
        <v>31</v>
      </c>
      <c r="E2474" s="71" t="s">
        <v>120</v>
      </c>
      <c r="F2474" s="70" t="s">
        <v>33</v>
      </c>
      <c r="G2474" s="71" t="s">
        <v>216</v>
      </c>
      <c r="J2474" s="71" t="s">
        <v>1583</v>
      </c>
      <c r="L2474" s="326">
        <v>4995</v>
      </c>
      <c r="M2474" s="136">
        <f>M2473+K2474-L2474</f>
        <v>83472.739053333833</v>
      </c>
    </row>
    <row r="2475" spans="1:13">
      <c r="A2475" s="54" t="str">
        <f>D2475&amp;E2475&amp;F2475</f>
        <v>HRUBERHR</v>
      </c>
      <c r="B2475" t="s">
        <v>1560</v>
      </c>
      <c r="C2475" s="1">
        <v>45846</v>
      </c>
      <c r="D2475" s="71" t="s">
        <v>29</v>
      </c>
      <c r="E2475" s="71" t="s">
        <v>189</v>
      </c>
      <c r="F2475" s="70" t="s">
        <v>29</v>
      </c>
      <c r="G2475" s="71" t="s">
        <v>216</v>
      </c>
      <c r="J2475" s="173" t="s">
        <v>341</v>
      </c>
      <c r="K2475" s="372"/>
      <c r="L2475" s="529">
        <v>70</v>
      </c>
      <c r="M2475" s="136">
        <f>M2474+K2475-L2475</f>
        <v>83402.739053333833</v>
      </c>
    </row>
    <row r="2476" spans="1:13">
      <c r="A2476" s="54" t="str">
        <f>D2476&amp;E2476&amp;F2476</f>
        <v>HRJMASA14</v>
      </c>
      <c r="B2476" t="s">
        <v>1560</v>
      </c>
      <c r="C2476" s="1">
        <v>45846</v>
      </c>
      <c r="D2476" s="71" t="s">
        <v>29</v>
      </c>
      <c r="E2476" s="71" t="s">
        <v>137</v>
      </c>
      <c r="F2476" s="70" t="s">
        <v>99</v>
      </c>
      <c r="G2476" s="71" t="s">
        <v>216</v>
      </c>
      <c r="J2476" s="173" t="s">
        <v>310</v>
      </c>
      <c r="K2476" s="372"/>
      <c r="L2476" s="374">
        <v>970</v>
      </c>
      <c r="M2476" s="136">
        <f>M2475+K2476-L2476</f>
        <v>82432.739053333833</v>
      </c>
    </row>
    <row r="2477" spans="1:13">
      <c r="A2477" s="54" t="str">
        <f>D2477&amp;E2477&amp;F2477</f>
        <v>CAPINSUMOSCAPRICHOS</v>
      </c>
      <c r="B2477" t="s">
        <v>1560</v>
      </c>
      <c r="C2477" s="1">
        <v>45846</v>
      </c>
      <c r="D2477" s="71" t="s">
        <v>31</v>
      </c>
      <c r="E2477" s="71" t="s">
        <v>133</v>
      </c>
      <c r="F2477" s="70" t="s">
        <v>33</v>
      </c>
      <c r="G2477" s="71" t="s">
        <v>216</v>
      </c>
      <c r="J2477" s="173" t="s">
        <v>1169</v>
      </c>
      <c r="K2477" s="372"/>
      <c r="L2477" s="374">
        <v>80</v>
      </c>
      <c r="M2477" s="136">
        <f>M2476+K2477-L2477</f>
        <v>82352.739053333833</v>
      </c>
    </row>
    <row r="2478" spans="1:13">
      <c r="A2478" s="54" t="str">
        <f>D2478&amp;E2478&amp;F2478</f>
        <v>CAPUBERCAP</v>
      </c>
      <c r="B2478" t="s">
        <v>1560</v>
      </c>
      <c r="C2478" s="1">
        <v>45846</v>
      </c>
      <c r="D2478" s="71" t="s">
        <v>31</v>
      </c>
      <c r="E2478" s="71" t="s">
        <v>189</v>
      </c>
      <c r="F2478" s="70" t="s">
        <v>31</v>
      </c>
      <c r="G2478" s="71" t="s">
        <v>216</v>
      </c>
      <c r="J2478" s="173" t="s">
        <v>253</v>
      </c>
      <c r="K2478" s="372"/>
      <c r="L2478" s="529">
        <v>410</v>
      </c>
      <c r="M2478" s="136">
        <f>M2477+K2478-L2478</f>
        <v>81942.739053333833</v>
      </c>
    </row>
    <row r="2479" spans="1:13">
      <c r="A2479" s="54" t="str">
        <f>D2479&amp;E2479&amp;F2479</f>
        <v>SERVICIOSMTTO DE EDIFICIOMANTENIMIENTO</v>
      </c>
      <c r="B2479" t="s">
        <v>1560</v>
      </c>
      <c r="C2479" s="1">
        <v>45846</v>
      </c>
      <c r="D2479" s="71" t="s">
        <v>21</v>
      </c>
      <c r="E2479" s="71" t="s">
        <v>142</v>
      </c>
      <c r="F2479" s="70" t="s">
        <v>35</v>
      </c>
      <c r="G2479" s="71" t="s">
        <v>216</v>
      </c>
      <c r="J2479" s="173" t="s">
        <v>1530</v>
      </c>
      <c r="K2479" s="372"/>
      <c r="L2479" s="374">
        <v>1200</v>
      </c>
      <c r="M2479" s="136">
        <f>M2478+K2479-L2479</f>
        <v>80742.739053333833</v>
      </c>
    </row>
    <row r="2480" spans="1:13">
      <c r="A2480" s="54" t="str">
        <f>D2480&amp;E2480&amp;F2480</f>
        <v>CAPNOMINA SUCURSALE2</v>
      </c>
      <c r="B2480" t="s">
        <v>1560</v>
      </c>
      <c r="C2480" s="1">
        <v>45846</v>
      </c>
      <c r="D2480" s="71" t="s">
        <v>31</v>
      </c>
      <c r="E2480" s="71" t="s">
        <v>154</v>
      </c>
      <c r="F2480" s="70" t="s">
        <v>108</v>
      </c>
      <c r="G2480" s="71" t="s">
        <v>216</v>
      </c>
      <c r="J2480" s="173" t="s">
        <v>1584</v>
      </c>
      <c r="K2480" s="372"/>
      <c r="L2480" s="374">
        <v>1200</v>
      </c>
      <c r="M2480" s="136">
        <f>M2479+K2480-L2480</f>
        <v>79542.739053333833</v>
      </c>
    </row>
    <row r="2481" spans="1:13">
      <c r="A2481" s="54" t="str">
        <f t="shared" si="57"/>
        <v/>
      </c>
      <c r="B2481" t="s">
        <v>1560</v>
      </c>
      <c r="C2481" s="1">
        <v>45847</v>
      </c>
      <c r="D2481" s="71"/>
      <c r="F2481" s="70"/>
      <c r="J2481" s="71" t="s">
        <v>260</v>
      </c>
      <c r="K2481" s="325">
        <v>228721.12</v>
      </c>
      <c r="L2481" s="354"/>
      <c r="M2481" s="136">
        <f>M2480+K2481-L2481</f>
        <v>308263.85905333381</v>
      </c>
    </row>
    <row r="2482" spans="1:13">
      <c r="A2482" s="54" t="str">
        <f>D2482&amp;E2482&amp;F2482</f>
        <v>FINANZASCOMISIONES BANCARIASTPV</v>
      </c>
      <c r="B2482" t="s">
        <v>1560</v>
      </c>
      <c r="C2482" s="1">
        <v>45847</v>
      </c>
      <c r="D2482" s="71" t="s">
        <v>23</v>
      </c>
      <c r="E2482" s="71" t="s">
        <v>48</v>
      </c>
      <c r="F2482" s="70" t="s">
        <v>50</v>
      </c>
      <c r="G2482" s="71" t="s">
        <v>216</v>
      </c>
      <c r="J2482" s="71" t="s">
        <v>217</v>
      </c>
      <c r="L2482" s="326">
        <f>278.84+255.94+32.05+1537.66+1284.25+703.12+34.8</f>
        <v>4126.66</v>
      </c>
      <c r="M2482" s="136">
        <f>M2481+K2482-L2482</f>
        <v>304137.19905333384</v>
      </c>
    </row>
    <row r="2483" spans="1:13">
      <c r="A2483" s="54" t="str">
        <f t="shared" si="57"/>
        <v/>
      </c>
      <c r="B2483" t="s">
        <v>1560</v>
      </c>
      <c r="C2483" s="1">
        <v>45847</v>
      </c>
      <c r="D2483" s="71"/>
      <c r="F2483" s="70"/>
      <c r="H2483" s="83" t="s">
        <v>219</v>
      </c>
      <c r="J2483" s="205" t="s">
        <v>1562</v>
      </c>
      <c r="K2483" s="205"/>
      <c r="L2483" s="206"/>
      <c r="M2483" s="136">
        <f>M2482+K2483-L2483</f>
        <v>304137.19905333384</v>
      </c>
    </row>
    <row r="2484" spans="1:13">
      <c r="A2484" s="54" t="str">
        <f t="shared" si="57"/>
        <v/>
      </c>
      <c r="B2484" t="s">
        <v>1560</v>
      </c>
      <c r="C2484" s="1">
        <v>45847</v>
      </c>
      <c r="D2484" s="71"/>
      <c r="F2484" s="70"/>
      <c r="H2484" s="83" t="s">
        <v>221</v>
      </c>
      <c r="J2484" s="205" t="s">
        <v>222</v>
      </c>
      <c r="K2484" s="205"/>
      <c r="L2484" s="206">
        <v>100000</v>
      </c>
      <c r="M2484" s="136">
        <f>M2483+K2484-L2484</f>
        <v>204137.19905333384</v>
      </c>
    </row>
    <row r="2485" spans="1:13">
      <c r="A2485" s="54" t="str">
        <f t="shared" si="57"/>
        <v/>
      </c>
      <c r="B2485" t="s">
        <v>1560</v>
      </c>
      <c r="C2485" s="1">
        <v>45847</v>
      </c>
      <c r="D2485" s="71"/>
      <c r="F2485" s="70"/>
      <c r="J2485" s="71" t="s">
        <v>1585</v>
      </c>
      <c r="K2485" s="373"/>
      <c r="L2485" s="375">
        <v>214100</v>
      </c>
      <c r="M2485" s="136">
        <f>M2484+K2485-L2485</f>
        <v>-9962.8009466661606</v>
      </c>
    </row>
    <row r="2486" spans="1:13">
      <c r="A2486" s="54" t="str">
        <f>D2486&amp;E2486&amp;F2486</f>
        <v>SERVICIOSALARMASUCURSALES CAPRICHOS</v>
      </c>
      <c r="B2486" t="s">
        <v>1560</v>
      </c>
      <c r="C2486" s="1">
        <v>45847</v>
      </c>
      <c r="D2486" s="71" t="s">
        <v>21</v>
      </c>
      <c r="E2486" s="71" t="s">
        <v>25</v>
      </c>
      <c r="F2486" s="70" t="s">
        <v>27</v>
      </c>
      <c r="G2486" s="71" t="s">
        <v>216</v>
      </c>
      <c r="J2486" s="71" t="s">
        <v>1586</v>
      </c>
      <c r="L2486" s="326">
        <v>386.4</v>
      </c>
      <c r="M2486" s="136">
        <f>M2485+K2486-L2486</f>
        <v>-10349.20094666616</v>
      </c>
    </row>
    <row r="2487" spans="1:13">
      <c r="A2487" s="54" t="str">
        <f>D2487&amp;E2487&amp;F2487</f>
        <v>CAPVIATICOSCAPRICHOS</v>
      </c>
      <c r="B2487" t="s">
        <v>1560</v>
      </c>
      <c r="C2487" s="1">
        <v>45847</v>
      </c>
      <c r="D2487" s="71" t="s">
        <v>31</v>
      </c>
      <c r="E2487" s="71" t="s">
        <v>191</v>
      </c>
      <c r="F2487" s="70" t="s">
        <v>33</v>
      </c>
      <c r="G2487" s="71" t="s">
        <v>216</v>
      </c>
      <c r="J2487" s="71" t="s">
        <v>1587</v>
      </c>
      <c r="L2487" s="326">
        <v>2450</v>
      </c>
      <c r="M2487" s="136">
        <f t="shared" ref="M2487:M2496" si="58">M2486+K2487-L2487</f>
        <v>-12799.20094666616</v>
      </c>
    </row>
    <row r="2488" spans="1:13">
      <c r="A2488" s="54" t="str">
        <f>D2488&amp;E2488&amp;F2488</f>
        <v>SERVICIOSGASCEDIS</v>
      </c>
      <c r="B2488" t="s">
        <v>1560</v>
      </c>
      <c r="C2488" s="1">
        <v>45847</v>
      </c>
      <c r="D2488" s="71" t="s">
        <v>21</v>
      </c>
      <c r="E2488" s="71" t="s">
        <v>122</v>
      </c>
      <c r="F2488" s="70" t="s">
        <v>28</v>
      </c>
      <c r="G2488" s="71" t="s">
        <v>216</v>
      </c>
      <c r="J2488" s="71" t="s">
        <v>1588</v>
      </c>
      <c r="L2488" s="326">
        <v>300</v>
      </c>
      <c r="M2488" s="136">
        <f t="shared" si="58"/>
        <v>-13099.20094666616</v>
      </c>
    </row>
    <row r="2489" spans="1:13">
      <c r="A2489" s="54" t="str">
        <f>D2489&amp;E2489&amp;F2489</f>
        <v>FINANZASSEGUROEQ. DE TRANSPORTE</v>
      </c>
      <c r="B2489" t="s">
        <v>1560</v>
      </c>
      <c r="C2489" s="1">
        <v>45847</v>
      </c>
      <c r="D2489" s="71" t="s">
        <v>23</v>
      </c>
      <c r="E2489" s="71" t="s">
        <v>173</v>
      </c>
      <c r="F2489" t="s">
        <v>175</v>
      </c>
      <c r="G2489" s="71" t="s">
        <v>216</v>
      </c>
      <c r="J2489" s="71" t="s">
        <v>1589</v>
      </c>
      <c r="L2489" s="326">
        <f>61605+286</f>
        <v>61891</v>
      </c>
      <c r="M2489" s="136">
        <f t="shared" si="58"/>
        <v>-74990.200946666155</v>
      </c>
    </row>
    <row r="2490" spans="1:13">
      <c r="A2490" s="54" t="str">
        <f>D2490&amp;E2490&amp;F2490</f>
        <v>HRJMASA4</v>
      </c>
      <c r="B2490" t="s">
        <v>1560</v>
      </c>
      <c r="C2490" s="1">
        <v>45847</v>
      </c>
      <c r="D2490" s="71" t="s">
        <v>29</v>
      </c>
      <c r="E2490" s="71" t="s">
        <v>137</v>
      </c>
      <c r="F2490" s="70" t="s">
        <v>91</v>
      </c>
      <c r="G2490" s="71" t="s">
        <v>216</v>
      </c>
      <c r="J2490" s="76" t="s">
        <v>1590</v>
      </c>
      <c r="L2490" s="331">
        <v>787</v>
      </c>
      <c r="M2490" s="136">
        <f t="shared" si="58"/>
        <v>-75777.200946666155</v>
      </c>
    </row>
    <row r="2491" spans="1:13">
      <c r="A2491" s="54" t="str">
        <f>D2491&amp;E2491&amp;F2491</f>
        <v>HRUBERHR</v>
      </c>
      <c r="B2491" t="s">
        <v>1560</v>
      </c>
      <c r="C2491" s="1">
        <v>45847</v>
      </c>
      <c r="D2491" s="71" t="s">
        <v>29</v>
      </c>
      <c r="E2491" s="71" t="s">
        <v>189</v>
      </c>
      <c r="F2491" s="70" t="s">
        <v>29</v>
      </c>
      <c r="G2491" s="71" t="s">
        <v>216</v>
      </c>
      <c r="J2491" s="76" t="s">
        <v>306</v>
      </c>
      <c r="L2491" s="526">
        <v>110</v>
      </c>
      <c r="M2491" s="136">
        <f t="shared" si="58"/>
        <v>-75887.200946666155</v>
      </c>
    </row>
    <row r="2492" spans="1:13">
      <c r="A2492" s="54" t="str">
        <f>D2492&amp;E2492&amp;F2492</f>
        <v>CAPUBERCAP</v>
      </c>
      <c r="B2492" t="s">
        <v>1560</v>
      </c>
      <c r="C2492" s="1">
        <v>45847</v>
      </c>
      <c r="D2492" s="71" t="s">
        <v>31</v>
      </c>
      <c r="E2492" s="71" t="s">
        <v>189</v>
      </c>
      <c r="F2492" s="70" t="s">
        <v>31</v>
      </c>
      <c r="G2492" s="71" t="s">
        <v>216</v>
      </c>
      <c r="J2492" s="76" t="s">
        <v>253</v>
      </c>
      <c r="L2492" s="526">
        <v>273</v>
      </c>
      <c r="M2492" s="136">
        <f t="shared" si="58"/>
        <v>-76160.200946666155</v>
      </c>
    </row>
    <row r="2493" spans="1:13">
      <c r="A2493" s="54" t="str">
        <f>D2493&amp;E2493&amp;F2493</f>
        <v>CAPFUMIGACIONCAPRICHOS</v>
      </c>
      <c r="B2493" t="s">
        <v>1560</v>
      </c>
      <c r="C2493" s="1">
        <v>45847</v>
      </c>
      <c r="D2493" s="71" t="s">
        <v>31</v>
      </c>
      <c r="E2493" s="71" t="s">
        <v>121</v>
      </c>
      <c r="F2493" s="70" t="s">
        <v>33</v>
      </c>
      <c r="G2493" s="71" t="s">
        <v>216</v>
      </c>
      <c r="J2493" s="76" t="s">
        <v>631</v>
      </c>
      <c r="L2493" s="538">
        <v>650</v>
      </c>
      <c r="M2493" s="136">
        <f t="shared" si="58"/>
        <v>-76810.200946666155</v>
      </c>
    </row>
    <row r="2494" spans="1:13">
      <c r="A2494" s="54" t="str">
        <f>D2494&amp;E2494&amp;F2494</f>
        <v>CAPUBERCAP</v>
      </c>
      <c r="B2494" t="s">
        <v>1560</v>
      </c>
      <c r="C2494" s="1">
        <v>45847</v>
      </c>
      <c r="D2494" s="71" t="s">
        <v>31</v>
      </c>
      <c r="E2494" s="71" t="s">
        <v>189</v>
      </c>
      <c r="F2494" s="70" t="s">
        <v>31</v>
      </c>
      <c r="G2494" s="71" t="s">
        <v>216</v>
      </c>
      <c r="J2494" s="76" t="s">
        <v>257</v>
      </c>
      <c r="L2494" s="526">
        <v>100</v>
      </c>
      <c r="M2494" s="136">
        <f t="shared" si="58"/>
        <v>-76910.200946666155</v>
      </c>
    </row>
    <row r="2495" spans="1:13">
      <c r="A2495" s="54" t="str">
        <f>D2495&amp;E2495&amp;F2495</f>
        <v>CAPVIATICOSCAPRICHOS</v>
      </c>
      <c r="B2495" t="s">
        <v>1560</v>
      </c>
      <c r="C2495" s="1">
        <v>45847</v>
      </c>
      <c r="D2495" s="71" t="s">
        <v>31</v>
      </c>
      <c r="E2495" s="71" t="s">
        <v>191</v>
      </c>
      <c r="F2495" s="70" t="s">
        <v>33</v>
      </c>
      <c r="G2495" s="71" t="s">
        <v>216</v>
      </c>
      <c r="J2495" s="76" t="s">
        <v>1425</v>
      </c>
      <c r="L2495" s="331">
        <v>90</v>
      </c>
      <c r="M2495" s="136">
        <f t="shared" si="58"/>
        <v>-77000.200946666155</v>
      </c>
    </row>
    <row r="2496" spans="1:13">
      <c r="A2496" s="54" t="str">
        <f t="shared" si="57"/>
        <v/>
      </c>
      <c r="B2496" t="s">
        <v>1560</v>
      </c>
      <c r="C2496" s="1">
        <v>45848</v>
      </c>
      <c r="D2496" s="71"/>
      <c r="F2496" s="70"/>
      <c r="J2496" s="71" t="s">
        <v>260</v>
      </c>
      <c r="K2496" s="325">
        <v>219032.91</v>
      </c>
      <c r="L2496" s="354"/>
      <c r="M2496" s="136">
        <f t="shared" si="58"/>
        <v>142032.70905333385</v>
      </c>
    </row>
    <row r="2497" spans="1:13">
      <c r="A2497" s="54" t="str">
        <f>D2497&amp;E2497&amp;F2497</f>
        <v>FINANZASCOMISIONES BANCARIASTPV</v>
      </c>
      <c r="B2497" t="s">
        <v>1560</v>
      </c>
      <c r="C2497" s="1">
        <v>45848</v>
      </c>
      <c r="D2497" t="s">
        <v>23</v>
      </c>
      <c r="E2497" t="s">
        <v>48</v>
      </c>
      <c r="F2497" s="70" t="s">
        <v>50</v>
      </c>
      <c r="J2497" s="71" t="s">
        <v>217</v>
      </c>
      <c r="L2497" s="354"/>
      <c r="M2497" s="136">
        <f t="shared" ref="M2496:M2503" si="59">M2496+K2497-L2497</f>
        <v>142032.70905333385</v>
      </c>
    </row>
    <row r="2498" spans="1:13">
      <c r="A2498" s="54" t="str">
        <f>D2498&amp;E2498&amp;F2498</f>
        <v>FINANZASCOMISIONES BANCARIASTPV</v>
      </c>
      <c r="B2498" t="s">
        <v>1560</v>
      </c>
      <c r="C2498" s="1">
        <v>45848</v>
      </c>
      <c r="D2498" s="71" t="s">
        <v>23</v>
      </c>
      <c r="E2498" s="71" t="s">
        <v>48</v>
      </c>
      <c r="F2498" s="70" t="s">
        <v>50</v>
      </c>
      <c r="G2498" s="71" t="s">
        <v>216</v>
      </c>
      <c r="J2498" s="71" t="s">
        <v>764</v>
      </c>
      <c r="L2498" s="326">
        <f>241.38+116.02+1573.31+1276.19+714.6+3.48+17.4</f>
        <v>3942.38</v>
      </c>
      <c r="M2498" s="136">
        <f t="shared" si="59"/>
        <v>138090.32905333384</v>
      </c>
    </row>
    <row r="2499" spans="1:13">
      <c r="A2499" s="54" t="str">
        <f t="shared" si="57"/>
        <v/>
      </c>
      <c r="B2499" t="s">
        <v>1560</v>
      </c>
      <c r="C2499" s="1">
        <v>45848</v>
      </c>
      <c r="D2499" s="71"/>
      <c r="F2499" s="70"/>
      <c r="H2499" s="83" t="s">
        <v>219</v>
      </c>
      <c r="J2499" s="205" t="s">
        <v>1562</v>
      </c>
      <c r="K2499" s="205"/>
      <c r="L2499" s="206">
        <v>205800</v>
      </c>
      <c r="M2499" s="136">
        <f t="shared" si="59"/>
        <v>-67709.670946666156</v>
      </c>
    </row>
    <row r="2500" spans="1:13">
      <c r="A2500" s="54" t="str">
        <f t="shared" si="57"/>
        <v/>
      </c>
      <c r="B2500" t="s">
        <v>1560</v>
      </c>
      <c r="C2500" s="1">
        <v>45848</v>
      </c>
      <c r="D2500" s="71"/>
      <c r="F2500" s="70"/>
      <c r="H2500" s="83" t="s">
        <v>221</v>
      </c>
      <c r="J2500" s="205" t="s">
        <v>222</v>
      </c>
      <c r="K2500" s="205"/>
      <c r="L2500" s="205"/>
      <c r="M2500" s="136">
        <f t="shared" si="59"/>
        <v>-67709.670946666156</v>
      </c>
    </row>
    <row r="2501" spans="1:13">
      <c r="A2501" s="54" t="str">
        <f>D2501&amp;E2501&amp;F2501</f>
        <v>SERVICIOSFONDO Y REPOSICIONSERVICIOS</v>
      </c>
      <c r="B2501" t="s">
        <v>1560</v>
      </c>
      <c r="C2501" s="1">
        <v>45848</v>
      </c>
      <c r="D2501" s="71" t="s">
        <v>21</v>
      </c>
      <c r="E2501" s="71" t="s">
        <v>120</v>
      </c>
      <c r="F2501" s="70" t="s">
        <v>21</v>
      </c>
      <c r="G2501" s="71" t="s">
        <v>216</v>
      </c>
      <c r="J2501" s="71" t="s">
        <v>1591</v>
      </c>
      <c r="L2501" s="326">
        <v>2000</v>
      </c>
      <c r="M2501" s="136">
        <f t="shared" si="59"/>
        <v>-69709.670946666156</v>
      </c>
    </row>
    <row r="2502" spans="1:13">
      <c r="A2502" s="54" t="str">
        <f>D2502&amp;E2502&amp;F2502</f>
        <v>SERVICIOSINSUMOSCOFFE</v>
      </c>
      <c r="B2502" t="s">
        <v>1560</v>
      </c>
      <c r="C2502" s="1">
        <v>45848</v>
      </c>
      <c r="D2502" s="71" t="s">
        <v>21</v>
      </c>
      <c r="E2502" s="71" t="s">
        <v>133</v>
      </c>
      <c r="F2502" s="70" t="s">
        <v>135</v>
      </c>
      <c r="G2502" s="71" t="s">
        <v>216</v>
      </c>
      <c r="J2502" s="71" t="s">
        <v>1592</v>
      </c>
      <c r="L2502" s="326">
        <v>2500</v>
      </c>
      <c r="M2502" s="136">
        <f t="shared" si="59"/>
        <v>-72209.670946666156</v>
      </c>
    </row>
    <row r="2503" spans="1:13">
      <c r="A2503" s="54" t="str">
        <f>D2503&amp;E2503&amp;F2503</f>
        <v>SERVICIOSVIATICOSCOMPRAS</v>
      </c>
      <c r="B2503" t="s">
        <v>1560</v>
      </c>
      <c r="C2503" s="1">
        <v>45848</v>
      </c>
      <c r="D2503" s="71" t="s">
        <v>21</v>
      </c>
      <c r="E2503" s="71" t="s">
        <v>191</v>
      </c>
      <c r="F2503" s="70" t="s">
        <v>148</v>
      </c>
      <c r="G2503" s="71" t="s">
        <v>216</v>
      </c>
      <c r="J2503" s="71" t="s">
        <v>1593</v>
      </c>
      <c r="L2503" s="326">
        <v>2450</v>
      </c>
      <c r="M2503" s="136">
        <f t="shared" si="59"/>
        <v>-74659.670946666156</v>
      </c>
    </row>
    <row r="2504" spans="1:13">
      <c r="A2504" s="54" t="str">
        <f>D2504&amp;E2504&amp;F2504</f>
        <v>SERVICIOSPAQUETERIACT INTERNACIONAL</v>
      </c>
      <c r="B2504" t="s">
        <v>1560</v>
      </c>
      <c r="C2504" s="1">
        <v>45848</v>
      </c>
      <c r="D2504" s="71" t="s">
        <v>21</v>
      </c>
      <c r="E2504" s="71" t="s">
        <v>160</v>
      </c>
      <c r="F2504" s="70" t="s">
        <v>162</v>
      </c>
      <c r="G2504" s="71" t="s">
        <v>216</v>
      </c>
      <c r="J2504" s="71" t="s">
        <v>275</v>
      </c>
      <c r="L2504" s="326">
        <v>140</v>
      </c>
      <c r="M2504" s="136">
        <f>M2503+K2504-L2504</f>
        <v>-74799.670946666156</v>
      </c>
    </row>
    <row r="2505" spans="1:13">
      <c r="A2505" s="54" t="str">
        <f>D2505&amp;E2505&amp;F2505</f>
        <v>CAPENERGIA ELECTRICAE2</v>
      </c>
      <c r="B2505" t="s">
        <v>1560</v>
      </c>
      <c r="C2505" s="1">
        <v>45848</v>
      </c>
      <c r="D2505" s="71" t="s">
        <v>31</v>
      </c>
      <c r="E2505" s="71" t="s">
        <v>87</v>
      </c>
      <c r="F2505" s="70" t="s">
        <v>108</v>
      </c>
      <c r="G2505" s="71" t="s">
        <v>216</v>
      </c>
      <c r="J2505" s="71" t="s">
        <v>1594</v>
      </c>
      <c r="L2505" s="326">
        <v>4720</v>
      </c>
      <c r="M2505" s="136">
        <f>M2504+K2505-L2505</f>
        <v>-79519.670946666156</v>
      </c>
    </row>
    <row r="2506" spans="1:13">
      <c r="A2506" s="54" t="str">
        <f>D2506&amp;E2506&amp;F2506</f>
        <v>SGEVIATICOSGESTION EMPRESARIAL</v>
      </c>
      <c r="B2506" t="s">
        <v>1560</v>
      </c>
      <c r="C2506" s="1">
        <v>45848</v>
      </c>
      <c r="D2506" s="71" t="s">
        <v>39</v>
      </c>
      <c r="E2506" s="71" t="s">
        <v>191</v>
      </c>
      <c r="F2506" s="70" t="s">
        <v>40</v>
      </c>
      <c r="G2506" s="71" t="s">
        <v>216</v>
      </c>
      <c r="J2506" s="71" t="s">
        <v>338</v>
      </c>
      <c r="L2506" s="326">
        <v>600</v>
      </c>
      <c r="M2506" s="136">
        <f>M2505+K2506-L2506</f>
        <v>-80119.670946666156</v>
      </c>
    </row>
    <row r="2507" spans="1:13">
      <c r="A2507" s="54" t="str">
        <f>D2507&amp;E2507&amp;F2507</f>
        <v>SERVICIOSVIATICOSINVENTARIOS</v>
      </c>
      <c r="B2507" t="s">
        <v>1560</v>
      </c>
      <c r="C2507" s="1">
        <v>45848</v>
      </c>
      <c r="D2507" s="71" t="s">
        <v>21</v>
      </c>
      <c r="E2507" s="71" t="s">
        <v>191</v>
      </c>
      <c r="F2507" s="70" t="s">
        <v>34</v>
      </c>
      <c r="G2507" s="71" t="s">
        <v>216</v>
      </c>
      <c r="J2507" s="71" t="s">
        <v>1595</v>
      </c>
      <c r="L2507" s="326">
        <v>400</v>
      </c>
      <c r="M2507" s="136">
        <f>M2506+K2507-L2507</f>
        <v>-80519.670946666156</v>
      </c>
    </row>
    <row r="2508" spans="1:13">
      <c r="A2508" s="54" t="str">
        <f>D2508&amp;E2508&amp;F2508</f>
        <v>SERVICIOSVIATICOSMANTENIMIENTO</v>
      </c>
      <c r="B2508" t="s">
        <v>1560</v>
      </c>
      <c r="C2508" s="1">
        <v>45848</v>
      </c>
      <c r="D2508" s="71" t="s">
        <v>21</v>
      </c>
      <c r="E2508" s="71" t="s">
        <v>191</v>
      </c>
      <c r="F2508" s="70" t="s">
        <v>35</v>
      </c>
      <c r="G2508" s="71" t="s">
        <v>216</v>
      </c>
      <c r="J2508" s="71" t="s">
        <v>1596</v>
      </c>
      <c r="L2508" s="326">
        <v>800</v>
      </c>
      <c r="M2508" s="136">
        <f>M2507+K2508-L2508</f>
        <v>-81319.670946666156</v>
      </c>
    </row>
    <row r="2509" spans="1:13">
      <c r="A2509" s="54" t="str">
        <f>D2509&amp;E2509&amp;F2509</f>
        <v>SERVICIOSMTTO DE EDIFICIOMANTENIMIENTO</v>
      </c>
      <c r="B2509" t="s">
        <v>1560</v>
      </c>
      <c r="C2509" s="1">
        <v>45848</v>
      </c>
      <c r="D2509" s="71" t="s">
        <v>21</v>
      </c>
      <c r="E2509" s="71" t="s">
        <v>142</v>
      </c>
      <c r="F2509" s="70" t="s">
        <v>35</v>
      </c>
      <c r="G2509" s="71" t="s">
        <v>216</v>
      </c>
      <c r="J2509" s="71" t="s">
        <v>1597</v>
      </c>
      <c r="L2509" s="326">
        <v>6400</v>
      </c>
      <c r="M2509" s="136">
        <f>M2508+K2509-L2509</f>
        <v>-87719.670946666156</v>
      </c>
    </row>
    <row r="2510" spans="1:13">
      <c r="A2510" s="54" t="str">
        <f>D2510&amp;E2510&amp;F2510</f>
        <v>HRVIATICOSHR</v>
      </c>
      <c r="B2510" t="s">
        <v>1560</v>
      </c>
      <c r="C2510" s="1">
        <v>45848</v>
      </c>
      <c r="D2510" s="71" t="s">
        <v>29</v>
      </c>
      <c r="E2510" s="71" t="s">
        <v>191</v>
      </c>
      <c r="F2510" s="70" t="s">
        <v>29</v>
      </c>
      <c r="G2510" s="71" t="s">
        <v>216</v>
      </c>
      <c r="J2510" s="71" t="s">
        <v>960</v>
      </c>
      <c r="L2510" s="326">
        <v>2450</v>
      </c>
      <c r="M2510" s="136">
        <f>M2509+K2510-L2510</f>
        <v>-90169.670946666156</v>
      </c>
    </row>
    <row r="2511" spans="1:13">
      <c r="A2511" s="54" t="str">
        <f>D2511&amp;E2511&amp;F2511</f>
        <v>HRVIATICOSHR</v>
      </c>
      <c r="B2511" t="s">
        <v>1560</v>
      </c>
      <c r="C2511" s="1">
        <v>45848</v>
      </c>
      <c r="D2511" s="71" t="s">
        <v>29</v>
      </c>
      <c r="E2511" s="71" t="s">
        <v>191</v>
      </c>
      <c r="F2511" s="70" t="s">
        <v>29</v>
      </c>
      <c r="G2511" s="71" t="s">
        <v>216</v>
      </c>
      <c r="J2511" s="71" t="s">
        <v>1598</v>
      </c>
      <c r="L2511" s="326">
        <v>4200</v>
      </c>
      <c r="M2511" s="136">
        <f>M2510+K2511-L2511</f>
        <v>-94369.670946666156</v>
      </c>
    </row>
    <row r="2512" spans="1:13">
      <c r="A2512" s="54" t="str">
        <f>D2512&amp;E2512&amp;F2512</f>
        <v>SERVICIOSMTTO EQ DE TRANSPORTECEDIS</v>
      </c>
      <c r="B2512" t="s">
        <v>1560</v>
      </c>
      <c r="C2512" s="1">
        <v>45848</v>
      </c>
      <c r="D2512" s="71" t="s">
        <v>21</v>
      </c>
      <c r="E2512" s="71" t="s">
        <v>144</v>
      </c>
      <c r="F2512" s="70" t="s">
        <v>28</v>
      </c>
      <c r="G2512" s="71" t="s">
        <v>216</v>
      </c>
      <c r="J2512" s="71" t="s">
        <v>1599</v>
      </c>
      <c r="L2512" s="208">
        <v>5200</v>
      </c>
      <c r="M2512" s="136">
        <f t="shared" ref="M2512:M2548" si="60">M2511+K2512-L2512</f>
        <v>-99569.670946666156</v>
      </c>
    </row>
    <row r="2513" spans="1:13">
      <c r="A2513" s="54" t="str">
        <f>D2513&amp;E2513&amp;F2513</f>
        <v>SERVICIOSSGMSERVICIOS</v>
      </c>
      <c r="B2513" t="s">
        <v>1560</v>
      </c>
      <c r="C2513" s="1">
        <v>45848</v>
      </c>
      <c r="D2513" s="71" t="s">
        <v>21</v>
      </c>
      <c r="E2513" s="71" t="s">
        <v>176</v>
      </c>
      <c r="F2513" s="70" t="s">
        <v>21</v>
      </c>
      <c r="G2513" s="71" t="s">
        <v>216</v>
      </c>
      <c r="J2513" s="71" t="s">
        <v>1600</v>
      </c>
      <c r="L2513" s="326">
        <v>1683</v>
      </c>
      <c r="M2513" s="136">
        <f t="shared" si="60"/>
        <v>-101252.67094666616</v>
      </c>
    </row>
    <row r="2514" spans="1:13">
      <c r="A2514" s="54" t="str">
        <f>D2514&amp;E2514&amp;F2514</f>
        <v>HRUBERHR</v>
      </c>
      <c r="B2514" t="s">
        <v>1560</v>
      </c>
      <c r="C2514" s="1">
        <v>45848</v>
      </c>
      <c r="D2514" s="71" t="s">
        <v>29</v>
      </c>
      <c r="E2514" s="71" t="s">
        <v>189</v>
      </c>
      <c r="F2514" s="70" t="s">
        <v>29</v>
      </c>
      <c r="G2514" s="71" t="s">
        <v>216</v>
      </c>
      <c r="J2514" s="76" t="s">
        <v>291</v>
      </c>
      <c r="L2514" s="526">
        <v>200</v>
      </c>
      <c r="M2514" s="136">
        <f t="shared" si="60"/>
        <v>-101452.67094666616</v>
      </c>
    </row>
    <row r="2515" spans="1:13">
      <c r="A2515" s="54" t="str">
        <f>D2515&amp;E2515&amp;F2515</f>
        <v>HRUBERHR</v>
      </c>
      <c r="B2515" t="s">
        <v>1560</v>
      </c>
      <c r="C2515" s="1">
        <v>45848</v>
      </c>
      <c r="D2515" s="71" t="s">
        <v>29</v>
      </c>
      <c r="E2515" s="71" t="s">
        <v>189</v>
      </c>
      <c r="F2515" s="70" t="s">
        <v>29</v>
      </c>
      <c r="G2515" s="71" t="s">
        <v>216</v>
      </c>
      <c r="J2515" s="76" t="s">
        <v>306</v>
      </c>
      <c r="L2515" s="526">
        <v>70</v>
      </c>
      <c r="M2515" s="136">
        <f t="shared" si="60"/>
        <v>-101522.67094666616</v>
      </c>
    </row>
    <row r="2516" spans="1:13">
      <c r="A2516" s="54" t="str">
        <f>D2516&amp;E2516&amp;F2516</f>
        <v>HRUBERHR</v>
      </c>
      <c r="B2516" t="s">
        <v>1560</v>
      </c>
      <c r="C2516" s="1">
        <v>45848</v>
      </c>
      <c r="D2516" s="71" t="s">
        <v>29</v>
      </c>
      <c r="E2516" s="71" t="s">
        <v>189</v>
      </c>
      <c r="F2516" s="70" t="s">
        <v>29</v>
      </c>
      <c r="G2516" s="71" t="s">
        <v>216</v>
      </c>
      <c r="J2516" s="76" t="s">
        <v>1601</v>
      </c>
      <c r="L2516" s="526">
        <v>200</v>
      </c>
      <c r="M2516" s="136">
        <f t="shared" si="60"/>
        <v>-101722.67094666616</v>
      </c>
    </row>
    <row r="2517" spans="1:13">
      <c r="A2517" s="54" t="str">
        <f>D2517&amp;E2517&amp;F2517</f>
        <v>HRUBERHR</v>
      </c>
      <c r="B2517" t="s">
        <v>1560</v>
      </c>
      <c r="C2517" s="1">
        <v>45848</v>
      </c>
      <c r="D2517" s="71" t="s">
        <v>29</v>
      </c>
      <c r="E2517" s="71" t="s">
        <v>189</v>
      </c>
      <c r="F2517" s="70" t="s">
        <v>29</v>
      </c>
      <c r="G2517" s="71" t="s">
        <v>216</v>
      </c>
      <c r="J2517" s="76" t="s">
        <v>249</v>
      </c>
      <c r="L2517" s="526">
        <v>111</v>
      </c>
      <c r="M2517" s="136">
        <f t="shared" si="60"/>
        <v>-101833.67094666616</v>
      </c>
    </row>
    <row r="2518" spans="1:13">
      <c r="A2518" s="54" t="str">
        <f>D2518&amp;E2518&amp;F2518</f>
        <v>CAPUBERCAP</v>
      </c>
      <c r="B2518" t="s">
        <v>1560</v>
      </c>
      <c r="C2518" s="1">
        <v>45848</v>
      </c>
      <c r="D2518" s="71" t="s">
        <v>31</v>
      </c>
      <c r="E2518" s="71" t="s">
        <v>189</v>
      </c>
      <c r="F2518" s="70" t="s">
        <v>31</v>
      </c>
      <c r="G2518" s="71" t="s">
        <v>216</v>
      </c>
      <c r="J2518" s="76" t="s">
        <v>253</v>
      </c>
      <c r="L2518" s="526">
        <v>575</v>
      </c>
      <c r="M2518" s="136">
        <f t="shared" si="60"/>
        <v>-102408.67094666616</v>
      </c>
    </row>
    <row r="2519" spans="1:13">
      <c r="A2519" s="54" t="str">
        <f>D2519&amp;E2519&amp;F2519</f>
        <v>CAPUBERCAP</v>
      </c>
      <c r="B2519" t="s">
        <v>1560</v>
      </c>
      <c r="C2519" s="1">
        <v>45848</v>
      </c>
      <c r="D2519" s="71" t="s">
        <v>31</v>
      </c>
      <c r="E2519" s="71" t="s">
        <v>189</v>
      </c>
      <c r="F2519" s="70" t="s">
        <v>31</v>
      </c>
      <c r="G2519" s="71" t="s">
        <v>216</v>
      </c>
      <c r="J2519" s="76" t="s">
        <v>257</v>
      </c>
      <c r="L2519" s="526">
        <v>190</v>
      </c>
      <c r="M2519" s="136">
        <f t="shared" si="60"/>
        <v>-102598.67094666616</v>
      </c>
    </row>
    <row r="2520" spans="1:13">
      <c r="A2520" s="54" t="str">
        <f>D2520&amp;E2520&amp;F2520</f>
        <v>CAPUBERCAP</v>
      </c>
      <c r="B2520" t="s">
        <v>1560</v>
      </c>
      <c r="C2520" s="1">
        <v>45848</v>
      </c>
      <c r="D2520" s="71" t="s">
        <v>31</v>
      </c>
      <c r="E2520" s="71" t="s">
        <v>189</v>
      </c>
      <c r="F2520" s="70" t="s">
        <v>31</v>
      </c>
      <c r="G2520" s="71" t="s">
        <v>216</v>
      </c>
      <c r="J2520" s="76" t="s">
        <v>490</v>
      </c>
      <c r="L2520" s="526">
        <v>350</v>
      </c>
      <c r="M2520" s="136">
        <f t="shared" si="60"/>
        <v>-102948.67094666616</v>
      </c>
    </row>
    <row r="2521" spans="1:13">
      <c r="A2521" s="54" t="str">
        <f t="shared" ref="A2509:A2572" si="61">D2521&amp;E2521&amp;F2521</f>
        <v/>
      </c>
      <c r="B2521" t="s">
        <v>1560</v>
      </c>
      <c r="C2521" s="1">
        <v>45849</v>
      </c>
      <c r="D2521" s="71"/>
      <c r="F2521" s="70"/>
      <c r="J2521" s="71" t="s">
        <v>260</v>
      </c>
      <c r="K2521" s="325">
        <v>239393.48</v>
      </c>
      <c r="L2521" s="354"/>
      <c r="M2521" s="136">
        <f t="shared" si="60"/>
        <v>136444.80905333385</v>
      </c>
    </row>
    <row r="2522" spans="1:13">
      <c r="A2522" s="54" t="str">
        <f>D2522&amp;E2522&amp;F2522</f>
        <v>FINANZASCOMISIONES BANCARIASTPV</v>
      </c>
      <c r="B2522" t="s">
        <v>1560</v>
      </c>
      <c r="C2522" s="1">
        <v>45849</v>
      </c>
      <c r="D2522" s="71" t="s">
        <v>23</v>
      </c>
      <c r="E2522" s="71" t="s">
        <v>48</v>
      </c>
      <c r="F2522" s="70" t="s">
        <v>50</v>
      </c>
      <c r="G2522" s="71" t="s">
        <v>216</v>
      </c>
      <c r="J2522" s="71" t="s">
        <v>217</v>
      </c>
      <c r="L2522" s="326">
        <f>333.54+370.77+77.91+1790.24+1657.19+1632.98+34.8</f>
        <v>5897.4299999999994</v>
      </c>
      <c r="M2522" s="136">
        <f t="shared" si="60"/>
        <v>130547.37905333386</v>
      </c>
    </row>
    <row r="2523" spans="1:13">
      <c r="A2523" s="54" t="str">
        <f t="shared" si="61"/>
        <v/>
      </c>
      <c r="B2523" t="s">
        <v>1560</v>
      </c>
      <c r="C2523" s="1">
        <v>45849</v>
      </c>
      <c r="D2523" s="71"/>
      <c r="F2523" s="70"/>
      <c r="G2523" s="71" t="s">
        <v>216</v>
      </c>
      <c r="H2523" s="83" t="s">
        <v>219</v>
      </c>
      <c r="J2523" s="205" t="s">
        <v>1562</v>
      </c>
      <c r="K2523" s="205"/>
      <c r="L2523" s="206"/>
      <c r="M2523" s="136">
        <f t="shared" si="60"/>
        <v>130547.37905333386</v>
      </c>
    </row>
    <row r="2524" spans="1:13">
      <c r="A2524" s="54" t="str">
        <f t="shared" si="61"/>
        <v/>
      </c>
      <c r="B2524" t="s">
        <v>1560</v>
      </c>
      <c r="C2524" s="1">
        <v>45849</v>
      </c>
      <c r="D2524" s="71"/>
      <c r="F2524" s="70"/>
      <c r="H2524" s="83" t="s">
        <v>317</v>
      </c>
      <c r="J2524" s="205" t="s">
        <v>318</v>
      </c>
      <c r="K2524" s="205"/>
      <c r="L2524" s="206">
        <v>150000</v>
      </c>
      <c r="M2524" s="136">
        <f t="shared" si="60"/>
        <v>-19452.620946666138</v>
      </c>
    </row>
    <row r="2525" spans="1:13">
      <c r="A2525" s="54" t="str">
        <f>D2525&amp;E2525&amp;F2525</f>
        <v>SERVICIOSMTTO DE EDIFICIOMANTENIMIENTO</v>
      </c>
      <c r="B2525" t="s">
        <v>1560</v>
      </c>
      <c r="C2525" s="1">
        <v>45849</v>
      </c>
      <c r="D2525" s="71" t="s">
        <v>21</v>
      </c>
      <c r="E2525" s="71" t="s">
        <v>142</v>
      </c>
      <c r="F2525" s="70" t="s">
        <v>35</v>
      </c>
      <c r="G2525" s="71" t="s">
        <v>216</v>
      </c>
      <c r="J2525" s="71" t="s">
        <v>1602</v>
      </c>
      <c r="L2525" s="326">
        <v>2797.26</v>
      </c>
      <c r="M2525" s="136">
        <f t="shared" si="60"/>
        <v>-22249.880946666141</v>
      </c>
    </row>
    <row r="2526" spans="1:13">
      <c r="A2526" s="54" t="str">
        <f t="shared" si="61"/>
        <v/>
      </c>
      <c r="B2526" t="s">
        <v>1560</v>
      </c>
      <c r="C2526" s="1">
        <v>45849</v>
      </c>
      <c r="D2526" s="71"/>
      <c r="F2526" s="70"/>
      <c r="J2526" s="71" t="s">
        <v>440</v>
      </c>
      <c r="L2526" s="326">
        <v>36827</v>
      </c>
      <c r="M2526" s="136">
        <f t="shared" si="60"/>
        <v>-59076.880946666141</v>
      </c>
    </row>
    <row r="2527" spans="1:13">
      <c r="A2527" s="54" t="str">
        <f>D2527&amp;E2527&amp;F2527</f>
        <v>FINANZASVIATICOSFINANZAS</v>
      </c>
      <c r="B2527" t="s">
        <v>1560</v>
      </c>
      <c r="C2527" s="1">
        <v>45849</v>
      </c>
      <c r="D2527" s="71" t="s">
        <v>23</v>
      </c>
      <c r="E2527" s="71" t="s">
        <v>191</v>
      </c>
      <c r="F2527" s="70" t="s">
        <v>23</v>
      </c>
      <c r="G2527" s="71" t="s">
        <v>216</v>
      </c>
      <c r="J2527" s="71" t="s">
        <v>1603</v>
      </c>
      <c r="L2527" s="326">
        <v>400</v>
      </c>
      <c r="M2527" s="136">
        <f t="shared" si="60"/>
        <v>-59476.880946666141</v>
      </c>
    </row>
    <row r="2528" spans="1:13">
      <c r="A2528" s="54" t="str">
        <f>D2528&amp;E2528&amp;F2528</f>
        <v>FINANZASCUOTAS Y SUSCRIPCIONESTRASLADO DE VALORES</v>
      </c>
      <c r="B2528" t="s">
        <v>1560</v>
      </c>
      <c r="C2528" s="1">
        <v>45849</v>
      </c>
      <c r="D2528" s="71" t="s">
        <v>23</v>
      </c>
      <c r="E2528" s="71" t="s">
        <v>51</v>
      </c>
      <c r="F2528" s="70" t="s">
        <v>82</v>
      </c>
      <c r="G2528" s="71" t="s">
        <v>216</v>
      </c>
      <c r="J2528" s="71" t="s">
        <v>1604</v>
      </c>
      <c r="L2528" s="326">
        <v>5893.94</v>
      </c>
      <c r="M2528" s="136">
        <f t="shared" si="60"/>
        <v>-65370.820946666143</v>
      </c>
    </row>
    <row r="2529" spans="1:13">
      <c r="A2529" s="54" t="str">
        <f>D2529&amp;E2529&amp;F2529</f>
        <v>HRVIATICOSHR</v>
      </c>
      <c r="B2529" t="s">
        <v>1560</v>
      </c>
      <c r="C2529" s="1">
        <v>45849</v>
      </c>
      <c r="D2529" s="71" t="s">
        <v>29</v>
      </c>
      <c r="E2529" s="71" t="s">
        <v>191</v>
      </c>
      <c r="F2529" s="70" t="s">
        <v>29</v>
      </c>
      <c r="G2529" s="71" t="s">
        <v>258</v>
      </c>
      <c r="J2529" s="71" t="s">
        <v>1605</v>
      </c>
      <c r="L2529" s="326">
        <v>4000</v>
      </c>
      <c r="M2529" s="136">
        <f t="shared" si="60"/>
        <v>-69370.82094666615</v>
      </c>
    </row>
    <row r="2530" spans="1:13">
      <c r="A2530" s="54" t="str">
        <f>D2530&amp;E2530&amp;F2530</f>
        <v>FINANZASVIATICOSFINANZAS</v>
      </c>
      <c r="B2530" t="s">
        <v>1560</v>
      </c>
      <c r="C2530" s="1">
        <v>45849</v>
      </c>
      <c r="D2530" s="71" t="s">
        <v>23</v>
      </c>
      <c r="E2530" s="71" t="s">
        <v>191</v>
      </c>
      <c r="F2530" s="70" t="s">
        <v>23</v>
      </c>
      <c r="G2530" s="71" t="s">
        <v>216</v>
      </c>
      <c r="J2530" s="71" t="s">
        <v>1606</v>
      </c>
      <c r="L2530" s="326">
        <v>740</v>
      </c>
      <c r="M2530" s="136">
        <f t="shared" si="60"/>
        <v>-70110.82094666615</v>
      </c>
    </row>
    <row r="2531" spans="1:13">
      <c r="A2531" s="54" t="str">
        <f>D2531&amp;E2531&amp;F2531</f>
        <v>HRJMASA2</v>
      </c>
      <c r="B2531" t="s">
        <v>1560</v>
      </c>
      <c r="C2531" s="1">
        <v>45849</v>
      </c>
      <c r="D2531" s="71" t="s">
        <v>29</v>
      </c>
      <c r="E2531" s="71" t="s">
        <v>137</v>
      </c>
      <c r="F2531" s="70" t="s">
        <v>89</v>
      </c>
      <c r="G2531" s="71" t="s">
        <v>216</v>
      </c>
      <c r="J2531" s="71" t="s">
        <v>1607</v>
      </c>
      <c r="L2531" s="326">
        <v>829</v>
      </c>
      <c r="M2531" s="136">
        <f t="shared" si="60"/>
        <v>-70939.82094666615</v>
      </c>
    </row>
    <row r="2532" spans="1:13">
      <c r="A2532" s="54" t="str">
        <f t="shared" si="61"/>
        <v/>
      </c>
      <c r="B2532" t="s">
        <v>1560</v>
      </c>
      <c r="C2532" s="1">
        <v>45849</v>
      </c>
      <c r="D2532" s="71"/>
      <c r="J2532" s="71" t="s">
        <v>1207</v>
      </c>
      <c r="L2532" s="326">
        <v>400</v>
      </c>
      <c r="M2532" s="136">
        <f t="shared" si="60"/>
        <v>-71339.82094666615</v>
      </c>
    </row>
    <row r="2533" spans="1:13">
      <c r="A2533" s="54" t="str">
        <f>D2533&amp;E2533&amp;F2533</f>
        <v>FINANZASINSUMOSFINANZAS</v>
      </c>
      <c r="B2533" t="s">
        <v>1560</v>
      </c>
      <c r="C2533" s="1">
        <v>45849</v>
      </c>
      <c r="D2533" s="71" t="s">
        <v>23</v>
      </c>
      <c r="E2533" s="71" t="s">
        <v>133</v>
      </c>
      <c r="F2533" s="70" t="s">
        <v>23</v>
      </c>
      <c r="G2533" s="71" t="s">
        <v>216</v>
      </c>
      <c r="J2533" s="71" t="s">
        <v>1608</v>
      </c>
      <c r="L2533" s="326">
        <v>410</v>
      </c>
      <c r="M2533" s="136">
        <f t="shared" si="60"/>
        <v>-71749.82094666615</v>
      </c>
    </row>
    <row r="2534" spans="1:13">
      <c r="A2534" s="54" t="str">
        <f>D2534&amp;E2534&amp;F2534</f>
        <v>FINANZASCOMBUSTIBLECONTABILIDAD</v>
      </c>
      <c r="B2534" t="s">
        <v>1560</v>
      </c>
      <c r="C2534" s="1">
        <v>45849</v>
      </c>
      <c r="D2534" s="71" t="s">
        <v>23</v>
      </c>
      <c r="E2534" s="71" t="s">
        <v>32</v>
      </c>
      <c r="F2534" s="70" t="s">
        <v>37</v>
      </c>
      <c r="G2534" s="71" t="s">
        <v>216</v>
      </c>
      <c r="J2534" s="71" t="s">
        <v>1609</v>
      </c>
      <c r="L2534" s="326">
        <v>1400</v>
      </c>
      <c r="M2534" s="136">
        <f t="shared" si="60"/>
        <v>-73149.82094666615</v>
      </c>
    </row>
    <row r="2535" spans="1:13">
      <c r="A2535" s="54" t="str">
        <f>D2535&amp;E2535&amp;F2535</f>
        <v>HRUBERHR</v>
      </c>
      <c r="B2535" t="s">
        <v>1560</v>
      </c>
      <c r="C2535" s="1">
        <v>45849</v>
      </c>
      <c r="D2535" s="71" t="s">
        <v>29</v>
      </c>
      <c r="E2535" s="71" t="s">
        <v>189</v>
      </c>
      <c r="F2535" s="70" t="s">
        <v>29</v>
      </c>
      <c r="G2535" s="71" t="s">
        <v>216</v>
      </c>
      <c r="J2535" s="76" t="s">
        <v>306</v>
      </c>
      <c r="L2535" s="526">
        <v>70</v>
      </c>
      <c r="M2535" s="136">
        <f t="shared" si="60"/>
        <v>-73219.82094666615</v>
      </c>
    </row>
    <row r="2536" spans="1:13">
      <c r="A2536" s="54" t="str">
        <f>D2536&amp;E2536&amp;F2536</f>
        <v>HRUBERHR</v>
      </c>
      <c r="B2536" t="s">
        <v>1560</v>
      </c>
      <c r="C2536" s="1">
        <v>45849</v>
      </c>
      <c r="D2536" s="71" t="s">
        <v>29</v>
      </c>
      <c r="E2536" s="71" t="s">
        <v>189</v>
      </c>
      <c r="F2536" s="70" t="s">
        <v>29</v>
      </c>
      <c r="G2536" s="71" t="s">
        <v>216</v>
      </c>
      <c r="J2536" s="76" t="s">
        <v>802</v>
      </c>
      <c r="L2536" s="526">
        <v>180</v>
      </c>
      <c r="M2536" s="136">
        <f t="shared" si="60"/>
        <v>-73399.82094666615</v>
      </c>
    </row>
    <row r="2537" spans="1:13">
      <c r="A2537" s="54" t="str">
        <f>D2537&amp;E2537&amp;F2537</f>
        <v>HRUBERHR</v>
      </c>
      <c r="B2537" t="s">
        <v>1560</v>
      </c>
      <c r="C2537" s="1">
        <v>45849</v>
      </c>
      <c r="D2537" s="71" t="s">
        <v>29</v>
      </c>
      <c r="E2537" s="71" t="s">
        <v>189</v>
      </c>
      <c r="F2537" s="70" t="s">
        <v>29</v>
      </c>
      <c r="G2537" s="71" t="s">
        <v>216</v>
      </c>
      <c r="J2537" s="76" t="s">
        <v>1610</v>
      </c>
      <c r="L2537" s="526">
        <v>120</v>
      </c>
      <c r="M2537" s="136">
        <f t="shared" si="60"/>
        <v>-73519.82094666615</v>
      </c>
    </row>
    <row r="2538" spans="1:13">
      <c r="A2538" s="54" t="str">
        <f>D2538&amp;E2538&amp;F2538</f>
        <v>CAPUBERCAP</v>
      </c>
      <c r="B2538" t="s">
        <v>1560</v>
      </c>
      <c r="C2538" s="1">
        <v>45849</v>
      </c>
      <c r="D2538" s="71" t="s">
        <v>31</v>
      </c>
      <c r="E2538" s="71" t="s">
        <v>189</v>
      </c>
      <c r="F2538" s="70" t="s">
        <v>31</v>
      </c>
      <c r="G2538" s="71" t="s">
        <v>216</v>
      </c>
      <c r="J2538" s="76" t="s">
        <v>1611</v>
      </c>
      <c r="L2538" s="526">
        <v>467</v>
      </c>
      <c r="M2538" s="136">
        <f t="shared" si="60"/>
        <v>-73986.82094666615</v>
      </c>
    </row>
    <row r="2539" spans="1:13">
      <c r="A2539" s="54" t="str">
        <f>D2539&amp;E2539&amp;F2539</f>
        <v>CAPUBERCAP</v>
      </c>
      <c r="B2539" t="s">
        <v>1560</v>
      </c>
      <c r="C2539" s="1">
        <v>45849</v>
      </c>
      <c r="D2539" s="71" t="s">
        <v>31</v>
      </c>
      <c r="E2539" s="71" t="s">
        <v>189</v>
      </c>
      <c r="F2539" s="70" t="s">
        <v>31</v>
      </c>
      <c r="G2539" s="71" t="s">
        <v>216</v>
      </c>
      <c r="J2539" s="76" t="s">
        <v>1480</v>
      </c>
      <c r="L2539" s="526">
        <v>200</v>
      </c>
      <c r="M2539" s="136">
        <f t="shared" si="60"/>
        <v>-74186.82094666615</v>
      </c>
    </row>
    <row r="2540" spans="1:13">
      <c r="A2540" s="54" t="str">
        <f>D2540&amp;E2540&amp;F2540</f>
        <v>FINANZASFALTANTESFALTANTES</v>
      </c>
      <c r="B2540" t="s">
        <v>1560</v>
      </c>
      <c r="C2540" s="1">
        <v>45849</v>
      </c>
      <c r="D2540" s="71" t="s">
        <v>23</v>
      </c>
      <c r="E2540" s="71" t="s">
        <v>119</v>
      </c>
      <c r="F2540" s="70" t="s">
        <v>119</v>
      </c>
      <c r="G2540" s="71" t="s">
        <v>216</v>
      </c>
      <c r="J2540" s="76" t="s">
        <v>1612</v>
      </c>
      <c r="L2540" s="331">
        <v>196</v>
      </c>
      <c r="M2540" s="136">
        <f t="shared" si="60"/>
        <v>-74382.82094666615</v>
      </c>
    </row>
    <row r="2541" spans="1:13">
      <c r="A2541" s="54" t="str">
        <f>D2541&amp;E2541&amp;F2541</f>
        <v>CAPUBERCAP</v>
      </c>
      <c r="B2541" t="s">
        <v>1560</v>
      </c>
      <c r="C2541" s="1">
        <v>45849</v>
      </c>
      <c r="D2541" s="71" t="s">
        <v>31</v>
      </c>
      <c r="E2541" s="71" t="s">
        <v>189</v>
      </c>
      <c r="F2541" s="70" t="s">
        <v>31</v>
      </c>
      <c r="G2541" s="71" t="s">
        <v>216</v>
      </c>
      <c r="J2541" s="76" t="s">
        <v>257</v>
      </c>
      <c r="L2541" s="526">
        <v>275</v>
      </c>
      <c r="M2541" s="136">
        <f t="shared" si="60"/>
        <v>-74657.82094666615</v>
      </c>
    </row>
    <row r="2542" spans="1:13">
      <c r="A2542" s="54" t="str">
        <f t="shared" si="61"/>
        <v/>
      </c>
      <c r="B2542" t="s">
        <v>1560</v>
      </c>
      <c r="C2542" s="1">
        <v>45852</v>
      </c>
      <c r="D2542" s="71"/>
      <c r="F2542" s="70"/>
      <c r="J2542" s="71" t="s">
        <v>260</v>
      </c>
      <c r="K2542" s="325">
        <v>904940.81</v>
      </c>
      <c r="L2542" s="354"/>
      <c r="M2542" s="136">
        <f t="shared" si="60"/>
        <v>830282.98905333388</v>
      </c>
    </row>
    <row r="2543" spans="1:13">
      <c r="A2543" s="54" t="str">
        <f>D2543&amp;E2543&amp;F2543</f>
        <v>FINANZASCOMISIONES BANCARIASTPV</v>
      </c>
      <c r="B2543" t="s">
        <v>1560</v>
      </c>
      <c r="C2543" s="1">
        <v>45852</v>
      </c>
      <c r="D2543" s="71" t="s">
        <v>23</v>
      </c>
      <c r="E2543" s="71" t="s">
        <v>48</v>
      </c>
      <c r="F2543" s="70" t="s">
        <v>50</v>
      </c>
      <c r="G2543" s="71" t="s">
        <v>216</v>
      </c>
      <c r="J2543" s="71" t="s">
        <v>217</v>
      </c>
      <c r="L2543" s="326">
        <f>839.25+1345.9+110.91+6626.49+5778.92+3233+3.48+20.88</f>
        <v>17958.830000000002</v>
      </c>
      <c r="M2543" s="136">
        <f t="shared" si="60"/>
        <v>812324.15905333392</v>
      </c>
    </row>
    <row r="2544" spans="1:13">
      <c r="A2544" s="54" t="str">
        <f t="shared" si="61"/>
        <v/>
      </c>
      <c r="B2544" t="s">
        <v>1560</v>
      </c>
      <c r="C2544" s="1">
        <v>45852</v>
      </c>
      <c r="D2544" s="71"/>
      <c r="F2544" s="70"/>
      <c r="G2544" s="71" t="s">
        <v>216</v>
      </c>
      <c r="H2544" s="83" t="s">
        <v>219</v>
      </c>
      <c r="J2544" s="205" t="s">
        <v>1562</v>
      </c>
      <c r="K2544" s="205"/>
      <c r="L2544" s="206">
        <v>200000</v>
      </c>
      <c r="M2544" s="136">
        <f t="shared" si="60"/>
        <v>612324.15905333392</v>
      </c>
    </row>
    <row r="2545" spans="1:13">
      <c r="A2545" s="54" t="str">
        <f t="shared" si="61"/>
        <v/>
      </c>
      <c r="B2545" t="s">
        <v>1560</v>
      </c>
      <c r="C2545" s="1">
        <v>45852</v>
      </c>
      <c r="D2545" s="71"/>
      <c r="F2545" s="70"/>
      <c r="H2545" s="83" t="s">
        <v>317</v>
      </c>
      <c r="J2545" s="205" t="s">
        <v>318</v>
      </c>
      <c r="K2545" s="205"/>
      <c r="L2545" s="206">
        <v>600000</v>
      </c>
      <c r="M2545" s="136">
        <f t="shared" si="60"/>
        <v>12324.159053333919</v>
      </c>
    </row>
    <row r="2546" spans="1:13">
      <c r="A2546" s="54" t="str">
        <f>D2546&amp;E2546&amp;F2546</f>
        <v>SERVICIOSMTTO DE EDIFICIOMANTENIMIENTO</v>
      </c>
      <c r="B2546" t="s">
        <v>1560</v>
      </c>
      <c r="C2546" s="1">
        <v>45852</v>
      </c>
      <c r="D2546" s="71" t="s">
        <v>21</v>
      </c>
      <c r="E2546" s="71" t="s">
        <v>142</v>
      </c>
      <c r="F2546" s="70" t="s">
        <v>35</v>
      </c>
      <c r="G2546" s="71" t="s">
        <v>216</v>
      </c>
      <c r="J2546" s="71" t="s">
        <v>1613</v>
      </c>
      <c r="L2546" s="326">
        <v>3600</v>
      </c>
      <c r="M2546" s="136">
        <f t="shared" si="60"/>
        <v>8724.1590533339186</v>
      </c>
    </row>
    <row r="2547" spans="1:13">
      <c r="A2547" s="54" t="str">
        <f>D2547&amp;E2547&amp;F2547</f>
        <v>SERVICIOSMTTO DE EDIFICIOMANTENIMIENTO</v>
      </c>
      <c r="B2547" t="s">
        <v>1560</v>
      </c>
      <c r="C2547" s="1">
        <v>45852</v>
      </c>
      <c r="D2547" s="71" t="s">
        <v>21</v>
      </c>
      <c r="E2547" s="71" t="s">
        <v>142</v>
      </c>
      <c r="F2547" s="70" t="s">
        <v>35</v>
      </c>
      <c r="G2547" s="71" t="s">
        <v>216</v>
      </c>
      <c r="J2547" s="71" t="s">
        <v>1614</v>
      </c>
      <c r="L2547" s="326">
        <v>1400</v>
      </c>
      <c r="M2547" s="136">
        <f>M2546+K2547-L2547</f>
        <v>7324.1590533339186</v>
      </c>
    </row>
    <row r="2548" spans="1:13">
      <c r="A2548" s="54" t="str">
        <f>D2548&amp;E2548&amp;F2548</f>
        <v>FINANZASFONDO Y REPOSICIONFINANZAS</v>
      </c>
      <c r="B2548" t="s">
        <v>1560</v>
      </c>
      <c r="C2548" s="1">
        <v>45852</v>
      </c>
      <c r="D2548" s="71" t="s">
        <v>23</v>
      </c>
      <c r="E2548" s="71" t="s">
        <v>120</v>
      </c>
      <c r="F2548" s="70" t="s">
        <v>23</v>
      </c>
      <c r="G2548" s="71" t="s">
        <v>216</v>
      </c>
      <c r="J2548" s="71" t="s">
        <v>1615</v>
      </c>
      <c r="L2548" s="326">
        <v>300</v>
      </c>
      <c r="M2548" s="136">
        <f>M2547+K2548-L2548</f>
        <v>7024.1590533339186</v>
      </c>
    </row>
    <row r="2549" spans="1:13">
      <c r="A2549" s="54" t="str">
        <f>D2549&amp;E2549&amp;F2549</f>
        <v>FINANZASFONDO Y REPOSICIONFINANZAS</v>
      </c>
      <c r="B2549" t="s">
        <v>1560</v>
      </c>
      <c r="C2549" s="1">
        <v>45852</v>
      </c>
      <c r="D2549" s="71" t="s">
        <v>23</v>
      </c>
      <c r="E2549" s="71" t="s">
        <v>120</v>
      </c>
      <c r="F2549" s="70" t="s">
        <v>23</v>
      </c>
      <c r="G2549" s="71" t="s">
        <v>216</v>
      </c>
      <c r="J2549" s="71" t="s">
        <v>1616</v>
      </c>
      <c r="L2549" s="326">
        <v>50</v>
      </c>
      <c r="M2549" s="136">
        <f>M2548+K2549-L2549</f>
        <v>6974.1590533339186</v>
      </c>
    </row>
    <row r="2550" spans="1:13">
      <c r="A2550" s="54" t="str">
        <f>D2550&amp;E2550&amp;F2550</f>
        <v>DEVIATICOSDIRECCION</v>
      </c>
      <c r="B2550" t="s">
        <v>1560</v>
      </c>
      <c r="C2550" s="1">
        <v>45852</v>
      </c>
      <c r="D2550" s="71" t="s">
        <v>41</v>
      </c>
      <c r="E2550" s="71" t="s">
        <v>191</v>
      </c>
      <c r="F2550" s="70" t="s">
        <v>42</v>
      </c>
      <c r="G2550" s="71" t="s">
        <v>216</v>
      </c>
      <c r="J2550" s="71" t="s">
        <v>1617</v>
      </c>
      <c r="L2550" s="326">
        <v>500</v>
      </c>
      <c r="M2550" s="136">
        <f>M2549+K2550-L2550</f>
        <v>6474.1590533339186</v>
      </c>
    </row>
    <row r="2551" spans="1:13">
      <c r="A2551" s="54" t="str">
        <f>D2551&amp;E2551&amp;F2551</f>
        <v>ELIVIATICOSL1</v>
      </c>
      <c r="B2551" t="s">
        <v>1560</v>
      </c>
      <c r="C2551" s="1">
        <v>45852</v>
      </c>
      <c r="D2551" s="71" t="s">
        <v>130</v>
      </c>
      <c r="E2551" s="71" t="s">
        <v>191</v>
      </c>
      <c r="F2551" s="70" t="s">
        <v>136</v>
      </c>
      <c r="G2551" s="71" t="s">
        <v>216</v>
      </c>
      <c r="J2551" s="71" t="s">
        <v>690</v>
      </c>
      <c r="L2551" s="326">
        <v>1000</v>
      </c>
      <c r="M2551" s="136">
        <f>M2550+K2551-L2551</f>
        <v>5474.1590533339186</v>
      </c>
    </row>
    <row r="2552" spans="1:13">
      <c r="A2552" s="54" t="str">
        <f>D2552&amp;E2552&amp;F2552</f>
        <v>SERVICIOSFONDO Y REPOSICIONSERVICIOS</v>
      </c>
      <c r="B2552" t="s">
        <v>1560</v>
      </c>
      <c r="C2552" s="1">
        <v>45852</v>
      </c>
      <c r="D2552" s="71" t="s">
        <v>21</v>
      </c>
      <c r="E2552" s="71" t="s">
        <v>120</v>
      </c>
      <c r="F2552" s="70" t="s">
        <v>21</v>
      </c>
      <c r="G2552" s="71" t="s">
        <v>216</v>
      </c>
      <c r="J2552" s="71" t="s">
        <v>710</v>
      </c>
      <c r="L2552" s="326">
        <v>2000</v>
      </c>
      <c r="M2552" s="136">
        <f>M2551+K2552-L2552</f>
        <v>3474.1590533339186</v>
      </c>
    </row>
    <row r="2553" spans="1:13">
      <c r="A2553" s="54" t="str">
        <f>D2553&amp;E2553&amp;F2553</f>
        <v>SERVICIOSVIATICOSCEDIS</v>
      </c>
      <c r="B2553" t="s">
        <v>1560</v>
      </c>
      <c r="C2553" s="1">
        <v>45852</v>
      </c>
      <c r="D2553" s="71" t="s">
        <v>21</v>
      </c>
      <c r="E2553" s="71" t="s">
        <v>191</v>
      </c>
      <c r="F2553" s="70" t="s">
        <v>28</v>
      </c>
      <c r="G2553" s="71" t="s">
        <v>216</v>
      </c>
      <c r="J2553" s="71" t="s">
        <v>1618</v>
      </c>
      <c r="L2553" s="326">
        <v>2050</v>
      </c>
      <c r="M2553" s="136">
        <f>M2552+K2553-L2553</f>
        <v>1424.1590533339186</v>
      </c>
    </row>
    <row r="2554" spans="1:13">
      <c r="A2554" s="54" t="str">
        <f>D2554&amp;E2554&amp;F2554</f>
        <v>HRPUBLICIDADBASEBALL</v>
      </c>
      <c r="B2554" t="s">
        <v>1560</v>
      </c>
      <c r="C2554" s="1">
        <v>45852</v>
      </c>
      <c r="D2554" s="71" t="s">
        <v>29</v>
      </c>
      <c r="E2554" s="71" t="s">
        <v>164</v>
      </c>
      <c r="F2554" s="70" t="s">
        <v>165</v>
      </c>
      <c r="G2554" s="71" t="s">
        <v>216</v>
      </c>
      <c r="J2554" s="71" t="s">
        <v>1619</v>
      </c>
      <c r="L2554" s="326">
        <v>1000</v>
      </c>
      <c r="M2554" s="136">
        <f t="shared" ref="M2554:M2618" si="62">M2553+K2554-L2554</f>
        <v>424.15905333391856</v>
      </c>
    </row>
    <row r="2555" spans="1:13">
      <c r="A2555" s="54" t="str">
        <f>D2555&amp;E2555&amp;F2555</f>
        <v>HRUBERHR</v>
      </c>
      <c r="B2555" t="s">
        <v>1560</v>
      </c>
      <c r="C2555" s="1">
        <v>45852</v>
      </c>
      <c r="D2555" s="71" t="s">
        <v>29</v>
      </c>
      <c r="E2555" s="71" t="s">
        <v>189</v>
      </c>
      <c r="F2555" s="70" t="s">
        <v>29</v>
      </c>
      <c r="G2555" s="71" t="s">
        <v>216</v>
      </c>
      <c r="J2555" s="76" t="s">
        <v>306</v>
      </c>
      <c r="L2555" s="528">
        <v>140</v>
      </c>
      <c r="M2555" s="136">
        <f t="shared" si="62"/>
        <v>284.15905333391856</v>
      </c>
    </row>
    <row r="2556" spans="1:13">
      <c r="A2556" s="54" t="str">
        <f>D2556&amp;E2556&amp;F2556</f>
        <v>HRNOMINA SUCURSALA8</v>
      </c>
      <c r="B2556" t="s">
        <v>1560</v>
      </c>
      <c r="C2556" s="1">
        <v>45852</v>
      </c>
      <c r="D2556" s="71" t="s">
        <v>29</v>
      </c>
      <c r="E2556" s="71" t="s">
        <v>154</v>
      </c>
      <c r="F2556" s="70" t="s">
        <v>94</v>
      </c>
      <c r="G2556" s="71" t="s">
        <v>216</v>
      </c>
      <c r="J2556" s="76" t="s">
        <v>1620</v>
      </c>
      <c r="L2556" s="326">
        <v>1500</v>
      </c>
      <c r="M2556" s="136">
        <f t="shared" si="62"/>
        <v>-1215.8409466660814</v>
      </c>
    </row>
    <row r="2557" spans="1:13">
      <c r="A2557" s="54" t="str">
        <f>D2557&amp;E2557&amp;F2557</f>
        <v>HRNOMINA SUCURSALA9</v>
      </c>
      <c r="B2557" t="s">
        <v>1560</v>
      </c>
      <c r="C2557" s="1">
        <v>45852</v>
      </c>
      <c r="D2557" s="71" t="s">
        <v>29</v>
      </c>
      <c r="E2557" s="71" t="s">
        <v>154</v>
      </c>
      <c r="F2557" s="70" t="s">
        <v>95</v>
      </c>
      <c r="G2557" s="71" t="s">
        <v>216</v>
      </c>
      <c r="J2557" s="76" t="s">
        <v>1621</v>
      </c>
      <c r="L2557" s="326">
        <v>554</v>
      </c>
      <c r="M2557" s="136">
        <f t="shared" si="62"/>
        <v>-1769.8409466660814</v>
      </c>
    </row>
    <row r="2558" spans="1:13">
      <c r="A2558" s="54" t="str">
        <f>D2558&amp;E2558&amp;F2558</f>
        <v>HRUBERHR</v>
      </c>
      <c r="B2558" t="s">
        <v>1560</v>
      </c>
      <c r="C2558" s="1">
        <v>45852</v>
      </c>
      <c r="D2558" s="71" t="s">
        <v>29</v>
      </c>
      <c r="E2558" s="71" t="s">
        <v>189</v>
      </c>
      <c r="F2558" s="70" t="s">
        <v>29</v>
      </c>
      <c r="G2558" s="71" t="s">
        <v>216</v>
      </c>
      <c r="J2558" s="76" t="s">
        <v>802</v>
      </c>
      <c r="L2558" s="528">
        <v>200</v>
      </c>
      <c r="M2558" s="136">
        <f t="shared" si="62"/>
        <v>-1969.8409466660814</v>
      </c>
    </row>
    <row r="2559" spans="1:13">
      <c r="A2559" s="54" t="str">
        <f>D2559&amp;E2559&amp;F2559</f>
        <v>CAPNOMINA SUCURSALE1</v>
      </c>
      <c r="B2559" t="s">
        <v>1560</v>
      </c>
      <c r="C2559" s="1">
        <v>45852</v>
      </c>
      <c r="D2559" s="71" t="s">
        <v>31</v>
      </c>
      <c r="E2559" s="71" t="s">
        <v>154</v>
      </c>
      <c r="F2559" s="70" t="s">
        <v>107</v>
      </c>
      <c r="G2559" s="71" t="s">
        <v>216</v>
      </c>
      <c r="J2559" s="76" t="s">
        <v>1227</v>
      </c>
      <c r="L2559" s="326">
        <v>1740</v>
      </c>
      <c r="M2559" s="136">
        <f t="shared" si="62"/>
        <v>-3709.8409466660814</v>
      </c>
    </row>
    <row r="2560" spans="1:13">
      <c r="A2560" s="54" t="str">
        <f>D2560&amp;E2560&amp;F2560</f>
        <v>CAPUBERCAP</v>
      </c>
      <c r="B2560" t="s">
        <v>1560</v>
      </c>
      <c r="C2560" s="1">
        <v>45852</v>
      </c>
      <c r="D2560" s="71" t="s">
        <v>31</v>
      </c>
      <c r="E2560" s="71" t="s">
        <v>189</v>
      </c>
      <c r="F2560" s="70" t="s">
        <v>31</v>
      </c>
      <c r="G2560" s="71" t="s">
        <v>216</v>
      </c>
      <c r="J2560" s="76" t="s">
        <v>253</v>
      </c>
      <c r="L2560" s="528">
        <v>1726</v>
      </c>
      <c r="M2560" s="136">
        <f t="shared" si="62"/>
        <v>-5435.8409466660814</v>
      </c>
    </row>
    <row r="2561" spans="1:13">
      <c r="A2561" s="54" t="str">
        <f>D2561&amp;E2561&amp;F2561</f>
        <v>CAPUBERCAP</v>
      </c>
      <c r="B2561" t="s">
        <v>1560</v>
      </c>
      <c r="C2561" s="1">
        <v>45852</v>
      </c>
      <c r="D2561" s="71" t="s">
        <v>31</v>
      </c>
      <c r="E2561" s="71" t="s">
        <v>189</v>
      </c>
      <c r="F2561" s="70" t="s">
        <v>31</v>
      </c>
      <c r="G2561" s="71" t="s">
        <v>216</v>
      </c>
      <c r="J2561" s="76" t="s">
        <v>257</v>
      </c>
      <c r="L2561" s="528">
        <v>445</v>
      </c>
      <c r="M2561" s="136">
        <f t="shared" si="62"/>
        <v>-5880.8409466660814</v>
      </c>
    </row>
    <row r="2562" spans="1:13">
      <c r="A2562" s="54" t="str">
        <f>D2562&amp;E2562&amp;F2562</f>
        <v>CAPNOMINA SUCURSALE5</v>
      </c>
      <c r="B2562" t="s">
        <v>1560</v>
      </c>
      <c r="C2562" s="1">
        <v>45852</v>
      </c>
      <c r="D2562" s="71" t="s">
        <v>31</v>
      </c>
      <c r="E2562" s="71" t="s">
        <v>154</v>
      </c>
      <c r="F2562" s="70" t="s">
        <v>111</v>
      </c>
      <c r="G2562" s="71" t="s">
        <v>216</v>
      </c>
      <c r="J2562" s="76" t="s">
        <v>314</v>
      </c>
      <c r="L2562" s="326">
        <v>1377</v>
      </c>
      <c r="M2562" s="136">
        <f t="shared" si="62"/>
        <v>-7257.8409466660814</v>
      </c>
    </row>
    <row r="2563" spans="1:13">
      <c r="A2563" s="54" t="str">
        <f>D2563&amp;E2563&amp;F2563</f>
        <v>CAPNOMINA SUCURSALE7</v>
      </c>
      <c r="B2563" t="s">
        <v>1560</v>
      </c>
      <c r="C2563" s="1">
        <v>45852</v>
      </c>
      <c r="D2563" s="71" t="s">
        <v>31</v>
      </c>
      <c r="E2563" s="71" t="s">
        <v>154</v>
      </c>
      <c r="F2563" s="70" t="s">
        <v>113</v>
      </c>
      <c r="G2563" s="71" t="s">
        <v>216</v>
      </c>
      <c r="J2563" s="76" t="s">
        <v>1229</v>
      </c>
      <c r="L2563" s="326">
        <v>2030</v>
      </c>
      <c r="M2563" s="136">
        <f t="shared" si="62"/>
        <v>-9287.8409466660814</v>
      </c>
    </row>
    <row r="2564" spans="1:13">
      <c r="A2564" s="54" t="str">
        <f>D2564&amp;E2564&amp;F2564</f>
        <v>CAPNOMINA SUCURSALE8</v>
      </c>
      <c r="B2564" t="s">
        <v>1560</v>
      </c>
      <c r="C2564" s="1">
        <v>45852</v>
      </c>
      <c r="D2564" s="71" t="s">
        <v>31</v>
      </c>
      <c r="E2564" s="71" t="s">
        <v>154</v>
      </c>
      <c r="F2564" s="70" t="s">
        <v>114</v>
      </c>
      <c r="G2564" s="71" t="s">
        <v>216</v>
      </c>
      <c r="J2564" s="76" t="s">
        <v>1461</v>
      </c>
      <c r="L2564" s="326">
        <v>2987</v>
      </c>
      <c r="M2564" s="136">
        <f t="shared" si="62"/>
        <v>-12274.840946666081</v>
      </c>
    </row>
    <row r="2565" spans="1:13">
      <c r="A2565" s="54" t="str">
        <f>D2565&amp;E2565&amp;F2565</f>
        <v>CAPUBERCAP</v>
      </c>
      <c r="B2565" t="s">
        <v>1560</v>
      </c>
      <c r="C2565" s="1">
        <v>45852</v>
      </c>
      <c r="D2565" s="71" t="s">
        <v>31</v>
      </c>
      <c r="E2565" s="71" t="s">
        <v>189</v>
      </c>
      <c r="F2565" s="70" t="s">
        <v>31</v>
      </c>
      <c r="G2565" s="71" t="s">
        <v>216</v>
      </c>
      <c r="J2565" s="76" t="s">
        <v>951</v>
      </c>
      <c r="L2565" s="528">
        <v>1000</v>
      </c>
      <c r="M2565" s="136">
        <f t="shared" si="62"/>
        <v>-13274.840946666081</v>
      </c>
    </row>
    <row r="2566" spans="1:13">
      <c r="A2566" s="54" t="str">
        <f t="shared" si="61"/>
        <v/>
      </c>
      <c r="B2566" t="s">
        <v>1560</v>
      </c>
      <c r="C2566" s="1">
        <v>45853</v>
      </c>
      <c r="D2566" s="71"/>
      <c r="F2566" s="70"/>
      <c r="J2566" s="71" t="s">
        <v>260</v>
      </c>
      <c r="K2566" s="325">
        <v>213261.14</v>
      </c>
      <c r="L2566" s="354"/>
      <c r="M2566" s="136">
        <f t="shared" si="62"/>
        <v>199986.29905333393</v>
      </c>
    </row>
    <row r="2567" spans="1:13">
      <c r="A2567" s="54" t="str">
        <f>D2567&amp;E2567&amp;F2567</f>
        <v>FINANZASCOMISIONES BANCARIASTPV</v>
      </c>
      <c r="B2567" t="s">
        <v>1560</v>
      </c>
      <c r="C2567" s="1">
        <v>45853</v>
      </c>
      <c r="D2567" s="71" t="s">
        <v>23</v>
      </c>
      <c r="E2567" s="71" t="s">
        <v>48</v>
      </c>
      <c r="F2567" s="70" t="s">
        <v>50</v>
      </c>
      <c r="G2567" s="71" t="s">
        <v>216</v>
      </c>
      <c r="J2567" s="71" t="s">
        <v>217</v>
      </c>
      <c r="L2567" s="376">
        <f>187.58+150.18+1637.29+1133.6+774+10.44</f>
        <v>3893.0899999999997</v>
      </c>
      <c r="M2567" s="136">
        <f t="shared" si="62"/>
        <v>196093.20905333394</v>
      </c>
    </row>
    <row r="2568" spans="1:13">
      <c r="A2568" s="54" t="str">
        <f t="shared" si="61"/>
        <v/>
      </c>
      <c r="B2568" t="s">
        <v>1560</v>
      </c>
      <c r="C2568" s="1">
        <v>45853</v>
      </c>
      <c r="D2568" s="71"/>
      <c r="F2568" s="70"/>
      <c r="G2568" s="71" t="s">
        <v>216</v>
      </c>
      <c r="H2568" s="83" t="s">
        <v>219</v>
      </c>
      <c r="J2568" s="205" t="s">
        <v>1562</v>
      </c>
      <c r="K2568" s="205"/>
      <c r="L2568" s="206">
        <v>100000</v>
      </c>
      <c r="M2568" s="136">
        <f t="shared" si="62"/>
        <v>96093.209053333936</v>
      </c>
    </row>
    <row r="2569" spans="1:13">
      <c r="A2569" s="54" t="str">
        <f t="shared" si="61"/>
        <v/>
      </c>
      <c r="B2569" t="s">
        <v>1560</v>
      </c>
      <c r="C2569" s="1">
        <v>45853</v>
      </c>
      <c r="D2569" s="71"/>
      <c r="F2569" s="70"/>
      <c r="H2569" s="83" t="s">
        <v>317</v>
      </c>
      <c r="J2569" s="205" t="s">
        <v>318</v>
      </c>
      <c r="K2569" s="205"/>
      <c r="L2569" s="206">
        <v>100000</v>
      </c>
      <c r="M2569" s="136">
        <f t="shared" si="62"/>
        <v>-3906.790946666064</v>
      </c>
    </row>
    <row r="2570" spans="1:13">
      <c r="A2570" s="54" t="str">
        <f>D2570&amp;E2570&amp;F2570</f>
        <v>SERVICIOSALARMACEDIS</v>
      </c>
      <c r="B2570" t="s">
        <v>1560</v>
      </c>
      <c r="C2570" s="1">
        <v>45853</v>
      </c>
      <c r="D2570" s="71" t="s">
        <v>21</v>
      </c>
      <c r="E2570" s="71" t="s">
        <v>25</v>
      </c>
      <c r="F2570" s="70" t="s">
        <v>28</v>
      </c>
      <c r="G2570" s="71" t="s">
        <v>216</v>
      </c>
      <c r="J2570" s="71" t="s">
        <v>1622</v>
      </c>
      <c r="L2570" s="326">
        <v>1120</v>
      </c>
      <c r="M2570" s="136">
        <f t="shared" si="62"/>
        <v>-5026.790946666064</v>
      </c>
    </row>
    <row r="2571" spans="1:13">
      <c r="A2571" s="54" t="str">
        <f>D2571&amp;E2571&amp;F2571</f>
        <v>HRFONDO Y REPOSICIONHR</v>
      </c>
      <c r="B2571" t="s">
        <v>1560</v>
      </c>
      <c r="C2571" s="1">
        <v>45853</v>
      </c>
      <c r="D2571" s="71" t="s">
        <v>29</v>
      </c>
      <c r="E2571" s="71" t="s">
        <v>120</v>
      </c>
      <c r="F2571" s="70" t="s">
        <v>29</v>
      </c>
      <c r="G2571" s="71" t="s">
        <v>216</v>
      </c>
      <c r="J2571" s="71" t="s">
        <v>1623</v>
      </c>
      <c r="L2571" s="326">
        <v>4000</v>
      </c>
      <c r="M2571" s="136">
        <f t="shared" si="62"/>
        <v>-9026.790946666064</v>
      </c>
    </row>
    <row r="2572" spans="1:13">
      <c r="A2572" s="54" t="str">
        <f>D2572&amp;E2572&amp;F2572</f>
        <v>HRFONDO Y REPOSICIONHR</v>
      </c>
      <c r="B2572" t="s">
        <v>1560</v>
      </c>
      <c r="C2572" s="1">
        <v>45853</v>
      </c>
      <c r="D2572" s="71" t="s">
        <v>29</v>
      </c>
      <c r="E2572" s="71" t="s">
        <v>120</v>
      </c>
      <c r="F2572" s="70" t="s">
        <v>29</v>
      </c>
      <c r="G2572" s="71" t="s">
        <v>216</v>
      </c>
      <c r="J2572" s="71" t="s">
        <v>1624</v>
      </c>
      <c r="L2572" s="326">
        <v>3500</v>
      </c>
      <c r="M2572" s="136">
        <f t="shared" si="62"/>
        <v>-12526.790946666064</v>
      </c>
    </row>
    <row r="2573" spans="1:13">
      <c r="A2573" s="54" t="str">
        <f>D2573&amp;E2573&amp;F2573</f>
        <v>HRFONDO Y REPOSICIONHR</v>
      </c>
      <c r="B2573" t="s">
        <v>1560</v>
      </c>
      <c r="C2573" s="1">
        <v>45853</v>
      </c>
      <c r="D2573" s="71" t="s">
        <v>29</v>
      </c>
      <c r="E2573" s="71" t="s">
        <v>120</v>
      </c>
      <c r="F2573" s="70" t="s">
        <v>29</v>
      </c>
      <c r="G2573" s="71" t="s">
        <v>216</v>
      </c>
      <c r="J2573" s="71" t="s">
        <v>1625</v>
      </c>
      <c r="L2573" s="326">
        <v>1500</v>
      </c>
      <c r="M2573" s="136">
        <f t="shared" si="62"/>
        <v>-14026.790946666064</v>
      </c>
    </row>
    <row r="2574" spans="1:13">
      <c r="A2574" s="54" t="str">
        <f>D2574&amp;E2574&amp;F2574</f>
        <v>CAPFONDO Y REPOSICIONCAPRICHOS</v>
      </c>
      <c r="B2574" t="s">
        <v>1560</v>
      </c>
      <c r="C2574" s="1">
        <v>45853</v>
      </c>
      <c r="D2574" s="71" t="s">
        <v>31</v>
      </c>
      <c r="E2574" s="71" t="s">
        <v>120</v>
      </c>
      <c r="F2574" s="70" t="s">
        <v>33</v>
      </c>
      <c r="G2574" s="71" t="s">
        <v>216</v>
      </c>
      <c r="J2574" s="71" t="s">
        <v>1626</v>
      </c>
      <c r="L2574" s="326">
        <v>1783</v>
      </c>
      <c r="M2574" s="136">
        <f t="shared" si="62"/>
        <v>-15809.790946666064</v>
      </c>
    </row>
    <row r="2575" spans="1:13">
      <c r="A2575" s="54" t="str">
        <f>D2575&amp;E2575&amp;F2575</f>
        <v>CAPFONDO Y REPOSICIONCAPRICHOS</v>
      </c>
      <c r="B2575" t="s">
        <v>1560</v>
      </c>
      <c r="C2575" s="1">
        <v>45853</v>
      </c>
      <c r="D2575" s="71" t="s">
        <v>31</v>
      </c>
      <c r="E2575" s="71" t="s">
        <v>120</v>
      </c>
      <c r="F2575" s="70" t="s">
        <v>33</v>
      </c>
      <c r="G2575" s="71" t="s">
        <v>216</v>
      </c>
      <c r="J2575" s="71" t="s">
        <v>1627</v>
      </c>
      <c r="L2575" s="326">
        <v>1634</v>
      </c>
      <c r="M2575" s="136">
        <f t="shared" si="62"/>
        <v>-17443.790946666064</v>
      </c>
    </row>
    <row r="2576" spans="1:13">
      <c r="A2576" s="54" t="str">
        <f>D2576&amp;E2576&amp;F2576</f>
        <v>SERVICIOSMTTO DE EDIFICIOMANTENIMIENTO</v>
      </c>
      <c r="B2576" t="s">
        <v>1560</v>
      </c>
      <c r="C2576" s="1">
        <v>45853</v>
      </c>
      <c r="D2576" s="71" t="s">
        <v>21</v>
      </c>
      <c r="E2576" s="71" t="s">
        <v>142</v>
      </c>
      <c r="F2576" s="70" t="s">
        <v>35</v>
      </c>
      <c r="G2576" s="71" t="s">
        <v>216</v>
      </c>
      <c r="J2576" s="71" t="s">
        <v>1628</v>
      </c>
      <c r="L2576" s="326">
        <v>5900</v>
      </c>
      <c r="M2576" s="136">
        <f t="shared" si="62"/>
        <v>-23343.790946666064</v>
      </c>
    </row>
    <row r="2577" spans="1:13">
      <c r="A2577" s="54" t="str">
        <f>D2577&amp;E2577&amp;F2577</f>
        <v>FINANZASCUOTAS Y SUSCRIPCIONESTRAMITES</v>
      </c>
      <c r="B2577" t="s">
        <v>1560</v>
      </c>
      <c r="C2577" s="1">
        <v>45853</v>
      </c>
      <c r="D2577" s="71" t="s">
        <v>23</v>
      </c>
      <c r="E2577" s="71" t="s">
        <v>51</v>
      </c>
      <c r="F2577" s="71" t="s">
        <v>81</v>
      </c>
      <c r="J2577" s="71" t="s">
        <v>1629</v>
      </c>
      <c r="L2577" s="326">
        <v>3500</v>
      </c>
      <c r="M2577" s="136">
        <f t="shared" si="62"/>
        <v>-26843.790946666064</v>
      </c>
    </row>
    <row r="2578" spans="1:13">
      <c r="A2578" s="54" t="str">
        <f>D2578&amp;E2578&amp;F2578</f>
        <v>HRUBERHR</v>
      </c>
      <c r="B2578" t="s">
        <v>1560</v>
      </c>
      <c r="C2578" s="1">
        <v>45853</v>
      </c>
      <c r="D2578" s="71" t="s">
        <v>29</v>
      </c>
      <c r="E2578" s="71" t="s">
        <v>189</v>
      </c>
      <c r="F2578" s="70" t="s">
        <v>29</v>
      </c>
      <c r="J2578" s="76" t="s">
        <v>306</v>
      </c>
      <c r="L2578" s="526">
        <v>70</v>
      </c>
      <c r="M2578" s="136">
        <f t="shared" si="62"/>
        <v>-26913.790946666064</v>
      </c>
    </row>
    <row r="2579" spans="1:13">
      <c r="A2579" s="54" t="str">
        <f>D2579&amp;E2579&amp;F2579</f>
        <v>SERVICIOSMTTO DE EDIFICIOMANTENIMIENTO</v>
      </c>
      <c r="B2579" t="s">
        <v>1560</v>
      </c>
      <c r="C2579" s="1">
        <v>45853</v>
      </c>
      <c r="D2579" s="71" t="s">
        <v>21</v>
      </c>
      <c r="E2579" s="71" t="s">
        <v>142</v>
      </c>
      <c r="F2579" s="70" t="s">
        <v>35</v>
      </c>
      <c r="J2579" s="76" t="s">
        <v>1630</v>
      </c>
      <c r="L2579" s="331">
        <v>100</v>
      </c>
      <c r="M2579" s="136">
        <f t="shared" si="62"/>
        <v>-27013.790946666064</v>
      </c>
    </row>
    <row r="2580" spans="1:13">
      <c r="A2580" s="54" t="str">
        <f>D2580&amp;E2580&amp;F2580</f>
        <v>HRUBERHR</v>
      </c>
      <c r="B2580" t="s">
        <v>1560</v>
      </c>
      <c r="C2580" s="1">
        <v>45853</v>
      </c>
      <c r="D2580" s="71" t="s">
        <v>29</v>
      </c>
      <c r="E2580" s="71" t="s">
        <v>189</v>
      </c>
      <c r="F2580" s="70" t="s">
        <v>29</v>
      </c>
      <c r="J2580" s="76" t="s">
        <v>308</v>
      </c>
      <c r="L2580" s="526">
        <v>65</v>
      </c>
      <c r="M2580" s="136">
        <f t="shared" si="62"/>
        <v>-27078.790946666064</v>
      </c>
    </row>
    <row r="2581" spans="1:13">
      <c r="A2581" s="54" t="str">
        <f>D2581&amp;E2581&amp;F2581</f>
        <v>HRNOMINA SUCURSALA10</v>
      </c>
      <c r="B2581" t="s">
        <v>1560</v>
      </c>
      <c r="C2581" s="1">
        <v>45853</v>
      </c>
      <c r="D2581" s="71" t="s">
        <v>29</v>
      </c>
      <c r="E2581" s="71" t="s">
        <v>154</v>
      </c>
      <c r="F2581" s="70" t="s">
        <v>96</v>
      </c>
      <c r="J2581" s="76" t="s">
        <v>248</v>
      </c>
      <c r="L2581" s="331">
        <v>180</v>
      </c>
      <c r="M2581" s="136">
        <f t="shared" si="62"/>
        <v>-27258.790946666064</v>
      </c>
    </row>
    <row r="2582" spans="1:13">
      <c r="A2582" s="54" t="str">
        <f>D2582&amp;E2582&amp;F2582</f>
        <v>HRINSUMOSHR</v>
      </c>
      <c r="B2582" t="s">
        <v>1560</v>
      </c>
      <c r="C2582" s="1">
        <v>45853</v>
      </c>
      <c r="D2582" s="71" t="s">
        <v>29</v>
      </c>
      <c r="E2582" s="71" t="s">
        <v>133</v>
      </c>
      <c r="F2582" s="70" t="s">
        <v>29</v>
      </c>
      <c r="J2582" s="76" t="s">
        <v>638</v>
      </c>
      <c r="L2582" s="331">
        <v>64</v>
      </c>
      <c r="M2582" s="136">
        <f t="shared" si="62"/>
        <v>-27322.790946666064</v>
      </c>
    </row>
    <row r="2583" spans="1:13">
      <c r="A2583" s="54" t="str">
        <f>D2583&amp;E2583&amp;F2583</f>
        <v>FINANZASRECOLECCION DE BASURAHR</v>
      </c>
      <c r="B2583" t="s">
        <v>1560</v>
      </c>
      <c r="C2583" s="1">
        <v>45853</v>
      </c>
      <c r="D2583" s="71" t="s">
        <v>23</v>
      </c>
      <c r="E2583" s="71" t="s">
        <v>166</v>
      </c>
      <c r="F2583" s="70" t="s">
        <v>29</v>
      </c>
      <c r="J2583" s="76" t="s">
        <v>1631</v>
      </c>
      <c r="L2583" s="331">
        <v>459</v>
      </c>
      <c r="M2583" s="136">
        <f t="shared" si="62"/>
        <v>-27781.790946666064</v>
      </c>
    </row>
    <row r="2584" spans="1:13">
      <c r="A2584" s="54" t="str">
        <f>D2584&amp;E2584&amp;F2584</f>
        <v>HRUBERHR</v>
      </c>
      <c r="B2584" t="s">
        <v>1560</v>
      </c>
      <c r="C2584" s="1">
        <v>45853</v>
      </c>
      <c r="D2584" s="71" t="s">
        <v>29</v>
      </c>
      <c r="E2584" s="71" t="s">
        <v>189</v>
      </c>
      <c r="F2584" s="70" t="s">
        <v>29</v>
      </c>
      <c r="J2584" s="76" t="s">
        <v>249</v>
      </c>
      <c r="L2584" s="526">
        <v>254</v>
      </c>
      <c r="M2584" s="136">
        <f t="shared" si="62"/>
        <v>-28035.790946666064</v>
      </c>
    </row>
    <row r="2585" spans="1:13">
      <c r="A2585" s="54" t="str">
        <f>D2585&amp;E2585&amp;F2585</f>
        <v>CAPUBERCAP</v>
      </c>
      <c r="B2585" t="s">
        <v>1560</v>
      </c>
      <c r="C2585" s="1">
        <v>45853</v>
      </c>
      <c r="D2585" s="71" t="s">
        <v>31</v>
      </c>
      <c r="E2585" s="71" t="s">
        <v>189</v>
      </c>
      <c r="F2585" s="70" t="s">
        <v>31</v>
      </c>
      <c r="J2585" s="76" t="s">
        <v>253</v>
      </c>
      <c r="L2585" s="526">
        <v>190</v>
      </c>
      <c r="M2585" s="136">
        <f t="shared" si="62"/>
        <v>-28225.790946666064</v>
      </c>
    </row>
    <row r="2586" spans="1:13">
      <c r="A2586" s="54" t="str">
        <f>D2586&amp;E2586&amp;F2586</f>
        <v>CAPUBERCAP</v>
      </c>
      <c r="B2586" t="s">
        <v>1560</v>
      </c>
      <c r="C2586" s="1">
        <v>45853</v>
      </c>
      <c r="D2586" s="71" t="s">
        <v>31</v>
      </c>
      <c r="E2586" s="71" t="s">
        <v>189</v>
      </c>
      <c r="F2586" s="70" t="s">
        <v>31</v>
      </c>
      <c r="J2586" s="76" t="s">
        <v>1632</v>
      </c>
      <c r="L2586" s="526">
        <v>270</v>
      </c>
      <c r="M2586" s="136">
        <f t="shared" si="62"/>
        <v>-28495.790946666064</v>
      </c>
    </row>
    <row r="2587" spans="1:13">
      <c r="A2587" s="54" t="str">
        <f t="shared" ref="A2573:A2637" si="63">D2587&amp;E2587&amp;F2587</f>
        <v/>
      </c>
      <c r="B2587" t="s">
        <v>1560</v>
      </c>
      <c r="C2587" s="1">
        <v>45854</v>
      </c>
      <c r="D2587" s="71"/>
      <c r="F2587" s="70"/>
      <c r="J2587" s="71" t="s">
        <v>260</v>
      </c>
      <c r="K2587" s="325">
        <v>236161.31</v>
      </c>
      <c r="L2587" s="354"/>
      <c r="M2587" s="136">
        <f t="shared" si="62"/>
        <v>207665.51905333393</v>
      </c>
    </row>
    <row r="2588" spans="1:13">
      <c r="A2588" s="54" t="str">
        <f t="shared" si="63"/>
        <v/>
      </c>
      <c r="B2588" t="s">
        <v>1560</v>
      </c>
      <c r="C2588" s="1">
        <v>45854</v>
      </c>
      <c r="D2588" s="71"/>
      <c r="F2588" s="70"/>
      <c r="J2588" s="71" t="s">
        <v>1633</v>
      </c>
      <c r="K2588" s="325">
        <v>500000</v>
      </c>
      <c r="L2588" s="354"/>
      <c r="M2588" s="136">
        <f t="shared" si="62"/>
        <v>707665.5190533339</v>
      </c>
    </row>
    <row r="2589" spans="1:13">
      <c r="A2589" s="54" t="str">
        <f>D2589&amp;E2589&amp;F2589</f>
        <v>FINANZASCOMISIONES BANCARIASTPV</v>
      </c>
      <c r="B2589" t="s">
        <v>1560</v>
      </c>
      <c r="C2589" s="1">
        <v>45854</v>
      </c>
      <c r="D2589" s="71" t="s">
        <v>23</v>
      </c>
      <c r="E2589" s="71" t="s">
        <v>48</v>
      </c>
      <c r="F2589" s="70" t="s">
        <v>50</v>
      </c>
      <c r="J2589" s="71" t="s">
        <v>217</v>
      </c>
      <c r="L2589" s="326">
        <f>45+461.32+144.223+1712.29+1489.58+1049.09+3.48+13.92</f>
        <v>4918.9029999999993</v>
      </c>
      <c r="M2589" s="136">
        <f t="shared" si="62"/>
        <v>702746.61605333386</v>
      </c>
    </row>
    <row r="2590" spans="1:13">
      <c r="A2590" s="54" t="str">
        <f t="shared" si="63"/>
        <v/>
      </c>
      <c r="B2590" t="s">
        <v>1560</v>
      </c>
      <c r="C2590" s="1">
        <v>45854</v>
      </c>
      <c r="D2590" s="71"/>
      <c r="F2590" s="70"/>
      <c r="H2590" s="83" t="s">
        <v>219</v>
      </c>
      <c r="J2590" s="205" t="s">
        <v>1562</v>
      </c>
      <c r="K2590" s="205"/>
      <c r="L2590" s="206">
        <v>150000</v>
      </c>
      <c r="M2590" s="136">
        <f t="shared" si="62"/>
        <v>552746.61605333386</v>
      </c>
    </row>
    <row r="2591" spans="1:13">
      <c r="A2591" s="54" t="str">
        <f t="shared" si="63"/>
        <v/>
      </c>
      <c r="B2591" t="s">
        <v>1560</v>
      </c>
      <c r="C2591" s="1">
        <v>45854</v>
      </c>
      <c r="D2591" s="71"/>
      <c r="F2591" s="70"/>
      <c r="H2591" s="83" t="s">
        <v>317</v>
      </c>
      <c r="J2591" s="205" t="s">
        <v>318</v>
      </c>
      <c r="K2591" s="205"/>
      <c r="L2591" s="206">
        <v>342000</v>
      </c>
      <c r="M2591" s="136">
        <f t="shared" si="62"/>
        <v>210746.61605333386</v>
      </c>
    </row>
    <row r="2592" spans="1:13">
      <c r="A2592" s="54" t="str">
        <f t="shared" si="63"/>
        <v/>
      </c>
      <c r="B2592" t="s">
        <v>1560</v>
      </c>
      <c r="C2592" s="1">
        <v>45854</v>
      </c>
      <c r="D2592" s="71"/>
      <c r="F2592" s="70"/>
      <c r="H2592" s="83" t="s">
        <v>221</v>
      </c>
      <c r="J2592" s="205" t="s">
        <v>222</v>
      </c>
      <c r="K2592" s="205"/>
      <c r="L2592" s="206">
        <v>200000</v>
      </c>
      <c r="M2592" s="136">
        <f t="shared" si="62"/>
        <v>10746.616053333855</v>
      </c>
    </row>
    <row r="2593" spans="1:13">
      <c r="A2593" s="54" t="str">
        <f>D2593&amp;E2593&amp;F2593</f>
        <v>FINANZASCUOTAS Y SUSCRIPCIONESTRAMITES</v>
      </c>
      <c r="B2593" t="s">
        <v>1560</v>
      </c>
      <c r="C2593" s="1">
        <v>45854</v>
      </c>
      <c r="D2593" t="s">
        <v>23</v>
      </c>
      <c r="E2593" t="s">
        <v>51</v>
      </c>
      <c r="F2593" s="70" t="s">
        <v>81</v>
      </c>
      <c r="G2593" s="71" t="s">
        <v>258</v>
      </c>
      <c r="J2593" s="71" t="s">
        <v>1634</v>
      </c>
      <c r="L2593" s="326">
        <v>6500</v>
      </c>
      <c r="M2593" s="136">
        <f t="shared" si="62"/>
        <v>4246.6160533338552</v>
      </c>
    </row>
    <row r="2594" spans="1:13">
      <c r="A2594" s="54" t="str">
        <f>D2594&amp;E2594&amp;F2594</f>
        <v>FINANZASRECOLECCION DE BASURACEDIS</v>
      </c>
      <c r="B2594" t="s">
        <v>1560</v>
      </c>
      <c r="C2594" s="1">
        <v>45854</v>
      </c>
      <c r="D2594" s="71" t="s">
        <v>23</v>
      </c>
      <c r="E2594" s="71" t="s">
        <v>166</v>
      </c>
      <c r="F2594" s="71" t="s">
        <v>28</v>
      </c>
      <c r="G2594" s="71" t="s">
        <v>216</v>
      </c>
      <c r="J2594" s="71" t="s">
        <v>1635</v>
      </c>
      <c r="L2594" s="326">
        <v>2919.72</v>
      </c>
      <c r="M2594" s="136">
        <f t="shared" si="62"/>
        <v>1326.8960533338554</v>
      </c>
    </row>
    <row r="2595" spans="1:13">
      <c r="A2595" s="54" t="str">
        <f>D2595&amp;E2595&amp;F2595</f>
        <v>FINANZASCUOTAS Y SUSCRIPCIONESTRAMITES</v>
      </c>
      <c r="B2595" t="s">
        <v>1560</v>
      </c>
      <c r="C2595" s="1">
        <v>45854</v>
      </c>
      <c r="D2595" s="71" t="s">
        <v>23</v>
      </c>
      <c r="E2595" s="71" t="s">
        <v>51</v>
      </c>
      <c r="F2595" s="71" t="s">
        <v>81</v>
      </c>
      <c r="G2595" s="71" t="s">
        <v>258</v>
      </c>
      <c r="J2595" s="71" t="s">
        <v>1636</v>
      </c>
      <c r="L2595" s="326">
        <f>5720+5720+9030</f>
        <v>20470</v>
      </c>
      <c r="M2595" s="136">
        <f t="shared" si="62"/>
        <v>-19143.103946666146</v>
      </c>
    </row>
    <row r="2596" spans="1:13">
      <c r="A2596" s="54" t="str">
        <f>D2596&amp;E2596&amp;F2596</f>
        <v>CAPVIATICOSCAPRICHOS</v>
      </c>
      <c r="B2596" t="s">
        <v>1560</v>
      </c>
      <c r="C2596" s="1">
        <v>45854</v>
      </c>
      <c r="D2596" s="71" t="s">
        <v>31</v>
      </c>
      <c r="E2596" s="71" t="s">
        <v>191</v>
      </c>
      <c r="F2596" s="71" t="s">
        <v>33</v>
      </c>
      <c r="G2596" s="71" t="s">
        <v>258</v>
      </c>
      <c r="J2596" s="71" t="s">
        <v>1637</v>
      </c>
      <c r="L2596" s="326">
        <v>11500</v>
      </c>
      <c r="M2596" s="136">
        <f t="shared" si="62"/>
        <v>-30643.103946666146</v>
      </c>
    </row>
    <row r="2597" spans="1:13">
      <c r="A2597" s="54" t="str">
        <f>D2597&amp;E2597&amp;F2597</f>
        <v>FINANZASTELEPEAJEFINANZAS</v>
      </c>
      <c r="B2597" t="s">
        <v>1560</v>
      </c>
      <c r="C2597" s="1">
        <v>45854</v>
      </c>
      <c r="D2597" s="71" t="s">
        <v>23</v>
      </c>
      <c r="E2597" s="71" t="s">
        <v>186</v>
      </c>
      <c r="F2597" s="71" t="s">
        <v>23</v>
      </c>
      <c r="G2597" s="71" t="s">
        <v>216</v>
      </c>
      <c r="J2597" s="71" t="s">
        <v>1638</v>
      </c>
      <c r="L2597" s="326">
        <v>658</v>
      </c>
      <c r="M2597" s="136">
        <f t="shared" si="62"/>
        <v>-31301.103946666146</v>
      </c>
    </row>
    <row r="2598" spans="1:13">
      <c r="A2598" s="54" t="str">
        <f>D2598&amp;E2598&amp;F2598</f>
        <v>HRTELEPEAJEOP HR</v>
      </c>
      <c r="B2598" t="s">
        <v>1560</v>
      </c>
      <c r="C2598" s="1">
        <v>45854</v>
      </c>
      <c r="D2598" s="71" t="s">
        <v>29</v>
      </c>
      <c r="E2598" s="71" t="s">
        <v>186</v>
      </c>
      <c r="F2598" s="71" t="s">
        <v>187</v>
      </c>
      <c r="G2598" s="71" t="s">
        <v>216</v>
      </c>
      <c r="J2598" s="71" t="s">
        <v>1639</v>
      </c>
      <c r="L2598" s="326">
        <v>294</v>
      </c>
      <c r="M2598" s="136">
        <f t="shared" si="62"/>
        <v>-31595.103946666146</v>
      </c>
    </row>
    <row r="2599" spans="1:13">
      <c r="A2599" s="54" t="str">
        <f>D2599&amp;E2599&amp;F2599</f>
        <v>SERVICIOSTELEPEAJECEDIS</v>
      </c>
      <c r="B2599" t="s">
        <v>1560</v>
      </c>
      <c r="C2599" s="1">
        <v>45854</v>
      </c>
      <c r="D2599" s="71" t="s">
        <v>21</v>
      </c>
      <c r="E2599" s="71" t="s">
        <v>186</v>
      </c>
      <c r="F2599" s="71" t="s">
        <v>28</v>
      </c>
      <c r="G2599" s="71" t="s">
        <v>216</v>
      </c>
      <c r="J2599" s="71" t="s">
        <v>238</v>
      </c>
      <c r="L2599" s="326">
        <v>3731</v>
      </c>
      <c r="M2599" s="136">
        <f t="shared" si="62"/>
        <v>-35326.103946666146</v>
      </c>
    </row>
    <row r="2600" spans="1:13">
      <c r="A2600" s="54" t="str">
        <f>D2600&amp;E2600&amp;F2600</f>
        <v>SERVICIOSTELEPEAJECEDIS</v>
      </c>
      <c r="B2600" t="s">
        <v>1560</v>
      </c>
      <c r="C2600" s="1">
        <v>45854</v>
      </c>
      <c r="D2600" s="71" t="s">
        <v>21</v>
      </c>
      <c r="E2600" s="71" t="s">
        <v>186</v>
      </c>
      <c r="F2600" s="71" t="s">
        <v>28</v>
      </c>
      <c r="G2600" s="71" t="s">
        <v>216</v>
      </c>
      <c r="J2600" s="71" t="s">
        <v>238</v>
      </c>
      <c r="L2600" s="326">
        <v>658</v>
      </c>
      <c r="M2600" s="136">
        <f t="shared" si="62"/>
        <v>-35984.103946666146</v>
      </c>
    </row>
    <row r="2601" spans="1:13">
      <c r="A2601" s="54" t="str">
        <f>D2601&amp;E2601&amp;F2601</f>
        <v>HRVIATICOSHR</v>
      </c>
      <c r="B2601" t="s">
        <v>1560</v>
      </c>
      <c r="C2601" s="1">
        <v>45854</v>
      </c>
      <c r="D2601" s="71" t="s">
        <v>29</v>
      </c>
      <c r="E2601" s="71" t="s">
        <v>191</v>
      </c>
      <c r="F2601" s="71" t="s">
        <v>29</v>
      </c>
      <c r="G2601" s="71" t="s">
        <v>216</v>
      </c>
      <c r="J2601" s="71" t="s">
        <v>1014</v>
      </c>
      <c r="L2601" s="326">
        <v>5800</v>
      </c>
      <c r="M2601" s="136">
        <f t="shared" si="62"/>
        <v>-41784.103946666146</v>
      </c>
    </row>
    <row r="2602" spans="1:13">
      <c r="A2602" s="54" t="str">
        <f>D2602&amp;E2602&amp;F2602</f>
        <v>CAPVIATICOSCAPRICHOS</v>
      </c>
      <c r="B2602" t="s">
        <v>1560</v>
      </c>
      <c r="C2602" s="1">
        <v>45854</v>
      </c>
      <c r="D2602" s="71" t="s">
        <v>31</v>
      </c>
      <c r="E2602" s="71" t="s">
        <v>191</v>
      </c>
      <c r="F2602" s="70" t="s">
        <v>33</v>
      </c>
      <c r="G2602" s="71" t="s">
        <v>216</v>
      </c>
      <c r="J2602" s="71" t="s">
        <v>1640</v>
      </c>
      <c r="L2602" s="326">
        <v>1200</v>
      </c>
      <c r="M2602" s="136">
        <f t="shared" si="62"/>
        <v>-42984.103946666146</v>
      </c>
    </row>
    <row r="2603" spans="1:13">
      <c r="A2603" s="54" t="str">
        <f>D2603&amp;E2603&amp;F2603</f>
        <v>FINANZASCUOTAS Y SUSCRIPCIONESTRAMITES</v>
      </c>
      <c r="B2603" t="s">
        <v>1560</v>
      </c>
      <c r="C2603" s="1">
        <v>45854</v>
      </c>
      <c r="D2603" s="71" t="s">
        <v>23</v>
      </c>
      <c r="E2603" s="71" t="s">
        <v>51</v>
      </c>
      <c r="F2603" s="71" t="s">
        <v>81</v>
      </c>
      <c r="G2603" s="71" t="s">
        <v>216</v>
      </c>
      <c r="J2603" s="71" t="s">
        <v>1641</v>
      </c>
      <c r="L2603" s="326">
        <v>5720</v>
      </c>
      <c r="M2603" s="136">
        <f t="shared" si="62"/>
        <v>-48704.103946666146</v>
      </c>
    </row>
    <row r="2604" spans="1:13">
      <c r="A2604" s="54" t="str">
        <f>D2604&amp;E2604&amp;F2604</f>
        <v>SERVICIOSCOMBUSTIBLECEDIS</v>
      </c>
      <c r="B2604" t="s">
        <v>1560</v>
      </c>
      <c r="C2604" s="1">
        <v>45854</v>
      </c>
      <c r="D2604" s="71" t="s">
        <v>21</v>
      </c>
      <c r="E2604" s="71" t="s">
        <v>32</v>
      </c>
      <c r="F2604" s="70" t="s">
        <v>28</v>
      </c>
      <c r="G2604" s="71" t="s">
        <v>258</v>
      </c>
      <c r="J2604" s="71" t="s">
        <v>1642</v>
      </c>
      <c r="L2604" s="326">
        <v>2000</v>
      </c>
      <c r="M2604" s="136">
        <f t="shared" si="62"/>
        <v>-50704.103946666146</v>
      </c>
    </row>
    <row r="2605" spans="1:13">
      <c r="A2605" s="54" t="str">
        <f>D2605&amp;E2605&amp;F2605</f>
        <v>SERVICIOSMTTO DE EDIFICIOMANTENIMIENTO</v>
      </c>
      <c r="B2605" t="s">
        <v>1560</v>
      </c>
      <c r="C2605" s="1">
        <v>45854</v>
      </c>
      <c r="D2605" s="71" t="s">
        <v>21</v>
      </c>
      <c r="E2605" s="71" t="s">
        <v>142</v>
      </c>
      <c r="F2605" s="70" t="s">
        <v>35</v>
      </c>
      <c r="G2605" s="71" t="s">
        <v>216</v>
      </c>
      <c r="J2605" s="71" t="s">
        <v>1643</v>
      </c>
      <c r="L2605" s="326">
        <v>2200</v>
      </c>
      <c r="M2605" s="136">
        <f t="shared" si="62"/>
        <v>-52904.103946666146</v>
      </c>
    </row>
    <row r="2606" spans="1:13">
      <c r="A2606" s="54" t="str">
        <f>D2606&amp;E2606&amp;F2606</f>
        <v>FINANZASVIATICOSFINANZAS</v>
      </c>
      <c r="B2606" t="s">
        <v>1560</v>
      </c>
      <c r="C2606" s="1">
        <v>45854</v>
      </c>
      <c r="D2606" s="71" t="s">
        <v>23</v>
      </c>
      <c r="E2606" s="71" t="s">
        <v>191</v>
      </c>
      <c r="F2606" s="70" t="s">
        <v>23</v>
      </c>
      <c r="G2606" s="71" t="s">
        <v>216</v>
      </c>
      <c r="J2606" s="71" t="s">
        <v>1644</v>
      </c>
      <c r="L2606" s="326">
        <f>600-227</f>
        <v>373</v>
      </c>
      <c r="M2606" s="136">
        <f t="shared" si="62"/>
        <v>-53277.103946666146</v>
      </c>
    </row>
    <row r="2607" spans="1:13">
      <c r="A2607" s="54" t="str">
        <f>D2607&amp;E2607&amp;F2607</f>
        <v>SERVICIOSPAQUETERIACEDIS (E6)</v>
      </c>
      <c r="B2607" t="s">
        <v>1560</v>
      </c>
      <c r="C2607" s="1">
        <v>45854</v>
      </c>
      <c r="D2607" s="71" t="s">
        <v>21</v>
      </c>
      <c r="E2607" s="71" t="s">
        <v>160</v>
      </c>
      <c r="F2607" s="70" t="s">
        <v>161</v>
      </c>
      <c r="G2607" s="71" t="s">
        <v>216</v>
      </c>
      <c r="J2607" s="71" t="s">
        <v>229</v>
      </c>
      <c r="L2607" s="326">
        <v>2260.08</v>
      </c>
      <c r="M2607" s="136">
        <f t="shared" si="62"/>
        <v>-55537.183946666148</v>
      </c>
    </row>
    <row r="2608" spans="1:13">
      <c r="A2608" s="54" t="str">
        <f>D2608&amp;E2608&amp;F2608</f>
        <v>HRJMASA6</v>
      </c>
      <c r="B2608" t="s">
        <v>1560</v>
      </c>
      <c r="C2608" s="1">
        <v>45854</v>
      </c>
      <c r="D2608" s="71" t="s">
        <v>29</v>
      </c>
      <c r="E2608" s="71" t="s">
        <v>137</v>
      </c>
      <c r="F2608" s="70" t="s">
        <v>93</v>
      </c>
      <c r="G2608" s="71" t="s">
        <v>216</v>
      </c>
      <c r="J2608" s="76" t="s">
        <v>443</v>
      </c>
      <c r="L2608" s="331">
        <v>511</v>
      </c>
      <c r="M2608" s="136">
        <f t="shared" si="62"/>
        <v>-56048.183946666148</v>
      </c>
    </row>
    <row r="2609" spans="1:13">
      <c r="A2609" s="54" t="str">
        <f>D2609&amp;E2609&amp;F2609</f>
        <v>HRNOMINA SUCURSALA10</v>
      </c>
      <c r="B2609" t="s">
        <v>1560</v>
      </c>
      <c r="C2609" s="1">
        <v>45854</v>
      </c>
      <c r="D2609" s="71" t="s">
        <v>29</v>
      </c>
      <c r="E2609" s="71" t="s">
        <v>154</v>
      </c>
      <c r="F2609" s="70" t="s">
        <v>96</v>
      </c>
      <c r="G2609" s="71" t="s">
        <v>216</v>
      </c>
      <c r="J2609" s="76" t="s">
        <v>248</v>
      </c>
      <c r="L2609" s="331">
        <v>3273</v>
      </c>
      <c r="M2609" s="136">
        <f t="shared" si="62"/>
        <v>-59321.183946666148</v>
      </c>
    </row>
    <row r="2610" spans="1:13">
      <c r="A2610" s="54" t="str">
        <f>D2610&amp;E2610&amp;F2610</f>
        <v>HRUBERHR</v>
      </c>
      <c r="B2610" t="s">
        <v>1560</v>
      </c>
      <c r="C2610" s="1">
        <v>45854</v>
      </c>
      <c r="D2610" s="71" t="s">
        <v>29</v>
      </c>
      <c r="E2610" s="71" t="s">
        <v>189</v>
      </c>
      <c r="F2610" s="70" t="s">
        <v>29</v>
      </c>
      <c r="G2610" s="71" t="s">
        <v>216</v>
      </c>
      <c r="J2610" s="76" t="s">
        <v>249</v>
      </c>
      <c r="L2610" s="526">
        <v>150</v>
      </c>
      <c r="M2610" s="136">
        <f t="shared" si="62"/>
        <v>-59471.183946666148</v>
      </c>
    </row>
    <row r="2611" spans="1:13">
      <c r="A2611" s="54" t="str">
        <f>D2611&amp;E2611&amp;F2611</f>
        <v>HRINSUMOSHR</v>
      </c>
      <c r="B2611" t="s">
        <v>1560</v>
      </c>
      <c r="C2611" s="1">
        <v>45854</v>
      </c>
      <c r="D2611" s="71" t="s">
        <v>29</v>
      </c>
      <c r="E2611" s="71" t="s">
        <v>133</v>
      </c>
      <c r="F2611" s="70" t="s">
        <v>29</v>
      </c>
      <c r="G2611" s="71" t="s">
        <v>216</v>
      </c>
      <c r="J2611" s="76" t="s">
        <v>1557</v>
      </c>
      <c r="L2611" s="331">
        <v>120</v>
      </c>
      <c r="M2611" s="136">
        <f t="shared" si="62"/>
        <v>-59591.183946666148</v>
      </c>
    </row>
    <row r="2612" spans="1:13">
      <c r="A2612" s="54" t="str">
        <f t="shared" si="63"/>
        <v/>
      </c>
      <c r="B2612" t="s">
        <v>1560</v>
      </c>
      <c r="C2612" s="1">
        <v>45855</v>
      </c>
      <c r="D2612" s="71"/>
      <c r="F2612" s="70"/>
      <c r="J2612" s="71" t="s">
        <v>260</v>
      </c>
      <c r="K2612" s="325">
        <v>245352.37</v>
      </c>
      <c r="L2612" s="354"/>
      <c r="M2612" s="136">
        <f t="shared" si="62"/>
        <v>185761.18605333386</v>
      </c>
    </row>
    <row r="2613" spans="1:13">
      <c r="A2613" s="54" t="str">
        <f t="shared" si="63"/>
        <v/>
      </c>
      <c r="B2613" t="s">
        <v>1560</v>
      </c>
      <c r="C2613" s="1">
        <v>45855</v>
      </c>
      <c r="D2613" s="71"/>
      <c r="F2613" s="70"/>
      <c r="J2613" s="71" t="s">
        <v>1645</v>
      </c>
      <c r="K2613" s="325">
        <v>126</v>
      </c>
      <c r="L2613" s="354"/>
      <c r="M2613" s="136">
        <f t="shared" si="62"/>
        <v>185887.18605333386</v>
      </c>
    </row>
    <row r="2614" spans="1:13">
      <c r="A2614" s="54" t="str">
        <f>D2614&amp;E2614&amp;F2614</f>
        <v>FINANZASCOMISIONES BANCARIASTPV</v>
      </c>
      <c r="B2614" t="s">
        <v>1560</v>
      </c>
      <c r="C2614" s="1">
        <v>45855</v>
      </c>
      <c r="D2614" s="71" t="s">
        <v>23</v>
      </c>
      <c r="E2614" s="71" t="s">
        <v>48</v>
      </c>
      <c r="F2614" s="70" t="s">
        <v>50</v>
      </c>
      <c r="G2614" s="71" t="s">
        <v>216</v>
      </c>
      <c r="J2614" s="71" t="s">
        <v>217</v>
      </c>
      <c r="L2614" s="326">
        <f>397.62+221.37+1796.67+1743.53+1002.85+13.92+10.44+20.88</f>
        <v>5207.28</v>
      </c>
      <c r="M2614" s="136">
        <f t="shared" si="62"/>
        <v>180679.90605333386</v>
      </c>
    </row>
    <row r="2615" spans="1:13">
      <c r="A2615" s="54" t="str">
        <f t="shared" si="63"/>
        <v/>
      </c>
      <c r="B2615" t="s">
        <v>1560</v>
      </c>
      <c r="C2615" s="1">
        <v>45855</v>
      </c>
      <c r="D2615" s="71"/>
      <c r="F2615" s="70"/>
      <c r="H2615" s="83" t="s">
        <v>219</v>
      </c>
      <c r="J2615" s="205" t="s">
        <v>1562</v>
      </c>
      <c r="K2615" s="205"/>
      <c r="L2615" s="206">
        <v>200000</v>
      </c>
      <c r="M2615" s="136">
        <f t="shared" si="62"/>
        <v>-19320.093946666137</v>
      </c>
    </row>
    <row r="2616" spans="1:13">
      <c r="A2616" s="54" t="str">
        <f t="shared" si="63"/>
        <v/>
      </c>
      <c r="B2616" t="s">
        <v>1560</v>
      </c>
      <c r="C2616" s="1">
        <v>45855</v>
      </c>
      <c r="D2616" s="71"/>
      <c r="F2616" s="70"/>
      <c r="H2616" s="83" t="s">
        <v>221</v>
      </c>
      <c r="J2616" s="205" t="s">
        <v>222</v>
      </c>
      <c r="K2616" s="205"/>
      <c r="L2616" s="205"/>
      <c r="M2616" s="136">
        <f t="shared" si="62"/>
        <v>-19320.093946666137</v>
      </c>
    </row>
    <row r="2617" spans="1:13">
      <c r="A2617" s="54" t="str">
        <f>D2617&amp;E2617&amp;F2617</f>
        <v>SERVICIOSALARMASUCURSALES CAPRICHOS</v>
      </c>
      <c r="B2617" t="s">
        <v>1560</v>
      </c>
      <c r="C2617" s="1">
        <v>45855</v>
      </c>
      <c r="D2617" s="71" t="s">
        <v>21</v>
      </c>
      <c r="E2617" s="71" t="s">
        <v>25</v>
      </c>
      <c r="F2617" s="70" t="s">
        <v>27</v>
      </c>
      <c r="G2617" s="71" t="s">
        <v>216</v>
      </c>
      <c r="J2617" s="71" t="s">
        <v>1646</v>
      </c>
      <c r="L2617" s="326">
        <v>840</v>
      </c>
      <c r="M2617" s="136">
        <f t="shared" si="62"/>
        <v>-20160.093946666137</v>
      </c>
    </row>
    <row r="2618" spans="1:13">
      <c r="A2618" s="54" t="str">
        <f>D2618&amp;E2618&amp;F2618</f>
        <v>CAPMTTO EQ DE TRANSPORTECAPRICHOS</v>
      </c>
      <c r="B2618" t="s">
        <v>1560</v>
      </c>
      <c r="C2618" s="1">
        <v>45855</v>
      </c>
      <c r="D2618" s="71" t="s">
        <v>31</v>
      </c>
      <c r="E2618" s="71" t="s">
        <v>144</v>
      </c>
      <c r="F2618" s="70" t="s">
        <v>33</v>
      </c>
      <c r="G2618" s="71" t="s">
        <v>258</v>
      </c>
      <c r="J2618" s="71" t="s">
        <v>1647</v>
      </c>
      <c r="L2618" s="326">
        <v>3132</v>
      </c>
      <c r="M2618" s="136">
        <f t="shared" si="62"/>
        <v>-23292.093946666137</v>
      </c>
    </row>
    <row r="2619" spans="1:13">
      <c r="A2619" s="54" t="str">
        <f>D2619&amp;E2619&amp;F2619</f>
        <v>HRMKTMKT HR</v>
      </c>
      <c r="B2619" t="s">
        <v>1560</v>
      </c>
      <c r="C2619" s="1">
        <v>45855</v>
      </c>
      <c r="D2619" s="71" t="s">
        <v>29</v>
      </c>
      <c r="E2619" s="71" t="s">
        <v>19</v>
      </c>
      <c r="F2619" s="70" t="s">
        <v>138</v>
      </c>
      <c r="G2619" s="71" t="s">
        <v>216</v>
      </c>
      <c r="J2619" s="71" t="s">
        <v>1648</v>
      </c>
      <c r="L2619" s="326">
        <v>3180.72</v>
      </c>
      <c r="M2619" s="136">
        <f t="shared" ref="M2619:M2666" si="64">M2618+K2619-L2619</f>
        <v>-26472.813946666138</v>
      </c>
    </row>
    <row r="2620" spans="1:13">
      <c r="A2620" s="54" t="str">
        <f>D2620&amp;E2620&amp;F2620</f>
        <v>MKTINSUMOSINSUMOS</v>
      </c>
      <c r="B2620" t="s">
        <v>1560</v>
      </c>
      <c r="C2620" s="1">
        <v>45855</v>
      </c>
      <c r="D2620" t="s">
        <v>19</v>
      </c>
      <c r="E2620" t="s">
        <v>133</v>
      </c>
      <c r="F2620" t="s">
        <v>133</v>
      </c>
      <c r="G2620" s="71" t="s">
        <v>216</v>
      </c>
      <c r="J2620" s="71" t="s">
        <v>1649</v>
      </c>
      <c r="L2620" s="326">
        <v>2000</v>
      </c>
      <c r="M2620" s="136">
        <f t="shared" si="64"/>
        <v>-28472.813946666138</v>
      </c>
    </row>
    <row r="2621" spans="1:13">
      <c r="A2621" s="54" t="str">
        <f>D2621&amp;E2621&amp;F2621</f>
        <v>HRVIATICOSHR</v>
      </c>
      <c r="B2621" t="s">
        <v>1560</v>
      </c>
      <c r="C2621" s="1">
        <v>45855</v>
      </c>
      <c r="D2621" s="71" t="s">
        <v>29</v>
      </c>
      <c r="E2621" s="71" t="s">
        <v>191</v>
      </c>
      <c r="F2621" s="70" t="s">
        <v>29</v>
      </c>
      <c r="G2621" s="71" t="s">
        <v>216</v>
      </c>
      <c r="J2621" s="71" t="s">
        <v>1650</v>
      </c>
      <c r="L2621" s="326">
        <v>20</v>
      </c>
      <c r="M2621" s="136">
        <f t="shared" si="64"/>
        <v>-28492.813946666138</v>
      </c>
    </row>
    <row r="2622" spans="1:13">
      <c r="A2622" s="54" t="str">
        <f>D2622&amp;E2622&amp;F2622</f>
        <v>SERVICIOSALARMASUCURSALES HR</v>
      </c>
      <c r="B2622" t="s">
        <v>1560</v>
      </c>
      <c r="C2622" s="1">
        <v>45855</v>
      </c>
      <c r="D2622" s="71" t="s">
        <v>21</v>
      </c>
      <c r="E2622" s="71" t="s">
        <v>25</v>
      </c>
      <c r="F2622" s="70" t="s">
        <v>26</v>
      </c>
      <c r="G2622" s="71" t="s">
        <v>216</v>
      </c>
      <c r="J2622" s="71" t="s">
        <v>1651</v>
      </c>
      <c r="L2622" s="326">
        <v>6410.01</v>
      </c>
      <c r="M2622" s="136">
        <f t="shared" si="64"/>
        <v>-34902.82394666614</v>
      </c>
    </row>
    <row r="2623" spans="1:13">
      <c r="A2623" s="54" t="str">
        <f>D2623&amp;E2623&amp;F2623</f>
        <v>SGEVIATICOSGESTION EMPRESARIAL</v>
      </c>
      <c r="B2623" t="s">
        <v>1560</v>
      </c>
      <c r="C2623" s="1">
        <v>45855</v>
      </c>
      <c r="D2623" s="71" t="s">
        <v>39</v>
      </c>
      <c r="E2623" s="71" t="s">
        <v>191</v>
      </c>
      <c r="F2623" s="70" t="s">
        <v>40</v>
      </c>
      <c r="G2623" s="71" t="s">
        <v>216</v>
      </c>
      <c r="J2623" s="71" t="s">
        <v>1652</v>
      </c>
      <c r="L2623" s="326">
        <v>2800</v>
      </c>
      <c r="M2623" s="136">
        <f t="shared" si="64"/>
        <v>-37702.82394666614</v>
      </c>
    </row>
    <row r="2624" spans="1:13">
      <c r="A2624" s="54" t="str">
        <f>D2624&amp;E2624&amp;F2624</f>
        <v>HRUBERHR</v>
      </c>
      <c r="B2624" t="s">
        <v>1560</v>
      </c>
      <c r="C2624" s="1">
        <v>45855</v>
      </c>
      <c r="D2624" s="71" t="s">
        <v>29</v>
      </c>
      <c r="E2624" s="71" t="s">
        <v>189</v>
      </c>
      <c r="F2624" s="70" t="s">
        <v>29</v>
      </c>
      <c r="G2624" s="71" t="s">
        <v>216</v>
      </c>
      <c r="J2624" s="76" t="s">
        <v>249</v>
      </c>
      <c r="L2624" s="526">
        <v>114</v>
      </c>
      <c r="M2624" s="136">
        <f t="shared" si="64"/>
        <v>-37816.82394666614</v>
      </c>
    </row>
    <row r="2625" spans="1:13">
      <c r="A2625" s="54" t="str">
        <f>D2625&amp;E2625&amp;F2625</f>
        <v>CAPUBERCAP</v>
      </c>
      <c r="B2625" t="s">
        <v>1560</v>
      </c>
      <c r="C2625" s="1">
        <v>45855</v>
      </c>
      <c r="D2625" s="71" t="s">
        <v>31</v>
      </c>
      <c r="E2625" s="71" t="s">
        <v>189</v>
      </c>
      <c r="F2625" s="70" t="s">
        <v>31</v>
      </c>
      <c r="G2625" s="71" t="s">
        <v>216</v>
      </c>
      <c r="J2625" s="76" t="s">
        <v>253</v>
      </c>
      <c r="L2625" s="526">
        <v>180</v>
      </c>
      <c r="M2625" s="136">
        <f t="shared" si="64"/>
        <v>-37996.82394666614</v>
      </c>
    </row>
    <row r="2626" spans="1:13">
      <c r="A2626" s="54" t="str">
        <f>D2626&amp;E2626&amp;F2626</f>
        <v>CAPUBERCAP</v>
      </c>
      <c r="B2626" t="s">
        <v>1560</v>
      </c>
      <c r="C2626" s="1">
        <v>45855</v>
      </c>
      <c r="D2626" s="71" t="s">
        <v>31</v>
      </c>
      <c r="E2626" s="71" t="s">
        <v>189</v>
      </c>
      <c r="F2626" s="70" t="s">
        <v>31</v>
      </c>
      <c r="G2626" s="71" t="s">
        <v>216</v>
      </c>
      <c r="J2626" s="76" t="s">
        <v>1653</v>
      </c>
      <c r="L2626" s="526">
        <v>200</v>
      </c>
      <c r="M2626" s="136">
        <f t="shared" si="64"/>
        <v>-38196.82394666614</v>
      </c>
    </row>
    <row r="2627" spans="1:13">
      <c r="A2627" s="54" t="str">
        <f>D2627&amp;E2627&amp;F2627</f>
        <v>FINANZASCUOTAS Y SUSCRIPCIONESTRAMITES</v>
      </c>
      <c r="B2627" t="s">
        <v>1560</v>
      </c>
      <c r="C2627" s="1">
        <v>45855</v>
      </c>
      <c r="D2627" s="71" t="s">
        <v>23</v>
      </c>
      <c r="E2627" s="71" t="s">
        <v>51</v>
      </c>
      <c r="F2627" s="71" t="s">
        <v>81</v>
      </c>
      <c r="G2627" s="71" t="s">
        <v>216</v>
      </c>
      <c r="J2627" s="76" t="s">
        <v>1654</v>
      </c>
      <c r="L2627" s="331">
        <v>1278</v>
      </c>
      <c r="M2627" s="136">
        <f t="shared" si="64"/>
        <v>-39474.82394666614</v>
      </c>
    </row>
    <row r="2628" spans="1:13">
      <c r="A2628" s="54" t="str">
        <f>D2628&amp;E2628&amp;F2628</f>
        <v>CAPUBERCAP</v>
      </c>
      <c r="B2628" t="s">
        <v>1560</v>
      </c>
      <c r="C2628" s="1">
        <v>45855</v>
      </c>
      <c r="D2628" s="71" t="s">
        <v>31</v>
      </c>
      <c r="E2628" s="71" t="s">
        <v>189</v>
      </c>
      <c r="F2628" s="70" t="s">
        <v>31</v>
      </c>
      <c r="G2628" s="71" t="s">
        <v>216</v>
      </c>
      <c r="J2628" s="76" t="s">
        <v>257</v>
      </c>
      <c r="L2628" s="526">
        <v>124</v>
      </c>
      <c r="M2628" s="136">
        <f t="shared" si="64"/>
        <v>-39598.82394666614</v>
      </c>
    </row>
    <row r="2629" spans="1:13">
      <c r="A2629" s="54" t="str">
        <f>D2629&amp;E2629&amp;F2629</f>
        <v>CAPVACACIONES/FINIQUITOSCAPRICHOS</v>
      </c>
      <c r="B2629" t="s">
        <v>1560</v>
      </c>
      <c r="C2629" s="1">
        <v>45855</v>
      </c>
      <c r="D2629" s="71" t="s">
        <v>31</v>
      </c>
      <c r="E2629" s="71" t="s">
        <v>190</v>
      </c>
      <c r="F2629" s="70" t="s">
        <v>33</v>
      </c>
      <c r="G2629" s="71" t="s">
        <v>216</v>
      </c>
      <c r="J2629" s="76" t="s">
        <v>1655</v>
      </c>
      <c r="L2629" s="331">
        <v>2767</v>
      </c>
      <c r="M2629" s="136">
        <f t="shared" si="64"/>
        <v>-42365.82394666614</v>
      </c>
    </row>
    <row r="2630" spans="1:13">
      <c r="A2630" s="54" t="str">
        <f>D2630&amp;E2630&amp;F2630</f>
        <v>CAPINSUMOSCAPRICHOS</v>
      </c>
      <c r="B2630" t="s">
        <v>1560</v>
      </c>
      <c r="C2630" s="1">
        <v>45855</v>
      </c>
      <c r="D2630" s="71" t="s">
        <v>31</v>
      </c>
      <c r="E2630" s="71" t="s">
        <v>133</v>
      </c>
      <c r="F2630" s="70" t="s">
        <v>33</v>
      </c>
      <c r="J2630" s="76" t="s">
        <v>362</v>
      </c>
      <c r="L2630" s="331">
        <v>177</v>
      </c>
      <c r="M2630" s="136">
        <f t="shared" si="64"/>
        <v>-42542.82394666614</v>
      </c>
    </row>
    <row r="2631" spans="1:13">
      <c r="A2631" s="54" t="str">
        <f t="shared" si="63"/>
        <v/>
      </c>
      <c r="B2631" t="s">
        <v>1560</v>
      </c>
      <c r="C2631" s="1">
        <v>45856</v>
      </c>
      <c r="D2631" s="71"/>
      <c r="F2631" s="70"/>
      <c r="J2631" s="71" t="s">
        <v>260</v>
      </c>
      <c r="K2631" s="325">
        <v>263957.82</v>
      </c>
      <c r="L2631" s="354"/>
      <c r="M2631" s="136">
        <f t="shared" si="64"/>
        <v>221414.99605333386</v>
      </c>
    </row>
    <row r="2632" spans="1:13">
      <c r="A2632" s="54" t="str">
        <f>D2632&amp;E2632&amp;F2632</f>
        <v>FINANZASCOMISIONES BANCARIASTPV</v>
      </c>
      <c r="B2632" t="s">
        <v>1560</v>
      </c>
      <c r="C2632" s="1">
        <v>45856</v>
      </c>
      <c r="D2632" s="71" t="s">
        <v>23</v>
      </c>
      <c r="E2632" s="71" t="s">
        <v>48</v>
      </c>
      <c r="F2632" s="70" t="s">
        <v>50</v>
      </c>
      <c r="G2632" s="71" t="s">
        <v>216</v>
      </c>
      <c r="J2632" s="71" t="s">
        <v>217</v>
      </c>
      <c r="L2632" s="326">
        <f>389.75+313.2+1848.03+1816.4+1625.68+13.92</f>
        <v>6006.9800000000005</v>
      </c>
      <c r="M2632" s="136">
        <f t="shared" si="64"/>
        <v>215408.01605333385</v>
      </c>
    </row>
    <row r="2633" spans="1:13">
      <c r="A2633" s="54" t="str">
        <f t="shared" si="63"/>
        <v/>
      </c>
      <c r="B2633" t="s">
        <v>1560</v>
      </c>
      <c r="C2633" s="1">
        <v>45856</v>
      </c>
      <c r="D2633" s="71"/>
      <c r="F2633" s="70"/>
      <c r="H2633" s="83" t="s">
        <v>219</v>
      </c>
      <c r="J2633" s="205" t="s">
        <v>1562</v>
      </c>
      <c r="K2633" s="205"/>
      <c r="L2633" s="206">
        <v>176500</v>
      </c>
      <c r="M2633" s="136">
        <f t="shared" si="64"/>
        <v>38908.016053333849</v>
      </c>
    </row>
    <row r="2634" spans="1:13">
      <c r="A2634" s="54" t="str">
        <f t="shared" si="63"/>
        <v/>
      </c>
      <c r="B2634" t="s">
        <v>1560</v>
      </c>
      <c r="C2634" s="1">
        <v>45856</v>
      </c>
      <c r="D2634" s="71"/>
      <c r="F2634" s="70"/>
      <c r="H2634" s="83" t="s">
        <v>221</v>
      </c>
      <c r="J2634" s="205" t="s">
        <v>222</v>
      </c>
      <c r="K2634" s="205"/>
      <c r="L2634" s="205"/>
      <c r="M2634" s="136">
        <f t="shared" si="64"/>
        <v>38908.016053333849</v>
      </c>
    </row>
    <row r="2635" spans="1:13">
      <c r="A2635" s="54" t="str">
        <f>D2635&amp;E2635&amp;F2635</f>
        <v>SERVICIOSMTTO EQ DE TRANSPORTECEDIS</v>
      </c>
      <c r="B2635" t="s">
        <v>1560</v>
      </c>
      <c r="C2635" s="1">
        <v>45856</v>
      </c>
      <c r="D2635" s="71" t="s">
        <v>21</v>
      </c>
      <c r="E2635" s="71" t="s">
        <v>144</v>
      </c>
      <c r="F2635" s="70" t="s">
        <v>28</v>
      </c>
      <c r="G2635" s="71" t="s">
        <v>258</v>
      </c>
      <c r="J2635" s="71" t="s">
        <v>1656</v>
      </c>
      <c r="L2635" s="208">
        <v>2200</v>
      </c>
      <c r="M2635" s="136">
        <f t="shared" si="64"/>
        <v>36708.016053333849</v>
      </c>
    </row>
    <row r="2636" spans="1:13">
      <c r="A2636" s="54" t="str">
        <f>D2636&amp;E2636&amp;F2636</f>
        <v>FINANZASFONDO Y REPOSICIONFINANZAS</v>
      </c>
      <c r="B2636" t="s">
        <v>1560</v>
      </c>
      <c r="C2636" s="1">
        <v>45856</v>
      </c>
      <c r="D2636" s="71" t="s">
        <v>23</v>
      </c>
      <c r="E2636" s="71" t="s">
        <v>120</v>
      </c>
      <c r="F2636" s="70" t="s">
        <v>23</v>
      </c>
      <c r="G2636" s="71" t="s">
        <v>216</v>
      </c>
      <c r="J2636" s="71" t="s">
        <v>1657</v>
      </c>
      <c r="L2636" s="326">
        <v>3600</v>
      </c>
      <c r="M2636" s="136">
        <f t="shared" si="64"/>
        <v>33108.016053333849</v>
      </c>
    </row>
    <row r="2637" spans="1:13">
      <c r="A2637" s="54" t="str">
        <f t="shared" si="63"/>
        <v/>
      </c>
      <c r="B2637" t="s">
        <v>1560</v>
      </c>
      <c r="C2637" s="1">
        <v>45856</v>
      </c>
      <c r="D2637" s="71"/>
      <c r="F2637" s="70"/>
      <c r="J2637" s="71" t="s">
        <v>635</v>
      </c>
      <c r="L2637" s="326">
        <v>31566</v>
      </c>
      <c r="M2637" s="136">
        <f t="shared" si="64"/>
        <v>1542.0160533338494</v>
      </c>
    </row>
    <row r="2638" spans="1:13">
      <c r="A2638" s="54" t="str">
        <f>D2638&amp;E2638&amp;F2638</f>
        <v>DEVIATICOSDIRECCION</v>
      </c>
      <c r="B2638" t="s">
        <v>1560</v>
      </c>
      <c r="C2638" s="1">
        <v>45856</v>
      </c>
      <c r="D2638" s="71" t="s">
        <v>41</v>
      </c>
      <c r="E2638" s="71" t="s">
        <v>191</v>
      </c>
      <c r="F2638" s="70" t="s">
        <v>42</v>
      </c>
      <c r="G2638" s="71" t="s">
        <v>216</v>
      </c>
      <c r="J2638" s="71" t="s">
        <v>1658</v>
      </c>
      <c r="L2638" s="326">
        <v>500</v>
      </c>
      <c r="M2638" s="136">
        <f t="shared" si="64"/>
        <v>1042.0160533338494</v>
      </c>
    </row>
    <row r="2639" spans="1:13">
      <c r="A2639" s="54" t="str">
        <f>D2639&amp;E2639&amp;F2639</f>
        <v>ELIVIATICOSL1</v>
      </c>
      <c r="B2639" t="s">
        <v>1560</v>
      </c>
      <c r="C2639" s="1">
        <v>45856</v>
      </c>
      <c r="D2639" s="71" t="s">
        <v>130</v>
      </c>
      <c r="E2639" s="71" t="s">
        <v>191</v>
      </c>
      <c r="F2639" s="70" t="s">
        <v>136</v>
      </c>
      <c r="G2639" s="71" t="s">
        <v>216</v>
      </c>
      <c r="J2639" s="71" t="s">
        <v>690</v>
      </c>
      <c r="L2639" s="326">
        <v>1000</v>
      </c>
      <c r="M2639" s="136">
        <f t="shared" si="64"/>
        <v>42.016053333849413</v>
      </c>
    </row>
    <row r="2640" spans="1:13">
      <c r="A2640" s="54" t="str">
        <f>D2640&amp;E2640&amp;F2640</f>
        <v>SERVICIOSINSUMOSCADENA DE SUMINISTROS</v>
      </c>
      <c r="B2640" t="s">
        <v>1560</v>
      </c>
      <c r="C2640" s="1">
        <v>45856</v>
      </c>
      <c r="D2640" s="71" t="s">
        <v>21</v>
      </c>
      <c r="E2640" s="71" t="s">
        <v>133</v>
      </c>
      <c r="F2640" s="70" t="s">
        <v>134</v>
      </c>
      <c r="G2640" s="71" t="s">
        <v>216</v>
      </c>
      <c r="J2640" s="71" t="s">
        <v>1659</v>
      </c>
      <c r="L2640" s="326">
        <v>5055.95</v>
      </c>
      <c r="M2640" s="136">
        <f t="shared" si="64"/>
        <v>-5013.9339466661504</v>
      </c>
    </row>
    <row r="2641" spans="1:13">
      <c r="A2641" s="54" t="str">
        <f>D2641&amp;E2641&amp;F2641</f>
        <v>SERVICIOSCUOTAS Y SUSCRIPCIONESDOMINIOS DE PAGINAS</v>
      </c>
      <c r="B2641" t="s">
        <v>1560</v>
      </c>
      <c r="C2641" s="1">
        <v>45856</v>
      </c>
      <c r="D2641" s="71" t="s">
        <v>21</v>
      </c>
      <c r="E2641" s="71" t="s">
        <v>51</v>
      </c>
      <c r="F2641" s="70" t="s">
        <v>62</v>
      </c>
      <c r="G2641" s="71" t="s">
        <v>216</v>
      </c>
      <c r="J2641" s="71" t="s">
        <v>1660</v>
      </c>
      <c r="L2641" s="326">
        <v>7795.2</v>
      </c>
      <c r="M2641" s="136">
        <f t="shared" si="64"/>
        <v>-12809.13394666615</v>
      </c>
    </row>
    <row r="2642" spans="1:13">
      <c r="A2642" s="54" t="str">
        <f>D2642&amp;E2642&amp;F2642</f>
        <v>FINANZASFONDO Y REPOSICIONFINANZAS</v>
      </c>
      <c r="B2642" t="s">
        <v>1560</v>
      </c>
      <c r="C2642" s="1">
        <v>45856</v>
      </c>
      <c r="D2642" s="71" t="s">
        <v>23</v>
      </c>
      <c r="E2642" s="71" t="s">
        <v>120</v>
      </c>
      <c r="F2642" s="70" t="s">
        <v>23</v>
      </c>
      <c r="G2642" s="71" t="s">
        <v>216</v>
      </c>
      <c r="J2642" s="71" t="s">
        <v>1661</v>
      </c>
      <c r="L2642" s="326">
        <v>300</v>
      </c>
      <c r="M2642" s="136">
        <f t="shared" si="64"/>
        <v>-13109.13394666615</v>
      </c>
    </row>
    <row r="2643" spans="1:13">
      <c r="A2643" s="54" t="str">
        <f>D2643&amp;E2643&amp;F2643</f>
        <v>HRUBERHR</v>
      </c>
      <c r="B2643" t="s">
        <v>1560</v>
      </c>
      <c r="C2643" s="1">
        <v>45856</v>
      </c>
      <c r="D2643" s="71" t="s">
        <v>29</v>
      </c>
      <c r="E2643" s="71" t="s">
        <v>189</v>
      </c>
      <c r="F2643" s="70" t="s">
        <v>29</v>
      </c>
      <c r="G2643" s="71" t="s">
        <v>216</v>
      </c>
      <c r="J2643" s="76" t="s">
        <v>249</v>
      </c>
      <c r="L2643" s="526">
        <v>268</v>
      </c>
      <c r="M2643" s="136">
        <f t="shared" si="64"/>
        <v>-13377.13394666615</v>
      </c>
    </row>
    <row r="2644" spans="1:13">
      <c r="A2644" s="54" t="str">
        <f>D2644&amp;E2644&amp;F2644</f>
        <v>HRINSUMOSHR</v>
      </c>
      <c r="B2644" t="s">
        <v>1560</v>
      </c>
      <c r="C2644" s="1">
        <v>45856</v>
      </c>
      <c r="D2644" s="71" t="s">
        <v>29</v>
      </c>
      <c r="E2644" s="71" t="s">
        <v>133</v>
      </c>
      <c r="F2644" s="70" t="s">
        <v>29</v>
      </c>
      <c r="G2644" s="71" t="s">
        <v>216</v>
      </c>
      <c r="J2644" s="76" t="s">
        <v>1662</v>
      </c>
      <c r="L2644" s="331">
        <v>125</v>
      </c>
      <c r="M2644" s="136">
        <f t="shared" si="64"/>
        <v>-13502.13394666615</v>
      </c>
    </row>
    <row r="2645" spans="1:13">
      <c r="A2645" s="54" t="str">
        <f>D2645&amp;E2645&amp;F2645</f>
        <v>CAPUBERCAP</v>
      </c>
      <c r="B2645" t="s">
        <v>1560</v>
      </c>
      <c r="C2645" s="1">
        <v>45856</v>
      </c>
      <c r="D2645" s="71" t="s">
        <v>31</v>
      </c>
      <c r="E2645" s="71" t="s">
        <v>189</v>
      </c>
      <c r="F2645" s="70" t="s">
        <v>31</v>
      </c>
      <c r="G2645" s="71" t="s">
        <v>216</v>
      </c>
      <c r="J2645" s="76" t="s">
        <v>257</v>
      </c>
      <c r="L2645" s="526">
        <v>160</v>
      </c>
      <c r="M2645" s="136">
        <f t="shared" si="64"/>
        <v>-13662.13394666615</v>
      </c>
    </row>
    <row r="2646" spans="1:13">
      <c r="A2646" s="54" t="str">
        <f>D2646&amp;E2646&amp;F2646</f>
        <v>SERVICIOSMTTO DE EDIFICIOMANTENIMIENTO</v>
      </c>
      <c r="B2646" t="s">
        <v>1560</v>
      </c>
      <c r="C2646" s="1">
        <v>45857</v>
      </c>
      <c r="D2646" s="71" t="s">
        <v>21</v>
      </c>
      <c r="E2646" s="71" t="s">
        <v>142</v>
      </c>
      <c r="F2646" s="70" t="s">
        <v>35</v>
      </c>
      <c r="G2646" s="71" t="s">
        <v>216</v>
      </c>
      <c r="J2646" s="76" t="s">
        <v>1663</v>
      </c>
      <c r="L2646" s="331">
        <v>900</v>
      </c>
      <c r="M2646" s="136">
        <f t="shared" si="64"/>
        <v>-14562.13394666615</v>
      </c>
    </row>
    <row r="2647" spans="1:13">
      <c r="A2647" s="54" t="str">
        <f>D2647&amp;E2647&amp;F2647</f>
        <v>SERVICIOSFONDO Y REPOSICIONSERVICIOS</v>
      </c>
      <c r="B2647" t="s">
        <v>1560</v>
      </c>
      <c r="C2647" s="1">
        <v>45857</v>
      </c>
      <c r="D2647" s="71" t="s">
        <v>21</v>
      </c>
      <c r="E2647" s="71" t="s">
        <v>120</v>
      </c>
      <c r="F2647" s="70" t="s">
        <v>21</v>
      </c>
      <c r="G2647" s="71" t="s">
        <v>216</v>
      </c>
      <c r="J2647" s="71" t="s">
        <v>1664</v>
      </c>
      <c r="L2647" s="326">
        <v>6062</v>
      </c>
      <c r="M2647" s="136">
        <f t="shared" si="64"/>
        <v>-20624.133946666152</v>
      </c>
    </row>
    <row r="2648" spans="1:13">
      <c r="A2648" s="54" t="str">
        <f>D2648&amp;E2648&amp;F2648</f>
        <v>SERVICIOSINSUMOSCOFFE</v>
      </c>
      <c r="B2648" t="s">
        <v>1560</v>
      </c>
      <c r="C2648" s="1">
        <v>45857</v>
      </c>
      <c r="D2648" s="71" t="s">
        <v>21</v>
      </c>
      <c r="E2648" s="71" t="s">
        <v>133</v>
      </c>
      <c r="F2648" s="70" t="s">
        <v>135</v>
      </c>
      <c r="G2648" s="71" t="s">
        <v>216</v>
      </c>
      <c r="J2648" s="71" t="s">
        <v>1665</v>
      </c>
      <c r="L2648" s="326">
        <v>1200</v>
      </c>
      <c r="M2648" s="136">
        <f t="shared" si="64"/>
        <v>-21824.133946666152</v>
      </c>
    </row>
    <row r="2649" spans="1:13">
      <c r="A2649" s="54" t="str">
        <f t="shared" ref="A2638:A2703" si="65">D2649&amp;E2649&amp;F2649</f>
        <v/>
      </c>
      <c r="B2649" t="s">
        <v>1560</v>
      </c>
      <c r="C2649" s="1">
        <v>45859</v>
      </c>
      <c r="D2649" s="71"/>
      <c r="F2649" s="70"/>
      <c r="J2649" s="71" t="s">
        <v>260</v>
      </c>
      <c r="K2649" s="325">
        <v>1001458.47</v>
      </c>
      <c r="L2649" s="354"/>
      <c r="M2649" s="136">
        <f t="shared" si="64"/>
        <v>979634.33605333383</v>
      </c>
    </row>
    <row r="2650" spans="1:13">
      <c r="A2650" s="54" t="str">
        <f>D2650&amp;E2650&amp;F2650</f>
        <v>FINANZASCOMISIONES BANCARIASTPV</v>
      </c>
      <c r="B2650" t="s">
        <v>1560</v>
      </c>
      <c r="C2650" s="1">
        <v>45859</v>
      </c>
      <c r="D2650" s="71" t="s">
        <v>23</v>
      </c>
      <c r="E2650" s="71" t="s">
        <v>48</v>
      </c>
      <c r="F2650" s="70" t="s">
        <v>50</v>
      </c>
      <c r="G2650" s="71" t="s">
        <v>216</v>
      </c>
      <c r="J2650" s="71" t="s">
        <v>217</v>
      </c>
      <c r="L2650" s="326">
        <f>1119.88+1355.18+7220.77+6512.62+3406.29+3.48+10.44+6.96</f>
        <v>19635.62</v>
      </c>
      <c r="M2650" s="136">
        <f t="shared" si="64"/>
        <v>959998.71605333383</v>
      </c>
    </row>
    <row r="2651" spans="1:13">
      <c r="A2651" s="54" t="str">
        <f t="shared" si="65"/>
        <v/>
      </c>
      <c r="B2651" t="s">
        <v>1560</v>
      </c>
      <c r="C2651" s="1">
        <v>45859</v>
      </c>
      <c r="D2651" s="71"/>
      <c r="F2651" s="70"/>
      <c r="H2651" s="83" t="s">
        <v>219</v>
      </c>
      <c r="J2651" s="205" t="s">
        <v>1562</v>
      </c>
      <c r="K2651" s="205"/>
      <c r="L2651" s="206">
        <v>200000</v>
      </c>
      <c r="M2651" s="136">
        <f t="shared" si="64"/>
        <v>759998.71605333383</v>
      </c>
    </row>
    <row r="2652" spans="1:13">
      <c r="A2652" s="54" t="str">
        <f t="shared" si="65"/>
        <v/>
      </c>
      <c r="B2652" t="s">
        <v>1560</v>
      </c>
      <c r="C2652" s="1">
        <v>45859</v>
      </c>
      <c r="D2652" s="71"/>
      <c r="F2652" s="70"/>
      <c r="H2652" s="83" t="s">
        <v>221</v>
      </c>
      <c r="J2652" s="205" t="s">
        <v>222</v>
      </c>
      <c r="K2652" s="205"/>
      <c r="L2652" s="206">
        <v>200000</v>
      </c>
      <c r="M2652" s="136">
        <f t="shared" si="64"/>
        <v>559998.71605333383</v>
      </c>
    </row>
    <row r="2653" spans="1:13">
      <c r="A2653" s="54" t="str">
        <f>D2653&amp;E2653&amp;F2653</f>
        <v>SERVICIOSVIATICOSCEDIS</v>
      </c>
      <c r="B2653" t="s">
        <v>1560</v>
      </c>
      <c r="C2653" s="1">
        <v>45859</v>
      </c>
      <c r="D2653" s="71" t="s">
        <v>21</v>
      </c>
      <c r="E2653" s="71" t="s">
        <v>191</v>
      </c>
      <c r="F2653" s="70" t="s">
        <v>28</v>
      </c>
      <c r="G2653" s="71" t="s">
        <v>216</v>
      </c>
      <c r="J2653" s="71" t="s">
        <v>1502</v>
      </c>
      <c r="L2653" s="326">
        <v>2050</v>
      </c>
      <c r="M2653" s="136">
        <f t="shared" si="64"/>
        <v>557948.71605333383</v>
      </c>
    </row>
    <row r="2654" spans="1:13">
      <c r="A2654" s="54" t="str">
        <f>D2654&amp;E2654&amp;F2654</f>
        <v>SERVICIOSGASCEDIS</v>
      </c>
      <c r="B2654" t="s">
        <v>1560</v>
      </c>
      <c r="C2654" s="1">
        <v>45859</v>
      </c>
      <c r="D2654" s="71" t="s">
        <v>21</v>
      </c>
      <c r="E2654" s="71" t="s">
        <v>122</v>
      </c>
      <c r="F2654" s="70" t="s">
        <v>28</v>
      </c>
      <c r="G2654" s="71" t="s">
        <v>216</v>
      </c>
      <c r="J2654" s="71" t="s">
        <v>1666</v>
      </c>
      <c r="L2654" s="326">
        <v>300</v>
      </c>
      <c r="M2654" s="136">
        <f t="shared" si="64"/>
        <v>557648.71605333383</v>
      </c>
    </row>
    <row r="2655" spans="1:13">
      <c r="A2655" s="54" t="str">
        <f>D2655&amp;E2655&amp;F2655</f>
        <v>HRMKTMKT HR</v>
      </c>
      <c r="B2655" t="s">
        <v>1560</v>
      </c>
      <c r="C2655" s="1">
        <v>45859</v>
      </c>
      <c r="D2655" s="71" t="s">
        <v>29</v>
      </c>
      <c r="E2655" s="71" t="s">
        <v>19</v>
      </c>
      <c r="F2655" s="70" t="s">
        <v>138</v>
      </c>
      <c r="G2655" s="71" t="s">
        <v>216</v>
      </c>
      <c r="J2655" s="71" t="s">
        <v>1667</v>
      </c>
      <c r="L2655" s="326">
        <v>3000</v>
      </c>
      <c r="M2655" s="136">
        <f t="shared" si="64"/>
        <v>554648.71605333383</v>
      </c>
    </row>
    <row r="2656" spans="1:13">
      <c r="A2656" s="54" t="str">
        <f>D2656&amp;E2656&amp;F2656</f>
        <v>MKTINSUMOSINSUMOS</v>
      </c>
      <c r="B2656" t="s">
        <v>1560</v>
      </c>
      <c r="C2656" s="1">
        <v>45859</v>
      </c>
      <c r="D2656" s="71" t="s">
        <v>19</v>
      </c>
      <c r="E2656" s="71" t="s">
        <v>133</v>
      </c>
      <c r="F2656" s="70" t="s">
        <v>133</v>
      </c>
      <c r="G2656" s="71" t="s">
        <v>216</v>
      </c>
      <c r="J2656" s="71" t="s">
        <v>1668</v>
      </c>
      <c r="L2656" s="326">
        <v>1900</v>
      </c>
      <c r="M2656" s="136">
        <f t="shared" si="64"/>
        <v>552748.71605333383</v>
      </c>
    </row>
    <row r="2657" spans="1:13">
      <c r="A2657" s="54" t="str">
        <f>D2657&amp;E2657&amp;F2657</f>
        <v>SGECUOTAS Y SUSCRIPCIONESFROGMI</v>
      </c>
      <c r="B2657" t="s">
        <v>1560</v>
      </c>
      <c r="C2657" s="1">
        <v>45859</v>
      </c>
      <c r="D2657" s="71" t="s">
        <v>39</v>
      </c>
      <c r="E2657" s="178" t="s">
        <v>51</v>
      </c>
      <c r="F2657" s="70" t="s">
        <v>57</v>
      </c>
      <c r="G2657" s="71" t="s">
        <v>216</v>
      </c>
      <c r="J2657" s="242" t="s">
        <v>1669</v>
      </c>
      <c r="K2657" s="332"/>
      <c r="L2657" s="326">
        <v>31714.06</v>
      </c>
      <c r="M2657" s="136">
        <f t="shared" si="64"/>
        <v>521034.65605333383</v>
      </c>
    </row>
    <row r="2658" spans="1:13">
      <c r="A2658" s="54" t="str">
        <f>D2658&amp;E2658&amp;F2658</f>
        <v>FINANZASCUOTAS Y SUSCRIPCIONESTRAMITES</v>
      </c>
      <c r="B2658" t="s">
        <v>1560</v>
      </c>
      <c r="C2658" s="1">
        <v>45859</v>
      </c>
      <c r="D2658" s="71" t="s">
        <v>23</v>
      </c>
      <c r="E2658" s="178" t="s">
        <v>51</v>
      </c>
      <c r="F2658" s="70" t="s">
        <v>81</v>
      </c>
      <c r="J2658" s="242" t="s">
        <v>955</v>
      </c>
      <c r="K2658" s="332"/>
      <c r="L2658" s="326">
        <v>300</v>
      </c>
      <c r="M2658" s="136">
        <f t="shared" si="64"/>
        <v>520734.65605333383</v>
      </c>
    </row>
    <row r="2659" spans="1:13">
      <c r="A2659" s="54" t="str">
        <f>D2659&amp;E2659&amp;F2659</f>
        <v>HRENERGIA ELECTRICAA10</v>
      </c>
      <c r="B2659" t="s">
        <v>1560</v>
      </c>
      <c r="C2659" s="1">
        <v>45859</v>
      </c>
      <c r="D2659" s="71" t="s">
        <v>29</v>
      </c>
      <c r="E2659" s="71" t="s">
        <v>87</v>
      </c>
      <c r="F2659" s="70" t="s">
        <v>96</v>
      </c>
      <c r="G2659" s="71" t="s">
        <v>216</v>
      </c>
      <c r="J2659" s="242" t="s">
        <v>1670</v>
      </c>
      <c r="K2659" s="321"/>
      <c r="L2659" s="326">
        <v>29465</v>
      </c>
      <c r="M2659" s="136">
        <f t="shared" si="64"/>
        <v>491269.65605333383</v>
      </c>
    </row>
    <row r="2660" spans="1:13">
      <c r="A2660" s="54" t="str">
        <f>D2660&amp;E2660&amp;F2660</f>
        <v>HRENERGIA ELECTRICAA10</v>
      </c>
      <c r="B2660" t="s">
        <v>1560</v>
      </c>
      <c r="C2660" s="1">
        <v>45859</v>
      </c>
      <c r="D2660" s="71" t="s">
        <v>29</v>
      </c>
      <c r="E2660" s="71" t="s">
        <v>87</v>
      </c>
      <c r="F2660" s="70" t="s">
        <v>96</v>
      </c>
      <c r="G2660" s="71" t="s">
        <v>216</v>
      </c>
      <c r="J2660" s="242" t="s">
        <v>1670</v>
      </c>
      <c r="K2660" s="321"/>
      <c r="L2660" s="326">
        <v>7482</v>
      </c>
      <c r="M2660" s="136">
        <f t="shared" si="64"/>
        <v>483787.65605333383</v>
      </c>
    </row>
    <row r="2661" spans="1:13">
      <c r="A2661" s="54" t="str">
        <f>D2661&amp;E2661&amp;F2661</f>
        <v>HRENERGIA ELECTRICAA14</v>
      </c>
      <c r="B2661" t="s">
        <v>1560</v>
      </c>
      <c r="C2661" s="1">
        <v>45859</v>
      </c>
      <c r="D2661" s="71" t="s">
        <v>29</v>
      </c>
      <c r="E2661" s="71" t="s">
        <v>87</v>
      </c>
      <c r="F2661" s="70" t="s">
        <v>99</v>
      </c>
      <c r="G2661" s="71" t="s">
        <v>216</v>
      </c>
      <c r="J2661" s="242" t="s">
        <v>1671</v>
      </c>
      <c r="K2661" s="321"/>
      <c r="L2661" s="326">
        <v>10824</v>
      </c>
      <c r="M2661" s="136">
        <f t="shared" si="64"/>
        <v>472963.65605333383</v>
      </c>
    </row>
    <row r="2662" spans="1:13">
      <c r="A2662" s="54" t="str">
        <f>D2662&amp;E2662&amp;F2662</f>
        <v>CAPENERGIA ELECTRICAE1</v>
      </c>
      <c r="B2662" t="s">
        <v>1560</v>
      </c>
      <c r="C2662" s="1">
        <v>45859</v>
      </c>
      <c r="D2662" s="71" t="s">
        <v>31</v>
      </c>
      <c r="E2662" s="71" t="s">
        <v>87</v>
      </c>
      <c r="F2662" s="70" t="s">
        <v>107</v>
      </c>
      <c r="G2662" s="71" t="s">
        <v>216</v>
      </c>
      <c r="J2662" s="242" t="s">
        <v>1672</v>
      </c>
      <c r="K2662" s="321"/>
      <c r="L2662" s="326">
        <v>24980</v>
      </c>
      <c r="M2662" s="136">
        <f t="shared" si="64"/>
        <v>447983.65605333383</v>
      </c>
    </row>
    <row r="2663" spans="1:13">
      <c r="A2663" s="54" t="str">
        <f>D2663&amp;E2663&amp;F2663</f>
        <v>FINANZASTELEFONIATELEFONIA</v>
      </c>
      <c r="B2663" t="s">
        <v>1560</v>
      </c>
      <c r="C2663" s="1">
        <v>45859</v>
      </c>
      <c r="D2663" s="71" t="s">
        <v>23</v>
      </c>
      <c r="E2663" s="71" t="s">
        <v>181</v>
      </c>
      <c r="F2663" s="12" t="s">
        <v>181</v>
      </c>
      <c r="G2663" s="71" t="s">
        <v>216</v>
      </c>
      <c r="J2663" s="71" t="s">
        <v>1673</v>
      </c>
      <c r="K2663" s="354"/>
      <c r="L2663" s="326">
        <v>269</v>
      </c>
      <c r="M2663" s="136">
        <f t="shared" si="64"/>
        <v>447714.65605333383</v>
      </c>
    </row>
    <row r="2664" spans="1:13">
      <c r="A2664" s="54" t="str">
        <f>D2664&amp;E2664&amp;F2664</f>
        <v>FINANZASENERGIA ELECTRICACEDIS</v>
      </c>
      <c r="B2664" t="s">
        <v>1560</v>
      </c>
      <c r="C2664" s="1">
        <v>45859</v>
      </c>
      <c r="D2664" s="71" t="s">
        <v>23</v>
      </c>
      <c r="E2664" s="71" t="s">
        <v>87</v>
      </c>
      <c r="F2664" s="70" t="s">
        <v>28</v>
      </c>
      <c r="G2664" s="71" t="s">
        <v>216</v>
      </c>
      <c r="J2664" s="71" t="s">
        <v>1674</v>
      </c>
      <c r="K2664" s="354"/>
      <c r="L2664" s="326">
        <v>332</v>
      </c>
      <c r="M2664" s="136">
        <f t="shared" si="64"/>
        <v>447382.65605333383</v>
      </c>
    </row>
    <row r="2665" spans="1:13">
      <c r="A2665" s="54" t="str">
        <f>D2665&amp;E2665&amp;F2665</f>
        <v>HRCAPACITACIONCAPACITACION</v>
      </c>
      <c r="B2665" t="s">
        <v>1560</v>
      </c>
      <c r="C2665" s="1">
        <v>45859</v>
      </c>
      <c r="D2665" s="71" t="s">
        <v>29</v>
      </c>
      <c r="E2665" s="71" t="s">
        <v>30</v>
      </c>
      <c r="F2665" s="70" t="s">
        <v>30</v>
      </c>
      <c r="G2665" s="71" t="s">
        <v>216</v>
      </c>
      <c r="J2665" s="71" t="s">
        <v>1675</v>
      </c>
      <c r="K2665" s="354"/>
      <c r="L2665" s="326">
        <v>6612</v>
      </c>
      <c r="M2665" s="136">
        <f t="shared" si="64"/>
        <v>440770.65605333383</v>
      </c>
    </row>
    <row r="2666" spans="1:13">
      <c r="A2666" s="54" t="str">
        <f>D2666&amp;E2666&amp;F2666</f>
        <v>SERVICIOSMTTO DE EDIFICIOMANTENIMIENTO</v>
      </c>
      <c r="B2666" t="s">
        <v>1560</v>
      </c>
      <c r="C2666" s="1">
        <v>45859</v>
      </c>
      <c r="D2666" s="71" t="s">
        <v>21</v>
      </c>
      <c r="E2666" s="71" t="s">
        <v>142</v>
      </c>
      <c r="F2666" s="70" t="s">
        <v>35</v>
      </c>
      <c r="G2666" s="71" t="s">
        <v>216</v>
      </c>
      <c r="J2666" s="71" t="s">
        <v>1676</v>
      </c>
      <c r="L2666" s="326">
        <v>10000.11</v>
      </c>
      <c r="M2666" s="136">
        <f t="shared" si="64"/>
        <v>430770.54605333385</v>
      </c>
    </row>
    <row r="2667" spans="1:13">
      <c r="A2667" s="54" t="str">
        <f>D2667&amp;E2667&amp;F2667</f>
        <v>HRUBERHR</v>
      </c>
      <c r="B2667" t="s">
        <v>1560</v>
      </c>
      <c r="C2667" s="1">
        <v>45859</v>
      </c>
      <c r="D2667" s="71" t="s">
        <v>29</v>
      </c>
      <c r="E2667" s="71" t="s">
        <v>189</v>
      </c>
      <c r="F2667" s="70" t="s">
        <v>29</v>
      </c>
      <c r="G2667" s="71" t="s">
        <v>216</v>
      </c>
      <c r="J2667" s="76" t="s">
        <v>1677</v>
      </c>
      <c r="L2667" s="526">
        <v>150</v>
      </c>
      <c r="M2667" s="136">
        <f>M2666+K2667-L2667</f>
        <v>430620.54605333385</v>
      </c>
    </row>
    <row r="2668" spans="1:13">
      <c r="A2668" s="54" t="str">
        <f>D2668&amp;E2668&amp;F2668</f>
        <v>HRUBERHR</v>
      </c>
      <c r="B2668" t="s">
        <v>1560</v>
      </c>
      <c r="C2668" s="1">
        <v>45859</v>
      </c>
      <c r="D2668" s="71" t="s">
        <v>29</v>
      </c>
      <c r="E2668" s="71" t="s">
        <v>189</v>
      </c>
      <c r="F2668" s="70" t="s">
        <v>29</v>
      </c>
      <c r="G2668" s="71" t="s">
        <v>216</v>
      </c>
      <c r="J2668" s="76" t="s">
        <v>308</v>
      </c>
      <c r="L2668" s="526">
        <v>603</v>
      </c>
      <c r="M2668" s="136">
        <f>M2667+K2668-L2668</f>
        <v>430017.54605333385</v>
      </c>
    </row>
    <row r="2669" spans="1:13">
      <c r="A2669" s="54" t="str">
        <f>D2669&amp;E2669&amp;F2669</f>
        <v>HRNOMINA SUCURSALA8</v>
      </c>
      <c r="B2669" t="s">
        <v>1560</v>
      </c>
      <c r="C2669" s="1">
        <v>45859</v>
      </c>
      <c r="D2669" s="71" t="s">
        <v>29</v>
      </c>
      <c r="E2669" s="71" t="s">
        <v>154</v>
      </c>
      <c r="F2669" s="70" t="s">
        <v>94</v>
      </c>
      <c r="G2669" s="71" t="s">
        <v>216</v>
      </c>
      <c r="J2669" s="76" t="s">
        <v>1395</v>
      </c>
      <c r="L2669" s="331">
        <v>1500</v>
      </c>
      <c r="M2669" s="136">
        <f>M2668+K2669-L2669</f>
        <v>428517.54605333385</v>
      </c>
    </row>
    <row r="2670" spans="1:13">
      <c r="A2670" s="54" t="str">
        <f>D2670&amp;E2670&amp;F2670</f>
        <v>HRUBERHR</v>
      </c>
      <c r="B2670" t="s">
        <v>1560</v>
      </c>
      <c r="C2670" s="1">
        <v>45859</v>
      </c>
      <c r="D2670" s="71" t="s">
        <v>29</v>
      </c>
      <c r="E2670" s="71" t="s">
        <v>189</v>
      </c>
      <c r="F2670" s="70" t="s">
        <v>29</v>
      </c>
      <c r="G2670" s="71" t="s">
        <v>216</v>
      </c>
      <c r="J2670" s="76" t="s">
        <v>249</v>
      </c>
      <c r="L2670" s="526">
        <v>1049</v>
      </c>
      <c r="M2670" s="136">
        <f>M2669+K2670-L2670</f>
        <v>427468.54605333385</v>
      </c>
    </row>
    <row r="2671" spans="1:13">
      <c r="A2671" s="54" t="str">
        <f>D2671&amp;E2671&amp;F2671</f>
        <v>HRUBERHR</v>
      </c>
      <c r="B2671" t="s">
        <v>1560</v>
      </c>
      <c r="C2671" s="1">
        <v>45859</v>
      </c>
      <c r="D2671" s="71" t="s">
        <v>29</v>
      </c>
      <c r="E2671" s="71" t="s">
        <v>189</v>
      </c>
      <c r="F2671" s="70" t="s">
        <v>29</v>
      </c>
      <c r="G2671" s="71" t="s">
        <v>216</v>
      </c>
      <c r="J2671" s="76" t="s">
        <v>250</v>
      </c>
      <c r="L2671" s="526">
        <v>70</v>
      </c>
      <c r="M2671" s="136">
        <f>M2670+K2671-L2671</f>
        <v>427398.54605333385</v>
      </c>
    </row>
    <row r="2672" spans="1:13">
      <c r="A2672" s="54" t="str">
        <f>D2672&amp;E2672&amp;F2672</f>
        <v>HRJMASA23</v>
      </c>
      <c r="B2672" t="s">
        <v>1560</v>
      </c>
      <c r="C2672" s="1">
        <v>45859</v>
      </c>
      <c r="D2672" s="71" t="s">
        <v>29</v>
      </c>
      <c r="E2672" s="71" t="s">
        <v>137</v>
      </c>
      <c r="F2672" s="70" t="s">
        <v>105</v>
      </c>
      <c r="G2672" s="71" t="s">
        <v>216</v>
      </c>
      <c r="J2672" s="76" t="s">
        <v>1046</v>
      </c>
      <c r="L2672" s="331">
        <v>1015</v>
      </c>
      <c r="M2672" s="136">
        <f>M2671+K2672-L2672</f>
        <v>426383.54605333385</v>
      </c>
    </row>
    <row r="2673" spans="1:13">
      <c r="A2673" s="54" t="str">
        <f>D2673&amp;E2673&amp;F2673</f>
        <v>SERVICIOSMTTO DE EDIFICIOMANTENIMIENTO</v>
      </c>
      <c r="B2673" t="s">
        <v>1560</v>
      </c>
      <c r="C2673" s="1">
        <v>45859</v>
      </c>
      <c r="D2673" s="71" t="s">
        <v>21</v>
      </c>
      <c r="E2673" s="71" t="s">
        <v>142</v>
      </c>
      <c r="F2673" s="70" t="s">
        <v>35</v>
      </c>
      <c r="G2673" s="71" t="s">
        <v>216</v>
      </c>
      <c r="J2673" s="76" t="s">
        <v>1678</v>
      </c>
      <c r="L2673" s="331">
        <v>382.5</v>
      </c>
      <c r="M2673" s="136">
        <f>M2672+K2673-L2673</f>
        <v>426001.04605333385</v>
      </c>
    </row>
    <row r="2674" spans="1:13">
      <c r="A2674" s="54" t="str">
        <f>D2674&amp;E2674&amp;F2674</f>
        <v>HRJMASA24</v>
      </c>
      <c r="B2674" t="s">
        <v>1560</v>
      </c>
      <c r="C2674" s="1">
        <v>45859</v>
      </c>
      <c r="D2674" s="71" t="s">
        <v>29</v>
      </c>
      <c r="E2674" s="71" t="s">
        <v>137</v>
      </c>
      <c r="F2674" s="70" t="s">
        <v>106</v>
      </c>
      <c r="G2674" s="71" t="s">
        <v>216</v>
      </c>
      <c r="J2674" s="76" t="s">
        <v>662</v>
      </c>
      <c r="L2674" s="331">
        <v>1119</v>
      </c>
      <c r="M2674" s="136">
        <f>M2673+K2674-L2674</f>
        <v>424882.04605333385</v>
      </c>
    </row>
    <row r="2675" spans="1:13">
      <c r="A2675" s="54" t="str">
        <f>D2675&amp;E2675&amp;F2675</f>
        <v>CAPNOMINA SUCURSALE1</v>
      </c>
      <c r="B2675" t="s">
        <v>1560</v>
      </c>
      <c r="C2675" s="1">
        <v>45859</v>
      </c>
      <c r="D2675" s="71" t="s">
        <v>31</v>
      </c>
      <c r="E2675" s="71" t="s">
        <v>154</v>
      </c>
      <c r="F2675" s="70" t="s">
        <v>107</v>
      </c>
      <c r="G2675" s="71" t="s">
        <v>216</v>
      </c>
      <c r="J2675" s="76" t="s">
        <v>1227</v>
      </c>
      <c r="L2675" s="331">
        <v>1064</v>
      </c>
      <c r="M2675" s="136">
        <f>M2674+K2675-L2675</f>
        <v>423818.04605333385</v>
      </c>
    </row>
    <row r="2676" spans="1:13">
      <c r="A2676" s="54" t="str">
        <f>D2676&amp;E2676&amp;F2676</f>
        <v>CAPUBERCAP</v>
      </c>
      <c r="B2676" t="s">
        <v>1560</v>
      </c>
      <c r="C2676" s="1">
        <v>45859</v>
      </c>
      <c r="D2676" s="71" t="s">
        <v>31</v>
      </c>
      <c r="E2676" s="71" t="s">
        <v>189</v>
      </c>
      <c r="F2676" s="70" t="s">
        <v>31</v>
      </c>
      <c r="G2676" s="71" t="s">
        <v>216</v>
      </c>
      <c r="J2676" s="76" t="s">
        <v>253</v>
      </c>
      <c r="L2676" s="526">
        <v>384</v>
      </c>
      <c r="M2676" s="136">
        <f>M2675+K2676-L2676</f>
        <v>423434.04605333385</v>
      </c>
    </row>
    <row r="2677" spans="1:13">
      <c r="A2677" s="54" t="str">
        <f>D2677&amp;E2677&amp;F2677</f>
        <v>CAPNOMINA SUCURSALE2</v>
      </c>
      <c r="B2677" t="s">
        <v>1560</v>
      </c>
      <c r="C2677" s="1">
        <v>45859</v>
      </c>
      <c r="D2677" s="71" t="s">
        <v>31</v>
      </c>
      <c r="E2677" s="71" t="s">
        <v>154</v>
      </c>
      <c r="F2677" s="70" t="s">
        <v>108</v>
      </c>
      <c r="G2677" s="71" t="s">
        <v>216</v>
      </c>
      <c r="J2677" s="76" t="s">
        <v>1009</v>
      </c>
      <c r="L2677" s="331">
        <v>455</v>
      </c>
      <c r="M2677" s="136">
        <f>M2676+K2677-L2677</f>
        <v>422979.04605333385</v>
      </c>
    </row>
    <row r="2678" spans="1:13">
      <c r="A2678" s="54" t="str">
        <f>D2678&amp;E2678&amp;F2678</f>
        <v>CAPUBERCAP</v>
      </c>
      <c r="B2678" t="s">
        <v>1560</v>
      </c>
      <c r="C2678" s="1">
        <v>45859</v>
      </c>
      <c r="D2678" s="71" t="s">
        <v>31</v>
      </c>
      <c r="E2678" s="71" t="s">
        <v>189</v>
      </c>
      <c r="F2678" s="70" t="s">
        <v>31</v>
      </c>
      <c r="G2678" s="71" t="s">
        <v>216</v>
      </c>
      <c r="J2678" s="76" t="s">
        <v>257</v>
      </c>
      <c r="L2678" s="526">
        <v>250</v>
      </c>
      <c r="M2678" s="136">
        <f>M2677+K2678-L2678</f>
        <v>422729.04605333385</v>
      </c>
    </row>
    <row r="2679" spans="1:13">
      <c r="A2679" s="54" t="str">
        <f>D2679&amp;E2679&amp;F2679</f>
        <v>CAPNOMINA SUCURSALE4</v>
      </c>
      <c r="B2679" t="s">
        <v>1560</v>
      </c>
      <c r="C2679" s="1">
        <v>45859</v>
      </c>
      <c r="D2679" s="71" t="s">
        <v>31</v>
      </c>
      <c r="E2679" s="71" t="s">
        <v>154</v>
      </c>
      <c r="F2679" s="70" t="s">
        <v>110</v>
      </c>
      <c r="G2679" s="71" t="s">
        <v>216</v>
      </c>
      <c r="J2679" s="76" t="s">
        <v>1171</v>
      </c>
      <c r="L2679" s="331">
        <v>700</v>
      </c>
      <c r="M2679" s="136">
        <f>M2678+K2679-L2679</f>
        <v>422029.04605333385</v>
      </c>
    </row>
    <row r="2680" spans="1:13">
      <c r="A2680" s="54" t="str">
        <f>D2680&amp;E2680&amp;F2680</f>
        <v>CAPINSUMOSCAPRICHOS</v>
      </c>
      <c r="B2680" t="s">
        <v>1560</v>
      </c>
      <c r="C2680" s="1">
        <v>45859</v>
      </c>
      <c r="D2680" s="71" t="s">
        <v>31</v>
      </c>
      <c r="E2680" s="71" t="s">
        <v>133</v>
      </c>
      <c r="F2680" s="70" t="s">
        <v>33</v>
      </c>
      <c r="G2680" s="71" t="s">
        <v>216</v>
      </c>
      <c r="J2680" s="76" t="s">
        <v>406</v>
      </c>
      <c r="L2680" s="331">
        <v>111</v>
      </c>
      <c r="M2680" s="136">
        <f>M2679+K2680-L2680</f>
        <v>421918.04605333385</v>
      </c>
    </row>
    <row r="2681" spans="1:13">
      <c r="A2681" s="54" t="str">
        <f>D2681&amp;E2681&amp;F2681</f>
        <v>CAPNOMINA SUCURSALE5</v>
      </c>
      <c r="B2681" t="s">
        <v>1560</v>
      </c>
      <c r="C2681" s="1">
        <v>45859</v>
      </c>
      <c r="D2681" s="71" t="s">
        <v>31</v>
      </c>
      <c r="E2681" s="71" t="s">
        <v>154</v>
      </c>
      <c r="F2681" s="70" t="s">
        <v>111</v>
      </c>
      <c r="G2681" s="71" t="s">
        <v>216</v>
      </c>
      <c r="J2681" s="76" t="s">
        <v>314</v>
      </c>
      <c r="L2681" s="331">
        <v>1152</v>
      </c>
      <c r="M2681" s="136">
        <f>M2680+K2681-L2681</f>
        <v>420766.04605333385</v>
      </c>
    </row>
    <row r="2682" spans="1:13">
      <c r="A2682" s="54" t="str">
        <f t="shared" si="65"/>
        <v/>
      </c>
      <c r="B2682" t="s">
        <v>1560</v>
      </c>
      <c r="C2682" s="1">
        <v>45860</v>
      </c>
      <c r="D2682" s="71"/>
      <c r="F2682" s="70"/>
      <c r="J2682" s="71" t="s">
        <v>260</v>
      </c>
      <c r="K2682" s="325">
        <v>207737.03</v>
      </c>
      <c r="L2682" s="354"/>
      <c r="M2682" s="136">
        <f>M2681+K2682-L2682</f>
        <v>628503.07605333382</v>
      </c>
    </row>
    <row r="2683" spans="1:13">
      <c r="A2683" s="54" t="str">
        <f>D2683&amp;E2683&amp;F2683</f>
        <v>FINANZASCOMISIONES BANCARIASTPV</v>
      </c>
      <c r="B2683" t="s">
        <v>1560</v>
      </c>
      <c r="C2683" s="1">
        <v>45860</v>
      </c>
      <c r="D2683" s="71" t="s">
        <v>23</v>
      </c>
      <c r="E2683" s="71" t="s">
        <v>48</v>
      </c>
      <c r="F2683" s="70" t="s">
        <v>50</v>
      </c>
      <c r="G2683" s="71" t="s">
        <v>216</v>
      </c>
      <c r="J2683" s="71" t="s">
        <v>217</v>
      </c>
      <c r="L2683" s="326">
        <f>221.58+140.45+1466.95+1242.89+699.47+6.96</f>
        <v>3778.3</v>
      </c>
      <c r="M2683" s="136">
        <f>M2682+K2683-L2683</f>
        <v>624724.77605333377</v>
      </c>
    </row>
    <row r="2684" spans="1:13">
      <c r="A2684" s="54" t="str">
        <f t="shared" si="65"/>
        <v/>
      </c>
      <c r="B2684" t="s">
        <v>1560</v>
      </c>
      <c r="C2684" s="1">
        <v>45860</v>
      </c>
      <c r="D2684" s="71"/>
      <c r="F2684" s="70"/>
      <c r="H2684" s="83" t="s">
        <v>219</v>
      </c>
      <c r="J2684" s="205" t="s">
        <v>1562</v>
      </c>
      <c r="K2684" s="205"/>
      <c r="L2684" s="206">
        <v>150000</v>
      </c>
      <c r="M2684" s="136">
        <f>M2683+K2684-L2684</f>
        <v>474724.77605333377</v>
      </c>
    </row>
    <row r="2685" spans="1:13">
      <c r="A2685" s="54" t="str">
        <f t="shared" si="65"/>
        <v/>
      </c>
      <c r="B2685" t="s">
        <v>1560</v>
      </c>
      <c r="C2685" s="1">
        <v>45860</v>
      </c>
      <c r="D2685" s="71"/>
      <c r="F2685" s="70"/>
      <c r="H2685" s="83" t="s">
        <v>221</v>
      </c>
      <c r="J2685" s="205" t="s">
        <v>222</v>
      </c>
      <c r="K2685" s="205"/>
      <c r="L2685" s="205"/>
      <c r="M2685" s="136">
        <f>M2684+K2685-L2685</f>
        <v>474724.77605333377</v>
      </c>
    </row>
    <row r="2686" spans="1:13">
      <c r="A2686" s="54" t="str">
        <f t="shared" si="65"/>
        <v/>
      </c>
      <c r="B2686" t="s">
        <v>1560</v>
      </c>
      <c r="C2686" s="1">
        <v>45860</v>
      </c>
      <c r="D2686" s="71"/>
      <c r="F2686" s="70"/>
      <c r="G2686" s="71" t="s">
        <v>216</v>
      </c>
      <c r="J2686" s="71" t="s">
        <v>1679</v>
      </c>
      <c r="L2686" s="326">
        <v>500000</v>
      </c>
      <c r="M2686" s="136">
        <f t="shared" ref="M2686:M2735" si="66">M2685+K2686-L2686</f>
        <v>-25275.223946666229</v>
      </c>
    </row>
    <row r="2687" spans="1:13">
      <c r="A2687" s="54" t="str">
        <f>D2687&amp;E2687&amp;F2687</f>
        <v>HRFONDO Y REPOSICIONHR</v>
      </c>
      <c r="B2687" t="s">
        <v>1560</v>
      </c>
      <c r="C2687" s="1">
        <v>45860</v>
      </c>
      <c r="D2687" t="s">
        <v>29</v>
      </c>
      <c r="E2687" s="12" t="s">
        <v>120</v>
      </c>
      <c r="F2687" s="12" t="s">
        <v>29</v>
      </c>
      <c r="G2687" s="12"/>
      <c r="J2687" s="71" t="s">
        <v>1680</v>
      </c>
      <c r="L2687" s="326">
        <v>1582</v>
      </c>
      <c r="M2687" s="136">
        <f t="shared" si="66"/>
        <v>-26857.223946666229</v>
      </c>
    </row>
    <row r="2688" spans="1:13">
      <c r="A2688" s="54" t="str">
        <f>D2688&amp;E2688&amp;F2688</f>
        <v>HRFONDO Y REPOSICIONHR</v>
      </c>
      <c r="B2688" t="s">
        <v>1560</v>
      </c>
      <c r="C2688" s="1">
        <v>45860</v>
      </c>
      <c r="D2688" t="s">
        <v>29</v>
      </c>
      <c r="E2688" s="12" t="s">
        <v>120</v>
      </c>
      <c r="F2688" s="12" t="s">
        <v>29</v>
      </c>
      <c r="G2688" s="12"/>
      <c r="J2688" s="71" t="s">
        <v>1681</v>
      </c>
      <c r="L2688" s="326">
        <v>4000</v>
      </c>
      <c r="M2688" s="136">
        <f t="shared" si="66"/>
        <v>-30857.223946666229</v>
      </c>
    </row>
    <row r="2689" spans="1:13">
      <c r="A2689" s="54" t="str">
        <f>D2689&amp;E2689&amp;F2689</f>
        <v>CAPFONDO Y REPOSICIONCAPRICHOS</v>
      </c>
      <c r="B2689" t="s">
        <v>1560</v>
      </c>
      <c r="C2689" s="1">
        <v>45860</v>
      </c>
      <c r="D2689" t="s">
        <v>31</v>
      </c>
      <c r="E2689" s="12" t="s">
        <v>120</v>
      </c>
      <c r="F2689" s="70" t="s">
        <v>33</v>
      </c>
      <c r="G2689" s="71" t="s">
        <v>216</v>
      </c>
      <c r="J2689" s="71" t="s">
        <v>1682</v>
      </c>
      <c r="L2689" s="326">
        <v>2578</v>
      </c>
      <c r="M2689" s="136">
        <f t="shared" si="66"/>
        <v>-33435.223946666229</v>
      </c>
    </row>
    <row r="2690" spans="1:13">
      <c r="A2690" s="54" t="str">
        <f>D2690&amp;E2690&amp;F2690</f>
        <v>CAPFONDO Y REPOSICIONCAPRICHOS</v>
      </c>
      <c r="B2690" t="s">
        <v>1560</v>
      </c>
      <c r="C2690" s="1">
        <v>45860</v>
      </c>
      <c r="D2690" t="s">
        <v>31</v>
      </c>
      <c r="E2690" s="12" t="s">
        <v>120</v>
      </c>
      <c r="F2690" s="70" t="s">
        <v>33</v>
      </c>
      <c r="G2690" s="71" t="s">
        <v>216</v>
      </c>
      <c r="J2690" s="71" t="s">
        <v>1683</v>
      </c>
      <c r="L2690" s="326">
        <v>1664</v>
      </c>
      <c r="M2690" s="136">
        <f t="shared" si="66"/>
        <v>-35099.223946666229</v>
      </c>
    </row>
    <row r="2691" spans="1:13">
      <c r="A2691" s="54" t="str">
        <f>D2691&amp;E2691&amp;F2691</f>
        <v>SERVICIOSVIATICOSCEDIS</v>
      </c>
      <c r="B2691" t="s">
        <v>1560</v>
      </c>
      <c r="C2691" s="1">
        <v>45860</v>
      </c>
      <c r="D2691" s="71" t="s">
        <v>21</v>
      </c>
      <c r="E2691" s="71" t="s">
        <v>191</v>
      </c>
      <c r="F2691" s="70" t="s">
        <v>28</v>
      </c>
      <c r="G2691" s="71" t="s">
        <v>216</v>
      </c>
      <c r="J2691" s="71" t="s">
        <v>1684</v>
      </c>
      <c r="L2691" s="326">
        <v>1100</v>
      </c>
      <c r="M2691" s="136">
        <f t="shared" si="66"/>
        <v>-36199.223946666229</v>
      </c>
    </row>
    <row r="2692" spans="1:13">
      <c r="A2692" s="54" t="str">
        <f>D2692&amp;E2692&amp;F2692</f>
        <v>FINANZASINSUMOSFINANZAS</v>
      </c>
      <c r="B2692" t="s">
        <v>1560</v>
      </c>
      <c r="C2692" s="1">
        <v>45860</v>
      </c>
      <c r="D2692" s="71" t="s">
        <v>23</v>
      </c>
      <c r="E2692" s="71" t="s">
        <v>133</v>
      </c>
      <c r="F2692" s="70" t="s">
        <v>23</v>
      </c>
      <c r="G2692" s="71" t="s">
        <v>216</v>
      </c>
      <c r="J2692" s="71" t="s">
        <v>1685</v>
      </c>
      <c r="L2692" s="326">
        <v>1000</v>
      </c>
      <c r="M2692" s="136">
        <f t="shared" si="66"/>
        <v>-37199.223946666229</v>
      </c>
    </row>
    <row r="2693" spans="1:13">
      <c r="A2693" s="54" t="str">
        <f>D2693&amp;E2693&amp;F2693</f>
        <v>CAPVIATICOSCAPRICHOS</v>
      </c>
      <c r="B2693" t="s">
        <v>1560</v>
      </c>
      <c r="C2693" s="1">
        <v>45860</v>
      </c>
      <c r="D2693" s="71" t="s">
        <v>31</v>
      </c>
      <c r="E2693" s="71" t="s">
        <v>191</v>
      </c>
      <c r="F2693" s="70" t="s">
        <v>33</v>
      </c>
      <c r="G2693" s="71" t="s">
        <v>216</v>
      </c>
      <c r="J2693" s="71" t="s">
        <v>1090</v>
      </c>
      <c r="L2693" s="326">
        <v>1200</v>
      </c>
      <c r="M2693" s="136">
        <f t="shared" si="66"/>
        <v>-38399.223946666229</v>
      </c>
    </row>
    <row r="2694" spans="1:13">
      <c r="A2694" s="54" t="str">
        <f>D2694&amp;E2694&amp;F2694</f>
        <v>SERVICIOSMTTO MOBILIARIOREPARACION</v>
      </c>
      <c r="B2694" t="s">
        <v>1560</v>
      </c>
      <c r="C2694" s="1">
        <v>45860</v>
      </c>
      <c r="D2694" s="71" t="s">
        <v>21</v>
      </c>
      <c r="E2694" s="71" t="s">
        <v>145</v>
      </c>
      <c r="F2694" s="70" t="s">
        <v>146</v>
      </c>
      <c r="G2694" s="71" t="s">
        <v>258</v>
      </c>
      <c r="J2694" s="71" t="s">
        <v>1686</v>
      </c>
      <c r="L2694" s="326">
        <v>3100</v>
      </c>
      <c r="M2694" s="136">
        <f t="shared" si="66"/>
        <v>-41499.223946666229</v>
      </c>
    </row>
    <row r="2695" spans="1:13">
      <c r="A2695" s="54" t="str">
        <f>D2695&amp;E2695&amp;F2695</f>
        <v>SERVICIOSMTTO MOBILIARIOREPARACION</v>
      </c>
      <c r="B2695" t="s">
        <v>1560</v>
      </c>
      <c r="C2695" s="1">
        <v>45860</v>
      </c>
      <c r="D2695" s="71" t="s">
        <v>21</v>
      </c>
      <c r="E2695" s="178" t="s">
        <v>145</v>
      </c>
      <c r="F2695" s="70" t="s">
        <v>146</v>
      </c>
      <c r="G2695" s="71" t="s">
        <v>258</v>
      </c>
      <c r="J2695" s="71" t="s">
        <v>1687</v>
      </c>
      <c r="L2695" s="326">
        <v>4700</v>
      </c>
      <c r="M2695" s="136">
        <f t="shared" si="66"/>
        <v>-46199.223946666229</v>
      </c>
    </row>
    <row r="2696" spans="1:13">
      <c r="A2696" s="54" t="str">
        <f>D2696&amp;E2696&amp;F2696</f>
        <v>HRJMASA1</v>
      </c>
      <c r="B2696" t="s">
        <v>1560</v>
      </c>
      <c r="C2696" s="1">
        <v>45860</v>
      </c>
      <c r="D2696" s="71" t="s">
        <v>29</v>
      </c>
      <c r="E2696" s="71" t="s">
        <v>137</v>
      </c>
      <c r="F2696" s="70" t="s">
        <v>88</v>
      </c>
      <c r="G2696" s="71" t="s">
        <v>216</v>
      </c>
      <c r="J2696" s="71" t="s">
        <v>1688</v>
      </c>
      <c r="L2696" s="326">
        <v>443</v>
      </c>
      <c r="M2696" s="136">
        <f t="shared" si="66"/>
        <v>-46642.223946666229</v>
      </c>
    </row>
    <row r="2697" spans="1:13">
      <c r="A2697" s="54" t="str">
        <f>D2697&amp;E2697&amp;F2697</f>
        <v>FINANZASCUOTAS Y SUSCRIPCIONESTRAMITES</v>
      </c>
      <c r="B2697" t="s">
        <v>1560</v>
      </c>
      <c r="C2697" s="1">
        <v>45860</v>
      </c>
      <c r="D2697" s="71" t="s">
        <v>23</v>
      </c>
      <c r="E2697" s="178" t="s">
        <v>51</v>
      </c>
      <c r="F2697" s="70" t="s">
        <v>81</v>
      </c>
      <c r="G2697" s="71" t="s">
        <v>216</v>
      </c>
      <c r="J2697" s="71" t="s">
        <v>1689</v>
      </c>
      <c r="L2697" s="326">
        <v>34</v>
      </c>
      <c r="M2697" s="136">
        <f t="shared" si="66"/>
        <v>-46676.223946666229</v>
      </c>
    </row>
    <row r="2698" spans="1:13">
      <c r="A2698" s="54" t="str">
        <f>D2698&amp;E2698&amp;F2698</f>
        <v>CAPUBERCAP</v>
      </c>
      <c r="B2698" t="s">
        <v>1560</v>
      </c>
      <c r="C2698" s="1">
        <v>45860</v>
      </c>
      <c r="D2698" s="71" t="s">
        <v>31</v>
      </c>
      <c r="E2698" s="71" t="s">
        <v>189</v>
      </c>
      <c r="F2698" s="70" t="s">
        <v>31</v>
      </c>
      <c r="G2698" s="71" t="s">
        <v>216</v>
      </c>
      <c r="J2698" s="76" t="s">
        <v>253</v>
      </c>
      <c r="L2698" s="526">
        <v>299</v>
      </c>
      <c r="M2698" s="136">
        <f t="shared" si="66"/>
        <v>-46975.223946666229</v>
      </c>
    </row>
    <row r="2699" spans="1:13">
      <c r="A2699" s="54" t="str">
        <f>D2699&amp;E2699&amp;F2699</f>
        <v>CAPUBERCAP</v>
      </c>
      <c r="B2699" t="s">
        <v>1560</v>
      </c>
      <c r="C2699" s="1">
        <v>45860</v>
      </c>
      <c r="D2699" s="71" t="s">
        <v>31</v>
      </c>
      <c r="E2699" s="71" t="s">
        <v>189</v>
      </c>
      <c r="F2699" s="70" t="s">
        <v>31</v>
      </c>
      <c r="G2699" s="71" t="s">
        <v>216</v>
      </c>
      <c r="J2699" s="76" t="s">
        <v>257</v>
      </c>
      <c r="L2699" s="526">
        <v>250</v>
      </c>
      <c r="M2699" s="136">
        <f t="shared" si="66"/>
        <v>-47225.223946666229</v>
      </c>
    </row>
    <row r="2700" spans="1:13">
      <c r="A2700" s="54" t="str">
        <f t="shared" si="65"/>
        <v/>
      </c>
      <c r="B2700" t="s">
        <v>1560</v>
      </c>
      <c r="C2700" s="1">
        <v>45861</v>
      </c>
      <c r="D2700" s="71"/>
      <c r="F2700" s="70"/>
      <c r="J2700" s="71" t="s">
        <v>260</v>
      </c>
      <c r="K2700" s="325">
        <v>206292.73</v>
      </c>
      <c r="L2700" s="354"/>
      <c r="M2700" s="136">
        <f t="shared" si="66"/>
        <v>159067.50605333378</v>
      </c>
    </row>
    <row r="2701" spans="1:13">
      <c r="A2701" s="54" t="str">
        <f>D2701&amp;E2701&amp;F2701</f>
        <v>FINANZASCOMISIONES BANCARIASTPV</v>
      </c>
      <c r="B2701" t="s">
        <v>1560</v>
      </c>
      <c r="C2701" s="1">
        <v>45861</v>
      </c>
      <c r="D2701" s="71" t="s">
        <v>23</v>
      </c>
      <c r="E2701" s="71" t="s">
        <v>48</v>
      </c>
      <c r="F2701" s="70" t="s">
        <v>50</v>
      </c>
      <c r="G2701" s="71" t="s">
        <v>216</v>
      </c>
      <c r="J2701" s="71" t="s">
        <v>217</v>
      </c>
      <c r="L2701" s="376">
        <f>233.96+154.37+1590.89+1022.35+739.01+41.76</f>
        <v>3782.34</v>
      </c>
      <c r="M2701" s="136">
        <f t="shared" si="66"/>
        <v>155285.16605333379</v>
      </c>
    </row>
    <row r="2702" spans="1:13">
      <c r="A2702" s="54" t="str">
        <f t="shared" si="65"/>
        <v/>
      </c>
      <c r="B2702" t="s">
        <v>1560</v>
      </c>
      <c r="C2702" s="1">
        <v>45861</v>
      </c>
      <c r="D2702" s="71"/>
      <c r="F2702" s="70"/>
      <c r="H2702" s="83" t="s">
        <v>219</v>
      </c>
      <c r="J2702" s="205" t="s">
        <v>1562</v>
      </c>
      <c r="K2702" s="205"/>
      <c r="L2702" s="206">
        <v>200000</v>
      </c>
      <c r="M2702" s="136">
        <f t="shared" si="66"/>
        <v>-44714.833946666215</v>
      </c>
    </row>
    <row r="2703" spans="1:13">
      <c r="A2703" s="54" t="str">
        <f t="shared" si="65"/>
        <v/>
      </c>
      <c r="B2703" t="s">
        <v>1560</v>
      </c>
      <c r="C2703" s="1">
        <v>45861</v>
      </c>
      <c r="D2703" s="71"/>
      <c r="F2703" s="70"/>
      <c r="H2703" s="83" t="s">
        <v>221</v>
      </c>
      <c r="J2703" s="205" t="s">
        <v>222</v>
      </c>
      <c r="K2703" s="205"/>
      <c r="L2703" s="205"/>
      <c r="M2703" s="136">
        <f t="shared" si="66"/>
        <v>-44714.833946666215</v>
      </c>
    </row>
    <row r="2704" spans="1:13">
      <c r="A2704" s="54" t="str">
        <f>D2704&amp;E2704&amp;F2704</f>
        <v>HRFONDO Y REPOSICIONHR</v>
      </c>
      <c r="B2704" t="s">
        <v>1560</v>
      </c>
      <c r="C2704" s="1">
        <v>45861</v>
      </c>
      <c r="D2704" s="71" t="s">
        <v>29</v>
      </c>
      <c r="E2704" s="71" t="s">
        <v>120</v>
      </c>
      <c r="F2704" s="70" t="s">
        <v>29</v>
      </c>
      <c r="G2704" s="71" t="s">
        <v>216</v>
      </c>
      <c r="J2704" s="71" t="s">
        <v>1690</v>
      </c>
      <c r="L2704" s="326">
        <v>210</v>
      </c>
      <c r="M2704" s="136">
        <f t="shared" si="66"/>
        <v>-44924.833946666215</v>
      </c>
    </row>
    <row r="2705" spans="1:13">
      <c r="A2705" s="54" t="str">
        <f>D2705&amp;E2705&amp;F2705</f>
        <v>HRVIATICOSHR</v>
      </c>
      <c r="B2705" t="s">
        <v>1560</v>
      </c>
      <c r="C2705" s="1">
        <v>45861</v>
      </c>
      <c r="D2705" s="71" t="s">
        <v>29</v>
      </c>
      <c r="E2705" s="71" t="s">
        <v>191</v>
      </c>
      <c r="F2705" s="70" t="s">
        <v>29</v>
      </c>
      <c r="G2705" s="71" t="s">
        <v>216</v>
      </c>
      <c r="J2705" s="71" t="s">
        <v>1014</v>
      </c>
      <c r="L2705" s="326">
        <v>2200</v>
      </c>
      <c r="M2705" s="136">
        <f t="shared" si="66"/>
        <v>-47124.833946666215</v>
      </c>
    </row>
    <row r="2706" spans="1:13">
      <c r="A2706" s="54" t="str">
        <f>D2706&amp;E2706&amp;F2706</f>
        <v>SERVICIOSMTTO DE EDIFICIOMANTENIMIENTO</v>
      </c>
      <c r="B2706" t="s">
        <v>1560</v>
      </c>
      <c r="C2706" s="1">
        <v>45861</v>
      </c>
      <c r="D2706" s="71" t="s">
        <v>21</v>
      </c>
      <c r="E2706" s="71" t="s">
        <v>142</v>
      </c>
      <c r="F2706" s="70" t="s">
        <v>35</v>
      </c>
      <c r="G2706" s="71" t="s">
        <v>216</v>
      </c>
      <c r="J2706" s="71" t="s">
        <v>1691</v>
      </c>
      <c r="L2706" s="326">
        <v>3150</v>
      </c>
      <c r="M2706" s="136">
        <f t="shared" si="66"/>
        <v>-50274.833946666215</v>
      </c>
    </row>
    <row r="2707" spans="1:13">
      <c r="A2707" s="54" t="str">
        <f>D2707&amp;E2707&amp;F2707</f>
        <v>SERVICIOSFONDO Y REPOSICIONSERVICIOS</v>
      </c>
      <c r="B2707" t="s">
        <v>1560</v>
      </c>
      <c r="C2707" s="1">
        <v>45861</v>
      </c>
      <c r="D2707" s="71" t="s">
        <v>21</v>
      </c>
      <c r="E2707" s="71" t="s">
        <v>120</v>
      </c>
      <c r="F2707" s="70" t="s">
        <v>21</v>
      </c>
      <c r="G2707" s="71" t="s">
        <v>216</v>
      </c>
      <c r="J2707" s="71" t="s">
        <v>1692</v>
      </c>
      <c r="L2707" s="326">
        <v>2000</v>
      </c>
      <c r="M2707" s="136">
        <f t="shared" si="66"/>
        <v>-52274.833946666215</v>
      </c>
    </row>
    <row r="2708" spans="1:13">
      <c r="A2708" s="54" t="str">
        <f>D2708&amp;E2708&amp;F2708</f>
        <v>SERVICIOSMTTO DE EDIFICIOMANTENIMIENTO</v>
      </c>
      <c r="B2708" t="s">
        <v>1560</v>
      </c>
      <c r="C2708" s="1">
        <v>45861</v>
      </c>
      <c r="D2708" s="71" t="s">
        <v>21</v>
      </c>
      <c r="E2708" s="71" t="s">
        <v>142</v>
      </c>
      <c r="F2708" s="70" t="s">
        <v>35</v>
      </c>
      <c r="G2708" s="71" t="s">
        <v>258</v>
      </c>
      <c r="J2708" s="71" t="s">
        <v>1693</v>
      </c>
      <c r="L2708" s="326">
        <v>6300</v>
      </c>
      <c r="M2708" s="136">
        <f t="shared" si="66"/>
        <v>-58574.833946666215</v>
      </c>
    </row>
    <row r="2709" spans="1:13">
      <c r="A2709" s="54" t="str">
        <f>D2709&amp;E2709&amp;F2709</f>
        <v>HRFONDO Y REPOSICIONHR</v>
      </c>
      <c r="B2709" t="s">
        <v>1560</v>
      </c>
      <c r="C2709" s="1">
        <v>45861</v>
      </c>
      <c r="D2709" s="71" t="s">
        <v>29</v>
      </c>
      <c r="E2709" s="71" t="s">
        <v>120</v>
      </c>
      <c r="F2709" s="70" t="s">
        <v>29</v>
      </c>
      <c r="G2709" s="71" t="s">
        <v>216</v>
      </c>
      <c r="J2709" s="71" t="s">
        <v>1694</v>
      </c>
      <c r="L2709" s="326">
        <v>1418</v>
      </c>
      <c r="M2709" s="136">
        <f t="shared" si="66"/>
        <v>-59992.833946666215</v>
      </c>
    </row>
    <row r="2710" spans="1:13">
      <c r="A2710" s="54" t="str">
        <f>D2710&amp;E2710&amp;F2710</f>
        <v>SERVICIOSMTTO DE EDIFICIOMANTENIMIENTO</v>
      </c>
      <c r="B2710" t="s">
        <v>1560</v>
      </c>
      <c r="C2710" s="1">
        <v>45861</v>
      </c>
      <c r="D2710" s="71" t="s">
        <v>21</v>
      </c>
      <c r="E2710" s="71" t="s">
        <v>142</v>
      </c>
      <c r="F2710" s="70" t="s">
        <v>35</v>
      </c>
      <c r="G2710" s="71" t="s">
        <v>216</v>
      </c>
      <c r="J2710" s="71" t="s">
        <v>1695</v>
      </c>
      <c r="L2710" s="326">
        <v>1190.1600000000001</v>
      </c>
      <c r="M2710" s="136">
        <f t="shared" si="66"/>
        <v>-61182.993946666218</v>
      </c>
    </row>
    <row r="2711" spans="1:13">
      <c r="A2711" s="54" t="str">
        <f>D2711&amp;E2711&amp;F2711</f>
        <v>SERVICIOSCUOTAS Y SUSCRIPCIONESDOMINIOS DE PAGINAS</v>
      </c>
      <c r="B2711" t="s">
        <v>1560</v>
      </c>
      <c r="C2711" s="1">
        <v>45861</v>
      </c>
      <c r="D2711" t="s">
        <v>21</v>
      </c>
      <c r="E2711" t="s">
        <v>51</v>
      </c>
      <c r="F2711" s="70" t="s">
        <v>62</v>
      </c>
      <c r="G2711" s="71" t="s">
        <v>258</v>
      </c>
      <c r="J2711" s="71" t="s">
        <v>1696</v>
      </c>
      <c r="L2711" s="326">
        <v>1519.6</v>
      </c>
      <c r="M2711" s="136">
        <f t="shared" si="66"/>
        <v>-62702.593946666217</v>
      </c>
    </row>
    <row r="2712" spans="1:13">
      <c r="A2712" s="54" t="str">
        <f>D2712&amp;E2712&amp;F2712</f>
        <v>SERVICIOSMTTO DE EDIFICIOMANTENIMIENTO</v>
      </c>
      <c r="B2712" t="s">
        <v>1560</v>
      </c>
      <c r="C2712" s="1">
        <v>45861</v>
      </c>
      <c r="D2712" t="s">
        <v>21</v>
      </c>
      <c r="E2712" s="12" t="s">
        <v>142</v>
      </c>
      <c r="F2712" s="70" t="s">
        <v>35</v>
      </c>
      <c r="G2712" s="71" t="s">
        <v>258</v>
      </c>
      <c r="J2712" s="71" t="s">
        <v>1697</v>
      </c>
      <c r="L2712" s="326">
        <v>3371.58</v>
      </c>
      <c r="M2712" s="136">
        <f t="shared" si="66"/>
        <v>-66074.173946666211</v>
      </c>
    </row>
    <row r="2713" spans="1:13">
      <c r="A2713" s="54" t="str">
        <f>D2713&amp;E2713&amp;F2713</f>
        <v>SERVICIOSMTTO DE EDIFICIOMANTENIMIENTO</v>
      </c>
      <c r="B2713" t="s">
        <v>1560</v>
      </c>
      <c r="C2713" s="1">
        <v>45861</v>
      </c>
      <c r="D2713" t="s">
        <v>21</v>
      </c>
      <c r="E2713" s="12" t="s">
        <v>142</v>
      </c>
      <c r="F2713" s="70" t="s">
        <v>35</v>
      </c>
      <c r="J2713" s="71" t="s">
        <v>1698</v>
      </c>
      <c r="L2713" s="326">
        <v>3200</v>
      </c>
      <c r="M2713" s="136">
        <f t="shared" si="66"/>
        <v>-69274.173946666211</v>
      </c>
    </row>
    <row r="2714" spans="1:13">
      <c r="A2714" s="54" t="str">
        <f>D2714&amp;E2714&amp;F2714</f>
        <v>HRUBERHR</v>
      </c>
      <c r="B2714" t="s">
        <v>1560</v>
      </c>
      <c r="C2714" s="1">
        <v>45861</v>
      </c>
      <c r="D2714" s="71" t="s">
        <v>29</v>
      </c>
      <c r="E2714" s="71" t="s">
        <v>189</v>
      </c>
      <c r="F2714" s="70" t="s">
        <v>29</v>
      </c>
      <c r="J2714" s="76" t="s">
        <v>1699</v>
      </c>
      <c r="L2714" s="526">
        <v>125</v>
      </c>
      <c r="M2714" s="136">
        <f t="shared" si="66"/>
        <v>-69399.173946666211</v>
      </c>
    </row>
    <row r="2715" spans="1:13">
      <c r="A2715" s="54" t="str">
        <f>D2715&amp;E2715&amp;F2715</f>
        <v>SERVICIOSMTTO DE EDIFICIOMANTENIMIENTO</v>
      </c>
      <c r="B2715" t="s">
        <v>1560</v>
      </c>
      <c r="C2715" s="1">
        <v>45861</v>
      </c>
      <c r="D2715" t="s">
        <v>21</v>
      </c>
      <c r="E2715" s="12" t="s">
        <v>142</v>
      </c>
      <c r="F2715" s="70" t="s">
        <v>35</v>
      </c>
      <c r="J2715" s="76" t="s">
        <v>1700</v>
      </c>
      <c r="L2715" s="331">
        <v>950</v>
      </c>
      <c r="M2715" s="136">
        <f t="shared" si="66"/>
        <v>-70349.173946666211</v>
      </c>
    </row>
    <row r="2716" spans="1:13">
      <c r="A2716" s="54" t="str">
        <f>D2716&amp;E2716&amp;F2716</f>
        <v>CAPUBERCAP</v>
      </c>
      <c r="B2716" t="s">
        <v>1560</v>
      </c>
      <c r="C2716" s="1">
        <v>45861</v>
      </c>
      <c r="D2716" s="71" t="s">
        <v>31</v>
      </c>
      <c r="E2716" s="71" t="s">
        <v>189</v>
      </c>
      <c r="F2716" s="70" t="s">
        <v>31</v>
      </c>
      <c r="J2716" s="76" t="s">
        <v>1701</v>
      </c>
      <c r="L2716" s="526">
        <v>235</v>
      </c>
      <c r="M2716" s="136">
        <f t="shared" si="66"/>
        <v>-70584.173946666211</v>
      </c>
    </row>
    <row r="2717" spans="1:13">
      <c r="A2717" s="54" t="str">
        <f>D2717&amp;E2717&amp;F2717</f>
        <v>CAPUBERCAP</v>
      </c>
      <c r="B2717" t="s">
        <v>1560</v>
      </c>
      <c r="C2717" s="1">
        <v>45861</v>
      </c>
      <c r="D2717" s="71" t="s">
        <v>31</v>
      </c>
      <c r="E2717" s="71" t="s">
        <v>189</v>
      </c>
      <c r="F2717" s="70" t="s">
        <v>31</v>
      </c>
      <c r="J2717" s="76" t="s">
        <v>1702</v>
      </c>
      <c r="L2717" s="526">
        <v>56</v>
      </c>
      <c r="M2717" s="136">
        <f>M2716+K2717-L2717</f>
        <v>-70640.173946666211</v>
      </c>
    </row>
    <row r="2718" spans="1:13">
      <c r="A2718" s="54" t="str">
        <f t="shared" ref="A2704:A2768" si="67">D2718&amp;E2718&amp;F2718</f>
        <v/>
      </c>
      <c r="B2718" t="s">
        <v>1560</v>
      </c>
      <c r="C2718" s="1">
        <v>45862</v>
      </c>
      <c r="D2718" s="71"/>
      <c r="F2718" s="70"/>
      <c r="J2718" s="71" t="s">
        <v>260</v>
      </c>
      <c r="K2718" s="325">
        <v>219928.02165000001</v>
      </c>
      <c r="L2718" s="354"/>
      <c r="M2718" s="136">
        <f t="shared" si="66"/>
        <v>149287.8477033338</v>
      </c>
    </row>
    <row r="2719" spans="1:13">
      <c r="A2719" s="54" t="str">
        <f>D2719&amp;E2719&amp;F2719</f>
        <v>FINANZASCOMISIONES BANCARIASTPV</v>
      </c>
      <c r="B2719" t="s">
        <v>1560</v>
      </c>
      <c r="C2719" s="1">
        <v>45862</v>
      </c>
      <c r="D2719" s="71" t="s">
        <v>23</v>
      </c>
      <c r="E2719" s="71" t="s">
        <v>48</v>
      </c>
      <c r="F2719" s="70" t="s">
        <v>50</v>
      </c>
      <c r="G2719" s="71" t="s">
        <v>216</v>
      </c>
      <c r="J2719" s="71" t="s">
        <v>217</v>
      </c>
      <c r="L2719" s="376">
        <f>259.39+135.63+1446.13+1359+788.68+10.44+10.44</f>
        <v>4009.71</v>
      </c>
      <c r="M2719" s="136">
        <f t="shared" si="66"/>
        <v>145278.13770333381</v>
      </c>
    </row>
    <row r="2720" spans="1:13">
      <c r="A2720" s="54" t="str">
        <f t="shared" si="67"/>
        <v/>
      </c>
      <c r="B2720" t="s">
        <v>1560</v>
      </c>
      <c r="C2720" s="1">
        <v>45862</v>
      </c>
      <c r="D2720" s="71"/>
      <c r="F2720" s="70"/>
      <c r="H2720" s="83" t="s">
        <v>219</v>
      </c>
      <c r="J2720" s="205" t="s">
        <v>1562</v>
      </c>
      <c r="K2720" s="205"/>
      <c r="L2720" s="206">
        <v>200000</v>
      </c>
      <c r="M2720" s="136">
        <f t="shared" si="66"/>
        <v>-54721.862296666193</v>
      </c>
    </row>
    <row r="2721" spans="1:13">
      <c r="A2721" s="54" t="str">
        <f>D2721&amp;E2721&amp;F2721</f>
        <v>FINANZASVIATICOSFINANZAS</v>
      </c>
      <c r="B2721" t="s">
        <v>1560</v>
      </c>
      <c r="C2721" s="1">
        <v>45862</v>
      </c>
      <c r="D2721" s="71" t="s">
        <v>23</v>
      </c>
      <c r="E2721" s="71" t="s">
        <v>191</v>
      </c>
      <c r="F2721" s="70" t="s">
        <v>23</v>
      </c>
      <c r="J2721" s="71" t="s">
        <v>498</v>
      </c>
      <c r="L2721" s="326">
        <v>800</v>
      </c>
      <c r="M2721" s="136">
        <f t="shared" si="66"/>
        <v>-55521.862296666193</v>
      </c>
    </row>
    <row r="2722" spans="1:13">
      <c r="A2722" s="54" t="str">
        <f>D2722&amp;E2722&amp;F2722</f>
        <v>SERVICIOSPAQUETERIACT INTERNACIONAL</v>
      </c>
      <c r="B2722" t="s">
        <v>1560</v>
      </c>
      <c r="C2722" s="1">
        <v>45862</v>
      </c>
      <c r="D2722" t="s">
        <v>21</v>
      </c>
      <c r="E2722" t="s">
        <v>160</v>
      </c>
      <c r="F2722" s="70" t="s">
        <v>162</v>
      </c>
      <c r="J2722" s="71" t="s">
        <v>1703</v>
      </c>
      <c r="L2722" s="326">
        <v>140</v>
      </c>
      <c r="M2722" s="136">
        <f t="shared" si="66"/>
        <v>-55661.862296666193</v>
      </c>
    </row>
    <row r="2723" spans="1:13">
      <c r="A2723" s="54" t="str">
        <f>D2723&amp;E2723&amp;F2723</f>
        <v>SERVICIOSVIATICOSCOMPRAS</v>
      </c>
      <c r="B2723" t="s">
        <v>1560</v>
      </c>
      <c r="C2723" s="1">
        <v>45862</v>
      </c>
      <c r="D2723" s="71" t="s">
        <v>21</v>
      </c>
      <c r="E2723" s="71" t="s">
        <v>191</v>
      </c>
      <c r="F2723" s="70" t="s">
        <v>148</v>
      </c>
      <c r="J2723" s="71" t="s">
        <v>1704</v>
      </c>
      <c r="L2723" s="326">
        <v>500</v>
      </c>
      <c r="M2723" s="136">
        <f t="shared" si="66"/>
        <v>-56161.862296666193</v>
      </c>
    </row>
    <row r="2724" spans="1:13">
      <c r="A2724" s="54" t="str">
        <f>D2724&amp;E2724&amp;F2724</f>
        <v>SERVICIOSCOMBUSTIBLECEDIS</v>
      </c>
      <c r="B2724" t="s">
        <v>1560</v>
      </c>
      <c r="C2724" s="1">
        <v>45862</v>
      </c>
      <c r="D2724" t="s">
        <v>21</v>
      </c>
      <c r="E2724" s="12" t="s">
        <v>32</v>
      </c>
      <c r="F2724" s="70" t="s">
        <v>28</v>
      </c>
      <c r="J2724" s="71" t="s">
        <v>1705</v>
      </c>
      <c r="L2724" s="326">
        <v>300</v>
      </c>
      <c r="M2724" s="136">
        <f t="shared" si="66"/>
        <v>-56461.862296666193</v>
      </c>
    </row>
    <row r="2725" spans="1:13">
      <c r="A2725" s="54" t="str">
        <f>D2725&amp;E2725&amp;F2725</f>
        <v>FINANZASCUOTAS Y SUSCRIPCIONESTRAMITES</v>
      </c>
      <c r="B2725" t="s">
        <v>1560</v>
      </c>
      <c r="C2725" s="1">
        <v>45862</v>
      </c>
      <c r="D2725" s="71" t="s">
        <v>23</v>
      </c>
      <c r="E2725" s="178" t="s">
        <v>51</v>
      </c>
      <c r="F2725" s="70" t="s">
        <v>81</v>
      </c>
      <c r="J2725" s="71" t="s">
        <v>1706</v>
      </c>
      <c r="L2725" s="326">
        <v>23545</v>
      </c>
      <c r="M2725" s="136">
        <f t="shared" si="66"/>
        <v>-80006.862296666193</v>
      </c>
    </row>
    <row r="2726" spans="1:13">
      <c r="A2726" s="54" t="str">
        <f>D2726&amp;E2726&amp;F2726</f>
        <v>SERVICIOSTELEPEAJECEDIS</v>
      </c>
      <c r="B2726" t="s">
        <v>1560</v>
      </c>
      <c r="C2726" s="1">
        <v>45862</v>
      </c>
      <c r="D2726" t="s">
        <v>21</v>
      </c>
      <c r="E2726" t="s">
        <v>186</v>
      </c>
      <c r="F2726" t="s">
        <v>28</v>
      </c>
      <c r="J2726" s="71" t="s">
        <v>1707</v>
      </c>
      <c r="L2726" s="326">
        <v>3601</v>
      </c>
      <c r="M2726" s="136">
        <f t="shared" si="66"/>
        <v>-83607.862296666193</v>
      </c>
    </row>
    <row r="2727" spans="1:13">
      <c r="A2727" s="54" t="str">
        <f>D2727&amp;E2727&amp;F2727</f>
        <v>HRTELEPEAJEOP HR</v>
      </c>
      <c r="B2727" t="s">
        <v>1560</v>
      </c>
      <c r="C2727" s="1">
        <v>45862</v>
      </c>
      <c r="D2727" t="s">
        <v>29</v>
      </c>
      <c r="E2727" t="s">
        <v>186</v>
      </c>
      <c r="F2727" s="143" t="s">
        <v>187</v>
      </c>
      <c r="J2727" s="71" t="s">
        <v>1708</v>
      </c>
      <c r="L2727" s="326">
        <v>2582</v>
      </c>
      <c r="M2727" s="136">
        <f t="shared" si="66"/>
        <v>-86189.862296666193</v>
      </c>
    </row>
    <row r="2728" spans="1:13">
      <c r="A2728" s="54" t="str">
        <f>D2728&amp;E2728&amp;F2728</f>
        <v>FINANZASTELEPEAJEFINANZAS</v>
      </c>
      <c r="B2728" t="s">
        <v>1560</v>
      </c>
      <c r="C2728" s="1">
        <v>45862</v>
      </c>
      <c r="D2728" t="s">
        <v>23</v>
      </c>
      <c r="E2728" t="s">
        <v>186</v>
      </c>
      <c r="F2728" t="s">
        <v>23</v>
      </c>
      <c r="J2728" s="71" t="s">
        <v>1709</v>
      </c>
      <c r="L2728" s="326">
        <v>836</v>
      </c>
      <c r="M2728" s="136">
        <f t="shared" si="66"/>
        <v>-87025.862296666193</v>
      </c>
    </row>
    <row r="2729" spans="1:13">
      <c r="A2729" s="54" t="str">
        <f>D2729&amp;E2729&amp;F2729</f>
        <v>HRUBERHR</v>
      </c>
      <c r="B2729" t="s">
        <v>1560</v>
      </c>
      <c r="C2729" s="1">
        <v>45862</v>
      </c>
      <c r="D2729" s="71" t="s">
        <v>29</v>
      </c>
      <c r="E2729" s="71" t="s">
        <v>189</v>
      </c>
      <c r="F2729" s="70" t="s">
        <v>29</v>
      </c>
      <c r="J2729" s="76" t="s">
        <v>1710</v>
      </c>
      <c r="L2729" s="526">
        <v>100</v>
      </c>
      <c r="M2729" s="136">
        <f>M2726+K2729-L2729</f>
        <v>-83707.862296666193</v>
      </c>
    </row>
    <row r="2730" spans="1:13">
      <c r="A2730" s="54" t="str">
        <f>D2730&amp;E2730&amp;F2730</f>
        <v>HRINSUMOSHR</v>
      </c>
      <c r="B2730" t="s">
        <v>1560</v>
      </c>
      <c r="C2730" s="1">
        <v>45862</v>
      </c>
      <c r="D2730" t="s">
        <v>29</v>
      </c>
      <c r="E2730" s="12" t="s">
        <v>133</v>
      </c>
      <c r="F2730" s="12" t="s">
        <v>29</v>
      </c>
      <c r="J2730" s="76" t="s">
        <v>1711</v>
      </c>
      <c r="L2730" s="331">
        <v>64</v>
      </c>
      <c r="M2730" s="136">
        <f t="shared" si="66"/>
        <v>-83771.862296666193</v>
      </c>
    </row>
    <row r="2731" spans="1:13">
      <c r="A2731" s="54" t="str">
        <f>D2731&amp;E2731&amp;F2731</f>
        <v>HRUBERHR</v>
      </c>
      <c r="B2731" t="s">
        <v>1560</v>
      </c>
      <c r="C2731" s="1">
        <v>45862</v>
      </c>
      <c r="D2731" s="71" t="s">
        <v>29</v>
      </c>
      <c r="E2731" s="71" t="s">
        <v>189</v>
      </c>
      <c r="F2731" s="70" t="s">
        <v>29</v>
      </c>
      <c r="J2731" s="76" t="s">
        <v>1712</v>
      </c>
      <c r="L2731" s="526">
        <v>140</v>
      </c>
      <c r="M2731" s="136">
        <f t="shared" si="66"/>
        <v>-83911.862296666193</v>
      </c>
    </row>
    <row r="2732" spans="1:13">
      <c r="A2732" s="54" t="str">
        <f>D2732&amp;E2732&amp;F2732</f>
        <v>CAPUBERCAP</v>
      </c>
      <c r="B2732" t="s">
        <v>1560</v>
      </c>
      <c r="C2732" s="1">
        <v>45862</v>
      </c>
      <c r="D2732" s="71" t="s">
        <v>31</v>
      </c>
      <c r="E2732" s="71" t="s">
        <v>189</v>
      </c>
      <c r="F2732" s="70" t="s">
        <v>31</v>
      </c>
      <c r="J2732" s="76" t="s">
        <v>1713</v>
      </c>
      <c r="L2732" s="526">
        <v>321</v>
      </c>
      <c r="M2732" s="136">
        <f t="shared" si="66"/>
        <v>-84232.862296666193</v>
      </c>
    </row>
    <row r="2733" spans="1:13">
      <c r="A2733" s="54" t="str">
        <f>D2733&amp;E2733&amp;F2733</f>
        <v>CAPUBERCAP</v>
      </c>
      <c r="B2733" t="s">
        <v>1560</v>
      </c>
      <c r="C2733" s="1">
        <v>45862</v>
      </c>
      <c r="D2733" s="71" t="s">
        <v>31</v>
      </c>
      <c r="E2733" s="71" t="s">
        <v>189</v>
      </c>
      <c r="F2733" s="70" t="s">
        <v>31</v>
      </c>
      <c r="J2733" s="76" t="s">
        <v>1714</v>
      </c>
      <c r="L2733" s="526">
        <v>90</v>
      </c>
      <c r="M2733" s="136">
        <f t="shared" si="66"/>
        <v>-84322.862296666193</v>
      </c>
    </row>
    <row r="2734" spans="1:13">
      <c r="A2734" s="54" t="str">
        <f t="shared" si="67"/>
        <v/>
      </c>
      <c r="B2734" t="s">
        <v>1560</v>
      </c>
      <c r="C2734" s="1">
        <v>45863</v>
      </c>
      <c r="D2734" s="71"/>
      <c r="F2734" s="70"/>
      <c r="J2734" s="71" t="s">
        <v>260</v>
      </c>
      <c r="K2734" s="325">
        <v>246062.03</v>
      </c>
      <c r="L2734" s="354"/>
      <c r="M2734" s="136">
        <f t="shared" si="66"/>
        <v>161739.16770333381</v>
      </c>
    </row>
    <row r="2735" spans="1:13">
      <c r="A2735" s="54" t="str">
        <f>D2735&amp;E2735&amp;F2735</f>
        <v>FINANZASCOMISIONES BANCARIASTPV</v>
      </c>
      <c r="B2735" t="s">
        <v>1560</v>
      </c>
      <c r="C2735" s="1">
        <v>45863</v>
      </c>
      <c r="D2735" s="71" t="s">
        <v>23</v>
      </c>
      <c r="E2735" s="71" t="s">
        <v>48</v>
      </c>
      <c r="F2735" s="70" t="s">
        <v>50</v>
      </c>
      <c r="J2735" s="71" t="s">
        <v>217</v>
      </c>
      <c r="L2735" s="354">
        <f>329.57+252.53+1976.38+1508.89+1258.73+3.48</f>
        <v>5329.58</v>
      </c>
      <c r="M2735" s="136">
        <f t="shared" si="66"/>
        <v>156409.58770333382</v>
      </c>
    </row>
    <row r="2736" spans="1:13">
      <c r="A2736" s="54" t="str">
        <f t="shared" si="67"/>
        <v/>
      </c>
      <c r="B2736" t="s">
        <v>1560</v>
      </c>
      <c r="C2736" s="1">
        <v>45863</v>
      </c>
      <c r="D2736" s="71"/>
      <c r="F2736" s="70"/>
      <c r="H2736" s="83" t="s">
        <v>219</v>
      </c>
      <c r="J2736" s="205" t="s">
        <v>1562</v>
      </c>
      <c r="K2736" s="205"/>
      <c r="L2736" s="206">
        <v>5000</v>
      </c>
      <c r="M2736" s="136">
        <f>M2735+K2736-L2736</f>
        <v>151409.58770333382</v>
      </c>
    </row>
    <row r="2737" spans="1:13">
      <c r="A2737" s="54" t="str">
        <f t="shared" si="67"/>
        <v/>
      </c>
      <c r="B2737" t="s">
        <v>1560</v>
      </c>
      <c r="C2737" s="1">
        <v>45863</v>
      </c>
      <c r="D2737" s="71"/>
      <c r="F2737" s="70"/>
      <c r="H2737" s="83" t="s">
        <v>221</v>
      </c>
      <c r="J2737" s="205" t="s">
        <v>222</v>
      </c>
      <c r="K2737" s="205"/>
      <c r="L2737" s="206">
        <v>120000</v>
      </c>
      <c r="M2737" s="136">
        <f t="shared" ref="M2737:M2758" si="68">M2736+K2737-L2737</f>
        <v>31409.587703333818</v>
      </c>
    </row>
    <row r="2738" spans="1:13">
      <c r="A2738" s="54" t="str">
        <f>D2738&amp;E2738&amp;F2738</f>
        <v>HRUBERHR</v>
      </c>
      <c r="B2738" t="s">
        <v>1560</v>
      </c>
      <c r="C2738" s="1">
        <v>45863</v>
      </c>
      <c r="D2738" s="71" t="s">
        <v>29</v>
      </c>
      <c r="E2738" s="71" t="s">
        <v>189</v>
      </c>
      <c r="F2738" s="70" t="s">
        <v>29</v>
      </c>
      <c r="J2738" s="76" t="s">
        <v>1715</v>
      </c>
      <c r="L2738" s="526">
        <v>158</v>
      </c>
      <c r="M2738" s="136">
        <f t="shared" si="68"/>
        <v>31251.587703333818</v>
      </c>
    </row>
    <row r="2739" spans="1:13">
      <c r="A2739" s="54" t="str">
        <f>D2739&amp;E2739&amp;F2739</f>
        <v>SERVICIOSMTTO DE EDIFICIOMANTENIMIENTO</v>
      </c>
      <c r="B2739" t="s">
        <v>1560</v>
      </c>
      <c r="C2739" s="1">
        <v>45863</v>
      </c>
      <c r="D2739" t="s">
        <v>21</v>
      </c>
      <c r="E2739" s="12" t="s">
        <v>142</v>
      </c>
      <c r="F2739" s="70" t="s">
        <v>35</v>
      </c>
      <c r="J2739" s="76" t="s">
        <v>1716</v>
      </c>
      <c r="L2739" s="331">
        <v>1542</v>
      </c>
      <c r="M2739" s="136">
        <f t="shared" si="68"/>
        <v>29709.587703333818</v>
      </c>
    </row>
    <row r="2740" spans="1:13">
      <c r="A2740" s="54" t="str">
        <f>D2740&amp;E2740&amp;F2740</f>
        <v>HRINSUMOSHR</v>
      </c>
      <c r="B2740" t="s">
        <v>1560</v>
      </c>
      <c r="C2740" s="1">
        <v>45863</v>
      </c>
      <c r="D2740" t="s">
        <v>29</v>
      </c>
      <c r="E2740" s="12" t="s">
        <v>133</v>
      </c>
      <c r="F2740" s="12" t="s">
        <v>29</v>
      </c>
      <c r="J2740" s="76" t="s">
        <v>1717</v>
      </c>
      <c r="L2740" s="331">
        <v>55</v>
      </c>
      <c r="M2740" s="136">
        <f t="shared" si="68"/>
        <v>29654.587703333818</v>
      </c>
    </row>
    <row r="2741" spans="1:13">
      <c r="A2741" s="54" t="str">
        <f>D2741&amp;E2741&amp;F2741</f>
        <v>CAPUBERCAP</v>
      </c>
      <c r="B2741" t="s">
        <v>1560</v>
      </c>
      <c r="C2741" s="1">
        <v>45863</v>
      </c>
      <c r="D2741" s="71" t="s">
        <v>31</v>
      </c>
      <c r="E2741" s="71" t="s">
        <v>189</v>
      </c>
      <c r="F2741" s="70" t="s">
        <v>31</v>
      </c>
      <c r="J2741" s="76" t="s">
        <v>1713</v>
      </c>
      <c r="L2741" s="526">
        <v>213</v>
      </c>
      <c r="M2741" s="136">
        <f t="shared" si="68"/>
        <v>29441.587703333818</v>
      </c>
    </row>
    <row r="2742" spans="1:13">
      <c r="A2742" s="54" t="str">
        <f>D2742&amp;E2742&amp;F2742</f>
        <v>CAPUBERCAP</v>
      </c>
      <c r="B2742" t="s">
        <v>1560</v>
      </c>
      <c r="C2742" s="1">
        <v>45863</v>
      </c>
      <c r="D2742" s="71" t="s">
        <v>31</v>
      </c>
      <c r="E2742" s="71" t="s">
        <v>189</v>
      </c>
      <c r="F2742" s="70" t="s">
        <v>31</v>
      </c>
      <c r="J2742" s="76" t="s">
        <v>1714</v>
      </c>
      <c r="L2742" s="526">
        <v>180</v>
      </c>
      <c r="M2742" s="136">
        <f t="shared" si="68"/>
        <v>29261.587703333818</v>
      </c>
    </row>
    <row r="2743" spans="1:13">
      <c r="A2743" s="54" t="str">
        <f>D2743&amp;E2743&amp;F2743</f>
        <v>FINANZASRECOLECCION DE BASURACAPRICHOS</v>
      </c>
      <c r="B2743" t="s">
        <v>1560</v>
      </c>
      <c r="C2743" s="1">
        <v>45863</v>
      </c>
      <c r="D2743" t="s">
        <v>23</v>
      </c>
      <c r="E2743" s="12" t="s">
        <v>166</v>
      </c>
      <c r="F2743" s="12" t="s">
        <v>33</v>
      </c>
      <c r="J2743" s="76" t="s">
        <v>1718</v>
      </c>
      <c r="L2743" s="331">
        <v>356</v>
      </c>
      <c r="M2743" s="136">
        <f t="shared" si="68"/>
        <v>28905.587703333818</v>
      </c>
    </row>
    <row r="2744" spans="1:13">
      <c r="A2744" s="54" t="str">
        <f>D2744&amp;E2744&amp;F2744</f>
        <v>CAPFUMIGACIONCAPRICHOS</v>
      </c>
      <c r="B2744" t="s">
        <v>1560</v>
      </c>
      <c r="C2744" s="1">
        <v>45863</v>
      </c>
      <c r="D2744" t="s">
        <v>31</v>
      </c>
      <c r="E2744" t="s">
        <v>121</v>
      </c>
      <c r="F2744" t="s">
        <v>33</v>
      </c>
      <c r="G2744" s="71" t="s">
        <v>258</v>
      </c>
      <c r="J2744" s="76" t="s">
        <v>1719</v>
      </c>
      <c r="L2744" s="538">
        <v>471</v>
      </c>
      <c r="M2744" s="136">
        <f t="shared" si="68"/>
        <v>28434.587703333818</v>
      </c>
    </row>
    <row r="2745" spans="1:13">
      <c r="A2745" s="54" t="str">
        <f>D2745&amp;E2745&amp;F2745</f>
        <v>FINANZASFONDO Y REPOSICIONFINANZAS</v>
      </c>
      <c r="B2745" t="s">
        <v>1560</v>
      </c>
      <c r="C2745" s="1">
        <v>45863</v>
      </c>
      <c r="D2745" s="71" t="s">
        <v>23</v>
      </c>
      <c r="E2745" s="71" t="s">
        <v>120</v>
      </c>
      <c r="F2745" s="70" t="s">
        <v>23</v>
      </c>
      <c r="J2745" s="71" t="s">
        <v>1720</v>
      </c>
      <c r="L2745" s="326">
        <v>300</v>
      </c>
      <c r="M2745" s="136">
        <f t="shared" si="68"/>
        <v>28134.587703333818</v>
      </c>
    </row>
    <row r="2746" spans="1:13">
      <c r="A2746" s="54" t="str">
        <f>D2746&amp;E2746&amp;F2746</f>
        <v>ELIVIATICOSL1</v>
      </c>
      <c r="B2746" t="s">
        <v>1560</v>
      </c>
      <c r="C2746" s="1">
        <v>45863</v>
      </c>
      <c r="D2746" s="71" t="s">
        <v>130</v>
      </c>
      <c r="E2746" s="71" t="s">
        <v>191</v>
      </c>
      <c r="F2746" s="70" t="s">
        <v>136</v>
      </c>
      <c r="J2746" s="71" t="s">
        <v>1721</v>
      </c>
      <c r="L2746" s="326">
        <v>1000</v>
      </c>
      <c r="M2746" s="136">
        <f t="shared" si="68"/>
        <v>27134.587703333818</v>
      </c>
    </row>
    <row r="2747" spans="1:13">
      <c r="A2747" s="54" t="str">
        <f>D2747&amp;E2747&amp;F2747</f>
        <v>HRJMASA1</v>
      </c>
      <c r="B2747" t="s">
        <v>1560</v>
      </c>
      <c r="C2747" s="1">
        <v>45863</v>
      </c>
      <c r="D2747" t="s">
        <v>29</v>
      </c>
      <c r="E2747" s="12" t="s">
        <v>137</v>
      </c>
      <c r="F2747" s="12" t="s">
        <v>88</v>
      </c>
      <c r="J2747" s="71" t="s">
        <v>1722</v>
      </c>
      <c r="L2747" s="326">
        <v>746</v>
      </c>
      <c r="M2747" s="136">
        <f t="shared" si="68"/>
        <v>26388.587703333818</v>
      </c>
    </row>
    <row r="2748" spans="1:13">
      <c r="A2748" s="54" t="str">
        <f>D2748&amp;E2748&amp;F2748</f>
        <v>HRJMASA9</v>
      </c>
      <c r="B2748" t="s">
        <v>1560</v>
      </c>
      <c r="C2748" s="1">
        <v>45863</v>
      </c>
      <c r="D2748" t="s">
        <v>29</v>
      </c>
      <c r="E2748" s="12" t="s">
        <v>137</v>
      </c>
      <c r="F2748" s="12" t="s">
        <v>95</v>
      </c>
      <c r="J2748" s="71" t="s">
        <v>1723</v>
      </c>
      <c r="L2748" s="326">
        <v>2607</v>
      </c>
      <c r="M2748" s="136">
        <f t="shared" si="68"/>
        <v>23781.587703333818</v>
      </c>
    </row>
    <row r="2749" spans="1:13">
      <c r="A2749" s="54" t="str">
        <f>D2749&amp;E2749&amp;F2749</f>
        <v>SERVICIOSJMASCEDIS</v>
      </c>
      <c r="B2749" t="s">
        <v>1560</v>
      </c>
      <c r="C2749" s="1">
        <v>45863</v>
      </c>
      <c r="D2749" t="s">
        <v>21</v>
      </c>
      <c r="E2749" s="12" t="s">
        <v>137</v>
      </c>
      <c r="F2749" s="12" t="s">
        <v>28</v>
      </c>
      <c r="J2749" s="71" t="s">
        <v>1724</v>
      </c>
      <c r="L2749" s="326">
        <v>607</v>
      </c>
      <c r="M2749" s="136">
        <f t="shared" si="68"/>
        <v>23174.587703333818</v>
      </c>
    </row>
    <row r="2750" spans="1:13">
      <c r="A2750" s="54" t="str">
        <f>D2750&amp;E2750&amp;F2750</f>
        <v>SERVICIOSJMASCEDIS</v>
      </c>
      <c r="B2750" t="s">
        <v>1560</v>
      </c>
      <c r="C2750" s="1">
        <v>45863</v>
      </c>
      <c r="D2750" t="s">
        <v>21</v>
      </c>
      <c r="E2750" s="12" t="s">
        <v>137</v>
      </c>
      <c r="F2750" s="12" t="s">
        <v>28</v>
      </c>
      <c r="J2750" s="71" t="s">
        <v>1724</v>
      </c>
      <c r="L2750" s="326">
        <v>4110</v>
      </c>
      <c r="M2750" s="136">
        <f t="shared" si="68"/>
        <v>19064.587703333818</v>
      </c>
    </row>
    <row r="2751" spans="1:13">
      <c r="A2751" s="54" t="str">
        <f>D2751&amp;E2751&amp;F2751</f>
        <v>SERVICIOSJMASCEDIS</v>
      </c>
      <c r="B2751" t="s">
        <v>1560</v>
      </c>
      <c r="C2751" s="1">
        <v>45863</v>
      </c>
      <c r="D2751" t="s">
        <v>21</v>
      </c>
      <c r="E2751" s="12" t="s">
        <v>137</v>
      </c>
      <c r="F2751" s="12" t="s">
        <v>28</v>
      </c>
      <c r="J2751" s="71" t="s">
        <v>1724</v>
      </c>
      <c r="L2751" s="326">
        <v>1225</v>
      </c>
      <c r="M2751" s="136">
        <f t="shared" si="68"/>
        <v>17839.587703333818</v>
      </c>
    </row>
    <row r="2752" spans="1:13">
      <c r="A2752" s="54" t="str">
        <f>D2752&amp;E2752&amp;F2752</f>
        <v>CAPJMASE1</v>
      </c>
      <c r="B2752" t="s">
        <v>1560</v>
      </c>
      <c r="C2752" s="1">
        <v>45863</v>
      </c>
      <c r="D2752" t="s">
        <v>31</v>
      </c>
      <c r="E2752" s="12" t="s">
        <v>137</v>
      </c>
      <c r="F2752" s="12" t="s">
        <v>107</v>
      </c>
      <c r="J2752" s="71" t="s">
        <v>1725</v>
      </c>
      <c r="L2752" s="326">
        <v>412</v>
      </c>
      <c r="M2752" s="136">
        <f t="shared" si="68"/>
        <v>17427.587703333818</v>
      </c>
    </row>
    <row r="2753" spans="1:13">
      <c r="A2753" s="54" t="str">
        <f t="shared" si="67"/>
        <v/>
      </c>
      <c r="B2753" t="s">
        <v>1560</v>
      </c>
      <c r="C2753" s="1">
        <v>45863</v>
      </c>
      <c r="D2753" s="71"/>
      <c r="F2753" s="70"/>
      <c r="J2753" s="71" t="s">
        <v>1726</v>
      </c>
      <c r="L2753" s="326">
        <v>31566</v>
      </c>
      <c r="M2753" s="136">
        <f t="shared" si="68"/>
        <v>-14138.412296666182</v>
      </c>
    </row>
    <row r="2754" spans="1:13">
      <c r="A2754" s="54" t="str">
        <f>D2754&amp;E2754&amp;F2754</f>
        <v>CAPENERGIA ELECTRICAE2</v>
      </c>
      <c r="B2754" t="s">
        <v>1560</v>
      </c>
      <c r="C2754" s="1">
        <v>45863</v>
      </c>
      <c r="D2754" s="71" t="s">
        <v>31</v>
      </c>
      <c r="E2754" s="71" t="s">
        <v>87</v>
      </c>
      <c r="F2754" s="70" t="s">
        <v>108</v>
      </c>
      <c r="J2754" s="71" t="s">
        <v>1727</v>
      </c>
      <c r="L2754" s="326">
        <v>7309.67</v>
      </c>
      <c r="M2754" s="136">
        <f t="shared" si="68"/>
        <v>-21448.08229666618</v>
      </c>
    </row>
    <row r="2755" spans="1:13">
      <c r="A2755" s="54" t="str">
        <f>D2755&amp;E2755&amp;F2755</f>
        <v>FINANZASRECOLECCION DE BASURAHR</v>
      </c>
      <c r="B2755" t="s">
        <v>1560</v>
      </c>
      <c r="C2755" s="1">
        <v>45863</v>
      </c>
      <c r="D2755" t="s">
        <v>23</v>
      </c>
      <c r="E2755" s="12" t="s">
        <v>166</v>
      </c>
      <c r="F2755" s="12" t="s">
        <v>29</v>
      </c>
      <c r="J2755" s="71" t="s">
        <v>1728</v>
      </c>
      <c r="L2755" s="326">
        <v>3299.76</v>
      </c>
      <c r="M2755" s="136">
        <f t="shared" si="68"/>
        <v>-24747.842296666182</v>
      </c>
    </row>
    <row r="2756" spans="1:13">
      <c r="A2756" s="54" t="str">
        <f>D2756&amp;E2756&amp;F2756</f>
        <v>SERVICIOSMTTO EQ DE TRANSPORTECEDIS</v>
      </c>
      <c r="B2756" t="s">
        <v>1560</v>
      </c>
      <c r="C2756" s="1">
        <v>45863</v>
      </c>
      <c r="D2756" s="71" t="s">
        <v>21</v>
      </c>
      <c r="E2756" s="71" t="s">
        <v>144</v>
      </c>
      <c r="F2756" s="70" t="s">
        <v>28</v>
      </c>
      <c r="G2756" s="71" t="s">
        <v>258</v>
      </c>
      <c r="J2756" s="71" t="s">
        <v>1729</v>
      </c>
      <c r="L2756" s="208">
        <v>7621</v>
      </c>
      <c r="M2756" s="136">
        <f t="shared" si="68"/>
        <v>-32368.842296666182</v>
      </c>
    </row>
    <row r="2757" spans="1:13">
      <c r="A2757" s="54" t="str">
        <f>D2757&amp;E2757&amp;F2757</f>
        <v>HRIMAGEN VISUALIMAGEN VISUAL HR</v>
      </c>
      <c r="B2757" t="s">
        <v>1560</v>
      </c>
      <c r="C2757" s="1">
        <v>45863</v>
      </c>
      <c r="D2757" t="s">
        <v>29</v>
      </c>
      <c r="E2757" s="12" t="s">
        <v>127</v>
      </c>
      <c r="F2757" s="12" t="s">
        <v>128</v>
      </c>
      <c r="J2757" s="71" t="s">
        <v>1730</v>
      </c>
      <c r="L2757" s="326">
        <v>3000</v>
      </c>
      <c r="M2757" s="136">
        <f t="shared" si="68"/>
        <v>-35368.842296666182</v>
      </c>
    </row>
    <row r="2758" spans="1:13">
      <c r="A2758" s="54" t="str">
        <f>D2758&amp;E2758&amp;F2758</f>
        <v>CAPMKTMKT CAP</v>
      </c>
      <c r="B2758" t="s">
        <v>1560</v>
      </c>
      <c r="C2758" s="1">
        <v>45864</v>
      </c>
      <c r="D2758" t="s">
        <v>31</v>
      </c>
      <c r="E2758" s="12" t="s">
        <v>19</v>
      </c>
      <c r="F2758" s="12" t="s">
        <v>139</v>
      </c>
      <c r="G2758" s="71" t="s">
        <v>258</v>
      </c>
      <c r="J2758" s="71" t="s">
        <v>1731</v>
      </c>
      <c r="L2758" s="326">
        <v>4000</v>
      </c>
      <c r="M2758" s="136">
        <f t="shared" si="68"/>
        <v>-39368.842296666182</v>
      </c>
    </row>
    <row r="2759" spans="1:13">
      <c r="A2759" s="54" t="str">
        <f>D2759&amp;E2759&amp;F2759</f>
        <v>SERVICIOSPAQUETERIACEDIS (E6)</v>
      </c>
      <c r="B2759" t="s">
        <v>1560</v>
      </c>
      <c r="C2759" s="1">
        <v>45864</v>
      </c>
      <c r="D2759" t="s">
        <v>21</v>
      </c>
      <c r="E2759" t="s">
        <v>160</v>
      </c>
      <c r="F2759" t="s">
        <v>161</v>
      </c>
      <c r="J2759" s="71" t="s">
        <v>1732</v>
      </c>
      <c r="L2759" s="326">
        <v>2057.6799999999998</v>
      </c>
      <c r="M2759" s="136">
        <f>M2758+K2759-L2759</f>
        <v>-41426.522296666182</v>
      </c>
    </row>
    <row r="2760" spans="1:13">
      <c r="A2760" s="54" t="str">
        <f t="shared" si="67"/>
        <v/>
      </c>
      <c r="B2760" t="s">
        <v>1560</v>
      </c>
      <c r="C2760" s="1">
        <v>45864</v>
      </c>
      <c r="D2760" s="71"/>
      <c r="F2760" s="70"/>
      <c r="J2760" s="71" t="s">
        <v>1733</v>
      </c>
      <c r="K2760" s="325">
        <v>735</v>
      </c>
      <c r="L2760" s="354"/>
      <c r="M2760" s="136">
        <f>M2759+K2760-L2760</f>
        <v>-40691.522296666182</v>
      </c>
    </row>
    <row r="2761" spans="1:13">
      <c r="A2761" s="54" t="str">
        <f>D2761&amp;E2761&amp;F2761</f>
        <v>MKTINSUMOSINSUMOS</v>
      </c>
      <c r="B2761" t="s">
        <v>1560</v>
      </c>
      <c r="C2761" s="1">
        <v>45864</v>
      </c>
      <c r="D2761" s="71" t="s">
        <v>19</v>
      </c>
      <c r="E2761" s="71" t="s">
        <v>133</v>
      </c>
      <c r="F2761" s="70" t="s">
        <v>133</v>
      </c>
      <c r="J2761" s="71" t="s">
        <v>1734</v>
      </c>
      <c r="L2761" s="326">
        <v>650</v>
      </c>
      <c r="M2761" s="136">
        <f t="shared" ref="M2761:M2832" si="69">M2760+K2761-L2761</f>
        <v>-41341.522296666182</v>
      </c>
    </row>
    <row r="2762" spans="1:13">
      <c r="A2762" s="54" t="str">
        <f>D2762&amp;E2762&amp;F2762</f>
        <v>SERVICIOSVIATICOSCEDIS</v>
      </c>
      <c r="B2762" t="s">
        <v>1560</v>
      </c>
      <c r="C2762" s="1">
        <v>45864</v>
      </c>
      <c r="D2762" s="71" t="s">
        <v>21</v>
      </c>
      <c r="E2762" s="71" t="s">
        <v>191</v>
      </c>
      <c r="F2762" s="70" t="s">
        <v>28</v>
      </c>
      <c r="J2762" s="71" t="s">
        <v>1735</v>
      </c>
      <c r="L2762" s="326">
        <v>2050</v>
      </c>
      <c r="M2762" s="136">
        <f t="shared" si="69"/>
        <v>-43391.522296666182</v>
      </c>
    </row>
    <row r="2763" spans="1:13">
      <c r="A2763" s="54" t="str">
        <f>D2763&amp;E2763&amp;F2763</f>
        <v>SERVICIOSFONDO Y REPOSICIONSERVICIOS</v>
      </c>
      <c r="B2763" t="s">
        <v>1560</v>
      </c>
      <c r="C2763" s="1">
        <v>45864</v>
      </c>
      <c r="D2763" t="s">
        <v>21</v>
      </c>
      <c r="E2763" s="71" t="s">
        <v>120</v>
      </c>
      <c r="F2763" s="12" t="s">
        <v>21</v>
      </c>
      <c r="J2763" s="71" t="s">
        <v>1736</v>
      </c>
      <c r="L2763" s="326">
        <v>875</v>
      </c>
      <c r="M2763" s="136">
        <f t="shared" si="69"/>
        <v>-44266.522296666182</v>
      </c>
    </row>
    <row r="2764" spans="1:13">
      <c r="A2764" s="54" t="str">
        <f t="shared" si="67"/>
        <v/>
      </c>
      <c r="B2764" t="s">
        <v>1560</v>
      </c>
      <c r="C2764" s="1">
        <v>45866</v>
      </c>
      <c r="D2764" s="71"/>
      <c r="J2764" s="71" t="s">
        <v>260</v>
      </c>
      <c r="K2764" s="325">
        <v>900338.13</v>
      </c>
      <c r="L2764" s="354"/>
      <c r="M2764" s="136">
        <f t="shared" si="69"/>
        <v>856071.60770333384</v>
      </c>
    </row>
    <row r="2765" spans="1:13">
      <c r="A2765" s="54" t="str">
        <f>D2765&amp;E2765&amp;F2765</f>
        <v>FINANZASCOMISIONES BANCARIASTPV</v>
      </c>
      <c r="B2765" t="s">
        <v>1560</v>
      </c>
      <c r="C2765" s="1">
        <v>45866</v>
      </c>
      <c r="D2765" s="71" t="s">
        <v>23</v>
      </c>
      <c r="E2765" s="71" t="s">
        <v>48</v>
      </c>
      <c r="F2765" s="70" t="s">
        <v>50</v>
      </c>
      <c r="J2765" s="71" t="s">
        <v>217</v>
      </c>
      <c r="L2765" s="354">
        <f>5.8+5.8+24.36+13.92+294.12+6506.45+5528.57+3315.89</f>
        <v>15694.91</v>
      </c>
      <c r="M2765" s="136">
        <f t="shared" si="69"/>
        <v>840376.6977033338</v>
      </c>
    </row>
    <row r="2766" spans="1:13">
      <c r="A2766" s="54" t="str">
        <f t="shared" si="67"/>
        <v/>
      </c>
      <c r="B2766" t="s">
        <v>1560</v>
      </c>
      <c r="C2766" s="1">
        <v>45866</v>
      </c>
      <c r="D2766" s="71"/>
      <c r="H2766" s="83" t="s">
        <v>219</v>
      </c>
      <c r="J2766" s="205" t="s">
        <v>1562</v>
      </c>
      <c r="K2766" s="205"/>
      <c r="L2766" s="206">
        <v>250000</v>
      </c>
      <c r="M2766" s="136">
        <f t="shared" si="69"/>
        <v>590376.6977033338</v>
      </c>
    </row>
    <row r="2767" spans="1:13">
      <c r="A2767" s="54" t="str">
        <f t="shared" si="67"/>
        <v/>
      </c>
      <c r="B2767" t="s">
        <v>1560</v>
      </c>
      <c r="C2767" s="1">
        <v>45866</v>
      </c>
      <c r="D2767" s="71"/>
      <c r="H2767" s="83" t="s">
        <v>221</v>
      </c>
      <c r="J2767" s="205" t="s">
        <v>222</v>
      </c>
      <c r="K2767" s="205"/>
      <c r="L2767" s="206">
        <v>565000</v>
      </c>
      <c r="M2767" s="136">
        <f t="shared" si="69"/>
        <v>25376.697703333804</v>
      </c>
    </row>
    <row r="2768" spans="1:13">
      <c r="A2768" s="54" t="str">
        <f t="shared" si="67"/>
        <v/>
      </c>
      <c r="B2768" t="s">
        <v>1560</v>
      </c>
      <c r="C2768" s="1">
        <v>45866</v>
      </c>
      <c r="D2768" s="71"/>
      <c r="J2768" s="71" t="s">
        <v>1737</v>
      </c>
      <c r="L2768" s="326">
        <v>44154.799999999959</v>
      </c>
      <c r="M2768" s="136">
        <f t="shared" si="69"/>
        <v>-18778.102296666155</v>
      </c>
    </row>
    <row r="2769" spans="1:13">
      <c r="A2769" s="54" t="str">
        <f>D2769&amp;E2769&amp;F2769</f>
        <v>CAPNOMINA SUCURSALE1</v>
      </c>
      <c r="B2769" t="s">
        <v>1560</v>
      </c>
      <c r="C2769" s="1">
        <v>45866</v>
      </c>
      <c r="D2769" s="71" t="s">
        <v>31</v>
      </c>
      <c r="E2769" s="71" t="s">
        <v>154</v>
      </c>
      <c r="F2769" s="71" t="s">
        <v>107</v>
      </c>
      <c r="J2769" s="76" t="s">
        <v>1738</v>
      </c>
      <c r="L2769" s="331">
        <v>1020</v>
      </c>
      <c r="M2769" s="136">
        <f t="shared" si="69"/>
        <v>-19798.102296666155</v>
      </c>
    </row>
    <row r="2770" spans="1:13">
      <c r="A2770" s="54" t="str">
        <f>D2770&amp;E2770&amp;F2770</f>
        <v>CAPUBERCAP</v>
      </c>
      <c r="B2770" t="s">
        <v>1560</v>
      </c>
      <c r="C2770" s="1">
        <v>45866</v>
      </c>
      <c r="D2770" s="71" t="s">
        <v>31</v>
      </c>
      <c r="E2770" s="71" t="s">
        <v>189</v>
      </c>
      <c r="F2770" s="70" t="s">
        <v>31</v>
      </c>
      <c r="J2770" s="76" t="s">
        <v>1739</v>
      </c>
      <c r="L2770" s="526">
        <v>330</v>
      </c>
      <c r="M2770" s="136">
        <f t="shared" si="69"/>
        <v>-20128.102296666155</v>
      </c>
    </row>
    <row r="2771" spans="1:13">
      <c r="A2771" s="54" t="str">
        <f>D2771&amp;E2771&amp;F2771</f>
        <v>CAPUBERCAP</v>
      </c>
      <c r="B2771" t="s">
        <v>1560</v>
      </c>
      <c r="C2771" s="1">
        <v>45866</v>
      </c>
      <c r="D2771" s="71" t="s">
        <v>31</v>
      </c>
      <c r="E2771" s="71" t="s">
        <v>189</v>
      </c>
      <c r="F2771" s="70" t="s">
        <v>31</v>
      </c>
      <c r="J2771" s="76" t="s">
        <v>1739</v>
      </c>
      <c r="L2771" s="526">
        <v>85</v>
      </c>
      <c r="M2771" s="136">
        <f t="shared" si="69"/>
        <v>-20213.102296666155</v>
      </c>
    </row>
    <row r="2772" spans="1:13">
      <c r="A2772" s="54" t="str">
        <f>D2772&amp;E2772&amp;F2772</f>
        <v>CAPNOMINA SUCURSALE2</v>
      </c>
      <c r="B2772" t="s">
        <v>1560</v>
      </c>
      <c r="C2772" s="1">
        <v>45866</v>
      </c>
      <c r="D2772" s="71" t="s">
        <v>31</v>
      </c>
      <c r="E2772" s="71" t="s">
        <v>154</v>
      </c>
      <c r="F2772" s="71" t="s">
        <v>108</v>
      </c>
      <c r="J2772" s="76" t="s">
        <v>1740</v>
      </c>
      <c r="L2772" s="331">
        <v>77</v>
      </c>
      <c r="M2772" s="136">
        <f t="shared" si="69"/>
        <v>-20290.102296666155</v>
      </c>
    </row>
    <row r="2773" spans="1:13">
      <c r="A2773" s="54" t="str">
        <f>D2773&amp;E2773&amp;F2773</f>
        <v>CAPUBERCAP</v>
      </c>
      <c r="B2773" t="s">
        <v>1560</v>
      </c>
      <c r="C2773" s="1">
        <v>45866</v>
      </c>
      <c r="D2773" s="71" t="s">
        <v>31</v>
      </c>
      <c r="E2773" s="71" t="s">
        <v>189</v>
      </c>
      <c r="F2773" s="70" t="s">
        <v>31</v>
      </c>
      <c r="J2773" s="76" t="s">
        <v>1739</v>
      </c>
      <c r="L2773" s="526">
        <v>257</v>
      </c>
      <c r="M2773" s="136">
        <f t="shared" si="69"/>
        <v>-20547.102296666155</v>
      </c>
    </row>
    <row r="2774" spans="1:13">
      <c r="A2774" s="54" t="str">
        <f>D2774&amp;E2774&amp;F2774</f>
        <v>CAPUBERCAP</v>
      </c>
      <c r="B2774" t="s">
        <v>1560</v>
      </c>
      <c r="C2774" s="1">
        <v>45866</v>
      </c>
      <c r="D2774" s="71" t="s">
        <v>31</v>
      </c>
      <c r="E2774" s="71" t="s">
        <v>189</v>
      </c>
      <c r="F2774" s="70" t="s">
        <v>31</v>
      </c>
      <c r="J2774" s="76" t="s">
        <v>1741</v>
      </c>
      <c r="L2774" s="526">
        <v>13</v>
      </c>
      <c r="M2774" s="136">
        <f t="shared" si="69"/>
        <v>-20560.102296666155</v>
      </c>
    </row>
    <row r="2775" spans="1:13">
      <c r="A2775" s="54" t="str">
        <f>D2775&amp;E2775&amp;F2775</f>
        <v>CAPUBERCAP</v>
      </c>
      <c r="B2775" t="s">
        <v>1560</v>
      </c>
      <c r="C2775" s="1">
        <v>45866</v>
      </c>
      <c r="D2775" s="71" t="s">
        <v>31</v>
      </c>
      <c r="E2775" s="71" t="s">
        <v>189</v>
      </c>
      <c r="F2775" s="70" t="s">
        <v>31</v>
      </c>
      <c r="J2775" s="76" t="s">
        <v>1741</v>
      </c>
      <c r="L2775" s="526">
        <v>175</v>
      </c>
      <c r="M2775" s="136">
        <f t="shared" si="69"/>
        <v>-20735.102296666155</v>
      </c>
    </row>
    <row r="2776" spans="1:13">
      <c r="A2776" s="54" t="str">
        <f>D2776&amp;E2776&amp;F2776</f>
        <v>CAPUBERCAP</v>
      </c>
      <c r="B2776" t="s">
        <v>1560</v>
      </c>
      <c r="C2776" s="1">
        <v>45866</v>
      </c>
      <c r="D2776" s="71" t="s">
        <v>31</v>
      </c>
      <c r="E2776" s="71" t="s">
        <v>189</v>
      </c>
      <c r="F2776" s="70" t="s">
        <v>31</v>
      </c>
      <c r="J2776" s="76" t="s">
        <v>1741</v>
      </c>
      <c r="L2776" s="526">
        <v>225</v>
      </c>
      <c r="M2776" s="136">
        <f t="shared" si="69"/>
        <v>-20960.102296666155</v>
      </c>
    </row>
    <row r="2777" spans="1:13">
      <c r="A2777" s="54" t="str">
        <f>D2777&amp;E2777&amp;F2777</f>
        <v>CAPNOMINA SUCURSALE5</v>
      </c>
      <c r="B2777" t="s">
        <v>1560</v>
      </c>
      <c r="C2777" s="1">
        <v>45866</v>
      </c>
      <c r="D2777" s="71" t="s">
        <v>31</v>
      </c>
      <c r="E2777" s="71" t="s">
        <v>154</v>
      </c>
      <c r="F2777" s="71" t="s">
        <v>111</v>
      </c>
      <c r="J2777" s="76" t="s">
        <v>1742</v>
      </c>
      <c r="L2777" s="331">
        <v>612</v>
      </c>
      <c r="M2777" s="136">
        <f t="shared" si="69"/>
        <v>-21572.102296666155</v>
      </c>
    </row>
    <row r="2778" spans="1:13">
      <c r="A2778" s="54" t="str">
        <f>D2778&amp;E2778&amp;F2778</f>
        <v>CAPNOMINA SUCURSALE5</v>
      </c>
      <c r="B2778" t="s">
        <v>1560</v>
      </c>
      <c r="C2778" s="1">
        <v>45866</v>
      </c>
      <c r="D2778" s="71" t="s">
        <v>31</v>
      </c>
      <c r="E2778" s="71" t="s">
        <v>154</v>
      </c>
      <c r="F2778" s="71" t="s">
        <v>111</v>
      </c>
      <c r="J2778" s="76" t="s">
        <v>1743</v>
      </c>
      <c r="L2778" s="331">
        <v>1440</v>
      </c>
      <c r="M2778" s="136">
        <f t="shared" si="69"/>
        <v>-23012.102296666155</v>
      </c>
    </row>
    <row r="2779" spans="1:13">
      <c r="A2779" s="54" t="str">
        <f>D2779&amp;E2779&amp;F2779</f>
        <v>HRUBERHR</v>
      </c>
      <c r="B2779" t="s">
        <v>1560</v>
      </c>
      <c r="C2779" s="1">
        <v>45866</v>
      </c>
      <c r="D2779" s="71" t="s">
        <v>29</v>
      </c>
      <c r="E2779" s="71" t="s">
        <v>189</v>
      </c>
      <c r="F2779" s="70" t="s">
        <v>29</v>
      </c>
      <c r="J2779" s="76" t="s">
        <v>1744</v>
      </c>
      <c r="L2779" s="526">
        <v>263</v>
      </c>
      <c r="M2779" s="136">
        <f t="shared" si="69"/>
        <v>-23275.102296666155</v>
      </c>
    </row>
    <row r="2780" spans="1:13">
      <c r="A2780" s="54" t="str">
        <f>D2780&amp;E2780&amp;F2780</f>
        <v>HRNOMINA SUCURSALA18</v>
      </c>
      <c r="B2780" t="s">
        <v>1560</v>
      </c>
      <c r="C2780" s="1">
        <v>45866</v>
      </c>
      <c r="D2780" s="71" t="s">
        <v>29</v>
      </c>
      <c r="E2780" s="71" t="s">
        <v>154</v>
      </c>
      <c r="F2780" s="71" t="s">
        <v>103</v>
      </c>
      <c r="J2780" s="76" t="s">
        <v>1745</v>
      </c>
      <c r="L2780" s="331">
        <v>1500</v>
      </c>
      <c r="M2780" s="136">
        <f t="shared" si="69"/>
        <v>-24775.102296666155</v>
      </c>
    </row>
    <row r="2781" spans="1:13">
      <c r="A2781" s="54" t="str">
        <f>D2781&amp;E2781&amp;F2781</f>
        <v>HRJMASA18</v>
      </c>
      <c r="B2781" t="s">
        <v>1560</v>
      </c>
      <c r="C2781" s="1">
        <v>45866</v>
      </c>
      <c r="D2781" s="71" t="s">
        <v>29</v>
      </c>
      <c r="E2781" s="71" t="s">
        <v>137</v>
      </c>
      <c r="F2781" s="71" t="s">
        <v>103</v>
      </c>
      <c r="J2781" s="76" t="s">
        <v>1746</v>
      </c>
      <c r="L2781" s="331">
        <v>2651</v>
      </c>
      <c r="M2781" s="136">
        <f t="shared" si="69"/>
        <v>-27426.102296666155</v>
      </c>
    </row>
    <row r="2782" spans="1:13">
      <c r="A2782" s="54" t="str">
        <f>D2782&amp;E2782&amp;F2782</f>
        <v>HRUBERHR</v>
      </c>
      <c r="B2782" t="s">
        <v>1560</v>
      </c>
      <c r="C2782" s="1">
        <v>45866</v>
      </c>
      <c r="D2782" s="71" t="s">
        <v>29</v>
      </c>
      <c r="E2782" s="71" t="s">
        <v>189</v>
      </c>
      <c r="F2782" s="70" t="s">
        <v>29</v>
      </c>
      <c r="J2782" s="76" t="s">
        <v>1747</v>
      </c>
      <c r="L2782" s="526">
        <v>130</v>
      </c>
      <c r="M2782" s="136">
        <f t="shared" si="69"/>
        <v>-27556.102296666155</v>
      </c>
    </row>
    <row r="2783" spans="1:13">
      <c r="A2783" s="54" t="str">
        <f>D2783&amp;E2783&amp;F2783</f>
        <v>SERVICIOSMTTO DE EDIFICIOMANTENIMIENTO</v>
      </c>
      <c r="B2783" t="s">
        <v>1560</v>
      </c>
      <c r="C2783" s="1">
        <v>45866</v>
      </c>
      <c r="D2783" s="71" t="s">
        <v>21</v>
      </c>
      <c r="E2783" s="71" t="s">
        <v>142</v>
      </c>
      <c r="F2783" s="71" t="s">
        <v>35</v>
      </c>
      <c r="J2783" s="71" t="s">
        <v>1748</v>
      </c>
      <c r="L2783" s="326">
        <v>4100</v>
      </c>
      <c r="M2783" s="136">
        <f t="shared" si="69"/>
        <v>-31656.102296666155</v>
      </c>
    </row>
    <row r="2784" spans="1:13">
      <c r="A2784" s="54" t="str">
        <f>D2784&amp;E2784&amp;F2784</f>
        <v>FINANZASMTTO EQ DE TRANSPORTETESORERIA</v>
      </c>
      <c r="B2784" t="s">
        <v>1560</v>
      </c>
      <c r="C2784" s="1">
        <v>45866</v>
      </c>
      <c r="D2784" s="71" t="s">
        <v>23</v>
      </c>
      <c r="E2784" s="71" t="s">
        <v>144</v>
      </c>
      <c r="F2784" s="71" t="s">
        <v>38</v>
      </c>
      <c r="J2784" s="71" t="s">
        <v>1749</v>
      </c>
      <c r="L2784" s="326">
        <v>270</v>
      </c>
      <c r="M2784" s="136">
        <f t="shared" si="69"/>
        <v>-31926.102296666155</v>
      </c>
    </row>
    <row r="2785" spans="1:13">
      <c r="A2785" s="54" t="str">
        <f t="shared" ref="A2769:A2832" si="70">D2785&amp;E2785&amp;F2785</f>
        <v/>
      </c>
      <c r="B2785" t="s">
        <v>1560</v>
      </c>
      <c r="C2785" s="1">
        <v>45867</v>
      </c>
      <c r="D2785" s="71"/>
      <c r="J2785" s="71" t="s">
        <v>260</v>
      </c>
      <c r="K2785" s="325">
        <v>207091.4</v>
      </c>
      <c r="L2785" s="354"/>
      <c r="M2785" s="136">
        <f t="shared" si="69"/>
        <v>175165.29770333384</v>
      </c>
    </row>
    <row r="2786" spans="1:13">
      <c r="A2786" s="54" t="str">
        <f>D2786&amp;E2786&amp;F2786</f>
        <v>FINANZASCOMISIONES BANCARIASTPV</v>
      </c>
      <c r="B2786" t="s">
        <v>1560</v>
      </c>
      <c r="C2786" s="1">
        <v>45867</v>
      </c>
      <c r="D2786" s="71" t="s">
        <v>23</v>
      </c>
      <c r="E2786" s="71" t="s">
        <v>48</v>
      </c>
      <c r="F2786" s="70" t="s">
        <v>50</v>
      </c>
      <c r="J2786" s="71" t="s">
        <v>217</v>
      </c>
      <c r="L2786" s="326">
        <f>1371.51+1400.24+1587.26+1103.09+722.52+13.48+17.4+17.4</f>
        <v>6232.9</v>
      </c>
      <c r="M2786" s="136">
        <f t="shared" si="69"/>
        <v>168932.39770333385</v>
      </c>
    </row>
    <row r="2787" spans="1:13">
      <c r="A2787" s="54" t="str">
        <f t="shared" si="70"/>
        <v/>
      </c>
      <c r="B2787" t="s">
        <v>1560</v>
      </c>
      <c r="C2787" s="1">
        <v>45867</v>
      </c>
      <c r="D2787" s="71"/>
      <c r="H2787" s="83" t="s">
        <v>219</v>
      </c>
      <c r="J2787" s="205" t="s">
        <v>1562</v>
      </c>
      <c r="K2787" s="205"/>
      <c r="L2787" s="206">
        <v>160000</v>
      </c>
      <c r="M2787" s="136">
        <f t="shared" si="69"/>
        <v>8932.3977033338451</v>
      </c>
    </row>
    <row r="2788" spans="1:13">
      <c r="A2788" s="54" t="str">
        <f>D2788&amp;E2788&amp;F2788</f>
        <v>HRFONDO Y REPOSICIONHR</v>
      </c>
      <c r="B2788" t="s">
        <v>1560</v>
      </c>
      <c r="C2788" s="1">
        <v>45867</v>
      </c>
      <c r="D2788" s="71" t="s">
        <v>29</v>
      </c>
      <c r="E2788" s="71" t="s">
        <v>120</v>
      </c>
      <c r="F2788" s="70" t="s">
        <v>29</v>
      </c>
      <c r="J2788" s="71" t="s">
        <v>1750</v>
      </c>
      <c r="L2788" s="326">
        <v>1569</v>
      </c>
      <c r="M2788" s="136">
        <f t="shared" si="69"/>
        <v>7363.3977033338451</v>
      </c>
    </row>
    <row r="2789" spans="1:13">
      <c r="A2789" s="54" t="str">
        <f>D2789&amp;E2789&amp;F2789</f>
        <v>CAPJMASE8</v>
      </c>
      <c r="B2789" t="s">
        <v>1560</v>
      </c>
      <c r="C2789" s="1">
        <v>45867</v>
      </c>
      <c r="D2789" s="71" t="s">
        <v>31</v>
      </c>
      <c r="E2789" s="71" t="s">
        <v>137</v>
      </c>
      <c r="F2789" s="71" t="s">
        <v>114</v>
      </c>
      <c r="J2789" s="71" t="s">
        <v>1751</v>
      </c>
      <c r="L2789" s="326">
        <v>1509.07</v>
      </c>
      <c r="M2789" s="136">
        <f t="shared" si="69"/>
        <v>5854.3277033338454</v>
      </c>
    </row>
    <row r="2790" spans="1:13">
      <c r="A2790" s="54" t="str">
        <f>D2790&amp;E2790&amp;F2790</f>
        <v>HRJMASA8</v>
      </c>
      <c r="B2790" t="s">
        <v>1560</v>
      </c>
      <c r="C2790" s="1">
        <v>45867</v>
      </c>
      <c r="D2790" s="71" t="s">
        <v>29</v>
      </c>
      <c r="E2790" s="71" t="s">
        <v>137</v>
      </c>
      <c r="F2790" s="71" t="s">
        <v>94</v>
      </c>
      <c r="J2790" s="71" t="s">
        <v>1752</v>
      </c>
      <c r="L2790" s="326">
        <v>369.2</v>
      </c>
      <c r="M2790" s="136">
        <f t="shared" si="69"/>
        <v>5485.1277033338456</v>
      </c>
    </row>
    <row r="2791" spans="1:13">
      <c r="A2791" s="54" t="str">
        <f>D2791&amp;E2791&amp;F2791</f>
        <v>CAPJMASE9</v>
      </c>
      <c r="B2791" t="s">
        <v>1560</v>
      </c>
      <c r="C2791" s="1">
        <v>45867</v>
      </c>
      <c r="D2791" s="71" t="s">
        <v>31</v>
      </c>
      <c r="E2791" s="71" t="s">
        <v>137</v>
      </c>
      <c r="F2791" s="71" t="s">
        <v>116</v>
      </c>
      <c r="J2791" s="71" t="s">
        <v>1753</v>
      </c>
      <c r="L2791" s="326">
        <v>69.77</v>
      </c>
      <c r="M2791" s="136">
        <f t="shared" si="69"/>
        <v>5415.3577033338452</v>
      </c>
    </row>
    <row r="2792" spans="1:13">
      <c r="A2792" s="54" t="str">
        <f>D2792&amp;E2792&amp;F2792</f>
        <v>CAPVIATICOSCAPRICHOS</v>
      </c>
      <c r="B2792" t="s">
        <v>1560</v>
      </c>
      <c r="C2792" s="1">
        <v>45867</v>
      </c>
      <c r="D2792" s="71" t="s">
        <v>31</v>
      </c>
      <c r="E2792" s="71" t="s">
        <v>191</v>
      </c>
      <c r="F2792" s="71" t="s">
        <v>33</v>
      </c>
      <c r="J2792" s="71" t="s">
        <v>1754</v>
      </c>
      <c r="L2792" s="326">
        <v>1200</v>
      </c>
      <c r="M2792" s="136">
        <f t="shared" si="69"/>
        <v>4215.3577033338452</v>
      </c>
    </row>
    <row r="2793" spans="1:13">
      <c r="A2793" s="54" t="str">
        <f>D2793&amp;E2793&amp;F2793</f>
        <v>SERVICIOSMTTO DE EDIFICIOMANTENIMIENTO</v>
      </c>
      <c r="B2793" t="s">
        <v>1560</v>
      </c>
      <c r="C2793" s="1">
        <v>45867</v>
      </c>
      <c r="D2793" s="71" t="s">
        <v>21</v>
      </c>
      <c r="E2793" s="71" t="s">
        <v>142</v>
      </c>
      <c r="F2793" s="71" t="s">
        <v>35</v>
      </c>
      <c r="J2793" s="71" t="s">
        <v>1755</v>
      </c>
      <c r="L2793" s="326">
        <v>3000</v>
      </c>
      <c r="M2793" s="136">
        <f t="shared" si="69"/>
        <v>1215.3577033338452</v>
      </c>
    </row>
    <row r="2794" spans="1:13">
      <c r="A2794" s="54" t="str">
        <f>D2794&amp;E2794&amp;F2794</f>
        <v>MKTINSUMOSINSUMOS</v>
      </c>
      <c r="B2794" t="s">
        <v>1560</v>
      </c>
      <c r="C2794" s="1">
        <v>45867</v>
      </c>
      <c r="D2794" t="s">
        <v>19</v>
      </c>
      <c r="E2794" t="s">
        <v>133</v>
      </c>
      <c r="F2794" t="s">
        <v>133</v>
      </c>
      <c r="J2794" s="71" t="s">
        <v>1756</v>
      </c>
      <c r="L2794" s="326">
        <v>150</v>
      </c>
      <c r="M2794" s="136">
        <f t="shared" si="69"/>
        <v>1065.3577033338452</v>
      </c>
    </row>
    <row r="2795" spans="1:13">
      <c r="A2795" s="54" t="str">
        <f>D2795&amp;E2795&amp;F2795</f>
        <v>SERVICIOSINSUMOSCADENA DE SUMINISTROS</v>
      </c>
      <c r="B2795" t="s">
        <v>1560</v>
      </c>
      <c r="C2795" s="1">
        <v>45867</v>
      </c>
      <c r="D2795" s="71" t="s">
        <v>21</v>
      </c>
      <c r="E2795" s="71" t="s">
        <v>133</v>
      </c>
      <c r="F2795" s="71" t="s">
        <v>134</v>
      </c>
      <c r="J2795" s="71" t="s">
        <v>1757</v>
      </c>
      <c r="L2795" s="326">
        <v>40140.06</v>
      </c>
      <c r="M2795" s="136">
        <f t="shared" si="69"/>
        <v>-39074.702296666153</v>
      </c>
    </row>
    <row r="2796" spans="1:13">
      <c r="A2796" s="54" t="str">
        <f>D2796&amp;E2796&amp;F2796</f>
        <v>SERVICIOSMTTO EQ DE TRANSPORTESERVICIOS</v>
      </c>
      <c r="B2796" t="s">
        <v>1560</v>
      </c>
      <c r="C2796" s="1">
        <v>45867</v>
      </c>
      <c r="D2796" t="s">
        <v>21</v>
      </c>
      <c r="E2796" t="s">
        <v>144</v>
      </c>
      <c r="F2796" t="s">
        <v>21</v>
      </c>
      <c r="J2796" s="71" t="s">
        <v>1758</v>
      </c>
      <c r="L2796" s="326">
        <v>4002</v>
      </c>
      <c r="M2796" s="136">
        <f t="shared" si="69"/>
        <v>-43076.702296666153</v>
      </c>
    </row>
    <row r="2797" spans="1:13">
      <c r="A2797" s="54" t="str">
        <f>D2797&amp;E2797&amp;F2797</f>
        <v>SERVICIOSINSUMOSCADENA DE SUMINISTROS</v>
      </c>
      <c r="B2797" t="s">
        <v>1560</v>
      </c>
      <c r="C2797" s="1">
        <v>45867</v>
      </c>
      <c r="D2797" s="71" t="s">
        <v>21</v>
      </c>
      <c r="E2797" s="71" t="s">
        <v>133</v>
      </c>
      <c r="F2797" s="71" t="s">
        <v>134</v>
      </c>
      <c r="J2797" s="71" t="s">
        <v>1759</v>
      </c>
      <c r="L2797" s="326">
        <v>16008</v>
      </c>
      <c r="M2797" s="136">
        <f t="shared" si="69"/>
        <v>-59084.702296666153</v>
      </c>
    </row>
    <row r="2798" spans="1:13">
      <c r="A2798" s="54" t="str">
        <f>D2798&amp;E2798&amp;F2798</f>
        <v>FINANZASRENTASE8</v>
      </c>
      <c r="B2798" t="s">
        <v>1560</v>
      </c>
      <c r="C2798" s="1">
        <v>45867</v>
      </c>
      <c r="D2798" s="71" t="s">
        <v>23</v>
      </c>
      <c r="E2798" s="71" t="s">
        <v>169</v>
      </c>
      <c r="F2798" s="71" t="s">
        <v>114</v>
      </c>
      <c r="J2798" t="s">
        <v>1760</v>
      </c>
      <c r="K2798" s="158"/>
      <c r="L2798" s="158">
        <v>11307.13</v>
      </c>
      <c r="M2798" s="136">
        <f t="shared" si="69"/>
        <v>-70391.832296666151</v>
      </c>
    </row>
    <row r="2799" spans="1:13">
      <c r="A2799" s="54" t="str">
        <f>D2799&amp;E2799&amp;F2799</f>
        <v>HRUBERHR</v>
      </c>
      <c r="B2799" t="s">
        <v>1560</v>
      </c>
      <c r="C2799" s="1">
        <v>45867</v>
      </c>
      <c r="D2799" s="71" t="s">
        <v>29</v>
      </c>
      <c r="E2799" s="71" t="s">
        <v>189</v>
      </c>
      <c r="F2799" s="70" t="s">
        <v>29</v>
      </c>
      <c r="J2799" s="76" t="s">
        <v>1761</v>
      </c>
      <c r="L2799" s="526">
        <v>60</v>
      </c>
      <c r="M2799" s="136">
        <f t="shared" si="69"/>
        <v>-70451.832296666151</v>
      </c>
    </row>
    <row r="2800" spans="1:13">
      <c r="A2800" s="54" t="str">
        <f>D2800&amp;E2800&amp;F2800</f>
        <v>CAPUBERCAP</v>
      </c>
      <c r="B2800" t="s">
        <v>1560</v>
      </c>
      <c r="C2800" s="1">
        <v>45867</v>
      </c>
      <c r="D2800" s="71" t="s">
        <v>31</v>
      </c>
      <c r="E2800" s="71" t="s">
        <v>189</v>
      </c>
      <c r="F2800" s="70" t="s">
        <v>31</v>
      </c>
      <c r="J2800" s="76" t="s">
        <v>1762</v>
      </c>
      <c r="L2800" s="526">
        <v>300</v>
      </c>
      <c r="M2800" s="136">
        <f t="shared" si="69"/>
        <v>-70751.832296666151</v>
      </c>
    </row>
    <row r="2801" spans="1:13">
      <c r="A2801" s="54" t="str">
        <f>D2801&amp;E2801&amp;F2801</f>
        <v>CAPUBERCAP</v>
      </c>
      <c r="B2801" t="s">
        <v>1560</v>
      </c>
      <c r="C2801" s="1">
        <v>45867</v>
      </c>
      <c r="D2801" s="71" t="s">
        <v>31</v>
      </c>
      <c r="E2801" s="71" t="s">
        <v>189</v>
      </c>
      <c r="F2801" s="70" t="s">
        <v>31</v>
      </c>
      <c r="J2801" s="76" t="s">
        <v>1763</v>
      </c>
      <c r="L2801" s="526">
        <v>187</v>
      </c>
      <c r="M2801" s="136">
        <f t="shared" si="69"/>
        <v>-70938.832296666151</v>
      </c>
    </row>
    <row r="2802" spans="1:13">
      <c r="A2802" s="54" t="str">
        <f>D2802&amp;E2802&amp;F2802</f>
        <v>HRMTTO EQ DE TRANSPORTEHR</v>
      </c>
      <c r="B2802" t="s">
        <v>1560</v>
      </c>
      <c r="C2802" s="1">
        <v>45867</v>
      </c>
      <c r="D2802" s="71" t="s">
        <v>29</v>
      </c>
      <c r="E2802" s="71" t="s">
        <v>144</v>
      </c>
      <c r="F2802" s="70" t="s">
        <v>29</v>
      </c>
      <c r="J2802" s="71" t="s">
        <v>1764</v>
      </c>
      <c r="L2802" s="326">
        <v>2450</v>
      </c>
      <c r="M2802" s="136">
        <f t="shared" si="69"/>
        <v>-73388.832296666151</v>
      </c>
    </row>
    <row r="2803" spans="1:13">
      <c r="A2803" s="54" t="str">
        <f t="shared" si="70"/>
        <v/>
      </c>
      <c r="B2803" t="s">
        <v>1560</v>
      </c>
      <c r="C2803" s="1">
        <v>45868</v>
      </c>
      <c r="D2803" s="71"/>
      <c r="F2803" s="70"/>
      <c r="J2803" s="71" t="s">
        <v>260</v>
      </c>
      <c r="K2803" s="325">
        <v>208752.55</v>
      </c>
      <c r="L2803" s="354"/>
      <c r="M2803" s="136">
        <f t="shared" si="69"/>
        <v>135363.71770333382</v>
      </c>
    </row>
    <row r="2804" spans="1:13">
      <c r="A2804" s="54" t="str">
        <f t="shared" si="70"/>
        <v/>
      </c>
      <c r="B2804" t="s">
        <v>1560</v>
      </c>
      <c r="C2804" s="1">
        <v>45868</v>
      </c>
      <c r="D2804" s="71"/>
      <c r="F2804" s="70"/>
      <c r="J2804" s="71" t="s">
        <v>1765</v>
      </c>
      <c r="K2804" s="325">
        <v>14545</v>
      </c>
      <c r="L2804" s="354"/>
      <c r="M2804" s="136">
        <f t="shared" si="69"/>
        <v>149908.71770333382</v>
      </c>
    </row>
    <row r="2805" spans="1:13">
      <c r="A2805" s="54" t="str">
        <f>D2805&amp;E2805&amp;F2805</f>
        <v>FINANZASCOMISIONES BANCARIASTPV</v>
      </c>
      <c r="B2805" t="s">
        <v>1560</v>
      </c>
      <c r="C2805" s="1">
        <v>45868</v>
      </c>
      <c r="D2805" s="71" t="s">
        <v>23</v>
      </c>
      <c r="E2805" s="71" t="s">
        <v>48</v>
      </c>
      <c r="F2805" s="70" t="s">
        <v>50</v>
      </c>
      <c r="J2805" s="71" t="s">
        <v>217</v>
      </c>
      <c r="L2805" s="326">
        <f>192.48+173.45+1685.95+1093.28+912.1+6.96+27.84</f>
        <v>4092.06</v>
      </c>
      <c r="M2805" s="136">
        <f t="shared" si="69"/>
        <v>145816.65770333383</v>
      </c>
    </row>
    <row r="2806" spans="1:13">
      <c r="A2806" s="54" t="str">
        <f t="shared" si="70"/>
        <v/>
      </c>
      <c r="B2806" t="s">
        <v>1560</v>
      </c>
      <c r="C2806" s="1">
        <v>45868</v>
      </c>
      <c r="D2806" s="71"/>
      <c r="F2806" s="70"/>
      <c r="H2806" s="83" t="s">
        <v>219</v>
      </c>
      <c r="J2806" s="205" t="s">
        <v>1562</v>
      </c>
      <c r="K2806" s="205"/>
      <c r="L2806" s="206">
        <v>150000</v>
      </c>
      <c r="M2806" s="136">
        <f t="shared" si="69"/>
        <v>-4183.3422966661747</v>
      </c>
    </row>
    <row r="2807" spans="1:13">
      <c r="A2807" s="54" t="str">
        <f>D2807&amp;E2807&amp;F2807</f>
        <v>FINANZASMTTO EQ DE TRANSPORTEFINANZAS</v>
      </c>
      <c r="B2807" t="s">
        <v>1560</v>
      </c>
      <c r="C2807" s="1">
        <v>45868</v>
      </c>
      <c r="D2807" s="71" t="s">
        <v>23</v>
      </c>
      <c r="E2807" s="71" t="s">
        <v>144</v>
      </c>
      <c r="F2807" s="70" t="s">
        <v>23</v>
      </c>
      <c r="G2807" s="71" t="s">
        <v>258</v>
      </c>
      <c r="J2807" s="71" t="s">
        <v>1766</v>
      </c>
      <c r="L2807" s="326">
        <v>3200</v>
      </c>
      <c r="M2807" s="136">
        <f t="shared" si="69"/>
        <v>-7383.3422966661747</v>
      </c>
    </row>
    <row r="2808" spans="1:13">
      <c r="A2808" s="54" t="str">
        <f>D2808&amp;E2808&amp;F2808</f>
        <v>FINANZASCUOTAS Y SUSCRIPCIONESCONTPAQ</v>
      </c>
      <c r="B2808" t="s">
        <v>1560</v>
      </c>
      <c r="C2808" s="1">
        <v>45868</v>
      </c>
      <c r="D2808" s="71" t="s">
        <v>23</v>
      </c>
      <c r="E2808" s="178" t="s">
        <v>51</v>
      </c>
      <c r="F2808" s="70" t="s">
        <v>73</v>
      </c>
      <c r="G2808" s="71" t="s">
        <v>258</v>
      </c>
      <c r="J2808" s="71" t="s">
        <v>1767</v>
      </c>
      <c r="L2808" s="326">
        <v>3888</v>
      </c>
      <c r="M2808" s="136">
        <f t="shared" si="69"/>
        <v>-11271.342296666175</v>
      </c>
    </row>
    <row r="2809" spans="1:13">
      <c r="A2809" s="54" t="str">
        <f>D2809&amp;E2809&amp;F2809</f>
        <v>HRVIATICOSHR</v>
      </c>
      <c r="B2809" t="s">
        <v>1560</v>
      </c>
      <c r="C2809" s="1">
        <v>45868</v>
      </c>
      <c r="D2809" s="71" t="s">
        <v>29</v>
      </c>
      <c r="E2809" s="71" t="s">
        <v>191</v>
      </c>
      <c r="F2809" s="70" t="s">
        <v>29</v>
      </c>
      <c r="G2809" s="71" t="s">
        <v>216</v>
      </c>
      <c r="J2809" s="71" t="s">
        <v>1014</v>
      </c>
      <c r="L2809" s="326">
        <v>4200</v>
      </c>
      <c r="M2809" s="136">
        <f t="shared" si="69"/>
        <v>-15471.342296666175</v>
      </c>
    </row>
    <row r="2810" spans="1:13">
      <c r="A2810" s="54" t="str">
        <f>D2810&amp;E2810&amp;F2810</f>
        <v>SERVICIOSPAQUETERIACEDIS (E6)</v>
      </c>
      <c r="B2810" t="s">
        <v>1560</v>
      </c>
      <c r="C2810" s="1">
        <v>45868</v>
      </c>
      <c r="D2810" s="71" t="s">
        <v>21</v>
      </c>
      <c r="E2810" s="71" t="s">
        <v>160</v>
      </c>
      <c r="F2810" s="70" t="s">
        <v>161</v>
      </c>
      <c r="G2810" s="71" t="s">
        <v>216</v>
      </c>
      <c r="J2810" s="71" t="s">
        <v>229</v>
      </c>
      <c r="L2810" s="326">
        <v>1697.23</v>
      </c>
      <c r="M2810" s="136">
        <f t="shared" si="69"/>
        <v>-17168.572296666174</v>
      </c>
    </row>
    <row r="2811" spans="1:13">
      <c r="A2811" s="54" t="str">
        <f>D2811&amp;E2811&amp;F2811</f>
        <v>SERVICIOSINSUMOSCADENA DE SUMINISTROS</v>
      </c>
      <c r="B2811" t="s">
        <v>1560</v>
      </c>
      <c r="C2811" s="1">
        <v>45868</v>
      </c>
      <c r="D2811" s="71" t="s">
        <v>21</v>
      </c>
      <c r="E2811" s="71" t="s">
        <v>133</v>
      </c>
      <c r="F2811" s="70" t="s">
        <v>134</v>
      </c>
      <c r="G2811" s="71" t="s">
        <v>258</v>
      </c>
      <c r="J2811" s="71" t="s">
        <v>1768</v>
      </c>
      <c r="L2811" s="326">
        <v>4175</v>
      </c>
      <c r="M2811" s="136">
        <f t="shared" si="69"/>
        <v>-21343.572296666174</v>
      </c>
    </row>
    <row r="2812" spans="1:13">
      <c r="A2812" s="54" t="str">
        <f>D2812&amp;E2812&amp;F2812</f>
        <v>SERVICIOSADQ DE EQ TECNOLOGICOADQ DE EQ TECNOLOGICO</v>
      </c>
      <c r="B2812" t="s">
        <v>1560</v>
      </c>
      <c r="C2812" s="1">
        <v>45868</v>
      </c>
      <c r="D2812" s="71" t="s">
        <v>21</v>
      </c>
      <c r="E2812" s="71" t="s">
        <v>22</v>
      </c>
      <c r="F2812" s="70" t="s">
        <v>22</v>
      </c>
      <c r="J2812" s="71" t="s">
        <v>1769</v>
      </c>
      <c r="L2812" s="326">
        <v>5721.38</v>
      </c>
      <c r="M2812" s="136">
        <f t="shared" si="69"/>
        <v>-27064.952296666175</v>
      </c>
    </row>
    <row r="2813" spans="1:13">
      <c r="A2813" s="54" t="str">
        <f>D2813&amp;E2813&amp;F2813</f>
        <v>FINANZASCUOTAS Y SUSCRIPCIONESTRAMITES</v>
      </c>
      <c r="B2813" t="s">
        <v>1560</v>
      </c>
      <c r="C2813" s="1">
        <v>45868</v>
      </c>
      <c r="D2813" s="71" t="s">
        <v>23</v>
      </c>
      <c r="E2813" s="178" t="s">
        <v>51</v>
      </c>
      <c r="F2813" s="70" t="s">
        <v>81</v>
      </c>
      <c r="G2813" s="71" t="s">
        <v>258</v>
      </c>
      <c r="J2813" s="71" t="s">
        <v>1770</v>
      </c>
      <c r="L2813" s="326">
        <v>13000</v>
      </c>
      <c r="M2813" s="136">
        <f t="shared" si="69"/>
        <v>-40064.952296666175</v>
      </c>
    </row>
    <row r="2814" spans="1:13">
      <c r="A2814" s="54" t="str">
        <f>D2814&amp;E2814&amp;F2814</f>
        <v>FINANZASVIATICOSFINANZAS</v>
      </c>
      <c r="B2814" t="s">
        <v>1560</v>
      </c>
      <c r="C2814" s="1">
        <v>45868</v>
      </c>
      <c r="D2814" s="71" t="s">
        <v>23</v>
      </c>
      <c r="E2814" s="71" t="s">
        <v>191</v>
      </c>
      <c r="F2814" s="70" t="s">
        <v>23</v>
      </c>
      <c r="G2814" s="71" t="s">
        <v>216</v>
      </c>
      <c r="J2814" s="71" t="s">
        <v>805</v>
      </c>
      <c r="L2814" s="326">
        <v>1700</v>
      </c>
      <c r="M2814" s="136">
        <f t="shared" si="69"/>
        <v>-41764.952296666175</v>
      </c>
    </row>
    <row r="2815" spans="1:13">
      <c r="A2815" s="54" t="str">
        <f>D2815&amp;E2815&amp;F2815</f>
        <v>HRJMASA10</v>
      </c>
      <c r="B2815" t="s">
        <v>1560</v>
      </c>
      <c r="C2815" s="1">
        <v>45868</v>
      </c>
      <c r="D2815" s="71" t="s">
        <v>29</v>
      </c>
      <c r="E2815" s="71" t="s">
        <v>137</v>
      </c>
      <c r="F2815" s="70" t="s">
        <v>96</v>
      </c>
      <c r="G2815" s="71" t="s">
        <v>216</v>
      </c>
      <c r="J2815" s="71" t="s">
        <v>1771</v>
      </c>
      <c r="L2815" s="326">
        <v>5088</v>
      </c>
      <c r="M2815" s="136">
        <f t="shared" si="69"/>
        <v>-46852.952296666175</v>
      </c>
    </row>
    <row r="2816" spans="1:13">
      <c r="A2816" s="54" t="str">
        <f>D2816&amp;E2816&amp;F2816</f>
        <v>FINANZASMTTO EQ DE TRANSPORTETESORERIA</v>
      </c>
      <c r="B2816" t="s">
        <v>1560</v>
      </c>
      <c r="C2816" s="1">
        <v>45868</v>
      </c>
      <c r="D2816" t="s">
        <v>23</v>
      </c>
      <c r="E2816" t="s">
        <v>144</v>
      </c>
      <c r="F2816" t="s">
        <v>38</v>
      </c>
      <c r="G2816" s="71" t="s">
        <v>258</v>
      </c>
      <c r="J2816" s="71" t="s">
        <v>1772</v>
      </c>
      <c r="L2816" s="326">
        <v>6500</v>
      </c>
      <c r="M2816" s="136">
        <f t="shared" si="69"/>
        <v>-53352.952296666175</v>
      </c>
    </row>
    <row r="2817" spans="1:13">
      <c r="A2817" s="54" t="str">
        <f>D2817&amp;E2817&amp;F2817</f>
        <v>HRFONDO Y REPOSICIONHR</v>
      </c>
      <c r="B2817" t="s">
        <v>1560</v>
      </c>
      <c r="C2817" s="1">
        <v>45868</v>
      </c>
      <c r="D2817" s="71" t="s">
        <v>29</v>
      </c>
      <c r="E2817" s="71" t="s">
        <v>120</v>
      </c>
      <c r="F2817" s="70" t="s">
        <v>29</v>
      </c>
      <c r="G2817" s="71" t="s">
        <v>216</v>
      </c>
      <c r="J2817" s="71" t="s">
        <v>1773</v>
      </c>
      <c r="L2817" s="326">
        <v>3000</v>
      </c>
      <c r="M2817" s="136">
        <f t="shared" si="69"/>
        <v>-56352.952296666175</v>
      </c>
    </row>
    <row r="2818" spans="1:13">
      <c r="A2818" s="54" t="str">
        <f>D2818&amp;E2818&amp;F2818</f>
        <v>MKTVIATICOSMKT</v>
      </c>
      <c r="B2818" t="s">
        <v>1560</v>
      </c>
      <c r="C2818" s="1">
        <v>45868</v>
      </c>
      <c r="D2818" s="71" t="s">
        <v>19</v>
      </c>
      <c r="E2818" s="71" t="s">
        <v>191</v>
      </c>
      <c r="F2818" s="70" t="s">
        <v>19</v>
      </c>
      <c r="G2818" s="71" t="s">
        <v>216</v>
      </c>
      <c r="J2818" s="71" t="s">
        <v>1774</v>
      </c>
      <c r="L2818" s="326">
        <v>250</v>
      </c>
      <c r="M2818" s="136">
        <f t="shared" si="69"/>
        <v>-56602.952296666175</v>
      </c>
    </row>
    <row r="2819" spans="1:13">
      <c r="A2819" s="54" t="str">
        <f>D2819&amp;E2819&amp;F2819</f>
        <v>MKTVIATICOSMKT</v>
      </c>
      <c r="B2819" t="s">
        <v>1560</v>
      </c>
      <c r="C2819" s="1">
        <v>45868</v>
      </c>
      <c r="D2819" t="s">
        <v>19</v>
      </c>
      <c r="E2819" t="s">
        <v>191</v>
      </c>
      <c r="F2819" t="s">
        <v>19</v>
      </c>
      <c r="G2819" s="71" t="s">
        <v>216</v>
      </c>
      <c r="J2819" s="71" t="s">
        <v>1775</v>
      </c>
      <c r="L2819" s="326">
        <v>1000</v>
      </c>
      <c r="M2819" s="136">
        <f t="shared" si="69"/>
        <v>-57602.952296666175</v>
      </c>
    </row>
    <row r="2820" spans="1:13">
      <c r="A2820" s="54" t="str">
        <f>D2820&amp;E2820&amp;F2820</f>
        <v>HRUBERHR</v>
      </c>
      <c r="B2820" t="s">
        <v>1560</v>
      </c>
      <c r="C2820" s="1">
        <v>45868</v>
      </c>
      <c r="D2820" s="71" t="s">
        <v>29</v>
      </c>
      <c r="E2820" s="71" t="s">
        <v>189</v>
      </c>
      <c r="F2820" s="70" t="s">
        <v>29</v>
      </c>
      <c r="G2820" s="71" t="s">
        <v>216</v>
      </c>
      <c r="J2820" s="71" t="s">
        <v>250</v>
      </c>
      <c r="L2820" s="528">
        <v>230</v>
      </c>
      <c r="M2820" s="136">
        <f t="shared" si="69"/>
        <v>-57832.952296666175</v>
      </c>
    </row>
    <row r="2821" spans="1:13">
      <c r="A2821" s="54" t="str">
        <f>D2821&amp;E2821&amp;F2821</f>
        <v>CAPUBERCAP</v>
      </c>
      <c r="B2821" t="s">
        <v>1560</v>
      </c>
      <c r="C2821" s="1">
        <v>45868</v>
      </c>
      <c r="D2821" s="71" t="s">
        <v>31</v>
      </c>
      <c r="E2821" s="71" t="s">
        <v>189</v>
      </c>
      <c r="F2821" s="70" t="s">
        <v>31</v>
      </c>
      <c r="G2821" s="71" t="s">
        <v>216</v>
      </c>
      <c r="J2821" s="71" t="s">
        <v>253</v>
      </c>
      <c r="L2821" s="528">
        <v>209</v>
      </c>
      <c r="M2821" s="136">
        <f t="shared" si="69"/>
        <v>-58041.952296666175</v>
      </c>
    </row>
    <row r="2822" spans="1:13">
      <c r="A2822" s="54" t="str">
        <f>D2822&amp;E2822&amp;F2822</f>
        <v>CAPINSUMOSCAPRICHOS</v>
      </c>
      <c r="B2822" t="s">
        <v>1560</v>
      </c>
      <c r="C2822" s="1">
        <v>45868</v>
      </c>
      <c r="D2822" s="71" t="s">
        <v>31</v>
      </c>
      <c r="E2822" s="71" t="s">
        <v>133</v>
      </c>
      <c r="F2822" s="143" t="s">
        <v>33</v>
      </c>
      <c r="G2822" s="71" t="s">
        <v>216</v>
      </c>
      <c r="J2822" s="71" t="s">
        <v>457</v>
      </c>
      <c r="L2822" s="326">
        <v>13</v>
      </c>
      <c r="M2822" s="136">
        <f t="shared" si="69"/>
        <v>-58054.952296666175</v>
      </c>
    </row>
    <row r="2823" spans="1:13">
      <c r="A2823" s="54" t="str">
        <f>D2823&amp;E2823&amp;F2823</f>
        <v>CAPUBERCAP</v>
      </c>
      <c r="B2823" t="s">
        <v>1560</v>
      </c>
      <c r="C2823" s="1">
        <v>45868</v>
      </c>
      <c r="D2823" s="71" t="s">
        <v>31</v>
      </c>
      <c r="E2823" s="71" t="s">
        <v>189</v>
      </c>
      <c r="F2823" s="70" t="s">
        <v>31</v>
      </c>
      <c r="G2823" s="71" t="s">
        <v>216</v>
      </c>
      <c r="J2823" s="71" t="s">
        <v>257</v>
      </c>
      <c r="L2823" s="528">
        <v>40</v>
      </c>
      <c r="M2823" s="136">
        <f t="shared" si="69"/>
        <v>-58094.952296666175</v>
      </c>
    </row>
    <row r="2824" spans="1:13">
      <c r="A2824" s="54" t="str">
        <f t="shared" si="70"/>
        <v/>
      </c>
      <c r="B2824" t="s">
        <v>1560</v>
      </c>
      <c r="C2824" s="1">
        <v>45869</v>
      </c>
      <c r="D2824" s="71"/>
      <c r="F2824" s="70"/>
      <c r="J2824" s="71" t="s">
        <v>260</v>
      </c>
      <c r="K2824" s="325">
        <v>222401</v>
      </c>
      <c r="L2824" s="354"/>
      <c r="M2824" s="136">
        <f t="shared" si="69"/>
        <v>164306.04770333384</v>
      </c>
    </row>
    <row r="2825" spans="1:13">
      <c r="A2825" s="54" t="str">
        <f t="shared" si="70"/>
        <v/>
      </c>
      <c r="B2825" t="s">
        <v>1560</v>
      </c>
      <c r="C2825" s="1">
        <v>45869</v>
      </c>
      <c r="D2825" s="71"/>
      <c r="F2825" s="70"/>
      <c r="J2825" s="71" t="s">
        <v>1776</v>
      </c>
      <c r="K2825" s="325">
        <v>91</v>
      </c>
      <c r="L2825" s="354"/>
      <c r="M2825" s="136">
        <f t="shared" si="69"/>
        <v>164397.04770333384</v>
      </c>
    </row>
    <row r="2826" spans="1:13">
      <c r="A2826" s="54" t="str">
        <f>D2826&amp;E2826&amp;F2826</f>
        <v>FINANZASCOMISIONES BANCARIASMANEJO DE CUENTA</v>
      </c>
      <c r="B2826" t="s">
        <v>1560</v>
      </c>
      <c r="C2826" s="1">
        <v>45869</v>
      </c>
      <c r="D2826" s="71" t="s">
        <v>23</v>
      </c>
      <c r="E2826" s="71" t="s">
        <v>48</v>
      </c>
      <c r="F2826" s="70" t="s">
        <v>49</v>
      </c>
      <c r="G2826" s="71" t="s">
        <v>216</v>
      </c>
      <c r="J2826" s="71" t="s">
        <v>218</v>
      </c>
      <c r="L2826" s="354">
        <f>464+5800+7714</f>
        <v>13978</v>
      </c>
      <c r="M2826" s="136">
        <f t="shared" si="69"/>
        <v>150419.04770333384</v>
      </c>
    </row>
    <row r="2827" spans="1:13">
      <c r="A2827" s="54" t="str">
        <f>D2827&amp;E2827&amp;F2827</f>
        <v>FINANZASCOMISIONES BANCARIASTPV</v>
      </c>
      <c r="B2827" t="s">
        <v>1560</v>
      </c>
      <c r="C2827" s="1">
        <v>45869</v>
      </c>
      <c r="D2827" s="71" t="s">
        <v>23</v>
      </c>
      <c r="E2827" s="71" t="s">
        <v>48</v>
      </c>
      <c r="F2827" s="70" t="s">
        <v>50</v>
      </c>
      <c r="G2827" s="71" t="s">
        <v>216</v>
      </c>
      <c r="J2827" s="71" t="s">
        <v>217</v>
      </c>
      <c r="L2827" s="326">
        <f>200.8+197.93+1706.96+1288.1+175+211.58+13.92+24.36+148.03+31.17</f>
        <v>3997.8500000000004</v>
      </c>
      <c r="M2827" s="136">
        <f t="shared" si="69"/>
        <v>146421.19770333383</v>
      </c>
    </row>
    <row r="2828" spans="1:13">
      <c r="A2828" s="54" t="str">
        <f t="shared" si="70"/>
        <v/>
      </c>
      <c r="B2828" t="s">
        <v>1560</v>
      </c>
      <c r="C2828" s="1">
        <v>45869</v>
      </c>
      <c r="D2828" s="71"/>
      <c r="F2828" s="70"/>
      <c r="H2828" s="83" t="s">
        <v>219</v>
      </c>
      <c r="J2828" s="205" t="s">
        <v>1562</v>
      </c>
      <c r="K2828" s="205"/>
      <c r="L2828" s="206">
        <v>150000</v>
      </c>
      <c r="M2828" s="136">
        <f t="shared" si="69"/>
        <v>-3578.8022966661665</v>
      </c>
    </row>
    <row r="2829" spans="1:13">
      <c r="A2829" s="54" t="str">
        <f>D2829&amp;E2829&amp;F2829</f>
        <v>FINANZASSOLUONESOLUONE (RETAIL)</v>
      </c>
      <c r="B2829" t="s">
        <v>1560</v>
      </c>
      <c r="C2829" s="1">
        <v>45869</v>
      </c>
      <c r="D2829" t="s">
        <v>23</v>
      </c>
      <c r="E2829" t="s">
        <v>179</v>
      </c>
      <c r="F2829" t="s">
        <v>180</v>
      </c>
      <c r="G2829" s="71" t="s">
        <v>216</v>
      </c>
      <c r="J2829" s="71" t="s">
        <v>1777</v>
      </c>
      <c r="L2829" s="326">
        <v>37272.78</v>
      </c>
      <c r="M2829" s="136">
        <f t="shared" si="69"/>
        <v>-40851.582296666165</v>
      </c>
    </row>
    <row r="2830" spans="1:13">
      <c r="A2830" s="54" t="str">
        <f>D2830&amp;E2830&amp;F2830</f>
        <v>FINANZASFONDO Y REPOSICIONFINANZAS</v>
      </c>
      <c r="B2830" t="s">
        <v>1560</v>
      </c>
      <c r="C2830" s="1">
        <v>45869</v>
      </c>
      <c r="D2830" s="71" t="s">
        <v>23</v>
      </c>
      <c r="E2830" s="71" t="s">
        <v>120</v>
      </c>
      <c r="F2830" s="70" t="s">
        <v>23</v>
      </c>
      <c r="G2830" s="71" t="s">
        <v>258</v>
      </c>
      <c r="J2830" s="71" t="s">
        <v>794</v>
      </c>
      <c r="L2830" s="326">
        <v>3972</v>
      </c>
      <c r="M2830" s="136">
        <f t="shared" si="69"/>
        <v>-44823.582296666165</v>
      </c>
    </row>
    <row r="2831" spans="1:13">
      <c r="A2831" s="54" t="str">
        <f>D2831&amp;E2831&amp;F2831</f>
        <v>SERVICIOSGASCEDIS</v>
      </c>
      <c r="B2831" t="s">
        <v>1560</v>
      </c>
      <c r="C2831" s="1">
        <v>45869</v>
      </c>
      <c r="D2831" s="71" t="s">
        <v>21</v>
      </c>
      <c r="E2831" s="71" t="s">
        <v>122</v>
      </c>
      <c r="F2831" s="70" t="s">
        <v>28</v>
      </c>
      <c r="G2831" s="71" t="s">
        <v>216</v>
      </c>
      <c r="J2831" s="71" t="s">
        <v>1778</v>
      </c>
      <c r="L2831" s="326">
        <v>300</v>
      </c>
      <c r="M2831" s="136">
        <f t="shared" si="69"/>
        <v>-45123.582296666165</v>
      </c>
    </row>
    <row r="2832" spans="1:13">
      <c r="A2832" s="54" t="str">
        <f>D2832&amp;E2832&amp;F2832</f>
        <v>CAPIMAGEN VISUALIMAGEN VISUAL CAP</v>
      </c>
      <c r="B2832" t="s">
        <v>1560</v>
      </c>
      <c r="C2832" s="1">
        <v>45869</v>
      </c>
      <c r="D2832" s="71" t="s">
        <v>31</v>
      </c>
      <c r="E2832" s="71" t="s">
        <v>127</v>
      </c>
      <c r="F2832" s="70" t="s">
        <v>129</v>
      </c>
      <c r="G2832" s="71" t="s">
        <v>258</v>
      </c>
      <c r="J2832" s="71" t="s">
        <v>1779</v>
      </c>
      <c r="L2832" s="326">
        <v>4640</v>
      </c>
      <c r="M2832" s="136">
        <f t="shared" si="69"/>
        <v>-49763.582296666165</v>
      </c>
    </row>
    <row r="2833" spans="1:13">
      <c r="A2833" s="54" t="str">
        <f>D2833&amp;E2833&amp;F2833</f>
        <v>FINANZASTELEFONIATELEFONIA</v>
      </c>
      <c r="B2833" t="s">
        <v>1560</v>
      </c>
      <c r="C2833" s="1">
        <v>45869</v>
      </c>
      <c r="D2833" s="71" t="s">
        <v>23</v>
      </c>
      <c r="E2833" s="71" t="s">
        <v>181</v>
      </c>
      <c r="F2833" s="12" t="s">
        <v>181</v>
      </c>
      <c r="G2833" s="71" t="s">
        <v>216</v>
      </c>
      <c r="J2833" s="71" t="s">
        <v>1780</v>
      </c>
      <c r="L2833" s="326">
        <v>24563</v>
      </c>
      <c r="M2833" s="136">
        <f t="shared" ref="M2833:M2896" si="71">M2832+K2833-L2833</f>
        <v>-74326.582296666165</v>
      </c>
    </row>
    <row r="2834" spans="1:13">
      <c r="A2834" s="54" t="str">
        <f>D2834&amp;E2834&amp;F2834</f>
        <v>SERVICIOSVIATICOSSISTEMAS</v>
      </c>
      <c r="B2834" t="s">
        <v>1560</v>
      </c>
      <c r="C2834" s="1">
        <v>45869</v>
      </c>
      <c r="D2834" s="71" t="s">
        <v>21</v>
      </c>
      <c r="E2834" s="71" t="s">
        <v>191</v>
      </c>
      <c r="F2834" s="70" t="s">
        <v>36</v>
      </c>
      <c r="G2834" s="71" t="s">
        <v>216</v>
      </c>
      <c r="J2834" s="71" t="s">
        <v>1781</v>
      </c>
      <c r="L2834" s="326">
        <v>400</v>
      </c>
      <c r="M2834" s="136">
        <f t="shared" si="71"/>
        <v>-74726.582296666165</v>
      </c>
    </row>
    <row r="2835" spans="1:13">
      <c r="A2835" s="54" t="str">
        <f>D2835&amp;E2835&amp;F2835</f>
        <v>SERVICIOSMTTO DE EDIFICIOMANTENIMIENTO</v>
      </c>
      <c r="B2835" t="s">
        <v>1560</v>
      </c>
      <c r="C2835" s="1">
        <v>45869</v>
      </c>
      <c r="D2835" s="71" t="s">
        <v>21</v>
      </c>
      <c r="E2835" s="71" t="s">
        <v>142</v>
      </c>
      <c r="F2835" s="70" t="s">
        <v>35</v>
      </c>
      <c r="G2835" s="71" t="s">
        <v>258</v>
      </c>
      <c r="J2835" s="71" t="s">
        <v>1782</v>
      </c>
      <c r="L2835" s="326">
        <v>2077</v>
      </c>
      <c r="M2835" s="136">
        <f t="shared" si="71"/>
        <v>-76803.582296666165</v>
      </c>
    </row>
    <row r="2836" spans="1:13">
      <c r="A2836" s="54" t="str">
        <f>D2836&amp;E2836&amp;F2836</f>
        <v>HRUBERHR</v>
      </c>
      <c r="B2836" t="s">
        <v>1560</v>
      </c>
      <c r="C2836" s="1">
        <v>45869</v>
      </c>
      <c r="D2836" t="s">
        <v>29</v>
      </c>
      <c r="E2836" s="12" t="s">
        <v>189</v>
      </c>
      <c r="F2836" s="12" t="s">
        <v>29</v>
      </c>
      <c r="G2836" s="71" t="s">
        <v>216</v>
      </c>
      <c r="J2836" s="71" t="s">
        <v>1783</v>
      </c>
      <c r="L2836" s="528">
        <v>60</v>
      </c>
      <c r="M2836" s="136">
        <f t="shared" si="71"/>
        <v>-76863.582296666165</v>
      </c>
    </row>
    <row r="2837" spans="1:13">
      <c r="A2837" s="54" t="str">
        <f>D2837&amp;E2837&amp;F2837</f>
        <v>CAPUBERCAP</v>
      </c>
      <c r="B2837" t="s">
        <v>1560</v>
      </c>
      <c r="C2837" s="1">
        <v>45869</v>
      </c>
      <c r="D2837" t="s">
        <v>31</v>
      </c>
      <c r="E2837" t="s">
        <v>189</v>
      </c>
      <c r="F2837" t="s">
        <v>31</v>
      </c>
      <c r="G2837" s="71" t="s">
        <v>216</v>
      </c>
      <c r="J2837" s="71" t="s">
        <v>1784</v>
      </c>
      <c r="L2837" s="528">
        <v>211</v>
      </c>
      <c r="M2837" s="136">
        <f t="shared" si="71"/>
        <v>-77074.582296666165</v>
      </c>
    </row>
    <row r="2838" spans="1:13">
      <c r="A2838" s="54" t="str">
        <f>D2838&amp;E2838&amp;F2838</f>
        <v>SERVICIOSMTTO DE EDIFICIOMANTENIMIENTO</v>
      </c>
      <c r="B2838" t="s">
        <v>1560</v>
      </c>
      <c r="C2838" s="1">
        <v>45869</v>
      </c>
      <c r="D2838" s="71" t="s">
        <v>21</v>
      </c>
      <c r="E2838" s="71" t="s">
        <v>142</v>
      </c>
      <c r="F2838" s="70" t="s">
        <v>35</v>
      </c>
      <c r="G2838" s="71" t="s">
        <v>258</v>
      </c>
      <c r="J2838" s="71" t="s">
        <v>1785</v>
      </c>
      <c r="L2838" s="326">
        <v>800</v>
      </c>
      <c r="M2838" s="136">
        <f t="shared" si="71"/>
        <v>-77874.582296666165</v>
      </c>
    </row>
    <row r="2839" spans="1:13">
      <c r="A2839" s="54" t="str">
        <f>D2839&amp;E2839&amp;F2839</f>
        <v>CAPUBERCAP</v>
      </c>
      <c r="B2839" t="s">
        <v>1560</v>
      </c>
      <c r="C2839" s="1">
        <v>45869</v>
      </c>
      <c r="D2839" s="71" t="s">
        <v>31</v>
      </c>
      <c r="E2839" s="71" t="s">
        <v>189</v>
      </c>
      <c r="F2839" s="70" t="s">
        <v>31</v>
      </c>
      <c r="G2839" s="71" t="s">
        <v>216</v>
      </c>
      <c r="J2839" s="71" t="s">
        <v>1786</v>
      </c>
      <c r="L2839" s="528">
        <v>196</v>
      </c>
      <c r="M2839" s="136">
        <f t="shared" si="71"/>
        <v>-78070.582296666165</v>
      </c>
    </row>
    <row r="2840" spans="1:13">
      <c r="A2840" s="54" t="str">
        <f>D2840&amp;E2840&amp;F2840</f>
        <v>CAPINSUMOSCAPRICHOS</v>
      </c>
      <c r="B2840" t="s">
        <v>1560</v>
      </c>
      <c r="C2840" s="1">
        <v>45869</v>
      </c>
      <c r="D2840" s="71" t="s">
        <v>31</v>
      </c>
      <c r="E2840" s="71" t="s">
        <v>133</v>
      </c>
      <c r="F2840" s="143" t="s">
        <v>33</v>
      </c>
      <c r="G2840" s="71" t="s">
        <v>216</v>
      </c>
      <c r="J2840" s="71" t="s">
        <v>1787</v>
      </c>
      <c r="L2840" s="326">
        <v>90</v>
      </c>
      <c r="M2840" s="136">
        <f t="shared" si="71"/>
        <v>-78160.582296666165</v>
      </c>
    </row>
    <row r="2841" spans="1:13">
      <c r="A2841" s="54" t="str">
        <f t="shared" ref="A2833:A2896" si="72">D2841&amp;E2841&amp;F2841</f>
        <v/>
      </c>
      <c r="B2841" t="s">
        <v>1560</v>
      </c>
      <c r="C2841" s="1">
        <v>45870</v>
      </c>
      <c r="D2841" s="71"/>
      <c r="F2841" s="70"/>
      <c r="J2841" s="71" t="s">
        <v>260</v>
      </c>
      <c r="K2841" s="325">
        <v>264660.36</v>
      </c>
      <c r="L2841" s="354"/>
      <c r="M2841" s="136">
        <f t="shared" si="71"/>
        <v>186499.77770333382</v>
      </c>
    </row>
    <row r="2842" spans="1:13">
      <c r="A2842" s="54" t="str">
        <f>D2842&amp;E2842&amp;F2842</f>
        <v>FINANZASCOMISIONES BANCARIASTPV</v>
      </c>
      <c r="B2842" t="s">
        <v>1560</v>
      </c>
      <c r="C2842" s="1">
        <v>45870</v>
      </c>
      <c r="D2842" s="71" t="s">
        <v>23</v>
      </c>
      <c r="E2842" s="71" t="s">
        <v>48</v>
      </c>
      <c r="F2842" s="70" t="s">
        <v>50</v>
      </c>
      <c r="J2842" s="71" t="s">
        <v>217</v>
      </c>
      <c r="L2842" s="326">
        <f>320.71+306.38+1851.42+1847.33+1355.06</f>
        <v>5680.9</v>
      </c>
      <c r="M2842" s="136">
        <f t="shared" si="71"/>
        <v>180818.87770333383</v>
      </c>
    </row>
    <row r="2843" spans="1:13">
      <c r="A2843" s="54" t="str">
        <f>D2843&amp;E2843&amp;F2843</f>
        <v>FINANZASCOMISIONES BANCARIASMANEJO DE CUENTA</v>
      </c>
      <c r="B2843" t="s">
        <v>1560</v>
      </c>
      <c r="C2843" s="1">
        <v>45870</v>
      </c>
      <c r="D2843" s="71" t="s">
        <v>23</v>
      </c>
      <c r="E2843" s="71" t="s">
        <v>48</v>
      </c>
      <c r="F2843" s="70" t="s">
        <v>49</v>
      </c>
      <c r="J2843" s="71" t="s">
        <v>218</v>
      </c>
      <c r="L2843" s="326">
        <f>464+1187.24</f>
        <v>1651.24</v>
      </c>
      <c r="M2843" s="136">
        <f t="shared" si="71"/>
        <v>179167.63770333384</v>
      </c>
    </row>
    <row r="2844" spans="1:13">
      <c r="A2844" s="54" t="str">
        <f t="shared" si="72"/>
        <v/>
      </c>
      <c r="B2844" t="s">
        <v>1560</v>
      </c>
      <c r="C2844" s="1">
        <v>45870</v>
      </c>
      <c r="D2844" s="71"/>
      <c r="F2844" s="70"/>
      <c r="H2844" s="83" t="s">
        <v>219</v>
      </c>
      <c r="J2844" s="205" t="s">
        <v>1562</v>
      </c>
      <c r="K2844" s="205"/>
      <c r="L2844" s="206">
        <v>75000</v>
      </c>
      <c r="M2844" s="136">
        <f t="shared" si="71"/>
        <v>104167.63770333384</v>
      </c>
    </row>
    <row r="2845" spans="1:13">
      <c r="A2845" s="54" t="str">
        <f>D2845&amp;E2845&amp;F2845</f>
        <v>CAPIMAGEN VISUALIMAGEN VISUAL CAP</v>
      </c>
      <c r="B2845" t="s">
        <v>1560</v>
      </c>
      <c r="C2845" s="1">
        <v>45870</v>
      </c>
      <c r="D2845" s="71" t="s">
        <v>31</v>
      </c>
      <c r="E2845" s="71" t="s">
        <v>127</v>
      </c>
      <c r="F2845" s="70" t="s">
        <v>129</v>
      </c>
      <c r="G2845" s="71" t="s">
        <v>258</v>
      </c>
      <c r="J2845" s="71" t="s">
        <v>1788</v>
      </c>
      <c r="L2845" s="326">
        <v>2800</v>
      </c>
      <c r="M2845" s="136">
        <f t="shared" si="71"/>
        <v>101367.63770333384</v>
      </c>
    </row>
    <row r="2846" spans="1:13">
      <c r="A2846" s="54" t="str">
        <f>D2846&amp;E2846&amp;F2846</f>
        <v>HRENERGIA ELECTRICAA16</v>
      </c>
      <c r="B2846" t="s">
        <v>1560</v>
      </c>
      <c r="C2846" s="1">
        <v>45870</v>
      </c>
      <c r="D2846" s="71" t="s">
        <v>29</v>
      </c>
      <c r="E2846" s="71" t="s">
        <v>87</v>
      </c>
      <c r="F2846" s="70" t="s">
        <v>101</v>
      </c>
      <c r="J2846" s="71" t="s">
        <v>1789</v>
      </c>
      <c r="L2846" s="326">
        <v>4738</v>
      </c>
      <c r="M2846" s="136">
        <f t="shared" si="71"/>
        <v>96629.637703333836</v>
      </c>
    </row>
    <row r="2847" spans="1:13">
      <c r="A2847" s="54" t="str">
        <f>D2847&amp;E2847&amp;F2847</f>
        <v>FINANZASENERGIA ELECTRICACEDIS</v>
      </c>
      <c r="B2847" t="s">
        <v>1560</v>
      </c>
      <c r="C2847" s="1">
        <v>45870</v>
      </c>
      <c r="D2847" s="71" t="s">
        <v>23</v>
      </c>
      <c r="E2847" s="71" t="s">
        <v>87</v>
      </c>
      <c r="F2847" s="70" t="s">
        <v>28</v>
      </c>
      <c r="J2847" s="71" t="s">
        <v>744</v>
      </c>
      <c r="L2847" s="326">
        <v>280</v>
      </c>
      <c r="M2847" s="136">
        <f t="shared" si="71"/>
        <v>96349.637703333836</v>
      </c>
    </row>
    <row r="2848" spans="1:13">
      <c r="A2848" s="54" t="str">
        <f>D2848&amp;E2848&amp;F2848</f>
        <v>FINANZASENERGIA ELECTRICACEDIS</v>
      </c>
      <c r="B2848" t="s">
        <v>1560</v>
      </c>
      <c r="C2848" s="1">
        <v>45870</v>
      </c>
      <c r="D2848" s="71" t="s">
        <v>23</v>
      </c>
      <c r="E2848" s="71" t="s">
        <v>87</v>
      </c>
      <c r="F2848" s="70" t="s">
        <v>28</v>
      </c>
      <c r="J2848" s="71" t="s">
        <v>1790</v>
      </c>
      <c r="L2848" s="326">
        <v>281</v>
      </c>
      <c r="M2848" s="136">
        <f t="shared" si="71"/>
        <v>96068.637703333836</v>
      </c>
    </row>
    <row r="2849" spans="1:13">
      <c r="A2849" s="54" t="str">
        <f>D2849&amp;E2849&amp;F2849</f>
        <v>FINANZASENERGIA ELECTRICACEDIS</v>
      </c>
      <c r="B2849" t="s">
        <v>1560</v>
      </c>
      <c r="C2849" s="1">
        <v>45870</v>
      </c>
      <c r="D2849" s="71" t="s">
        <v>23</v>
      </c>
      <c r="E2849" s="71" t="s">
        <v>87</v>
      </c>
      <c r="F2849" s="70" t="s">
        <v>28</v>
      </c>
      <c r="J2849" s="71" t="s">
        <v>746</v>
      </c>
      <c r="L2849" s="326">
        <v>5066</v>
      </c>
      <c r="M2849" s="136">
        <f t="shared" si="71"/>
        <v>91002.637703333836</v>
      </c>
    </row>
    <row r="2850" spans="1:13">
      <c r="A2850" s="54" t="str">
        <f>D2850&amp;E2850&amp;F2850</f>
        <v>FINANZASENERGIA ELECTRICACEDIS</v>
      </c>
      <c r="B2850" t="s">
        <v>1560</v>
      </c>
      <c r="C2850" s="1">
        <v>45870</v>
      </c>
      <c r="D2850" s="71" t="s">
        <v>23</v>
      </c>
      <c r="E2850" s="71" t="s">
        <v>87</v>
      </c>
      <c r="F2850" s="70" t="s">
        <v>28</v>
      </c>
      <c r="J2850" s="71" t="s">
        <v>1791</v>
      </c>
      <c r="L2850" s="326">
        <v>3512</v>
      </c>
      <c r="M2850" s="136">
        <f t="shared" si="71"/>
        <v>87490.637703333836</v>
      </c>
    </row>
    <row r="2851" spans="1:13">
      <c r="A2851" s="54" t="str">
        <f>D2851&amp;E2851&amp;F2851</f>
        <v>FINANZASENERGIA ELECTRICACEDIS</v>
      </c>
      <c r="B2851" t="s">
        <v>1560</v>
      </c>
      <c r="C2851" s="1">
        <v>45870</v>
      </c>
      <c r="D2851" s="71" t="s">
        <v>23</v>
      </c>
      <c r="E2851" s="71" t="s">
        <v>87</v>
      </c>
      <c r="F2851" s="70" t="s">
        <v>28</v>
      </c>
      <c r="J2851" s="71" t="s">
        <v>1792</v>
      </c>
      <c r="L2851" s="326">
        <v>281</v>
      </c>
      <c r="M2851" s="136">
        <f t="shared" si="71"/>
        <v>87209.637703333836</v>
      </c>
    </row>
    <row r="2852" spans="1:13">
      <c r="A2852" s="54" t="str">
        <f>D2852&amp;E2852&amp;F2852</f>
        <v>CAPENERGIA ELECTRICAE6</v>
      </c>
      <c r="B2852" t="s">
        <v>1560</v>
      </c>
      <c r="C2852" s="1">
        <v>45870</v>
      </c>
      <c r="D2852" s="71" t="s">
        <v>31</v>
      </c>
      <c r="E2852" s="71" t="s">
        <v>87</v>
      </c>
      <c r="F2852" s="70" t="s">
        <v>112</v>
      </c>
      <c r="J2852" s="71" t="s">
        <v>1793</v>
      </c>
      <c r="L2852" s="326">
        <v>9937</v>
      </c>
      <c r="M2852" s="136">
        <f t="shared" si="71"/>
        <v>77272.637703333836</v>
      </c>
    </row>
    <row r="2853" spans="1:13">
      <c r="A2853" s="54" t="str">
        <f t="shared" si="72"/>
        <v/>
      </c>
      <c r="B2853" t="s">
        <v>1560</v>
      </c>
      <c r="C2853" s="1">
        <v>45870</v>
      </c>
      <c r="D2853" s="71"/>
      <c r="F2853" s="70"/>
      <c r="J2853" s="71" t="s">
        <v>440</v>
      </c>
      <c r="L2853" s="326">
        <v>33670.400000000001</v>
      </c>
      <c r="M2853" s="136">
        <f t="shared" si="71"/>
        <v>43602.237703333834</v>
      </c>
    </row>
    <row r="2854" spans="1:13">
      <c r="A2854" s="54" t="str">
        <f>D2854&amp;E2854&amp;F2854</f>
        <v>SERVICIOSALARMASUCURSALES CAPRICHOS</v>
      </c>
      <c r="B2854" t="s">
        <v>1560</v>
      </c>
      <c r="C2854" s="1">
        <v>45870</v>
      </c>
      <c r="D2854" s="71" t="s">
        <v>21</v>
      </c>
      <c r="E2854" s="71" t="s">
        <v>25</v>
      </c>
      <c r="F2854" s="70" t="s">
        <v>27</v>
      </c>
      <c r="J2854" s="71" t="s">
        <v>1353</v>
      </c>
      <c r="L2854" s="326">
        <v>840</v>
      </c>
      <c r="M2854" s="136">
        <f t="shared" si="71"/>
        <v>42762.237703333834</v>
      </c>
    </row>
    <row r="2855" spans="1:13">
      <c r="A2855" s="54" t="str">
        <f>D2855&amp;E2855&amp;F2855</f>
        <v>SERVICIOSINSUMOSCADENA DE SUMINISTROS</v>
      </c>
      <c r="B2855" t="s">
        <v>1560</v>
      </c>
      <c r="C2855" s="1">
        <v>45870</v>
      </c>
      <c r="D2855" s="71" t="s">
        <v>21</v>
      </c>
      <c r="E2855" s="71" t="s">
        <v>133</v>
      </c>
      <c r="F2855" s="70" t="s">
        <v>134</v>
      </c>
      <c r="G2855" s="71" t="s">
        <v>258</v>
      </c>
      <c r="J2855" s="71" t="s">
        <v>1794</v>
      </c>
      <c r="L2855" s="326">
        <v>4175</v>
      </c>
      <c r="M2855" s="136">
        <f t="shared" si="71"/>
        <v>38587.237703333834</v>
      </c>
    </row>
    <row r="2856" spans="1:13">
      <c r="A2856" s="54" t="str">
        <f>D2856&amp;E2856&amp;F2856</f>
        <v>FINANZASVIATICOSFINANZAS</v>
      </c>
      <c r="B2856" t="s">
        <v>1560</v>
      </c>
      <c r="C2856" s="1">
        <v>45870</v>
      </c>
      <c r="D2856" s="71" t="s">
        <v>23</v>
      </c>
      <c r="E2856" s="71" t="s">
        <v>191</v>
      </c>
      <c r="F2856" s="70" t="s">
        <v>23</v>
      </c>
      <c r="J2856" s="71" t="s">
        <v>1795</v>
      </c>
      <c r="L2856" s="326">
        <v>1000</v>
      </c>
      <c r="M2856" s="136">
        <f t="shared" si="71"/>
        <v>37587.237703333834</v>
      </c>
    </row>
    <row r="2857" spans="1:13">
      <c r="A2857" s="54" t="str">
        <f>D2857&amp;E2857&amp;F2857</f>
        <v>DEVIATICOSDIRECCION</v>
      </c>
      <c r="B2857" t="s">
        <v>1560</v>
      </c>
      <c r="C2857" s="1">
        <v>45870</v>
      </c>
      <c r="D2857" s="71" t="s">
        <v>41</v>
      </c>
      <c r="E2857" s="71" t="s">
        <v>191</v>
      </c>
      <c r="F2857" s="70" t="s">
        <v>42</v>
      </c>
      <c r="J2857" s="71" t="s">
        <v>1796</v>
      </c>
      <c r="L2857" s="326">
        <v>1000</v>
      </c>
      <c r="M2857" s="136">
        <f t="shared" si="71"/>
        <v>36587.237703333834</v>
      </c>
    </row>
    <row r="2858" spans="1:13">
      <c r="A2858" s="54" t="str">
        <f>D2858&amp;E2858&amp;F2858</f>
        <v>FINANZASVIATICOSFINANZAS</v>
      </c>
      <c r="B2858" t="s">
        <v>1560</v>
      </c>
      <c r="C2858" s="1">
        <v>45870</v>
      </c>
      <c r="D2858" s="71" t="s">
        <v>23</v>
      </c>
      <c r="E2858" s="71" t="s">
        <v>191</v>
      </c>
      <c r="F2858" s="70" t="s">
        <v>23</v>
      </c>
      <c r="J2858" s="71" t="s">
        <v>1797</v>
      </c>
      <c r="L2858" s="326">
        <v>800</v>
      </c>
      <c r="M2858" s="136">
        <f t="shared" si="71"/>
        <v>35787.237703333834</v>
      </c>
    </row>
    <row r="2859" spans="1:13">
      <c r="A2859" s="54" t="str">
        <f>D2859&amp;E2859&amp;F2859</f>
        <v>FINANZASFONDO Y REPOSICIONFINANZAS</v>
      </c>
      <c r="B2859" t="s">
        <v>1560</v>
      </c>
      <c r="C2859" s="1">
        <v>45870</v>
      </c>
      <c r="D2859" s="71" t="s">
        <v>23</v>
      </c>
      <c r="E2859" s="71" t="s">
        <v>120</v>
      </c>
      <c r="F2859" s="70" t="s">
        <v>23</v>
      </c>
      <c r="G2859" s="71" t="s">
        <v>258</v>
      </c>
      <c r="J2859" s="71" t="s">
        <v>1798</v>
      </c>
      <c r="L2859" s="326">
        <v>16164</v>
      </c>
      <c r="M2859" s="136">
        <f t="shared" si="71"/>
        <v>19623.237703333834</v>
      </c>
    </row>
    <row r="2860" spans="1:13">
      <c r="A2860" s="54" t="str">
        <f>D2860&amp;E2860&amp;F2860</f>
        <v>ELIVIATICOSL1</v>
      </c>
      <c r="B2860" t="s">
        <v>1560</v>
      </c>
      <c r="C2860" s="1">
        <v>45870</v>
      </c>
      <c r="D2860" s="71" t="s">
        <v>130</v>
      </c>
      <c r="E2860" s="71" t="s">
        <v>191</v>
      </c>
      <c r="F2860" s="70" t="s">
        <v>136</v>
      </c>
      <c r="J2860" s="71" t="s">
        <v>1019</v>
      </c>
      <c r="L2860" s="326">
        <v>1000</v>
      </c>
      <c r="M2860" s="136">
        <f t="shared" si="71"/>
        <v>18623.237703333834</v>
      </c>
    </row>
    <row r="2861" spans="1:13">
      <c r="A2861" s="54" t="str">
        <f>D2861&amp;E2861&amp;F2861</f>
        <v>FINANZASFONDO Y REPOSICIONFINANZAS</v>
      </c>
      <c r="B2861" t="s">
        <v>1560</v>
      </c>
      <c r="C2861" s="1">
        <v>45870</v>
      </c>
      <c r="D2861" s="71" t="s">
        <v>23</v>
      </c>
      <c r="E2861" s="71" t="s">
        <v>120</v>
      </c>
      <c r="F2861" s="70" t="s">
        <v>23</v>
      </c>
      <c r="J2861" s="71" t="s">
        <v>1799</v>
      </c>
      <c r="L2861" s="326">
        <v>300</v>
      </c>
      <c r="M2861" s="136">
        <f t="shared" si="71"/>
        <v>18323.237703333834</v>
      </c>
    </row>
    <row r="2862" spans="1:13">
      <c r="A2862" s="54" t="str">
        <f>D2862&amp;E2862&amp;F2862</f>
        <v>MKTVIATICOSMKT</v>
      </c>
      <c r="B2862" t="s">
        <v>1560</v>
      </c>
      <c r="C2862" s="1">
        <v>45870</v>
      </c>
      <c r="D2862" t="s">
        <v>19</v>
      </c>
      <c r="E2862" t="s">
        <v>191</v>
      </c>
      <c r="F2862" t="s">
        <v>19</v>
      </c>
      <c r="G2862" s="71" t="s">
        <v>258</v>
      </c>
      <c r="J2862" s="71" t="s">
        <v>1800</v>
      </c>
      <c r="L2862" s="326">
        <v>1400</v>
      </c>
      <c r="M2862" s="136">
        <f t="shared" si="71"/>
        <v>16923.237703333834</v>
      </c>
    </row>
    <row r="2863" spans="1:13">
      <c r="A2863" s="54" t="str">
        <f>D2863&amp;E2863&amp;F2863</f>
        <v>MKTMKTMELISSA/ELILU</v>
      </c>
      <c r="B2863" t="s">
        <v>1560</v>
      </c>
      <c r="C2863" s="1">
        <v>45870</v>
      </c>
      <c r="D2863" t="s">
        <v>19</v>
      </c>
      <c r="E2863" t="s">
        <v>19</v>
      </c>
      <c r="F2863" t="s">
        <v>140</v>
      </c>
      <c r="G2863" s="71" t="s">
        <v>258</v>
      </c>
      <c r="J2863" s="71" t="s">
        <v>1801</v>
      </c>
      <c r="L2863" s="326">
        <v>700</v>
      </c>
      <c r="M2863" s="136">
        <f t="shared" si="71"/>
        <v>16223.237703333834</v>
      </c>
    </row>
    <row r="2864" spans="1:13">
      <c r="A2864" s="54" t="str">
        <f>D2864&amp;E2864&amp;F2864</f>
        <v>MKTINSUMOSINSUMOS</v>
      </c>
      <c r="B2864" t="s">
        <v>1560</v>
      </c>
      <c r="C2864" s="1">
        <v>45870</v>
      </c>
      <c r="D2864" t="s">
        <v>19</v>
      </c>
      <c r="E2864" t="s">
        <v>133</v>
      </c>
      <c r="F2864" t="s">
        <v>133</v>
      </c>
      <c r="J2864" s="71" t="s">
        <v>1802</v>
      </c>
      <c r="L2864" s="326">
        <v>400</v>
      </c>
      <c r="M2864" s="136">
        <f t="shared" si="71"/>
        <v>15823.237703333834</v>
      </c>
    </row>
    <row r="2865" spans="1:15">
      <c r="A2865" s="54" t="str">
        <f>D2865&amp;E2865&amp;F2865</f>
        <v>FINANZASFONDO Y REPOSICIONFINANZAS</v>
      </c>
      <c r="B2865" t="s">
        <v>1560</v>
      </c>
      <c r="C2865" s="1">
        <v>45870</v>
      </c>
      <c r="D2865" s="71" t="s">
        <v>23</v>
      </c>
      <c r="E2865" s="71" t="s">
        <v>120</v>
      </c>
      <c r="F2865" s="70" t="s">
        <v>23</v>
      </c>
      <c r="J2865" s="71" t="s">
        <v>231</v>
      </c>
      <c r="L2865" s="326">
        <v>50</v>
      </c>
      <c r="M2865" s="136">
        <f t="shared" si="71"/>
        <v>15773.237703333834</v>
      </c>
    </row>
    <row r="2866" spans="1:15">
      <c r="A2866" s="54" t="str">
        <f>D2866&amp;E2866&amp;F2866</f>
        <v>SERVICIOSPAQUETERIACT INTERNACIONAL</v>
      </c>
      <c r="B2866" t="s">
        <v>1560</v>
      </c>
      <c r="C2866" s="1">
        <v>45870</v>
      </c>
      <c r="D2866" t="s">
        <v>21</v>
      </c>
      <c r="E2866" t="s">
        <v>160</v>
      </c>
      <c r="F2866" t="s">
        <v>162</v>
      </c>
      <c r="J2866" s="71" t="s">
        <v>275</v>
      </c>
      <c r="L2866" s="326">
        <v>150</v>
      </c>
      <c r="M2866" s="136">
        <f t="shared" si="71"/>
        <v>15623.237703333834</v>
      </c>
    </row>
    <row r="2867" spans="1:15">
      <c r="A2867" s="54" t="str">
        <f>D2867&amp;E2867&amp;F2867</f>
        <v>HRFONDO Y REPOSICIONHR</v>
      </c>
      <c r="B2867" t="s">
        <v>1560</v>
      </c>
      <c r="C2867" s="1">
        <v>45870</v>
      </c>
      <c r="D2867" s="71" t="s">
        <v>29</v>
      </c>
      <c r="E2867" s="71" t="s">
        <v>120</v>
      </c>
      <c r="F2867" s="70" t="s">
        <v>29</v>
      </c>
      <c r="J2867" s="76" t="s">
        <v>1803</v>
      </c>
      <c r="L2867" s="331">
        <v>15</v>
      </c>
      <c r="M2867" s="136">
        <f t="shared" si="71"/>
        <v>15608.237703333834</v>
      </c>
    </row>
    <row r="2868" spans="1:15">
      <c r="A2868" s="54" t="str">
        <f>D2868&amp;E2868&amp;F2868</f>
        <v>SERVICIOSMTTO DE EDIFICIOMANTENIMIENTO</v>
      </c>
      <c r="B2868" t="s">
        <v>1560</v>
      </c>
      <c r="C2868" s="1">
        <v>45870</v>
      </c>
      <c r="D2868" s="71" t="s">
        <v>21</v>
      </c>
      <c r="E2868" s="71" t="s">
        <v>142</v>
      </c>
      <c r="F2868" s="70" t="s">
        <v>35</v>
      </c>
      <c r="J2868" s="76" t="s">
        <v>1804</v>
      </c>
      <c r="L2868" s="331">
        <v>1000</v>
      </c>
      <c r="M2868" s="136">
        <f t="shared" si="71"/>
        <v>14608.237703333834</v>
      </c>
    </row>
    <row r="2869" spans="1:15">
      <c r="A2869" s="54" t="str">
        <f>D2869&amp;E2869&amp;F2869</f>
        <v>HRUBERHR</v>
      </c>
      <c r="B2869" t="s">
        <v>1560</v>
      </c>
      <c r="C2869" s="1">
        <v>45870</v>
      </c>
      <c r="D2869" s="71" t="s">
        <v>29</v>
      </c>
      <c r="E2869" s="71" t="s">
        <v>189</v>
      </c>
      <c r="F2869" s="70" t="s">
        <v>29</v>
      </c>
      <c r="J2869" s="76" t="s">
        <v>250</v>
      </c>
      <c r="L2869" s="526">
        <v>230</v>
      </c>
      <c r="M2869" s="136">
        <f t="shared" si="71"/>
        <v>14378.237703333834</v>
      </c>
    </row>
    <row r="2870" spans="1:15">
      <c r="A2870" s="54" t="str">
        <f>D2870&amp;E2870&amp;F2870</f>
        <v>FINANZASCUOTAS Y SUSCRIPCIONESCANACO</v>
      </c>
      <c r="B2870" t="s">
        <v>1560</v>
      </c>
      <c r="C2870" s="1">
        <v>45870</v>
      </c>
      <c r="D2870" s="71" t="s">
        <v>23</v>
      </c>
      <c r="E2870" s="178" t="s">
        <v>51</v>
      </c>
      <c r="F2870" s="70" t="s">
        <v>67</v>
      </c>
      <c r="J2870" s="76" t="s">
        <v>1805</v>
      </c>
      <c r="L2870" s="331">
        <v>350</v>
      </c>
      <c r="M2870" s="136">
        <f t="shared" si="71"/>
        <v>14028.237703333834</v>
      </c>
    </row>
    <row r="2871" spans="1:15">
      <c r="A2871" s="54" t="str">
        <f>D2871&amp;E2871&amp;F2871</f>
        <v>CAPUBERCAP</v>
      </c>
      <c r="B2871" t="s">
        <v>1560</v>
      </c>
      <c r="C2871" s="1">
        <v>45870</v>
      </c>
      <c r="D2871" s="71" t="s">
        <v>31</v>
      </c>
      <c r="E2871" s="71" t="s">
        <v>189</v>
      </c>
      <c r="F2871" s="70" t="s">
        <v>31</v>
      </c>
      <c r="J2871" s="76" t="s">
        <v>253</v>
      </c>
      <c r="L2871" s="526">
        <v>257</v>
      </c>
      <c r="M2871" s="136">
        <f t="shared" si="71"/>
        <v>13771.237703333834</v>
      </c>
    </row>
    <row r="2872" spans="1:15">
      <c r="A2872" s="54" t="str">
        <f>D2872&amp;E2872&amp;F2872</f>
        <v>CAPINSUMOSCAPRICHOS</v>
      </c>
      <c r="B2872" t="s">
        <v>1560</v>
      </c>
      <c r="C2872" s="1">
        <v>45870</v>
      </c>
      <c r="D2872" s="71" t="s">
        <v>31</v>
      </c>
      <c r="E2872" s="71" t="s">
        <v>133</v>
      </c>
      <c r="F2872" s="70" t="s">
        <v>33</v>
      </c>
      <c r="J2872" s="76" t="s">
        <v>406</v>
      </c>
      <c r="L2872" s="331">
        <v>127</v>
      </c>
      <c r="M2872" s="136">
        <f t="shared" si="71"/>
        <v>13644.237703333834</v>
      </c>
    </row>
    <row r="2873" spans="1:15">
      <c r="A2873" s="54" t="str">
        <f>D2873&amp;E2873&amp;F2873</f>
        <v>CAPUBERCAP</v>
      </c>
      <c r="B2873" t="s">
        <v>1560</v>
      </c>
      <c r="C2873" s="1">
        <v>45870</v>
      </c>
      <c r="D2873" s="71" t="s">
        <v>31</v>
      </c>
      <c r="E2873" s="71" t="s">
        <v>189</v>
      </c>
      <c r="F2873" s="70" t="s">
        <v>31</v>
      </c>
      <c r="J2873" s="76" t="s">
        <v>257</v>
      </c>
      <c r="L2873" s="526">
        <v>200</v>
      </c>
      <c r="M2873" s="136">
        <f t="shared" si="71"/>
        <v>13444.237703333834</v>
      </c>
    </row>
    <row r="2874" spans="1:15">
      <c r="A2874" s="54" t="str">
        <f t="shared" si="72"/>
        <v/>
      </c>
      <c r="B2874" t="s">
        <v>1560</v>
      </c>
      <c r="C2874" s="1">
        <v>45873</v>
      </c>
      <c r="D2874" s="71"/>
      <c r="F2874" s="70"/>
      <c r="J2874" s="71" t="s">
        <v>1806</v>
      </c>
      <c r="K2874" s="325">
        <v>742814.14</v>
      </c>
      <c r="L2874" s="354"/>
      <c r="M2874" s="136">
        <f t="shared" si="71"/>
        <v>756258.37770333386</v>
      </c>
    </row>
    <row r="2875" spans="1:15">
      <c r="A2875" s="54" t="str">
        <f t="shared" si="72"/>
        <v/>
      </c>
      <c r="B2875" t="s">
        <v>1807</v>
      </c>
      <c r="C2875" s="1">
        <v>45873</v>
      </c>
      <c r="D2875" s="71"/>
      <c r="F2875" s="70"/>
      <c r="J2875" s="71" t="s">
        <v>1808</v>
      </c>
      <c r="K2875" s="325">
        <v>236203.8</v>
      </c>
      <c r="L2875" s="432"/>
      <c r="M2875" s="136">
        <f t="shared" si="71"/>
        <v>992462.17770333379</v>
      </c>
      <c r="O2875" s="5">
        <f>M2875-K2875</f>
        <v>756258.37770333374</v>
      </c>
    </row>
    <row r="2876" spans="1:15">
      <c r="A2876" s="54" t="str">
        <f>D2876&amp;E2876&amp;F2876</f>
        <v>FINANZASCOMISIONES BANCARIASTPV</v>
      </c>
      <c r="B2876" t="s">
        <v>1807</v>
      </c>
      <c r="C2876" s="1">
        <v>45873</v>
      </c>
      <c r="D2876" s="71" t="s">
        <v>23</v>
      </c>
      <c r="E2876" s="71" t="s">
        <v>48</v>
      </c>
      <c r="F2876" s="70" t="s">
        <v>50</v>
      </c>
      <c r="J2876" s="71" t="s">
        <v>217</v>
      </c>
      <c r="L2876" s="433">
        <f>1789.64+1213.43+7434.17+5558.26+4780.26+503.48</f>
        <v>21279.24</v>
      </c>
      <c r="M2876" s="136">
        <f>M2875+K2876-L2876</f>
        <v>971182.9377033338</v>
      </c>
    </row>
    <row r="2877" spans="1:15">
      <c r="A2877" s="54" t="str">
        <f t="shared" si="72"/>
        <v/>
      </c>
      <c r="B2877" t="s">
        <v>1807</v>
      </c>
      <c r="C2877" s="1">
        <v>45873</v>
      </c>
      <c r="D2877" s="71"/>
      <c r="F2877" s="70"/>
      <c r="H2877" s="83" t="s">
        <v>219</v>
      </c>
      <c r="J2877" s="205" t="s">
        <v>1562</v>
      </c>
      <c r="K2877" s="205"/>
      <c r="L2877" s="428">
        <v>150000</v>
      </c>
      <c r="M2877" s="136">
        <f t="shared" ref="M2877:M2940" si="73">M2876+K2877-L2877</f>
        <v>821182.9377033338</v>
      </c>
    </row>
    <row r="2878" spans="1:15">
      <c r="A2878" s="54" t="str">
        <f t="shared" si="72"/>
        <v/>
      </c>
      <c r="B2878" t="s">
        <v>1807</v>
      </c>
      <c r="C2878" s="1">
        <v>45873</v>
      </c>
      <c r="D2878" s="71"/>
      <c r="F2878" s="70"/>
      <c r="H2878" s="83" t="s">
        <v>221</v>
      </c>
      <c r="J2878" s="205" t="s">
        <v>563</v>
      </c>
      <c r="K2878" s="205"/>
      <c r="L2878" s="428">
        <v>100000</v>
      </c>
      <c r="M2878" s="136">
        <f t="shared" si="73"/>
        <v>721182.9377033338</v>
      </c>
    </row>
    <row r="2879" spans="1:15">
      <c r="A2879" s="54" t="str">
        <f>D2879&amp;E2879&amp;F2879</f>
        <v>HRIMAGEN VISUALIMAGEN VISUAL HR</v>
      </c>
      <c r="B2879" t="s">
        <v>1807</v>
      </c>
      <c r="C2879" s="1">
        <v>45873</v>
      </c>
      <c r="D2879" s="71" t="s">
        <v>29</v>
      </c>
      <c r="E2879" s="71" t="s">
        <v>127</v>
      </c>
      <c r="F2879" s="70" t="s">
        <v>128</v>
      </c>
      <c r="J2879" s="71" t="s">
        <v>1809</v>
      </c>
      <c r="L2879" s="433">
        <v>2839.68</v>
      </c>
      <c r="M2879" s="136">
        <f t="shared" si="73"/>
        <v>718343.25770333374</v>
      </c>
    </row>
    <row r="2880" spans="1:15">
      <c r="A2880" s="54" t="str">
        <f>D2880&amp;E2880&amp;F2880</f>
        <v>HRIMAGEN VISUALIMAGEN VISUAL HR</v>
      </c>
      <c r="B2880" t="s">
        <v>1807</v>
      </c>
      <c r="C2880" s="1">
        <v>45873</v>
      </c>
      <c r="D2880" s="71" t="s">
        <v>29</v>
      </c>
      <c r="E2880" s="71" t="s">
        <v>127</v>
      </c>
      <c r="F2880" s="70" t="s">
        <v>128</v>
      </c>
      <c r="J2880" s="71" t="s">
        <v>1810</v>
      </c>
      <c r="L2880" s="433">
        <v>10623.74</v>
      </c>
      <c r="M2880" s="136">
        <f t="shared" si="73"/>
        <v>707719.51770333375</v>
      </c>
    </row>
    <row r="2881" spans="1:13">
      <c r="A2881" s="54" t="str">
        <f>D2881&amp;E2881&amp;F2881</f>
        <v>SERVICIOSINSUMOSCADENA DE SUMINISTROS</v>
      </c>
      <c r="B2881" t="s">
        <v>1807</v>
      </c>
      <c r="C2881" s="1">
        <v>45873</v>
      </c>
      <c r="D2881" s="71" t="s">
        <v>21</v>
      </c>
      <c r="E2881" s="71" t="s">
        <v>133</v>
      </c>
      <c r="F2881" s="70" t="s">
        <v>134</v>
      </c>
      <c r="J2881" s="71" t="s">
        <v>1811</v>
      </c>
      <c r="L2881" s="433">
        <v>16843.2</v>
      </c>
      <c r="M2881" s="136">
        <f t="shared" si="73"/>
        <v>690876.3177033338</v>
      </c>
    </row>
    <row r="2882" spans="1:13">
      <c r="A2882" s="54" t="str">
        <f>D2882&amp;E2882&amp;F2882</f>
        <v>HRVIATICOSHR</v>
      </c>
      <c r="B2882" t="s">
        <v>1807</v>
      </c>
      <c r="C2882" s="1">
        <v>45873</v>
      </c>
      <c r="D2882" s="71" t="s">
        <v>29</v>
      </c>
      <c r="E2882" s="71" t="s">
        <v>191</v>
      </c>
      <c r="F2882" s="70" t="s">
        <v>29</v>
      </c>
      <c r="J2882" s="71" t="s">
        <v>1014</v>
      </c>
      <c r="L2882" s="433">
        <v>5500</v>
      </c>
      <c r="M2882" s="136">
        <f t="shared" si="73"/>
        <v>685376.3177033338</v>
      </c>
    </row>
    <row r="2883" spans="1:13">
      <c r="A2883" s="54" t="str">
        <f>D2883&amp;E2883&amp;F2883</f>
        <v>HRCOMBUSTIBLEHR</v>
      </c>
      <c r="B2883" t="s">
        <v>1807</v>
      </c>
      <c r="C2883" s="1">
        <v>45873</v>
      </c>
      <c r="D2883" s="71" t="s">
        <v>29</v>
      </c>
      <c r="E2883" s="71" t="s">
        <v>32</v>
      </c>
      <c r="F2883" s="70" t="s">
        <v>29</v>
      </c>
      <c r="J2883" s="71" t="s">
        <v>1812</v>
      </c>
      <c r="L2883" s="433">
        <v>700</v>
      </c>
      <c r="M2883" s="136">
        <f t="shared" si="73"/>
        <v>684676.3177033338</v>
      </c>
    </row>
    <row r="2884" spans="1:13">
      <c r="A2884" s="54" t="str">
        <f>D2884&amp;E2884&amp;F2884</f>
        <v>HRENERGIA ELECTRICAA18</v>
      </c>
      <c r="B2884" t="s">
        <v>1807</v>
      </c>
      <c r="C2884" s="1">
        <v>45873</v>
      </c>
      <c r="D2884" s="71" t="s">
        <v>29</v>
      </c>
      <c r="E2884" s="71" t="s">
        <v>87</v>
      </c>
      <c r="F2884" s="70" t="s">
        <v>103</v>
      </c>
      <c r="J2884" s="71" t="s">
        <v>1813</v>
      </c>
      <c r="L2884" s="433">
        <v>9280</v>
      </c>
      <c r="M2884" s="136">
        <f t="shared" si="73"/>
        <v>675396.3177033338</v>
      </c>
    </row>
    <row r="2885" spans="1:13">
      <c r="A2885" s="54" t="str">
        <f>D2885&amp;E2885&amp;F2885</f>
        <v>HRMKTMKT HR</v>
      </c>
      <c r="B2885" t="s">
        <v>1807</v>
      </c>
      <c r="C2885" s="1">
        <v>45873</v>
      </c>
      <c r="D2885" t="s">
        <v>29</v>
      </c>
      <c r="E2885" s="12" t="s">
        <v>19</v>
      </c>
      <c r="F2885" s="12" t="s">
        <v>138</v>
      </c>
      <c r="J2885" s="71" t="s">
        <v>1814</v>
      </c>
      <c r="L2885" s="433">
        <v>1300</v>
      </c>
      <c r="M2885" s="136">
        <f t="shared" si="73"/>
        <v>674096.3177033338</v>
      </c>
    </row>
    <row r="2886" spans="1:13">
      <c r="A2886" s="54" t="str">
        <f>D2886&amp;E2886&amp;F2886</f>
        <v>MKTVIATICOSMKT</v>
      </c>
      <c r="B2886" t="s">
        <v>1807</v>
      </c>
      <c r="C2886" s="1">
        <v>45873</v>
      </c>
      <c r="D2886" s="242" t="s">
        <v>19</v>
      </c>
      <c r="E2886" s="242" t="s">
        <v>191</v>
      </c>
      <c r="F2886" s="70" t="s">
        <v>19</v>
      </c>
      <c r="J2886" s="71" t="s">
        <v>1815</v>
      </c>
      <c r="L2886" s="433">
        <v>800</v>
      </c>
      <c r="M2886" s="136">
        <f t="shared" si="73"/>
        <v>673296.3177033338</v>
      </c>
    </row>
    <row r="2887" spans="1:13">
      <c r="A2887" s="54" t="str">
        <f>D2887&amp;E2887&amp;F2887</f>
        <v>SERVICIOSVIATICOSCEDIS</v>
      </c>
      <c r="B2887" t="s">
        <v>1807</v>
      </c>
      <c r="C2887" s="1">
        <v>45873</v>
      </c>
      <c r="D2887" s="71" t="s">
        <v>21</v>
      </c>
      <c r="E2887" s="71" t="s">
        <v>191</v>
      </c>
      <c r="F2887" s="70" t="s">
        <v>28</v>
      </c>
      <c r="J2887" s="71" t="s">
        <v>1816</v>
      </c>
      <c r="L2887" s="433">
        <v>1000</v>
      </c>
      <c r="M2887" s="136">
        <f t="shared" si="73"/>
        <v>672296.3177033338</v>
      </c>
    </row>
    <row r="2888" spans="1:13">
      <c r="A2888" s="54" t="str">
        <f>D2888&amp;E2888&amp;F2888</f>
        <v>SERVICIOSVIATICOSCEDIS</v>
      </c>
      <c r="B2888" t="s">
        <v>1807</v>
      </c>
      <c r="C2888" s="1">
        <v>45873</v>
      </c>
      <c r="D2888" s="71" t="s">
        <v>21</v>
      </c>
      <c r="E2888" s="71" t="s">
        <v>191</v>
      </c>
      <c r="F2888" s="70" t="s">
        <v>28</v>
      </c>
      <c r="J2888" s="71" t="s">
        <v>646</v>
      </c>
      <c r="L2888" s="433">
        <v>2050</v>
      </c>
      <c r="M2888" s="136">
        <f t="shared" si="73"/>
        <v>670246.3177033338</v>
      </c>
    </row>
    <row r="2889" spans="1:13">
      <c r="A2889" s="54" t="str">
        <f>D2889&amp;E2889&amp;F2889</f>
        <v>HRUBERHR</v>
      </c>
      <c r="B2889" t="s">
        <v>1807</v>
      </c>
      <c r="C2889" s="1">
        <v>45873</v>
      </c>
      <c r="D2889" s="71" t="s">
        <v>29</v>
      </c>
      <c r="E2889" s="71" t="s">
        <v>189</v>
      </c>
      <c r="F2889" s="70" t="s">
        <v>29</v>
      </c>
      <c r="J2889" s="76" t="s">
        <v>1817</v>
      </c>
      <c r="L2889" s="522">
        <v>47</v>
      </c>
      <c r="M2889" s="136">
        <f t="shared" si="73"/>
        <v>670199.3177033338</v>
      </c>
    </row>
    <row r="2890" spans="1:13">
      <c r="A2890" s="54" t="str">
        <f>D2890&amp;E2890&amp;F2890</f>
        <v>HRINSUMOSHR</v>
      </c>
      <c r="B2890" t="s">
        <v>1807</v>
      </c>
      <c r="C2890" s="1">
        <v>45873</v>
      </c>
      <c r="D2890" s="71" t="s">
        <v>29</v>
      </c>
      <c r="E2890" s="71" t="s">
        <v>133</v>
      </c>
      <c r="F2890" s="70" t="s">
        <v>29</v>
      </c>
      <c r="J2890" s="76" t="s">
        <v>1818</v>
      </c>
      <c r="L2890" s="434">
        <v>64</v>
      </c>
      <c r="M2890" s="136">
        <f t="shared" si="73"/>
        <v>670135.3177033338</v>
      </c>
    </row>
    <row r="2891" spans="1:13">
      <c r="A2891" s="54" t="str">
        <f>D2891&amp;E2891&amp;F2891</f>
        <v>SERVICIOSMTTO DE EDIFICIOMANTENIMIENTO</v>
      </c>
      <c r="B2891" s="393" t="s">
        <v>1807</v>
      </c>
      <c r="C2891" s="394">
        <v>45873</v>
      </c>
      <c r="D2891" s="395" t="s">
        <v>21</v>
      </c>
      <c r="E2891" s="395" t="s">
        <v>142</v>
      </c>
      <c r="F2891" s="396" t="s">
        <v>35</v>
      </c>
      <c r="G2891" s="395"/>
      <c r="H2891" s="397"/>
      <c r="I2891" s="397"/>
      <c r="J2891" s="398" t="s">
        <v>1819</v>
      </c>
      <c r="K2891" s="399"/>
      <c r="L2891" s="435">
        <v>6130</v>
      </c>
      <c r="M2891" s="136">
        <f t="shared" si="73"/>
        <v>664005.3177033338</v>
      </c>
    </row>
    <row r="2892" spans="1:13">
      <c r="A2892" s="54" t="str">
        <f>D2892&amp;E2892&amp;F2892</f>
        <v>HRUBERHR</v>
      </c>
      <c r="B2892" t="s">
        <v>1807</v>
      </c>
      <c r="C2892" s="1">
        <v>45873</v>
      </c>
      <c r="D2892" s="71" t="s">
        <v>29</v>
      </c>
      <c r="E2892" s="71" t="s">
        <v>189</v>
      </c>
      <c r="F2892" s="70" t="s">
        <v>29</v>
      </c>
      <c r="J2892" s="76" t="s">
        <v>1820</v>
      </c>
      <c r="L2892" s="522">
        <v>220</v>
      </c>
      <c r="M2892" s="136">
        <f t="shared" si="73"/>
        <v>663785.3177033338</v>
      </c>
    </row>
    <row r="2893" spans="1:13">
      <c r="A2893" s="54" t="str">
        <f>D2893&amp;E2893&amp;F2893</f>
        <v>CAPNOMINA SUCURSALE1</v>
      </c>
      <c r="B2893" t="s">
        <v>1807</v>
      </c>
      <c r="C2893" s="1">
        <v>45873</v>
      </c>
      <c r="D2893" s="71" t="s">
        <v>31</v>
      </c>
      <c r="E2893" s="71" t="s">
        <v>154</v>
      </c>
      <c r="F2893" s="70" t="s">
        <v>107</v>
      </c>
      <c r="J2893" s="76" t="s">
        <v>1821</v>
      </c>
      <c r="L2893" s="434">
        <v>1507</v>
      </c>
      <c r="M2893" s="136">
        <f t="shared" si="73"/>
        <v>662278.3177033338</v>
      </c>
    </row>
    <row r="2894" spans="1:13">
      <c r="A2894" s="54" t="str">
        <f>D2894&amp;E2894&amp;F2894</f>
        <v>CAPUBERCAP</v>
      </c>
      <c r="B2894" t="s">
        <v>1807</v>
      </c>
      <c r="C2894" s="1">
        <v>45873</v>
      </c>
      <c r="D2894" t="s">
        <v>31</v>
      </c>
      <c r="E2894" t="s">
        <v>189</v>
      </c>
      <c r="F2894" t="s">
        <v>31</v>
      </c>
      <c r="J2894" s="76" t="s">
        <v>1784</v>
      </c>
      <c r="L2894" s="522">
        <v>558</v>
      </c>
      <c r="M2894" s="136">
        <f t="shared" si="73"/>
        <v>661720.3177033338</v>
      </c>
    </row>
    <row r="2895" spans="1:13">
      <c r="A2895" s="54" t="str">
        <f>D2895&amp;E2895&amp;F2895</f>
        <v>CAPJMASE3</v>
      </c>
      <c r="B2895" t="s">
        <v>1807</v>
      </c>
      <c r="C2895" s="1">
        <v>45873</v>
      </c>
      <c r="D2895" s="71" t="s">
        <v>31</v>
      </c>
      <c r="E2895" s="71" t="s">
        <v>137</v>
      </c>
      <c r="F2895" s="70" t="s">
        <v>109</v>
      </c>
      <c r="J2895" s="76" t="s">
        <v>1822</v>
      </c>
      <c r="L2895" s="434">
        <v>378</v>
      </c>
      <c r="M2895" s="136">
        <f t="shared" si="73"/>
        <v>661342.3177033338</v>
      </c>
    </row>
    <row r="2896" spans="1:13">
      <c r="A2896" s="54" t="str">
        <f>D2896&amp;E2896&amp;F2896</f>
        <v>CAPUBERCAP</v>
      </c>
      <c r="B2896" t="s">
        <v>1807</v>
      </c>
      <c r="C2896" s="1">
        <v>45873</v>
      </c>
      <c r="D2896" s="71" t="s">
        <v>31</v>
      </c>
      <c r="E2896" s="71" t="s">
        <v>189</v>
      </c>
      <c r="F2896" s="70" t="s">
        <v>31</v>
      </c>
      <c r="J2896" s="76" t="s">
        <v>1786</v>
      </c>
      <c r="L2896" s="522">
        <v>311</v>
      </c>
      <c r="M2896" s="136">
        <f t="shared" si="73"/>
        <v>661031.3177033338</v>
      </c>
    </row>
    <row r="2897" spans="1:13">
      <c r="A2897" s="54" t="str">
        <f>D2897&amp;E2897&amp;F2897</f>
        <v>CAPINSUMOSCAPRICHOS</v>
      </c>
      <c r="B2897" t="s">
        <v>1807</v>
      </c>
      <c r="C2897" s="1">
        <v>45873</v>
      </c>
      <c r="D2897" s="71" t="s">
        <v>31</v>
      </c>
      <c r="E2897" s="71" t="s">
        <v>133</v>
      </c>
      <c r="F2897" s="70" t="s">
        <v>33</v>
      </c>
      <c r="J2897" s="76" t="s">
        <v>948</v>
      </c>
      <c r="L2897" s="434">
        <v>59</v>
      </c>
      <c r="M2897" s="136">
        <f t="shared" si="73"/>
        <v>660972.3177033338</v>
      </c>
    </row>
    <row r="2898" spans="1:13">
      <c r="A2898" s="54" t="str">
        <f>D2898&amp;E2898&amp;F2898</f>
        <v>CAPNOMINA SUCURSALE5</v>
      </c>
      <c r="B2898" t="s">
        <v>1807</v>
      </c>
      <c r="C2898" s="1">
        <v>45873</v>
      </c>
      <c r="D2898" s="71" t="s">
        <v>31</v>
      </c>
      <c r="E2898" s="71" t="s">
        <v>154</v>
      </c>
      <c r="F2898" s="70" t="s">
        <v>111</v>
      </c>
      <c r="J2898" s="76" t="s">
        <v>1823</v>
      </c>
      <c r="L2898" s="434">
        <v>777</v>
      </c>
      <c r="M2898" s="136">
        <f t="shared" si="73"/>
        <v>660195.3177033338</v>
      </c>
    </row>
    <row r="2899" spans="1:13">
      <c r="A2899" s="54" t="str">
        <f>D2899&amp;E2899&amp;F2899</f>
        <v>CAPINSUMOSCAPRICHOS</v>
      </c>
      <c r="B2899" t="s">
        <v>1807</v>
      </c>
      <c r="C2899" s="1">
        <v>45873</v>
      </c>
      <c r="D2899" s="71" t="s">
        <v>31</v>
      </c>
      <c r="E2899" s="71" t="s">
        <v>133</v>
      </c>
      <c r="F2899" s="70" t="s">
        <v>33</v>
      </c>
      <c r="J2899" s="76" t="s">
        <v>1824</v>
      </c>
      <c r="L2899" s="434">
        <v>200</v>
      </c>
      <c r="M2899" s="136">
        <f t="shared" si="73"/>
        <v>659995.3177033338</v>
      </c>
    </row>
    <row r="2900" spans="1:13">
      <c r="A2900" s="54" t="str">
        <f t="shared" ref="A2897:A2960" si="74">D2900&amp;E2900&amp;F2900</f>
        <v/>
      </c>
      <c r="B2900" t="s">
        <v>1807</v>
      </c>
      <c r="C2900" s="1">
        <v>45874</v>
      </c>
      <c r="D2900" s="71"/>
      <c r="F2900" s="70"/>
      <c r="J2900" s="71" t="s">
        <v>260</v>
      </c>
      <c r="K2900" s="325">
        <v>212101.65</v>
      </c>
      <c r="L2900" s="432"/>
      <c r="M2900" s="136">
        <f t="shared" si="73"/>
        <v>872096.96770333382</v>
      </c>
    </row>
    <row r="2901" spans="1:13">
      <c r="A2901" s="54" t="str">
        <f>D2901&amp;E2901&amp;F2901</f>
        <v>FINANZASCOMISIONES BANCARIASTPV</v>
      </c>
      <c r="B2901" t="s">
        <v>1807</v>
      </c>
      <c r="C2901" s="1">
        <v>45874</v>
      </c>
      <c r="D2901" s="71" t="s">
        <v>23</v>
      </c>
      <c r="E2901" s="71" t="s">
        <v>48</v>
      </c>
      <c r="F2901" s="70" t="s">
        <v>50</v>
      </c>
      <c r="J2901" s="71" t="s">
        <v>217</v>
      </c>
      <c r="L2901" s="433">
        <f>1239.51+120.85+1386.27+1040.89+3.48+3.48+814.3</f>
        <v>4608.7800000000007</v>
      </c>
      <c r="M2901" s="136">
        <f t="shared" si="73"/>
        <v>867488.1877033338</v>
      </c>
    </row>
    <row r="2902" spans="1:13">
      <c r="A2902" s="54" t="str">
        <f t="shared" si="74"/>
        <v/>
      </c>
      <c r="B2902" t="s">
        <v>1807</v>
      </c>
      <c r="C2902" s="1">
        <v>45874</v>
      </c>
      <c r="D2902" s="71"/>
      <c r="F2902" s="70"/>
      <c r="H2902" s="83" t="s">
        <v>219</v>
      </c>
      <c r="J2902" s="205" t="s">
        <v>1562</v>
      </c>
      <c r="K2902" s="205"/>
      <c r="L2902" s="428">
        <v>200000</v>
      </c>
      <c r="M2902" s="136">
        <f t="shared" si="73"/>
        <v>667488.1877033338</v>
      </c>
    </row>
    <row r="2903" spans="1:13">
      <c r="A2903" s="54" t="str">
        <f>D2903&amp;E2903&amp;F2903</f>
        <v>SERVICIOSCOMBUSTIBLESISTEMAS</v>
      </c>
      <c r="B2903" t="s">
        <v>1807</v>
      </c>
      <c r="C2903" s="1">
        <v>45874</v>
      </c>
      <c r="D2903" s="71" t="s">
        <v>21</v>
      </c>
      <c r="E2903" s="71" t="s">
        <v>32</v>
      </c>
      <c r="F2903" s="70" t="s">
        <v>36</v>
      </c>
      <c r="G2903" s="71" t="s">
        <v>258</v>
      </c>
      <c r="J2903" s="71" t="s">
        <v>1825</v>
      </c>
      <c r="L2903" s="433">
        <v>1700</v>
      </c>
      <c r="M2903" s="136">
        <f t="shared" si="73"/>
        <v>665788.1877033338</v>
      </c>
    </row>
    <row r="2904" spans="1:13">
      <c r="A2904" s="54" t="str">
        <f>D2904&amp;E2904&amp;F2904</f>
        <v>SERVICIOSVIATICOSSISTEMAS</v>
      </c>
      <c r="B2904" t="s">
        <v>1807</v>
      </c>
      <c r="C2904" s="1">
        <v>45874</v>
      </c>
      <c r="D2904" s="71" t="s">
        <v>21</v>
      </c>
      <c r="E2904" s="71" t="s">
        <v>191</v>
      </c>
      <c r="F2904" s="70" t="s">
        <v>36</v>
      </c>
      <c r="G2904" s="71" t="s">
        <v>258</v>
      </c>
      <c r="J2904" s="71" t="s">
        <v>470</v>
      </c>
      <c r="L2904" s="433">
        <v>2550</v>
      </c>
      <c r="M2904" s="136">
        <f t="shared" si="73"/>
        <v>663238.1877033338</v>
      </c>
    </row>
    <row r="2905" spans="1:13">
      <c r="A2905" s="54" t="str">
        <f>D2905&amp;E2905&amp;F2905</f>
        <v>SERVICIOSFONDO Y REPOSICIONSERVICIOS</v>
      </c>
      <c r="B2905" t="s">
        <v>1807</v>
      </c>
      <c r="C2905" s="1">
        <v>45874</v>
      </c>
      <c r="D2905" s="71" t="s">
        <v>21</v>
      </c>
      <c r="E2905" s="71" t="s">
        <v>120</v>
      </c>
      <c r="F2905" s="70" t="s">
        <v>21</v>
      </c>
      <c r="J2905" s="71" t="s">
        <v>1826</v>
      </c>
      <c r="L2905" s="433">
        <v>5000</v>
      </c>
      <c r="M2905" s="136">
        <f t="shared" si="73"/>
        <v>658238.1877033338</v>
      </c>
    </row>
    <row r="2906" spans="1:13">
      <c r="A2906" s="54" t="str">
        <f>D2906&amp;E2906&amp;F2906</f>
        <v>SERVICIOSMTTO DE EDIFICIOMANTENIMIENTO</v>
      </c>
      <c r="B2906" t="s">
        <v>1807</v>
      </c>
      <c r="C2906" s="1">
        <v>45874</v>
      </c>
      <c r="D2906" s="71" t="s">
        <v>21</v>
      </c>
      <c r="E2906" s="71" t="s">
        <v>142</v>
      </c>
      <c r="F2906" s="70" t="s">
        <v>35</v>
      </c>
      <c r="J2906" s="71" t="s">
        <v>1827</v>
      </c>
      <c r="L2906" s="433">
        <v>1450</v>
      </c>
      <c r="M2906" s="136">
        <f t="shared" si="73"/>
        <v>656788.1877033338</v>
      </c>
    </row>
    <row r="2907" spans="1:13">
      <c r="A2907" s="54" t="str">
        <f t="shared" si="74"/>
        <v/>
      </c>
      <c r="B2907" t="s">
        <v>1807</v>
      </c>
      <c r="C2907" s="1">
        <v>45874</v>
      </c>
      <c r="D2907" s="71"/>
      <c r="F2907" s="70"/>
      <c r="J2907" s="71" t="s">
        <v>1828</v>
      </c>
      <c r="L2907" s="433">
        <v>548575</v>
      </c>
      <c r="M2907" s="136">
        <f t="shared" si="73"/>
        <v>108213.1877033338</v>
      </c>
    </row>
    <row r="2908" spans="1:13">
      <c r="A2908" s="54" t="str">
        <f>D2908&amp;E2908&amp;F2908</f>
        <v>HRPUBLICIDADBASEBALL</v>
      </c>
      <c r="B2908" t="s">
        <v>1807</v>
      </c>
      <c r="C2908" s="1">
        <v>45874</v>
      </c>
      <c r="D2908" t="s">
        <v>29</v>
      </c>
      <c r="E2908" s="12" t="s">
        <v>164</v>
      </c>
      <c r="F2908" s="12" t="s">
        <v>165</v>
      </c>
      <c r="J2908" s="71" t="s">
        <v>1829</v>
      </c>
      <c r="L2908" s="433">
        <v>94500</v>
      </c>
      <c r="M2908" s="136">
        <f t="shared" si="73"/>
        <v>13713.187703333795</v>
      </c>
    </row>
    <row r="2909" spans="1:13">
      <c r="A2909" s="54" t="str">
        <f>D2909&amp;E2909&amp;F2909</f>
        <v>HRMKTMKT HR</v>
      </c>
      <c r="B2909" t="s">
        <v>1807</v>
      </c>
      <c r="C2909" s="1">
        <v>45874</v>
      </c>
      <c r="D2909" t="s">
        <v>29</v>
      </c>
      <c r="E2909" s="12" t="s">
        <v>19</v>
      </c>
      <c r="F2909" s="12" t="s">
        <v>138</v>
      </c>
      <c r="J2909" s="71" t="s">
        <v>1830</v>
      </c>
      <c r="L2909" s="433">
        <v>18000</v>
      </c>
      <c r="M2909" s="136">
        <f t="shared" si="73"/>
        <v>-4286.8122966662049</v>
      </c>
    </row>
    <row r="2910" spans="1:13">
      <c r="A2910" s="54" t="str">
        <f>D2910&amp;E2910&amp;F2910</f>
        <v>SERVICIOSOTROS GASTOS UNIFORMES</v>
      </c>
      <c r="B2910" t="s">
        <v>1807</v>
      </c>
      <c r="C2910" s="1">
        <v>45874</v>
      </c>
      <c r="D2910" t="s">
        <v>21</v>
      </c>
      <c r="E2910" t="s">
        <v>158</v>
      </c>
      <c r="F2910" t="s">
        <v>159</v>
      </c>
      <c r="G2910" s="71" t="s">
        <v>258</v>
      </c>
      <c r="J2910" s="71" t="s">
        <v>1831</v>
      </c>
      <c r="L2910" s="433">
        <v>542.1</v>
      </c>
      <c r="M2910" s="136">
        <f t="shared" si="73"/>
        <v>-4828.9122966662053</v>
      </c>
    </row>
    <row r="2911" spans="1:13">
      <c r="A2911" s="54" t="str">
        <f>D2911&amp;E2911&amp;F2911</f>
        <v>SERVICIOSMTTO DE EDIFICIOMANTENIMIENTO</v>
      </c>
      <c r="B2911" t="s">
        <v>1807</v>
      </c>
      <c r="C2911" s="1">
        <v>45874</v>
      </c>
      <c r="D2911" s="71" t="s">
        <v>21</v>
      </c>
      <c r="E2911" s="71" t="s">
        <v>142</v>
      </c>
      <c r="F2911" s="70" t="s">
        <v>35</v>
      </c>
      <c r="J2911" s="76" t="s">
        <v>602</v>
      </c>
      <c r="L2911" s="434">
        <v>2938</v>
      </c>
      <c r="M2911" s="136">
        <f t="shared" si="73"/>
        <v>-7766.9122966662053</v>
      </c>
    </row>
    <row r="2912" spans="1:13">
      <c r="A2912" s="54" t="str">
        <f>D2912&amp;E2912&amp;F2912</f>
        <v>HRINSUMOSHR</v>
      </c>
      <c r="B2912" t="s">
        <v>1807</v>
      </c>
      <c r="C2912" s="1">
        <v>45874</v>
      </c>
      <c r="D2912" s="71" t="s">
        <v>29</v>
      </c>
      <c r="E2912" s="71" t="s">
        <v>133</v>
      </c>
      <c r="F2912" s="70" t="s">
        <v>29</v>
      </c>
      <c r="J2912" s="76" t="s">
        <v>1832</v>
      </c>
      <c r="L2912" s="434">
        <v>55</v>
      </c>
      <c r="M2912" s="136">
        <f t="shared" si="73"/>
        <v>-7821.9122966662053</v>
      </c>
    </row>
    <row r="2913" spans="1:13">
      <c r="A2913" s="54" t="str">
        <f>D2913&amp;E2913&amp;F2913</f>
        <v>CAPUBERCAP</v>
      </c>
      <c r="B2913" t="s">
        <v>1807</v>
      </c>
      <c r="C2913" s="1">
        <v>45874</v>
      </c>
      <c r="D2913" s="71" t="s">
        <v>31</v>
      </c>
      <c r="E2913" s="71" t="s">
        <v>189</v>
      </c>
      <c r="F2913" s="70" t="s">
        <v>31</v>
      </c>
      <c r="J2913" s="76" t="s">
        <v>958</v>
      </c>
      <c r="L2913" s="522">
        <v>545</v>
      </c>
      <c r="M2913" s="136">
        <f t="shared" si="73"/>
        <v>-8366.9122966662053</v>
      </c>
    </row>
    <row r="2914" spans="1:13">
      <c r="A2914" s="54" t="str">
        <f>D2914&amp;E2914&amp;F2914</f>
        <v>CAPUBERCAP</v>
      </c>
      <c r="B2914" t="s">
        <v>1807</v>
      </c>
      <c r="C2914" s="1">
        <v>45874</v>
      </c>
      <c r="D2914" s="71" t="s">
        <v>31</v>
      </c>
      <c r="E2914" s="71" t="s">
        <v>189</v>
      </c>
      <c r="F2914" s="70" t="s">
        <v>31</v>
      </c>
      <c r="J2914" s="76" t="s">
        <v>257</v>
      </c>
      <c r="L2914" s="522">
        <v>1180</v>
      </c>
      <c r="M2914" s="136">
        <f t="shared" si="73"/>
        <v>-9546.9122966662053</v>
      </c>
    </row>
    <row r="2915" spans="1:13">
      <c r="A2915" s="54" t="str">
        <f>D2915&amp;E2915&amp;F2915</f>
        <v>FINANZASFONDO Y REPOSICIONFINANZAS</v>
      </c>
      <c r="B2915" t="s">
        <v>1807</v>
      </c>
      <c r="C2915" s="1">
        <v>45874</v>
      </c>
      <c r="D2915" s="71" t="s">
        <v>23</v>
      </c>
      <c r="E2915" s="71" t="s">
        <v>120</v>
      </c>
      <c r="F2915" s="70" t="s">
        <v>23</v>
      </c>
      <c r="J2915" s="71" t="s">
        <v>1833</v>
      </c>
      <c r="L2915" s="433">
        <v>50</v>
      </c>
      <c r="M2915" s="136">
        <f t="shared" si="73"/>
        <v>-9596.9122966662053</v>
      </c>
    </row>
    <row r="2916" spans="1:13" ht="18" customHeight="1">
      <c r="A2916" s="54" t="str">
        <f>D2916&amp;E2916&amp;F2916</f>
        <v>FINANZASCURSOS Y CAPACITACIONESCONTABILIDAD</v>
      </c>
      <c r="B2916" t="s">
        <v>1807</v>
      </c>
      <c r="C2916" s="1">
        <v>45874</v>
      </c>
      <c r="D2916" s="71" t="s">
        <v>23</v>
      </c>
      <c r="E2916" s="178" t="s">
        <v>85</v>
      </c>
      <c r="F2916" s="70" t="s">
        <v>37</v>
      </c>
      <c r="J2916" s="71" t="s">
        <v>1834</v>
      </c>
      <c r="L2916" s="433">
        <v>1000</v>
      </c>
      <c r="M2916" s="136">
        <f t="shared" si="73"/>
        <v>-10596.912296666205</v>
      </c>
    </row>
    <row r="2917" spans="1:13">
      <c r="A2917" s="54" t="str">
        <f>D2917&amp;E2917&amp;F2917</f>
        <v>SERVICIOSMTTO DE EDIFICIOMANTENIMIENTO</v>
      </c>
      <c r="B2917" t="s">
        <v>1807</v>
      </c>
      <c r="C2917" s="1">
        <v>45874</v>
      </c>
      <c r="D2917" s="71" t="s">
        <v>21</v>
      </c>
      <c r="E2917" s="71" t="s">
        <v>142</v>
      </c>
      <c r="F2917" s="70" t="s">
        <v>35</v>
      </c>
      <c r="G2917" s="71" t="s">
        <v>258</v>
      </c>
      <c r="J2917" s="71" t="s">
        <v>1835</v>
      </c>
      <c r="L2917" s="433">
        <v>22804.880000000001</v>
      </c>
      <c r="M2917" s="136">
        <f t="shared" si="73"/>
        <v>-33401.792296666208</v>
      </c>
    </row>
    <row r="2918" spans="1:13">
      <c r="A2918" s="54" t="str">
        <f>D2918&amp;E2918&amp;F2918</f>
        <v>HRFONDO Y REPOSICIONHR</v>
      </c>
      <c r="B2918" t="s">
        <v>1807</v>
      </c>
      <c r="C2918" s="1">
        <v>45874</v>
      </c>
      <c r="D2918" s="71" t="s">
        <v>29</v>
      </c>
      <c r="E2918" s="71" t="s">
        <v>120</v>
      </c>
      <c r="F2918" s="70" t="s">
        <v>29</v>
      </c>
      <c r="J2918" s="71" t="s">
        <v>1836</v>
      </c>
      <c r="L2918" s="433">
        <v>2669</v>
      </c>
      <c r="M2918" s="136">
        <f t="shared" si="73"/>
        <v>-36070.792296666208</v>
      </c>
    </row>
    <row r="2919" spans="1:13">
      <c r="A2919" s="54" t="str">
        <f>D2919&amp;E2919&amp;F2919</f>
        <v>SERVICIOSADQ DE EQ TECNOLOGICOADQ DE EQ TECNOLOGICO</v>
      </c>
      <c r="B2919" t="s">
        <v>1807</v>
      </c>
      <c r="C2919" s="1">
        <v>45874</v>
      </c>
      <c r="D2919" s="71" t="s">
        <v>21</v>
      </c>
      <c r="E2919" s="71" t="s">
        <v>22</v>
      </c>
      <c r="F2919" s="70" t="s">
        <v>22</v>
      </c>
      <c r="J2919" s="71" t="s">
        <v>1837</v>
      </c>
      <c r="L2919" s="433">
        <v>232</v>
      </c>
      <c r="M2919" s="136">
        <f t="shared" si="73"/>
        <v>-36302.792296666208</v>
      </c>
    </row>
    <row r="2920" spans="1:13">
      <c r="A2920" s="54" t="str">
        <f>D2920&amp;E2920&amp;F2920</f>
        <v>SERVICIOSVIATICOSCEDIS</v>
      </c>
      <c r="B2920" t="s">
        <v>1807</v>
      </c>
      <c r="C2920" s="1">
        <v>45874</v>
      </c>
      <c r="D2920" s="71" t="s">
        <v>21</v>
      </c>
      <c r="E2920" s="71" t="s">
        <v>191</v>
      </c>
      <c r="F2920" s="70" t="s">
        <v>28</v>
      </c>
      <c r="J2920" s="71" t="s">
        <v>1838</v>
      </c>
      <c r="L2920" s="433">
        <v>1100</v>
      </c>
      <c r="M2920" s="136">
        <f t="shared" si="73"/>
        <v>-37402.792296666208</v>
      </c>
    </row>
    <row r="2921" spans="1:13">
      <c r="A2921" s="54" t="str">
        <f t="shared" si="74"/>
        <v/>
      </c>
      <c r="B2921" t="s">
        <v>1807</v>
      </c>
      <c r="C2921" s="1">
        <v>45875</v>
      </c>
      <c r="D2921" s="71"/>
      <c r="F2921" s="70"/>
      <c r="J2921" s="71" t="s">
        <v>260</v>
      </c>
      <c r="K2921" s="325">
        <v>205460.46</v>
      </c>
      <c r="L2921" s="432"/>
      <c r="M2921" s="136">
        <f t="shared" si="73"/>
        <v>168057.66770333378</v>
      </c>
    </row>
    <row r="2922" spans="1:13">
      <c r="A2922" s="54" t="str">
        <f t="shared" si="74"/>
        <v/>
      </c>
      <c r="B2922" t="s">
        <v>1807</v>
      </c>
      <c r="C2922" s="1">
        <v>45875</v>
      </c>
      <c r="D2922" s="71"/>
      <c r="F2922" s="70"/>
      <c r="J2922" s="71" t="s">
        <v>1839</v>
      </c>
      <c r="K2922" s="325">
        <v>245600</v>
      </c>
      <c r="L2922" s="432"/>
      <c r="M2922" s="136">
        <f t="shared" si="73"/>
        <v>413657.66770333378</v>
      </c>
    </row>
    <row r="2923" spans="1:13">
      <c r="A2923" s="54" t="str">
        <f>D2923&amp;E2923&amp;F2923</f>
        <v>FINANZASCOMISIONES BANCARIASTPV</v>
      </c>
      <c r="B2923" t="s">
        <v>1807</v>
      </c>
      <c r="C2923" s="1">
        <v>45875</v>
      </c>
      <c r="D2923" s="71" t="s">
        <v>23</v>
      </c>
      <c r="E2923" s="71" t="s">
        <v>48</v>
      </c>
      <c r="F2923" s="70" t="s">
        <v>50</v>
      </c>
      <c r="J2923" s="71" t="s">
        <v>217</v>
      </c>
      <c r="L2923" s="433">
        <f>1239.51+120.85+1386.27+814.3+1040.89+3.49+0.49</f>
        <v>4605.8</v>
      </c>
      <c r="M2923" s="136">
        <f t="shared" si="73"/>
        <v>409051.86770333379</v>
      </c>
    </row>
    <row r="2924" spans="1:13">
      <c r="A2924" s="54" t="str">
        <f t="shared" si="74"/>
        <v/>
      </c>
      <c r="B2924" t="s">
        <v>1807</v>
      </c>
      <c r="C2924" s="1">
        <v>45875</v>
      </c>
      <c r="D2924" s="71"/>
      <c r="F2924" s="70"/>
      <c r="H2924" s="83" t="s">
        <v>219</v>
      </c>
      <c r="J2924" s="205" t="s">
        <v>1562</v>
      </c>
      <c r="K2924" s="205"/>
      <c r="L2924" s="428">
        <v>200000</v>
      </c>
      <c r="M2924" s="136">
        <f t="shared" si="73"/>
        <v>209051.86770333379</v>
      </c>
    </row>
    <row r="2925" spans="1:13">
      <c r="A2925" s="54" t="str">
        <f t="shared" si="74"/>
        <v/>
      </c>
      <c r="B2925" t="s">
        <v>1807</v>
      </c>
      <c r="C2925" s="1">
        <v>45875</v>
      </c>
      <c r="D2925" s="71"/>
      <c r="F2925" s="70"/>
      <c r="H2925" s="83" t="s">
        <v>221</v>
      </c>
      <c r="J2925" s="205" t="s">
        <v>222</v>
      </c>
      <c r="K2925" s="205"/>
      <c r="L2925" s="428">
        <v>246000</v>
      </c>
      <c r="M2925" s="136">
        <f t="shared" si="73"/>
        <v>-36948.132296666212</v>
      </c>
    </row>
    <row r="2926" spans="1:13">
      <c r="A2926" s="54" t="str">
        <f>D2926&amp;E2926&amp;F2926</f>
        <v>SERVICIOSINSUMOSCADENA DE SUMINISTROS</v>
      </c>
      <c r="B2926" t="s">
        <v>1807</v>
      </c>
      <c r="C2926" s="1">
        <v>45875</v>
      </c>
      <c r="D2926" s="71" t="s">
        <v>21</v>
      </c>
      <c r="E2926" s="71" t="s">
        <v>133</v>
      </c>
      <c r="F2926" s="70" t="s">
        <v>134</v>
      </c>
      <c r="J2926" s="71" t="s">
        <v>858</v>
      </c>
      <c r="L2926" s="433">
        <v>6332.96</v>
      </c>
      <c r="M2926" s="136">
        <f t="shared" si="73"/>
        <v>-43281.092296666211</v>
      </c>
    </row>
    <row r="2927" spans="1:13">
      <c r="A2927" s="54" t="str">
        <f>D2927&amp;E2927&amp;F2927</f>
        <v>SERVICIOSINSUMOSCADENA DE SUMINISTROS</v>
      </c>
      <c r="B2927" t="s">
        <v>1807</v>
      </c>
      <c r="C2927" s="1">
        <v>45875</v>
      </c>
      <c r="D2927" s="71" t="s">
        <v>21</v>
      </c>
      <c r="E2927" s="71" t="s">
        <v>133</v>
      </c>
      <c r="F2927" s="70" t="s">
        <v>134</v>
      </c>
      <c r="J2927" s="71" t="s">
        <v>1840</v>
      </c>
      <c r="L2927" s="433">
        <v>2518.1999999999998</v>
      </c>
      <c r="M2927" s="136">
        <f t="shared" si="73"/>
        <v>-45799.292296666208</v>
      </c>
    </row>
    <row r="2928" spans="1:13">
      <c r="A2928" s="54" t="str">
        <f>D2928&amp;E2928&amp;F2928</f>
        <v>SERVICIOSTELEPEAJECEDIS</v>
      </c>
      <c r="B2928" t="s">
        <v>1807</v>
      </c>
      <c r="C2928" s="1">
        <v>45875</v>
      </c>
      <c r="D2928" s="71" t="s">
        <v>21</v>
      </c>
      <c r="E2928" s="71" t="s">
        <v>186</v>
      </c>
      <c r="F2928" s="70" t="s">
        <v>28</v>
      </c>
      <c r="J2928" s="71" t="s">
        <v>1841</v>
      </c>
      <c r="L2928" s="433">
        <v>809</v>
      </c>
      <c r="M2928" s="136">
        <f t="shared" si="73"/>
        <v>-46608.292296666208</v>
      </c>
    </row>
    <row r="2929" spans="1:13">
      <c r="A2929" s="54" t="str">
        <f>D2929&amp;E2929&amp;F2929</f>
        <v>SERVICIOSTELEPEAJECEDIS</v>
      </c>
      <c r="B2929" t="s">
        <v>1807</v>
      </c>
      <c r="C2929" s="1">
        <v>45875</v>
      </c>
      <c r="D2929" s="71" t="s">
        <v>21</v>
      </c>
      <c r="E2929" s="71" t="s">
        <v>186</v>
      </c>
      <c r="F2929" s="70" t="s">
        <v>28</v>
      </c>
      <c r="J2929" s="71" t="s">
        <v>1841</v>
      </c>
      <c r="L2929" s="433">
        <v>4705</v>
      </c>
      <c r="M2929" s="136">
        <f t="shared" si="73"/>
        <v>-51313.292296666208</v>
      </c>
    </row>
    <row r="2930" spans="1:13">
      <c r="A2930" s="54" t="str">
        <f>D2930&amp;E2930&amp;F2930</f>
        <v>HRTELEPEAJEOP HR</v>
      </c>
      <c r="B2930" t="s">
        <v>1807</v>
      </c>
      <c r="C2930" s="1">
        <v>45875</v>
      </c>
      <c r="D2930" s="71" t="s">
        <v>29</v>
      </c>
      <c r="E2930" s="71" t="s">
        <v>186</v>
      </c>
      <c r="F2930" s="143" t="s">
        <v>187</v>
      </c>
      <c r="J2930" s="71" t="s">
        <v>1842</v>
      </c>
      <c r="L2930" s="433">
        <v>712</v>
      </c>
      <c r="M2930" s="136">
        <f t="shared" si="73"/>
        <v>-52025.292296666208</v>
      </c>
    </row>
    <row r="2931" spans="1:13">
      <c r="A2931" s="54" t="str">
        <f>D2931&amp;E2931&amp;F2931</f>
        <v>CAPTELEPEAJEOP CAPRICHOS</v>
      </c>
      <c r="B2931" t="s">
        <v>1807</v>
      </c>
      <c r="C2931" s="1">
        <v>45875</v>
      </c>
      <c r="D2931" s="71" t="s">
        <v>31</v>
      </c>
      <c r="E2931" s="71" t="s">
        <v>186</v>
      </c>
      <c r="F2931" s="70" t="s">
        <v>188</v>
      </c>
      <c r="J2931" s="71" t="s">
        <v>1843</v>
      </c>
      <c r="L2931" s="433">
        <v>596</v>
      </c>
      <c r="M2931" s="136">
        <f t="shared" si="73"/>
        <v>-52621.292296666208</v>
      </c>
    </row>
    <row r="2932" spans="1:13">
      <c r="A2932" s="54" t="str">
        <f>D2932&amp;E2932&amp;F2932</f>
        <v>SERVICIOSALARMASUCURSALES HR</v>
      </c>
      <c r="B2932" t="s">
        <v>1807</v>
      </c>
      <c r="C2932" s="1">
        <v>45875</v>
      </c>
      <c r="D2932" s="71" t="s">
        <v>21</v>
      </c>
      <c r="E2932" s="71" t="s">
        <v>25</v>
      </c>
      <c r="F2932" s="70" t="s">
        <v>26</v>
      </c>
      <c r="J2932" s="71" t="s">
        <v>863</v>
      </c>
      <c r="L2932" s="433">
        <v>5600</v>
      </c>
      <c r="M2932" s="136">
        <f t="shared" si="73"/>
        <v>-58221.292296666208</v>
      </c>
    </row>
    <row r="2933" spans="1:13">
      <c r="A2933" s="54" t="str">
        <f>D2933&amp;E2933&amp;F2933</f>
        <v>HRFONDO Y REPOSICIONHR</v>
      </c>
      <c r="B2933" t="s">
        <v>1807</v>
      </c>
      <c r="C2933" s="1">
        <v>45875</v>
      </c>
      <c r="D2933" s="71" t="s">
        <v>29</v>
      </c>
      <c r="E2933" s="71" t="s">
        <v>120</v>
      </c>
      <c r="F2933" s="70" t="s">
        <v>29</v>
      </c>
      <c r="J2933" s="71" t="s">
        <v>1844</v>
      </c>
      <c r="L2933" s="433">
        <v>2500</v>
      </c>
      <c r="M2933" s="136">
        <f t="shared" si="73"/>
        <v>-60721.292296666208</v>
      </c>
    </row>
    <row r="2934" spans="1:13">
      <c r="A2934" s="54" t="str">
        <f>D2934&amp;E2934&amp;F2934</f>
        <v>HRFONDO Y REPOSICIONHR</v>
      </c>
      <c r="B2934" t="s">
        <v>1807</v>
      </c>
      <c r="C2934" s="1">
        <v>45875</v>
      </c>
      <c r="D2934" s="71" t="s">
        <v>29</v>
      </c>
      <c r="E2934" s="71" t="s">
        <v>120</v>
      </c>
      <c r="F2934" s="70" t="s">
        <v>29</v>
      </c>
      <c r="J2934" s="71" t="s">
        <v>1845</v>
      </c>
      <c r="L2934" s="433">
        <v>4500</v>
      </c>
      <c r="M2934" s="136">
        <f t="shared" si="73"/>
        <v>-65221.292296666208</v>
      </c>
    </row>
    <row r="2935" spans="1:13">
      <c r="A2935" s="54" t="str">
        <f>D2935&amp;E2935&amp;F2935</f>
        <v>CAPVIATICOSCAPRICHOS</v>
      </c>
      <c r="B2935" t="s">
        <v>1807</v>
      </c>
      <c r="C2935" s="1">
        <v>45875</v>
      </c>
      <c r="D2935" s="71" t="s">
        <v>31</v>
      </c>
      <c r="E2935" s="71" t="s">
        <v>191</v>
      </c>
      <c r="F2935" s="70" t="s">
        <v>33</v>
      </c>
      <c r="J2935" s="71" t="s">
        <v>1846</v>
      </c>
      <c r="L2935" s="433">
        <v>1200</v>
      </c>
      <c r="M2935" s="136">
        <f t="shared" si="73"/>
        <v>-66421.292296666215</v>
      </c>
    </row>
    <row r="2936" spans="1:13">
      <c r="A2936" s="54" t="str">
        <f>D2936&amp;E2936&amp;F2936</f>
        <v>HRCOMBUSTIBLEHR</v>
      </c>
      <c r="B2936" t="s">
        <v>1807</v>
      </c>
      <c r="C2936" s="1">
        <v>45875</v>
      </c>
      <c r="D2936" s="71" t="s">
        <v>29</v>
      </c>
      <c r="E2936" s="71" t="s">
        <v>32</v>
      </c>
      <c r="F2936" s="70" t="s">
        <v>29</v>
      </c>
      <c r="J2936" s="71" t="s">
        <v>1847</v>
      </c>
      <c r="L2936" s="433">
        <v>300</v>
      </c>
      <c r="M2936" s="136">
        <f t="shared" si="73"/>
        <v>-66721.292296666215</v>
      </c>
    </row>
    <row r="2937" spans="1:13">
      <c r="A2937" s="54" t="str">
        <f>D2937&amp;E2937&amp;F2937</f>
        <v>FINANZASINSUMOSFINANZAS</v>
      </c>
      <c r="B2937" t="s">
        <v>1807</v>
      </c>
      <c r="C2937" s="1">
        <v>45875</v>
      </c>
      <c r="D2937" s="71" t="s">
        <v>23</v>
      </c>
      <c r="E2937" s="71" t="s">
        <v>133</v>
      </c>
      <c r="F2937" s="70" t="s">
        <v>23</v>
      </c>
      <c r="J2937" s="71" t="s">
        <v>1848</v>
      </c>
      <c r="L2937" s="433">
        <v>79</v>
      </c>
      <c r="M2937" s="136">
        <f t="shared" si="73"/>
        <v>-66800.292296666215</v>
      </c>
    </row>
    <row r="2938" spans="1:13">
      <c r="A2938" s="54" t="str">
        <f>D2938&amp;E2938&amp;F2938</f>
        <v>HRFONDO Y REPOSICIONHR</v>
      </c>
      <c r="B2938" t="s">
        <v>1807</v>
      </c>
      <c r="C2938" s="1">
        <v>45875</v>
      </c>
      <c r="D2938" s="71" t="s">
        <v>29</v>
      </c>
      <c r="E2938" s="71" t="s">
        <v>120</v>
      </c>
      <c r="F2938" s="70" t="s">
        <v>29</v>
      </c>
      <c r="J2938" s="76" t="s">
        <v>1849</v>
      </c>
      <c r="L2938" s="434">
        <v>300</v>
      </c>
      <c r="M2938" s="136">
        <f t="shared" si="73"/>
        <v>-67100.292296666215</v>
      </c>
    </row>
    <row r="2939" spans="1:13">
      <c r="A2939" s="54" t="str">
        <f>D2939&amp;E2939&amp;F2939</f>
        <v>CAPINSUMOSCAPRICHOS</v>
      </c>
      <c r="B2939" t="s">
        <v>1807</v>
      </c>
      <c r="C2939" s="1">
        <v>45875</v>
      </c>
      <c r="D2939" s="71" t="s">
        <v>31</v>
      </c>
      <c r="E2939" s="71" t="s">
        <v>133</v>
      </c>
      <c r="F2939" s="70" t="s">
        <v>33</v>
      </c>
      <c r="J2939" s="76" t="s">
        <v>1850</v>
      </c>
      <c r="L2939" s="434">
        <v>290</v>
      </c>
      <c r="M2939" s="136">
        <f t="shared" si="73"/>
        <v>-67390.292296666215</v>
      </c>
    </row>
    <row r="2940" spans="1:13">
      <c r="A2940" s="54" t="str">
        <f>D2940&amp;E2940&amp;F2940</f>
        <v>CAPUBERCAP</v>
      </c>
      <c r="B2940" t="s">
        <v>1807</v>
      </c>
      <c r="C2940" s="1">
        <v>45875</v>
      </c>
      <c r="D2940" s="71" t="s">
        <v>31</v>
      </c>
      <c r="E2940" s="71" t="s">
        <v>189</v>
      </c>
      <c r="F2940" s="70" t="s">
        <v>31</v>
      </c>
      <c r="J2940" s="76" t="s">
        <v>253</v>
      </c>
      <c r="L2940" s="522">
        <v>339</v>
      </c>
      <c r="M2940" s="136">
        <f t="shared" si="73"/>
        <v>-67729.292296666215</v>
      </c>
    </row>
    <row r="2941" spans="1:13">
      <c r="A2941" s="54" t="str">
        <f>D2941&amp;E2941&amp;F2941</f>
        <v>CAPUBERCAP</v>
      </c>
      <c r="B2941" t="s">
        <v>1807</v>
      </c>
      <c r="C2941" s="1">
        <v>45875</v>
      </c>
      <c r="D2941" s="71" t="s">
        <v>31</v>
      </c>
      <c r="E2941" s="71" t="s">
        <v>189</v>
      </c>
      <c r="F2941" s="70" t="s">
        <v>31</v>
      </c>
      <c r="J2941" s="76" t="s">
        <v>257</v>
      </c>
      <c r="L2941" s="522">
        <v>152</v>
      </c>
      <c r="M2941" s="136">
        <f t="shared" ref="M2941:M3004" si="75">M2940+K2941-L2941</f>
        <v>-67881.292296666215</v>
      </c>
    </row>
    <row r="2942" spans="1:13">
      <c r="A2942" s="54" t="str">
        <f>D2942&amp;E2942&amp;F2942</f>
        <v>CAPINSUMOSCAPRICHOS</v>
      </c>
      <c r="B2942" t="s">
        <v>1807</v>
      </c>
      <c r="C2942" s="1">
        <v>45875</v>
      </c>
      <c r="D2942" s="71" t="s">
        <v>31</v>
      </c>
      <c r="E2942" s="71" t="s">
        <v>133</v>
      </c>
      <c r="F2942" s="70" t="s">
        <v>33</v>
      </c>
      <c r="J2942" s="76" t="s">
        <v>1851</v>
      </c>
      <c r="L2942" s="434">
        <v>120</v>
      </c>
      <c r="M2942" s="136">
        <f t="shared" si="75"/>
        <v>-68001.292296666215</v>
      </c>
    </row>
    <row r="2943" spans="1:13">
      <c r="A2943" s="54" t="str">
        <f t="shared" si="74"/>
        <v/>
      </c>
      <c r="B2943" t="s">
        <v>1807</v>
      </c>
      <c r="C2943" s="1">
        <v>45875</v>
      </c>
      <c r="D2943" s="71"/>
      <c r="F2943" s="70"/>
      <c r="J2943" s="71" t="s">
        <v>260</v>
      </c>
      <c r="K2943" s="325">
        <v>201873.16</v>
      </c>
      <c r="L2943" s="436"/>
      <c r="M2943" s="136">
        <f t="shared" si="75"/>
        <v>133871.86770333379</v>
      </c>
    </row>
    <row r="2944" spans="1:13">
      <c r="A2944" s="54" t="str">
        <f>D2944&amp;E2944&amp;F2944</f>
        <v>FINANZASCOMISIONES BANCARIASMANEJO DE CUENTA</v>
      </c>
      <c r="B2944" t="s">
        <v>1807</v>
      </c>
      <c r="C2944" s="1">
        <v>45875</v>
      </c>
      <c r="D2944" s="71" t="s">
        <v>23</v>
      </c>
      <c r="E2944" s="71" t="s">
        <v>48</v>
      </c>
      <c r="F2944" s="70" t="s">
        <v>49</v>
      </c>
      <c r="J2944" s="71" t="s">
        <v>764</v>
      </c>
      <c r="L2944" s="433">
        <f>327.7+287.1+384.54</f>
        <v>999.33999999999992</v>
      </c>
      <c r="M2944" s="136">
        <f t="shared" si="75"/>
        <v>132872.52770333379</v>
      </c>
    </row>
    <row r="2945" spans="1:13">
      <c r="A2945" s="54" t="str">
        <f>D2945&amp;E2945&amp;F2945</f>
        <v>FINANZASCOMISIONES BANCARIASTPV</v>
      </c>
      <c r="B2945" t="s">
        <v>1807</v>
      </c>
      <c r="C2945" s="1">
        <v>45876</v>
      </c>
      <c r="D2945" s="71" t="s">
        <v>23</v>
      </c>
      <c r="E2945" s="71" t="s">
        <v>48</v>
      </c>
      <c r="F2945" s="70" t="s">
        <v>50</v>
      </c>
      <c r="J2945" s="71" t="s">
        <v>217</v>
      </c>
      <c r="L2945" s="433">
        <f>221.27+79.07+1588.71+765.24+1343.41+3.48+17.4</f>
        <v>4018.58</v>
      </c>
      <c r="M2945" s="136">
        <f t="shared" si="75"/>
        <v>128853.94770333379</v>
      </c>
    </row>
    <row r="2946" spans="1:13">
      <c r="A2946" s="54" t="str">
        <f t="shared" si="74"/>
        <v/>
      </c>
      <c r="B2946" t="s">
        <v>1807</v>
      </c>
      <c r="C2946" s="1">
        <v>45876</v>
      </c>
      <c r="D2946" s="71"/>
      <c r="F2946" s="70"/>
      <c r="H2946" s="83" t="s">
        <v>219</v>
      </c>
      <c r="J2946" s="205" t="s">
        <v>1562</v>
      </c>
      <c r="K2946" s="205"/>
      <c r="L2946" s="428">
        <v>150000</v>
      </c>
      <c r="M2946" s="136">
        <f t="shared" si="75"/>
        <v>-21146.05229666621</v>
      </c>
    </row>
    <row r="2947" spans="1:13">
      <c r="A2947" s="54" t="str">
        <f t="shared" si="74"/>
        <v/>
      </c>
      <c r="B2947" t="s">
        <v>1807</v>
      </c>
      <c r="C2947" s="1">
        <v>45876</v>
      </c>
      <c r="D2947" s="71"/>
      <c r="F2947" s="70"/>
      <c r="H2947" s="83" t="s">
        <v>221</v>
      </c>
      <c r="J2947" s="205" t="s">
        <v>222</v>
      </c>
      <c r="K2947" s="205"/>
      <c r="L2947" s="428"/>
      <c r="M2947" s="136">
        <f t="shared" si="75"/>
        <v>-21146.05229666621</v>
      </c>
    </row>
    <row r="2948" spans="1:13">
      <c r="A2948" s="54" t="str">
        <f>D2948&amp;E2948&amp;F2948</f>
        <v>HRIMAGEN VISUALIMAGEN VISUAL HR</v>
      </c>
      <c r="B2948" t="s">
        <v>1807</v>
      </c>
      <c r="C2948" s="1">
        <v>45876</v>
      </c>
      <c r="D2948" s="71" t="s">
        <v>29</v>
      </c>
      <c r="E2948" s="71" t="s">
        <v>127</v>
      </c>
      <c r="F2948" s="70" t="s">
        <v>128</v>
      </c>
      <c r="J2948" s="71" t="s">
        <v>1852</v>
      </c>
      <c r="L2948" s="433">
        <v>6936.8</v>
      </c>
      <c r="M2948" s="136">
        <f t="shared" si="75"/>
        <v>-28082.852296666209</v>
      </c>
    </row>
    <row r="2949" spans="1:13">
      <c r="A2949" s="54" t="str">
        <f>D2949&amp;E2949&amp;F2949</f>
        <v>HRMKTMKT HR</v>
      </c>
      <c r="B2949" t="s">
        <v>1807</v>
      </c>
      <c r="C2949" s="1">
        <v>45876</v>
      </c>
      <c r="D2949" s="71" t="s">
        <v>29</v>
      </c>
      <c r="E2949" s="71" t="s">
        <v>19</v>
      </c>
      <c r="F2949" s="70" t="s">
        <v>138</v>
      </c>
      <c r="J2949" s="71" t="s">
        <v>1853</v>
      </c>
      <c r="L2949" s="433">
        <v>1190.1600000000001</v>
      </c>
      <c r="M2949" s="136">
        <f t="shared" si="75"/>
        <v>-29273.012296666209</v>
      </c>
    </row>
    <row r="2950" spans="1:13">
      <c r="A2950" s="54" t="str">
        <f>D2950&amp;E2950&amp;F2950</f>
        <v>SERVICIOSINSUMOSCADENA DE SUMINISTROS</v>
      </c>
      <c r="B2950" t="s">
        <v>1807</v>
      </c>
      <c r="C2950" s="1">
        <v>45876</v>
      </c>
      <c r="D2950" s="71" t="s">
        <v>21</v>
      </c>
      <c r="E2950" s="71" t="s">
        <v>133</v>
      </c>
      <c r="F2950" s="70" t="s">
        <v>134</v>
      </c>
      <c r="J2950" s="71" t="s">
        <v>1854</v>
      </c>
      <c r="L2950" s="433">
        <v>1305</v>
      </c>
      <c r="M2950" s="136">
        <f t="shared" si="75"/>
        <v>-30578.012296666209</v>
      </c>
    </row>
    <row r="2951" spans="1:13">
      <c r="A2951" s="54" t="str">
        <f>D2951&amp;E2951&amp;F2951</f>
        <v>CAPENERGIA ELECTRICAE8</v>
      </c>
      <c r="B2951" t="s">
        <v>1807</v>
      </c>
      <c r="C2951" s="1">
        <v>45876</v>
      </c>
      <c r="D2951" s="71" t="s">
        <v>31</v>
      </c>
      <c r="E2951" s="71" t="s">
        <v>87</v>
      </c>
      <c r="F2951" s="70" t="s">
        <v>114</v>
      </c>
      <c r="J2951" s="71" t="s">
        <v>1855</v>
      </c>
      <c r="L2951" s="433">
        <v>27469</v>
      </c>
      <c r="M2951" s="136">
        <f t="shared" si="75"/>
        <v>-58047.012296666209</v>
      </c>
    </row>
    <row r="2952" spans="1:13">
      <c r="A2952" s="54" t="str">
        <f>D2952&amp;E2952&amp;F2952</f>
        <v>FINANZASTELEFONIATELEFONIA</v>
      </c>
      <c r="B2952" t="s">
        <v>1807</v>
      </c>
      <c r="C2952" s="1">
        <v>45876</v>
      </c>
      <c r="D2952" s="71" t="s">
        <v>23</v>
      </c>
      <c r="E2952" s="71" t="s">
        <v>181</v>
      </c>
      <c r="F2952" s="70" t="s">
        <v>181</v>
      </c>
      <c r="J2952" s="71" t="s">
        <v>1856</v>
      </c>
      <c r="L2952" s="433">
        <v>3388.04</v>
      </c>
      <c r="M2952" s="136">
        <f t="shared" si="75"/>
        <v>-61435.05229666621</v>
      </c>
    </row>
    <row r="2953" spans="1:13">
      <c r="A2953" s="54" t="str">
        <f>D2953&amp;E2953&amp;F2953</f>
        <v>FINANZASTELEFONIATELEFONIA</v>
      </c>
      <c r="B2953" t="s">
        <v>1807</v>
      </c>
      <c r="C2953" s="1">
        <v>45876</v>
      </c>
      <c r="D2953" s="71" t="s">
        <v>23</v>
      </c>
      <c r="E2953" s="71" t="s">
        <v>181</v>
      </c>
      <c r="F2953" s="70" t="s">
        <v>181</v>
      </c>
      <c r="J2953" s="71" t="s">
        <v>1857</v>
      </c>
      <c r="L2953" s="433">
        <v>5311.02</v>
      </c>
      <c r="M2953" s="136">
        <f t="shared" si="75"/>
        <v>-66746.072296666214</v>
      </c>
    </row>
    <row r="2954" spans="1:13">
      <c r="A2954" s="54" t="str">
        <f>D2954&amp;E2954&amp;F2954</f>
        <v>FINANZASCUOTAS Y SUSCRIPCIONESPREDIAL/REVALIDACIONES</v>
      </c>
      <c r="B2954" t="s">
        <v>1807</v>
      </c>
      <c r="C2954" s="1">
        <v>45876</v>
      </c>
      <c r="D2954" s="71" t="s">
        <v>23</v>
      </c>
      <c r="E2954" s="71" t="s">
        <v>51</v>
      </c>
      <c r="F2954" s="70" t="s">
        <v>77</v>
      </c>
      <c r="G2954" s="71" t="s">
        <v>258</v>
      </c>
      <c r="J2954" s="71" t="s">
        <v>1858</v>
      </c>
      <c r="L2954" s="433">
        <v>12070</v>
      </c>
      <c r="M2954" s="136">
        <f t="shared" si="75"/>
        <v>-78816.072296666214</v>
      </c>
    </row>
    <row r="2955" spans="1:13">
      <c r="A2955" s="54" t="str">
        <f>D2955&amp;E2955&amp;F2955</f>
        <v>MKTINSUMOSINSUMOS</v>
      </c>
      <c r="B2955" t="s">
        <v>1807</v>
      </c>
      <c r="C2955" s="1">
        <v>45876</v>
      </c>
      <c r="D2955" s="242" t="s">
        <v>19</v>
      </c>
      <c r="E2955" s="242" t="s">
        <v>133</v>
      </c>
      <c r="F2955" s="70" t="s">
        <v>133</v>
      </c>
      <c r="J2955" s="71" t="s">
        <v>1859</v>
      </c>
      <c r="L2955" s="433">
        <v>5500</v>
      </c>
      <c r="M2955" s="136">
        <f t="shared" si="75"/>
        <v>-84316.072296666214</v>
      </c>
    </row>
    <row r="2956" spans="1:13">
      <c r="A2956" s="54" t="str">
        <f t="shared" si="74"/>
        <v/>
      </c>
      <c r="B2956" t="s">
        <v>1807</v>
      </c>
      <c r="C2956" s="1">
        <v>45876</v>
      </c>
      <c r="D2956" s="71"/>
      <c r="F2956" s="70"/>
      <c r="J2956" s="71" t="s">
        <v>819</v>
      </c>
      <c r="L2956" s="433">
        <v>30208.9</v>
      </c>
      <c r="M2956" s="136">
        <f t="shared" si="75"/>
        <v>-114524.97229666621</v>
      </c>
    </row>
    <row r="2957" spans="1:13">
      <c r="A2957" s="54" t="str">
        <f>D2957&amp;E2957&amp;F2957</f>
        <v>SERVICIOSGASCEDIS</v>
      </c>
      <c r="B2957" t="s">
        <v>1807</v>
      </c>
      <c r="C2957" s="1">
        <v>45876</v>
      </c>
      <c r="D2957" s="71" t="s">
        <v>21</v>
      </c>
      <c r="E2957" s="71" t="s">
        <v>122</v>
      </c>
      <c r="F2957" s="70" t="s">
        <v>28</v>
      </c>
      <c r="J2957" s="71" t="s">
        <v>1666</v>
      </c>
      <c r="L2957" s="433">
        <v>300</v>
      </c>
      <c r="M2957" s="136">
        <f t="shared" si="75"/>
        <v>-114824.97229666621</v>
      </c>
    </row>
    <row r="2958" spans="1:13">
      <c r="A2958" s="54" t="str">
        <f>D2958&amp;E2958&amp;F2958</f>
        <v>CAPINSUMOSCAPRICHOS</v>
      </c>
      <c r="B2958" t="s">
        <v>1807</v>
      </c>
      <c r="C2958" s="1">
        <v>45876</v>
      </c>
      <c r="D2958" s="71" t="s">
        <v>31</v>
      </c>
      <c r="E2958" s="71" t="s">
        <v>133</v>
      </c>
      <c r="F2958" s="70" t="s">
        <v>33</v>
      </c>
      <c r="J2958" s="71" t="s">
        <v>1860</v>
      </c>
      <c r="L2958" s="433">
        <v>700</v>
      </c>
      <c r="M2958" s="136">
        <f t="shared" si="75"/>
        <v>-115524.97229666621</v>
      </c>
    </row>
    <row r="2959" spans="1:13">
      <c r="A2959" s="54" t="str">
        <f>D2959&amp;E2959&amp;F2959</f>
        <v>CAPFONDO Y REPOSICIONCAPRICHOS</v>
      </c>
      <c r="B2959" t="s">
        <v>1807</v>
      </c>
      <c r="C2959" s="1">
        <v>45876</v>
      </c>
      <c r="D2959" s="71" t="s">
        <v>31</v>
      </c>
      <c r="E2959" s="71" t="s">
        <v>120</v>
      </c>
      <c r="F2959" s="70" t="s">
        <v>33</v>
      </c>
      <c r="J2959" s="71" t="s">
        <v>1861</v>
      </c>
      <c r="L2959" s="433">
        <f>1490+430</f>
        <v>1920</v>
      </c>
      <c r="M2959" s="136">
        <f t="shared" si="75"/>
        <v>-117444.97229666621</v>
      </c>
    </row>
    <row r="2960" spans="1:13">
      <c r="A2960" s="54" t="str">
        <f>D2960&amp;E2960&amp;F2960</f>
        <v>SERVICIOSMTTO DE EDIFICIOMANTENIMIENTO</v>
      </c>
      <c r="B2960" t="s">
        <v>1807</v>
      </c>
      <c r="C2960" s="1">
        <v>45876</v>
      </c>
      <c r="D2960" s="71" t="s">
        <v>21</v>
      </c>
      <c r="E2960" s="71" t="s">
        <v>142</v>
      </c>
      <c r="F2960" s="70" t="s">
        <v>35</v>
      </c>
      <c r="J2960" s="71" t="s">
        <v>1862</v>
      </c>
      <c r="L2960" s="433">
        <v>100</v>
      </c>
      <c r="M2960" s="136">
        <f t="shared" si="75"/>
        <v>-117544.97229666621</v>
      </c>
    </row>
    <row r="2961" spans="1:13">
      <c r="A2961" s="54" t="str">
        <f>D2961&amp;E2961&amp;F2961</f>
        <v>CAPUBERCAP</v>
      </c>
      <c r="B2961" t="s">
        <v>1807</v>
      </c>
      <c r="C2961" s="1">
        <v>45876</v>
      </c>
      <c r="D2961" s="71" t="s">
        <v>31</v>
      </c>
      <c r="E2961" s="71" t="s">
        <v>189</v>
      </c>
      <c r="F2961" s="70" t="s">
        <v>31</v>
      </c>
      <c r="J2961" s="71" t="s">
        <v>958</v>
      </c>
      <c r="L2961" s="523">
        <v>226</v>
      </c>
      <c r="M2961" s="136">
        <f t="shared" si="75"/>
        <v>-117770.97229666621</v>
      </c>
    </row>
    <row r="2962" spans="1:13">
      <c r="A2962" s="54" t="str">
        <f>D2962&amp;E2962&amp;F2962</f>
        <v>CAPINSUMOSCAPRICHOS</v>
      </c>
      <c r="B2962" t="s">
        <v>1807</v>
      </c>
      <c r="C2962" s="1">
        <v>45876</v>
      </c>
      <c r="D2962" s="71" t="s">
        <v>31</v>
      </c>
      <c r="E2962" s="71" t="s">
        <v>133</v>
      </c>
      <c r="F2962" s="70" t="s">
        <v>33</v>
      </c>
      <c r="J2962" s="71" t="s">
        <v>1863</v>
      </c>
      <c r="L2962" s="433">
        <v>1900</v>
      </c>
      <c r="M2962" s="136">
        <f t="shared" si="75"/>
        <v>-119670.97229666621</v>
      </c>
    </row>
    <row r="2963" spans="1:13">
      <c r="A2963" s="54" t="str">
        <f>D2963&amp;E2963&amp;F2963</f>
        <v>CAPUBERCAP</v>
      </c>
      <c r="B2963" t="s">
        <v>1807</v>
      </c>
      <c r="C2963" s="1">
        <v>45876</v>
      </c>
      <c r="D2963" s="71" t="s">
        <v>31</v>
      </c>
      <c r="E2963" s="71" t="s">
        <v>189</v>
      </c>
      <c r="F2963" s="70" t="s">
        <v>31</v>
      </c>
      <c r="J2963" s="71" t="s">
        <v>1864</v>
      </c>
      <c r="L2963" s="523">
        <v>105</v>
      </c>
      <c r="M2963" s="136">
        <f t="shared" si="75"/>
        <v>-119775.97229666621</v>
      </c>
    </row>
    <row r="2964" spans="1:13">
      <c r="A2964" s="54" t="str">
        <f t="shared" ref="A2961:A3024" si="76">D2964&amp;E2964&amp;F2964</f>
        <v/>
      </c>
      <c r="B2964" t="s">
        <v>1807</v>
      </c>
      <c r="C2964" s="1">
        <v>45877</v>
      </c>
      <c r="D2964" s="71"/>
      <c r="F2964" s="70"/>
      <c r="J2964" s="71" t="s">
        <v>260</v>
      </c>
      <c r="K2964" s="325">
        <v>238161.63</v>
      </c>
      <c r="L2964" s="432"/>
      <c r="M2964" s="136">
        <f t="shared" si="75"/>
        <v>118385.6577033338</v>
      </c>
    </row>
    <row r="2965" spans="1:13">
      <c r="A2965" s="54" t="str">
        <f>D2965&amp;E2965&amp;F2965</f>
        <v>FINANZASCOMISIONES BANCARIASTPV</v>
      </c>
      <c r="B2965" t="s">
        <v>1807</v>
      </c>
      <c r="C2965" s="1">
        <v>45877</v>
      </c>
      <c r="D2965" s="71" t="s">
        <v>23</v>
      </c>
      <c r="E2965" s="71" t="s">
        <v>48</v>
      </c>
      <c r="F2965" s="70" t="s">
        <v>50</v>
      </c>
      <c r="J2965" s="71" t="s">
        <v>217</v>
      </c>
      <c r="L2965" s="433">
        <f>219.02+167.04+1996.08+871.74+1474.19+6.96</f>
        <v>4735.03</v>
      </c>
      <c r="M2965" s="136">
        <f t="shared" si="75"/>
        <v>113650.6277033338</v>
      </c>
    </row>
    <row r="2966" spans="1:13">
      <c r="A2966" s="54" t="str">
        <f t="shared" si="76"/>
        <v/>
      </c>
      <c r="B2966" t="s">
        <v>1807</v>
      </c>
      <c r="C2966" s="1">
        <v>45877</v>
      </c>
      <c r="D2966" s="71"/>
      <c r="F2966" s="70"/>
      <c r="J2966" s="205" t="s">
        <v>1562</v>
      </c>
      <c r="K2966" s="205"/>
      <c r="L2966" s="428">
        <v>100000</v>
      </c>
      <c r="M2966" s="136">
        <f t="shared" si="75"/>
        <v>13650.627703333797</v>
      </c>
    </row>
    <row r="2967" spans="1:13">
      <c r="A2967" s="54" t="str">
        <f t="shared" si="76"/>
        <v/>
      </c>
      <c r="B2967" t="s">
        <v>1807</v>
      </c>
      <c r="C2967" s="1">
        <v>45877</v>
      </c>
      <c r="D2967" s="71"/>
      <c r="F2967" s="70"/>
      <c r="J2967" s="205" t="s">
        <v>222</v>
      </c>
      <c r="K2967" s="205"/>
      <c r="L2967" s="428">
        <v>50000</v>
      </c>
      <c r="M2967" s="136">
        <f t="shared" si="75"/>
        <v>-36349.372296666203</v>
      </c>
    </row>
    <row r="2968" spans="1:13">
      <c r="A2968" s="54" t="str">
        <f>D2968&amp;E2968&amp;F2968</f>
        <v>SERVICIOSPAQUETERIACEDIS (E6)</v>
      </c>
      <c r="B2968" t="s">
        <v>1807</v>
      </c>
      <c r="C2968" s="1">
        <v>45877</v>
      </c>
      <c r="D2968" s="71" t="s">
        <v>21</v>
      </c>
      <c r="E2968" s="71" t="s">
        <v>160</v>
      </c>
      <c r="F2968" s="70" t="s">
        <v>161</v>
      </c>
      <c r="J2968" s="71" t="s">
        <v>229</v>
      </c>
      <c r="L2968" s="433">
        <v>1873.33</v>
      </c>
      <c r="M2968" s="136">
        <f t="shared" si="75"/>
        <v>-38222.702296666204</v>
      </c>
    </row>
    <row r="2969" spans="1:13">
      <c r="A2969" s="54" t="str">
        <f t="shared" si="76"/>
        <v/>
      </c>
      <c r="B2969" t="s">
        <v>1807</v>
      </c>
      <c r="C2969" s="1">
        <v>45877</v>
      </c>
      <c r="D2969" s="71"/>
      <c r="F2969" s="70"/>
      <c r="J2969" s="71" t="s">
        <v>564</v>
      </c>
      <c r="L2969" s="433">
        <v>36827</v>
      </c>
      <c r="M2969" s="136">
        <f t="shared" si="75"/>
        <v>-75049.702296666204</v>
      </c>
    </row>
    <row r="2970" spans="1:13">
      <c r="A2970" s="54" t="str">
        <f>D2970&amp;E2970&amp;F2970</f>
        <v>FINANZASVIATICOSFINANZAS</v>
      </c>
      <c r="B2970" t="s">
        <v>1807</v>
      </c>
      <c r="C2970" s="1">
        <v>45877</v>
      </c>
      <c r="D2970" s="71" t="s">
        <v>23</v>
      </c>
      <c r="E2970" s="71" t="s">
        <v>191</v>
      </c>
      <c r="F2970" s="70" t="s">
        <v>23</v>
      </c>
      <c r="J2970" s="71" t="s">
        <v>1865</v>
      </c>
      <c r="L2970" s="433">
        <v>1100</v>
      </c>
      <c r="M2970" s="136">
        <f t="shared" si="75"/>
        <v>-76149.702296666204</v>
      </c>
    </row>
    <row r="2971" spans="1:13">
      <c r="A2971" s="54" t="str">
        <f>D2971&amp;E2971&amp;F2971</f>
        <v>HRENERGIA ELECTRICAA1</v>
      </c>
      <c r="B2971" t="s">
        <v>1807</v>
      </c>
      <c r="C2971" s="1">
        <v>45877</v>
      </c>
      <c r="D2971" s="71" t="s">
        <v>29</v>
      </c>
      <c r="E2971" s="71" t="s">
        <v>87</v>
      </c>
      <c r="F2971" s="70" t="s">
        <v>88</v>
      </c>
      <c r="J2971" s="71" t="s">
        <v>1866</v>
      </c>
      <c r="L2971" s="433">
        <v>7570</v>
      </c>
      <c r="M2971" s="136">
        <f t="shared" si="75"/>
        <v>-83719.702296666204</v>
      </c>
    </row>
    <row r="2972" spans="1:13">
      <c r="A2972" s="54" t="str">
        <f>D2972&amp;E2972&amp;F2972</f>
        <v>HRENERGIA ELECTRICAA23</v>
      </c>
      <c r="B2972" t="s">
        <v>1807</v>
      </c>
      <c r="C2972" s="1">
        <v>45877</v>
      </c>
      <c r="D2972" s="71" t="s">
        <v>29</v>
      </c>
      <c r="E2972" s="71" t="s">
        <v>87</v>
      </c>
      <c r="F2972" s="70" t="s">
        <v>105</v>
      </c>
      <c r="J2972" s="71" t="s">
        <v>1867</v>
      </c>
      <c r="L2972" s="433">
        <v>5916</v>
      </c>
      <c r="M2972" s="136">
        <f t="shared" si="75"/>
        <v>-89635.702296666204</v>
      </c>
    </row>
    <row r="2973" spans="1:13">
      <c r="A2973" s="54" t="str">
        <f>D2973&amp;E2973&amp;F2973</f>
        <v>CAPENERGIA ELECTRICAE9</v>
      </c>
      <c r="B2973" t="s">
        <v>1807</v>
      </c>
      <c r="C2973" s="1">
        <v>45877</v>
      </c>
      <c r="D2973" s="71" t="s">
        <v>31</v>
      </c>
      <c r="E2973" s="71" t="s">
        <v>87</v>
      </c>
      <c r="F2973" s="70" t="s">
        <v>116</v>
      </c>
      <c r="J2973" s="71" t="s">
        <v>1119</v>
      </c>
      <c r="L2973" s="433">
        <v>20556</v>
      </c>
      <c r="M2973" s="136">
        <f t="shared" si="75"/>
        <v>-110191.7022966662</v>
      </c>
    </row>
    <row r="2974" spans="1:13">
      <c r="A2974" s="54" t="str">
        <f>D2974&amp;E2974&amp;F2974</f>
        <v>ELIVIATICOSL1</v>
      </c>
      <c r="B2974" t="s">
        <v>1807</v>
      </c>
      <c r="C2974" s="1">
        <v>45877</v>
      </c>
      <c r="D2974" s="71" t="s">
        <v>130</v>
      </c>
      <c r="E2974" s="71" t="s">
        <v>191</v>
      </c>
      <c r="F2974" s="70" t="s">
        <v>136</v>
      </c>
      <c r="J2974" s="71" t="s">
        <v>1019</v>
      </c>
      <c r="L2974" s="433">
        <v>1000</v>
      </c>
      <c r="M2974" s="136">
        <f t="shared" si="75"/>
        <v>-111191.7022966662</v>
      </c>
    </row>
    <row r="2975" spans="1:13">
      <c r="A2975" s="54" t="str">
        <f>D2975&amp;E2975&amp;F2975</f>
        <v>HRCOMBUSTIBLEHR</v>
      </c>
      <c r="B2975" t="s">
        <v>1807</v>
      </c>
      <c r="C2975" s="1">
        <v>45877</v>
      </c>
      <c r="D2975" s="71" t="s">
        <v>29</v>
      </c>
      <c r="E2975" s="71" t="s">
        <v>32</v>
      </c>
      <c r="F2975" s="70" t="s">
        <v>29</v>
      </c>
      <c r="J2975" s="71" t="s">
        <v>1868</v>
      </c>
      <c r="L2975" s="433">
        <v>800</v>
      </c>
      <c r="M2975" s="136">
        <f t="shared" si="75"/>
        <v>-111991.7022966662</v>
      </c>
    </row>
    <row r="2976" spans="1:13">
      <c r="A2976" s="54" t="str">
        <f>D2976&amp;E2976&amp;F2976</f>
        <v>FINANZASFONDO Y REPOSICIONFINANZAS</v>
      </c>
      <c r="B2976" t="s">
        <v>1807</v>
      </c>
      <c r="C2976" s="1">
        <v>45877</v>
      </c>
      <c r="D2976" s="71" t="s">
        <v>23</v>
      </c>
      <c r="E2976" s="71" t="s">
        <v>120</v>
      </c>
      <c r="F2976" s="70" t="s">
        <v>23</v>
      </c>
      <c r="J2976" s="71" t="s">
        <v>1869</v>
      </c>
      <c r="L2976" s="433">
        <v>300</v>
      </c>
      <c r="M2976" s="136">
        <f t="shared" si="75"/>
        <v>-112291.7022966662</v>
      </c>
    </row>
    <row r="2977" spans="1:13">
      <c r="A2977" s="54" t="str">
        <f>D2977&amp;E2977&amp;F2977</f>
        <v>DEVIATICOSDIRECCION</v>
      </c>
      <c r="B2977" t="s">
        <v>1807</v>
      </c>
      <c r="C2977" s="1">
        <v>45877</v>
      </c>
      <c r="D2977" s="71" t="s">
        <v>41</v>
      </c>
      <c r="E2977" s="71" t="s">
        <v>191</v>
      </c>
      <c r="F2977" s="70" t="s">
        <v>42</v>
      </c>
      <c r="J2977" s="71" t="s">
        <v>1870</v>
      </c>
      <c r="L2977" s="433">
        <v>1000</v>
      </c>
      <c r="M2977" s="136">
        <f t="shared" si="75"/>
        <v>-113291.7022966662</v>
      </c>
    </row>
    <row r="2978" spans="1:13">
      <c r="A2978" s="54" t="str">
        <f>D2978&amp;E2978&amp;F2978</f>
        <v>HRNOMINA SUCURSALA8</v>
      </c>
      <c r="B2978" t="s">
        <v>1807</v>
      </c>
      <c r="C2978" s="1">
        <v>45877</v>
      </c>
      <c r="D2978" s="71" t="s">
        <v>29</v>
      </c>
      <c r="E2978" s="71" t="s">
        <v>154</v>
      </c>
      <c r="F2978" s="70" t="s">
        <v>94</v>
      </c>
      <c r="J2978" s="71" t="s">
        <v>1871</v>
      </c>
      <c r="L2978" s="433">
        <v>1400</v>
      </c>
      <c r="M2978" s="136">
        <f t="shared" si="75"/>
        <v>-114691.7022966662</v>
      </c>
    </row>
    <row r="2979" spans="1:13">
      <c r="A2979" s="54" t="str">
        <f>D2979&amp;E2979&amp;F2979</f>
        <v>HRUBERHR</v>
      </c>
      <c r="B2979" t="s">
        <v>1807</v>
      </c>
      <c r="C2979" s="1">
        <v>45877</v>
      </c>
      <c r="D2979" s="71" t="s">
        <v>29</v>
      </c>
      <c r="E2979" s="71" t="s">
        <v>189</v>
      </c>
      <c r="F2979" s="70" t="s">
        <v>29</v>
      </c>
      <c r="J2979" s="71" t="s">
        <v>250</v>
      </c>
      <c r="L2979" s="523">
        <v>150</v>
      </c>
      <c r="M2979" s="136">
        <f t="shared" si="75"/>
        <v>-114841.7022966662</v>
      </c>
    </row>
    <row r="2980" spans="1:13">
      <c r="A2980" s="54" t="str">
        <f>D2980&amp;E2980&amp;F2980</f>
        <v>CAPUBERCAP</v>
      </c>
      <c r="B2980" t="s">
        <v>1807</v>
      </c>
      <c r="C2980" s="1">
        <v>45877</v>
      </c>
      <c r="D2980" s="71" t="s">
        <v>31</v>
      </c>
      <c r="E2980" s="71" t="s">
        <v>189</v>
      </c>
      <c r="F2980" s="70" t="s">
        <v>31</v>
      </c>
      <c r="J2980" s="71" t="s">
        <v>389</v>
      </c>
      <c r="L2980" s="523">
        <v>225</v>
      </c>
      <c r="M2980" s="136">
        <f t="shared" si="75"/>
        <v>-115066.7022966662</v>
      </c>
    </row>
    <row r="2981" spans="1:13">
      <c r="A2981" s="54" t="str">
        <f>D2981&amp;E2981&amp;F2981</f>
        <v>CAPUBERCAP</v>
      </c>
      <c r="B2981" t="s">
        <v>1807</v>
      </c>
      <c r="C2981" s="1">
        <v>45877</v>
      </c>
      <c r="D2981" s="71" t="s">
        <v>31</v>
      </c>
      <c r="E2981" s="71" t="s">
        <v>189</v>
      </c>
      <c r="F2981" s="70" t="s">
        <v>31</v>
      </c>
      <c r="J2981" s="71" t="s">
        <v>257</v>
      </c>
      <c r="L2981" s="523">
        <v>80</v>
      </c>
      <c r="M2981" s="136">
        <f t="shared" si="75"/>
        <v>-115146.7022966662</v>
      </c>
    </row>
    <row r="2982" spans="1:13">
      <c r="A2982" s="54" t="str">
        <f>D2982&amp;E2982&amp;F2982</f>
        <v>CAPINSUMOSCAPRICHOS</v>
      </c>
      <c r="B2982" t="s">
        <v>1807</v>
      </c>
      <c r="C2982" s="1">
        <v>45877</v>
      </c>
      <c r="D2982" s="71" t="s">
        <v>31</v>
      </c>
      <c r="E2982" s="71" t="s">
        <v>133</v>
      </c>
      <c r="F2982" s="70" t="s">
        <v>33</v>
      </c>
      <c r="J2982" s="71" t="s">
        <v>1872</v>
      </c>
      <c r="L2982" s="433">
        <v>65</v>
      </c>
      <c r="M2982" s="136">
        <f t="shared" si="75"/>
        <v>-115211.7022966662</v>
      </c>
    </row>
    <row r="2983" spans="1:13">
      <c r="A2983" s="54" t="str">
        <f t="shared" si="76"/>
        <v/>
      </c>
      <c r="B2983" t="s">
        <v>1807</v>
      </c>
      <c r="C2983" s="1">
        <v>45880</v>
      </c>
      <c r="D2983" s="71"/>
      <c r="F2983" s="70"/>
      <c r="J2983" s="71" t="s">
        <v>260</v>
      </c>
      <c r="K2983" s="325">
        <v>928411.39</v>
      </c>
      <c r="L2983" s="432"/>
      <c r="M2983" s="136">
        <f t="shared" si="75"/>
        <v>813199.6877033338</v>
      </c>
    </row>
    <row r="2984" spans="1:13">
      <c r="A2984" s="54" t="str">
        <f>D2984&amp;E2984&amp;F2984</f>
        <v>FINANZASCOMISIONES BANCARIASTPV</v>
      </c>
      <c r="B2984" t="s">
        <v>1807</v>
      </c>
      <c r="C2984" s="1">
        <v>45880</v>
      </c>
      <c r="D2984" s="71" t="s">
        <v>23</v>
      </c>
      <c r="E2984" s="71" t="s">
        <v>48</v>
      </c>
      <c r="F2984" s="70" t="s">
        <v>50</v>
      </c>
      <c r="J2984" s="71" t="s">
        <v>217</v>
      </c>
      <c r="L2984" s="433">
        <f>1141.86+1230.12+6849.68+4321.34+4607.59+3.48+10.44</f>
        <v>18164.509999999998</v>
      </c>
      <c r="M2984" s="136">
        <f t="shared" si="75"/>
        <v>795035.17770333379</v>
      </c>
    </row>
    <row r="2985" spans="1:13">
      <c r="A2985" s="54" t="str">
        <f t="shared" si="76"/>
        <v/>
      </c>
      <c r="B2985" t="s">
        <v>1807</v>
      </c>
      <c r="C2985" s="1">
        <v>45880</v>
      </c>
      <c r="D2985" s="71"/>
      <c r="J2985" s="205" t="s">
        <v>1562</v>
      </c>
      <c r="K2985" s="205"/>
      <c r="L2985" s="428">
        <v>200000</v>
      </c>
      <c r="M2985" s="136">
        <f t="shared" si="75"/>
        <v>595035.17770333379</v>
      </c>
    </row>
    <row r="2986" spans="1:13">
      <c r="A2986" s="54" t="str">
        <f t="shared" si="76"/>
        <v/>
      </c>
      <c r="B2986" t="s">
        <v>1807</v>
      </c>
      <c r="C2986" s="1">
        <v>45880</v>
      </c>
      <c r="D2986" s="71"/>
      <c r="F2986" s="70"/>
      <c r="J2986" s="205" t="s">
        <v>222</v>
      </c>
      <c r="K2986" s="205"/>
      <c r="L2986" s="428">
        <v>400000</v>
      </c>
      <c r="M2986" s="136">
        <f t="shared" si="75"/>
        <v>195035.17770333379</v>
      </c>
    </row>
    <row r="2987" spans="1:13">
      <c r="A2987" s="54" t="str">
        <f>D2987&amp;E2987&amp;F2987</f>
        <v>FINANZASRECOLECCION DE BASURACEDIS</v>
      </c>
      <c r="B2987" t="s">
        <v>1807</v>
      </c>
      <c r="C2987" s="1">
        <v>45880</v>
      </c>
      <c r="D2987" s="242" t="s">
        <v>23</v>
      </c>
      <c r="E2987" s="242" t="s">
        <v>166</v>
      </c>
      <c r="F2987" s="70" t="s">
        <v>28</v>
      </c>
      <c r="J2987" s="71" t="s">
        <v>1035</v>
      </c>
      <c r="L2987" s="433">
        <v>5839.44</v>
      </c>
      <c r="M2987" s="136">
        <f t="shared" si="75"/>
        <v>189195.73770333378</v>
      </c>
    </row>
    <row r="2988" spans="1:13">
      <c r="A2988" s="54" t="str">
        <f>D2988&amp;E2988&amp;F2988</f>
        <v>HRMKTMKT HR</v>
      </c>
      <c r="B2988" t="s">
        <v>1807</v>
      </c>
      <c r="C2988" s="1">
        <v>45880</v>
      </c>
      <c r="D2988" s="242" t="s">
        <v>29</v>
      </c>
      <c r="E2988" s="242" t="s">
        <v>19</v>
      </c>
      <c r="F2988" s="77" t="s">
        <v>138</v>
      </c>
      <c r="J2988" s="71" t="s">
        <v>1873</v>
      </c>
      <c r="L2988" s="433">
        <v>3480</v>
      </c>
      <c r="M2988" s="136">
        <f t="shared" si="75"/>
        <v>185715.73770333378</v>
      </c>
    </row>
    <row r="2989" spans="1:13">
      <c r="A2989" s="54" t="str">
        <f>D2989&amp;E2989&amp;F2989</f>
        <v>FINANZASVIATICOSFINANZAS</v>
      </c>
      <c r="B2989" t="s">
        <v>1807</v>
      </c>
      <c r="C2989" s="1">
        <v>45880</v>
      </c>
      <c r="D2989" s="242" t="s">
        <v>23</v>
      </c>
      <c r="E2989" s="242" t="s">
        <v>191</v>
      </c>
      <c r="F2989" s="70" t="s">
        <v>23</v>
      </c>
      <c r="J2989" s="71" t="s">
        <v>1797</v>
      </c>
      <c r="L2989" s="433">
        <v>800</v>
      </c>
      <c r="M2989" s="136">
        <f t="shared" si="75"/>
        <v>184915.73770333378</v>
      </c>
    </row>
    <row r="2990" spans="1:13">
      <c r="A2990" s="54" t="str">
        <f>D2990&amp;E2990&amp;F2990</f>
        <v>HRVIATICOSHR</v>
      </c>
      <c r="B2990" t="s">
        <v>1807</v>
      </c>
      <c r="C2990" s="1">
        <v>45880</v>
      </c>
      <c r="D2990" s="242" t="s">
        <v>29</v>
      </c>
      <c r="E2990" s="242" t="s">
        <v>191</v>
      </c>
      <c r="F2990" s="77" t="s">
        <v>29</v>
      </c>
      <c r="J2990" s="71" t="s">
        <v>1874</v>
      </c>
      <c r="L2990" s="433">
        <v>5215</v>
      </c>
      <c r="M2990" s="136">
        <f t="shared" si="75"/>
        <v>179700.73770333378</v>
      </c>
    </row>
    <row r="2991" spans="1:13">
      <c r="A2991" s="54" t="str">
        <f>D2991&amp;E2991&amp;F2991</f>
        <v>HRFONDO Y REPOSICIONHR</v>
      </c>
      <c r="B2991" t="s">
        <v>1807</v>
      </c>
      <c r="C2991" s="1">
        <v>45880</v>
      </c>
      <c r="D2991" s="242" t="s">
        <v>29</v>
      </c>
      <c r="E2991" s="242" t="s">
        <v>120</v>
      </c>
      <c r="F2991" s="77" t="s">
        <v>29</v>
      </c>
      <c r="J2991" s="71" t="s">
        <v>1875</v>
      </c>
      <c r="L2991" s="433">
        <v>1421</v>
      </c>
      <c r="M2991" s="136">
        <f t="shared" si="75"/>
        <v>178279.73770333378</v>
      </c>
    </row>
    <row r="2992" spans="1:13">
      <c r="A2992" s="54" t="str">
        <f>D2992&amp;E2992&amp;F2992</f>
        <v>SERVICIOSVIATICOSCEDIS</v>
      </c>
      <c r="B2992" t="s">
        <v>1807</v>
      </c>
      <c r="C2992" s="1">
        <v>45880</v>
      </c>
      <c r="D2992" s="242" t="s">
        <v>21</v>
      </c>
      <c r="E2992" s="242" t="s">
        <v>191</v>
      </c>
      <c r="F2992" s="70" t="s">
        <v>28</v>
      </c>
      <c r="J2992" s="71" t="s">
        <v>1876</v>
      </c>
      <c r="L2992" s="433">
        <v>2050</v>
      </c>
      <c r="M2992" s="136">
        <f t="shared" si="75"/>
        <v>176229.73770333378</v>
      </c>
    </row>
    <row r="2993" spans="1:13">
      <c r="A2993" s="54" t="str">
        <f>D2993&amp;E2993&amp;F2993</f>
        <v>SERVICIOSCOMBUSTIBLECEDIS</v>
      </c>
      <c r="B2993" t="s">
        <v>1807</v>
      </c>
      <c r="C2993" s="1">
        <v>45880</v>
      </c>
      <c r="D2993" s="71" t="s">
        <v>21</v>
      </c>
      <c r="E2993" s="71" t="s">
        <v>32</v>
      </c>
      <c r="F2993" s="70" t="s">
        <v>28</v>
      </c>
      <c r="G2993" s="83" t="s">
        <v>258</v>
      </c>
      <c r="J2993" s="71" t="s">
        <v>1877</v>
      </c>
      <c r="L2993" s="433">
        <v>1000</v>
      </c>
      <c r="M2993" s="136">
        <f t="shared" si="75"/>
        <v>175229.73770333378</v>
      </c>
    </row>
    <row r="2994" spans="1:13">
      <c r="A2994" s="54" t="str">
        <f>D2994&amp;E2994&amp;F2994</f>
        <v>SERVICIOSFONDO Y REPOSICIONSERVICIOS</v>
      </c>
      <c r="B2994" t="s">
        <v>1807</v>
      </c>
      <c r="C2994" s="1">
        <v>45880</v>
      </c>
      <c r="D2994" s="242" t="s">
        <v>21</v>
      </c>
      <c r="E2994" s="242" t="s">
        <v>120</v>
      </c>
      <c r="F2994" s="70" t="s">
        <v>21</v>
      </c>
      <c r="G2994" s="83"/>
      <c r="J2994" s="71" t="s">
        <v>1878</v>
      </c>
      <c r="L2994" s="433">
        <v>2000</v>
      </c>
      <c r="M2994" s="136">
        <f t="shared" si="75"/>
        <v>173229.73770333378</v>
      </c>
    </row>
    <row r="2995" spans="1:13">
      <c r="A2995" s="54" t="str">
        <f>D2995&amp;E2995&amp;F2995</f>
        <v>FINANZASVIATICOSFINANZAS</v>
      </c>
      <c r="B2995" t="s">
        <v>1807</v>
      </c>
      <c r="C2995" s="1">
        <v>45880</v>
      </c>
      <c r="D2995" s="71" t="s">
        <v>23</v>
      </c>
      <c r="E2995" s="71" t="s">
        <v>191</v>
      </c>
      <c r="F2995" s="70" t="s">
        <v>23</v>
      </c>
      <c r="G2995" s="83" t="s">
        <v>258</v>
      </c>
      <c r="J2995" s="71" t="s">
        <v>1879</v>
      </c>
      <c r="L2995" s="433">
        <v>500</v>
      </c>
      <c r="M2995" s="136">
        <f t="shared" si="75"/>
        <v>172729.73770333378</v>
      </c>
    </row>
    <row r="2996" spans="1:13">
      <c r="A2996" s="54" t="str">
        <f>D2996&amp;E2996&amp;F2996</f>
        <v>MKTINSUMOSINSUMOS</v>
      </c>
      <c r="B2996" t="s">
        <v>1807</v>
      </c>
      <c r="C2996" s="1">
        <v>45880</v>
      </c>
      <c r="D2996" s="71" t="s">
        <v>19</v>
      </c>
      <c r="E2996" s="71" t="s">
        <v>133</v>
      </c>
      <c r="F2996" s="70" t="s">
        <v>133</v>
      </c>
      <c r="G2996" s="83"/>
      <c r="J2996" s="71" t="s">
        <v>1880</v>
      </c>
      <c r="L2996" s="433">
        <v>2250</v>
      </c>
      <c r="M2996" s="136">
        <f t="shared" si="75"/>
        <v>170479.73770333378</v>
      </c>
    </row>
    <row r="2997" spans="1:13">
      <c r="A2997" s="54" t="str">
        <f>D2997&amp;E2997&amp;F2997</f>
        <v>SERVICIOSINSUMOSCOFFE</v>
      </c>
      <c r="B2997" t="s">
        <v>1807</v>
      </c>
      <c r="C2997" s="1">
        <v>45880</v>
      </c>
      <c r="D2997" s="71" t="s">
        <v>21</v>
      </c>
      <c r="E2997" s="71" t="s">
        <v>133</v>
      </c>
      <c r="F2997" s="70" t="s">
        <v>135</v>
      </c>
      <c r="G2997" s="83"/>
      <c r="J2997" s="71" t="s">
        <v>1881</v>
      </c>
      <c r="L2997" s="433">
        <v>2500</v>
      </c>
      <c r="M2997" s="136">
        <f t="shared" si="75"/>
        <v>167979.73770333378</v>
      </c>
    </row>
    <row r="2998" spans="1:13" s="229" customFormat="1">
      <c r="A2998" s="54" t="str">
        <f>D2998&amp;E2998&amp;F2998</f>
        <v>SERVICIOSADQ DE EQ TECNOLOGICOADQ DE EQ TECNOLOGICO</v>
      </c>
      <c r="B2998" s="244" t="s">
        <v>1807</v>
      </c>
      <c r="C2998" s="244">
        <v>45880</v>
      </c>
      <c r="D2998" s="242" t="s">
        <v>21</v>
      </c>
      <c r="E2998" s="77" t="s">
        <v>22</v>
      </c>
      <c r="F2998" s="242" t="s">
        <v>22</v>
      </c>
      <c r="G2998" s="423" t="s">
        <v>258</v>
      </c>
      <c r="H2998" s="423"/>
      <c r="I2998" s="243"/>
      <c r="J2998" s="424" t="s">
        <v>1882</v>
      </c>
      <c r="K2998" s="424"/>
      <c r="L2998" s="437">
        <v>6500</v>
      </c>
      <c r="M2998" s="136">
        <f t="shared" si="75"/>
        <v>161479.73770333378</v>
      </c>
    </row>
    <row r="2999" spans="1:13">
      <c r="A2999" s="54" t="str">
        <f>D2999&amp;E2999&amp;F2999</f>
        <v>SERVICIOSMTTO EQ DE TRANSPORTECEDIS</v>
      </c>
      <c r="B2999" t="s">
        <v>1807</v>
      </c>
      <c r="C2999" s="1">
        <v>45880</v>
      </c>
      <c r="D2999" s="71" t="s">
        <v>21</v>
      </c>
      <c r="E2999" s="71" t="s">
        <v>144</v>
      </c>
      <c r="F2999" s="70" t="s">
        <v>28</v>
      </c>
      <c r="J2999" s="71" t="s">
        <v>1883</v>
      </c>
      <c r="L2999" s="208">
        <v>500</v>
      </c>
      <c r="M2999" s="136">
        <f t="shared" si="75"/>
        <v>160979.73770333378</v>
      </c>
    </row>
    <row r="3000" spans="1:13">
      <c r="A3000" s="54" t="str">
        <f>D3000&amp;E3000&amp;F3000</f>
        <v>FINANZASINSUMOSFINANZAS</v>
      </c>
      <c r="B3000" t="s">
        <v>1807</v>
      </c>
      <c r="C3000" s="1">
        <v>45880</v>
      </c>
      <c r="D3000" s="71" t="s">
        <v>23</v>
      </c>
      <c r="E3000" s="71" t="s">
        <v>133</v>
      </c>
      <c r="F3000" s="70" t="s">
        <v>23</v>
      </c>
      <c r="J3000" s="71" t="s">
        <v>1884</v>
      </c>
      <c r="L3000" s="433">
        <v>400</v>
      </c>
      <c r="M3000" s="136">
        <f t="shared" si="75"/>
        <v>160579.73770333378</v>
      </c>
    </row>
    <row r="3001" spans="1:13">
      <c r="A3001" s="54" t="str">
        <f>D3001&amp;E3001&amp;F3001</f>
        <v>HRMKTMKT HR</v>
      </c>
      <c r="B3001" t="s">
        <v>1807</v>
      </c>
      <c r="C3001" s="1">
        <v>45880</v>
      </c>
      <c r="D3001" s="71" t="s">
        <v>29</v>
      </c>
      <c r="E3001" s="71" t="s">
        <v>19</v>
      </c>
      <c r="F3001" s="70" t="s">
        <v>138</v>
      </c>
      <c r="J3001" s="71" t="s">
        <v>1885</v>
      </c>
      <c r="L3001" s="433">
        <v>1000</v>
      </c>
      <c r="M3001" s="136">
        <f t="shared" si="75"/>
        <v>159579.73770333378</v>
      </c>
    </row>
    <row r="3002" spans="1:13">
      <c r="A3002" s="54" t="str">
        <f>D3002&amp;E3002&amp;F3002</f>
        <v>SERVICIOSMTTO EQ DE TRANSPORTECEDIS</v>
      </c>
      <c r="B3002" t="s">
        <v>1807</v>
      </c>
      <c r="C3002" s="1">
        <v>45880</v>
      </c>
      <c r="D3002" s="71" t="s">
        <v>21</v>
      </c>
      <c r="E3002" s="71" t="s">
        <v>144</v>
      </c>
      <c r="F3002" s="70" t="s">
        <v>28</v>
      </c>
      <c r="J3002" s="71" t="s">
        <v>1886</v>
      </c>
      <c r="L3002" s="208">
        <v>450</v>
      </c>
      <c r="M3002" s="136">
        <f t="shared" si="75"/>
        <v>159129.73770333378</v>
      </c>
    </row>
    <row r="3003" spans="1:13">
      <c r="A3003" s="54" t="str">
        <f>D3003&amp;E3003&amp;F3003</f>
        <v>SERVICIOSALARMASUCURSALES CAPRICHOS</v>
      </c>
      <c r="B3003" t="s">
        <v>1807</v>
      </c>
      <c r="C3003" s="1">
        <v>45880</v>
      </c>
      <c r="D3003" s="71" t="s">
        <v>21</v>
      </c>
      <c r="E3003" s="71" t="s">
        <v>25</v>
      </c>
      <c r="F3003" s="70" t="s">
        <v>27</v>
      </c>
      <c r="J3003" s="71" t="s">
        <v>1290</v>
      </c>
      <c r="L3003" s="433">
        <v>386.4</v>
      </c>
      <c r="M3003" s="136">
        <f t="shared" si="75"/>
        <v>158743.33770333379</v>
      </c>
    </row>
    <row r="3004" spans="1:13">
      <c r="A3004" s="54" t="str">
        <f>D3004&amp;E3004&amp;F3004</f>
        <v>HRMKTMKT HR</v>
      </c>
      <c r="B3004" t="s">
        <v>1807</v>
      </c>
      <c r="C3004" s="1">
        <v>45880</v>
      </c>
      <c r="D3004" s="71" t="s">
        <v>29</v>
      </c>
      <c r="E3004" s="71" t="s">
        <v>19</v>
      </c>
      <c r="F3004" s="70" t="s">
        <v>138</v>
      </c>
      <c r="J3004" s="76" t="s">
        <v>1887</v>
      </c>
      <c r="L3004" s="434">
        <v>170</v>
      </c>
      <c r="M3004" s="136">
        <f t="shared" si="75"/>
        <v>158573.33770333379</v>
      </c>
    </row>
    <row r="3005" spans="1:13">
      <c r="A3005" s="54" t="str">
        <f>D3005&amp;E3005&amp;F3005</f>
        <v>SERVICIOSMTTO DE EDIFICIOMANTENIMIENTO</v>
      </c>
      <c r="B3005" t="s">
        <v>1807</v>
      </c>
      <c r="C3005" s="1">
        <v>45880</v>
      </c>
      <c r="D3005" s="71" t="s">
        <v>21</v>
      </c>
      <c r="E3005" s="71" t="s">
        <v>142</v>
      </c>
      <c r="F3005" s="70" t="s">
        <v>35</v>
      </c>
      <c r="J3005" s="76" t="s">
        <v>1888</v>
      </c>
      <c r="L3005" s="434">
        <v>113</v>
      </c>
      <c r="M3005" s="136">
        <f t="shared" ref="M3005:M3068" si="77">M3004+K3005-L3005</f>
        <v>158460.33770333379</v>
      </c>
    </row>
    <row r="3006" spans="1:13">
      <c r="A3006" s="54" t="str">
        <f>D3006&amp;E3006&amp;F3006</f>
        <v>HRUBERHR</v>
      </c>
      <c r="B3006" t="s">
        <v>1807</v>
      </c>
      <c r="C3006" s="1">
        <v>45880</v>
      </c>
      <c r="D3006" s="71" t="s">
        <v>29</v>
      </c>
      <c r="E3006" s="71" t="s">
        <v>189</v>
      </c>
      <c r="F3006" s="70" t="s">
        <v>29</v>
      </c>
      <c r="J3006" s="76" t="s">
        <v>276</v>
      </c>
      <c r="L3006" s="522">
        <v>60</v>
      </c>
      <c r="M3006" s="136">
        <f t="shared" si="77"/>
        <v>158400.33770333379</v>
      </c>
    </row>
    <row r="3007" spans="1:13">
      <c r="A3007" s="54" t="str">
        <f>D3007&amp;E3007&amp;F3007</f>
        <v>HRINSUMOSHR</v>
      </c>
      <c r="B3007" t="s">
        <v>1807</v>
      </c>
      <c r="C3007" s="1">
        <v>45880</v>
      </c>
      <c r="D3007" s="71" t="s">
        <v>29</v>
      </c>
      <c r="E3007" s="71" t="s">
        <v>133</v>
      </c>
      <c r="F3007" s="70" t="s">
        <v>29</v>
      </c>
      <c r="J3007" s="76" t="s">
        <v>1889</v>
      </c>
      <c r="L3007" s="434">
        <v>90</v>
      </c>
      <c r="M3007" s="136">
        <f t="shared" si="77"/>
        <v>158310.33770333379</v>
      </c>
    </row>
    <row r="3008" spans="1:13">
      <c r="A3008" s="54" t="str">
        <f>D3008&amp;E3008&amp;F3008</f>
        <v>HRJMASA11</v>
      </c>
      <c r="B3008" t="s">
        <v>1807</v>
      </c>
      <c r="C3008" s="1">
        <v>45880</v>
      </c>
      <c r="D3008" s="71" t="s">
        <v>29</v>
      </c>
      <c r="E3008" s="71" t="s">
        <v>137</v>
      </c>
      <c r="F3008" s="70" t="s">
        <v>97</v>
      </c>
      <c r="J3008" s="76" t="s">
        <v>429</v>
      </c>
      <c r="L3008" s="434">
        <v>1158</v>
      </c>
      <c r="M3008" s="136">
        <f t="shared" si="77"/>
        <v>157152.33770333379</v>
      </c>
    </row>
    <row r="3009" spans="1:13">
      <c r="A3009" s="54" t="str">
        <f>D3009&amp;E3009&amp;F3009</f>
        <v>HRCOMBUSTIBLEHR</v>
      </c>
      <c r="B3009" t="s">
        <v>1807</v>
      </c>
      <c r="C3009" s="1">
        <v>45880</v>
      </c>
      <c r="D3009" s="71" t="s">
        <v>29</v>
      </c>
      <c r="E3009" s="71" t="s">
        <v>32</v>
      </c>
      <c r="F3009" s="70" t="s">
        <v>29</v>
      </c>
      <c r="J3009" s="76" t="s">
        <v>1890</v>
      </c>
      <c r="L3009" s="434">
        <v>300</v>
      </c>
      <c r="M3009" s="136">
        <f t="shared" si="77"/>
        <v>156852.33770333379</v>
      </c>
    </row>
    <row r="3010" spans="1:13">
      <c r="A3010" s="54" t="str">
        <f>D3010&amp;E3010&amp;F3010</f>
        <v>SERVICIOSMTTO DE EDIFICIOMANTENIMIENTO</v>
      </c>
      <c r="B3010" t="s">
        <v>1807</v>
      </c>
      <c r="C3010" s="1">
        <v>45880</v>
      </c>
      <c r="D3010" s="71" t="s">
        <v>21</v>
      </c>
      <c r="E3010" s="71" t="s">
        <v>142</v>
      </c>
      <c r="F3010" s="70" t="s">
        <v>35</v>
      </c>
      <c r="J3010" s="76" t="s">
        <v>1891</v>
      </c>
      <c r="L3010" s="434">
        <v>160</v>
      </c>
      <c r="M3010" s="136">
        <f t="shared" si="77"/>
        <v>156692.33770333379</v>
      </c>
    </row>
    <row r="3011" spans="1:13">
      <c r="A3011" s="54" t="str">
        <f>D3011&amp;E3011&amp;F3011</f>
        <v>HRUBERHR</v>
      </c>
      <c r="B3011" t="s">
        <v>1807</v>
      </c>
      <c r="C3011" s="1">
        <v>45880</v>
      </c>
      <c r="D3011" s="71" t="s">
        <v>29</v>
      </c>
      <c r="E3011" s="71" t="s">
        <v>189</v>
      </c>
      <c r="F3011" s="70" t="s">
        <v>29</v>
      </c>
      <c r="J3011" s="76" t="s">
        <v>1892</v>
      </c>
      <c r="L3011" s="522">
        <v>405</v>
      </c>
      <c r="M3011" s="136">
        <f t="shared" si="77"/>
        <v>156287.33770333379</v>
      </c>
    </row>
    <row r="3012" spans="1:13">
      <c r="A3012" s="54" t="str">
        <f>D3012&amp;E3012&amp;F3012</f>
        <v>HRUBERHR</v>
      </c>
      <c r="B3012" t="s">
        <v>1807</v>
      </c>
      <c r="C3012" s="1">
        <v>45880</v>
      </c>
      <c r="D3012" s="71" t="s">
        <v>29</v>
      </c>
      <c r="E3012" s="71" t="s">
        <v>189</v>
      </c>
      <c r="F3012" s="70" t="s">
        <v>29</v>
      </c>
      <c r="J3012" s="76" t="s">
        <v>456</v>
      </c>
      <c r="L3012" s="522">
        <v>35</v>
      </c>
      <c r="M3012" s="136">
        <f t="shared" si="77"/>
        <v>156252.33770333379</v>
      </c>
    </row>
    <row r="3013" spans="1:13">
      <c r="A3013" s="54" t="str">
        <f>D3013&amp;E3013&amp;F3013</f>
        <v>CAPNOMINA SUCURSALE1</v>
      </c>
      <c r="B3013" t="s">
        <v>1807</v>
      </c>
      <c r="C3013" s="1">
        <v>45880</v>
      </c>
      <c r="D3013" s="71" t="s">
        <v>31</v>
      </c>
      <c r="E3013" s="71" t="s">
        <v>154</v>
      </c>
      <c r="F3013" s="70" t="s">
        <v>107</v>
      </c>
      <c r="J3013" s="76" t="s">
        <v>1227</v>
      </c>
      <c r="L3013" s="434">
        <v>1152</v>
      </c>
      <c r="M3013" s="136">
        <f t="shared" si="77"/>
        <v>155100.33770333379</v>
      </c>
    </row>
    <row r="3014" spans="1:13">
      <c r="A3014" s="54" t="str">
        <f>D3014&amp;E3014&amp;F3014</f>
        <v>CAPUBERCAP</v>
      </c>
      <c r="B3014" t="s">
        <v>1807</v>
      </c>
      <c r="C3014" s="1">
        <v>45880</v>
      </c>
      <c r="D3014" s="71" t="s">
        <v>31</v>
      </c>
      <c r="E3014" s="71" t="s">
        <v>189</v>
      </c>
      <c r="F3014" s="70" t="s">
        <v>31</v>
      </c>
      <c r="J3014" s="76" t="s">
        <v>253</v>
      </c>
      <c r="L3014" s="522">
        <v>557</v>
      </c>
      <c r="M3014" s="136">
        <f t="shared" si="77"/>
        <v>154543.33770333379</v>
      </c>
    </row>
    <row r="3015" spans="1:13">
      <c r="A3015" s="54" t="str">
        <f>D3015&amp;E3015&amp;F3015</f>
        <v>CAPINSUMOSCAPRICHOS</v>
      </c>
      <c r="B3015" t="s">
        <v>1807</v>
      </c>
      <c r="C3015" s="1">
        <v>45880</v>
      </c>
      <c r="D3015" s="71" t="s">
        <v>31</v>
      </c>
      <c r="E3015" s="71" t="s">
        <v>133</v>
      </c>
      <c r="F3015" s="70" t="s">
        <v>33</v>
      </c>
      <c r="J3015" s="76" t="s">
        <v>457</v>
      </c>
      <c r="L3015" s="434">
        <v>96</v>
      </c>
      <c r="M3015" s="136">
        <f t="shared" si="77"/>
        <v>154447.33770333379</v>
      </c>
    </row>
    <row r="3016" spans="1:13">
      <c r="A3016" s="54" t="str">
        <f>D3016&amp;E3016&amp;F3016</f>
        <v>CAPCOMBUSTIBLECAPRICHOS</v>
      </c>
      <c r="B3016" t="s">
        <v>1807</v>
      </c>
      <c r="C3016" s="1">
        <v>45880</v>
      </c>
      <c r="D3016" s="71" t="s">
        <v>31</v>
      </c>
      <c r="E3016" s="71" t="s">
        <v>32</v>
      </c>
      <c r="F3016" s="70" t="s">
        <v>33</v>
      </c>
      <c r="J3016" s="76" t="s">
        <v>1893</v>
      </c>
      <c r="L3016" s="434">
        <v>200</v>
      </c>
      <c r="M3016" s="136">
        <f t="shared" si="77"/>
        <v>154247.33770333379</v>
      </c>
    </row>
    <row r="3017" spans="1:13">
      <c r="A3017" s="54" t="str">
        <f>D3017&amp;E3017&amp;F3017</f>
        <v>CAPUBERCAP</v>
      </c>
      <c r="B3017" t="s">
        <v>1807</v>
      </c>
      <c r="C3017" s="1">
        <v>45880</v>
      </c>
      <c r="D3017" s="71" t="s">
        <v>31</v>
      </c>
      <c r="E3017" s="71" t="s">
        <v>189</v>
      </c>
      <c r="F3017" s="70" t="s">
        <v>31</v>
      </c>
      <c r="J3017" s="76" t="s">
        <v>257</v>
      </c>
      <c r="L3017" s="522">
        <v>325</v>
      </c>
      <c r="M3017" s="136">
        <f t="shared" si="77"/>
        <v>153922.33770333379</v>
      </c>
    </row>
    <row r="3018" spans="1:13">
      <c r="A3018" s="54" t="str">
        <f>D3018&amp;E3018&amp;F3018</f>
        <v>CAPCOMBUSTIBLECAPRICHOS</v>
      </c>
      <c r="B3018" t="s">
        <v>1807</v>
      </c>
      <c r="C3018" s="1">
        <v>45880</v>
      </c>
      <c r="D3018" s="71" t="s">
        <v>31</v>
      </c>
      <c r="E3018" s="71" t="s">
        <v>32</v>
      </c>
      <c r="F3018" s="70" t="s">
        <v>33</v>
      </c>
      <c r="J3018" s="76" t="s">
        <v>1894</v>
      </c>
      <c r="L3018" s="434">
        <v>300</v>
      </c>
      <c r="M3018" s="136">
        <f t="shared" si="77"/>
        <v>153622.33770333379</v>
      </c>
    </row>
    <row r="3019" spans="1:13">
      <c r="A3019" s="54" t="str">
        <f t="shared" si="76"/>
        <v/>
      </c>
      <c r="B3019" t="s">
        <v>1807</v>
      </c>
      <c r="C3019" s="1">
        <v>45881</v>
      </c>
      <c r="D3019" s="71"/>
      <c r="F3019" s="70"/>
      <c r="J3019" s="71" t="s">
        <v>260</v>
      </c>
      <c r="K3019" s="325">
        <v>200809.93</v>
      </c>
      <c r="L3019" s="432"/>
      <c r="M3019" s="136">
        <f t="shared" si="77"/>
        <v>354432.26770333375</v>
      </c>
    </row>
    <row r="3020" spans="1:13">
      <c r="A3020" s="54" t="str">
        <f>D3020&amp;E3020&amp;F3020</f>
        <v>FINANZASCOMISIONES BANCARIASTPV</v>
      </c>
      <c r="B3020" t="s">
        <v>1807</v>
      </c>
      <c r="C3020" s="1">
        <v>45881</v>
      </c>
      <c r="D3020" s="71" t="s">
        <v>23</v>
      </c>
      <c r="E3020" s="71" t="s">
        <v>48</v>
      </c>
      <c r="F3020" s="70" t="s">
        <v>50</v>
      </c>
      <c r="J3020" s="71" t="s">
        <v>217</v>
      </c>
      <c r="L3020" s="438">
        <f>180.12+145.6+1514.84+752.27+1003.13+3.48+6.96+10.44</f>
        <v>3616.84</v>
      </c>
      <c r="M3020" s="136">
        <f t="shared" si="77"/>
        <v>350815.42770333373</v>
      </c>
    </row>
    <row r="3021" spans="1:13">
      <c r="A3021" s="54" t="str">
        <f t="shared" si="76"/>
        <v/>
      </c>
      <c r="B3021" t="s">
        <v>1807</v>
      </c>
      <c r="C3021" s="1">
        <v>45881</v>
      </c>
      <c r="D3021" s="71"/>
      <c r="F3021" s="70"/>
      <c r="J3021" s="205" t="s">
        <v>1562</v>
      </c>
      <c r="K3021" s="205"/>
      <c r="L3021" s="428">
        <v>150000</v>
      </c>
      <c r="M3021" s="136">
        <f t="shared" si="77"/>
        <v>200815.42770333373</v>
      </c>
    </row>
    <row r="3022" spans="1:13">
      <c r="A3022" s="54" t="str">
        <f t="shared" si="76"/>
        <v/>
      </c>
      <c r="B3022" t="s">
        <v>1807</v>
      </c>
      <c r="C3022" s="1">
        <v>45881</v>
      </c>
      <c r="D3022" s="71"/>
      <c r="F3022" s="70"/>
      <c r="J3022" s="205" t="s">
        <v>222</v>
      </c>
      <c r="K3022" s="205"/>
      <c r="L3022" s="428"/>
      <c r="M3022" s="136">
        <f t="shared" si="77"/>
        <v>200815.42770333373</v>
      </c>
    </row>
    <row r="3023" spans="1:13">
      <c r="A3023" s="54" t="str">
        <f t="shared" si="76"/>
        <v/>
      </c>
      <c r="B3023" t="s">
        <v>1807</v>
      </c>
      <c r="C3023" s="1">
        <v>45881</v>
      </c>
      <c r="D3023" s="71"/>
      <c r="F3023" s="70"/>
      <c r="G3023" s="83"/>
      <c r="J3023" s="71" t="s">
        <v>1895</v>
      </c>
      <c r="L3023" s="433">
        <v>245600</v>
      </c>
      <c r="M3023" s="136">
        <f t="shared" si="77"/>
        <v>-44784.572296666272</v>
      </c>
    </row>
    <row r="3024" spans="1:13">
      <c r="A3024" s="54" t="str">
        <f>D3024&amp;E3024&amp;F3024</f>
        <v>HRCAPACITACIONCAPACITACION</v>
      </c>
      <c r="B3024" t="s">
        <v>1807</v>
      </c>
      <c r="C3024" s="1">
        <v>45881</v>
      </c>
      <c r="D3024" s="71" t="s">
        <v>29</v>
      </c>
      <c r="E3024" s="71" t="s">
        <v>30</v>
      </c>
      <c r="F3024" s="70" t="s">
        <v>30</v>
      </c>
      <c r="J3024" s="71" t="s">
        <v>1896</v>
      </c>
      <c r="L3024" s="433">
        <v>1071.8399999999999</v>
      </c>
      <c r="M3024" s="136">
        <f t="shared" si="77"/>
        <v>-45856.412296666269</v>
      </c>
    </row>
    <row r="3025" spans="1:13">
      <c r="A3025" s="54" t="str">
        <f>D3025&amp;E3025&amp;F3025</f>
        <v>SERVICIOSVIATICOSSISTEMAS</v>
      </c>
      <c r="B3025" t="s">
        <v>1807</v>
      </c>
      <c r="C3025" s="1">
        <v>45881</v>
      </c>
      <c r="D3025" s="71" t="s">
        <v>21</v>
      </c>
      <c r="E3025" s="71" t="s">
        <v>191</v>
      </c>
      <c r="F3025" s="70" t="s">
        <v>36</v>
      </c>
      <c r="G3025" s="83" t="s">
        <v>258</v>
      </c>
      <c r="J3025" s="71" t="s">
        <v>1897</v>
      </c>
      <c r="L3025" s="433">
        <v>2400</v>
      </c>
      <c r="M3025" s="136">
        <f t="shared" si="77"/>
        <v>-48256.412296666269</v>
      </c>
    </row>
    <row r="3026" spans="1:13">
      <c r="A3026" s="54" t="str">
        <f>D3026&amp;E3026&amp;F3026</f>
        <v>SERVICIOSVIATICOSMANTENIMIENTO</v>
      </c>
      <c r="B3026" t="s">
        <v>1807</v>
      </c>
      <c r="C3026" s="1">
        <v>45881</v>
      </c>
      <c r="D3026" s="71" t="s">
        <v>21</v>
      </c>
      <c r="E3026" s="71" t="s">
        <v>191</v>
      </c>
      <c r="F3026" s="70" t="s">
        <v>35</v>
      </c>
      <c r="J3026" s="71" t="s">
        <v>981</v>
      </c>
      <c r="L3026" s="433">
        <v>800</v>
      </c>
      <c r="M3026" s="136">
        <f t="shared" si="77"/>
        <v>-49056.412296666269</v>
      </c>
    </row>
    <row r="3027" spans="1:13">
      <c r="A3027" s="54" t="str">
        <f>D3027&amp;E3027&amp;F3027</f>
        <v>SERVICIOSSGMSERVICIOS</v>
      </c>
      <c r="B3027" t="s">
        <v>1807</v>
      </c>
      <c r="C3027" s="1">
        <v>45881</v>
      </c>
      <c r="D3027" t="s">
        <v>21</v>
      </c>
      <c r="E3027" s="12" t="s">
        <v>176</v>
      </c>
      <c r="F3027" s="12" t="s">
        <v>21</v>
      </c>
      <c r="J3027" s="71" t="s">
        <v>1898</v>
      </c>
      <c r="L3027" s="433">
        <v>1500</v>
      </c>
      <c r="M3027" s="136">
        <f t="shared" si="77"/>
        <v>-50556.412296666269</v>
      </c>
    </row>
    <row r="3028" spans="1:13">
      <c r="A3028" s="54" t="str">
        <f>D3028&amp;E3028&amp;F3028</f>
        <v>HRFONDO Y REPOSICIONHR</v>
      </c>
      <c r="B3028" t="s">
        <v>1807</v>
      </c>
      <c r="C3028" s="1">
        <v>45881</v>
      </c>
      <c r="D3028" s="71" t="s">
        <v>29</v>
      </c>
      <c r="E3028" s="71" t="s">
        <v>120</v>
      </c>
      <c r="F3028" s="70" t="s">
        <v>29</v>
      </c>
      <c r="J3028" s="71" t="s">
        <v>265</v>
      </c>
      <c r="L3028" s="433">
        <v>3000</v>
      </c>
      <c r="M3028" s="136">
        <f t="shared" si="77"/>
        <v>-53556.412296666269</v>
      </c>
    </row>
    <row r="3029" spans="1:13">
      <c r="A3029" s="54" t="str">
        <f>D3029&amp;E3029&amp;F3029</f>
        <v>HRFONDO Y REPOSICIONHR</v>
      </c>
      <c r="B3029" t="s">
        <v>1807</v>
      </c>
      <c r="C3029" s="1">
        <v>45881</v>
      </c>
      <c r="D3029" s="71" t="s">
        <v>29</v>
      </c>
      <c r="E3029" s="71" t="s">
        <v>120</v>
      </c>
      <c r="F3029" s="70" t="s">
        <v>29</v>
      </c>
      <c r="J3029" s="71" t="s">
        <v>266</v>
      </c>
      <c r="L3029" s="433">
        <v>2500</v>
      </c>
      <c r="M3029" s="136">
        <f t="shared" si="77"/>
        <v>-56056.412296666269</v>
      </c>
    </row>
    <row r="3030" spans="1:13">
      <c r="A3030" s="54" t="str">
        <f>D3030&amp;E3030&amp;F3030</f>
        <v>HRFONDO Y REPOSICIONHR</v>
      </c>
      <c r="B3030" t="s">
        <v>1807</v>
      </c>
      <c r="C3030" s="1">
        <v>45881</v>
      </c>
      <c r="D3030" s="71" t="s">
        <v>29</v>
      </c>
      <c r="E3030" s="71" t="s">
        <v>120</v>
      </c>
      <c r="F3030" s="70" t="s">
        <v>29</v>
      </c>
      <c r="J3030" s="71" t="s">
        <v>553</v>
      </c>
      <c r="L3030" s="433">
        <v>1520</v>
      </c>
      <c r="M3030" s="136">
        <f t="shared" si="77"/>
        <v>-57576.412296666269</v>
      </c>
    </row>
    <row r="3031" spans="1:13">
      <c r="A3031" s="54" t="str">
        <f>D3031&amp;E3031&amp;F3031</f>
        <v>FINANZASINSUMOSFINANZAS</v>
      </c>
      <c r="B3031" t="s">
        <v>1807</v>
      </c>
      <c r="C3031" s="1">
        <v>45881</v>
      </c>
      <c r="D3031" s="71" t="s">
        <v>23</v>
      </c>
      <c r="E3031" s="71" t="s">
        <v>133</v>
      </c>
      <c r="F3031" s="70" t="s">
        <v>23</v>
      </c>
      <c r="J3031" s="71" t="s">
        <v>1884</v>
      </c>
      <c r="L3031" s="433">
        <v>490</v>
      </c>
      <c r="M3031" s="136">
        <f t="shared" si="77"/>
        <v>-58066.412296666269</v>
      </c>
    </row>
    <row r="3032" spans="1:13">
      <c r="A3032" s="54" t="str">
        <f>D3032&amp;E3032&amp;F3032</f>
        <v>HRJMASA11</v>
      </c>
      <c r="B3032" t="s">
        <v>1807</v>
      </c>
      <c r="C3032" s="1">
        <v>45881</v>
      </c>
      <c r="D3032" s="71" t="s">
        <v>29</v>
      </c>
      <c r="E3032" s="71" t="s">
        <v>137</v>
      </c>
      <c r="F3032" s="70" t="s">
        <v>97</v>
      </c>
      <c r="J3032" s="76" t="s">
        <v>1899</v>
      </c>
      <c r="L3032" s="434">
        <v>64</v>
      </c>
      <c r="M3032" s="136">
        <f t="shared" si="77"/>
        <v>-58130.412296666269</v>
      </c>
    </row>
    <row r="3033" spans="1:13">
      <c r="A3033" s="54" t="str">
        <f>D3033&amp;E3033&amp;F3033</f>
        <v>HRUBERHR</v>
      </c>
      <c r="B3033" t="s">
        <v>1807</v>
      </c>
      <c r="C3033" s="1">
        <v>45881</v>
      </c>
      <c r="D3033" s="71" t="s">
        <v>29</v>
      </c>
      <c r="E3033" s="71" t="s">
        <v>189</v>
      </c>
      <c r="F3033" s="70" t="s">
        <v>29</v>
      </c>
      <c r="J3033" s="76" t="s">
        <v>250</v>
      </c>
      <c r="L3033" s="522">
        <v>120</v>
      </c>
      <c r="M3033" s="136">
        <f t="shared" si="77"/>
        <v>-58250.412296666269</v>
      </c>
    </row>
    <row r="3034" spans="1:13">
      <c r="A3034" s="54" t="str">
        <f>D3034&amp;E3034&amp;F3034</f>
        <v>CAPNOMINA SUCURSALE1</v>
      </c>
      <c r="B3034" t="s">
        <v>1807</v>
      </c>
      <c r="C3034" s="1">
        <v>45881</v>
      </c>
      <c r="D3034" s="71" t="s">
        <v>31</v>
      </c>
      <c r="E3034" s="71" t="s">
        <v>154</v>
      </c>
      <c r="F3034" s="70" t="s">
        <v>107</v>
      </c>
      <c r="J3034" s="76" t="s">
        <v>1900</v>
      </c>
      <c r="L3034" s="434">
        <v>220</v>
      </c>
      <c r="M3034" s="136">
        <f t="shared" si="77"/>
        <v>-58470.412296666269</v>
      </c>
    </row>
    <row r="3035" spans="1:13">
      <c r="A3035" s="54" t="str">
        <f>D3035&amp;E3035&amp;F3035</f>
        <v>CAPUBERCAP</v>
      </c>
      <c r="B3035" t="s">
        <v>1807</v>
      </c>
      <c r="C3035" s="1">
        <v>45881</v>
      </c>
      <c r="D3035" s="71" t="s">
        <v>31</v>
      </c>
      <c r="E3035" s="71" t="s">
        <v>189</v>
      </c>
      <c r="F3035" s="70" t="s">
        <v>31</v>
      </c>
      <c r="J3035" s="76" t="s">
        <v>253</v>
      </c>
      <c r="L3035" s="522">
        <v>629</v>
      </c>
      <c r="M3035" s="136">
        <f t="shared" si="77"/>
        <v>-59099.412296666269</v>
      </c>
    </row>
    <row r="3036" spans="1:13">
      <c r="A3036" s="54" t="str">
        <f>D3036&amp;E3036&amp;F3036</f>
        <v>CAPNOMINA SUCURSALE4</v>
      </c>
      <c r="B3036" t="s">
        <v>1807</v>
      </c>
      <c r="C3036" s="1">
        <v>45881</v>
      </c>
      <c r="D3036" s="71" t="s">
        <v>31</v>
      </c>
      <c r="E3036" s="71" t="s">
        <v>154</v>
      </c>
      <c r="F3036" s="70" t="s">
        <v>110</v>
      </c>
      <c r="J3036" s="76" t="s">
        <v>360</v>
      </c>
      <c r="L3036" s="434">
        <v>1774</v>
      </c>
      <c r="M3036" s="136">
        <f t="shared" si="77"/>
        <v>-60873.412296666269</v>
      </c>
    </row>
    <row r="3037" spans="1:13">
      <c r="A3037" s="54" t="str">
        <f>D3037&amp;E3037&amp;F3037</f>
        <v>CAPUBERCAP</v>
      </c>
      <c r="B3037" t="s">
        <v>1807</v>
      </c>
      <c r="C3037" s="1">
        <v>45881</v>
      </c>
      <c r="D3037" s="71" t="s">
        <v>31</v>
      </c>
      <c r="E3037" s="71" t="s">
        <v>189</v>
      </c>
      <c r="F3037" s="70" t="s">
        <v>31</v>
      </c>
      <c r="J3037" s="76" t="s">
        <v>257</v>
      </c>
      <c r="L3037" s="522">
        <v>182</v>
      </c>
      <c r="M3037" s="136">
        <f t="shared" si="77"/>
        <v>-61055.412296666269</v>
      </c>
    </row>
    <row r="3038" spans="1:13">
      <c r="A3038" s="54" t="str">
        <f>D3038&amp;E3038&amp;F3038</f>
        <v>CAPINSUMOSCAPRICHOS</v>
      </c>
      <c r="B3038" t="s">
        <v>1807</v>
      </c>
      <c r="C3038" s="1">
        <v>45881</v>
      </c>
      <c r="D3038" s="71" t="s">
        <v>31</v>
      </c>
      <c r="E3038" s="71" t="s">
        <v>133</v>
      </c>
      <c r="F3038" s="70" t="s">
        <v>33</v>
      </c>
      <c r="J3038" s="76" t="s">
        <v>419</v>
      </c>
      <c r="L3038" s="434">
        <v>120</v>
      </c>
      <c r="M3038" s="136">
        <f t="shared" si="77"/>
        <v>-61175.412296666269</v>
      </c>
    </row>
    <row r="3039" spans="1:13">
      <c r="A3039" s="54" t="str">
        <f t="shared" ref="A3025:A3088" si="78">D3039&amp;E3039&amp;F3039</f>
        <v/>
      </c>
      <c r="B3039" t="s">
        <v>1807</v>
      </c>
      <c r="C3039" s="1">
        <v>45882</v>
      </c>
      <c r="D3039" s="71"/>
      <c r="F3039" s="70"/>
      <c r="J3039" s="71" t="s">
        <v>260</v>
      </c>
      <c r="K3039" s="325">
        <v>180569.59</v>
      </c>
      <c r="L3039" s="432"/>
      <c r="M3039" s="136">
        <f t="shared" si="77"/>
        <v>119394.17770333373</v>
      </c>
    </row>
    <row r="3040" spans="1:13" ht="16.5" customHeight="1">
      <c r="A3040" s="54" t="str">
        <f>D3040&amp;E3040&amp;F3040</f>
        <v>FINANZASCOMISIONES BANCARIASTPV</v>
      </c>
      <c r="B3040" t="s">
        <v>1807</v>
      </c>
      <c r="C3040" s="1">
        <v>45882</v>
      </c>
      <c r="D3040" s="71" t="s">
        <v>23</v>
      </c>
      <c r="E3040" s="71" t="s">
        <v>48</v>
      </c>
      <c r="F3040" s="70" t="s">
        <v>50</v>
      </c>
      <c r="J3040" s="71" t="s">
        <v>217</v>
      </c>
      <c r="L3040" s="438">
        <f>276.57+105.27+1150.34+1532.01+1564+20.88</f>
        <v>4649.07</v>
      </c>
      <c r="M3040" s="136">
        <f t="shared" si="77"/>
        <v>114745.10770333372</v>
      </c>
    </row>
    <row r="3041" spans="1:13">
      <c r="A3041" s="54" t="str">
        <f t="shared" si="78"/>
        <v/>
      </c>
      <c r="B3041" t="s">
        <v>1807</v>
      </c>
      <c r="C3041" s="1">
        <v>45882</v>
      </c>
      <c r="D3041" s="71"/>
      <c r="F3041" s="70"/>
      <c r="J3041" s="205" t="s">
        <v>1562</v>
      </c>
      <c r="K3041" s="205"/>
      <c r="L3041" s="428">
        <v>150000</v>
      </c>
      <c r="M3041" s="136">
        <f t="shared" si="77"/>
        <v>-35254.892296666279</v>
      </c>
    </row>
    <row r="3042" spans="1:13">
      <c r="A3042" s="54" t="str">
        <f t="shared" si="78"/>
        <v/>
      </c>
      <c r="B3042" t="s">
        <v>1807</v>
      </c>
      <c r="C3042" s="1">
        <v>45882</v>
      </c>
      <c r="D3042" s="71"/>
      <c r="F3042" s="70"/>
      <c r="J3042" s="205" t="s">
        <v>222</v>
      </c>
      <c r="K3042" s="205"/>
      <c r="L3042" s="428"/>
      <c r="M3042" s="136">
        <f t="shared" si="77"/>
        <v>-35254.892296666279</v>
      </c>
    </row>
    <row r="3043" spans="1:13">
      <c r="A3043" s="54" t="str">
        <f>D3043&amp;E3043&amp;F3043</f>
        <v>SERVICIOSADQ DE EQ TECNOLOGICOADQ DE EQ TECNOLOGICO</v>
      </c>
      <c r="B3043" t="s">
        <v>1807</v>
      </c>
      <c r="C3043" s="1">
        <v>45882</v>
      </c>
      <c r="D3043" s="71" t="s">
        <v>21</v>
      </c>
      <c r="E3043" s="71" t="s">
        <v>22</v>
      </c>
      <c r="F3043" s="70" t="s">
        <v>22</v>
      </c>
      <c r="G3043" s="83" t="s">
        <v>258</v>
      </c>
      <c r="J3043" s="71" t="s">
        <v>1901</v>
      </c>
      <c r="L3043" s="433">
        <v>2088</v>
      </c>
      <c r="M3043" s="136">
        <f t="shared" si="77"/>
        <v>-37342.892296666279</v>
      </c>
    </row>
    <row r="3044" spans="1:13">
      <c r="A3044" s="54" t="str">
        <f>D3044&amp;E3044&amp;F3044</f>
        <v>HRENERGIA ELECTRICAA17</v>
      </c>
      <c r="B3044" t="s">
        <v>1807</v>
      </c>
      <c r="C3044" s="1">
        <v>45882</v>
      </c>
      <c r="D3044" s="71" t="s">
        <v>29</v>
      </c>
      <c r="E3044" s="71" t="s">
        <v>87</v>
      </c>
      <c r="F3044" s="70" t="s">
        <v>102</v>
      </c>
      <c r="G3044" s="83"/>
      <c r="J3044" s="71" t="s">
        <v>845</v>
      </c>
      <c r="L3044" s="433">
        <v>14655</v>
      </c>
      <c r="M3044" s="136">
        <f t="shared" si="77"/>
        <v>-51997.892296666279</v>
      </c>
    </row>
    <row r="3045" spans="1:13">
      <c r="A3045" s="54" t="str">
        <f>D3045&amp;E3045&amp;F3045</f>
        <v>SERVICIOSVIATICOSMANTENIMIENTO</v>
      </c>
      <c r="B3045" t="s">
        <v>1807</v>
      </c>
      <c r="C3045" s="1">
        <v>45882</v>
      </c>
      <c r="D3045" s="71" t="s">
        <v>21</v>
      </c>
      <c r="E3045" s="71" t="s">
        <v>191</v>
      </c>
      <c r="F3045" s="70" t="s">
        <v>35</v>
      </c>
      <c r="G3045" s="83"/>
      <c r="J3045" s="71" t="s">
        <v>1902</v>
      </c>
      <c r="L3045" s="433">
        <v>500</v>
      </c>
      <c r="M3045" s="136">
        <f t="shared" si="77"/>
        <v>-52497.892296666279</v>
      </c>
    </row>
    <row r="3046" spans="1:13">
      <c r="A3046" s="54" t="str">
        <f>D3046&amp;E3046&amp;F3046</f>
        <v>CAPMKTMKT CAP</v>
      </c>
      <c r="B3046" t="s">
        <v>1807</v>
      </c>
      <c r="C3046" s="1">
        <v>45882</v>
      </c>
      <c r="D3046" s="71" t="s">
        <v>31</v>
      </c>
      <c r="E3046" s="71" t="s">
        <v>19</v>
      </c>
      <c r="F3046" s="70" t="s">
        <v>139</v>
      </c>
      <c r="G3046" s="83" t="s">
        <v>258</v>
      </c>
      <c r="J3046" s="71" t="s">
        <v>1903</v>
      </c>
      <c r="L3046" s="433">
        <v>2500</v>
      </c>
      <c r="M3046" s="136">
        <f t="shared" si="77"/>
        <v>-54997.892296666279</v>
      </c>
    </row>
    <row r="3047" spans="1:13">
      <c r="A3047" s="54" t="str">
        <f>D3047&amp;E3047&amp;F3047</f>
        <v>SGEVIATICOSGESTION EMPRESARIAL</v>
      </c>
      <c r="B3047" t="s">
        <v>1807</v>
      </c>
      <c r="C3047" s="1">
        <v>45882</v>
      </c>
      <c r="D3047" s="71" t="s">
        <v>39</v>
      </c>
      <c r="E3047" s="71" t="s">
        <v>191</v>
      </c>
      <c r="F3047" s="70" t="s">
        <v>40</v>
      </c>
      <c r="G3047" s="83"/>
      <c r="J3047" s="71" t="s">
        <v>1904</v>
      </c>
      <c r="L3047" s="433">
        <v>2000</v>
      </c>
      <c r="M3047" s="136">
        <f t="shared" si="77"/>
        <v>-56997.892296666279</v>
      </c>
    </row>
    <row r="3048" spans="1:13">
      <c r="A3048" s="54" t="str">
        <f>D3048&amp;E3048&amp;F3048</f>
        <v>SERVICIOSVIATICOSMANTENIMIENTO</v>
      </c>
      <c r="B3048" t="s">
        <v>1807</v>
      </c>
      <c r="C3048" s="1">
        <v>45882</v>
      </c>
      <c r="D3048" s="71" t="s">
        <v>21</v>
      </c>
      <c r="E3048" s="71" t="s">
        <v>191</v>
      </c>
      <c r="F3048" s="70" t="s">
        <v>35</v>
      </c>
      <c r="G3048" s="83"/>
      <c r="J3048" s="71" t="s">
        <v>1905</v>
      </c>
      <c r="L3048" s="433">
        <v>500</v>
      </c>
      <c r="M3048" s="136">
        <f t="shared" si="77"/>
        <v>-57497.892296666279</v>
      </c>
    </row>
    <row r="3049" spans="1:13">
      <c r="A3049" s="54" t="str">
        <f>D3049&amp;E3049&amp;F3049</f>
        <v>SERVICIOSINSUMOSCEDIS</v>
      </c>
      <c r="B3049" t="s">
        <v>1807</v>
      </c>
      <c r="C3049" s="1">
        <v>45882</v>
      </c>
      <c r="D3049" s="71" t="s">
        <v>21</v>
      </c>
      <c r="E3049" s="71" t="s">
        <v>133</v>
      </c>
      <c r="F3049" s="70" t="s">
        <v>28</v>
      </c>
      <c r="G3049" s="83"/>
      <c r="J3049" s="71" t="s">
        <v>1906</v>
      </c>
      <c r="L3049" s="433">
        <v>6148</v>
      </c>
      <c r="M3049" s="136">
        <f t="shared" si="77"/>
        <v>-63645.892296666279</v>
      </c>
    </row>
    <row r="3050" spans="1:13">
      <c r="A3050" s="54" t="str">
        <f>D3050&amp;E3050&amp;F3050</f>
        <v>SGEFONDO Y REPOSICIONGESTION EMPRESARIAL</v>
      </c>
      <c r="B3050" t="s">
        <v>1807</v>
      </c>
      <c r="C3050" s="1">
        <v>45882</v>
      </c>
      <c r="D3050" s="71" t="s">
        <v>39</v>
      </c>
      <c r="E3050" s="71" t="s">
        <v>120</v>
      </c>
      <c r="F3050" s="70" t="s">
        <v>40</v>
      </c>
      <c r="G3050" s="83"/>
      <c r="J3050" s="71" t="s">
        <v>1907</v>
      </c>
      <c r="L3050" s="433">
        <v>540</v>
      </c>
      <c r="M3050" s="136">
        <f t="shared" si="77"/>
        <v>-64185.892296666279</v>
      </c>
    </row>
    <row r="3051" spans="1:13">
      <c r="A3051" s="54" t="str">
        <f>D3051&amp;E3051&amp;F3051</f>
        <v>SGEVIATICOSGESTION EMPRESARIAL</v>
      </c>
      <c r="B3051" t="s">
        <v>1807</v>
      </c>
      <c r="C3051" s="1">
        <v>45882</v>
      </c>
      <c r="D3051" s="71" t="s">
        <v>39</v>
      </c>
      <c r="E3051" s="71" t="s">
        <v>191</v>
      </c>
      <c r="F3051" s="70" t="s">
        <v>40</v>
      </c>
      <c r="G3051" s="83" t="s">
        <v>258</v>
      </c>
      <c r="J3051" s="71" t="s">
        <v>1908</v>
      </c>
      <c r="L3051" s="433">
        <v>5000</v>
      </c>
      <c r="M3051" s="136">
        <f t="shared" si="77"/>
        <v>-69185.892296666279</v>
      </c>
    </row>
    <row r="3052" spans="1:13">
      <c r="A3052" s="54" t="str">
        <f>D3052&amp;E3052&amp;F3052</f>
        <v>SERVICIOSMTTO EQ DE TRANSPORTECEDIS</v>
      </c>
      <c r="B3052" t="s">
        <v>1807</v>
      </c>
      <c r="C3052" s="1">
        <v>45882</v>
      </c>
      <c r="D3052" s="71" t="s">
        <v>21</v>
      </c>
      <c r="E3052" s="71" t="s">
        <v>144</v>
      </c>
      <c r="F3052" s="70" t="s">
        <v>28</v>
      </c>
      <c r="J3052" s="71" t="s">
        <v>1909</v>
      </c>
      <c r="L3052" s="208">
        <v>1500</v>
      </c>
      <c r="M3052" s="136">
        <f t="shared" si="77"/>
        <v>-70685.892296666279</v>
      </c>
    </row>
    <row r="3053" spans="1:13">
      <c r="A3053" s="54" t="str">
        <f>D3053&amp;E3053&amp;F3053</f>
        <v>SERVICIOSMTTO DE EDIFICIOMANTENIMIENTO</v>
      </c>
      <c r="B3053" t="s">
        <v>1807</v>
      </c>
      <c r="C3053" s="1">
        <v>45882</v>
      </c>
      <c r="D3053" s="71" t="s">
        <v>21</v>
      </c>
      <c r="E3053" s="71" t="s">
        <v>142</v>
      </c>
      <c r="F3053" s="70" t="s">
        <v>35</v>
      </c>
      <c r="J3053" s="71" t="s">
        <v>1910</v>
      </c>
      <c r="L3053" s="433">
        <v>7150</v>
      </c>
      <c r="M3053" s="136">
        <f t="shared" si="77"/>
        <v>-77835.892296666279</v>
      </c>
    </row>
    <row r="3054" spans="1:13">
      <c r="A3054" s="54" t="str">
        <f>D3054&amp;E3054&amp;F3054</f>
        <v>HRJMASA5</v>
      </c>
      <c r="B3054" t="s">
        <v>1807</v>
      </c>
      <c r="C3054" s="1">
        <v>45882</v>
      </c>
      <c r="D3054" s="71" t="s">
        <v>29</v>
      </c>
      <c r="E3054" s="71" t="s">
        <v>137</v>
      </c>
      <c r="F3054" s="70" t="s">
        <v>92</v>
      </c>
      <c r="J3054" s="76" t="s">
        <v>784</v>
      </c>
      <c r="L3054" s="434">
        <v>570</v>
      </c>
      <c r="M3054" s="136">
        <f t="shared" si="77"/>
        <v>-78405.892296666279</v>
      </c>
    </row>
    <row r="3055" spans="1:13">
      <c r="A3055" s="54" t="str">
        <f>D3055&amp;E3055&amp;F3055</f>
        <v>HRJMASA6</v>
      </c>
      <c r="B3055" t="s">
        <v>1807</v>
      </c>
      <c r="C3055" s="1">
        <v>45882</v>
      </c>
      <c r="D3055" s="71" t="s">
        <v>29</v>
      </c>
      <c r="E3055" s="71" t="s">
        <v>137</v>
      </c>
      <c r="F3055" s="70" t="s">
        <v>93</v>
      </c>
      <c r="J3055" s="76" t="s">
        <v>1911</v>
      </c>
      <c r="L3055" s="434">
        <v>781</v>
      </c>
      <c r="M3055" s="136">
        <f t="shared" si="77"/>
        <v>-79186.892296666279</v>
      </c>
    </row>
    <row r="3056" spans="1:13">
      <c r="A3056" s="54" t="str">
        <f>D3056&amp;E3056&amp;F3056</f>
        <v>HRINSUMOSHR</v>
      </c>
      <c r="B3056" t="s">
        <v>1807</v>
      </c>
      <c r="C3056" s="1">
        <v>45882</v>
      </c>
      <c r="D3056" s="71" t="s">
        <v>29</v>
      </c>
      <c r="E3056" s="71" t="s">
        <v>133</v>
      </c>
      <c r="F3056" s="70" t="s">
        <v>29</v>
      </c>
      <c r="J3056" s="76" t="s">
        <v>1912</v>
      </c>
      <c r="L3056" s="434">
        <v>225</v>
      </c>
      <c r="M3056" s="136">
        <f t="shared" si="77"/>
        <v>-79411.892296666279</v>
      </c>
    </row>
    <row r="3057" spans="1:13">
      <c r="A3057" s="54" t="str">
        <f>D3057&amp;E3057&amp;F3057</f>
        <v>CAPUBERCAP</v>
      </c>
      <c r="B3057" t="s">
        <v>1807</v>
      </c>
      <c r="C3057" s="1">
        <v>45882</v>
      </c>
      <c r="D3057" s="71" t="s">
        <v>31</v>
      </c>
      <c r="E3057" s="71" t="s">
        <v>189</v>
      </c>
      <c r="F3057" s="70" t="s">
        <v>31</v>
      </c>
      <c r="J3057" s="76" t="s">
        <v>253</v>
      </c>
      <c r="L3057" s="522">
        <v>223</v>
      </c>
      <c r="M3057" s="136">
        <f t="shared" si="77"/>
        <v>-79634.892296666279</v>
      </c>
    </row>
    <row r="3058" spans="1:13">
      <c r="A3058" s="54" t="str">
        <f>D3058&amp;E3058&amp;F3058</f>
        <v>CAPFUMIGACIONCAPRICHOS</v>
      </c>
      <c r="B3058" t="s">
        <v>1807</v>
      </c>
      <c r="C3058" s="1">
        <v>45882</v>
      </c>
      <c r="D3058" s="71" t="s">
        <v>31</v>
      </c>
      <c r="E3058" s="71" t="s">
        <v>121</v>
      </c>
      <c r="F3058" s="70" t="s">
        <v>33</v>
      </c>
      <c r="J3058" s="76" t="s">
        <v>1913</v>
      </c>
      <c r="L3058" s="535">
        <v>650</v>
      </c>
      <c r="M3058" s="136">
        <f t="shared" si="77"/>
        <v>-80284.892296666279</v>
      </c>
    </row>
    <row r="3059" spans="1:13">
      <c r="A3059" s="54" t="str">
        <f>D3059&amp;E3059&amp;F3059</f>
        <v>CAPUBERCAP</v>
      </c>
      <c r="B3059" t="s">
        <v>1807</v>
      </c>
      <c r="C3059" s="1">
        <v>45882</v>
      </c>
      <c r="D3059" s="71" t="s">
        <v>31</v>
      </c>
      <c r="E3059" s="71" t="s">
        <v>189</v>
      </c>
      <c r="F3059" s="70" t="s">
        <v>31</v>
      </c>
      <c r="J3059" s="76" t="s">
        <v>257</v>
      </c>
      <c r="L3059" s="522">
        <v>135</v>
      </c>
      <c r="M3059" s="136">
        <f t="shared" si="77"/>
        <v>-80419.892296666279</v>
      </c>
    </row>
    <row r="3060" spans="1:13">
      <c r="A3060" s="54" t="str">
        <f>D3060&amp;E3060&amp;F3060</f>
        <v>CAPINSUMOSCAPRICHOS</v>
      </c>
      <c r="B3060" t="s">
        <v>1807</v>
      </c>
      <c r="C3060" s="1">
        <v>45882</v>
      </c>
      <c r="D3060" s="71" t="s">
        <v>31</v>
      </c>
      <c r="E3060" s="71" t="s">
        <v>133</v>
      </c>
      <c r="F3060" s="70" t="s">
        <v>33</v>
      </c>
      <c r="J3060" s="76" t="s">
        <v>717</v>
      </c>
      <c r="L3060" s="434">
        <v>50</v>
      </c>
      <c r="M3060" s="136">
        <f t="shared" si="77"/>
        <v>-80469.892296666279</v>
      </c>
    </row>
    <row r="3061" spans="1:13">
      <c r="A3061" s="54" t="str">
        <f>D3061&amp;E3061&amp;F3061</f>
        <v>CAPINSUMOSCAPRICHOS</v>
      </c>
      <c r="B3061" t="s">
        <v>1807</v>
      </c>
      <c r="C3061" s="1">
        <v>45882</v>
      </c>
      <c r="D3061" s="71" t="s">
        <v>31</v>
      </c>
      <c r="E3061" s="71" t="s">
        <v>133</v>
      </c>
      <c r="F3061" s="70" t="s">
        <v>33</v>
      </c>
      <c r="J3061" s="76" t="s">
        <v>1914</v>
      </c>
      <c r="L3061" s="434">
        <v>103</v>
      </c>
      <c r="M3061" s="136">
        <f t="shared" si="77"/>
        <v>-80572.892296666279</v>
      </c>
    </row>
    <row r="3062" spans="1:13">
      <c r="A3062" s="54" t="str">
        <f t="shared" si="78"/>
        <v/>
      </c>
      <c r="B3062" t="s">
        <v>1807</v>
      </c>
      <c r="C3062" s="1">
        <v>45883</v>
      </c>
      <c r="D3062" s="71"/>
      <c r="F3062" s="70"/>
      <c r="J3062" s="71" t="s">
        <v>260</v>
      </c>
      <c r="K3062" s="325">
        <v>204030.45</v>
      </c>
      <c r="L3062" s="432"/>
      <c r="M3062" s="136">
        <f t="shared" si="77"/>
        <v>123457.55770333373</v>
      </c>
    </row>
    <row r="3063" spans="1:13">
      <c r="A3063" s="54" t="str">
        <f>D3063&amp;E3063&amp;F3063</f>
        <v>FINANZASCOMISIONES BANCARIASTPV</v>
      </c>
      <c r="B3063" t="s">
        <v>1807</v>
      </c>
      <c r="C3063" s="1">
        <v>45883</v>
      </c>
      <c r="D3063" s="71" t="s">
        <v>23</v>
      </c>
      <c r="E3063" s="71" t="s">
        <v>48</v>
      </c>
      <c r="F3063" s="70" t="s">
        <v>50</v>
      </c>
      <c r="J3063" s="71" t="s">
        <v>217</v>
      </c>
      <c r="L3063" s="433">
        <f>1870.34+1524.03+1294.66+27.84+13.42+258.62+841.73+10.49</f>
        <v>5841.1299999999992</v>
      </c>
      <c r="M3063" s="136">
        <f t="shared" si="77"/>
        <v>117616.42770333373</v>
      </c>
    </row>
    <row r="3064" spans="1:13">
      <c r="A3064" s="54" t="str">
        <f t="shared" si="78"/>
        <v/>
      </c>
      <c r="B3064" t="s">
        <v>1807</v>
      </c>
      <c r="C3064" s="1">
        <v>45883</v>
      </c>
      <c r="D3064" s="71"/>
      <c r="F3064" s="70"/>
      <c r="J3064" s="205" t="s">
        <v>1562</v>
      </c>
      <c r="K3064" s="205"/>
      <c r="L3064" s="428">
        <v>200000</v>
      </c>
      <c r="M3064" s="136">
        <f t="shared" si="77"/>
        <v>-82383.572296666272</v>
      </c>
    </row>
    <row r="3065" spans="1:13">
      <c r="A3065" s="54" t="str">
        <f t="shared" si="78"/>
        <v/>
      </c>
      <c r="B3065" t="s">
        <v>1807</v>
      </c>
      <c r="C3065" s="1">
        <v>45883</v>
      </c>
      <c r="D3065" s="71"/>
      <c r="F3065" s="70"/>
      <c r="J3065" s="205" t="s">
        <v>222</v>
      </c>
      <c r="K3065" s="205"/>
      <c r="L3065" s="428"/>
      <c r="M3065" s="136">
        <f t="shared" si="77"/>
        <v>-82383.572296666272</v>
      </c>
    </row>
    <row r="3066" spans="1:13">
      <c r="A3066" s="54" t="str">
        <f>D3066&amp;E3066&amp;F3066</f>
        <v>FINANZASTELEFONIATELEFONIA</v>
      </c>
      <c r="B3066" t="s">
        <v>1807</v>
      </c>
      <c r="C3066" s="1">
        <v>45883</v>
      </c>
      <c r="D3066" s="71" t="s">
        <v>23</v>
      </c>
      <c r="E3066" s="71" t="s">
        <v>181</v>
      </c>
      <c r="F3066" s="70" t="s">
        <v>181</v>
      </c>
      <c r="J3066" s="71" t="s">
        <v>1915</v>
      </c>
      <c r="L3066" s="433">
        <v>681.14</v>
      </c>
      <c r="M3066" s="136">
        <f t="shared" si="77"/>
        <v>-83064.712296666272</v>
      </c>
    </row>
    <row r="3067" spans="1:13">
      <c r="A3067" s="54" t="str">
        <f>D3067&amp;E3067&amp;F3067</f>
        <v>SERVICIOSTELEPEAJECEDIS</v>
      </c>
      <c r="B3067" t="s">
        <v>1807</v>
      </c>
      <c r="C3067" s="1">
        <v>45883</v>
      </c>
      <c r="D3067" s="71" t="s">
        <v>21</v>
      </c>
      <c r="E3067" s="71" t="s">
        <v>186</v>
      </c>
      <c r="F3067" s="70" t="s">
        <v>28</v>
      </c>
      <c r="J3067" s="71" t="s">
        <v>1377</v>
      </c>
      <c r="L3067" s="433">
        <v>2896</v>
      </c>
      <c r="M3067" s="136">
        <f t="shared" si="77"/>
        <v>-85960.712296666272</v>
      </c>
    </row>
    <row r="3068" spans="1:13">
      <c r="A3068" s="54" t="str">
        <f>D3068&amp;E3068&amp;F3068</f>
        <v>HRTELEPEAJEOP HR</v>
      </c>
      <c r="B3068" t="s">
        <v>1807</v>
      </c>
      <c r="C3068" s="1">
        <v>45883</v>
      </c>
      <c r="D3068" s="71" t="s">
        <v>29</v>
      </c>
      <c r="E3068" s="71" t="s">
        <v>186</v>
      </c>
      <c r="F3068" s="143" t="s">
        <v>187</v>
      </c>
      <c r="J3068" s="71" t="s">
        <v>242</v>
      </c>
      <c r="L3068" s="433">
        <v>178</v>
      </c>
      <c r="M3068" s="136">
        <f t="shared" si="77"/>
        <v>-86138.712296666272</v>
      </c>
    </row>
    <row r="3069" spans="1:13">
      <c r="A3069" s="54" t="str">
        <f>D3069&amp;E3069&amp;F3069</f>
        <v>HRTELEPEAJEOP HR</v>
      </c>
      <c r="B3069" t="s">
        <v>1807</v>
      </c>
      <c r="C3069" s="1">
        <v>45883</v>
      </c>
      <c r="D3069" s="71" t="s">
        <v>29</v>
      </c>
      <c r="E3069" s="71" t="s">
        <v>186</v>
      </c>
      <c r="F3069" s="143" t="s">
        <v>187</v>
      </c>
      <c r="J3069" s="71" t="s">
        <v>1916</v>
      </c>
      <c r="L3069" s="433">
        <v>294</v>
      </c>
      <c r="M3069" s="136">
        <f t="shared" ref="M3069:M3132" si="79">M3068+K3069-L3069</f>
        <v>-86432.712296666272</v>
      </c>
    </row>
    <row r="3070" spans="1:13">
      <c r="A3070" s="54" t="str">
        <f>D3070&amp;E3070&amp;F3070</f>
        <v>CAPTELEPEAJEOP CAPRICHOS</v>
      </c>
      <c r="B3070" t="s">
        <v>1807</v>
      </c>
      <c r="C3070" s="1">
        <v>45883</v>
      </c>
      <c r="D3070" s="71" t="s">
        <v>31</v>
      </c>
      <c r="E3070" s="71" t="s">
        <v>186</v>
      </c>
      <c r="F3070" s="70" t="s">
        <v>188</v>
      </c>
      <c r="J3070" s="71" t="s">
        <v>1917</v>
      </c>
      <c r="L3070" s="433">
        <v>952</v>
      </c>
      <c r="M3070" s="136">
        <f t="shared" si="79"/>
        <v>-87384.712296666272</v>
      </c>
    </row>
    <row r="3071" spans="1:13">
      <c r="A3071" s="54" t="str">
        <f>D3071&amp;E3071&amp;F3071</f>
        <v>SERVICIOSTELEPEAJECEDIS</v>
      </c>
      <c r="B3071" t="s">
        <v>1807</v>
      </c>
      <c r="C3071" s="1">
        <v>45883</v>
      </c>
      <c r="D3071" s="71" t="s">
        <v>21</v>
      </c>
      <c r="E3071" s="71" t="s">
        <v>186</v>
      </c>
      <c r="F3071" s="70" t="s">
        <v>28</v>
      </c>
      <c r="J3071" s="71" t="s">
        <v>350</v>
      </c>
      <c r="L3071" s="433">
        <v>809</v>
      </c>
      <c r="M3071" s="136">
        <f t="shared" si="79"/>
        <v>-88193.712296666272</v>
      </c>
    </row>
    <row r="3072" spans="1:13">
      <c r="A3072" s="54" t="str">
        <f>D3072&amp;E3072&amp;F3072</f>
        <v>SERVICIOSMTTO DE EDIFICIOMANTENIMIENTO</v>
      </c>
      <c r="B3072" t="s">
        <v>1807</v>
      </c>
      <c r="C3072" s="1">
        <v>45883</v>
      </c>
      <c r="D3072" s="71" t="s">
        <v>21</v>
      </c>
      <c r="E3072" s="71" t="s">
        <v>142</v>
      </c>
      <c r="F3072" s="70" t="s">
        <v>35</v>
      </c>
      <c r="J3072" s="71" t="s">
        <v>1918</v>
      </c>
      <c r="L3072" s="433">
        <v>1106.9000000000001</v>
      </c>
      <c r="M3072" s="136">
        <f t="shared" si="79"/>
        <v>-89300.612296666266</v>
      </c>
    </row>
    <row r="3073" spans="1:13">
      <c r="A3073" s="54" t="str">
        <f>D3073&amp;E3073&amp;F3073</f>
        <v>SERVICIOSVIATICOSMANTENIMIENTO</v>
      </c>
      <c r="B3073" t="s">
        <v>1807</v>
      </c>
      <c r="C3073" s="1">
        <v>45883</v>
      </c>
      <c r="D3073" s="71" t="s">
        <v>21</v>
      </c>
      <c r="E3073" s="71" t="s">
        <v>191</v>
      </c>
      <c r="F3073" s="70" t="s">
        <v>35</v>
      </c>
      <c r="J3073" s="71" t="s">
        <v>1919</v>
      </c>
      <c r="L3073" s="433">
        <v>500</v>
      </c>
      <c r="M3073" s="136">
        <f t="shared" si="79"/>
        <v>-89800.612296666266</v>
      </c>
    </row>
    <row r="3074" spans="1:13">
      <c r="A3074" s="54" t="str">
        <f>D3074&amp;E3074&amp;F3074</f>
        <v>FINANZASINSUMOSFINANZAS</v>
      </c>
      <c r="B3074" t="s">
        <v>1807</v>
      </c>
      <c r="C3074" s="1">
        <v>45883</v>
      </c>
      <c r="D3074" s="71" t="s">
        <v>23</v>
      </c>
      <c r="E3074" s="71" t="s">
        <v>133</v>
      </c>
      <c r="F3074" s="70" t="s">
        <v>23</v>
      </c>
      <c r="G3074" s="83" t="s">
        <v>258</v>
      </c>
      <c r="J3074" s="71" t="s">
        <v>1920</v>
      </c>
      <c r="L3074" s="433">
        <v>1000</v>
      </c>
      <c r="M3074" s="136">
        <f t="shared" si="79"/>
        <v>-90800.612296666266</v>
      </c>
    </row>
    <row r="3075" spans="1:13">
      <c r="A3075" s="54" t="str">
        <f>D3075&amp;E3075&amp;F3075</f>
        <v>HRJMASA4</v>
      </c>
      <c r="B3075" t="s">
        <v>1807</v>
      </c>
      <c r="C3075" s="1">
        <v>45883</v>
      </c>
      <c r="D3075" s="71" t="s">
        <v>29</v>
      </c>
      <c r="E3075" s="71" t="s">
        <v>137</v>
      </c>
      <c r="F3075" s="70" t="s">
        <v>91</v>
      </c>
      <c r="J3075" s="76" t="s">
        <v>335</v>
      </c>
      <c r="L3075" s="434">
        <v>576</v>
      </c>
      <c r="M3075" s="136">
        <f t="shared" si="79"/>
        <v>-91376.612296666266</v>
      </c>
    </row>
    <row r="3076" spans="1:13">
      <c r="A3076" s="54" t="str">
        <f>D3076&amp;E3076&amp;F3076</f>
        <v>HRUBERHR</v>
      </c>
      <c r="B3076" t="s">
        <v>1807</v>
      </c>
      <c r="C3076" s="1">
        <v>45883</v>
      </c>
      <c r="D3076" s="71" t="s">
        <v>29</v>
      </c>
      <c r="E3076" s="71" t="s">
        <v>189</v>
      </c>
      <c r="F3076" s="70" t="s">
        <v>29</v>
      </c>
      <c r="J3076" s="76" t="s">
        <v>306</v>
      </c>
      <c r="L3076" s="522">
        <v>40</v>
      </c>
      <c r="M3076" s="136">
        <f t="shared" si="79"/>
        <v>-91416.612296666266</v>
      </c>
    </row>
    <row r="3077" spans="1:13">
      <c r="A3077" s="54" t="str">
        <f>D3077&amp;E3077&amp;F3077</f>
        <v>SERVICIOSMTTO DE EDIFICIOMANTENIMIENTO</v>
      </c>
      <c r="B3077" t="s">
        <v>1807</v>
      </c>
      <c r="C3077" s="1">
        <v>45883</v>
      </c>
      <c r="D3077" s="71" t="s">
        <v>21</v>
      </c>
      <c r="E3077" s="71" t="s">
        <v>142</v>
      </c>
      <c r="F3077" s="70" t="s">
        <v>35</v>
      </c>
      <c r="J3077" s="76" t="s">
        <v>1921</v>
      </c>
      <c r="L3077" s="434">
        <v>2100</v>
      </c>
      <c r="M3077" s="136">
        <f t="shared" si="79"/>
        <v>-93516.612296666266</v>
      </c>
    </row>
    <row r="3078" spans="1:13">
      <c r="A3078" s="54" t="str">
        <f>D3078&amp;E3078&amp;F3078</f>
        <v>SERVICIOSMTTO DE EDIFICIOMANTENIMIENTO</v>
      </c>
      <c r="B3078" t="s">
        <v>1807</v>
      </c>
      <c r="C3078" s="1">
        <v>45883</v>
      </c>
      <c r="D3078" s="71" t="s">
        <v>21</v>
      </c>
      <c r="E3078" s="71" t="s">
        <v>142</v>
      </c>
      <c r="F3078" s="70" t="s">
        <v>35</v>
      </c>
      <c r="J3078" s="76" t="s">
        <v>1922</v>
      </c>
      <c r="L3078" s="434">
        <v>805</v>
      </c>
      <c r="M3078" s="136">
        <f t="shared" si="79"/>
        <v>-94321.612296666266</v>
      </c>
    </row>
    <row r="3079" spans="1:13">
      <c r="A3079" s="54" t="str">
        <f>D3079&amp;E3079&amp;F3079</f>
        <v>HRJMASA17</v>
      </c>
      <c r="B3079" t="s">
        <v>1807</v>
      </c>
      <c r="C3079" s="1">
        <v>45883</v>
      </c>
      <c r="D3079" s="71" t="s">
        <v>29</v>
      </c>
      <c r="E3079" s="71" t="s">
        <v>137</v>
      </c>
      <c r="F3079" s="70" t="s">
        <v>102</v>
      </c>
      <c r="J3079" s="76" t="s">
        <v>1923</v>
      </c>
      <c r="L3079" s="434">
        <v>1157</v>
      </c>
      <c r="M3079" s="136">
        <f t="shared" si="79"/>
        <v>-95478.612296666266</v>
      </c>
    </row>
    <row r="3080" spans="1:13">
      <c r="A3080" s="54" t="str">
        <f>D3080&amp;E3080&amp;F3080</f>
        <v>CAPUBERCAP</v>
      </c>
      <c r="B3080" t="s">
        <v>1807</v>
      </c>
      <c r="C3080" s="1">
        <v>45883</v>
      </c>
      <c r="D3080" s="71" t="s">
        <v>31</v>
      </c>
      <c r="E3080" s="71" t="s">
        <v>189</v>
      </c>
      <c r="F3080" s="70" t="s">
        <v>31</v>
      </c>
      <c r="J3080" s="76" t="s">
        <v>1924</v>
      </c>
      <c r="L3080" s="522">
        <v>216</v>
      </c>
      <c r="M3080" s="136">
        <f t="shared" si="79"/>
        <v>-95694.612296666266</v>
      </c>
    </row>
    <row r="3081" spans="1:13">
      <c r="A3081" s="54" t="str">
        <f>D3081&amp;E3081&amp;F3081</f>
        <v>CAPUBERCAP</v>
      </c>
      <c r="B3081" t="s">
        <v>1807</v>
      </c>
      <c r="C3081" s="1">
        <v>45883</v>
      </c>
      <c r="D3081" s="71" t="s">
        <v>31</v>
      </c>
      <c r="E3081" s="71" t="s">
        <v>189</v>
      </c>
      <c r="F3081" s="70" t="s">
        <v>31</v>
      </c>
      <c r="J3081" s="76" t="s">
        <v>257</v>
      </c>
      <c r="L3081" s="522">
        <v>116</v>
      </c>
      <c r="M3081" s="136">
        <f t="shared" si="79"/>
        <v>-95810.612296666266</v>
      </c>
    </row>
    <row r="3082" spans="1:13">
      <c r="A3082" s="54" t="str">
        <f>D3082&amp;E3082&amp;F3082</f>
        <v>FINANZASRECOLECCION DE BASURACAPRICHOS</v>
      </c>
      <c r="B3082" t="s">
        <v>1807</v>
      </c>
      <c r="C3082" s="1">
        <v>45883</v>
      </c>
      <c r="D3082" s="71" t="s">
        <v>23</v>
      </c>
      <c r="E3082" s="71" t="s">
        <v>166</v>
      </c>
      <c r="F3082" s="70" t="s">
        <v>33</v>
      </c>
      <c r="J3082" s="76" t="s">
        <v>1172</v>
      </c>
      <c r="L3082" s="434">
        <v>306</v>
      </c>
      <c r="M3082" s="136">
        <f t="shared" si="79"/>
        <v>-96116.612296666266</v>
      </c>
    </row>
    <row r="3083" spans="1:13">
      <c r="A3083" s="54" t="str">
        <f>D3083&amp;E3083&amp;F3083</f>
        <v>CAPFUMIGACIONCAPRICHOS</v>
      </c>
      <c r="B3083" t="s">
        <v>1807</v>
      </c>
      <c r="C3083" s="1">
        <v>45883</v>
      </c>
      <c r="D3083" s="71" t="s">
        <v>31</v>
      </c>
      <c r="E3083" s="71" t="s">
        <v>121</v>
      </c>
      <c r="F3083" s="70" t="s">
        <v>33</v>
      </c>
      <c r="J3083" s="76" t="s">
        <v>950</v>
      </c>
      <c r="L3083" s="535">
        <v>1000</v>
      </c>
      <c r="M3083" s="136">
        <f t="shared" si="79"/>
        <v>-97116.612296666266</v>
      </c>
    </row>
    <row r="3084" spans="1:13">
      <c r="A3084" s="54" t="str">
        <f t="shared" si="78"/>
        <v/>
      </c>
      <c r="B3084" t="s">
        <v>1807</v>
      </c>
      <c r="C3084" s="1">
        <v>45884</v>
      </c>
      <c r="D3084" s="71"/>
      <c r="F3084" s="70"/>
      <c r="J3084" s="71" t="s">
        <v>260</v>
      </c>
      <c r="K3084" s="325">
        <v>224081.65</v>
      </c>
      <c r="L3084" s="432"/>
      <c r="M3084" s="136">
        <f t="shared" si="79"/>
        <v>126965.03770333373</v>
      </c>
    </row>
    <row r="3085" spans="1:13">
      <c r="A3085" s="54" t="str">
        <f t="shared" si="78"/>
        <v/>
      </c>
      <c r="B3085" t="s">
        <v>1807</v>
      </c>
      <c r="C3085" s="1">
        <v>45884</v>
      </c>
      <c r="D3085" s="71"/>
      <c r="F3085" s="70"/>
      <c r="J3085" s="71" t="s">
        <v>1925</v>
      </c>
      <c r="K3085" s="325">
        <v>330000</v>
      </c>
      <c r="L3085" s="432"/>
      <c r="M3085" s="136">
        <f t="shared" si="79"/>
        <v>456965.03770333371</v>
      </c>
    </row>
    <row r="3086" spans="1:13">
      <c r="A3086" s="54" t="str">
        <f t="shared" si="78"/>
        <v/>
      </c>
      <c r="B3086" t="s">
        <v>1807</v>
      </c>
      <c r="C3086" s="1">
        <v>45884</v>
      </c>
      <c r="D3086" s="71"/>
      <c r="F3086" s="70"/>
      <c r="J3086" s="71" t="s">
        <v>1926</v>
      </c>
      <c r="K3086" s="325">
        <v>1393</v>
      </c>
      <c r="L3086" s="432"/>
      <c r="M3086" s="136">
        <f t="shared" si="79"/>
        <v>458358.03770333371</v>
      </c>
    </row>
    <row r="3087" spans="1:13" ht="18" customHeight="1">
      <c r="A3087" s="54" t="str">
        <f>D3087&amp;E3087&amp;F3087</f>
        <v>FINANZASCOMISIONES BANCARIASTPV</v>
      </c>
      <c r="B3087" t="s">
        <v>1807</v>
      </c>
      <c r="C3087" s="1">
        <v>45884</v>
      </c>
      <c r="D3087" s="71" t="s">
        <v>23</v>
      </c>
      <c r="E3087" s="71" t="s">
        <v>48</v>
      </c>
      <c r="F3087" s="70" t="s">
        <v>50</v>
      </c>
      <c r="J3087" s="71" t="s">
        <v>217</v>
      </c>
      <c r="L3087" s="438">
        <f>362.04+266.44+1743.45+1864.49+1970.8+10.44+6.96+17.4</f>
        <v>6242.0199999999995</v>
      </c>
      <c r="M3087" s="136">
        <f t="shared" si="79"/>
        <v>452116.01770333369</v>
      </c>
    </row>
    <row r="3088" spans="1:13">
      <c r="A3088" s="54" t="str">
        <f t="shared" si="78"/>
        <v/>
      </c>
      <c r="B3088" t="s">
        <v>1807</v>
      </c>
      <c r="C3088" s="1">
        <v>45884</v>
      </c>
      <c r="D3088" s="71"/>
      <c r="F3088" s="70"/>
      <c r="J3088" s="205" t="s">
        <v>1562</v>
      </c>
      <c r="K3088" s="205"/>
      <c r="L3088" s="428">
        <v>65000</v>
      </c>
      <c r="M3088" s="136">
        <f t="shared" si="79"/>
        <v>387116.01770333369</v>
      </c>
    </row>
    <row r="3089" spans="1:17">
      <c r="A3089" s="54" t="str">
        <f t="shared" ref="A3089:A3152" si="80">D3089&amp;E3089&amp;F3089</f>
        <v/>
      </c>
      <c r="B3089" t="s">
        <v>1807</v>
      </c>
      <c r="C3089" s="1">
        <v>45884</v>
      </c>
      <c r="D3089" s="71"/>
      <c r="F3089" s="70"/>
      <c r="J3089" s="205" t="s">
        <v>318</v>
      </c>
      <c r="K3089" s="205"/>
      <c r="L3089" s="428">
        <v>393050</v>
      </c>
      <c r="M3089" s="136">
        <f t="shared" si="79"/>
        <v>-5933.982296666305</v>
      </c>
    </row>
    <row r="3090" spans="1:17">
      <c r="A3090" s="54" t="str">
        <f t="shared" si="80"/>
        <v/>
      </c>
      <c r="B3090" t="s">
        <v>1807</v>
      </c>
      <c r="C3090" s="1">
        <v>45884</v>
      </c>
      <c r="D3090" s="71"/>
      <c r="F3090" s="70"/>
      <c r="J3090" s="71" t="s">
        <v>564</v>
      </c>
      <c r="L3090" s="433">
        <v>25252.799999999999</v>
      </c>
      <c r="M3090" s="136">
        <f t="shared" si="79"/>
        <v>-31186.782296666304</v>
      </c>
    </row>
    <row r="3091" spans="1:17">
      <c r="A3091" s="54" t="str">
        <f>D3091&amp;E3091&amp;F3091</f>
        <v>SERVICIOSALARMASUCURSALES HR</v>
      </c>
      <c r="B3091" t="s">
        <v>1807</v>
      </c>
      <c r="C3091" s="1">
        <v>45884</v>
      </c>
      <c r="D3091" s="71" t="s">
        <v>21</v>
      </c>
      <c r="E3091" s="71" t="s">
        <v>25</v>
      </c>
      <c r="F3091" s="70" t="s">
        <v>26</v>
      </c>
      <c r="J3091" s="71" t="s">
        <v>1927</v>
      </c>
      <c r="K3091" s="332"/>
      <c r="L3091" s="433">
        <v>5600</v>
      </c>
      <c r="M3091" s="136">
        <f t="shared" si="79"/>
        <v>-36786.782296666308</v>
      </c>
      <c r="Q3091" s="343"/>
    </row>
    <row r="3092" spans="1:17">
      <c r="A3092" s="54" t="str">
        <f>D3092&amp;E3092&amp;F3092</f>
        <v>SERVICIOSALARMASUCURSALES CAPRICHOS</v>
      </c>
      <c r="B3092" t="s">
        <v>1807</v>
      </c>
      <c r="C3092" s="1">
        <v>45884</v>
      </c>
      <c r="D3092" s="71" t="s">
        <v>21</v>
      </c>
      <c r="E3092" s="71" t="s">
        <v>25</v>
      </c>
      <c r="F3092" s="70" t="s">
        <v>27</v>
      </c>
      <c r="J3092" s="71" t="s">
        <v>1928</v>
      </c>
      <c r="K3092" s="332"/>
      <c r="L3092" s="433">
        <v>840</v>
      </c>
      <c r="M3092" s="136">
        <f t="shared" si="79"/>
        <v>-37626.782296666308</v>
      </c>
    </row>
    <row r="3093" spans="1:17">
      <c r="A3093" s="54" t="str">
        <f>D3093&amp;E3093&amp;F3093</f>
        <v>SERVICIOSINSUMOSCADENA DE SUMINISTROS</v>
      </c>
      <c r="B3093" t="s">
        <v>1807</v>
      </c>
      <c r="C3093" s="1">
        <v>45884</v>
      </c>
      <c r="D3093" s="71" t="s">
        <v>21</v>
      </c>
      <c r="E3093" s="71" t="s">
        <v>133</v>
      </c>
      <c r="F3093" s="70" t="s">
        <v>134</v>
      </c>
      <c r="J3093" s="71" t="s">
        <v>1929</v>
      </c>
      <c r="K3093" s="332"/>
      <c r="L3093" s="433">
        <v>7776.64</v>
      </c>
      <c r="M3093" s="136">
        <f t="shared" si="79"/>
        <v>-45403.422296666307</v>
      </c>
    </row>
    <row r="3094" spans="1:17">
      <c r="A3094" s="54" t="str">
        <f>D3094&amp;E3094&amp;F3094</f>
        <v>SERVICIOSVIATICOSMANTENIMIENTO</v>
      </c>
      <c r="B3094" t="s">
        <v>1807</v>
      </c>
      <c r="C3094" s="1">
        <v>45884</v>
      </c>
      <c r="D3094" s="71" t="s">
        <v>21</v>
      </c>
      <c r="E3094" s="71" t="s">
        <v>191</v>
      </c>
      <c r="F3094" s="70" t="s">
        <v>35</v>
      </c>
      <c r="J3094" s="242" t="s">
        <v>1930</v>
      </c>
      <c r="K3094" s="332"/>
      <c r="L3094" s="433">
        <v>300</v>
      </c>
      <c r="M3094" s="136">
        <f t="shared" si="79"/>
        <v>-45703.422296666307</v>
      </c>
    </row>
    <row r="3095" spans="1:17">
      <c r="A3095" s="54" t="str">
        <f>D3095&amp;E3095&amp;F3095</f>
        <v>ELIVIATICOSL1</v>
      </c>
      <c r="B3095" t="s">
        <v>1807</v>
      </c>
      <c r="C3095" s="1">
        <v>45884</v>
      </c>
      <c r="D3095" s="71" t="s">
        <v>130</v>
      </c>
      <c r="E3095" s="71" t="s">
        <v>191</v>
      </c>
      <c r="F3095" s="70" t="s">
        <v>136</v>
      </c>
      <c r="J3095" s="242" t="s">
        <v>1931</v>
      </c>
      <c r="K3095" s="332"/>
      <c r="L3095" s="433">
        <v>1000</v>
      </c>
      <c r="M3095" s="136">
        <f t="shared" si="79"/>
        <v>-46703.422296666307</v>
      </c>
    </row>
    <row r="3096" spans="1:17">
      <c r="A3096" s="54" t="str">
        <f>D3096&amp;E3096&amp;F3096</f>
        <v>SERVICIOSALARMACEDIS</v>
      </c>
      <c r="B3096" t="s">
        <v>1807</v>
      </c>
      <c r="C3096" s="1">
        <v>45884</v>
      </c>
      <c r="D3096" s="71" t="s">
        <v>21</v>
      </c>
      <c r="E3096" s="71" t="s">
        <v>25</v>
      </c>
      <c r="F3096" s="70" t="s">
        <v>28</v>
      </c>
      <c r="G3096" s="83" t="s">
        <v>258</v>
      </c>
      <c r="J3096" s="242" t="s">
        <v>1622</v>
      </c>
      <c r="K3096" s="332"/>
      <c r="L3096" s="433">
        <v>560</v>
      </c>
      <c r="M3096" s="136">
        <f t="shared" si="79"/>
        <v>-47263.422296666307</v>
      </c>
    </row>
    <row r="3097" spans="1:17">
      <c r="A3097" s="54" t="str">
        <f>D3097&amp;E3097&amp;F3097</f>
        <v>SERVICIOSPAQUETERIACEDIS (E6)</v>
      </c>
      <c r="B3097" t="s">
        <v>1807</v>
      </c>
      <c r="C3097" s="1">
        <v>45884</v>
      </c>
      <c r="D3097" s="71" t="s">
        <v>21</v>
      </c>
      <c r="E3097" s="71" t="s">
        <v>160</v>
      </c>
      <c r="F3097" s="70" t="s">
        <v>161</v>
      </c>
      <c r="J3097" s="71" t="s">
        <v>1159</v>
      </c>
      <c r="L3097" s="433">
        <v>1450.45</v>
      </c>
      <c r="M3097" s="136">
        <f t="shared" si="79"/>
        <v>-48713.872296666304</v>
      </c>
    </row>
    <row r="3098" spans="1:17">
      <c r="A3098" s="54" t="str">
        <f t="shared" si="80"/>
        <v>HR</v>
      </c>
      <c r="B3098" t="s">
        <v>1807</v>
      </c>
      <c r="C3098" s="1">
        <v>45884</v>
      </c>
      <c r="D3098" s="411" t="s">
        <v>29</v>
      </c>
      <c r="E3098" s="411"/>
      <c r="F3098" s="412"/>
      <c r="G3098" s="411"/>
      <c r="H3098" s="413"/>
      <c r="I3098" s="413"/>
      <c r="J3098" s="414" t="s">
        <v>1932</v>
      </c>
      <c r="L3098" s="434">
        <v>513</v>
      </c>
      <c r="M3098" s="136">
        <f t="shared" si="79"/>
        <v>-49226.872296666304</v>
      </c>
    </row>
    <row r="3099" spans="1:17">
      <c r="A3099" s="54" t="str">
        <f>D3099&amp;E3099&amp;F3099</f>
        <v>HRUBERHR</v>
      </c>
      <c r="B3099" t="s">
        <v>1807</v>
      </c>
      <c r="C3099" s="1">
        <v>45884</v>
      </c>
      <c r="D3099" s="71" t="s">
        <v>29</v>
      </c>
      <c r="E3099" s="71" t="s">
        <v>189</v>
      </c>
      <c r="F3099" s="70" t="s">
        <v>29</v>
      </c>
      <c r="J3099" s="76" t="s">
        <v>291</v>
      </c>
      <c r="L3099" s="522">
        <v>37</v>
      </c>
      <c r="M3099" s="136">
        <f t="shared" si="79"/>
        <v>-49263.872296666304</v>
      </c>
    </row>
    <row r="3100" spans="1:17">
      <c r="A3100" s="54" t="str">
        <f>D3100&amp;E3100&amp;F3100</f>
        <v>SERVICIOSMTTO DE EDIFICIOMANTENIMIENTO</v>
      </c>
      <c r="B3100" t="s">
        <v>1807</v>
      </c>
      <c r="C3100" s="1">
        <v>45884</v>
      </c>
      <c r="D3100" s="71" t="s">
        <v>21</v>
      </c>
      <c r="E3100" s="71" t="s">
        <v>142</v>
      </c>
      <c r="F3100" s="70" t="s">
        <v>35</v>
      </c>
      <c r="J3100" s="76" t="s">
        <v>1921</v>
      </c>
      <c r="L3100" s="434">
        <v>2400</v>
      </c>
      <c r="M3100" s="136">
        <f t="shared" si="79"/>
        <v>-51663.872296666304</v>
      </c>
    </row>
    <row r="3101" spans="1:17">
      <c r="A3101" s="54" t="str">
        <f>D3101&amp;E3101&amp;F3101</f>
        <v>HRJMASA14</v>
      </c>
      <c r="B3101" t="s">
        <v>1807</v>
      </c>
      <c r="C3101" s="1">
        <v>45884</v>
      </c>
      <c r="D3101" s="71" t="s">
        <v>29</v>
      </c>
      <c r="E3101" s="71" t="s">
        <v>137</v>
      </c>
      <c r="F3101" s="70" t="s">
        <v>99</v>
      </c>
      <c r="J3101" s="76" t="s">
        <v>785</v>
      </c>
      <c r="L3101" s="434">
        <v>455</v>
      </c>
      <c r="M3101" s="136">
        <f t="shared" si="79"/>
        <v>-52118.872296666304</v>
      </c>
    </row>
    <row r="3102" spans="1:17">
      <c r="A3102" s="54" t="str">
        <f>D3102&amp;E3102&amp;F3102</f>
        <v>SERVICIOSMTTO DE EDIFICIOMANTENIMIENTO</v>
      </c>
      <c r="B3102" t="s">
        <v>1807</v>
      </c>
      <c r="C3102" s="1">
        <v>45884</v>
      </c>
      <c r="D3102" s="71" t="s">
        <v>21</v>
      </c>
      <c r="E3102" s="71" t="s">
        <v>142</v>
      </c>
      <c r="F3102" s="70" t="s">
        <v>35</v>
      </c>
      <c r="J3102" s="76" t="s">
        <v>1933</v>
      </c>
      <c r="L3102" s="434">
        <v>970</v>
      </c>
      <c r="M3102" s="136">
        <f t="shared" si="79"/>
        <v>-53088.872296666304</v>
      </c>
    </row>
    <row r="3103" spans="1:17">
      <c r="A3103" s="54" t="str">
        <f>D3103&amp;E3103&amp;F3103</f>
        <v>CAPUBERCAP</v>
      </c>
      <c r="B3103" t="s">
        <v>1807</v>
      </c>
      <c r="C3103" s="1">
        <v>45884</v>
      </c>
      <c r="D3103" s="71" t="s">
        <v>31</v>
      </c>
      <c r="E3103" s="71" t="s">
        <v>189</v>
      </c>
      <c r="F3103" s="70" t="s">
        <v>31</v>
      </c>
      <c r="J3103" s="76" t="s">
        <v>253</v>
      </c>
      <c r="L3103" s="522">
        <v>146</v>
      </c>
      <c r="M3103" s="136">
        <f t="shared" si="79"/>
        <v>-53234.872296666304</v>
      </c>
    </row>
    <row r="3104" spans="1:17">
      <c r="A3104" s="54" t="str">
        <f>D3104&amp;E3104&amp;F3104</f>
        <v>CAPUBERCAP</v>
      </c>
      <c r="B3104" t="s">
        <v>1807</v>
      </c>
      <c r="C3104" s="1">
        <v>45884</v>
      </c>
      <c r="D3104" s="71" t="s">
        <v>31</v>
      </c>
      <c r="E3104" s="71" t="s">
        <v>189</v>
      </c>
      <c r="F3104" s="70" t="s">
        <v>31</v>
      </c>
      <c r="J3104" s="76" t="s">
        <v>257</v>
      </c>
      <c r="L3104" s="522">
        <v>251</v>
      </c>
      <c r="M3104" s="136">
        <f t="shared" si="79"/>
        <v>-53485.872296666304</v>
      </c>
    </row>
    <row r="3105" spans="1:13">
      <c r="A3105" s="54" t="str">
        <f>D3105&amp;E3105&amp;F3105</f>
        <v>CAPINSUMOSCAPRICHOS</v>
      </c>
      <c r="B3105" t="s">
        <v>1807</v>
      </c>
      <c r="C3105" s="1">
        <v>45884</v>
      </c>
      <c r="D3105" s="71" t="s">
        <v>31</v>
      </c>
      <c r="E3105" s="71" t="s">
        <v>133</v>
      </c>
      <c r="F3105" s="70" t="s">
        <v>33</v>
      </c>
      <c r="J3105" s="76" t="s">
        <v>1934</v>
      </c>
      <c r="L3105" s="434">
        <v>200</v>
      </c>
      <c r="M3105" s="136">
        <f t="shared" si="79"/>
        <v>-53685.872296666304</v>
      </c>
    </row>
    <row r="3106" spans="1:13">
      <c r="A3106" s="54" t="str">
        <f>D3106&amp;E3106&amp;F3106</f>
        <v>CAPUBERCAP</v>
      </c>
      <c r="B3106" t="s">
        <v>1807</v>
      </c>
      <c r="C3106" s="1">
        <v>45884</v>
      </c>
      <c r="D3106" s="71" t="s">
        <v>31</v>
      </c>
      <c r="E3106" s="71" t="s">
        <v>189</v>
      </c>
      <c r="F3106" s="70" t="s">
        <v>31</v>
      </c>
      <c r="J3106" s="76" t="s">
        <v>255</v>
      </c>
      <c r="L3106" s="522">
        <v>115</v>
      </c>
      <c r="M3106" s="136">
        <f t="shared" si="79"/>
        <v>-53800.872296666304</v>
      </c>
    </row>
    <row r="3107" spans="1:13">
      <c r="A3107" s="54" t="str">
        <f>D3107&amp;E3107&amp;F3107</f>
        <v>SERVICIOSMTTO DE EDIFICIOMANTENIMIENTO</v>
      </c>
      <c r="B3107" t="s">
        <v>1807</v>
      </c>
      <c r="C3107" s="1">
        <v>45884</v>
      </c>
      <c r="D3107" s="71" t="s">
        <v>21</v>
      </c>
      <c r="E3107" s="71" t="s">
        <v>142</v>
      </c>
      <c r="F3107" s="70" t="s">
        <v>35</v>
      </c>
      <c r="J3107" s="76" t="s">
        <v>1935</v>
      </c>
      <c r="L3107" s="434">
        <v>199</v>
      </c>
      <c r="M3107" s="136">
        <f t="shared" si="79"/>
        <v>-53999.872296666304</v>
      </c>
    </row>
    <row r="3108" spans="1:13">
      <c r="A3108" s="54" t="str">
        <f t="shared" si="80"/>
        <v/>
      </c>
      <c r="B3108" t="s">
        <v>1807</v>
      </c>
      <c r="C3108" s="1">
        <v>45887</v>
      </c>
      <c r="D3108" s="71"/>
      <c r="F3108" s="70"/>
      <c r="J3108" s="71" t="s">
        <v>260</v>
      </c>
      <c r="K3108" s="325">
        <v>974503.95</v>
      </c>
      <c r="L3108" s="432"/>
      <c r="M3108" s="136">
        <f t="shared" si="79"/>
        <v>920504.07770333369</v>
      </c>
    </row>
    <row r="3109" spans="1:13">
      <c r="A3109" s="54" t="str">
        <f t="shared" si="80"/>
        <v/>
      </c>
      <c r="B3109" t="s">
        <v>1807</v>
      </c>
      <c r="C3109" s="1">
        <v>45887</v>
      </c>
      <c r="D3109" s="71"/>
      <c r="F3109" s="70"/>
      <c r="J3109" s="71" t="s">
        <v>1936</v>
      </c>
      <c r="K3109" s="325">
        <v>6776.23</v>
      </c>
      <c r="L3109" s="432"/>
      <c r="M3109" s="136">
        <f t="shared" si="79"/>
        <v>927280.30770333367</v>
      </c>
    </row>
    <row r="3110" spans="1:13">
      <c r="A3110" s="54" t="str">
        <f>D3110&amp;E3110&amp;F3110</f>
        <v>FINANZASCOMISIONES BANCARIASTPV</v>
      </c>
      <c r="B3110" t="s">
        <v>1807</v>
      </c>
      <c r="C3110" s="1">
        <v>45887</v>
      </c>
      <c r="D3110" s="71" t="s">
        <v>23</v>
      </c>
      <c r="E3110" s="71" t="s">
        <v>48</v>
      </c>
      <c r="F3110" s="70" t="s">
        <v>50</v>
      </c>
      <c r="J3110" s="71" t="s">
        <v>217</v>
      </c>
      <c r="L3110" s="433">
        <f>1634.02+1730.4+7470.27+5176.27+4155+13.42+1856+10.44+10.44+10.44+4640</f>
        <v>26706.699999999993</v>
      </c>
      <c r="M3110" s="136">
        <f t="shared" si="79"/>
        <v>900573.60770333372</v>
      </c>
    </row>
    <row r="3111" spans="1:13">
      <c r="A3111" s="54" t="str">
        <f t="shared" si="80"/>
        <v/>
      </c>
      <c r="B3111" t="s">
        <v>1807</v>
      </c>
      <c r="C3111" s="1">
        <v>45887</v>
      </c>
      <c r="D3111" s="71"/>
      <c r="F3111" s="70"/>
      <c r="J3111" s="205" t="s">
        <v>1562</v>
      </c>
      <c r="K3111" s="205"/>
      <c r="L3111" s="428">
        <v>200000</v>
      </c>
      <c r="M3111" s="136">
        <f t="shared" si="79"/>
        <v>700573.60770333372</v>
      </c>
    </row>
    <row r="3112" spans="1:13">
      <c r="A3112" s="54" t="str">
        <f t="shared" si="80"/>
        <v/>
      </c>
      <c r="B3112" t="s">
        <v>1807</v>
      </c>
      <c r="C3112" s="1">
        <v>45887</v>
      </c>
      <c r="D3112" s="71"/>
      <c r="F3112" s="70"/>
      <c r="J3112" s="205" t="s">
        <v>222</v>
      </c>
      <c r="K3112" s="205"/>
      <c r="L3112" s="428">
        <v>350000</v>
      </c>
      <c r="M3112" s="136">
        <f t="shared" si="79"/>
        <v>350573.60770333372</v>
      </c>
    </row>
    <row r="3113" spans="1:13">
      <c r="A3113" s="54" t="str">
        <f t="shared" si="80"/>
        <v/>
      </c>
      <c r="B3113" t="s">
        <v>1807</v>
      </c>
      <c r="C3113" s="1">
        <v>45887</v>
      </c>
      <c r="D3113" s="71"/>
      <c r="F3113" s="70"/>
      <c r="J3113" s="71" t="s">
        <v>1937</v>
      </c>
      <c r="L3113" s="433">
        <v>330000</v>
      </c>
      <c r="M3113" s="136">
        <f t="shared" si="79"/>
        <v>20573.607703333721</v>
      </c>
    </row>
    <row r="3114" spans="1:13">
      <c r="A3114" s="54" t="str">
        <f>D3114&amp;E3114&amp;F3114</f>
        <v>HRENERGIA ELECTRICAA5</v>
      </c>
      <c r="B3114" t="s">
        <v>1807</v>
      </c>
      <c r="C3114" s="1">
        <v>45887</v>
      </c>
      <c r="D3114" s="71" t="s">
        <v>29</v>
      </c>
      <c r="E3114" s="71" t="s">
        <v>87</v>
      </c>
      <c r="F3114" s="70" t="s">
        <v>92</v>
      </c>
      <c r="J3114" s="71" t="s">
        <v>902</v>
      </c>
      <c r="L3114" s="433">
        <v>5782</v>
      </c>
      <c r="M3114" s="136">
        <f t="shared" si="79"/>
        <v>14791.607703333721</v>
      </c>
    </row>
    <row r="3115" spans="1:13">
      <c r="A3115" s="54" t="str">
        <f>D3115&amp;E3115&amp;F3115</f>
        <v>HRENERGIA ELECTRICAA5</v>
      </c>
      <c r="B3115" t="s">
        <v>1807</v>
      </c>
      <c r="C3115" s="1">
        <v>45887</v>
      </c>
      <c r="D3115" s="71" t="s">
        <v>29</v>
      </c>
      <c r="E3115" s="71" t="s">
        <v>87</v>
      </c>
      <c r="F3115" s="70" t="s">
        <v>92</v>
      </c>
      <c r="J3115" s="71" t="s">
        <v>902</v>
      </c>
      <c r="L3115" s="433">
        <v>2499</v>
      </c>
      <c r="M3115" s="136">
        <f t="shared" si="79"/>
        <v>12292.607703333721</v>
      </c>
    </row>
    <row r="3116" spans="1:13">
      <c r="A3116" s="54" t="str">
        <f>D3116&amp;E3116&amp;F3116</f>
        <v>HRENERGIA ELECTRICAA5</v>
      </c>
      <c r="B3116" t="s">
        <v>1807</v>
      </c>
      <c r="C3116" s="1">
        <v>45887</v>
      </c>
      <c r="D3116" s="71" t="s">
        <v>29</v>
      </c>
      <c r="E3116" s="71" t="s">
        <v>87</v>
      </c>
      <c r="F3116" s="70" t="s">
        <v>92</v>
      </c>
      <c r="J3116" s="71" t="s">
        <v>902</v>
      </c>
      <c r="L3116" s="433">
        <v>9496</v>
      </c>
      <c r="M3116" s="136">
        <f t="shared" si="79"/>
        <v>2796.6077033337206</v>
      </c>
    </row>
    <row r="3117" spans="1:13">
      <c r="A3117" s="54" t="str">
        <f>D3117&amp;E3117&amp;F3117</f>
        <v>HRENERGIA ELECTRICAA8</v>
      </c>
      <c r="B3117" t="s">
        <v>1807</v>
      </c>
      <c r="C3117" s="1">
        <v>45887</v>
      </c>
      <c r="D3117" s="71" t="s">
        <v>29</v>
      </c>
      <c r="E3117" s="71" t="s">
        <v>87</v>
      </c>
      <c r="F3117" s="70" t="s">
        <v>94</v>
      </c>
      <c r="J3117" s="71" t="s">
        <v>903</v>
      </c>
      <c r="L3117" s="433">
        <v>9945</v>
      </c>
      <c r="M3117" s="136">
        <f t="shared" si="79"/>
        <v>-7148.3922966662794</v>
      </c>
    </row>
    <row r="3118" spans="1:13">
      <c r="A3118" s="54" t="str">
        <f>D3118&amp;E3118&amp;F3118</f>
        <v>CAPENERGIA ELECTRICAE7</v>
      </c>
      <c r="B3118" t="s">
        <v>1807</v>
      </c>
      <c r="C3118" s="1">
        <v>45887</v>
      </c>
      <c r="D3118" s="71" t="s">
        <v>31</v>
      </c>
      <c r="E3118" s="71" t="s">
        <v>87</v>
      </c>
      <c r="F3118" s="70" t="s">
        <v>113</v>
      </c>
      <c r="J3118" s="71" t="s">
        <v>380</v>
      </c>
      <c r="L3118" s="433">
        <v>14201</v>
      </c>
      <c r="M3118" s="136">
        <f t="shared" si="79"/>
        <v>-21349.392296666279</v>
      </c>
    </row>
    <row r="3119" spans="1:13">
      <c r="A3119" s="54" t="str">
        <f>D3119&amp;E3119&amp;F3119</f>
        <v>CAPENERGIA ELECTRICAE3</v>
      </c>
      <c r="B3119" t="s">
        <v>1807</v>
      </c>
      <c r="C3119" s="1">
        <v>45887</v>
      </c>
      <c r="D3119" s="71" t="s">
        <v>31</v>
      </c>
      <c r="E3119" s="71" t="s">
        <v>87</v>
      </c>
      <c r="F3119" s="70" t="s">
        <v>109</v>
      </c>
      <c r="J3119" s="71" t="s">
        <v>381</v>
      </c>
      <c r="L3119" s="433">
        <v>7558</v>
      </c>
      <c r="M3119" s="136">
        <f t="shared" si="79"/>
        <v>-28907.392296666279</v>
      </c>
    </row>
    <row r="3120" spans="1:13">
      <c r="A3120" s="54" t="str">
        <f>D3120&amp;E3120&amp;F3120</f>
        <v>CAPENERGIA ELECTRICAE4</v>
      </c>
      <c r="B3120" t="s">
        <v>1807</v>
      </c>
      <c r="C3120" s="1">
        <v>45887</v>
      </c>
      <c r="D3120" s="71" t="s">
        <v>31</v>
      </c>
      <c r="E3120" s="71" t="s">
        <v>87</v>
      </c>
      <c r="F3120" s="70" t="s">
        <v>110</v>
      </c>
      <c r="J3120" s="71" t="s">
        <v>382</v>
      </c>
      <c r="L3120" s="433">
        <v>8215</v>
      </c>
      <c r="M3120" s="136">
        <f t="shared" si="79"/>
        <v>-37122.392296666279</v>
      </c>
    </row>
    <row r="3121" spans="1:13">
      <c r="A3121" s="54" t="str">
        <f t="shared" si="80"/>
        <v/>
      </c>
      <c r="B3121" t="s">
        <v>1807</v>
      </c>
      <c r="C3121" s="1">
        <v>45887</v>
      </c>
      <c r="D3121" s="71"/>
      <c r="F3121" s="70"/>
      <c r="J3121" s="406" t="s">
        <v>1938</v>
      </c>
      <c r="L3121" s="433">
        <v>464</v>
      </c>
      <c r="M3121" s="136">
        <f t="shared" si="79"/>
        <v>-37586.392296666279</v>
      </c>
    </row>
    <row r="3122" spans="1:13">
      <c r="A3122" s="54" t="str">
        <f>D3122&amp;E3122&amp;F3122</f>
        <v>SERVICIOSADQ DE EQ TECNOLOGICOADQ DE EQ TECNOLOGICO</v>
      </c>
      <c r="B3122" t="s">
        <v>1807</v>
      </c>
      <c r="C3122" s="1">
        <v>45887</v>
      </c>
      <c r="D3122" s="71" t="s">
        <v>21</v>
      </c>
      <c r="E3122" s="71" t="s">
        <v>22</v>
      </c>
      <c r="F3122" s="70" t="s">
        <v>22</v>
      </c>
      <c r="J3122" s="406" t="s">
        <v>1939</v>
      </c>
      <c r="L3122" s="433">
        <v>13000.2</v>
      </c>
      <c r="M3122" s="136">
        <f t="shared" si="79"/>
        <v>-50586.592296666277</v>
      </c>
    </row>
    <row r="3123" spans="1:13">
      <c r="A3123" s="54" t="str">
        <f>D3123&amp;E3123&amp;F3123</f>
        <v>SERVICIOSMTTO EQ DE TRANSPORTECEDIS</v>
      </c>
      <c r="B3123" t="s">
        <v>1807</v>
      </c>
      <c r="C3123" s="1">
        <v>45887</v>
      </c>
      <c r="D3123" s="71" t="s">
        <v>21</v>
      </c>
      <c r="E3123" s="71" t="s">
        <v>144</v>
      </c>
      <c r="F3123" s="70" t="s">
        <v>28</v>
      </c>
      <c r="G3123" s="83" t="s">
        <v>258</v>
      </c>
      <c r="J3123" s="405" t="s">
        <v>1940</v>
      </c>
      <c r="L3123" s="208">
        <v>5000</v>
      </c>
      <c r="M3123" s="136">
        <f t="shared" si="79"/>
        <v>-55586.592296666277</v>
      </c>
    </row>
    <row r="3124" spans="1:13">
      <c r="A3124" s="54" t="str">
        <f>D3124&amp;E3124&amp;F3124</f>
        <v>SERVICIOSMTTO DE EDIFICIOMANTENIMIENTO</v>
      </c>
      <c r="B3124" t="s">
        <v>1807</v>
      </c>
      <c r="C3124" s="1">
        <v>45887</v>
      </c>
      <c r="D3124" s="71" t="s">
        <v>21</v>
      </c>
      <c r="E3124" s="71" t="s">
        <v>142</v>
      </c>
      <c r="F3124" s="70" t="s">
        <v>35</v>
      </c>
      <c r="G3124" s="83" t="s">
        <v>258</v>
      </c>
      <c r="J3124" s="405" t="s">
        <v>1941</v>
      </c>
      <c r="L3124" s="433">
        <v>7150</v>
      </c>
      <c r="M3124" s="136">
        <f t="shared" si="79"/>
        <v>-62736.592296666277</v>
      </c>
    </row>
    <row r="3125" spans="1:13">
      <c r="A3125" s="54" t="str">
        <f>D3125&amp;E3125&amp;F3125</f>
        <v>FINANZASFONDO Y REPOSICIONFINANZAS</v>
      </c>
      <c r="B3125" t="s">
        <v>1807</v>
      </c>
      <c r="C3125" s="1">
        <v>45887</v>
      </c>
      <c r="D3125" s="71" t="s">
        <v>23</v>
      </c>
      <c r="E3125" s="71" t="s">
        <v>120</v>
      </c>
      <c r="F3125" s="70" t="s">
        <v>23</v>
      </c>
      <c r="G3125" s="83"/>
      <c r="J3125" s="405" t="s">
        <v>1869</v>
      </c>
      <c r="L3125" s="433">
        <v>300</v>
      </c>
      <c r="M3125" s="136">
        <f t="shared" si="79"/>
        <v>-63036.592296666277</v>
      </c>
    </row>
    <row r="3126" spans="1:13">
      <c r="A3126" s="54" t="str">
        <f>D3126&amp;E3126&amp;F3126</f>
        <v>FINANZASCOMBUSTIBLETESORERIA</v>
      </c>
      <c r="B3126" t="s">
        <v>1807</v>
      </c>
      <c r="C3126" s="1">
        <v>45887</v>
      </c>
      <c r="D3126" s="71" t="s">
        <v>23</v>
      </c>
      <c r="E3126" s="71" t="s">
        <v>32</v>
      </c>
      <c r="F3126" s="70" t="s">
        <v>38</v>
      </c>
      <c r="G3126" s="83" t="s">
        <v>258</v>
      </c>
      <c r="J3126" s="71" t="s">
        <v>1942</v>
      </c>
      <c r="L3126" s="433">
        <v>500</v>
      </c>
      <c r="M3126" s="136">
        <f t="shared" si="79"/>
        <v>-63536.592296666277</v>
      </c>
    </row>
    <row r="3127" spans="1:13">
      <c r="A3127" s="54" t="str">
        <f>D3127&amp;E3127&amp;F3127</f>
        <v>FINANZASVIATICOSFINANZAS</v>
      </c>
      <c r="B3127" t="s">
        <v>1807</v>
      </c>
      <c r="C3127" s="1">
        <v>45887</v>
      </c>
      <c r="D3127" s="71" t="s">
        <v>23</v>
      </c>
      <c r="E3127" s="71" t="s">
        <v>191</v>
      </c>
      <c r="F3127" s="70" t="s">
        <v>23</v>
      </c>
      <c r="G3127" s="83" t="s">
        <v>258</v>
      </c>
      <c r="J3127" s="71" t="s">
        <v>1943</v>
      </c>
      <c r="L3127" s="433">
        <v>1000</v>
      </c>
      <c r="M3127" s="136">
        <f t="shared" si="79"/>
        <v>-64536.592296666277</v>
      </c>
    </row>
    <row r="3128" spans="1:13">
      <c r="A3128" s="54" t="str">
        <f>D3128&amp;E3128&amp;F3128</f>
        <v>SERVICIOSVIATICOSCEDIS</v>
      </c>
      <c r="B3128" t="s">
        <v>1807</v>
      </c>
      <c r="C3128" s="1">
        <v>45887</v>
      </c>
      <c r="D3128" s="71" t="s">
        <v>21</v>
      </c>
      <c r="E3128" s="71" t="s">
        <v>191</v>
      </c>
      <c r="F3128" s="70" t="s">
        <v>28</v>
      </c>
      <c r="J3128" s="71" t="s">
        <v>1004</v>
      </c>
      <c r="L3128" s="433">
        <v>2050</v>
      </c>
      <c r="M3128" s="136">
        <f t="shared" si="79"/>
        <v>-66586.592296666277</v>
      </c>
    </row>
    <row r="3129" spans="1:13">
      <c r="A3129" s="54" t="str">
        <f>D3129&amp;E3129&amp;F3129</f>
        <v>SERVICIOSGASCEDIS</v>
      </c>
      <c r="B3129" t="s">
        <v>1807</v>
      </c>
      <c r="C3129" s="1">
        <v>45887</v>
      </c>
      <c r="D3129" s="71" t="s">
        <v>21</v>
      </c>
      <c r="E3129" s="71" t="s">
        <v>122</v>
      </c>
      <c r="F3129" s="70" t="s">
        <v>28</v>
      </c>
      <c r="J3129" s="71" t="s">
        <v>1666</v>
      </c>
      <c r="L3129" s="433">
        <v>300</v>
      </c>
      <c r="M3129" s="136">
        <f t="shared" si="79"/>
        <v>-66886.592296666277</v>
      </c>
    </row>
    <row r="3130" spans="1:13">
      <c r="A3130" s="54" t="str">
        <f>D3130&amp;E3130&amp;F3130</f>
        <v>FINANZASFONDO Y REPOSICIONFINANZAS</v>
      </c>
      <c r="B3130" t="s">
        <v>1807</v>
      </c>
      <c r="C3130" s="1">
        <v>45887</v>
      </c>
      <c r="D3130" s="71" t="s">
        <v>23</v>
      </c>
      <c r="E3130" s="71" t="s">
        <v>120</v>
      </c>
      <c r="F3130" s="70" t="s">
        <v>23</v>
      </c>
      <c r="J3130" s="71" t="s">
        <v>1280</v>
      </c>
      <c r="L3130" s="433">
        <v>50</v>
      </c>
      <c r="M3130" s="136">
        <f t="shared" si="79"/>
        <v>-66936.592296666277</v>
      </c>
    </row>
    <row r="3131" spans="1:13">
      <c r="A3131" s="54" t="str">
        <f>D3131&amp;E3131&amp;F3131</f>
        <v>HRUBERHR</v>
      </c>
      <c r="B3131" t="s">
        <v>1807</v>
      </c>
      <c r="C3131" s="1">
        <v>45887</v>
      </c>
      <c r="D3131" s="71" t="s">
        <v>29</v>
      </c>
      <c r="E3131" s="71" t="s">
        <v>189</v>
      </c>
      <c r="F3131" s="70" t="s">
        <v>29</v>
      </c>
      <c r="J3131" s="76" t="s">
        <v>291</v>
      </c>
      <c r="L3131" s="522">
        <v>50</v>
      </c>
      <c r="M3131" s="136">
        <f t="shared" si="79"/>
        <v>-66986.592296666277</v>
      </c>
    </row>
    <row r="3132" spans="1:13">
      <c r="A3132" s="54" t="str">
        <f>D3132&amp;E3132&amp;F3132</f>
        <v>HRUBERHR</v>
      </c>
      <c r="B3132" t="s">
        <v>1807</v>
      </c>
      <c r="C3132" s="1">
        <v>45887</v>
      </c>
      <c r="D3132" s="71" t="s">
        <v>29</v>
      </c>
      <c r="E3132" s="71" t="s">
        <v>189</v>
      </c>
      <c r="F3132" s="70" t="s">
        <v>29</v>
      </c>
      <c r="J3132" s="76" t="s">
        <v>456</v>
      </c>
      <c r="L3132" s="522">
        <v>220</v>
      </c>
      <c r="M3132" s="136">
        <f t="shared" si="79"/>
        <v>-67206.592296666277</v>
      </c>
    </row>
    <row r="3133" spans="1:13">
      <c r="A3133" s="54" t="str">
        <f>D3133&amp;E3133&amp;F3133</f>
        <v>CAPNOMINA SUCURSALE1</v>
      </c>
      <c r="B3133" t="s">
        <v>1807</v>
      </c>
      <c r="C3133" s="1">
        <v>45887</v>
      </c>
      <c r="D3133" s="71" t="s">
        <v>31</v>
      </c>
      <c r="E3133" s="71" t="s">
        <v>154</v>
      </c>
      <c r="F3133" s="70" t="s">
        <v>107</v>
      </c>
      <c r="J3133" s="76" t="s">
        <v>1944</v>
      </c>
      <c r="L3133" s="434">
        <v>1152</v>
      </c>
      <c r="M3133" s="136">
        <f t="shared" ref="M3133:M3196" si="81">M3132+K3133-L3133</f>
        <v>-68358.592296666277</v>
      </c>
    </row>
    <row r="3134" spans="1:13">
      <c r="A3134" s="54" t="str">
        <f>D3134&amp;E3134&amp;F3134</f>
        <v>CAPUBERCAP</v>
      </c>
      <c r="B3134" t="s">
        <v>1807</v>
      </c>
      <c r="C3134" s="1">
        <v>45887</v>
      </c>
      <c r="D3134" s="71" t="s">
        <v>31</v>
      </c>
      <c r="E3134" s="71" t="s">
        <v>189</v>
      </c>
      <c r="F3134" s="70" t="s">
        <v>31</v>
      </c>
      <c r="J3134" s="76" t="s">
        <v>253</v>
      </c>
      <c r="L3134" s="522">
        <v>894</v>
      </c>
      <c r="M3134" s="136">
        <f t="shared" si="81"/>
        <v>-69252.592296666277</v>
      </c>
    </row>
    <row r="3135" spans="1:13">
      <c r="A3135" s="54" t="str">
        <f>D3135&amp;E3135&amp;F3135</f>
        <v>CAPINSUMOSCAPRICHOS</v>
      </c>
      <c r="B3135" t="s">
        <v>1807</v>
      </c>
      <c r="C3135" s="1">
        <v>45887</v>
      </c>
      <c r="D3135" s="71" t="s">
        <v>31</v>
      </c>
      <c r="E3135" s="71" t="s">
        <v>133</v>
      </c>
      <c r="F3135" s="70" t="s">
        <v>33</v>
      </c>
      <c r="J3135" s="76" t="s">
        <v>457</v>
      </c>
      <c r="L3135" s="434">
        <v>144</v>
      </c>
      <c r="M3135" s="136">
        <f t="shared" si="81"/>
        <v>-69396.592296666277</v>
      </c>
    </row>
    <row r="3136" spans="1:13">
      <c r="A3136" s="54" t="str">
        <f>D3136&amp;E3136&amp;F3136</f>
        <v>CAPUBERCAP</v>
      </c>
      <c r="B3136" t="s">
        <v>1807</v>
      </c>
      <c r="C3136" s="1">
        <v>45887</v>
      </c>
      <c r="D3136" s="71" t="s">
        <v>31</v>
      </c>
      <c r="E3136" s="71" t="s">
        <v>189</v>
      </c>
      <c r="F3136" s="70" t="s">
        <v>31</v>
      </c>
      <c r="J3136" s="76" t="s">
        <v>1945</v>
      </c>
      <c r="L3136" s="522">
        <v>431</v>
      </c>
      <c r="M3136" s="136">
        <f t="shared" si="81"/>
        <v>-69827.592296666277</v>
      </c>
    </row>
    <row r="3137" spans="1:13">
      <c r="A3137" s="54" t="str">
        <f>D3137&amp;E3137&amp;F3137</f>
        <v>CAPNOMINA SUCURSALE5</v>
      </c>
      <c r="B3137" t="s">
        <v>1807</v>
      </c>
      <c r="C3137" s="1">
        <v>45887</v>
      </c>
      <c r="D3137" s="71" t="s">
        <v>31</v>
      </c>
      <c r="E3137" s="71" t="s">
        <v>154</v>
      </c>
      <c r="F3137" s="70" t="s">
        <v>111</v>
      </c>
      <c r="J3137" s="76" t="s">
        <v>314</v>
      </c>
      <c r="L3137" s="434">
        <v>489</v>
      </c>
      <c r="M3137" s="136">
        <f t="shared" si="81"/>
        <v>-70316.592296666277</v>
      </c>
    </row>
    <row r="3138" spans="1:13">
      <c r="A3138" s="54" t="str">
        <f>D3138&amp;E3138&amp;F3138</f>
        <v>CAPINSUMOSCAPRICHOS</v>
      </c>
      <c r="B3138" t="s">
        <v>1807</v>
      </c>
      <c r="C3138" s="1">
        <v>45887</v>
      </c>
      <c r="D3138" s="71" t="s">
        <v>31</v>
      </c>
      <c r="E3138" s="71" t="s">
        <v>133</v>
      </c>
      <c r="F3138" s="70" t="s">
        <v>33</v>
      </c>
      <c r="J3138" s="76" t="s">
        <v>362</v>
      </c>
      <c r="L3138" s="434">
        <v>100</v>
      </c>
      <c r="M3138" s="136">
        <f t="shared" si="81"/>
        <v>-70416.592296666277</v>
      </c>
    </row>
    <row r="3139" spans="1:13">
      <c r="A3139" s="54" t="str">
        <f t="shared" si="80"/>
        <v>CAP</v>
      </c>
      <c r="B3139" t="s">
        <v>1807</v>
      </c>
      <c r="C3139" s="1">
        <v>45887</v>
      </c>
      <c r="D3139" s="411" t="s">
        <v>31</v>
      </c>
      <c r="E3139" s="411"/>
      <c r="F3139" s="412"/>
      <c r="G3139" s="411"/>
      <c r="H3139" s="413"/>
      <c r="I3139" s="413"/>
      <c r="J3139" s="414" t="s">
        <v>1946</v>
      </c>
      <c r="L3139" s="434">
        <v>100</v>
      </c>
      <c r="M3139" s="136">
        <f t="shared" si="81"/>
        <v>-70516.592296666277</v>
      </c>
    </row>
    <row r="3140" spans="1:13">
      <c r="A3140" s="54" t="str">
        <f>D3140&amp;E3140&amp;F3140</f>
        <v>CAPINSUMOSCAPRICHOS</v>
      </c>
      <c r="B3140" t="s">
        <v>1807</v>
      </c>
      <c r="C3140" s="1">
        <v>45887</v>
      </c>
      <c r="D3140" s="71" t="s">
        <v>31</v>
      </c>
      <c r="E3140" s="71" t="s">
        <v>133</v>
      </c>
      <c r="F3140" s="70" t="s">
        <v>33</v>
      </c>
      <c r="J3140" s="76" t="s">
        <v>929</v>
      </c>
      <c r="L3140" s="434">
        <v>427</v>
      </c>
      <c r="M3140" s="136">
        <f t="shared" si="81"/>
        <v>-70943.592296666277</v>
      </c>
    </row>
    <row r="3141" spans="1:13">
      <c r="A3141" s="54" t="str">
        <f t="shared" si="80"/>
        <v/>
      </c>
      <c r="B3141" t="s">
        <v>1807</v>
      </c>
      <c r="C3141" s="1">
        <v>45888</v>
      </c>
      <c r="D3141" s="71"/>
      <c r="F3141" s="70"/>
      <c r="J3141" s="71" t="s">
        <v>260</v>
      </c>
      <c r="K3141" s="325">
        <v>210388.07</v>
      </c>
      <c r="L3141" s="432"/>
      <c r="M3141" s="136">
        <f t="shared" si="81"/>
        <v>139444.47770333372</v>
      </c>
    </row>
    <row r="3142" spans="1:13">
      <c r="A3142" s="54" t="str">
        <f>D3142&amp;E3142&amp;F3142</f>
        <v>FINANZASCOMISIONES BANCARIASTPV</v>
      </c>
      <c r="B3142" t="s">
        <v>1807</v>
      </c>
      <c r="C3142" s="1">
        <v>45888</v>
      </c>
      <c r="D3142" s="71" t="s">
        <v>23</v>
      </c>
      <c r="E3142" s="71" t="s">
        <v>48</v>
      </c>
      <c r="F3142" s="70" t="s">
        <v>50</v>
      </c>
      <c r="J3142" s="71" t="s">
        <v>217</v>
      </c>
      <c r="L3142" s="433">
        <f>252.12+353.11+1686.7+959.5+272.53+3.48+3.48+13.92</f>
        <v>3544.84</v>
      </c>
      <c r="M3142" s="136">
        <f t="shared" si="81"/>
        <v>135899.63770333372</v>
      </c>
    </row>
    <row r="3143" spans="1:13">
      <c r="A3143" s="54" t="str">
        <f t="shared" si="80"/>
        <v/>
      </c>
      <c r="B3143" t="s">
        <v>1807</v>
      </c>
      <c r="C3143" s="1">
        <v>45888</v>
      </c>
      <c r="D3143" s="71"/>
      <c r="F3143" s="70"/>
      <c r="J3143" s="205" t="s">
        <v>1562</v>
      </c>
      <c r="K3143" s="205"/>
      <c r="L3143" s="428">
        <v>150000</v>
      </c>
      <c r="M3143" s="136">
        <f t="shared" si="81"/>
        <v>-14100.362296666281</v>
      </c>
    </row>
    <row r="3144" spans="1:13">
      <c r="A3144" s="54" t="str">
        <f t="shared" si="80"/>
        <v/>
      </c>
      <c r="B3144" t="s">
        <v>1807</v>
      </c>
      <c r="C3144" s="1">
        <v>45888</v>
      </c>
      <c r="D3144" s="71"/>
      <c r="F3144" s="70"/>
      <c r="J3144" s="205" t="s">
        <v>222</v>
      </c>
      <c r="K3144" s="205"/>
      <c r="L3144" s="428"/>
      <c r="M3144" s="136">
        <f t="shared" si="81"/>
        <v>-14100.362296666281</v>
      </c>
    </row>
    <row r="3145" spans="1:13">
      <c r="A3145" s="54" t="str">
        <f>D3145&amp;E3145&amp;F3145</f>
        <v>SERVICIOSMTTO DE EDIFICIOMANTENIMIENTO</v>
      </c>
      <c r="B3145" t="s">
        <v>1807</v>
      </c>
      <c r="C3145" s="1">
        <v>45888</v>
      </c>
      <c r="D3145" s="71" t="s">
        <v>21</v>
      </c>
      <c r="E3145" s="71" t="s">
        <v>142</v>
      </c>
      <c r="F3145" s="70" t="s">
        <v>35</v>
      </c>
      <c r="G3145" s="83" t="s">
        <v>258</v>
      </c>
      <c r="J3145" s="71" t="s">
        <v>1947</v>
      </c>
      <c r="L3145" s="433">
        <v>6000</v>
      </c>
      <c r="M3145" s="136">
        <f t="shared" si="81"/>
        <v>-20100.362296666281</v>
      </c>
    </row>
    <row r="3146" spans="1:13">
      <c r="A3146" s="54" t="str">
        <f>D3146&amp;E3146&amp;F3146</f>
        <v>FINANZASMTTO EQ DE TRANSPORTETESORERIA</v>
      </c>
      <c r="B3146" t="s">
        <v>1807</v>
      </c>
      <c r="C3146" s="1">
        <v>45888</v>
      </c>
      <c r="D3146" s="71" t="s">
        <v>23</v>
      </c>
      <c r="E3146" s="71" t="s">
        <v>144</v>
      </c>
      <c r="F3146" s="70" t="s">
        <v>38</v>
      </c>
      <c r="J3146" s="71" t="s">
        <v>1948</v>
      </c>
      <c r="L3146" s="433">
        <v>1200</v>
      </c>
      <c r="M3146" s="136">
        <f t="shared" si="81"/>
        <v>-21300.362296666281</v>
      </c>
    </row>
    <row r="3147" spans="1:13">
      <c r="A3147" s="54" t="str">
        <f>D3147&amp;E3147&amp;F3147</f>
        <v>CAPFONDO Y REPOSICIONCAPRICHOS</v>
      </c>
      <c r="B3147" t="s">
        <v>1807</v>
      </c>
      <c r="C3147" s="1">
        <v>45888</v>
      </c>
      <c r="D3147" s="71" t="s">
        <v>31</v>
      </c>
      <c r="E3147" s="71" t="s">
        <v>120</v>
      </c>
      <c r="F3147" s="70" t="s">
        <v>33</v>
      </c>
      <c r="J3147" s="71" t="s">
        <v>583</v>
      </c>
      <c r="L3147" s="433">
        <v>756</v>
      </c>
      <c r="M3147" s="136">
        <f t="shared" si="81"/>
        <v>-22056.362296666281</v>
      </c>
    </row>
    <row r="3148" spans="1:13">
      <c r="A3148" s="54" t="str">
        <f>D3148&amp;E3148&amp;F3148</f>
        <v>CAPFONDO Y REPOSICIONCAPRICHOS</v>
      </c>
      <c r="B3148" t="s">
        <v>1807</v>
      </c>
      <c r="C3148" s="1">
        <v>45888</v>
      </c>
      <c r="D3148" s="71" t="s">
        <v>31</v>
      </c>
      <c r="E3148" s="71" t="s">
        <v>120</v>
      </c>
      <c r="F3148" s="70" t="s">
        <v>33</v>
      </c>
      <c r="J3148" s="71" t="s">
        <v>584</v>
      </c>
      <c r="L3148" s="433">
        <v>1680</v>
      </c>
      <c r="M3148" s="136">
        <f t="shared" si="81"/>
        <v>-23736.362296666281</v>
      </c>
    </row>
    <row r="3149" spans="1:13">
      <c r="A3149" s="54" t="str">
        <f>D3149&amp;E3149&amp;F3149</f>
        <v>HRFONDO Y REPOSICIONHR</v>
      </c>
      <c r="B3149" t="s">
        <v>1807</v>
      </c>
      <c r="C3149" s="1">
        <v>45888</v>
      </c>
      <c r="D3149" s="71" t="s">
        <v>29</v>
      </c>
      <c r="E3149" s="71" t="s">
        <v>120</v>
      </c>
      <c r="F3149" s="70" t="s">
        <v>29</v>
      </c>
      <c r="J3149" s="71" t="s">
        <v>539</v>
      </c>
      <c r="L3149" s="433">
        <v>3538</v>
      </c>
      <c r="M3149" s="136">
        <f t="shared" si="81"/>
        <v>-27274.362296666281</v>
      </c>
    </row>
    <row r="3150" spans="1:13">
      <c r="A3150" s="54" t="str">
        <f>D3150&amp;E3150&amp;F3150</f>
        <v>HRFONDO Y REPOSICIONHR</v>
      </c>
      <c r="B3150" t="s">
        <v>1807</v>
      </c>
      <c r="C3150" s="1">
        <v>45888</v>
      </c>
      <c r="D3150" s="71" t="s">
        <v>29</v>
      </c>
      <c r="E3150" s="71" t="s">
        <v>120</v>
      </c>
      <c r="F3150" s="70" t="s">
        <v>29</v>
      </c>
      <c r="J3150" s="71" t="s">
        <v>553</v>
      </c>
      <c r="L3150" s="433">
        <v>1977</v>
      </c>
      <c r="M3150" s="136">
        <f t="shared" si="81"/>
        <v>-29251.362296666281</v>
      </c>
    </row>
    <row r="3151" spans="1:13">
      <c r="A3151" s="54" t="str">
        <f>D3151&amp;E3151&amp;F3151</f>
        <v>HRFONDO Y REPOSICIONHR</v>
      </c>
      <c r="B3151" t="s">
        <v>1807</v>
      </c>
      <c r="C3151" s="1">
        <v>45888</v>
      </c>
      <c r="D3151" s="71" t="s">
        <v>29</v>
      </c>
      <c r="E3151" s="71" t="s">
        <v>120</v>
      </c>
      <c r="F3151" s="70" t="s">
        <v>29</v>
      </c>
      <c r="J3151" s="71" t="s">
        <v>357</v>
      </c>
      <c r="L3151" s="433">
        <v>1859</v>
      </c>
      <c r="M3151" s="136">
        <f t="shared" si="81"/>
        <v>-31110.362296666281</v>
      </c>
    </row>
    <row r="3152" spans="1:13">
      <c r="A3152" s="54" t="str">
        <f>D3152&amp;E3152&amp;F3152</f>
        <v>SERVICIOSMTTO DE EDIFICIOMANTENIMIENTO</v>
      </c>
      <c r="B3152" t="s">
        <v>1807</v>
      </c>
      <c r="C3152" s="1">
        <v>45888</v>
      </c>
      <c r="D3152" s="71" t="s">
        <v>21</v>
      </c>
      <c r="E3152" s="71" t="s">
        <v>142</v>
      </c>
      <c r="F3152" s="70" t="s">
        <v>35</v>
      </c>
      <c r="J3152" s="71" t="s">
        <v>1949</v>
      </c>
      <c r="L3152" s="433">
        <v>1400</v>
      </c>
      <c r="M3152" s="136">
        <f t="shared" si="81"/>
        <v>-32510.362296666281</v>
      </c>
    </row>
    <row r="3153" spans="1:13">
      <c r="A3153" s="54" t="str">
        <f>D3153&amp;E3153&amp;F3153</f>
        <v>SERVICIOSMTTO DE EDIFICIOMANTENIMIENTO</v>
      </c>
      <c r="B3153" t="s">
        <v>1807</v>
      </c>
      <c r="C3153" s="1">
        <v>45888</v>
      </c>
      <c r="D3153" s="71" t="s">
        <v>21</v>
      </c>
      <c r="E3153" s="71" t="s">
        <v>142</v>
      </c>
      <c r="F3153" s="70" t="s">
        <v>35</v>
      </c>
      <c r="J3153" s="71" t="s">
        <v>1085</v>
      </c>
      <c r="L3153" s="433">
        <v>600</v>
      </c>
      <c r="M3153" s="136">
        <f t="shared" si="81"/>
        <v>-33110.362296666281</v>
      </c>
    </row>
    <row r="3154" spans="1:13">
      <c r="A3154" s="54" t="str">
        <f>D3154&amp;E3154&amp;F3154</f>
        <v>SERVICIOSVIATICOSCEDIS</v>
      </c>
      <c r="B3154" t="s">
        <v>1807</v>
      </c>
      <c r="C3154" s="1">
        <v>45888</v>
      </c>
      <c r="D3154" s="71" t="s">
        <v>21</v>
      </c>
      <c r="E3154" s="71" t="s">
        <v>191</v>
      </c>
      <c r="F3154" s="70" t="s">
        <v>28</v>
      </c>
      <c r="J3154" s="71" t="s">
        <v>1950</v>
      </c>
      <c r="L3154" s="433">
        <v>1500</v>
      </c>
      <c r="M3154" s="136">
        <f t="shared" si="81"/>
        <v>-34610.362296666281</v>
      </c>
    </row>
    <row r="3155" spans="1:13">
      <c r="A3155" s="54" t="str">
        <f>D3155&amp;E3155&amp;F3155</f>
        <v>MKTVIATICOSMKT</v>
      </c>
      <c r="B3155" t="s">
        <v>1807</v>
      </c>
      <c r="C3155" s="1">
        <v>45888</v>
      </c>
      <c r="D3155" s="71" t="s">
        <v>19</v>
      </c>
      <c r="E3155" s="71" t="s">
        <v>191</v>
      </c>
      <c r="F3155" s="70" t="s">
        <v>19</v>
      </c>
      <c r="G3155" s="83" t="s">
        <v>258</v>
      </c>
      <c r="J3155" s="71" t="s">
        <v>1951</v>
      </c>
      <c r="L3155" s="433">
        <v>450</v>
      </c>
      <c r="M3155" s="136">
        <f t="shared" si="81"/>
        <v>-35060.362296666281</v>
      </c>
    </row>
    <row r="3156" spans="1:13">
      <c r="A3156" s="54" t="str">
        <f>D3156&amp;E3156&amp;F3156</f>
        <v>SERVICIOSVIATICOSSISTEMAS</v>
      </c>
      <c r="B3156" t="s">
        <v>1807</v>
      </c>
      <c r="C3156" s="1">
        <v>45888</v>
      </c>
      <c r="D3156" s="71" t="s">
        <v>21</v>
      </c>
      <c r="E3156" s="71" t="s">
        <v>191</v>
      </c>
      <c r="F3156" s="70" t="s">
        <v>36</v>
      </c>
      <c r="G3156" s="83" t="s">
        <v>258</v>
      </c>
      <c r="J3156" s="71" t="s">
        <v>470</v>
      </c>
      <c r="L3156" s="433">
        <v>2400</v>
      </c>
      <c r="M3156" s="136">
        <f t="shared" si="81"/>
        <v>-37460.362296666281</v>
      </c>
    </row>
    <row r="3157" spans="1:13">
      <c r="A3157" s="54" t="str">
        <f>D3157&amp;E3157&amp;F3157</f>
        <v>HRUBERHR</v>
      </c>
      <c r="B3157" t="s">
        <v>1807</v>
      </c>
      <c r="C3157" s="1">
        <v>45888</v>
      </c>
      <c r="D3157" s="71" t="s">
        <v>29</v>
      </c>
      <c r="E3157" s="71" t="s">
        <v>189</v>
      </c>
      <c r="F3157" s="70" t="s">
        <v>29</v>
      </c>
      <c r="G3157" s="83"/>
      <c r="J3157" s="76" t="s">
        <v>249</v>
      </c>
      <c r="L3157" s="522">
        <v>92</v>
      </c>
      <c r="M3157" s="136">
        <f t="shared" si="81"/>
        <v>-37552.362296666281</v>
      </c>
    </row>
    <row r="3158" spans="1:13">
      <c r="A3158" s="54" t="str">
        <f>D3158&amp;E3158&amp;F3158</f>
        <v>HRUBERHR</v>
      </c>
      <c r="B3158" t="s">
        <v>1807</v>
      </c>
      <c r="C3158" s="1">
        <v>45888</v>
      </c>
      <c r="D3158" s="71" t="s">
        <v>29</v>
      </c>
      <c r="E3158" s="71" t="s">
        <v>189</v>
      </c>
      <c r="F3158" s="70" t="s">
        <v>29</v>
      </c>
      <c r="G3158" s="83"/>
      <c r="J3158" s="76" t="s">
        <v>456</v>
      </c>
      <c r="L3158" s="522">
        <v>152</v>
      </c>
      <c r="M3158" s="136">
        <f t="shared" si="81"/>
        <v>-37704.362296666281</v>
      </c>
    </row>
    <row r="3159" spans="1:13">
      <c r="A3159" s="54" t="str">
        <f>D3159&amp;E3159&amp;F3159</f>
        <v>CAPUBERCAP</v>
      </c>
      <c r="B3159" t="s">
        <v>1807</v>
      </c>
      <c r="C3159" s="1">
        <v>45888</v>
      </c>
      <c r="D3159" s="71" t="s">
        <v>31</v>
      </c>
      <c r="E3159" s="71" t="s">
        <v>189</v>
      </c>
      <c r="F3159" s="70" t="s">
        <v>31</v>
      </c>
      <c r="G3159" s="83"/>
      <c r="J3159" s="76" t="s">
        <v>253</v>
      </c>
      <c r="L3159" s="522">
        <v>215</v>
      </c>
      <c r="M3159" s="136">
        <f t="shared" si="81"/>
        <v>-37919.362296666281</v>
      </c>
    </row>
    <row r="3160" spans="1:13">
      <c r="A3160" s="54" t="str">
        <f>D3160&amp;E3160&amp;F3160</f>
        <v>CAPUBERCAP</v>
      </c>
      <c r="B3160" t="s">
        <v>1807</v>
      </c>
      <c r="C3160" s="1">
        <v>45888</v>
      </c>
      <c r="D3160" s="71" t="s">
        <v>31</v>
      </c>
      <c r="E3160" s="71" t="s">
        <v>189</v>
      </c>
      <c r="F3160" s="70" t="s">
        <v>31</v>
      </c>
      <c r="G3160" s="83"/>
      <c r="J3160" s="76" t="s">
        <v>257</v>
      </c>
      <c r="L3160" s="522">
        <v>242</v>
      </c>
      <c r="M3160" s="136">
        <f t="shared" si="81"/>
        <v>-38161.362296666281</v>
      </c>
    </row>
    <row r="3161" spans="1:13">
      <c r="A3161" s="54" t="str">
        <f>D3161&amp;E3161&amp;F3161</f>
        <v>CAPJMASE6</v>
      </c>
      <c r="B3161" t="s">
        <v>1807</v>
      </c>
      <c r="C3161" s="1">
        <v>45888</v>
      </c>
      <c r="D3161" s="71" t="s">
        <v>31</v>
      </c>
      <c r="E3161" s="71" t="s">
        <v>137</v>
      </c>
      <c r="F3161" s="70" t="s">
        <v>112</v>
      </c>
      <c r="G3161" s="83"/>
      <c r="J3161" s="76" t="s">
        <v>315</v>
      </c>
      <c r="L3161" s="434">
        <v>257</v>
      </c>
      <c r="M3161" s="136">
        <f t="shared" si="81"/>
        <v>-38418.362296666281</v>
      </c>
    </row>
    <row r="3162" spans="1:13">
      <c r="A3162" s="54" t="str">
        <f>D3162&amp;E3162&amp;F3162</f>
        <v>ELIVIATICOSL1</v>
      </c>
      <c r="B3162" t="s">
        <v>1807</v>
      </c>
      <c r="C3162" s="1">
        <v>45888</v>
      </c>
      <c r="D3162" s="71" t="s">
        <v>130</v>
      </c>
      <c r="E3162" s="71" t="s">
        <v>191</v>
      </c>
      <c r="F3162" s="70" t="s">
        <v>136</v>
      </c>
      <c r="G3162" s="83"/>
      <c r="J3162" s="76" t="s">
        <v>1952</v>
      </c>
      <c r="L3162" s="434">
        <v>300</v>
      </c>
      <c r="M3162" s="136">
        <f t="shared" si="81"/>
        <v>-38718.362296666281</v>
      </c>
    </row>
    <row r="3163" spans="1:13">
      <c r="A3163" s="54" t="str">
        <f t="shared" ref="A3153:A3216" si="82">D3163&amp;E3163&amp;F3163</f>
        <v/>
      </c>
      <c r="B3163" t="s">
        <v>1807</v>
      </c>
      <c r="C3163" s="1">
        <v>45889</v>
      </c>
      <c r="D3163" s="71"/>
      <c r="F3163" s="70"/>
      <c r="J3163" s="71" t="s">
        <v>260</v>
      </c>
      <c r="K3163" s="325">
        <v>194045.86</v>
      </c>
      <c r="L3163" s="432"/>
      <c r="M3163" s="136">
        <f t="shared" si="81"/>
        <v>155327.49770333371</v>
      </c>
    </row>
    <row r="3164" spans="1:13">
      <c r="A3164" s="54" t="str">
        <f>D3164&amp;E3164&amp;F3164</f>
        <v>FINANZASCOMISIONES BANCARIASTPV</v>
      </c>
      <c r="B3164" t="s">
        <v>1807</v>
      </c>
      <c r="C3164" s="1">
        <v>45889</v>
      </c>
      <c r="D3164" s="71" t="s">
        <v>23</v>
      </c>
      <c r="E3164" s="71" t="s">
        <v>48</v>
      </c>
      <c r="F3164" s="70" t="s">
        <v>50</v>
      </c>
      <c r="J3164" s="71" t="s">
        <v>217</v>
      </c>
      <c r="L3164" s="433">
        <f>328.29+1527.38+1564.85+941.01+799.38+6.96+20.88</f>
        <v>5188.75</v>
      </c>
      <c r="M3164" s="136">
        <f t="shared" si="81"/>
        <v>150138.74770333371</v>
      </c>
    </row>
    <row r="3165" spans="1:13">
      <c r="A3165" s="54" t="str">
        <f t="shared" si="82"/>
        <v/>
      </c>
      <c r="B3165" t="s">
        <v>1807</v>
      </c>
      <c r="C3165" s="1">
        <v>45889</v>
      </c>
      <c r="D3165" s="71"/>
      <c r="F3165" s="70"/>
      <c r="J3165" s="205" t="s">
        <v>1562</v>
      </c>
      <c r="K3165" s="205"/>
      <c r="L3165" s="428">
        <v>150000</v>
      </c>
      <c r="M3165" s="136">
        <f t="shared" si="81"/>
        <v>138.74770333370543</v>
      </c>
    </row>
    <row r="3166" spans="1:13">
      <c r="A3166" s="54" t="str">
        <f t="shared" si="82"/>
        <v/>
      </c>
      <c r="B3166" t="s">
        <v>1807</v>
      </c>
      <c r="C3166" s="1">
        <v>45889</v>
      </c>
      <c r="D3166" s="71"/>
      <c r="F3166" s="70"/>
      <c r="J3166" s="205" t="s">
        <v>222</v>
      </c>
      <c r="K3166" s="205"/>
      <c r="L3166" s="428"/>
      <c r="M3166" s="136">
        <f t="shared" si="81"/>
        <v>138.74770333370543</v>
      </c>
    </row>
    <row r="3167" spans="1:13">
      <c r="A3167" s="54" t="str">
        <f>D3167&amp;E3167&amp;F3167</f>
        <v>SGECUOTAS Y SUSCRIPCIONESFROGMI</v>
      </c>
      <c r="B3167" t="s">
        <v>1807</v>
      </c>
      <c r="C3167" s="1">
        <v>45889</v>
      </c>
      <c r="D3167" s="71" t="s">
        <v>39</v>
      </c>
      <c r="E3167" s="71" t="s">
        <v>51</v>
      </c>
      <c r="F3167" s="70" t="s">
        <v>57</v>
      </c>
      <c r="J3167" s="71" t="s">
        <v>1953</v>
      </c>
      <c r="L3167" s="433">
        <v>37909.9</v>
      </c>
      <c r="M3167" s="136">
        <f t="shared" si="81"/>
        <v>-37771.152296666296</v>
      </c>
    </row>
    <row r="3168" spans="1:13">
      <c r="A3168" s="54" t="str">
        <f>D3168&amp;E3168&amp;F3168</f>
        <v>FINANZASVIATICOSFINANZAS</v>
      </c>
      <c r="B3168" t="s">
        <v>1807</v>
      </c>
      <c r="C3168" s="1">
        <v>45889</v>
      </c>
      <c r="D3168" s="71" t="s">
        <v>23</v>
      </c>
      <c r="E3168" s="71" t="s">
        <v>191</v>
      </c>
      <c r="F3168" s="70" t="s">
        <v>23</v>
      </c>
      <c r="J3168" s="71" t="s">
        <v>1865</v>
      </c>
      <c r="L3168" s="433">
        <v>1000</v>
      </c>
      <c r="M3168" s="136">
        <f t="shared" si="81"/>
        <v>-38771.152296666296</v>
      </c>
    </row>
    <row r="3169" spans="1:13">
      <c r="A3169" s="54" t="str">
        <f>D3169&amp;E3169&amp;F3169</f>
        <v>HRFONDO Y REPOSICIONHR</v>
      </c>
      <c r="B3169" t="s">
        <v>1807</v>
      </c>
      <c r="C3169" s="1">
        <v>45889</v>
      </c>
      <c r="D3169" s="71" t="s">
        <v>29</v>
      </c>
      <c r="E3169" s="71" t="s">
        <v>120</v>
      </c>
      <c r="F3169" s="70" t="s">
        <v>29</v>
      </c>
      <c r="J3169" s="71" t="s">
        <v>1954</v>
      </c>
      <c r="L3169" s="433">
        <v>1890</v>
      </c>
      <c r="M3169" s="136">
        <f t="shared" si="81"/>
        <v>-40661.152296666296</v>
      </c>
    </row>
    <row r="3170" spans="1:13">
      <c r="A3170" s="54" t="str">
        <f>D3170&amp;E3170&amp;F3170</f>
        <v>CAPVIATICOSCAPRICHOS</v>
      </c>
      <c r="B3170" t="s">
        <v>1807</v>
      </c>
      <c r="C3170" s="1">
        <v>45889</v>
      </c>
      <c r="D3170" s="71" t="s">
        <v>31</v>
      </c>
      <c r="E3170" s="71" t="s">
        <v>191</v>
      </c>
      <c r="F3170" s="70" t="s">
        <v>33</v>
      </c>
      <c r="J3170" s="71" t="s">
        <v>1955</v>
      </c>
      <c r="L3170" s="433">
        <v>1200</v>
      </c>
      <c r="M3170" s="136">
        <f t="shared" si="81"/>
        <v>-41861.152296666296</v>
      </c>
    </row>
    <row r="3171" spans="1:13">
      <c r="A3171" s="54" t="str">
        <f>D3171&amp;E3171&amp;F3171</f>
        <v>HRVIATICOSHR</v>
      </c>
      <c r="B3171" t="s">
        <v>1807</v>
      </c>
      <c r="C3171" s="1">
        <v>45889</v>
      </c>
      <c r="D3171" s="71" t="s">
        <v>29</v>
      </c>
      <c r="E3171" s="71" t="s">
        <v>191</v>
      </c>
      <c r="F3171" s="70" t="s">
        <v>29</v>
      </c>
      <c r="J3171" s="71" t="s">
        <v>1956</v>
      </c>
      <c r="L3171" s="433">
        <v>4800</v>
      </c>
      <c r="M3171" s="136">
        <f t="shared" si="81"/>
        <v>-46661.152296666296</v>
      </c>
    </row>
    <row r="3172" spans="1:13">
      <c r="A3172" s="54" t="str">
        <f>D3172&amp;E3172&amp;F3172</f>
        <v>DEVIATICOSDIRECCION</v>
      </c>
      <c r="B3172" t="s">
        <v>1807</v>
      </c>
      <c r="C3172" s="1">
        <v>45889</v>
      </c>
      <c r="D3172" s="71" t="s">
        <v>41</v>
      </c>
      <c r="E3172" s="71" t="s">
        <v>191</v>
      </c>
      <c r="F3172" s="70" t="s">
        <v>42</v>
      </c>
      <c r="G3172" s="83" t="s">
        <v>258</v>
      </c>
      <c r="J3172" s="71" t="s">
        <v>1957</v>
      </c>
      <c r="L3172" s="433">
        <v>5000</v>
      </c>
      <c r="M3172" s="136">
        <f t="shared" si="81"/>
        <v>-51661.152296666296</v>
      </c>
    </row>
    <row r="3173" spans="1:13">
      <c r="A3173" s="54" t="str">
        <f>D3173&amp;E3173&amp;F3173</f>
        <v>CAPUBERCAP</v>
      </c>
      <c r="B3173" t="s">
        <v>1807</v>
      </c>
      <c r="C3173" s="1">
        <v>45889</v>
      </c>
      <c r="D3173" s="71" t="s">
        <v>31</v>
      </c>
      <c r="E3173" s="71" t="s">
        <v>189</v>
      </c>
      <c r="F3173" s="70" t="s">
        <v>31</v>
      </c>
      <c r="G3173" s="83"/>
      <c r="J3173" s="71" t="s">
        <v>253</v>
      </c>
      <c r="L3173" s="523">
        <v>225</v>
      </c>
      <c r="M3173" s="136">
        <f t="shared" si="81"/>
        <v>-51886.152296666296</v>
      </c>
    </row>
    <row r="3174" spans="1:13">
      <c r="A3174" s="54" t="str">
        <f>D3174&amp;E3174&amp;F3174</f>
        <v>CAPUBERCAP</v>
      </c>
      <c r="B3174" t="s">
        <v>1807</v>
      </c>
      <c r="C3174" s="1">
        <v>45889</v>
      </c>
      <c r="D3174" s="71" t="s">
        <v>31</v>
      </c>
      <c r="E3174" s="71" t="s">
        <v>189</v>
      </c>
      <c r="F3174" s="70" t="s">
        <v>31</v>
      </c>
      <c r="G3174" s="83"/>
      <c r="J3174" s="71" t="s">
        <v>257</v>
      </c>
      <c r="L3174" s="523">
        <v>130</v>
      </c>
      <c r="M3174" s="136">
        <f t="shared" si="81"/>
        <v>-52016.152296666296</v>
      </c>
    </row>
    <row r="3175" spans="1:13">
      <c r="A3175" s="54" t="str">
        <f>D3175&amp;E3175&amp;F3175</f>
        <v>CAPSGMCAPRICHOS</v>
      </c>
      <c r="B3175" t="s">
        <v>1807</v>
      </c>
      <c r="C3175" s="1">
        <v>45889</v>
      </c>
      <c r="D3175" s="71" t="s">
        <v>31</v>
      </c>
      <c r="E3175" s="71" t="s">
        <v>176</v>
      </c>
      <c r="F3175" s="70" t="s">
        <v>33</v>
      </c>
      <c r="G3175" s="83"/>
      <c r="J3175" s="71" t="s">
        <v>1958</v>
      </c>
      <c r="L3175" s="433">
        <v>450</v>
      </c>
      <c r="M3175" s="136">
        <f t="shared" si="81"/>
        <v>-52466.152296666296</v>
      </c>
    </row>
    <row r="3176" spans="1:13">
      <c r="A3176" s="54" t="str">
        <f>D3176&amp;E3176&amp;F3176</f>
        <v>SERVICIOSADQ DE EQ TECNOLOGICOADQ DE EQ TECNOLOGICO</v>
      </c>
      <c r="B3176" t="s">
        <v>1807</v>
      </c>
      <c r="C3176" s="1">
        <v>45889</v>
      </c>
      <c r="D3176" s="71" t="s">
        <v>21</v>
      </c>
      <c r="E3176" s="71" t="s">
        <v>22</v>
      </c>
      <c r="F3176" s="70" t="s">
        <v>22</v>
      </c>
      <c r="G3176" s="83" t="s">
        <v>258</v>
      </c>
      <c r="J3176" s="71" t="s">
        <v>1959</v>
      </c>
      <c r="L3176" s="433">
        <v>6681.6</v>
      </c>
      <c r="M3176" s="136">
        <f t="shared" si="81"/>
        <v>-59147.752296666295</v>
      </c>
    </row>
    <row r="3177" spans="1:13">
      <c r="A3177" s="54" t="str">
        <f t="shared" si="82"/>
        <v/>
      </c>
      <c r="B3177" t="s">
        <v>1807</v>
      </c>
      <c r="C3177" s="1">
        <v>45890</v>
      </c>
      <c r="D3177" s="71"/>
      <c r="F3177" s="70"/>
      <c r="J3177" s="71" t="s">
        <v>260</v>
      </c>
      <c r="K3177" s="325">
        <v>198288.84</v>
      </c>
      <c r="L3177" s="432"/>
      <c r="M3177" s="136">
        <f t="shared" si="81"/>
        <v>139141.0877033337</v>
      </c>
    </row>
    <row r="3178" spans="1:13">
      <c r="A3178" s="54" t="str">
        <f>D3178&amp;E3178&amp;F3178</f>
        <v>FINANZASCOMISIONES BANCARIASTPV</v>
      </c>
      <c r="B3178" t="s">
        <v>1807</v>
      </c>
      <c r="C3178" s="1">
        <v>45890</v>
      </c>
      <c r="D3178" s="71" t="s">
        <v>23</v>
      </c>
      <c r="E3178" s="71" t="s">
        <v>48</v>
      </c>
      <c r="F3178" s="70" t="s">
        <v>50</v>
      </c>
      <c r="J3178" s="71" t="s">
        <v>217</v>
      </c>
      <c r="L3178" s="433">
        <f>1239.34+151.17+1479.09+1240.23+773.72+20.88+3.48+10.44+9.28</f>
        <v>4927.6299999999992</v>
      </c>
      <c r="M3178" s="136">
        <f t="shared" si="81"/>
        <v>134213.4577033337</v>
      </c>
    </row>
    <row r="3179" spans="1:13">
      <c r="A3179" s="54" t="str">
        <f t="shared" si="82"/>
        <v/>
      </c>
      <c r="B3179" t="s">
        <v>1807</v>
      </c>
      <c r="C3179" s="1">
        <v>45890</v>
      </c>
      <c r="D3179" s="71"/>
      <c r="F3179" s="70"/>
      <c r="J3179" s="205" t="s">
        <v>1562</v>
      </c>
      <c r="K3179" s="205"/>
      <c r="L3179" s="428">
        <v>150000</v>
      </c>
      <c r="M3179" s="136">
        <f t="shared" si="81"/>
        <v>-15786.542296666303</v>
      </c>
    </row>
    <row r="3180" spans="1:13">
      <c r="A3180" s="54" t="str">
        <f t="shared" si="82"/>
        <v/>
      </c>
      <c r="B3180" t="s">
        <v>1807</v>
      </c>
      <c r="C3180" s="1">
        <v>45890</v>
      </c>
      <c r="D3180" s="71"/>
      <c r="F3180" s="70"/>
      <c r="J3180" s="205" t="s">
        <v>222</v>
      </c>
      <c r="K3180" s="205"/>
      <c r="L3180" s="428"/>
      <c r="M3180" s="136">
        <f t="shared" si="81"/>
        <v>-15786.542296666303</v>
      </c>
    </row>
    <row r="3181" spans="1:13">
      <c r="A3181" s="54" t="str">
        <f>D3181&amp;E3181&amp;F3181</f>
        <v>HRENERGIA ELECTRICAA4</v>
      </c>
      <c r="B3181" t="s">
        <v>1807</v>
      </c>
      <c r="C3181" s="1">
        <v>45890</v>
      </c>
      <c r="D3181" s="71" t="s">
        <v>29</v>
      </c>
      <c r="E3181" s="71" t="s">
        <v>87</v>
      </c>
      <c r="F3181" s="70" t="s">
        <v>91</v>
      </c>
      <c r="J3181" s="71" t="s">
        <v>1960</v>
      </c>
      <c r="K3181" s="233"/>
      <c r="L3181" s="433">
        <v>14234</v>
      </c>
      <c r="M3181" s="136">
        <f t="shared" si="81"/>
        <v>-30020.542296666303</v>
      </c>
    </row>
    <row r="3182" spans="1:13">
      <c r="A3182" s="54" t="str">
        <f>D3182&amp;E3182&amp;F3182</f>
        <v>HRENERGIA ELECTRICAA15</v>
      </c>
      <c r="B3182" t="s">
        <v>1807</v>
      </c>
      <c r="C3182" s="1">
        <v>45890</v>
      </c>
      <c r="D3182" s="71" t="s">
        <v>29</v>
      </c>
      <c r="E3182" s="71" t="s">
        <v>87</v>
      </c>
      <c r="F3182" s="70" t="s">
        <v>100</v>
      </c>
      <c r="J3182" s="71" t="s">
        <v>1961</v>
      </c>
      <c r="L3182" s="433">
        <v>11415</v>
      </c>
      <c r="M3182" s="136">
        <f t="shared" si="81"/>
        <v>-41435.542296666303</v>
      </c>
    </row>
    <row r="3183" spans="1:13">
      <c r="A3183" s="54" t="str">
        <f>D3183&amp;E3183&amp;F3183</f>
        <v>SERVICIOSINSUMOSCADENA DE SUMINISTROS</v>
      </c>
      <c r="B3183" t="s">
        <v>1807</v>
      </c>
      <c r="C3183" s="1">
        <v>45890</v>
      </c>
      <c r="D3183" s="71" t="s">
        <v>21</v>
      </c>
      <c r="E3183" s="71" t="s">
        <v>133</v>
      </c>
      <c r="F3183" s="70" t="s">
        <v>134</v>
      </c>
      <c r="J3183" s="71" t="s">
        <v>1962</v>
      </c>
      <c r="L3183" s="433">
        <v>2250</v>
      </c>
      <c r="M3183" s="136">
        <f t="shared" si="81"/>
        <v>-43685.542296666303</v>
      </c>
    </row>
    <row r="3184" spans="1:13">
      <c r="A3184" s="54" t="str">
        <f>D3184&amp;E3184&amp;F3184</f>
        <v>SERVICIOSINSUMOSCADENA DE SUMINISTROS</v>
      </c>
      <c r="B3184" t="s">
        <v>1807</v>
      </c>
      <c r="C3184" s="1">
        <v>45890</v>
      </c>
      <c r="D3184" s="71" t="s">
        <v>21</v>
      </c>
      <c r="E3184" s="71" t="s">
        <v>133</v>
      </c>
      <c r="F3184" s="70" t="s">
        <v>134</v>
      </c>
      <c r="J3184" s="71" t="s">
        <v>1962</v>
      </c>
      <c r="L3184" s="433">
        <v>2275</v>
      </c>
      <c r="M3184" s="136">
        <f t="shared" si="81"/>
        <v>-45960.542296666303</v>
      </c>
    </row>
    <row r="3185" spans="1:13">
      <c r="A3185" s="54" t="str">
        <f>D3185&amp;E3185&amp;F3185</f>
        <v>CAPMTTO EQ DE TRANSPORTECAPRICHOS</v>
      </c>
      <c r="B3185" t="s">
        <v>1807</v>
      </c>
      <c r="C3185" s="1">
        <v>45890</v>
      </c>
      <c r="D3185" s="71" t="s">
        <v>31</v>
      </c>
      <c r="E3185" s="71" t="s">
        <v>144</v>
      </c>
      <c r="F3185" s="70" t="s">
        <v>33</v>
      </c>
      <c r="G3185" s="83" t="s">
        <v>258</v>
      </c>
      <c r="J3185" s="71" t="s">
        <v>1963</v>
      </c>
      <c r="L3185" s="433">
        <v>4016.25</v>
      </c>
      <c r="M3185" s="136">
        <f t="shared" si="81"/>
        <v>-49976.792296666303</v>
      </c>
    </row>
    <row r="3186" spans="1:13">
      <c r="A3186" s="54" t="str">
        <f>D3186&amp;E3186&amp;F3186</f>
        <v>FINANZASCUOTAS Y SUSCRIPCIONESTRASLADO DE VALORES</v>
      </c>
      <c r="B3186" t="s">
        <v>1807</v>
      </c>
      <c r="C3186" s="1">
        <v>45890</v>
      </c>
      <c r="D3186" s="71" t="s">
        <v>23</v>
      </c>
      <c r="E3186" s="71" t="s">
        <v>51</v>
      </c>
      <c r="F3186" s="70" t="s">
        <v>82</v>
      </c>
      <c r="G3186" s="71" t="s">
        <v>258</v>
      </c>
      <c r="J3186" s="71" t="s">
        <v>1964</v>
      </c>
      <c r="L3186" s="433">
        <v>3339.44</v>
      </c>
      <c r="M3186" s="136">
        <f t="shared" si="81"/>
        <v>-53316.232296666305</v>
      </c>
    </row>
    <row r="3187" spans="1:13">
      <c r="A3187" s="54" t="str">
        <f>D3187&amp;E3187&amp;F3187</f>
        <v>HRJMASA17</v>
      </c>
      <c r="B3187" t="s">
        <v>1807</v>
      </c>
      <c r="C3187" s="1">
        <v>45890</v>
      </c>
      <c r="D3187" s="71" t="s">
        <v>29</v>
      </c>
      <c r="E3187" s="71" t="s">
        <v>137</v>
      </c>
      <c r="F3187" s="70" t="s">
        <v>102</v>
      </c>
      <c r="G3187" s="83"/>
      <c r="J3187" s="76" t="s">
        <v>1965</v>
      </c>
      <c r="L3187" s="434">
        <v>55</v>
      </c>
      <c r="M3187" s="136">
        <f t="shared" si="81"/>
        <v>-53371.232296666305</v>
      </c>
    </row>
    <row r="3188" spans="1:13">
      <c r="A3188" s="54" t="str">
        <f>D3188&amp;E3188&amp;F3188</f>
        <v>CAPUBERCAP</v>
      </c>
      <c r="B3188" t="s">
        <v>1807</v>
      </c>
      <c r="C3188" s="1">
        <v>45890</v>
      </c>
      <c r="D3188" s="71" t="s">
        <v>31</v>
      </c>
      <c r="E3188" s="71" t="s">
        <v>189</v>
      </c>
      <c r="F3188" s="70" t="s">
        <v>31</v>
      </c>
      <c r="G3188" s="83"/>
      <c r="J3188" s="76" t="s">
        <v>253</v>
      </c>
      <c r="L3188" s="522">
        <v>135</v>
      </c>
      <c r="M3188" s="136">
        <f t="shared" si="81"/>
        <v>-53506.232296666305</v>
      </c>
    </row>
    <row r="3189" spans="1:13">
      <c r="A3189" s="54" t="str">
        <f>D3189&amp;E3189&amp;F3189</f>
        <v>CAPUBERCAP</v>
      </c>
      <c r="B3189" t="s">
        <v>1807</v>
      </c>
      <c r="C3189" s="1">
        <v>45890</v>
      </c>
      <c r="D3189" s="71" t="s">
        <v>31</v>
      </c>
      <c r="E3189" s="71" t="s">
        <v>189</v>
      </c>
      <c r="F3189" s="70" t="s">
        <v>31</v>
      </c>
      <c r="G3189" s="83"/>
      <c r="J3189" s="76" t="s">
        <v>257</v>
      </c>
      <c r="L3189" s="522">
        <v>51</v>
      </c>
      <c r="M3189" s="136">
        <f t="shared" si="81"/>
        <v>-53557.232296666305</v>
      </c>
    </row>
    <row r="3190" spans="1:13">
      <c r="A3190" s="54" t="str">
        <f>D3190&amp;E3190&amp;F3190</f>
        <v>ELIUBERL1</v>
      </c>
      <c r="B3190" t="s">
        <v>1807</v>
      </c>
      <c r="C3190" s="1">
        <v>45890</v>
      </c>
      <c r="D3190" s="71" t="s">
        <v>130</v>
      </c>
      <c r="E3190" s="71" t="s">
        <v>189</v>
      </c>
      <c r="F3190" s="70" t="s">
        <v>136</v>
      </c>
      <c r="G3190" s="83"/>
      <c r="J3190" s="76" t="s">
        <v>1966</v>
      </c>
      <c r="L3190" s="522">
        <v>160</v>
      </c>
      <c r="M3190" s="136">
        <f t="shared" si="81"/>
        <v>-53717.232296666305</v>
      </c>
    </row>
    <row r="3191" spans="1:13">
      <c r="A3191" s="54" t="str">
        <f t="shared" si="82"/>
        <v/>
      </c>
      <c r="B3191" t="s">
        <v>1807</v>
      </c>
      <c r="C3191" s="1">
        <v>45891</v>
      </c>
      <c r="D3191" s="71"/>
      <c r="F3191" s="70"/>
      <c r="J3191" s="71" t="s">
        <v>260</v>
      </c>
      <c r="K3191" s="325">
        <v>223314.93</v>
      </c>
      <c r="L3191" s="432"/>
      <c r="M3191" s="136">
        <f t="shared" si="81"/>
        <v>169597.69770333369</v>
      </c>
    </row>
    <row r="3192" spans="1:13">
      <c r="A3192" s="54" t="str">
        <f>D3192&amp;E3192&amp;F3192</f>
        <v>FINANZASCOMISIONES BANCARIASTPV</v>
      </c>
      <c r="B3192" t="s">
        <v>1807</v>
      </c>
      <c r="C3192" s="1">
        <v>45891</v>
      </c>
      <c r="D3192" s="71" t="s">
        <v>23</v>
      </c>
      <c r="E3192" s="71" t="s">
        <v>48</v>
      </c>
      <c r="F3192" s="70" t="s">
        <v>50</v>
      </c>
      <c r="J3192" s="71" t="s">
        <v>217</v>
      </c>
      <c r="L3192" s="433">
        <f>340.54+266.08+1621.99+1350.66+997.26+6.96+6.96+10.44+5.8+5.8</f>
        <v>4612.4900000000007</v>
      </c>
      <c r="M3192" s="136">
        <f t="shared" si="81"/>
        <v>164985.2077033337</v>
      </c>
    </row>
    <row r="3193" spans="1:13">
      <c r="A3193" s="54" t="str">
        <f t="shared" si="82"/>
        <v/>
      </c>
      <c r="B3193" t="s">
        <v>1807</v>
      </c>
      <c r="C3193" s="1">
        <v>45891</v>
      </c>
      <c r="D3193" s="71"/>
      <c r="F3193" s="70"/>
      <c r="J3193" s="205" t="s">
        <v>1562</v>
      </c>
      <c r="K3193" s="205"/>
      <c r="L3193" s="428">
        <v>150000</v>
      </c>
      <c r="M3193" s="136">
        <f t="shared" si="81"/>
        <v>14985.207703333697</v>
      </c>
    </row>
    <row r="3194" spans="1:13">
      <c r="A3194" s="54" t="str">
        <f t="shared" si="82"/>
        <v/>
      </c>
      <c r="B3194" t="s">
        <v>1807</v>
      </c>
      <c r="C3194" s="1">
        <v>45891</v>
      </c>
      <c r="D3194" s="71"/>
      <c r="F3194" s="70"/>
      <c r="J3194" s="205" t="s">
        <v>222</v>
      </c>
      <c r="K3194" s="205"/>
      <c r="L3194" s="428"/>
      <c r="M3194" s="136">
        <f t="shared" si="81"/>
        <v>14985.207703333697</v>
      </c>
    </row>
    <row r="3195" spans="1:13">
      <c r="A3195" s="54" t="str">
        <f>D3195&amp;E3195&amp;F3195</f>
        <v>HRPUBLICIDADBASEBALL</v>
      </c>
      <c r="B3195" t="s">
        <v>1807</v>
      </c>
      <c r="C3195" s="1">
        <v>45891</v>
      </c>
      <c r="D3195" t="s">
        <v>29</v>
      </c>
      <c r="E3195" s="12" t="s">
        <v>164</v>
      </c>
      <c r="F3195" s="12" t="s">
        <v>165</v>
      </c>
      <c r="J3195" s="71" t="s">
        <v>1967</v>
      </c>
      <c r="L3195" s="433">
        <v>50000</v>
      </c>
      <c r="M3195" s="136">
        <f t="shared" si="81"/>
        <v>-35014.792296666303</v>
      </c>
    </row>
    <row r="3196" spans="1:13">
      <c r="A3196" s="54" t="str">
        <f>D3196&amp;E3196&amp;F3196</f>
        <v>ELIVIATICOSL1</v>
      </c>
      <c r="B3196" t="s">
        <v>1807</v>
      </c>
      <c r="C3196" s="1">
        <v>45891</v>
      </c>
      <c r="D3196" s="71" t="s">
        <v>130</v>
      </c>
      <c r="E3196" s="71" t="s">
        <v>191</v>
      </c>
      <c r="F3196" s="70" t="s">
        <v>136</v>
      </c>
      <c r="G3196" s="83"/>
      <c r="J3196" s="71" t="s">
        <v>1968</v>
      </c>
      <c r="L3196" s="433">
        <v>1000</v>
      </c>
      <c r="M3196" s="136">
        <f t="shared" si="81"/>
        <v>-36014.792296666303</v>
      </c>
    </row>
    <row r="3197" spans="1:13">
      <c r="A3197" s="54" t="str">
        <f t="shared" si="82"/>
        <v/>
      </c>
      <c r="B3197" t="s">
        <v>1807</v>
      </c>
      <c r="C3197" s="1">
        <v>45891</v>
      </c>
      <c r="D3197" s="71"/>
      <c r="F3197" s="70"/>
      <c r="J3197" s="71" t="s">
        <v>1969</v>
      </c>
      <c r="L3197" s="433">
        <v>31566</v>
      </c>
      <c r="M3197" s="136">
        <f t="shared" ref="M3197:M3260" si="83">M3196+K3197-L3197</f>
        <v>-67580.792296666303</v>
      </c>
    </row>
    <row r="3198" spans="1:13">
      <c r="A3198" s="54" t="str">
        <f>D3198&amp;E3198&amp;F3198</f>
        <v>FINANZASTELEFONIATELEFONIA</v>
      </c>
      <c r="B3198" t="s">
        <v>1807</v>
      </c>
      <c r="C3198" s="1">
        <v>45891</v>
      </c>
      <c r="D3198" s="71" t="s">
        <v>23</v>
      </c>
      <c r="E3198" s="71" t="s">
        <v>181</v>
      </c>
      <c r="F3198" s="70" t="s">
        <v>181</v>
      </c>
      <c r="J3198" s="71" t="s">
        <v>1970</v>
      </c>
      <c r="L3198" s="433">
        <v>469</v>
      </c>
      <c r="M3198" s="136">
        <f t="shared" si="83"/>
        <v>-68049.792296666303</v>
      </c>
    </row>
    <row r="3199" spans="1:13">
      <c r="A3199" s="54" t="str">
        <f>D3199&amp;E3199&amp;F3199</f>
        <v>HRIMAGEN VISUALIMAGEN VISUAL HR</v>
      </c>
      <c r="B3199" t="s">
        <v>1807</v>
      </c>
      <c r="C3199" s="1">
        <v>45891</v>
      </c>
      <c r="D3199" s="71" t="s">
        <v>29</v>
      </c>
      <c r="E3199" s="71" t="s">
        <v>127</v>
      </c>
      <c r="F3199" s="70" t="s">
        <v>128</v>
      </c>
      <c r="J3199" s="71" t="s">
        <v>1971</v>
      </c>
      <c r="L3199" s="433">
        <v>6421.76</v>
      </c>
      <c r="M3199" s="136">
        <f t="shared" si="83"/>
        <v>-74471.552296666297</v>
      </c>
    </row>
    <row r="3200" spans="1:13">
      <c r="A3200" s="54" t="str">
        <f>D3200&amp;E3200&amp;F3200</f>
        <v>HRIMAGEN VISUALIMAGEN VISUAL HR</v>
      </c>
      <c r="B3200" t="s">
        <v>1807</v>
      </c>
      <c r="C3200" s="1">
        <v>45891</v>
      </c>
      <c r="D3200" s="71" t="s">
        <v>29</v>
      </c>
      <c r="E3200" s="71" t="s">
        <v>127</v>
      </c>
      <c r="F3200" s="70" t="s">
        <v>128</v>
      </c>
      <c r="J3200" s="71" t="s">
        <v>1972</v>
      </c>
      <c r="L3200" s="433">
        <v>4142.3599999999997</v>
      </c>
      <c r="M3200" s="136">
        <f t="shared" si="83"/>
        <v>-78613.912296666298</v>
      </c>
    </row>
    <row r="3201" spans="1:13">
      <c r="A3201" s="54" t="str">
        <f>D3201&amp;E3201&amp;F3201</f>
        <v>HRENERGIA ELECTRICAA12</v>
      </c>
      <c r="B3201" t="s">
        <v>1807</v>
      </c>
      <c r="C3201" s="1">
        <v>45891</v>
      </c>
      <c r="D3201" s="71" t="s">
        <v>29</v>
      </c>
      <c r="E3201" s="71" t="s">
        <v>87</v>
      </c>
      <c r="F3201" s="70" t="s">
        <v>98</v>
      </c>
      <c r="J3201" s="71" t="s">
        <v>436</v>
      </c>
      <c r="L3201" s="433">
        <v>20397</v>
      </c>
      <c r="M3201" s="136">
        <f t="shared" si="83"/>
        <v>-99010.912296666298</v>
      </c>
    </row>
    <row r="3202" spans="1:13">
      <c r="A3202" s="54" t="str">
        <f>D3202&amp;E3202&amp;F3202</f>
        <v>HRENERGIA ELECTRICAA24</v>
      </c>
      <c r="B3202" t="s">
        <v>1807</v>
      </c>
      <c r="C3202" s="1">
        <v>45891</v>
      </c>
      <c r="D3202" s="71" t="s">
        <v>29</v>
      </c>
      <c r="E3202" s="71" t="s">
        <v>87</v>
      </c>
      <c r="F3202" s="70" t="s">
        <v>106</v>
      </c>
      <c r="J3202" s="71" t="s">
        <v>1973</v>
      </c>
      <c r="L3202" s="433">
        <v>16716</v>
      </c>
      <c r="M3202" s="136">
        <f t="shared" si="83"/>
        <v>-115726.9122966663</v>
      </c>
    </row>
    <row r="3203" spans="1:13">
      <c r="A3203" s="54" t="str">
        <f>D3203&amp;E3203&amp;F3203</f>
        <v>CAPENERGIA ELECTRICAE5</v>
      </c>
      <c r="B3203" t="s">
        <v>1807</v>
      </c>
      <c r="C3203" s="1">
        <v>45891</v>
      </c>
      <c r="D3203" s="71" t="s">
        <v>31</v>
      </c>
      <c r="E3203" s="71" t="s">
        <v>87</v>
      </c>
      <c r="F3203" s="70" t="s">
        <v>111</v>
      </c>
      <c r="J3203" s="71" t="s">
        <v>931</v>
      </c>
      <c r="L3203" s="433">
        <v>14338</v>
      </c>
      <c r="M3203" s="136">
        <f t="shared" si="83"/>
        <v>-130064.9122966663</v>
      </c>
    </row>
    <row r="3204" spans="1:13">
      <c r="A3204" s="54" t="str">
        <f>D3204&amp;E3204&amp;F3204</f>
        <v>HRENERGIA ELECTRICAA22</v>
      </c>
      <c r="B3204" t="s">
        <v>1807</v>
      </c>
      <c r="C3204" s="1">
        <v>45891</v>
      </c>
      <c r="D3204" s="71" t="s">
        <v>29</v>
      </c>
      <c r="E3204" s="71" t="s">
        <v>87</v>
      </c>
      <c r="F3204" s="70" t="s">
        <v>104</v>
      </c>
      <c r="J3204" s="71" t="s">
        <v>379</v>
      </c>
      <c r="L3204" s="433">
        <v>6470</v>
      </c>
      <c r="M3204" s="136">
        <f t="shared" si="83"/>
        <v>-136534.9122966663</v>
      </c>
    </row>
    <row r="3205" spans="1:13">
      <c r="A3205" s="54" t="str">
        <f>D3205&amp;E3205&amp;F3205</f>
        <v>FINANZASENERGIA ELECTRICACEDIS</v>
      </c>
      <c r="B3205" t="s">
        <v>1807</v>
      </c>
      <c r="C3205" s="1">
        <v>45891</v>
      </c>
      <c r="D3205" s="71" t="s">
        <v>23</v>
      </c>
      <c r="E3205" s="71" t="s">
        <v>87</v>
      </c>
      <c r="F3205" s="70" t="s">
        <v>28</v>
      </c>
      <c r="J3205" s="71" t="s">
        <v>1974</v>
      </c>
      <c r="L3205" s="433">
        <v>484</v>
      </c>
      <c r="M3205" s="136">
        <f t="shared" si="83"/>
        <v>-137018.9122966663</v>
      </c>
    </row>
    <row r="3206" spans="1:13">
      <c r="A3206" s="54" t="str">
        <f>D3206&amp;E3206&amp;F3206</f>
        <v>MKTINSUMOSINSUMOS</v>
      </c>
      <c r="B3206" t="s">
        <v>1807</v>
      </c>
      <c r="C3206" s="1">
        <v>45891</v>
      </c>
      <c r="D3206" s="71" t="s">
        <v>19</v>
      </c>
      <c r="E3206" s="71" t="s">
        <v>133</v>
      </c>
      <c r="F3206" s="70" t="s">
        <v>133</v>
      </c>
      <c r="J3206" s="71" t="s">
        <v>1975</v>
      </c>
      <c r="L3206" s="433">
        <v>1500</v>
      </c>
      <c r="M3206" s="136">
        <f t="shared" si="83"/>
        <v>-138518.9122966663</v>
      </c>
    </row>
    <row r="3207" spans="1:13">
      <c r="A3207" s="54" t="str">
        <f>D3207&amp;E3207&amp;F3207</f>
        <v>SERVICIOSFONDO Y REPOSICIONSERVICIOS</v>
      </c>
      <c r="B3207" t="s">
        <v>1807</v>
      </c>
      <c r="C3207" s="1">
        <v>45891</v>
      </c>
      <c r="D3207" t="s">
        <v>21</v>
      </c>
      <c r="E3207" s="12" t="s">
        <v>120</v>
      </c>
      <c r="F3207" s="12" t="s">
        <v>21</v>
      </c>
      <c r="G3207" s="83" t="s">
        <v>258</v>
      </c>
      <c r="J3207" s="71" t="s">
        <v>1080</v>
      </c>
      <c r="L3207" s="433">
        <v>2000</v>
      </c>
      <c r="M3207" s="136">
        <f t="shared" si="83"/>
        <v>-140518.9122966663</v>
      </c>
    </row>
    <row r="3208" spans="1:13">
      <c r="A3208" s="54" t="str">
        <f>D3208&amp;E3208&amp;F3208</f>
        <v>SERVICIOSJMASCEDIS</v>
      </c>
      <c r="B3208" t="s">
        <v>1807</v>
      </c>
      <c r="C3208" s="1">
        <v>45891</v>
      </c>
      <c r="D3208" s="71" t="s">
        <v>21</v>
      </c>
      <c r="E3208" s="71" t="s">
        <v>137</v>
      </c>
      <c r="F3208" s="70" t="s">
        <v>28</v>
      </c>
      <c r="J3208" s="71" t="s">
        <v>1128</v>
      </c>
      <c r="L3208" s="433">
        <v>1892</v>
      </c>
      <c r="M3208" s="136">
        <f t="shared" si="83"/>
        <v>-142410.9122966663</v>
      </c>
    </row>
    <row r="3209" spans="1:13">
      <c r="A3209" s="54" t="str">
        <f>D3209&amp;E3209&amp;F3209</f>
        <v>FINANZASVIATICOSFINANZAS</v>
      </c>
      <c r="B3209" t="s">
        <v>1807</v>
      </c>
      <c r="C3209" s="1">
        <v>45891</v>
      </c>
      <c r="D3209" s="71" t="s">
        <v>23</v>
      </c>
      <c r="E3209" s="71" t="s">
        <v>191</v>
      </c>
      <c r="F3209" s="70" t="s">
        <v>23</v>
      </c>
      <c r="G3209" s="83" t="s">
        <v>258</v>
      </c>
      <c r="J3209" s="71" t="s">
        <v>1976</v>
      </c>
      <c r="L3209" s="433">
        <v>800</v>
      </c>
      <c r="M3209" s="136">
        <f t="shared" si="83"/>
        <v>-143210.9122966663</v>
      </c>
    </row>
    <row r="3210" spans="1:13">
      <c r="A3210" s="54" t="str">
        <f>D3210&amp;E3210&amp;F3210</f>
        <v>CAPENERGIA ELECTRICAE6</v>
      </c>
      <c r="B3210" t="s">
        <v>1807</v>
      </c>
      <c r="C3210" s="1">
        <v>45891</v>
      </c>
      <c r="D3210" s="71" t="s">
        <v>31</v>
      </c>
      <c r="E3210" s="71" t="s">
        <v>87</v>
      </c>
      <c r="F3210" s="70" t="s">
        <v>112</v>
      </c>
      <c r="J3210" s="71" t="s">
        <v>1977</v>
      </c>
      <c r="L3210" s="433">
        <v>1564</v>
      </c>
      <c r="M3210" s="136">
        <f t="shared" si="83"/>
        <v>-144774.9122966663</v>
      </c>
    </row>
    <row r="3211" spans="1:13">
      <c r="A3211" s="54" t="str">
        <f>D3211&amp;E3211&amp;F3211</f>
        <v>SERVICIOSPAQUETERIACEDIS (E6)</v>
      </c>
      <c r="B3211" t="s">
        <v>1807</v>
      </c>
      <c r="C3211" s="1">
        <v>45891</v>
      </c>
      <c r="D3211" s="71" t="s">
        <v>21</v>
      </c>
      <c r="E3211" s="71" t="s">
        <v>160</v>
      </c>
      <c r="F3211" s="70" t="s">
        <v>161</v>
      </c>
      <c r="J3211" s="71" t="s">
        <v>1978</v>
      </c>
      <c r="L3211" s="433">
        <v>2223.2600000000002</v>
      </c>
      <c r="M3211" s="136">
        <f t="shared" si="83"/>
        <v>-146998.17229666631</v>
      </c>
    </row>
    <row r="3212" spans="1:13">
      <c r="A3212" s="54" t="str">
        <f>D3212&amp;E3212&amp;F3212</f>
        <v>SERVICIOSGASCEDIS</v>
      </c>
      <c r="B3212" t="s">
        <v>1807</v>
      </c>
      <c r="C3212" s="1">
        <v>45891</v>
      </c>
      <c r="D3212" s="71" t="s">
        <v>21</v>
      </c>
      <c r="E3212" s="71" t="s">
        <v>122</v>
      </c>
      <c r="F3212" s="70" t="s">
        <v>28</v>
      </c>
      <c r="J3212" s="71" t="s">
        <v>1979</v>
      </c>
      <c r="L3212" s="433">
        <v>300</v>
      </c>
      <c r="M3212" s="136">
        <f t="shared" si="83"/>
        <v>-147298.17229666631</v>
      </c>
    </row>
    <row r="3213" spans="1:13">
      <c r="A3213" s="54" t="str">
        <f>D3213&amp;E3213&amp;F3213</f>
        <v>HRUBERHR</v>
      </c>
      <c r="B3213" t="s">
        <v>1807</v>
      </c>
      <c r="C3213" s="1">
        <v>45891</v>
      </c>
      <c r="D3213" s="71" t="s">
        <v>29</v>
      </c>
      <c r="E3213" s="71" t="s">
        <v>189</v>
      </c>
      <c r="F3213" s="70" t="s">
        <v>29</v>
      </c>
      <c r="J3213" s="243" t="s">
        <v>249</v>
      </c>
      <c r="L3213" s="522">
        <v>69</v>
      </c>
      <c r="M3213" s="136">
        <f t="shared" si="83"/>
        <v>-147367.17229666631</v>
      </c>
    </row>
    <row r="3214" spans="1:13">
      <c r="A3214" s="54" t="str">
        <f>D3214&amp;E3214&amp;F3214</f>
        <v>CAPUBERCAP</v>
      </c>
      <c r="B3214" t="s">
        <v>1807</v>
      </c>
      <c r="C3214" s="1">
        <v>45891</v>
      </c>
      <c r="D3214" s="71" t="s">
        <v>31</v>
      </c>
      <c r="E3214" s="71" t="s">
        <v>189</v>
      </c>
      <c r="F3214" s="70" t="s">
        <v>31</v>
      </c>
      <c r="J3214" s="243" t="s">
        <v>534</v>
      </c>
      <c r="L3214" s="522">
        <v>140</v>
      </c>
      <c r="M3214" s="136">
        <f t="shared" si="83"/>
        <v>-147507.17229666631</v>
      </c>
    </row>
    <row r="3215" spans="1:13">
      <c r="A3215" s="54" t="str">
        <f>D3215&amp;E3215&amp;F3215</f>
        <v>CAPUBERCAP</v>
      </c>
      <c r="B3215" t="s">
        <v>1807</v>
      </c>
      <c r="C3215" s="1">
        <v>45891</v>
      </c>
      <c r="D3215" s="71" t="s">
        <v>31</v>
      </c>
      <c r="E3215" s="71" t="s">
        <v>189</v>
      </c>
      <c r="F3215" s="70" t="s">
        <v>31</v>
      </c>
      <c r="J3215" s="243" t="s">
        <v>257</v>
      </c>
      <c r="L3215" s="522">
        <v>60</v>
      </c>
      <c r="M3215" s="136">
        <f t="shared" si="83"/>
        <v>-147567.17229666631</v>
      </c>
    </row>
    <row r="3216" spans="1:13">
      <c r="A3216" s="54" t="str">
        <f t="shared" si="82"/>
        <v>CAP</v>
      </c>
      <c r="B3216" t="s">
        <v>1807</v>
      </c>
      <c r="C3216" s="1">
        <v>45891</v>
      </c>
      <c r="D3216" s="411" t="s">
        <v>31</v>
      </c>
      <c r="E3216" s="411"/>
      <c r="F3216" s="412"/>
      <c r="G3216" s="411"/>
      <c r="H3216" s="413"/>
      <c r="I3216" s="413"/>
      <c r="J3216" s="414" t="s">
        <v>1980</v>
      </c>
      <c r="L3216" s="434">
        <v>200</v>
      </c>
      <c r="M3216" s="136">
        <f t="shared" si="83"/>
        <v>-147767.17229666631</v>
      </c>
    </row>
    <row r="3217" spans="1:13">
      <c r="A3217" s="54" t="str">
        <f>D3217&amp;E3217&amp;F3217</f>
        <v>CAPFUMIGACIONCAPRICHOS</v>
      </c>
      <c r="B3217" t="s">
        <v>1807</v>
      </c>
      <c r="C3217" s="1">
        <v>45891</v>
      </c>
      <c r="D3217" s="71" t="s">
        <v>31</v>
      </c>
      <c r="E3217" s="71" t="s">
        <v>121</v>
      </c>
      <c r="F3217" s="70" t="s">
        <v>33</v>
      </c>
      <c r="J3217" s="243" t="s">
        <v>1981</v>
      </c>
      <c r="L3217" s="535">
        <v>471</v>
      </c>
      <c r="M3217" s="136">
        <f t="shared" si="83"/>
        <v>-148238.17229666631</v>
      </c>
    </row>
    <row r="3218" spans="1:13">
      <c r="A3218" s="54" t="str">
        <f>D3218&amp;E3218&amp;F3218</f>
        <v>ELIUBERL1</v>
      </c>
      <c r="B3218" t="s">
        <v>1807</v>
      </c>
      <c r="C3218" s="1">
        <v>45891</v>
      </c>
      <c r="D3218" s="71" t="s">
        <v>130</v>
      </c>
      <c r="E3218" s="71" t="s">
        <v>189</v>
      </c>
      <c r="F3218" s="70" t="s">
        <v>136</v>
      </c>
      <c r="J3218" s="243" t="s">
        <v>535</v>
      </c>
      <c r="L3218" s="522">
        <v>146</v>
      </c>
      <c r="M3218" s="136">
        <f t="shared" si="83"/>
        <v>-148384.17229666631</v>
      </c>
    </row>
    <row r="3219" spans="1:13">
      <c r="A3219" s="54" t="str">
        <f t="shared" ref="A3219:A3274" si="84">D3219&amp;E3219&amp;F3219</f>
        <v/>
      </c>
      <c r="B3219" t="s">
        <v>1807</v>
      </c>
      <c r="C3219" s="1">
        <v>45894</v>
      </c>
      <c r="D3219" s="71"/>
      <c r="F3219" s="70"/>
      <c r="J3219" s="71" t="s">
        <v>260</v>
      </c>
      <c r="K3219" s="325">
        <v>928322.4</v>
      </c>
      <c r="L3219" s="432"/>
      <c r="M3219" s="136">
        <f t="shared" si="83"/>
        <v>779938.22770333372</v>
      </c>
    </row>
    <row r="3220" spans="1:13">
      <c r="A3220" s="54" t="str">
        <f>D3220&amp;E3220&amp;F3220</f>
        <v>FINANZASCOMISIONES BANCARIASTPV</v>
      </c>
      <c r="B3220" t="s">
        <v>1807</v>
      </c>
      <c r="C3220" s="1">
        <v>45894</v>
      </c>
      <c r="D3220" s="71" t="s">
        <v>23</v>
      </c>
      <c r="E3220" s="71" t="s">
        <v>48</v>
      </c>
      <c r="F3220" s="70" t="s">
        <v>50</v>
      </c>
      <c r="J3220" s="71" t="s">
        <v>217</v>
      </c>
      <c r="L3220" s="433">
        <f>1119.35+1385.57+3081.06+3.48+27.84+3.48+6607.89+6139.61</f>
        <v>18368.28</v>
      </c>
      <c r="M3220" s="136">
        <f t="shared" si="83"/>
        <v>761569.94770333369</v>
      </c>
    </row>
    <row r="3221" spans="1:13">
      <c r="A3221" s="54" t="str">
        <f t="shared" si="84"/>
        <v/>
      </c>
      <c r="B3221" t="s">
        <v>1807</v>
      </c>
      <c r="C3221" s="1">
        <v>45894</v>
      </c>
      <c r="D3221" s="71"/>
      <c r="F3221" s="70"/>
      <c r="J3221" s="205" t="s">
        <v>1562</v>
      </c>
      <c r="K3221" s="205"/>
      <c r="L3221" s="428">
        <v>300000</v>
      </c>
      <c r="M3221" s="136">
        <f t="shared" si="83"/>
        <v>461569.94770333369</v>
      </c>
    </row>
    <row r="3222" spans="1:13">
      <c r="A3222" s="54" t="str">
        <f t="shared" si="84"/>
        <v/>
      </c>
      <c r="B3222" t="s">
        <v>1807</v>
      </c>
      <c r="C3222" s="1">
        <v>45894</v>
      </c>
      <c r="D3222" s="71"/>
      <c r="F3222" s="70"/>
      <c r="J3222" s="205" t="s">
        <v>222</v>
      </c>
      <c r="K3222" s="205"/>
      <c r="L3222" s="428">
        <v>500000</v>
      </c>
      <c r="M3222" s="136">
        <f t="shared" si="83"/>
        <v>-38430.052296666312</v>
      </c>
    </row>
    <row r="3223" spans="1:13">
      <c r="A3223" s="54" t="str">
        <f>D3223&amp;E3223&amp;F3223</f>
        <v>FINANZASRECOLECCION DE BASURAHR</v>
      </c>
      <c r="B3223" t="s">
        <v>1807</v>
      </c>
      <c r="C3223" s="1">
        <v>45894</v>
      </c>
      <c r="D3223" s="71" t="s">
        <v>23</v>
      </c>
      <c r="E3223" s="71" t="s">
        <v>166</v>
      </c>
      <c r="F3223" s="70" t="s">
        <v>29</v>
      </c>
      <c r="J3223" s="71" t="s">
        <v>1982</v>
      </c>
      <c r="L3223" s="433">
        <f>1697.93+1601.83</f>
        <v>3299.76</v>
      </c>
      <c r="M3223" s="136">
        <f t="shared" si="83"/>
        <v>-41729.812296666314</v>
      </c>
    </row>
    <row r="3224" spans="1:13">
      <c r="A3224" s="54" t="str">
        <f>D3224&amp;E3224&amp;F3224</f>
        <v>FINANZASTELEPEAJEFINANZAS</v>
      </c>
      <c r="B3224" t="s">
        <v>1807</v>
      </c>
      <c r="C3224" s="1">
        <v>45894</v>
      </c>
      <c r="D3224" s="71" t="s">
        <v>23</v>
      </c>
      <c r="E3224" s="71" t="s">
        <v>186</v>
      </c>
      <c r="F3224" s="70" t="s">
        <v>23</v>
      </c>
      <c r="J3224" s="71" t="s">
        <v>706</v>
      </c>
      <c r="L3224" s="433">
        <v>472</v>
      </c>
      <c r="M3224" s="136">
        <f t="shared" si="83"/>
        <v>-42201.812296666314</v>
      </c>
    </row>
    <row r="3225" spans="1:13">
      <c r="A3225" s="54" t="str">
        <f>D3225&amp;E3225&amp;F3225</f>
        <v>HRTELEPEAJEOP HR</v>
      </c>
      <c r="B3225" t="s">
        <v>1807</v>
      </c>
      <c r="C3225" s="1">
        <v>45894</v>
      </c>
      <c r="D3225" s="71" t="s">
        <v>29</v>
      </c>
      <c r="E3225" s="71" t="s">
        <v>186</v>
      </c>
      <c r="F3225" s="143" t="s">
        <v>187</v>
      </c>
      <c r="J3225" s="71" t="s">
        <v>1983</v>
      </c>
      <c r="L3225" s="433">
        <v>596</v>
      </c>
      <c r="M3225" s="136">
        <f t="shared" si="83"/>
        <v>-42797.812296666314</v>
      </c>
    </row>
    <row r="3226" spans="1:13">
      <c r="A3226" s="54" t="str">
        <f>D3226&amp;E3226&amp;F3226</f>
        <v>SERVICIOSTELEPEAJECEDIS</v>
      </c>
      <c r="B3226" t="s">
        <v>1807</v>
      </c>
      <c r="C3226" s="1">
        <v>45894</v>
      </c>
      <c r="D3226" s="71" t="s">
        <v>21</v>
      </c>
      <c r="E3226" s="71" t="s">
        <v>186</v>
      </c>
      <c r="F3226" s="70" t="s">
        <v>28</v>
      </c>
      <c r="J3226" s="71" t="s">
        <v>1984</v>
      </c>
      <c r="L3226" s="433">
        <v>5523</v>
      </c>
      <c r="M3226" s="136">
        <f t="shared" si="83"/>
        <v>-48320.812296666314</v>
      </c>
    </row>
    <row r="3227" spans="1:13">
      <c r="A3227" s="54" t="str">
        <f>D3227&amp;E3227&amp;F3227</f>
        <v>SERVICIOSTELEPEAJECEDIS</v>
      </c>
      <c r="B3227" t="s">
        <v>1807</v>
      </c>
      <c r="C3227" s="1">
        <v>45894</v>
      </c>
      <c r="D3227" s="71" t="s">
        <v>21</v>
      </c>
      <c r="E3227" s="71" t="s">
        <v>186</v>
      </c>
      <c r="F3227" s="70" t="s">
        <v>28</v>
      </c>
      <c r="J3227" s="71" t="s">
        <v>1984</v>
      </c>
      <c r="L3227" s="433">
        <v>995</v>
      </c>
      <c r="M3227" s="136">
        <f>M3226+K3227-L3227</f>
        <v>-49315.812296666314</v>
      </c>
    </row>
    <row r="3228" spans="1:13">
      <c r="A3228" s="54" t="str">
        <f>D3228&amp;E3228&amp;F3228</f>
        <v>FINANZASFONDO Y REPOSICIONFINANZAS</v>
      </c>
      <c r="B3228" t="s">
        <v>1807</v>
      </c>
      <c r="C3228" s="1">
        <v>45894</v>
      </c>
      <c r="D3228" s="71" t="s">
        <v>23</v>
      </c>
      <c r="E3228" s="71" t="s">
        <v>120</v>
      </c>
      <c r="F3228" s="70" t="s">
        <v>23</v>
      </c>
      <c r="J3228" s="71" t="s">
        <v>1833</v>
      </c>
      <c r="L3228" s="433">
        <v>50</v>
      </c>
      <c r="M3228" s="136">
        <f t="shared" si="83"/>
        <v>-49365.812296666314</v>
      </c>
    </row>
    <row r="3229" spans="1:13">
      <c r="A3229" s="54" t="str">
        <f>D3229&amp;E3229&amp;F3229</f>
        <v>MKTINSUMOSINSUMOS</v>
      </c>
      <c r="B3229" t="s">
        <v>1807</v>
      </c>
      <c r="C3229" s="1">
        <v>45894</v>
      </c>
      <c r="D3229" s="71" t="s">
        <v>19</v>
      </c>
      <c r="E3229" s="71" t="s">
        <v>133</v>
      </c>
      <c r="F3229" s="70" t="s">
        <v>133</v>
      </c>
      <c r="J3229" s="71" t="s">
        <v>1985</v>
      </c>
      <c r="L3229" s="433">
        <v>700</v>
      </c>
      <c r="M3229" s="136">
        <f t="shared" si="83"/>
        <v>-50065.812296666314</v>
      </c>
    </row>
    <row r="3230" spans="1:13">
      <c r="A3230" s="54" t="str">
        <f>D3230&amp;E3230&amp;F3230</f>
        <v>MKTMKTINFLUENCERS</v>
      </c>
      <c r="B3230" t="s">
        <v>1807</v>
      </c>
      <c r="C3230" s="1">
        <v>45894</v>
      </c>
      <c r="D3230" t="s">
        <v>19</v>
      </c>
      <c r="E3230" t="s">
        <v>19</v>
      </c>
      <c r="F3230" t="s">
        <v>141</v>
      </c>
      <c r="J3230" s="71" t="s">
        <v>1986</v>
      </c>
      <c r="L3230" s="433">
        <v>4000</v>
      </c>
      <c r="M3230" s="136">
        <f t="shared" si="83"/>
        <v>-54065.812296666314</v>
      </c>
    </row>
    <row r="3231" spans="1:13">
      <c r="A3231" s="54" t="str">
        <f>D3231&amp;E3231&amp;F3231</f>
        <v>MKTMKTINFLUENCERS</v>
      </c>
      <c r="B3231" t="s">
        <v>1807</v>
      </c>
      <c r="C3231" s="1">
        <v>45894</v>
      </c>
      <c r="D3231" t="s">
        <v>19</v>
      </c>
      <c r="E3231" t="s">
        <v>19</v>
      </c>
      <c r="F3231" t="s">
        <v>141</v>
      </c>
      <c r="J3231" s="71" t="s">
        <v>1987</v>
      </c>
      <c r="L3231" s="433">
        <v>500</v>
      </c>
      <c r="M3231" s="136">
        <f t="shared" si="83"/>
        <v>-54565.812296666314</v>
      </c>
    </row>
    <row r="3232" spans="1:13">
      <c r="A3232" s="54" t="str">
        <f>D3232&amp;E3232&amp;F3232</f>
        <v>HRFONDO Y REPOSICIONHR</v>
      </c>
      <c r="B3232" t="s">
        <v>1807</v>
      </c>
      <c r="C3232" s="1">
        <v>45894</v>
      </c>
      <c r="D3232" s="71" t="s">
        <v>29</v>
      </c>
      <c r="E3232" s="71" t="s">
        <v>120</v>
      </c>
      <c r="F3232" s="70" t="s">
        <v>29</v>
      </c>
      <c r="J3232" s="71" t="s">
        <v>1875</v>
      </c>
      <c r="L3232" s="433">
        <v>1020</v>
      </c>
      <c r="M3232" s="136">
        <f t="shared" si="83"/>
        <v>-55585.812296666314</v>
      </c>
    </row>
    <row r="3233" spans="1:13">
      <c r="A3233" s="54" t="str">
        <f>D3233&amp;E3233&amp;F3233</f>
        <v>HRCOMBUSTIBLEHR</v>
      </c>
      <c r="B3233" t="s">
        <v>1807</v>
      </c>
      <c r="C3233" s="1">
        <v>45894</v>
      </c>
      <c r="D3233" s="71" t="s">
        <v>29</v>
      </c>
      <c r="E3233" s="71" t="s">
        <v>32</v>
      </c>
      <c r="F3233" s="70" t="s">
        <v>29</v>
      </c>
      <c r="J3233" s="71" t="s">
        <v>1988</v>
      </c>
      <c r="L3233" s="433">
        <v>500</v>
      </c>
      <c r="M3233" s="136">
        <f t="shared" si="83"/>
        <v>-56085.812296666314</v>
      </c>
    </row>
    <row r="3234" spans="1:13">
      <c r="A3234" s="54" t="str">
        <f>D3234&amp;E3234&amp;F3234</f>
        <v>HRVIATICOSHR</v>
      </c>
      <c r="B3234" t="s">
        <v>1807</v>
      </c>
      <c r="C3234" s="1">
        <v>45894</v>
      </c>
      <c r="D3234" s="71" t="s">
        <v>29</v>
      </c>
      <c r="E3234" s="71" t="s">
        <v>191</v>
      </c>
      <c r="F3234" s="70" t="s">
        <v>29</v>
      </c>
      <c r="J3234" s="71" t="s">
        <v>1989</v>
      </c>
      <c r="L3234" s="433">
        <v>5200</v>
      </c>
      <c r="M3234" s="136">
        <f t="shared" si="83"/>
        <v>-61285.812296666314</v>
      </c>
    </row>
    <row r="3235" spans="1:13">
      <c r="A3235" s="54" t="str">
        <f>D3235&amp;E3235&amp;F3235</f>
        <v>SGEVIATICOSGESTION EMPRESARIAL</v>
      </c>
      <c r="B3235" t="s">
        <v>1807</v>
      </c>
      <c r="C3235" s="1">
        <v>45894</v>
      </c>
      <c r="D3235" s="71" t="s">
        <v>39</v>
      </c>
      <c r="E3235" s="71" t="s">
        <v>191</v>
      </c>
      <c r="F3235" s="70" t="s">
        <v>40</v>
      </c>
      <c r="J3235" s="71" t="s">
        <v>1990</v>
      </c>
      <c r="L3235" s="433">
        <v>3900</v>
      </c>
      <c r="M3235" s="136">
        <f t="shared" si="83"/>
        <v>-65185.812296666314</v>
      </c>
    </row>
    <row r="3236" spans="1:13">
      <c r="A3236" s="54" t="str">
        <f>D3236&amp;E3236&amp;F3236</f>
        <v>FINANZASFONDO Y REPOSICIONFINANZAS</v>
      </c>
      <c r="B3236" t="s">
        <v>1807</v>
      </c>
      <c r="C3236" s="1">
        <v>45894</v>
      </c>
      <c r="D3236" s="71" t="s">
        <v>23</v>
      </c>
      <c r="E3236" s="71" t="s">
        <v>120</v>
      </c>
      <c r="F3236" s="70" t="s">
        <v>23</v>
      </c>
      <c r="J3236" s="71" t="s">
        <v>1991</v>
      </c>
      <c r="L3236" s="433">
        <v>300</v>
      </c>
      <c r="M3236" s="136">
        <f t="shared" si="83"/>
        <v>-65485.812296666314</v>
      </c>
    </row>
    <row r="3237" spans="1:13">
      <c r="A3237" s="54" t="str">
        <f>D3237&amp;E3237&amp;F3237</f>
        <v>SERVICIOSVIATICOSMANTENIMIENTO</v>
      </c>
      <c r="B3237" t="s">
        <v>1807</v>
      </c>
      <c r="C3237" s="1">
        <v>45894</v>
      </c>
      <c r="D3237" s="71" t="s">
        <v>21</v>
      </c>
      <c r="E3237" s="71" t="s">
        <v>191</v>
      </c>
      <c r="F3237" s="70" t="s">
        <v>35</v>
      </c>
      <c r="J3237" s="71" t="s">
        <v>424</v>
      </c>
      <c r="L3237" s="433">
        <v>1200</v>
      </c>
      <c r="M3237" s="136">
        <f t="shared" si="83"/>
        <v>-66685.812296666321</v>
      </c>
    </row>
    <row r="3238" spans="1:13">
      <c r="A3238" s="54" t="str">
        <f>D3238&amp;E3238&amp;F3238</f>
        <v>HRUBERHR</v>
      </c>
      <c r="B3238" t="s">
        <v>1807</v>
      </c>
      <c r="C3238" s="1">
        <v>45894</v>
      </c>
      <c r="D3238" s="71" t="s">
        <v>29</v>
      </c>
      <c r="E3238" s="71" t="s">
        <v>189</v>
      </c>
      <c r="F3238" s="70" t="s">
        <v>29</v>
      </c>
      <c r="J3238" s="76" t="s">
        <v>291</v>
      </c>
      <c r="L3238" s="522">
        <v>150</v>
      </c>
      <c r="M3238" s="136">
        <f t="shared" si="83"/>
        <v>-66835.812296666321</v>
      </c>
    </row>
    <row r="3239" spans="1:13">
      <c r="A3239" s="54" t="str">
        <f>D3239&amp;E3239&amp;F3239</f>
        <v>SERVICIOSMTTO DE EDIFICIOMANTENIMIENTO</v>
      </c>
      <c r="B3239" t="s">
        <v>1807</v>
      </c>
      <c r="C3239" s="1">
        <v>45894</v>
      </c>
      <c r="D3239" s="71" t="s">
        <v>21</v>
      </c>
      <c r="E3239" s="71" t="s">
        <v>142</v>
      </c>
      <c r="F3239" s="70" t="s">
        <v>35</v>
      </c>
      <c r="J3239" s="76" t="s">
        <v>1992</v>
      </c>
      <c r="L3239" s="434">
        <v>180.5</v>
      </c>
      <c r="M3239" s="136">
        <f t="shared" si="83"/>
        <v>-67016.312296666321</v>
      </c>
    </row>
    <row r="3240" spans="1:13">
      <c r="A3240" s="54" t="str">
        <f>D3240&amp;E3240&amp;F3240</f>
        <v>HRUBERHR</v>
      </c>
      <c r="B3240" t="s">
        <v>1807</v>
      </c>
      <c r="C3240" s="1">
        <v>45894</v>
      </c>
      <c r="D3240" s="71" t="s">
        <v>29</v>
      </c>
      <c r="E3240" s="71" t="s">
        <v>189</v>
      </c>
      <c r="F3240" s="70" t="s">
        <v>29</v>
      </c>
      <c r="J3240" s="76" t="s">
        <v>308</v>
      </c>
      <c r="L3240" s="522">
        <v>90</v>
      </c>
      <c r="M3240" s="136">
        <f t="shared" si="83"/>
        <v>-67106.312296666321</v>
      </c>
    </row>
    <row r="3241" spans="1:13">
      <c r="A3241" s="54" t="str">
        <f>D3241&amp;E3241&amp;F3241</f>
        <v>HRINSUMOSHR</v>
      </c>
      <c r="B3241" t="s">
        <v>1807</v>
      </c>
      <c r="C3241" s="1">
        <v>45894</v>
      </c>
      <c r="D3241" s="71" t="s">
        <v>29</v>
      </c>
      <c r="E3241" s="71" t="s">
        <v>133</v>
      </c>
      <c r="F3241" s="70" t="s">
        <v>29</v>
      </c>
      <c r="J3241" s="76" t="s">
        <v>1993</v>
      </c>
      <c r="L3241" s="434">
        <v>64</v>
      </c>
      <c r="M3241" s="136">
        <f t="shared" si="83"/>
        <v>-67170.312296666321</v>
      </c>
    </row>
    <row r="3242" spans="1:13">
      <c r="A3242" s="54" t="str">
        <f>D3242&amp;E3242&amp;F3242</f>
        <v>HRUBERHR</v>
      </c>
      <c r="B3242" t="s">
        <v>1807</v>
      </c>
      <c r="C3242" s="1">
        <v>45894</v>
      </c>
      <c r="D3242" s="71" t="s">
        <v>29</v>
      </c>
      <c r="E3242" s="71" t="s">
        <v>189</v>
      </c>
      <c r="F3242" s="70" t="s">
        <v>29</v>
      </c>
      <c r="J3242" s="76" t="s">
        <v>249</v>
      </c>
      <c r="L3242" s="522">
        <v>165</v>
      </c>
      <c r="M3242" s="136">
        <f t="shared" si="83"/>
        <v>-67335.312296666321</v>
      </c>
    </row>
    <row r="3243" spans="1:13">
      <c r="A3243" s="54" t="str">
        <f>D3243&amp;E3243&amp;F3243</f>
        <v>CAPNOMINA SUCURSALE1</v>
      </c>
      <c r="B3243" t="s">
        <v>1807</v>
      </c>
      <c r="C3243" s="1">
        <v>45894</v>
      </c>
      <c r="D3243" s="71" t="s">
        <v>31</v>
      </c>
      <c r="E3243" s="71" t="s">
        <v>154</v>
      </c>
      <c r="F3243" s="70" t="s">
        <v>107</v>
      </c>
      <c r="J3243" s="76" t="s">
        <v>1227</v>
      </c>
      <c r="L3243" s="434">
        <v>1552</v>
      </c>
      <c r="M3243" s="136">
        <f t="shared" si="83"/>
        <v>-68887.312296666321</v>
      </c>
    </row>
    <row r="3244" spans="1:13">
      <c r="A3244" s="54" t="str">
        <f>D3244&amp;E3244&amp;F3244</f>
        <v>CAPUBERCAP</v>
      </c>
      <c r="B3244" t="s">
        <v>1807</v>
      </c>
      <c r="C3244" s="1">
        <v>45894</v>
      </c>
      <c r="D3244" s="71" t="s">
        <v>31</v>
      </c>
      <c r="E3244" s="71" t="s">
        <v>189</v>
      </c>
      <c r="F3244" s="70" t="s">
        <v>31</v>
      </c>
      <c r="J3244" s="76" t="s">
        <v>253</v>
      </c>
      <c r="L3244" s="522">
        <v>522</v>
      </c>
      <c r="M3244" s="136">
        <f t="shared" si="83"/>
        <v>-69409.312296666321</v>
      </c>
    </row>
    <row r="3245" spans="1:13">
      <c r="A3245" s="54" t="str">
        <f>D3245&amp;E3245&amp;F3245</f>
        <v>CAPUBERCAP</v>
      </c>
      <c r="B3245" t="s">
        <v>1807</v>
      </c>
      <c r="C3245" s="1">
        <v>45894</v>
      </c>
      <c r="D3245" s="71" t="s">
        <v>31</v>
      </c>
      <c r="E3245" s="71" t="s">
        <v>189</v>
      </c>
      <c r="F3245" s="70" t="s">
        <v>31</v>
      </c>
      <c r="J3245" s="76" t="s">
        <v>1105</v>
      </c>
      <c r="L3245" s="522">
        <v>96</v>
      </c>
      <c r="M3245" s="136">
        <f t="shared" si="83"/>
        <v>-69505.312296666321</v>
      </c>
    </row>
    <row r="3246" spans="1:13">
      <c r="A3246" s="54" t="str">
        <f>D3246&amp;E3246&amp;F3246</f>
        <v>CAPUBERCAP</v>
      </c>
      <c r="B3246" t="s">
        <v>1807</v>
      </c>
      <c r="C3246" s="1">
        <v>45894</v>
      </c>
      <c r="D3246" s="71" t="s">
        <v>31</v>
      </c>
      <c r="E3246" s="71" t="s">
        <v>189</v>
      </c>
      <c r="F3246" s="70" t="s">
        <v>31</v>
      </c>
      <c r="J3246" s="76" t="s">
        <v>776</v>
      </c>
      <c r="L3246" s="522">
        <v>320</v>
      </c>
      <c r="M3246" s="136">
        <f t="shared" si="83"/>
        <v>-69825.312296666321</v>
      </c>
    </row>
    <row r="3247" spans="1:13">
      <c r="A3247" s="54" t="str">
        <f>D3247&amp;E3247&amp;F3247</f>
        <v>CAPINSUMOSCAPRICHOS</v>
      </c>
      <c r="B3247" t="s">
        <v>1807</v>
      </c>
      <c r="C3247" s="1">
        <v>45894</v>
      </c>
      <c r="D3247" s="71" t="s">
        <v>31</v>
      </c>
      <c r="E3247" s="71" t="s">
        <v>133</v>
      </c>
      <c r="F3247" s="70" t="s">
        <v>33</v>
      </c>
      <c r="J3247" s="76" t="s">
        <v>406</v>
      </c>
      <c r="L3247" s="434">
        <v>36</v>
      </c>
      <c r="M3247" s="136">
        <f t="shared" si="83"/>
        <v>-69861.312296666321</v>
      </c>
    </row>
    <row r="3248" spans="1:13">
      <c r="A3248" s="54" t="str">
        <f>D3248&amp;E3248&amp;F3248</f>
        <v>CAPNOMINA SUCURSALE5</v>
      </c>
      <c r="B3248" t="s">
        <v>1807</v>
      </c>
      <c r="C3248" s="1">
        <v>45894</v>
      </c>
      <c r="D3248" s="71" t="s">
        <v>31</v>
      </c>
      <c r="E3248" s="71" t="s">
        <v>154</v>
      </c>
      <c r="F3248" s="70" t="s">
        <v>111</v>
      </c>
      <c r="J3248" s="76" t="s">
        <v>314</v>
      </c>
      <c r="L3248" s="434">
        <v>852</v>
      </c>
      <c r="M3248" s="136">
        <f t="shared" si="83"/>
        <v>-70713.312296666321</v>
      </c>
    </row>
    <row r="3249" spans="1:13">
      <c r="A3249" s="54" t="str">
        <f>D3249&amp;E3249&amp;F3249</f>
        <v>CAPCAPACITACIONCAPACITACION</v>
      </c>
      <c r="B3249" t="s">
        <v>1807</v>
      </c>
      <c r="C3249" s="1">
        <v>45894</v>
      </c>
      <c r="D3249" s="71" t="s">
        <v>31</v>
      </c>
      <c r="E3249" s="71" t="s">
        <v>30</v>
      </c>
      <c r="F3249" s="70" t="s">
        <v>30</v>
      </c>
      <c r="J3249" s="76" t="s">
        <v>390</v>
      </c>
      <c r="L3249" s="434">
        <v>1063</v>
      </c>
      <c r="M3249" s="136">
        <f t="shared" si="83"/>
        <v>-71776.312296666321</v>
      </c>
    </row>
    <row r="3250" spans="1:13">
      <c r="A3250" s="54" t="str">
        <f t="shared" si="84"/>
        <v/>
      </c>
      <c r="B3250" t="s">
        <v>1807</v>
      </c>
      <c r="C3250" s="1">
        <v>45895</v>
      </c>
      <c r="D3250" s="71"/>
      <c r="F3250" s="70"/>
      <c r="J3250" s="71" t="s">
        <v>260</v>
      </c>
      <c r="K3250" s="325">
        <v>200767.48</v>
      </c>
      <c r="L3250" s="432"/>
      <c r="M3250" s="136">
        <f t="shared" si="83"/>
        <v>128991.16770333369</v>
      </c>
    </row>
    <row r="3251" spans="1:13">
      <c r="A3251" s="54" t="str">
        <f>D3251&amp;E3251&amp;F3251</f>
        <v>FINANZASCOMISIONES BANCARIASTPV</v>
      </c>
      <c r="B3251" t="s">
        <v>1807</v>
      </c>
      <c r="C3251" s="1">
        <v>45895</v>
      </c>
      <c r="D3251" s="71" t="s">
        <v>23</v>
      </c>
      <c r="E3251" s="71" t="s">
        <v>48</v>
      </c>
      <c r="F3251" s="70" t="s">
        <v>50</v>
      </c>
      <c r="J3251" s="71" t="s">
        <v>217</v>
      </c>
      <c r="L3251" s="433">
        <f>1168.78+183.99+1559.62+1072.25+610.51+16.96+141.76</f>
        <v>4753.87</v>
      </c>
      <c r="M3251" s="136">
        <f t="shared" si="83"/>
        <v>124237.29770333369</v>
      </c>
    </row>
    <row r="3252" spans="1:13">
      <c r="A3252" s="54" t="str">
        <f t="shared" si="84"/>
        <v/>
      </c>
      <c r="B3252" t="s">
        <v>1807</v>
      </c>
      <c r="C3252" s="1">
        <v>45895</v>
      </c>
      <c r="D3252" s="71"/>
      <c r="F3252" s="70"/>
      <c r="J3252" s="205" t="s">
        <v>1562</v>
      </c>
      <c r="K3252" s="205"/>
      <c r="L3252" s="428">
        <v>100000</v>
      </c>
      <c r="M3252" s="136">
        <f t="shared" si="83"/>
        <v>24237.297703333694</v>
      </c>
    </row>
    <row r="3253" spans="1:13">
      <c r="A3253" s="54" t="str">
        <f t="shared" si="84"/>
        <v/>
      </c>
      <c r="B3253" t="s">
        <v>1807</v>
      </c>
      <c r="C3253" s="1">
        <v>45895</v>
      </c>
      <c r="D3253" s="71"/>
      <c r="F3253" s="70"/>
      <c r="J3253" s="205" t="s">
        <v>222</v>
      </c>
      <c r="K3253" s="205"/>
      <c r="L3253" s="428"/>
      <c r="M3253" s="136">
        <f t="shared" si="83"/>
        <v>24237.297703333694</v>
      </c>
    </row>
    <row r="3254" spans="1:13">
      <c r="A3254" s="54" t="str">
        <f>D3254&amp;E3254&amp;F3254</f>
        <v>SERVICIOSPAQUETERIACEDIS (E6)</v>
      </c>
      <c r="B3254" t="s">
        <v>1807</v>
      </c>
      <c r="C3254" s="1">
        <v>45895</v>
      </c>
      <c r="D3254" s="71" t="s">
        <v>21</v>
      </c>
      <c r="E3254" s="71" t="s">
        <v>160</v>
      </c>
      <c r="F3254" s="70" t="s">
        <v>161</v>
      </c>
      <c r="J3254" s="71" t="s">
        <v>521</v>
      </c>
      <c r="L3254" s="439">
        <v>2563.34</v>
      </c>
      <c r="M3254" s="136">
        <f t="shared" si="83"/>
        <v>21673.957703333694</v>
      </c>
    </row>
    <row r="3255" spans="1:13">
      <c r="A3255" s="54" t="str">
        <f t="shared" si="84"/>
        <v/>
      </c>
      <c r="B3255" t="s">
        <v>1807</v>
      </c>
      <c r="C3255" s="1">
        <v>45895</v>
      </c>
      <c r="D3255" s="71"/>
      <c r="F3255" s="70"/>
      <c r="J3255" s="71" t="s">
        <v>1994</v>
      </c>
      <c r="L3255" s="439">
        <v>91422.9</v>
      </c>
      <c r="M3255" s="136">
        <f t="shared" si="83"/>
        <v>-69748.942296666297</v>
      </c>
    </row>
    <row r="3256" spans="1:13">
      <c r="A3256" s="54" t="str">
        <f>D3256&amp;E3256&amp;F3256</f>
        <v>HRFONDO Y REPOSICIONHR</v>
      </c>
      <c r="B3256" t="s">
        <v>1807</v>
      </c>
      <c r="C3256" s="1">
        <v>45895</v>
      </c>
      <c r="D3256" s="71" t="s">
        <v>29</v>
      </c>
      <c r="E3256" s="71" t="s">
        <v>120</v>
      </c>
      <c r="F3256" s="70" t="s">
        <v>29</v>
      </c>
      <c r="J3256" s="71" t="s">
        <v>539</v>
      </c>
      <c r="L3256" s="439">
        <v>2090</v>
      </c>
      <c r="M3256" s="136">
        <f t="shared" si="83"/>
        <v>-71838.942296666297</v>
      </c>
    </row>
    <row r="3257" spans="1:13">
      <c r="A3257" s="54" t="str">
        <f>D3257&amp;E3257&amp;F3257</f>
        <v>HRFONDO Y REPOSICIONHR</v>
      </c>
      <c r="B3257" t="s">
        <v>1807</v>
      </c>
      <c r="C3257" s="1">
        <v>45895</v>
      </c>
      <c r="D3257" s="71" t="s">
        <v>29</v>
      </c>
      <c r="E3257" s="71" t="s">
        <v>120</v>
      </c>
      <c r="F3257" s="70" t="s">
        <v>29</v>
      </c>
      <c r="J3257" s="71" t="s">
        <v>357</v>
      </c>
      <c r="L3257" s="439">
        <v>2050</v>
      </c>
      <c r="M3257" s="136">
        <f t="shared" si="83"/>
        <v>-73888.942296666297</v>
      </c>
    </row>
    <row r="3258" spans="1:13">
      <c r="A3258" s="54" t="str">
        <f>D3258&amp;E3258&amp;F3258</f>
        <v>FINANZASVIATICOSFINANZAS</v>
      </c>
      <c r="B3258" t="s">
        <v>1807</v>
      </c>
      <c r="C3258" s="1">
        <v>45895</v>
      </c>
      <c r="D3258" s="71" t="s">
        <v>23</v>
      </c>
      <c r="E3258" s="71" t="s">
        <v>191</v>
      </c>
      <c r="F3258" s="70" t="s">
        <v>23</v>
      </c>
      <c r="J3258" s="71" t="s">
        <v>1995</v>
      </c>
      <c r="L3258" s="439">
        <v>740</v>
      </c>
      <c r="M3258" s="136">
        <f t="shared" si="83"/>
        <v>-74628.942296666297</v>
      </c>
    </row>
    <row r="3259" spans="1:13">
      <c r="A3259" s="54" t="str">
        <f>D3259&amp;E3259&amp;F3259</f>
        <v>MKTVIATICOSMKT</v>
      </c>
      <c r="B3259" t="s">
        <v>1807</v>
      </c>
      <c r="C3259" s="1">
        <v>45895</v>
      </c>
      <c r="D3259" s="71" t="s">
        <v>19</v>
      </c>
      <c r="E3259" s="71" t="s">
        <v>191</v>
      </c>
      <c r="F3259" s="70" t="s">
        <v>19</v>
      </c>
      <c r="J3259" s="71" t="s">
        <v>1996</v>
      </c>
      <c r="L3259" s="439">
        <v>250</v>
      </c>
      <c r="M3259" s="136">
        <f t="shared" si="83"/>
        <v>-74878.942296666297</v>
      </c>
    </row>
    <row r="3260" spans="1:13">
      <c r="A3260" s="54" t="str">
        <f>D3260&amp;E3260&amp;F3260</f>
        <v>FINANZASMTTO EQ DE TRANSPORTETESORERIA</v>
      </c>
      <c r="B3260" t="s">
        <v>1807</v>
      </c>
      <c r="C3260" s="1">
        <v>45895</v>
      </c>
      <c r="D3260" s="71" t="s">
        <v>23</v>
      </c>
      <c r="E3260" s="71" t="s">
        <v>144</v>
      </c>
      <c r="F3260" s="70" t="s">
        <v>38</v>
      </c>
      <c r="J3260" s="71" t="s">
        <v>1997</v>
      </c>
      <c r="L3260" s="439">
        <v>9460</v>
      </c>
      <c r="M3260" s="136">
        <f t="shared" si="83"/>
        <v>-84338.942296666297</v>
      </c>
    </row>
    <row r="3261" spans="1:13">
      <c r="A3261" s="54" t="str">
        <f>D3261&amp;E3261&amp;F3261</f>
        <v>CAPVIATICOSCAPRICHOS</v>
      </c>
      <c r="B3261" t="s">
        <v>1807</v>
      </c>
      <c r="C3261" s="1">
        <v>45895</v>
      </c>
      <c r="D3261" s="71" t="s">
        <v>31</v>
      </c>
      <c r="E3261" s="71" t="s">
        <v>191</v>
      </c>
      <c r="F3261" s="70" t="s">
        <v>33</v>
      </c>
      <c r="J3261" s="71" t="s">
        <v>1955</v>
      </c>
      <c r="L3261" s="439">
        <v>1400</v>
      </c>
      <c r="M3261" s="136">
        <f t="shared" ref="M3261:M3325" si="85">M3260+K3261-L3261</f>
        <v>-85738.942296666297</v>
      </c>
    </row>
    <row r="3262" spans="1:13">
      <c r="A3262" s="54" t="str">
        <f>D3262&amp;E3262&amp;F3262</f>
        <v>HRINSUMOSHR</v>
      </c>
      <c r="B3262" t="s">
        <v>1807</v>
      </c>
      <c r="C3262" s="1">
        <v>45895</v>
      </c>
      <c r="D3262" s="71" t="s">
        <v>29</v>
      </c>
      <c r="E3262" s="71" t="s">
        <v>133</v>
      </c>
      <c r="F3262" s="70" t="s">
        <v>29</v>
      </c>
      <c r="J3262" s="76" t="s">
        <v>1998</v>
      </c>
      <c r="L3262" s="440">
        <v>2601</v>
      </c>
      <c r="M3262" s="136">
        <f t="shared" si="85"/>
        <v>-88339.942296666297</v>
      </c>
    </row>
    <row r="3263" spans="1:13">
      <c r="A3263" s="54" t="str">
        <f>D3263&amp;E3263&amp;F3263</f>
        <v>HRINSUMOSHR</v>
      </c>
      <c r="B3263" t="s">
        <v>1807</v>
      </c>
      <c r="C3263" s="1">
        <v>45895</v>
      </c>
      <c r="D3263" s="71" t="s">
        <v>29</v>
      </c>
      <c r="E3263" s="71" t="s">
        <v>133</v>
      </c>
      <c r="F3263" s="70" t="s">
        <v>29</v>
      </c>
      <c r="J3263" s="76" t="s">
        <v>494</v>
      </c>
      <c r="L3263" s="440">
        <v>110</v>
      </c>
      <c r="M3263" s="136">
        <f t="shared" si="85"/>
        <v>-88449.942296666297</v>
      </c>
    </row>
    <row r="3264" spans="1:13">
      <c r="A3264" s="54" t="str">
        <f>D3264&amp;E3264&amp;F3264</f>
        <v>HRJMASA16</v>
      </c>
      <c r="B3264" t="s">
        <v>1807</v>
      </c>
      <c r="C3264" s="1">
        <v>45895</v>
      </c>
      <c r="D3264" s="71" t="s">
        <v>29</v>
      </c>
      <c r="E3264" s="71" t="s">
        <v>137</v>
      </c>
      <c r="F3264" s="70" t="s">
        <v>101</v>
      </c>
      <c r="J3264" s="76" t="s">
        <v>495</v>
      </c>
      <c r="L3264" s="440">
        <v>3536</v>
      </c>
      <c r="M3264" s="136">
        <f t="shared" si="85"/>
        <v>-91985.942296666297</v>
      </c>
    </row>
    <row r="3265" spans="1:13">
      <c r="A3265" s="54" t="str">
        <f>D3265&amp;E3265&amp;F3265</f>
        <v>HRJMASA22</v>
      </c>
      <c r="B3265" t="s">
        <v>1807</v>
      </c>
      <c r="C3265" s="1">
        <v>45895</v>
      </c>
      <c r="D3265" s="71" t="s">
        <v>29</v>
      </c>
      <c r="E3265" s="71" t="s">
        <v>137</v>
      </c>
      <c r="F3265" s="70" t="s">
        <v>104</v>
      </c>
      <c r="J3265" s="76" t="s">
        <v>1999</v>
      </c>
      <c r="L3265" s="440">
        <v>2604</v>
      </c>
      <c r="M3265" s="136">
        <f t="shared" si="85"/>
        <v>-94589.942296666297</v>
      </c>
    </row>
    <row r="3266" spans="1:13">
      <c r="A3266" s="54" t="str">
        <f>D3266&amp;E3266&amp;F3266</f>
        <v>HRNOMINA SUCURSALA24</v>
      </c>
      <c r="B3266" t="s">
        <v>1807</v>
      </c>
      <c r="C3266" s="1">
        <v>45895</v>
      </c>
      <c r="D3266" s="71" t="s">
        <v>29</v>
      </c>
      <c r="E3266" s="71" t="s">
        <v>154</v>
      </c>
      <c r="F3266" s="70" t="s">
        <v>106</v>
      </c>
      <c r="J3266" s="76" t="s">
        <v>898</v>
      </c>
      <c r="L3266" s="440">
        <v>3800</v>
      </c>
      <c r="M3266" s="136">
        <f t="shared" si="85"/>
        <v>-98389.942296666297</v>
      </c>
    </row>
    <row r="3267" spans="1:13">
      <c r="A3267" s="54" t="str">
        <f>D3267&amp;E3267&amp;F3267</f>
        <v>CAPFONDO Y REPOSICIONCAPRICHOS</v>
      </c>
      <c r="B3267" t="s">
        <v>1807</v>
      </c>
      <c r="C3267" s="1">
        <v>45895</v>
      </c>
      <c r="D3267" s="71" t="s">
        <v>31</v>
      </c>
      <c r="E3267" s="71" t="s">
        <v>120</v>
      </c>
      <c r="F3267" s="70" t="s">
        <v>33</v>
      </c>
      <c r="J3267" s="76" t="s">
        <v>2000</v>
      </c>
      <c r="L3267" s="440">
        <v>300</v>
      </c>
      <c r="M3267" s="136">
        <f t="shared" si="85"/>
        <v>-98689.942296666297</v>
      </c>
    </row>
    <row r="3268" spans="1:13">
      <c r="A3268" s="54" t="str">
        <f>D3268&amp;E3268&amp;F3268</f>
        <v>CAPUBERCAP</v>
      </c>
      <c r="B3268" t="s">
        <v>1807</v>
      </c>
      <c r="C3268" s="1">
        <v>45895</v>
      </c>
      <c r="D3268" s="71" t="s">
        <v>31</v>
      </c>
      <c r="E3268" s="71" t="s">
        <v>189</v>
      </c>
      <c r="F3268" s="70" t="s">
        <v>31</v>
      </c>
      <c r="J3268" s="76" t="s">
        <v>257</v>
      </c>
      <c r="L3268" s="534">
        <v>80</v>
      </c>
      <c r="M3268" s="136">
        <f t="shared" si="85"/>
        <v>-98769.942296666297</v>
      </c>
    </row>
    <row r="3269" spans="1:13">
      <c r="A3269" s="54" t="str">
        <f>D3269&amp;E3269&amp;F3269</f>
        <v>HRJMASA16</v>
      </c>
      <c r="B3269" t="s">
        <v>1807</v>
      </c>
      <c r="C3269" s="1">
        <v>45895</v>
      </c>
      <c r="D3269" s="71" t="s">
        <v>29</v>
      </c>
      <c r="E3269" s="71" t="s">
        <v>137</v>
      </c>
      <c r="F3269" s="70" t="s">
        <v>101</v>
      </c>
      <c r="J3269" s="76" t="s">
        <v>2001</v>
      </c>
      <c r="L3269" s="440">
        <v>3536</v>
      </c>
      <c r="M3269" s="136">
        <f t="shared" si="85"/>
        <v>-102305.9422966663</v>
      </c>
    </row>
    <row r="3270" spans="1:13">
      <c r="A3270" s="54" t="str">
        <f>D3270&amp;E3270&amp;F3270</f>
        <v>CAPFONDO Y REPOSICIONCAPRICHOS</v>
      </c>
      <c r="B3270" t="s">
        <v>1807</v>
      </c>
      <c r="C3270" s="1">
        <v>45895</v>
      </c>
      <c r="D3270" s="71" t="s">
        <v>31</v>
      </c>
      <c r="E3270" s="71" t="s">
        <v>120</v>
      </c>
      <c r="F3270" s="70" t="s">
        <v>33</v>
      </c>
      <c r="J3270" s="71" t="s">
        <v>2000</v>
      </c>
      <c r="L3270" s="439">
        <v>300</v>
      </c>
      <c r="M3270" s="136">
        <f t="shared" si="85"/>
        <v>-102605.9422966663</v>
      </c>
    </row>
    <row r="3271" spans="1:13">
      <c r="A3271" s="54" t="str">
        <f t="shared" si="84"/>
        <v/>
      </c>
      <c r="B3271" t="s">
        <v>1807</v>
      </c>
      <c r="C3271" s="1">
        <v>45896</v>
      </c>
      <c r="D3271" s="71"/>
      <c r="F3271" s="70"/>
      <c r="J3271" s="71" t="s">
        <v>260</v>
      </c>
      <c r="K3271" s="325">
        <v>185100.08</v>
      </c>
      <c r="L3271" s="432"/>
      <c r="M3271" s="136">
        <f t="shared" si="85"/>
        <v>82494.13770333369</v>
      </c>
    </row>
    <row r="3272" spans="1:13">
      <c r="A3272" s="54" t="str">
        <f>D3272&amp;E3272&amp;F3272</f>
        <v>FINANZASCOMISIONES BANCARIASTPV</v>
      </c>
      <c r="B3272" t="s">
        <v>1807</v>
      </c>
      <c r="C3272" s="1">
        <v>45896</v>
      </c>
      <c r="D3272" s="71" t="s">
        <v>23</v>
      </c>
      <c r="E3272" s="71" t="s">
        <v>48</v>
      </c>
      <c r="F3272" s="70" t="s">
        <v>50</v>
      </c>
      <c r="J3272" s="71" t="s">
        <v>217</v>
      </c>
      <c r="L3272" s="433">
        <f>1221.83+106.49+1346.89+956.41+785.81+24.36+5.8+5.8</f>
        <v>4453.3900000000003</v>
      </c>
      <c r="M3272" s="136">
        <f t="shared" si="85"/>
        <v>78040.747703333691</v>
      </c>
    </row>
    <row r="3273" spans="1:13">
      <c r="A3273" s="54" t="str">
        <f t="shared" si="84"/>
        <v/>
      </c>
      <c r="B3273" t="s">
        <v>1807</v>
      </c>
      <c r="C3273" s="1">
        <v>45896</v>
      </c>
      <c r="D3273" s="71"/>
      <c r="F3273" s="70"/>
      <c r="J3273" s="205" t="s">
        <v>1562</v>
      </c>
      <c r="K3273" s="205"/>
      <c r="L3273" s="428">
        <v>100000</v>
      </c>
      <c r="M3273" s="136">
        <f t="shared" si="85"/>
        <v>-21959.252296666309</v>
      </c>
    </row>
    <row r="3274" spans="1:13">
      <c r="A3274" s="54" t="str">
        <f t="shared" si="84"/>
        <v/>
      </c>
      <c r="B3274" t="s">
        <v>1807</v>
      </c>
      <c r="C3274" s="1">
        <v>45896</v>
      </c>
      <c r="D3274" s="71"/>
      <c r="F3274" s="70"/>
      <c r="J3274" s="205" t="s">
        <v>222</v>
      </c>
      <c r="K3274" s="205"/>
      <c r="L3274" s="428"/>
      <c r="M3274" s="136">
        <f t="shared" si="85"/>
        <v>-21959.252296666309</v>
      </c>
    </row>
    <row r="3275" spans="1:13">
      <c r="A3275" s="54" t="str">
        <f>D3275&amp;E3275&amp;F3275</f>
        <v>CAPINSUMOSCAPRICHOS</v>
      </c>
      <c r="B3275" t="s">
        <v>1807</v>
      </c>
      <c r="C3275" s="1">
        <v>45896</v>
      </c>
      <c r="D3275" s="71" t="s">
        <v>31</v>
      </c>
      <c r="E3275" s="71" t="s">
        <v>133</v>
      </c>
      <c r="F3275" s="70" t="s">
        <v>33</v>
      </c>
      <c r="G3275" s="83" t="s">
        <v>258</v>
      </c>
      <c r="J3275" s="71" t="s">
        <v>2002</v>
      </c>
      <c r="L3275" s="433">
        <v>8315.4599999999991</v>
      </c>
      <c r="M3275" s="136">
        <f t="shared" si="85"/>
        <v>-30274.712296666308</v>
      </c>
    </row>
    <row r="3276" spans="1:13">
      <c r="A3276" s="54" t="str">
        <f>D3276&amp;E3276&amp;F3276</f>
        <v>HRFONDO Y REPOSICIONHR</v>
      </c>
      <c r="B3276" t="s">
        <v>1807</v>
      </c>
      <c r="C3276" s="1">
        <v>45896</v>
      </c>
      <c r="D3276" s="71" t="s">
        <v>29</v>
      </c>
      <c r="E3276" s="71" t="s">
        <v>120</v>
      </c>
      <c r="F3276" s="70" t="s">
        <v>29</v>
      </c>
      <c r="J3276" s="71" t="s">
        <v>357</v>
      </c>
      <c r="L3276" s="433">
        <v>1692</v>
      </c>
      <c r="M3276" s="136">
        <f t="shared" si="85"/>
        <v>-31966.712296666308</v>
      </c>
    </row>
    <row r="3277" spans="1:13">
      <c r="A3277" s="54" t="str">
        <f>D3277&amp;E3277&amp;F3277</f>
        <v>MKTVIATICOSMKT</v>
      </c>
      <c r="B3277" t="s">
        <v>1807</v>
      </c>
      <c r="C3277" s="1">
        <v>45896</v>
      </c>
      <c r="D3277" s="71" t="s">
        <v>19</v>
      </c>
      <c r="E3277" s="71" t="s">
        <v>191</v>
      </c>
      <c r="F3277" s="70" t="s">
        <v>19</v>
      </c>
      <c r="J3277" s="71" t="s">
        <v>2003</v>
      </c>
      <c r="L3277" s="433">
        <v>250</v>
      </c>
      <c r="M3277" s="136">
        <f t="shared" si="85"/>
        <v>-32216.712296666308</v>
      </c>
    </row>
    <row r="3278" spans="1:13">
      <c r="A3278" s="54" t="str">
        <f>D3278&amp;E3278&amp;F3278</f>
        <v>HRENERGIA ELECTRICAA6</v>
      </c>
      <c r="B3278" t="s">
        <v>1807</v>
      </c>
      <c r="C3278" s="1">
        <v>45896</v>
      </c>
      <c r="D3278" s="71" t="s">
        <v>29</v>
      </c>
      <c r="E3278" s="71" t="s">
        <v>87</v>
      </c>
      <c r="F3278" s="70" t="s">
        <v>93</v>
      </c>
      <c r="J3278" s="71" t="s">
        <v>1472</v>
      </c>
      <c r="L3278" s="433">
        <v>9633</v>
      </c>
      <c r="M3278" s="136">
        <f t="shared" si="85"/>
        <v>-41849.712296666308</v>
      </c>
    </row>
    <row r="3279" spans="1:13">
      <c r="A3279" s="54" t="str">
        <f>D3279&amp;E3279&amp;F3279</f>
        <v>HRENERGIA ELECTRICAA6</v>
      </c>
      <c r="B3279" t="s">
        <v>1807</v>
      </c>
      <c r="C3279" s="1">
        <v>45896</v>
      </c>
      <c r="D3279" s="71" t="s">
        <v>29</v>
      </c>
      <c r="E3279" s="71" t="s">
        <v>87</v>
      </c>
      <c r="F3279" s="70" t="s">
        <v>93</v>
      </c>
      <c r="J3279" s="71" t="s">
        <v>1263</v>
      </c>
      <c r="L3279" s="433">
        <v>4648</v>
      </c>
      <c r="M3279" s="136">
        <f t="shared" si="85"/>
        <v>-46497.712296666308</v>
      </c>
    </row>
    <row r="3280" spans="1:13">
      <c r="A3280" s="54" t="str">
        <f>D3280&amp;E3280&amp;F3280</f>
        <v>FINANZASINSUMOSFINANZAS</v>
      </c>
      <c r="B3280" t="s">
        <v>1807</v>
      </c>
      <c r="C3280" s="1">
        <v>45896</v>
      </c>
      <c r="D3280" s="71" t="s">
        <v>23</v>
      </c>
      <c r="E3280" s="71" t="s">
        <v>133</v>
      </c>
      <c r="F3280" s="70" t="s">
        <v>23</v>
      </c>
      <c r="J3280" s="71" t="s">
        <v>2004</v>
      </c>
      <c r="L3280" s="433">
        <v>116</v>
      </c>
      <c r="M3280" s="136">
        <f t="shared" si="85"/>
        <v>-46613.712296666308</v>
      </c>
    </row>
    <row r="3281" spans="1:14">
      <c r="A3281" s="54" t="str">
        <f>D3281&amp;E3281&amp;F3281</f>
        <v>SERVICIOSVIATICOSSISTEMAS</v>
      </c>
      <c r="B3281" t="s">
        <v>1807</v>
      </c>
      <c r="C3281" s="1">
        <v>45896</v>
      </c>
      <c r="D3281" s="71" t="s">
        <v>21</v>
      </c>
      <c r="E3281" s="71" t="s">
        <v>191</v>
      </c>
      <c r="F3281" s="70" t="s">
        <v>36</v>
      </c>
      <c r="J3281" s="71" t="s">
        <v>2005</v>
      </c>
      <c r="L3281" s="433">
        <v>1200</v>
      </c>
      <c r="M3281" s="136">
        <f t="shared" si="85"/>
        <v>-47813.712296666308</v>
      </c>
    </row>
    <row r="3282" spans="1:14">
      <c r="A3282" s="54" t="str">
        <f>D3282&amp;E3282&amp;F3282</f>
        <v>FINANZASVIATICOSFINANZAS</v>
      </c>
      <c r="B3282" t="s">
        <v>1807</v>
      </c>
      <c r="C3282" s="1">
        <v>45896</v>
      </c>
      <c r="D3282" s="71" t="s">
        <v>23</v>
      </c>
      <c r="E3282" s="71" t="s">
        <v>191</v>
      </c>
      <c r="F3282" s="70" t="s">
        <v>23</v>
      </c>
      <c r="G3282" s="83" t="s">
        <v>258</v>
      </c>
      <c r="J3282" s="71" t="s">
        <v>2006</v>
      </c>
      <c r="L3282" s="433">
        <v>800</v>
      </c>
      <c r="M3282" s="136">
        <f t="shared" si="85"/>
        <v>-48613.712296666308</v>
      </c>
    </row>
    <row r="3283" spans="1:14">
      <c r="A3283" s="54" t="str">
        <f>D3283&amp;E3283&amp;F3283</f>
        <v>FINANZASFONDO Y REPOSICIONFINANZAS</v>
      </c>
      <c r="B3283" t="s">
        <v>1807</v>
      </c>
      <c r="C3283" s="1">
        <v>45896</v>
      </c>
      <c r="D3283" s="71" t="s">
        <v>23</v>
      </c>
      <c r="E3283" s="71" t="s">
        <v>120</v>
      </c>
      <c r="F3283" s="70" t="s">
        <v>23</v>
      </c>
      <c r="J3283" s="71" t="s">
        <v>2007</v>
      </c>
      <c r="L3283" s="433">
        <v>7035</v>
      </c>
      <c r="M3283" s="136">
        <f t="shared" si="85"/>
        <v>-55648.712296666308</v>
      </c>
    </row>
    <row r="3284" spans="1:14">
      <c r="A3284" s="54" t="str">
        <f>D3284&amp;E3284&amp;F3284</f>
        <v>CAPUBERCAP</v>
      </c>
      <c r="B3284" t="s">
        <v>1807</v>
      </c>
      <c r="C3284" s="1">
        <v>45896</v>
      </c>
      <c r="D3284" s="71" t="s">
        <v>31</v>
      </c>
      <c r="E3284" s="71" t="s">
        <v>189</v>
      </c>
      <c r="F3284" s="70" t="s">
        <v>31</v>
      </c>
      <c r="J3284" s="76" t="s">
        <v>253</v>
      </c>
      <c r="L3284" s="522">
        <v>125</v>
      </c>
      <c r="M3284" s="136">
        <f t="shared" si="85"/>
        <v>-55773.712296666308</v>
      </c>
    </row>
    <row r="3285" spans="1:14">
      <c r="A3285" s="54" t="str">
        <f>D3285&amp;E3285&amp;F3285</f>
        <v>CAPUBERCAP</v>
      </c>
      <c r="B3285" t="s">
        <v>1807</v>
      </c>
      <c r="C3285" s="1">
        <v>45896</v>
      </c>
      <c r="D3285" s="71" t="s">
        <v>31</v>
      </c>
      <c r="E3285" s="71" t="s">
        <v>189</v>
      </c>
      <c r="F3285" s="70" t="s">
        <v>31</v>
      </c>
      <c r="J3285" s="76" t="s">
        <v>257</v>
      </c>
      <c r="L3285" s="522">
        <v>180</v>
      </c>
      <c r="M3285" s="136">
        <f t="shared" si="85"/>
        <v>-55953.712296666308</v>
      </c>
    </row>
    <row r="3286" spans="1:14">
      <c r="A3286" s="54" t="str">
        <f>D3286&amp;E3286&amp;F3286</f>
        <v>HRUBERHR</v>
      </c>
      <c r="B3286" t="s">
        <v>1807</v>
      </c>
      <c r="C3286" s="1">
        <v>45896</v>
      </c>
      <c r="D3286" s="71" t="s">
        <v>29</v>
      </c>
      <c r="E3286" s="71" t="s">
        <v>189</v>
      </c>
      <c r="F3286" s="70" t="s">
        <v>29</v>
      </c>
      <c r="J3286" s="76" t="s">
        <v>456</v>
      </c>
      <c r="L3286" s="522">
        <v>118</v>
      </c>
      <c r="M3286" s="136">
        <f t="shared" si="85"/>
        <v>-56071.712296666308</v>
      </c>
    </row>
    <row r="3287" spans="1:14">
      <c r="A3287" s="54" t="str">
        <f>D3287&amp;E3287&amp;F3287</f>
        <v>HRFONDO Y REPOSICIONHR</v>
      </c>
      <c r="B3287" t="s">
        <v>1807</v>
      </c>
      <c r="C3287" s="1">
        <v>45896</v>
      </c>
      <c r="D3287" s="71" t="s">
        <v>29</v>
      </c>
      <c r="E3287" s="71" t="s">
        <v>120</v>
      </c>
      <c r="F3287" s="70" t="s">
        <v>29</v>
      </c>
      <c r="J3287" s="76" t="s">
        <v>801</v>
      </c>
      <c r="L3287" s="434">
        <v>10</v>
      </c>
      <c r="M3287" s="136">
        <f t="shared" si="85"/>
        <v>-56081.712296666308</v>
      </c>
    </row>
    <row r="3288" spans="1:14">
      <c r="A3288" s="54" t="str">
        <f t="shared" ref="A3281:A3345" si="86">D3288&amp;E3288&amp;F3288</f>
        <v/>
      </c>
      <c r="B3288" t="s">
        <v>1807</v>
      </c>
      <c r="C3288" s="1">
        <v>45897</v>
      </c>
      <c r="D3288" s="71"/>
      <c r="F3288" s="70"/>
      <c r="J3288" s="71" t="s">
        <v>260</v>
      </c>
      <c r="K3288" s="325">
        <v>202394.15</v>
      </c>
      <c r="L3288" s="432"/>
      <c r="M3288" s="136">
        <f t="shared" si="85"/>
        <v>146312.43770333368</v>
      </c>
    </row>
    <row r="3289" spans="1:14">
      <c r="A3289" s="54" t="str">
        <f>D3289&amp;E3289&amp;F3289</f>
        <v>FINANZASCOMISIONES BANCARIASTPV</v>
      </c>
      <c r="B3289" t="s">
        <v>1807</v>
      </c>
      <c r="C3289" s="1">
        <v>45897</v>
      </c>
      <c r="D3289" s="71" t="s">
        <v>23</v>
      </c>
      <c r="E3289" s="71" t="s">
        <v>48</v>
      </c>
      <c r="F3289" s="70" t="s">
        <v>50</v>
      </c>
      <c r="J3289" s="71" t="s">
        <v>217</v>
      </c>
      <c r="L3289" s="433">
        <f>221.83+1060+1346.89+956.41+785+24.3</f>
        <v>4394.43</v>
      </c>
      <c r="M3289" s="136">
        <f t="shared" si="85"/>
        <v>141918.00770333369</v>
      </c>
    </row>
    <row r="3290" spans="1:14">
      <c r="A3290" s="54" t="str">
        <f t="shared" si="86"/>
        <v/>
      </c>
      <c r="B3290" t="s">
        <v>1807</v>
      </c>
      <c r="C3290" s="1">
        <v>45897</v>
      </c>
      <c r="D3290" s="71"/>
      <c r="F3290" s="70"/>
      <c r="J3290" s="205" t="s">
        <v>1562</v>
      </c>
      <c r="K3290" s="205"/>
      <c r="L3290" s="428">
        <v>150000</v>
      </c>
      <c r="M3290" s="136">
        <f t="shared" si="85"/>
        <v>-8081.9922966663144</v>
      </c>
    </row>
    <row r="3291" spans="1:14">
      <c r="A3291" s="54" t="str">
        <f t="shared" si="86"/>
        <v/>
      </c>
      <c r="B3291" t="s">
        <v>1807</v>
      </c>
      <c r="C3291" s="1">
        <v>45897</v>
      </c>
      <c r="D3291" s="71"/>
      <c r="F3291" s="70"/>
      <c r="J3291" s="205" t="s">
        <v>222</v>
      </c>
      <c r="K3291" s="205"/>
      <c r="L3291" s="428"/>
      <c r="M3291" s="136">
        <f t="shared" si="85"/>
        <v>-8081.9922966663144</v>
      </c>
    </row>
    <row r="3292" spans="1:14" s="229" customFormat="1">
      <c r="A3292" s="54" t="str">
        <f>D3292&amp;E3292&amp;F3292</f>
        <v>SERVICIOSMTTO DE EDIFICIOMANTENIMIENTO</v>
      </c>
      <c r="B3292" s="229" t="s">
        <v>1807</v>
      </c>
      <c r="C3292" s="244">
        <v>45897</v>
      </c>
      <c r="D3292" s="242" t="s">
        <v>21</v>
      </c>
      <c r="E3292" s="242" t="s">
        <v>142</v>
      </c>
      <c r="F3292" s="77" t="s">
        <v>35</v>
      </c>
      <c r="G3292" s="423" t="s">
        <v>258</v>
      </c>
      <c r="H3292" s="423"/>
      <c r="I3292" s="423"/>
      <c r="J3292" s="242" t="s">
        <v>2008</v>
      </c>
      <c r="K3292" s="332"/>
      <c r="L3292" s="436">
        <v>1900</v>
      </c>
      <c r="M3292" s="136">
        <f t="shared" si="85"/>
        <v>-9981.9922966663144</v>
      </c>
      <c r="N3292" s="242"/>
    </row>
    <row r="3293" spans="1:14">
      <c r="A3293" s="54" t="str">
        <f>D3293&amp;E3293&amp;F3293</f>
        <v>FINANZASVIATICOSFINANZAS</v>
      </c>
      <c r="B3293" t="s">
        <v>1807</v>
      </c>
      <c r="C3293" s="1">
        <v>45897</v>
      </c>
      <c r="D3293" s="71" t="s">
        <v>23</v>
      </c>
      <c r="E3293" s="71" t="s">
        <v>191</v>
      </c>
      <c r="F3293" s="70" t="s">
        <v>23</v>
      </c>
      <c r="J3293" s="71" t="s">
        <v>2009</v>
      </c>
      <c r="L3293" s="433">
        <v>800</v>
      </c>
      <c r="M3293" s="136">
        <f t="shared" si="85"/>
        <v>-10781.992296666314</v>
      </c>
    </row>
    <row r="3294" spans="1:14">
      <c r="A3294" s="54" t="str">
        <f>D3294&amp;E3294&amp;F3294</f>
        <v>SERVICIOSVIATICOSCOMPRAS</v>
      </c>
      <c r="B3294" t="s">
        <v>1807</v>
      </c>
      <c r="C3294" s="1">
        <v>45897</v>
      </c>
      <c r="D3294" t="s">
        <v>21</v>
      </c>
      <c r="E3294" s="12" t="s">
        <v>191</v>
      </c>
      <c r="F3294" s="12" t="s">
        <v>148</v>
      </c>
      <c r="J3294" s="71" t="s">
        <v>1040</v>
      </c>
      <c r="L3294" s="433">
        <v>900</v>
      </c>
      <c r="M3294" s="136">
        <f t="shared" si="85"/>
        <v>-11681.992296666314</v>
      </c>
    </row>
    <row r="3295" spans="1:14">
      <c r="A3295" s="54" t="str">
        <f>D3295&amp;E3295&amp;F3295</f>
        <v>DEVIATICOSDIRECCION</v>
      </c>
      <c r="B3295" t="s">
        <v>1807</v>
      </c>
      <c r="C3295" s="1">
        <v>45897</v>
      </c>
      <c r="D3295" s="71" t="s">
        <v>41</v>
      </c>
      <c r="E3295" s="71" t="s">
        <v>191</v>
      </c>
      <c r="F3295" s="70" t="s">
        <v>42</v>
      </c>
      <c r="J3295" s="71" t="s">
        <v>2010</v>
      </c>
      <c r="L3295" s="433">
        <v>1000</v>
      </c>
      <c r="M3295" s="136">
        <f t="shared" si="85"/>
        <v>-12681.992296666314</v>
      </c>
    </row>
    <row r="3296" spans="1:14">
      <c r="A3296" s="54" t="str">
        <f>D3296&amp;E3296&amp;F3296</f>
        <v>CAPUBERCAP</v>
      </c>
      <c r="B3296" t="s">
        <v>1807</v>
      </c>
      <c r="C3296" s="1">
        <v>45897</v>
      </c>
      <c r="D3296" s="71" t="s">
        <v>31</v>
      </c>
      <c r="E3296" s="71" t="s">
        <v>189</v>
      </c>
      <c r="F3296" s="70" t="s">
        <v>31</v>
      </c>
      <c r="J3296" s="76" t="s">
        <v>873</v>
      </c>
      <c r="L3296" s="522">
        <v>125</v>
      </c>
      <c r="M3296" s="136">
        <f t="shared" si="85"/>
        <v>-12806.992296666314</v>
      </c>
    </row>
    <row r="3297" spans="1:13">
      <c r="A3297" s="54" t="str">
        <f t="shared" si="86"/>
        <v/>
      </c>
      <c r="B3297" t="s">
        <v>1807</v>
      </c>
      <c r="C3297" s="1">
        <v>45898</v>
      </c>
      <c r="D3297" s="71"/>
      <c r="F3297" s="70"/>
      <c r="J3297" s="71" t="s">
        <v>260</v>
      </c>
      <c r="K3297" s="325">
        <v>228503.44</v>
      </c>
      <c r="L3297" s="432"/>
      <c r="M3297" s="136">
        <f t="shared" si="85"/>
        <v>215696.44770333369</v>
      </c>
    </row>
    <row r="3298" spans="1:13">
      <c r="A3298" s="54" t="str">
        <f>D3298&amp;E3298&amp;F3298</f>
        <v>FINANZASCOMISIONES BANCARIASTPV</v>
      </c>
      <c r="B3298" t="s">
        <v>1807</v>
      </c>
      <c r="C3298" s="1">
        <v>45898</v>
      </c>
      <c r="D3298" s="71" t="s">
        <v>23</v>
      </c>
      <c r="E3298" s="71" t="s">
        <v>48</v>
      </c>
      <c r="F3298" s="70" t="s">
        <v>50</v>
      </c>
      <c r="J3298" s="71" t="s">
        <v>217</v>
      </c>
      <c r="L3298" s="433">
        <f>186.76+12395.56+71.42+1964.14+1071.69</f>
        <v>15689.57</v>
      </c>
      <c r="M3298" s="136">
        <f t="shared" si="85"/>
        <v>200006.87770333368</v>
      </c>
    </row>
    <row r="3299" spans="1:13">
      <c r="A3299" s="54" t="str">
        <f>D3299&amp;E3299&amp;F3299</f>
        <v>FINANZASCOMISIONES BANCARIASMANEJO DE CUENTA</v>
      </c>
      <c r="B3299" t="s">
        <v>1807</v>
      </c>
      <c r="C3299" s="1">
        <v>45898</v>
      </c>
      <c r="D3299" s="71" t="s">
        <v>23</v>
      </c>
      <c r="E3299" s="71" t="s">
        <v>48</v>
      </c>
      <c r="F3299" s="70" t="s">
        <v>49</v>
      </c>
      <c r="J3299" s="71" t="s">
        <v>764</v>
      </c>
      <c r="L3299" s="433">
        <f>464+464</f>
        <v>928</v>
      </c>
      <c r="M3299" s="136">
        <f t="shared" si="85"/>
        <v>199078.87770333368</v>
      </c>
    </row>
    <row r="3300" spans="1:13">
      <c r="A3300" s="54" t="str">
        <f t="shared" si="86"/>
        <v/>
      </c>
      <c r="B3300" t="s">
        <v>1807</v>
      </c>
      <c r="C3300" s="1">
        <v>45898</v>
      </c>
      <c r="D3300" s="71"/>
      <c r="F3300" s="70"/>
      <c r="J3300" s="205" t="s">
        <v>1562</v>
      </c>
      <c r="K3300" s="205"/>
      <c r="L3300" s="428">
        <v>160000</v>
      </c>
      <c r="M3300" s="136">
        <f t="shared" si="85"/>
        <v>39078.877703333681</v>
      </c>
    </row>
    <row r="3301" spans="1:13">
      <c r="A3301" s="54" t="str">
        <f t="shared" si="86"/>
        <v/>
      </c>
      <c r="B3301" t="s">
        <v>1807</v>
      </c>
      <c r="C3301" s="1">
        <v>45898</v>
      </c>
      <c r="D3301" s="71"/>
      <c r="F3301" s="70"/>
      <c r="J3301" s="205" t="s">
        <v>222</v>
      </c>
      <c r="K3301" s="205"/>
      <c r="L3301" s="428"/>
      <c r="M3301" s="136">
        <f t="shared" si="85"/>
        <v>39078.877703333681</v>
      </c>
    </row>
    <row r="3302" spans="1:13">
      <c r="A3302" s="54" t="str">
        <f>D3302&amp;E3302&amp;F3302</f>
        <v>SERVICIOSMTTO EQ DE TRANSPORTECEDIS</v>
      </c>
      <c r="B3302" t="s">
        <v>1807</v>
      </c>
      <c r="C3302" s="1">
        <v>45898</v>
      </c>
      <c r="D3302" s="71" t="s">
        <v>21</v>
      </c>
      <c r="E3302" s="71" t="s">
        <v>144</v>
      </c>
      <c r="F3302" s="70" t="s">
        <v>28</v>
      </c>
      <c r="G3302" s="83" t="s">
        <v>258</v>
      </c>
      <c r="J3302" s="71" t="s">
        <v>2011</v>
      </c>
      <c r="L3302" s="208">
        <v>6072.95</v>
      </c>
      <c r="M3302" s="136">
        <f t="shared" si="85"/>
        <v>33005.927703333684</v>
      </c>
    </row>
    <row r="3303" spans="1:13">
      <c r="A3303" s="54" t="str">
        <f>D3303&amp;E3303&amp;F3303</f>
        <v>FINANZASRENTASE8</v>
      </c>
      <c r="B3303" t="s">
        <v>1807</v>
      </c>
      <c r="C3303" s="1">
        <v>45898</v>
      </c>
      <c r="D3303" s="71" t="s">
        <v>23</v>
      </c>
      <c r="E3303" s="71" t="s">
        <v>169</v>
      </c>
      <c r="F3303" s="70" t="s">
        <v>114</v>
      </c>
      <c r="J3303" s="71" t="s">
        <v>2012</v>
      </c>
      <c r="L3303" s="433">
        <v>15125.9</v>
      </c>
      <c r="M3303" s="136">
        <f t="shared" si="85"/>
        <v>17880.027703333682</v>
      </c>
    </row>
    <row r="3304" spans="1:13">
      <c r="A3304" s="54" t="str">
        <f>D3304&amp;E3304&amp;F3304</f>
        <v>CAPJMASE8</v>
      </c>
      <c r="B3304" t="s">
        <v>1807</v>
      </c>
      <c r="C3304" s="1">
        <v>45898</v>
      </c>
      <c r="D3304" s="71" t="s">
        <v>31</v>
      </c>
      <c r="E3304" s="71" t="s">
        <v>137</v>
      </c>
      <c r="F3304" s="70" t="s">
        <v>114</v>
      </c>
      <c r="J3304" s="71" t="s">
        <v>2013</v>
      </c>
      <c r="L3304" s="433">
        <v>1509.07</v>
      </c>
      <c r="M3304" s="136">
        <f t="shared" si="85"/>
        <v>16370.957703333683</v>
      </c>
    </row>
    <row r="3305" spans="1:13">
      <c r="A3305" s="54" t="str">
        <f>D3305&amp;E3305&amp;F3305</f>
        <v>CAPJMASE9</v>
      </c>
      <c r="B3305" t="s">
        <v>1807</v>
      </c>
      <c r="C3305" s="1">
        <v>45898</v>
      </c>
      <c r="D3305" s="71" t="s">
        <v>31</v>
      </c>
      <c r="E3305" s="71" t="s">
        <v>137</v>
      </c>
      <c r="F3305" s="70" t="s">
        <v>116</v>
      </c>
      <c r="J3305" s="71" t="s">
        <v>2014</v>
      </c>
      <c r="L3305" s="433">
        <v>69.77</v>
      </c>
      <c r="M3305" s="136">
        <f t="shared" si="85"/>
        <v>16301.187703333682</v>
      </c>
    </row>
    <row r="3306" spans="1:13">
      <c r="A3306" s="54" t="str">
        <f>D3306&amp;E3306&amp;F3306</f>
        <v>HRJMASA8</v>
      </c>
      <c r="B3306" t="s">
        <v>1807</v>
      </c>
      <c r="C3306" s="1">
        <v>45898</v>
      </c>
      <c r="D3306" s="71" t="s">
        <v>29</v>
      </c>
      <c r="E3306" s="71" t="s">
        <v>137</v>
      </c>
      <c r="F3306" s="70" t="s">
        <v>94</v>
      </c>
      <c r="J3306" s="71" t="s">
        <v>1223</v>
      </c>
      <c r="L3306" s="433">
        <v>185.58</v>
      </c>
      <c r="M3306" s="136">
        <f t="shared" si="85"/>
        <v>16115.607703333682</v>
      </c>
    </row>
    <row r="3307" spans="1:13">
      <c r="A3307" s="54" t="str">
        <f>D3307&amp;E3307&amp;F3307</f>
        <v>SERVICIOSADQ DE EQ TECNOLOGICOADQ DE EQ TECNOLOGICO</v>
      </c>
      <c r="B3307" t="s">
        <v>1807</v>
      </c>
      <c r="C3307" s="1">
        <v>45898</v>
      </c>
      <c r="D3307" s="71" t="s">
        <v>21</v>
      </c>
      <c r="E3307" s="71" t="s">
        <v>22</v>
      </c>
      <c r="F3307" s="70" t="s">
        <v>22</v>
      </c>
      <c r="J3307" s="71" t="s">
        <v>2015</v>
      </c>
      <c r="L3307" s="433">
        <v>6500</v>
      </c>
      <c r="M3307" s="136">
        <f t="shared" si="85"/>
        <v>9615.6077033336824</v>
      </c>
    </row>
    <row r="3308" spans="1:13">
      <c r="A3308" s="54" t="str">
        <f>D3308&amp;E3308&amp;F3308</f>
        <v>SERVICIOSPAQUETERIACT INTERNACIONAL</v>
      </c>
      <c r="B3308" t="s">
        <v>1807</v>
      </c>
      <c r="C3308" s="1">
        <v>45898</v>
      </c>
      <c r="D3308" s="71" t="s">
        <v>21</v>
      </c>
      <c r="E3308" s="71" t="s">
        <v>160</v>
      </c>
      <c r="F3308" s="70" t="s">
        <v>162</v>
      </c>
      <c r="G3308" s="83"/>
      <c r="J3308" s="71" t="s">
        <v>2016</v>
      </c>
      <c r="L3308" s="433">
        <v>140</v>
      </c>
      <c r="M3308" s="136">
        <f t="shared" si="85"/>
        <v>9475.6077033336824</v>
      </c>
    </row>
    <row r="3309" spans="1:13">
      <c r="A3309" s="54" t="str">
        <f>D3309&amp;E3309&amp;F3309</f>
        <v>SERVICIOSINSUMOSCADENA DE SUMINISTROS</v>
      </c>
      <c r="B3309" t="s">
        <v>1807</v>
      </c>
      <c r="C3309" s="1">
        <v>45898</v>
      </c>
      <c r="D3309" s="71" t="s">
        <v>21</v>
      </c>
      <c r="E3309" s="71" t="s">
        <v>133</v>
      </c>
      <c r="F3309" s="70" t="s">
        <v>134</v>
      </c>
      <c r="G3309" s="83" t="s">
        <v>258</v>
      </c>
      <c r="J3309" s="71" t="s">
        <v>2017</v>
      </c>
      <c r="L3309" s="433">
        <v>7215.2</v>
      </c>
      <c r="M3309" s="136">
        <f t="shared" si="85"/>
        <v>2260.4077033336825</v>
      </c>
    </row>
    <row r="3310" spans="1:13">
      <c r="A3310" s="54" t="str">
        <f>D3310&amp;E3310&amp;F3310</f>
        <v>SERVICIOSINSUMOSCADENA DE SUMINISTROS</v>
      </c>
      <c r="B3310" t="s">
        <v>1807</v>
      </c>
      <c r="C3310" s="1">
        <v>45898</v>
      </c>
      <c r="D3310" s="71" t="s">
        <v>21</v>
      </c>
      <c r="E3310" s="71" t="s">
        <v>133</v>
      </c>
      <c r="F3310" s="70" t="s">
        <v>134</v>
      </c>
      <c r="G3310" s="83" t="s">
        <v>258</v>
      </c>
      <c r="J3310" s="71" t="s">
        <v>923</v>
      </c>
      <c r="L3310" s="433">
        <v>3412.63</v>
      </c>
      <c r="M3310" s="136">
        <f t="shared" si="85"/>
        <v>-1152.2222966663176</v>
      </c>
    </row>
    <row r="3311" spans="1:13">
      <c r="A3311" s="54" t="str">
        <f>D3311&amp;E3311&amp;F3311</f>
        <v>SERVICIOSGASCEDIS</v>
      </c>
      <c r="B3311" t="s">
        <v>1807</v>
      </c>
      <c r="C3311" s="1">
        <v>45898</v>
      </c>
      <c r="D3311" s="71" t="s">
        <v>21</v>
      </c>
      <c r="E3311" s="71" t="s">
        <v>122</v>
      </c>
      <c r="F3311" s="70" t="s">
        <v>28</v>
      </c>
      <c r="J3311" s="71" t="s">
        <v>2018</v>
      </c>
      <c r="L3311" s="433">
        <v>300</v>
      </c>
      <c r="M3311" s="136">
        <f t="shared" si="85"/>
        <v>-1452.2222966663176</v>
      </c>
    </row>
    <row r="3312" spans="1:13">
      <c r="A3312" s="54" t="str">
        <f>D3312&amp;E3312&amp;F3312</f>
        <v>SERVICIOSFONDO Y REPOSICIONSERVICIOS</v>
      </c>
      <c r="B3312" t="s">
        <v>1807</v>
      </c>
      <c r="C3312" s="1">
        <v>45898</v>
      </c>
      <c r="D3312" s="71" t="s">
        <v>21</v>
      </c>
      <c r="E3312" s="71" t="s">
        <v>120</v>
      </c>
      <c r="F3312" s="70" t="s">
        <v>21</v>
      </c>
      <c r="J3312" s="71" t="s">
        <v>2019</v>
      </c>
      <c r="L3312" s="433">
        <v>500</v>
      </c>
      <c r="M3312" s="136">
        <f t="shared" si="85"/>
        <v>-1952.2222966663176</v>
      </c>
    </row>
    <row r="3313" spans="1:15">
      <c r="A3313" s="54" t="str">
        <f>D3313&amp;E3313&amp;F3313</f>
        <v>MKTACTIVACION MKT</v>
      </c>
      <c r="B3313" t="s">
        <v>1807</v>
      </c>
      <c r="C3313" s="1">
        <v>45898</v>
      </c>
      <c r="D3313" t="s">
        <v>19</v>
      </c>
      <c r="E3313" t="s">
        <v>20</v>
      </c>
      <c r="F3313" t="s">
        <v>19</v>
      </c>
      <c r="J3313" s="71" t="s">
        <v>2020</v>
      </c>
      <c r="L3313" s="433">
        <v>1500</v>
      </c>
      <c r="M3313" s="136">
        <f t="shared" si="85"/>
        <v>-3452.2222966663176</v>
      </c>
    </row>
    <row r="3314" spans="1:15">
      <c r="A3314" s="54" t="str">
        <f t="shared" si="86"/>
        <v/>
      </c>
      <c r="B3314" t="s">
        <v>1807</v>
      </c>
      <c r="C3314" s="1">
        <v>45898</v>
      </c>
      <c r="D3314" s="71"/>
      <c r="F3314" s="70"/>
      <c r="J3314" s="71" t="s">
        <v>2021</v>
      </c>
      <c r="L3314" s="433">
        <v>36827</v>
      </c>
      <c r="M3314" s="136">
        <f t="shared" si="85"/>
        <v>-40279.222296666318</v>
      </c>
    </row>
    <row r="3315" spans="1:15">
      <c r="A3315" s="54" t="str">
        <f>D3315&amp;E3315&amp;F3315</f>
        <v>MKTMKTINFLUENCERS</v>
      </c>
      <c r="B3315" t="s">
        <v>1807</v>
      </c>
      <c r="C3315" s="1">
        <v>45898</v>
      </c>
      <c r="D3315" s="71" t="s">
        <v>19</v>
      </c>
      <c r="E3315" s="71" t="s">
        <v>19</v>
      </c>
      <c r="F3315" s="70" t="s">
        <v>141</v>
      </c>
      <c r="J3315" s="71" t="s">
        <v>2022</v>
      </c>
      <c r="L3315" s="433">
        <v>3150</v>
      </c>
      <c r="M3315" s="136">
        <f t="shared" si="85"/>
        <v>-43429.222296666318</v>
      </c>
    </row>
    <row r="3316" spans="1:15">
      <c r="A3316" s="54" t="str">
        <f>D3316&amp;E3316&amp;F3316</f>
        <v>FINANZASVIATICOSFINANZAS</v>
      </c>
      <c r="B3316" t="s">
        <v>1807</v>
      </c>
      <c r="C3316" s="1">
        <v>45898</v>
      </c>
      <c r="D3316" s="71" t="s">
        <v>23</v>
      </c>
      <c r="E3316" s="71" t="s">
        <v>191</v>
      </c>
      <c r="F3316" s="70" t="s">
        <v>23</v>
      </c>
      <c r="G3316" s="83" t="s">
        <v>258</v>
      </c>
      <c r="J3316" s="71" t="s">
        <v>2023</v>
      </c>
      <c r="L3316" s="433">
        <v>377</v>
      </c>
      <c r="M3316" s="136">
        <f t="shared" si="85"/>
        <v>-43806.222296666318</v>
      </c>
    </row>
    <row r="3317" spans="1:15">
      <c r="A3317" s="54" t="str">
        <f>D3317&amp;E3317&amp;F3317</f>
        <v>MKTMKTINFLUENCERS</v>
      </c>
      <c r="B3317" t="s">
        <v>1807</v>
      </c>
      <c r="C3317" s="1">
        <v>45898</v>
      </c>
      <c r="D3317" s="71" t="s">
        <v>19</v>
      </c>
      <c r="E3317" s="71" t="s">
        <v>19</v>
      </c>
      <c r="F3317" s="70" t="s">
        <v>141</v>
      </c>
      <c r="J3317" s="71" t="s">
        <v>2024</v>
      </c>
      <c r="L3317" s="433">
        <v>500</v>
      </c>
      <c r="M3317" s="136">
        <f t="shared" si="85"/>
        <v>-44306.222296666318</v>
      </c>
    </row>
    <row r="3318" spans="1:15" s="229" customFormat="1">
      <c r="A3318" s="54" t="str">
        <f>D3318&amp;E3318&amp;F3318</f>
        <v>HRCUOTAS Y SUSCRIPCIONESCANACO</v>
      </c>
      <c r="B3318" s="229" t="s">
        <v>1807</v>
      </c>
      <c r="C3318" s="244">
        <v>45898</v>
      </c>
      <c r="D3318" s="242" t="s">
        <v>29</v>
      </c>
      <c r="E3318" s="242" t="s">
        <v>51</v>
      </c>
      <c r="F3318" s="77" t="s">
        <v>67</v>
      </c>
      <c r="G3318" s="242"/>
      <c r="H3318" s="423"/>
      <c r="I3318" s="400"/>
      <c r="J3318" s="243" t="s">
        <v>2025</v>
      </c>
      <c r="K3318" s="332"/>
      <c r="L3318" s="436">
        <v>640</v>
      </c>
      <c r="M3318" s="163">
        <f t="shared" si="85"/>
        <v>-44946.222296666318</v>
      </c>
      <c r="N3318" s="242"/>
    </row>
    <row r="3319" spans="1:15">
      <c r="A3319" s="54" t="str">
        <f>D3319&amp;E3319&amp;F3319</f>
        <v>CAPUBERCAP</v>
      </c>
      <c r="B3319" t="s">
        <v>1807</v>
      </c>
      <c r="C3319" s="1">
        <v>45898</v>
      </c>
      <c r="D3319" s="71" t="s">
        <v>31</v>
      </c>
      <c r="E3319" s="71" t="s">
        <v>189</v>
      </c>
      <c r="F3319" s="70" t="s">
        <v>31</v>
      </c>
      <c r="J3319" s="76" t="s">
        <v>253</v>
      </c>
      <c r="L3319" s="522">
        <v>270</v>
      </c>
      <c r="M3319" s="136">
        <f t="shared" si="85"/>
        <v>-45216.222296666318</v>
      </c>
    </row>
    <row r="3320" spans="1:15">
      <c r="A3320" s="54" t="str">
        <f>D3320&amp;E3320&amp;F3320</f>
        <v>CAPUBERCAP</v>
      </c>
      <c r="B3320" t="s">
        <v>1807</v>
      </c>
      <c r="C3320" s="1">
        <v>45898</v>
      </c>
      <c r="D3320" s="71" t="s">
        <v>31</v>
      </c>
      <c r="E3320" s="71" t="s">
        <v>189</v>
      </c>
      <c r="F3320" s="70" t="s">
        <v>31</v>
      </c>
      <c r="J3320" s="76" t="s">
        <v>620</v>
      </c>
      <c r="L3320" s="522">
        <v>253</v>
      </c>
      <c r="M3320" s="136">
        <f t="shared" si="85"/>
        <v>-45469.222296666318</v>
      </c>
    </row>
    <row r="3321" spans="1:15">
      <c r="A3321" s="54" t="str">
        <f>D3321&amp;E3321&amp;F3321</f>
        <v>CAPFONDO Y REPOSICIONCAPRICHOS</v>
      </c>
      <c r="B3321" t="s">
        <v>1807</v>
      </c>
      <c r="C3321" s="1">
        <v>45898</v>
      </c>
      <c r="D3321" s="71" t="s">
        <v>31</v>
      </c>
      <c r="E3321" s="71" t="s">
        <v>120</v>
      </c>
      <c r="F3321" s="70" t="s">
        <v>33</v>
      </c>
      <c r="J3321" s="76" t="s">
        <v>2026</v>
      </c>
      <c r="L3321" s="434">
        <v>100</v>
      </c>
      <c r="M3321" s="136">
        <f t="shared" si="85"/>
        <v>-45569.222296666318</v>
      </c>
    </row>
    <row r="3322" spans="1:15">
      <c r="A3322" s="54" t="str">
        <f>D3322&amp;E3322&amp;F3322</f>
        <v>HRFONDO Y REPOSICIONHR</v>
      </c>
      <c r="B3322" t="s">
        <v>1807</v>
      </c>
      <c r="C3322" s="1">
        <v>45898</v>
      </c>
      <c r="D3322" s="71" t="s">
        <v>29</v>
      </c>
      <c r="E3322" s="71" t="s">
        <v>120</v>
      </c>
      <c r="F3322" s="70" t="s">
        <v>29</v>
      </c>
      <c r="J3322" s="76" t="s">
        <v>640</v>
      </c>
      <c r="L3322" s="434">
        <v>35</v>
      </c>
      <c r="M3322" s="136">
        <f t="shared" si="85"/>
        <v>-45604.222296666318</v>
      </c>
    </row>
    <row r="3323" spans="1:15">
      <c r="A3323" s="54" t="str">
        <f t="shared" si="86"/>
        <v/>
      </c>
      <c r="B3323" t="s">
        <v>1807</v>
      </c>
      <c r="C3323" s="1">
        <v>45901</v>
      </c>
      <c r="D3323" s="71"/>
      <c r="F3323" s="70"/>
      <c r="J3323" s="71" t="s">
        <v>2027</v>
      </c>
      <c r="K3323" s="325">
        <v>830904.49</v>
      </c>
      <c r="L3323" s="432"/>
      <c r="M3323" s="136">
        <f t="shared" si="85"/>
        <v>785300.26770333364</v>
      </c>
    </row>
    <row r="3324" spans="1:15">
      <c r="A3324" s="54" t="str">
        <f t="shared" si="86"/>
        <v/>
      </c>
      <c r="B3324" t="s">
        <v>2028</v>
      </c>
      <c r="C3324" s="1">
        <v>45901</v>
      </c>
      <c r="D3324" s="71"/>
      <c r="F3324" s="70"/>
      <c r="J3324" s="71" t="s">
        <v>2029</v>
      </c>
      <c r="K3324" s="325">
        <v>350211.08</v>
      </c>
      <c r="L3324" s="432"/>
      <c r="M3324" s="136">
        <f t="shared" si="85"/>
        <v>1135511.3477033337</v>
      </c>
      <c r="O3324" s="5">
        <f>M3324-K3324</f>
        <v>785300.26770333364</v>
      </c>
    </row>
    <row r="3325" spans="1:15">
      <c r="A3325" s="54" t="str">
        <f>D3325&amp;E3325&amp;F3325</f>
        <v>FINANZASCOMISIONES BANCARIASTPV</v>
      </c>
      <c r="B3325" t="s">
        <v>2028</v>
      </c>
      <c r="C3325" s="1">
        <v>45901</v>
      </c>
      <c r="D3325" s="71" t="s">
        <v>23</v>
      </c>
      <c r="E3325" s="71" t="s">
        <v>48</v>
      </c>
      <c r="F3325" s="70" t="s">
        <v>50</v>
      </c>
      <c r="J3325" s="71" t="s">
        <v>217</v>
      </c>
      <c r="L3325" s="433">
        <f>1774.89+1371+9618.58+6684.71+5436.23+580</f>
        <v>25465.41</v>
      </c>
      <c r="M3325" s="136">
        <f t="shared" si="85"/>
        <v>1110045.9377033338</v>
      </c>
    </row>
    <row r="3326" spans="1:15" s="229" customFormat="1">
      <c r="A3326" s="54" t="str">
        <f>D3326&amp;E3326&amp;F3326</f>
        <v>FINANZASCOMISIONES BANCARIASMANEJO DE CUENTA</v>
      </c>
      <c r="B3326" s="229" t="s">
        <v>2028</v>
      </c>
      <c r="C3326" s="244">
        <v>45901</v>
      </c>
      <c r="D3326" s="242" t="s">
        <v>23</v>
      </c>
      <c r="E3326" s="242" t="s">
        <v>48</v>
      </c>
      <c r="F3326" s="77" t="s">
        <v>49</v>
      </c>
      <c r="G3326" s="242"/>
      <c r="H3326" s="423"/>
      <c r="I3326" s="423"/>
      <c r="J3326" s="242" t="s">
        <v>764</v>
      </c>
      <c r="K3326" s="332"/>
      <c r="L3326" s="436">
        <f>75.4+45.24+904.8+464</f>
        <v>1489.44</v>
      </c>
      <c r="M3326" s="163">
        <f t="shared" ref="M3326:M3390" si="87">M3325+K3326-L3326</f>
        <v>1108556.4977033339</v>
      </c>
      <c r="N3326" s="242"/>
    </row>
    <row r="3327" spans="1:15">
      <c r="A3327" s="54" t="str">
        <f t="shared" si="86"/>
        <v/>
      </c>
      <c r="B3327" t="s">
        <v>2028</v>
      </c>
      <c r="C3327" s="1">
        <v>45901</v>
      </c>
      <c r="D3327" s="71"/>
      <c r="F3327" s="70"/>
      <c r="J3327" s="205" t="s">
        <v>1562</v>
      </c>
      <c r="K3327" s="205"/>
      <c r="L3327" s="428">
        <v>300000</v>
      </c>
      <c r="M3327" s="136">
        <f t="shared" si="87"/>
        <v>808556.49770333385</v>
      </c>
    </row>
    <row r="3328" spans="1:15">
      <c r="A3328" s="54" t="str">
        <f t="shared" si="86"/>
        <v/>
      </c>
      <c r="B3328" t="s">
        <v>2028</v>
      </c>
      <c r="C3328" s="1">
        <v>45901</v>
      </c>
      <c r="D3328" s="71"/>
      <c r="F3328" s="70"/>
      <c r="J3328" s="205" t="s">
        <v>222</v>
      </c>
      <c r="K3328" s="205"/>
      <c r="L3328" s="428">
        <f>182000+500000</f>
        <v>682000</v>
      </c>
      <c r="M3328" s="136">
        <f t="shared" si="87"/>
        <v>126556.49770333385</v>
      </c>
    </row>
    <row r="3329" spans="1:13">
      <c r="A3329" s="54" t="str">
        <f t="shared" si="86"/>
        <v/>
      </c>
      <c r="B3329" t="s">
        <v>2028</v>
      </c>
      <c r="C3329" s="1">
        <v>45901</v>
      </c>
      <c r="D3329" s="71"/>
      <c r="F3329" s="70"/>
      <c r="J3329" s="205" t="s">
        <v>318</v>
      </c>
      <c r="K3329" s="205"/>
      <c r="L3329" s="428">
        <v>200000</v>
      </c>
      <c r="M3329" s="136">
        <f t="shared" si="87"/>
        <v>-73443.502296666149</v>
      </c>
    </row>
    <row r="3330" spans="1:13">
      <c r="A3330" s="54" t="str">
        <f>D3330&amp;E3330&amp;F3330</f>
        <v>FINANZASTELEFONIATELEFONIA</v>
      </c>
      <c r="B3330" t="s">
        <v>2028</v>
      </c>
      <c r="C3330" s="1">
        <v>45901</v>
      </c>
      <c r="D3330" s="71" t="s">
        <v>23</v>
      </c>
      <c r="E3330" s="71" t="s">
        <v>181</v>
      </c>
      <c r="F3330" s="70" t="s">
        <v>181</v>
      </c>
      <c r="J3330" s="71" t="s">
        <v>2030</v>
      </c>
      <c r="L3330" s="433">
        <v>24359</v>
      </c>
      <c r="M3330" s="136">
        <f t="shared" si="87"/>
        <v>-97802.502296666149</v>
      </c>
    </row>
    <row r="3331" spans="1:13">
      <c r="A3331" s="54" t="str">
        <f>D3331&amp;E3331&amp;F3331</f>
        <v>HRIMAGEN VISUALIMAGEN VISUAL HR</v>
      </c>
      <c r="B3331" t="s">
        <v>2028</v>
      </c>
      <c r="C3331" s="1">
        <v>45901</v>
      </c>
      <c r="D3331" s="71" t="s">
        <v>29</v>
      </c>
      <c r="E3331" s="71" t="s">
        <v>127</v>
      </c>
      <c r="F3331" s="70" t="s">
        <v>128</v>
      </c>
      <c r="J3331" s="71" t="s">
        <v>2031</v>
      </c>
      <c r="L3331" s="433">
        <v>9284.64</v>
      </c>
      <c r="M3331" s="136">
        <f t="shared" si="87"/>
        <v>-107087.14229666615</v>
      </c>
    </row>
    <row r="3332" spans="1:13">
      <c r="A3332" s="54" t="str">
        <f>D3332&amp;E3332&amp;F3332</f>
        <v>SERVICIOSMTTO DE EDIFICIOMANTENIMIENTO</v>
      </c>
      <c r="B3332" t="s">
        <v>2028</v>
      </c>
      <c r="C3332" s="1">
        <v>45901</v>
      </c>
      <c r="D3332" s="71" t="s">
        <v>21</v>
      </c>
      <c r="E3332" s="71" t="s">
        <v>142</v>
      </c>
      <c r="F3332" s="70" t="s">
        <v>35</v>
      </c>
      <c r="J3332" s="71" t="s">
        <v>2032</v>
      </c>
      <c r="L3332" s="433">
        <v>2700</v>
      </c>
      <c r="M3332" s="136">
        <f t="shared" si="87"/>
        <v>-109787.14229666615</v>
      </c>
    </row>
    <row r="3333" spans="1:13">
      <c r="A3333" s="54" t="str">
        <f>D3333&amp;E3333&amp;F3333</f>
        <v>HRJMASA2</v>
      </c>
      <c r="B3333" t="s">
        <v>2028</v>
      </c>
      <c r="C3333" s="1">
        <v>45901</v>
      </c>
      <c r="D3333" s="71" t="s">
        <v>29</v>
      </c>
      <c r="E3333" s="71" t="s">
        <v>137</v>
      </c>
      <c r="F3333" s="70" t="s">
        <v>89</v>
      </c>
      <c r="J3333" s="71" t="s">
        <v>2033</v>
      </c>
      <c r="L3333" s="433">
        <f>1859</f>
        <v>1859</v>
      </c>
      <c r="M3333" s="136">
        <f t="shared" si="87"/>
        <v>-111646.14229666615</v>
      </c>
    </row>
    <row r="3334" spans="1:13">
      <c r="A3334" s="54" t="str">
        <f>D3334&amp;E3334&amp;F3334</f>
        <v>HRJMASA1</v>
      </c>
      <c r="B3334" t="s">
        <v>2028</v>
      </c>
      <c r="C3334" s="1">
        <v>45901</v>
      </c>
      <c r="D3334" s="71" t="s">
        <v>29</v>
      </c>
      <c r="E3334" s="71" t="s">
        <v>137</v>
      </c>
      <c r="F3334" s="71" t="s">
        <v>88</v>
      </c>
      <c r="J3334" s="71" t="s">
        <v>2034</v>
      </c>
      <c r="L3334" s="433">
        <v>1108</v>
      </c>
      <c r="M3334" s="136">
        <f t="shared" si="87"/>
        <v>-112754.14229666615</v>
      </c>
    </row>
    <row r="3335" spans="1:13">
      <c r="A3335" s="54" t="str">
        <f>D3335&amp;E3335&amp;F3335</f>
        <v>HRJMASA9</v>
      </c>
      <c r="B3335" t="s">
        <v>2028</v>
      </c>
      <c r="C3335" s="1">
        <v>45901</v>
      </c>
      <c r="D3335" s="71" t="s">
        <v>29</v>
      </c>
      <c r="E3335" s="71" t="s">
        <v>137</v>
      </c>
      <c r="F3335" s="70" t="s">
        <v>95</v>
      </c>
      <c r="J3335" s="71" t="s">
        <v>2035</v>
      </c>
      <c r="L3335" s="433">
        <v>1772</v>
      </c>
      <c r="M3335" s="136">
        <f t="shared" si="87"/>
        <v>-114526.14229666615</v>
      </c>
    </row>
    <row r="3336" spans="1:13">
      <c r="A3336" s="54" t="str">
        <f>D3336&amp;E3336&amp;F3336</f>
        <v>HRJMASA10</v>
      </c>
      <c r="B3336" t="s">
        <v>2028</v>
      </c>
      <c r="C3336" s="1">
        <f>C3335</f>
        <v>45901</v>
      </c>
      <c r="D3336" s="71" t="s">
        <v>29</v>
      </c>
      <c r="E3336" s="71" t="s">
        <v>137</v>
      </c>
      <c r="F3336" s="70" t="s">
        <v>96</v>
      </c>
      <c r="J3336" s="71" t="s">
        <v>1771</v>
      </c>
      <c r="L3336" s="433">
        <v>6110</v>
      </c>
      <c r="M3336" s="136">
        <f t="shared" si="87"/>
        <v>-120636.14229666615</v>
      </c>
    </row>
    <row r="3337" spans="1:13">
      <c r="A3337" s="54" t="str">
        <f>D3337&amp;E3337&amp;F3337</f>
        <v>FINANZASFONDO Y REPOSICIONFINANZAS</v>
      </c>
      <c r="B3337" t="s">
        <v>2028</v>
      </c>
      <c r="C3337" s="1">
        <f>C3336</f>
        <v>45901</v>
      </c>
      <c r="D3337" s="71" t="s">
        <v>23</v>
      </c>
      <c r="E3337" s="71" t="s">
        <v>120</v>
      </c>
      <c r="F3337" s="70" t="s">
        <v>23</v>
      </c>
      <c r="J3337" s="71" t="s">
        <v>231</v>
      </c>
      <c r="L3337" s="433">
        <v>50</v>
      </c>
      <c r="M3337" s="136">
        <f t="shared" si="87"/>
        <v>-120686.14229666615</v>
      </c>
    </row>
    <row r="3338" spans="1:13">
      <c r="A3338" s="54" t="str">
        <f>D3338&amp;E3338&amp;F3338</f>
        <v>FINANZASFONDO Y REPOSICIONFINANZAS</v>
      </c>
      <c r="B3338" t="s">
        <v>2028</v>
      </c>
      <c r="C3338" s="1">
        <f>C3337</f>
        <v>45901</v>
      </c>
      <c r="D3338" s="71" t="s">
        <v>23</v>
      </c>
      <c r="E3338" s="71" t="s">
        <v>120</v>
      </c>
      <c r="F3338" s="70" t="s">
        <v>23</v>
      </c>
      <c r="J3338" s="71" t="s">
        <v>2036</v>
      </c>
      <c r="L3338" s="433">
        <v>300</v>
      </c>
      <c r="M3338" s="136">
        <f t="shared" si="87"/>
        <v>-120986.14229666615</v>
      </c>
    </row>
    <row r="3339" spans="1:13">
      <c r="A3339" s="54" t="str">
        <f>D3339&amp;E3339&amp;F3339</f>
        <v>FINANZASVIATICOSFINANZAS</v>
      </c>
      <c r="B3339" t="s">
        <v>2028</v>
      </c>
      <c r="C3339" s="1">
        <f>C3338</f>
        <v>45901</v>
      </c>
      <c r="D3339" s="71" t="s">
        <v>23</v>
      </c>
      <c r="E3339" s="71" t="s">
        <v>191</v>
      </c>
      <c r="F3339" s="70" t="s">
        <v>23</v>
      </c>
      <c r="J3339" s="71" t="s">
        <v>1943</v>
      </c>
      <c r="L3339" s="433">
        <v>800</v>
      </c>
      <c r="M3339" s="136">
        <f t="shared" si="87"/>
        <v>-121786.14229666615</v>
      </c>
    </row>
    <row r="3340" spans="1:13">
      <c r="A3340" s="54" t="str">
        <f>D3340&amp;E3340&amp;F3340</f>
        <v>SERVICIOSVIATICOSCEDIS</v>
      </c>
      <c r="B3340" t="s">
        <v>2028</v>
      </c>
      <c r="C3340" s="1">
        <f>C3338</f>
        <v>45901</v>
      </c>
      <c r="D3340" s="71" t="s">
        <v>21</v>
      </c>
      <c r="E3340" s="71" t="s">
        <v>191</v>
      </c>
      <c r="F3340" s="70" t="s">
        <v>28</v>
      </c>
      <c r="J3340" s="71" t="s">
        <v>2037</v>
      </c>
      <c r="L3340" s="433">
        <v>4050</v>
      </c>
      <c r="M3340" s="136">
        <f t="shared" si="87"/>
        <v>-125836.14229666615</v>
      </c>
    </row>
    <row r="3341" spans="1:13">
      <c r="A3341" s="54" t="str">
        <f>D3341&amp;E3341&amp;F3341</f>
        <v>SERVICIOSMTTO EQ DE TRANSPORTECEDIS</v>
      </c>
      <c r="B3341" t="s">
        <v>2028</v>
      </c>
      <c r="C3341" s="1">
        <f>C3340</f>
        <v>45901</v>
      </c>
      <c r="D3341" s="71" t="s">
        <v>21</v>
      </c>
      <c r="E3341" s="71" t="s">
        <v>144</v>
      </c>
      <c r="F3341" s="70" t="s">
        <v>28</v>
      </c>
      <c r="G3341" s="83" t="s">
        <v>258</v>
      </c>
      <c r="J3341" s="71" t="s">
        <v>2038</v>
      </c>
      <c r="L3341" s="208">
        <v>500</v>
      </c>
      <c r="M3341" s="136">
        <f t="shared" si="87"/>
        <v>-126336.14229666615</v>
      </c>
    </row>
    <row r="3342" spans="1:13">
      <c r="A3342" s="54" t="str">
        <f>D3342&amp;E3342&amp;F3342</f>
        <v>HRMKTMKT HR</v>
      </c>
      <c r="B3342" t="s">
        <v>2028</v>
      </c>
      <c r="C3342" s="1">
        <f>C3341</f>
        <v>45901</v>
      </c>
      <c r="D3342" s="71" t="s">
        <v>29</v>
      </c>
      <c r="E3342" s="71" t="s">
        <v>19</v>
      </c>
      <c r="F3342" s="70" t="s">
        <v>138</v>
      </c>
      <c r="J3342" s="71" t="s">
        <v>2039</v>
      </c>
      <c r="L3342" s="433">
        <v>1000</v>
      </c>
      <c r="M3342" s="136">
        <f t="shared" si="87"/>
        <v>-127336.14229666615</v>
      </c>
    </row>
    <row r="3343" spans="1:13">
      <c r="A3343" s="54" t="str">
        <f>D3343&amp;E3343&amp;F3343</f>
        <v>CAPMKTMKT CAP</v>
      </c>
      <c r="B3343" t="s">
        <v>2028</v>
      </c>
      <c r="C3343" s="1">
        <f>C3342</f>
        <v>45901</v>
      </c>
      <c r="D3343" s="71" t="s">
        <v>31</v>
      </c>
      <c r="E3343" s="71" t="s">
        <v>19</v>
      </c>
      <c r="F3343" s="70" t="s">
        <v>139</v>
      </c>
      <c r="J3343" s="71" t="s">
        <v>2040</v>
      </c>
      <c r="L3343" s="433">
        <v>5400</v>
      </c>
      <c r="M3343" s="136">
        <f t="shared" si="87"/>
        <v>-132736.14229666616</v>
      </c>
    </row>
    <row r="3344" spans="1:13">
      <c r="A3344" s="54" t="str">
        <f>D3344&amp;E3344&amp;F3344</f>
        <v>HRUBERHR</v>
      </c>
      <c r="B3344" t="s">
        <v>2028</v>
      </c>
      <c r="C3344" s="1">
        <f>C3343</f>
        <v>45901</v>
      </c>
      <c r="D3344" s="71" t="s">
        <v>29</v>
      </c>
      <c r="E3344" s="71" t="s">
        <v>189</v>
      </c>
      <c r="F3344" s="70" t="s">
        <v>29</v>
      </c>
      <c r="J3344" s="76" t="s">
        <v>1255</v>
      </c>
      <c r="L3344" s="523">
        <v>417</v>
      </c>
      <c r="M3344" s="136">
        <f t="shared" si="87"/>
        <v>-133153.14229666616</v>
      </c>
    </row>
    <row r="3345" spans="1:14">
      <c r="A3345" s="54" t="str">
        <f>D3345&amp;E3345&amp;F3345</f>
        <v>HRCOMBUSTIBLEHR</v>
      </c>
      <c r="B3345" t="s">
        <v>2028</v>
      </c>
      <c r="C3345" s="1">
        <f t="shared" ref="C3345:C3358" si="88">C3344</f>
        <v>45901</v>
      </c>
      <c r="D3345" s="71" t="s">
        <v>29</v>
      </c>
      <c r="E3345" s="71" t="s">
        <v>32</v>
      </c>
      <c r="F3345" s="70" t="s">
        <v>29</v>
      </c>
      <c r="J3345" s="76" t="s">
        <v>2041</v>
      </c>
      <c r="L3345" s="433">
        <v>300</v>
      </c>
      <c r="M3345" s="136">
        <f t="shared" si="87"/>
        <v>-133453.14229666616</v>
      </c>
    </row>
    <row r="3346" spans="1:14">
      <c r="A3346" s="54" t="str">
        <f>D3346&amp;E3346&amp;F3346</f>
        <v>HRUBERHR</v>
      </c>
      <c r="B3346" t="s">
        <v>2028</v>
      </c>
      <c r="C3346" s="1">
        <f t="shared" si="88"/>
        <v>45901</v>
      </c>
      <c r="D3346" s="71" t="s">
        <v>29</v>
      </c>
      <c r="E3346" s="71" t="s">
        <v>189</v>
      </c>
      <c r="F3346" s="70" t="s">
        <v>29</v>
      </c>
      <c r="J3346" s="76" t="s">
        <v>306</v>
      </c>
      <c r="L3346" s="523">
        <v>70</v>
      </c>
      <c r="M3346" s="136">
        <f t="shared" si="87"/>
        <v>-133523.14229666616</v>
      </c>
    </row>
    <row r="3347" spans="1:14">
      <c r="A3347" s="54" t="str">
        <f>D3347&amp;E3347&amp;F3347</f>
        <v>HRUBERHR</v>
      </c>
      <c r="B3347" t="s">
        <v>2028</v>
      </c>
      <c r="C3347" s="1">
        <f t="shared" si="88"/>
        <v>45901</v>
      </c>
      <c r="D3347" s="71" t="s">
        <v>29</v>
      </c>
      <c r="E3347" s="71" t="s">
        <v>189</v>
      </c>
      <c r="F3347" s="70" t="s">
        <v>29</v>
      </c>
      <c r="J3347" s="76" t="s">
        <v>854</v>
      </c>
      <c r="L3347" s="523">
        <v>450</v>
      </c>
      <c r="M3347" s="136">
        <f t="shared" si="87"/>
        <v>-133973.14229666616</v>
      </c>
    </row>
    <row r="3348" spans="1:14">
      <c r="A3348" s="54" t="str">
        <f>D3348&amp;E3348&amp;F3348</f>
        <v>HRUBERHR</v>
      </c>
      <c r="B3348" t="s">
        <v>2028</v>
      </c>
      <c r="C3348" s="1">
        <f t="shared" si="88"/>
        <v>45901</v>
      </c>
      <c r="D3348" s="71" t="s">
        <v>29</v>
      </c>
      <c r="E3348" s="71" t="s">
        <v>189</v>
      </c>
      <c r="F3348" s="70" t="s">
        <v>29</v>
      </c>
      <c r="J3348" s="76" t="s">
        <v>249</v>
      </c>
      <c r="L3348" s="523">
        <v>80</v>
      </c>
      <c r="M3348" s="136">
        <f t="shared" si="87"/>
        <v>-134053.14229666616</v>
      </c>
    </row>
    <row r="3349" spans="1:14">
      <c r="A3349" s="54" t="str">
        <f>D3349&amp;E3349&amp;F3349</f>
        <v>HRUBERHR</v>
      </c>
      <c r="B3349" t="s">
        <v>2028</v>
      </c>
      <c r="C3349" s="1">
        <f t="shared" si="88"/>
        <v>45901</v>
      </c>
      <c r="D3349" s="71" t="s">
        <v>29</v>
      </c>
      <c r="E3349" s="71" t="s">
        <v>189</v>
      </c>
      <c r="F3349" s="70" t="s">
        <v>29</v>
      </c>
      <c r="J3349" s="76" t="s">
        <v>250</v>
      </c>
      <c r="L3349" s="523">
        <v>65</v>
      </c>
      <c r="M3349" s="136">
        <f t="shared" si="87"/>
        <v>-134118.14229666616</v>
      </c>
    </row>
    <row r="3350" spans="1:14">
      <c r="A3350" s="54" t="str">
        <f>D3350&amp;E3350&amp;F3350</f>
        <v>HRJMASA23</v>
      </c>
      <c r="B3350" s="89" t="s">
        <v>2028</v>
      </c>
      <c r="C3350" s="235">
        <f t="shared" si="88"/>
        <v>45901</v>
      </c>
      <c r="D3350" s="387" t="s">
        <v>29</v>
      </c>
      <c r="E3350" s="387" t="s">
        <v>137</v>
      </c>
      <c r="F3350" s="375" t="s">
        <v>105</v>
      </c>
      <c r="G3350" s="387"/>
      <c r="H3350" s="400"/>
      <c r="I3350" s="400"/>
      <c r="J3350" s="422" t="s">
        <v>2042</v>
      </c>
      <c r="L3350" s="433">
        <v>101</v>
      </c>
      <c r="M3350" s="136">
        <f t="shared" si="87"/>
        <v>-134219.14229666616</v>
      </c>
    </row>
    <row r="3351" spans="1:14">
      <c r="A3351" s="54" t="str">
        <f>D3351&amp;E3351&amp;F3351</f>
        <v>HRJMASA24</v>
      </c>
      <c r="B3351" s="89" t="s">
        <v>2028</v>
      </c>
      <c r="C3351" s="235">
        <f t="shared" si="88"/>
        <v>45901</v>
      </c>
      <c r="D3351" s="387" t="s">
        <v>29</v>
      </c>
      <c r="E3351" s="387" t="s">
        <v>137</v>
      </c>
      <c r="F3351" s="375" t="s">
        <v>106</v>
      </c>
      <c r="G3351" s="387"/>
      <c r="H3351" s="400"/>
      <c r="I3351" s="400"/>
      <c r="J3351" s="422" t="s">
        <v>2043</v>
      </c>
      <c r="L3351" s="433">
        <v>562</v>
      </c>
      <c r="M3351" s="136">
        <f t="shared" si="87"/>
        <v>-134781.14229666616</v>
      </c>
    </row>
    <row r="3352" spans="1:14" s="229" customFormat="1">
      <c r="A3352" s="54" t="str">
        <f>D3352&amp;E3352&amp;F3352</f>
        <v>CAPUBERCAP</v>
      </c>
      <c r="B3352" s="229" t="s">
        <v>2028</v>
      </c>
      <c r="C3352" s="244">
        <f t="shared" si="88"/>
        <v>45901</v>
      </c>
      <c r="D3352" s="242" t="s">
        <v>31</v>
      </c>
      <c r="E3352" s="242" t="s">
        <v>189</v>
      </c>
      <c r="F3352" s="77" t="s">
        <v>31</v>
      </c>
      <c r="G3352" s="242"/>
      <c r="H3352" s="423"/>
      <c r="I3352" s="423"/>
      <c r="J3352" s="243" t="s">
        <v>253</v>
      </c>
      <c r="K3352" s="332"/>
      <c r="L3352" s="533">
        <v>521</v>
      </c>
      <c r="M3352" s="163">
        <f t="shared" si="87"/>
        <v>-135302.14229666616</v>
      </c>
      <c r="N3352" s="242"/>
    </row>
    <row r="3353" spans="1:14">
      <c r="A3353" s="54" t="str">
        <f>D3353&amp;E3353&amp;F3353</f>
        <v>CAPINSUMOSCAPRICHOS</v>
      </c>
      <c r="B3353" t="s">
        <v>2028</v>
      </c>
      <c r="C3353" s="1">
        <f t="shared" si="88"/>
        <v>45901</v>
      </c>
      <c r="D3353" s="71" t="s">
        <v>31</v>
      </c>
      <c r="E3353" s="71" t="s">
        <v>133</v>
      </c>
      <c r="F3353" s="70" t="s">
        <v>33</v>
      </c>
      <c r="J3353" s="76" t="s">
        <v>457</v>
      </c>
      <c r="L3353" s="433">
        <v>316</v>
      </c>
      <c r="M3353" s="136">
        <f t="shared" si="87"/>
        <v>-135618.14229666616</v>
      </c>
    </row>
    <row r="3354" spans="1:14">
      <c r="A3354" s="54" t="str">
        <f>D3354&amp;E3354&amp;F3354</f>
        <v>CAPUBERCAP</v>
      </c>
      <c r="B3354" t="s">
        <v>2028</v>
      </c>
      <c r="C3354" s="1">
        <f t="shared" si="88"/>
        <v>45901</v>
      </c>
      <c r="D3354" s="71" t="s">
        <v>31</v>
      </c>
      <c r="E3354" s="71" t="s">
        <v>189</v>
      </c>
      <c r="F3354" s="70" t="s">
        <v>31</v>
      </c>
      <c r="J3354" s="76" t="s">
        <v>280</v>
      </c>
      <c r="L3354" s="523">
        <v>243</v>
      </c>
      <c r="M3354" s="136">
        <f t="shared" si="87"/>
        <v>-135861.14229666616</v>
      </c>
    </row>
    <row r="3355" spans="1:14">
      <c r="A3355" s="54" t="str">
        <f>D3355&amp;E3355&amp;F3355</f>
        <v>CAPINSUMOSCAPRICHOS</v>
      </c>
      <c r="B3355" t="s">
        <v>2028</v>
      </c>
      <c r="C3355" s="1">
        <f t="shared" si="88"/>
        <v>45901</v>
      </c>
      <c r="D3355" s="71" t="s">
        <v>31</v>
      </c>
      <c r="E3355" s="71" t="s">
        <v>133</v>
      </c>
      <c r="F3355" s="70" t="s">
        <v>33</v>
      </c>
      <c r="J3355" s="76" t="s">
        <v>406</v>
      </c>
      <c r="L3355" s="433">
        <v>132</v>
      </c>
      <c r="M3355" s="136">
        <f t="shared" si="87"/>
        <v>-135993.14229666616</v>
      </c>
    </row>
    <row r="3356" spans="1:14">
      <c r="A3356" s="54" t="str">
        <f>D3356&amp;E3356&amp;F3356</f>
        <v>CAPNOMINA SUCURSALE5</v>
      </c>
      <c r="B3356" t="s">
        <v>2028</v>
      </c>
      <c r="C3356" s="1">
        <f t="shared" si="88"/>
        <v>45901</v>
      </c>
      <c r="D3356" s="71" t="s">
        <v>31</v>
      </c>
      <c r="E3356" s="71" t="s">
        <v>154</v>
      </c>
      <c r="F3356" s="70" t="s">
        <v>111</v>
      </c>
      <c r="J3356" s="76" t="s">
        <v>314</v>
      </c>
      <c r="L3356" s="433">
        <v>730</v>
      </c>
      <c r="M3356" s="136">
        <f t="shared" si="87"/>
        <v>-136723.14229666616</v>
      </c>
    </row>
    <row r="3357" spans="1:14">
      <c r="A3357" s="54" t="str">
        <f>D3357&amp;E3357&amp;F3357</f>
        <v>CAPINSUMOSCAPRICHOS</v>
      </c>
      <c r="B3357" t="s">
        <v>2028</v>
      </c>
      <c r="C3357" s="1">
        <f t="shared" si="88"/>
        <v>45901</v>
      </c>
      <c r="D3357" s="71" t="s">
        <v>31</v>
      </c>
      <c r="E3357" s="71" t="s">
        <v>133</v>
      </c>
      <c r="F3357" s="70" t="s">
        <v>33</v>
      </c>
      <c r="J3357" s="76" t="s">
        <v>1401</v>
      </c>
      <c r="L3357" s="433">
        <v>155</v>
      </c>
      <c r="M3357" s="136">
        <f t="shared" si="87"/>
        <v>-136878.14229666616</v>
      </c>
    </row>
    <row r="3358" spans="1:14" s="229" customFormat="1">
      <c r="A3358" s="54" t="str">
        <f>D3358&amp;E3358&amp;F3358</f>
        <v>SERVICIOSMTTO DE EDIFICIOMANTENIMIENTO</v>
      </c>
      <c r="B3358" s="229" t="s">
        <v>2028</v>
      </c>
      <c r="C3358" s="244">
        <f t="shared" si="88"/>
        <v>45901</v>
      </c>
      <c r="D3358" s="242" t="s">
        <v>21</v>
      </c>
      <c r="E3358" s="242" t="s">
        <v>142</v>
      </c>
      <c r="F3358" s="77" t="s">
        <v>35</v>
      </c>
      <c r="G3358" s="83"/>
      <c r="H3358" s="423"/>
      <c r="I3358" s="423"/>
      <c r="J3358" s="243" t="s">
        <v>2044</v>
      </c>
      <c r="K3358" s="332"/>
      <c r="L3358" s="436">
        <v>500</v>
      </c>
      <c r="M3358" s="163">
        <f t="shared" si="87"/>
        <v>-137378.14229666616</v>
      </c>
      <c r="N3358" s="242"/>
    </row>
    <row r="3359" spans="1:14">
      <c r="A3359" s="54" t="str">
        <f t="shared" ref="A3346:A3409" si="89">D3359&amp;E3359&amp;F3359</f>
        <v/>
      </c>
      <c r="B3359" t="s">
        <v>2028</v>
      </c>
      <c r="C3359" s="1">
        <v>45902</v>
      </c>
      <c r="D3359" s="71"/>
      <c r="F3359" s="70"/>
      <c r="J3359" s="71" t="s">
        <v>2045</v>
      </c>
      <c r="K3359" s="325">
        <v>198045.09</v>
      </c>
      <c r="L3359" s="432"/>
      <c r="M3359" s="136">
        <f t="shared" si="87"/>
        <v>60666.947703333833</v>
      </c>
    </row>
    <row r="3360" spans="1:14">
      <c r="A3360" s="54" t="str">
        <f>D3360&amp;E3360&amp;F3360</f>
        <v>FINANZASCOMISIONES BANCARIASMANEJO DE CUENTA</v>
      </c>
      <c r="B3360" t="s">
        <v>2028</v>
      </c>
      <c r="C3360" s="1">
        <v>45902</v>
      </c>
      <c r="D3360" s="71" t="s">
        <v>23</v>
      </c>
      <c r="E3360" s="71" t="s">
        <v>48</v>
      </c>
      <c r="F3360" s="70" t="s">
        <v>49</v>
      </c>
      <c r="J3360" s="71" t="s">
        <v>343</v>
      </c>
      <c r="L3360" s="433">
        <v>580</v>
      </c>
      <c r="M3360" s="136">
        <f t="shared" si="87"/>
        <v>60086.947703333833</v>
      </c>
    </row>
    <row r="3361" spans="1:14">
      <c r="A3361" s="54" t="str">
        <f>D3361&amp;E3361&amp;F3361</f>
        <v>FINANZASCOMISIONES BANCARIASTPV</v>
      </c>
      <c r="B3361" t="s">
        <v>2028</v>
      </c>
      <c r="C3361" s="1">
        <v>45902</v>
      </c>
      <c r="D3361" s="71" t="s">
        <v>23</v>
      </c>
      <c r="E3361" s="71" t="s">
        <v>48</v>
      </c>
      <c r="F3361" s="70" t="s">
        <v>50</v>
      </c>
      <c r="J3361" s="71" t="s">
        <v>217</v>
      </c>
      <c r="L3361" s="433">
        <f>396.33+327.72+1591.31+1021.66+630.74</f>
        <v>3967.7599999999993</v>
      </c>
      <c r="M3361" s="136">
        <f t="shared" si="87"/>
        <v>56119.187703333831</v>
      </c>
    </row>
    <row r="3362" spans="1:14">
      <c r="A3362" s="54" t="str">
        <f t="shared" si="89"/>
        <v/>
      </c>
      <c r="B3362" t="s">
        <v>2028</v>
      </c>
      <c r="C3362" s="1">
        <v>45902</v>
      </c>
      <c r="D3362" s="71"/>
      <c r="F3362" s="70"/>
      <c r="J3362" s="205" t="s">
        <v>1562</v>
      </c>
      <c r="K3362" s="205"/>
      <c r="L3362" s="428">
        <v>100000</v>
      </c>
      <c r="M3362" s="136">
        <f t="shared" si="87"/>
        <v>-43880.812296666169</v>
      </c>
    </row>
    <row r="3363" spans="1:14">
      <c r="A3363" s="54" t="str">
        <f t="shared" si="89"/>
        <v/>
      </c>
      <c r="B3363" t="s">
        <v>2028</v>
      </c>
      <c r="C3363" s="1">
        <v>45902</v>
      </c>
      <c r="D3363" s="71"/>
      <c r="F3363" s="70"/>
      <c r="J3363" s="205" t="s">
        <v>222</v>
      </c>
      <c r="K3363" s="205"/>
      <c r="L3363" s="428"/>
      <c r="M3363" s="136">
        <f t="shared" si="87"/>
        <v>-43880.812296666169</v>
      </c>
    </row>
    <row r="3364" spans="1:14">
      <c r="A3364" s="54" t="str">
        <f t="shared" si="89"/>
        <v/>
      </c>
      <c r="B3364" t="s">
        <v>2028</v>
      </c>
      <c r="C3364" s="1">
        <v>45902</v>
      </c>
      <c r="D3364" s="71"/>
      <c r="F3364" s="70"/>
      <c r="J3364" s="205" t="s">
        <v>318</v>
      </c>
      <c r="K3364" s="205"/>
      <c r="L3364" s="428"/>
      <c r="M3364" s="136">
        <f t="shared" si="87"/>
        <v>-43880.812296666169</v>
      </c>
    </row>
    <row r="3365" spans="1:14" s="229" customFormat="1">
      <c r="A3365" s="54" t="str">
        <f>D3365&amp;E3365&amp;F3365</f>
        <v>SERVICIOSMTTO DE EDIFICIOMANTENIMIENTO</v>
      </c>
      <c r="B3365" s="229" t="s">
        <v>2028</v>
      </c>
      <c r="C3365" s="244">
        <v>45902</v>
      </c>
      <c r="D3365" s="242" t="s">
        <v>21</v>
      </c>
      <c r="E3365" s="242" t="s">
        <v>142</v>
      </c>
      <c r="F3365" s="77" t="s">
        <v>35</v>
      </c>
      <c r="G3365" s="423"/>
      <c r="H3365" s="423"/>
      <c r="I3365" s="423"/>
      <c r="J3365" s="242" t="s">
        <v>2046</v>
      </c>
      <c r="K3365" s="332"/>
      <c r="L3365" s="433">
        <v>4060</v>
      </c>
      <c r="M3365" s="163">
        <f t="shared" si="87"/>
        <v>-47940.812296666169</v>
      </c>
      <c r="N3365" s="242"/>
    </row>
    <row r="3366" spans="1:14">
      <c r="A3366" s="54" t="str">
        <f>D3366&amp;E3366&amp;F3366</f>
        <v>SERVICIOSPAQUETERIACEDIS (E6)</v>
      </c>
      <c r="B3366" t="s">
        <v>2028</v>
      </c>
      <c r="C3366" s="1">
        <v>45902</v>
      </c>
      <c r="D3366" s="71" t="s">
        <v>21</v>
      </c>
      <c r="E3366" s="71" t="s">
        <v>160</v>
      </c>
      <c r="F3366" s="70" t="s">
        <v>161</v>
      </c>
      <c r="J3366" s="71" t="s">
        <v>2047</v>
      </c>
      <c r="L3366" s="433">
        <v>2408.31</v>
      </c>
      <c r="M3366" s="136">
        <f t="shared" si="87"/>
        <v>-50349.122296666166</v>
      </c>
    </row>
    <row r="3367" spans="1:14">
      <c r="A3367" s="54" t="str">
        <f>D3367&amp;E3367&amp;F3367</f>
        <v>CAPMTTO EQ DE TRANSPORTECAPRICHOS</v>
      </c>
      <c r="B3367" t="s">
        <v>2028</v>
      </c>
      <c r="C3367" s="1">
        <v>45902</v>
      </c>
      <c r="D3367" s="71" t="s">
        <v>31</v>
      </c>
      <c r="E3367" s="71" t="s">
        <v>144</v>
      </c>
      <c r="F3367" s="70" t="s">
        <v>33</v>
      </c>
      <c r="G3367" s="83" t="s">
        <v>258</v>
      </c>
      <c r="J3367" s="71" t="s">
        <v>2048</v>
      </c>
      <c r="L3367" s="433">
        <v>3145</v>
      </c>
      <c r="M3367" s="136">
        <f t="shared" si="87"/>
        <v>-53494.122296666166</v>
      </c>
    </row>
    <row r="3368" spans="1:14">
      <c r="A3368" s="54" t="str">
        <f>D3368&amp;E3368&amp;F3368</f>
        <v>HRFONDO Y REPOSICIONHR</v>
      </c>
      <c r="B3368" t="s">
        <v>2028</v>
      </c>
      <c r="C3368" s="1">
        <v>45902</v>
      </c>
      <c r="D3368" s="71" t="s">
        <v>29</v>
      </c>
      <c r="E3368" s="71" t="s">
        <v>120</v>
      </c>
      <c r="F3368" s="70" t="s">
        <v>29</v>
      </c>
      <c r="J3368" s="71" t="s">
        <v>395</v>
      </c>
      <c r="L3368" s="433">
        <v>6490</v>
      </c>
      <c r="M3368" s="136">
        <f t="shared" si="87"/>
        <v>-59984.122296666166</v>
      </c>
    </row>
    <row r="3369" spans="1:14">
      <c r="A3369" s="54" t="str">
        <f>D3369&amp;E3369&amp;F3369</f>
        <v>CAPVIATICOSCAPRICHOS</v>
      </c>
      <c r="B3369" t="s">
        <v>2028</v>
      </c>
      <c r="C3369" s="1">
        <v>45902</v>
      </c>
      <c r="D3369" s="71" t="s">
        <v>31</v>
      </c>
      <c r="E3369" s="71" t="s">
        <v>191</v>
      </c>
      <c r="F3369" s="70" t="s">
        <v>33</v>
      </c>
      <c r="J3369" s="71" t="s">
        <v>1132</v>
      </c>
      <c r="L3369" s="433">
        <v>2000</v>
      </c>
      <c r="M3369" s="136">
        <f t="shared" si="87"/>
        <v>-61984.122296666166</v>
      </c>
    </row>
    <row r="3370" spans="1:14">
      <c r="A3370" s="54" t="str">
        <f>D3370&amp;E3370&amp;F3370</f>
        <v>FINANZASFONDO Y REPOSICIONFINANZAS</v>
      </c>
      <c r="B3370" t="s">
        <v>2028</v>
      </c>
      <c r="C3370" s="1">
        <v>45902</v>
      </c>
      <c r="D3370" s="71" t="s">
        <v>23</v>
      </c>
      <c r="E3370" s="71" t="s">
        <v>120</v>
      </c>
      <c r="F3370" s="70" t="s">
        <v>23</v>
      </c>
      <c r="G3370" s="83"/>
      <c r="J3370" s="71" t="s">
        <v>2049</v>
      </c>
      <c r="L3370" s="433">
        <v>600</v>
      </c>
      <c r="M3370" s="136">
        <f t="shared" si="87"/>
        <v>-62584.122296666166</v>
      </c>
    </row>
    <row r="3371" spans="1:14">
      <c r="A3371" s="54" t="str">
        <f>D3371&amp;E3371&amp;F3371</f>
        <v>FINANZASFONDO Y REPOSICIONFINANZAS</v>
      </c>
      <c r="B3371" t="s">
        <v>2028</v>
      </c>
      <c r="C3371" s="1">
        <v>45902</v>
      </c>
      <c r="D3371" s="71" t="s">
        <v>23</v>
      </c>
      <c r="E3371" s="71" t="s">
        <v>120</v>
      </c>
      <c r="F3371" s="70" t="s">
        <v>23</v>
      </c>
      <c r="G3371" s="83"/>
      <c r="J3371" s="71" t="s">
        <v>2050</v>
      </c>
      <c r="L3371" s="433">
        <v>528</v>
      </c>
      <c r="M3371" s="136">
        <f t="shared" si="87"/>
        <v>-63112.122296666166</v>
      </c>
    </row>
    <row r="3372" spans="1:14">
      <c r="A3372" s="54" t="str">
        <f>D3372&amp;E3372&amp;F3372</f>
        <v>HRFONDO Y REPOSICIONHR</v>
      </c>
      <c r="B3372" t="s">
        <v>2028</v>
      </c>
      <c r="C3372" s="1">
        <v>45902</v>
      </c>
      <c r="D3372" s="71" t="s">
        <v>29</v>
      </c>
      <c r="E3372" s="71" t="s">
        <v>120</v>
      </c>
      <c r="F3372" s="70" t="s">
        <v>29</v>
      </c>
      <c r="J3372" s="71" t="s">
        <v>2051</v>
      </c>
      <c r="L3372" s="433">
        <v>1928</v>
      </c>
      <c r="M3372" s="136">
        <f t="shared" si="87"/>
        <v>-65040.122296666166</v>
      </c>
    </row>
    <row r="3373" spans="1:14">
      <c r="A3373" s="54" t="str">
        <f>D3373&amp;E3373&amp;F3373</f>
        <v>HRVIATICOSHR</v>
      </c>
      <c r="B3373" t="s">
        <v>2028</v>
      </c>
      <c r="C3373" s="1">
        <v>45902</v>
      </c>
      <c r="D3373" s="71" t="s">
        <v>29</v>
      </c>
      <c r="E3373" s="71" t="s">
        <v>191</v>
      </c>
      <c r="F3373" s="70" t="s">
        <v>29</v>
      </c>
      <c r="J3373" s="71" t="s">
        <v>1487</v>
      </c>
      <c r="L3373" s="433">
        <v>5600</v>
      </c>
      <c r="M3373" s="136">
        <f t="shared" si="87"/>
        <v>-70640.122296666173</v>
      </c>
    </row>
    <row r="3374" spans="1:14">
      <c r="A3374" s="54" t="str">
        <f>D3374&amp;E3374&amp;F3374</f>
        <v>SERVICIOSVIATICOSCEDIS</v>
      </c>
      <c r="B3374" t="s">
        <v>2028</v>
      </c>
      <c r="C3374" s="1">
        <v>45902</v>
      </c>
      <c r="D3374" s="71" t="s">
        <v>21</v>
      </c>
      <c r="E3374" s="71" t="s">
        <v>191</v>
      </c>
      <c r="F3374" s="70" t="s">
        <v>28</v>
      </c>
      <c r="J3374" s="71" t="s">
        <v>2052</v>
      </c>
      <c r="L3374" s="433">
        <v>1100</v>
      </c>
      <c r="M3374" s="136">
        <f t="shared" si="87"/>
        <v>-71740.122296666173</v>
      </c>
    </row>
    <row r="3375" spans="1:14" s="229" customFormat="1">
      <c r="A3375" s="54" t="str">
        <f>D3375&amp;E3375&amp;F3375</f>
        <v>HRUBERHR</v>
      </c>
      <c r="B3375" s="229" t="s">
        <v>2028</v>
      </c>
      <c r="C3375" s="244">
        <v>45902</v>
      </c>
      <c r="D3375" s="242" t="s">
        <v>29</v>
      </c>
      <c r="E3375" s="242" t="s">
        <v>189</v>
      </c>
      <c r="F3375" s="77" t="s">
        <v>29</v>
      </c>
      <c r="G3375" s="242"/>
      <c r="H3375" s="423"/>
      <c r="I3375" s="423"/>
      <c r="J3375" s="243" t="s">
        <v>1255</v>
      </c>
      <c r="K3375" s="332"/>
      <c r="L3375" s="522">
        <v>455</v>
      </c>
      <c r="M3375" s="136">
        <f t="shared" si="87"/>
        <v>-72195.122296666173</v>
      </c>
      <c r="N3375" s="242"/>
    </row>
    <row r="3376" spans="1:14" s="229" customFormat="1">
      <c r="A3376" s="54" t="str">
        <f>D3376&amp;E3376&amp;F3376</f>
        <v>HRFONDO Y REPOSICIONHR</v>
      </c>
      <c r="B3376" s="229" t="s">
        <v>2028</v>
      </c>
      <c r="C3376" s="244">
        <v>45902</v>
      </c>
      <c r="D3376" s="242" t="s">
        <v>29</v>
      </c>
      <c r="E3376" s="242" t="s">
        <v>120</v>
      </c>
      <c r="F3376" s="77" t="s">
        <v>29</v>
      </c>
      <c r="G3376" s="242"/>
      <c r="H3376" s="423"/>
      <c r="I3376" s="423"/>
      <c r="J3376" s="243" t="s">
        <v>801</v>
      </c>
      <c r="K3376" s="332"/>
      <c r="L3376" s="434">
        <v>30</v>
      </c>
      <c r="M3376" s="136">
        <f t="shared" si="87"/>
        <v>-72225.122296666173</v>
      </c>
      <c r="N3376" s="242"/>
    </row>
    <row r="3377" spans="1:14" s="229" customFormat="1">
      <c r="A3377" s="54" t="str">
        <f>D3377&amp;E3377&amp;F3377</f>
        <v>HRINSUMOSHR</v>
      </c>
      <c r="B3377" s="229" t="s">
        <v>2028</v>
      </c>
      <c r="C3377" s="244">
        <v>45902</v>
      </c>
      <c r="D3377" s="242" t="s">
        <v>29</v>
      </c>
      <c r="E3377" s="242" t="s">
        <v>133</v>
      </c>
      <c r="F3377" s="77" t="s">
        <v>29</v>
      </c>
      <c r="G3377" s="242"/>
      <c r="H3377" s="423"/>
      <c r="I3377" s="423"/>
      <c r="J3377" s="243" t="s">
        <v>2053</v>
      </c>
      <c r="K3377" s="332"/>
      <c r="L3377" s="434">
        <v>30</v>
      </c>
      <c r="M3377" s="136">
        <f t="shared" si="87"/>
        <v>-72255.122296666173</v>
      </c>
      <c r="N3377" s="242"/>
    </row>
    <row r="3378" spans="1:14" s="229" customFormat="1">
      <c r="A3378" s="54" t="str">
        <f>D3378&amp;E3378&amp;F3378</f>
        <v>HRUBERHR</v>
      </c>
      <c r="B3378" s="229" t="s">
        <v>2028</v>
      </c>
      <c r="C3378" s="244">
        <v>45902</v>
      </c>
      <c r="D3378" s="242" t="s">
        <v>29</v>
      </c>
      <c r="E3378" s="242" t="s">
        <v>189</v>
      </c>
      <c r="F3378" s="77" t="s">
        <v>29</v>
      </c>
      <c r="G3378" s="242"/>
      <c r="H3378" s="423"/>
      <c r="I3378" s="423"/>
      <c r="J3378" s="243" t="s">
        <v>249</v>
      </c>
      <c r="K3378" s="332"/>
      <c r="L3378" s="522">
        <v>62</v>
      </c>
      <c r="M3378" s="136">
        <f t="shared" si="87"/>
        <v>-72317.122296666173</v>
      </c>
      <c r="N3378" s="242"/>
    </row>
    <row r="3379" spans="1:14" s="229" customFormat="1">
      <c r="A3379" s="54" t="str">
        <f>D3379&amp;E3379&amp;F3379</f>
        <v>HRUBERHR</v>
      </c>
      <c r="B3379" s="229" t="s">
        <v>2028</v>
      </c>
      <c r="C3379" s="244">
        <v>45902</v>
      </c>
      <c r="D3379" s="242" t="s">
        <v>29</v>
      </c>
      <c r="E3379" s="242" t="s">
        <v>189</v>
      </c>
      <c r="F3379" s="77" t="s">
        <v>29</v>
      </c>
      <c r="G3379" s="242"/>
      <c r="H3379" s="423"/>
      <c r="I3379" s="423"/>
      <c r="J3379" s="243" t="s">
        <v>250</v>
      </c>
      <c r="K3379" s="332"/>
      <c r="L3379" s="522">
        <v>140</v>
      </c>
      <c r="M3379" s="136">
        <f t="shared" si="87"/>
        <v>-72457.122296666173</v>
      </c>
      <c r="N3379" s="242"/>
    </row>
    <row r="3380" spans="1:14" s="229" customFormat="1">
      <c r="A3380" s="54" t="str">
        <f>D3380&amp;E3380&amp;F3380</f>
        <v>HRVACACIONES/FINIQUITOSHR</v>
      </c>
      <c r="B3380" s="89" t="s">
        <v>2028</v>
      </c>
      <c r="C3380" s="235">
        <v>45902</v>
      </c>
      <c r="D3380" s="387" t="s">
        <v>29</v>
      </c>
      <c r="E3380" s="387" t="s">
        <v>190</v>
      </c>
      <c r="F3380" s="375" t="s">
        <v>29</v>
      </c>
      <c r="G3380" s="387"/>
      <c r="H3380" s="400"/>
      <c r="I3380" s="400"/>
      <c r="J3380" s="422" t="s">
        <v>2054</v>
      </c>
      <c r="K3380" s="332"/>
      <c r="L3380" s="434">
        <v>3360</v>
      </c>
      <c r="M3380" s="136">
        <f t="shared" si="87"/>
        <v>-75817.122296666173</v>
      </c>
      <c r="N3380" s="242"/>
    </row>
    <row r="3381" spans="1:14" s="229" customFormat="1">
      <c r="A3381" s="54" t="str">
        <f>D3381&amp;E3381&amp;F3381</f>
        <v>CAPUBERCAP</v>
      </c>
      <c r="B3381" s="229" t="s">
        <v>2028</v>
      </c>
      <c r="C3381" s="244">
        <v>45902</v>
      </c>
      <c r="D3381" s="242" t="s">
        <v>31</v>
      </c>
      <c r="E3381" s="242" t="s">
        <v>189</v>
      </c>
      <c r="F3381" s="77" t="s">
        <v>31</v>
      </c>
      <c r="G3381" s="242"/>
      <c r="H3381" s="423"/>
      <c r="I3381" s="423"/>
      <c r="J3381" s="243" t="s">
        <v>2055</v>
      </c>
      <c r="K3381" s="332"/>
      <c r="L3381" s="522">
        <v>45</v>
      </c>
      <c r="M3381" s="136">
        <f t="shared" si="87"/>
        <v>-75862.122296666173</v>
      </c>
      <c r="N3381" s="242"/>
    </row>
    <row r="3382" spans="1:14">
      <c r="A3382" s="54" t="str">
        <f t="shared" si="89"/>
        <v/>
      </c>
      <c r="B3382" t="s">
        <v>2028</v>
      </c>
      <c r="C3382" s="1">
        <v>45903</v>
      </c>
      <c r="D3382" s="71"/>
      <c r="F3382" s="70"/>
      <c r="J3382" s="71" t="s">
        <v>2045</v>
      </c>
      <c r="K3382" s="325">
        <v>177745.93</v>
      </c>
      <c r="L3382" s="432"/>
      <c r="M3382" s="136">
        <f t="shared" si="87"/>
        <v>101883.80770333382</v>
      </c>
    </row>
    <row r="3383" spans="1:14">
      <c r="A3383" s="54" t="str">
        <f>D3383&amp;E3383&amp;F3383</f>
        <v>FINANZASCOMISIONES BANCARIASTPV</v>
      </c>
      <c r="B3383" t="s">
        <v>2028</v>
      </c>
      <c r="C3383" s="1">
        <v>45903</v>
      </c>
      <c r="D3383" s="71" t="s">
        <v>23</v>
      </c>
      <c r="E3383" s="71" t="s">
        <v>48</v>
      </c>
      <c r="F3383" s="70" t="s">
        <v>50</v>
      </c>
      <c r="J3383" s="71" t="s">
        <v>217</v>
      </c>
      <c r="L3383" s="438">
        <f>234.78+502.58+1573.02+785.49+659.81+41.76</f>
        <v>3797.44</v>
      </c>
      <c r="M3383" s="136">
        <f t="shared" si="87"/>
        <v>98086.367703333817</v>
      </c>
    </row>
    <row r="3384" spans="1:14">
      <c r="A3384" s="54" t="str">
        <f t="shared" si="89"/>
        <v/>
      </c>
      <c r="B3384" t="s">
        <v>2028</v>
      </c>
      <c r="C3384" s="1">
        <v>45903</v>
      </c>
      <c r="D3384" s="71"/>
      <c r="F3384" s="70"/>
      <c r="J3384" s="205" t="s">
        <v>1562</v>
      </c>
      <c r="K3384" s="205"/>
      <c r="L3384" s="428">
        <v>150000</v>
      </c>
      <c r="M3384" s="136">
        <f t="shared" si="87"/>
        <v>-51913.632296666183</v>
      </c>
    </row>
    <row r="3385" spans="1:14">
      <c r="A3385" s="54" t="str">
        <f t="shared" si="89"/>
        <v/>
      </c>
      <c r="B3385" t="s">
        <v>2028</v>
      </c>
      <c r="C3385" s="1">
        <v>45903</v>
      </c>
      <c r="D3385" s="71"/>
      <c r="F3385" s="70"/>
      <c r="J3385" s="205" t="s">
        <v>222</v>
      </c>
      <c r="K3385" s="205"/>
      <c r="L3385" s="428"/>
      <c r="M3385" s="136">
        <f t="shared" si="87"/>
        <v>-51913.632296666183</v>
      </c>
    </row>
    <row r="3386" spans="1:14">
      <c r="A3386" s="54" t="str">
        <f t="shared" si="89"/>
        <v/>
      </c>
      <c r="B3386" t="s">
        <v>2028</v>
      </c>
      <c r="C3386" s="1">
        <v>45903</v>
      </c>
      <c r="D3386" s="71"/>
      <c r="F3386" s="70"/>
      <c r="J3386" s="205" t="s">
        <v>318</v>
      </c>
      <c r="K3386" s="205"/>
      <c r="L3386" s="428"/>
      <c r="M3386" s="136">
        <f t="shared" si="87"/>
        <v>-51913.632296666183</v>
      </c>
    </row>
    <row r="3387" spans="1:14" s="229" customFormat="1">
      <c r="A3387" s="54" t="str">
        <f>D3387&amp;E3387&amp;F3387</f>
        <v>HRENERGIA ELECTRICAA11</v>
      </c>
      <c r="B3387" s="229" t="s">
        <v>2028</v>
      </c>
      <c r="C3387" s="244">
        <v>45903</v>
      </c>
      <c r="D3387" s="242" t="s">
        <v>29</v>
      </c>
      <c r="E3387" s="242" t="s">
        <v>87</v>
      </c>
      <c r="F3387" s="77" t="s">
        <v>97</v>
      </c>
      <c r="G3387" s="71"/>
      <c r="H3387" s="423"/>
      <c r="I3387" s="423"/>
      <c r="J3387" s="242" t="s">
        <v>2056</v>
      </c>
      <c r="K3387" s="332"/>
      <c r="L3387" s="436">
        <v>26822</v>
      </c>
      <c r="M3387" s="163">
        <f t="shared" si="87"/>
        <v>-78735.632296666183</v>
      </c>
      <c r="N3387" s="242"/>
    </row>
    <row r="3388" spans="1:14">
      <c r="A3388" s="54" t="str">
        <f>D3388&amp;E3388&amp;F3388</f>
        <v>SERVICIOSMTTO DE EDIFICIOMANTENIMIENTO</v>
      </c>
      <c r="B3388" t="s">
        <v>2028</v>
      </c>
      <c r="C3388" s="1">
        <v>45903</v>
      </c>
      <c r="D3388" s="71" t="s">
        <v>21</v>
      </c>
      <c r="E3388" s="71" t="s">
        <v>142</v>
      </c>
      <c r="F3388" s="70" t="s">
        <v>35</v>
      </c>
      <c r="J3388" s="71" t="s">
        <v>2057</v>
      </c>
      <c r="L3388" s="433">
        <v>600</v>
      </c>
      <c r="M3388" s="136">
        <f t="shared" si="87"/>
        <v>-79335.632296666183</v>
      </c>
    </row>
    <row r="3389" spans="1:14">
      <c r="A3389" s="54" t="str">
        <f>D3389&amp;E3389&amp;F3389</f>
        <v>CAPFONDO Y REPOSICIONCAPRICHOS</v>
      </c>
      <c r="B3389" t="s">
        <v>2028</v>
      </c>
      <c r="C3389" s="1">
        <v>45903</v>
      </c>
      <c r="D3389" s="71" t="s">
        <v>31</v>
      </c>
      <c r="E3389" s="71" t="s">
        <v>120</v>
      </c>
      <c r="F3389" s="70" t="s">
        <v>33</v>
      </c>
      <c r="G3389" s="83" t="s">
        <v>258</v>
      </c>
      <c r="J3389" s="71" t="s">
        <v>584</v>
      </c>
      <c r="L3389" s="433">
        <v>1425</v>
      </c>
      <c r="M3389" s="136">
        <f t="shared" si="87"/>
        <v>-80760.632296666183</v>
      </c>
    </row>
    <row r="3390" spans="1:14">
      <c r="A3390" s="54" t="str">
        <f>D3390&amp;E3390&amp;F3390</f>
        <v>CAPFONDO Y REPOSICIONCAPRICHOS</v>
      </c>
      <c r="B3390" t="s">
        <v>2028</v>
      </c>
      <c r="C3390" s="1">
        <v>45903</v>
      </c>
      <c r="D3390" s="71" t="s">
        <v>31</v>
      </c>
      <c r="E3390" s="71" t="s">
        <v>120</v>
      </c>
      <c r="F3390" s="70" t="s">
        <v>33</v>
      </c>
      <c r="G3390" s="83" t="s">
        <v>258</v>
      </c>
      <c r="J3390" s="71" t="s">
        <v>583</v>
      </c>
      <c r="L3390" s="433">
        <v>650</v>
      </c>
      <c r="M3390" s="136">
        <f t="shared" si="87"/>
        <v>-81410.632296666183</v>
      </c>
    </row>
    <row r="3391" spans="1:14">
      <c r="A3391" s="54" t="str">
        <f>D3391&amp;E3391&amp;F3391</f>
        <v>HRFONDO Y REPOSICIONHR</v>
      </c>
      <c r="B3391" t="s">
        <v>2028</v>
      </c>
      <c r="C3391" s="1">
        <v>45903</v>
      </c>
      <c r="D3391" s="71" t="s">
        <v>29</v>
      </c>
      <c r="E3391" s="71" t="s">
        <v>120</v>
      </c>
      <c r="F3391" s="70" t="s">
        <v>29</v>
      </c>
      <c r="J3391" s="71" t="s">
        <v>357</v>
      </c>
      <c r="L3391" s="433">
        <v>1000</v>
      </c>
      <c r="M3391" s="136">
        <f t="shared" ref="M3391:M3454" si="90">M3390+K3391-L3391</f>
        <v>-82410.632296666183</v>
      </c>
    </row>
    <row r="3392" spans="1:14">
      <c r="A3392" s="54" t="str">
        <f>D3392&amp;E3392&amp;F3392</f>
        <v>HRFONDO Y REPOSICIONHR</v>
      </c>
      <c r="B3392" t="s">
        <v>2028</v>
      </c>
      <c r="C3392" s="1">
        <v>45903</v>
      </c>
      <c r="D3392" s="71" t="s">
        <v>29</v>
      </c>
      <c r="E3392" s="71" t="s">
        <v>120</v>
      </c>
      <c r="F3392" s="70" t="s">
        <v>29</v>
      </c>
      <c r="J3392" s="71" t="s">
        <v>267</v>
      </c>
      <c r="L3392" s="433">
        <v>1000</v>
      </c>
      <c r="M3392" s="136">
        <f t="shared" si="90"/>
        <v>-83410.632296666183</v>
      </c>
    </row>
    <row r="3393" spans="1:13">
      <c r="A3393" s="54" t="str">
        <f>D3393&amp;E3393&amp;F3393</f>
        <v>CAPVIATICOSCAPRICHOS</v>
      </c>
      <c r="B3393" t="s">
        <v>2028</v>
      </c>
      <c r="C3393" s="1">
        <v>45903</v>
      </c>
      <c r="D3393" s="71" t="s">
        <v>31</v>
      </c>
      <c r="E3393" s="71" t="s">
        <v>191</v>
      </c>
      <c r="F3393" s="70" t="s">
        <v>33</v>
      </c>
      <c r="J3393" s="71" t="s">
        <v>2058</v>
      </c>
      <c r="L3393" s="433">
        <v>2000</v>
      </c>
      <c r="M3393" s="136">
        <f t="shared" si="90"/>
        <v>-85410.632296666183</v>
      </c>
    </row>
    <row r="3394" spans="1:13">
      <c r="A3394" s="54" t="str">
        <f>D3394&amp;E3394&amp;F3394</f>
        <v>SERVICIOSVIATICOSSISTEMAS</v>
      </c>
      <c r="B3394" t="s">
        <v>2028</v>
      </c>
      <c r="C3394" s="1">
        <v>45903</v>
      </c>
      <c r="D3394" s="71" t="s">
        <v>21</v>
      </c>
      <c r="E3394" s="71" t="s">
        <v>191</v>
      </c>
      <c r="F3394" s="70" t="s">
        <v>36</v>
      </c>
      <c r="G3394" s="83" t="s">
        <v>258</v>
      </c>
      <c r="J3394" s="71" t="s">
        <v>2059</v>
      </c>
      <c r="L3394" s="433">
        <v>1350</v>
      </c>
      <c r="M3394" s="136">
        <f t="shared" si="90"/>
        <v>-86760.632296666183</v>
      </c>
    </row>
    <row r="3395" spans="1:13">
      <c r="A3395" s="54" t="str">
        <f>D3395&amp;E3395&amp;F3395</f>
        <v>FINANZASVIATICOSFINANZAS</v>
      </c>
      <c r="B3395" t="s">
        <v>2028</v>
      </c>
      <c r="C3395" s="1">
        <v>45903</v>
      </c>
      <c r="D3395" s="71" t="s">
        <v>23</v>
      </c>
      <c r="E3395" s="71" t="s">
        <v>191</v>
      </c>
      <c r="F3395" s="70" t="s">
        <v>23</v>
      </c>
      <c r="G3395" s="83"/>
      <c r="J3395" s="71" t="s">
        <v>2060</v>
      </c>
      <c r="L3395" s="433">
        <v>1000</v>
      </c>
      <c r="M3395" s="136">
        <f t="shared" si="90"/>
        <v>-87760.632296666183</v>
      </c>
    </row>
    <row r="3396" spans="1:13">
      <c r="A3396" s="54" t="str">
        <f>D3396&amp;E3396&amp;F3396</f>
        <v>MKTVIATICOSMKT</v>
      </c>
      <c r="B3396" t="s">
        <v>2028</v>
      </c>
      <c r="C3396" s="1">
        <v>45903</v>
      </c>
      <c r="D3396" s="71" t="s">
        <v>19</v>
      </c>
      <c r="E3396" s="71" t="s">
        <v>191</v>
      </c>
      <c r="F3396" s="70" t="s">
        <v>19</v>
      </c>
      <c r="G3396" s="71" t="s">
        <v>258</v>
      </c>
      <c r="J3396" s="71" t="s">
        <v>2061</v>
      </c>
      <c r="L3396" s="433">
        <v>500</v>
      </c>
      <c r="M3396" s="136">
        <f t="shared" si="90"/>
        <v>-88260.632296666183</v>
      </c>
    </row>
    <row r="3397" spans="1:13">
      <c r="A3397" s="54" t="str">
        <f>D3397&amp;E3397&amp;F3397</f>
        <v>SERVICIOSMTTO DE EDIFICIOMANTENIMIENTO</v>
      </c>
      <c r="B3397" t="s">
        <v>2028</v>
      </c>
      <c r="C3397" s="1">
        <v>45903</v>
      </c>
      <c r="D3397" s="71" t="s">
        <v>21</v>
      </c>
      <c r="E3397" s="71" t="s">
        <v>142</v>
      </c>
      <c r="F3397" s="70" t="s">
        <v>35</v>
      </c>
      <c r="J3397" s="71" t="s">
        <v>2062</v>
      </c>
      <c r="L3397" s="433">
        <v>3500</v>
      </c>
      <c r="M3397" s="136">
        <f t="shared" si="90"/>
        <v>-91760.632296666183</v>
      </c>
    </row>
    <row r="3398" spans="1:13">
      <c r="A3398" s="54" t="str">
        <f>D3398&amp;E3398&amp;F3398</f>
        <v>FINANZASVIATICOSFINANZAS</v>
      </c>
      <c r="B3398" t="s">
        <v>2028</v>
      </c>
      <c r="C3398" s="1">
        <v>45903</v>
      </c>
      <c r="D3398" s="71" t="s">
        <v>23</v>
      </c>
      <c r="E3398" s="71" t="s">
        <v>191</v>
      </c>
      <c r="F3398" s="70" t="s">
        <v>23</v>
      </c>
      <c r="J3398" s="71" t="s">
        <v>2009</v>
      </c>
      <c r="L3398" s="433">
        <v>1000</v>
      </c>
      <c r="M3398" s="136">
        <f t="shared" si="90"/>
        <v>-92760.632296666183</v>
      </c>
    </row>
    <row r="3399" spans="1:13">
      <c r="A3399" s="54" t="str">
        <f>D3399&amp;E3399&amp;F3399</f>
        <v>FINANZASRENTASCONTABILIDAD (WT)</v>
      </c>
      <c r="B3399" t="s">
        <v>2028</v>
      </c>
      <c r="C3399" s="1">
        <v>45903</v>
      </c>
      <c r="D3399" s="71" t="s">
        <v>23</v>
      </c>
      <c r="E3399" s="71" t="s">
        <v>169</v>
      </c>
      <c r="F3399" s="70" t="s">
        <v>171</v>
      </c>
      <c r="J3399" s="71" t="s">
        <v>2063</v>
      </c>
      <c r="L3399" s="433">
        <v>10253.17</v>
      </c>
      <c r="M3399" s="136">
        <f t="shared" si="90"/>
        <v>-103013.80229666618</v>
      </c>
    </row>
    <row r="3400" spans="1:13">
      <c r="A3400" s="54" t="str">
        <f>D3400&amp;E3400&amp;F3400</f>
        <v>HRUBERHR</v>
      </c>
      <c r="B3400" t="s">
        <v>2028</v>
      </c>
      <c r="C3400" s="1">
        <v>45903</v>
      </c>
      <c r="D3400" s="71" t="s">
        <v>29</v>
      </c>
      <c r="E3400" s="71" t="s">
        <v>189</v>
      </c>
      <c r="F3400" s="70" t="s">
        <v>29</v>
      </c>
      <c r="J3400" s="76" t="s">
        <v>2064</v>
      </c>
      <c r="L3400" s="523">
        <v>144</v>
      </c>
      <c r="M3400" s="136">
        <f t="shared" si="90"/>
        <v>-103157.80229666618</v>
      </c>
    </row>
    <row r="3401" spans="1:13">
      <c r="A3401" s="54" t="str">
        <f>D3401&amp;E3401&amp;F3401</f>
        <v>HRJMASA11</v>
      </c>
      <c r="B3401" t="s">
        <v>2028</v>
      </c>
      <c r="C3401" s="1">
        <v>45903</v>
      </c>
      <c r="D3401" s="71" t="s">
        <v>29</v>
      </c>
      <c r="E3401" s="71" t="s">
        <v>137</v>
      </c>
      <c r="F3401" s="70" t="s">
        <v>97</v>
      </c>
      <c r="J3401" s="76" t="s">
        <v>2065</v>
      </c>
      <c r="L3401" s="433">
        <v>588</v>
      </c>
      <c r="M3401" s="136">
        <f t="shared" si="90"/>
        <v>-103745.80229666618</v>
      </c>
    </row>
    <row r="3402" spans="1:13">
      <c r="A3402" s="54" t="str">
        <f>D3402&amp;E3402&amp;F3402</f>
        <v>HRUBERHR</v>
      </c>
      <c r="B3402" t="s">
        <v>2028</v>
      </c>
      <c r="C3402" s="1">
        <v>45903</v>
      </c>
      <c r="D3402" s="71" t="s">
        <v>29</v>
      </c>
      <c r="E3402" s="71" t="s">
        <v>189</v>
      </c>
      <c r="F3402" s="70" t="s">
        <v>29</v>
      </c>
      <c r="J3402" s="76" t="s">
        <v>2066</v>
      </c>
      <c r="L3402" s="523">
        <v>158</v>
      </c>
      <c r="M3402" s="136">
        <f t="shared" si="90"/>
        <v>-103903.80229666618</v>
      </c>
    </row>
    <row r="3403" spans="1:13">
      <c r="A3403" s="54" t="str">
        <f>D3403&amp;E3403&amp;F3403</f>
        <v>HRJMASA18</v>
      </c>
      <c r="B3403" s="89" t="s">
        <v>2028</v>
      </c>
      <c r="C3403" s="235">
        <v>45903</v>
      </c>
      <c r="D3403" s="387" t="s">
        <v>29</v>
      </c>
      <c r="E3403" s="387" t="s">
        <v>137</v>
      </c>
      <c r="F3403" s="375" t="s">
        <v>103</v>
      </c>
      <c r="G3403" s="387"/>
      <c r="H3403" s="400"/>
      <c r="I3403" s="400"/>
      <c r="J3403" s="422" t="s">
        <v>2067</v>
      </c>
      <c r="L3403" s="433">
        <v>1331</v>
      </c>
      <c r="M3403" s="136">
        <f t="shared" si="90"/>
        <v>-105234.80229666618</v>
      </c>
    </row>
    <row r="3404" spans="1:13">
      <c r="A3404" s="54" t="str">
        <f>D3404&amp;E3404&amp;F3404</f>
        <v>HRJMASA17</v>
      </c>
      <c r="B3404" t="s">
        <v>2028</v>
      </c>
      <c r="C3404" s="1">
        <v>45903</v>
      </c>
      <c r="D3404" s="71" t="s">
        <v>29</v>
      </c>
      <c r="E3404" s="71" t="s">
        <v>137</v>
      </c>
      <c r="F3404" s="70" t="s">
        <v>102</v>
      </c>
      <c r="J3404" s="76" t="s">
        <v>2068</v>
      </c>
      <c r="L3404" s="433">
        <v>562</v>
      </c>
      <c r="M3404" s="136">
        <f t="shared" si="90"/>
        <v>-105796.80229666618</v>
      </c>
    </row>
    <row r="3405" spans="1:13">
      <c r="A3405" s="54" t="str">
        <f>D3405&amp;E3405&amp;F3405</f>
        <v>CAPUBERCAP</v>
      </c>
      <c r="B3405" t="s">
        <v>2028</v>
      </c>
      <c r="C3405" s="1">
        <v>45903</v>
      </c>
      <c r="D3405" s="71" t="s">
        <v>31</v>
      </c>
      <c r="E3405" s="71" t="s">
        <v>189</v>
      </c>
      <c r="F3405" s="70" t="s">
        <v>31</v>
      </c>
      <c r="J3405" s="76" t="s">
        <v>1784</v>
      </c>
      <c r="L3405" s="523">
        <v>73</v>
      </c>
      <c r="M3405" s="136">
        <f t="shared" si="90"/>
        <v>-105869.80229666618</v>
      </c>
    </row>
    <row r="3406" spans="1:13">
      <c r="A3406" s="54" t="str">
        <f>D3406&amp;E3406&amp;F3406</f>
        <v>CAPUBERCAP</v>
      </c>
      <c r="B3406" t="s">
        <v>2028</v>
      </c>
      <c r="C3406" s="1">
        <v>45903</v>
      </c>
      <c r="D3406" s="71" t="s">
        <v>31</v>
      </c>
      <c r="E3406" s="71" t="s">
        <v>189</v>
      </c>
      <c r="F3406" s="70" t="s">
        <v>31</v>
      </c>
      <c r="J3406" s="76" t="s">
        <v>2069</v>
      </c>
      <c r="L3406" s="523">
        <v>80</v>
      </c>
      <c r="M3406" s="136">
        <f t="shared" si="90"/>
        <v>-105949.80229666618</v>
      </c>
    </row>
    <row r="3407" spans="1:13">
      <c r="A3407" s="54" t="str">
        <f t="shared" si="89"/>
        <v/>
      </c>
      <c r="B3407" t="s">
        <v>2028</v>
      </c>
      <c r="C3407" s="1">
        <v>45904</v>
      </c>
      <c r="D3407" s="71"/>
      <c r="F3407" s="70"/>
      <c r="J3407" s="71" t="s">
        <v>2045</v>
      </c>
      <c r="K3407" s="325">
        <v>173366.93</v>
      </c>
      <c r="L3407" s="432"/>
      <c r="M3407" s="136">
        <f t="shared" si="90"/>
        <v>67417.127703333812</v>
      </c>
    </row>
    <row r="3408" spans="1:13">
      <c r="A3408" s="54" t="str">
        <f>D3408&amp;E3408&amp;F3408</f>
        <v>FINANZASCOMISIONES BANCARIASTPV</v>
      </c>
      <c r="B3408" t="s">
        <v>2028</v>
      </c>
      <c r="C3408" s="1">
        <v>45904</v>
      </c>
      <c r="D3408" s="71" t="s">
        <v>23</v>
      </c>
      <c r="E3408" s="71" t="s">
        <v>48</v>
      </c>
      <c r="F3408" s="70" t="s">
        <v>50</v>
      </c>
      <c r="J3408" s="71" t="s">
        <v>217</v>
      </c>
      <c r="L3408" s="438">
        <f>5.8+5.8+234.04+101.97+1566.28+998.2+702.21+6.96</f>
        <v>3621.26</v>
      </c>
      <c r="M3408" s="136">
        <f t="shared" si="90"/>
        <v>63795.86770333381</v>
      </c>
    </row>
    <row r="3409" spans="1:14">
      <c r="A3409" s="54" t="str">
        <f>D3409&amp;E3409&amp;F3409</f>
        <v>FINANZASCOMISIONES BANCARIASMANEJO DE CUENTA</v>
      </c>
      <c r="B3409" t="s">
        <v>2028</v>
      </c>
      <c r="C3409" s="1">
        <v>45904</v>
      </c>
      <c r="D3409" s="71" t="s">
        <v>23</v>
      </c>
      <c r="E3409" s="71" t="s">
        <v>48</v>
      </c>
      <c r="F3409" s="70" t="s">
        <v>49</v>
      </c>
      <c r="J3409" s="71" t="s">
        <v>218</v>
      </c>
      <c r="L3409" s="433">
        <f>327.7+339.88+403.1</f>
        <v>1070.6799999999998</v>
      </c>
      <c r="M3409" s="136">
        <f t="shared" si="90"/>
        <v>62725.18770333381</v>
      </c>
    </row>
    <row r="3410" spans="1:14">
      <c r="A3410" s="54" t="str">
        <f t="shared" ref="A3410:A3473" si="91">D3410&amp;E3410&amp;F3410</f>
        <v/>
      </c>
      <c r="B3410" t="s">
        <v>2028</v>
      </c>
      <c r="C3410" s="1">
        <v>45904</v>
      </c>
      <c r="D3410" s="71"/>
      <c r="F3410" s="70"/>
      <c r="J3410" s="205" t="s">
        <v>1562</v>
      </c>
      <c r="K3410" s="206"/>
      <c r="L3410" s="428">
        <v>100000</v>
      </c>
      <c r="M3410" s="136">
        <f t="shared" si="90"/>
        <v>-37274.81229666619</v>
      </c>
    </row>
    <row r="3411" spans="1:14">
      <c r="A3411" s="54" t="str">
        <f t="shared" si="91"/>
        <v/>
      </c>
      <c r="B3411" t="s">
        <v>2028</v>
      </c>
      <c r="C3411" s="1">
        <v>45904</v>
      </c>
      <c r="D3411" s="71"/>
      <c r="F3411" s="70"/>
      <c r="J3411" s="205" t="s">
        <v>222</v>
      </c>
      <c r="K3411" s="206"/>
      <c r="L3411" s="428"/>
      <c r="M3411" s="136">
        <f t="shared" si="90"/>
        <v>-37274.81229666619</v>
      </c>
    </row>
    <row r="3412" spans="1:14">
      <c r="A3412" s="54" t="str">
        <f t="shared" si="91"/>
        <v/>
      </c>
      <c r="B3412" t="s">
        <v>2028</v>
      </c>
      <c r="C3412" s="1">
        <v>45904</v>
      </c>
      <c r="D3412" s="71"/>
      <c r="F3412" s="70"/>
      <c r="J3412" s="205" t="s">
        <v>318</v>
      </c>
      <c r="K3412" s="206"/>
      <c r="L3412" s="428"/>
      <c r="M3412" s="136">
        <f t="shared" si="90"/>
        <v>-37274.81229666619</v>
      </c>
    </row>
    <row r="3413" spans="1:14">
      <c r="A3413" s="54" t="str">
        <f>D3413&amp;E3413&amp;F3413</f>
        <v>SERVICIOSVIATICOSMANTENIMIENTO</v>
      </c>
      <c r="B3413" t="s">
        <v>2028</v>
      </c>
      <c r="C3413" s="1">
        <v>45904</v>
      </c>
      <c r="D3413" s="71" t="s">
        <v>21</v>
      </c>
      <c r="E3413" s="71" t="s">
        <v>191</v>
      </c>
      <c r="F3413" s="70" t="s">
        <v>35</v>
      </c>
      <c r="J3413" s="71" t="s">
        <v>2070</v>
      </c>
      <c r="L3413" s="433">
        <v>800</v>
      </c>
      <c r="M3413" s="136">
        <f t="shared" si="90"/>
        <v>-38074.81229666619</v>
      </c>
    </row>
    <row r="3414" spans="1:14" s="229" customFormat="1">
      <c r="A3414" s="54" t="str">
        <f>D3414&amp;E3414&amp;F3414</f>
        <v>HRMKTMKT HR</v>
      </c>
      <c r="B3414" s="229" t="s">
        <v>2028</v>
      </c>
      <c r="C3414" s="244">
        <v>45904</v>
      </c>
      <c r="D3414" s="242" t="s">
        <v>29</v>
      </c>
      <c r="E3414" s="242" t="s">
        <v>19</v>
      </c>
      <c r="F3414" s="77" t="s">
        <v>138</v>
      </c>
      <c r="G3414" s="242"/>
      <c r="H3414" s="423"/>
      <c r="I3414" s="423"/>
      <c r="J3414" s="242" t="s">
        <v>2071</v>
      </c>
      <c r="K3414" s="332"/>
      <c r="L3414" s="436">
        <v>700</v>
      </c>
      <c r="M3414" s="163">
        <f t="shared" si="90"/>
        <v>-38774.81229666619</v>
      </c>
      <c r="N3414" s="242"/>
    </row>
    <row r="3415" spans="1:14">
      <c r="A3415" s="54" t="str">
        <f>D3415&amp;E3415&amp;F3415</f>
        <v>MKTVIATICOSMKT</v>
      </c>
      <c r="B3415" t="s">
        <v>2028</v>
      </c>
      <c r="C3415" s="1">
        <v>45904</v>
      </c>
      <c r="D3415" s="71" t="s">
        <v>19</v>
      </c>
      <c r="E3415" s="71" t="s">
        <v>191</v>
      </c>
      <c r="F3415" s="70" t="s">
        <v>19</v>
      </c>
      <c r="G3415" s="71" t="s">
        <v>258</v>
      </c>
      <c r="J3415" s="71" t="s">
        <v>2072</v>
      </c>
      <c r="L3415" s="433">
        <v>1000</v>
      </c>
      <c r="M3415" s="136">
        <f t="shared" si="90"/>
        <v>-39774.81229666619</v>
      </c>
    </row>
    <row r="3416" spans="1:14">
      <c r="A3416" s="54" t="str">
        <f>D3416&amp;E3416&amp;F3416</f>
        <v>MKTCOMBUSTIBLEMKT</v>
      </c>
      <c r="B3416" t="s">
        <v>2028</v>
      </c>
      <c r="C3416" s="1">
        <v>45904</v>
      </c>
      <c r="D3416" s="71" t="s">
        <v>19</v>
      </c>
      <c r="E3416" s="71" t="s">
        <v>32</v>
      </c>
      <c r="F3416" s="70" t="s">
        <v>19</v>
      </c>
      <c r="G3416" s="71" t="s">
        <v>258</v>
      </c>
      <c r="J3416" s="71" t="s">
        <v>2073</v>
      </c>
      <c r="L3416" s="433">
        <v>500</v>
      </c>
      <c r="M3416" s="136">
        <f t="shared" si="90"/>
        <v>-40274.81229666619</v>
      </c>
    </row>
    <row r="3417" spans="1:14" s="229" customFormat="1">
      <c r="A3417" s="54" t="str">
        <f>D3417&amp;E3417&amp;F3417</f>
        <v>MKTACTIVACION MKT</v>
      </c>
      <c r="B3417" s="229" t="s">
        <v>2028</v>
      </c>
      <c r="C3417" s="244">
        <v>45904</v>
      </c>
      <c r="D3417" t="s">
        <v>19</v>
      </c>
      <c r="E3417" t="s">
        <v>20</v>
      </c>
      <c r="F3417" t="s">
        <v>19</v>
      </c>
      <c r="G3417" s="242"/>
      <c r="H3417" s="423"/>
      <c r="I3417" s="423"/>
      <c r="J3417" s="242" t="s">
        <v>2074</v>
      </c>
      <c r="K3417" s="332"/>
      <c r="L3417" s="436">
        <v>800</v>
      </c>
      <c r="M3417" s="163">
        <f t="shared" si="90"/>
        <v>-41074.81229666619</v>
      </c>
      <c r="N3417" s="242"/>
    </row>
    <row r="3418" spans="1:14">
      <c r="A3418" s="54" t="str">
        <f>D3418&amp;E3418&amp;F3418</f>
        <v>FINANZASTELEPEAJEFINANZAS</v>
      </c>
      <c r="B3418" t="s">
        <v>2028</v>
      </c>
      <c r="C3418" s="1">
        <v>45904</v>
      </c>
      <c r="D3418" s="71" t="s">
        <v>23</v>
      </c>
      <c r="E3418" s="71" t="s">
        <v>186</v>
      </c>
      <c r="F3418" s="70" t="s">
        <v>23</v>
      </c>
      <c r="J3418" s="71" t="s">
        <v>2075</v>
      </c>
      <c r="L3418" s="433">
        <v>786</v>
      </c>
      <c r="M3418" s="136">
        <f t="shared" si="90"/>
        <v>-41860.81229666619</v>
      </c>
    </row>
    <row r="3419" spans="1:14">
      <c r="A3419" s="54" t="str">
        <f>D3419&amp;E3419&amp;F3419</f>
        <v>HRTELEPEAJEOP HR</v>
      </c>
      <c r="B3419" t="s">
        <v>2028</v>
      </c>
      <c r="C3419" s="1">
        <v>45904</v>
      </c>
      <c r="D3419" s="71" t="s">
        <v>29</v>
      </c>
      <c r="E3419" s="71" t="s">
        <v>186</v>
      </c>
      <c r="F3419" s="143" t="s">
        <v>187</v>
      </c>
      <c r="J3419" s="71" t="s">
        <v>2076</v>
      </c>
      <c r="L3419" s="433">
        <v>596</v>
      </c>
      <c r="M3419" s="136">
        <f t="shared" si="90"/>
        <v>-42456.81229666619</v>
      </c>
    </row>
    <row r="3420" spans="1:14">
      <c r="A3420" s="54" t="str">
        <f>D3420&amp;E3420&amp;F3420</f>
        <v>SERVICIOSTELEPEAJECEDIS</v>
      </c>
      <c r="B3420" t="s">
        <v>2028</v>
      </c>
      <c r="C3420" s="1">
        <v>45904</v>
      </c>
      <c r="D3420" s="71" t="s">
        <v>21</v>
      </c>
      <c r="E3420" s="71" t="s">
        <v>186</v>
      </c>
      <c r="F3420" s="70" t="s">
        <v>28</v>
      </c>
      <c r="J3420" s="71" t="s">
        <v>350</v>
      </c>
      <c r="L3420" s="433">
        <v>3749</v>
      </c>
      <c r="M3420" s="136">
        <f t="shared" si="90"/>
        <v>-46205.81229666619</v>
      </c>
    </row>
    <row r="3421" spans="1:14" s="229" customFormat="1">
      <c r="A3421" s="54" t="str">
        <f>D3421&amp;E3421&amp;F3421</f>
        <v>FINANZASCUOTAS Y SUSCRIPCIONESCANACO</v>
      </c>
      <c r="B3421" s="229" t="s">
        <v>2028</v>
      </c>
      <c r="C3421" s="244">
        <v>45904</v>
      </c>
      <c r="D3421" s="242" t="s">
        <v>23</v>
      </c>
      <c r="E3421" s="242" t="s">
        <v>51</v>
      </c>
      <c r="F3421" s="77" t="s">
        <v>67</v>
      </c>
      <c r="G3421" s="71" t="s">
        <v>258</v>
      </c>
      <c r="H3421" s="423"/>
      <c r="I3421" s="423"/>
      <c r="J3421" s="242" t="s">
        <v>2077</v>
      </c>
      <c r="K3421" s="332"/>
      <c r="L3421" s="436">
        <v>640</v>
      </c>
      <c r="M3421" s="163">
        <f t="shared" si="90"/>
        <v>-46845.81229666619</v>
      </c>
      <c r="N3421" s="242"/>
    </row>
    <row r="3422" spans="1:14" s="229" customFormat="1">
      <c r="A3422" s="54" t="str">
        <f>D3422&amp;E3422&amp;F3422</f>
        <v>CAPUBERCAP</v>
      </c>
      <c r="B3422" s="229" t="s">
        <v>2028</v>
      </c>
      <c r="C3422" s="244">
        <v>45904</v>
      </c>
      <c r="D3422" s="242" t="s">
        <v>31</v>
      </c>
      <c r="E3422" s="242" t="s">
        <v>189</v>
      </c>
      <c r="F3422" s="77" t="s">
        <v>31</v>
      </c>
      <c r="G3422" s="242"/>
      <c r="H3422" s="423"/>
      <c r="I3422" s="423"/>
      <c r="J3422" s="242" t="s">
        <v>2078</v>
      </c>
      <c r="K3422" s="332"/>
      <c r="L3422" s="533">
        <v>88</v>
      </c>
      <c r="M3422" s="163">
        <f t="shared" si="90"/>
        <v>-46933.81229666619</v>
      </c>
      <c r="N3422" s="242"/>
    </row>
    <row r="3423" spans="1:14" s="229" customFormat="1">
      <c r="A3423" s="54" t="str">
        <f>D3423&amp;E3423&amp;F3423</f>
        <v>CAPUBERCAP</v>
      </c>
      <c r="B3423" s="229" t="s">
        <v>2028</v>
      </c>
      <c r="C3423" s="244">
        <v>45904</v>
      </c>
      <c r="D3423" s="242" t="s">
        <v>31</v>
      </c>
      <c r="E3423" s="242" t="s">
        <v>189</v>
      </c>
      <c r="F3423" s="77" t="s">
        <v>31</v>
      </c>
      <c r="G3423" s="242"/>
      <c r="H3423" s="423"/>
      <c r="I3423" s="423"/>
      <c r="J3423" s="242" t="s">
        <v>1786</v>
      </c>
      <c r="K3423" s="332"/>
      <c r="L3423" s="533">
        <v>130</v>
      </c>
      <c r="M3423" s="163">
        <f t="shared" si="90"/>
        <v>-47063.81229666619</v>
      </c>
      <c r="N3423" s="242"/>
    </row>
    <row r="3424" spans="1:14" s="229" customFormat="1">
      <c r="A3424" s="54" t="str">
        <f>D3424&amp;E3424&amp;F3424</f>
        <v>CAPFONDO Y REPOSICIONCAPRICHOS</v>
      </c>
      <c r="B3424" s="229" t="s">
        <v>2028</v>
      </c>
      <c r="C3424" s="244">
        <v>45904</v>
      </c>
      <c r="D3424" s="242" t="s">
        <v>31</v>
      </c>
      <c r="E3424" s="242" t="s">
        <v>120</v>
      </c>
      <c r="F3424" s="77" t="s">
        <v>33</v>
      </c>
      <c r="G3424" s="83" t="s">
        <v>258</v>
      </c>
      <c r="H3424" s="423"/>
      <c r="I3424" s="423"/>
      <c r="J3424" s="242" t="s">
        <v>2079</v>
      </c>
      <c r="K3424" s="332"/>
      <c r="L3424" s="436">
        <v>100</v>
      </c>
      <c r="M3424" s="163">
        <f t="shared" si="90"/>
        <v>-47163.81229666619</v>
      </c>
      <c r="N3424" s="242"/>
    </row>
    <row r="3425" spans="1:14" s="229" customFormat="1">
      <c r="A3425" s="54" t="str">
        <f>D3425&amp;E3425&amp;F3425</f>
        <v>ELIVIATICOSL1</v>
      </c>
      <c r="B3425" s="229" t="s">
        <v>2028</v>
      </c>
      <c r="C3425" s="244">
        <v>45904</v>
      </c>
      <c r="D3425" s="242" t="s">
        <v>130</v>
      </c>
      <c r="E3425" s="242" t="s">
        <v>191</v>
      </c>
      <c r="F3425" s="77" t="s">
        <v>136</v>
      </c>
      <c r="G3425" s="242"/>
      <c r="H3425" s="423"/>
      <c r="I3425" s="423"/>
      <c r="J3425" s="242" t="s">
        <v>2080</v>
      </c>
      <c r="K3425" s="332"/>
      <c r="L3425" s="436">
        <v>300</v>
      </c>
      <c r="M3425" s="163">
        <f t="shared" si="90"/>
        <v>-47463.81229666619</v>
      </c>
      <c r="N3425" s="242"/>
    </row>
    <row r="3426" spans="1:14">
      <c r="A3426" s="54" t="str">
        <f>D3426&amp;E3426&amp;F3426</f>
        <v>CAPTELEPEAJEOP CAPRICHOS</v>
      </c>
      <c r="B3426" t="s">
        <v>2028</v>
      </c>
      <c r="C3426" s="1">
        <v>45904</v>
      </c>
      <c r="D3426" s="71" t="s">
        <v>31</v>
      </c>
      <c r="E3426" s="71" t="s">
        <v>186</v>
      </c>
      <c r="F3426" t="s">
        <v>188</v>
      </c>
      <c r="J3426" s="71" t="s">
        <v>1380</v>
      </c>
      <c r="L3426" s="433">
        <v>329</v>
      </c>
      <c r="M3426" s="136">
        <f t="shared" si="90"/>
        <v>-47792.81229666619</v>
      </c>
    </row>
    <row r="3427" spans="1:14">
      <c r="A3427" s="54" t="str">
        <f>D3427&amp;E3427&amp;F3427</f>
        <v>HRTELEPEAJEOP HR</v>
      </c>
      <c r="B3427" t="s">
        <v>2028</v>
      </c>
      <c r="C3427" s="1">
        <v>45904</v>
      </c>
      <c r="D3427" s="71" t="s">
        <v>29</v>
      </c>
      <c r="E3427" s="71" t="s">
        <v>186</v>
      </c>
      <c r="F3427" s="143" t="s">
        <v>187</v>
      </c>
      <c r="J3427" s="71" t="s">
        <v>1476</v>
      </c>
      <c r="L3427" s="433">
        <v>294</v>
      </c>
      <c r="M3427" s="136">
        <f t="shared" si="90"/>
        <v>-48086.81229666619</v>
      </c>
    </row>
    <row r="3428" spans="1:14">
      <c r="A3428" s="54" t="str">
        <f>D3428&amp;E3428&amp;F3428</f>
        <v>HRTELEPEAJEOP HR</v>
      </c>
      <c r="B3428" t="s">
        <v>2028</v>
      </c>
      <c r="C3428" s="1">
        <v>45904</v>
      </c>
      <c r="D3428" s="71" t="s">
        <v>29</v>
      </c>
      <c r="E3428" s="71" t="s">
        <v>186</v>
      </c>
      <c r="F3428" s="143" t="s">
        <v>187</v>
      </c>
      <c r="J3428" s="71" t="s">
        <v>2081</v>
      </c>
      <c r="L3428" s="433">
        <v>267</v>
      </c>
      <c r="M3428" s="136">
        <f t="shared" si="90"/>
        <v>-48353.81229666619</v>
      </c>
    </row>
    <row r="3429" spans="1:14">
      <c r="A3429" s="54" t="str">
        <f>D3429&amp;E3429&amp;F3429</f>
        <v>SERVICIOSTELEPEAJEINVENTARIOS</v>
      </c>
      <c r="B3429" t="s">
        <v>2028</v>
      </c>
      <c r="C3429" s="1">
        <v>45904</v>
      </c>
      <c r="D3429" s="71" t="s">
        <v>21</v>
      </c>
      <c r="E3429" s="71" t="s">
        <v>186</v>
      </c>
      <c r="F3429" s="70" t="s">
        <v>34</v>
      </c>
      <c r="J3429" s="71" t="s">
        <v>2082</v>
      </c>
      <c r="L3429" s="433">
        <v>596</v>
      </c>
      <c r="M3429" s="136">
        <f t="shared" si="90"/>
        <v>-48949.81229666619</v>
      </c>
    </row>
    <row r="3430" spans="1:14">
      <c r="A3430" s="54" t="str">
        <f>D3430&amp;E3430&amp;F3430</f>
        <v>SERVICIOSTELEPEAJECEDIS</v>
      </c>
      <c r="B3430" t="s">
        <v>2028</v>
      </c>
      <c r="C3430" s="1">
        <v>45904</v>
      </c>
      <c r="D3430" s="71" t="s">
        <v>21</v>
      </c>
      <c r="E3430" s="71" t="s">
        <v>186</v>
      </c>
      <c r="F3430" s="70" t="s">
        <v>28</v>
      </c>
      <c r="J3430" s="71" t="s">
        <v>350</v>
      </c>
      <c r="L3430" s="433">
        <v>93</v>
      </c>
      <c r="M3430" s="136">
        <f t="shared" si="90"/>
        <v>-49042.81229666619</v>
      </c>
    </row>
    <row r="3431" spans="1:14">
      <c r="A3431" s="54" t="str">
        <f t="shared" si="91"/>
        <v/>
      </c>
      <c r="B3431" t="s">
        <v>2028</v>
      </c>
      <c r="C3431" s="1">
        <v>45905</v>
      </c>
      <c r="D3431" s="71"/>
      <c r="F3431" s="70"/>
      <c r="J3431" s="71" t="s">
        <v>2045</v>
      </c>
      <c r="K3431" s="325">
        <v>186379.11</v>
      </c>
      <c r="L3431" s="432"/>
      <c r="M3431" s="136">
        <f t="shared" si="90"/>
        <v>137336.29770333378</v>
      </c>
    </row>
    <row r="3432" spans="1:14" ht="18" customHeight="1">
      <c r="A3432" s="54" t="str">
        <f>D3432&amp;E3432&amp;F3432</f>
        <v>FINANZASCOMISIONES BANCARIASTPV</v>
      </c>
      <c r="B3432" t="s">
        <v>2028</v>
      </c>
      <c r="C3432" s="1">
        <v>45905</v>
      </c>
      <c r="D3432" s="71" t="s">
        <v>23</v>
      </c>
      <c r="E3432" s="71" t="s">
        <v>48</v>
      </c>
      <c r="F3432" s="70" t="s">
        <v>50</v>
      </c>
      <c r="J3432" s="71" t="s">
        <v>217</v>
      </c>
      <c r="L3432" s="438">
        <f>324.68+258.87+1699.82+989.11+1067.49+3.48+13.42+3.48+5.8+5.8</f>
        <v>4371.95</v>
      </c>
      <c r="M3432" s="136">
        <f t="shared" si="90"/>
        <v>132964.34770333377</v>
      </c>
    </row>
    <row r="3433" spans="1:14">
      <c r="A3433" s="54" t="str">
        <f t="shared" si="91"/>
        <v/>
      </c>
      <c r="B3433" t="s">
        <v>2028</v>
      </c>
      <c r="C3433" s="1">
        <v>45905</v>
      </c>
      <c r="D3433" s="71"/>
      <c r="F3433" s="70"/>
      <c r="J3433" s="205" t="s">
        <v>1562</v>
      </c>
      <c r="K3433" s="206"/>
      <c r="L3433" s="428">
        <v>122500</v>
      </c>
      <c r="M3433" s="136">
        <f t="shared" si="90"/>
        <v>10464.347703333769</v>
      </c>
    </row>
    <row r="3434" spans="1:14">
      <c r="A3434" s="54" t="str">
        <f t="shared" si="91"/>
        <v/>
      </c>
      <c r="B3434" t="s">
        <v>2028</v>
      </c>
      <c r="C3434" s="1">
        <v>45905</v>
      </c>
      <c r="D3434" s="71"/>
      <c r="F3434" s="70"/>
      <c r="J3434" s="205" t="s">
        <v>222</v>
      </c>
      <c r="K3434" s="206"/>
      <c r="L3434" s="428"/>
      <c r="M3434" s="136">
        <f t="shared" si="90"/>
        <v>10464.347703333769</v>
      </c>
    </row>
    <row r="3435" spans="1:14">
      <c r="A3435" s="54" t="str">
        <f t="shared" si="91"/>
        <v/>
      </c>
      <c r="B3435" t="s">
        <v>2028</v>
      </c>
      <c r="C3435" s="1">
        <v>45905</v>
      </c>
      <c r="D3435" s="71"/>
      <c r="F3435" s="70"/>
      <c r="J3435" s="205" t="s">
        <v>318</v>
      </c>
      <c r="K3435" s="206"/>
      <c r="L3435" s="428"/>
      <c r="M3435" s="136">
        <f t="shared" si="90"/>
        <v>10464.347703333769</v>
      </c>
    </row>
    <row r="3436" spans="1:14">
      <c r="A3436" s="54" t="str">
        <f t="shared" si="91"/>
        <v>FINANZAS</v>
      </c>
      <c r="B3436" t="s">
        <v>2028</v>
      </c>
      <c r="C3436" s="1">
        <v>45905</v>
      </c>
      <c r="D3436" s="71" t="s">
        <v>23</v>
      </c>
      <c r="F3436" s="70"/>
      <c r="J3436" s="71" t="s">
        <v>564</v>
      </c>
      <c r="L3436" s="433">
        <v>34722.6</v>
      </c>
      <c r="M3436" s="136">
        <f t="shared" si="90"/>
        <v>-24258.252296666229</v>
      </c>
    </row>
    <row r="3437" spans="1:14">
      <c r="A3437" s="54" t="str">
        <f>D3437&amp;E3437&amp;F3437</f>
        <v>HRENERGIA ELECTRICAA2</v>
      </c>
      <c r="B3437" t="s">
        <v>2028</v>
      </c>
      <c r="C3437" s="1">
        <v>45905</v>
      </c>
      <c r="D3437" s="71" t="s">
        <v>29</v>
      </c>
      <c r="E3437" s="71" t="s">
        <v>87</v>
      </c>
      <c r="F3437" s="70" t="s">
        <v>89</v>
      </c>
      <c r="J3437" s="71" t="s">
        <v>546</v>
      </c>
      <c r="L3437" s="433">
        <f>38167+300+4720</f>
        <v>43187</v>
      </c>
      <c r="M3437" s="136">
        <f t="shared" si="90"/>
        <v>-67445.252296666236</v>
      </c>
    </row>
    <row r="3438" spans="1:14">
      <c r="A3438" s="54" t="str">
        <f>D3438&amp;E3438&amp;F3438</f>
        <v>HRENERGIA ELECTRICAA3</v>
      </c>
      <c r="B3438" t="s">
        <v>2028</v>
      </c>
      <c r="C3438" s="1">
        <v>45905</v>
      </c>
      <c r="D3438" s="71" t="s">
        <v>29</v>
      </c>
      <c r="E3438" s="71" t="s">
        <v>87</v>
      </c>
      <c r="F3438" s="70" t="s">
        <v>90</v>
      </c>
      <c r="J3438" s="71" t="s">
        <v>547</v>
      </c>
      <c r="L3438" s="433">
        <v>12121</v>
      </c>
      <c r="M3438" s="136">
        <f t="shared" si="90"/>
        <v>-79566.252296666236</v>
      </c>
    </row>
    <row r="3439" spans="1:14">
      <c r="A3439" s="54" t="str">
        <f>D3439&amp;E3439&amp;F3439</f>
        <v>SERVICIOSGASCEDIS</v>
      </c>
      <c r="B3439" t="s">
        <v>2028</v>
      </c>
      <c r="C3439" s="1">
        <v>45905</v>
      </c>
      <c r="D3439" s="71" t="s">
        <v>21</v>
      </c>
      <c r="E3439" s="71" t="s">
        <v>122</v>
      </c>
      <c r="F3439" s="70" t="s">
        <v>28</v>
      </c>
      <c r="J3439" s="71" t="s">
        <v>2083</v>
      </c>
      <c r="L3439" s="433">
        <v>300</v>
      </c>
      <c r="M3439" s="136">
        <f t="shared" si="90"/>
        <v>-79866.252296666236</v>
      </c>
    </row>
    <row r="3440" spans="1:14">
      <c r="A3440" s="54" t="str">
        <f>D3440&amp;E3440&amp;F3440</f>
        <v>MKTVIATICOSMKT</v>
      </c>
      <c r="B3440" t="s">
        <v>2028</v>
      </c>
      <c r="C3440" s="1">
        <v>45905</v>
      </c>
      <c r="D3440" s="71" t="s">
        <v>19</v>
      </c>
      <c r="E3440" s="71" t="s">
        <v>191</v>
      </c>
      <c r="F3440" s="70" t="s">
        <v>19</v>
      </c>
      <c r="G3440" s="71" t="s">
        <v>258</v>
      </c>
      <c r="J3440" s="71" t="s">
        <v>2084</v>
      </c>
      <c r="L3440" s="433">
        <v>500</v>
      </c>
      <c r="M3440" s="136">
        <f t="shared" si="90"/>
        <v>-80366.252296666236</v>
      </c>
    </row>
    <row r="3441" spans="1:14">
      <c r="A3441" s="54" t="str">
        <f>D3441&amp;E3441&amp;F3441</f>
        <v>DEVIATICOSDIRECCION</v>
      </c>
      <c r="B3441" t="s">
        <v>2028</v>
      </c>
      <c r="C3441" s="1">
        <v>45905</v>
      </c>
      <c r="D3441" s="71" t="s">
        <v>41</v>
      </c>
      <c r="E3441" s="71" t="s">
        <v>191</v>
      </c>
      <c r="F3441" s="70" t="s">
        <v>42</v>
      </c>
      <c r="G3441" s="71" t="s">
        <v>258</v>
      </c>
      <c r="J3441" s="71" t="s">
        <v>1658</v>
      </c>
      <c r="L3441" s="433">
        <v>1000</v>
      </c>
      <c r="M3441" s="136">
        <f t="shared" si="90"/>
        <v>-81366.252296666236</v>
      </c>
    </row>
    <row r="3442" spans="1:14">
      <c r="A3442" s="54" t="str">
        <f>D3442&amp;E3442&amp;F3442</f>
        <v>SERVICIOSVIATICOSMANTENIMIENTO</v>
      </c>
      <c r="B3442" t="s">
        <v>2028</v>
      </c>
      <c r="C3442" s="1">
        <v>45905</v>
      </c>
      <c r="D3442" s="71" t="s">
        <v>21</v>
      </c>
      <c r="E3442" s="71" t="s">
        <v>191</v>
      </c>
      <c r="F3442" s="70" t="s">
        <v>35</v>
      </c>
      <c r="J3442" s="71" t="s">
        <v>2085</v>
      </c>
      <c r="L3442" s="433">
        <v>2000</v>
      </c>
      <c r="M3442" s="136">
        <f t="shared" si="90"/>
        <v>-83366.252296666236</v>
      </c>
    </row>
    <row r="3443" spans="1:14" s="229" customFormat="1">
      <c r="A3443" s="54" t="str">
        <f>D3443&amp;E3443&amp;F3443</f>
        <v>DEDONATIVOSDONATIVOS</v>
      </c>
      <c r="B3443" s="229" t="s">
        <v>2028</v>
      </c>
      <c r="C3443" s="244">
        <v>45905</v>
      </c>
      <c r="D3443" s="71" t="s">
        <v>41</v>
      </c>
      <c r="E3443" s="71" t="s">
        <v>86</v>
      </c>
      <c r="F3443" s="77" t="s">
        <v>86</v>
      </c>
      <c r="G3443" s="242" t="s">
        <v>258</v>
      </c>
      <c r="H3443" s="423"/>
      <c r="I3443" s="423"/>
      <c r="J3443" s="242" t="s">
        <v>2086</v>
      </c>
      <c r="K3443" s="332"/>
      <c r="L3443" s="433">
        <v>8000</v>
      </c>
      <c r="M3443" s="163">
        <f t="shared" si="90"/>
        <v>-91366.252296666236</v>
      </c>
      <c r="N3443" s="242"/>
    </row>
    <row r="3444" spans="1:14" s="229" customFormat="1">
      <c r="A3444" s="54" t="str">
        <f>D3444&amp;E3444&amp;F3444</f>
        <v>FINANZASIMSS/INFONAVITIMSS/INFONAVIT</v>
      </c>
      <c r="B3444" s="229" t="s">
        <v>2028</v>
      </c>
      <c r="C3444" s="244">
        <v>45905</v>
      </c>
      <c r="D3444" s="242" t="s">
        <v>23</v>
      </c>
      <c r="E3444" s="242" t="s">
        <v>132</v>
      </c>
      <c r="F3444" s="77" t="s">
        <v>132</v>
      </c>
      <c r="G3444" s="242" t="s">
        <v>258</v>
      </c>
      <c r="H3444" s="423"/>
      <c r="I3444" s="423"/>
      <c r="J3444" s="242" t="s">
        <v>2087</v>
      </c>
      <c r="K3444" s="332"/>
      <c r="L3444" s="433">
        <v>2000</v>
      </c>
      <c r="M3444" s="163">
        <f t="shared" si="90"/>
        <v>-93366.252296666236</v>
      </c>
      <c r="N3444" s="242"/>
    </row>
    <row r="3445" spans="1:14">
      <c r="A3445" s="54" t="str">
        <f>D3445&amp;E3445&amp;F3445</f>
        <v>ELIVIATICOSL1</v>
      </c>
      <c r="B3445" t="s">
        <v>2028</v>
      </c>
      <c r="C3445" s="1">
        <v>45905</v>
      </c>
      <c r="D3445" s="71" t="s">
        <v>130</v>
      </c>
      <c r="E3445" s="71" t="s">
        <v>191</v>
      </c>
      <c r="F3445" s="70" t="s">
        <v>136</v>
      </c>
      <c r="J3445" s="71" t="s">
        <v>2088</v>
      </c>
      <c r="L3445" s="433">
        <v>1000</v>
      </c>
      <c r="M3445" s="136">
        <f t="shared" si="90"/>
        <v>-94366.252296666236</v>
      </c>
    </row>
    <row r="3446" spans="1:14">
      <c r="A3446" s="54" t="str">
        <f>D3446&amp;E3446&amp;F3446</f>
        <v>SERVICIOSALARMASUCURSALES CAPRICHOS</v>
      </c>
      <c r="B3446" t="s">
        <v>2028</v>
      </c>
      <c r="C3446" s="1">
        <v>45905</v>
      </c>
      <c r="D3446" s="71" t="s">
        <v>21</v>
      </c>
      <c r="E3446" s="71" t="s">
        <v>25</v>
      </c>
      <c r="F3446" s="70" t="s">
        <v>27</v>
      </c>
      <c r="J3446" s="71" t="s">
        <v>2089</v>
      </c>
      <c r="L3446" s="433">
        <v>386.4</v>
      </c>
      <c r="M3446" s="136">
        <f t="shared" si="90"/>
        <v>-94752.652296666231</v>
      </c>
    </row>
    <row r="3447" spans="1:14">
      <c r="A3447" s="54" t="str">
        <f>D3447&amp;E3447&amp;F3447</f>
        <v>SERVICIOSMTTO DE EDIFICIOMANTENIMIENTO</v>
      </c>
      <c r="B3447" t="s">
        <v>2028</v>
      </c>
      <c r="C3447" s="1">
        <v>45905</v>
      </c>
      <c r="D3447" s="71" t="s">
        <v>21</v>
      </c>
      <c r="E3447" s="71" t="s">
        <v>142</v>
      </c>
      <c r="F3447" s="70" t="s">
        <v>35</v>
      </c>
      <c r="J3447" s="71" t="s">
        <v>2090</v>
      </c>
      <c r="L3447" s="433">
        <v>1854.75</v>
      </c>
      <c r="M3447" s="136">
        <f t="shared" si="90"/>
        <v>-96607.402296666231</v>
      </c>
    </row>
    <row r="3448" spans="1:14">
      <c r="A3448" s="54" t="str">
        <f>D3448&amp;E3448&amp;F3448</f>
        <v>HRUBERHR</v>
      </c>
      <c r="B3448" t="s">
        <v>2028</v>
      </c>
      <c r="C3448" s="1">
        <v>45905</v>
      </c>
      <c r="D3448" s="71" t="s">
        <v>29</v>
      </c>
      <c r="E3448" s="71" t="s">
        <v>189</v>
      </c>
      <c r="F3448" s="70" t="s">
        <v>29</v>
      </c>
      <c r="J3448" s="76" t="s">
        <v>2064</v>
      </c>
      <c r="L3448" s="522">
        <v>277</v>
      </c>
      <c r="M3448" s="136">
        <f t="shared" si="90"/>
        <v>-96884.402296666231</v>
      </c>
    </row>
    <row r="3449" spans="1:14">
      <c r="A3449" s="54" t="str">
        <f>D3449&amp;E3449&amp;F3449</f>
        <v>HRINSUMOSHR</v>
      </c>
      <c r="B3449" t="s">
        <v>2028</v>
      </c>
      <c r="C3449" s="1">
        <v>45905</v>
      </c>
      <c r="D3449" s="71" t="s">
        <v>29</v>
      </c>
      <c r="E3449" s="71" t="s">
        <v>133</v>
      </c>
      <c r="F3449" s="70" t="s">
        <v>29</v>
      </c>
      <c r="J3449" s="76" t="s">
        <v>2091</v>
      </c>
      <c r="L3449" s="434">
        <v>64</v>
      </c>
      <c r="M3449" s="136">
        <f t="shared" si="90"/>
        <v>-96948.402296666231</v>
      </c>
    </row>
    <row r="3450" spans="1:14">
      <c r="A3450" s="54" t="str">
        <f>D3450&amp;E3450&amp;F3450</f>
        <v>CAPUBERCAP</v>
      </c>
      <c r="B3450" t="s">
        <v>2028</v>
      </c>
      <c r="C3450" s="1">
        <v>45905</v>
      </c>
      <c r="D3450" s="71" t="s">
        <v>31</v>
      </c>
      <c r="E3450" s="71" t="s">
        <v>189</v>
      </c>
      <c r="F3450" s="70" t="s">
        <v>31</v>
      </c>
      <c r="J3450" s="76" t="s">
        <v>2078</v>
      </c>
      <c r="L3450" s="522">
        <v>100</v>
      </c>
      <c r="M3450" s="136">
        <f t="shared" si="90"/>
        <v>-97048.402296666231</v>
      </c>
    </row>
    <row r="3451" spans="1:14">
      <c r="A3451" s="54" t="str">
        <f>D3451&amp;E3451&amp;F3451</f>
        <v>CAPUBERCAP</v>
      </c>
      <c r="B3451" t="s">
        <v>2028</v>
      </c>
      <c r="C3451" s="1">
        <v>45905</v>
      </c>
      <c r="D3451" s="71" t="s">
        <v>31</v>
      </c>
      <c r="E3451" s="71" t="s">
        <v>189</v>
      </c>
      <c r="F3451" s="70" t="s">
        <v>31</v>
      </c>
      <c r="J3451" s="76" t="s">
        <v>2069</v>
      </c>
      <c r="L3451" s="522">
        <v>85</v>
      </c>
      <c r="M3451" s="136">
        <f t="shared" si="90"/>
        <v>-97133.402296666231</v>
      </c>
    </row>
    <row r="3452" spans="1:14">
      <c r="A3452" s="54" t="str">
        <f t="shared" si="91"/>
        <v/>
      </c>
      <c r="B3452" t="s">
        <v>2028</v>
      </c>
      <c r="C3452" s="1">
        <v>45908</v>
      </c>
      <c r="D3452" s="71"/>
      <c r="F3452" s="70"/>
      <c r="J3452" s="71" t="s">
        <v>2045</v>
      </c>
      <c r="K3452" s="325">
        <v>840409.21</v>
      </c>
      <c r="L3452" s="432"/>
      <c r="M3452" s="136">
        <f t="shared" si="90"/>
        <v>743275.80770333367</v>
      </c>
    </row>
    <row r="3453" spans="1:14">
      <c r="A3453" s="54" t="str">
        <f>D3453&amp;E3453&amp;F3453</f>
        <v>FINANZASCOMISIONES BANCARIASTPV</v>
      </c>
      <c r="B3453" t="s">
        <v>2028</v>
      </c>
      <c r="C3453" s="1">
        <v>45908</v>
      </c>
      <c r="D3453" s="71" t="s">
        <v>23</v>
      </c>
      <c r="E3453" s="71" t="s">
        <v>48</v>
      </c>
      <c r="F3453" s="70" t="s">
        <v>50</v>
      </c>
      <c r="J3453" s="71" t="s">
        <v>217</v>
      </c>
      <c r="L3453" s="433">
        <f>1020.73+1042.83+3.48+41.76+6130+4979.09+3187.66</f>
        <v>16405.55</v>
      </c>
      <c r="M3453" s="136">
        <f t="shared" si="90"/>
        <v>726870.25770333363</v>
      </c>
    </row>
    <row r="3454" spans="1:14">
      <c r="A3454" s="54" t="str">
        <f t="shared" si="91"/>
        <v/>
      </c>
      <c r="B3454" t="s">
        <v>2028</v>
      </c>
      <c r="C3454" s="1">
        <v>45908</v>
      </c>
      <c r="D3454" s="71"/>
      <c r="F3454" s="70"/>
      <c r="J3454" s="205" t="s">
        <v>1562</v>
      </c>
      <c r="K3454" s="205"/>
      <c r="L3454" s="428">
        <v>200000</v>
      </c>
      <c r="M3454" s="136">
        <f t="shared" si="90"/>
        <v>526870.25770333363</v>
      </c>
    </row>
    <row r="3455" spans="1:14">
      <c r="A3455" s="54" t="str">
        <f t="shared" si="91"/>
        <v/>
      </c>
      <c r="B3455" t="s">
        <v>2028</v>
      </c>
      <c r="C3455" s="1">
        <v>45908</v>
      </c>
      <c r="D3455" s="71"/>
      <c r="F3455" s="70"/>
      <c r="J3455" s="205" t="s">
        <v>222</v>
      </c>
      <c r="K3455" s="205"/>
      <c r="L3455" s="428"/>
      <c r="M3455" s="136">
        <f t="shared" ref="M3455:M3518" si="92">M3454+K3455-L3455</f>
        <v>526870.25770333363</v>
      </c>
    </row>
    <row r="3456" spans="1:14">
      <c r="A3456" s="54" t="str">
        <f t="shared" si="91"/>
        <v/>
      </c>
      <c r="B3456" t="s">
        <v>2028</v>
      </c>
      <c r="C3456" s="1">
        <v>45908</v>
      </c>
      <c r="D3456" s="71"/>
      <c r="F3456" s="70"/>
      <c r="J3456" s="205" t="s">
        <v>318</v>
      </c>
      <c r="K3456" s="205"/>
      <c r="L3456" s="428">
        <v>400000</v>
      </c>
      <c r="M3456" s="136">
        <f t="shared" si="92"/>
        <v>126870.25770333363</v>
      </c>
    </row>
    <row r="3457" spans="1:13">
      <c r="A3457" s="54" t="str">
        <f t="shared" si="91"/>
        <v/>
      </c>
      <c r="B3457" t="s">
        <v>2028</v>
      </c>
      <c r="C3457" s="1">
        <v>45908</v>
      </c>
      <c r="D3457" s="71"/>
      <c r="F3457" s="70"/>
      <c r="J3457" s="71" t="s">
        <v>2092</v>
      </c>
      <c r="L3457" s="433">
        <v>66626.850000000006</v>
      </c>
      <c r="M3457" s="136">
        <f t="shared" si="92"/>
        <v>60243.407703333622</v>
      </c>
    </row>
    <row r="3458" spans="1:13">
      <c r="A3458" s="54" t="str">
        <f>D3458&amp;E3458&amp;F3458</f>
        <v>HRENERGIA ELECTRICAA1</v>
      </c>
      <c r="B3458" t="s">
        <v>2028</v>
      </c>
      <c r="C3458" s="1">
        <v>45908</v>
      </c>
      <c r="D3458" s="71" t="s">
        <v>29</v>
      </c>
      <c r="E3458" s="71" t="s">
        <v>87</v>
      </c>
      <c r="F3458" s="70" t="s">
        <v>88</v>
      </c>
      <c r="J3458" s="71" t="s">
        <v>302</v>
      </c>
      <c r="L3458" s="433">
        <v>7463</v>
      </c>
      <c r="M3458" s="136">
        <f t="shared" si="92"/>
        <v>52780.407703333622</v>
      </c>
    </row>
    <row r="3459" spans="1:13">
      <c r="A3459" s="54" t="str">
        <f>D3459&amp;E3459&amp;F3459</f>
        <v>HRENERGIA ELECTRICAA18</v>
      </c>
      <c r="B3459" t="s">
        <v>2028</v>
      </c>
      <c r="C3459" s="1">
        <v>45908</v>
      </c>
      <c r="D3459" s="71" t="s">
        <v>29</v>
      </c>
      <c r="E3459" s="71" t="s">
        <v>87</v>
      </c>
      <c r="F3459" s="70" t="s">
        <v>103</v>
      </c>
      <c r="J3459" s="71" t="s">
        <v>224</v>
      </c>
      <c r="L3459" s="433">
        <v>9703</v>
      </c>
      <c r="M3459" s="136">
        <f t="shared" si="92"/>
        <v>43077.407703333622</v>
      </c>
    </row>
    <row r="3460" spans="1:13">
      <c r="A3460" s="54" t="str">
        <f>D3460&amp;E3460&amp;F3460</f>
        <v>HRENERGIA ELECTRICAA23</v>
      </c>
      <c r="B3460" t="s">
        <v>2028</v>
      </c>
      <c r="C3460" s="1">
        <v>45908</v>
      </c>
      <c r="D3460" s="71" t="s">
        <v>29</v>
      </c>
      <c r="E3460" s="71" t="s">
        <v>87</v>
      </c>
      <c r="F3460" s="70" t="s">
        <v>105</v>
      </c>
      <c r="J3460" s="71" t="s">
        <v>1337</v>
      </c>
      <c r="L3460" s="433">
        <v>5661</v>
      </c>
      <c r="M3460" s="136">
        <f t="shared" si="92"/>
        <v>37416.407703333622</v>
      </c>
    </row>
    <row r="3461" spans="1:13">
      <c r="A3461" s="54" t="str">
        <f>D3461&amp;E3461&amp;F3461</f>
        <v>HRENERGIA ELECTRICAA9</v>
      </c>
      <c r="B3461" t="s">
        <v>2028</v>
      </c>
      <c r="C3461" s="1">
        <v>45908</v>
      </c>
      <c r="D3461" s="71" t="s">
        <v>29</v>
      </c>
      <c r="E3461" s="71" t="s">
        <v>87</v>
      </c>
      <c r="F3461" s="70" t="s">
        <v>95</v>
      </c>
      <c r="J3461" s="71" t="s">
        <v>578</v>
      </c>
      <c r="L3461" s="433">
        <v>22526</v>
      </c>
      <c r="M3461" s="136">
        <f t="shared" si="92"/>
        <v>14890.407703333622</v>
      </c>
    </row>
    <row r="3462" spans="1:13">
      <c r="A3462" s="54" t="str">
        <f>D3462&amp;E3462&amp;F3462</f>
        <v>CAPENERGIA ELECTRICAE9</v>
      </c>
      <c r="B3462" t="s">
        <v>2028</v>
      </c>
      <c r="C3462" s="1">
        <v>45908</v>
      </c>
      <c r="D3462" s="71" t="s">
        <v>31</v>
      </c>
      <c r="E3462" s="71" t="s">
        <v>87</v>
      </c>
      <c r="F3462" s="70" t="s">
        <v>116</v>
      </c>
      <c r="J3462" s="71" t="s">
        <v>1336</v>
      </c>
      <c r="L3462" s="433">
        <v>17914</v>
      </c>
      <c r="M3462" s="136">
        <f t="shared" si="92"/>
        <v>-3023.5922966663784</v>
      </c>
    </row>
    <row r="3463" spans="1:13">
      <c r="A3463" s="54" t="str">
        <f>D3463&amp;E3463&amp;F3463</f>
        <v>FINANZASMTTO EQ DE TRANSPORTEFINANZAS</v>
      </c>
      <c r="B3463" t="s">
        <v>2028</v>
      </c>
      <c r="C3463" s="1">
        <v>45908</v>
      </c>
      <c r="D3463" s="71" t="s">
        <v>23</v>
      </c>
      <c r="E3463" s="71" t="s">
        <v>144</v>
      </c>
      <c r="F3463" s="70" t="s">
        <v>23</v>
      </c>
      <c r="G3463" s="71" t="s">
        <v>258</v>
      </c>
      <c r="J3463" s="71" t="s">
        <v>2093</v>
      </c>
      <c r="L3463" s="433">
        <v>7888</v>
      </c>
      <c r="M3463" s="136">
        <f t="shared" si="92"/>
        <v>-10911.592296666378</v>
      </c>
    </row>
    <row r="3464" spans="1:13">
      <c r="A3464" s="54" t="str">
        <f>D3464&amp;E3464&amp;F3464</f>
        <v>SERVICIOSINSUMOSCADENA DE SUMINISTROS</v>
      </c>
      <c r="B3464" t="s">
        <v>2028</v>
      </c>
      <c r="C3464" s="1">
        <v>45908</v>
      </c>
      <c r="D3464" s="71" t="s">
        <v>21</v>
      </c>
      <c r="E3464" s="71" t="s">
        <v>133</v>
      </c>
      <c r="F3464" s="70" t="s">
        <v>134</v>
      </c>
      <c r="J3464" s="71" t="s">
        <v>2094</v>
      </c>
      <c r="L3464" s="433">
        <v>4315.2</v>
      </c>
      <c r="M3464" s="136">
        <f t="shared" si="92"/>
        <v>-15226.792296666379</v>
      </c>
    </row>
    <row r="3465" spans="1:13">
      <c r="A3465" s="54" t="str">
        <f>D3465&amp;E3465&amp;F3465</f>
        <v>SERVICIOSMTTO EQ DE COMPUTOMTTO EQ DE COMPUTO</v>
      </c>
      <c r="B3465" t="s">
        <v>2028</v>
      </c>
      <c r="C3465" s="1">
        <v>45908</v>
      </c>
      <c r="D3465" s="71" t="s">
        <v>21</v>
      </c>
      <c r="E3465" s="71" t="s">
        <v>143</v>
      </c>
      <c r="F3465" s="70" t="s">
        <v>143</v>
      </c>
      <c r="J3465" s="71" t="s">
        <v>2095</v>
      </c>
      <c r="L3465" s="433">
        <v>696</v>
      </c>
      <c r="M3465" s="136">
        <f t="shared" si="92"/>
        <v>-15922.792296666379</v>
      </c>
    </row>
    <row r="3466" spans="1:13">
      <c r="A3466" s="54" t="str">
        <f>D3466&amp;E3466&amp;F3466</f>
        <v>SERVICIOSMTTO EQ DE COMPUTOMTTO EQ DE COMPUTO</v>
      </c>
      <c r="B3466" t="s">
        <v>2028</v>
      </c>
      <c r="C3466" s="1">
        <v>45908</v>
      </c>
      <c r="D3466" s="71" t="s">
        <v>21</v>
      </c>
      <c r="E3466" s="71" t="s">
        <v>143</v>
      </c>
      <c r="F3466" s="70" t="s">
        <v>143</v>
      </c>
      <c r="J3466" s="71" t="s">
        <v>2096</v>
      </c>
      <c r="L3466" s="433">
        <v>5847.98</v>
      </c>
      <c r="M3466" s="136">
        <f t="shared" si="92"/>
        <v>-21770.772296666379</v>
      </c>
    </row>
    <row r="3467" spans="1:13">
      <c r="A3467" s="54" t="str">
        <f>D3467&amp;E3467&amp;F3467</f>
        <v>FINANZASTELEFONIATELEFONIA</v>
      </c>
      <c r="B3467" t="s">
        <v>2028</v>
      </c>
      <c r="C3467" s="1">
        <v>45908</v>
      </c>
      <c r="D3467" s="71" t="s">
        <v>23</v>
      </c>
      <c r="E3467" s="71" t="s">
        <v>181</v>
      </c>
      <c r="F3467" s="70" t="s">
        <v>181</v>
      </c>
      <c r="J3467" s="71" t="s">
        <v>290</v>
      </c>
      <c r="L3467" s="433">
        <v>681</v>
      </c>
      <c r="M3467" s="136">
        <f t="shared" si="92"/>
        <v>-22451.772296666379</v>
      </c>
    </row>
    <row r="3468" spans="1:13">
      <c r="A3468" s="54" t="str">
        <f>D3468&amp;E3468&amp;F3468</f>
        <v>SERVICIOSCOMBUSTIBLESISTEMAS</v>
      </c>
      <c r="B3468" t="s">
        <v>2028</v>
      </c>
      <c r="C3468" s="1">
        <v>45908</v>
      </c>
      <c r="D3468" s="71" t="s">
        <v>21</v>
      </c>
      <c r="E3468" s="71" t="s">
        <v>32</v>
      </c>
      <c r="F3468" s="70" t="s">
        <v>36</v>
      </c>
      <c r="J3468" s="71" t="s">
        <v>2097</v>
      </c>
      <c r="L3468" s="433">
        <v>500</v>
      </c>
      <c r="M3468" s="136">
        <f t="shared" si="92"/>
        <v>-22951.772296666379</v>
      </c>
    </row>
    <row r="3469" spans="1:13">
      <c r="A3469" s="54" t="str">
        <f>D3469&amp;E3469&amp;F3469</f>
        <v>FINANZASFONDO Y REPOSICIONFINANZAS</v>
      </c>
      <c r="B3469" t="s">
        <v>2028</v>
      </c>
      <c r="C3469" s="1">
        <v>45908</v>
      </c>
      <c r="D3469" s="71" t="s">
        <v>23</v>
      </c>
      <c r="E3469" s="71" t="s">
        <v>120</v>
      </c>
      <c r="F3469" s="70" t="s">
        <v>23</v>
      </c>
      <c r="J3469" s="71" t="s">
        <v>2098</v>
      </c>
      <c r="L3469" s="433">
        <v>300</v>
      </c>
      <c r="M3469" s="136">
        <f t="shared" si="92"/>
        <v>-23251.772296666379</v>
      </c>
    </row>
    <row r="3470" spans="1:13">
      <c r="A3470" s="54" t="str">
        <f>D3470&amp;E3470&amp;F3470</f>
        <v>SERVICIOSVIATICOSCEDIS</v>
      </c>
      <c r="B3470" t="s">
        <v>2028</v>
      </c>
      <c r="C3470" s="1">
        <v>45908</v>
      </c>
      <c r="D3470" s="71" t="s">
        <v>21</v>
      </c>
      <c r="E3470" s="71" t="s">
        <v>191</v>
      </c>
      <c r="F3470" s="70" t="s">
        <v>28</v>
      </c>
      <c r="J3470" s="71" t="s">
        <v>2099</v>
      </c>
      <c r="L3470" s="433">
        <v>2050</v>
      </c>
      <c r="M3470" s="136">
        <f t="shared" si="92"/>
        <v>-25301.772296666379</v>
      </c>
    </row>
    <row r="3471" spans="1:13">
      <c r="A3471" s="54" t="str">
        <f>D3471&amp;E3471&amp;F3471</f>
        <v>SERVICIOSFONDO Y REPOSICIONSERVICIOS</v>
      </c>
      <c r="B3471" t="s">
        <v>2028</v>
      </c>
      <c r="C3471" s="1">
        <v>45908</v>
      </c>
      <c r="D3471" s="71" t="s">
        <v>21</v>
      </c>
      <c r="E3471" s="71" t="s">
        <v>120</v>
      </c>
      <c r="F3471" s="70" t="s">
        <v>21</v>
      </c>
      <c r="J3471" s="71" t="s">
        <v>1878</v>
      </c>
      <c r="L3471" s="433">
        <v>2000</v>
      </c>
      <c r="M3471" s="136">
        <f t="shared" si="92"/>
        <v>-27301.772296666379</v>
      </c>
    </row>
    <row r="3472" spans="1:13">
      <c r="A3472" s="54" t="str">
        <f>D3472&amp;E3472&amp;F3472</f>
        <v>FINANZASFONDO Y REPOSICIONFINANZAS</v>
      </c>
      <c r="B3472" t="s">
        <v>2028</v>
      </c>
      <c r="C3472" s="1">
        <v>45908</v>
      </c>
      <c r="D3472" s="71" t="s">
        <v>23</v>
      </c>
      <c r="E3472" s="71" t="s">
        <v>120</v>
      </c>
      <c r="F3472" s="70" t="s">
        <v>23</v>
      </c>
      <c r="J3472" s="71" t="s">
        <v>2100</v>
      </c>
      <c r="L3472" s="433">
        <v>50</v>
      </c>
      <c r="M3472" s="136">
        <f t="shared" si="92"/>
        <v>-27351.772296666379</v>
      </c>
    </row>
    <row r="3473" spans="1:14">
      <c r="A3473" s="54" t="str">
        <f>D3473&amp;E3473&amp;F3473</f>
        <v>HRJMASA15</v>
      </c>
      <c r="B3473" t="s">
        <v>2028</v>
      </c>
      <c r="C3473" s="1">
        <v>45908</v>
      </c>
      <c r="D3473" s="71" t="s">
        <v>29</v>
      </c>
      <c r="E3473" s="71" t="s">
        <v>137</v>
      </c>
      <c r="F3473" s="70" t="s">
        <v>100</v>
      </c>
      <c r="J3473" s="71" t="s">
        <v>2101</v>
      </c>
      <c r="L3473" s="433">
        <v>8174</v>
      </c>
      <c r="M3473" s="136">
        <f t="shared" si="92"/>
        <v>-35525.772296666379</v>
      </c>
    </row>
    <row r="3474" spans="1:14">
      <c r="A3474" s="54" t="str">
        <f>D3474&amp;E3474&amp;F3474</f>
        <v>HRUBERHR</v>
      </c>
      <c r="B3474" t="s">
        <v>2028</v>
      </c>
      <c r="C3474" s="1">
        <v>45908</v>
      </c>
      <c r="D3474" s="71" t="s">
        <v>29</v>
      </c>
      <c r="E3474" s="71" t="s">
        <v>189</v>
      </c>
      <c r="F3474" s="70" t="s">
        <v>29</v>
      </c>
      <c r="J3474" s="76" t="s">
        <v>2102</v>
      </c>
      <c r="L3474" s="522">
        <v>535</v>
      </c>
      <c r="M3474" s="136">
        <f t="shared" si="92"/>
        <v>-36060.772296666379</v>
      </c>
    </row>
    <row r="3475" spans="1:14">
      <c r="A3475" s="54" t="str">
        <f>D3475&amp;E3475&amp;F3475</f>
        <v>HRUBERHR</v>
      </c>
      <c r="B3475" t="s">
        <v>2028</v>
      </c>
      <c r="C3475" s="1">
        <v>45908</v>
      </c>
      <c r="D3475" s="71" t="s">
        <v>29</v>
      </c>
      <c r="E3475" s="71" t="s">
        <v>189</v>
      </c>
      <c r="F3475" s="70" t="s">
        <v>29</v>
      </c>
      <c r="J3475" s="76" t="s">
        <v>2103</v>
      </c>
      <c r="L3475" s="522">
        <v>52</v>
      </c>
      <c r="M3475" s="136">
        <f t="shared" si="92"/>
        <v>-36112.772296666379</v>
      </c>
    </row>
    <row r="3476" spans="1:14">
      <c r="A3476" s="54" t="str">
        <f>D3476&amp;E3476&amp;F3476</f>
        <v>HRFONDO Y REPOSICIONHR</v>
      </c>
      <c r="B3476" t="s">
        <v>2028</v>
      </c>
      <c r="C3476" s="1">
        <v>45908</v>
      </c>
      <c r="D3476" s="71" t="s">
        <v>29</v>
      </c>
      <c r="E3476" s="71" t="s">
        <v>120</v>
      </c>
      <c r="F3476" s="70" t="s">
        <v>29</v>
      </c>
      <c r="J3476" s="76" t="s">
        <v>2104</v>
      </c>
      <c r="L3476" s="434">
        <v>45</v>
      </c>
      <c r="M3476" s="136">
        <f t="shared" si="92"/>
        <v>-36157.772296666379</v>
      </c>
    </row>
    <row r="3477" spans="1:14">
      <c r="A3477" s="54" t="str">
        <f>D3477&amp;E3477&amp;F3477</f>
        <v>HRNOMINA SUCURSALA10</v>
      </c>
      <c r="B3477" t="s">
        <v>2028</v>
      </c>
      <c r="C3477" s="1">
        <v>45908</v>
      </c>
      <c r="D3477" s="71" t="s">
        <v>29</v>
      </c>
      <c r="E3477" s="71" t="s">
        <v>154</v>
      </c>
      <c r="F3477" s="70" t="s">
        <v>96</v>
      </c>
      <c r="J3477" s="76" t="s">
        <v>2105</v>
      </c>
      <c r="L3477" s="434">
        <v>172</v>
      </c>
      <c r="M3477" s="136">
        <f t="shared" si="92"/>
        <v>-36329.772296666379</v>
      </c>
    </row>
    <row r="3478" spans="1:14">
      <c r="A3478" s="54" t="str">
        <f>D3478&amp;E3478&amp;F3478</f>
        <v>HRNOMINA SUCURSALA11</v>
      </c>
      <c r="B3478" t="s">
        <v>2028</v>
      </c>
      <c r="C3478" s="1">
        <v>45908</v>
      </c>
      <c r="D3478" s="71" t="s">
        <v>29</v>
      </c>
      <c r="E3478" s="71" t="s">
        <v>154</v>
      </c>
      <c r="F3478" s="70" t="s">
        <v>97</v>
      </c>
      <c r="J3478" s="76" t="s">
        <v>2106</v>
      </c>
      <c r="L3478" s="434">
        <v>2128</v>
      </c>
      <c r="M3478" s="136">
        <f t="shared" si="92"/>
        <v>-38457.772296666379</v>
      </c>
    </row>
    <row r="3479" spans="1:14">
      <c r="A3479" s="54" t="str">
        <f>D3479&amp;E3479&amp;F3479</f>
        <v>HRUBERHR</v>
      </c>
      <c r="B3479" t="s">
        <v>2028</v>
      </c>
      <c r="C3479" s="1">
        <v>45908</v>
      </c>
      <c r="D3479" s="71" t="s">
        <v>29</v>
      </c>
      <c r="E3479" s="71" t="s">
        <v>189</v>
      </c>
      <c r="F3479" s="70" t="s">
        <v>29</v>
      </c>
      <c r="J3479" s="76" t="s">
        <v>2107</v>
      </c>
      <c r="L3479" s="522">
        <v>164</v>
      </c>
      <c r="M3479" s="136">
        <f t="shared" si="92"/>
        <v>-38621.772296666379</v>
      </c>
    </row>
    <row r="3480" spans="1:14">
      <c r="A3480" s="54" t="str">
        <f>D3480&amp;E3480&amp;F3480</f>
        <v>HRINSUMOSHR</v>
      </c>
      <c r="B3480" t="s">
        <v>2028</v>
      </c>
      <c r="C3480" s="1">
        <v>45908</v>
      </c>
      <c r="D3480" s="71" t="s">
        <v>29</v>
      </c>
      <c r="E3480" s="71" t="s">
        <v>133</v>
      </c>
      <c r="F3480" s="70" t="s">
        <v>29</v>
      </c>
      <c r="J3480" s="76" t="s">
        <v>2108</v>
      </c>
      <c r="L3480" s="434">
        <v>26</v>
      </c>
      <c r="M3480" s="136">
        <f t="shared" si="92"/>
        <v>-38647.772296666379</v>
      </c>
    </row>
    <row r="3481" spans="1:14">
      <c r="A3481" s="54" t="str">
        <f>D3481&amp;E3481&amp;F3481</f>
        <v>HRNOMINA SUCURSALA22</v>
      </c>
      <c r="B3481" t="s">
        <v>2028</v>
      </c>
      <c r="C3481" s="1">
        <v>45908</v>
      </c>
      <c r="D3481" s="71" t="s">
        <v>29</v>
      </c>
      <c r="E3481" s="71" t="s">
        <v>154</v>
      </c>
      <c r="F3481" s="70" t="s">
        <v>104</v>
      </c>
      <c r="J3481" s="76" t="s">
        <v>2109</v>
      </c>
      <c r="L3481" s="434">
        <v>100</v>
      </c>
      <c r="M3481" s="136">
        <f t="shared" si="92"/>
        <v>-38747.772296666379</v>
      </c>
    </row>
    <row r="3482" spans="1:14">
      <c r="A3482" s="54" t="str">
        <f>D3482&amp;E3482&amp;F3482</f>
        <v>CAPUBERCAP</v>
      </c>
      <c r="B3482" t="s">
        <v>2028</v>
      </c>
      <c r="C3482" s="1">
        <v>45908</v>
      </c>
      <c r="D3482" s="71" t="s">
        <v>31</v>
      </c>
      <c r="E3482" s="71" t="s">
        <v>189</v>
      </c>
      <c r="F3482" s="70" t="s">
        <v>31</v>
      </c>
      <c r="J3482" s="76" t="s">
        <v>1784</v>
      </c>
      <c r="L3482" s="522">
        <v>470</v>
      </c>
      <c r="M3482" s="136">
        <f t="shared" si="92"/>
        <v>-39217.772296666379</v>
      </c>
    </row>
    <row r="3483" spans="1:14" s="229" customFormat="1">
      <c r="A3483" s="54" t="str">
        <f>D3483&amp;E3483&amp;F3483</f>
        <v>SERVICIOSMTTO DE EDIFICIOMANTENIMIENTO</v>
      </c>
      <c r="B3483" s="229" t="s">
        <v>2028</v>
      </c>
      <c r="C3483" s="244">
        <v>45908</v>
      </c>
      <c r="D3483" s="242" t="s">
        <v>21</v>
      </c>
      <c r="E3483" s="242" t="s">
        <v>142</v>
      </c>
      <c r="F3483" s="77" t="s">
        <v>35</v>
      </c>
      <c r="G3483" s="83"/>
      <c r="H3483" s="423"/>
      <c r="I3483" s="423"/>
      <c r="J3483" s="243" t="s">
        <v>2110</v>
      </c>
      <c r="K3483" s="332"/>
      <c r="L3483" s="434">
        <v>140</v>
      </c>
      <c r="M3483" s="163">
        <f t="shared" si="92"/>
        <v>-39357.772296666379</v>
      </c>
      <c r="N3483" s="242"/>
    </row>
    <row r="3484" spans="1:14">
      <c r="A3484" s="54" t="str">
        <f>D3484&amp;E3484&amp;F3484</f>
        <v>CAPJMASE3</v>
      </c>
      <c r="B3484" t="s">
        <v>2028</v>
      </c>
      <c r="C3484" s="1">
        <v>45908</v>
      </c>
      <c r="D3484" s="71" t="s">
        <v>31</v>
      </c>
      <c r="E3484" s="71" t="s">
        <v>137</v>
      </c>
      <c r="F3484" s="70" t="s">
        <v>109</v>
      </c>
      <c r="J3484" s="76" t="s">
        <v>2111</v>
      </c>
      <c r="L3484" s="434">
        <v>384</v>
      </c>
      <c r="M3484" s="136">
        <f t="shared" si="92"/>
        <v>-39741.772296666379</v>
      </c>
    </row>
    <row r="3485" spans="1:14">
      <c r="A3485" s="54" t="str">
        <f>D3485&amp;E3485&amp;F3485</f>
        <v>CAPUBERCAP</v>
      </c>
      <c r="B3485" t="s">
        <v>2028</v>
      </c>
      <c r="C3485" s="1">
        <v>45908</v>
      </c>
      <c r="D3485" s="71" t="s">
        <v>31</v>
      </c>
      <c r="E3485" s="71" t="s">
        <v>189</v>
      </c>
      <c r="F3485" s="70" t="s">
        <v>31</v>
      </c>
      <c r="J3485" s="76" t="s">
        <v>2069</v>
      </c>
      <c r="L3485" s="522">
        <v>200</v>
      </c>
      <c r="M3485" s="136">
        <f t="shared" si="92"/>
        <v>-39941.772296666379</v>
      </c>
    </row>
    <row r="3486" spans="1:14">
      <c r="A3486" s="54" t="str">
        <f t="shared" ref="A3474:A3537" si="93">D3486&amp;E3486&amp;F3486</f>
        <v/>
      </c>
      <c r="B3486" t="s">
        <v>2028</v>
      </c>
      <c r="C3486" s="1">
        <v>45909</v>
      </c>
      <c r="D3486" s="71"/>
      <c r="F3486" s="70"/>
      <c r="J3486" s="71" t="s">
        <v>2045</v>
      </c>
      <c r="K3486" s="325">
        <v>166442.93</v>
      </c>
      <c r="L3486" s="432"/>
      <c r="M3486" s="136">
        <f t="shared" si="92"/>
        <v>126501.15770333362</v>
      </c>
    </row>
    <row r="3487" spans="1:14">
      <c r="A3487" s="54" t="str">
        <f>D3487&amp;E3487&amp;F3487</f>
        <v>FINANZASCOMISIONES BANCARIASTPV</v>
      </c>
      <c r="B3487" t="s">
        <v>2028</v>
      </c>
      <c r="C3487" s="1">
        <v>45909</v>
      </c>
      <c r="D3487" s="71" t="s">
        <v>23</v>
      </c>
      <c r="E3487" s="71" t="s">
        <v>48</v>
      </c>
      <c r="F3487" s="70" t="s">
        <v>50</v>
      </c>
      <c r="J3487" s="71" t="s">
        <v>217</v>
      </c>
      <c r="L3487" s="433">
        <f>216.98+1328.02+1420.17+760.68+371.29+3.48+45.24</f>
        <v>4145.8599999999997</v>
      </c>
      <c r="M3487" s="136">
        <f t="shared" si="92"/>
        <v>122355.29770333362</v>
      </c>
    </row>
    <row r="3488" spans="1:14">
      <c r="A3488" s="54" t="str">
        <f t="shared" si="93"/>
        <v/>
      </c>
      <c r="B3488" t="s">
        <v>2028</v>
      </c>
      <c r="C3488" s="1">
        <v>45909</v>
      </c>
      <c r="D3488" s="71"/>
      <c r="F3488" s="70"/>
      <c r="J3488" s="205" t="s">
        <v>1562</v>
      </c>
      <c r="K3488" s="205"/>
      <c r="L3488" s="428">
        <v>150000</v>
      </c>
      <c r="M3488" s="136">
        <f t="shared" si="92"/>
        <v>-27644.702296666379</v>
      </c>
    </row>
    <row r="3489" spans="1:13">
      <c r="A3489" s="54" t="str">
        <f t="shared" si="93"/>
        <v/>
      </c>
      <c r="B3489" t="s">
        <v>2028</v>
      </c>
      <c r="C3489" s="1">
        <v>45909</v>
      </c>
      <c r="D3489" s="71"/>
      <c r="F3489" s="70"/>
      <c r="J3489" s="205" t="s">
        <v>222</v>
      </c>
      <c r="K3489" s="205"/>
      <c r="L3489" s="428"/>
      <c r="M3489" s="136">
        <f t="shared" si="92"/>
        <v>-27644.702296666379</v>
      </c>
    </row>
    <row r="3490" spans="1:13">
      <c r="A3490" s="54" t="str">
        <f t="shared" si="93"/>
        <v/>
      </c>
      <c r="B3490" t="s">
        <v>2028</v>
      </c>
      <c r="C3490" s="1">
        <v>45909</v>
      </c>
      <c r="D3490" s="71"/>
      <c r="F3490" s="70"/>
      <c r="J3490" s="205" t="s">
        <v>318</v>
      </c>
      <c r="K3490" s="205"/>
      <c r="L3490" s="428"/>
      <c r="M3490" s="136">
        <f t="shared" si="92"/>
        <v>-27644.702296666379</v>
      </c>
    </row>
    <row r="3491" spans="1:13">
      <c r="A3491" s="54" t="str">
        <f>D3491&amp;E3491&amp;F3491</f>
        <v>FINANZASTELEFONIATELEFONIA</v>
      </c>
      <c r="B3491" t="s">
        <v>2028</v>
      </c>
      <c r="C3491" s="1">
        <v>45909</v>
      </c>
      <c r="D3491" s="71" t="s">
        <v>23</v>
      </c>
      <c r="E3491" s="71" t="s">
        <v>181</v>
      </c>
      <c r="F3491" s="70" t="s">
        <v>181</v>
      </c>
      <c r="J3491" s="71" t="s">
        <v>2112</v>
      </c>
      <c r="L3491" s="433">
        <v>4911.03</v>
      </c>
      <c r="M3491" s="136">
        <f t="shared" si="92"/>
        <v>-32555.732296666378</v>
      </c>
    </row>
    <row r="3492" spans="1:13">
      <c r="A3492" s="54" t="str">
        <f>D3492&amp;E3492&amp;F3492</f>
        <v>FINANZASTELEFONIATELEFONIA</v>
      </c>
      <c r="B3492" t="s">
        <v>2028</v>
      </c>
      <c r="C3492" s="1">
        <v>45909</v>
      </c>
      <c r="D3492" s="71" t="s">
        <v>23</v>
      </c>
      <c r="E3492" s="71" t="s">
        <v>181</v>
      </c>
      <c r="F3492" s="70" t="s">
        <v>181</v>
      </c>
      <c r="J3492" s="71" t="s">
        <v>2113</v>
      </c>
      <c r="L3492" s="433">
        <v>3588.04</v>
      </c>
      <c r="M3492" s="136">
        <f t="shared" si="92"/>
        <v>-36143.772296666379</v>
      </c>
    </row>
    <row r="3493" spans="1:13">
      <c r="A3493" s="54" t="str">
        <f>D3493&amp;E3493&amp;F3493</f>
        <v>DEMTTO EQ DE TRANSPORTEDIRECCION</v>
      </c>
      <c r="B3493" t="s">
        <v>2028</v>
      </c>
      <c r="C3493" s="1">
        <v>45909</v>
      </c>
      <c r="D3493" s="71" t="s">
        <v>41</v>
      </c>
      <c r="E3493" s="71" t="s">
        <v>144</v>
      </c>
      <c r="F3493" s="70" t="s">
        <v>42</v>
      </c>
      <c r="G3493" s="71" t="s">
        <v>258</v>
      </c>
      <c r="J3493" s="71" t="s">
        <v>2114</v>
      </c>
      <c r="L3493" s="433">
        <v>4083.2</v>
      </c>
      <c r="M3493" s="136">
        <f t="shared" si="92"/>
        <v>-40226.972296666376</v>
      </c>
    </row>
    <row r="3494" spans="1:13">
      <c r="A3494" s="54" t="str">
        <f>D3494&amp;E3494&amp;F3494</f>
        <v>SGEVIATICOSGESTION EMPRESARIAL</v>
      </c>
      <c r="B3494" t="s">
        <v>2028</v>
      </c>
      <c r="C3494" s="1">
        <v>45909</v>
      </c>
      <c r="D3494" s="71" t="s">
        <v>39</v>
      </c>
      <c r="E3494" s="71" t="s">
        <v>191</v>
      </c>
      <c r="F3494" s="70" t="s">
        <v>40</v>
      </c>
      <c r="J3494" s="71" t="s">
        <v>1030</v>
      </c>
      <c r="L3494" s="433">
        <v>1900</v>
      </c>
      <c r="M3494" s="136">
        <f t="shared" si="92"/>
        <v>-42126.972296666376</v>
      </c>
    </row>
    <row r="3495" spans="1:13">
      <c r="A3495" s="54" t="str">
        <f>D3495&amp;E3495&amp;F3495</f>
        <v>CAPVIATICOSCAPRICHOS</v>
      </c>
      <c r="B3495" t="s">
        <v>2028</v>
      </c>
      <c r="C3495" s="1">
        <v>45909</v>
      </c>
      <c r="D3495" s="71" t="s">
        <v>31</v>
      </c>
      <c r="E3495" s="71" t="s">
        <v>191</v>
      </c>
      <c r="F3495" s="70" t="s">
        <v>33</v>
      </c>
      <c r="J3495" s="71" t="s">
        <v>2115</v>
      </c>
      <c r="L3495" s="433">
        <v>1250</v>
      </c>
      <c r="M3495" s="136">
        <f t="shared" si="92"/>
        <v>-43376.972296666376</v>
      </c>
    </row>
    <row r="3496" spans="1:13">
      <c r="A3496" s="54" t="str">
        <f>D3496&amp;E3496&amp;F3496</f>
        <v>CAPFONDO Y REPOSICIONCAPRICHOS</v>
      </c>
      <c r="B3496" t="s">
        <v>2028</v>
      </c>
      <c r="C3496" s="1">
        <v>45909</v>
      </c>
      <c r="D3496" s="71" t="s">
        <v>31</v>
      </c>
      <c r="E3496" s="71" t="s">
        <v>120</v>
      </c>
      <c r="F3496" s="70" t="s">
        <v>33</v>
      </c>
      <c r="G3496" s="83" t="s">
        <v>258</v>
      </c>
      <c r="J3496" s="71" t="s">
        <v>2116</v>
      </c>
      <c r="L3496" s="433">
        <v>400</v>
      </c>
      <c r="M3496" s="136">
        <f t="shared" si="92"/>
        <v>-43776.972296666376</v>
      </c>
    </row>
    <row r="3497" spans="1:13">
      <c r="A3497" s="54" t="str">
        <f>D3497&amp;E3497&amp;F3497</f>
        <v>CAPFONDO Y REPOSICIONCAPRICHOS</v>
      </c>
      <c r="B3497" t="s">
        <v>2028</v>
      </c>
      <c r="C3497" s="1">
        <v>45909</v>
      </c>
      <c r="D3497" s="71" t="s">
        <v>31</v>
      </c>
      <c r="E3497" s="71" t="s">
        <v>120</v>
      </c>
      <c r="F3497" s="70" t="s">
        <v>33</v>
      </c>
      <c r="G3497" s="83" t="s">
        <v>258</v>
      </c>
      <c r="J3497" s="71" t="s">
        <v>2117</v>
      </c>
      <c r="L3497" s="433">
        <v>780</v>
      </c>
      <c r="M3497" s="136">
        <f t="shared" si="92"/>
        <v>-44556.972296666376</v>
      </c>
    </row>
    <row r="3498" spans="1:13">
      <c r="A3498" s="54" t="str">
        <f>D3498&amp;E3498&amp;F3498</f>
        <v>HRFONDO Y REPOSICIONHR</v>
      </c>
      <c r="B3498" t="s">
        <v>2028</v>
      </c>
      <c r="C3498" s="1">
        <v>45909</v>
      </c>
      <c r="D3498" s="71" t="s">
        <v>29</v>
      </c>
      <c r="E3498" s="71" t="s">
        <v>120</v>
      </c>
      <c r="F3498" s="70" t="s">
        <v>29</v>
      </c>
      <c r="J3498" s="71" t="s">
        <v>830</v>
      </c>
      <c r="L3498" s="433">
        <v>2000</v>
      </c>
      <c r="M3498" s="136">
        <f t="shared" si="92"/>
        <v>-46556.972296666376</v>
      </c>
    </row>
    <row r="3499" spans="1:13">
      <c r="A3499" s="54" t="str">
        <f>D3499&amp;E3499&amp;F3499</f>
        <v>HRFONDO Y REPOSICIONHR</v>
      </c>
      <c r="B3499" t="s">
        <v>2028</v>
      </c>
      <c r="C3499" s="1">
        <v>45909</v>
      </c>
      <c r="D3499" s="71" t="s">
        <v>29</v>
      </c>
      <c r="E3499" s="71" t="s">
        <v>120</v>
      </c>
      <c r="F3499" s="70" t="s">
        <v>29</v>
      </c>
      <c r="J3499" s="71" t="s">
        <v>1875</v>
      </c>
      <c r="L3499" s="433">
        <v>2500</v>
      </c>
      <c r="M3499" s="136">
        <f t="shared" si="92"/>
        <v>-49056.972296666376</v>
      </c>
    </row>
    <row r="3500" spans="1:13">
      <c r="A3500" s="54" t="str">
        <f>D3500&amp;E3500&amp;F3500</f>
        <v>HRVIATICOSHR</v>
      </c>
      <c r="B3500" t="s">
        <v>2028</v>
      </c>
      <c r="C3500" s="1">
        <v>45909</v>
      </c>
      <c r="D3500" s="71" t="s">
        <v>29</v>
      </c>
      <c r="E3500" s="71" t="s">
        <v>191</v>
      </c>
      <c r="F3500" s="70" t="s">
        <v>29</v>
      </c>
      <c r="J3500" s="71" t="s">
        <v>2118</v>
      </c>
      <c r="L3500" s="433">
        <v>5600</v>
      </c>
      <c r="M3500" s="136">
        <f t="shared" si="92"/>
        <v>-54656.972296666376</v>
      </c>
    </row>
    <row r="3501" spans="1:13">
      <c r="A3501" s="54" t="str">
        <f>D3501&amp;E3501&amp;F3501</f>
        <v>HRVIATICOSHR</v>
      </c>
      <c r="B3501" t="s">
        <v>2028</v>
      </c>
      <c r="C3501" s="1">
        <v>45909</v>
      </c>
      <c r="D3501" s="71" t="s">
        <v>29</v>
      </c>
      <c r="E3501" s="71" t="s">
        <v>191</v>
      </c>
      <c r="F3501" s="70" t="s">
        <v>29</v>
      </c>
      <c r="J3501" s="71" t="s">
        <v>1014</v>
      </c>
      <c r="L3501" s="433">
        <v>1800</v>
      </c>
      <c r="M3501" s="136">
        <f t="shared" si="92"/>
        <v>-56456.972296666376</v>
      </c>
    </row>
    <row r="3502" spans="1:13">
      <c r="A3502" s="54" t="str">
        <f>D3502&amp;E3502&amp;F3502</f>
        <v>HRFONDO Y REPOSICIONHR</v>
      </c>
      <c r="B3502" t="s">
        <v>2028</v>
      </c>
      <c r="C3502" s="1">
        <v>45909</v>
      </c>
      <c r="D3502" s="71" t="s">
        <v>29</v>
      </c>
      <c r="E3502" s="71" t="s">
        <v>120</v>
      </c>
      <c r="F3502" s="70" t="s">
        <v>29</v>
      </c>
      <c r="J3502" s="71" t="s">
        <v>357</v>
      </c>
      <c r="L3502" s="433">
        <v>1292</v>
      </c>
      <c r="M3502" s="136">
        <f t="shared" si="92"/>
        <v>-57748.972296666376</v>
      </c>
    </row>
    <row r="3503" spans="1:13">
      <c r="A3503" s="54" t="str">
        <f>D3503&amp;E3503&amp;F3503</f>
        <v>HRFONDO Y REPOSICIONHR</v>
      </c>
      <c r="B3503" t="s">
        <v>2028</v>
      </c>
      <c r="C3503" s="1">
        <v>45909</v>
      </c>
      <c r="D3503" s="71" t="s">
        <v>29</v>
      </c>
      <c r="E3503" s="71" t="s">
        <v>120</v>
      </c>
      <c r="F3503" s="70" t="s">
        <v>29</v>
      </c>
      <c r="J3503" s="71" t="s">
        <v>553</v>
      </c>
      <c r="L3503" s="433">
        <v>1773</v>
      </c>
      <c r="M3503" s="136">
        <f t="shared" si="92"/>
        <v>-59521.972296666376</v>
      </c>
    </row>
    <row r="3504" spans="1:13">
      <c r="A3504" s="54" t="str">
        <f>D3504&amp;E3504&amp;F3504</f>
        <v>HRUBERHR</v>
      </c>
      <c r="B3504" t="s">
        <v>2028</v>
      </c>
      <c r="C3504" s="1">
        <v>45909</v>
      </c>
      <c r="D3504" s="71" t="s">
        <v>29</v>
      </c>
      <c r="E3504" s="71" t="s">
        <v>189</v>
      </c>
      <c r="F3504" s="70" t="s">
        <v>29</v>
      </c>
      <c r="J3504" s="71" t="s">
        <v>291</v>
      </c>
      <c r="L3504" s="523">
        <v>236</v>
      </c>
      <c r="M3504" s="136">
        <f t="shared" si="92"/>
        <v>-59757.972296666376</v>
      </c>
    </row>
    <row r="3505" spans="1:13">
      <c r="A3505" s="54" t="str">
        <f>D3505&amp;E3505&amp;F3505</f>
        <v>HRFONDO Y REPOSICIONHR</v>
      </c>
      <c r="B3505" t="s">
        <v>2028</v>
      </c>
      <c r="C3505" s="1">
        <v>45909</v>
      </c>
      <c r="D3505" s="71" t="s">
        <v>29</v>
      </c>
      <c r="E3505" s="71" t="s">
        <v>120</v>
      </c>
      <c r="F3505" s="70" t="s">
        <v>29</v>
      </c>
      <c r="J3505" s="71" t="s">
        <v>2119</v>
      </c>
      <c r="L3505" s="433">
        <v>15</v>
      </c>
      <c r="M3505" s="136">
        <f t="shared" si="92"/>
        <v>-59772.972296666376</v>
      </c>
    </row>
    <row r="3506" spans="1:13">
      <c r="A3506" s="54" t="str">
        <f>D3506&amp;E3506&amp;F3506</f>
        <v>HRJMASA14</v>
      </c>
      <c r="B3506" t="s">
        <v>2028</v>
      </c>
      <c r="C3506" s="1">
        <v>45909</v>
      </c>
      <c r="D3506" s="71" t="s">
        <v>29</v>
      </c>
      <c r="E3506" s="71" t="s">
        <v>137</v>
      </c>
      <c r="F3506" s="70" t="s">
        <v>99</v>
      </c>
      <c r="J3506" s="71" t="s">
        <v>2120</v>
      </c>
      <c r="L3506" s="433">
        <v>389</v>
      </c>
      <c r="M3506" s="136">
        <f t="shared" si="92"/>
        <v>-60161.972296666376</v>
      </c>
    </row>
    <row r="3507" spans="1:13">
      <c r="A3507" s="54" t="str">
        <f>D3507&amp;E3507&amp;F3507</f>
        <v>HRUBERHR</v>
      </c>
      <c r="B3507" t="s">
        <v>2028</v>
      </c>
      <c r="C3507" s="1">
        <v>45909</v>
      </c>
      <c r="D3507" s="71" t="s">
        <v>29</v>
      </c>
      <c r="E3507" s="71" t="s">
        <v>189</v>
      </c>
      <c r="F3507" s="70" t="s">
        <v>29</v>
      </c>
      <c r="J3507" s="71" t="s">
        <v>2121</v>
      </c>
      <c r="L3507" s="523">
        <v>300</v>
      </c>
      <c r="M3507" s="136">
        <f t="shared" si="92"/>
        <v>-60461.972296666376</v>
      </c>
    </row>
    <row r="3508" spans="1:13">
      <c r="A3508" s="54" t="str">
        <f>D3508&amp;E3508&amp;F3508</f>
        <v>HRUBERHR</v>
      </c>
      <c r="B3508" t="s">
        <v>2028</v>
      </c>
      <c r="C3508" s="1">
        <v>45909</v>
      </c>
      <c r="D3508" s="71" t="s">
        <v>29</v>
      </c>
      <c r="E3508" s="71" t="s">
        <v>189</v>
      </c>
      <c r="F3508" s="70" t="s">
        <v>29</v>
      </c>
      <c r="J3508" s="71" t="s">
        <v>249</v>
      </c>
      <c r="L3508" s="523">
        <v>237</v>
      </c>
      <c r="M3508" s="136">
        <f t="shared" si="92"/>
        <v>-60698.972296666376</v>
      </c>
    </row>
    <row r="3509" spans="1:13">
      <c r="A3509" s="54" t="str">
        <f>D3509&amp;E3509&amp;F3509</f>
        <v>HRUBERHR</v>
      </c>
      <c r="B3509" t="s">
        <v>2028</v>
      </c>
      <c r="C3509" s="1">
        <v>45909</v>
      </c>
      <c r="D3509" s="71" t="s">
        <v>29</v>
      </c>
      <c r="E3509" s="71" t="s">
        <v>189</v>
      </c>
      <c r="F3509" s="70" t="s">
        <v>29</v>
      </c>
      <c r="J3509" s="71" t="s">
        <v>664</v>
      </c>
      <c r="L3509" s="523">
        <v>117</v>
      </c>
      <c r="M3509" s="136">
        <f t="shared" si="92"/>
        <v>-60815.972296666376</v>
      </c>
    </row>
    <row r="3510" spans="1:13">
      <c r="A3510" s="54" t="str">
        <f>D3510&amp;E3510&amp;F3510</f>
        <v>CAPUBERCAP</v>
      </c>
      <c r="B3510" t="s">
        <v>2028</v>
      </c>
      <c r="C3510" s="1">
        <v>45909</v>
      </c>
      <c r="D3510" s="71" t="s">
        <v>31</v>
      </c>
      <c r="E3510" s="71" t="s">
        <v>189</v>
      </c>
      <c r="F3510" s="70" t="s">
        <v>31</v>
      </c>
      <c r="J3510" s="71" t="s">
        <v>2122</v>
      </c>
      <c r="L3510" s="523">
        <v>181</v>
      </c>
      <c r="M3510" s="136">
        <f t="shared" si="92"/>
        <v>-60996.972296666376</v>
      </c>
    </row>
    <row r="3511" spans="1:13">
      <c r="A3511" s="54" t="str">
        <f t="shared" si="93"/>
        <v/>
      </c>
      <c r="B3511" t="s">
        <v>2028</v>
      </c>
      <c r="C3511" s="1">
        <v>45909</v>
      </c>
      <c r="D3511" s="71"/>
      <c r="F3511" s="70"/>
      <c r="J3511" s="71" t="s">
        <v>2123</v>
      </c>
      <c r="L3511" s="433">
        <v>149.4</v>
      </c>
      <c r="M3511" s="136">
        <f t="shared" si="92"/>
        <v>-61146.372296666377</v>
      </c>
    </row>
    <row r="3512" spans="1:13">
      <c r="A3512" s="54" t="str">
        <f>D3512&amp;E3512&amp;F3512</f>
        <v>CAPUBERCAP</v>
      </c>
      <c r="B3512" t="s">
        <v>2028</v>
      </c>
      <c r="C3512" s="1">
        <v>45909</v>
      </c>
      <c r="D3512" s="71" t="s">
        <v>31</v>
      </c>
      <c r="E3512" s="71" t="s">
        <v>189</v>
      </c>
      <c r="F3512" s="70" t="s">
        <v>31</v>
      </c>
      <c r="J3512" s="71" t="s">
        <v>391</v>
      </c>
      <c r="L3512" s="523">
        <v>40</v>
      </c>
      <c r="M3512" s="136">
        <f t="shared" si="92"/>
        <v>-61186.372296666377</v>
      </c>
    </row>
    <row r="3513" spans="1:13">
      <c r="A3513" s="54" t="str">
        <f>D3513&amp;E3513&amp;F3513</f>
        <v>CAPFONDO Y REPOSICIONCAPRICHOS</v>
      </c>
      <c r="B3513" t="s">
        <v>2028</v>
      </c>
      <c r="C3513" s="1">
        <v>45909</v>
      </c>
      <c r="D3513" s="71" t="s">
        <v>31</v>
      </c>
      <c r="E3513" s="71" t="s">
        <v>120</v>
      </c>
      <c r="F3513" s="70" t="s">
        <v>33</v>
      </c>
      <c r="G3513" s="83" t="s">
        <v>258</v>
      </c>
      <c r="J3513" s="71" t="s">
        <v>2026</v>
      </c>
      <c r="L3513" s="433">
        <v>120</v>
      </c>
      <c r="M3513" s="136">
        <f t="shared" si="92"/>
        <v>-61306.372296666377</v>
      </c>
    </row>
    <row r="3514" spans="1:13">
      <c r="A3514" s="54" t="str">
        <f>D3514&amp;E3514&amp;F3514</f>
        <v>ELIUBERL1</v>
      </c>
      <c r="B3514" t="s">
        <v>2028</v>
      </c>
      <c r="C3514" s="1">
        <v>45909</v>
      </c>
      <c r="D3514" s="71" t="s">
        <v>130</v>
      </c>
      <c r="E3514" s="71" t="s">
        <v>189</v>
      </c>
      <c r="F3514" s="70" t="s">
        <v>136</v>
      </c>
      <c r="G3514" s="71" t="s">
        <v>258</v>
      </c>
      <c r="J3514" s="71" t="s">
        <v>535</v>
      </c>
      <c r="L3514" s="523">
        <v>43</v>
      </c>
      <c r="M3514" s="136">
        <f t="shared" si="92"/>
        <v>-61349.372296666377</v>
      </c>
    </row>
    <row r="3515" spans="1:13">
      <c r="A3515" s="54" t="str">
        <f t="shared" si="93"/>
        <v/>
      </c>
      <c r="B3515" t="s">
        <v>2028</v>
      </c>
      <c r="C3515" s="1">
        <v>45910</v>
      </c>
      <c r="D3515" s="71"/>
      <c r="F3515" s="70"/>
      <c r="J3515" s="71" t="s">
        <v>2045</v>
      </c>
      <c r="K3515" s="325">
        <v>161652.95000000001</v>
      </c>
      <c r="L3515" s="432"/>
      <c r="M3515" s="136">
        <f t="shared" si="92"/>
        <v>100303.57770333363</v>
      </c>
    </row>
    <row r="3516" spans="1:13">
      <c r="A3516" s="54" t="str">
        <f>D3516&amp;E3516&amp;F3516</f>
        <v>FINANZASCOMISIONES BANCARIASTPV</v>
      </c>
      <c r="B3516" t="s">
        <v>2028</v>
      </c>
      <c r="C3516" s="1">
        <v>45910</v>
      </c>
      <c r="D3516" s="71" t="s">
        <v>23</v>
      </c>
      <c r="E3516" s="71" t="s">
        <v>48</v>
      </c>
      <c r="F3516" s="70" t="s">
        <v>50</v>
      </c>
      <c r="J3516" s="71" t="s">
        <v>217</v>
      </c>
      <c r="L3516" s="433">
        <f>130.62+312.92+1329.18+898+1685.48+3.48+34.8</f>
        <v>4394.4800000000005</v>
      </c>
      <c r="M3516" s="136">
        <f t="shared" si="92"/>
        <v>95909.097703333638</v>
      </c>
    </row>
    <row r="3517" spans="1:13">
      <c r="A3517" s="54" t="str">
        <f t="shared" si="93"/>
        <v/>
      </c>
      <c r="B3517" t="s">
        <v>2028</v>
      </c>
      <c r="C3517" s="1">
        <v>45910</v>
      </c>
      <c r="D3517" s="71"/>
      <c r="F3517" s="70"/>
      <c r="J3517" s="205" t="s">
        <v>1562</v>
      </c>
      <c r="K3517" s="205"/>
      <c r="L3517" s="428">
        <v>100000</v>
      </c>
      <c r="M3517" s="136">
        <f t="shared" si="92"/>
        <v>-4090.9022966663615</v>
      </c>
    </row>
    <row r="3518" spans="1:13">
      <c r="A3518" s="54" t="str">
        <f t="shared" si="93"/>
        <v/>
      </c>
      <c r="B3518" t="s">
        <v>2028</v>
      </c>
      <c r="C3518" s="1">
        <v>45910</v>
      </c>
      <c r="D3518" s="71"/>
      <c r="F3518" s="70"/>
      <c r="J3518" s="205" t="s">
        <v>222</v>
      </c>
      <c r="K3518" s="205"/>
      <c r="L3518" s="428"/>
      <c r="M3518" s="136">
        <f t="shared" si="92"/>
        <v>-4090.9022966663615</v>
      </c>
    </row>
    <row r="3519" spans="1:13">
      <c r="A3519" s="54" t="str">
        <f t="shared" si="93"/>
        <v/>
      </c>
      <c r="B3519" t="s">
        <v>2028</v>
      </c>
      <c r="C3519" s="1">
        <v>45910</v>
      </c>
      <c r="D3519" s="71"/>
      <c r="F3519" s="70"/>
      <c r="J3519" s="205" t="s">
        <v>318</v>
      </c>
      <c r="K3519" s="205"/>
      <c r="L3519" s="428"/>
      <c r="M3519" s="136">
        <f t="shared" ref="M3519:M3582" si="94">M3518+K3519-L3519</f>
        <v>-4090.9022966663615</v>
      </c>
    </row>
    <row r="3520" spans="1:13">
      <c r="A3520" s="54" t="str">
        <f>D3520&amp;E3520&amp;F3520</f>
        <v>FINANZASRECOLECCION DE BASURACEDIS</v>
      </c>
      <c r="B3520" t="s">
        <v>2028</v>
      </c>
      <c r="C3520" s="1">
        <v>45910</v>
      </c>
      <c r="D3520" s="71" t="s">
        <v>23</v>
      </c>
      <c r="E3520" s="71" t="s">
        <v>166</v>
      </c>
      <c r="F3520" s="70" t="s">
        <v>28</v>
      </c>
      <c r="G3520" s="71" t="s">
        <v>258</v>
      </c>
      <c r="J3520" s="71" t="s">
        <v>1035</v>
      </c>
      <c r="L3520" s="433">
        <v>2919.72</v>
      </c>
      <c r="M3520" s="136">
        <f t="shared" si="94"/>
        <v>-7010.6222966663609</v>
      </c>
    </row>
    <row r="3521" spans="1:14">
      <c r="A3521" s="54" t="str">
        <f>D3521&amp;E3521&amp;F3521</f>
        <v>SERVICIOSINSUMOSCADENA DE SUMINISTROS</v>
      </c>
      <c r="B3521" t="s">
        <v>2028</v>
      </c>
      <c r="C3521" s="1">
        <v>45910</v>
      </c>
      <c r="D3521" s="71" t="s">
        <v>21</v>
      </c>
      <c r="E3521" s="71" t="s">
        <v>133</v>
      </c>
      <c r="F3521" s="70" t="s">
        <v>134</v>
      </c>
      <c r="J3521" s="71" t="s">
        <v>2124</v>
      </c>
      <c r="L3521" s="433">
        <v>2929</v>
      </c>
      <c r="M3521" s="136">
        <f t="shared" si="94"/>
        <v>-9939.6222966663609</v>
      </c>
    </row>
    <row r="3522" spans="1:14">
      <c r="A3522" s="54" t="str">
        <f>D3522&amp;E3522&amp;F3522</f>
        <v>SERVICIOSVIATICOSSISTEMAS</v>
      </c>
      <c r="B3522" t="s">
        <v>2028</v>
      </c>
      <c r="C3522" s="1">
        <v>45910</v>
      </c>
      <c r="D3522" s="71" t="s">
        <v>21</v>
      </c>
      <c r="E3522" s="71" t="s">
        <v>191</v>
      </c>
      <c r="F3522" s="70" t="s">
        <v>36</v>
      </c>
      <c r="G3522" s="71" t="s">
        <v>258</v>
      </c>
      <c r="J3522" s="71" t="s">
        <v>2125</v>
      </c>
      <c r="L3522" s="433">
        <v>6900</v>
      </c>
      <c r="M3522" s="136">
        <f t="shared" si="94"/>
        <v>-16839.622296666363</v>
      </c>
    </row>
    <row r="3523" spans="1:14">
      <c r="A3523" s="54" t="str">
        <f>D3523&amp;E3523&amp;F3523</f>
        <v>SERVICIOSCOMBUSTIBLESISTEMAS</v>
      </c>
      <c r="B3523" t="s">
        <v>2028</v>
      </c>
      <c r="C3523" s="1">
        <v>45910</v>
      </c>
      <c r="D3523" s="71" t="s">
        <v>21</v>
      </c>
      <c r="E3523" s="71" t="s">
        <v>32</v>
      </c>
      <c r="F3523" s="70" t="s">
        <v>36</v>
      </c>
      <c r="G3523" s="71" t="s">
        <v>258</v>
      </c>
      <c r="J3523" s="71" t="s">
        <v>2126</v>
      </c>
      <c r="L3523" s="433">
        <v>3200</v>
      </c>
      <c r="M3523" s="136">
        <f t="shared" si="94"/>
        <v>-20039.622296666363</v>
      </c>
    </row>
    <row r="3524" spans="1:14">
      <c r="A3524" s="54" t="str">
        <f>D3524&amp;E3524&amp;F3524</f>
        <v>CAPVIATICOSCAPRICHOS</v>
      </c>
      <c r="B3524" t="s">
        <v>2028</v>
      </c>
      <c r="C3524" s="1">
        <v>45910</v>
      </c>
      <c r="D3524" s="71" t="s">
        <v>31</v>
      </c>
      <c r="E3524" s="71" t="s">
        <v>191</v>
      </c>
      <c r="F3524" s="12" t="s">
        <v>33</v>
      </c>
      <c r="J3524" s="71" t="s">
        <v>1951</v>
      </c>
      <c r="L3524" s="433">
        <v>1050</v>
      </c>
      <c r="M3524" s="136">
        <f t="shared" si="94"/>
        <v>-21089.622296666363</v>
      </c>
    </row>
    <row r="3525" spans="1:14">
      <c r="A3525" s="54" t="str">
        <f>D3525&amp;E3525&amp;F3525</f>
        <v>SERVICIOSMTTO EQ DE COMPUTOMTTO EQ DE COMPUTO</v>
      </c>
      <c r="B3525" t="s">
        <v>2028</v>
      </c>
      <c r="C3525" s="1">
        <v>45910</v>
      </c>
      <c r="D3525" s="71" t="s">
        <v>21</v>
      </c>
      <c r="E3525" s="71" t="s">
        <v>143</v>
      </c>
      <c r="F3525" s="70" t="s">
        <v>143</v>
      </c>
      <c r="J3525" s="71" t="s">
        <v>2127</v>
      </c>
      <c r="L3525" s="433">
        <v>4408</v>
      </c>
      <c r="M3525" s="136">
        <f t="shared" si="94"/>
        <v>-25497.622296666363</v>
      </c>
    </row>
    <row r="3526" spans="1:14" s="229" customFormat="1">
      <c r="A3526" s="54" t="str">
        <f t="shared" si="93"/>
        <v/>
      </c>
      <c r="B3526" s="229" t="s">
        <v>2028</v>
      </c>
      <c r="C3526" s="244">
        <v>45910</v>
      </c>
      <c r="D3526" s="242"/>
      <c r="E3526" s="242"/>
      <c r="F3526" s="77"/>
      <c r="G3526" s="242"/>
      <c r="H3526" s="423"/>
      <c r="I3526" s="423"/>
      <c r="J3526" s="242" t="s">
        <v>2128</v>
      </c>
      <c r="K3526" s="332"/>
      <c r="L3526" s="436">
        <v>1240</v>
      </c>
      <c r="M3526" s="163">
        <f t="shared" si="94"/>
        <v>-26737.622296666363</v>
      </c>
      <c r="N3526" s="242"/>
    </row>
    <row r="3527" spans="1:14">
      <c r="A3527" s="54" t="str">
        <f>D3527&amp;E3527&amp;F3527</f>
        <v>CAPUBERCAP</v>
      </c>
      <c r="B3527" t="s">
        <v>2028</v>
      </c>
      <c r="C3527" s="1">
        <v>45910</v>
      </c>
      <c r="D3527" s="71" t="s">
        <v>31</v>
      </c>
      <c r="E3527" s="71" t="s">
        <v>189</v>
      </c>
      <c r="F3527" s="70" t="s">
        <v>31</v>
      </c>
      <c r="J3527" s="71" t="s">
        <v>253</v>
      </c>
      <c r="L3527" s="523">
        <v>215</v>
      </c>
      <c r="M3527" s="136">
        <f t="shared" si="94"/>
        <v>-26952.622296666363</v>
      </c>
    </row>
    <row r="3528" spans="1:14">
      <c r="A3528" s="54" t="str">
        <f>D3528&amp;E3528&amp;F3528</f>
        <v>CAPFUMIGACIONCAPRICHOS</v>
      </c>
      <c r="B3528" t="s">
        <v>2028</v>
      </c>
      <c r="C3528" s="1">
        <v>45910</v>
      </c>
      <c r="D3528" s="71" t="s">
        <v>31</v>
      </c>
      <c r="E3528" s="71" t="s">
        <v>121</v>
      </c>
      <c r="F3528" s="70" t="s">
        <v>33</v>
      </c>
      <c r="G3528" s="71" t="s">
        <v>258</v>
      </c>
      <c r="J3528" s="71" t="s">
        <v>2129</v>
      </c>
      <c r="L3528" s="536">
        <v>650</v>
      </c>
      <c r="M3528" s="136">
        <f t="shared" si="94"/>
        <v>-27602.622296666363</v>
      </c>
    </row>
    <row r="3529" spans="1:14">
      <c r="A3529" s="54" t="str">
        <f>D3529&amp;E3529&amp;F3529</f>
        <v>CAPUBERCAP</v>
      </c>
      <c r="B3529" t="s">
        <v>2028</v>
      </c>
      <c r="C3529" s="1">
        <v>45910</v>
      </c>
      <c r="D3529" s="71" t="s">
        <v>31</v>
      </c>
      <c r="E3529" s="71" t="s">
        <v>189</v>
      </c>
      <c r="F3529" s="70" t="s">
        <v>31</v>
      </c>
      <c r="J3529" s="71" t="s">
        <v>2130</v>
      </c>
      <c r="L3529" s="523">
        <v>135</v>
      </c>
      <c r="M3529" s="136">
        <f t="shared" si="94"/>
        <v>-27737.622296666363</v>
      </c>
    </row>
    <row r="3530" spans="1:14">
      <c r="A3530" s="54" t="str">
        <f>D3530&amp;E3530&amp;F3530</f>
        <v>CAPVIATICOSCAPRICHOS</v>
      </c>
      <c r="B3530" t="s">
        <v>2028</v>
      </c>
      <c r="C3530" s="1">
        <v>45910</v>
      </c>
      <c r="D3530" s="71" t="s">
        <v>31</v>
      </c>
      <c r="E3530" s="71" t="s">
        <v>191</v>
      </c>
      <c r="F3530" s="70" t="s">
        <v>33</v>
      </c>
      <c r="J3530" s="71" t="s">
        <v>2131</v>
      </c>
      <c r="L3530" s="433">
        <v>400</v>
      </c>
      <c r="M3530" s="136">
        <f t="shared" si="94"/>
        <v>-28137.622296666363</v>
      </c>
    </row>
    <row r="3531" spans="1:14">
      <c r="A3531" s="54" t="str">
        <f t="shared" si="93"/>
        <v/>
      </c>
      <c r="B3531" t="s">
        <v>2028</v>
      </c>
      <c r="C3531" s="1">
        <v>45911</v>
      </c>
      <c r="D3531" s="71"/>
      <c r="F3531" s="70"/>
      <c r="J3531" s="71" t="s">
        <v>2045</v>
      </c>
      <c r="K3531" s="325">
        <v>172632.9</v>
      </c>
      <c r="L3531" s="432"/>
      <c r="M3531" s="136">
        <f t="shared" si="94"/>
        <v>144495.27770333365</v>
      </c>
    </row>
    <row r="3532" spans="1:14" ht="17.25" customHeight="1">
      <c r="A3532" s="54" t="str">
        <f>D3532&amp;E3532&amp;F3532</f>
        <v>FINANZASCOMISIONES BANCARIASTPV</v>
      </c>
      <c r="B3532" t="s">
        <v>2028</v>
      </c>
      <c r="C3532" s="1">
        <v>45911</v>
      </c>
      <c r="D3532" s="71" t="s">
        <v>23</v>
      </c>
      <c r="E3532" s="71" t="s">
        <v>48</v>
      </c>
      <c r="F3532" s="70" t="s">
        <v>50</v>
      </c>
      <c r="J3532" s="71" t="s">
        <v>217</v>
      </c>
      <c r="L3532" s="438">
        <f>81.17+1620.28+893+1843.15+6.96+3.48+1044</f>
        <v>5492.04</v>
      </c>
      <c r="M3532" s="136">
        <f t="shared" si="94"/>
        <v>139003.23770333364</v>
      </c>
    </row>
    <row r="3533" spans="1:14">
      <c r="A3533" s="54" t="str">
        <f t="shared" si="93"/>
        <v/>
      </c>
      <c r="B3533" t="s">
        <v>2028</v>
      </c>
      <c r="C3533" s="1">
        <v>45911</v>
      </c>
      <c r="D3533" s="71"/>
      <c r="F3533" s="70"/>
      <c r="J3533" s="205" t="s">
        <v>1562</v>
      </c>
      <c r="K3533" s="205"/>
      <c r="L3533" s="428">
        <v>150000</v>
      </c>
      <c r="M3533" s="136">
        <f t="shared" si="94"/>
        <v>-10996.762296666362</v>
      </c>
    </row>
    <row r="3534" spans="1:14">
      <c r="A3534" s="54" t="str">
        <f t="shared" si="93"/>
        <v/>
      </c>
      <c r="B3534" t="s">
        <v>2028</v>
      </c>
      <c r="C3534" s="1">
        <v>45911</v>
      </c>
      <c r="D3534" s="71"/>
      <c r="F3534" s="70"/>
      <c r="J3534" s="205" t="s">
        <v>222</v>
      </c>
      <c r="K3534" s="205"/>
      <c r="L3534" s="428"/>
      <c r="M3534" s="136">
        <f t="shared" si="94"/>
        <v>-10996.762296666362</v>
      </c>
    </row>
    <row r="3535" spans="1:14">
      <c r="A3535" s="54" t="str">
        <f t="shared" si="93"/>
        <v/>
      </c>
      <c r="B3535" t="s">
        <v>2028</v>
      </c>
      <c r="C3535" s="1">
        <v>45911</v>
      </c>
      <c r="D3535" s="71"/>
      <c r="F3535" s="70"/>
      <c r="J3535" s="205" t="s">
        <v>318</v>
      </c>
      <c r="K3535" s="205"/>
      <c r="L3535" s="428"/>
      <c r="M3535" s="136">
        <f t="shared" si="94"/>
        <v>-10996.762296666362</v>
      </c>
    </row>
    <row r="3536" spans="1:14">
      <c r="A3536" s="54" t="str">
        <f>D3536&amp;E3536&amp;F3536</f>
        <v>SERVICIOSINSUMOSCEDIS</v>
      </c>
      <c r="B3536" t="s">
        <v>2028</v>
      </c>
      <c r="C3536" s="1">
        <v>45911</v>
      </c>
      <c r="D3536" s="71" t="s">
        <v>21</v>
      </c>
      <c r="E3536" s="71" t="s">
        <v>133</v>
      </c>
      <c r="F3536" s="70" t="s">
        <v>28</v>
      </c>
      <c r="G3536" s="71" t="s">
        <v>258</v>
      </c>
      <c r="J3536" s="71" t="s">
        <v>2132</v>
      </c>
      <c r="L3536" s="433">
        <v>1300</v>
      </c>
      <c r="M3536" s="136">
        <f t="shared" si="94"/>
        <v>-12296.762296666362</v>
      </c>
    </row>
    <row r="3537" spans="1:13">
      <c r="A3537" s="54" t="str">
        <f>D3537&amp;E3537&amp;F3537</f>
        <v>SERVICIOSGASCEDIS</v>
      </c>
      <c r="B3537" t="s">
        <v>2028</v>
      </c>
      <c r="C3537" s="1">
        <v>45911</v>
      </c>
      <c r="D3537" s="71" t="s">
        <v>21</v>
      </c>
      <c r="E3537" s="71" t="s">
        <v>122</v>
      </c>
      <c r="F3537" s="70" t="s">
        <v>28</v>
      </c>
      <c r="J3537" s="71" t="s">
        <v>1778</v>
      </c>
      <c r="L3537" s="433">
        <v>300</v>
      </c>
      <c r="M3537" s="136">
        <f t="shared" si="94"/>
        <v>-12596.762296666362</v>
      </c>
    </row>
    <row r="3538" spans="1:13">
      <c r="A3538" s="54" t="str">
        <f>D3538&amp;E3538&amp;F3538</f>
        <v>DEVIATICOSDIRECCION</v>
      </c>
      <c r="B3538" t="s">
        <v>2028</v>
      </c>
      <c r="C3538" s="1">
        <v>45911</v>
      </c>
      <c r="D3538" s="71" t="s">
        <v>41</v>
      </c>
      <c r="E3538" s="71" t="s">
        <v>191</v>
      </c>
      <c r="F3538" s="70" t="s">
        <v>42</v>
      </c>
      <c r="G3538" s="71" t="s">
        <v>258</v>
      </c>
      <c r="J3538" s="71" t="s">
        <v>2133</v>
      </c>
      <c r="L3538" s="433">
        <v>1000</v>
      </c>
      <c r="M3538" s="136">
        <f t="shared" si="94"/>
        <v>-13596.762296666362</v>
      </c>
    </row>
    <row r="3539" spans="1:13">
      <c r="A3539" s="54" t="str">
        <f t="shared" ref="A3538:A3601" si="95">D3539&amp;E3539&amp;F3539</f>
        <v/>
      </c>
      <c r="B3539" t="s">
        <v>2028</v>
      </c>
      <c r="C3539" s="1">
        <v>45911</v>
      </c>
      <c r="D3539" s="71"/>
      <c r="F3539" s="70"/>
      <c r="J3539" s="71" t="s">
        <v>2134</v>
      </c>
      <c r="L3539" s="433">
        <v>738</v>
      </c>
      <c r="M3539" s="136">
        <f t="shared" si="94"/>
        <v>-14334.762296666362</v>
      </c>
    </row>
    <row r="3540" spans="1:13">
      <c r="A3540" s="54" t="str">
        <f>D3540&amp;E3540&amp;F3540</f>
        <v>HRMKTMKT HR</v>
      </c>
      <c r="B3540" t="s">
        <v>2028</v>
      </c>
      <c r="C3540" s="1">
        <v>45911</v>
      </c>
      <c r="D3540" s="71" t="s">
        <v>29</v>
      </c>
      <c r="E3540" s="71" t="s">
        <v>19</v>
      </c>
      <c r="F3540" s="70" t="s">
        <v>138</v>
      </c>
      <c r="J3540" s="71" t="s">
        <v>2135</v>
      </c>
      <c r="L3540" s="433">
        <v>800</v>
      </c>
      <c r="M3540" s="136">
        <f t="shared" si="94"/>
        <v>-15134.762296666362</v>
      </c>
    </row>
    <row r="3541" spans="1:13">
      <c r="A3541" s="54" t="str">
        <f t="shared" si="95"/>
        <v/>
      </c>
      <c r="B3541" t="s">
        <v>2028</v>
      </c>
      <c r="C3541" s="1">
        <v>45911</v>
      </c>
      <c r="D3541" s="71"/>
      <c r="F3541" s="70"/>
      <c r="J3541" s="71" t="s">
        <v>440</v>
      </c>
      <c r="L3541" s="433">
        <v>36827</v>
      </c>
      <c r="M3541" s="136">
        <f t="shared" si="94"/>
        <v>-51961.762296666362</v>
      </c>
    </row>
    <row r="3542" spans="1:13">
      <c r="A3542" s="54" t="str">
        <f>D3542&amp;E3542&amp;F3542</f>
        <v>SERVICIOSMTTO DE EDIFICIOMANTENIMIENTO</v>
      </c>
      <c r="B3542" t="s">
        <v>2028</v>
      </c>
      <c r="C3542" s="1">
        <v>45911</v>
      </c>
      <c r="D3542" s="71" t="s">
        <v>21</v>
      </c>
      <c r="E3542" s="71" t="s">
        <v>142</v>
      </c>
      <c r="F3542" s="70" t="s">
        <v>35</v>
      </c>
      <c r="J3542" s="71" t="s">
        <v>2136</v>
      </c>
      <c r="L3542" s="433">
        <v>906</v>
      </c>
      <c r="M3542" s="136">
        <f t="shared" si="94"/>
        <v>-52867.762296666362</v>
      </c>
    </row>
    <row r="3543" spans="1:13">
      <c r="A3543" s="54" t="str">
        <f>D3543&amp;E3543&amp;F3543</f>
        <v>HRFONDO Y REPOSICIONHR</v>
      </c>
      <c r="B3543" t="s">
        <v>2028</v>
      </c>
      <c r="C3543" s="1">
        <v>45911</v>
      </c>
      <c r="D3543" s="71" t="s">
        <v>29</v>
      </c>
      <c r="E3543" s="71" t="s">
        <v>120</v>
      </c>
      <c r="F3543" s="70" t="s">
        <v>29</v>
      </c>
      <c r="J3543" s="71" t="s">
        <v>2137</v>
      </c>
      <c r="L3543" s="433">
        <v>25</v>
      </c>
      <c r="M3543" s="136">
        <f t="shared" si="94"/>
        <v>-52892.762296666362</v>
      </c>
    </row>
    <row r="3544" spans="1:13">
      <c r="A3544" s="54" t="str">
        <f>D3544&amp;E3544&amp;F3544</f>
        <v>CAPUBERCAP</v>
      </c>
      <c r="B3544" t="s">
        <v>2028</v>
      </c>
      <c r="C3544" s="1">
        <v>45911</v>
      </c>
      <c r="D3544" s="71" t="s">
        <v>31</v>
      </c>
      <c r="E3544" s="71" t="s">
        <v>189</v>
      </c>
      <c r="F3544" s="70" t="s">
        <v>31</v>
      </c>
      <c r="J3544" s="71" t="s">
        <v>389</v>
      </c>
      <c r="L3544" s="523">
        <v>285</v>
      </c>
      <c r="M3544" s="136">
        <f t="shared" si="94"/>
        <v>-53177.762296666362</v>
      </c>
    </row>
    <row r="3545" spans="1:13">
      <c r="A3545" s="54" t="str">
        <f>D3545&amp;E3545&amp;F3545</f>
        <v>CAPINSUMOSCAPRICHOS</v>
      </c>
      <c r="B3545" t="s">
        <v>2028</v>
      </c>
      <c r="C3545" s="1">
        <v>45911</v>
      </c>
      <c r="D3545" s="71" t="s">
        <v>31</v>
      </c>
      <c r="E3545" s="71" t="s">
        <v>133</v>
      </c>
      <c r="F3545" s="70" t="s">
        <v>33</v>
      </c>
      <c r="J3545" s="71" t="s">
        <v>457</v>
      </c>
      <c r="L3545" s="433">
        <v>100</v>
      </c>
      <c r="M3545" s="136">
        <f t="shared" si="94"/>
        <v>-53277.762296666362</v>
      </c>
    </row>
    <row r="3546" spans="1:13">
      <c r="A3546" s="54" t="str">
        <f>D3546&amp;E3546&amp;F3546</f>
        <v>CAPUBERCAP</v>
      </c>
      <c r="B3546" t="s">
        <v>2028</v>
      </c>
      <c r="C3546" s="1">
        <v>45911</v>
      </c>
      <c r="D3546" s="71" t="s">
        <v>31</v>
      </c>
      <c r="E3546" s="71" t="s">
        <v>189</v>
      </c>
      <c r="F3546" s="70" t="s">
        <v>31</v>
      </c>
      <c r="J3546" s="71" t="s">
        <v>257</v>
      </c>
      <c r="L3546" s="523">
        <v>100</v>
      </c>
      <c r="M3546" s="136">
        <f t="shared" si="94"/>
        <v>-53377.762296666362</v>
      </c>
    </row>
    <row r="3547" spans="1:13">
      <c r="A3547" s="54" t="str">
        <f>D3547&amp;E3547&amp;F3547</f>
        <v>ELIVIATICOSL1</v>
      </c>
      <c r="B3547" t="s">
        <v>2028</v>
      </c>
      <c r="C3547" s="1">
        <v>45911</v>
      </c>
      <c r="D3547" s="71" t="s">
        <v>130</v>
      </c>
      <c r="E3547" s="71" t="s">
        <v>191</v>
      </c>
      <c r="F3547" s="70" t="s">
        <v>136</v>
      </c>
      <c r="J3547" s="71" t="s">
        <v>2138</v>
      </c>
      <c r="L3547" s="433">
        <v>400</v>
      </c>
      <c r="M3547" s="136">
        <f t="shared" si="94"/>
        <v>-53777.762296666362</v>
      </c>
    </row>
    <row r="3548" spans="1:13">
      <c r="A3548" s="54" t="str">
        <f t="shared" si="95"/>
        <v/>
      </c>
      <c r="B3548" t="s">
        <v>2028</v>
      </c>
      <c r="C3548" s="1">
        <v>45912</v>
      </c>
      <c r="D3548" s="71"/>
      <c r="F3548" s="70"/>
      <c r="J3548" s="71" t="s">
        <v>2045</v>
      </c>
      <c r="K3548" s="325">
        <v>199521.6</v>
      </c>
      <c r="L3548" s="432"/>
      <c r="M3548" s="136">
        <f t="shared" si="94"/>
        <v>145743.83770333364</v>
      </c>
    </row>
    <row r="3549" spans="1:13">
      <c r="A3549" s="54" t="str">
        <f>D3549&amp;E3549&amp;F3549</f>
        <v>FINANZASCOMISIONES BANCARIASTPV</v>
      </c>
      <c r="B3549" t="s">
        <v>2028</v>
      </c>
      <c r="C3549" s="1">
        <v>45912</v>
      </c>
      <c r="D3549" s="71" t="s">
        <v>23</v>
      </c>
      <c r="E3549" s="71" t="s">
        <v>48</v>
      </c>
      <c r="F3549" s="70" t="s">
        <v>50</v>
      </c>
      <c r="J3549" s="71" t="s">
        <v>217</v>
      </c>
      <c r="L3549" s="433">
        <f>184.38+1934.83+1150.81+1168.21+10.44+3.48+10.44</f>
        <v>4462.5899999999983</v>
      </c>
      <c r="M3549" s="136">
        <f t="shared" si="94"/>
        <v>141281.24770333365</v>
      </c>
    </row>
    <row r="3550" spans="1:13">
      <c r="A3550" s="54" t="str">
        <f t="shared" si="95"/>
        <v/>
      </c>
      <c r="B3550" t="s">
        <v>2028</v>
      </c>
      <c r="C3550" s="1">
        <v>45912</v>
      </c>
      <c r="D3550" s="71"/>
      <c r="F3550" s="70"/>
      <c r="J3550" s="205" t="s">
        <v>1562</v>
      </c>
      <c r="K3550" s="205"/>
      <c r="L3550" s="428">
        <v>172000</v>
      </c>
      <c r="M3550" s="136">
        <f t="shared" si="94"/>
        <v>-30718.752296666353</v>
      </c>
    </row>
    <row r="3551" spans="1:13">
      <c r="A3551" s="54" t="str">
        <f t="shared" si="95"/>
        <v/>
      </c>
      <c r="B3551" t="s">
        <v>2028</v>
      </c>
      <c r="C3551" s="1">
        <v>45912</v>
      </c>
      <c r="D3551" s="71"/>
      <c r="F3551" s="70"/>
      <c r="J3551" s="205" t="s">
        <v>222</v>
      </c>
      <c r="K3551" s="205"/>
      <c r="L3551" s="428"/>
      <c r="M3551" s="136">
        <f t="shared" si="94"/>
        <v>-30718.752296666353</v>
      </c>
    </row>
    <row r="3552" spans="1:13">
      <c r="A3552" s="54" t="str">
        <f t="shared" si="95"/>
        <v/>
      </c>
      <c r="B3552" t="s">
        <v>2028</v>
      </c>
      <c r="C3552" s="1">
        <v>45912</v>
      </c>
      <c r="D3552" s="71"/>
      <c r="F3552" s="70"/>
      <c r="J3552" s="205" t="s">
        <v>318</v>
      </c>
      <c r="K3552" s="205"/>
      <c r="L3552" s="428"/>
      <c r="M3552" s="136">
        <f t="shared" si="94"/>
        <v>-30718.752296666353</v>
      </c>
    </row>
    <row r="3553" spans="1:14">
      <c r="A3553" s="54" t="str">
        <f>D3553&amp;E3553&amp;F3553</f>
        <v>FINANZASCUOTAS Y SUSCRIPCIONESCANACO</v>
      </c>
      <c r="B3553" t="s">
        <v>2028</v>
      </c>
      <c r="C3553" s="1">
        <v>45912</v>
      </c>
      <c r="D3553" s="71" t="s">
        <v>23</v>
      </c>
      <c r="E3553" s="71" t="s">
        <v>51</v>
      </c>
      <c r="F3553" s="70" t="s">
        <v>67</v>
      </c>
      <c r="G3553" s="71" t="s">
        <v>258</v>
      </c>
      <c r="J3553" s="71" t="s">
        <v>2139</v>
      </c>
      <c r="L3553" s="433">
        <v>1740</v>
      </c>
      <c r="M3553" s="136">
        <f t="shared" si="94"/>
        <v>-32458.752296666353</v>
      </c>
    </row>
    <row r="3554" spans="1:14">
      <c r="A3554" s="54" t="str">
        <f>D3554&amp;E3554&amp;F3554</f>
        <v>FINANZASCUOTAS Y SUSCRIPCIONESCANACO</v>
      </c>
      <c r="B3554" t="s">
        <v>2028</v>
      </c>
      <c r="C3554" s="1">
        <v>45912</v>
      </c>
      <c r="D3554" s="71" t="s">
        <v>23</v>
      </c>
      <c r="E3554" s="71" t="s">
        <v>51</v>
      </c>
      <c r="F3554" s="70" t="s">
        <v>67</v>
      </c>
      <c r="G3554" s="71" t="s">
        <v>258</v>
      </c>
      <c r="J3554" s="71" t="s">
        <v>2140</v>
      </c>
      <c r="L3554" s="433">
        <v>1740</v>
      </c>
      <c r="M3554" s="136">
        <f t="shared" si="94"/>
        <v>-34198.752296666353</v>
      </c>
    </row>
    <row r="3555" spans="1:14">
      <c r="A3555" s="54" t="str">
        <f>D3555&amp;E3555&amp;F3555</f>
        <v>ELIVIATICOSL1</v>
      </c>
      <c r="B3555" t="s">
        <v>2028</v>
      </c>
      <c r="C3555" s="1">
        <v>45912</v>
      </c>
      <c r="D3555" s="71" t="s">
        <v>130</v>
      </c>
      <c r="E3555" s="71" t="s">
        <v>191</v>
      </c>
      <c r="F3555" s="70" t="s">
        <v>136</v>
      </c>
      <c r="J3555" s="71" t="s">
        <v>2141</v>
      </c>
      <c r="L3555" s="433">
        <v>1000</v>
      </c>
      <c r="M3555" s="136">
        <f t="shared" si="94"/>
        <v>-35198.752296666353</v>
      </c>
    </row>
    <row r="3556" spans="1:14">
      <c r="A3556" s="54" t="str">
        <f>D3556&amp;E3556&amp;F3556</f>
        <v>SGECOMBUSTIBLEGESTION EMPRESARIAL</v>
      </c>
      <c r="B3556" t="s">
        <v>2028</v>
      </c>
      <c r="C3556" s="1">
        <v>45912</v>
      </c>
      <c r="D3556" s="71" t="s">
        <v>39</v>
      </c>
      <c r="E3556" s="71" t="s">
        <v>32</v>
      </c>
      <c r="F3556" s="70" t="s">
        <v>40</v>
      </c>
      <c r="J3556" s="71" t="s">
        <v>2142</v>
      </c>
      <c r="L3556" s="433">
        <v>1000</v>
      </c>
      <c r="M3556" s="136">
        <f t="shared" si="94"/>
        <v>-36198.752296666353</v>
      </c>
    </row>
    <row r="3557" spans="1:14">
      <c r="A3557" s="54" t="str">
        <f>D3557&amp;E3557&amp;F3557</f>
        <v>FINANZASCUOTAS Y SUSCRIPCIONESREGISTRO DE MARCA</v>
      </c>
      <c r="B3557" t="s">
        <v>2028</v>
      </c>
      <c r="C3557" s="1">
        <v>45912</v>
      </c>
      <c r="D3557" s="71" t="s">
        <v>23</v>
      </c>
      <c r="E3557" s="71" t="s">
        <v>51</v>
      </c>
      <c r="F3557" s="70" t="s">
        <v>78</v>
      </c>
      <c r="G3557" s="71" t="s">
        <v>258</v>
      </c>
      <c r="J3557" s="71" t="s">
        <v>2143</v>
      </c>
      <c r="L3557" s="433">
        <v>2814</v>
      </c>
      <c r="M3557" s="136">
        <f t="shared" si="94"/>
        <v>-39012.752296666353</v>
      </c>
    </row>
    <row r="3558" spans="1:14">
      <c r="A3558" s="54" t="str">
        <f>D3558&amp;E3558&amp;F3558</f>
        <v>FINANZASCUOTAS Y SUSCRIPCIONESTRAMITES</v>
      </c>
      <c r="B3558" t="s">
        <v>2028</v>
      </c>
      <c r="C3558" s="1">
        <v>45912</v>
      </c>
      <c r="D3558" s="71" t="s">
        <v>23</v>
      </c>
      <c r="E3558" s="71" t="s">
        <v>51</v>
      </c>
      <c r="F3558" s="70" t="s">
        <v>81</v>
      </c>
      <c r="G3558" s="71" t="s">
        <v>258</v>
      </c>
      <c r="J3558" s="71" t="s">
        <v>2144</v>
      </c>
      <c r="L3558" s="433">
        <v>6000</v>
      </c>
      <c r="M3558" s="136">
        <f t="shared" si="94"/>
        <v>-45012.752296666353</v>
      </c>
    </row>
    <row r="3559" spans="1:14">
      <c r="A3559" s="54" t="str">
        <f>D3559&amp;E3559&amp;F3559</f>
        <v>SERVICIOSMTTO DE EDIFICIOMANTENIMIENTO</v>
      </c>
      <c r="B3559" t="s">
        <v>2028</v>
      </c>
      <c r="C3559" s="1">
        <v>45912</v>
      </c>
      <c r="D3559" s="71" t="s">
        <v>21</v>
      </c>
      <c r="E3559" s="71" t="s">
        <v>142</v>
      </c>
      <c r="F3559" s="70" t="s">
        <v>35</v>
      </c>
      <c r="J3559" s="71" t="s">
        <v>2145</v>
      </c>
      <c r="L3559" s="433">
        <v>906</v>
      </c>
      <c r="M3559" s="136">
        <f t="shared" si="94"/>
        <v>-45918.752296666353</v>
      </c>
    </row>
    <row r="3560" spans="1:14">
      <c r="A3560" s="54" t="str">
        <f>D3560&amp;E3560&amp;F3560</f>
        <v>HRFONDO Y REPOSICIONHR</v>
      </c>
      <c r="B3560" t="s">
        <v>2028</v>
      </c>
      <c r="C3560" s="1">
        <v>45912</v>
      </c>
      <c r="D3560" s="71" t="s">
        <v>29</v>
      </c>
      <c r="E3560" s="71" t="s">
        <v>120</v>
      </c>
      <c r="F3560" s="70" t="s">
        <v>29</v>
      </c>
      <c r="J3560" s="71" t="s">
        <v>2146</v>
      </c>
      <c r="L3560" s="433">
        <v>25</v>
      </c>
      <c r="M3560" s="136">
        <f t="shared" si="94"/>
        <v>-45943.752296666353</v>
      </c>
    </row>
    <row r="3561" spans="1:14">
      <c r="A3561" s="54" t="str">
        <f>D3561&amp;E3561&amp;F3561</f>
        <v>CAPUBERCAP</v>
      </c>
      <c r="B3561" t="s">
        <v>2028</v>
      </c>
      <c r="C3561" s="1">
        <v>45912</v>
      </c>
      <c r="D3561" s="71" t="s">
        <v>31</v>
      </c>
      <c r="E3561" s="71" t="s">
        <v>189</v>
      </c>
      <c r="F3561" s="70" t="s">
        <v>31</v>
      </c>
      <c r="J3561" s="71" t="s">
        <v>253</v>
      </c>
      <c r="L3561" s="523">
        <v>28</v>
      </c>
      <c r="M3561" s="136">
        <f t="shared" si="94"/>
        <v>-45971.752296666353</v>
      </c>
    </row>
    <row r="3562" spans="1:14">
      <c r="A3562" s="54" t="str">
        <f>D3562&amp;E3562&amp;F3562</f>
        <v>CAPINSUMOSCAPRICHOS</v>
      </c>
      <c r="B3562" t="s">
        <v>2028</v>
      </c>
      <c r="C3562" s="1">
        <v>45912</v>
      </c>
      <c r="D3562" s="71" t="s">
        <v>31</v>
      </c>
      <c r="E3562" s="71" t="s">
        <v>133</v>
      </c>
      <c r="F3562" s="70" t="s">
        <v>33</v>
      </c>
      <c r="J3562" s="71" t="s">
        <v>2147</v>
      </c>
      <c r="L3562" s="433">
        <v>100</v>
      </c>
      <c r="M3562" s="136">
        <f t="shared" si="94"/>
        <v>-46071.752296666353</v>
      </c>
    </row>
    <row r="3563" spans="1:14">
      <c r="A3563" s="54" t="str">
        <f>D3563&amp;E3563&amp;F3563</f>
        <v>CAPUBERCAP</v>
      </c>
      <c r="B3563" t="s">
        <v>2028</v>
      </c>
      <c r="C3563" s="1">
        <v>45912</v>
      </c>
      <c r="D3563" s="71" t="s">
        <v>31</v>
      </c>
      <c r="E3563" s="71" t="s">
        <v>189</v>
      </c>
      <c r="F3563" s="70" t="s">
        <v>31</v>
      </c>
      <c r="J3563" s="71" t="s">
        <v>257</v>
      </c>
      <c r="L3563" s="523">
        <v>100</v>
      </c>
      <c r="M3563" s="136">
        <f t="shared" si="94"/>
        <v>-46171.752296666353</v>
      </c>
    </row>
    <row r="3564" spans="1:14">
      <c r="A3564" s="54" t="str">
        <f>D3564&amp;E3564&amp;F3564</f>
        <v>ELIVIATICOSL1</v>
      </c>
      <c r="B3564" t="s">
        <v>2028</v>
      </c>
      <c r="C3564" s="1">
        <v>45912</v>
      </c>
      <c r="D3564" s="71" t="s">
        <v>130</v>
      </c>
      <c r="E3564" s="71" t="s">
        <v>191</v>
      </c>
      <c r="F3564" s="70" t="s">
        <v>136</v>
      </c>
      <c r="G3564" s="71" t="s">
        <v>258</v>
      </c>
      <c r="J3564" s="71" t="s">
        <v>2148</v>
      </c>
      <c r="L3564" s="433">
        <v>400</v>
      </c>
      <c r="M3564" s="136">
        <f t="shared" si="94"/>
        <v>-46571.752296666353</v>
      </c>
    </row>
    <row r="3565" spans="1:14" s="229" customFormat="1">
      <c r="A3565" s="54" t="str">
        <f>D3565&amp;E3565&amp;F3565</f>
        <v>HRINSUMOSHR</v>
      </c>
      <c r="B3565" s="229" t="s">
        <v>2028</v>
      </c>
      <c r="C3565" s="244">
        <v>45912</v>
      </c>
      <c r="D3565" s="242" t="s">
        <v>29</v>
      </c>
      <c r="E3565" s="242" t="s">
        <v>133</v>
      </c>
      <c r="F3565" s="77" t="s">
        <v>29</v>
      </c>
      <c r="G3565" s="242"/>
      <c r="H3565" s="423"/>
      <c r="I3565" s="423"/>
      <c r="J3565" s="242" t="s">
        <v>2149</v>
      </c>
      <c r="K3565" s="332"/>
      <c r="L3565" s="436">
        <v>245</v>
      </c>
      <c r="M3565" s="163">
        <f t="shared" si="94"/>
        <v>-46816.752296666353</v>
      </c>
      <c r="N3565" s="242"/>
    </row>
    <row r="3566" spans="1:14">
      <c r="A3566" s="54" t="str">
        <f t="shared" si="95"/>
        <v/>
      </c>
      <c r="B3566" t="s">
        <v>2028</v>
      </c>
      <c r="C3566" s="1">
        <v>45915</v>
      </c>
      <c r="D3566" s="71"/>
      <c r="F3566" s="70"/>
      <c r="J3566" s="71" t="s">
        <v>2045</v>
      </c>
      <c r="K3566" s="325">
        <v>941602</v>
      </c>
      <c r="L3566" s="432"/>
      <c r="M3566" s="136">
        <f t="shared" si="94"/>
        <v>894785.24770333362</v>
      </c>
    </row>
    <row r="3567" spans="1:14">
      <c r="A3567" s="54" t="str">
        <f>D3567&amp;E3567&amp;F3567</f>
        <v>FINANZASCOMISIONES BANCARIASTPV</v>
      </c>
      <c r="B3567" t="s">
        <v>2028</v>
      </c>
      <c r="C3567" s="1">
        <v>45915</v>
      </c>
      <c r="D3567" s="71" t="s">
        <v>23</v>
      </c>
      <c r="E3567" s="71" t="s">
        <v>48</v>
      </c>
      <c r="F3567" s="70" t="s">
        <v>50</v>
      </c>
      <c r="J3567" s="71" t="s">
        <v>217</v>
      </c>
      <c r="L3567" s="433">
        <f>479.49+384.92+4066.62+3.48+7900.38+3911+20.88+13.92</f>
        <v>16780.689999999999</v>
      </c>
      <c r="M3567" s="136">
        <f t="shared" si="94"/>
        <v>878004.55770333367</v>
      </c>
    </row>
    <row r="3568" spans="1:14">
      <c r="A3568" s="54" t="str">
        <f t="shared" si="95"/>
        <v/>
      </c>
      <c r="B3568" t="s">
        <v>2028</v>
      </c>
      <c r="C3568" s="1">
        <v>45915</v>
      </c>
      <c r="D3568" s="71"/>
      <c r="F3568" s="70"/>
      <c r="J3568" s="205" t="s">
        <v>1562</v>
      </c>
      <c r="K3568" s="205"/>
      <c r="L3568" s="428">
        <v>200000</v>
      </c>
      <c r="M3568" s="136">
        <f t="shared" si="94"/>
        <v>678004.55770333367</v>
      </c>
    </row>
    <row r="3569" spans="1:14">
      <c r="A3569" s="54" t="str">
        <f t="shared" si="95"/>
        <v/>
      </c>
      <c r="B3569" t="s">
        <v>2028</v>
      </c>
      <c r="C3569" s="1">
        <v>45915</v>
      </c>
      <c r="D3569" s="71"/>
      <c r="F3569" s="70"/>
      <c r="J3569" s="205" t="s">
        <v>222</v>
      </c>
      <c r="K3569" s="205"/>
      <c r="L3569" s="428"/>
      <c r="M3569" s="136">
        <f t="shared" si="94"/>
        <v>678004.55770333367</v>
      </c>
    </row>
    <row r="3570" spans="1:14">
      <c r="A3570" s="54" t="str">
        <f t="shared" si="95"/>
        <v/>
      </c>
      <c r="B3570" t="s">
        <v>2028</v>
      </c>
      <c r="C3570" s="1">
        <v>45915</v>
      </c>
      <c r="D3570" s="71"/>
      <c r="F3570" s="70"/>
      <c r="J3570" s="205" t="s">
        <v>318</v>
      </c>
      <c r="K3570" s="205"/>
      <c r="L3570" s="428">
        <v>655000</v>
      </c>
      <c r="M3570" s="136">
        <f t="shared" si="94"/>
        <v>23004.557703333674</v>
      </c>
    </row>
    <row r="3571" spans="1:14" s="229" customFormat="1">
      <c r="A3571" s="54" t="str">
        <f>D3571&amp;E3571&amp;F3571</f>
        <v>FINANZASVIATICOSFINANZAS</v>
      </c>
      <c r="B3571" s="229" t="s">
        <v>2028</v>
      </c>
      <c r="C3571" s="244">
        <v>45915</v>
      </c>
      <c r="D3571" s="242" t="s">
        <v>23</v>
      </c>
      <c r="E3571" s="242" t="s">
        <v>191</v>
      </c>
      <c r="F3571" s="77" t="s">
        <v>23</v>
      </c>
      <c r="G3571" s="242"/>
      <c r="H3571" s="423"/>
      <c r="I3571" s="423"/>
      <c r="J3571" s="242" t="s">
        <v>581</v>
      </c>
      <c r="K3571" s="332"/>
      <c r="L3571" s="436">
        <v>800</v>
      </c>
      <c r="M3571" s="163">
        <f t="shared" si="94"/>
        <v>22204.557703333674</v>
      </c>
      <c r="N3571" s="242"/>
    </row>
    <row r="3572" spans="1:14" s="229" customFormat="1">
      <c r="A3572" s="54" t="str">
        <f>D3572&amp;E3572&amp;F3572</f>
        <v>SERVICIOSMTTO DE EDIFICIOMANTENIMIENTO</v>
      </c>
      <c r="B3572" s="229" t="s">
        <v>2028</v>
      </c>
      <c r="C3572" s="244">
        <v>45915</v>
      </c>
      <c r="D3572" s="71" t="s">
        <v>21</v>
      </c>
      <c r="E3572" s="242" t="s">
        <v>142</v>
      </c>
      <c r="F3572" s="77" t="s">
        <v>35</v>
      </c>
      <c r="G3572" s="242"/>
      <c r="H3572" s="423"/>
      <c r="I3572" s="423"/>
      <c r="J3572" s="242" t="s">
        <v>2150</v>
      </c>
      <c r="K3572" s="332"/>
      <c r="L3572" s="436">
        <v>2600</v>
      </c>
      <c r="M3572" s="163">
        <f t="shared" si="94"/>
        <v>19604.557703333674</v>
      </c>
      <c r="N3572" s="242"/>
    </row>
    <row r="3573" spans="1:14">
      <c r="A3573" s="54" t="str">
        <f>D3573&amp;E3573&amp;F3573</f>
        <v>CAPVIATICOSCAPRICHOS</v>
      </c>
      <c r="B3573" t="s">
        <v>2028</v>
      </c>
      <c r="C3573" s="1">
        <v>45915</v>
      </c>
      <c r="D3573" s="71" t="s">
        <v>31</v>
      </c>
      <c r="E3573" s="71" t="s">
        <v>191</v>
      </c>
      <c r="F3573" s="70" t="s">
        <v>33</v>
      </c>
      <c r="J3573" s="71" t="s">
        <v>2151</v>
      </c>
      <c r="L3573" s="433">
        <v>2000</v>
      </c>
      <c r="M3573" s="136">
        <f t="shared" si="94"/>
        <v>17604.557703333674</v>
      </c>
    </row>
    <row r="3574" spans="1:14">
      <c r="A3574" s="54" t="str">
        <f>D3574&amp;E3574&amp;F3574</f>
        <v>MKTMKTINFLUENCERS</v>
      </c>
      <c r="B3574" t="s">
        <v>2028</v>
      </c>
      <c r="C3574" s="1">
        <v>45915</v>
      </c>
      <c r="D3574" s="71" t="s">
        <v>19</v>
      </c>
      <c r="E3574" s="71" t="s">
        <v>19</v>
      </c>
      <c r="F3574" s="70" t="s">
        <v>141</v>
      </c>
      <c r="J3574" s="71" t="s">
        <v>2152</v>
      </c>
      <c r="L3574" s="433">
        <v>6000</v>
      </c>
      <c r="M3574" s="136">
        <f t="shared" si="94"/>
        <v>11604.557703333674</v>
      </c>
    </row>
    <row r="3575" spans="1:14">
      <c r="A3575" s="54" t="str">
        <f>D3575&amp;E3575&amp;F3575</f>
        <v>SERVICIOSVIATICOSCEDIS</v>
      </c>
      <c r="B3575" t="s">
        <v>2028</v>
      </c>
      <c r="C3575" s="1">
        <v>45915</v>
      </c>
      <c r="D3575" s="71" t="s">
        <v>21</v>
      </c>
      <c r="E3575" s="71" t="s">
        <v>191</v>
      </c>
      <c r="F3575" s="70" t="s">
        <v>28</v>
      </c>
      <c r="J3575" s="71" t="s">
        <v>2153</v>
      </c>
      <c r="L3575" s="433">
        <v>1100</v>
      </c>
      <c r="M3575" s="136">
        <f t="shared" si="94"/>
        <v>10504.557703333674</v>
      </c>
    </row>
    <row r="3576" spans="1:14">
      <c r="A3576" s="54" t="str">
        <f>D3576&amp;E3576&amp;F3576</f>
        <v>FINANZASFONDO Y REPOSICIONFINANZAS</v>
      </c>
      <c r="B3576" t="s">
        <v>2028</v>
      </c>
      <c r="C3576" s="1">
        <v>45915</v>
      </c>
      <c r="D3576" s="71" t="s">
        <v>23</v>
      </c>
      <c r="E3576" s="71" t="s">
        <v>120</v>
      </c>
      <c r="F3576" s="70" t="s">
        <v>23</v>
      </c>
      <c r="J3576" s="71" t="s">
        <v>944</v>
      </c>
      <c r="L3576" s="433">
        <v>50</v>
      </c>
      <c r="M3576" s="136">
        <f t="shared" si="94"/>
        <v>10454.557703333674</v>
      </c>
    </row>
    <row r="3577" spans="1:14">
      <c r="A3577" s="54" t="str">
        <f>D3577&amp;E3577&amp;F3577</f>
        <v>FINANZASFONDO Y REPOSICIONFINANZAS</v>
      </c>
      <c r="B3577" t="s">
        <v>2028</v>
      </c>
      <c r="C3577" s="1">
        <v>45915</v>
      </c>
      <c r="D3577" s="71" t="s">
        <v>23</v>
      </c>
      <c r="E3577" s="71" t="s">
        <v>120</v>
      </c>
      <c r="F3577" s="70" t="s">
        <v>23</v>
      </c>
      <c r="J3577" s="71" t="s">
        <v>1869</v>
      </c>
      <c r="L3577" s="433">
        <v>300</v>
      </c>
      <c r="M3577" s="136">
        <f t="shared" si="94"/>
        <v>10154.557703333674</v>
      </c>
    </row>
    <row r="3578" spans="1:14">
      <c r="A3578" s="54" t="str">
        <f>D3578&amp;E3578&amp;F3578</f>
        <v>SERVICIOSVIATICOSCEDIS</v>
      </c>
      <c r="B3578" t="s">
        <v>2028</v>
      </c>
      <c r="C3578" s="1">
        <v>45915</v>
      </c>
      <c r="D3578" s="71" t="s">
        <v>21</v>
      </c>
      <c r="E3578" s="71" t="s">
        <v>191</v>
      </c>
      <c r="F3578" s="70" t="s">
        <v>28</v>
      </c>
      <c r="J3578" s="71" t="s">
        <v>2154</v>
      </c>
      <c r="L3578" s="433">
        <v>2050</v>
      </c>
      <c r="M3578" s="136">
        <f t="shared" si="94"/>
        <v>8104.557703333674</v>
      </c>
    </row>
    <row r="3579" spans="1:14">
      <c r="A3579" s="54" t="str">
        <f>D3579&amp;E3579&amp;F3579</f>
        <v>HRCOMBUSTIBLEHR</v>
      </c>
      <c r="B3579" t="s">
        <v>2028</v>
      </c>
      <c r="C3579" s="1">
        <v>45915</v>
      </c>
      <c r="D3579" s="71" t="s">
        <v>29</v>
      </c>
      <c r="E3579" s="71" t="s">
        <v>32</v>
      </c>
      <c r="F3579" s="70" t="s">
        <v>29</v>
      </c>
      <c r="J3579" s="71" t="s">
        <v>2155</v>
      </c>
      <c r="L3579" s="433">
        <v>500</v>
      </c>
      <c r="M3579" s="136">
        <f t="shared" si="94"/>
        <v>7604.557703333674</v>
      </c>
    </row>
    <row r="3580" spans="1:14">
      <c r="A3580" s="54" t="str">
        <f>D3580&amp;E3580&amp;F3580</f>
        <v>MKTINSUMOSINSUMOS</v>
      </c>
      <c r="B3580" t="s">
        <v>2028</v>
      </c>
      <c r="C3580" s="1">
        <v>45915</v>
      </c>
      <c r="D3580" t="s">
        <v>19</v>
      </c>
      <c r="E3580" t="s">
        <v>133</v>
      </c>
      <c r="F3580" t="s">
        <v>133</v>
      </c>
      <c r="J3580" s="71" t="s">
        <v>2156</v>
      </c>
      <c r="L3580" s="433">
        <v>500</v>
      </c>
      <c r="M3580" s="136">
        <f t="shared" si="94"/>
        <v>7104.557703333674</v>
      </c>
    </row>
    <row r="3581" spans="1:14">
      <c r="A3581" s="54" t="str">
        <f>D3581&amp;E3581&amp;F3581</f>
        <v>SERVICIOSMTTO DE EDIFICIOMANTENIMIENTO</v>
      </c>
      <c r="B3581" t="s">
        <v>2028</v>
      </c>
      <c r="C3581" s="1">
        <v>45915</v>
      </c>
      <c r="D3581" s="71" t="s">
        <v>21</v>
      </c>
      <c r="E3581" s="71" t="s">
        <v>142</v>
      </c>
      <c r="F3581" s="70" t="s">
        <v>35</v>
      </c>
      <c r="G3581" s="83"/>
      <c r="J3581" s="76" t="s">
        <v>2157</v>
      </c>
      <c r="L3581" s="433">
        <v>115</v>
      </c>
      <c r="M3581" s="136">
        <f t="shared" si="94"/>
        <v>6989.557703333674</v>
      </c>
    </row>
    <row r="3582" spans="1:14">
      <c r="A3582" s="54" t="str">
        <f>D3582&amp;E3582&amp;F3582</f>
        <v>HRUBERHR</v>
      </c>
      <c r="B3582" t="s">
        <v>2028</v>
      </c>
      <c r="C3582" s="1">
        <v>45915</v>
      </c>
      <c r="D3582" s="71" t="s">
        <v>29</v>
      </c>
      <c r="E3582" s="71" t="s">
        <v>189</v>
      </c>
      <c r="F3582" s="71" t="s">
        <v>29</v>
      </c>
      <c r="J3582" s="76" t="s">
        <v>403</v>
      </c>
      <c r="L3582" s="523">
        <v>165</v>
      </c>
      <c r="M3582" s="136">
        <f t="shared" si="94"/>
        <v>6824.557703333674</v>
      </c>
    </row>
    <row r="3583" spans="1:14">
      <c r="A3583" s="54" t="str">
        <f>D3583&amp;E3583&amp;F3583</f>
        <v>HRJMASHR</v>
      </c>
      <c r="B3583" t="s">
        <v>2028</v>
      </c>
      <c r="C3583" s="1">
        <v>45915</v>
      </c>
      <c r="D3583" s="71" t="s">
        <v>29</v>
      </c>
      <c r="E3583" s="71" t="s">
        <v>137</v>
      </c>
      <c r="F3583" s="70" t="s">
        <v>29</v>
      </c>
      <c r="J3583" s="76" t="s">
        <v>784</v>
      </c>
      <c r="L3583" s="433">
        <v>574</v>
      </c>
      <c r="M3583" s="136">
        <f t="shared" ref="M3583:M3648" si="96">M3582+K3583-L3583</f>
        <v>6250.557703333674</v>
      </c>
    </row>
    <row r="3584" spans="1:14">
      <c r="A3584" s="54" t="str">
        <f>D3584&amp;E3584&amp;F3584</f>
        <v>HRINSUMOSHR</v>
      </c>
      <c r="B3584" t="s">
        <v>2028</v>
      </c>
      <c r="C3584" s="1">
        <v>45915</v>
      </c>
      <c r="D3584" s="71" t="s">
        <v>29</v>
      </c>
      <c r="E3584" s="71" t="s">
        <v>133</v>
      </c>
      <c r="F3584" s="70" t="s">
        <v>29</v>
      </c>
      <c r="J3584" s="76" t="s">
        <v>2158</v>
      </c>
      <c r="L3584" s="433">
        <v>140</v>
      </c>
      <c r="M3584" s="136">
        <f t="shared" si="96"/>
        <v>6110.557703333674</v>
      </c>
    </row>
    <row r="3585" spans="1:13">
      <c r="A3585" s="54" t="str">
        <f>D3585&amp;E3585&amp;F3585</f>
        <v>HRINSUMOSHR</v>
      </c>
      <c r="B3585" t="s">
        <v>2028</v>
      </c>
      <c r="C3585" s="1">
        <v>45915</v>
      </c>
      <c r="D3585" s="71" t="s">
        <v>29</v>
      </c>
      <c r="E3585" s="71" t="s">
        <v>133</v>
      </c>
      <c r="F3585" s="70" t="s">
        <v>29</v>
      </c>
      <c r="J3585" s="76" t="s">
        <v>2159</v>
      </c>
      <c r="L3585" s="433">
        <v>150</v>
      </c>
      <c r="M3585" s="136">
        <f t="shared" si="96"/>
        <v>5960.557703333674</v>
      </c>
    </row>
    <row r="3586" spans="1:13">
      <c r="A3586" s="54" t="str">
        <f>D3586&amp;E3586&amp;F3586</f>
        <v>SERVICIOSMTTO DE EDIFICIOMANTENIMIENTO</v>
      </c>
      <c r="B3586" t="s">
        <v>2028</v>
      </c>
      <c r="C3586" s="1">
        <v>45915</v>
      </c>
      <c r="D3586" s="71" t="s">
        <v>21</v>
      </c>
      <c r="E3586" s="71" t="s">
        <v>142</v>
      </c>
      <c r="F3586" s="70" t="s">
        <v>35</v>
      </c>
      <c r="G3586" s="83" t="s">
        <v>258</v>
      </c>
      <c r="J3586" s="76" t="s">
        <v>2160</v>
      </c>
      <c r="L3586" s="433">
        <v>1510</v>
      </c>
      <c r="M3586" s="136">
        <f t="shared" si="96"/>
        <v>4450.557703333674</v>
      </c>
    </row>
    <row r="3587" spans="1:13">
      <c r="A3587" s="54" t="str">
        <f>D3587&amp;E3587&amp;F3587</f>
        <v>HRUBERHR</v>
      </c>
      <c r="B3587" t="s">
        <v>2028</v>
      </c>
      <c r="C3587" s="1">
        <v>45915</v>
      </c>
      <c r="D3587" s="71" t="s">
        <v>29</v>
      </c>
      <c r="E3587" s="71" t="s">
        <v>189</v>
      </c>
      <c r="F3587" s="70" t="s">
        <v>29</v>
      </c>
      <c r="J3587" s="76" t="s">
        <v>249</v>
      </c>
      <c r="L3587" s="523">
        <v>30</v>
      </c>
      <c r="M3587" s="136">
        <f t="shared" si="96"/>
        <v>4420.557703333674</v>
      </c>
    </row>
    <row r="3588" spans="1:13">
      <c r="A3588" s="54" t="str">
        <f>D3588&amp;E3588&amp;F3588</f>
        <v>HRNOMINA SUCURSALA24</v>
      </c>
      <c r="B3588" t="s">
        <v>2028</v>
      </c>
      <c r="C3588" s="1">
        <v>45915</v>
      </c>
      <c r="D3588" s="71" t="s">
        <v>29</v>
      </c>
      <c r="E3588" s="71" t="s">
        <v>154</v>
      </c>
      <c r="F3588" s="70" t="s">
        <v>106</v>
      </c>
      <c r="J3588" s="76" t="s">
        <v>898</v>
      </c>
      <c r="L3588" s="433">
        <v>1900</v>
      </c>
      <c r="M3588" s="136">
        <f t="shared" si="96"/>
        <v>2520.557703333674</v>
      </c>
    </row>
    <row r="3589" spans="1:13">
      <c r="A3589" s="54" t="str">
        <f>D3589&amp;E3589&amp;F3589</f>
        <v>CAPNOMINA SUCURSALE1</v>
      </c>
      <c r="B3589" t="s">
        <v>2028</v>
      </c>
      <c r="C3589" s="1">
        <v>45915</v>
      </c>
      <c r="D3589" s="71" t="s">
        <v>31</v>
      </c>
      <c r="E3589" s="71" t="s">
        <v>154</v>
      </c>
      <c r="F3589" s="70" t="s">
        <v>107</v>
      </c>
      <c r="J3589" s="76" t="s">
        <v>1227</v>
      </c>
      <c r="L3589" s="433">
        <v>1500</v>
      </c>
      <c r="M3589" s="136">
        <f t="shared" si="96"/>
        <v>1020.557703333674</v>
      </c>
    </row>
    <row r="3590" spans="1:13">
      <c r="A3590" s="54" t="str">
        <f>D3590&amp;E3590&amp;F3590</f>
        <v>CAPUBERCAP</v>
      </c>
      <c r="B3590" t="s">
        <v>2028</v>
      </c>
      <c r="C3590" s="1">
        <v>45915</v>
      </c>
      <c r="D3590" s="71" t="s">
        <v>31</v>
      </c>
      <c r="E3590" s="71" t="s">
        <v>189</v>
      </c>
      <c r="F3590" s="70" t="s">
        <v>31</v>
      </c>
      <c r="J3590" s="76" t="s">
        <v>253</v>
      </c>
      <c r="L3590" s="523">
        <v>555</v>
      </c>
      <c r="M3590" s="136">
        <f t="shared" si="96"/>
        <v>465.557703333674</v>
      </c>
    </row>
    <row r="3591" spans="1:13">
      <c r="A3591" s="54" t="str">
        <f>D3591&amp;E3591&amp;F3591</f>
        <v>SERVICIOSMTTO DE EDIFICIOMANTENIMIENTO</v>
      </c>
      <c r="B3591" t="s">
        <v>2028</v>
      </c>
      <c r="C3591" s="1">
        <v>45915</v>
      </c>
      <c r="D3591" s="71" t="s">
        <v>21</v>
      </c>
      <c r="E3591" s="71" t="s">
        <v>142</v>
      </c>
      <c r="F3591" s="70" t="s">
        <v>35</v>
      </c>
      <c r="G3591" s="83"/>
      <c r="J3591" s="76" t="s">
        <v>2161</v>
      </c>
      <c r="L3591" s="433">
        <v>163</v>
      </c>
      <c r="M3591" s="136">
        <f t="shared" si="96"/>
        <v>302.557703333674</v>
      </c>
    </row>
    <row r="3592" spans="1:13">
      <c r="A3592" s="54" t="str">
        <f>D3592&amp;E3592&amp;F3592</f>
        <v>CAPUBERCAP</v>
      </c>
      <c r="B3592" t="s">
        <v>2028</v>
      </c>
      <c r="C3592" s="1">
        <v>45915</v>
      </c>
      <c r="D3592" s="71" t="s">
        <v>31</v>
      </c>
      <c r="E3592" s="71" t="s">
        <v>189</v>
      </c>
      <c r="F3592" s="70" t="s">
        <v>31</v>
      </c>
      <c r="J3592" s="76" t="s">
        <v>257</v>
      </c>
      <c r="L3592" s="523">
        <v>506</v>
      </c>
      <c r="M3592" s="136">
        <f t="shared" si="96"/>
        <v>-203.442296666326</v>
      </c>
    </row>
    <row r="3593" spans="1:13">
      <c r="A3593" s="54" t="str">
        <f>D3593&amp;E3593&amp;F3593</f>
        <v>CAPUBERCAP</v>
      </c>
      <c r="B3593" t="s">
        <v>2028</v>
      </c>
      <c r="C3593" s="1">
        <v>45915</v>
      </c>
      <c r="D3593" s="71" t="s">
        <v>31</v>
      </c>
      <c r="E3593" s="71" t="s">
        <v>189</v>
      </c>
      <c r="F3593" s="70" t="s">
        <v>31</v>
      </c>
      <c r="J3593" s="76" t="s">
        <v>255</v>
      </c>
      <c r="L3593" s="523">
        <v>90</v>
      </c>
      <c r="M3593" s="136">
        <f t="shared" si="96"/>
        <v>-293.442296666326</v>
      </c>
    </row>
    <row r="3594" spans="1:13">
      <c r="A3594" s="54" t="str">
        <f>D3594&amp;E3594&amp;F3594</f>
        <v>CAPINSUMOSCAPRICHOS</v>
      </c>
      <c r="B3594" t="s">
        <v>2028</v>
      </c>
      <c r="C3594" s="1">
        <v>45915</v>
      </c>
      <c r="D3594" s="71" t="s">
        <v>31</v>
      </c>
      <c r="E3594" s="71" t="s">
        <v>133</v>
      </c>
      <c r="F3594" s="70" t="s">
        <v>33</v>
      </c>
      <c r="J3594" s="76" t="s">
        <v>362</v>
      </c>
      <c r="L3594" s="433">
        <v>60</v>
      </c>
      <c r="M3594" s="136">
        <f t="shared" si="96"/>
        <v>-353.442296666326</v>
      </c>
    </row>
    <row r="3595" spans="1:13">
      <c r="A3595" s="54" t="str">
        <f>D3595&amp;E3595&amp;F3595</f>
        <v>CAPINSUMOSCAPRICHOS</v>
      </c>
      <c r="B3595" t="s">
        <v>2028</v>
      </c>
      <c r="C3595" s="1">
        <v>45915</v>
      </c>
      <c r="D3595" s="71" t="s">
        <v>31</v>
      </c>
      <c r="E3595" s="71" t="s">
        <v>133</v>
      </c>
      <c r="F3595" s="70" t="s">
        <v>33</v>
      </c>
      <c r="J3595" s="76" t="s">
        <v>929</v>
      </c>
      <c r="L3595" s="433">
        <v>150</v>
      </c>
      <c r="M3595" s="136">
        <f t="shared" si="96"/>
        <v>-503.442296666326</v>
      </c>
    </row>
    <row r="3596" spans="1:13">
      <c r="A3596" s="54" t="str">
        <f>D3596&amp;E3596&amp;F3596</f>
        <v>ELIUBERL1</v>
      </c>
      <c r="B3596" t="s">
        <v>2028</v>
      </c>
      <c r="C3596" s="1">
        <v>45915</v>
      </c>
      <c r="D3596" s="71" t="s">
        <v>130</v>
      </c>
      <c r="E3596" s="71" t="s">
        <v>189</v>
      </c>
      <c r="F3596" s="70" t="s">
        <v>136</v>
      </c>
      <c r="G3596" s="71" t="s">
        <v>258</v>
      </c>
      <c r="J3596" s="76" t="s">
        <v>535</v>
      </c>
      <c r="L3596" s="523">
        <v>200</v>
      </c>
      <c r="M3596" s="136">
        <f t="shared" si="96"/>
        <v>-703.442296666326</v>
      </c>
    </row>
    <row r="3597" spans="1:13">
      <c r="A3597" s="54" t="str">
        <f t="shared" si="95"/>
        <v/>
      </c>
      <c r="B3597" t="s">
        <v>2028</v>
      </c>
      <c r="C3597" s="1">
        <v>45917</v>
      </c>
      <c r="D3597" s="71"/>
      <c r="F3597" s="70"/>
      <c r="J3597" s="71" t="s">
        <v>2162</v>
      </c>
      <c r="K3597" s="325">
        <v>408563.79</v>
      </c>
      <c r="L3597" s="432"/>
      <c r="M3597" s="136">
        <f t="shared" si="96"/>
        <v>407860.34770333365</v>
      </c>
    </row>
    <row r="3598" spans="1:13">
      <c r="A3598" s="54" t="str">
        <f t="shared" si="95"/>
        <v/>
      </c>
      <c r="B3598" t="s">
        <v>2028</v>
      </c>
      <c r="C3598" s="1">
        <v>45917</v>
      </c>
      <c r="D3598" s="71"/>
      <c r="F3598" s="70"/>
      <c r="J3598" s="71" t="s">
        <v>2163</v>
      </c>
      <c r="K3598" s="325">
        <v>5322</v>
      </c>
      <c r="L3598" s="432"/>
      <c r="M3598" s="136">
        <f t="shared" si="96"/>
        <v>413182.34770333365</v>
      </c>
    </row>
    <row r="3599" spans="1:13" ht="17.25" customHeight="1">
      <c r="A3599" s="54" t="str">
        <f>D3599&amp;E3599&amp;F3599</f>
        <v>FINANZASCOMISIONES BANCARIASTPV</v>
      </c>
      <c r="B3599" t="s">
        <v>2028</v>
      </c>
      <c r="C3599" s="1">
        <v>45917</v>
      </c>
      <c r="D3599" s="71" t="s">
        <v>23</v>
      </c>
      <c r="E3599" s="71" t="s">
        <v>48</v>
      </c>
      <c r="F3599" s="70" t="s">
        <v>50</v>
      </c>
      <c r="J3599" s="71" t="s">
        <v>217</v>
      </c>
      <c r="L3599" s="438">
        <f>180.48+676.02+3408.86+2262.64+1357+17.4+6.96+10.44</f>
        <v>7919.7999999999993</v>
      </c>
      <c r="M3599" s="136">
        <f t="shared" si="96"/>
        <v>405262.54770333366</v>
      </c>
    </row>
    <row r="3600" spans="1:13">
      <c r="A3600" s="54" t="str">
        <f t="shared" si="95"/>
        <v/>
      </c>
      <c r="B3600" t="s">
        <v>2028</v>
      </c>
      <c r="C3600" s="1">
        <v>45917</v>
      </c>
      <c r="D3600" s="71"/>
      <c r="F3600" s="70"/>
      <c r="J3600" s="205" t="s">
        <v>1562</v>
      </c>
      <c r="K3600" s="205"/>
      <c r="L3600" s="428">
        <v>200000</v>
      </c>
      <c r="M3600" s="136">
        <f t="shared" si="96"/>
        <v>205262.54770333366</v>
      </c>
    </row>
    <row r="3601" spans="1:13">
      <c r="A3601" s="54" t="str">
        <f t="shared" si="95"/>
        <v/>
      </c>
      <c r="B3601" t="s">
        <v>2028</v>
      </c>
      <c r="C3601" s="1">
        <v>45917</v>
      </c>
      <c r="D3601" s="71"/>
      <c r="F3601" s="70"/>
      <c r="J3601" s="205" t="s">
        <v>222</v>
      </c>
      <c r="K3601" s="205"/>
      <c r="L3601" s="428">
        <v>100000</v>
      </c>
      <c r="M3601" s="136">
        <f t="shared" si="96"/>
        <v>105262.54770333366</v>
      </c>
    </row>
    <row r="3602" spans="1:13">
      <c r="A3602" s="54" t="str">
        <f>D3602&amp;E3602&amp;F3602</f>
        <v>HRENERGIA ELECTRICAA10</v>
      </c>
      <c r="B3602" t="s">
        <v>2028</v>
      </c>
      <c r="C3602" s="1">
        <v>45917</v>
      </c>
      <c r="D3602" s="71" t="s">
        <v>29</v>
      </c>
      <c r="E3602" s="71" t="s">
        <v>87</v>
      </c>
      <c r="F3602" s="70" t="s">
        <v>96</v>
      </c>
      <c r="J3602" s="71" t="s">
        <v>1670</v>
      </c>
      <c r="L3602" s="433">
        <v>29517</v>
      </c>
      <c r="M3602" s="136">
        <f t="shared" si="96"/>
        <v>75745.547703333665</v>
      </c>
    </row>
    <row r="3603" spans="1:13">
      <c r="A3603" s="54" t="str">
        <f>D3603&amp;E3603&amp;F3603</f>
        <v>HRENERGIA ELECTRICAA10</v>
      </c>
      <c r="B3603" t="s">
        <v>2028</v>
      </c>
      <c r="C3603" s="1">
        <v>45917</v>
      </c>
      <c r="D3603" s="71" t="s">
        <v>29</v>
      </c>
      <c r="E3603" s="71" t="s">
        <v>87</v>
      </c>
      <c r="F3603" s="70" t="s">
        <v>96</v>
      </c>
      <c r="J3603" s="71" t="s">
        <v>1670</v>
      </c>
      <c r="L3603" s="433">
        <v>7521</v>
      </c>
      <c r="M3603" s="136">
        <f t="shared" si="96"/>
        <v>68224.547703333665</v>
      </c>
    </row>
    <row r="3604" spans="1:13">
      <c r="A3604" s="54" t="str">
        <f>D3604&amp;E3604&amp;F3604</f>
        <v>HRENERGIA ELECTRICAA14</v>
      </c>
      <c r="B3604" t="s">
        <v>2028</v>
      </c>
      <c r="C3604" s="1">
        <v>45917</v>
      </c>
      <c r="D3604" s="71" t="s">
        <v>29</v>
      </c>
      <c r="E3604" s="71" t="s">
        <v>87</v>
      </c>
      <c r="F3604" s="70" t="s">
        <v>99</v>
      </c>
      <c r="J3604" s="71" t="s">
        <v>2164</v>
      </c>
      <c r="L3604" s="433">
        <v>10524</v>
      </c>
      <c r="M3604" s="136">
        <f t="shared" si="96"/>
        <v>57700.547703333665</v>
      </c>
    </row>
    <row r="3605" spans="1:13">
      <c r="A3605" s="54" t="str">
        <f>D3605&amp;E3605&amp;F3605</f>
        <v>CAPENERGIA ELECTRICAE1</v>
      </c>
      <c r="B3605" t="s">
        <v>2028</v>
      </c>
      <c r="C3605" s="1">
        <v>45917</v>
      </c>
      <c r="D3605" s="71" t="s">
        <v>31</v>
      </c>
      <c r="E3605" s="71" t="s">
        <v>87</v>
      </c>
      <c r="F3605" s="70" t="s">
        <v>107</v>
      </c>
      <c r="J3605" s="71" t="s">
        <v>1672</v>
      </c>
      <c r="L3605" s="433">
        <v>25382</v>
      </c>
      <c r="M3605" s="136">
        <f t="shared" si="96"/>
        <v>32318.547703333665</v>
      </c>
    </row>
    <row r="3606" spans="1:13">
      <c r="A3606" s="54" t="str">
        <f>D3606&amp;E3606&amp;F3606</f>
        <v>SERVICIOSMTTO DE EDIFICIOMANTENIMIENTO</v>
      </c>
      <c r="B3606" t="s">
        <v>2028</v>
      </c>
      <c r="C3606" s="1">
        <v>45917</v>
      </c>
      <c r="D3606" s="71" t="s">
        <v>21</v>
      </c>
      <c r="E3606" s="71" t="s">
        <v>142</v>
      </c>
      <c r="F3606" s="70" t="s">
        <v>35</v>
      </c>
      <c r="J3606" s="71" t="s">
        <v>2165</v>
      </c>
      <c r="L3606" s="433">
        <v>4921.88</v>
      </c>
      <c r="M3606" s="136">
        <f t="shared" si="96"/>
        <v>27396.667703333664</v>
      </c>
    </row>
    <row r="3607" spans="1:13">
      <c r="A3607" s="54" t="str">
        <f>D3607&amp;E3607&amp;F3607</f>
        <v>SERVICIOSADQ DE EQ TECNOLOGICOADQ DE EQ TECNOLOGICO</v>
      </c>
      <c r="B3607" t="s">
        <v>2028</v>
      </c>
      <c r="C3607" s="1">
        <v>45917</v>
      </c>
      <c r="D3607" s="71" t="s">
        <v>21</v>
      </c>
      <c r="E3607" s="71" t="s">
        <v>22</v>
      </c>
      <c r="F3607" s="70" t="s">
        <v>22</v>
      </c>
      <c r="G3607" s="71" t="s">
        <v>258</v>
      </c>
      <c r="J3607" s="71" t="s">
        <v>2166</v>
      </c>
      <c r="L3607" s="433">
        <v>5300.04</v>
      </c>
      <c r="M3607" s="136">
        <f t="shared" si="96"/>
        <v>22096.627703333663</v>
      </c>
    </row>
    <row r="3608" spans="1:13">
      <c r="A3608" s="54" t="str">
        <f>D3608&amp;E3608&amp;F3608</f>
        <v>FINANZASCUOTAS Y SUSCRIPCIONESTRASLADO DE VALORES</v>
      </c>
      <c r="B3608" t="s">
        <v>2028</v>
      </c>
      <c r="C3608" s="1">
        <v>45917</v>
      </c>
      <c r="D3608" s="71" t="s">
        <v>23</v>
      </c>
      <c r="E3608" s="71" t="s">
        <v>51</v>
      </c>
      <c r="F3608" s="70" t="s">
        <v>82</v>
      </c>
      <c r="G3608" s="71" t="s">
        <v>258</v>
      </c>
      <c r="J3608" s="71" t="s">
        <v>1964</v>
      </c>
      <c r="L3608" s="433">
        <f>364+364+364+1986.88</f>
        <v>3078.88</v>
      </c>
      <c r="M3608" s="136">
        <f t="shared" si="96"/>
        <v>19017.747703333662</v>
      </c>
    </row>
    <row r="3609" spans="1:13">
      <c r="A3609" s="54" t="str">
        <f>D3609&amp;E3609&amp;F3609</f>
        <v>SERVICIOSPAQUETERIACEDIS (E6)</v>
      </c>
      <c r="B3609" t="s">
        <v>2028</v>
      </c>
      <c r="C3609" s="1">
        <v>45917</v>
      </c>
      <c r="D3609" s="71" t="s">
        <v>21</v>
      </c>
      <c r="E3609" s="71" t="s">
        <v>160</v>
      </c>
      <c r="F3609" s="70" t="s">
        <v>161</v>
      </c>
      <c r="J3609" s="71" t="s">
        <v>229</v>
      </c>
      <c r="L3609" s="433">
        <v>3879.41</v>
      </c>
      <c r="M3609" s="136">
        <f t="shared" si="96"/>
        <v>15138.337703333662</v>
      </c>
    </row>
    <row r="3610" spans="1:13">
      <c r="A3610" s="54" t="str">
        <f>D3610&amp;E3610&amp;F3610</f>
        <v>FINANZASTELEPEAJEFINANZAS</v>
      </c>
      <c r="B3610" t="s">
        <v>2028</v>
      </c>
      <c r="C3610" s="1">
        <v>45917</v>
      </c>
      <c r="D3610" s="71" t="s">
        <v>23</v>
      </c>
      <c r="E3610" s="71" t="s">
        <v>186</v>
      </c>
      <c r="F3610" s="70" t="s">
        <v>23</v>
      </c>
      <c r="J3610" s="71" t="s">
        <v>974</v>
      </c>
      <c r="L3610" s="433">
        <v>294</v>
      </c>
      <c r="M3610" s="136">
        <f t="shared" si="96"/>
        <v>14844.337703333662</v>
      </c>
    </row>
    <row r="3611" spans="1:13">
      <c r="A3611" s="54" t="str">
        <f>D3611&amp;E3611&amp;F3611</f>
        <v>SERVICIOSTELEPEAJECEDIS</v>
      </c>
      <c r="B3611" t="s">
        <v>2028</v>
      </c>
      <c r="C3611" s="1">
        <v>45917</v>
      </c>
      <c r="D3611" s="71" t="s">
        <v>21</v>
      </c>
      <c r="E3611" s="71" t="s">
        <v>186</v>
      </c>
      <c r="F3611" s="70" t="s">
        <v>28</v>
      </c>
      <c r="J3611" s="71" t="s">
        <v>238</v>
      </c>
      <c r="L3611" s="433">
        <v>4576</v>
      </c>
      <c r="M3611" s="136">
        <f t="shared" si="96"/>
        <v>10268.337703333662</v>
      </c>
    </row>
    <row r="3612" spans="1:13">
      <c r="A3612" s="54" t="str">
        <f>D3612&amp;E3612&amp;F3612</f>
        <v>HRTELEPEAJEOP HR</v>
      </c>
      <c r="B3612" t="s">
        <v>2028</v>
      </c>
      <c r="C3612" s="1">
        <v>45917</v>
      </c>
      <c r="D3612" s="71" t="s">
        <v>29</v>
      </c>
      <c r="E3612" s="71" t="s">
        <v>186</v>
      </c>
      <c r="F3612" s="143" t="s">
        <v>187</v>
      </c>
      <c r="J3612" s="71" t="s">
        <v>2167</v>
      </c>
      <c r="L3612" s="433">
        <v>958</v>
      </c>
      <c r="M3612" s="136">
        <f t="shared" si="96"/>
        <v>9310.3377033336619</v>
      </c>
    </row>
    <row r="3613" spans="1:13">
      <c r="A3613" s="54" t="str">
        <f>D3613&amp;E3613&amp;F3613</f>
        <v>HRTELEPEAJEOP HR</v>
      </c>
      <c r="B3613" t="s">
        <v>2028</v>
      </c>
      <c r="C3613" s="1">
        <v>45917</v>
      </c>
      <c r="D3613" s="71" t="s">
        <v>29</v>
      </c>
      <c r="E3613" s="71" t="s">
        <v>186</v>
      </c>
      <c r="F3613" s="143" t="s">
        <v>187</v>
      </c>
      <c r="J3613" s="71" t="s">
        <v>2168</v>
      </c>
      <c r="L3613" s="433">
        <v>294</v>
      </c>
      <c r="M3613" s="136">
        <f t="shared" si="96"/>
        <v>9016.3377033336619</v>
      </c>
    </row>
    <row r="3614" spans="1:13">
      <c r="A3614" s="54" t="str">
        <f>D3614&amp;E3614&amp;F3614</f>
        <v>HRTELEPEAJEOP HR</v>
      </c>
      <c r="B3614" t="s">
        <v>2028</v>
      </c>
      <c r="C3614" s="1">
        <f>C3613</f>
        <v>45917</v>
      </c>
      <c r="D3614" s="71" t="s">
        <v>29</v>
      </c>
      <c r="E3614" s="71" t="s">
        <v>186</v>
      </c>
      <c r="F3614" s="143" t="s">
        <v>187</v>
      </c>
      <c r="J3614" s="71" t="s">
        <v>2169</v>
      </c>
      <c r="L3614" s="433">
        <v>596</v>
      </c>
      <c r="M3614" s="136">
        <f t="shared" si="96"/>
        <v>8420.3377033336619</v>
      </c>
    </row>
    <row r="3615" spans="1:13">
      <c r="A3615" s="54" t="str">
        <f>D3615&amp;E3615&amp;F3615</f>
        <v>SERVICIOSTELEPEAJECEDIS</v>
      </c>
      <c r="B3615" t="s">
        <v>2028</v>
      </c>
      <c r="C3615" s="1">
        <f>C3614</f>
        <v>45917</v>
      </c>
      <c r="D3615" s="71" t="s">
        <v>21</v>
      </c>
      <c r="E3615" s="71" t="s">
        <v>186</v>
      </c>
      <c r="F3615" s="70" t="s">
        <v>28</v>
      </c>
      <c r="G3615" s="71" t="s">
        <v>258</v>
      </c>
      <c r="J3615" s="71" t="s">
        <v>909</v>
      </c>
      <c r="L3615" s="433">
        <v>658</v>
      </c>
      <c r="M3615" s="136">
        <f t="shared" si="96"/>
        <v>7762.3377033336619</v>
      </c>
    </row>
    <row r="3616" spans="1:13">
      <c r="A3616" s="54" t="str">
        <f>D3616&amp;E3616&amp;F3616</f>
        <v>SERVICIOSTELEPEAJESERVICIOS</v>
      </c>
      <c r="B3616" t="s">
        <v>2028</v>
      </c>
      <c r="C3616" s="1">
        <f>C3615</f>
        <v>45917</v>
      </c>
      <c r="D3616" s="71" t="s">
        <v>21</v>
      </c>
      <c r="E3616" s="71" t="s">
        <v>186</v>
      </c>
      <c r="F3616" s="70" t="s">
        <v>21</v>
      </c>
      <c r="G3616" s="71" t="s">
        <v>258</v>
      </c>
      <c r="J3616" s="71" t="s">
        <v>2170</v>
      </c>
      <c r="L3616" s="433">
        <v>302</v>
      </c>
      <c r="M3616" s="136">
        <f t="shared" si="96"/>
        <v>7460.3377033336619</v>
      </c>
    </row>
    <row r="3617" spans="1:13">
      <c r="A3617" s="54" t="str">
        <f>D3617&amp;E3617&amp;F3617</f>
        <v>CAPMKTMKT CAP</v>
      </c>
      <c r="B3617" t="s">
        <v>2028</v>
      </c>
      <c r="C3617" s="1">
        <f>C3616</f>
        <v>45917</v>
      </c>
      <c r="D3617" s="71" t="s">
        <v>31</v>
      </c>
      <c r="E3617" s="71" t="s">
        <v>19</v>
      </c>
      <c r="F3617" s="70" t="s">
        <v>139</v>
      </c>
      <c r="G3617" s="71" t="s">
        <v>258</v>
      </c>
      <c r="J3617" s="71" t="s">
        <v>2171</v>
      </c>
      <c r="L3617" s="433">
        <v>1000</v>
      </c>
      <c r="M3617" s="136">
        <f t="shared" si="96"/>
        <v>6460.3377033336619</v>
      </c>
    </row>
    <row r="3618" spans="1:13">
      <c r="A3618" s="54" t="str">
        <f>D3618&amp;E3618&amp;F3618</f>
        <v>HRFONDO Y REPOSICIONHR</v>
      </c>
      <c r="B3618" t="s">
        <v>2028</v>
      </c>
      <c r="C3618" s="1">
        <f>C3617</f>
        <v>45917</v>
      </c>
      <c r="D3618" s="71" t="s">
        <v>29</v>
      </c>
      <c r="E3618" s="71" t="s">
        <v>120</v>
      </c>
      <c r="F3618" s="70" t="s">
        <v>29</v>
      </c>
      <c r="J3618" s="71" t="s">
        <v>830</v>
      </c>
      <c r="L3618" s="433">
        <v>3000</v>
      </c>
      <c r="M3618" s="136">
        <f t="shared" si="96"/>
        <v>3460.3377033336619</v>
      </c>
    </row>
    <row r="3619" spans="1:13">
      <c r="A3619" s="54" t="str">
        <f>D3619&amp;E3619&amp;F3619</f>
        <v>HRFONDO Y REPOSICIONHR</v>
      </c>
      <c r="B3619" t="s">
        <v>2028</v>
      </c>
      <c r="C3619" s="1">
        <f>C3618</f>
        <v>45917</v>
      </c>
      <c r="D3619" s="71" t="s">
        <v>29</v>
      </c>
      <c r="E3619" s="71" t="s">
        <v>120</v>
      </c>
      <c r="F3619" s="70" t="s">
        <v>29</v>
      </c>
      <c r="J3619" s="71" t="s">
        <v>267</v>
      </c>
      <c r="L3619" s="433">
        <v>1500</v>
      </c>
      <c r="M3619" s="136">
        <f t="shared" si="96"/>
        <v>1960.3377033336619</v>
      </c>
    </row>
    <row r="3620" spans="1:13">
      <c r="A3620" s="54" t="str">
        <f>D3620&amp;E3620&amp;F3620</f>
        <v>HRFONDO Y REPOSICIONHR</v>
      </c>
      <c r="B3620" t="s">
        <v>2028</v>
      </c>
      <c r="C3620" s="1">
        <f>C3619</f>
        <v>45917</v>
      </c>
      <c r="D3620" s="71" t="s">
        <v>29</v>
      </c>
      <c r="E3620" s="71" t="s">
        <v>120</v>
      </c>
      <c r="F3620" s="70" t="s">
        <v>29</v>
      </c>
      <c r="J3620" s="71" t="s">
        <v>357</v>
      </c>
      <c r="L3620" s="433">
        <v>1500</v>
      </c>
      <c r="M3620" s="136">
        <f t="shared" si="96"/>
        <v>460.33770333366192</v>
      </c>
    </row>
    <row r="3621" spans="1:13">
      <c r="A3621" s="54" t="str">
        <f>D3621&amp;E3621&amp;F3621</f>
        <v>SERVICIOSVIATICOSSISTEMAS</v>
      </c>
      <c r="B3621" t="s">
        <v>2028</v>
      </c>
      <c r="C3621" s="1">
        <f>C3620</f>
        <v>45917</v>
      </c>
      <c r="D3621" s="71" t="s">
        <v>21</v>
      </c>
      <c r="E3621" s="71" t="s">
        <v>191</v>
      </c>
      <c r="F3621" s="70" t="s">
        <v>36</v>
      </c>
      <c r="G3621" s="71" t="s">
        <v>258</v>
      </c>
      <c r="J3621" s="71" t="s">
        <v>2172</v>
      </c>
      <c r="L3621" s="433">
        <v>1400</v>
      </c>
      <c r="M3621" s="136">
        <f t="shared" si="96"/>
        <v>-939.66229666633808</v>
      </c>
    </row>
    <row r="3622" spans="1:13">
      <c r="A3622" s="54" t="str">
        <f>D3622&amp;E3622&amp;F3622</f>
        <v>SERVICIOSFONDO Y REPOSICIONSERVICIOS</v>
      </c>
      <c r="B3622" t="s">
        <v>2028</v>
      </c>
      <c r="C3622" s="1">
        <f t="shared" ref="C3622:C3643" si="97">C3621</f>
        <v>45917</v>
      </c>
      <c r="D3622" s="71" t="s">
        <v>21</v>
      </c>
      <c r="E3622" s="71" t="s">
        <v>120</v>
      </c>
      <c r="F3622" s="70" t="s">
        <v>21</v>
      </c>
      <c r="J3622" s="71" t="s">
        <v>2173</v>
      </c>
      <c r="L3622" s="433">
        <v>120</v>
      </c>
      <c r="M3622" s="136">
        <f t="shared" si="96"/>
        <v>-1059.6622966663381</v>
      </c>
    </row>
    <row r="3623" spans="1:13">
      <c r="A3623" s="54" t="str">
        <f>D3623&amp;E3623&amp;F3623</f>
        <v>HRVIATICOSHR</v>
      </c>
      <c r="B3623" t="s">
        <v>2028</v>
      </c>
      <c r="C3623" s="1">
        <f t="shared" si="97"/>
        <v>45917</v>
      </c>
      <c r="D3623" s="71" t="s">
        <v>29</v>
      </c>
      <c r="E3623" s="71" t="s">
        <v>191</v>
      </c>
      <c r="F3623" s="70" t="s">
        <v>29</v>
      </c>
      <c r="J3623" s="71" t="s">
        <v>1082</v>
      </c>
      <c r="L3623" s="433">
        <v>6800</v>
      </c>
      <c r="M3623" s="136">
        <f t="shared" si="96"/>
        <v>-7859.6622966663381</v>
      </c>
    </row>
    <row r="3624" spans="1:13">
      <c r="A3624" s="54" t="str">
        <f>D3624&amp;E3624&amp;F3624</f>
        <v>HRFONDO Y REPOSICIONHR</v>
      </c>
      <c r="B3624" t="s">
        <v>2028</v>
      </c>
      <c r="C3624" s="1">
        <f t="shared" si="97"/>
        <v>45917</v>
      </c>
      <c r="D3624" s="71" t="s">
        <v>29</v>
      </c>
      <c r="E3624" s="71" t="s">
        <v>120</v>
      </c>
      <c r="F3624" s="70" t="s">
        <v>29</v>
      </c>
      <c r="J3624" s="71" t="s">
        <v>2174</v>
      </c>
      <c r="L3624" s="433">
        <v>2284</v>
      </c>
      <c r="M3624" s="136">
        <f t="shared" si="96"/>
        <v>-10143.662296666338</v>
      </c>
    </row>
    <row r="3625" spans="1:13">
      <c r="A3625" s="54" t="str">
        <f>D3625&amp;E3625&amp;F3625</f>
        <v>FINANZASFONDO Y REPOSICIONFINANZAS</v>
      </c>
      <c r="B3625" t="s">
        <v>2028</v>
      </c>
      <c r="C3625" s="1">
        <f t="shared" si="97"/>
        <v>45917</v>
      </c>
      <c r="D3625" s="71" t="s">
        <v>23</v>
      </c>
      <c r="E3625" s="71" t="s">
        <v>120</v>
      </c>
      <c r="F3625" s="70" t="s">
        <v>23</v>
      </c>
      <c r="G3625" s="71" t="s">
        <v>258</v>
      </c>
      <c r="J3625" s="71" t="s">
        <v>2175</v>
      </c>
      <c r="L3625" s="433">
        <v>5000</v>
      </c>
      <c r="M3625" s="136">
        <f t="shared" si="96"/>
        <v>-15143.662296666338</v>
      </c>
    </row>
    <row r="3626" spans="1:13">
      <c r="A3626" s="54" t="str">
        <f>D3626&amp;E3626&amp;F3626</f>
        <v>HRUBERHR</v>
      </c>
      <c r="B3626" t="s">
        <v>2028</v>
      </c>
      <c r="C3626" s="1">
        <f t="shared" si="97"/>
        <v>45917</v>
      </c>
      <c r="D3626" s="71" t="s">
        <v>29</v>
      </c>
      <c r="E3626" s="71" t="s">
        <v>189</v>
      </c>
      <c r="F3626" s="70" t="s">
        <v>29</v>
      </c>
      <c r="J3626" s="76" t="s">
        <v>2176</v>
      </c>
      <c r="L3626" s="522">
        <v>150</v>
      </c>
      <c r="M3626" s="136">
        <f t="shared" si="96"/>
        <v>-15293.662296666338</v>
      </c>
    </row>
    <row r="3627" spans="1:13">
      <c r="A3627" s="54" t="str">
        <f>D3627&amp;E3627&amp;F3627</f>
        <v>CAPUBERCAP</v>
      </c>
      <c r="B3627" t="s">
        <v>2028</v>
      </c>
      <c r="C3627" s="1">
        <f t="shared" si="97"/>
        <v>45917</v>
      </c>
      <c r="D3627" s="71" t="s">
        <v>31</v>
      </c>
      <c r="E3627" s="71" t="s">
        <v>189</v>
      </c>
      <c r="F3627" s="70" t="s">
        <v>31</v>
      </c>
      <c r="J3627" s="76" t="s">
        <v>253</v>
      </c>
      <c r="L3627" s="522">
        <v>480</v>
      </c>
      <c r="M3627" s="136">
        <f t="shared" si="96"/>
        <v>-15773.662296666338</v>
      </c>
    </row>
    <row r="3628" spans="1:13">
      <c r="A3628" s="54" t="str">
        <f>D3628&amp;E3628&amp;F3628</f>
        <v>CAPINSUMOSCAPRICHOS</v>
      </c>
      <c r="B3628" t="s">
        <v>2028</v>
      </c>
      <c r="C3628" s="1">
        <f t="shared" si="97"/>
        <v>45917</v>
      </c>
      <c r="D3628" s="71" t="s">
        <v>31</v>
      </c>
      <c r="E3628" s="71" t="s">
        <v>133</v>
      </c>
      <c r="F3628" s="70" t="s">
        <v>33</v>
      </c>
      <c r="J3628" s="76" t="s">
        <v>457</v>
      </c>
      <c r="L3628" s="434">
        <v>100</v>
      </c>
      <c r="M3628" s="136">
        <f t="shared" si="96"/>
        <v>-15873.662296666338</v>
      </c>
    </row>
    <row r="3629" spans="1:13">
      <c r="A3629" s="54" t="str">
        <f>D3629&amp;E3629&amp;F3629</f>
        <v>CAPINSUMOSCAPRICHOS</v>
      </c>
      <c r="B3629" t="s">
        <v>2028</v>
      </c>
      <c r="C3629" s="1">
        <f t="shared" si="97"/>
        <v>45917</v>
      </c>
      <c r="D3629" s="71" t="s">
        <v>31</v>
      </c>
      <c r="E3629" s="71" t="s">
        <v>133</v>
      </c>
      <c r="F3629" s="70" t="s">
        <v>33</v>
      </c>
      <c r="J3629" s="76" t="s">
        <v>406</v>
      </c>
      <c r="L3629" s="434">
        <v>136</v>
      </c>
      <c r="M3629" s="136">
        <f t="shared" si="96"/>
        <v>-16009.662296666338</v>
      </c>
    </row>
    <row r="3630" spans="1:13">
      <c r="A3630" s="54" t="str">
        <f>D3630&amp;E3630&amp;F3630</f>
        <v>CAPUBERCAP</v>
      </c>
      <c r="B3630" t="s">
        <v>2028</v>
      </c>
      <c r="C3630" s="1">
        <f t="shared" si="97"/>
        <v>45917</v>
      </c>
      <c r="D3630" s="71" t="s">
        <v>31</v>
      </c>
      <c r="E3630" s="71" t="s">
        <v>189</v>
      </c>
      <c r="F3630" s="70" t="s">
        <v>31</v>
      </c>
      <c r="J3630" s="76" t="s">
        <v>257</v>
      </c>
      <c r="L3630" s="522">
        <v>265</v>
      </c>
      <c r="M3630" s="136">
        <f t="shared" si="96"/>
        <v>-16274.662296666338</v>
      </c>
    </row>
    <row r="3631" spans="1:13">
      <c r="A3631" s="54" t="str">
        <f>D3631&amp;E3631&amp;F3631</f>
        <v>ELIUBERL1</v>
      </c>
      <c r="B3631" t="s">
        <v>2028</v>
      </c>
      <c r="C3631" s="1">
        <f t="shared" si="97"/>
        <v>45917</v>
      </c>
      <c r="D3631" s="71" t="s">
        <v>130</v>
      </c>
      <c r="E3631" s="71" t="s">
        <v>189</v>
      </c>
      <c r="F3631" s="70" t="s">
        <v>136</v>
      </c>
      <c r="G3631" s="71" t="s">
        <v>258</v>
      </c>
      <c r="J3631" s="76" t="s">
        <v>535</v>
      </c>
      <c r="L3631" s="522">
        <v>57</v>
      </c>
      <c r="M3631" s="136">
        <f t="shared" si="96"/>
        <v>-16331.662296666338</v>
      </c>
    </row>
    <row r="3632" spans="1:13">
      <c r="A3632" s="54" t="str">
        <f t="shared" ref="A3602:A3665" si="98">D3632&amp;E3632&amp;F3632</f>
        <v/>
      </c>
      <c r="B3632" t="s">
        <v>2028</v>
      </c>
      <c r="C3632" s="1">
        <v>45918</v>
      </c>
      <c r="D3632" s="71"/>
      <c r="F3632" s="70"/>
      <c r="J3632" s="71" t="s">
        <v>2045</v>
      </c>
      <c r="K3632" s="325">
        <v>160973.1</v>
      </c>
      <c r="L3632" s="432"/>
      <c r="M3632" s="136">
        <f t="shared" si="96"/>
        <v>144641.43770333368</v>
      </c>
    </row>
    <row r="3633" spans="1:13">
      <c r="A3633" s="54" t="str">
        <f>D3633&amp;E3633&amp;F3633</f>
        <v>FINANZASCOMISIONES BANCARIASTPV</v>
      </c>
      <c r="B3633" t="s">
        <v>2028</v>
      </c>
      <c r="C3633" s="1">
        <f t="shared" si="97"/>
        <v>45918</v>
      </c>
      <c r="D3633" s="71" t="s">
        <v>23</v>
      </c>
      <c r="E3633" s="71" t="s">
        <v>48</v>
      </c>
      <c r="F3633" s="70" t="s">
        <v>50</v>
      </c>
      <c r="J3633" s="71" t="s">
        <v>217</v>
      </c>
      <c r="L3633" s="433">
        <f>169.81+184+1247.5+1013.67+712.45+348+17.4</f>
        <v>3692.8300000000004</v>
      </c>
      <c r="M3633" s="136">
        <f t="shared" si="96"/>
        <v>140948.60770333369</v>
      </c>
    </row>
    <row r="3634" spans="1:13">
      <c r="A3634" s="54" t="str">
        <f>D3634&amp;E3634&amp;F3634</f>
        <v>FINANZASCOMISIONES BANCARIASMANEJO DE CUENTA</v>
      </c>
      <c r="B3634" t="s">
        <v>2028</v>
      </c>
      <c r="C3634" s="1">
        <f t="shared" si="97"/>
        <v>45918</v>
      </c>
      <c r="D3634" s="71" t="s">
        <v>23</v>
      </c>
      <c r="E3634" s="71" t="s">
        <v>48</v>
      </c>
      <c r="F3634" s="70" t="s">
        <v>49</v>
      </c>
      <c r="J3634" s="71" t="s">
        <v>764</v>
      </c>
      <c r="L3634" s="433">
        <f>4408.67+1856</f>
        <v>6264.67</v>
      </c>
      <c r="M3634" s="136">
        <f t="shared" si="96"/>
        <v>134683.93770333368</v>
      </c>
    </row>
    <row r="3635" spans="1:13">
      <c r="A3635" s="54" t="str">
        <f t="shared" si="98"/>
        <v/>
      </c>
      <c r="B3635" t="s">
        <v>2028</v>
      </c>
      <c r="C3635" s="1">
        <f>C3633</f>
        <v>45918</v>
      </c>
      <c r="D3635" s="71"/>
      <c r="F3635" s="70"/>
      <c r="J3635" s="205" t="s">
        <v>1562</v>
      </c>
      <c r="K3635" s="205"/>
      <c r="L3635" s="428">
        <v>150000</v>
      </c>
      <c r="M3635" s="136">
        <f t="shared" si="96"/>
        <v>-15316.062296666321</v>
      </c>
    </row>
    <row r="3636" spans="1:13">
      <c r="A3636" s="54" t="str">
        <f t="shared" si="98"/>
        <v/>
      </c>
      <c r="B3636" t="s">
        <v>2028</v>
      </c>
      <c r="C3636" s="1">
        <f t="shared" si="97"/>
        <v>45918</v>
      </c>
      <c r="D3636" s="71"/>
      <c r="F3636" s="70"/>
      <c r="J3636" s="205" t="s">
        <v>222</v>
      </c>
      <c r="K3636" s="205"/>
      <c r="L3636" s="428"/>
      <c r="M3636" s="136">
        <f t="shared" si="96"/>
        <v>-15316.062296666321</v>
      </c>
    </row>
    <row r="3637" spans="1:13">
      <c r="A3637" s="54" t="str">
        <f>D3637&amp;E3637&amp;F3637</f>
        <v>MKTACTIVACION MKT</v>
      </c>
      <c r="B3637" t="s">
        <v>2028</v>
      </c>
      <c r="C3637" s="1">
        <f t="shared" si="97"/>
        <v>45918</v>
      </c>
      <c r="D3637" t="s">
        <v>19</v>
      </c>
      <c r="E3637" t="s">
        <v>20</v>
      </c>
      <c r="F3637" t="s">
        <v>19</v>
      </c>
      <c r="J3637" s="71" t="s">
        <v>2177</v>
      </c>
      <c r="L3637" s="433">
        <v>750</v>
      </c>
      <c r="M3637" s="136">
        <f t="shared" si="96"/>
        <v>-16066.062296666321</v>
      </c>
    </row>
    <row r="3638" spans="1:13">
      <c r="A3638" s="54" t="str">
        <f>D3638&amp;E3638&amp;F3638</f>
        <v>FINANZASCUOTAS Y SUSCRIPCIONESCONTPAQ</v>
      </c>
      <c r="B3638" t="s">
        <v>2028</v>
      </c>
      <c r="C3638" s="1">
        <f t="shared" si="97"/>
        <v>45918</v>
      </c>
      <c r="D3638" s="71" t="s">
        <v>23</v>
      </c>
      <c r="E3638" s="71" t="s">
        <v>51</v>
      </c>
      <c r="F3638" s="70" t="s">
        <v>73</v>
      </c>
      <c r="J3638" s="71" t="s">
        <v>2178</v>
      </c>
      <c r="K3638" s="429"/>
      <c r="L3638" s="433">
        <v>7134</v>
      </c>
      <c r="M3638" s="136">
        <f t="shared" si="96"/>
        <v>-23200.062296666321</v>
      </c>
    </row>
    <row r="3639" spans="1:13">
      <c r="A3639" s="54" t="str">
        <f>D3639&amp;E3639&amp;F3639</f>
        <v>SERVICIOSADQ DE EQ TECNOLOGICOADQ DE EQ TECNOLOGICO</v>
      </c>
      <c r="B3639" t="s">
        <v>2028</v>
      </c>
      <c r="C3639" s="1">
        <f t="shared" si="97"/>
        <v>45918</v>
      </c>
      <c r="D3639" s="71" t="s">
        <v>21</v>
      </c>
      <c r="E3639" s="71" t="s">
        <v>22</v>
      </c>
      <c r="F3639" s="70" t="s">
        <v>22</v>
      </c>
      <c r="J3639" s="71" t="s">
        <v>2179</v>
      </c>
      <c r="L3639" s="433">
        <v>8005.35</v>
      </c>
      <c r="M3639" s="136">
        <f t="shared" si="96"/>
        <v>-31205.41229666632</v>
      </c>
    </row>
    <row r="3640" spans="1:13">
      <c r="A3640" s="54" t="str">
        <f>D3640&amp;E3640&amp;F3640</f>
        <v>SERVICIOSMTTO DE EDIFICIOMANTENIMIENTO</v>
      </c>
      <c r="B3640" t="s">
        <v>2028</v>
      </c>
      <c r="C3640" s="1">
        <f t="shared" si="97"/>
        <v>45918</v>
      </c>
      <c r="D3640" s="71" t="s">
        <v>21</v>
      </c>
      <c r="E3640" s="71" t="s">
        <v>142</v>
      </c>
      <c r="F3640" s="70" t="s">
        <v>35</v>
      </c>
      <c r="G3640" s="71" t="s">
        <v>258</v>
      </c>
      <c r="J3640" s="71" t="s">
        <v>2180</v>
      </c>
      <c r="L3640" s="433">
        <v>6124</v>
      </c>
      <c r="M3640" s="136">
        <f t="shared" si="96"/>
        <v>-37329.41229666632</v>
      </c>
    </row>
    <row r="3641" spans="1:13">
      <c r="A3641" s="54" t="str">
        <f>D3641&amp;E3641&amp;F3641</f>
        <v>ELIVIATICOSL1</v>
      </c>
      <c r="B3641" t="s">
        <v>2028</v>
      </c>
      <c r="C3641" s="1">
        <f t="shared" si="97"/>
        <v>45918</v>
      </c>
      <c r="D3641" s="71" t="s">
        <v>130</v>
      </c>
      <c r="E3641" s="71" t="s">
        <v>191</v>
      </c>
      <c r="F3641" s="70" t="s">
        <v>136</v>
      </c>
      <c r="J3641" s="71" t="s">
        <v>690</v>
      </c>
      <c r="L3641" s="433">
        <v>1000</v>
      </c>
      <c r="M3641" s="136">
        <f t="shared" si="96"/>
        <v>-38329.41229666632</v>
      </c>
    </row>
    <row r="3642" spans="1:13">
      <c r="A3642" s="54" t="str">
        <f>D3642&amp;E3642&amp;F3642</f>
        <v>CAPMKTMKT CAP</v>
      </c>
      <c r="B3642" t="s">
        <v>2028</v>
      </c>
      <c r="C3642" s="1">
        <f t="shared" si="97"/>
        <v>45918</v>
      </c>
      <c r="D3642" s="71" t="s">
        <v>31</v>
      </c>
      <c r="E3642" s="71" t="s">
        <v>19</v>
      </c>
      <c r="F3642" s="70" t="s">
        <v>139</v>
      </c>
      <c r="G3642" s="71" t="s">
        <v>258</v>
      </c>
      <c r="J3642" s="71" t="s">
        <v>2181</v>
      </c>
      <c r="L3642" s="433">
        <v>800</v>
      </c>
      <c r="M3642" s="136">
        <f t="shared" si="96"/>
        <v>-39129.41229666632</v>
      </c>
    </row>
    <row r="3643" spans="1:13">
      <c r="A3643" s="54" t="str">
        <f>D3643&amp;E3643&amp;F3643</f>
        <v>HRFONDO Y REPOSICIONHR</v>
      </c>
      <c r="B3643" t="s">
        <v>2028</v>
      </c>
      <c r="C3643" s="1">
        <f t="shared" si="97"/>
        <v>45918</v>
      </c>
      <c r="D3643" s="71" t="s">
        <v>29</v>
      </c>
      <c r="E3643" s="71" t="s">
        <v>120</v>
      </c>
      <c r="F3643" s="70" t="s">
        <v>29</v>
      </c>
      <c r="J3643" s="71" t="s">
        <v>2182</v>
      </c>
      <c r="L3643" s="433">
        <v>10</v>
      </c>
      <c r="M3643" s="136">
        <f t="shared" si="96"/>
        <v>-39139.41229666632</v>
      </c>
    </row>
    <row r="3644" spans="1:13">
      <c r="A3644" s="54" t="str">
        <f>D3644&amp;E3644&amp;F3644</f>
        <v>SERVICIOSINSUMOSCADENA DE SUMINISTROS</v>
      </c>
      <c r="B3644" t="s">
        <v>2028</v>
      </c>
      <c r="C3644" s="1">
        <v>45918</v>
      </c>
      <c r="D3644" s="387" t="s">
        <v>21</v>
      </c>
      <c r="E3644" s="387" t="s">
        <v>133</v>
      </c>
      <c r="F3644" s="375" t="s">
        <v>134</v>
      </c>
      <c r="G3644" s="387"/>
      <c r="J3644" s="71" t="s">
        <v>2183</v>
      </c>
      <c r="L3644" s="433">
        <v>11616</v>
      </c>
      <c r="M3644" s="136">
        <f t="shared" si="96"/>
        <v>-50755.41229666632</v>
      </c>
    </row>
    <row r="3645" spans="1:13">
      <c r="A3645" s="54" t="str">
        <f>D3645&amp;E3645&amp;F3645</f>
        <v>HRINSUMOSHR</v>
      </c>
      <c r="B3645" t="s">
        <v>2028</v>
      </c>
      <c r="C3645" s="1">
        <f>C3643</f>
        <v>45918</v>
      </c>
      <c r="D3645" s="71" t="s">
        <v>29</v>
      </c>
      <c r="E3645" s="71" t="s">
        <v>133</v>
      </c>
      <c r="F3645" s="70" t="s">
        <v>29</v>
      </c>
      <c r="J3645" s="71" t="s">
        <v>2184</v>
      </c>
      <c r="L3645" s="433">
        <v>40</v>
      </c>
      <c r="M3645" s="136">
        <f t="shared" si="96"/>
        <v>-50795.41229666632</v>
      </c>
    </row>
    <row r="3646" spans="1:13">
      <c r="A3646" s="54" t="str">
        <f>D3646&amp;E3646&amp;F3646</f>
        <v>CAPUBERCAP</v>
      </c>
      <c r="B3646" t="s">
        <v>2028</v>
      </c>
      <c r="C3646" s="1">
        <f>C3645</f>
        <v>45918</v>
      </c>
      <c r="D3646" s="71" t="s">
        <v>31</v>
      </c>
      <c r="E3646" s="71" t="s">
        <v>189</v>
      </c>
      <c r="F3646" s="70" t="s">
        <v>31</v>
      </c>
      <c r="J3646" s="71" t="s">
        <v>253</v>
      </c>
      <c r="L3646" s="523">
        <v>229</v>
      </c>
      <c r="M3646" s="136">
        <f t="shared" si="96"/>
        <v>-51024.41229666632</v>
      </c>
    </row>
    <row r="3647" spans="1:13">
      <c r="A3647" s="54" t="str">
        <f>D3647&amp;E3647&amp;F3647</f>
        <v>CAPUBERCAP</v>
      </c>
      <c r="B3647" t="s">
        <v>2028</v>
      </c>
      <c r="C3647" s="1">
        <f>C3646</f>
        <v>45918</v>
      </c>
      <c r="D3647" s="71" t="s">
        <v>31</v>
      </c>
      <c r="E3647" s="71" t="s">
        <v>189</v>
      </c>
      <c r="F3647" s="70" t="s">
        <v>31</v>
      </c>
      <c r="J3647" s="71" t="s">
        <v>257</v>
      </c>
      <c r="L3647" s="523">
        <v>35</v>
      </c>
      <c r="M3647" s="136">
        <f t="shared" si="96"/>
        <v>-51059.41229666632</v>
      </c>
    </row>
    <row r="3648" spans="1:13">
      <c r="A3648" s="54" t="str">
        <f t="shared" si="98"/>
        <v/>
      </c>
      <c r="B3648" t="s">
        <v>2028</v>
      </c>
      <c r="C3648" s="1">
        <v>45919</v>
      </c>
      <c r="D3648" s="71"/>
      <c r="F3648" s="70"/>
      <c r="J3648" s="71" t="s">
        <v>2045</v>
      </c>
      <c r="K3648" s="325">
        <v>179992.95</v>
      </c>
      <c r="L3648" s="432"/>
      <c r="M3648" s="136">
        <f t="shared" si="96"/>
        <v>128933.53770333368</v>
      </c>
    </row>
    <row r="3649" spans="1:13">
      <c r="A3649" s="54" t="str">
        <f t="shared" si="98"/>
        <v/>
      </c>
      <c r="B3649" t="s">
        <v>2028</v>
      </c>
      <c r="C3649" s="1">
        <v>45919</v>
      </c>
      <c r="D3649" s="71"/>
      <c r="F3649" s="70"/>
      <c r="J3649" s="71" t="s">
        <v>2185</v>
      </c>
      <c r="K3649" s="325">
        <v>250000</v>
      </c>
      <c r="L3649" s="432"/>
      <c r="M3649" s="136">
        <f t="shared" ref="M3649:M3705" si="99">M3648+K3649-L3649</f>
        <v>378933.53770333366</v>
      </c>
    </row>
    <row r="3650" spans="1:13">
      <c r="A3650" s="54" t="str">
        <f>D3650&amp;E3650&amp;F3650</f>
        <v>FINANZASCOMISIONES BANCARIASTPV</v>
      </c>
      <c r="B3650" t="s">
        <v>2028</v>
      </c>
      <c r="C3650" s="1">
        <v>45919</v>
      </c>
      <c r="D3650" s="71" t="s">
        <v>23</v>
      </c>
      <c r="E3650" s="71" t="s">
        <v>48</v>
      </c>
      <c r="F3650" s="70" t="s">
        <v>50</v>
      </c>
      <c r="J3650" s="71" t="s">
        <v>217</v>
      </c>
      <c r="L3650" s="433">
        <f>147.44+1193.79+1291.51+1116.66+28.75+714.38+6.96+17.4+17.4+5.8+5.8</f>
        <v>4545.8899999999994</v>
      </c>
      <c r="M3650" s="136">
        <f t="shared" si="99"/>
        <v>374387.64770333364</v>
      </c>
    </row>
    <row r="3651" spans="1:13">
      <c r="A3651" s="54" t="str">
        <f t="shared" si="98"/>
        <v/>
      </c>
      <c r="B3651" t="s">
        <v>2028</v>
      </c>
      <c r="C3651" s="1">
        <f>C3650</f>
        <v>45919</v>
      </c>
      <c r="D3651" s="71"/>
      <c r="F3651" s="70"/>
      <c r="J3651" s="205" t="s">
        <v>1562</v>
      </c>
      <c r="K3651" s="205"/>
      <c r="L3651" s="428">
        <v>200000</v>
      </c>
      <c r="M3651" s="136">
        <f t="shared" si="99"/>
        <v>174387.64770333364</v>
      </c>
    </row>
    <row r="3652" spans="1:13">
      <c r="A3652" s="54" t="str">
        <f t="shared" si="98"/>
        <v/>
      </c>
      <c r="B3652" t="s">
        <v>2028</v>
      </c>
      <c r="C3652" s="1">
        <f>C3651</f>
        <v>45919</v>
      </c>
      <c r="D3652" s="71"/>
      <c r="F3652" s="70"/>
      <c r="J3652" s="205" t="s">
        <v>222</v>
      </c>
      <c r="K3652" s="205"/>
      <c r="L3652" s="428">
        <v>150000</v>
      </c>
      <c r="M3652" s="136">
        <f t="shared" si="99"/>
        <v>24387.647703333641</v>
      </c>
    </row>
    <row r="3653" spans="1:13">
      <c r="A3653" s="54" t="str">
        <f>D3653&amp;E3653&amp;F3653</f>
        <v>SERVICIOSINSUMOSCOFFE</v>
      </c>
      <c r="B3653" t="s">
        <v>2028</v>
      </c>
      <c r="C3653" s="1">
        <f>C3652</f>
        <v>45919</v>
      </c>
      <c r="D3653" s="71" t="s">
        <v>21</v>
      </c>
      <c r="E3653" s="71" t="s">
        <v>133</v>
      </c>
      <c r="F3653" s="70" t="s">
        <v>135</v>
      </c>
      <c r="J3653" s="71" t="s">
        <v>1881</v>
      </c>
      <c r="L3653" s="433">
        <v>2500</v>
      </c>
      <c r="M3653" s="136">
        <f t="shared" si="99"/>
        <v>21887.647703333641</v>
      </c>
    </row>
    <row r="3654" spans="1:13">
      <c r="A3654" s="54" t="str">
        <f t="shared" si="98"/>
        <v/>
      </c>
      <c r="B3654" t="s">
        <v>2028</v>
      </c>
      <c r="C3654" s="1">
        <f>C3653</f>
        <v>45919</v>
      </c>
      <c r="D3654" s="71"/>
      <c r="F3654" s="70"/>
      <c r="J3654" s="71" t="s">
        <v>564</v>
      </c>
      <c r="L3654" s="433">
        <v>36827</v>
      </c>
      <c r="M3654" s="136">
        <f t="shared" si="99"/>
        <v>-14939.352296666359</v>
      </c>
    </row>
    <row r="3655" spans="1:13">
      <c r="A3655" s="54" t="str">
        <f>D3655&amp;E3655&amp;F3655</f>
        <v>SERVICIOSALARMASUCURSALES CAPRICHOS</v>
      </c>
      <c r="B3655" t="s">
        <v>2028</v>
      </c>
      <c r="C3655" s="1">
        <f>C3654</f>
        <v>45919</v>
      </c>
      <c r="D3655" s="71" t="s">
        <v>21</v>
      </c>
      <c r="E3655" s="71" t="s">
        <v>25</v>
      </c>
      <c r="F3655" s="70" t="s">
        <v>27</v>
      </c>
      <c r="J3655" s="71" t="s">
        <v>2186</v>
      </c>
      <c r="L3655" s="433">
        <v>840</v>
      </c>
      <c r="M3655" s="136">
        <f t="shared" si="99"/>
        <v>-15779.352296666359</v>
      </c>
    </row>
    <row r="3656" spans="1:13">
      <c r="A3656" s="54" t="str">
        <f>D3656&amp;E3656&amp;F3656</f>
        <v>SERVICIOSMTTO EQ DE TRANSPORTECEDIS</v>
      </c>
      <c r="B3656" t="s">
        <v>2028</v>
      </c>
      <c r="C3656" s="1">
        <f>C3655</f>
        <v>45919</v>
      </c>
      <c r="D3656" s="71" t="s">
        <v>21</v>
      </c>
      <c r="E3656" s="71" t="s">
        <v>144</v>
      </c>
      <c r="F3656" s="70" t="s">
        <v>28</v>
      </c>
      <c r="G3656" s="71" t="s">
        <v>258</v>
      </c>
      <c r="J3656" s="71" t="s">
        <v>2187</v>
      </c>
      <c r="L3656" s="208">
        <v>5104</v>
      </c>
      <c r="M3656" s="136">
        <f t="shared" si="99"/>
        <v>-20883.352296666359</v>
      </c>
    </row>
    <row r="3657" spans="1:13">
      <c r="A3657" s="54" t="str">
        <f>D3657&amp;E3657&amp;F3657</f>
        <v>SERVICIOSALARMASUCURSALES HR</v>
      </c>
      <c r="B3657" t="s">
        <v>2028</v>
      </c>
      <c r="C3657" s="1">
        <f>C3656</f>
        <v>45919</v>
      </c>
      <c r="D3657" s="71" t="s">
        <v>21</v>
      </c>
      <c r="E3657" s="71" t="s">
        <v>25</v>
      </c>
      <c r="F3657" s="70" t="s">
        <v>26</v>
      </c>
      <c r="J3657" s="71" t="s">
        <v>1651</v>
      </c>
      <c r="L3657" s="433">
        <v>6200</v>
      </c>
      <c r="M3657" s="136">
        <f t="shared" si="99"/>
        <v>-27083.352296666359</v>
      </c>
    </row>
    <row r="3658" spans="1:13">
      <c r="A3658" s="54" t="str">
        <f>D3658&amp;E3658&amp;F3658</f>
        <v>SERVICIOSADQ DE EQ TECNOLOGICOADQ DE EQ TECNOLOGICO</v>
      </c>
      <c r="B3658" t="s">
        <v>2028</v>
      </c>
      <c r="C3658" s="1">
        <f>C3657</f>
        <v>45919</v>
      </c>
      <c r="D3658" s="71" t="s">
        <v>21</v>
      </c>
      <c r="E3658" s="71" t="s">
        <v>22</v>
      </c>
      <c r="F3658" s="70" t="s">
        <v>22</v>
      </c>
      <c r="G3658" s="71" t="s">
        <v>258</v>
      </c>
      <c r="J3658" s="71" t="s">
        <v>2188</v>
      </c>
      <c r="L3658" s="433">
        <v>12000.43</v>
      </c>
      <c r="M3658" s="136">
        <f t="shared" si="99"/>
        <v>-39083.782296666359</v>
      </c>
    </row>
    <row r="3659" spans="1:13">
      <c r="A3659" s="54" t="str">
        <f>D3659&amp;E3659&amp;F3659</f>
        <v>FINANZASINSUMOSFINANZAS</v>
      </c>
      <c r="B3659" t="s">
        <v>2028</v>
      </c>
      <c r="C3659" s="1">
        <f>C3658</f>
        <v>45919</v>
      </c>
      <c r="D3659" s="71" t="s">
        <v>23</v>
      </c>
      <c r="E3659" s="71" t="s">
        <v>133</v>
      </c>
      <c r="F3659" s="70" t="s">
        <v>23</v>
      </c>
      <c r="J3659" s="71" t="s">
        <v>1608</v>
      </c>
      <c r="L3659" s="433">
        <v>511</v>
      </c>
      <c r="M3659" s="136">
        <f t="shared" si="99"/>
        <v>-39594.782296666359</v>
      </c>
    </row>
    <row r="3660" spans="1:13">
      <c r="A3660" s="54" t="str">
        <f>D3660&amp;E3660&amp;F3660</f>
        <v>FINANZASFALTANTESFALTANTES</v>
      </c>
      <c r="B3660" t="s">
        <v>2028</v>
      </c>
      <c r="C3660" s="1">
        <f>C3659</f>
        <v>45919</v>
      </c>
      <c r="D3660" s="71" t="s">
        <v>23</v>
      </c>
      <c r="E3660" s="71" t="s">
        <v>119</v>
      </c>
      <c r="F3660" s="70" t="s">
        <v>119</v>
      </c>
      <c r="G3660" s="71" t="s">
        <v>258</v>
      </c>
      <c r="J3660" s="71" t="s">
        <v>2189</v>
      </c>
      <c r="L3660" s="433">
        <v>578.5</v>
      </c>
      <c r="M3660" s="136">
        <f t="shared" si="99"/>
        <v>-40173.282296666359</v>
      </c>
    </row>
    <row r="3661" spans="1:13">
      <c r="A3661" s="54" t="str">
        <f>D3661&amp;E3661&amp;F3661</f>
        <v>HRINSUMOSHR</v>
      </c>
      <c r="B3661" t="s">
        <v>2028</v>
      </c>
      <c r="C3661" s="1">
        <f>C3660</f>
        <v>45919</v>
      </c>
      <c r="D3661" s="71" t="s">
        <v>29</v>
      </c>
      <c r="E3661" s="71" t="s">
        <v>133</v>
      </c>
      <c r="F3661" s="70" t="s">
        <v>29</v>
      </c>
      <c r="J3661" s="71" t="s">
        <v>2190</v>
      </c>
      <c r="L3661" s="433">
        <v>134</v>
      </c>
      <c r="M3661" s="136">
        <f t="shared" si="99"/>
        <v>-40307.282296666359</v>
      </c>
    </row>
    <row r="3662" spans="1:13">
      <c r="A3662" s="54" t="str">
        <f>D3662&amp;E3662&amp;F3662</f>
        <v>HRUBERHR</v>
      </c>
      <c r="B3662" t="s">
        <v>2028</v>
      </c>
      <c r="C3662" s="1">
        <f>C3661</f>
        <v>45919</v>
      </c>
      <c r="D3662" s="71" t="s">
        <v>29</v>
      </c>
      <c r="E3662" s="71" t="s">
        <v>189</v>
      </c>
      <c r="F3662" s="70" t="s">
        <v>29</v>
      </c>
      <c r="J3662" s="71" t="s">
        <v>249</v>
      </c>
      <c r="L3662" s="523">
        <v>75</v>
      </c>
      <c r="M3662" s="136">
        <f t="shared" si="99"/>
        <v>-40382.282296666359</v>
      </c>
    </row>
    <row r="3663" spans="1:13">
      <c r="A3663" s="54" t="str">
        <f>D3663&amp;E3663&amp;F3663</f>
        <v>CAPUBERCAP</v>
      </c>
      <c r="B3663" t="s">
        <v>2028</v>
      </c>
      <c r="C3663" s="1">
        <f>C3662</f>
        <v>45919</v>
      </c>
      <c r="D3663" s="71" t="s">
        <v>31</v>
      </c>
      <c r="E3663" s="71" t="s">
        <v>189</v>
      </c>
      <c r="F3663" s="70" t="s">
        <v>31</v>
      </c>
      <c r="J3663" s="71" t="s">
        <v>253</v>
      </c>
      <c r="L3663" s="523">
        <v>293</v>
      </c>
      <c r="M3663" s="136">
        <f t="shared" si="99"/>
        <v>-40675.282296666359</v>
      </c>
    </row>
    <row r="3664" spans="1:13">
      <c r="A3664" s="54" t="str">
        <f>D3664&amp;E3664&amp;F3664</f>
        <v>CAPUBERCAP</v>
      </c>
      <c r="B3664" t="s">
        <v>2028</v>
      </c>
      <c r="C3664" s="1">
        <f>C3663</f>
        <v>45919</v>
      </c>
      <c r="D3664" s="71" t="s">
        <v>31</v>
      </c>
      <c r="E3664" s="71" t="s">
        <v>189</v>
      </c>
      <c r="F3664" s="70" t="s">
        <v>31</v>
      </c>
      <c r="J3664" s="71" t="s">
        <v>257</v>
      </c>
      <c r="L3664" s="523">
        <v>100</v>
      </c>
      <c r="M3664" s="136">
        <f t="shared" si="99"/>
        <v>-40775.282296666359</v>
      </c>
    </row>
    <row r="3665" spans="1:13">
      <c r="A3665" s="54" t="str">
        <f>D3665&amp;E3665&amp;F3665</f>
        <v>CAPFUMIGACIONCAPRICHOS</v>
      </c>
      <c r="B3665" t="s">
        <v>2028</v>
      </c>
      <c r="C3665" s="1">
        <f>C3664</f>
        <v>45919</v>
      </c>
      <c r="D3665" s="71" t="s">
        <v>31</v>
      </c>
      <c r="E3665" s="71" t="s">
        <v>121</v>
      </c>
      <c r="F3665" s="70" t="s">
        <v>33</v>
      </c>
      <c r="G3665" s="71" t="s">
        <v>258</v>
      </c>
      <c r="J3665" s="71" t="s">
        <v>950</v>
      </c>
      <c r="L3665" s="536">
        <v>471</v>
      </c>
      <c r="M3665" s="136">
        <f t="shared" si="99"/>
        <v>-41246.282296666359</v>
      </c>
    </row>
    <row r="3666" spans="1:13">
      <c r="A3666" s="54" t="str">
        <f t="shared" ref="A3666:A3729" si="100">D3666&amp;E3666&amp;F3666</f>
        <v/>
      </c>
      <c r="B3666" t="s">
        <v>2028</v>
      </c>
      <c r="C3666" s="1">
        <v>45922</v>
      </c>
      <c r="D3666" s="71"/>
      <c r="F3666" s="70"/>
      <c r="J3666" s="71" t="s">
        <v>2045</v>
      </c>
      <c r="K3666" s="325">
        <v>830890.65</v>
      </c>
      <c r="L3666" s="432"/>
      <c r="M3666" s="136">
        <f t="shared" si="99"/>
        <v>789644.36770333361</v>
      </c>
    </row>
    <row r="3667" spans="1:13">
      <c r="A3667" s="54" t="str">
        <f>D3667&amp;E3667&amp;F3667</f>
        <v>FINANZASCOMISIONES BANCARIASTPV</v>
      </c>
      <c r="B3667" t="s">
        <v>2028</v>
      </c>
      <c r="C3667" s="1">
        <f>C3666</f>
        <v>45922</v>
      </c>
      <c r="D3667" s="71" t="s">
        <v>23</v>
      </c>
      <c r="E3667" s="71" t="s">
        <v>48</v>
      </c>
      <c r="F3667" s="70" t="s">
        <v>50</v>
      </c>
      <c r="J3667" s="71" t="s">
        <v>217</v>
      </c>
      <c r="L3667" s="433">
        <f>496.31+1569.1+6540.52+5505.19+2399.36+66.12</f>
        <v>16576.599999999999</v>
      </c>
      <c r="M3667" s="136">
        <f t="shared" si="99"/>
        <v>773067.76770333364</v>
      </c>
    </row>
    <row r="3668" spans="1:13">
      <c r="A3668" s="54" t="str">
        <f t="shared" si="100"/>
        <v/>
      </c>
      <c r="B3668" t="s">
        <v>2028</v>
      </c>
      <c r="C3668" s="1">
        <f>C3667</f>
        <v>45922</v>
      </c>
      <c r="D3668" s="71"/>
      <c r="F3668" s="70"/>
      <c r="J3668" s="205" t="s">
        <v>1562</v>
      </c>
      <c r="K3668" s="205"/>
      <c r="L3668" s="428">
        <v>200000</v>
      </c>
      <c r="M3668" s="136">
        <f t="shared" si="99"/>
        <v>573067.76770333364</v>
      </c>
    </row>
    <row r="3669" spans="1:13">
      <c r="A3669" s="54" t="str">
        <f t="shared" si="100"/>
        <v/>
      </c>
      <c r="B3669" t="s">
        <v>2028</v>
      </c>
      <c r="C3669" s="1">
        <f>C3668</f>
        <v>45922</v>
      </c>
      <c r="D3669" s="71"/>
      <c r="F3669" s="70"/>
      <c r="J3669" s="205" t="s">
        <v>222</v>
      </c>
      <c r="K3669" s="205"/>
      <c r="L3669" s="428">
        <v>300000</v>
      </c>
      <c r="M3669" s="136">
        <f t="shared" si="99"/>
        <v>273067.76770333364</v>
      </c>
    </row>
    <row r="3670" spans="1:13">
      <c r="A3670" s="54" t="str">
        <f t="shared" si="100"/>
        <v/>
      </c>
      <c r="B3670" t="s">
        <v>2028</v>
      </c>
      <c r="C3670" s="1">
        <f>C3669</f>
        <v>45922</v>
      </c>
      <c r="D3670" s="71"/>
      <c r="F3670" s="70"/>
      <c r="J3670" s="71" t="s">
        <v>2191</v>
      </c>
      <c r="L3670" s="433">
        <v>250000</v>
      </c>
      <c r="M3670" s="136">
        <f t="shared" si="99"/>
        <v>23067.767703333637</v>
      </c>
    </row>
    <row r="3671" spans="1:13">
      <c r="A3671" s="54" t="str">
        <f>D3671&amp;E3671&amp;F3671</f>
        <v>SGECUOTAS Y SUSCRIPCIONESFROGMI</v>
      </c>
      <c r="B3671" t="s">
        <v>2028</v>
      </c>
      <c r="C3671" s="1">
        <f>C3670</f>
        <v>45922</v>
      </c>
      <c r="D3671" s="71" t="s">
        <v>39</v>
      </c>
      <c r="E3671" s="71" t="s">
        <v>51</v>
      </c>
      <c r="F3671" s="70" t="s">
        <v>57</v>
      </c>
      <c r="J3671" s="71" t="s">
        <v>425</v>
      </c>
      <c r="L3671" s="433">
        <v>37253.26</v>
      </c>
      <c r="M3671" s="136">
        <f t="shared" si="99"/>
        <v>-14185.492296666365</v>
      </c>
    </row>
    <row r="3672" spans="1:13">
      <c r="A3672" s="54" t="str">
        <f>D3672&amp;E3672&amp;F3672</f>
        <v>FINANZASENERGIA ELECTRICACEDIS</v>
      </c>
      <c r="B3672" t="s">
        <v>2028</v>
      </c>
      <c r="C3672" s="1">
        <f>C3671</f>
        <v>45922</v>
      </c>
      <c r="D3672" s="71" t="s">
        <v>23</v>
      </c>
      <c r="E3672" s="71" t="s">
        <v>87</v>
      </c>
      <c r="F3672" s="70" t="s">
        <v>28</v>
      </c>
      <c r="J3672" s="71" t="s">
        <v>2192</v>
      </c>
      <c r="L3672" s="433">
        <v>518</v>
      </c>
      <c r="M3672" s="136">
        <f t="shared" si="99"/>
        <v>-14703.492296666365</v>
      </c>
    </row>
    <row r="3673" spans="1:13">
      <c r="A3673" s="54" t="str">
        <f>D3673&amp;E3673&amp;F3673</f>
        <v>SERVICIOSPAQUETERIACT INTERNACIONAL</v>
      </c>
      <c r="B3673" t="s">
        <v>2028</v>
      </c>
      <c r="C3673" s="1">
        <f>C3672</f>
        <v>45922</v>
      </c>
      <c r="D3673" s="71" t="s">
        <v>21</v>
      </c>
      <c r="E3673" s="71" t="s">
        <v>160</v>
      </c>
      <c r="F3673" t="s">
        <v>162</v>
      </c>
      <c r="J3673" s="71" t="s">
        <v>275</v>
      </c>
      <c r="L3673" s="433">
        <v>140</v>
      </c>
      <c r="M3673" s="136">
        <f t="shared" si="99"/>
        <v>-14843.492296666365</v>
      </c>
    </row>
    <row r="3674" spans="1:13">
      <c r="A3674" s="54" t="str">
        <f>D3674&amp;E3674&amp;F3674</f>
        <v>FINANZASFONDO Y REPOSICIONFINANZAS</v>
      </c>
      <c r="B3674" t="s">
        <v>2028</v>
      </c>
      <c r="C3674" s="1">
        <f>C3673</f>
        <v>45922</v>
      </c>
      <c r="D3674" s="71" t="s">
        <v>23</v>
      </c>
      <c r="E3674" s="71" t="s">
        <v>120</v>
      </c>
      <c r="F3674" s="70" t="s">
        <v>23</v>
      </c>
      <c r="G3674" s="71" t="s">
        <v>258</v>
      </c>
      <c r="J3674" s="71" t="s">
        <v>2193</v>
      </c>
      <c r="L3674" s="433">
        <v>50</v>
      </c>
      <c r="M3674" s="136">
        <f t="shared" si="99"/>
        <v>-14893.492296666365</v>
      </c>
    </row>
    <row r="3675" spans="1:13">
      <c r="A3675" s="54" t="str">
        <f>D3675&amp;E3675&amp;F3675</f>
        <v>MKTVIATICOSMKT</v>
      </c>
      <c r="B3675" t="s">
        <v>2028</v>
      </c>
      <c r="C3675" s="1">
        <f>C3674</f>
        <v>45922</v>
      </c>
      <c r="D3675" s="71" t="s">
        <v>19</v>
      </c>
      <c r="E3675" s="71" t="s">
        <v>191</v>
      </c>
      <c r="F3675" s="70" t="s">
        <v>19</v>
      </c>
      <c r="G3675" s="71" t="s">
        <v>258</v>
      </c>
      <c r="J3675" s="71" t="s">
        <v>2194</v>
      </c>
      <c r="L3675" s="433">
        <v>500</v>
      </c>
      <c r="M3675" s="136">
        <f t="shared" si="99"/>
        <v>-15393.492296666365</v>
      </c>
    </row>
    <row r="3676" spans="1:13">
      <c r="A3676" s="54" t="str">
        <f>D3676&amp;E3676&amp;F3676</f>
        <v>FINANZASFONDO Y REPOSICIONFINANZAS</v>
      </c>
      <c r="B3676" t="s">
        <v>2028</v>
      </c>
      <c r="C3676" s="1">
        <f>C3675</f>
        <v>45922</v>
      </c>
      <c r="D3676" s="71" t="s">
        <v>23</v>
      </c>
      <c r="E3676" s="71" t="s">
        <v>120</v>
      </c>
      <c r="F3676" s="70" t="s">
        <v>23</v>
      </c>
      <c r="J3676" s="71" t="s">
        <v>1113</v>
      </c>
      <c r="L3676" s="433">
        <v>300</v>
      </c>
      <c r="M3676" s="136">
        <f t="shared" si="99"/>
        <v>-15693.492296666365</v>
      </c>
    </row>
    <row r="3677" spans="1:13">
      <c r="A3677" s="54" t="str">
        <f>D3677&amp;E3677&amp;F3677</f>
        <v>DEGDNCGDNC</v>
      </c>
      <c r="B3677" t="s">
        <v>2028</v>
      </c>
      <c r="C3677" s="1">
        <f>C3676</f>
        <v>45922</v>
      </c>
      <c r="D3677" s="242" t="s">
        <v>41</v>
      </c>
      <c r="E3677" s="242" t="s">
        <v>123</v>
      </c>
      <c r="F3677" s="77" t="s">
        <v>123</v>
      </c>
      <c r="G3677" s="242" t="s">
        <v>258</v>
      </c>
      <c r="J3677" s="71" t="s">
        <v>2195</v>
      </c>
      <c r="L3677" s="433">
        <v>5000</v>
      </c>
      <c r="M3677" s="136">
        <f t="shared" si="99"/>
        <v>-20693.492296666365</v>
      </c>
    </row>
    <row r="3678" spans="1:13">
      <c r="A3678" s="54" t="str">
        <f>D3678&amp;E3678&amp;F3678</f>
        <v>MKTVIATICOSMKT</v>
      </c>
      <c r="B3678" t="s">
        <v>2028</v>
      </c>
      <c r="C3678" s="1">
        <f>C3677</f>
        <v>45922</v>
      </c>
      <c r="D3678" s="242" t="s">
        <v>19</v>
      </c>
      <c r="E3678" s="242" t="s">
        <v>191</v>
      </c>
      <c r="F3678" s="77" t="s">
        <v>19</v>
      </c>
      <c r="G3678" s="242"/>
      <c r="J3678" s="71" t="s">
        <v>2061</v>
      </c>
      <c r="L3678" s="433">
        <v>1000</v>
      </c>
      <c r="M3678" s="136">
        <f t="shared" si="99"/>
        <v>-21693.492296666365</v>
      </c>
    </row>
    <row r="3679" spans="1:13">
      <c r="A3679" s="54" t="str">
        <f>D3679&amp;E3679&amp;F3679</f>
        <v>MKTCOMBUSTIBLEMKT</v>
      </c>
      <c r="B3679" t="s">
        <v>2028</v>
      </c>
      <c r="C3679" s="1">
        <f>C3677</f>
        <v>45922</v>
      </c>
      <c r="D3679" s="71" t="s">
        <v>19</v>
      </c>
      <c r="E3679" s="71" t="s">
        <v>32</v>
      </c>
      <c r="F3679" s="70" t="s">
        <v>19</v>
      </c>
      <c r="G3679" s="71" t="s">
        <v>258</v>
      </c>
      <c r="J3679" s="71" t="s">
        <v>2196</v>
      </c>
      <c r="L3679" s="433">
        <v>500</v>
      </c>
      <c r="M3679" s="136">
        <f t="shared" si="99"/>
        <v>-22193.492296666365</v>
      </c>
    </row>
    <row r="3680" spans="1:13">
      <c r="A3680" s="54" t="str">
        <f>D3680&amp;E3680&amp;F3680</f>
        <v>SERVICIOSVIATICOSCEDIS</v>
      </c>
      <c r="B3680" t="s">
        <v>2028</v>
      </c>
      <c r="C3680" s="1">
        <f>C3679</f>
        <v>45922</v>
      </c>
      <c r="D3680" s="71" t="s">
        <v>21</v>
      </c>
      <c r="E3680" s="71" t="s">
        <v>191</v>
      </c>
      <c r="F3680" s="70" t="s">
        <v>28</v>
      </c>
      <c r="J3680" s="71" t="s">
        <v>2154</v>
      </c>
      <c r="L3680" s="433">
        <v>2050</v>
      </c>
      <c r="M3680" s="136">
        <f t="shared" si="99"/>
        <v>-24243.492296666365</v>
      </c>
    </row>
    <row r="3681" spans="1:13">
      <c r="A3681" s="54" t="str">
        <f>D3681&amp;E3681&amp;F3681</f>
        <v>SERVICIOSADQ DE EQ TECNOLOGICOADQ DE EQ TECNOLOGICO</v>
      </c>
      <c r="B3681" t="s">
        <v>2028</v>
      </c>
      <c r="C3681" s="1">
        <f>C3680</f>
        <v>45922</v>
      </c>
      <c r="D3681" s="71" t="s">
        <v>21</v>
      </c>
      <c r="E3681" s="71" t="s">
        <v>22</v>
      </c>
      <c r="F3681" s="70" t="s">
        <v>22</v>
      </c>
      <c r="J3681" s="71" t="s">
        <v>2197</v>
      </c>
      <c r="L3681" s="433">
        <v>700</v>
      </c>
      <c r="M3681" s="136">
        <f t="shared" si="99"/>
        <v>-24943.492296666365</v>
      </c>
    </row>
    <row r="3682" spans="1:13">
      <c r="A3682" s="54" t="str">
        <f>D3682&amp;E3682&amp;F3682</f>
        <v>SERVICIOSINSUMOSCEDIS</v>
      </c>
      <c r="B3682" t="s">
        <v>2028</v>
      </c>
      <c r="C3682" s="1">
        <f>C3681</f>
        <v>45922</v>
      </c>
      <c r="D3682" s="71" t="s">
        <v>21</v>
      </c>
      <c r="E3682" s="71" t="s">
        <v>133</v>
      </c>
      <c r="F3682" s="70" t="s">
        <v>28</v>
      </c>
      <c r="G3682" s="71" t="s">
        <v>258</v>
      </c>
      <c r="J3682" s="71" t="s">
        <v>2198</v>
      </c>
      <c r="L3682" s="433">
        <v>1700</v>
      </c>
      <c r="M3682" s="136">
        <f t="shared" si="99"/>
        <v>-26643.492296666365</v>
      </c>
    </row>
    <row r="3683" spans="1:13">
      <c r="A3683" s="54" t="str">
        <f>D3683&amp;E3683&amp;F3683</f>
        <v>HRINSUMOSHR</v>
      </c>
      <c r="B3683" t="s">
        <v>2028</v>
      </c>
      <c r="C3683" s="1">
        <f>C3682</f>
        <v>45922</v>
      </c>
      <c r="D3683" s="71" t="s">
        <v>29</v>
      </c>
      <c r="E3683" s="71" t="s">
        <v>133</v>
      </c>
      <c r="F3683" s="70" t="s">
        <v>29</v>
      </c>
      <c r="J3683" s="76" t="s">
        <v>2199</v>
      </c>
      <c r="L3683" s="434">
        <v>45</v>
      </c>
      <c r="M3683" s="136">
        <f t="shared" si="99"/>
        <v>-26688.492296666365</v>
      </c>
    </row>
    <row r="3684" spans="1:13">
      <c r="A3684" s="54" t="str">
        <f>D3684&amp;E3684&amp;F3684</f>
        <v>HRUBERHR</v>
      </c>
      <c r="B3684" t="s">
        <v>2028</v>
      </c>
      <c r="C3684" s="1">
        <f>C3683</f>
        <v>45922</v>
      </c>
      <c r="D3684" s="71" t="s">
        <v>29</v>
      </c>
      <c r="E3684" s="71" t="s">
        <v>189</v>
      </c>
      <c r="F3684" s="70" t="s">
        <v>29</v>
      </c>
      <c r="J3684" s="76" t="s">
        <v>249</v>
      </c>
      <c r="L3684" s="522">
        <v>125</v>
      </c>
      <c r="M3684" s="136">
        <f t="shared" si="99"/>
        <v>-26813.492296666365</v>
      </c>
    </row>
    <row r="3685" spans="1:13">
      <c r="A3685" s="54" t="str">
        <f>D3685&amp;E3685&amp;F3685</f>
        <v>CAPINSUMOSCAPRICHOS</v>
      </c>
      <c r="B3685" t="s">
        <v>2028</v>
      </c>
      <c r="C3685" s="1">
        <f>C3684</f>
        <v>45922</v>
      </c>
      <c r="D3685" s="71" t="s">
        <v>31</v>
      </c>
      <c r="E3685" s="71" t="s">
        <v>133</v>
      </c>
      <c r="F3685" s="70" t="s">
        <v>33</v>
      </c>
      <c r="J3685" s="76" t="s">
        <v>2200</v>
      </c>
      <c r="L3685" s="434">
        <v>115</v>
      </c>
      <c r="M3685" s="136">
        <f t="shared" si="99"/>
        <v>-26928.492296666365</v>
      </c>
    </row>
    <row r="3686" spans="1:13">
      <c r="A3686" s="54" t="str">
        <f>D3686&amp;E3686&amp;F3686</f>
        <v>CAPNOMINA SUCURSALE1</v>
      </c>
      <c r="B3686" t="s">
        <v>2028</v>
      </c>
      <c r="C3686" s="1">
        <f>C3685</f>
        <v>45922</v>
      </c>
      <c r="D3686" s="71" t="s">
        <v>31</v>
      </c>
      <c r="E3686" s="71" t="s">
        <v>154</v>
      </c>
      <c r="F3686" s="70" t="s">
        <v>107</v>
      </c>
      <c r="J3686" s="76" t="s">
        <v>2201</v>
      </c>
      <c r="L3686" s="434">
        <v>620</v>
      </c>
      <c r="M3686" s="136">
        <f t="shared" si="99"/>
        <v>-27548.492296666365</v>
      </c>
    </row>
    <row r="3687" spans="1:13">
      <c r="A3687" s="54" t="str">
        <f>D3687&amp;E3687&amp;F3687</f>
        <v>CAPUBERCAP</v>
      </c>
      <c r="B3687" t="s">
        <v>2028</v>
      </c>
      <c r="C3687" s="1">
        <f>C3686</f>
        <v>45922</v>
      </c>
      <c r="D3687" s="71" t="s">
        <v>31</v>
      </c>
      <c r="E3687" s="71" t="s">
        <v>189</v>
      </c>
      <c r="F3687" s="70" t="s">
        <v>31</v>
      </c>
      <c r="J3687" s="76" t="s">
        <v>445</v>
      </c>
      <c r="L3687" s="522">
        <v>590</v>
      </c>
      <c r="M3687" s="136">
        <f t="shared" si="99"/>
        <v>-28138.492296666365</v>
      </c>
    </row>
    <row r="3688" spans="1:13">
      <c r="A3688" s="54" t="str">
        <f>D3688&amp;E3688&amp;F3688</f>
        <v>CAPNOMINA SUCURSALE3</v>
      </c>
      <c r="B3688" t="s">
        <v>2028</v>
      </c>
      <c r="C3688" s="1">
        <f>C3687</f>
        <v>45922</v>
      </c>
      <c r="D3688" s="71" t="s">
        <v>31</v>
      </c>
      <c r="E3688" s="71" t="s">
        <v>154</v>
      </c>
      <c r="F3688" s="70" t="s">
        <v>109</v>
      </c>
      <c r="J3688" s="76" t="s">
        <v>2202</v>
      </c>
      <c r="L3688" s="434">
        <v>372</v>
      </c>
      <c r="M3688" s="136">
        <f t="shared" si="99"/>
        <v>-28510.492296666365</v>
      </c>
    </row>
    <row r="3689" spans="1:13">
      <c r="A3689" s="54" t="str">
        <f>D3689&amp;E3689&amp;F3689</f>
        <v>CAPUBERCAP</v>
      </c>
      <c r="B3689" t="s">
        <v>2028</v>
      </c>
      <c r="C3689" s="1">
        <f>C3688</f>
        <v>45922</v>
      </c>
      <c r="D3689" s="71" t="s">
        <v>31</v>
      </c>
      <c r="E3689" s="71" t="s">
        <v>189</v>
      </c>
      <c r="F3689" s="70" t="s">
        <v>31</v>
      </c>
      <c r="J3689" s="76" t="s">
        <v>257</v>
      </c>
      <c r="L3689" s="522">
        <v>230</v>
      </c>
      <c r="M3689" s="136">
        <f t="shared" si="99"/>
        <v>-28740.492296666365</v>
      </c>
    </row>
    <row r="3690" spans="1:13">
      <c r="A3690" s="54" t="str">
        <f>D3690&amp;E3690&amp;F3690</f>
        <v>FINANZASRECOLECCION DE BASURACAPRICHOS</v>
      </c>
      <c r="B3690" t="s">
        <v>2028</v>
      </c>
      <c r="C3690" s="1">
        <f>C3689</f>
        <v>45922</v>
      </c>
      <c r="D3690" s="71" t="s">
        <v>23</v>
      </c>
      <c r="E3690" s="71" t="s">
        <v>166</v>
      </c>
      <c r="F3690" s="70" t="s">
        <v>33</v>
      </c>
      <c r="J3690" s="76" t="s">
        <v>759</v>
      </c>
      <c r="L3690" s="434">
        <v>306</v>
      </c>
      <c r="M3690" s="136">
        <f t="shared" si="99"/>
        <v>-29046.492296666365</v>
      </c>
    </row>
    <row r="3691" spans="1:13">
      <c r="A3691" s="54" t="str">
        <f>D3691&amp;E3691&amp;F3691</f>
        <v>CAPJMASE6</v>
      </c>
      <c r="B3691" t="s">
        <v>2028</v>
      </c>
      <c r="C3691" s="1">
        <f>C3690</f>
        <v>45922</v>
      </c>
      <c r="D3691" s="71" t="s">
        <v>31</v>
      </c>
      <c r="E3691" s="71" t="s">
        <v>137</v>
      </c>
      <c r="F3691" s="70" t="s">
        <v>112</v>
      </c>
      <c r="J3691" s="76" t="s">
        <v>315</v>
      </c>
      <c r="L3691" s="434">
        <v>257</v>
      </c>
      <c r="M3691" s="136">
        <f t="shared" si="99"/>
        <v>-29303.492296666365</v>
      </c>
    </row>
    <row r="3692" spans="1:13">
      <c r="A3692" s="54" t="str">
        <f t="shared" si="100"/>
        <v/>
      </c>
      <c r="B3692" t="s">
        <v>2028</v>
      </c>
      <c r="C3692" s="1">
        <v>45923</v>
      </c>
      <c r="D3692" s="71"/>
      <c r="F3692" s="70"/>
      <c r="J3692" s="71" t="s">
        <v>2045</v>
      </c>
      <c r="K3692" s="325">
        <v>154346.88</v>
      </c>
      <c r="L3692" s="432"/>
      <c r="M3692" s="136">
        <f t="shared" si="99"/>
        <v>125043.38770333363</v>
      </c>
    </row>
    <row r="3693" spans="1:13">
      <c r="A3693" s="54" t="str">
        <f>D3693&amp;E3693&amp;F3693</f>
        <v>FINANZASCOMISIONES BANCARIASTPV</v>
      </c>
      <c r="B3693" t="s">
        <v>2028</v>
      </c>
      <c r="C3693" s="1">
        <f>C3692</f>
        <v>45923</v>
      </c>
      <c r="D3693" s="71" t="s">
        <v>23</v>
      </c>
      <c r="E3693" s="71" t="s">
        <v>48</v>
      </c>
      <c r="F3693" s="70" t="s">
        <v>50</v>
      </c>
      <c r="J3693" s="71" t="s">
        <v>217</v>
      </c>
      <c r="L3693" s="433">
        <f>5.8+991.21+105.94+1230.92+781+513.89+3.48+6.96+20.88</f>
        <v>3660.08</v>
      </c>
      <c r="M3693" s="136">
        <f t="shared" si="99"/>
        <v>121383.30770333363</v>
      </c>
    </row>
    <row r="3694" spans="1:13">
      <c r="A3694" s="54" t="str">
        <f t="shared" si="100"/>
        <v/>
      </c>
      <c r="B3694" t="s">
        <v>2028</v>
      </c>
      <c r="C3694" s="1">
        <f>C3693</f>
        <v>45923</v>
      </c>
      <c r="D3694" s="71"/>
      <c r="F3694" s="70"/>
      <c r="J3694" s="205" t="s">
        <v>1562</v>
      </c>
      <c r="K3694" s="205"/>
      <c r="L3694" s="428">
        <v>150000</v>
      </c>
      <c r="M3694" s="136">
        <f t="shared" si="99"/>
        <v>-28616.69229666637</v>
      </c>
    </row>
    <row r="3695" spans="1:13">
      <c r="A3695" s="54" t="str">
        <f t="shared" si="100"/>
        <v/>
      </c>
      <c r="B3695" t="s">
        <v>2028</v>
      </c>
      <c r="C3695" s="1">
        <f>C3694</f>
        <v>45923</v>
      </c>
      <c r="D3695" s="71"/>
      <c r="F3695" s="70"/>
      <c r="J3695" s="205" t="s">
        <v>222</v>
      </c>
      <c r="K3695" s="205"/>
      <c r="L3695" s="428"/>
      <c r="M3695" s="136">
        <f t="shared" si="99"/>
        <v>-28616.69229666637</v>
      </c>
    </row>
    <row r="3696" spans="1:13">
      <c r="A3696" s="54" t="str">
        <f>D3696&amp;E3696&amp;F3696</f>
        <v>SERVICIOSFONDO Y REPOSICIONMANTENIMIENTO</v>
      </c>
      <c r="B3696" t="s">
        <v>2028</v>
      </c>
      <c r="C3696" s="1">
        <f>C3695</f>
        <v>45923</v>
      </c>
      <c r="D3696" s="71" t="s">
        <v>21</v>
      </c>
      <c r="E3696" s="71" t="s">
        <v>120</v>
      </c>
      <c r="F3696" s="70" t="s">
        <v>35</v>
      </c>
      <c r="J3696" s="71" t="s">
        <v>2203</v>
      </c>
      <c r="L3696" s="433">
        <v>5000</v>
      </c>
      <c r="M3696" s="136">
        <f t="shared" si="99"/>
        <v>-33616.69229666637</v>
      </c>
    </row>
    <row r="3697" spans="1:13">
      <c r="A3697" s="54" t="str">
        <f>D3697&amp;E3697&amp;F3697</f>
        <v>HRTELEPEAJEOP HR</v>
      </c>
      <c r="B3697" t="s">
        <v>2028</v>
      </c>
      <c r="C3697" s="1">
        <f>C3696</f>
        <v>45923</v>
      </c>
      <c r="D3697" s="71" t="s">
        <v>29</v>
      </c>
      <c r="E3697" s="71" t="s">
        <v>186</v>
      </c>
      <c r="F3697" s="143" t="s">
        <v>187</v>
      </c>
      <c r="J3697" s="71" t="s">
        <v>2204</v>
      </c>
      <c r="L3697" s="433">
        <v>588</v>
      </c>
      <c r="M3697" s="136">
        <f t="shared" si="99"/>
        <v>-34204.69229666637</v>
      </c>
    </row>
    <row r="3698" spans="1:13">
      <c r="A3698" s="54" t="str">
        <f>D3698&amp;E3698&amp;F3698</f>
        <v>HRTELEPEAJEOP HR</v>
      </c>
      <c r="B3698" t="s">
        <v>2028</v>
      </c>
      <c r="C3698" s="1">
        <f>C3697</f>
        <v>45923</v>
      </c>
      <c r="D3698" s="71" t="s">
        <v>29</v>
      </c>
      <c r="E3698" s="71" t="s">
        <v>186</v>
      </c>
      <c r="F3698" s="143" t="s">
        <v>187</v>
      </c>
      <c r="J3698" s="71" t="s">
        <v>1141</v>
      </c>
      <c r="L3698" s="433">
        <v>370</v>
      </c>
      <c r="M3698" s="136">
        <f t="shared" si="99"/>
        <v>-34574.69229666637</v>
      </c>
    </row>
    <row r="3699" spans="1:13">
      <c r="A3699" s="54" t="str">
        <f>D3699&amp;E3699&amp;F3699</f>
        <v>SERVICIOSTELEPEAJECEDIS</v>
      </c>
      <c r="B3699" t="s">
        <v>2028</v>
      </c>
      <c r="C3699" s="1">
        <f>C3698</f>
        <v>45923</v>
      </c>
      <c r="D3699" s="71" t="s">
        <v>21</v>
      </c>
      <c r="E3699" s="71" t="s">
        <v>186</v>
      </c>
      <c r="F3699" s="70" t="s">
        <v>28</v>
      </c>
      <c r="G3699" s="71" t="s">
        <v>258</v>
      </c>
      <c r="J3699" s="71" t="s">
        <v>1142</v>
      </c>
      <c r="L3699" s="433">
        <v>3220</v>
      </c>
      <c r="M3699" s="136">
        <f t="shared" si="99"/>
        <v>-37794.69229666637</v>
      </c>
    </row>
    <row r="3700" spans="1:13">
      <c r="A3700" s="54" t="str">
        <f>D3700&amp;E3700&amp;F3700</f>
        <v>HRTELEPEAJEOP HR</v>
      </c>
      <c r="B3700" t="s">
        <v>2028</v>
      </c>
      <c r="C3700" s="1">
        <f>C3699</f>
        <v>45923</v>
      </c>
      <c r="D3700" s="71" t="s">
        <v>29</v>
      </c>
      <c r="E3700" s="71" t="s">
        <v>186</v>
      </c>
      <c r="F3700" s="143" t="s">
        <v>187</v>
      </c>
      <c r="J3700" s="71" t="s">
        <v>2205</v>
      </c>
      <c r="L3700" s="433">
        <v>596</v>
      </c>
      <c r="M3700" s="136">
        <f t="shared" si="99"/>
        <v>-38390.69229666637</v>
      </c>
    </row>
    <row r="3701" spans="1:13">
      <c r="A3701" s="54" t="str">
        <f>D3701&amp;E3701&amp;F3701</f>
        <v>CAPTELEPEAJEOP CAPRICHOS</v>
      </c>
      <c r="B3701" t="s">
        <v>2028</v>
      </c>
      <c r="C3701" s="1">
        <f>C3700</f>
        <v>45923</v>
      </c>
      <c r="D3701" s="71" t="s">
        <v>31</v>
      </c>
      <c r="E3701" s="71" t="s">
        <v>186</v>
      </c>
      <c r="F3701" s="70" t="s">
        <v>188</v>
      </c>
      <c r="J3701" s="71" t="s">
        <v>1554</v>
      </c>
      <c r="L3701" s="433">
        <v>952</v>
      </c>
      <c r="M3701" s="136">
        <f t="shared" si="99"/>
        <v>-39342.69229666637</v>
      </c>
    </row>
    <row r="3702" spans="1:13">
      <c r="A3702" s="54" t="str">
        <f>D3702&amp;E3702&amp;F3702</f>
        <v>SERVICIOSTELEPEAJECEDIS</v>
      </c>
      <c r="B3702" t="s">
        <v>2028</v>
      </c>
      <c r="C3702" s="1">
        <f>C3701</f>
        <v>45923</v>
      </c>
      <c r="D3702" s="71" t="s">
        <v>21</v>
      </c>
      <c r="E3702" s="71" t="s">
        <v>186</v>
      </c>
      <c r="F3702" s="70" t="s">
        <v>28</v>
      </c>
      <c r="G3702" s="71" t="s">
        <v>258</v>
      </c>
      <c r="J3702" s="71" t="s">
        <v>1142</v>
      </c>
      <c r="L3702" s="433">
        <v>658</v>
      </c>
      <c r="M3702" s="136">
        <f t="shared" si="99"/>
        <v>-40000.69229666637</v>
      </c>
    </row>
    <row r="3703" spans="1:13">
      <c r="A3703" s="54" t="str">
        <f>D3703&amp;E3703&amp;F3703</f>
        <v>HRIMAGEN VISUALIMAGEN VISUAL HR</v>
      </c>
      <c r="B3703" t="s">
        <v>2028</v>
      </c>
      <c r="C3703" s="1">
        <f>C3702</f>
        <v>45923</v>
      </c>
      <c r="D3703" s="71" t="s">
        <v>29</v>
      </c>
      <c r="E3703" s="71" t="s">
        <v>127</v>
      </c>
      <c r="F3703" s="70" t="s">
        <v>128</v>
      </c>
      <c r="J3703" s="71" t="s">
        <v>2206</v>
      </c>
      <c r="L3703" s="433">
        <v>925.68</v>
      </c>
      <c r="M3703" s="136">
        <f t="shared" si="99"/>
        <v>-40926.37229666637</v>
      </c>
    </row>
    <row r="3704" spans="1:13">
      <c r="A3704" s="54" t="str">
        <f>D3704&amp;E3704&amp;F3704</f>
        <v>MKTINSUMOSINSUMOS</v>
      </c>
      <c r="B3704" t="s">
        <v>2028</v>
      </c>
      <c r="C3704" s="1">
        <f>C3703</f>
        <v>45923</v>
      </c>
      <c r="D3704" s="71" t="s">
        <v>19</v>
      </c>
      <c r="E3704" s="71" t="s">
        <v>133</v>
      </c>
      <c r="F3704" s="70" t="s">
        <v>133</v>
      </c>
      <c r="J3704" s="71" t="s">
        <v>2207</v>
      </c>
      <c r="L3704" s="433">
        <v>1300</v>
      </c>
      <c r="M3704" s="136">
        <f t="shared" si="99"/>
        <v>-42226.37229666637</v>
      </c>
    </row>
    <row r="3705" spans="1:13">
      <c r="A3705" s="54" t="str">
        <f>D3705&amp;E3705&amp;F3705</f>
        <v>SERVICIOSMTTO DE EDIFICIOMANTENIMIENTO</v>
      </c>
      <c r="B3705" t="s">
        <v>2028</v>
      </c>
      <c r="C3705" s="1">
        <f>C3704</f>
        <v>45923</v>
      </c>
      <c r="D3705" s="71" t="s">
        <v>21</v>
      </c>
      <c r="E3705" s="71" t="s">
        <v>142</v>
      </c>
      <c r="F3705" s="70" t="s">
        <v>35</v>
      </c>
      <c r="G3705" s="71" t="s">
        <v>258</v>
      </c>
      <c r="J3705" s="71" t="s">
        <v>2208</v>
      </c>
      <c r="L3705" s="433">
        <v>1500</v>
      </c>
      <c r="M3705" s="136">
        <f t="shared" si="99"/>
        <v>-43726.37229666637</v>
      </c>
    </row>
    <row r="3706" spans="1:13">
      <c r="A3706" s="54" t="str">
        <f>D3706&amp;E3706&amp;F3706</f>
        <v>HRFONDO Y REPOSICIONHR</v>
      </c>
      <c r="B3706" t="s">
        <v>2028</v>
      </c>
      <c r="C3706" s="1">
        <f>C3705</f>
        <v>45923</v>
      </c>
      <c r="D3706" s="71" t="s">
        <v>29</v>
      </c>
      <c r="E3706" s="71" t="s">
        <v>120</v>
      </c>
      <c r="F3706" s="70" t="s">
        <v>29</v>
      </c>
      <c r="J3706" s="71" t="s">
        <v>2209</v>
      </c>
      <c r="L3706" s="433">
        <v>2783</v>
      </c>
      <c r="M3706" s="136">
        <f>M3705+K3706-L3706</f>
        <v>-46509.37229666637</v>
      </c>
    </row>
    <row r="3707" spans="1:13">
      <c r="A3707" s="54" t="str">
        <f>D3707&amp;E3707&amp;F3707</f>
        <v>HRFONDO Y REPOSICIONHR</v>
      </c>
      <c r="B3707" t="s">
        <v>2028</v>
      </c>
      <c r="C3707" s="1">
        <f>C3706</f>
        <v>45923</v>
      </c>
      <c r="D3707" s="71" t="s">
        <v>29</v>
      </c>
      <c r="E3707" s="71" t="s">
        <v>120</v>
      </c>
      <c r="F3707" s="70" t="s">
        <v>29</v>
      </c>
      <c r="J3707" s="71" t="s">
        <v>2210</v>
      </c>
      <c r="L3707" s="433">
        <v>3000</v>
      </c>
      <c r="M3707" s="136">
        <f t="shared" ref="M3707:M3713" si="101">M3706+K3707-L3707</f>
        <v>-49509.37229666637</v>
      </c>
    </row>
    <row r="3708" spans="1:13">
      <c r="A3708" s="54" t="str">
        <f>D3708&amp;E3708&amp;F3708</f>
        <v>HRFONDO Y REPOSICIONHR</v>
      </c>
      <c r="B3708" t="s">
        <v>2028</v>
      </c>
      <c r="C3708" s="1">
        <f>C3707</f>
        <v>45923</v>
      </c>
      <c r="D3708" s="71" t="s">
        <v>29</v>
      </c>
      <c r="E3708" s="71" t="s">
        <v>120</v>
      </c>
      <c r="F3708" s="70" t="s">
        <v>29</v>
      </c>
      <c r="J3708" s="71" t="s">
        <v>779</v>
      </c>
      <c r="L3708" s="433">
        <v>1673</v>
      </c>
      <c r="M3708" s="136">
        <f t="shared" si="101"/>
        <v>-51182.37229666637</v>
      </c>
    </row>
    <row r="3709" spans="1:13">
      <c r="A3709" s="54" t="str">
        <f>D3709&amp;E3709&amp;F3709</f>
        <v>HRFONDO Y REPOSICIONHR</v>
      </c>
      <c r="B3709" t="s">
        <v>2028</v>
      </c>
      <c r="C3709" s="1">
        <f>C3708</f>
        <v>45923</v>
      </c>
      <c r="D3709" s="71" t="s">
        <v>29</v>
      </c>
      <c r="E3709" s="71" t="s">
        <v>120</v>
      </c>
      <c r="F3709" s="70" t="s">
        <v>29</v>
      </c>
      <c r="J3709" s="71" t="s">
        <v>2211</v>
      </c>
      <c r="L3709" s="433">
        <v>1611</v>
      </c>
      <c r="M3709" s="136">
        <f t="shared" si="101"/>
        <v>-52793.37229666637</v>
      </c>
    </row>
    <row r="3710" spans="1:13">
      <c r="A3710" s="54" t="str">
        <f>D3710&amp;E3710&amp;F3710</f>
        <v>CAPVIATICOSCAPRICHOS</v>
      </c>
      <c r="B3710" t="s">
        <v>2028</v>
      </c>
      <c r="C3710" s="1">
        <f>C3709</f>
        <v>45923</v>
      </c>
      <c r="D3710" s="71" t="s">
        <v>31</v>
      </c>
      <c r="E3710" s="71" t="s">
        <v>191</v>
      </c>
      <c r="F3710" s="70" t="s">
        <v>33</v>
      </c>
      <c r="J3710" s="71" t="s">
        <v>2212</v>
      </c>
      <c r="L3710" s="433">
        <v>2000</v>
      </c>
      <c r="M3710" s="136">
        <f t="shared" si="101"/>
        <v>-54793.37229666637</v>
      </c>
    </row>
    <row r="3711" spans="1:13">
      <c r="A3711" s="54" t="str">
        <f>D3711&amp;E3711&amp;F3711</f>
        <v>HRVIATICOSHR</v>
      </c>
      <c r="B3711" t="s">
        <v>2028</v>
      </c>
      <c r="C3711" s="1">
        <f>C3709</f>
        <v>45923</v>
      </c>
      <c r="D3711" s="71" t="s">
        <v>29</v>
      </c>
      <c r="E3711" s="71" t="s">
        <v>191</v>
      </c>
      <c r="F3711" s="70" t="s">
        <v>29</v>
      </c>
      <c r="J3711" s="71" t="s">
        <v>2213</v>
      </c>
      <c r="L3711" s="433">
        <v>5800</v>
      </c>
      <c r="M3711" s="136">
        <f t="shared" si="101"/>
        <v>-60593.37229666637</v>
      </c>
    </row>
    <row r="3712" spans="1:13">
      <c r="A3712" s="54" t="str">
        <f>D3712&amp;E3712&amp;F3712</f>
        <v>SERVICIOSINSUMOSSISTEMAS</v>
      </c>
      <c r="B3712" t="s">
        <v>2028</v>
      </c>
      <c r="C3712" s="1">
        <f>C3711</f>
        <v>45923</v>
      </c>
      <c r="D3712" s="71" t="s">
        <v>21</v>
      </c>
      <c r="E3712" s="71" t="s">
        <v>133</v>
      </c>
      <c r="F3712" s="70" t="s">
        <v>36</v>
      </c>
      <c r="G3712" s="83" t="s">
        <v>258</v>
      </c>
      <c r="J3712" s="71" t="s">
        <v>2214</v>
      </c>
      <c r="L3712" s="433">
        <v>1728.4</v>
      </c>
      <c r="M3712" s="136">
        <f t="shared" si="101"/>
        <v>-62321.772296666371</v>
      </c>
    </row>
    <row r="3713" spans="1:13">
      <c r="A3713" s="54" t="str">
        <f>D3713&amp;E3713&amp;F3713</f>
        <v>SERVICIOSVIATICOSSISTEMAS</v>
      </c>
      <c r="B3713" t="s">
        <v>2028</v>
      </c>
      <c r="C3713" s="1">
        <f>C3712</f>
        <v>45923</v>
      </c>
      <c r="D3713" s="71" t="s">
        <v>21</v>
      </c>
      <c r="E3713" s="71" t="s">
        <v>191</v>
      </c>
      <c r="F3713" s="70" t="s">
        <v>36</v>
      </c>
      <c r="G3713" s="83" t="s">
        <v>258</v>
      </c>
      <c r="J3713" s="71" t="s">
        <v>2215</v>
      </c>
      <c r="L3713" s="433">
        <v>400</v>
      </c>
      <c r="M3713" s="136">
        <f t="shared" si="101"/>
        <v>-62721.772296666371</v>
      </c>
    </row>
    <row r="3714" spans="1:13">
      <c r="A3714" s="54" t="str">
        <f>D3714&amp;E3714&amp;F3714</f>
        <v>HRUBERHR</v>
      </c>
      <c r="B3714" t="s">
        <v>2028</v>
      </c>
      <c r="C3714" s="1">
        <f>C3713</f>
        <v>45923</v>
      </c>
      <c r="D3714" s="71" t="s">
        <v>29</v>
      </c>
      <c r="E3714" s="71" t="s">
        <v>189</v>
      </c>
      <c r="F3714" s="70" t="s">
        <v>29</v>
      </c>
      <c r="J3714" s="76" t="s">
        <v>403</v>
      </c>
      <c r="L3714" s="522">
        <v>70</v>
      </c>
      <c r="M3714" s="136">
        <f t="shared" ref="M3714:M3755" si="102">M3713+K3714-L3714</f>
        <v>-62791.772296666371</v>
      </c>
    </row>
    <row r="3715" spans="1:13">
      <c r="A3715" s="54" t="str">
        <f>D3715&amp;E3715&amp;F3715</f>
        <v>HRJMASA6</v>
      </c>
      <c r="B3715" t="s">
        <v>2028</v>
      </c>
      <c r="C3715" s="1">
        <f>C3714</f>
        <v>45923</v>
      </c>
      <c r="D3715" s="71" t="s">
        <v>29</v>
      </c>
      <c r="E3715" s="71" t="s">
        <v>137</v>
      </c>
      <c r="F3715" s="70" t="s">
        <v>93</v>
      </c>
      <c r="J3715" s="76" t="s">
        <v>443</v>
      </c>
      <c r="L3715" s="434">
        <v>792</v>
      </c>
      <c r="M3715" s="136">
        <f t="shared" si="102"/>
        <v>-63583.772296666371</v>
      </c>
    </row>
    <row r="3716" spans="1:13">
      <c r="A3716" s="54" t="str">
        <f>D3716&amp;E3716&amp;F3716</f>
        <v>HRUBERHR</v>
      </c>
      <c r="B3716" t="s">
        <v>2028</v>
      </c>
      <c r="C3716" s="1">
        <f>C3715</f>
        <v>45923</v>
      </c>
      <c r="D3716" s="71" t="s">
        <v>29</v>
      </c>
      <c r="E3716" s="71" t="s">
        <v>189</v>
      </c>
      <c r="F3716" s="70" t="s">
        <v>29</v>
      </c>
      <c r="J3716" s="76" t="s">
        <v>249</v>
      </c>
      <c r="L3716" s="522">
        <v>100</v>
      </c>
      <c r="M3716" s="136">
        <f t="shared" si="102"/>
        <v>-63683.772296666371</v>
      </c>
    </row>
    <row r="3717" spans="1:13">
      <c r="A3717" s="54" t="str">
        <f>D3717&amp;E3717&amp;F3717</f>
        <v>CAPUBERCAP</v>
      </c>
      <c r="B3717" t="s">
        <v>2028</v>
      </c>
      <c r="C3717" s="1">
        <f>C3716</f>
        <v>45923</v>
      </c>
      <c r="D3717" s="71" t="s">
        <v>31</v>
      </c>
      <c r="E3717" s="71" t="s">
        <v>189</v>
      </c>
      <c r="F3717" s="70" t="s">
        <v>31</v>
      </c>
      <c r="J3717" s="76" t="s">
        <v>253</v>
      </c>
      <c r="L3717" s="522">
        <v>463</v>
      </c>
      <c r="M3717" s="136">
        <f t="shared" si="102"/>
        <v>-64146.772296666371</v>
      </c>
    </row>
    <row r="3718" spans="1:13">
      <c r="A3718" s="54" t="str">
        <f>D3718&amp;E3718&amp;F3718</f>
        <v>CAPNOMINA SUCURSALE5</v>
      </c>
      <c r="B3718" t="s">
        <v>2028</v>
      </c>
      <c r="C3718" s="1">
        <f>C3717</f>
        <v>45923</v>
      </c>
      <c r="D3718" s="71" t="s">
        <v>31</v>
      </c>
      <c r="E3718" s="71" t="s">
        <v>154</v>
      </c>
      <c r="F3718" s="70" t="s">
        <v>111</v>
      </c>
      <c r="J3718" s="76" t="s">
        <v>314</v>
      </c>
      <c r="L3718" s="434">
        <v>548</v>
      </c>
      <c r="M3718" s="136">
        <f t="shared" si="102"/>
        <v>-64694.772296666371</v>
      </c>
    </row>
    <row r="3719" spans="1:13">
      <c r="A3719" s="54" t="str">
        <f t="shared" si="100"/>
        <v/>
      </c>
      <c r="B3719" t="s">
        <v>2028</v>
      </c>
      <c r="C3719" s="1">
        <v>45924</v>
      </c>
      <c r="D3719" s="71"/>
      <c r="F3719" s="70"/>
      <c r="J3719" s="71" t="s">
        <v>2045</v>
      </c>
      <c r="K3719" s="325">
        <v>152854.79</v>
      </c>
      <c r="L3719" s="432"/>
      <c r="M3719" s="136">
        <f t="shared" si="102"/>
        <v>88160.017703333637</v>
      </c>
    </row>
    <row r="3720" spans="1:13">
      <c r="A3720" s="54" t="str">
        <f>D3720&amp;E3720&amp;F3720</f>
        <v>FINANZASCOMISIONES BANCARIASTPV</v>
      </c>
      <c r="B3720" t="s">
        <v>2028</v>
      </c>
      <c r="C3720" s="1">
        <f>C3719</f>
        <v>45924</v>
      </c>
      <c r="D3720" s="71" t="s">
        <v>23</v>
      </c>
      <c r="E3720" s="71" t="s">
        <v>48</v>
      </c>
      <c r="F3720" s="70" t="s">
        <v>50</v>
      </c>
      <c r="J3720" s="71" t="s">
        <v>217</v>
      </c>
      <c r="L3720" s="433">
        <f>143.93+165.48+1197.33+894.05+650.22+13.48</f>
        <v>3064.4900000000002</v>
      </c>
      <c r="M3720" s="136">
        <f t="shared" si="102"/>
        <v>85095.527703333632</v>
      </c>
    </row>
    <row r="3721" spans="1:13">
      <c r="A3721" s="54" t="str">
        <f t="shared" si="100"/>
        <v/>
      </c>
      <c r="B3721" t="s">
        <v>2028</v>
      </c>
      <c r="C3721" s="1">
        <f>C3720</f>
        <v>45924</v>
      </c>
      <c r="D3721" s="71"/>
      <c r="F3721" s="70"/>
      <c r="J3721" s="205" t="s">
        <v>1562</v>
      </c>
      <c r="K3721" s="205"/>
      <c r="L3721" s="428">
        <v>120000</v>
      </c>
      <c r="M3721" s="136">
        <f t="shared" si="102"/>
        <v>-34904.472296666368</v>
      </c>
    </row>
    <row r="3722" spans="1:13">
      <c r="A3722" s="54" t="str">
        <f t="shared" si="100"/>
        <v/>
      </c>
      <c r="B3722" t="s">
        <v>2028</v>
      </c>
      <c r="C3722" s="1">
        <f>C3721</f>
        <v>45924</v>
      </c>
      <c r="D3722" s="71"/>
      <c r="F3722" s="70"/>
      <c r="J3722" s="205" t="s">
        <v>222</v>
      </c>
      <c r="K3722" s="205"/>
      <c r="L3722" s="428"/>
      <c r="M3722" s="136">
        <f t="shared" si="102"/>
        <v>-34904.472296666368</v>
      </c>
    </row>
    <row r="3723" spans="1:13">
      <c r="A3723" s="54" t="str">
        <f>D3723&amp;E3723&amp;F3723</f>
        <v>SERVICIOSFONDO Y REPOSICIONSERVICIOS</v>
      </c>
      <c r="B3723" t="s">
        <v>2028</v>
      </c>
      <c r="C3723" s="1">
        <f>C3722</f>
        <v>45924</v>
      </c>
      <c r="D3723" s="71" t="s">
        <v>21</v>
      </c>
      <c r="E3723" s="71" t="s">
        <v>120</v>
      </c>
      <c r="F3723" s="70" t="s">
        <v>21</v>
      </c>
      <c r="J3723" s="71" t="s">
        <v>710</v>
      </c>
      <c r="L3723" s="433">
        <v>2000</v>
      </c>
      <c r="M3723" s="136">
        <f t="shared" si="102"/>
        <v>-36904.472296666368</v>
      </c>
    </row>
    <row r="3724" spans="1:13">
      <c r="A3724" s="54" t="str">
        <f>D3724&amp;E3724&amp;F3724</f>
        <v>SERVICIOSMTTO MOBILIARIOREPARACION</v>
      </c>
      <c r="B3724" t="s">
        <v>2028</v>
      </c>
      <c r="C3724" s="1">
        <f>C3723</f>
        <v>45924</v>
      </c>
      <c r="D3724" s="71" t="s">
        <v>21</v>
      </c>
      <c r="E3724" s="71" t="s">
        <v>145</v>
      </c>
      <c r="F3724" s="70" t="s">
        <v>146</v>
      </c>
      <c r="J3724" s="71" t="s">
        <v>2216</v>
      </c>
      <c r="L3724" s="433">
        <v>5400</v>
      </c>
      <c r="M3724" s="136">
        <f t="shared" si="102"/>
        <v>-42304.472296666368</v>
      </c>
    </row>
    <row r="3725" spans="1:13">
      <c r="A3725" s="54" t="str">
        <f>D3725&amp;E3725&amp;F3725</f>
        <v>MELFONDO Y REPOSICIONMELISSA</v>
      </c>
      <c r="B3725" t="s">
        <v>2028</v>
      </c>
      <c r="C3725" s="1">
        <f>C3724</f>
        <v>45924</v>
      </c>
      <c r="D3725" s="71" t="s">
        <v>43</v>
      </c>
      <c r="E3725" s="71" t="s">
        <v>120</v>
      </c>
      <c r="F3725" s="70" t="s">
        <v>44</v>
      </c>
      <c r="G3725" s="71" t="s">
        <v>258</v>
      </c>
      <c r="J3725" s="71" t="s">
        <v>2217</v>
      </c>
      <c r="L3725" s="433">
        <v>600</v>
      </c>
      <c r="M3725" s="136">
        <f t="shared" si="102"/>
        <v>-42904.472296666368</v>
      </c>
    </row>
    <row r="3726" spans="1:13">
      <c r="A3726" s="54" t="str">
        <f>D3726&amp;E3726&amp;F3726</f>
        <v>CAPVIATICOSCAPRICHOS</v>
      </c>
      <c r="B3726" t="s">
        <v>2028</v>
      </c>
      <c r="C3726" s="1">
        <f>C3725</f>
        <v>45924</v>
      </c>
      <c r="D3726" s="71" t="s">
        <v>31</v>
      </c>
      <c r="E3726" s="71" t="s">
        <v>191</v>
      </c>
      <c r="F3726" s="70" t="s">
        <v>33</v>
      </c>
      <c r="G3726" s="71" t="s">
        <v>258</v>
      </c>
      <c r="J3726" s="71" t="s">
        <v>2218</v>
      </c>
      <c r="L3726" s="433">
        <v>11500</v>
      </c>
      <c r="M3726" s="136">
        <f t="shared" si="102"/>
        <v>-54404.472296666368</v>
      </c>
    </row>
    <row r="3727" spans="1:13">
      <c r="A3727" s="54" t="str">
        <f>D3727&amp;E3727&amp;F3727</f>
        <v>MKTVIATICOSMKT</v>
      </c>
      <c r="B3727" t="s">
        <v>2028</v>
      </c>
      <c r="C3727" s="1">
        <f>C3726</f>
        <v>45924</v>
      </c>
      <c r="D3727" s="71" t="s">
        <v>19</v>
      </c>
      <c r="E3727" s="71" t="s">
        <v>191</v>
      </c>
      <c r="F3727" s="70" t="s">
        <v>19</v>
      </c>
      <c r="G3727" s="71" t="s">
        <v>258</v>
      </c>
      <c r="J3727" s="71" t="s">
        <v>2219</v>
      </c>
      <c r="L3727" s="433">
        <v>250</v>
      </c>
      <c r="M3727" s="136">
        <f t="shared" si="102"/>
        <v>-54654.472296666368</v>
      </c>
    </row>
    <row r="3728" spans="1:13">
      <c r="A3728" s="54" t="str">
        <f>D3728&amp;E3728&amp;F3728</f>
        <v>HRJMASA16</v>
      </c>
      <c r="B3728" t="s">
        <v>2028</v>
      </c>
      <c r="C3728" s="1">
        <f>C3727</f>
        <v>45924</v>
      </c>
      <c r="D3728" s="71" t="s">
        <v>29</v>
      </c>
      <c r="E3728" s="71" t="s">
        <v>137</v>
      </c>
      <c r="F3728" s="70" t="s">
        <v>101</v>
      </c>
      <c r="J3728" s="71" t="s">
        <v>495</v>
      </c>
      <c r="L3728" s="433">
        <v>903</v>
      </c>
      <c r="M3728" s="136">
        <f>M3727+K3728-L3728</f>
        <v>-55557.472296666368</v>
      </c>
    </row>
    <row r="3729" spans="1:13">
      <c r="A3729" s="54" t="str">
        <f>D3729&amp;E3729&amp;F3729</f>
        <v>HRINSUMOSHR</v>
      </c>
      <c r="B3729" t="s">
        <v>2028</v>
      </c>
      <c r="C3729" s="1">
        <f>C3728</f>
        <v>45924</v>
      </c>
      <c r="D3729" s="71" t="s">
        <v>29</v>
      </c>
      <c r="E3729" s="71" t="s">
        <v>133</v>
      </c>
      <c r="F3729" s="70" t="s">
        <v>29</v>
      </c>
      <c r="J3729" s="71" t="s">
        <v>2220</v>
      </c>
      <c r="L3729" s="433">
        <v>117</v>
      </c>
      <c r="M3729" s="136">
        <f t="shared" si="102"/>
        <v>-55674.472296666368</v>
      </c>
    </row>
    <row r="3730" spans="1:13">
      <c r="A3730" s="54" t="str">
        <f>D3730&amp;E3730&amp;F3730</f>
        <v>CAPUBERCAP</v>
      </c>
      <c r="B3730" t="s">
        <v>2028</v>
      </c>
      <c r="C3730" s="1">
        <f>C3729</f>
        <v>45924</v>
      </c>
      <c r="D3730" s="71" t="s">
        <v>31</v>
      </c>
      <c r="E3730" s="71" t="s">
        <v>189</v>
      </c>
      <c r="F3730" s="70" t="s">
        <v>31</v>
      </c>
      <c r="J3730" s="71" t="s">
        <v>253</v>
      </c>
      <c r="L3730" s="523">
        <v>358</v>
      </c>
      <c r="M3730" s="136">
        <f t="shared" si="102"/>
        <v>-56032.472296666368</v>
      </c>
    </row>
    <row r="3731" spans="1:13">
      <c r="A3731" s="54" t="str">
        <f>D3731&amp;E3731&amp;F3731</f>
        <v>CAPNOMINA SUCURSALE2</v>
      </c>
      <c r="B3731" t="s">
        <v>2028</v>
      </c>
      <c r="C3731" s="1">
        <f>C3730</f>
        <v>45924</v>
      </c>
      <c r="D3731" s="71" t="s">
        <v>31</v>
      </c>
      <c r="E3731" s="71" t="s">
        <v>154</v>
      </c>
      <c r="F3731" s="70" t="s">
        <v>108</v>
      </c>
      <c r="J3731" s="71" t="s">
        <v>1009</v>
      </c>
      <c r="L3731" s="433">
        <v>948</v>
      </c>
      <c r="M3731" s="136">
        <f t="shared" si="102"/>
        <v>-56980.472296666368</v>
      </c>
    </row>
    <row r="3732" spans="1:13">
      <c r="A3732" s="54" t="str">
        <f>D3732&amp;E3732&amp;F3732</f>
        <v>CAPUBERCAP</v>
      </c>
      <c r="B3732" t="s">
        <v>2028</v>
      </c>
      <c r="C3732" s="1">
        <f>C3731</f>
        <v>45924</v>
      </c>
      <c r="D3732" s="71" t="s">
        <v>31</v>
      </c>
      <c r="E3732" s="71" t="s">
        <v>189</v>
      </c>
      <c r="F3732" s="70" t="s">
        <v>31</v>
      </c>
      <c r="J3732" s="71" t="s">
        <v>257</v>
      </c>
      <c r="L3732" s="523">
        <v>39</v>
      </c>
      <c r="M3732" s="136">
        <f t="shared" si="102"/>
        <v>-57019.472296666368</v>
      </c>
    </row>
    <row r="3733" spans="1:13">
      <c r="A3733" s="54" t="str">
        <f t="shared" ref="A3730:A3793" si="103">D3733&amp;E3733&amp;F3733</f>
        <v/>
      </c>
      <c r="B3733" t="s">
        <v>2028</v>
      </c>
      <c r="C3733" s="1">
        <v>45925</v>
      </c>
      <c r="D3733" s="71"/>
      <c r="F3733" s="70"/>
      <c r="J3733" s="71" t="s">
        <v>2045</v>
      </c>
      <c r="K3733" s="325">
        <v>159947.75</v>
      </c>
      <c r="L3733" s="432"/>
      <c r="M3733" s="136">
        <f t="shared" si="102"/>
        <v>102928.27770333363</v>
      </c>
    </row>
    <row r="3734" spans="1:13">
      <c r="A3734" s="54" t="str">
        <f>D3734&amp;E3734&amp;F3734</f>
        <v>FINANZASCOMISIONES BANCARIASTPV</v>
      </c>
      <c r="B3734" t="s">
        <v>2028</v>
      </c>
      <c r="C3734" s="1">
        <f>C3733</f>
        <v>45925</v>
      </c>
      <c r="D3734" s="71" t="s">
        <v>23</v>
      </c>
      <c r="E3734" s="71" t="s">
        <v>48</v>
      </c>
      <c r="F3734" s="70" t="s">
        <v>50</v>
      </c>
      <c r="J3734" s="71" t="s">
        <v>217</v>
      </c>
      <c r="L3734" s="433">
        <f>116.05+324.83+1260.57+842.93+745.87+6.96+3.48+9.8+5.8</f>
        <v>3316.29</v>
      </c>
      <c r="M3734" s="136">
        <f t="shared" si="102"/>
        <v>99611.987703333638</v>
      </c>
    </row>
    <row r="3735" spans="1:13">
      <c r="A3735" s="54" t="str">
        <f t="shared" si="103"/>
        <v/>
      </c>
      <c r="B3735" t="s">
        <v>2028</v>
      </c>
      <c r="C3735" s="1">
        <f>C3734</f>
        <v>45925</v>
      </c>
      <c r="D3735" s="71"/>
      <c r="F3735" s="70"/>
      <c r="J3735" s="205" t="s">
        <v>1562</v>
      </c>
      <c r="K3735" s="205"/>
      <c r="L3735" s="428">
        <v>150000</v>
      </c>
      <c r="M3735" s="136">
        <f t="shared" si="102"/>
        <v>-50388.012296666362</v>
      </c>
    </row>
    <row r="3736" spans="1:13">
      <c r="A3736" s="54" t="str">
        <f>D3736&amp;E3736&amp;F3736</f>
        <v>FINANZASRECOLECCION DE BASURAHR</v>
      </c>
      <c r="B3736" t="s">
        <v>2028</v>
      </c>
      <c r="C3736" s="1">
        <f>C3735</f>
        <v>45925</v>
      </c>
      <c r="D3736" s="71" t="s">
        <v>23</v>
      </c>
      <c r="E3736" s="71" t="s">
        <v>166</v>
      </c>
      <c r="F3736" s="70" t="s">
        <v>29</v>
      </c>
      <c r="J3736" s="71" t="s">
        <v>2221</v>
      </c>
      <c r="K3736" s="373"/>
      <c r="L3736" s="433">
        <v>3299.76</v>
      </c>
      <c r="M3736" s="136">
        <f t="shared" si="102"/>
        <v>-53687.772296666364</v>
      </c>
    </row>
    <row r="3737" spans="1:13">
      <c r="A3737" s="54" t="str">
        <f>D3737&amp;E3737&amp;F3737</f>
        <v>DEFONDO Y REPOSICIONDIRECCION</v>
      </c>
      <c r="B3737" t="s">
        <v>2028</v>
      </c>
      <c r="C3737" s="1">
        <f>C3736</f>
        <v>45925</v>
      </c>
      <c r="D3737" s="71" t="s">
        <v>41</v>
      </c>
      <c r="E3737" s="71" t="s">
        <v>120</v>
      </c>
      <c r="F3737" s="70" t="s">
        <v>42</v>
      </c>
      <c r="J3737" s="71" t="s">
        <v>2222</v>
      </c>
      <c r="L3737" s="433">
        <v>479</v>
      </c>
      <c r="M3737" s="136">
        <f t="shared" si="102"/>
        <v>-54166.772296666364</v>
      </c>
    </row>
    <row r="3738" spans="1:13">
      <c r="A3738" s="54" t="str">
        <f>D3738&amp;E3738&amp;F3738</f>
        <v>FINANZASTELEFONIATELCEL</v>
      </c>
      <c r="B3738" t="s">
        <v>2028</v>
      </c>
      <c r="C3738" s="1">
        <f>C3737</f>
        <v>45925</v>
      </c>
      <c r="D3738" s="71" t="s">
        <v>23</v>
      </c>
      <c r="E3738" s="71" t="s">
        <v>181</v>
      </c>
      <c r="F3738" s="70" t="s">
        <v>183</v>
      </c>
      <c r="J3738" s="71" t="s">
        <v>2223</v>
      </c>
      <c r="L3738" s="433">
        <v>269</v>
      </c>
      <c r="M3738" s="136">
        <f t="shared" si="102"/>
        <v>-54435.772296666364</v>
      </c>
    </row>
    <row r="3739" spans="1:13">
      <c r="A3739" s="54" t="str">
        <f>D3739&amp;E3739&amp;F3739</f>
        <v>SERVICIOSCOMBUSTIBLESERVICIOS</v>
      </c>
      <c r="B3739" t="s">
        <v>2028</v>
      </c>
      <c r="C3739" s="1">
        <f>C3738</f>
        <v>45925</v>
      </c>
      <c r="D3739" s="71" t="s">
        <v>21</v>
      </c>
      <c r="E3739" s="71" t="s">
        <v>32</v>
      </c>
      <c r="F3739" s="70" t="s">
        <v>21</v>
      </c>
      <c r="J3739" s="71" t="s">
        <v>2224</v>
      </c>
      <c r="L3739" s="433">
        <v>1500</v>
      </c>
      <c r="M3739" s="136">
        <f t="shared" si="102"/>
        <v>-55935.772296666364</v>
      </c>
    </row>
    <row r="3740" spans="1:13">
      <c r="A3740" s="54" t="str">
        <f>D3740&amp;E3740&amp;F3740</f>
        <v>SERVICIOSVIATICOSCEDIS</v>
      </c>
      <c r="B3740" t="s">
        <v>2028</v>
      </c>
      <c r="C3740" s="1">
        <f>C3739</f>
        <v>45925</v>
      </c>
      <c r="D3740" s="71" t="s">
        <v>21</v>
      </c>
      <c r="E3740" s="71" t="s">
        <v>191</v>
      </c>
      <c r="F3740" s="70" t="s">
        <v>28</v>
      </c>
      <c r="G3740" s="71" t="s">
        <v>258</v>
      </c>
      <c r="J3740" s="71" t="s">
        <v>2225</v>
      </c>
      <c r="L3740" s="433">
        <v>2478</v>
      </c>
      <c r="M3740" s="136">
        <f t="shared" si="102"/>
        <v>-58413.772296666364</v>
      </c>
    </row>
    <row r="3741" spans="1:13">
      <c r="A3741" s="54" t="str">
        <f>D3741&amp;E3741&amp;F3741</f>
        <v>HRFONDO Y REPOSICIONHR</v>
      </c>
      <c r="B3741" t="s">
        <v>2028</v>
      </c>
      <c r="C3741" s="1">
        <f>C3740</f>
        <v>45925</v>
      </c>
      <c r="D3741" s="71" t="s">
        <v>29</v>
      </c>
      <c r="E3741" s="71" t="s">
        <v>120</v>
      </c>
      <c r="F3741" s="70" t="s">
        <v>29</v>
      </c>
      <c r="J3741" s="71" t="s">
        <v>2226</v>
      </c>
      <c r="L3741" s="433">
        <v>860</v>
      </c>
      <c r="M3741" s="136">
        <f t="shared" si="102"/>
        <v>-59273.772296666364</v>
      </c>
    </row>
    <row r="3742" spans="1:13">
      <c r="A3742" s="54" t="str">
        <f>D3742&amp;E3742&amp;F3742</f>
        <v>HRJMASHR</v>
      </c>
      <c r="B3742" t="s">
        <v>2028</v>
      </c>
      <c r="C3742" s="1">
        <f>C3741</f>
        <v>45925</v>
      </c>
      <c r="D3742" s="71" t="s">
        <v>29</v>
      </c>
      <c r="E3742" s="71" t="s">
        <v>137</v>
      </c>
      <c r="F3742" s="70" t="s">
        <v>29</v>
      </c>
      <c r="J3742" s="71" t="s">
        <v>1044</v>
      </c>
      <c r="L3742" s="433">
        <v>460</v>
      </c>
      <c r="M3742" s="136">
        <f t="shared" si="102"/>
        <v>-59733.772296666364</v>
      </c>
    </row>
    <row r="3743" spans="1:13">
      <c r="A3743" s="54" t="str">
        <f>D3743&amp;E3743&amp;F3743</f>
        <v>CAPINSUMOSCAPRICHOS</v>
      </c>
      <c r="B3743" t="s">
        <v>2028</v>
      </c>
      <c r="C3743" s="1">
        <f>C3742</f>
        <v>45925</v>
      </c>
      <c r="D3743" s="71" t="s">
        <v>31</v>
      </c>
      <c r="E3743" s="71" t="s">
        <v>133</v>
      </c>
      <c r="F3743" s="70" t="s">
        <v>33</v>
      </c>
      <c r="J3743" s="71" t="s">
        <v>543</v>
      </c>
      <c r="L3743" s="433">
        <v>100</v>
      </c>
      <c r="M3743" s="136">
        <f t="shared" si="102"/>
        <v>-59833.772296666364</v>
      </c>
    </row>
    <row r="3744" spans="1:13">
      <c r="A3744" s="54" t="str">
        <f>D3744&amp;E3744&amp;F3744</f>
        <v>CAPUBERCAP</v>
      </c>
      <c r="B3744" t="s">
        <v>2028</v>
      </c>
      <c r="C3744" s="1">
        <f>C3743</f>
        <v>45925</v>
      </c>
      <c r="D3744" s="71" t="s">
        <v>31</v>
      </c>
      <c r="E3744" s="71" t="s">
        <v>189</v>
      </c>
      <c r="F3744" s="70" t="s">
        <v>31</v>
      </c>
      <c r="J3744" s="71" t="s">
        <v>253</v>
      </c>
      <c r="L3744" s="523">
        <v>204</v>
      </c>
      <c r="M3744" s="136">
        <f t="shared" si="102"/>
        <v>-60037.772296666364</v>
      </c>
    </row>
    <row r="3745" spans="1:13">
      <c r="A3745" s="54" t="str">
        <f>D3745&amp;E3745&amp;F3745</f>
        <v>CAPUBERCAP</v>
      </c>
      <c r="B3745" t="s">
        <v>2028</v>
      </c>
      <c r="C3745" s="1">
        <f>C3744</f>
        <v>45925</v>
      </c>
      <c r="D3745" s="71" t="s">
        <v>31</v>
      </c>
      <c r="E3745" s="71" t="s">
        <v>189</v>
      </c>
      <c r="F3745" s="70" t="s">
        <v>31</v>
      </c>
      <c r="J3745" s="71" t="s">
        <v>257</v>
      </c>
      <c r="L3745" s="523">
        <v>130</v>
      </c>
      <c r="M3745" s="136">
        <f t="shared" si="102"/>
        <v>-60167.772296666364</v>
      </c>
    </row>
    <row r="3746" spans="1:13">
      <c r="A3746" s="54" t="str">
        <f t="shared" si="103"/>
        <v/>
      </c>
      <c r="B3746" t="s">
        <v>2028</v>
      </c>
      <c r="C3746" s="1">
        <f>C3745</f>
        <v>45925</v>
      </c>
      <c r="D3746" s="71"/>
      <c r="F3746" s="70"/>
      <c r="J3746" s="71" t="s">
        <v>2045</v>
      </c>
      <c r="K3746" s="325">
        <v>178376.7</v>
      </c>
      <c r="L3746" s="432"/>
      <c r="M3746" s="136">
        <f t="shared" si="102"/>
        <v>118208.92770333364</v>
      </c>
    </row>
    <row r="3747" spans="1:13">
      <c r="A3747" s="54" t="str">
        <f t="shared" si="103"/>
        <v/>
      </c>
      <c r="B3747" t="s">
        <v>2028</v>
      </c>
      <c r="C3747" s="1">
        <f>C3746</f>
        <v>45925</v>
      </c>
      <c r="D3747" s="71"/>
      <c r="F3747" s="70"/>
      <c r="J3747" s="71" t="s">
        <v>2227</v>
      </c>
      <c r="K3747" s="325">
        <v>300000</v>
      </c>
      <c r="L3747" s="432"/>
      <c r="M3747" s="136">
        <f t="shared" si="102"/>
        <v>418208.92770333367</v>
      </c>
    </row>
    <row r="3748" spans="1:13">
      <c r="A3748" s="54" t="str">
        <f>D3748&amp;E3748&amp;F3748</f>
        <v>FINANZASCOMISIONES BANCARIASTPV</v>
      </c>
      <c r="B3748" t="s">
        <v>2028</v>
      </c>
      <c r="C3748" s="1">
        <f>C3746</f>
        <v>45925</v>
      </c>
      <c r="D3748" s="71" t="s">
        <v>23</v>
      </c>
      <c r="E3748" s="71" t="s">
        <v>48</v>
      </c>
      <c r="F3748" s="70" t="s">
        <v>50</v>
      </c>
      <c r="G3748" s="71" t="s">
        <v>258</v>
      </c>
      <c r="J3748" s="71" t="s">
        <v>217</v>
      </c>
      <c r="L3748" s="433">
        <f>5.8+5.8+9.8+1110.82+188+1212.59+1069.56+13.92+34.8</f>
        <v>3651.09</v>
      </c>
      <c r="M3748" s="136">
        <f t="shared" si="102"/>
        <v>414557.83770333364</v>
      </c>
    </row>
    <row r="3749" spans="1:13">
      <c r="A3749" s="54" t="str">
        <f t="shared" si="103"/>
        <v/>
      </c>
      <c r="B3749" t="s">
        <v>2028</v>
      </c>
      <c r="C3749" s="1">
        <f>C3748</f>
        <v>45925</v>
      </c>
      <c r="D3749" s="71"/>
      <c r="F3749" s="70"/>
      <c r="J3749" s="205" t="s">
        <v>1562</v>
      </c>
      <c r="K3749" s="205"/>
      <c r="L3749" s="428">
        <v>279200</v>
      </c>
      <c r="M3749" s="136">
        <f t="shared" si="102"/>
        <v>135357.83770333364</v>
      </c>
    </row>
    <row r="3750" spans="1:13">
      <c r="A3750" s="54" t="str">
        <f>D3750&amp;E3750&amp;F3750</f>
        <v>HRIMAGEN VISUALIMAGEN VISUAL HR</v>
      </c>
      <c r="B3750" t="s">
        <v>2028</v>
      </c>
      <c r="C3750" s="1">
        <f>C3749</f>
        <v>45925</v>
      </c>
      <c r="D3750" s="71" t="s">
        <v>29</v>
      </c>
      <c r="E3750" s="71" t="s">
        <v>127</v>
      </c>
      <c r="F3750" s="70" t="s">
        <v>128</v>
      </c>
      <c r="J3750" s="71" t="s">
        <v>2228</v>
      </c>
      <c r="L3750" s="433">
        <v>13322.6</v>
      </c>
      <c r="M3750" s="136">
        <f t="shared" si="102"/>
        <v>122035.23770333364</v>
      </c>
    </row>
    <row r="3751" spans="1:13">
      <c r="A3751" s="54" t="str">
        <f t="shared" si="103"/>
        <v/>
      </c>
      <c r="B3751" t="s">
        <v>2028</v>
      </c>
      <c r="C3751" s="1">
        <f>C3750</f>
        <v>45925</v>
      </c>
      <c r="D3751" s="71"/>
      <c r="F3751" s="70"/>
      <c r="J3751" s="71" t="s">
        <v>440</v>
      </c>
      <c r="L3751" s="433">
        <v>36827</v>
      </c>
      <c r="M3751" s="136">
        <f t="shared" si="102"/>
        <v>85208.237703333638</v>
      </c>
    </row>
    <row r="3752" spans="1:13">
      <c r="A3752" s="54" t="str">
        <f>D3752&amp;E3752&amp;F3752</f>
        <v>ELIVIATICOSL1</v>
      </c>
      <c r="B3752" t="s">
        <v>2028</v>
      </c>
      <c r="C3752" s="1">
        <f>C3751</f>
        <v>45925</v>
      </c>
      <c r="D3752" t="s">
        <v>130</v>
      </c>
      <c r="E3752" t="s">
        <v>191</v>
      </c>
      <c r="F3752" t="s">
        <v>136</v>
      </c>
      <c r="J3752" s="71" t="s">
        <v>690</v>
      </c>
      <c r="L3752" s="433">
        <v>1000</v>
      </c>
      <c r="M3752" s="136">
        <f t="shared" si="102"/>
        <v>84208.237703333638</v>
      </c>
    </row>
    <row r="3753" spans="1:13">
      <c r="A3753" s="54" t="str">
        <f>D3753&amp;E3753&amp;F3753</f>
        <v>DEVIATICOSDIRECCION</v>
      </c>
      <c r="B3753" t="s">
        <v>2028</v>
      </c>
      <c r="C3753" s="1">
        <f>C3752</f>
        <v>45925</v>
      </c>
      <c r="D3753" s="71" t="s">
        <v>41</v>
      </c>
      <c r="E3753" s="71" t="s">
        <v>191</v>
      </c>
      <c r="F3753" s="71" t="s">
        <v>42</v>
      </c>
      <c r="J3753" s="71" t="s">
        <v>2229</v>
      </c>
      <c r="L3753" s="433">
        <v>1000</v>
      </c>
      <c r="M3753" s="136">
        <f t="shared" si="102"/>
        <v>83208.237703333638</v>
      </c>
    </row>
    <row r="3754" spans="1:13">
      <c r="A3754" s="54" t="str">
        <f>D3754&amp;E3754&amp;F3754</f>
        <v>MKTCOMBUSTIBLEMKT</v>
      </c>
      <c r="B3754" t="s">
        <v>2028</v>
      </c>
      <c r="C3754" s="1">
        <f>C3753</f>
        <v>45925</v>
      </c>
      <c r="D3754" s="71" t="s">
        <v>19</v>
      </c>
      <c r="E3754" s="71" t="s">
        <v>32</v>
      </c>
      <c r="F3754" s="70" t="s">
        <v>19</v>
      </c>
      <c r="G3754" s="71" t="s">
        <v>258</v>
      </c>
      <c r="J3754" s="71" t="s">
        <v>2230</v>
      </c>
      <c r="L3754" s="433">
        <v>150</v>
      </c>
      <c r="M3754" s="136">
        <f t="shared" si="102"/>
        <v>83058.237703333638</v>
      </c>
    </row>
    <row r="3755" spans="1:13">
      <c r="A3755" s="54" t="str">
        <f t="shared" si="103"/>
        <v/>
      </c>
      <c r="B3755" t="s">
        <v>2028</v>
      </c>
      <c r="C3755" s="1">
        <f>C3754</f>
        <v>45925</v>
      </c>
      <c r="D3755" s="71"/>
      <c r="F3755" s="70"/>
      <c r="J3755" s="71" t="s">
        <v>2231</v>
      </c>
      <c r="L3755" s="433">
        <v>112518.68000000001</v>
      </c>
      <c r="M3755" s="136">
        <f t="shared" si="102"/>
        <v>-29460.44229666637</v>
      </c>
    </row>
    <row r="3756" spans="1:13">
      <c r="A3756" s="54" t="str">
        <f>D3756&amp;E3756&amp;F3756</f>
        <v>SERVICIOSPAQUETERIACEDIS (E6)</v>
      </c>
      <c r="B3756" t="s">
        <v>2028</v>
      </c>
      <c r="C3756" s="1">
        <f>C3755</f>
        <v>45925</v>
      </c>
      <c r="D3756" s="71" t="s">
        <v>21</v>
      </c>
      <c r="E3756" s="71" t="s">
        <v>160</v>
      </c>
      <c r="F3756" s="70" t="s">
        <v>161</v>
      </c>
      <c r="J3756" s="71" t="s">
        <v>521</v>
      </c>
      <c r="L3756" s="433">
        <v>2395.06</v>
      </c>
      <c r="M3756" s="136">
        <f>M3755+K3756-L3756</f>
        <v>-31855.502296666371</v>
      </c>
    </row>
    <row r="3757" spans="1:13">
      <c r="A3757" s="54" t="str">
        <f>D3757&amp;E3757&amp;F3757</f>
        <v>SERVICIOSINSUMOSCADENA DE SUMINISTROS</v>
      </c>
      <c r="B3757" t="s">
        <v>2028</v>
      </c>
      <c r="C3757" s="1">
        <f>C3756</f>
        <v>45925</v>
      </c>
      <c r="D3757" s="71" t="s">
        <v>21</v>
      </c>
      <c r="E3757" s="71" t="s">
        <v>133</v>
      </c>
      <c r="F3757" s="70" t="s">
        <v>134</v>
      </c>
      <c r="J3757" s="71" t="s">
        <v>2232</v>
      </c>
      <c r="L3757" s="433">
        <v>22446</v>
      </c>
      <c r="M3757" s="136">
        <f>M3756+K3757-L3757</f>
        <v>-54301.502296666367</v>
      </c>
    </row>
    <row r="3758" spans="1:13">
      <c r="A3758" s="54" t="str">
        <f>D3758&amp;E3758&amp;F3758</f>
        <v>HRMTTO EQ DE TRANSPORTEHR</v>
      </c>
      <c r="B3758" t="s">
        <v>2028</v>
      </c>
      <c r="C3758" s="1">
        <f>C3757</f>
        <v>45925</v>
      </c>
      <c r="D3758" s="71" t="s">
        <v>29</v>
      </c>
      <c r="E3758" s="71" t="s">
        <v>144</v>
      </c>
      <c r="F3758" s="70" t="s">
        <v>29</v>
      </c>
      <c r="G3758" s="71" t="s">
        <v>258</v>
      </c>
      <c r="J3758" s="71" t="s">
        <v>2233</v>
      </c>
      <c r="L3758" s="433">
        <v>3248</v>
      </c>
      <c r="M3758" s="136">
        <f>M3757+K3758-L3758</f>
        <v>-57549.502296666367</v>
      </c>
    </row>
    <row r="3759" spans="1:13">
      <c r="A3759" s="54" t="str">
        <f>D3759&amp;E3759&amp;F3759</f>
        <v>FINANZASFONDO Y REPOSICIONFINANZAS</v>
      </c>
      <c r="B3759" t="s">
        <v>2028</v>
      </c>
      <c r="C3759" s="1">
        <f>C3758</f>
        <v>45925</v>
      </c>
      <c r="D3759" s="71" t="s">
        <v>23</v>
      </c>
      <c r="E3759" s="71" t="s">
        <v>120</v>
      </c>
      <c r="F3759" s="70" t="s">
        <v>23</v>
      </c>
      <c r="J3759" s="71" t="s">
        <v>2234</v>
      </c>
      <c r="L3759" s="433">
        <v>300</v>
      </c>
      <c r="M3759" s="136">
        <f>M3758+K3759-L3759</f>
        <v>-57849.502296666367</v>
      </c>
    </row>
    <row r="3760" spans="1:13">
      <c r="A3760" s="54" t="str">
        <f>D3760&amp;E3760&amp;F3760</f>
        <v>FINANZASINSUMOSFINANZAS</v>
      </c>
      <c r="B3760" t="s">
        <v>2028</v>
      </c>
      <c r="C3760" s="1">
        <f>C3759</f>
        <v>45925</v>
      </c>
      <c r="D3760" s="71" t="s">
        <v>23</v>
      </c>
      <c r="E3760" s="71" t="s">
        <v>133</v>
      </c>
      <c r="F3760" s="70" t="s">
        <v>23</v>
      </c>
      <c r="J3760" s="71" t="s">
        <v>2235</v>
      </c>
      <c r="L3760" s="433">
        <v>79</v>
      </c>
      <c r="M3760" s="136">
        <f>M3759+K3760-L3760</f>
        <v>-57928.502296666367</v>
      </c>
    </row>
    <row r="3761" spans="1:13">
      <c r="A3761" s="54" t="str">
        <f>D3761&amp;E3761&amp;F3761</f>
        <v>MKTACTIVACIONMKT</v>
      </c>
      <c r="B3761" t="s">
        <v>2028</v>
      </c>
      <c r="C3761" s="1">
        <f>C3760</f>
        <v>45925</v>
      </c>
      <c r="D3761" s="71" t="s">
        <v>19</v>
      </c>
      <c r="E3761" s="70" t="s">
        <v>2236</v>
      </c>
      <c r="F3761" s="70" t="s">
        <v>19</v>
      </c>
      <c r="J3761" s="71" t="s">
        <v>2237</v>
      </c>
      <c r="L3761" s="433">
        <v>595</v>
      </c>
      <c r="M3761" s="136">
        <f>M3760+K3761-L3761</f>
        <v>-58523.502296666367</v>
      </c>
    </row>
    <row r="3762" spans="1:13">
      <c r="A3762" s="54" t="str">
        <f t="shared" si="103"/>
        <v/>
      </c>
      <c r="B3762" t="s">
        <v>2028</v>
      </c>
      <c r="C3762" s="1">
        <f>C3761</f>
        <v>45925</v>
      </c>
      <c r="D3762" s="71"/>
      <c r="F3762" s="70"/>
      <c r="J3762" s="71" t="s">
        <v>2238</v>
      </c>
      <c r="L3762" s="433">
        <v>1500</v>
      </c>
      <c r="M3762" s="136">
        <f t="shared" ref="M3762:M3769" si="104">M3761+K3762-L3762</f>
        <v>-60023.502296666367</v>
      </c>
    </row>
    <row r="3763" spans="1:13">
      <c r="A3763" s="54" t="str">
        <f>D3763&amp;E3763&amp;F3763</f>
        <v>FINANZASRECOLECCION DE BASURACEDIS</v>
      </c>
      <c r="B3763" t="s">
        <v>2028</v>
      </c>
      <c r="C3763" s="1">
        <f>C3762</f>
        <v>45925</v>
      </c>
      <c r="D3763" s="71" t="s">
        <v>23</v>
      </c>
      <c r="E3763" s="71" t="s">
        <v>166</v>
      </c>
      <c r="F3763" s="70" t="s">
        <v>28</v>
      </c>
      <c r="G3763" s="71" t="s">
        <v>258</v>
      </c>
      <c r="J3763" s="71" t="s">
        <v>1035</v>
      </c>
      <c r="L3763" s="433">
        <v>2919.72</v>
      </c>
      <c r="M3763" s="136">
        <f t="shared" si="104"/>
        <v>-62943.222296666368</v>
      </c>
    </row>
    <row r="3764" spans="1:13">
      <c r="A3764" s="54" t="str">
        <f>D3764&amp;E3764&amp;F3764</f>
        <v>HRJMASA18</v>
      </c>
      <c r="B3764" t="s">
        <v>2028</v>
      </c>
      <c r="C3764" s="1">
        <f>C3763</f>
        <v>45925</v>
      </c>
      <c r="D3764" s="71" t="s">
        <v>29</v>
      </c>
      <c r="E3764" s="71" t="s">
        <v>137</v>
      </c>
      <c r="F3764" s="70" t="s">
        <v>103</v>
      </c>
      <c r="J3764" s="76" t="s">
        <v>487</v>
      </c>
      <c r="L3764" s="434">
        <v>1341</v>
      </c>
      <c r="M3764" s="136">
        <f t="shared" si="104"/>
        <v>-64284.222296666368</v>
      </c>
    </row>
    <row r="3765" spans="1:13">
      <c r="A3765" s="54" t="str">
        <f>D3765&amp;E3765&amp;F3765</f>
        <v>HRJMASA23</v>
      </c>
      <c r="B3765" t="s">
        <v>2028</v>
      </c>
      <c r="C3765" s="1">
        <f>C3764</f>
        <v>45925</v>
      </c>
      <c r="D3765" s="71" t="s">
        <v>29</v>
      </c>
      <c r="E3765" s="71" t="s">
        <v>137</v>
      </c>
      <c r="F3765" s="70" t="s">
        <v>105</v>
      </c>
      <c r="J3765" s="76" t="s">
        <v>2239</v>
      </c>
      <c r="L3765" s="434">
        <v>1017</v>
      </c>
      <c r="M3765" s="136">
        <f t="shared" si="104"/>
        <v>-65301.222296666368</v>
      </c>
    </row>
    <row r="3766" spans="1:13">
      <c r="A3766" s="54" t="str">
        <f>D3766&amp;E3766&amp;F3766</f>
        <v>CAPINSUMOSCAPRICHOS</v>
      </c>
      <c r="B3766" t="s">
        <v>2028</v>
      </c>
      <c r="C3766" s="1">
        <f>C3765</f>
        <v>45925</v>
      </c>
      <c r="D3766" s="71" t="s">
        <v>31</v>
      </c>
      <c r="E3766" s="71" t="s">
        <v>133</v>
      </c>
      <c r="F3766" s="70" t="s">
        <v>33</v>
      </c>
      <c r="J3766" s="76" t="s">
        <v>1169</v>
      </c>
      <c r="L3766" s="434">
        <v>90</v>
      </c>
      <c r="M3766" s="136">
        <f t="shared" si="104"/>
        <v>-65391.222296666368</v>
      </c>
    </row>
    <row r="3767" spans="1:13">
      <c r="A3767" s="54" t="str">
        <f>D3767&amp;E3767&amp;F3767</f>
        <v>CAPUBERCAP</v>
      </c>
      <c r="B3767" t="s">
        <v>2028</v>
      </c>
      <c r="C3767" s="1">
        <f>C3766</f>
        <v>45925</v>
      </c>
      <c r="D3767" s="71" t="s">
        <v>31</v>
      </c>
      <c r="E3767" s="71" t="s">
        <v>189</v>
      </c>
      <c r="F3767" s="70" t="s">
        <v>31</v>
      </c>
      <c r="J3767" s="76" t="s">
        <v>253</v>
      </c>
      <c r="L3767" s="522">
        <v>348</v>
      </c>
      <c r="M3767" s="136">
        <f t="shared" si="104"/>
        <v>-65739.222296666368</v>
      </c>
    </row>
    <row r="3768" spans="1:13">
      <c r="A3768" s="54" t="str">
        <f>D3768&amp;E3768&amp;F3768</f>
        <v>CAPUBERCAP</v>
      </c>
      <c r="B3768" t="s">
        <v>2028</v>
      </c>
      <c r="C3768" s="1">
        <f>C3767</f>
        <v>45925</v>
      </c>
      <c r="D3768" s="71" t="s">
        <v>31</v>
      </c>
      <c r="E3768" s="71" t="s">
        <v>189</v>
      </c>
      <c r="F3768" s="70" t="s">
        <v>31</v>
      </c>
      <c r="J3768" s="76" t="s">
        <v>280</v>
      </c>
      <c r="L3768" s="522">
        <v>140</v>
      </c>
      <c r="M3768" s="136">
        <f t="shared" si="104"/>
        <v>-65879.222296666368</v>
      </c>
    </row>
    <row r="3769" spans="1:13">
      <c r="A3769" s="54" t="str">
        <f>D3769&amp;E3769&amp;F3769</f>
        <v>CAPINSUMOSCAPRICHOS</v>
      </c>
      <c r="B3769" t="s">
        <v>2028</v>
      </c>
      <c r="C3769" s="1">
        <f>C3768</f>
        <v>45925</v>
      </c>
      <c r="D3769" s="71" t="s">
        <v>31</v>
      </c>
      <c r="E3769" s="71" t="s">
        <v>133</v>
      </c>
      <c r="F3769" s="70" t="s">
        <v>33</v>
      </c>
      <c r="J3769" s="76" t="s">
        <v>362</v>
      </c>
      <c r="L3769" s="434">
        <v>115</v>
      </c>
      <c r="M3769" s="136">
        <f t="shared" si="104"/>
        <v>-65994.222296666368</v>
      </c>
    </row>
    <row r="3770" spans="1:13">
      <c r="A3770" s="54" t="str">
        <f t="shared" si="103"/>
        <v/>
      </c>
      <c r="B3770" t="s">
        <v>2028</v>
      </c>
      <c r="C3770" s="1">
        <v>45929</v>
      </c>
      <c r="D3770" s="71"/>
      <c r="F3770" s="70"/>
      <c r="J3770" s="71" t="s">
        <v>2045</v>
      </c>
      <c r="K3770" s="325">
        <v>864358.76</v>
      </c>
      <c r="L3770" s="432"/>
      <c r="M3770" s="136">
        <f>M3769+K3770-L3770</f>
        <v>798364.53770333366</v>
      </c>
    </row>
    <row r="3771" spans="1:13">
      <c r="A3771" s="54" t="str">
        <f>D3771&amp;E3771&amp;F3771</f>
        <v>FINANZASCOMISIONES BANCARIASTPV</v>
      </c>
      <c r="B3771" t="s">
        <v>2028</v>
      </c>
      <c r="C3771" s="1">
        <f>C3770</f>
        <v>45929</v>
      </c>
      <c r="D3771" s="71" t="s">
        <v>23</v>
      </c>
      <c r="E3771" s="71" t="s">
        <v>48</v>
      </c>
      <c r="F3771" s="70" t="s">
        <v>50</v>
      </c>
      <c r="G3771" s="71" t="s">
        <v>258</v>
      </c>
      <c r="J3771" s="71" t="s">
        <v>217</v>
      </c>
      <c r="L3771" s="433">
        <f>759+1369.88+5798.95+5526.62+3103.91+38.28+411.76+1740.4</f>
        <v>18748.8</v>
      </c>
      <c r="M3771" s="136">
        <f>M3770+K3771-L3771</f>
        <v>779615.73770333361</v>
      </c>
    </row>
    <row r="3772" spans="1:13">
      <c r="A3772" s="54" t="str">
        <f t="shared" si="103"/>
        <v/>
      </c>
      <c r="B3772" t="s">
        <v>2028</v>
      </c>
      <c r="C3772" s="1">
        <f>C3771</f>
        <v>45929</v>
      </c>
      <c r="D3772" s="71"/>
      <c r="F3772" s="70"/>
      <c r="J3772" s="205" t="s">
        <v>1562</v>
      </c>
      <c r="K3772" s="205"/>
      <c r="L3772" s="428">
        <v>150000</v>
      </c>
      <c r="M3772" s="136">
        <f>M3771+K3772-L3772</f>
        <v>629615.73770333361</v>
      </c>
    </row>
    <row r="3773" spans="1:13">
      <c r="A3773" s="54" t="str">
        <f t="shared" si="103"/>
        <v/>
      </c>
      <c r="B3773" t="s">
        <v>2028</v>
      </c>
      <c r="C3773" s="1">
        <f>C3772</f>
        <v>45929</v>
      </c>
      <c r="D3773" s="71"/>
      <c r="F3773" s="70"/>
      <c r="J3773" s="205" t="s">
        <v>222</v>
      </c>
      <c r="K3773" s="205"/>
      <c r="L3773" s="428">
        <v>600000</v>
      </c>
      <c r="M3773" s="136">
        <f t="shared" ref="M3773:M3837" si="105">M3772+K3773-L3773</f>
        <v>29615.737703333609</v>
      </c>
    </row>
    <row r="3774" spans="1:13">
      <c r="A3774" s="54" t="str">
        <f>D3774&amp;E3774&amp;F3774</f>
        <v>SERVICIOSVIATICOSSISTEMAS</v>
      </c>
      <c r="B3774" t="s">
        <v>2028</v>
      </c>
      <c r="C3774" s="1">
        <f>C3773</f>
        <v>45929</v>
      </c>
      <c r="D3774" s="71" t="s">
        <v>21</v>
      </c>
      <c r="E3774" s="71" t="s">
        <v>191</v>
      </c>
      <c r="F3774" s="70" t="s">
        <v>36</v>
      </c>
      <c r="G3774" s="71" t="s">
        <v>258</v>
      </c>
      <c r="J3774" s="71" t="s">
        <v>1567</v>
      </c>
      <c r="L3774" s="433">
        <v>1750</v>
      </c>
      <c r="M3774" s="136">
        <f t="shared" si="105"/>
        <v>27865.737703333609</v>
      </c>
    </row>
    <row r="3775" spans="1:13">
      <c r="A3775" s="54" t="str">
        <f>D3775&amp;E3775&amp;F3775</f>
        <v>FINANZASFONDO Y REPOSICIONFINANZAS</v>
      </c>
      <c r="B3775" t="s">
        <v>2028</v>
      </c>
      <c r="C3775" s="1">
        <f>C3774</f>
        <v>45929</v>
      </c>
      <c r="D3775" s="71" t="s">
        <v>23</v>
      </c>
      <c r="E3775" s="71" t="s">
        <v>120</v>
      </c>
      <c r="F3775" s="70" t="s">
        <v>23</v>
      </c>
      <c r="G3775" s="71" t="s">
        <v>258</v>
      </c>
      <c r="J3775" s="71" t="s">
        <v>2098</v>
      </c>
      <c r="L3775" s="433">
        <v>300</v>
      </c>
      <c r="M3775" s="136">
        <f t="shared" si="105"/>
        <v>27565.737703333609</v>
      </c>
    </row>
    <row r="3776" spans="1:13">
      <c r="A3776" s="54" t="str">
        <f>D3776&amp;E3776&amp;F3776</f>
        <v>SERVICIOSVIATICOSCEDIS</v>
      </c>
      <c r="B3776" t="s">
        <v>2028</v>
      </c>
      <c r="C3776" s="1">
        <f>C3775</f>
        <v>45929</v>
      </c>
      <c r="D3776" s="71" t="s">
        <v>21</v>
      </c>
      <c r="E3776" s="71" t="s">
        <v>191</v>
      </c>
      <c r="F3776" s="70" t="s">
        <v>28</v>
      </c>
      <c r="G3776" s="71" t="s">
        <v>258</v>
      </c>
      <c r="J3776" s="71" t="s">
        <v>1214</v>
      </c>
      <c r="L3776" s="433">
        <v>2050</v>
      </c>
      <c r="M3776" s="136">
        <f t="shared" si="105"/>
        <v>25515.737703333609</v>
      </c>
    </row>
    <row r="3777" spans="1:13">
      <c r="A3777" s="54" t="str">
        <f>D3777&amp;E3777&amp;F3777</f>
        <v>FINANZASFONDO Y REPOSICIONFINANZAS</v>
      </c>
      <c r="B3777" t="s">
        <v>2028</v>
      </c>
      <c r="C3777" s="1">
        <f>C3776</f>
        <v>45929</v>
      </c>
      <c r="D3777" s="71" t="s">
        <v>23</v>
      </c>
      <c r="E3777" s="71" t="s">
        <v>120</v>
      </c>
      <c r="F3777" s="70" t="s">
        <v>23</v>
      </c>
      <c r="J3777" s="71" t="s">
        <v>2240</v>
      </c>
      <c r="L3777" s="433">
        <v>4125</v>
      </c>
      <c r="M3777" s="136">
        <f t="shared" si="105"/>
        <v>21390.737703333609</v>
      </c>
    </row>
    <row r="3778" spans="1:13">
      <c r="A3778" s="54" t="str">
        <f>D3778&amp;E3778&amp;F3778</f>
        <v>FINANZASRENTASE8</v>
      </c>
      <c r="B3778" t="s">
        <v>2028</v>
      </c>
      <c r="C3778" s="1">
        <f>C3777</f>
        <v>45929</v>
      </c>
      <c r="D3778" s="71" t="s">
        <v>23</v>
      </c>
      <c r="E3778" s="71" t="s">
        <v>169</v>
      </c>
      <c r="F3778" s="70" t="s">
        <v>114</v>
      </c>
      <c r="J3778" s="71" t="s">
        <v>2241</v>
      </c>
      <c r="L3778" s="433">
        <f>1509.07+9978.84</f>
        <v>11487.91</v>
      </c>
      <c r="M3778" s="136">
        <f t="shared" si="105"/>
        <v>9902.827703333609</v>
      </c>
    </row>
    <row r="3779" spans="1:13">
      <c r="A3779" s="54" t="str">
        <f>D3779&amp;E3779&amp;F3779</f>
        <v>HRJMASA8</v>
      </c>
      <c r="B3779" t="s">
        <v>2028</v>
      </c>
      <c r="C3779" s="1">
        <f>C3778</f>
        <v>45929</v>
      </c>
      <c r="D3779" s="71" t="s">
        <v>29</v>
      </c>
      <c r="E3779" s="71" t="s">
        <v>137</v>
      </c>
      <c r="F3779" s="70" t="s">
        <v>94</v>
      </c>
      <c r="J3779" s="71" t="s">
        <v>1223</v>
      </c>
      <c r="L3779" s="433">
        <v>182.56</v>
      </c>
      <c r="M3779" s="136">
        <f t="shared" si="105"/>
        <v>9720.2677033336095</v>
      </c>
    </row>
    <row r="3780" spans="1:13">
      <c r="A3780" s="54" t="str">
        <f>D3780&amp;E3780&amp;F3780</f>
        <v>FINANZASENERGIA ELECTRICACEDIS</v>
      </c>
      <c r="B3780" t="s">
        <v>2028</v>
      </c>
      <c r="C3780" s="1">
        <f>C3779</f>
        <v>45929</v>
      </c>
      <c r="D3780" s="71" t="s">
        <v>23</v>
      </c>
      <c r="E3780" s="71" t="s">
        <v>87</v>
      </c>
      <c r="F3780" s="70" t="s">
        <v>28</v>
      </c>
      <c r="J3780" s="71" t="s">
        <v>2242</v>
      </c>
      <c r="L3780" s="433">
        <v>281</v>
      </c>
      <c r="M3780" s="136">
        <f t="shared" si="105"/>
        <v>9439.2677033336095</v>
      </c>
    </row>
    <row r="3781" spans="1:13">
      <c r="A3781" s="54" t="str">
        <f>D3781&amp;E3781&amp;F3781</f>
        <v>FINANZASENERGIA ELECTRICACEDIS</v>
      </c>
      <c r="B3781" t="s">
        <v>2028</v>
      </c>
      <c r="C3781" s="1">
        <f>C3780</f>
        <v>45929</v>
      </c>
      <c r="D3781" s="71" t="s">
        <v>23</v>
      </c>
      <c r="E3781" s="71" t="s">
        <v>87</v>
      </c>
      <c r="F3781" s="70" t="s">
        <v>28</v>
      </c>
      <c r="J3781" s="71" t="s">
        <v>2243</v>
      </c>
      <c r="L3781" s="433">
        <v>281</v>
      </c>
      <c r="M3781" s="136">
        <f t="shared" si="105"/>
        <v>9158.2677033336095</v>
      </c>
    </row>
    <row r="3782" spans="1:13">
      <c r="A3782" s="54" t="str">
        <f>D3782&amp;E3782&amp;F3782</f>
        <v>FINANZASENERGIA ELECTRICACEDIS</v>
      </c>
      <c r="B3782" t="s">
        <v>2028</v>
      </c>
      <c r="C3782" s="1">
        <f>C3781</f>
        <v>45929</v>
      </c>
      <c r="D3782" s="71" t="s">
        <v>23</v>
      </c>
      <c r="E3782" s="71" t="s">
        <v>87</v>
      </c>
      <c r="F3782" s="70" t="s">
        <v>28</v>
      </c>
      <c r="J3782" s="71" t="s">
        <v>2244</v>
      </c>
      <c r="L3782" s="433">
        <v>11977</v>
      </c>
      <c r="M3782" s="136">
        <f t="shared" si="105"/>
        <v>-2818.7322966663905</v>
      </c>
    </row>
    <row r="3783" spans="1:13">
      <c r="A3783" s="54" t="str">
        <f>D3783&amp;E3783&amp;F3783</f>
        <v>FINANZASENERGIA ELECTRICACEDIS</v>
      </c>
      <c r="B3783" t="s">
        <v>2028</v>
      </c>
      <c r="C3783" s="1">
        <f>C3782</f>
        <v>45929</v>
      </c>
      <c r="D3783" s="71" t="s">
        <v>23</v>
      </c>
      <c r="E3783" s="71" t="s">
        <v>87</v>
      </c>
      <c r="F3783" s="70" t="s">
        <v>28</v>
      </c>
      <c r="J3783" s="71" t="s">
        <v>2245</v>
      </c>
      <c r="L3783" s="433">
        <v>4765</v>
      </c>
      <c r="M3783" s="136">
        <f t="shared" si="105"/>
        <v>-7583.7322966663905</v>
      </c>
    </row>
    <row r="3784" spans="1:13">
      <c r="A3784" s="54" t="str">
        <f>D3784&amp;E3784&amp;F3784</f>
        <v>FINANZASENERGIA ELECTRICACEDIS</v>
      </c>
      <c r="B3784" t="s">
        <v>2028</v>
      </c>
      <c r="C3784" s="1">
        <f>C3783</f>
        <v>45929</v>
      </c>
      <c r="D3784" s="71" t="s">
        <v>23</v>
      </c>
      <c r="E3784" s="71" t="s">
        <v>87</v>
      </c>
      <c r="F3784" s="70" t="s">
        <v>28</v>
      </c>
      <c r="J3784" s="71" t="s">
        <v>2246</v>
      </c>
      <c r="L3784" s="433">
        <v>281</v>
      </c>
      <c r="M3784" s="136">
        <f t="shared" si="105"/>
        <v>-7864.7322966663905</v>
      </c>
    </row>
    <row r="3785" spans="1:13">
      <c r="A3785" s="54" t="str">
        <f>D3785&amp;E3785&amp;F3785</f>
        <v>FINANZASENERGIA ELECTRICACEDIS</v>
      </c>
      <c r="B3785" t="s">
        <v>2028</v>
      </c>
      <c r="C3785" s="1">
        <f>C3784</f>
        <v>45929</v>
      </c>
      <c r="D3785" s="71" t="s">
        <v>23</v>
      </c>
      <c r="E3785" s="71" t="s">
        <v>87</v>
      </c>
      <c r="F3785" s="70" t="s">
        <v>28</v>
      </c>
      <c r="J3785" s="71" t="s">
        <v>2246</v>
      </c>
      <c r="L3785" s="433">
        <v>16099</v>
      </c>
      <c r="M3785" s="136">
        <f t="shared" si="105"/>
        <v>-23963.732296666392</v>
      </c>
    </row>
    <row r="3786" spans="1:13">
      <c r="A3786" s="54" t="str">
        <f>D3786&amp;E3786&amp;F3786</f>
        <v>CAPJMASE9</v>
      </c>
      <c r="B3786" t="s">
        <v>2028</v>
      </c>
      <c r="C3786" s="1">
        <f>C3784</f>
        <v>45929</v>
      </c>
      <c r="D3786" s="71" t="s">
        <v>31</v>
      </c>
      <c r="E3786" s="71" t="s">
        <v>137</v>
      </c>
      <c r="F3786" s="70" t="s">
        <v>116</v>
      </c>
      <c r="J3786" s="71" t="s">
        <v>2247</v>
      </c>
      <c r="L3786" s="433">
        <v>69.77</v>
      </c>
      <c r="M3786" s="136">
        <f t="shared" si="105"/>
        <v>-24033.502296666393</v>
      </c>
    </row>
    <row r="3787" spans="1:13">
      <c r="A3787" s="54" t="str">
        <f>D3787&amp;E3787&amp;F3787</f>
        <v>HRFONDO Y REPOSICIONHR</v>
      </c>
      <c r="B3787" t="s">
        <v>2028</v>
      </c>
      <c r="C3787" s="1">
        <f>C3786</f>
        <v>45929</v>
      </c>
      <c r="D3787" s="71" t="s">
        <v>29</v>
      </c>
      <c r="E3787" s="71" t="s">
        <v>120</v>
      </c>
      <c r="F3787" s="70" t="s">
        <v>29</v>
      </c>
      <c r="G3787" s="71" t="s">
        <v>258</v>
      </c>
      <c r="J3787" s="76" t="s">
        <v>2248</v>
      </c>
      <c r="L3787" s="434">
        <v>25</v>
      </c>
      <c r="M3787" s="136">
        <f t="shared" si="105"/>
        <v>-24058.502296666393</v>
      </c>
    </row>
    <row r="3788" spans="1:13">
      <c r="A3788" s="54" t="str">
        <f>D3788&amp;E3788&amp;F3788</f>
        <v>HRINSUMOSHR</v>
      </c>
      <c r="B3788" t="s">
        <v>2028</v>
      </c>
      <c r="C3788" s="1">
        <f>C3787</f>
        <v>45929</v>
      </c>
      <c r="D3788" s="71" t="s">
        <v>29</v>
      </c>
      <c r="E3788" s="71" t="s">
        <v>133</v>
      </c>
      <c r="F3788" s="70" t="s">
        <v>29</v>
      </c>
      <c r="J3788" s="76" t="s">
        <v>1574</v>
      </c>
      <c r="L3788" s="434">
        <v>379</v>
      </c>
      <c r="M3788" s="136">
        <f t="shared" si="105"/>
        <v>-24437.502296666393</v>
      </c>
    </row>
    <row r="3789" spans="1:13">
      <c r="A3789" s="54" t="str">
        <f>D3789&amp;E3789&amp;F3789</f>
        <v>HRNOMINA SUCURSALA22</v>
      </c>
      <c r="B3789" t="s">
        <v>2028</v>
      </c>
      <c r="C3789" s="1">
        <f>C3788</f>
        <v>45929</v>
      </c>
      <c r="D3789" s="71" t="s">
        <v>29</v>
      </c>
      <c r="E3789" s="71" t="s">
        <v>154</v>
      </c>
      <c r="F3789" s="70" t="s">
        <v>104</v>
      </c>
      <c r="J3789" s="76" t="s">
        <v>2249</v>
      </c>
      <c r="L3789" s="434">
        <v>250</v>
      </c>
      <c r="M3789" s="136">
        <f t="shared" si="105"/>
        <v>-24687.502296666393</v>
      </c>
    </row>
    <row r="3790" spans="1:13">
      <c r="A3790" s="54" t="str">
        <f>D3790&amp;E3790&amp;F3790</f>
        <v>CAPUBERCAP</v>
      </c>
      <c r="B3790" t="s">
        <v>2028</v>
      </c>
      <c r="C3790" s="1">
        <f>C3789</f>
        <v>45929</v>
      </c>
      <c r="D3790" s="71" t="s">
        <v>31</v>
      </c>
      <c r="E3790" s="71" t="s">
        <v>189</v>
      </c>
      <c r="F3790" s="70" t="s">
        <v>31</v>
      </c>
      <c r="J3790" s="76" t="s">
        <v>253</v>
      </c>
      <c r="L3790" s="522">
        <v>1025</v>
      </c>
      <c r="M3790" s="136">
        <f t="shared" si="105"/>
        <v>-25712.502296666393</v>
      </c>
    </row>
    <row r="3791" spans="1:13">
      <c r="A3791" s="54" t="str">
        <f>D3791&amp;E3791&amp;F3791</f>
        <v>CAPUBERCAP</v>
      </c>
      <c r="B3791" t="s">
        <v>2028</v>
      </c>
      <c r="C3791" s="1">
        <f>C3790</f>
        <v>45929</v>
      </c>
      <c r="D3791" s="71" t="s">
        <v>31</v>
      </c>
      <c r="E3791" s="71" t="s">
        <v>189</v>
      </c>
      <c r="F3791" s="70" t="s">
        <v>31</v>
      </c>
      <c r="J3791" s="76" t="s">
        <v>257</v>
      </c>
      <c r="L3791" s="522">
        <v>458</v>
      </c>
      <c r="M3791" s="136">
        <f t="shared" si="105"/>
        <v>-26170.502296666393</v>
      </c>
    </row>
    <row r="3792" spans="1:13">
      <c r="A3792" s="54" t="str">
        <f>D3792&amp;E3792&amp;F3792</f>
        <v>CAPINSUMOSCAPRICHOS</v>
      </c>
      <c r="B3792" t="s">
        <v>2028</v>
      </c>
      <c r="C3792" s="1">
        <f>C3791</f>
        <v>45929</v>
      </c>
      <c r="D3792" s="71" t="s">
        <v>31</v>
      </c>
      <c r="E3792" s="71" t="s">
        <v>133</v>
      </c>
      <c r="F3792" s="143" t="s">
        <v>33</v>
      </c>
      <c r="J3792" s="76" t="s">
        <v>2250</v>
      </c>
      <c r="L3792" s="434">
        <v>165</v>
      </c>
      <c r="M3792" s="136">
        <f t="shared" si="105"/>
        <v>-26335.502296666393</v>
      </c>
    </row>
    <row r="3793" spans="1:13">
      <c r="A3793" s="54" t="str">
        <f>D3793&amp;E3793&amp;F3793</f>
        <v>SERVICIOSCOMBUSTIBLEMANTENIMIENTO</v>
      </c>
      <c r="B3793" t="s">
        <v>2028</v>
      </c>
      <c r="C3793" s="1">
        <f>C3792</f>
        <v>45929</v>
      </c>
      <c r="D3793" s="71" t="s">
        <v>21</v>
      </c>
      <c r="E3793" s="71" t="s">
        <v>32</v>
      </c>
      <c r="F3793" s="70" t="s">
        <v>35</v>
      </c>
      <c r="G3793" s="71" t="s">
        <v>258</v>
      </c>
      <c r="J3793" s="76" t="s">
        <v>2251</v>
      </c>
      <c r="L3793" s="434">
        <v>200</v>
      </c>
      <c r="M3793" s="136">
        <f t="shared" si="105"/>
        <v>-26535.502296666393</v>
      </c>
    </row>
    <row r="3794" spans="1:13">
      <c r="A3794" s="54" t="str">
        <f t="shared" ref="A3794:A3857" si="106">D3794&amp;E3794&amp;F3794</f>
        <v/>
      </c>
      <c r="B3794" t="s">
        <v>2028</v>
      </c>
      <c r="C3794" s="1">
        <v>45930</v>
      </c>
      <c r="D3794" s="71"/>
      <c r="F3794" s="70"/>
      <c r="J3794" s="71" t="s">
        <v>2045</v>
      </c>
      <c r="K3794" s="325">
        <v>166902.46</v>
      </c>
      <c r="L3794" s="432"/>
      <c r="M3794" s="136">
        <f t="shared" si="105"/>
        <v>140366.95770333361</v>
      </c>
    </row>
    <row r="3795" spans="1:13">
      <c r="A3795" s="54" t="str">
        <f>D3795&amp;E3795&amp;F3795</f>
        <v>FINANZASCOMISIONES BANCARIASTPV</v>
      </c>
      <c r="B3795" t="s">
        <v>2028</v>
      </c>
      <c r="C3795" s="1">
        <f>C3794</f>
        <v>45930</v>
      </c>
      <c r="D3795" s="71" t="s">
        <v>23</v>
      </c>
      <c r="E3795" s="71" t="s">
        <v>48</v>
      </c>
      <c r="F3795" s="70" t="s">
        <v>50</v>
      </c>
      <c r="G3795" s="71" t="s">
        <v>258</v>
      </c>
      <c r="J3795" s="71" t="s">
        <v>217</v>
      </c>
      <c r="L3795" s="433">
        <f>182.92+1125.37+1005.27+833.87+6.96+5.8+47.3</f>
        <v>3207.4900000000002</v>
      </c>
      <c r="M3795" s="136">
        <f t="shared" si="105"/>
        <v>137159.46770333362</v>
      </c>
    </row>
    <row r="3796" spans="1:13">
      <c r="A3796" s="54" t="str">
        <f>D3796&amp;E3796&amp;F3796</f>
        <v>FINANZASCOMISIONES BANCARIASMANEJO DE CUENTA</v>
      </c>
      <c r="B3796" t="s">
        <v>2028</v>
      </c>
      <c r="C3796" s="1">
        <f>C3795</f>
        <v>45930</v>
      </c>
      <c r="D3796" s="71" t="s">
        <v>23</v>
      </c>
      <c r="E3796" s="71" t="s">
        <v>48</v>
      </c>
      <c r="F3796" s="70" t="s">
        <v>49</v>
      </c>
      <c r="J3796" s="71" t="s">
        <v>2252</v>
      </c>
      <c r="L3796" s="433">
        <v>464</v>
      </c>
      <c r="M3796" s="136">
        <f t="shared" si="105"/>
        <v>136695.46770333362</v>
      </c>
    </row>
    <row r="3797" spans="1:13">
      <c r="A3797" s="54" t="str">
        <f t="shared" si="106"/>
        <v/>
      </c>
      <c r="B3797" t="s">
        <v>2028</v>
      </c>
      <c r="C3797" s="1">
        <f>C3795</f>
        <v>45930</v>
      </c>
      <c r="D3797" s="71"/>
      <c r="F3797" s="70"/>
      <c r="J3797" s="205" t="s">
        <v>1562</v>
      </c>
      <c r="K3797" s="205"/>
      <c r="L3797" s="428">
        <v>80000</v>
      </c>
      <c r="M3797" s="136">
        <f t="shared" si="105"/>
        <v>56695.467703333619</v>
      </c>
    </row>
    <row r="3798" spans="1:13">
      <c r="A3798" s="54" t="str">
        <f t="shared" si="106"/>
        <v/>
      </c>
      <c r="B3798" t="s">
        <v>2028</v>
      </c>
      <c r="C3798" s="1">
        <f>C3797</f>
        <v>45930</v>
      </c>
      <c r="D3798" s="71"/>
      <c r="F3798" s="70"/>
      <c r="J3798" s="205" t="s">
        <v>222</v>
      </c>
      <c r="K3798" s="205"/>
      <c r="L3798" s="428"/>
      <c r="M3798" s="136">
        <f t="shared" si="105"/>
        <v>56695.467703333619</v>
      </c>
    </row>
    <row r="3799" spans="1:13">
      <c r="A3799" s="54" t="str">
        <f>D3799&amp;E3799&amp;F3799</f>
        <v>FINANZASTELEFONIATELMEX</v>
      </c>
      <c r="B3799" t="s">
        <v>2028</v>
      </c>
      <c r="C3799" s="1">
        <f>C3798</f>
        <v>45930</v>
      </c>
      <c r="D3799" s="71" t="s">
        <v>23</v>
      </c>
      <c r="E3799" s="71" t="s">
        <v>181</v>
      </c>
      <c r="F3799" s="70" t="s">
        <v>182</v>
      </c>
      <c r="J3799" s="71" t="s">
        <v>2253</v>
      </c>
      <c r="L3799" s="433">
        <v>24358</v>
      </c>
      <c r="M3799" s="136">
        <f t="shared" si="105"/>
        <v>32337.467703333619</v>
      </c>
    </row>
    <row r="3800" spans="1:13">
      <c r="A3800" s="54" t="str">
        <f>D3800&amp;E3800&amp;F3800</f>
        <v>HRJMASA10</v>
      </c>
      <c r="B3800" t="s">
        <v>2028</v>
      </c>
      <c r="C3800" s="1">
        <f>C3799</f>
        <v>45930</v>
      </c>
      <c r="D3800" s="71" t="s">
        <v>29</v>
      </c>
      <c r="E3800" s="71" t="s">
        <v>137</v>
      </c>
      <c r="F3800" s="70" t="s">
        <v>96</v>
      </c>
      <c r="J3800" s="71" t="s">
        <v>234</v>
      </c>
      <c r="L3800" s="433">
        <v>5580</v>
      </c>
      <c r="M3800" s="136">
        <f t="shared" si="105"/>
        <v>26757.467703333619</v>
      </c>
    </row>
    <row r="3801" spans="1:13">
      <c r="A3801" s="54" t="str">
        <f>D3801&amp;E3801&amp;F3801</f>
        <v>HRJMASA1</v>
      </c>
      <c r="B3801" t="s">
        <v>2028</v>
      </c>
      <c r="C3801" s="1">
        <f>C3800</f>
        <v>45930</v>
      </c>
      <c r="D3801" s="71" t="s">
        <v>29</v>
      </c>
      <c r="E3801" s="71" t="s">
        <v>137</v>
      </c>
      <c r="F3801" s="71" t="s">
        <v>88</v>
      </c>
      <c r="J3801" s="71" t="s">
        <v>2254</v>
      </c>
      <c r="L3801" s="433">
        <f>423+580</f>
        <v>1003</v>
      </c>
      <c r="M3801" s="136">
        <f t="shared" si="105"/>
        <v>25754.467703333619</v>
      </c>
    </row>
    <row r="3802" spans="1:13">
      <c r="A3802" s="54" t="str">
        <f>D3802&amp;E3802&amp;F3802</f>
        <v>CAPJMASE1</v>
      </c>
      <c r="B3802" t="s">
        <v>2028</v>
      </c>
      <c r="C3802" s="1">
        <f>C3801</f>
        <v>45930</v>
      </c>
      <c r="D3802" s="71" t="s">
        <v>31</v>
      </c>
      <c r="E3802" s="71" t="s">
        <v>137</v>
      </c>
      <c r="F3802" s="70" t="s">
        <v>107</v>
      </c>
      <c r="J3802" s="71" t="s">
        <v>233</v>
      </c>
      <c r="L3802" s="433">
        <v>849</v>
      </c>
      <c r="M3802" s="136">
        <f t="shared" si="105"/>
        <v>24905.467703333619</v>
      </c>
    </row>
    <row r="3803" spans="1:13">
      <c r="A3803" s="54" t="str">
        <f>D3803&amp;E3803&amp;F3803</f>
        <v>HRJMASA9</v>
      </c>
      <c r="B3803" t="s">
        <v>2028</v>
      </c>
      <c r="C3803" s="1">
        <f>C3802</f>
        <v>45930</v>
      </c>
      <c r="D3803" s="71" t="s">
        <v>29</v>
      </c>
      <c r="E3803" s="71" t="s">
        <v>137</v>
      </c>
      <c r="F3803" s="70" t="s">
        <v>95</v>
      </c>
      <c r="J3803" s="71" t="s">
        <v>235</v>
      </c>
      <c r="L3803" s="433">
        <v>1455</v>
      </c>
      <c r="M3803" s="136">
        <f t="shared" si="105"/>
        <v>23450.467703333619</v>
      </c>
    </row>
    <row r="3804" spans="1:13">
      <c r="A3804" s="54" t="str">
        <f>D3804&amp;E3804&amp;F3804</f>
        <v>HRJMASCEDIS</v>
      </c>
      <c r="B3804" t="s">
        <v>2028</v>
      </c>
      <c r="C3804" s="1">
        <f>C3803</f>
        <v>45930</v>
      </c>
      <c r="D3804" s="71" t="s">
        <v>29</v>
      </c>
      <c r="E3804" s="71" t="s">
        <v>137</v>
      </c>
      <c r="F3804" s="70" t="s">
        <v>28</v>
      </c>
      <c r="G3804" s="71" t="s">
        <v>258</v>
      </c>
      <c r="J3804" s="71" t="s">
        <v>1128</v>
      </c>
      <c r="L3804" s="433">
        <f>768+854+1262</f>
        <v>2884</v>
      </c>
      <c r="M3804" s="136">
        <f t="shared" si="105"/>
        <v>20566.467703333619</v>
      </c>
    </row>
    <row r="3805" spans="1:13">
      <c r="A3805" s="54" t="str">
        <f>D3805&amp;E3805&amp;F3805</f>
        <v>HRJMASA2</v>
      </c>
      <c r="B3805" t="s">
        <v>2028</v>
      </c>
      <c r="C3805" s="1">
        <f>C3804</f>
        <v>45930</v>
      </c>
      <c r="D3805" s="71" t="s">
        <v>29</v>
      </c>
      <c r="E3805" s="71" t="s">
        <v>137</v>
      </c>
      <c r="F3805" s="70" t="s">
        <v>89</v>
      </c>
      <c r="J3805" s="71" t="s">
        <v>236</v>
      </c>
      <c r="L3805" s="433">
        <f>433+433</f>
        <v>866</v>
      </c>
      <c r="M3805" s="136">
        <f t="shared" si="105"/>
        <v>19700.467703333619</v>
      </c>
    </row>
    <row r="3806" spans="1:13">
      <c r="A3806" s="54" t="str">
        <f>D3806&amp;E3806&amp;F3806</f>
        <v>FINANZASVIATICOSFINANZAS</v>
      </c>
      <c r="B3806" t="s">
        <v>2028</v>
      </c>
      <c r="C3806" s="1">
        <f>C3805</f>
        <v>45930</v>
      </c>
      <c r="D3806" s="71" t="s">
        <v>23</v>
      </c>
      <c r="E3806" s="71" t="s">
        <v>191</v>
      </c>
      <c r="F3806" s="70" t="s">
        <v>23</v>
      </c>
      <c r="J3806" s="71" t="s">
        <v>2255</v>
      </c>
      <c r="L3806" s="433">
        <v>800</v>
      </c>
      <c r="M3806" s="136">
        <f t="shared" si="105"/>
        <v>18900.467703333619</v>
      </c>
    </row>
    <row r="3807" spans="1:13">
      <c r="A3807" s="54" t="str">
        <f>D3807&amp;E3807&amp;F3807</f>
        <v>SERVICIOSMTTO DE EDIFICIOMANTENIMIENTO</v>
      </c>
      <c r="B3807" t="s">
        <v>2028</v>
      </c>
      <c r="C3807" s="1">
        <f>C3806</f>
        <v>45930</v>
      </c>
      <c r="D3807" s="71" t="s">
        <v>21</v>
      </c>
      <c r="E3807" s="71" t="s">
        <v>142</v>
      </c>
      <c r="F3807" s="70" t="s">
        <v>35</v>
      </c>
      <c r="G3807" s="71" t="s">
        <v>258</v>
      </c>
      <c r="J3807" s="71" t="s">
        <v>1551</v>
      </c>
      <c r="L3807" s="433">
        <v>22804</v>
      </c>
      <c r="M3807" s="136">
        <f t="shared" si="105"/>
        <v>-3903.5322966663807</v>
      </c>
    </row>
    <row r="3808" spans="1:13">
      <c r="A3808" s="54" t="str">
        <f>D3808&amp;E3808&amp;F3808</f>
        <v>SERVICIOSPAQUETERIACEDIS (E6)</v>
      </c>
      <c r="B3808" t="s">
        <v>2028</v>
      </c>
      <c r="C3808" s="1">
        <f>C3807</f>
        <v>45930</v>
      </c>
      <c r="D3808" s="71" t="s">
        <v>21</v>
      </c>
      <c r="E3808" s="71" t="s">
        <v>160</v>
      </c>
      <c r="F3808" s="70" t="s">
        <v>161</v>
      </c>
      <c r="J3808" s="71" t="s">
        <v>229</v>
      </c>
      <c r="L3808" s="433">
        <v>1893.31</v>
      </c>
      <c r="M3808" s="136">
        <f t="shared" si="105"/>
        <v>-5796.8422966663802</v>
      </c>
    </row>
    <row r="3809" spans="1:13">
      <c r="A3809" s="54" t="str">
        <f>D3809&amp;E3809&amp;F3809</f>
        <v>HRFONDO Y REPOSICIONHR</v>
      </c>
      <c r="B3809" t="s">
        <v>2028</v>
      </c>
      <c r="C3809" s="1">
        <f>C3808</f>
        <v>45930</v>
      </c>
      <c r="D3809" s="71" t="s">
        <v>29</v>
      </c>
      <c r="E3809" s="71" t="s">
        <v>120</v>
      </c>
      <c r="F3809" s="70" t="s">
        <v>29</v>
      </c>
      <c r="J3809" s="71" t="s">
        <v>830</v>
      </c>
      <c r="L3809" s="433">
        <v>2734</v>
      </c>
      <c r="M3809" s="136">
        <f t="shared" si="105"/>
        <v>-8530.8422966663802</v>
      </c>
    </row>
    <row r="3810" spans="1:13">
      <c r="A3810" s="54" t="str">
        <f>D3810&amp;E3810&amp;F3810</f>
        <v>HRFONDO Y REPOSICIONHR</v>
      </c>
      <c r="B3810" t="s">
        <v>2028</v>
      </c>
      <c r="C3810" s="1">
        <f>C3809</f>
        <v>45930</v>
      </c>
      <c r="D3810" s="71" t="s">
        <v>29</v>
      </c>
      <c r="E3810" s="71" t="s">
        <v>120</v>
      </c>
      <c r="F3810" s="70" t="s">
        <v>29</v>
      </c>
      <c r="J3810" s="71" t="s">
        <v>2256</v>
      </c>
      <c r="L3810" s="433">
        <v>3633</v>
      </c>
      <c r="M3810" s="136">
        <f t="shared" si="105"/>
        <v>-12163.84229666638</v>
      </c>
    </row>
    <row r="3811" spans="1:13">
      <c r="A3811" s="54" t="str">
        <f>D3811&amp;E3811&amp;F3811</f>
        <v>HRFONDO Y REPOSICIONHR</v>
      </c>
      <c r="B3811" t="s">
        <v>2028</v>
      </c>
      <c r="C3811" s="1">
        <f>C3810</f>
        <v>45930</v>
      </c>
      <c r="D3811" s="71" t="s">
        <v>29</v>
      </c>
      <c r="E3811" s="71" t="s">
        <v>120</v>
      </c>
      <c r="F3811" s="70" t="s">
        <v>29</v>
      </c>
      <c r="J3811" s="71" t="s">
        <v>553</v>
      </c>
      <c r="L3811" s="433">
        <v>2380</v>
      </c>
      <c r="M3811" s="136">
        <f t="shared" si="105"/>
        <v>-14543.84229666638</v>
      </c>
    </row>
    <row r="3812" spans="1:13">
      <c r="A3812" s="54" t="str">
        <f>D3812&amp;E3812&amp;F3812</f>
        <v>HRVIATICOSHR</v>
      </c>
      <c r="B3812" t="s">
        <v>2028</v>
      </c>
      <c r="C3812" s="1">
        <f>C3811</f>
        <v>45930</v>
      </c>
      <c r="D3812" s="71" t="s">
        <v>29</v>
      </c>
      <c r="E3812" s="71" t="s">
        <v>191</v>
      </c>
      <c r="F3812" s="70" t="s">
        <v>29</v>
      </c>
      <c r="J3812" s="71" t="s">
        <v>2257</v>
      </c>
      <c r="L3812" s="433">
        <v>5600</v>
      </c>
      <c r="M3812" s="136">
        <f t="shared" si="105"/>
        <v>-20143.842296666378</v>
      </c>
    </row>
    <row r="3813" spans="1:13">
      <c r="A3813" s="54" t="str">
        <f>D3813&amp;E3813&amp;F3813</f>
        <v>SERVICIOSINSUMOSCADENA DE SUMINISTROS</v>
      </c>
      <c r="B3813" t="s">
        <v>2028</v>
      </c>
      <c r="C3813" s="1">
        <f>C3812</f>
        <v>45930</v>
      </c>
      <c r="D3813" s="71" t="s">
        <v>21</v>
      </c>
      <c r="E3813" s="71" t="s">
        <v>133</v>
      </c>
      <c r="F3813" s="70" t="s">
        <v>134</v>
      </c>
      <c r="J3813" t="s">
        <v>2258</v>
      </c>
      <c r="K3813" s="441"/>
      <c r="L3813" s="245">
        <v>9883.2000000000007</v>
      </c>
      <c r="M3813" s="136">
        <f t="shared" si="105"/>
        <v>-30027.042296666379</v>
      </c>
    </row>
    <row r="3814" spans="1:13">
      <c r="A3814" s="54" t="str">
        <f>D3814&amp;E3814&amp;F3814</f>
        <v>HRNOMINA SUCURSALA1</v>
      </c>
      <c r="B3814" t="s">
        <v>2028</v>
      </c>
      <c r="C3814" s="1">
        <f>C3812</f>
        <v>45930</v>
      </c>
      <c r="D3814" s="71" t="s">
        <v>29</v>
      </c>
      <c r="E3814" s="71" t="s">
        <v>154</v>
      </c>
      <c r="F3814" s="70" t="s">
        <v>88</v>
      </c>
      <c r="J3814" s="71" t="s">
        <v>2259</v>
      </c>
      <c r="L3814" s="433">
        <v>342</v>
      </c>
      <c r="M3814" s="136">
        <f t="shared" si="105"/>
        <v>-30369.042296666379</v>
      </c>
    </row>
    <row r="3815" spans="1:13">
      <c r="A3815" s="54" t="str">
        <f>D3815&amp;E3815&amp;F3815</f>
        <v>HRUBERHR</v>
      </c>
      <c r="B3815" t="s">
        <v>2028</v>
      </c>
      <c r="C3815" s="1">
        <f>C3814</f>
        <v>45930</v>
      </c>
      <c r="D3815" s="71" t="s">
        <v>29</v>
      </c>
      <c r="E3815" s="71" t="s">
        <v>189</v>
      </c>
      <c r="F3815" s="70" t="s">
        <v>29</v>
      </c>
      <c r="J3815" s="71" t="s">
        <v>291</v>
      </c>
      <c r="L3815" s="523">
        <v>90</v>
      </c>
      <c r="M3815" s="136">
        <f t="shared" si="105"/>
        <v>-30459.042296666379</v>
      </c>
    </row>
    <row r="3816" spans="1:13">
      <c r="A3816" s="54" t="str">
        <f>D3816&amp;E3816&amp;F3816</f>
        <v>CAPUBERCAP</v>
      </c>
      <c r="B3816" t="s">
        <v>2028</v>
      </c>
      <c r="C3816" s="1">
        <f>C3815</f>
        <v>45930</v>
      </c>
      <c r="D3816" s="71" t="s">
        <v>31</v>
      </c>
      <c r="E3816" s="71" t="s">
        <v>189</v>
      </c>
      <c r="F3816" s="70" t="s">
        <v>31</v>
      </c>
      <c r="J3816" s="71" t="s">
        <v>253</v>
      </c>
      <c r="L3816" s="523">
        <v>483</v>
      </c>
      <c r="M3816" s="136">
        <f t="shared" si="105"/>
        <v>-30942.042296666379</v>
      </c>
    </row>
    <row r="3817" spans="1:13">
      <c r="A3817" s="54" t="str">
        <f>D3817&amp;E3817&amp;F3817</f>
        <v>CAPUBERCAP</v>
      </c>
      <c r="B3817" t="s">
        <v>2028</v>
      </c>
      <c r="C3817" s="1">
        <f>C3816</f>
        <v>45930</v>
      </c>
      <c r="D3817" s="71" t="s">
        <v>31</v>
      </c>
      <c r="E3817" s="71" t="s">
        <v>189</v>
      </c>
      <c r="F3817" s="70" t="s">
        <v>31</v>
      </c>
      <c r="J3817" s="71" t="s">
        <v>257</v>
      </c>
      <c r="L3817" s="523">
        <v>100</v>
      </c>
      <c r="M3817" s="136">
        <f t="shared" si="105"/>
        <v>-31042.042296666379</v>
      </c>
    </row>
    <row r="3818" spans="1:13">
      <c r="A3818" s="54" t="str">
        <f t="shared" si="106"/>
        <v/>
      </c>
      <c r="B3818" t="s">
        <v>2028</v>
      </c>
      <c r="C3818" s="1">
        <f>C3817</f>
        <v>45930</v>
      </c>
      <c r="D3818" s="71"/>
      <c r="F3818" s="70"/>
      <c r="J3818" s="71" t="s">
        <v>362</v>
      </c>
      <c r="L3818" s="433">
        <v>157</v>
      </c>
      <c r="M3818" s="136">
        <f t="shared" si="105"/>
        <v>-31199.042296666379</v>
      </c>
    </row>
    <row r="3819" spans="1:13">
      <c r="A3819" s="54" t="str">
        <f t="shared" si="106"/>
        <v/>
      </c>
      <c r="B3819" t="s">
        <v>2028</v>
      </c>
      <c r="C3819" s="1">
        <v>45931</v>
      </c>
      <c r="D3819" s="71"/>
      <c r="F3819" s="70"/>
      <c r="J3819" s="71" t="s">
        <v>2045</v>
      </c>
      <c r="K3819" s="325">
        <v>173452.44</v>
      </c>
      <c r="L3819" s="432"/>
      <c r="M3819" s="136">
        <f t="shared" si="105"/>
        <v>142253.39770333361</v>
      </c>
    </row>
    <row r="3820" spans="1:13">
      <c r="A3820" s="54" t="str">
        <f t="shared" si="106"/>
        <v>FINANZASCOMISIONES BANCARIAS</v>
      </c>
      <c r="B3820" t="s">
        <v>2028</v>
      </c>
      <c r="C3820" s="1">
        <f>C3819</f>
        <v>45931</v>
      </c>
      <c r="D3820" s="71" t="s">
        <v>23</v>
      </c>
      <c r="E3820" s="71" t="s">
        <v>48</v>
      </c>
      <c r="F3820" s="70"/>
      <c r="J3820" s="71" t="s">
        <v>217</v>
      </c>
      <c r="L3820" s="433">
        <f>158.89+107.23+260.9+1453.5+1314.96+825+435+41.76</f>
        <v>4597.24</v>
      </c>
      <c r="M3820" s="136">
        <f t="shared" si="105"/>
        <v>137656.15770333362</v>
      </c>
    </row>
    <row r="3821" spans="1:13">
      <c r="A3821" s="54" t="str">
        <f t="shared" si="106"/>
        <v/>
      </c>
      <c r="B3821" t="s">
        <v>2028</v>
      </c>
      <c r="C3821" s="1">
        <f>C3820</f>
        <v>45931</v>
      </c>
      <c r="D3821" s="71"/>
      <c r="F3821" s="70"/>
      <c r="J3821" s="71" t="s">
        <v>218</v>
      </c>
      <c r="L3821" s="433">
        <f>5800+6090+36+5.76+873+139.71+464</f>
        <v>13408.47</v>
      </c>
      <c r="M3821" s="136">
        <f t="shared" si="105"/>
        <v>124247.68770333362</v>
      </c>
    </row>
    <row r="3822" spans="1:13">
      <c r="A3822" s="54" t="str">
        <f t="shared" si="106"/>
        <v/>
      </c>
      <c r="B3822" t="s">
        <v>2028</v>
      </c>
      <c r="C3822" s="1">
        <f>C3820</f>
        <v>45931</v>
      </c>
      <c r="D3822" s="71"/>
      <c r="F3822" s="70"/>
      <c r="J3822" s="205" t="s">
        <v>1562</v>
      </c>
      <c r="K3822" s="205"/>
      <c r="L3822" s="428">
        <v>120000</v>
      </c>
      <c r="M3822" s="136">
        <f t="shared" si="105"/>
        <v>4247.6877033336204</v>
      </c>
    </row>
    <row r="3823" spans="1:13">
      <c r="A3823" s="54" t="str">
        <f t="shared" si="106"/>
        <v/>
      </c>
      <c r="B3823" t="s">
        <v>2028</v>
      </c>
      <c r="C3823" s="1">
        <f>C3822</f>
        <v>45931</v>
      </c>
      <c r="D3823" s="71"/>
      <c r="F3823" s="70"/>
      <c r="J3823" s="205" t="s">
        <v>222</v>
      </c>
      <c r="K3823" s="205"/>
      <c r="L3823" s="428"/>
      <c r="M3823" s="136">
        <f t="shared" si="105"/>
        <v>4247.6877033336204</v>
      </c>
    </row>
    <row r="3824" spans="1:13">
      <c r="A3824" s="54" t="str">
        <f>D3824&amp;E3824&amp;F3824</f>
        <v>SERVICIOSADQ DE EQ TECNOLOGICOADQ DE EQ TECNOLOGICO</v>
      </c>
      <c r="B3824" t="s">
        <v>2028</v>
      </c>
      <c r="C3824" s="1">
        <f>C3823</f>
        <v>45931</v>
      </c>
      <c r="D3824" s="71" t="s">
        <v>21</v>
      </c>
      <c r="E3824" s="71" t="s">
        <v>22</v>
      </c>
      <c r="F3824" s="70" t="s">
        <v>22</v>
      </c>
      <c r="G3824" s="83" t="s">
        <v>258</v>
      </c>
      <c r="J3824" s="71" t="s">
        <v>2260</v>
      </c>
      <c r="L3824" s="433">
        <v>24144.21</v>
      </c>
      <c r="M3824" s="136">
        <f t="shared" si="105"/>
        <v>-19896.522296666379</v>
      </c>
    </row>
    <row r="3825" spans="1:13">
      <c r="A3825" s="54" t="str">
        <f>D3825&amp;E3825&amp;F3825</f>
        <v>CAPVIATICOSCAPRICHOS</v>
      </c>
      <c r="B3825" t="s">
        <v>2028</v>
      </c>
      <c r="C3825" s="1">
        <f t="shared" ref="C3825:C3891" si="107">C3824</f>
        <v>45931</v>
      </c>
      <c r="D3825" s="71" t="s">
        <v>31</v>
      </c>
      <c r="E3825" s="71" t="s">
        <v>191</v>
      </c>
      <c r="F3825" s="70" t="s">
        <v>33</v>
      </c>
      <c r="J3825" s="71" t="s">
        <v>2261</v>
      </c>
      <c r="L3825" s="433">
        <v>3000</v>
      </c>
      <c r="M3825" s="136">
        <f t="shared" si="105"/>
        <v>-22896.522296666379</v>
      </c>
    </row>
    <row r="3826" spans="1:13">
      <c r="A3826" s="54" t="str">
        <f>D3826&amp;E3826&amp;F3826</f>
        <v>CAPFONDO Y REPOSICIONCAPRICHOS</v>
      </c>
      <c r="B3826" t="s">
        <v>2028</v>
      </c>
      <c r="C3826" s="1">
        <f t="shared" si="107"/>
        <v>45931</v>
      </c>
      <c r="D3826" s="71" t="s">
        <v>31</v>
      </c>
      <c r="E3826" s="71" t="s">
        <v>120</v>
      </c>
      <c r="F3826" s="70" t="s">
        <v>33</v>
      </c>
      <c r="G3826" s="83" t="s">
        <v>258</v>
      </c>
      <c r="J3826" s="71" t="s">
        <v>584</v>
      </c>
      <c r="L3826" s="433">
        <v>1136</v>
      </c>
      <c r="M3826" s="136">
        <f t="shared" si="105"/>
        <v>-24032.522296666379</v>
      </c>
    </row>
    <row r="3827" spans="1:13">
      <c r="A3827" s="54" t="str">
        <f>D3827&amp;E3827&amp;F3827</f>
        <v>CAPFONDO Y REPOSICIONCAPRICHOS</v>
      </c>
      <c r="B3827" t="s">
        <v>2028</v>
      </c>
      <c r="C3827" s="1">
        <f t="shared" si="107"/>
        <v>45931</v>
      </c>
      <c r="D3827" s="71" t="s">
        <v>31</v>
      </c>
      <c r="E3827" s="71" t="s">
        <v>120</v>
      </c>
      <c r="F3827" s="70" t="s">
        <v>33</v>
      </c>
      <c r="G3827" s="83" t="s">
        <v>258</v>
      </c>
      <c r="J3827" s="71" t="s">
        <v>1087</v>
      </c>
      <c r="L3827" s="433">
        <v>1893</v>
      </c>
      <c r="M3827" s="136">
        <f t="shared" si="105"/>
        <v>-25925.522296666379</v>
      </c>
    </row>
    <row r="3828" spans="1:13">
      <c r="A3828" s="54" t="str">
        <f>D3828&amp;E3828&amp;F3828</f>
        <v>SERVICIOSPAQUETERIACT INTERNACIONAL</v>
      </c>
      <c r="B3828" t="s">
        <v>2028</v>
      </c>
      <c r="C3828" s="1">
        <f t="shared" si="107"/>
        <v>45931</v>
      </c>
      <c r="D3828" s="71" t="s">
        <v>21</v>
      </c>
      <c r="E3828" s="71" t="s">
        <v>160</v>
      </c>
      <c r="F3828" s="70" t="s">
        <v>162</v>
      </c>
      <c r="J3828" s="71" t="s">
        <v>275</v>
      </c>
      <c r="L3828" s="433">
        <v>300</v>
      </c>
      <c r="M3828" s="136">
        <f t="shared" si="105"/>
        <v>-26225.522296666379</v>
      </c>
    </row>
    <row r="3829" spans="1:13">
      <c r="A3829" s="54" t="str">
        <f>D3829&amp;E3829&amp;F3829</f>
        <v>CAPUBERCAP</v>
      </c>
      <c r="B3829" t="s">
        <v>2028</v>
      </c>
      <c r="C3829" s="1">
        <f t="shared" si="107"/>
        <v>45931</v>
      </c>
      <c r="D3829" s="71" t="s">
        <v>31</v>
      </c>
      <c r="E3829" s="71" t="s">
        <v>189</v>
      </c>
      <c r="F3829" s="70" t="s">
        <v>31</v>
      </c>
      <c r="J3829" s="76" t="s">
        <v>2262</v>
      </c>
      <c r="L3829" s="522">
        <v>257</v>
      </c>
      <c r="M3829" s="136">
        <f t="shared" si="105"/>
        <v>-26482.522296666379</v>
      </c>
    </row>
    <row r="3830" spans="1:13">
      <c r="A3830" s="54" t="str">
        <f>D3830&amp;E3830&amp;F3830</f>
        <v>CAPUBERCAP</v>
      </c>
      <c r="B3830" t="s">
        <v>2028</v>
      </c>
      <c r="C3830" s="1">
        <f t="shared" si="107"/>
        <v>45931</v>
      </c>
      <c r="D3830" s="71" t="s">
        <v>31</v>
      </c>
      <c r="E3830" s="71" t="s">
        <v>189</v>
      </c>
      <c r="F3830" s="70" t="s">
        <v>31</v>
      </c>
      <c r="J3830" s="76" t="s">
        <v>2263</v>
      </c>
      <c r="L3830" s="522">
        <v>120</v>
      </c>
      <c r="M3830" s="136">
        <f t="shared" si="105"/>
        <v>-26602.522296666379</v>
      </c>
    </row>
    <row r="3831" spans="1:13">
      <c r="A3831" s="54" t="str">
        <f t="shared" si="106"/>
        <v/>
      </c>
      <c r="B3831" t="s">
        <v>2028</v>
      </c>
      <c r="C3831" s="1">
        <v>45932</v>
      </c>
      <c r="D3831" s="71"/>
      <c r="F3831" s="70"/>
      <c r="J3831" s="71" t="s">
        <v>2045</v>
      </c>
      <c r="K3831" s="325">
        <v>183740.03</v>
      </c>
      <c r="L3831" s="432"/>
      <c r="M3831" s="136">
        <f t="shared" si="105"/>
        <v>157137.50770333363</v>
      </c>
    </row>
    <row r="3832" spans="1:13">
      <c r="A3832" s="54" t="str">
        <f>D3832&amp;E3832&amp;F3832</f>
        <v>FINANZASCOMISIONES BANCARIASTPV</v>
      </c>
      <c r="B3832" t="s">
        <v>2028</v>
      </c>
      <c r="C3832" s="1">
        <f t="shared" si="107"/>
        <v>45932</v>
      </c>
      <c r="D3832" s="71" t="s">
        <v>23</v>
      </c>
      <c r="E3832" s="71" t="s">
        <v>48</v>
      </c>
      <c r="F3832" s="70" t="s">
        <v>50</v>
      </c>
      <c r="G3832" s="71" t="s">
        <v>258</v>
      </c>
      <c r="J3832" s="71" t="s">
        <v>217</v>
      </c>
      <c r="L3832" s="433">
        <f>5.8+125.72+1236.72+789.42+971.2+680.34+5.8</f>
        <v>3815</v>
      </c>
      <c r="M3832" s="136">
        <f t="shared" si="105"/>
        <v>153322.50770333363</v>
      </c>
    </row>
    <row r="3833" spans="1:13">
      <c r="A3833" s="54" t="str">
        <f t="shared" si="106"/>
        <v/>
      </c>
      <c r="B3833" t="s">
        <v>2028</v>
      </c>
      <c r="C3833" s="1">
        <f t="shared" si="107"/>
        <v>45932</v>
      </c>
      <c r="D3833" s="71"/>
      <c r="F3833" s="70"/>
      <c r="J3833" s="205" t="s">
        <v>1562</v>
      </c>
      <c r="K3833" s="205"/>
      <c r="L3833" s="428">
        <v>100000</v>
      </c>
      <c r="M3833" s="136">
        <f t="shared" si="105"/>
        <v>53322.507703333627</v>
      </c>
    </row>
    <row r="3834" spans="1:13">
      <c r="A3834" s="54" t="str">
        <f t="shared" si="106"/>
        <v/>
      </c>
      <c r="B3834" t="s">
        <v>2028</v>
      </c>
      <c r="C3834" s="1">
        <f t="shared" si="107"/>
        <v>45932</v>
      </c>
      <c r="D3834" s="71"/>
      <c r="F3834" s="70"/>
      <c r="J3834" s="205" t="s">
        <v>222</v>
      </c>
      <c r="K3834" s="205"/>
      <c r="L3834" s="428"/>
      <c r="M3834" s="136">
        <f t="shared" si="105"/>
        <v>53322.507703333627</v>
      </c>
    </row>
    <row r="3835" spans="1:13" ht="12.75" customHeight="1">
      <c r="A3835" s="54" t="str">
        <f>D3835&amp;E3835&amp;F3835</f>
        <v>CAPVIATICOSCAPRICHOS</v>
      </c>
      <c r="B3835" t="s">
        <v>2028</v>
      </c>
      <c r="C3835" s="1">
        <f t="shared" si="107"/>
        <v>45932</v>
      </c>
      <c r="D3835" s="71" t="s">
        <v>31</v>
      </c>
      <c r="E3835" s="71" t="s">
        <v>191</v>
      </c>
      <c r="F3835" s="70" t="s">
        <v>33</v>
      </c>
      <c r="J3835" s="71" t="s">
        <v>2264</v>
      </c>
      <c r="L3835" s="433">
        <v>500</v>
      </c>
      <c r="M3835" s="136">
        <f t="shared" si="105"/>
        <v>52822.507703333627</v>
      </c>
    </row>
    <row r="3836" spans="1:13">
      <c r="A3836" s="54" t="str">
        <f>D3836&amp;E3836&amp;F3836</f>
        <v>SERVICIOSPAQUETERIACEDIS (E6)</v>
      </c>
      <c r="B3836" t="s">
        <v>2028</v>
      </c>
      <c r="C3836" s="1">
        <f t="shared" si="107"/>
        <v>45932</v>
      </c>
      <c r="D3836" s="71" t="s">
        <v>21</v>
      </c>
      <c r="E3836" s="71" t="s">
        <v>160</v>
      </c>
      <c r="F3836" s="70" t="s">
        <v>161</v>
      </c>
      <c r="J3836" s="71" t="s">
        <v>229</v>
      </c>
      <c r="L3836" s="433">
        <v>1694.6</v>
      </c>
      <c r="M3836" s="136">
        <f t="shared" si="105"/>
        <v>51127.907703333629</v>
      </c>
    </row>
    <row r="3837" spans="1:13">
      <c r="A3837" s="54" t="str">
        <f>D3837&amp;E3837&amp;F3837</f>
        <v>SGEFONDO Y REPOSICIONGESTION EMPRESARIAL</v>
      </c>
      <c r="B3837" t="s">
        <v>2028</v>
      </c>
      <c r="C3837" s="1">
        <f t="shared" si="107"/>
        <v>45932</v>
      </c>
      <c r="D3837" s="71" t="s">
        <v>39</v>
      </c>
      <c r="E3837" s="71" t="s">
        <v>120</v>
      </c>
      <c r="F3837" s="70" t="s">
        <v>40</v>
      </c>
      <c r="G3837" s="71" t="s">
        <v>258</v>
      </c>
      <c r="J3837" s="71" t="s">
        <v>2265</v>
      </c>
      <c r="L3837" s="433">
        <v>2795</v>
      </c>
      <c r="M3837" s="136">
        <f t="shared" si="105"/>
        <v>48332.907703333629</v>
      </c>
    </row>
    <row r="3838" spans="1:13">
      <c r="A3838" s="54" t="str">
        <f>D3838&amp;E3838&amp;F3838</f>
        <v>HRINSUMOSHR</v>
      </c>
      <c r="B3838" t="s">
        <v>2028</v>
      </c>
      <c r="C3838" s="1">
        <f t="shared" si="107"/>
        <v>45932</v>
      </c>
      <c r="D3838" s="71" t="s">
        <v>29</v>
      </c>
      <c r="E3838" s="71" t="s">
        <v>133</v>
      </c>
      <c r="F3838" s="70" t="s">
        <v>29</v>
      </c>
      <c r="J3838" s="76" t="s">
        <v>2266</v>
      </c>
      <c r="L3838" s="434">
        <v>75</v>
      </c>
      <c r="M3838" s="136">
        <f t="shared" ref="M3838:M3852" si="108">M3837+K3838-L3838</f>
        <v>48257.907703333629</v>
      </c>
    </row>
    <row r="3839" spans="1:13">
      <c r="A3839" s="54" t="str">
        <f>D3839&amp;E3839&amp;F3839</f>
        <v>CAPUBERCAP</v>
      </c>
      <c r="B3839" t="s">
        <v>2028</v>
      </c>
      <c r="C3839" s="1">
        <f t="shared" si="107"/>
        <v>45932</v>
      </c>
      <c r="D3839" s="71" t="s">
        <v>31</v>
      </c>
      <c r="E3839" s="71" t="s">
        <v>189</v>
      </c>
      <c r="F3839" s="70" t="s">
        <v>31</v>
      </c>
      <c r="J3839" s="76" t="s">
        <v>2267</v>
      </c>
      <c r="L3839" s="522">
        <v>208</v>
      </c>
      <c r="M3839" s="136">
        <f t="shared" si="108"/>
        <v>48049.907703333629</v>
      </c>
    </row>
    <row r="3840" spans="1:13">
      <c r="A3840" s="54" t="str">
        <f t="shared" si="106"/>
        <v/>
      </c>
      <c r="B3840" t="s">
        <v>2028</v>
      </c>
      <c r="C3840" s="1">
        <f t="shared" si="107"/>
        <v>45932</v>
      </c>
      <c r="D3840" s="71"/>
      <c r="F3840" s="70"/>
      <c r="J3840" s="76" t="s">
        <v>2268</v>
      </c>
      <c r="L3840" s="522">
        <v>48</v>
      </c>
      <c r="M3840" s="136">
        <f t="shared" si="108"/>
        <v>48001.907703333629</v>
      </c>
    </row>
    <row r="3841" spans="1:13">
      <c r="A3841" s="54" t="str">
        <f t="shared" si="106"/>
        <v/>
      </c>
      <c r="B3841" t="s">
        <v>2028</v>
      </c>
      <c r="C3841" s="1">
        <v>45933</v>
      </c>
      <c r="D3841" s="71"/>
      <c r="F3841" s="70"/>
      <c r="J3841" s="71" t="s">
        <v>2045</v>
      </c>
      <c r="K3841" s="325">
        <v>212760.16</v>
      </c>
      <c r="L3841" s="432"/>
      <c r="M3841" s="136">
        <f>M3840+K3841-L3841</f>
        <v>260762.06770333363</v>
      </c>
    </row>
    <row r="3842" spans="1:13">
      <c r="A3842" s="54" t="str">
        <f t="shared" si="106"/>
        <v/>
      </c>
      <c r="B3842" t="s">
        <v>2028</v>
      </c>
      <c r="C3842" s="1">
        <f t="shared" si="107"/>
        <v>45933</v>
      </c>
      <c r="D3842" s="71"/>
      <c r="F3842" s="70"/>
      <c r="J3842" s="71" t="s">
        <v>2269</v>
      </c>
      <c r="K3842" s="325">
        <v>205000</v>
      </c>
      <c r="L3842" s="432"/>
      <c r="M3842" s="136">
        <f>M3841+K3842-L3842</f>
        <v>465762.06770333363</v>
      </c>
    </row>
    <row r="3843" spans="1:13" ht="13.5" customHeight="1">
      <c r="A3843" s="54" t="str">
        <f t="shared" si="106"/>
        <v/>
      </c>
      <c r="B3843" t="s">
        <v>2028</v>
      </c>
      <c r="C3843" s="1">
        <f>C3842</f>
        <v>45933</v>
      </c>
      <c r="D3843" s="71"/>
      <c r="F3843" s="70"/>
      <c r="J3843" s="71" t="s">
        <v>2270</v>
      </c>
      <c r="K3843" s="325">
        <v>3550</v>
      </c>
      <c r="L3843" s="432"/>
      <c r="M3843" s="136">
        <f>M3842+K3843-L3843</f>
        <v>469312.06770333363</v>
      </c>
    </row>
    <row r="3844" spans="1:13" ht="17.25" customHeight="1">
      <c r="A3844" s="54" t="str">
        <f>D3844&amp;E3844&amp;F3844</f>
        <v>FINANZASCOMISIONES BANCARIASTPV</v>
      </c>
      <c r="B3844" t="s">
        <v>2028</v>
      </c>
      <c r="C3844" s="1">
        <f>C3843</f>
        <v>45933</v>
      </c>
      <c r="D3844" s="71" t="s">
        <v>23</v>
      </c>
      <c r="E3844" s="71" t="s">
        <v>48</v>
      </c>
      <c r="F3844" s="70" t="s">
        <v>50</v>
      </c>
      <c r="J3844" s="71" t="s">
        <v>217</v>
      </c>
      <c r="L3844" s="438">
        <f>1125.72+736.72+789.42+971.2+684.34+775.09+5.8</f>
        <v>5088.2900000000009</v>
      </c>
      <c r="M3844" s="136">
        <f>M3843+K3844-L3844</f>
        <v>464223.77770333365</v>
      </c>
    </row>
    <row r="3845" spans="1:13">
      <c r="A3845" s="54" t="str">
        <f t="shared" si="106"/>
        <v/>
      </c>
      <c r="B3845" t="s">
        <v>2028</v>
      </c>
      <c r="C3845" s="1">
        <f>C3842</f>
        <v>45933</v>
      </c>
      <c r="D3845" s="71"/>
      <c r="F3845" s="70"/>
      <c r="J3845" s="205" t="s">
        <v>1562</v>
      </c>
      <c r="K3845" s="205"/>
      <c r="L3845" s="428">
        <v>339500</v>
      </c>
      <c r="M3845" s="136">
        <f>M3844+K3845-L3845</f>
        <v>124723.77770333365</v>
      </c>
    </row>
    <row r="3846" spans="1:13">
      <c r="A3846" s="54" t="str">
        <f t="shared" si="106"/>
        <v/>
      </c>
      <c r="B3846" t="s">
        <v>2028</v>
      </c>
      <c r="C3846" s="1">
        <f>C3843</f>
        <v>45933</v>
      </c>
      <c r="D3846" s="71"/>
      <c r="F3846" s="70"/>
      <c r="J3846" s="205" t="s">
        <v>222</v>
      </c>
      <c r="K3846" s="205"/>
      <c r="L3846" s="428">
        <v>31000</v>
      </c>
      <c r="M3846" s="136">
        <f>M3845+K3846-L3846</f>
        <v>93723.777703333646</v>
      </c>
    </row>
    <row r="3847" spans="1:13">
      <c r="A3847" s="54" t="str">
        <f t="shared" si="106"/>
        <v/>
      </c>
      <c r="B3847" t="s">
        <v>2028</v>
      </c>
      <c r="C3847" s="1">
        <f>C3845</f>
        <v>45933</v>
      </c>
      <c r="D3847" s="71"/>
      <c r="F3847" s="70"/>
      <c r="J3847" s="71" t="s">
        <v>1969</v>
      </c>
      <c r="L3847" s="433">
        <v>35774.800000000003</v>
      </c>
      <c r="M3847" s="136">
        <f>M3846+K3847-L3847</f>
        <v>57948.977703333643</v>
      </c>
    </row>
    <row r="3848" spans="1:13">
      <c r="A3848" s="54" t="str">
        <f>D3848&amp;E3848&amp;F3848</f>
        <v>DEVIATICOSDIRECCION</v>
      </c>
      <c r="B3848" t="s">
        <v>2028</v>
      </c>
      <c r="C3848" s="1">
        <f t="shared" si="107"/>
        <v>45933</v>
      </c>
      <c r="D3848" s="71" t="s">
        <v>41</v>
      </c>
      <c r="E3848" s="71" t="s">
        <v>191</v>
      </c>
      <c r="F3848" s="70" t="s">
        <v>42</v>
      </c>
      <c r="J3848" s="71" t="s">
        <v>2271</v>
      </c>
      <c r="L3848" s="433">
        <v>1000</v>
      </c>
      <c r="M3848" s="136">
        <f>M3847+K3848-L3848</f>
        <v>56948.977703333643</v>
      </c>
    </row>
    <row r="3849" spans="1:13">
      <c r="A3849" s="54" t="str">
        <f>D3849&amp;E3849&amp;F3849</f>
        <v>SERVICIOSGASCEDIS</v>
      </c>
      <c r="B3849" t="s">
        <v>2028</v>
      </c>
      <c r="C3849" s="1">
        <f t="shared" si="107"/>
        <v>45933</v>
      </c>
      <c r="D3849" s="71" t="s">
        <v>21</v>
      </c>
      <c r="E3849" s="71" t="s">
        <v>122</v>
      </c>
      <c r="F3849" s="70" t="s">
        <v>28</v>
      </c>
      <c r="J3849" s="71" t="s">
        <v>2272</v>
      </c>
      <c r="L3849" s="433">
        <v>300</v>
      </c>
      <c r="M3849" s="136">
        <f t="shared" si="108"/>
        <v>56648.977703333643</v>
      </c>
    </row>
    <row r="3850" spans="1:13">
      <c r="A3850" s="54" t="str">
        <f>D3850&amp;E3850&amp;F3850</f>
        <v>CAPENERGIA ELECTRICAE6</v>
      </c>
      <c r="B3850" t="s">
        <v>2028</v>
      </c>
      <c r="C3850" s="1">
        <f t="shared" si="107"/>
        <v>45933</v>
      </c>
      <c r="D3850" s="71" t="s">
        <v>31</v>
      </c>
      <c r="E3850" s="71" t="s">
        <v>87</v>
      </c>
      <c r="F3850" s="70" t="s">
        <v>112</v>
      </c>
      <c r="J3850" s="71" t="s">
        <v>736</v>
      </c>
      <c r="L3850" s="433">
        <v>7878</v>
      </c>
      <c r="M3850" s="136">
        <f t="shared" si="108"/>
        <v>48770.977703333643</v>
      </c>
    </row>
    <row r="3851" spans="1:13">
      <c r="A3851" s="54" t="str">
        <f>D3851&amp;E3851&amp;F3851</f>
        <v>CAPENERGIA ELECTRICAE6</v>
      </c>
      <c r="B3851" t="s">
        <v>2028</v>
      </c>
      <c r="C3851" s="1">
        <f t="shared" si="107"/>
        <v>45933</v>
      </c>
      <c r="D3851" s="71" t="s">
        <v>31</v>
      </c>
      <c r="E3851" s="71" t="s">
        <v>87</v>
      </c>
      <c r="F3851" s="70" t="s">
        <v>112</v>
      </c>
      <c r="J3851" s="71" t="s">
        <v>2273</v>
      </c>
      <c r="L3851" s="433">
        <v>364</v>
      </c>
      <c r="M3851" s="136">
        <f t="shared" si="108"/>
        <v>48406.977703333643</v>
      </c>
    </row>
    <row r="3852" spans="1:13">
      <c r="A3852" s="54" t="str">
        <f>D3852&amp;E3852&amp;F3852</f>
        <v>MKTINSUMOSINSUMOS</v>
      </c>
      <c r="B3852" t="s">
        <v>2028</v>
      </c>
      <c r="C3852" s="1">
        <f t="shared" si="107"/>
        <v>45933</v>
      </c>
      <c r="D3852" s="71" t="s">
        <v>19</v>
      </c>
      <c r="E3852" s="71" t="s">
        <v>133</v>
      </c>
      <c r="F3852" s="70" t="s">
        <v>133</v>
      </c>
      <c r="J3852" s="71" t="s">
        <v>2274</v>
      </c>
      <c r="L3852" s="433">
        <v>3050</v>
      </c>
      <c r="M3852" s="136">
        <f t="shared" si="108"/>
        <v>45356.977703333643</v>
      </c>
    </row>
    <row r="3853" spans="1:13">
      <c r="A3853" s="54" t="str">
        <f>D3853&amp;E3853&amp;F3853</f>
        <v>SERVICIOSPAQUETERIACT INTERNACIONAL</v>
      </c>
      <c r="B3853" t="s">
        <v>2028</v>
      </c>
      <c r="C3853" s="1">
        <f t="shared" si="107"/>
        <v>45933</v>
      </c>
      <c r="D3853" s="71" t="s">
        <v>21</v>
      </c>
      <c r="E3853" s="71" t="s">
        <v>160</v>
      </c>
      <c r="F3853" s="70" t="s">
        <v>162</v>
      </c>
      <c r="J3853" s="71" t="s">
        <v>275</v>
      </c>
      <c r="L3853" s="433">
        <v>150</v>
      </c>
      <c r="M3853" s="136">
        <f t="shared" ref="M3850:M3859" si="109">M3852+K3853-L3853</f>
        <v>45206.977703333643</v>
      </c>
    </row>
    <row r="3854" spans="1:13">
      <c r="A3854" s="54" t="str">
        <f>D3854&amp;E3854&amp;F3854</f>
        <v>ELIVIATICOSL1</v>
      </c>
      <c r="B3854" t="s">
        <v>2028</v>
      </c>
      <c r="C3854" s="1">
        <f t="shared" si="107"/>
        <v>45933</v>
      </c>
      <c r="D3854" s="71" t="s">
        <v>130</v>
      </c>
      <c r="E3854" s="71" t="s">
        <v>191</v>
      </c>
      <c r="F3854" s="70" t="s">
        <v>136</v>
      </c>
      <c r="G3854" s="83" t="s">
        <v>258</v>
      </c>
      <c r="J3854" s="71" t="s">
        <v>1264</v>
      </c>
      <c r="L3854" s="433">
        <v>1000</v>
      </c>
      <c r="M3854" s="136">
        <f t="shared" si="109"/>
        <v>44206.977703333643</v>
      </c>
    </row>
    <row r="3855" spans="1:13">
      <c r="A3855" s="54" t="str">
        <f>D3855&amp;E3855&amp;F3855</f>
        <v>SERVICIOSTELEPEAJECEDIS</v>
      </c>
      <c r="B3855" t="s">
        <v>2028</v>
      </c>
      <c r="C3855" s="1">
        <f t="shared" si="107"/>
        <v>45933</v>
      </c>
      <c r="D3855" s="71" t="s">
        <v>21</v>
      </c>
      <c r="E3855" s="71" t="s">
        <v>186</v>
      </c>
      <c r="F3855" s="70" t="s">
        <v>28</v>
      </c>
      <c r="G3855" s="71" t="s">
        <v>258</v>
      </c>
      <c r="J3855" s="71" t="s">
        <v>238</v>
      </c>
      <c r="L3855" s="433">
        <v>4711</v>
      </c>
      <c r="M3855" s="136">
        <f t="shared" si="109"/>
        <v>39495.977703333643</v>
      </c>
    </row>
    <row r="3856" spans="1:13">
      <c r="A3856" s="54" t="str">
        <f>D3856&amp;E3856&amp;F3856</f>
        <v>HRTELEPEAJEOP HR</v>
      </c>
      <c r="B3856" t="s">
        <v>2028</v>
      </c>
      <c r="C3856" s="1">
        <f t="shared" si="107"/>
        <v>45933</v>
      </c>
      <c r="D3856" s="71" t="s">
        <v>29</v>
      </c>
      <c r="E3856" s="71" t="s">
        <v>186</v>
      </c>
      <c r="F3856" s="143" t="s">
        <v>187</v>
      </c>
      <c r="J3856" s="71" t="s">
        <v>975</v>
      </c>
      <c r="L3856" s="433">
        <v>294</v>
      </c>
      <c r="M3856" s="136">
        <f>M3855+K3856-L3856</f>
        <v>39201.977703333643</v>
      </c>
    </row>
    <row r="3857" spans="1:14">
      <c r="A3857" s="54" t="str">
        <f>D3857&amp;E3857&amp;F3857</f>
        <v>HRTELEPEAJEOP HR</v>
      </c>
      <c r="B3857" t="s">
        <v>2028</v>
      </c>
      <c r="C3857" s="1">
        <f t="shared" si="107"/>
        <v>45933</v>
      </c>
      <c r="D3857" s="71" t="s">
        <v>29</v>
      </c>
      <c r="E3857" s="71" t="s">
        <v>186</v>
      </c>
      <c r="F3857" s="143" t="s">
        <v>187</v>
      </c>
      <c r="J3857" s="71" t="s">
        <v>2275</v>
      </c>
      <c r="L3857" s="433">
        <v>596</v>
      </c>
      <c r="M3857" s="136">
        <f>M3856+K3857-L3857</f>
        <v>38605.977703333643</v>
      </c>
    </row>
    <row r="3858" spans="1:14">
      <c r="A3858" s="54" t="str">
        <f>D3858&amp;E3858&amp;F3858</f>
        <v>HRTELEPEAJEOP HR</v>
      </c>
      <c r="B3858" t="s">
        <v>2028</v>
      </c>
      <c r="C3858" s="1">
        <f t="shared" si="107"/>
        <v>45933</v>
      </c>
      <c r="D3858" s="71" t="s">
        <v>29</v>
      </c>
      <c r="E3858" s="71" t="s">
        <v>186</v>
      </c>
      <c r="F3858" s="143" t="s">
        <v>187</v>
      </c>
      <c r="J3858" s="71" t="s">
        <v>975</v>
      </c>
      <c r="L3858" s="433">
        <v>356</v>
      </c>
      <c r="M3858" s="136">
        <f>M3857+K3858-L3858</f>
        <v>38249.977703333643</v>
      </c>
    </row>
    <row r="3859" spans="1:14">
      <c r="A3859" s="54" t="str">
        <f>D3859&amp;E3859&amp;F3859</f>
        <v>CAPTELEPEAJEOP CAPRICHOS</v>
      </c>
      <c r="B3859" t="s">
        <v>2028</v>
      </c>
      <c r="C3859" s="1">
        <f t="shared" si="107"/>
        <v>45933</v>
      </c>
      <c r="D3859" s="71" t="s">
        <v>31</v>
      </c>
      <c r="E3859" s="71" t="s">
        <v>186</v>
      </c>
      <c r="F3859" s="70" t="s">
        <v>188</v>
      </c>
      <c r="J3859" s="71" t="s">
        <v>2276</v>
      </c>
      <c r="L3859" s="433">
        <v>178</v>
      </c>
      <c r="M3859" s="136">
        <f t="shared" ref="M3859:M3897" si="110">M3858+K3859-L3859</f>
        <v>38071.977703333643</v>
      </c>
    </row>
    <row r="3860" spans="1:14">
      <c r="A3860" s="54" t="str">
        <f>D3860&amp;E3860&amp;F3860</f>
        <v>HRINSUMOSHR</v>
      </c>
      <c r="B3860" t="s">
        <v>2028</v>
      </c>
      <c r="C3860" s="1">
        <f t="shared" si="107"/>
        <v>45933</v>
      </c>
      <c r="D3860" s="71" t="s">
        <v>29</v>
      </c>
      <c r="E3860" s="71" t="s">
        <v>133</v>
      </c>
      <c r="F3860" s="70" t="s">
        <v>29</v>
      </c>
      <c r="J3860" s="71" t="s">
        <v>2277</v>
      </c>
      <c r="L3860" s="433">
        <v>90</v>
      </c>
      <c r="M3860" s="136">
        <f t="shared" si="110"/>
        <v>37981.977703333643</v>
      </c>
    </row>
    <row r="3861" spans="1:14">
      <c r="A3861" s="54" t="str">
        <f>D3861&amp;E3861&amp;F3861</f>
        <v>CAPUBERCAP</v>
      </c>
      <c r="B3861" t="s">
        <v>2028</v>
      </c>
      <c r="C3861" s="1">
        <f t="shared" si="107"/>
        <v>45933</v>
      </c>
      <c r="D3861" s="71" t="s">
        <v>31</v>
      </c>
      <c r="E3861" s="71" t="s">
        <v>189</v>
      </c>
      <c r="F3861" s="70" t="s">
        <v>31</v>
      </c>
      <c r="J3861" s="71" t="s">
        <v>2262</v>
      </c>
      <c r="L3861" s="523">
        <v>372</v>
      </c>
      <c r="M3861" s="136">
        <f t="shared" si="110"/>
        <v>37609.977703333643</v>
      </c>
    </row>
    <row r="3862" spans="1:14">
      <c r="A3862" s="54" t="str">
        <f>D3862&amp;E3862&amp;F3862</f>
        <v>CAPUBERCAP</v>
      </c>
      <c r="B3862" t="s">
        <v>2028</v>
      </c>
      <c r="C3862" s="1">
        <f t="shared" si="107"/>
        <v>45933</v>
      </c>
      <c r="D3862" s="71" t="s">
        <v>31</v>
      </c>
      <c r="E3862" s="71" t="s">
        <v>189</v>
      </c>
      <c r="F3862" s="70" t="s">
        <v>31</v>
      </c>
      <c r="J3862" s="71" t="s">
        <v>2278</v>
      </c>
      <c r="L3862" s="523">
        <v>110</v>
      </c>
      <c r="M3862" s="136">
        <f t="shared" si="110"/>
        <v>37499.977703333643</v>
      </c>
    </row>
    <row r="3863" spans="1:14">
      <c r="A3863" s="54" t="str">
        <f>D3863&amp;E3863&amp;F3863</f>
        <v>MELCOMBUSTIBLEMELISSA</v>
      </c>
      <c r="B3863" t="s">
        <v>2028</v>
      </c>
      <c r="C3863" s="1">
        <f t="shared" si="107"/>
        <v>45933</v>
      </c>
      <c r="D3863" s="71" t="s">
        <v>43</v>
      </c>
      <c r="E3863" s="71" t="s">
        <v>32</v>
      </c>
      <c r="F3863" s="70" t="s">
        <v>44</v>
      </c>
      <c r="G3863" s="71" t="s">
        <v>258</v>
      </c>
      <c r="J3863" s="71" t="s">
        <v>2279</v>
      </c>
      <c r="L3863" s="433">
        <v>200</v>
      </c>
      <c r="M3863" s="136">
        <f t="shared" si="110"/>
        <v>37299.977703333643</v>
      </c>
    </row>
    <row r="3864" spans="1:14">
      <c r="A3864" s="54" t="str">
        <f t="shared" ref="A3858:A3921" si="111">D3864&amp;E3864&amp;F3864</f>
        <v/>
      </c>
      <c r="B3864" t="s">
        <v>2028</v>
      </c>
      <c r="C3864" s="1">
        <v>45936</v>
      </c>
      <c r="D3864" s="71"/>
      <c r="F3864" s="70"/>
      <c r="J3864" s="71" t="s">
        <v>2280</v>
      </c>
      <c r="K3864" s="325">
        <v>672135.32</v>
      </c>
      <c r="L3864" s="432"/>
      <c r="M3864" s="136">
        <f t="shared" si="110"/>
        <v>709435.29770333355</v>
      </c>
    </row>
    <row r="3865" spans="1:14">
      <c r="A3865" s="54" t="str">
        <f t="shared" si="111"/>
        <v/>
      </c>
      <c r="B3865" t="s">
        <v>2281</v>
      </c>
      <c r="C3865" s="1">
        <f t="shared" si="107"/>
        <v>45936</v>
      </c>
      <c r="D3865" s="71"/>
      <c r="F3865" s="70"/>
      <c r="J3865" s="71" t="s">
        <v>2282</v>
      </c>
      <c r="K3865" s="325">
        <v>235766.78</v>
      </c>
      <c r="L3865" s="432"/>
      <c r="M3865" s="136">
        <f>M3864+K3865-L3865</f>
        <v>945202.07770333358</v>
      </c>
      <c r="N3865" s="180">
        <f>M3865-K3865</f>
        <v>709435.29770333355</v>
      </c>
    </row>
    <row r="3866" spans="1:14">
      <c r="A3866" s="54" t="str">
        <f>D3866&amp;E3866&amp;F3866</f>
        <v>FINANZASCOMISIONES BANCARIASTPV</v>
      </c>
      <c r="B3866" t="s">
        <v>2281</v>
      </c>
      <c r="C3866" s="1">
        <f t="shared" si="107"/>
        <v>45936</v>
      </c>
      <c r="D3866" s="71" t="s">
        <v>23</v>
      </c>
      <c r="E3866" s="71" t="s">
        <v>48</v>
      </c>
      <c r="F3866" s="70" t="s">
        <v>50</v>
      </c>
      <c r="J3866" s="71" t="s">
        <v>217</v>
      </c>
      <c r="L3866" s="433">
        <f>518.1+1591.57+985.66+619.48+2629.25+1751+1354.13+1774.46+1959.27+6154.71+3097.08</f>
        <v>22434.71</v>
      </c>
      <c r="M3866" s="136">
        <f t="shared" si="110"/>
        <v>922767.36770333361</v>
      </c>
    </row>
    <row r="3867" spans="1:14">
      <c r="A3867" s="54" t="str">
        <f t="shared" si="111"/>
        <v/>
      </c>
      <c r="B3867" t="s">
        <v>2281</v>
      </c>
      <c r="C3867" s="1">
        <f t="shared" si="107"/>
        <v>45936</v>
      </c>
      <c r="D3867" s="71"/>
      <c r="F3867" s="70"/>
      <c r="J3867" s="205" t="s">
        <v>1562</v>
      </c>
      <c r="K3867" s="205"/>
      <c r="L3867" s="428">
        <v>200000</v>
      </c>
      <c r="M3867" s="136">
        <f t="shared" si="110"/>
        <v>722767.36770333361</v>
      </c>
    </row>
    <row r="3868" spans="1:14">
      <c r="A3868" s="54" t="str">
        <f t="shared" si="111"/>
        <v/>
      </c>
      <c r="B3868" t="s">
        <v>2281</v>
      </c>
      <c r="C3868" s="1">
        <f t="shared" si="107"/>
        <v>45936</v>
      </c>
      <c r="D3868" s="71"/>
      <c r="F3868" s="70"/>
      <c r="J3868" s="205" t="s">
        <v>222</v>
      </c>
      <c r="K3868" s="205"/>
      <c r="L3868" s="428">
        <f>296914.83+155000</f>
        <v>451914.83</v>
      </c>
      <c r="M3868" s="136">
        <f t="shared" si="110"/>
        <v>270852.5377033336</v>
      </c>
    </row>
    <row r="3869" spans="1:14">
      <c r="A3869" s="54" t="str">
        <f>D3869&amp;E3869&amp;F3869</f>
        <v>HRENERGIA ELECTRICAA18</v>
      </c>
      <c r="B3869" t="s">
        <v>2281</v>
      </c>
      <c r="C3869" s="1">
        <f t="shared" si="107"/>
        <v>45936</v>
      </c>
      <c r="D3869" s="71" t="s">
        <v>29</v>
      </c>
      <c r="E3869" s="71" t="s">
        <v>87</v>
      </c>
      <c r="F3869" s="375" t="s">
        <v>103</v>
      </c>
      <c r="J3869" s="71" t="s">
        <v>224</v>
      </c>
      <c r="L3869" s="433">
        <v>9909</v>
      </c>
      <c r="M3869" s="136">
        <f t="shared" si="110"/>
        <v>260943.5377033336</v>
      </c>
    </row>
    <row r="3870" spans="1:14">
      <c r="A3870" s="54" t="str">
        <f>D3870&amp;E3870&amp;F3870</f>
        <v>HRENERGIA ELECTRICAA23</v>
      </c>
      <c r="B3870" t="s">
        <v>2281</v>
      </c>
      <c r="C3870" s="1">
        <f t="shared" si="107"/>
        <v>45936</v>
      </c>
      <c r="D3870" s="71" t="s">
        <v>29</v>
      </c>
      <c r="E3870" s="71" t="s">
        <v>87</v>
      </c>
      <c r="F3870" s="375" t="s">
        <v>105</v>
      </c>
      <c r="J3870" s="71" t="s">
        <v>2283</v>
      </c>
      <c r="L3870" s="433">
        <v>5893</v>
      </c>
      <c r="M3870" s="136">
        <f t="shared" si="110"/>
        <v>255050.5377033336</v>
      </c>
    </row>
    <row r="3871" spans="1:14">
      <c r="A3871" s="54" t="str">
        <f>D3871&amp;E3871&amp;F3871</f>
        <v>CAPENERGIA ELECTRICAE8</v>
      </c>
      <c r="B3871" t="s">
        <v>2281</v>
      </c>
      <c r="C3871" s="1">
        <f t="shared" si="107"/>
        <v>45936</v>
      </c>
      <c r="D3871" s="71" t="s">
        <v>31</v>
      </c>
      <c r="E3871" s="71" t="s">
        <v>87</v>
      </c>
      <c r="F3871" s="70" t="s">
        <v>114</v>
      </c>
      <c r="J3871" s="71" t="s">
        <v>2284</v>
      </c>
      <c r="L3871" s="433">
        <v>26277</v>
      </c>
      <c r="M3871" s="136">
        <f t="shared" si="110"/>
        <v>228773.5377033336</v>
      </c>
    </row>
    <row r="3872" spans="1:14">
      <c r="A3872" s="54" t="str">
        <f>D3872&amp;E3872&amp;F3872</f>
        <v>CAPENERGIA ELECTRICAE9</v>
      </c>
      <c r="B3872" t="s">
        <v>2281</v>
      </c>
      <c r="C3872" s="1">
        <f t="shared" si="107"/>
        <v>45936</v>
      </c>
      <c r="D3872" s="71" t="s">
        <v>31</v>
      </c>
      <c r="E3872" s="71" t="s">
        <v>87</v>
      </c>
      <c r="F3872" s="70" t="s">
        <v>116</v>
      </c>
      <c r="J3872" s="71" t="s">
        <v>2285</v>
      </c>
      <c r="L3872" s="433">
        <v>18566</v>
      </c>
      <c r="M3872" s="136">
        <f t="shared" si="110"/>
        <v>210207.5377033336</v>
      </c>
    </row>
    <row r="3873" spans="1:13">
      <c r="A3873" s="54" t="str">
        <f>D3873&amp;E3873&amp;F3873</f>
        <v>HRVIATICOSHR</v>
      </c>
      <c r="B3873" t="s">
        <v>2281</v>
      </c>
      <c r="C3873" s="1">
        <f t="shared" si="107"/>
        <v>45936</v>
      </c>
      <c r="D3873" s="71" t="s">
        <v>29</v>
      </c>
      <c r="E3873" s="71" t="s">
        <v>191</v>
      </c>
      <c r="F3873" s="70" t="s">
        <v>29</v>
      </c>
      <c r="J3873" s="71" t="s">
        <v>2286</v>
      </c>
      <c r="L3873" s="433">
        <v>7400</v>
      </c>
      <c r="M3873" s="136">
        <f t="shared" si="110"/>
        <v>202807.5377033336</v>
      </c>
    </row>
    <row r="3874" spans="1:13">
      <c r="A3874" s="54" t="str">
        <f>D3874&amp;E3874&amp;F3874</f>
        <v>HRCOMBUSTIBLEHR</v>
      </c>
      <c r="B3874" t="s">
        <v>2281</v>
      </c>
      <c r="C3874" s="1">
        <f t="shared" si="107"/>
        <v>45936</v>
      </c>
      <c r="D3874" s="71" t="s">
        <v>29</v>
      </c>
      <c r="E3874" s="71" t="s">
        <v>32</v>
      </c>
      <c r="F3874" s="70" t="s">
        <v>29</v>
      </c>
      <c r="J3874" s="71" t="s">
        <v>2287</v>
      </c>
      <c r="L3874" s="433">
        <v>2000</v>
      </c>
      <c r="M3874" s="136">
        <f t="shared" si="110"/>
        <v>200807.5377033336</v>
      </c>
    </row>
    <row r="3875" spans="1:13">
      <c r="A3875" s="54" t="str">
        <f>D3875&amp;E3875&amp;F3875</f>
        <v>SERVICIOSVIATICOSCEDIS</v>
      </c>
      <c r="B3875" t="s">
        <v>2281</v>
      </c>
      <c r="C3875" s="1">
        <f t="shared" si="107"/>
        <v>45936</v>
      </c>
      <c r="D3875" s="71" t="s">
        <v>21</v>
      </c>
      <c r="E3875" s="71" t="s">
        <v>191</v>
      </c>
      <c r="F3875" s="70" t="s">
        <v>28</v>
      </c>
      <c r="J3875" s="71" t="s">
        <v>1214</v>
      </c>
      <c r="L3875" s="433">
        <v>2050</v>
      </c>
      <c r="M3875" s="136">
        <f t="shared" si="110"/>
        <v>198757.5377033336</v>
      </c>
    </row>
    <row r="3876" spans="1:13">
      <c r="A3876" s="54" t="str">
        <f>D3876&amp;E3876&amp;F3876</f>
        <v>SERVICIOSVIATICOSCEDIS</v>
      </c>
      <c r="B3876" t="s">
        <v>2281</v>
      </c>
      <c r="C3876" s="1">
        <f t="shared" si="107"/>
        <v>45936</v>
      </c>
      <c r="D3876" s="71" t="s">
        <v>21</v>
      </c>
      <c r="E3876" s="71" t="s">
        <v>191</v>
      </c>
      <c r="F3876" s="70" t="s">
        <v>28</v>
      </c>
      <c r="J3876" s="71" t="s">
        <v>2288</v>
      </c>
      <c r="L3876" s="433">
        <v>1950</v>
      </c>
      <c r="M3876" s="136">
        <f t="shared" si="110"/>
        <v>196807.5377033336</v>
      </c>
    </row>
    <row r="3877" spans="1:13">
      <c r="A3877" s="54" t="str">
        <f>D3877&amp;E3877&amp;F3877</f>
        <v>FINANZASTELEFONIATELEFONIA</v>
      </c>
      <c r="B3877" t="s">
        <v>2281</v>
      </c>
      <c r="C3877" s="1">
        <f t="shared" si="107"/>
        <v>45936</v>
      </c>
      <c r="D3877" s="71" t="s">
        <v>23</v>
      </c>
      <c r="E3877" s="71" t="s">
        <v>181</v>
      </c>
      <c r="F3877" s="70" t="s">
        <v>181</v>
      </c>
      <c r="J3877" s="71" t="s">
        <v>290</v>
      </c>
      <c r="L3877" s="433">
        <v>602</v>
      </c>
      <c r="M3877" s="136">
        <f t="shared" si="110"/>
        <v>196205.5377033336</v>
      </c>
    </row>
    <row r="3878" spans="1:13">
      <c r="A3878" s="54" t="str">
        <f t="shared" si="111"/>
        <v/>
      </c>
      <c r="B3878" t="s">
        <v>2281</v>
      </c>
      <c r="C3878" s="1">
        <f t="shared" si="107"/>
        <v>45936</v>
      </c>
      <c r="D3878" s="71"/>
      <c r="F3878" s="70"/>
      <c r="J3878" s="71" t="s">
        <v>2289</v>
      </c>
      <c r="L3878" s="433">
        <v>205000</v>
      </c>
      <c r="M3878" s="136">
        <f t="shared" si="110"/>
        <v>-8794.4622966664028</v>
      </c>
    </row>
    <row r="3879" spans="1:13">
      <c r="A3879" s="54" t="str">
        <f>D3879&amp;E3879&amp;F3879</f>
        <v>HRNOMINA SUCURSALA8</v>
      </c>
      <c r="B3879" t="s">
        <v>2281</v>
      </c>
      <c r="C3879" s="1">
        <f t="shared" si="107"/>
        <v>45936</v>
      </c>
      <c r="D3879" s="71" t="s">
        <v>29</v>
      </c>
      <c r="E3879" s="71" t="s">
        <v>154</v>
      </c>
      <c r="F3879" s="70" t="s">
        <v>94</v>
      </c>
      <c r="J3879" s="71" t="s">
        <v>2290</v>
      </c>
      <c r="L3879" s="433">
        <v>675</v>
      </c>
      <c r="M3879" s="136">
        <f t="shared" si="110"/>
        <v>-9469.4622966664028</v>
      </c>
    </row>
    <row r="3880" spans="1:13">
      <c r="A3880" s="54" t="str">
        <f>D3880&amp;E3880&amp;F3880</f>
        <v>HRINSUMOSHR</v>
      </c>
      <c r="B3880" t="s">
        <v>2281</v>
      </c>
      <c r="C3880" s="1">
        <f t="shared" si="107"/>
        <v>45936</v>
      </c>
      <c r="D3880" s="71" t="s">
        <v>29</v>
      </c>
      <c r="E3880" s="71" t="s">
        <v>133</v>
      </c>
      <c r="F3880" s="70" t="s">
        <v>29</v>
      </c>
      <c r="J3880" s="71" t="s">
        <v>2291</v>
      </c>
      <c r="L3880" s="433">
        <v>64</v>
      </c>
      <c r="M3880" s="136">
        <f t="shared" si="110"/>
        <v>-9533.4622966664028</v>
      </c>
    </row>
    <row r="3881" spans="1:13">
      <c r="A3881" s="54" t="str">
        <f>D3881&amp;E3881&amp;F3881</f>
        <v>HRINSUMOSHR</v>
      </c>
      <c r="B3881" t="s">
        <v>2281</v>
      </c>
      <c r="C3881" s="1">
        <f t="shared" si="107"/>
        <v>45936</v>
      </c>
      <c r="D3881" s="71" t="s">
        <v>29</v>
      </c>
      <c r="E3881" s="71" t="s">
        <v>133</v>
      </c>
      <c r="F3881" s="70" t="s">
        <v>29</v>
      </c>
      <c r="J3881" s="71" t="s">
        <v>2292</v>
      </c>
      <c r="L3881" s="433">
        <v>260</v>
      </c>
      <c r="M3881" s="136">
        <f t="shared" si="110"/>
        <v>-9793.4622966664028</v>
      </c>
    </row>
    <row r="3882" spans="1:13">
      <c r="A3882" s="54" t="str">
        <f>D3882&amp;E3882&amp;F3882</f>
        <v>HRUBERHR</v>
      </c>
      <c r="B3882" t="s">
        <v>2281</v>
      </c>
      <c r="C3882" s="1">
        <f t="shared" si="107"/>
        <v>45936</v>
      </c>
      <c r="D3882" s="71" t="s">
        <v>29</v>
      </c>
      <c r="E3882" s="71" t="s">
        <v>189</v>
      </c>
      <c r="F3882" s="70" t="s">
        <v>29</v>
      </c>
      <c r="J3882" s="71" t="s">
        <v>2293</v>
      </c>
      <c r="L3882" s="523">
        <v>153</v>
      </c>
      <c r="M3882" s="136">
        <f t="shared" si="110"/>
        <v>-9946.4622966664028</v>
      </c>
    </row>
    <row r="3883" spans="1:13">
      <c r="A3883" s="54" t="str">
        <f>D3883&amp;E3883&amp;F3883</f>
        <v>HRNOMINA SUCURSALA22</v>
      </c>
      <c r="B3883" t="s">
        <v>2281</v>
      </c>
      <c r="C3883" s="1">
        <f t="shared" si="107"/>
        <v>45936</v>
      </c>
      <c r="D3883" s="71" t="s">
        <v>29</v>
      </c>
      <c r="E3883" s="71" t="s">
        <v>154</v>
      </c>
      <c r="F3883" s="70" t="s">
        <v>104</v>
      </c>
      <c r="J3883" s="71" t="s">
        <v>2294</v>
      </c>
      <c r="L3883" s="433">
        <v>2084</v>
      </c>
      <c r="M3883" s="136">
        <f t="shared" si="110"/>
        <v>-12030.462296666403</v>
      </c>
    </row>
    <row r="3884" spans="1:13">
      <c r="A3884" s="54" t="str">
        <f>D3884&amp;E3884&amp;F3884</f>
        <v>SERVICIOSMTTO DE EDIFICIOMANTENIMIENTO</v>
      </c>
      <c r="B3884" t="s">
        <v>2281</v>
      </c>
      <c r="C3884" s="1">
        <f t="shared" si="107"/>
        <v>45936</v>
      </c>
      <c r="D3884" s="71" t="s">
        <v>21</v>
      </c>
      <c r="E3884" s="71" t="s">
        <v>142</v>
      </c>
      <c r="F3884" s="70" t="s">
        <v>35</v>
      </c>
      <c r="J3884" s="71" t="s">
        <v>2295</v>
      </c>
      <c r="L3884" s="433">
        <v>200</v>
      </c>
      <c r="M3884" s="136">
        <f t="shared" si="110"/>
        <v>-12230.462296666403</v>
      </c>
    </row>
    <row r="3885" spans="1:13">
      <c r="A3885" s="54" t="str">
        <f>D3885&amp;E3885&amp;F3885</f>
        <v>HRJMASA24</v>
      </c>
      <c r="B3885" t="s">
        <v>2281</v>
      </c>
      <c r="C3885" s="1">
        <f t="shared" si="107"/>
        <v>45936</v>
      </c>
      <c r="D3885" s="71" t="s">
        <v>29</v>
      </c>
      <c r="E3885" s="71" t="s">
        <v>137</v>
      </c>
      <c r="F3885" s="70" t="s">
        <v>106</v>
      </c>
      <c r="J3885" s="71" t="s">
        <v>2296</v>
      </c>
      <c r="L3885" s="433">
        <v>600</v>
      </c>
      <c r="M3885" s="136">
        <f t="shared" si="110"/>
        <v>-12830.462296666403</v>
      </c>
    </row>
    <row r="3886" spans="1:13">
      <c r="A3886" s="54" t="str">
        <f>D3886&amp;E3886&amp;F3886</f>
        <v>CAPINSUMOSCAPRICHOS</v>
      </c>
      <c r="B3886" t="s">
        <v>2281</v>
      </c>
      <c r="C3886" s="1">
        <f t="shared" si="107"/>
        <v>45936</v>
      </c>
      <c r="D3886" s="71" t="s">
        <v>31</v>
      </c>
      <c r="E3886" s="71" t="s">
        <v>133</v>
      </c>
      <c r="F3886" s="70" t="s">
        <v>33</v>
      </c>
      <c r="J3886" s="71" t="s">
        <v>2297</v>
      </c>
      <c r="L3886" s="433">
        <v>60</v>
      </c>
      <c r="M3886" s="136">
        <f t="shared" si="110"/>
        <v>-12890.462296666403</v>
      </c>
    </row>
    <row r="3887" spans="1:13">
      <c r="A3887" s="54" t="str">
        <f>D3887&amp;E3887&amp;F3887</f>
        <v>CAPNOMINA SUCURSALE1</v>
      </c>
      <c r="B3887" t="s">
        <v>2281</v>
      </c>
      <c r="C3887" s="1">
        <f t="shared" si="107"/>
        <v>45936</v>
      </c>
      <c r="D3887" s="71" t="s">
        <v>31</v>
      </c>
      <c r="E3887" s="71" t="s">
        <v>154</v>
      </c>
      <c r="F3887" s="70" t="s">
        <v>107</v>
      </c>
      <c r="J3887" s="71" t="s">
        <v>2298</v>
      </c>
      <c r="L3887" s="433">
        <v>620</v>
      </c>
      <c r="M3887" s="136">
        <f t="shared" si="110"/>
        <v>-13510.462296666403</v>
      </c>
    </row>
    <row r="3888" spans="1:13">
      <c r="A3888" s="54" t="str">
        <f>D3888&amp;E3888&amp;F3888</f>
        <v>CAPUBERCAP</v>
      </c>
      <c r="B3888" t="s">
        <v>2281</v>
      </c>
      <c r="C3888" s="1">
        <f t="shared" si="107"/>
        <v>45936</v>
      </c>
      <c r="D3888" s="71" t="s">
        <v>31</v>
      </c>
      <c r="E3888" s="71" t="s">
        <v>189</v>
      </c>
      <c r="F3888" s="70" t="s">
        <v>31</v>
      </c>
      <c r="J3888" s="71" t="s">
        <v>2299</v>
      </c>
      <c r="L3888" s="523">
        <v>806</v>
      </c>
      <c r="M3888" s="136">
        <f t="shared" si="110"/>
        <v>-14316.462296666403</v>
      </c>
    </row>
    <row r="3889" spans="1:13">
      <c r="A3889" s="54" t="str">
        <f>D3889&amp;E3889&amp;F3889</f>
        <v>CAPNOMINA SUCURSALE3</v>
      </c>
      <c r="B3889" t="s">
        <v>2281</v>
      </c>
      <c r="C3889" s="1">
        <f t="shared" si="107"/>
        <v>45936</v>
      </c>
      <c r="D3889" s="71" t="s">
        <v>31</v>
      </c>
      <c r="E3889" s="71" t="s">
        <v>154</v>
      </c>
      <c r="F3889" s="70" t="s">
        <v>109</v>
      </c>
      <c r="J3889" s="71" t="s">
        <v>2300</v>
      </c>
      <c r="L3889" s="433">
        <v>775</v>
      </c>
      <c r="M3889" s="136">
        <f t="shared" si="110"/>
        <v>-15091.462296666403</v>
      </c>
    </row>
    <row r="3890" spans="1:13">
      <c r="A3890" s="54" t="str">
        <f>D3890&amp;E3890&amp;F3890</f>
        <v>CAPINSUMOSCAPRICHOS</v>
      </c>
      <c r="B3890" t="s">
        <v>2281</v>
      </c>
      <c r="C3890" s="1">
        <f t="shared" si="107"/>
        <v>45936</v>
      </c>
      <c r="D3890" s="71" t="s">
        <v>31</v>
      </c>
      <c r="E3890" s="71" t="s">
        <v>133</v>
      </c>
      <c r="F3890" s="70" t="s">
        <v>33</v>
      </c>
      <c r="J3890" s="71" t="s">
        <v>2301</v>
      </c>
      <c r="L3890" s="433">
        <v>98</v>
      </c>
      <c r="M3890" s="136">
        <f>M3889+K3890-L3890</f>
        <v>-15189.462296666403</v>
      </c>
    </row>
    <row r="3891" spans="1:13">
      <c r="A3891" s="54" t="str">
        <f>D3891&amp;E3891&amp;F3891</f>
        <v>CAPUBERCAP</v>
      </c>
      <c r="B3891" t="s">
        <v>2281</v>
      </c>
      <c r="C3891" s="1">
        <f t="shared" si="107"/>
        <v>45936</v>
      </c>
      <c r="D3891" s="71" t="s">
        <v>31</v>
      </c>
      <c r="E3891" s="71" t="s">
        <v>189</v>
      </c>
      <c r="F3891" s="70" t="s">
        <v>31</v>
      </c>
      <c r="J3891" s="71" t="s">
        <v>2278</v>
      </c>
      <c r="L3891" s="523">
        <v>390</v>
      </c>
      <c r="M3891" s="136">
        <f t="shared" ref="M3891:M3954" si="112">M3890+K3891-L3891</f>
        <v>-15579.462296666403</v>
      </c>
    </row>
    <row r="3892" spans="1:13">
      <c r="A3892" s="54" t="str">
        <f>D3892&amp;E3892&amp;F3892</f>
        <v>CAPINSUMOSCAPRICHOS</v>
      </c>
      <c r="B3892" t="s">
        <v>2281</v>
      </c>
      <c r="C3892" s="1">
        <f t="shared" ref="C3892:C3956" si="113">C3891</f>
        <v>45936</v>
      </c>
      <c r="D3892" s="71" t="s">
        <v>31</v>
      </c>
      <c r="E3892" s="71" t="s">
        <v>133</v>
      </c>
      <c r="F3892" s="70" t="s">
        <v>33</v>
      </c>
      <c r="J3892" s="71" t="s">
        <v>2302</v>
      </c>
      <c r="L3892" s="433">
        <v>50</v>
      </c>
      <c r="M3892" s="136">
        <f t="shared" si="112"/>
        <v>-15629.462296666403</v>
      </c>
    </row>
    <row r="3893" spans="1:13">
      <c r="A3893" s="54" t="str">
        <f t="shared" si="111"/>
        <v/>
      </c>
      <c r="B3893" t="s">
        <v>2281</v>
      </c>
      <c r="C3893" s="1">
        <v>45937</v>
      </c>
      <c r="D3893" s="71"/>
      <c r="F3893" s="70"/>
      <c r="J3893" s="71" t="s">
        <v>2045</v>
      </c>
      <c r="K3893" s="325">
        <v>170240.07</v>
      </c>
      <c r="L3893" s="432"/>
      <c r="M3893" s="136">
        <f t="shared" si="112"/>
        <v>154610.6077033336</v>
      </c>
    </row>
    <row r="3894" spans="1:13">
      <c r="A3894" s="54" t="str">
        <f>D3894&amp;E3894&amp;F3894</f>
        <v>FINANZASCOMISIONES BANCARIASTPV</v>
      </c>
      <c r="B3894" t="s">
        <v>2281</v>
      </c>
      <c r="C3894" s="1">
        <v>45937</v>
      </c>
      <c r="D3894" s="387" t="s">
        <v>23</v>
      </c>
      <c r="E3894" s="387" t="s">
        <v>48</v>
      </c>
      <c r="F3894" s="375" t="s">
        <v>50</v>
      </c>
      <c r="G3894" s="387"/>
      <c r="H3894" s="400"/>
      <c r="I3894" s="400"/>
      <c r="J3894" s="387" t="s">
        <v>217</v>
      </c>
      <c r="L3894" s="433">
        <f>176.71+1248.84+535.95+737.81+562.17+10.44</f>
        <v>3271.92</v>
      </c>
      <c r="M3894" s="136">
        <f t="shared" si="112"/>
        <v>151338.68770333359</v>
      </c>
    </row>
    <row r="3895" spans="1:13">
      <c r="A3895" s="54" t="str">
        <f>D3895&amp;E3895&amp;F3895</f>
        <v>FINANZASCOMISIONES BANCARIASMANEJO DE CUENTA</v>
      </c>
      <c r="B3895" t="s">
        <v>2281</v>
      </c>
      <c r="C3895" s="1">
        <f>C3893</f>
        <v>45937</v>
      </c>
      <c r="D3895" s="71" t="s">
        <v>23</v>
      </c>
      <c r="E3895" s="71" t="s">
        <v>48</v>
      </c>
      <c r="F3895" s="70" t="s">
        <v>49</v>
      </c>
      <c r="J3895" s="71" t="s">
        <v>764</v>
      </c>
      <c r="L3895" s="433">
        <f>324+433.26+580+464+320.16</f>
        <v>2121.42</v>
      </c>
      <c r="M3895" s="136">
        <f t="shared" si="112"/>
        <v>149217.26770333358</v>
      </c>
    </row>
    <row r="3896" spans="1:13">
      <c r="A3896" s="54" t="str">
        <f t="shared" si="111"/>
        <v/>
      </c>
      <c r="B3896" t="s">
        <v>2281</v>
      </c>
      <c r="C3896" s="1">
        <f t="shared" si="113"/>
        <v>45937</v>
      </c>
      <c r="D3896" s="71"/>
      <c r="F3896" s="70"/>
      <c r="J3896" s="205" t="s">
        <v>1562</v>
      </c>
      <c r="K3896" s="205"/>
      <c r="L3896" s="428">
        <v>100000</v>
      </c>
      <c r="M3896" s="136">
        <f t="shared" si="112"/>
        <v>49217.267703333579</v>
      </c>
    </row>
    <row r="3897" spans="1:13">
      <c r="A3897" s="54" t="str">
        <f t="shared" si="111"/>
        <v/>
      </c>
      <c r="B3897" t="s">
        <v>2281</v>
      </c>
      <c r="C3897" s="1">
        <f t="shared" si="113"/>
        <v>45937</v>
      </c>
      <c r="D3897" s="71"/>
      <c r="F3897" s="70"/>
      <c r="J3897" s="233" t="s">
        <v>2303</v>
      </c>
      <c r="K3897" s="233"/>
      <c r="L3897" s="433">
        <v>50000</v>
      </c>
      <c r="M3897" s="136">
        <f t="shared" si="112"/>
        <v>-782.73229666642146</v>
      </c>
    </row>
    <row r="3898" spans="1:13">
      <c r="A3898" s="54" t="str">
        <f t="shared" si="111"/>
        <v/>
      </c>
      <c r="B3898" t="s">
        <v>2281</v>
      </c>
      <c r="C3898" s="1">
        <f t="shared" si="113"/>
        <v>45937</v>
      </c>
      <c r="D3898" s="71"/>
      <c r="F3898" s="70"/>
      <c r="J3898" s="71" t="s">
        <v>2304</v>
      </c>
      <c r="L3898" s="408">
        <v>38272.97</v>
      </c>
      <c r="M3898" s="136">
        <f t="shared" si="112"/>
        <v>-39055.702296666423</v>
      </c>
    </row>
    <row r="3899" spans="1:13">
      <c r="A3899" s="54" t="str">
        <f>D3899&amp;E3899&amp;F3899</f>
        <v>FINANZASTELEFONIATELEFONIA</v>
      </c>
      <c r="B3899" t="s">
        <v>2281</v>
      </c>
      <c r="C3899" s="1">
        <f t="shared" si="113"/>
        <v>45937</v>
      </c>
      <c r="D3899" s="229" t="s">
        <v>23</v>
      </c>
      <c r="E3899" s="230" t="s">
        <v>181</v>
      </c>
      <c r="F3899" s="230" t="s">
        <v>181</v>
      </c>
      <c r="J3899" s="71" t="s">
        <v>2305</v>
      </c>
      <c r="L3899" s="433">
        <v>3588.04</v>
      </c>
      <c r="M3899" s="136">
        <f t="shared" si="112"/>
        <v>-42643.742296666423</v>
      </c>
    </row>
    <row r="3900" spans="1:13">
      <c r="A3900" s="54" t="str">
        <f>D3900&amp;E3900&amp;F3900</f>
        <v>FINANZASTELEFONIATELEFONIA</v>
      </c>
      <c r="B3900" t="s">
        <v>2281</v>
      </c>
      <c r="C3900" s="1">
        <f t="shared" si="113"/>
        <v>45937</v>
      </c>
      <c r="D3900" t="s">
        <v>23</v>
      </c>
      <c r="E3900" s="12" t="s">
        <v>181</v>
      </c>
      <c r="F3900" s="230" t="s">
        <v>181</v>
      </c>
      <c r="J3900" s="71" t="s">
        <v>2306</v>
      </c>
      <c r="L3900" s="433">
        <v>5312</v>
      </c>
      <c r="M3900" s="136">
        <f t="shared" si="112"/>
        <v>-47955.742296666423</v>
      </c>
    </row>
    <row r="3901" spans="1:13">
      <c r="A3901" s="54" t="str">
        <f>D3901&amp;E3901&amp;F3901</f>
        <v>HRCAPACITACIONCAPACITACION</v>
      </c>
      <c r="B3901" t="s">
        <v>2281</v>
      </c>
      <c r="C3901" s="1">
        <f t="shared" si="113"/>
        <v>45937</v>
      </c>
      <c r="D3901" t="s">
        <v>29</v>
      </c>
      <c r="E3901" s="71" t="s">
        <v>30</v>
      </c>
      <c r="F3901" s="70" t="s">
        <v>30</v>
      </c>
      <c r="J3901" s="71" t="s">
        <v>2307</v>
      </c>
      <c r="L3901" s="433">
        <v>13920</v>
      </c>
      <c r="M3901" s="136">
        <f t="shared" si="112"/>
        <v>-61875.742296666423</v>
      </c>
    </row>
    <row r="3902" spans="1:13">
      <c r="A3902" s="54" t="str">
        <f>D3902&amp;E3902&amp;F3902</f>
        <v>CAPFONDO Y REPOSICIONCAPRICHOS</v>
      </c>
      <c r="B3902" t="s">
        <v>2281</v>
      </c>
      <c r="C3902" s="1">
        <f t="shared" si="113"/>
        <v>45937</v>
      </c>
      <c r="D3902" s="71" t="s">
        <v>31</v>
      </c>
      <c r="E3902" s="71" t="s">
        <v>120</v>
      </c>
      <c r="F3902" s="70" t="s">
        <v>33</v>
      </c>
      <c r="J3902" s="71" t="s">
        <v>1682</v>
      </c>
      <c r="L3902" s="433">
        <f>1897+1297</f>
        <v>3194</v>
      </c>
      <c r="M3902" s="136">
        <f t="shared" si="112"/>
        <v>-65069.742296666423</v>
      </c>
    </row>
    <row r="3903" spans="1:13">
      <c r="A3903" s="54" t="str">
        <f>D3903&amp;E3903&amp;F3903</f>
        <v>FINANZASVIATICOSFINANZAS</v>
      </c>
      <c r="B3903" t="s">
        <v>2281</v>
      </c>
      <c r="C3903" s="1">
        <f t="shared" si="113"/>
        <v>45937</v>
      </c>
      <c r="D3903" s="71" t="s">
        <v>23</v>
      </c>
      <c r="E3903" s="71" t="s">
        <v>191</v>
      </c>
      <c r="F3903" s="70" t="s">
        <v>23</v>
      </c>
      <c r="J3903" s="71" t="s">
        <v>2006</v>
      </c>
      <c r="L3903" s="433">
        <v>800</v>
      </c>
      <c r="M3903" s="136">
        <f t="shared" si="112"/>
        <v>-65869.742296666431</v>
      </c>
    </row>
    <row r="3904" spans="1:13">
      <c r="A3904" s="54" t="str">
        <f>D3904&amp;E3904&amp;F3904</f>
        <v>HRMTTO EQ DE TRANSPORTEHR</v>
      </c>
      <c r="B3904" t="s">
        <v>2281</v>
      </c>
      <c r="C3904" s="1">
        <f t="shared" si="113"/>
        <v>45937</v>
      </c>
      <c r="D3904" s="71" t="s">
        <v>29</v>
      </c>
      <c r="E3904" s="71" t="s">
        <v>144</v>
      </c>
      <c r="F3904" s="70" t="s">
        <v>29</v>
      </c>
      <c r="J3904" s="71" t="s">
        <v>2308</v>
      </c>
      <c r="L3904" s="433">
        <v>2900</v>
      </c>
      <c r="M3904" s="136">
        <f t="shared" si="112"/>
        <v>-68769.742296666431</v>
      </c>
    </row>
    <row r="3905" spans="1:13">
      <c r="A3905" s="54" t="str">
        <f>D3905&amp;E3905&amp;F3905</f>
        <v>DEFONDO Y REPOSICIONDIRECCION</v>
      </c>
      <c r="B3905" t="s">
        <v>2281</v>
      </c>
      <c r="C3905" s="1">
        <f t="shared" si="113"/>
        <v>45937</v>
      </c>
      <c r="D3905" s="71" t="s">
        <v>41</v>
      </c>
      <c r="E3905" s="71" t="s">
        <v>120</v>
      </c>
      <c r="F3905" s="70" t="s">
        <v>42</v>
      </c>
      <c r="G3905" s="71" t="s">
        <v>258</v>
      </c>
      <c r="J3905" s="71" t="s">
        <v>2309</v>
      </c>
      <c r="L3905" s="433">
        <v>700</v>
      </c>
      <c r="M3905" s="136">
        <f t="shared" si="112"/>
        <v>-69469.742296666431</v>
      </c>
    </row>
    <row r="3906" spans="1:13">
      <c r="A3906" s="54" t="str">
        <f>D3906&amp;E3906&amp;F3906</f>
        <v>FINANZASINSUMOSFINANZAS</v>
      </c>
      <c r="B3906" t="s">
        <v>2281</v>
      </c>
      <c r="C3906" s="1">
        <f t="shared" si="113"/>
        <v>45937</v>
      </c>
      <c r="D3906" s="71" t="s">
        <v>23</v>
      </c>
      <c r="E3906" s="71" t="s">
        <v>133</v>
      </c>
      <c r="F3906" s="70" t="s">
        <v>23</v>
      </c>
      <c r="G3906" s="71" t="s">
        <v>258</v>
      </c>
      <c r="J3906" s="71" t="s">
        <v>2310</v>
      </c>
      <c r="L3906" s="433">
        <v>550</v>
      </c>
      <c r="M3906" s="136">
        <f t="shared" si="112"/>
        <v>-70019.742296666431</v>
      </c>
    </row>
    <row r="3907" spans="1:13">
      <c r="A3907" s="54" t="str">
        <f>D3907&amp;E3907&amp;F3907</f>
        <v>SERVICIOSCOMBUSTIBLECEDIS</v>
      </c>
      <c r="B3907" t="s">
        <v>2281</v>
      </c>
      <c r="C3907" s="1">
        <f t="shared" si="113"/>
        <v>45937</v>
      </c>
      <c r="D3907" s="71" t="s">
        <v>21</v>
      </c>
      <c r="E3907" s="71" t="s">
        <v>32</v>
      </c>
      <c r="F3907" s="70" t="s">
        <v>28</v>
      </c>
      <c r="G3907" s="71" t="s">
        <v>258</v>
      </c>
      <c r="J3907" s="71" t="s">
        <v>2311</v>
      </c>
      <c r="L3907" s="433">
        <v>4000</v>
      </c>
      <c r="M3907" s="136">
        <f t="shared" si="112"/>
        <v>-74019.742296666431</v>
      </c>
    </row>
    <row r="3908" spans="1:13">
      <c r="A3908" s="54" t="str">
        <f>D3908&amp;E3908&amp;F3908</f>
        <v>SERVICIOSVIATICOSCEDIS</v>
      </c>
      <c r="B3908" t="s">
        <v>2281</v>
      </c>
      <c r="C3908" s="1">
        <f t="shared" si="113"/>
        <v>45937</v>
      </c>
      <c r="D3908" s="71" t="s">
        <v>21</v>
      </c>
      <c r="E3908" s="71" t="s">
        <v>191</v>
      </c>
      <c r="F3908" s="70" t="s">
        <v>28</v>
      </c>
      <c r="J3908" s="71" t="s">
        <v>2312</v>
      </c>
      <c r="L3908" s="433">
        <v>1000</v>
      </c>
      <c r="M3908" s="136">
        <f t="shared" si="112"/>
        <v>-75019.742296666431</v>
      </c>
    </row>
    <row r="3909" spans="1:13">
      <c r="A3909" s="54" t="str">
        <f>D3909&amp;E3909&amp;F3909</f>
        <v>HRUBERHR</v>
      </c>
      <c r="B3909" t="s">
        <v>2281</v>
      </c>
      <c r="C3909" s="1">
        <f t="shared" si="113"/>
        <v>45937</v>
      </c>
      <c r="D3909" s="71" t="s">
        <v>29</v>
      </c>
      <c r="E3909" s="71" t="s">
        <v>189</v>
      </c>
      <c r="F3909" s="70" t="s">
        <v>29</v>
      </c>
      <c r="J3909" s="71" t="s">
        <v>2313</v>
      </c>
      <c r="L3909" s="523">
        <v>163</v>
      </c>
      <c r="M3909" s="136">
        <f t="shared" si="112"/>
        <v>-75182.742296666431</v>
      </c>
    </row>
    <row r="3910" spans="1:13">
      <c r="A3910" s="54" t="str">
        <f>D3910&amp;E3910&amp;F3910</f>
        <v>HRUBERHR</v>
      </c>
      <c r="B3910" t="s">
        <v>2281</v>
      </c>
      <c r="C3910" s="1">
        <f t="shared" si="113"/>
        <v>45937</v>
      </c>
      <c r="D3910" s="71" t="s">
        <v>29</v>
      </c>
      <c r="E3910" s="71" t="s">
        <v>189</v>
      </c>
      <c r="F3910" s="70" t="s">
        <v>29</v>
      </c>
      <c r="J3910" s="71" t="s">
        <v>2314</v>
      </c>
      <c r="L3910" s="523">
        <v>171</v>
      </c>
      <c r="M3910" s="136">
        <f t="shared" si="112"/>
        <v>-75353.742296666431</v>
      </c>
    </row>
    <row r="3911" spans="1:13">
      <c r="A3911" s="54" t="str">
        <f>D3911&amp;E3911&amp;F3911</f>
        <v>HRINSUMOSHR</v>
      </c>
      <c r="B3911" t="s">
        <v>2281</v>
      </c>
      <c r="C3911" s="1">
        <f t="shared" si="113"/>
        <v>45937</v>
      </c>
      <c r="D3911" s="71" t="s">
        <v>29</v>
      </c>
      <c r="E3911" s="71" t="s">
        <v>133</v>
      </c>
      <c r="F3911" s="70" t="s">
        <v>29</v>
      </c>
      <c r="J3911" s="71" t="s">
        <v>2315</v>
      </c>
      <c r="L3911" s="433">
        <v>255</v>
      </c>
      <c r="M3911" s="136">
        <f t="shared" si="112"/>
        <v>-75608.742296666431</v>
      </c>
    </row>
    <row r="3912" spans="1:13">
      <c r="A3912" s="54" t="str">
        <f>D3912&amp;E3912&amp;F3912</f>
        <v>HRFONDO Y REPOSICIONHR</v>
      </c>
      <c r="B3912" t="s">
        <v>2281</v>
      </c>
      <c r="C3912" s="1">
        <f t="shared" si="113"/>
        <v>45937</v>
      </c>
      <c r="D3912" s="71" t="s">
        <v>29</v>
      </c>
      <c r="E3912" s="71" t="s">
        <v>120</v>
      </c>
      <c r="F3912" s="70" t="s">
        <v>29</v>
      </c>
      <c r="J3912" s="71" t="s">
        <v>2316</v>
      </c>
      <c r="L3912" s="433">
        <v>15</v>
      </c>
      <c r="M3912" s="136">
        <f t="shared" si="112"/>
        <v>-75623.742296666431</v>
      </c>
    </row>
    <row r="3913" spans="1:13">
      <c r="A3913" s="54" t="str">
        <f>D3913&amp;E3913&amp;F3913</f>
        <v>HRINSUMOSHR</v>
      </c>
      <c r="B3913" t="s">
        <v>2281</v>
      </c>
      <c r="C3913" s="1">
        <f t="shared" si="113"/>
        <v>45937</v>
      </c>
      <c r="D3913" s="71" t="s">
        <v>29</v>
      </c>
      <c r="E3913" s="71" t="s">
        <v>133</v>
      </c>
      <c r="F3913" s="70" t="s">
        <v>29</v>
      </c>
      <c r="J3913" s="71" t="s">
        <v>2317</v>
      </c>
      <c r="L3913" s="433">
        <v>45</v>
      </c>
      <c r="M3913" s="136">
        <f t="shared" si="112"/>
        <v>-75668.742296666431</v>
      </c>
    </row>
    <row r="3914" spans="1:13">
      <c r="A3914" s="54" t="str">
        <f>D3914&amp;E3914&amp;F3914</f>
        <v>HRUBERHR</v>
      </c>
      <c r="B3914" t="s">
        <v>2281</v>
      </c>
      <c r="C3914" s="1">
        <f t="shared" si="113"/>
        <v>45937</v>
      </c>
      <c r="D3914" s="71" t="s">
        <v>29</v>
      </c>
      <c r="E3914" s="71" t="s">
        <v>189</v>
      </c>
      <c r="F3914" s="70" t="s">
        <v>29</v>
      </c>
      <c r="J3914" s="71" t="s">
        <v>2318</v>
      </c>
      <c r="L3914" s="523">
        <v>177</v>
      </c>
      <c r="M3914" s="136">
        <f t="shared" si="112"/>
        <v>-75845.742296666431</v>
      </c>
    </row>
    <row r="3915" spans="1:13">
      <c r="A3915" s="54" t="str">
        <f>D3915&amp;E3915&amp;F3915</f>
        <v>CAPNOMINA SUCURSALE2</v>
      </c>
      <c r="B3915" t="s">
        <v>2281</v>
      </c>
      <c r="C3915" s="1">
        <f t="shared" si="113"/>
        <v>45937</v>
      </c>
      <c r="D3915" s="71" t="s">
        <v>31</v>
      </c>
      <c r="E3915" s="71" t="s">
        <v>154</v>
      </c>
      <c r="F3915" s="70" t="s">
        <v>108</v>
      </c>
      <c r="J3915" s="71" t="s">
        <v>2319</v>
      </c>
      <c r="L3915" s="433">
        <v>818</v>
      </c>
      <c r="M3915" s="136">
        <f t="shared" si="112"/>
        <v>-76663.742296666431</v>
      </c>
    </row>
    <row r="3916" spans="1:13">
      <c r="A3916" s="54" t="str">
        <f>D3916&amp;E3916&amp;F3916</f>
        <v>CAPUBERCAP</v>
      </c>
      <c r="B3916" t="s">
        <v>2281</v>
      </c>
      <c r="C3916" s="1">
        <f t="shared" si="113"/>
        <v>45937</v>
      </c>
      <c r="D3916" s="71" t="s">
        <v>31</v>
      </c>
      <c r="E3916" s="71" t="s">
        <v>189</v>
      </c>
      <c r="F3916" s="70" t="s">
        <v>31</v>
      </c>
      <c r="J3916" s="71" t="s">
        <v>2299</v>
      </c>
      <c r="L3916" s="523">
        <v>281</v>
      </c>
      <c r="M3916" s="136">
        <f t="shared" si="112"/>
        <v>-76944.742296666431</v>
      </c>
    </row>
    <row r="3917" spans="1:13">
      <c r="A3917" s="54" t="str">
        <f>D3917&amp;E3917&amp;F3917</f>
        <v>CAPNOMINA SUCURSALE5</v>
      </c>
      <c r="B3917" t="s">
        <v>2281</v>
      </c>
      <c r="C3917" s="1">
        <f t="shared" si="113"/>
        <v>45937</v>
      </c>
      <c r="D3917" s="71" t="s">
        <v>31</v>
      </c>
      <c r="E3917" s="71" t="s">
        <v>154</v>
      </c>
      <c r="F3917" s="70" t="s">
        <v>111</v>
      </c>
      <c r="J3917" s="71" t="s">
        <v>2320</v>
      </c>
      <c r="L3917" s="433">
        <v>275</v>
      </c>
      <c r="M3917" s="136">
        <f t="shared" si="112"/>
        <v>-77219.742296666431</v>
      </c>
    </row>
    <row r="3918" spans="1:13">
      <c r="A3918" s="54" t="str">
        <f>D3918&amp;E3918&amp;F3918</f>
        <v>CAPNOMINA SUCURSALE7</v>
      </c>
      <c r="B3918" t="s">
        <v>2281</v>
      </c>
      <c r="C3918" s="1">
        <f t="shared" si="113"/>
        <v>45937</v>
      </c>
      <c r="D3918" s="71" t="s">
        <v>31</v>
      </c>
      <c r="E3918" s="71" t="s">
        <v>154</v>
      </c>
      <c r="F3918" s="70" t="s">
        <v>113</v>
      </c>
      <c r="J3918" s="71" t="s">
        <v>2321</v>
      </c>
      <c r="L3918" s="433">
        <v>68</v>
      </c>
      <c r="M3918" s="136">
        <f t="shared" si="112"/>
        <v>-77287.742296666431</v>
      </c>
    </row>
    <row r="3919" spans="1:13">
      <c r="A3919" s="54" t="str">
        <f>D3919&amp;E3919&amp;F3919</f>
        <v>ELIUBERL1</v>
      </c>
      <c r="B3919" t="s">
        <v>2281</v>
      </c>
      <c r="C3919" s="1">
        <f t="shared" si="113"/>
        <v>45937</v>
      </c>
      <c r="D3919" s="71" t="s">
        <v>130</v>
      </c>
      <c r="E3919" s="71" t="s">
        <v>189</v>
      </c>
      <c r="F3919" s="70" t="s">
        <v>136</v>
      </c>
      <c r="G3919" s="71" t="s">
        <v>258</v>
      </c>
      <c r="J3919" s="71" t="s">
        <v>2322</v>
      </c>
      <c r="L3919" s="523">
        <v>250</v>
      </c>
      <c r="M3919" s="136">
        <f t="shared" si="112"/>
        <v>-77537.742296666431</v>
      </c>
    </row>
    <row r="3920" spans="1:13">
      <c r="A3920" s="54" t="str">
        <f t="shared" si="111"/>
        <v/>
      </c>
      <c r="B3920" t="s">
        <v>2281</v>
      </c>
      <c r="C3920" s="1">
        <v>45938</v>
      </c>
      <c r="D3920" s="71"/>
      <c r="F3920" s="70"/>
      <c r="J3920" s="71" t="s">
        <v>2045</v>
      </c>
      <c r="K3920" s="325">
        <v>164905.42000000001</v>
      </c>
      <c r="L3920" s="432"/>
      <c r="M3920" s="136">
        <f t="shared" si="112"/>
        <v>87367.677703333582</v>
      </c>
    </row>
    <row r="3921" spans="1:13">
      <c r="A3921" s="54" t="str">
        <f>D3921&amp;E3921&amp;F3921</f>
        <v>FINANZASCOMISIONES BANCARIASTPV</v>
      </c>
      <c r="B3921" t="s">
        <v>2281</v>
      </c>
      <c r="C3921" s="1">
        <f t="shared" si="113"/>
        <v>45938</v>
      </c>
      <c r="D3921" s="71" t="s">
        <v>23</v>
      </c>
      <c r="E3921" s="71" t="s">
        <v>48</v>
      </c>
      <c r="F3921" s="70" t="s">
        <v>50</v>
      </c>
      <c r="J3921" s="71" t="s">
        <v>217</v>
      </c>
      <c r="L3921" s="433">
        <f>703.35+729.25+1442.88</f>
        <v>2875.48</v>
      </c>
      <c r="M3921" s="136">
        <f t="shared" si="112"/>
        <v>84492.197703333586</v>
      </c>
    </row>
    <row r="3922" spans="1:13">
      <c r="A3922" s="54" t="str">
        <f t="shared" ref="A3922:A3985" si="114">D3922&amp;E3922&amp;F3922</f>
        <v/>
      </c>
      <c r="B3922" t="s">
        <v>2281</v>
      </c>
      <c r="C3922" s="1">
        <f t="shared" si="113"/>
        <v>45938</v>
      </c>
      <c r="D3922" s="71"/>
      <c r="F3922" s="70"/>
      <c r="J3922" s="205" t="s">
        <v>1562</v>
      </c>
      <c r="K3922" s="205"/>
      <c r="L3922" s="428">
        <v>150000</v>
      </c>
      <c r="M3922" s="136">
        <f t="shared" si="112"/>
        <v>-65507.802296666414</v>
      </c>
    </row>
    <row r="3923" spans="1:13">
      <c r="A3923" s="54" t="str">
        <f>D3923&amp;E3923&amp;F3923</f>
        <v>HRFONDO Y REPOSICIONHR</v>
      </c>
      <c r="B3923" t="s">
        <v>2281</v>
      </c>
      <c r="C3923" s="1">
        <f t="shared" si="113"/>
        <v>45938</v>
      </c>
      <c r="D3923" s="71" t="s">
        <v>29</v>
      </c>
      <c r="E3923" s="71" t="s">
        <v>120</v>
      </c>
      <c r="F3923" s="70" t="s">
        <v>29</v>
      </c>
      <c r="J3923" s="71" t="s">
        <v>1346</v>
      </c>
      <c r="L3923" s="433">
        <v>1464</v>
      </c>
      <c r="M3923" s="136">
        <f t="shared" si="112"/>
        <v>-66971.802296666414</v>
      </c>
    </row>
    <row r="3924" spans="1:13">
      <c r="A3924" s="54" t="str">
        <f>D3924&amp;E3924&amp;F3924</f>
        <v>HRFONDO Y REPOSICIONHR</v>
      </c>
      <c r="B3924" t="s">
        <v>2281</v>
      </c>
      <c r="C3924" s="1">
        <f t="shared" si="113"/>
        <v>45938</v>
      </c>
      <c r="D3924" s="71" t="s">
        <v>29</v>
      </c>
      <c r="E3924" s="71" t="s">
        <v>120</v>
      </c>
      <c r="F3924" s="70" t="s">
        <v>29</v>
      </c>
      <c r="J3924" s="71" t="s">
        <v>2256</v>
      </c>
      <c r="L3924" s="433">
        <v>2000</v>
      </c>
      <c r="M3924" s="136">
        <f t="shared" si="112"/>
        <v>-68971.802296666414</v>
      </c>
    </row>
    <row r="3925" spans="1:13">
      <c r="A3925" s="54" t="str">
        <f>D3925&amp;E3925&amp;F3925</f>
        <v>HRFONDO Y REPOSICIONHR</v>
      </c>
      <c r="B3925" t="s">
        <v>2281</v>
      </c>
      <c r="C3925" s="1">
        <f t="shared" si="113"/>
        <v>45938</v>
      </c>
      <c r="D3925" s="71" t="s">
        <v>29</v>
      </c>
      <c r="E3925" s="71" t="s">
        <v>120</v>
      </c>
      <c r="F3925" s="70" t="s">
        <v>29</v>
      </c>
      <c r="J3925" s="71" t="s">
        <v>2323</v>
      </c>
      <c r="L3925" s="433">
        <v>2500</v>
      </c>
      <c r="M3925" s="136">
        <f t="shared" si="112"/>
        <v>-71471.802296666414</v>
      </c>
    </row>
    <row r="3926" spans="1:13">
      <c r="A3926" s="54" t="str">
        <f>D3926&amp;E3926&amp;F3926</f>
        <v>CAPFONDO Y REPOSICIONCAPRICHOS</v>
      </c>
      <c r="B3926" t="s">
        <v>2281</v>
      </c>
      <c r="C3926" s="1">
        <f t="shared" si="113"/>
        <v>45938</v>
      </c>
      <c r="D3926" s="71" t="s">
        <v>31</v>
      </c>
      <c r="E3926" s="71" t="s">
        <v>120</v>
      </c>
      <c r="F3926" s="70" t="s">
        <v>33</v>
      </c>
      <c r="J3926" s="71" t="s">
        <v>2324</v>
      </c>
      <c r="L3926" s="433">
        <v>1877</v>
      </c>
      <c r="M3926" s="136">
        <f t="shared" si="112"/>
        <v>-73348.802296666414</v>
      </c>
    </row>
    <row r="3927" spans="1:13">
      <c r="A3927" s="54" t="str">
        <f>D3927&amp;E3927&amp;F3927</f>
        <v>DEVIATICOSDIRECCION</v>
      </c>
      <c r="B3927" t="s">
        <v>2281</v>
      </c>
      <c r="C3927" s="1">
        <f t="shared" si="113"/>
        <v>45938</v>
      </c>
      <c r="D3927" s="71" t="s">
        <v>41</v>
      </c>
      <c r="E3927" s="71" t="s">
        <v>191</v>
      </c>
      <c r="F3927" s="70" t="s">
        <v>42</v>
      </c>
      <c r="J3927" s="71" t="s">
        <v>2133</v>
      </c>
      <c r="L3927" s="433">
        <v>1000</v>
      </c>
      <c r="M3927" s="136">
        <f t="shared" si="112"/>
        <v>-74348.802296666414</v>
      </c>
    </row>
    <row r="3928" spans="1:13">
      <c r="A3928" s="54" t="str">
        <f>D3928&amp;E3928&amp;F3928</f>
        <v>SERVICIOSGASCEDIS</v>
      </c>
      <c r="B3928" t="s">
        <v>2281</v>
      </c>
      <c r="C3928" s="1">
        <f t="shared" si="113"/>
        <v>45938</v>
      </c>
      <c r="D3928" s="71" t="s">
        <v>21</v>
      </c>
      <c r="E3928" s="71" t="s">
        <v>122</v>
      </c>
      <c r="F3928" s="70" t="s">
        <v>28</v>
      </c>
      <c r="J3928" s="71" t="s">
        <v>2325</v>
      </c>
      <c r="L3928" s="433">
        <v>300</v>
      </c>
      <c r="M3928" s="136">
        <f t="shared" si="112"/>
        <v>-74648.802296666414</v>
      </c>
    </row>
    <row r="3929" spans="1:13">
      <c r="A3929" s="54" t="str">
        <f>D3929&amp;E3929&amp;F3929</f>
        <v>SERVICIOSVIATICOSSISTEMAS</v>
      </c>
      <c r="B3929" t="s">
        <v>2281</v>
      </c>
      <c r="C3929" s="1">
        <f t="shared" si="113"/>
        <v>45938</v>
      </c>
      <c r="D3929" s="71" t="s">
        <v>21</v>
      </c>
      <c r="E3929" s="71" t="s">
        <v>191</v>
      </c>
      <c r="F3929" s="70" t="s">
        <v>36</v>
      </c>
      <c r="J3929" s="71" t="s">
        <v>1567</v>
      </c>
      <c r="L3929" s="433">
        <v>1300</v>
      </c>
      <c r="M3929" s="136">
        <f t="shared" si="112"/>
        <v>-75948.802296666414</v>
      </c>
    </row>
    <row r="3930" spans="1:13">
      <c r="A3930" s="54" t="str">
        <f>D3930&amp;E3930&amp;F3930</f>
        <v>HRFONDO Y REPOSICIONHR</v>
      </c>
      <c r="B3930" t="s">
        <v>2281</v>
      </c>
      <c r="C3930" s="1">
        <f t="shared" si="113"/>
        <v>45938</v>
      </c>
      <c r="D3930" s="71" t="s">
        <v>29</v>
      </c>
      <c r="E3930" s="71" t="s">
        <v>120</v>
      </c>
      <c r="F3930" s="70" t="s">
        <v>29</v>
      </c>
      <c r="J3930" s="71" t="s">
        <v>2326</v>
      </c>
      <c r="L3930" s="433">
        <v>220</v>
      </c>
      <c r="M3930" s="136">
        <f t="shared" si="112"/>
        <v>-76168.802296666414</v>
      </c>
    </row>
    <row r="3931" spans="1:13">
      <c r="A3931" s="54" t="str">
        <f>D3931&amp;E3931&amp;F3931</f>
        <v>CAPUBERCAP</v>
      </c>
      <c r="B3931" t="s">
        <v>2281</v>
      </c>
      <c r="C3931" s="1">
        <f t="shared" si="113"/>
        <v>45938</v>
      </c>
      <c r="D3931" s="71" t="s">
        <v>31</v>
      </c>
      <c r="E3931" s="71" t="s">
        <v>189</v>
      </c>
      <c r="F3931" s="70" t="s">
        <v>31</v>
      </c>
      <c r="J3931" s="71" t="s">
        <v>2262</v>
      </c>
      <c r="L3931" s="523">
        <v>225</v>
      </c>
      <c r="M3931" s="136">
        <f t="shared" si="112"/>
        <v>-76393.802296666414</v>
      </c>
    </row>
    <row r="3932" spans="1:13">
      <c r="A3932" s="54" t="str">
        <f>D3932&amp;E3932&amp;F3932</f>
        <v>CAPJMASE3</v>
      </c>
      <c r="B3932" t="s">
        <v>2281</v>
      </c>
      <c r="C3932" s="1">
        <f t="shared" si="113"/>
        <v>45938</v>
      </c>
      <c r="D3932" s="71" t="s">
        <v>31</v>
      </c>
      <c r="E3932" s="71" t="s">
        <v>137</v>
      </c>
      <c r="F3932" s="70" t="s">
        <v>109</v>
      </c>
      <c r="J3932" s="71" t="s">
        <v>2327</v>
      </c>
      <c r="L3932" s="433">
        <v>389</v>
      </c>
      <c r="M3932" s="136">
        <f t="shared" si="112"/>
        <v>-76782.802296666414</v>
      </c>
    </row>
    <row r="3933" spans="1:13">
      <c r="A3933" s="54" t="str">
        <f>D3933&amp;E3933&amp;F3933</f>
        <v>CAPUBERCAP</v>
      </c>
      <c r="B3933" t="s">
        <v>2281</v>
      </c>
      <c r="C3933" s="1">
        <f t="shared" si="113"/>
        <v>45938</v>
      </c>
      <c r="D3933" s="71" t="s">
        <v>31</v>
      </c>
      <c r="E3933" s="71" t="s">
        <v>189</v>
      </c>
      <c r="F3933" s="70" t="s">
        <v>31</v>
      </c>
      <c r="J3933" s="71" t="s">
        <v>2278</v>
      </c>
      <c r="L3933" s="523">
        <v>140</v>
      </c>
      <c r="M3933" s="136">
        <f t="shared" si="112"/>
        <v>-76922.802296666414</v>
      </c>
    </row>
    <row r="3934" spans="1:13">
      <c r="A3934" s="54" t="str">
        <f>D3934&amp;E3934&amp;F3934</f>
        <v>CAPINSUMOSCAPRICHOS</v>
      </c>
      <c r="B3934" t="s">
        <v>2281</v>
      </c>
      <c r="C3934" s="1">
        <f t="shared" si="113"/>
        <v>45938</v>
      </c>
      <c r="D3934" s="71" t="s">
        <v>31</v>
      </c>
      <c r="E3934" s="71" t="s">
        <v>133</v>
      </c>
      <c r="F3934" s="70" t="s">
        <v>33</v>
      </c>
      <c r="J3934" s="71" t="s">
        <v>2301</v>
      </c>
      <c r="L3934" s="433">
        <v>200</v>
      </c>
      <c r="M3934" s="136">
        <f t="shared" si="112"/>
        <v>-77122.802296666414</v>
      </c>
    </row>
    <row r="3935" spans="1:13">
      <c r="A3935" s="54" t="str">
        <f>D3935&amp;E3935&amp;F3935</f>
        <v>CAPNOMINA SUCURSALE7</v>
      </c>
      <c r="B3935" t="s">
        <v>2281</v>
      </c>
      <c r="C3935" s="1">
        <f t="shared" si="113"/>
        <v>45938</v>
      </c>
      <c r="D3935" s="71" t="s">
        <v>31</v>
      </c>
      <c r="E3935" s="71" t="s">
        <v>154</v>
      </c>
      <c r="F3935" s="70" t="s">
        <v>113</v>
      </c>
      <c r="J3935" s="71" t="s">
        <v>2321</v>
      </c>
      <c r="L3935" s="433">
        <v>170</v>
      </c>
      <c r="M3935" s="136">
        <f t="shared" si="112"/>
        <v>-77292.802296666414</v>
      </c>
    </row>
    <row r="3936" spans="1:13">
      <c r="A3936" s="54" t="str">
        <f>D3936&amp;E3936&amp;F3936</f>
        <v>CAPINSUMOSCAPRICHOS</v>
      </c>
      <c r="B3936" t="s">
        <v>2281</v>
      </c>
      <c r="C3936" s="1">
        <f t="shared" si="113"/>
        <v>45938</v>
      </c>
      <c r="D3936" s="71" t="s">
        <v>31</v>
      </c>
      <c r="E3936" s="71" t="s">
        <v>133</v>
      </c>
      <c r="F3936" s="70" t="s">
        <v>33</v>
      </c>
      <c r="G3936" s="71" t="s">
        <v>258</v>
      </c>
      <c r="J3936" s="71" t="s">
        <v>2328</v>
      </c>
      <c r="L3936" s="433">
        <v>60</v>
      </c>
      <c r="M3936" s="136">
        <f t="shared" si="112"/>
        <v>-77352.802296666414</v>
      </c>
    </row>
    <row r="3937" spans="1:13">
      <c r="A3937" s="54" t="str">
        <f t="shared" si="114"/>
        <v/>
      </c>
      <c r="B3937" t="s">
        <v>2281</v>
      </c>
      <c r="C3937" s="1">
        <v>45939</v>
      </c>
      <c r="D3937" s="71"/>
      <c r="F3937" s="70"/>
      <c r="J3937" s="71" t="s">
        <v>2045</v>
      </c>
      <c r="K3937" s="325">
        <v>185055.91</v>
      </c>
      <c r="L3937" s="432"/>
      <c r="M3937" s="136">
        <f t="shared" si="112"/>
        <v>107703.10770333359</v>
      </c>
    </row>
    <row r="3938" spans="1:13">
      <c r="A3938" s="54" t="str">
        <f>D3938&amp;E3938&amp;F3938</f>
        <v>FINANZASCOMISIONES BANCARIASTPV</v>
      </c>
      <c r="B3938" t="s">
        <v>2281</v>
      </c>
      <c r="C3938" s="1">
        <f t="shared" si="113"/>
        <v>45939</v>
      </c>
      <c r="D3938" s="71" t="s">
        <v>23</v>
      </c>
      <c r="E3938" s="71" t="s">
        <v>48</v>
      </c>
      <c r="F3938" s="70" t="s">
        <v>50</v>
      </c>
      <c r="J3938" s="71" t="s">
        <v>217</v>
      </c>
      <c r="L3938" s="433">
        <f>139.04+1259.08+980.65+549.69+817.28+602.44+544.69</f>
        <v>4892.8700000000008</v>
      </c>
      <c r="M3938" s="136">
        <f t="shared" si="112"/>
        <v>102810.23770333359</v>
      </c>
    </row>
    <row r="3939" spans="1:13">
      <c r="A3939" s="54" t="str">
        <f t="shared" si="114"/>
        <v/>
      </c>
      <c r="B3939" t="s">
        <v>2281</v>
      </c>
      <c r="C3939" s="1">
        <f t="shared" si="113"/>
        <v>45939</v>
      </c>
      <c r="D3939" s="71"/>
      <c r="F3939" s="70"/>
      <c r="J3939" s="205" t="s">
        <v>1562</v>
      </c>
      <c r="K3939" s="205"/>
      <c r="L3939" s="428">
        <v>100000</v>
      </c>
      <c r="M3939" s="136">
        <f t="shared" si="112"/>
        <v>2810.2377033335943</v>
      </c>
    </row>
    <row r="3940" spans="1:13">
      <c r="A3940" s="54" t="str">
        <f>D3940&amp;E3940&amp;F3940</f>
        <v>SERVICIOSINSUMOSCADENA DE SUMINISTROS</v>
      </c>
      <c r="B3940" t="s">
        <v>2281</v>
      </c>
      <c r="C3940" s="1">
        <f t="shared" si="113"/>
        <v>45939</v>
      </c>
      <c r="D3940" s="71" t="s">
        <v>21</v>
      </c>
      <c r="E3940" s="71" t="s">
        <v>133</v>
      </c>
      <c r="F3940" s="70" t="s">
        <v>134</v>
      </c>
      <c r="J3940" s="71" t="s">
        <v>923</v>
      </c>
      <c r="L3940" s="433">
        <v>6913.6</v>
      </c>
      <c r="M3940" s="136">
        <f t="shared" si="112"/>
        <v>-4103.3622966664061</v>
      </c>
    </row>
    <row r="3941" spans="1:13">
      <c r="A3941" s="54" t="str">
        <f>D3941&amp;E3941&amp;F3941</f>
        <v>SERVICIOSINSUMOSCADENA DE SUMINISTROS</v>
      </c>
      <c r="B3941" t="s">
        <v>2281</v>
      </c>
      <c r="C3941" s="1">
        <f t="shared" si="113"/>
        <v>45939</v>
      </c>
      <c r="D3941" s="71" t="s">
        <v>21</v>
      </c>
      <c r="E3941" s="71" t="s">
        <v>133</v>
      </c>
      <c r="F3941" s="70" t="s">
        <v>134</v>
      </c>
      <c r="J3941" s="71" t="s">
        <v>858</v>
      </c>
      <c r="L3941" s="433">
        <v>16701</v>
      </c>
      <c r="M3941" s="136">
        <f t="shared" si="112"/>
        <v>-20804.362296666404</v>
      </c>
    </row>
    <row r="3942" spans="1:13">
      <c r="A3942" s="54" t="str">
        <f>D3942&amp;E3942&amp;F3942</f>
        <v>SERVICIOSPAQUETERIACEDIS (E6)</v>
      </c>
      <c r="B3942" t="s">
        <v>2281</v>
      </c>
      <c r="C3942" s="1">
        <f t="shared" si="113"/>
        <v>45939</v>
      </c>
      <c r="D3942" s="71" t="s">
        <v>21</v>
      </c>
      <c r="E3942" s="71" t="s">
        <v>160</v>
      </c>
      <c r="F3942" s="70" t="s">
        <v>161</v>
      </c>
      <c r="J3942" s="71" t="s">
        <v>1412</v>
      </c>
      <c r="L3942" s="433">
        <v>1688</v>
      </c>
      <c r="M3942" s="136">
        <f t="shared" si="112"/>
        <v>-22492.362296666404</v>
      </c>
    </row>
    <row r="3943" spans="1:13">
      <c r="A3943" s="54" t="str">
        <f>D3943&amp;E3943&amp;F3943</f>
        <v>SERVICIOSINSUMOSCADENA DE SUMINISTROS</v>
      </c>
      <c r="B3943" t="s">
        <v>2281</v>
      </c>
      <c r="C3943" s="1">
        <f t="shared" si="113"/>
        <v>45939</v>
      </c>
      <c r="D3943" s="71" t="s">
        <v>21</v>
      </c>
      <c r="E3943" s="71" t="s">
        <v>133</v>
      </c>
      <c r="F3943" s="70" t="s">
        <v>134</v>
      </c>
      <c r="J3943" s="71" t="s">
        <v>2183</v>
      </c>
      <c r="L3943" s="433">
        <v>6340</v>
      </c>
      <c r="M3943" s="136">
        <f t="shared" si="112"/>
        <v>-28832.362296666404</v>
      </c>
    </row>
    <row r="3944" spans="1:13">
      <c r="A3944" s="54" t="str">
        <f>D3944&amp;E3944&amp;F3944</f>
        <v>CAPIMAGEN VISUALIMAGEN VISUAL CAP</v>
      </c>
      <c r="B3944" t="s">
        <v>2281</v>
      </c>
      <c r="C3944" s="1">
        <f t="shared" si="113"/>
        <v>45939</v>
      </c>
      <c r="D3944" s="71" t="s">
        <v>31</v>
      </c>
      <c r="E3944" s="71" t="s">
        <v>127</v>
      </c>
      <c r="F3944" s="70" t="s">
        <v>129</v>
      </c>
      <c r="J3944" s="71" t="s">
        <v>2329</v>
      </c>
      <c r="L3944" s="433">
        <v>10440</v>
      </c>
      <c r="M3944" s="136">
        <f t="shared" si="112"/>
        <v>-39272.362296666404</v>
      </c>
    </row>
    <row r="3945" spans="1:13">
      <c r="A3945" s="54" t="str">
        <f>D3945&amp;E3945&amp;F3945</f>
        <v>HRENERGIA ELECTRICAA17</v>
      </c>
      <c r="B3945" t="s">
        <v>2281</v>
      </c>
      <c r="C3945" s="1">
        <f t="shared" si="113"/>
        <v>45939</v>
      </c>
      <c r="D3945" s="71" t="s">
        <v>29</v>
      </c>
      <c r="E3945" s="71" t="s">
        <v>87</v>
      </c>
      <c r="F3945" s="375" t="s">
        <v>102</v>
      </c>
      <c r="J3945" s="71" t="s">
        <v>1338</v>
      </c>
      <c r="L3945" s="433">
        <v>15594</v>
      </c>
      <c r="M3945" s="136">
        <f t="shared" si="112"/>
        <v>-54866.362296666404</v>
      </c>
    </row>
    <row r="3946" spans="1:13">
      <c r="A3946" s="54" t="str">
        <f>D3946&amp;E3946&amp;F3946</f>
        <v>HRENERGIA ELECTRICAA1</v>
      </c>
      <c r="B3946" t="s">
        <v>2281</v>
      </c>
      <c r="C3946" s="1">
        <f t="shared" si="113"/>
        <v>45939</v>
      </c>
      <c r="D3946" s="71" t="s">
        <v>29</v>
      </c>
      <c r="E3946" s="71" t="s">
        <v>87</v>
      </c>
      <c r="F3946" s="375" t="s">
        <v>88</v>
      </c>
      <c r="J3946" s="71" t="s">
        <v>302</v>
      </c>
      <c r="L3946" s="433">
        <v>7197</v>
      </c>
      <c r="M3946" s="136">
        <f t="shared" si="112"/>
        <v>-62063.362296666404</v>
      </c>
    </row>
    <row r="3947" spans="1:13">
      <c r="A3947" s="54" t="str">
        <f>D3947&amp;E3947&amp;F3947</f>
        <v>SERVICIOSALARMASUCURSALES CAPRICHOS</v>
      </c>
      <c r="B3947" t="s">
        <v>2281</v>
      </c>
      <c r="C3947" s="1">
        <f t="shared" si="113"/>
        <v>45939</v>
      </c>
      <c r="D3947" s="71" t="s">
        <v>21</v>
      </c>
      <c r="E3947" s="71" t="s">
        <v>25</v>
      </c>
      <c r="F3947" s="70" t="s">
        <v>27</v>
      </c>
      <c r="J3947" s="71" t="s">
        <v>2330</v>
      </c>
      <c r="L3947" s="433">
        <v>386.4</v>
      </c>
      <c r="M3947" s="136">
        <f t="shared" si="112"/>
        <v>-62449.762296666406</v>
      </c>
    </row>
    <row r="3948" spans="1:13">
      <c r="A3948" s="54" t="str">
        <f>D3948&amp;E3948&amp;F3948</f>
        <v>SERVICIOSINSUMOSCADENA DE SUMINISTROS</v>
      </c>
      <c r="B3948" t="s">
        <v>2281</v>
      </c>
      <c r="C3948" s="1">
        <f t="shared" si="113"/>
        <v>45939</v>
      </c>
      <c r="D3948" s="71" t="s">
        <v>21</v>
      </c>
      <c r="E3948" s="71" t="s">
        <v>133</v>
      </c>
      <c r="F3948" s="70" t="s">
        <v>134</v>
      </c>
      <c r="J3948" s="71" t="s">
        <v>538</v>
      </c>
      <c r="L3948" s="433">
        <v>6773.13</v>
      </c>
      <c r="M3948" s="136">
        <f t="shared" si="112"/>
        <v>-69222.89229666641</v>
      </c>
    </row>
    <row r="3949" spans="1:13">
      <c r="A3949" s="54" t="str">
        <f>D3949&amp;E3949&amp;F3949</f>
        <v>SERVICIOSCOMBUSTIBLECEDIS</v>
      </c>
      <c r="B3949" t="s">
        <v>2281</v>
      </c>
      <c r="C3949" s="1">
        <f t="shared" si="113"/>
        <v>45939</v>
      </c>
      <c r="D3949" s="71" t="s">
        <v>21</v>
      </c>
      <c r="E3949" s="71" t="s">
        <v>32</v>
      </c>
      <c r="F3949" s="70" t="s">
        <v>28</v>
      </c>
      <c r="G3949" s="71" t="s">
        <v>258</v>
      </c>
      <c r="J3949" s="71" t="s">
        <v>2331</v>
      </c>
      <c r="L3949" s="433">
        <v>4000</v>
      </c>
      <c r="M3949" s="136">
        <f t="shared" si="112"/>
        <v>-73222.89229666641</v>
      </c>
    </row>
    <row r="3950" spans="1:13">
      <c r="A3950" s="54" t="str">
        <f>D3950&amp;E3950&amp;F3950</f>
        <v>ELIVIATICOSL1</v>
      </c>
      <c r="B3950" t="s">
        <v>2281</v>
      </c>
      <c r="C3950" s="1">
        <f t="shared" si="113"/>
        <v>45939</v>
      </c>
      <c r="D3950" t="s">
        <v>130</v>
      </c>
      <c r="E3950" t="s">
        <v>191</v>
      </c>
      <c r="F3950" t="s">
        <v>136</v>
      </c>
      <c r="J3950" s="71" t="s">
        <v>2332</v>
      </c>
      <c r="L3950" s="433">
        <v>1000</v>
      </c>
      <c r="M3950" s="136">
        <f t="shared" si="112"/>
        <v>-74222.89229666641</v>
      </c>
    </row>
    <row r="3951" spans="1:13">
      <c r="A3951" s="54" t="str">
        <f>D3951&amp;E3951&amp;F3951</f>
        <v>MKTINSUMOSINSUMOS</v>
      </c>
      <c r="B3951" t="s">
        <v>2281</v>
      </c>
      <c r="C3951" s="1">
        <f t="shared" si="113"/>
        <v>45939</v>
      </c>
      <c r="D3951" s="71" t="s">
        <v>19</v>
      </c>
      <c r="E3951" s="71" t="s">
        <v>133</v>
      </c>
      <c r="F3951" s="230" t="s">
        <v>133</v>
      </c>
      <c r="J3951" s="71" t="s">
        <v>2333</v>
      </c>
      <c r="L3951" s="433">
        <v>2010</v>
      </c>
      <c r="M3951" s="136">
        <f t="shared" si="112"/>
        <v>-76232.89229666641</v>
      </c>
    </row>
    <row r="3952" spans="1:13">
      <c r="A3952" s="54" t="str">
        <f>D3952&amp;E3952&amp;F3952</f>
        <v>HRUBERHR</v>
      </c>
      <c r="B3952" t="s">
        <v>2281</v>
      </c>
      <c r="C3952" s="1">
        <f t="shared" si="113"/>
        <v>45939</v>
      </c>
      <c r="D3952" s="71" t="s">
        <v>29</v>
      </c>
      <c r="E3952" s="71" t="s">
        <v>189</v>
      </c>
      <c r="F3952" s="70" t="s">
        <v>29</v>
      </c>
      <c r="J3952" s="71" t="s">
        <v>2334</v>
      </c>
      <c r="L3952" s="523">
        <v>49</v>
      </c>
      <c r="M3952" s="136">
        <f t="shared" si="112"/>
        <v>-76281.89229666641</v>
      </c>
    </row>
    <row r="3953" spans="1:13">
      <c r="A3953" s="54" t="str">
        <f>D3953&amp;E3953&amp;F3953</f>
        <v>CAPUBERCAP</v>
      </c>
      <c r="B3953" t="s">
        <v>2281</v>
      </c>
      <c r="C3953" s="1">
        <f t="shared" si="113"/>
        <v>45939</v>
      </c>
      <c r="D3953" s="71" t="s">
        <v>31</v>
      </c>
      <c r="E3953" s="71" t="s">
        <v>189</v>
      </c>
      <c r="F3953" s="70" t="s">
        <v>31</v>
      </c>
      <c r="J3953" s="71" t="s">
        <v>2267</v>
      </c>
      <c r="L3953" s="523">
        <v>277</v>
      </c>
      <c r="M3953" s="136">
        <f t="shared" si="112"/>
        <v>-76558.89229666641</v>
      </c>
    </row>
    <row r="3954" spans="1:13">
      <c r="A3954" s="54" t="str">
        <f>D3954&amp;E3954&amp;F3954</f>
        <v>CAPINSUMOSCAPRICHOS</v>
      </c>
      <c r="B3954" t="s">
        <v>2281</v>
      </c>
      <c r="C3954" s="1">
        <f t="shared" si="113"/>
        <v>45939</v>
      </c>
      <c r="D3954" s="71" t="s">
        <v>31</v>
      </c>
      <c r="E3954" s="71" t="s">
        <v>133</v>
      </c>
      <c r="F3954" s="70" t="s">
        <v>33</v>
      </c>
      <c r="J3954" s="71" t="s">
        <v>2335</v>
      </c>
      <c r="L3954" s="433">
        <v>105</v>
      </c>
      <c r="M3954" s="136">
        <f t="shared" si="112"/>
        <v>-76663.89229666641</v>
      </c>
    </row>
    <row r="3955" spans="1:13">
      <c r="A3955" s="54" t="str">
        <f>D3955&amp;E3955&amp;F3955</f>
        <v>ELIINSUMOSL1</v>
      </c>
      <c r="B3955" t="s">
        <v>2281</v>
      </c>
      <c r="C3955" s="1">
        <f t="shared" si="113"/>
        <v>45939</v>
      </c>
      <c r="D3955" s="71" t="s">
        <v>130</v>
      </c>
      <c r="E3955" s="71" t="s">
        <v>133</v>
      </c>
      <c r="F3955" s="70" t="s">
        <v>136</v>
      </c>
      <c r="G3955" s="71" t="s">
        <v>258</v>
      </c>
      <c r="J3955" s="71" t="s">
        <v>2336</v>
      </c>
      <c r="L3955" s="433">
        <v>469</v>
      </c>
      <c r="M3955" s="136">
        <f t="shared" ref="M3955:M4018" si="115">M3954+K3955-L3955</f>
        <v>-77132.89229666641</v>
      </c>
    </row>
    <row r="3956" spans="1:13">
      <c r="A3956" s="54" t="str">
        <f>D3956&amp;E3956&amp;F3956</f>
        <v>HRJMASA14</v>
      </c>
      <c r="B3956" t="s">
        <v>2281</v>
      </c>
      <c r="C3956" s="1">
        <f t="shared" si="113"/>
        <v>45939</v>
      </c>
      <c r="D3956" s="71" t="s">
        <v>29</v>
      </c>
      <c r="E3956" s="71" t="s">
        <v>137</v>
      </c>
      <c r="F3956" s="70" t="s">
        <v>99</v>
      </c>
      <c r="J3956" s="71" t="s">
        <v>2337</v>
      </c>
      <c r="L3956" s="433">
        <v>340</v>
      </c>
      <c r="M3956" s="136">
        <f t="shared" si="115"/>
        <v>-77472.89229666641</v>
      </c>
    </row>
    <row r="3957" spans="1:13">
      <c r="A3957" s="54" t="str">
        <f t="shared" si="114"/>
        <v/>
      </c>
      <c r="B3957" t="s">
        <v>2281</v>
      </c>
      <c r="C3957" s="1">
        <v>45940</v>
      </c>
      <c r="D3957" s="71"/>
      <c r="F3957" s="70"/>
      <c r="J3957" s="71" t="s">
        <v>2045</v>
      </c>
      <c r="K3957" s="325">
        <v>213742.74</v>
      </c>
      <c r="L3957" s="432"/>
      <c r="M3957" s="136">
        <f t="shared" si="115"/>
        <v>136269.84770333359</v>
      </c>
    </row>
    <row r="3958" spans="1:13">
      <c r="A3958" s="54" t="str">
        <f>D3958&amp;E3958&amp;F3958</f>
        <v>FINANZASCOMISIONES BANCARIASTPV</v>
      </c>
      <c r="B3958" t="s">
        <v>2281</v>
      </c>
      <c r="C3958" s="1">
        <f t="shared" ref="C3958:C4024" si="116">C3957</f>
        <v>45940</v>
      </c>
      <c r="D3958" s="71" t="s">
        <v>23</v>
      </c>
      <c r="E3958" s="71" t="s">
        <v>48</v>
      </c>
      <c r="F3958" s="70" t="s">
        <v>50</v>
      </c>
      <c r="J3958" s="71" t="s">
        <v>217</v>
      </c>
      <c r="L3958" s="433">
        <f>194.64+1131.14+426.6+1201.15+850.45+10.28+5.8</f>
        <v>3820.0600000000009</v>
      </c>
      <c r="M3958" s="136">
        <f t="shared" si="115"/>
        <v>132449.7877033336</v>
      </c>
    </row>
    <row r="3959" spans="1:13">
      <c r="A3959" s="54" t="str">
        <f t="shared" si="114"/>
        <v/>
      </c>
      <c r="B3959" t="s">
        <v>2281</v>
      </c>
      <c r="C3959" s="1">
        <f t="shared" si="116"/>
        <v>45940</v>
      </c>
      <c r="D3959" s="71"/>
      <c r="F3959" s="70"/>
      <c r="J3959" s="205" t="s">
        <v>1562</v>
      </c>
      <c r="K3959" s="205"/>
      <c r="L3959" s="428">
        <v>223000</v>
      </c>
      <c r="M3959" s="136">
        <f t="shared" si="115"/>
        <v>-90550.212296666403</v>
      </c>
    </row>
    <row r="3960" spans="1:13">
      <c r="A3960" s="54" t="str">
        <f t="shared" si="114"/>
        <v/>
      </c>
      <c r="B3960" t="s">
        <v>2281</v>
      </c>
      <c r="C3960" s="1">
        <f t="shared" si="116"/>
        <v>45940</v>
      </c>
      <c r="D3960" s="71"/>
      <c r="F3960" s="70"/>
      <c r="J3960" s="71" t="s">
        <v>294</v>
      </c>
      <c r="L3960" s="433">
        <v>29461.599999999999</v>
      </c>
      <c r="M3960" s="136">
        <f t="shared" si="115"/>
        <v>-120011.81229666641</v>
      </c>
    </row>
    <row r="3961" spans="1:13">
      <c r="A3961" s="54" t="str">
        <f>D3961&amp;E3961&amp;F3961</f>
        <v>SERVICIOSFONDO Y REPOSICIONSERVICIOS</v>
      </c>
      <c r="B3961" t="s">
        <v>2281</v>
      </c>
      <c r="C3961" s="1">
        <f t="shared" si="116"/>
        <v>45940</v>
      </c>
      <c r="D3961" s="71" t="s">
        <v>21</v>
      </c>
      <c r="E3961" s="71" t="s">
        <v>120</v>
      </c>
      <c r="F3961" s="70" t="s">
        <v>21</v>
      </c>
      <c r="J3961" s="71" t="s">
        <v>2338</v>
      </c>
      <c r="L3961" s="433">
        <v>2000</v>
      </c>
      <c r="M3961" s="136">
        <f t="shared" si="115"/>
        <v>-122011.81229666641</v>
      </c>
    </row>
    <row r="3962" spans="1:13">
      <c r="A3962" s="54" t="str">
        <f>D3962&amp;E3962&amp;F3962</f>
        <v>SERVICIOSINSUMOSCOFFE</v>
      </c>
      <c r="B3962" t="s">
        <v>2281</v>
      </c>
      <c r="C3962" s="1">
        <f t="shared" si="116"/>
        <v>45940</v>
      </c>
      <c r="D3962" s="71" t="s">
        <v>21</v>
      </c>
      <c r="E3962" s="71" t="s">
        <v>133</v>
      </c>
      <c r="F3962" s="70" t="s">
        <v>135</v>
      </c>
      <c r="J3962" s="71" t="s">
        <v>2339</v>
      </c>
      <c r="L3962" s="433">
        <v>1600</v>
      </c>
      <c r="M3962" s="136">
        <f t="shared" si="115"/>
        <v>-123611.81229666641</v>
      </c>
    </row>
    <row r="3963" spans="1:13">
      <c r="A3963" s="54" t="str">
        <f>D3963&amp;E3963&amp;F3963</f>
        <v>SERVICIOSFONDO Y REPOSICIONMANTENIMIENTO</v>
      </c>
      <c r="B3963" t="s">
        <v>2281</v>
      </c>
      <c r="C3963" s="1">
        <f t="shared" si="116"/>
        <v>45940</v>
      </c>
      <c r="D3963" s="71" t="s">
        <v>21</v>
      </c>
      <c r="E3963" s="71" t="s">
        <v>120</v>
      </c>
      <c r="F3963" s="70" t="s">
        <v>35</v>
      </c>
      <c r="G3963" s="71" t="s">
        <v>258</v>
      </c>
      <c r="J3963" s="71" t="s">
        <v>2340</v>
      </c>
      <c r="L3963" s="433">
        <v>2000</v>
      </c>
      <c r="M3963" s="136">
        <f t="shared" si="115"/>
        <v>-125611.81229666641</v>
      </c>
    </row>
    <row r="3964" spans="1:13">
      <c r="A3964" s="54" t="str">
        <f>D3964&amp;E3964&amp;F3964</f>
        <v>MKTINSUMOSINSUMOS</v>
      </c>
      <c r="B3964" t="s">
        <v>2281</v>
      </c>
      <c r="C3964" s="1">
        <f t="shared" si="116"/>
        <v>45940</v>
      </c>
      <c r="D3964" s="71" t="s">
        <v>19</v>
      </c>
      <c r="E3964" s="71" t="s">
        <v>133</v>
      </c>
      <c r="F3964" s="230" t="s">
        <v>133</v>
      </c>
      <c r="G3964" s="71" t="s">
        <v>258</v>
      </c>
      <c r="J3964" s="71" t="s">
        <v>2341</v>
      </c>
      <c r="L3964" s="433">
        <v>12285</v>
      </c>
      <c r="M3964" s="136">
        <f t="shared" si="115"/>
        <v>-137896.81229666641</v>
      </c>
    </row>
    <row r="3965" spans="1:13">
      <c r="A3965" s="54" t="str">
        <f>D3965&amp;E3965&amp;F3965</f>
        <v>FINANZASNOMINA ADMONTESORERIA</v>
      </c>
      <c r="B3965" t="s">
        <v>2281</v>
      </c>
      <c r="C3965" s="1">
        <f t="shared" si="116"/>
        <v>45940</v>
      </c>
      <c r="D3965" s="71" t="s">
        <v>23</v>
      </c>
      <c r="E3965" s="71" t="s">
        <v>147</v>
      </c>
      <c r="F3965" s="70" t="s">
        <v>38</v>
      </c>
      <c r="G3965" s="71" t="s">
        <v>258</v>
      </c>
      <c r="J3965" s="71" t="s">
        <v>2342</v>
      </c>
      <c r="L3965" s="433">
        <v>600</v>
      </c>
      <c r="M3965" s="136">
        <f t="shared" si="115"/>
        <v>-138496.81229666641</v>
      </c>
    </row>
    <row r="3966" spans="1:13">
      <c r="A3966" s="54" t="str">
        <f>D3966&amp;E3966&amp;F3966</f>
        <v>HRINSUMOSHR</v>
      </c>
      <c r="B3966" t="s">
        <v>2281</v>
      </c>
      <c r="C3966" s="1">
        <f t="shared" si="116"/>
        <v>45940</v>
      </c>
      <c r="D3966" s="71" t="s">
        <v>29</v>
      </c>
      <c r="E3966" s="71" t="s">
        <v>133</v>
      </c>
      <c r="F3966" s="70" t="s">
        <v>29</v>
      </c>
      <c r="J3966" s="76" t="s">
        <v>2343</v>
      </c>
      <c r="L3966" s="434">
        <v>100</v>
      </c>
      <c r="M3966" s="136">
        <f t="shared" si="115"/>
        <v>-138596.81229666641</v>
      </c>
    </row>
    <row r="3967" spans="1:13">
      <c r="A3967" s="54" t="str">
        <f>D3967&amp;E3967&amp;F3967</f>
        <v>CAPUBERCAP</v>
      </c>
      <c r="B3967" t="s">
        <v>2281</v>
      </c>
      <c r="C3967" s="1">
        <f t="shared" si="116"/>
        <v>45940</v>
      </c>
      <c r="D3967" s="71" t="s">
        <v>31</v>
      </c>
      <c r="E3967" s="71" t="s">
        <v>189</v>
      </c>
      <c r="F3967" s="70" t="s">
        <v>31</v>
      </c>
      <c r="J3967" s="76" t="s">
        <v>2344</v>
      </c>
      <c r="L3967" s="522">
        <v>278</v>
      </c>
      <c r="M3967" s="136">
        <f t="shared" si="115"/>
        <v>-138874.81229666641</v>
      </c>
    </row>
    <row r="3968" spans="1:13">
      <c r="A3968" s="54" t="str">
        <f>D3968&amp;E3968&amp;F3968</f>
        <v>CAPJMASE6</v>
      </c>
      <c r="B3968" t="s">
        <v>2281</v>
      </c>
      <c r="C3968" s="1">
        <f t="shared" si="116"/>
        <v>45940</v>
      </c>
      <c r="D3968" s="71" t="s">
        <v>31</v>
      </c>
      <c r="E3968" s="71" t="s">
        <v>137</v>
      </c>
      <c r="F3968" s="70" t="s">
        <v>112</v>
      </c>
      <c r="G3968" s="71" t="s">
        <v>258</v>
      </c>
      <c r="J3968" s="76" t="s">
        <v>2345</v>
      </c>
      <c r="L3968" s="434">
        <v>2305</v>
      </c>
      <c r="M3968" s="136">
        <f t="shared" si="115"/>
        <v>-141179.81229666641</v>
      </c>
    </row>
    <row r="3969" spans="1:13">
      <c r="A3969" s="54" t="str">
        <f>D3969&amp;E3969&amp;F3969</f>
        <v>CAPVIATICOSCAPRICHOS</v>
      </c>
      <c r="B3969" t="s">
        <v>2281</v>
      </c>
      <c r="C3969" s="1">
        <f t="shared" si="116"/>
        <v>45940</v>
      </c>
      <c r="D3969" s="71" t="s">
        <v>31</v>
      </c>
      <c r="E3969" s="71" t="s">
        <v>191</v>
      </c>
      <c r="F3969" s="70" t="s">
        <v>33</v>
      </c>
      <c r="J3969" s="76" t="s">
        <v>2346</v>
      </c>
      <c r="L3969" s="434">
        <v>25</v>
      </c>
      <c r="M3969" s="136">
        <f t="shared" si="115"/>
        <v>-141204.81229666641</v>
      </c>
    </row>
    <row r="3970" spans="1:13">
      <c r="A3970" s="54" t="str">
        <f>D3970&amp;E3970&amp;F3970</f>
        <v>CAPINSUMOSCAPRICHOS</v>
      </c>
      <c r="B3970" t="s">
        <v>2281</v>
      </c>
      <c r="C3970" s="1">
        <f t="shared" si="116"/>
        <v>45940</v>
      </c>
      <c r="D3970" s="71" t="s">
        <v>31</v>
      </c>
      <c r="E3970" s="71" t="s">
        <v>133</v>
      </c>
      <c r="F3970" s="70" t="s">
        <v>33</v>
      </c>
      <c r="J3970" s="76" t="s">
        <v>2347</v>
      </c>
      <c r="L3970" s="434">
        <v>119</v>
      </c>
      <c r="M3970" s="136">
        <f t="shared" si="115"/>
        <v>-141323.81229666641</v>
      </c>
    </row>
    <row r="3971" spans="1:13">
      <c r="A3971" s="54" t="str">
        <f t="shared" si="114"/>
        <v/>
      </c>
      <c r="B3971" t="s">
        <v>2281</v>
      </c>
      <c r="C3971" s="1">
        <v>45943</v>
      </c>
      <c r="D3971" s="71"/>
      <c r="F3971" s="70"/>
      <c r="J3971" s="71" t="s">
        <v>2045</v>
      </c>
      <c r="K3971" s="325">
        <v>910648.48</v>
      </c>
      <c r="L3971" s="432"/>
      <c r="M3971" s="136">
        <f t="shared" si="115"/>
        <v>769324.66770333354</v>
      </c>
    </row>
    <row r="3972" spans="1:13">
      <c r="A3972" s="54" t="str">
        <f>D3972&amp;E3972&amp;F3972</f>
        <v>FINANZASCOMISIONES BANCARIASTPV</v>
      </c>
      <c r="B3972" t="s">
        <v>2281</v>
      </c>
      <c r="C3972" s="1">
        <f t="shared" si="116"/>
        <v>45943</v>
      </c>
      <c r="D3972" s="71" t="s">
        <v>23</v>
      </c>
      <c r="E3972" s="71" t="s">
        <v>48</v>
      </c>
      <c r="F3972" s="70" t="s">
        <v>50</v>
      </c>
      <c r="J3972" s="387" t="s">
        <v>217</v>
      </c>
      <c r="L3972" s="433">
        <f>1421.74+1513.02+1374.99+5789.83+16306.235+13.92</f>
        <v>26419.735000000001</v>
      </c>
      <c r="M3972" s="136">
        <f t="shared" si="115"/>
        <v>742904.93270333356</v>
      </c>
    </row>
    <row r="3973" spans="1:13">
      <c r="A3973" s="54" t="str">
        <f t="shared" si="114"/>
        <v/>
      </c>
      <c r="B3973" t="s">
        <v>2281</v>
      </c>
      <c r="C3973" s="1">
        <f t="shared" si="116"/>
        <v>45943</v>
      </c>
      <c r="D3973" s="71"/>
      <c r="F3973" s="70"/>
      <c r="J3973" s="205" t="s">
        <v>1562</v>
      </c>
      <c r="K3973" s="428"/>
      <c r="L3973" s="428">
        <v>150000</v>
      </c>
      <c r="M3973" s="136">
        <f t="shared" si="115"/>
        <v>592904.93270333356</v>
      </c>
    </row>
    <row r="3974" spans="1:13">
      <c r="A3974" s="54" t="str">
        <f t="shared" si="114"/>
        <v/>
      </c>
      <c r="B3974" t="s">
        <v>2281</v>
      </c>
      <c r="C3974" s="1">
        <f t="shared" si="116"/>
        <v>45943</v>
      </c>
      <c r="D3974" s="71"/>
      <c r="F3974" s="70"/>
      <c r="J3974" s="205" t="s">
        <v>2348</v>
      </c>
      <c r="K3974" s="428"/>
      <c r="L3974" s="428">
        <v>200000</v>
      </c>
      <c r="M3974" s="136">
        <f t="shared" si="115"/>
        <v>392904.93270333356</v>
      </c>
    </row>
    <row r="3975" spans="1:13">
      <c r="A3975" s="54" t="str">
        <f t="shared" si="114"/>
        <v/>
      </c>
      <c r="B3975" t="s">
        <v>2281</v>
      </c>
      <c r="C3975" s="1">
        <f t="shared" si="116"/>
        <v>45943</v>
      </c>
      <c r="D3975" s="71"/>
      <c r="F3975" s="70"/>
      <c r="J3975" s="205" t="s">
        <v>318</v>
      </c>
      <c r="K3975" s="205"/>
      <c r="L3975" s="428">
        <v>375000</v>
      </c>
      <c r="M3975" s="136">
        <f t="shared" si="115"/>
        <v>17904.932703333558</v>
      </c>
    </row>
    <row r="3976" spans="1:13">
      <c r="A3976" s="54" t="str">
        <f>D3976&amp;E3976&amp;F3976</f>
        <v>HRSGMHR</v>
      </c>
      <c r="B3976" t="s">
        <v>2281</v>
      </c>
      <c r="C3976" s="1">
        <f t="shared" si="116"/>
        <v>45943</v>
      </c>
      <c r="D3976" s="71" t="s">
        <v>29</v>
      </c>
      <c r="E3976" s="71" t="s">
        <v>176</v>
      </c>
      <c r="F3976" s="70" t="s">
        <v>29</v>
      </c>
      <c r="J3976" s="71" t="s">
        <v>2349</v>
      </c>
      <c r="L3976" s="433">
        <v>16258.57</v>
      </c>
      <c r="M3976" s="136">
        <f t="shared" si="115"/>
        <v>1646.3627033335579</v>
      </c>
    </row>
    <row r="3977" spans="1:13">
      <c r="A3977" s="54" t="str">
        <f>D3977&amp;E3977&amp;F3977</f>
        <v>SERVICIOSMTTO DE EDIFICIOMANTENIMIENTO</v>
      </c>
      <c r="B3977" t="s">
        <v>2281</v>
      </c>
      <c r="C3977" s="1">
        <f t="shared" si="116"/>
        <v>45943</v>
      </c>
      <c r="D3977" s="71" t="s">
        <v>21</v>
      </c>
      <c r="E3977" s="71" t="s">
        <v>142</v>
      </c>
      <c r="F3977" s="70" t="s">
        <v>35</v>
      </c>
      <c r="J3977" s="71" t="s">
        <v>2350</v>
      </c>
      <c r="L3977" s="446">
        <v>4400</v>
      </c>
      <c r="M3977" s="136">
        <f t="shared" si="115"/>
        <v>-2753.6372966664421</v>
      </c>
    </row>
    <row r="3978" spans="1:13">
      <c r="A3978" s="54" t="str">
        <f>D3978&amp;E3978&amp;F3978</f>
        <v>SERVICIOSMTTO DE EDIFICIOMANTENIMIENTO</v>
      </c>
      <c r="B3978" t="s">
        <v>2281</v>
      </c>
      <c r="C3978" s="1">
        <f t="shared" si="116"/>
        <v>45943</v>
      </c>
      <c r="D3978" s="71" t="s">
        <v>21</v>
      </c>
      <c r="E3978" s="71" t="s">
        <v>142</v>
      </c>
      <c r="F3978" s="70" t="s">
        <v>35</v>
      </c>
      <c r="J3978" s="71" t="s">
        <v>2351</v>
      </c>
      <c r="L3978" s="433">
        <v>1600</v>
      </c>
      <c r="M3978" s="136">
        <f t="shared" si="115"/>
        <v>-4353.6372966664421</v>
      </c>
    </row>
    <row r="3979" spans="1:13">
      <c r="A3979" s="54" t="str">
        <f>D3979&amp;E3979&amp;F3979</f>
        <v>SERVICIOSMTTO EQ DE TRANSPORTESERVICIOS</v>
      </c>
      <c r="B3979" t="s">
        <v>2281</v>
      </c>
      <c r="C3979" s="1">
        <f t="shared" si="116"/>
        <v>45943</v>
      </c>
      <c r="D3979" s="71" t="s">
        <v>21</v>
      </c>
      <c r="E3979" s="71" t="s">
        <v>144</v>
      </c>
      <c r="F3979" s="70" t="s">
        <v>21</v>
      </c>
      <c r="J3979" s="71" t="s">
        <v>2352</v>
      </c>
      <c r="L3979" s="433">
        <v>3364</v>
      </c>
      <c r="M3979" s="136">
        <f t="shared" si="115"/>
        <v>-7717.6372966664421</v>
      </c>
    </row>
    <row r="3980" spans="1:13">
      <c r="A3980" s="54" t="str">
        <f>D3980&amp;E3980&amp;F3980</f>
        <v>SERVICIOSINSUMOSCADENA DE SUMINISTROS</v>
      </c>
      <c r="B3980" t="s">
        <v>2281</v>
      </c>
      <c r="C3980" s="1">
        <f t="shared" si="116"/>
        <v>45943</v>
      </c>
      <c r="D3980" s="71" t="s">
        <v>21</v>
      </c>
      <c r="E3980" s="71" t="s">
        <v>133</v>
      </c>
      <c r="F3980" s="70" t="s">
        <v>134</v>
      </c>
      <c r="G3980" s="71" t="s">
        <v>258</v>
      </c>
      <c r="J3980" s="71" t="s">
        <v>2353</v>
      </c>
      <c r="L3980" s="433">
        <v>16704</v>
      </c>
      <c r="M3980" s="136">
        <f t="shared" si="115"/>
        <v>-24421.637296666442</v>
      </c>
    </row>
    <row r="3981" spans="1:13">
      <c r="A3981" s="54" t="str">
        <f>D3981&amp;E3981&amp;F3981</f>
        <v>FINANZASSEGUROEDIFICIO</v>
      </c>
      <c r="B3981" t="s">
        <v>2281</v>
      </c>
      <c r="C3981" s="1">
        <f t="shared" si="116"/>
        <v>45943</v>
      </c>
      <c r="D3981" s="71" t="s">
        <v>23</v>
      </c>
      <c r="E3981" s="71" t="s">
        <v>173</v>
      </c>
      <c r="F3981" s="70" t="s">
        <v>174</v>
      </c>
      <c r="J3981" s="71" t="s">
        <v>2354</v>
      </c>
      <c r="L3981" s="433">
        <f>31469.42+15601.81+1575.37</f>
        <v>48646.6</v>
      </c>
      <c r="M3981" s="136">
        <f t="shared" si="115"/>
        <v>-73068.237296666441</v>
      </c>
    </row>
    <row r="3982" spans="1:13">
      <c r="A3982" s="54" t="str">
        <f>D3982&amp;E3982&amp;F3982</f>
        <v>SERVICIOSMTTO EQ DE TRANSPORTECEDIS</v>
      </c>
      <c r="B3982" t="s">
        <v>2281</v>
      </c>
      <c r="C3982" s="1">
        <f t="shared" si="116"/>
        <v>45943</v>
      </c>
      <c r="D3982" s="71" t="s">
        <v>21</v>
      </c>
      <c r="E3982" s="71" t="s">
        <v>144</v>
      </c>
      <c r="F3982" s="70" t="s">
        <v>28</v>
      </c>
      <c r="J3982" s="71" t="s">
        <v>2355</v>
      </c>
      <c r="L3982" s="208">
        <v>3800</v>
      </c>
      <c r="M3982" s="136">
        <f t="shared" si="115"/>
        <v>-76868.237296666441</v>
      </c>
    </row>
    <row r="3983" spans="1:13">
      <c r="A3983" s="54" t="str">
        <f>D3983&amp;E3983&amp;F3983</f>
        <v>SERVICIOSVIATICOSCEDIS</v>
      </c>
      <c r="B3983" t="s">
        <v>2281</v>
      </c>
      <c r="C3983" s="1">
        <f t="shared" si="116"/>
        <v>45943</v>
      </c>
      <c r="D3983" s="71" t="s">
        <v>21</v>
      </c>
      <c r="E3983" s="71" t="s">
        <v>191</v>
      </c>
      <c r="F3983" s="70" t="s">
        <v>28</v>
      </c>
      <c r="J3983" s="71" t="s">
        <v>2154</v>
      </c>
      <c r="L3983" s="433">
        <v>2050</v>
      </c>
      <c r="M3983" s="136">
        <f t="shared" si="115"/>
        <v>-78918.237296666441</v>
      </c>
    </row>
    <row r="3984" spans="1:13">
      <c r="A3984" s="54" t="str">
        <f>D3984&amp;E3984&amp;F3984</f>
        <v>MKTINSUMOSINSUMOS</v>
      </c>
      <c r="B3984" t="s">
        <v>2281</v>
      </c>
      <c r="C3984" s="1">
        <f t="shared" si="116"/>
        <v>45943</v>
      </c>
      <c r="D3984" s="71" t="s">
        <v>19</v>
      </c>
      <c r="E3984" s="71" t="s">
        <v>133</v>
      </c>
      <c r="F3984" s="230" t="s">
        <v>133</v>
      </c>
      <c r="J3984" s="71" t="s">
        <v>2356</v>
      </c>
      <c r="L3984" s="433">
        <v>2500</v>
      </c>
      <c r="M3984" s="136">
        <f t="shared" si="115"/>
        <v>-81418.237296666441</v>
      </c>
    </row>
    <row r="3985" spans="1:13">
      <c r="A3985" s="54" t="str">
        <f>D3985&amp;E3985&amp;F3985</f>
        <v>FINANZASFONDO Y REPOSICIONFINANZAS</v>
      </c>
      <c r="B3985" t="s">
        <v>2281</v>
      </c>
      <c r="C3985" s="1">
        <f t="shared" si="116"/>
        <v>45943</v>
      </c>
      <c r="D3985" s="71" t="s">
        <v>23</v>
      </c>
      <c r="E3985" s="71" t="s">
        <v>120</v>
      </c>
      <c r="F3985" s="70" t="s">
        <v>23</v>
      </c>
      <c r="J3985" s="71" t="s">
        <v>2357</v>
      </c>
      <c r="L3985" s="433">
        <v>2068</v>
      </c>
      <c r="M3985" s="136">
        <f t="shared" si="115"/>
        <v>-83486.237296666441</v>
      </c>
    </row>
    <row r="3986" spans="1:13">
      <c r="A3986" s="54" t="str">
        <f>D3986&amp;E3986&amp;F3986</f>
        <v>SERVICIOSVIATICOSCEDIS</v>
      </c>
      <c r="B3986" t="s">
        <v>2281</v>
      </c>
      <c r="C3986" s="1">
        <f t="shared" si="116"/>
        <v>45943</v>
      </c>
      <c r="D3986" s="71" t="s">
        <v>21</v>
      </c>
      <c r="E3986" s="71" t="s">
        <v>191</v>
      </c>
      <c r="F3986" s="70" t="s">
        <v>28</v>
      </c>
      <c r="J3986" s="71" t="s">
        <v>2358</v>
      </c>
      <c r="L3986" s="433">
        <v>2050</v>
      </c>
      <c r="M3986" s="136">
        <f t="shared" si="115"/>
        <v>-85536.237296666441</v>
      </c>
    </row>
    <row r="3987" spans="1:13">
      <c r="A3987" s="54" t="str">
        <f>D3987&amp;E3987&amp;F3987</f>
        <v>CAPVIATICOSCAPRICHOS</v>
      </c>
      <c r="B3987" t="s">
        <v>2281</v>
      </c>
      <c r="C3987" s="1">
        <f t="shared" si="116"/>
        <v>45943</v>
      </c>
      <c r="D3987" s="71" t="s">
        <v>31</v>
      </c>
      <c r="E3987" s="71" t="s">
        <v>191</v>
      </c>
      <c r="F3987" s="70" t="s">
        <v>33</v>
      </c>
      <c r="J3987" s="71" t="s">
        <v>2359</v>
      </c>
      <c r="L3987" s="433">
        <v>2000</v>
      </c>
      <c r="M3987" s="136">
        <f t="shared" si="115"/>
        <v>-87536.237296666441</v>
      </c>
    </row>
    <row r="3988" spans="1:13">
      <c r="A3988" s="54" t="str">
        <f>D3988&amp;E3988&amp;F3988</f>
        <v>MKTMKTINFLUENCERS</v>
      </c>
      <c r="B3988" t="s">
        <v>2281</v>
      </c>
      <c r="C3988" s="1">
        <f t="shared" si="116"/>
        <v>45943</v>
      </c>
      <c r="D3988" s="71" t="s">
        <v>19</v>
      </c>
      <c r="E3988" s="71" t="s">
        <v>19</v>
      </c>
      <c r="F3988" s="70" t="s">
        <v>141</v>
      </c>
      <c r="J3988" s="71" t="s">
        <v>2024</v>
      </c>
      <c r="L3988" s="433">
        <v>2500</v>
      </c>
      <c r="M3988" s="136">
        <f t="shared" si="115"/>
        <v>-90036.237296666441</v>
      </c>
    </row>
    <row r="3989" spans="1:13">
      <c r="A3989" s="54" t="str">
        <f>D3989&amp;E3989&amp;F3989</f>
        <v>MKTACTIVACION MKT</v>
      </c>
      <c r="B3989" t="s">
        <v>2281</v>
      </c>
      <c r="C3989" s="1">
        <f t="shared" si="116"/>
        <v>45943</v>
      </c>
      <c r="D3989" t="s">
        <v>19</v>
      </c>
      <c r="E3989" t="s">
        <v>20</v>
      </c>
      <c r="F3989" t="s">
        <v>19</v>
      </c>
      <c r="J3989" s="71" t="s">
        <v>2360</v>
      </c>
      <c r="L3989" s="433">
        <v>4900</v>
      </c>
      <c r="M3989" s="136">
        <f t="shared" si="115"/>
        <v>-94936.237296666441</v>
      </c>
    </row>
    <row r="3990" spans="1:13">
      <c r="A3990" s="54" t="str">
        <f>D3990&amp;E3990&amp;F3990</f>
        <v>MKTACTIVACION MKT</v>
      </c>
      <c r="B3990" t="s">
        <v>2281</v>
      </c>
      <c r="C3990" s="1">
        <f t="shared" si="116"/>
        <v>45943</v>
      </c>
      <c r="D3990" t="s">
        <v>19</v>
      </c>
      <c r="E3990" t="s">
        <v>20</v>
      </c>
      <c r="F3990" t="s">
        <v>19</v>
      </c>
      <c r="J3990" s="71" t="s">
        <v>2361</v>
      </c>
      <c r="L3990" s="433">
        <v>3500</v>
      </c>
      <c r="M3990" s="136">
        <f t="shared" si="115"/>
        <v>-98436.237296666441</v>
      </c>
    </row>
    <row r="3991" spans="1:13">
      <c r="A3991" s="54" t="str">
        <f>D3991&amp;E3991&amp;F3991</f>
        <v>MKTACTIVACION MKT</v>
      </c>
      <c r="B3991" t="s">
        <v>2281</v>
      </c>
      <c r="C3991" s="1">
        <f t="shared" si="116"/>
        <v>45943</v>
      </c>
      <c r="D3991" t="s">
        <v>19</v>
      </c>
      <c r="E3991" t="s">
        <v>20</v>
      </c>
      <c r="F3991" t="s">
        <v>19</v>
      </c>
      <c r="J3991" s="71" t="s">
        <v>2362</v>
      </c>
      <c r="L3991" s="433">
        <v>1405</v>
      </c>
      <c r="M3991" s="136">
        <f t="shared" si="115"/>
        <v>-99841.237296666441</v>
      </c>
    </row>
    <row r="3992" spans="1:13">
      <c r="A3992" s="54" t="str">
        <f>D3992&amp;E3992&amp;F3992</f>
        <v>HRJMASA4</v>
      </c>
      <c r="B3992" t="s">
        <v>2281</v>
      </c>
      <c r="C3992" s="1">
        <f t="shared" si="116"/>
        <v>45943</v>
      </c>
      <c r="D3992" s="71" t="s">
        <v>29</v>
      </c>
      <c r="E3992" s="71" t="s">
        <v>137</v>
      </c>
      <c r="F3992" s="70" t="s">
        <v>91</v>
      </c>
      <c r="J3992" s="76" t="s">
        <v>2363</v>
      </c>
      <c r="L3992" s="434">
        <v>593</v>
      </c>
      <c r="M3992" s="136">
        <f t="shared" si="115"/>
        <v>-100434.23729666644</v>
      </c>
    </row>
    <row r="3993" spans="1:13">
      <c r="A3993" s="54" t="str">
        <f>D3993&amp;E3993&amp;F3993</f>
        <v>HRUBERHR</v>
      </c>
      <c r="B3993" t="s">
        <v>2281</v>
      </c>
      <c r="C3993" s="1">
        <f t="shared" si="116"/>
        <v>45943</v>
      </c>
      <c r="D3993" s="71" t="s">
        <v>29</v>
      </c>
      <c r="E3993" s="71" t="s">
        <v>189</v>
      </c>
      <c r="F3993" s="70" t="s">
        <v>29</v>
      </c>
      <c r="J3993" s="76" t="s">
        <v>2364</v>
      </c>
      <c r="L3993" s="522">
        <v>30</v>
      </c>
      <c r="M3993" s="136">
        <f t="shared" si="115"/>
        <v>-100464.23729666644</v>
      </c>
    </row>
    <row r="3994" spans="1:13">
      <c r="A3994" s="54" t="str">
        <f>D3994&amp;E3994&amp;F3994</f>
        <v>HRJMASA15</v>
      </c>
      <c r="B3994" t="s">
        <v>2281</v>
      </c>
      <c r="C3994" s="1">
        <f t="shared" si="116"/>
        <v>45943</v>
      </c>
      <c r="D3994" s="71" t="s">
        <v>29</v>
      </c>
      <c r="E3994" s="71" t="s">
        <v>137</v>
      </c>
      <c r="F3994" s="70" t="s">
        <v>100</v>
      </c>
      <c r="J3994" s="76" t="s">
        <v>2365</v>
      </c>
      <c r="L3994" s="434">
        <v>475</v>
      </c>
      <c r="M3994" s="136">
        <f t="shared" si="115"/>
        <v>-100939.23729666644</v>
      </c>
    </row>
    <row r="3995" spans="1:13">
      <c r="A3995" s="54" t="str">
        <f>D3995&amp;E3995&amp;F3995</f>
        <v>HRUBERHR</v>
      </c>
      <c r="B3995" t="s">
        <v>2281</v>
      </c>
      <c r="C3995" s="1">
        <f t="shared" si="116"/>
        <v>45943</v>
      </c>
      <c r="D3995" s="71" t="s">
        <v>29</v>
      </c>
      <c r="E3995" s="71" t="s">
        <v>189</v>
      </c>
      <c r="F3995" s="70" t="s">
        <v>29</v>
      </c>
      <c r="J3995" s="76" t="s">
        <v>2366</v>
      </c>
      <c r="L3995" s="522">
        <v>270</v>
      </c>
      <c r="M3995" s="136">
        <f t="shared" si="115"/>
        <v>-101209.23729666644</v>
      </c>
    </row>
    <row r="3996" spans="1:13">
      <c r="A3996" s="54" t="str">
        <f>D3996&amp;E3996&amp;F3996</f>
        <v>HRINSUMOSHR</v>
      </c>
      <c r="B3996" t="s">
        <v>2281</v>
      </c>
      <c r="C3996" s="1">
        <f t="shared" si="116"/>
        <v>45943</v>
      </c>
      <c r="D3996" s="71" t="s">
        <v>29</v>
      </c>
      <c r="E3996" s="71" t="s">
        <v>133</v>
      </c>
      <c r="F3996" s="70" t="s">
        <v>29</v>
      </c>
      <c r="J3996" s="76" t="s">
        <v>2367</v>
      </c>
      <c r="L3996" s="434">
        <v>53</v>
      </c>
      <c r="M3996" s="136">
        <f t="shared" si="115"/>
        <v>-101262.23729666644</v>
      </c>
    </row>
    <row r="3997" spans="1:13">
      <c r="A3997" s="54" t="str">
        <f>D3997&amp;E3997&amp;F3997</f>
        <v>CAPUBERCAP</v>
      </c>
      <c r="B3997" t="s">
        <v>2281</v>
      </c>
      <c r="C3997" s="1">
        <f t="shared" si="116"/>
        <v>45943</v>
      </c>
      <c r="D3997" s="71" t="s">
        <v>31</v>
      </c>
      <c r="E3997" s="71" t="s">
        <v>189</v>
      </c>
      <c r="F3997" s="70" t="s">
        <v>31</v>
      </c>
      <c r="J3997" s="76" t="s">
        <v>2344</v>
      </c>
      <c r="L3997" s="522">
        <v>326</v>
      </c>
      <c r="M3997" s="136">
        <f t="shared" si="115"/>
        <v>-101588.23729666644</v>
      </c>
    </row>
    <row r="3998" spans="1:13">
      <c r="A3998" s="54" t="str">
        <f>D3998&amp;E3998&amp;F3998</f>
        <v>CAPINSUMOSCAPRICHOS</v>
      </c>
      <c r="B3998" t="s">
        <v>2281</v>
      </c>
      <c r="C3998" s="1">
        <f t="shared" si="116"/>
        <v>45943</v>
      </c>
      <c r="D3998" s="71" t="s">
        <v>31</v>
      </c>
      <c r="E3998" s="71" t="s">
        <v>133</v>
      </c>
      <c r="F3998" s="70" t="s">
        <v>33</v>
      </c>
      <c r="J3998" s="76" t="s">
        <v>2368</v>
      </c>
      <c r="L3998" s="434">
        <v>100</v>
      </c>
      <c r="M3998" s="136">
        <f t="shared" si="115"/>
        <v>-101688.23729666644</v>
      </c>
    </row>
    <row r="3999" spans="1:13">
      <c r="A3999" s="54" t="str">
        <f>D3999&amp;E3999&amp;F3999</f>
        <v>CAPINSUMOSCAPRICHOS</v>
      </c>
      <c r="B3999" t="s">
        <v>2281</v>
      </c>
      <c r="C3999" s="1">
        <f t="shared" si="116"/>
        <v>45943</v>
      </c>
      <c r="D3999" s="71" t="s">
        <v>31</v>
      </c>
      <c r="E3999" s="71" t="s">
        <v>133</v>
      </c>
      <c r="F3999" s="70" t="s">
        <v>33</v>
      </c>
      <c r="J3999" s="76" t="s">
        <v>2369</v>
      </c>
      <c r="L3999" s="434">
        <v>69.900000000000006</v>
      </c>
      <c r="M3999" s="136">
        <f t="shared" si="115"/>
        <v>-101758.13729666643</v>
      </c>
    </row>
    <row r="4000" spans="1:13">
      <c r="A4000" s="54" t="str">
        <f>D4000&amp;E4000&amp;F4000</f>
        <v>CAPUBERCAP</v>
      </c>
      <c r="B4000" t="s">
        <v>2281</v>
      </c>
      <c r="C4000" s="1">
        <f t="shared" si="116"/>
        <v>45943</v>
      </c>
      <c r="D4000" s="71" t="s">
        <v>31</v>
      </c>
      <c r="E4000" s="71" t="s">
        <v>189</v>
      </c>
      <c r="F4000" s="70" t="s">
        <v>31</v>
      </c>
      <c r="J4000" s="76" t="s">
        <v>2370</v>
      </c>
      <c r="L4000" s="522">
        <v>140</v>
      </c>
      <c r="M4000" s="136">
        <f t="shared" si="115"/>
        <v>-101898.13729666643</v>
      </c>
    </row>
    <row r="4001" spans="1:13">
      <c r="A4001" s="54" t="str">
        <f>D4001&amp;E4001&amp;F4001</f>
        <v>HRFONDO Y REPOSICIONHR</v>
      </c>
      <c r="B4001" t="s">
        <v>2281</v>
      </c>
      <c r="C4001" s="1">
        <f>C3996</f>
        <v>45943</v>
      </c>
      <c r="D4001" s="71" t="s">
        <v>29</v>
      </c>
      <c r="E4001" s="71" t="s">
        <v>120</v>
      </c>
      <c r="F4001" s="70" t="s">
        <v>29</v>
      </c>
      <c r="J4001" s="76" t="s">
        <v>2371</v>
      </c>
      <c r="L4001" s="434">
        <v>20</v>
      </c>
      <c r="M4001" s="136">
        <f t="shared" si="115"/>
        <v>-101918.13729666643</v>
      </c>
    </row>
    <row r="4002" spans="1:13">
      <c r="A4002" s="54" t="str">
        <f>D4002&amp;E4002&amp;F4002</f>
        <v>HRNOMINA SUCURSALA12</v>
      </c>
      <c r="B4002" t="s">
        <v>2281</v>
      </c>
      <c r="C4002" s="1">
        <f t="shared" si="116"/>
        <v>45943</v>
      </c>
      <c r="D4002" s="71" t="s">
        <v>29</v>
      </c>
      <c r="E4002" s="71" t="s">
        <v>154</v>
      </c>
      <c r="F4002" s="70" t="s">
        <v>98</v>
      </c>
      <c r="J4002" s="76" t="s">
        <v>2372</v>
      </c>
      <c r="L4002" s="434">
        <v>370</v>
      </c>
      <c r="M4002" s="136">
        <f t="shared" si="115"/>
        <v>-102288.13729666643</v>
      </c>
    </row>
    <row r="4003" spans="1:13">
      <c r="A4003" s="54" t="str">
        <f>D4003&amp;E4003&amp;F4003</f>
        <v>HRUBERHR</v>
      </c>
      <c r="B4003" t="s">
        <v>2281</v>
      </c>
      <c r="C4003" s="1">
        <f t="shared" si="116"/>
        <v>45943</v>
      </c>
      <c r="D4003" s="71" t="s">
        <v>29</v>
      </c>
      <c r="E4003" s="71" t="s">
        <v>189</v>
      </c>
      <c r="F4003" s="70" t="s">
        <v>29</v>
      </c>
      <c r="J4003" s="76" t="s">
        <v>2373</v>
      </c>
      <c r="L4003" s="522">
        <v>72</v>
      </c>
      <c r="M4003" s="136">
        <f t="shared" si="115"/>
        <v>-102360.13729666643</v>
      </c>
    </row>
    <row r="4004" spans="1:13">
      <c r="A4004" s="54" t="str">
        <f>D4004&amp;E4004&amp;F4004</f>
        <v>HRUBERHR</v>
      </c>
      <c r="B4004" t="s">
        <v>2281</v>
      </c>
      <c r="C4004" s="1">
        <f t="shared" si="116"/>
        <v>45943</v>
      </c>
      <c r="D4004" s="71" t="s">
        <v>29</v>
      </c>
      <c r="E4004" s="71" t="s">
        <v>189</v>
      </c>
      <c r="F4004" s="70" t="s">
        <v>29</v>
      </c>
      <c r="J4004" s="76" t="s">
        <v>2293</v>
      </c>
      <c r="L4004" s="522">
        <v>120</v>
      </c>
      <c r="M4004" s="136">
        <f t="shared" si="115"/>
        <v>-102480.13729666643</v>
      </c>
    </row>
    <row r="4005" spans="1:13">
      <c r="A4005" s="54" t="str">
        <f>D4005&amp;E4005&amp;F4005</f>
        <v>CAPNOMINA SUCURSALE4</v>
      </c>
      <c r="B4005" t="s">
        <v>2281</v>
      </c>
      <c r="C4005" s="1">
        <f t="shared" si="116"/>
        <v>45943</v>
      </c>
      <c r="D4005" s="71" t="s">
        <v>31</v>
      </c>
      <c r="E4005" s="71" t="s">
        <v>154</v>
      </c>
      <c r="F4005" s="70" t="s">
        <v>110</v>
      </c>
      <c r="J4005" s="76" t="s">
        <v>2374</v>
      </c>
      <c r="L4005" s="434">
        <v>194</v>
      </c>
      <c r="M4005" s="136">
        <f t="shared" si="115"/>
        <v>-102674.13729666643</v>
      </c>
    </row>
    <row r="4006" spans="1:13">
      <c r="A4006" s="54" t="str">
        <f>D4006&amp;E4006&amp;F4006</f>
        <v>HRUBERHR</v>
      </c>
      <c r="B4006" t="s">
        <v>2281</v>
      </c>
      <c r="C4006" s="1">
        <f t="shared" si="116"/>
        <v>45943</v>
      </c>
      <c r="D4006" s="71" t="s">
        <v>29</v>
      </c>
      <c r="E4006" s="71" t="s">
        <v>189</v>
      </c>
      <c r="F4006" s="70" t="s">
        <v>29</v>
      </c>
      <c r="J4006" s="76" t="s">
        <v>2375</v>
      </c>
      <c r="L4006" s="522">
        <v>277</v>
      </c>
      <c r="M4006" s="136">
        <f t="shared" si="115"/>
        <v>-102951.13729666643</v>
      </c>
    </row>
    <row r="4007" spans="1:13">
      <c r="A4007" s="54" t="str">
        <f>D4007&amp;E4007&amp;F4007</f>
        <v>CAPUBERCAP</v>
      </c>
      <c r="B4007" t="s">
        <v>2281</v>
      </c>
      <c r="C4007" s="1">
        <f t="shared" si="116"/>
        <v>45943</v>
      </c>
      <c r="D4007" s="71" t="s">
        <v>31</v>
      </c>
      <c r="E4007" s="71" t="s">
        <v>189</v>
      </c>
      <c r="F4007" s="70" t="s">
        <v>31</v>
      </c>
      <c r="J4007" s="76" t="s">
        <v>2376</v>
      </c>
      <c r="L4007" s="522">
        <v>254</v>
      </c>
      <c r="M4007" s="136">
        <f t="shared" si="115"/>
        <v>-103205.13729666643</v>
      </c>
    </row>
    <row r="4008" spans="1:13">
      <c r="A4008" s="54" t="str">
        <f>D4008&amp;E4008&amp;F4008</f>
        <v>ELINOMINA SUCURSALL1</v>
      </c>
      <c r="B4008" t="s">
        <v>2281</v>
      </c>
      <c r="C4008" s="1">
        <f t="shared" si="116"/>
        <v>45943</v>
      </c>
      <c r="D4008" s="387" t="s">
        <v>130</v>
      </c>
      <c r="E4008" s="387" t="s">
        <v>154</v>
      </c>
      <c r="F4008" s="375" t="s">
        <v>136</v>
      </c>
      <c r="G4008" s="387"/>
      <c r="H4008" s="400"/>
      <c r="I4008" s="400"/>
      <c r="J4008" s="422" t="s">
        <v>2377</v>
      </c>
      <c r="L4008" s="434">
        <v>150</v>
      </c>
      <c r="M4008" s="136">
        <f t="shared" si="115"/>
        <v>-103355.13729666643</v>
      </c>
    </row>
    <row r="4009" spans="1:13">
      <c r="A4009" s="54" t="str">
        <f t="shared" ref="A3986:A4049" si="117">D4009&amp;E4009&amp;F4009</f>
        <v/>
      </c>
      <c r="B4009" t="s">
        <v>2281</v>
      </c>
      <c r="C4009" s="1">
        <v>45944</v>
      </c>
      <c r="D4009" s="71"/>
      <c r="F4009" s="70"/>
      <c r="J4009" s="71" t="s">
        <v>2045</v>
      </c>
      <c r="K4009" s="325">
        <v>169823.68700000001</v>
      </c>
      <c r="L4009" s="432"/>
      <c r="M4009" s="136">
        <f t="shared" si="115"/>
        <v>66468.549703333571</v>
      </c>
    </row>
    <row r="4010" spans="1:13">
      <c r="A4010" s="54" t="str">
        <f>D4010&amp;E4010&amp;F4010</f>
        <v>FINANZASCOMISIONES BANCARIASTPV</v>
      </c>
      <c r="B4010" t="s">
        <v>2281</v>
      </c>
      <c r="C4010" s="1">
        <f t="shared" si="116"/>
        <v>45944</v>
      </c>
      <c r="D4010" s="71" t="s">
        <v>23</v>
      </c>
      <c r="E4010" s="71" t="s">
        <v>48</v>
      </c>
      <c r="F4010" s="70" t="s">
        <v>50</v>
      </c>
      <c r="J4010" s="71" t="s">
        <v>217</v>
      </c>
      <c r="L4010" s="433">
        <f>1347.2+877.56+34.8+3.48+620.57+189.79+146.16</f>
        <v>3219.5600000000004</v>
      </c>
      <c r="M4010" s="136">
        <f t="shared" si="115"/>
        <v>63248.989703333573</v>
      </c>
    </row>
    <row r="4011" spans="1:13">
      <c r="A4011" s="54" t="str">
        <f t="shared" si="117"/>
        <v/>
      </c>
      <c r="B4011" t="s">
        <v>2281</v>
      </c>
      <c r="C4011" s="1">
        <f t="shared" si="116"/>
        <v>45944</v>
      </c>
      <c r="D4011" s="71"/>
      <c r="F4011" s="70"/>
      <c r="J4011" s="205" t="s">
        <v>1562</v>
      </c>
      <c r="K4011" s="205"/>
      <c r="L4011" s="205"/>
      <c r="M4011" s="136">
        <f t="shared" si="115"/>
        <v>63248.989703333573</v>
      </c>
    </row>
    <row r="4012" spans="1:13">
      <c r="A4012" s="54" t="str">
        <f t="shared" si="117"/>
        <v/>
      </c>
      <c r="B4012" t="s">
        <v>2281</v>
      </c>
      <c r="C4012" s="1">
        <f t="shared" si="116"/>
        <v>45944</v>
      </c>
      <c r="D4012" s="71"/>
      <c r="F4012" s="70"/>
      <c r="J4012" s="205" t="s">
        <v>2348</v>
      </c>
      <c r="K4012" s="205"/>
      <c r="L4012" s="205"/>
      <c r="M4012" s="136">
        <f t="shared" si="115"/>
        <v>63248.989703333573</v>
      </c>
    </row>
    <row r="4013" spans="1:13">
      <c r="A4013" s="54" t="str">
        <f>D4013&amp;E4013&amp;F4013</f>
        <v>FINANZASSEGUROEDIFICIO</v>
      </c>
      <c r="B4013" t="s">
        <v>2281</v>
      </c>
      <c r="C4013" s="1">
        <f t="shared" si="116"/>
        <v>45944</v>
      </c>
      <c r="D4013" s="71" t="s">
        <v>23</v>
      </c>
      <c r="E4013" s="71" t="s">
        <v>173</v>
      </c>
      <c r="F4013" s="70" t="s">
        <v>174</v>
      </c>
      <c r="J4013" s="71" t="s">
        <v>2378</v>
      </c>
      <c r="L4013" s="433">
        <v>19078</v>
      </c>
      <c r="M4013" s="136">
        <f t="shared" si="115"/>
        <v>44170.989703333573</v>
      </c>
    </row>
    <row r="4014" spans="1:13">
      <c r="A4014" s="54" t="str">
        <f>D4014&amp;E4014&amp;F4014</f>
        <v>FINANZASSEGUROEQ. DE TRANSPORTE</v>
      </c>
      <c r="B4014" t="s">
        <v>2281</v>
      </c>
      <c r="C4014" s="1">
        <f t="shared" si="116"/>
        <v>45944</v>
      </c>
      <c r="D4014" s="71" t="s">
        <v>23</v>
      </c>
      <c r="E4014" s="71" t="s">
        <v>173</v>
      </c>
      <c r="F4014" s="70" t="s">
        <v>175</v>
      </c>
      <c r="J4014" s="71" t="s">
        <v>2379</v>
      </c>
      <c r="L4014" s="433">
        <v>9237</v>
      </c>
      <c r="M4014" s="136">
        <f t="shared" si="115"/>
        <v>34933.989703333573</v>
      </c>
    </row>
    <row r="4015" spans="1:13">
      <c r="A4015" s="54" t="str">
        <f>D4015&amp;E4015&amp;F4015</f>
        <v>SERVICIOSMTTO EQ DE TRANSPORTECEDIS</v>
      </c>
      <c r="B4015" t="s">
        <v>2281</v>
      </c>
      <c r="C4015" s="1">
        <f t="shared" si="116"/>
        <v>45944</v>
      </c>
      <c r="D4015" s="71" t="s">
        <v>21</v>
      </c>
      <c r="E4015" s="71" t="s">
        <v>144</v>
      </c>
      <c r="F4015" s="70" t="s">
        <v>28</v>
      </c>
      <c r="J4015" s="71" t="s">
        <v>2380</v>
      </c>
      <c r="L4015" s="208">
        <v>23200</v>
      </c>
      <c r="M4015" s="136">
        <f t="shared" si="115"/>
        <v>11733.989703333573</v>
      </c>
    </row>
    <row r="4016" spans="1:13">
      <c r="A4016" s="54" t="str">
        <f>D4016&amp;E4016&amp;F4016</f>
        <v>SGEINSUMOSGESTION EMPRESARIAL</v>
      </c>
      <c r="B4016" t="s">
        <v>2281</v>
      </c>
      <c r="C4016" s="1">
        <f t="shared" si="116"/>
        <v>45944</v>
      </c>
      <c r="D4016" s="71" t="s">
        <v>39</v>
      </c>
      <c r="E4016" s="71" t="s">
        <v>133</v>
      </c>
      <c r="F4016" s="70" t="s">
        <v>40</v>
      </c>
      <c r="J4016" s="71" t="s">
        <v>2381</v>
      </c>
      <c r="L4016" s="433">
        <v>7714</v>
      </c>
      <c r="M4016" s="136">
        <f t="shared" si="115"/>
        <v>4019.9897033335728</v>
      </c>
    </row>
    <row r="4017" spans="1:13">
      <c r="A4017" s="54" t="str">
        <f>D4017&amp;E4017&amp;F4017</f>
        <v>SGEINSUMOSGESTION EMPRESARIAL</v>
      </c>
      <c r="B4017" t="s">
        <v>2281</v>
      </c>
      <c r="C4017" s="1">
        <f t="shared" si="116"/>
        <v>45944</v>
      </c>
      <c r="D4017" s="71" t="s">
        <v>39</v>
      </c>
      <c r="E4017" s="71" t="s">
        <v>133</v>
      </c>
      <c r="F4017" s="70" t="s">
        <v>40</v>
      </c>
      <c r="J4017" s="71" t="s">
        <v>2382</v>
      </c>
      <c r="L4017" s="433">
        <v>3200</v>
      </c>
      <c r="M4017" s="136">
        <f t="shared" si="115"/>
        <v>819.98970333357283</v>
      </c>
    </row>
    <row r="4018" spans="1:13">
      <c r="A4018" s="54" t="str">
        <f>D4018&amp;E4018&amp;F4018</f>
        <v>FINANZASFONDO Y REPOSICIONFINANZAS</v>
      </c>
      <c r="B4018" t="s">
        <v>2281</v>
      </c>
      <c r="C4018" s="1">
        <f t="shared" si="116"/>
        <v>45944</v>
      </c>
      <c r="D4018" s="71" t="s">
        <v>23</v>
      </c>
      <c r="E4018" s="71" t="s">
        <v>120</v>
      </c>
      <c r="F4018" s="70" t="s">
        <v>23</v>
      </c>
      <c r="J4018" s="71" t="s">
        <v>1212</v>
      </c>
      <c r="L4018" s="433">
        <v>50</v>
      </c>
      <c r="M4018" s="136">
        <f t="shared" si="115"/>
        <v>769.98970333357283</v>
      </c>
    </row>
    <row r="4019" spans="1:13">
      <c r="A4019" s="54" t="str">
        <f>D4019&amp;E4019&amp;F4019</f>
        <v>FINANZASFONDO Y REPOSICIONFINANZAS</v>
      </c>
      <c r="B4019" t="s">
        <v>2281</v>
      </c>
      <c r="C4019" s="1">
        <f t="shared" si="116"/>
        <v>45944</v>
      </c>
      <c r="D4019" s="71" t="s">
        <v>23</v>
      </c>
      <c r="E4019" s="71" t="s">
        <v>120</v>
      </c>
      <c r="F4019" s="70" t="s">
        <v>23</v>
      </c>
      <c r="J4019" s="71" t="s">
        <v>817</v>
      </c>
      <c r="L4019" s="433">
        <v>300</v>
      </c>
      <c r="M4019" s="136">
        <f t="shared" ref="M4019:M4082" si="118">M4018+K4019-L4019</f>
        <v>469.98970333357283</v>
      </c>
    </row>
    <row r="4020" spans="1:13">
      <c r="A4020" s="54" t="str">
        <f>D4020&amp;E4020&amp;F4020</f>
        <v>HRFONDO Y REPOSICIONHR</v>
      </c>
      <c r="B4020" t="s">
        <v>2281</v>
      </c>
      <c r="C4020" s="1">
        <f t="shared" si="116"/>
        <v>45944</v>
      </c>
      <c r="D4020" s="71" t="s">
        <v>29</v>
      </c>
      <c r="E4020" s="71" t="s">
        <v>120</v>
      </c>
      <c r="F4020" s="70" t="s">
        <v>29</v>
      </c>
      <c r="J4020" s="71" t="s">
        <v>830</v>
      </c>
      <c r="L4020" s="433">
        <v>2129</v>
      </c>
      <c r="M4020" s="136">
        <f t="shared" si="118"/>
        <v>-1659.0102966664272</v>
      </c>
    </row>
    <row r="4021" spans="1:13">
      <c r="A4021" s="54" t="str">
        <f>D4021&amp;E4021&amp;F4021</f>
        <v>HRFONDO Y REPOSICIONHR</v>
      </c>
      <c r="B4021" t="s">
        <v>2281</v>
      </c>
      <c r="C4021" s="1">
        <f t="shared" si="116"/>
        <v>45944</v>
      </c>
      <c r="D4021" s="71" t="s">
        <v>29</v>
      </c>
      <c r="E4021" s="71" t="s">
        <v>120</v>
      </c>
      <c r="F4021" s="70" t="s">
        <v>29</v>
      </c>
      <c r="J4021" s="71" t="s">
        <v>2383</v>
      </c>
      <c r="L4021" s="433">
        <v>1841</v>
      </c>
      <c r="M4021" s="136">
        <f t="shared" si="118"/>
        <v>-3500.0102966664272</v>
      </c>
    </row>
    <row r="4022" spans="1:13">
      <c r="A4022" s="54" t="str">
        <f>D4022&amp;E4022&amp;F4022</f>
        <v>HRFONDO Y REPOSICIONHR</v>
      </c>
      <c r="B4022" t="s">
        <v>2281</v>
      </c>
      <c r="C4022" s="1">
        <f t="shared" si="116"/>
        <v>45944</v>
      </c>
      <c r="D4022" s="71" t="s">
        <v>29</v>
      </c>
      <c r="E4022" s="71" t="s">
        <v>120</v>
      </c>
      <c r="F4022" s="70" t="s">
        <v>29</v>
      </c>
      <c r="J4022" s="71" t="s">
        <v>553</v>
      </c>
      <c r="L4022" s="433">
        <v>2000</v>
      </c>
      <c r="M4022" s="136">
        <f t="shared" si="118"/>
        <v>-5500.0102966664272</v>
      </c>
    </row>
    <row r="4023" spans="1:13">
      <c r="A4023" s="54" t="str">
        <f>D4023&amp;E4023&amp;F4023</f>
        <v>CAPFONDO Y REPOSICIONCAPRICHOS</v>
      </c>
      <c r="B4023" t="s">
        <v>2281</v>
      </c>
      <c r="C4023" s="1">
        <f t="shared" si="116"/>
        <v>45944</v>
      </c>
      <c r="D4023" s="71" t="s">
        <v>31</v>
      </c>
      <c r="E4023" s="71" t="s">
        <v>120</v>
      </c>
      <c r="F4023" s="70" t="s">
        <v>33</v>
      </c>
      <c r="J4023" s="71" t="s">
        <v>2384</v>
      </c>
      <c r="L4023" s="433">
        <v>1542</v>
      </c>
      <c r="M4023" s="136">
        <f t="shared" si="118"/>
        <v>-7042.0102966664272</v>
      </c>
    </row>
    <row r="4024" spans="1:13">
      <c r="A4024" s="54" t="str">
        <f>D4024&amp;E4024&amp;F4024</f>
        <v>SERVICIOSVIATICOSCEDIS</v>
      </c>
      <c r="B4024" t="s">
        <v>2281</v>
      </c>
      <c r="C4024" s="1">
        <f t="shared" si="116"/>
        <v>45944</v>
      </c>
      <c r="D4024" s="71" t="s">
        <v>21</v>
      </c>
      <c r="E4024" s="71" t="s">
        <v>191</v>
      </c>
      <c r="F4024" s="70" t="s">
        <v>28</v>
      </c>
      <c r="J4024" s="71" t="s">
        <v>646</v>
      </c>
      <c r="L4024" s="433">
        <v>1100</v>
      </c>
      <c r="M4024" s="136">
        <f t="shared" si="118"/>
        <v>-8142.0102966664272</v>
      </c>
    </row>
    <row r="4025" spans="1:13">
      <c r="A4025" s="54" t="str">
        <f>D4025&amp;E4025&amp;F4025</f>
        <v>HRVIATICOSHR</v>
      </c>
      <c r="B4025" t="s">
        <v>2281</v>
      </c>
      <c r="C4025" s="1">
        <f t="shared" ref="C4025:C4101" si="119">C4024</f>
        <v>45944</v>
      </c>
      <c r="D4025" s="71" t="s">
        <v>29</v>
      </c>
      <c r="E4025" s="71" t="s">
        <v>191</v>
      </c>
      <c r="F4025" s="70" t="s">
        <v>29</v>
      </c>
      <c r="J4025" s="71" t="s">
        <v>2385</v>
      </c>
      <c r="L4025" s="433">
        <v>4600</v>
      </c>
      <c r="M4025" s="136">
        <f t="shared" si="118"/>
        <v>-12742.010296666427</v>
      </c>
    </row>
    <row r="4026" spans="1:13">
      <c r="A4026" s="54" t="str">
        <f>D4026&amp;E4026&amp;F4026</f>
        <v>SERVICIOSMTTO EQ DE TRANSPORTECEDIS</v>
      </c>
      <c r="B4026" t="s">
        <v>2281</v>
      </c>
      <c r="C4026" s="1">
        <f t="shared" si="119"/>
        <v>45944</v>
      </c>
      <c r="D4026" s="71" t="s">
        <v>21</v>
      </c>
      <c r="E4026" s="71" t="s">
        <v>144</v>
      </c>
      <c r="F4026" s="70" t="s">
        <v>28</v>
      </c>
      <c r="G4026" s="71" t="s">
        <v>258</v>
      </c>
      <c r="J4026" s="71" t="s">
        <v>2386</v>
      </c>
      <c r="L4026" s="208">
        <v>23200</v>
      </c>
      <c r="M4026" s="136">
        <f t="shared" si="118"/>
        <v>-35942.010296666427</v>
      </c>
    </row>
    <row r="4027" spans="1:13">
      <c r="A4027" s="54" t="str">
        <f>D4027&amp;E4027&amp;F4027</f>
        <v>CAPSGMCAPRICHOS</v>
      </c>
      <c r="B4027" t="s">
        <v>2281</v>
      </c>
      <c r="C4027" s="1">
        <f t="shared" si="119"/>
        <v>45944</v>
      </c>
      <c r="D4027" t="s">
        <v>31</v>
      </c>
      <c r="E4027" s="71" t="s">
        <v>176</v>
      </c>
      <c r="F4027" s="70" t="s">
        <v>33</v>
      </c>
      <c r="J4027" s="71" t="s">
        <v>2387</v>
      </c>
      <c r="L4027" s="433">
        <v>4600</v>
      </c>
      <c r="M4027" s="136">
        <f t="shared" si="118"/>
        <v>-40542.010296666427</v>
      </c>
    </row>
    <row r="4028" spans="1:13">
      <c r="A4028" s="54" t="str">
        <f>D4028&amp;E4028&amp;F4028</f>
        <v>HRUBERHR</v>
      </c>
      <c r="B4028" t="s">
        <v>2281</v>
      </c>
      <c r="C4028" s="1">
        <f t="shared" si="119"/>
        <v>45944</v>
      </c>
      <c r="D4028" s="71" t="s">
        <v>29</v>
      </c>
      <c r="E4028" s="71" t="s">
        <v>189</v>
      </c>
      <c r="F4028" s="70" t="s">
        <v>29</v>
      </c>
      <c r="J4028" s="76" t="s">
        <v>2388</v>
      </c>
      <c r="L4028" s="522">
        <v>400</v>
      </c>
      <c r="M4028" s="136">
        <f t="shared" si="118"/>
        <v>-40942.010296666427</v>
      </c>
    </row>
    <row r="4029" spans="1:13">
      <c r="A4029" s="54" t="str">
        <f>D4029&amp;E4029&amp;F4029</f>
        <v>HRUBERHR</v>
      </c>
      <c r="B4029" t="s">
        <v>2281</v>
      </c>
      <c r="C4029" s="1">
        <f t="shared" si="119"/>
        <v>45944</v>
      </c>
      <c r="D4029" s="71" t="s">
        <v>29</v>
      </c>
      <c r="E4029" s="71" t="s">
        <v>189</v>
      </c>
      <c r="F4029" s="70" t="s">
        <v>29</v>
      </c>
      <c r="J4029" s="76" t="s">
        <v>2373</v>
      </c>
      <c r="L4029" s="522">
        <v>75</v>
      </c>
      <c r="M4029" s="136">
        <f t="shared" si="118"/>
        <v>-41017.010296666427</v>
      </c>
    </row>
    <row r="4030" spans="1:13">
      <c r="A4030" s="54" t="str">
        <f>D4030&amp;E4030&amp;F4030</f>
        <v>HRNOMINA SUCURSALA24</v>
      </c>
      <c r="B4030" t="s">
        <v>2281</v>
      </c>
      <c r="C4030" s="1">
        <f t="shared" si="119"/>
        <v>45944</v>
      </c>
      <c r="D4030" s="71" t="s">
        <v>29</v>
      </c>
      <c r="E4030" s="71" t="s">
        <v>154</v>
      </c>
      <c r="F4030" s="70" t="s">
        <v>106</v>
      </c>
      <c r="J4030" s="76" t="s">
        <v>2389</v>
      </c>
      <c r="L4030" s="434">
        <v>810</v>
      </c>
      <c r="M4030" s="136">
        <f t="shared" si="118"/>
        <v>-41827.010296666427</v>
      </c>
    </row>
    <row r="4031" spans="1:13">
      <c r="A4031" s="54" t="str">
        <f>D4031&amp;E4031&amp;F4031</f>
        <v>CAPUBERCAP</v>
      </c>
      <c r="B4031" t="s">
        <v>2281</v>
      </c>
      <c r="C4031" s="1">
        <f t="shared" si="119"/>
        <v>45944</v>
      </c>
      <c r="D4031" s="71" t="s">
        <v>31</v>
      </c>
      <c r="E4031" s="71" t="s">
        <v>189</v>
      </c>
      <c r="F4031" s="70" t="s">
        <v>31</v>
      </c>
      <c r="J4031" s="76" t="s">
        <v>2262</v>
      </c>
      <c r="L4031" s="522">
        <v>223</v>
      </c>
      <c r="M4031" s="136">
        <f t="shared" si="118"/>
        <v>-42050.010296666427</v>
      </c>
    </row>
    <row r="4032" spans="1:13">
      <c r="A4032" s="54" t="str">
        <f>D4032&amp;E4032&amp;F4032</f>
        <v>CAPUBERCAP</v>
      </c>
      <c r="B4032" t="s">
        <v>2281</v>
      </c>
      <c r="C4032" s="1">
        <f t="shared" si="119"/>
        <v>45944</v>
      </c>
      <c r="D4032" s="71" t="s">
        <v>31</v>
      </c>
      <c r="E4032" s="71" t="s">
        <v>189</v>
      </c>
      <c r="F4032" s="70" t="s">
        <v>31</v>
      </c>
      <c r="J4032" s="76" t="s">
        <v>2278</v>
      </c>
      <c r="L4032" s="522">
        <v>80</v>
      </c>
      <c r="M4032" s="136">
        <f t="shared" si="118"/>
        <v>-42130.010296666427</v>
      </c>
    </row>
    <row r="4033" spans="1:13">
      <c r="A4033" s="54" t="str">
        <f>D4033&amp;E4033&amp;F4033</f>
        <v>CAPINSUMOSCAPRICHOS</v>
      </c>
      <c r="B4033" t="s">
        <v>2281</v>
      </c>
      <c r="C4033" s="1">
        <f t="shared" si="119"/>
        <v>45944</v>
      </c>
      <c r="D4033" s="71" t="s">
        <v>31</v>
      </c>
      <c r="E4033" s="71" t="s">
        <v>133</v>
      </c>
      <c r="F4033" s="70" t="s">
        <v>33</v>
      </c>
      <c r="J4033" s="76" t="s">
        <v>2390</v>
      </c>
      <c r="L4033" s="434">
        <v>60</v>
      </c>
      <c r="M4033" s="136">
        <f t="shared" si="118"/>
        <v>-42190.010296666427</v>
      </c>
    </row>
    <row r="4034" spans="1:13">
      <c r="A4034" s="54" t="str">
        <f t="shared" si="117"/>
        <v/>
      </c>
      <c r="B4034" t="s">
        <v>2281</v>
      </c>
      <c r="C4034" s="1">
        <v>45945</v>
      </c>
      <c r="D4034" s="387"/>
      <c r="E4034" s="387"/>
      <c r="F4034" s="375"/>
      <c r="G4034" s="387"/>
      <c r="H4034" s="400"/>
      <c r="I4034" s="400"/>
      <c r="J4034" s="387" t="s">
        <v>2391</v>
      </c>
      <c r="L4034" s="433">
        <v>500</v>
      </c>
      <c r="M4034" s="136">
        <f t="shared" si="118"/>
        <v>-42690.010296666427</v>
      </c>
    </row>
    <row r="4035" spans="1:13">
      <c r="A4035" s="54" t="str">
        <f t="shared" si="117"/>
        <v/>
      </c>
      <c r="B4035" t="s">
        <v>2281</v>
      </c>
      <c r="C4035" s="1">
        <f t="shared" si="119"/>
        <v>45945</v>
      </c>
      <c r="D4035" s="71"/>
      <c r="F4035" s="70"/>
      <c r="J4035" s="71" t="s">
        <v>2045</v>
      </c>
      <c r="K4035" s="325">
        <v>185902.33</v>
      </c>
      <c r="L4035" s="432"/>
      <c r="M4035" s="136">
        <f t="shared" si="118"/>
        <v>143212.31970333355</v>
      </c>
    </row>
    <row r="4036" spans="1:13" ht="19.5" customHeight="1">
      <c r="A4036" s="54" t="str">
        <f>D4036&amp;E4036&amp;F4036</f>
        <v>FINANZASCOMISIONES BANCARIASTPV</v>
      </c>
      <c r="B4036" t="s">
        <v>2281</v>
      </c>
      <c r="C4036" s="1">
        <f t="shared" si="119"/>
        <v>45945</v>
      </c>
      <c r="D4036" s="71" t="s">
        <v>23</v>
      </c>
      <c r="E4036" s="71" t="s">
        <v>48</v>
      </c>
      <c r="F4036" s="70" t="s">
        <v>50</v>
      </c>
      <c r="J4036" s="71" t="s">
        <v>217</v>
      </c>
      <c r="L4036" s="438">
        <f>143.01+1133.18+140.64+922.28+745.13+5.8+10.44</f>
        <v>3100.48</v>
      </c>
      <c r="M4036" s="136">
        <f t="shared" si="118"/>
        <v>140111.83970333353</v>
      </c>
    </row>
    <row r="4037" spans="1:13">
      <c r="A4037" s="54" t="str">
        <f t="shared" si="117"/>
        <v/>
      </c>
      <c r="B4037" t="s">
        <v>2281</v>
      </c>
      <c r="C4037" s="1">
        <f t="shared" si="119"/>
        <v>45945</v>
      </c>
      <c r="D4037" s="71"/>
      <c r="F4037" s="70"/>
      <c r="J4037" s="205" t="s">
        <v>1562</v>
      </c>
      <c r="K4037" s="205"/>
      <c r="L4037" s="428">
        <v>170000</v>
      </c>
      <c r="M4037" s="136">
        <f t="shared" si="118"/>
        <v>-29888.160296666465</v>
      </c>
    </row>
    <row r="4038" spans="1:13">
      <c r="A4038" s="54" t="str">
        <f t="shared" si="117"/>
        <v/>
      </c>
      <c r="B4038" t="s">
        <v>2281</v>
      </c>
      <c r="C4038" s="1">
        <f t="shared" si="119"/>
        <v>45945</v>
      </c>
      <c r="D4038" s="71"/>
      <c r="F4038" s="70"/>
      <c r="J4038" s="205" t="s">
        <v>2348</v>
      </c>
      <c r="K4038" s="205"/>
      <c r="L4038" s="205"/>
      <c r="M4038" s="136">
        <f t="shared" si="118"/>
        <v>-29888.160296666465</v>
      </c>
    </row>
    <row r="4039" spans="1:13">
      <c r="A4039" s="54" t="str">
        <f>D4039&amp;E4039&amp;F4039</f>
        <v>SERVICIOSPAQUETERIACT INTERNACIONAL</v>
      </c>
      <c r="B4039" t="s">
        <v>2281</v>
      </c>
      <c r="C4039" s="1">
        <f t="shared" si="119"/>
        <v>45945</v>
      </c>
      <c r="D4039" s="71" t="s">
        <v>21</v>
      </c>
      <c r="E4039" s="71" t="s">
        <v>160</v>
      </c>
      <c r="F4039" s="70" t="s">
        <v>162</v>
      </c>
      <c r="J4039" s="71" t="s">
        <v>275</v>
      </c>
      <c r="L4039" s="433">
        <f>280+280</f>
        <v>560</v>
      </c>
      <c r="M4039" s="136">
        <f t="shared" si="118"/>
        <v>-30448.160296666465</v>
      </c>
    </row>
    <row r="4040" spans="1:13">
      <c r="A4040" s="54" t="str">
        <f>D4040&amp;E4040&amp;F4040</f>
        <v>FINANZASTELEPEAJEFINANZAS</v>
      </c>
      <c r="B4040" t="s">
        <v>2281</v>
      </c>
      <c r="C4040" s="1">
        <f t="shared" si="119"/>
        <v>45945</v>
      </c>
      <c r="D4040" s="71" t="s">
        <v>23</v>
      </c>
      <c r="E4040" s="71" t="s">
        <v>186</v>
      </c>
      <c r="F4040" s="70" t="s">
        <v>23</v>
      </c>
      <c r="J4040" s="71" t="s">
        <v>974</v>
      </c>
      <c r="L4040" s="433">
        <v>786</v>
      </c>
      <c r="M4040" s="136">
        <f t="shared" si="118"/>
        <v>-31234.160296666465</v>
      </c>
    </row>
    <row r="4041" spans="1:13">
      <c r="A4041" s="54" t="str">
        <f>D4041&amp;E4041&amp;F4041</f>
        <v>SERVICIOSTELEPEAJECEDIS</v>
      </c>
      <c r="B4041" t="s">
        <v>2281</v>
      </c>
      <c r="C4041" s="1">
        <f t="shared" si="119"/>
        <v>45945</v>
      </c>
      <c r="D4041" s="71" t="s">
        <v>21</v>
      </c>
      <c r="E4041" s="71" t="s">
        <v>186</v>
      </c>
      <c r="F4041" s="70" t="s">
        <v>28</v>
      </c>
      <c r="J4041" s="71" t="s">
        <v>238</v>
      </c>
      <c r="L4041" s="433">
        <v>4494</v>
      </c>
      <c r="M4041" s="136">
        <f t="shared" si="118"/>
        <v>-35728.160296666465</v>
      </c>
    </row>
    <row r="4042" spans="1:13">
      <c r="A4042" s="54" t="str">
        <f>D4042&amp;E4042&amp;F4042</f>
        <v>HRTELEPEAJEOP HR</v>
      </c>
      <c r="B4042" t="s">
        <v>2281</v>
      </c>
      <c r="C4042" s="1">
        <f t="shared" si="119"/>
        <v>45945</v>
      </c>
      <c r="D4042" s="71" t="s">
        <v>29</v>
      </c>
      <c r="E4042" s="71" t="s">
        <v>186</v>
      </c>
      <c r="F4042" s="143" t="s">
        <v>187</v>
      </c>
      <c r="J4042" s="71" t="s">
        <v>2392</v>
      </c>
      <c r="L4042" s="433">
        <v>588</v>
      </c>
      <c r="M4042" s="136">
        <f t="shared" si="118"/>
        <v>-36316.160296666465</v>
      </c>
    </row>
    <row r="4043" spans="1:13">
      <c r="A4043" s="54" t="str">
        <f>D4043&amp;E4043&amp;F4043</f>
        <v>HRTELEPEAJEOP HR</v>
      </c>
      <c r="B4043" t="s">
        <v>2281</v>
      </c>
      <c r="C4043" s="1">
        <f t="shared" si="119"/>
        <v>45945</v>
      </c>
      <c r="D4043" s="71" t="s">
        <v>29</v>
      </c>
      <c r="E4043" s="71" t="s">
        <v>186</v>
      </c>
      <c r="F4043" s="143" t="s">
        <v>187</v>
      </c>
      <c r="J4043" s="71" t="s">
        <v>2393</v>
      </c>
      <c r="L4043" s="433">
        <v>1192</v>
      </c>
      <c r="M4043" s="136">
        <f t="shared" si="118"/>
        <v>-37508.160296666465</v>
      </c>
    </row>
    <row r="4044" spans="1:13">
      <c r="A4044" s="54" t="str">
        <f>D4044&amp;E4044&amp;F4044</f>
        <v>HRTELEPEAJEOP HR</v>
      </c>
      <c r="B4044" t="s">
        <v>2281</v>
      </c>
      <c r="C4044" s="1">
        <f t="shared" si="119"/>
        <v>45945</v>
      </c>
      <c r="D4044" s="71" t="s">
        <v>29</v>
      </c>
      <c r="E4044" s="71" t="s">
        <v>186</v>
      </c>
      <c r="F4044" s="143" t="s">
        <v>187</v>
      </c>
      <c r="J4044" s="71" t="s">
        <v>2393</v>
      </c>
      <c r="L4044" s="433">
        <v>302</v>
      </c>
      <c r="M4044" s="136">
        <f t="shared" si="118"/>
        <v>-37810.160296666465</v>
      </c>
    </row>
    <row r="4045" spans="1:13">
      <c r="A4045" s="54" t="str">
        <f>D4045&amp;E4045&amp;F4045</f>
        <v>SERVICIOSTELEPEAJECEDIS</v>
      </c>
      <c r="B4045" t="s">
        <v>2281</v>
      </c>
      <c r="C4045" s="1">
        <f t="shared" si="119"/>
        <v>45945</v>
      </c>
      <c r="D4045" s="71" t="s">
        <v>21</v>
      </c>
      <c r="E4045" s="71" t="s">
        <v>186</v>
      </c>
      <c r="F4045" s="70" t="s">
        <v>28</v>
      </c>
      <c r="J4045" s="71" t="s">
        <v>909</v>
      </c>
      <c r="L4045" s="433">
        <v>960</v>
      </c>
      <c r="M4045" s="136">
        <f t="shared" si="118"/>
        <v>-38770.160296666465</v>
      </c>
    </row>
    <row r="4046" spans="1:13">
      <c r="A4046" s="54" t="str">
        <f>D4046&amp;E4046&amp;F4046</f>
        <v>SERVICIOSPAQUETERIACEDIS (E6)</v>
      </c>
      <c r="B4046" t="s">
        <v>2281</v>
      </c>
      <c r="C4046" s="1">
        <f>C4039</f>
        <v>45945</v>
      </c>
      <c r="D4046" s="71" t="s">
        <v>21</v>
      </c>
      <c r="E4046" s="71" t="s">
        <v>160</v>
      </c>
      <c r="F4046" s="70" t="s">
        <v>161</v>
      </c>
      <c r="J4046" s="71" t="s">
        <v>229</v>
      </c>
      <c r="L4046" s="433">
        <v>702.38</v>
      </c>
      <c r="M4046" s="136">
        <f t="shared" si="118"/>
        <v>-39472.540296666462</v>
      </c>
    </row>
    <row r="4047" spans="1:13">
      <c r="A4047" s="54" t="str">
        <f>D4047&amp;E4047&amp;F4047</f>
        <v>MKTINSUMOSINSUMOS</v>
      </c>
      <c r="B4047" t="s">
        <v>2281</v>
      </c>
      <c r="C4047" s="1">
        <f t="shared" si="119"/>
        <v>45945</v>
      </c>
      <c r="D4047" s="71" t="s">
        <v>19</v>
      </c>
      <c r="E4047" s="71" t="s">
        <v>133</v>
      </c>
      <c r="F4047" s="230" t="s">
        <v>133</v>
      </c>
      <c r="G4047" s="71" t="s">
        <v>258</v>
      </c>
      <c r="J4047" s="71" t="s">
        <v>2394</v>
      </c>
      <c r="L4047" s="433">
        <v>42120</v>
      </c>
      <c r="M4047" s="136">
        <f t="shared" si="118"/>
        <v>-81592.54029666647</v>
      </c>
    </row>
    <row r="4048" spans="1:13">
      <c r="A4048" s="54" t="str">
        <f>D4048&amp;E4048&amp;F4048</f>
        <v>SERVICIOSCOMBUSTIBLECEDIS</v>
      </c>
      <c r="B4048" t="s">
        <v>2281</v>
      </c>
      <c r="C4048" s="1">
        <f t="shared" si="119"/>
        <v>45945</v>
      </c>
      <c r="D4048" s="71" t="s">
        <v>21</v>
      </c>
      <c r="E4048" s="71" t="s">
        <v>32</v>
      </c>
      <c r="F4048" s="70" t="s">
        <v>28</v>
      </c>
      <c r="G4048" s="71" t="s">
        <v>258</v>
      </c>
      <c r="J4048" s="71" t="s">
        <v>2395</v>
      </c>
      <c r="L4048" s="433">
        <v>1500</v>
      </c>
      <c r="M4048" s="136">
        <f t="shared" si="118"/>
        <v>-83092.54029666647</v>
      </c>
    </row>
    <row r="4049" spans="1:13">
      <c r="A4049" s="54" t="str">
        <f>D4049&amp;E4049&amp;F4049</f>
        <v>SERVICIOSVIATICOSSISTEMAS</v>
      </c>
      <c r="B4049" t="s">
        <v>2281</v>
      </c>
      <c r="C4049" s="1">
        <f t="shared" si="119"/>
        <v>45945</v>
      </c>
      <c r="D4049" s="71" t="s">
        <v>21</v>
      </c>
      <c r="E4049" s="71" t="s">
        <v>191</v>
      </c>
      <c r="F4049" s="70" t="s">
        <v>36</v>
      </c>
      <c r="J4049" s="71" t="s">
        <v>2396</v>
      </c>
      <c r="L4049" s="433">
        <v>600</v>
      </c>
      <c r="M4049" s="136">
        <f t="shared" si="118"/>
        <v>-83692.54029666647</v>
      </c>
    </row>
    <row r="4050" spans="1:13">
      <c r="A4050" s="54" t="str">
        <f>D4050&amp;E4050&amp;F4050</f>
        <v>DEVIATICOSDIRECCION</v>
      </c>
      <c r="B4050" t="s">
        <v>2281</v>
      </c>
      <c r="C4050" s="1">
        <f t="shared" si="119"/>
        <v>45945</v>
      </c>
      <c r="D4050" s="71" t="s">
        <v>41</v>
      </c>
      <c r="E4050" s="71" t="s">
        <v>191</v>
      </c>
      <c r="F4050" s="70" t="s">
        <v>42</v>
      </c>
      <c r="J4050" s="71" t="s">
        <v>867</v>
      </c>
      <c r="L4050" s="433">
        <v>1000</v>
      </c>
      <c r="M4050" s="136">
        <f t="shared" si="118"/>
        <v>-84692.54029666647</v>
      </c>
    </row>
    <row r="4051" spans="1:13">
      <c r="A4051" s="54" t="str">
        <f>D4051&amp;E4051&amp;F4051</f>
        <v>MKTINSUMOSINSUMOS</v>
      </c>
      <c r="B4051" t="s">
        <v>2281</v>
      </c>
      <c r="C4051" s="1">
        <f t="shared" si="119"/>
        <v>45945</v>
      </c>
      <c r="D4051" s="71" t="s">
        <v>19</v>
      </c>
      <c r="E4051" s="71" t="s">
        <v>133</v>
      </c>
      <c r="F4051" s="230" t="s">
        <v>133</v>
      </c>
      <c r="G4051" s="71" t="s">
        <v>258</v>
      </c>
      <c r="J4051" s="71" t="s">
        <v>2397</v>
      </c>
      <c r="L4051" s="433">
        <v>870</v>
      </c>
      <c r="M4051" s="136">
        <f t="shared" si="118"/>
        <v>-85562.54029666647</v>
      </c>
    </row>
    <row r="4052" spans="1:13">
      <c r="A4052" s="54" t="str">
        <f>D4052&amp;E4052&amp;F4052</f>
        <v>HRVIATICOSHR</v>
      </c>
      <c r="B4052" t="s">
        <v>2281</v>
      </c>
      <c r="C4052" s="1">
        <f t="shared" si="119"/>
        <v>45945</v>
      </c>
      <c r="D4052" s="71" t="s">
        <v>29</v>
      </c>
      <c r="E4052" s="71" t="s">
        <v>191</v>
      </c>
      <c r="F4052" s="70" t="s">
        <v>29</v>
      </c>
      <c r="J4052" s="71" t="s">
        <v>2398</v>
      </c>
      <c r="L4052" s="433">
        <v>2800</v>
      </c>
      <c r="M4052" s="136">
        <f t="shared" si="118"/>
        <v>-88362.54029666647</v>
      </c>
    </row>
    <row r="4053" spans="1:13">
      <c r="A4053" s="54" t="str">
        <f>D4053&amp;E4053&amp;F4053</f>
        <v>HRUBERHR</v>
      </c>
      <c r="B4053" t="s">
        <v>2281</v>
      </c>
      <c r="C4053" s="1">
        <f t="shared" si="119"/>
        <v>45945</v>
      </c>
      <c r="D4053" s="71" t="s">
        <v>29</v>
      </c>
      <c r="E4053" s="71" t="s">
        <v>189</v>
      </c>
      <c r="F4053" s="70" t="s">
        <v>29</v>
      </c>
      <c r="J4053" s="76" t="s">
        <v>2399</v>
      </c>
      <c r="L4053" s="522">
        <v>480</v>
      </c>
      <c r="M4053" s="136">
        <f t="shared" si="118"/>
        <v>-88842.54029666647</v>
      </c>
    </row>
    <row r="4054" spans="1:13">
      <c r="A4054" s="54" t="str">
        <f>D4054&amp;E4054&amp;F4054</f>
        <v>HRINSUMOSHR</v>
      </c>
      <c r="B4054" t="s">
        <v>2281</v>
      </c>
      <c r="C4054" s="1">
        <f t="shared" si="119"/>
        <v>45945</v>
      </c>
      <c r="D4054" s="71" t="s">
        <v>29</v>
      </c>
      <c r="E4054" s="71" t="s">
        <v>133</v>
      </c>
      <c r="F4054" s="70" t="s">
        <v>29</v>
      </c>
      <c r="J4054" s="76" t="s">
        <v>2400</v>
      </c>
      <c r="L4054" s="434">
        <v>178</v>
      </c>
      <c r="M4054" s="136">
        <f t="shared" si="118"/>
        <v>-89020.54029666647</v>
      </c>
    </row>
    <row r="4055" spans="1:13">
      <c r="A4055" s="54" t="str">
        <f>D4055&amp;E4055&amp;F4055</f>
        <v>CAPUBERCAP</v>
      </c>
      <c r="B4055" t="s">
        <v>2281</v>
      </c>
      <c r="C4055" s="1">
        <f t="shared" si="119"/>
        <v>45945</v>
      </c>
      <c r="D4055" s="71" t="s">
        <v>31</v>
      </c>
      <c r="E4055" s="71" t="s">
        <v>189</v>
      </c>
      <c r="F4055" s="70" t="s">
        <v>31</v>
      </c>
      <c r="J4055" s="76" t="s">
        <v>2262</v>
      </c>
      <c r="L4055" s="522">
        <v>225</v>
      </c>
      <c r="M4055" s="136">
        <f t="shared" si="118"/>
        <v>-89245.54029666647</v>
      </c>
    </row>
    <row r="4056" spans="1:13">
      <c r="A4056" s="54" t="str">
        <f>D4056&amp;E4056&amp;F4056</f>
        <v>CAPUBERCAP</v>
      </c>
      <c r="B4056" t="s">
        <v>2281</v>
      </c>
      <c r="C4056" s="1">
        <f t="shared" si="119"/>
        <v>45945</v>
      </c>
      <c r="D4056" s="71" t="s">
        <v>31</v>
      </c>
      <c r="E4056" s="71" t="s">
        <v>189</v>
      </c>
      <c r="F4056" s="70" t="s">
        <v>31</v>
      </c>
      <c r="J4056" s="76" t="s">
        <v>2278</v>
      </c>
      <c r="L4056" s="522">
        <v>175</v>
      </c>
      <c r="M4056" s="136">
        <f t="shared" si="118"/>
        <v>-89420.54029666647</v>
      </c>
    </row>
    <row r="4057" spans="1:13">
      <c r="A4057" s="54" t="str">
        <f>D4057&amp;E4057&amp;F4057</f>
        <v>CAPINSUMOSCAPRICHOS</v>
      </c>
      <c r="B4057" t="s">
        <v>2281</v>
      </c>
      <c r="C4057" s="1">
        <f t="shared" si="119"/>
        <v>45945</v>
      </c>
      <c r="D4057" s="71" t="s">
        <v>31</v>
      </c>
      <c r="E4057" s="71" t="s">
        <v>133</v>
      </c>
      <c r="F4057" s="70" t="s">
        <v>33</v>
      </c>
      <c r="J4057" s="76" t="s">
        <v>2401</v>
      </c>
      <c r="L4057" s="434">
        <v>35</v>
      </c>
      <c r="M4057" s="136">
        <f t="shared" si="118"/>
        <v>-89455.54029666647</v>
      </c>
    </row>
    <row r="4058" spans="1:13">
      <c r="A4058" s="54" t="str">
        <f t="shared" ref="A4050:A4113" si="120">D4058&amp;E4058&amp;F4058</f>
        <v/>
      </c>
      <c r="B4058" t="s">
        <v>2281</v>
      </c>
      <c r="C4058" s="1">
        <v>45946</v>
      </c>
      <c r="D4058" s="71"/>
      <c r="F4058" s="70"/>
      <c r="J4058" s="71" t="s">
        <v>2045</v>
      </c>
      <c r="K4058" s="325">
        <v>210760.41</v>
      </c>
      <c r="L4058" s="432"/>
      <c r="M4058" s="136">
        <f t="shared" si="118"/>
        <v>121304.86970333353</v>
      </c>
    </row>
    <row r="4059" spans="1:13">
      <c r="A4059" s="54" t="str">
        <f>D4059&amp;E4059&amp;F4059</f>
        <v>FINANZASCOMISIONES BANCARIASTPV</v>
      </c>
      <c r="B4059" t="s">
        <v>2281</v>
      </c>
      <c r="C4059" s="1">
        <f t="shared" si="119"/>
        <v>45946</v>
      </c>
      <c r="D4059" s="71" t="s">
        <v>23</v>
      </c>
      <c r="E4059" s="71" t="s">
        <v>48</v>
      </c>
      <c r="F4059" s="70" t="s">
        <v>50</v>
      </c>
      <c r="J4059" s="71" t="s">
        <v>217</v>
      </c>
      <c r="L4059" s="433">
        <f>61.14+1179.04+969.81+5.8+139.59+1260.68+134.59+173.73</f>
        <v>3924.3800000000006</v>
      </c>
      <c r="M4059" s="136">
        <f t="shared" si="118"/>
        <v>117380.48970333353</v>
      </c>
    </row>
    <row r="4060" spans="1:13">
      <c r="A4060" s="54" t="str">
        <f t="shared" si="120"/>
        <v/>
      </c>
      <c r="B4060" t="s">
        <v>2281</v>
      </c>
      <c r="C4060" s="1">
        <f t="shared" si="119"/>
        <v>45946</v>
      </c>
      <c r="D4060" s="71"/>
      <c r="F4060" s="70"/>
      <c r="J4060" s="205" t="s">
        <v>1562</v>
      </c>
      <c r="K4060" s="205"/>
      <c r="L4060" s="428">
        <v>200000</v>
      </c>
      <c r="M4060" s="136">
        <f t="shared" si="118"/>
        <v>-82619.510296666471</v>
      </c>
    </row>
    <row r="4061" spans="1:13">
      <c r="A4061" s="54" t="str">
        <f t="shared" si="120"/>
        <v/>
      </c>
      <c r="B4061" t="s">
        <v>2281</v>
      </c>
      <c r="C4061" s="1">
        <f t="shared" si="119"/>
        <v>45946</v>
      </c>
      <c r="D4061" s="71"/>
      <c r="F4061" s="70"/>
      <c r="J4061" s="205" t="s">
        <v>2348</v>
      </c>
      <c r="K4061" s="205"/>
      <c r="L4061" s="205"/>
      <c r="M4061" s="136">
        <f t="shared" si="118"/>
        <v>-82619.510296666471</v>
      </c>
    </row>
    <row r="4062" spans="1:13">
      <c r="A4062" s="54" t="str">
        <f>D4062&amp;E4062&amp;F4062</f>
        <v>SGEVIATICOSGESTION EMPRESARIAL</v>
      </c>
      <c r="B4062" t="s">
        <v>2281</v>
      </c>
      <c r="C4062" s="1">
        <f t="shared" si="119"/>
        <v>45946</v>
      </c>
      <c r="D4062" s="71" t="s">
        <v>39</v>
      </c>
      <c r="E4062" s="71" t="s">
        <v>191</v>
      </c>
      <c r="F4062" s="70" t="s">
        <v>40</v>
      </c>
      <c r="J4062" s="71" t="s">
        <v>2402</v>
      </c>
      <c r="L4062" s="433">
        <v>2900</v>
      </c>
      <c r="M4062" s="136">
        <f t="shared" si="118"/>
        <v>-85519.510296666471</v>
      </c>
    </row>
    <row r="4063" spans="1:13">
      <c r="A4063" s="54" t="str">
        <f>D4063&amp;E4063&amp;F4063</f>
        <v>FINANZASVIATICOSFINANZAS</v>
      </c>
      <c r="B4063" t="s">
        <v>2281</v>
      </c>
      <c r="C4063" s="1">
        <f t="shared" si="119"/>
        <v>45946</v>
      </c>
      <c r="D4063" s="71" t="s">
        <v>23</v>
      </c>
      <c r="E4063" s="71" t="s">
        <v>191</v>
      </c>
      <c r="F4063" s="70" t="s">
        <v>23</v>
      </c>
      <c r="J4063" s="71" t="s">
        <v>1943</v>
      </c>
      <c r="L4063" s="433">
        <v>800</v>
      </c>
      <c r="M4063" s="136">
        <f t="shared" si="118"/>
        <v>-86319.510296666471</v>
      </c>
    </row>
    <row r="4064" spans="1:13">
      <c r="A4064" s="54" t="str">
        <f>D4064&amp;E4064&amp;F4064</f>
        <v>HRJMASA5</v>
      </c>
      <c r="B4064" t="s">
        <v>2281</v>
      </c>
      <c r="C4064" s="1">
        <f t="shared" si="119"/>
        <v>45946</v>
      </c>
      <c r="D4064" s="71" t="s">
        <v>29</v>
      </c>
      <c r="E4064" s="71" t="s">
        <v>137</v>
      </c>
      <c r="F4064" s="70" t="s">
        <v>92</v>
      </c>
      <c r="J4064" s="76" t="s">
        <v>2403</v>
      </c>
      <c r="L4064" s="434">
        <v>600</v>
      </c>
      <c r="M4064" s="136">
        <f t="shared" si="118"/>
        <v>-86919.510296666471</v>
      </c>
    </row>
    <row r="4065" spans="1:13">
      <c r="A4065" s="54" t="str">
        <f>D4065&amp;E4065&amp;F4065</f>
        <v>HRJMASA11</v>
      </c>
      <c r="B4065" t="s">
        <v>2281</v>
      </c>
      <c r="C4065" s="1">
        <f t="shared" si="119"/>
        <v>45946</v>
      </c>
      <c r="D4065" s="71" t="s">
        <v>29</v>
      </c>
      <c r="E4065" s="71" t="s">
        <v>137</v>
      </c>
      <c r="F4065" s="70" t="s">
        <v>97</v>
      </c>
      <c r="J4065" s="76" t="s">
        <v>2404</v>
      </c>
      <c r="L4065" s="434">
        <v>598</v>
      </c>
      <c r="M4065" s="136">
        <f t="shared" si="118"/>
        <v>-87517.510296666471</v>
      </c>
    </row>
    <row r="4066" spans="1:13">
      <c r="A4066" s="54" t="str">
        <f>D4066&amp;E4066&amp;F4066</f>
        <v>HRINSUMOSHR</v>
      </c>
      <c r="B4066" t="s">
        <v>2281</v>
      </c>
      <c r="C4066" s="1">
        <f t="shared" si="119"/>
        <v>45946</v>
      </c>
      <c r="D4066" s="71" t="s">
        <v>29</v>
      </c>
      <c r="E4066" s="71" t="s">
        <v>133</v>
      </c>
      <c r="F4066" s="70" t="s">
        <v>29</v>
      </c>
      <c r="J4066" s="76" t="s">
        <v>2405</v>
      </c>
      <c r="L4066" s="434">
        <v>30</v>
      </c>
      <c r="M4066" s="136">
        <f t="shared" si="118"/>
        <v>-87547.510296666471</v>
      </c>
    </row>
    <row r="4067" spans="1:13">
      <c r="A4067" s="54" t="str">
        <f>D4067&amp;E4067&amp;F4067</f>
        <v>HRJMASA22</v>
      </c>
      <c r="B4067" t="s">
        <v>2281</v>
      </c>
      <c r="C4067" s="1">
        <f t="shared" si="119"/>
        <v>45946</v>
      </c>
      <c r="D4067" s="71" t="s">
        <v>29</v>
      </c>
      <c r="E4067" s="71" t="s">
        <v>137</v>
      </c>
      <c r="F4067" s="70" t="s">
        <v>104</v>
      </c>
      <c r="J4067" s="76" t="s">
        <v>2406</v>
      </c>
      <c r="L4067" s="434">
        <v>825</v>
      </c>
      <c r="M4067" s="136">
        <f t="shared" si="118"/>
        <v>-88372.510296666471</v>
      </c>
    </row>
    <row r="4068" spans="1:13">
      <c r="A4068" s="54" t="str">
        <f>D4068&amp;E4068&amp;F4068</f>
        <v>CAPUBERCAP</v>
      </c>
      <c r="B4068" t="s">
        <v>2281</v>
      </c>
      <c r="C4068" s="1">
        <f t="shared" si="119"/>
        <v>45946</v>
      </c>
      <c r="D4068" s="71" t="s">
        <v>31</v>
      </c>
      <c r="E4068" s="71" t="s">
        <v>189</v>
      </c>
      <c r="F4068" s="70" t="s">
        <v>31</v>
      </c>
      <c r="J4068" s="76" t="s">
        <v>2407</v>
      </c>
      <c r="L4068" s="522">
        <v>258</v>
      </c>
      <c r="M4068" s="136">
        <f t="shared" si="118"/>
        <v>-88630.510296666471</v>
      </c>
    </row>
    <row r="4069" spans="1:13">
      <c r="A4069" s="54" t="str">
        <f>D4069&amp;E4069&amp;F4069</f>
        <v>CAPUBERCAP</v>
      </c>
      <c r="B4069" t="s">
        <v>2281</v>
      </c>
      <c r="C4069" s="1">
        <f t="shared" si="119"/>
        <v>45946</v>
      </c>
      <c r="D4069" s="71" t="s">
        <v>31</v>
      </c>
      <c r="E4069" s="71" t="s">
        <v>189</v>
      </c>
      <c r="F4069" s="70" t="s">
        <v>31</v>
      </c>
      <c r="J4069" s="76" t="s">
        <v>2408</v>
      </c>
      <c r="L4069" s="522">
        <v>113</v>
      </c>
      <c r="M4069" s="136">
        <f t="shared" si="118"/>
        <v>-88743.510296666471</v>
      </c>
    </row>
    <row r="4070" spans="1:13">
      <c r="A4070" s="54" t="str">
        <f t="shared" si="120"/>
        <v/>
      </c>
      <c r="B4070" t="s">
        <v>2281</v>
      </c>
      <c r="C4070" s="1">
        <v>45947</v>
      </c>
      <c r="D4070" s="71"/>
      <c r="F4070" s="70"/>
      <c r="J4070" s="71" t="s">
        <v>2045</v>
      </c>
      <c r="K4070" s="325">
        <v>235606.2</v>
      </c>
      <c r="L4070" s="432"/>
      <c r="M4070" s="136">
        <f t="shared" si="118"/>
        <v>146862.68970333354</v>
      </c>
    </row>
    <row r="4071" spans="1:13">
      <c r="A4071" s="54" t="str">
        <f>D4071&amp;E4071&amp;F4071</f>
        <v>FINANZASCOMISIONES BANCARIASTPV</v>
      </c>
      <c r="B4071" t="s">
        <v>2281</v>
      </c>
      <c r="C4071" s="1">
        <f t="shared" si="119"/>
        <v>45947</v>
      </c>
      <c r="D4071" s="71" t="s">
        <v>23</v>
      </c>
      <c r="E4071" s="71" t="s">
        <v>48</v>
      </c>
      <c r="F4071" s="70" t="s">
        <v>50</v>
      </c>
      <c r="J4071" s="71" t="s">
        <v>217</v>
      </c>
      <c r="L4071" s="433">
        <f>109.52+1443.25+1388.51+173.33+902.54+16.34+15.5+5.8+5.8+3.48</f>
        <v>4064.07</v>
      </c>
      <c r="M4071" s="136">
        <f t="shared" si="118"/>
        <v>142798.61970333353</v>
      </c>
    </row>
    <row r="4072" spans="1:13">
      <c r="A4072" s="54" t="str">
        <f t="shared" si="120"/>
        <v/>
      </c>
      <c r="B4072" t="s">
        <v>2281</v>
      </c>
      <c r="C4072" s="1">
        <f t="shared" si="119"/>
        <v>45947</v>
      </c>
      <c r="D4072" s="71"/>
      <c r="F4072" s="70"/>
      <c r="J4072" s="205" t="s">
        <v>1562</v>
      </c>
      <c r="K4072" s="205"/>
      <c r="L4072" s="428">
        <v>122000</v>
      </c>
      <c r="M4072" s="136">
        <f t="shared" si="118"/>
        <v>20798.619703333534</v>
      </c>
    </row>
    <row r="4073" spans="1:13">
      <c r="A4073" s="54" t="str">
        <f t="shared" si="120"/>
        <v/>
      </c>
      <c r="B4073" t="s">
        <v>2281</v>
      </c>
      <c r="C4073" s="1">
        <f t="shared" si="119"/>
        <v>45947</v>
      </c>
      <c r="D4073" s="71"/>
      <c r="F4073" s="70"/>
      <c r="J4073" s="205" t="s">
        <v>2348</v>
      </c>
      <c r="K4073" s="205"/>
      <c r="L4073" s="205"/>
      <c r="M4073" s="136">
        <f t="shared" si="118"/>
        <v>20798.619703333534</v>
      </c>
    </row>
    <row r="4074" spans="1:13">
      <c r="A4074" s="54" t="str">
        <f>D4074&amp;E4074&amp;F4074</f>
        <v>DEGDNCGDNC</v>
      </c>
      <c r="B4074" t="s">
        <v>2281</v>
      </c>
      <c r="C4074" s="1">
        <f t="shared" si="119"/>
        <v>45947</v>
      </c>
      <c r="D4074" s="71" t="s">
        <v>41</v>
      </c>
      <c r="E4074" s="71" t="s">
        <v>123</v>
      </c>
      <c r="F4074" s="70" t="s">
        <v>123</v>
      </c>
      <c r="G4074" s="71" t="s">
        <v>258</v>
      </c>
      <c r="J4074" s="71" t="s">
        <v>2195</v>
      </c>
      <c r="L4074" s="433">
        <v>5000</v>
      </c>
      <c r="M4074" s="136">
        <f t="shared" si="118"/>
        <v>15798.619703333534</v>
      </c>
    </row>
    <row r="4075" spans="1:13">
      <c r="A4075" s="54" t="str">
        <f>D4075&amp;E4075&amp;F4075</f>
        <v>MKTVIATICOSMKT</v>
      </c>
      <c r="B4075" t="s">
        <v>2281</v>
      </c>
      <c r="C4075" s="1">
        <f t="shared" si="119"/>
        <v>45947</v>
      </c>
      <c r="D4075" s="71" t="s">
        <v>19</v>
      </c>
      <c r="E4075" s="71" t="s">
        <v>191</v>
      </c>
      <c r="F4075" s="70" t="s">
        <v>19</v>
      </c>
      <c r="G4075" s="71" t="s">
        <v>258</v>
      </c>
      <c r="J4075" s="71" t="s">
        <v>2072</v>
      </c>
      <c r="L4075" s="433">
        <v>1550</v>
      </c>
      <c r="M4075" s="136">
        <f t="shared" si="118"/>
        <v>14248.619703333534</v>
      </c>
    </row>
    <row r="4076" spans="1:13">
      <c r="A4076" s="54" t="str">
        <f>D4076&amp;E4076&amp;F4076</f>
        <v>SERVICIOSINSUMOSCADENA DE SUMINISTROS</v>
      </c>
      <c r="B4076" t="s">
        <v>2281</v>
      </c>
      <c r="C4076" s="1">
        <f t="shared" si="119"/>
        <v>45947</v>
      </c>
      <c r="D4076" s="71" t="s">
        <v>21</v>
      </c>
      <c r="E4076" s="71" t="s">
        <v>133</v>
      </c>
      <c r="F4076" s="70" t="s">
        <v>134</v>
      </c>
      <c r="G4076" s="71" t="s">
        <v>258</v>
      </c>
      <c r="J4076" s="71" t="s">
        <v>634</v>
      </c>
      <c r="L4076" s="433">
        <v>2592</v>
      </c>
      <c r="M4076" s="136">
        <f t="shared" si="118"/>
        <v>11656.619703333534</v>
      </c>
    </row>
    <row r="4077" spans="1:13">
      <c r="A4077" s="54" t="str">
        <f>D4077&amp;E4077&amp;F4077</f>
        <v>SERVICIOSINSUMOSCADENA DE SUMINISTROS</v>
      </c>
      <c r="B4077" t="s">
        <v>2281</v>
      </c>
      <c r="C4077" s="1">
        <f t="shared" si="119"/>
        <v>45947</v>
      </c>
      <c r="D4077" s="71" t="s">
        <v>21</v>
      </c>
      <c r="E4077" s="71" t="s">
        <v>133</v>
      </c>
      <c r="F4077" s="70" t="s">
        <v>134</v>
      </c>
      <c r="G4077" s="71" t="s">
        <v>258</v>
      </c>
      <c r="J4077" s="71" t="s">
        <v>2409</v>
      </c>
      <c r="L4077" s="433">
        <v>4032.22</v>
      </c>
      <c r="M4077" s="136">
        <f t="shared" si="118"/>
        <v>7624.3997033335345</v>
      </c>
    </row>
    <row r="4078" spans="1:13">
      <c r="A4078" s="54" t="str">
        <f>D4078&amp;E4078&amp;F4078</f>
        <v>SERVICIOSADQ DE EQ TECNOLOGICOADQ DE EQ TECNOLOGICO</v>
      </c>
      <c r="B4078" t="s">
        <v>2281</v>
      </c>
      <c r="C4078" s="1">
        <f t="shared" si="119"/>
        <v>45947</v>
      </c>
      <c r="D4078" s="71" t="s">
        <v>21</v>
      </c>
      <c r="E4078" s="71" t="s">
        <v>22</v>
      </c>
      <c r="F4078" s="70" t="s">
        <v>22</v>
      </c>
      <c r="J4078" s="71" t="s">
        <v>2410</v>
      </c>
      <c r="L4078" s="433">
        <v>4181.0600000000004</v>
      </c>
      <c r="M4078" s="136">
        <f t="shared" si="118"/>
        <v>3443.3397033335341</v>
      </c>
    </row>
    <row r="4079" spans="1:13">
      <c r="A4079" s="54" t="str">
        <f>D4079&amp;E4079&amp;F4079</f>
        <v>SERVICIOSMTTO DE EDIFICIOMANTENIMIENTO</v>
      </c>
      <c r="B4079" t="s">
        <v>2281</v>
      </c>
      <c r="C4079" s="1">
        <f t="shared" si="119"/>
        <v>45947</v>
      </c>
      <c r="D4079" s="71" t="s">
        <v>21</v>
      </c>
      <c r="E4079" s="71" t="s">
        <v>142</v>
      </c>
      <c r="F4079" s="70" t="s">
        <v>35</v>
      </c>
      <c r="G4079" s="71" t="s">
        <v>258</v>
      </c>
      <c r="J4079" s="71" t="s">
        <v>2411</v>
      </c>
      <c r="L4079" s="433">
        <v>4273.1499999999996</v>
      </c>
      <c r="M4079" s="136">
        <f t="shared" si="118"/>
        <v>-829.81029666646555</v>
      </c>
    </row>
    <row r="4080" spans="1:13">
      <c r="A4080" s="54" t="str">
        <f>D4080&amp;E4080&amp;F4080</f>
        <v>SERVICIOSMTTO DE EDIFICIOMANTENIMIENTO</v>
      </c>
      <c r="B4080" t="s">
        <v>2281</v>
      </c>
      <c r="C4080" s="1">
        <f t="shared" si="119"/>
        <v>45947</v>
      </c>
      <c r="D4080" s="71" t="s">
        <v>21</v>
      </c>
      <c r="E4080" s="71" t="s">
        <v>142</v>
      </c>
      <c r="F4080" s="70" t="s">
        <v>35</v>
      </c>
      <c r="G4080" s="71" t="s">
        <v>258</v>
      </c>
      <c r="J4080" s="71" t="s">
        <v>2412</v>
      </c>
      <c r="L4080" s="433">
        <v>12764.01</v>
      </c>
      <c r="M4080" s="136">
        <f t="shared" si="118"/>
        <v>-13593.820296666465</v>
      </c>
    </row>
    <row r="4081" spans="1:14">
      <c r="A4081" s="54" t="str">
        <f>D4081&amp;E4081&amp;F4081</f>
        <v>ELIVIATICOSL1</v>
      </c>
      <c r="B4081" t="s">
        <v>2281</v>
      </c>
      <c r="C4081" s="1">
        <f t="shared" si="119"/>
        <v>45947</v>
      </c>
      <c r="D4081" t="s">
        <v>130</v>
      </c>
      <c r="E4081" t="s">
        <v>191</v>
      </c>
      <c r="F4081" t="s">
        <v>136</v>
      </c>
      <c r="J4081" s="71" t="s">
        <v>690</v>
      </c>
      <c r="L4081" s="433">
        <v>1000</v>
      </c>
      <c r="M4081" s="136">
        <f t="shared" si="118"/>
        <v>-14593.820296666465</v>
      </c>
    </row>
    <row r="4082" spans="1:14">
      <c r="A4082" s="54" t="str">
        <f t="shared" si="120"/>
        <v/>
      </c>
      <c r="B4082" t="s">
        <v>2281</v>
      </c>
      <c r="C4082" s="1">
        <f t="shared" si="119"/>
        <v>45947</v>
      </c>
      <c r="D4082" s="71"/>
      <c r="F4082" s="70"/>
      <c r="J4082" s="71" t="s">
        <v>2413</v>
      </c>
      <c r="L4082" s="433">
        <v>26305</v>
      </c>
      <c r="M4082" s="136">
        <f t="shared" si="118"/>
        <v>-40898.820296666468</v>
      </c>
    </row>
    <row r="4083" spans="1:14">
      <c r="A4083" s="54" t="str">
        <f>D4083&amp;E4083&amp;F4083</f>
        <v>CAPINSUMOSCAPRICHOS</v>
      </c>
      <c r="B4083" t="s">
        <v>2281</v>
      </c>
      <c r="C4083" s="1">
        <f>C4081</f>
        <v>45947</v>
      </c>
      <c r="D4083" s="71" t="s">
        <v>31</v>
      </c>
      <c r="E4083" s="71" t="s">
        <v>133</v>
      </c>
      <c r="F4083" s="70" t="s">
        <v>33</v>
      </c>
      <c r="J4083" s="76" t="s">
        <v>2414</v>
      </c>
      <c r="L4083" s="434">
        <v>110</v>
      </c>
      <c r="M4083" s="136">
        <f t="shared" ref="M4083:M4084" si="121">M4082+K4083-L4083</f>
        <v>-41008.820296666468</v>
      </c>
    </row>
    <row r="4084" spans="1:14">
      <c r="A4084" s="54" t="str">
        <f>D4084&amp;E4084&amp;F4084</f>
        <v>HRUBERHR</v>
      </c>
      <c r="B4084" t="s">
        <v>2281</v>
      </c>
      <c r="C4084" s="1">
        <f t="shared" si="119"/>
        <v>45947</v>
      </c>
      <c r="D4084" s="71" t="s">
        <v>29</v>
      </c>
      <c r="E4084" s="71" t="s">
        <v>189</v>
      </c>
      <c r="F4084" s="70" t="s">
        <v>29</v>
      </c>
      <c r="J4084" s="76" t="s">
        <v>2415</v>
      </c>
      <c r="L4084" s="522">
        <v>300</v>
      </c>
      <c r="M4084" s="136">
        <f t="shared" si="121"/>
        <v>-41308.820296666468</v>
      </c>
    </row>
    <row r="4085" spans="1:14">
      <c r="A4085" s="54" t="str">
        <f>D4085&amp;E4085&amp;F4085</f>
        <v>SERVICIOSMTTO DE EDIFICIOMANTENIMIENTO</v>
      </c>
      <c r="B4085" t="s">
        <v>2281</v>
      </c>
      <c r="C4085" s="1">
        <f t="shared" si="119"/>
        <v>45947</v>
      </c>
      <c r="D4085" s="71" t="s">
        <v>21</v>
      </c>
      <c r="E4085" s="71" t="s">
        <v>142</v>
      </c>
      <c r="F4085" s="70" t="s">
        <v>35</v>
      </c>
      <c r="J4085" s="76" t="s">
        <v>2416</v>
      </c>
      <c r="L4085" s="434">
        <v>923</v>
      </c>
      <c r="M4085" s="136">
        <f t="shared" ref="M4085:M4103" si="122">M4084+K4085-L4085</f>
        <v>-42231.820296666468</v>
      </c>
    </row>
    <row r="4086" spans="1:14">
      <c r="A4086" s="54" t="str">
        <f>D4086&amp;E4086&amp;F4086</f>
        <v>HRNOMINA SUCURSALA12</v>
      </c>
      <c r="B4086" t="s">
        <v>2281</v>
      </c>
      <c r="C4086" s="1">
        <f t="shared" si="119"/>
        <v>45947</v>
      </c>
      <c r="D4086" s="71" t="s">
        <v>29</v>
      </c>
      <c r="E4086" s="71" t="s">
        <v>154</v>
      </c>
      <c r="F4086" s="70" t="s">
        <v>98</v>
      </c>
      <c r="J4086" s="76" t="s">
        <v>2417</v>
      </c>
      <c r="L4086" s="434">
        <v>900</v>
      </c>
      <c r="M4086" s="136">
        <f t="shared" si="122"/>
        <v>-43131.820296666468</v>
      </c>
    </row>
    <row r="4087" spans="1:14">
      <c r="A4087" s="54" t="str">
        <f>D4087&amp;E4087&amp;F4087</f>
        <v>HRUBERHR</v>
      </c>
      <c r="B4087" t="s">
        <v>2281</v>
      </c>
      <c r="C4087" s="1">
        <f t="shared" si="119"/>
        <v>45947</v>
      </c>
      <c r="D4087" s="71" t="s">
        <v>29</v>
      </c>
      <c r="E4087" s="71" t="s">
        <v>189</v>
      </c>
      <c r="F4087" s="70" t="s">
        <v>29</v>
      </c>
      <c r="J4087" s="76" t="s">
        <v>2418</v>
      </c>
      <c r="L4087" s="522">
        <v>100</v>
      </c>
      <c r="M4087" s="136">
        <f t="shared" si="122"/>
        <v>-43231.820296666468</v>
      </c>
    </row>
    <row r="4088" spans="1:14">
      <c r="A4088" s="54" t="str">
        <f>D4088&amp;E4088&amp;F4088</f>
        <v>HRUBERHR</v>
      </c>
      <c r="B4088" t="s">
        <v>2281</v>
      </c>
      <c r="C4088" s="1">
        <f t="shared" si="119"/>
        <v>45947</v>
      </c>
      <c r="D4088" s="71" t="s">
        <v>29</v>
      </c>
      <c r="E4088" s="71" t="s">
        <v>189</v>
      </c>
      <c r="F4088" s="70" t="s">
        <v>29</v>
      </c>
      <c r="J4088" s="76" t="s">
        <v>2419</v>
      </c>
      <c r="L4088" s="522">
        <v>600</v>
      </c>
      <c r="M4088" s="136">
        <f t="shared" si="122"/>
        <v>-43831.820296666468</v>
      </c>
    </row>
    <row r="4089" spans="1:14">
      <c r="A4089" s="54" t="str">
        <f>D4089&amp;E4089&amp;F4089</f>
        <v>CAPUBERCAP</v>
      </c>
      <c r="B4089" t="s">
        <v>2281</v>
      </c>
      <c r="C4089" s="1">
        <f t="shared" si="119"/>
        <v>45947</v>
      </c>
      <c r="D4089" s="71" t="s">
        <v>31</v>
      </c>
      <c r="E4089" s="71" t="s">
        <v>189</v>
      </c>
      <c r="F4089" s="70" t="s">
        <v>31</v>
      </c>
      <c r="J4089" s="76" t="s">
        <v>2262</v>
      </c>
      <c r="L4089" s="522">
        <v>375</v>
      </c>
      <c r="M4089" s="136">
        <f t="shared" si="122"/>
        <v>-44206.820296666468</v>
      </c>
    </row>
    <row r="4090" spans="1:14">
      <c r="A4090" s="54" t="str">
        <f>D4090&amp;E4090&amp;F4090</f>
        <v>CAPUBERCAP</v>
      </c>
      <c r="B4090" t="s">
        <v>2281</v>
      </c>
      <c r="C4090" s="1">
        <f t="shared" si="119"/>
        <v>45947</v>
      </c>
      <c r="D4090" s="71" t="s">
        <v>31</v>
      </c>
      <c r="E4090" s="71" t="s">
        <v>189</v>
      </c>
      <c r="F4090" s="70" t="s">
        <v>31</v>
      </c>
      <c r="J4090" s="76" t="s">
        <v>2278</v>
      </c>
      <c r="L4090" s="522">
        <v>80</v>
      </c>
      <c r="M4090" s="136">
        <f t="shared" si="122"/>
        <v>-44286.820296666468</v>
      </c>
    </row>
    <row r="4091" spans="1:14">
      <c r="A4091" s="54" t="str">
        <f>D4091&amp;E4091&amp;F4091</f>
        <v>CAPINSUMOSCAPRICHOS</v>
      </c>
      <c r="B4091" t="s">
        <v>2281</v>
      </c>
      <c r="C4091" s="1">
        <f t="shared" si="119"/>
        <v>45947</v>
      </c>
      <c r="D4091" s="71" t="s">
        <v>31</v>
      </c>
      <c r="E4091" s="71" t="s">
        <v>133</v>
      </c>
      <c r="F4091" s="70" t="s">
        <v>33</v>
      </c>
      <c r="J4091" s="76" t="s">
        <v>2301</v>
      </c>
      <c r="L4091" s="434">
        <v>80</v>
      </c>
      <c r="M4091" s="136">
        <f t="shared" si="122"/>
        <v>-44366.820296666468</v>
      </c>
    </row>
    <row r="4092" spans="1:14">
      <c r="A4092" s="54" t="str">
        <f t="shared" si="120"/>
        <v/>
      </c>
      <c r="B4092" t="s">
        <v>2281</v>
      </c>
      <c r="C4092" s="1">
        <v>45950</v>
      </c>
      <c r="D4092" s="71"/>
      <c r="F4092" s="70"/>
      <c r="J4092" s="71" t="s">
        <v>2045</v>
      </c>
      <c r="K4092" s="325">
        <v>1046261.97</v>
      </c>
      <c r="L4092" s="432"/>
      <c r="M4092" s="136">
        <f t="shared" si="122"/>
        <v>1001895.1497033335</v>
      </c>
    </row>
    <row r="4093" spans="1:14" s="229" customFormat="1">
      <c r="A4093" s="54" t="str">
        <f>D4093&amp;E4093&amp;F4093</f>
        <v>FINANZASCOMISIONES BANCARIASTPV</v>
      </c>
      <c r="B4093" s="229" t="s">
        <v>2281</v>
      </c>
      <c r="C4093" s="244">
        <f t="shared" si="119"/>
        <v>45950</v>
      </c>
      <c r="D4093" s="242" t="s">
        <v>23</v>
      </c>
      <c r="E4093" s="242" t="s">
        <v>48</v>
      </c>
      <c r="F4093" s="77" t="s">
        <v>50</v>
      </c>
      <c r="G4093" s="242"/>
      <c r="H4093" s="423"/>
      <c r="I4093" s="423"/>
      <c r="J4093" s="242" t="s">
        <v>217</v>
      </c>
      <c r="K4093" s="332"/>
      <c r="L4093" s="433">
        <f>847.97+584.23+4561.07+4671.02+1002.46+284+20.88</f>
        <v>11971.63</v>
      </c>
      <c r="M4093" s="163">
        <f t="shared" si="122"/>
        <v>989923.5197033335</v>
      </c>
      <c r="N4093" s="242"/>
    </row>
    <row r="4094" spans="1:14">
      <c r="A4094" s="54" t="str">
        <f t="shared" si="120"/>
        <v/>
      </c>
      <c r="B4094" t="s">
        <v>2281</v>
      </c>
      <c r="C4094" s="1">
        <f t="shared" si="119"/>
        <v>45950</v>
      </c>
      <c r="D4094" s="71"/>
      <c r="F4094" s="70"/>
      <c r="J4094" s="205" t="s">
        <v>1562</v>
      </c>
      <c r="K4094" s="205"/>
      <c r="L4094" s="206">
        <v>150000</v>
      </c>
      <c r="M4094" s="136">
        <f t="shared" si="122"/>
        <v>839923.5197033335</v>
      </c>
    </row>
    <row r="4095" spans="1:14">
      <c r="A4095" s="54" t="str">
        <f t="shared" si="120"/>
        <v/>
      </c>
      <c r="B4095" t="s">
        <v>2281</v>
      </c>
      <c r="C4095" s="1">
        <f t="shared" si="119"/>
        <v>45950</v>
      </c>
      <c r="D4095" s="71"/>
      <c r="F4095" s="70"/>
      <c r="J4095" s="205" t="s">
        <v>2348</v>
      </c>
      <c r="K4095" s="205"/>
      <c r="L4095" s="206">
        <v>550000</v>
      </c>
      <c r="M4095" s="136">
        <f t="shared" si="122"/>
        <v>289923.5197033335</v>
      </c>
    </row>
    <row r="4096" spans="1:14">
      <c r="A4096" s="54" t="str">
        <f t="shared" si="120"/>
        <v/>
      </c>
      <c r="B4096" t="s">
        <v>2281</v>
      </c>
      <c r="C4096" s="1">
        <f t="shared" si="119"/>
        <v>45950</v>
      </c>
      <c r="D4096" s="71"/>
      <c r="F4096" s="70"/>
      <c r="J4096" s="71" t="s">
        <v>2420</v>
      </c>
      <c r="L4096" s="433">
        <v>250000</v>
      </c>
      <c r="M4096" s="136">
        <f t="shared" si="122"/>
        <v>39923.519703333499</v>
      </c>
    </row>
    <row r="4097" spans="1:13">
      <c r="A4097" s="54" t="str">
        <f>D4097&amp;E4097&amp;F4097</f>
        <v>SGECUOTAS Y SUSCRIPCIONESFROGMI</v>
      </c>
      <c r="B4097" t="s">
        <v>2281</v>
      </c>
      <c r="C4097" s="1">
        <f t="shared" si="119"/>
        <v>45950</v>
      </c>
      <c r="D4097" s="71" t="s">
        <v>39</v>
      </c>
      <c r="E4097" s="71" t="s">
        <v>51</v>
      </c>
      <c r="F4097" s="70" t="s">
        <v>57</v>
      </c>
      <c r="J4097" s="71" t="s">
        <v>2421</v>
      </c>
      <c r="L4097" s="433">
        <v>34266.71</v>
      </c>
      <c r="M4097" s="136">
        <f t="shared" si="122"/>
        <v>5656.8097033334998</v>
      </c>
    </row>
    <row r="4098" spans="1:13">
      <c r="A4098" s="54" t="str">
        <f>D4098&amp;E4098&amp;F4098</f>
        <v>HRENERGIA ELECTRICAA22</v>
      </c>
      <c r="B4098" t="s">
        <v>2281</v>
      </c>
      <c r="C4098" s="1">
        <f t="shared" si="119"/>
        <v>45950</v>
      </c>
      <c r="D4098" s="71" t="s">
        <v>29</v>
      </c>
      <c r="E4098" s="71" t="s">
        <v>87</v>
      </c>
      <c r="F4098" s="375" t="s">
        <v>104</v>
      </c>
      <c r="J4098" s="76" t="s">
        <v>2422</v>
      </c>
      <c r="L4098" s="433">
        <v>7225</v>
      </c>
      <c r="M4098" s="136">
        <f t="shared" si="122"/>
        <v>-1568.1902966665002</v>
      </c>
    </row>
    <row r="4099" spans="1:13">
      <c r="A4099" s="54" t="str">
        <f>D4099&amp;E4099&amp;F4099</f>
        <v>HRENERGIA ELECTRICAA8</v>
      </c>
      <c r="B4099" t="s">
        <v>2281</v>
      </c>
      <c r="C4099" s="1">
        <f t="shared" si="119"/>
        <v>45950</v>
      </c>
      <c r="D4099" s="71" t="s">
        <v>29</v>
      </c>
      <c r="E4099" s="71" t="s">
        <v>87</v>
      </c>
      <c r="F4099" s="375" t="s">
        <v>94</v>
      </c>
      <c r="J4099" s="76" t="s">
        <v>2423</v>
      </c>
      <c r="L4099" s="433">
        <v>9767</v>
      </c>
      <c r="M4099" s="136">
        <f t="shared" si="122"/>
        <v>-11335.1902966665</v>
      </c>
    </row>
    <row r="4100" spans="1:13">
      <c r="A4100" s="54" t="str">
        <f>D4100&amp;E4100&amp;F4100</f>
        <v>CAPENERGIA ELECTRICAE7</v>
      </c>
      <c r="B4100" t="s">
        <v>2281</v>
      </c>
      <c r="C4100" s="1">
        <f t="shared" si="119"/>
        <v>45950</v>
      </c>
      <c r="D4100" s="71" t="s">
        <v>31</v>
      </c>
      <c r="E4100" s="71" t="s">
        <v>87</v>
      </c>
      <c r="F4100" s="70" t="s">
        <v>113</v>
      </c>
      <c r="J4100" s="76" t="s">
        <v>2424</v>
      </c>
      <c r="L4100" s="433">
        <v>12955</v>
      </c>
      <c r="M4100" s="136">
        <f t="shared" si="122"/>
        <v>-24290.1902966665</v>
      </c>
    </row>
    <row r="4101" spans="1:13">
      <c r="A4101" s="54" t="str">
        <f>D4101&amp;E4101&amp;F4101</f>
        <v>CAPENERGIA ELECTRICAE3</v>
      </c>
      <c r="B4101" t="s">
        <v>2281</v>
      </c>
      <c r="C4101" s="1">
        <f t="shared" si="119"/>
        <v>45950</v>
      </c>
      <c r="D4101" s="71" t="s">
        <v>31</v>
      </c>
      <c r="E4101" s="71" t="s">
        <v>87</v>
      </c>
      <c r="F4101" s="70" t="s">
        <v>109</v>
      </c>
      <c r="J4101" s="76" t="s">
        <v>2425</v>
      </c>
      <c r="L4101" s="433">
        <v>7131</v>
      </c>
      <c r="M4101" s="136">
        <f t="shared" si="122"/>
        <v>-31421.1902966665</v>
      </c>
    </row>
    <row r="4102" spans="1:13">
      <c r="A4102" s="54" t="str">
        <f>D4102&amp;E4102&amp;F4102</f>
        <v>CAPENERGIA ELECTRICAE4</v>
      </c>
      <c r="B4102" t="s">
        <v>2281</v>
      </c>
      <c r="C4102" s="1">
        <f t="shared" ref="C4102:C4164" si="123">C4101</f>
        <v>45950</v>
      </c>
      <c r="D4102" s="71" t="s">
        <v>31</v>
      </c>
      <c r="E4102" s="71" t="s">
        <v>87</v>
      </c>
      <c r="F4102" s="70" t="s">
        <v>110</v>
      </c>
      <c r="J4102" s="76" t="s">
        <v>2426</v>
      </c>
      <c r="L4102" s="433">
        <v>8811</v>
      </c>
      <c r="M4102" s="136">
        <f t="shared" si="122"/>
        <v>-40232.1902966665</v>
      </c>
    </row>
    <row r="4103" spans="1:13">
      <c r="A4103" s="54" t="str">
        <f>D4103&amp;E4103&amp;F4103</f>
        <v>HRENERGIA ELECTRICAA5</v>
      </c>
      <c r="B4103" t="s">
        <v>2281</v>
      </c>
      <c r="C4103" s="1">
        <f t="shared" si="123"/>
        <v>45950</v>
      </c>
      <c r="D4103" s="71" t="s">
        <v>29</v>
      </c>
      <c r="E4103" s="71" t="s">
        <v>87</v>
      </c>
      <c r="F4103" s="375" t="s">
        <v>92</v>
      </c>
      <c r="J4103" s="71" t="s">
        <v>2427</v>
      </c>
      <c r="L4103" s="433">
        <v>2231</v>
      </c>
      <c r="M4103" s="136">
        <f t="shared" si="122"/>
        <v>-42463.1902966665</v>
      </c>
    </row>
    <row r="4104" spans="1:13">
      <c r="A4104" s="54" t="str">
        <f>D4104&amp;E4104&amp;F4104</f>
        <v>HRENERGIA ELECTRICAA5</v>
      </c>
      <c r="B4104" t="s">
        <v>2281</v>
      </c>
      <c r="C4104" s="1">
        <f t="shared" si="123"/>
        <v>45950</v>
      </c>
      <c r="D4104" s="71" t="s">
        <v>29</v>
      </c>
      <c r="E4104" s="71" t="s">
        <v>87</v>
      </c>
      <c r="F4104" s="375" t="s">
        <v>92</v>
      </c>
      <c r="J4104" s="71" t="s">
        <v>2427</v>
      </c>
      <c r="L4104" s="433">
        <v>5729</v>
      </c>
      <c r="M4104" s="136">
        <f>M4103+K4104-L4104</f>
        <v>-48192.1902966665</v>
      </c>
    </row>
    <row r="4105" spans="1:13">
      <c r="A4105" s="54" t="str">
        <f>D4105&amp;E4105&amp;F4105</f>
        <v>HRENERGIA ELECTRICAA5</v>
      </c>
      <c r="B4105" t="s">
        <v>2281</v>
      </c>
      <c r="C4105" s="1">
        <f t="shared" si="123"/>
        <v>45950</v>
      </c>
      <c r="D4105" s="71" t="s">
        <v>29</v>
      </c>
      <c r="E4105" s="71" t="s">
        <v>87</v>
      </c>
      <c r="F4105" s="375" t="s">
        <v>92</v>
      </c>
      <c r="J4105" s="71" t="s">
        <v>2427</v>
      </c>
      <c r="L4105" s="433">
        <v>9969</v>
      </c>
      <c r="M4105" s="136">
        <f t="shared" ref="M4105:M4115" si="124">M4104+K4105-L4105</f>
        <v>-58161.1902966665</v>
      </c>
    </row>
    <row r="4106" spans="1:13">
      <c r="A4106" s="54" t="str">
        <f>D4106&amp;E4106&amp;F4106</f>
        <v>HRENERGIA ELECTRICAA4</v>
      </c>
      <c r="B4106" t="s">
        <v>2281</v>
      </c>
      <c r="C4106" s="1">
        <f t="shared" si="123"/>
        <v>45950</v>
      </c>
      <c r="D4106" s="71" t="s">
        <v>29</v>
      </c>
      <c r="E4106" s="71" t="s">
        <v>87</v>
      </c>
      <c r="F4106" s="375" t="s">
        <v>91</v>
      </c>
      <c r="J4106" s="71" t="s">
        <v>376</v>
      </c>
      <c r="L4106" s="433">
        <v>12013</v>
      </c>
      <c r="M4106" s="136">
        <f t="shared" si="124"/>
        <v>-70174.190296666493</v>
      </c>
    </row>
    <row r="4107" spans="1:13">
      <c r="A4107" s="54" t="str">
        <f>D4107&amp;E4107&amp;F4107</f>
        <v>FINANZASVIATICOSFINANZAS</v>
      </c>
      <c r="B4107" t="s">
        <v>2281</v>
      </c>
      <c r="C4107" s="1">
        <f t="shared" si="123"/>
        <v>45950</v>
      </c>
      <c r="D4107" s="71" t="s">
        <v>23</v>
      </c>
      <c r="E4107" s="71" t="s">
        <v>191</v>
      </c>
      <c r="F4107" s="70" t="s">
        <v>23</v>
      </c>
      <c r="G4107" s="71" t="s">
        <v>258</v>
      </c>
      <c r="J4107" s="71" t="s">
        <v>2428</v>
      </c>
      <c r="K4107" s="354"/>
      <c r="L4107" s="433">
        <v>250</v>
      </c>
      <c r="M4107" s="136">
        <f t="shared" si="124"/>
        <v>-70424.190296666493</v>
      </c>
    </row>
    <row r="4108" spans="1:13">
      <c r="A4108" s="54" t="str">
        <f>D4108&amp;E4108&amp;F4108</f>
        <v>SERVICIOSPAQUETERIACT INTERNACIONAL</v>
      </c>
      <c r="B4108" t="s">
        <v>2281</v>
      </c>
      <c r="C4108" s="1">
        <f t="shared" si="123"/>
        <v>45950</v>
      </c>
      <c r="D4108" s="71" t="s">
        <v>21</v>
      </c>
      <c r="E4108" s="71" t="s">
        <v>160</v>
      </c>
      <c r="F4108" s="70" t="s">
        <v>162</v>
      </c>
      <c r="G4108" s="71" t="s">
        <v>258</v>
      </c>
      <c r="J4108" s="71" t="s">
        <v>2429</v>
      </c>
      <c r="K4108" s="354"/>
      <c r="L4108" s="433">
        <v>140</v>
      </c>
      <c r="M4108" s="136">
        <f t="shared" si="124"/>
        <v>-70564.190296666493</v>
      </c>
    </row>
    <row r="4109" spans="1:13">
      <c r="A4109" s="54" t="str">
        <f>D4109&amp;E4109&amp;F4109</f>
        <v>FINANZASFONDO Y REPOSICIONFINANZAS</v>
      </c>
      <c r="B4109" t="s">
        <v>2281</v>
      </c>
      <c r="C4109" s="1">
        <f t="shared" si="123"/>
        <v>45950</v>
      </c>
      <c r="D4109" s="71" t="s">
        <v>23</v>
      </c>
      <c r="E4109" s="71" t="s">
        <v>120</v>
      </c>
      <c r="F4109" s="70" t="s">
        <v>23</v>
      </c>
      <c r="J4109" s="71" t="s">
        <v>1661</v>
      </c>
      <c r="K4109" s="354"/>
      <c r="L4109" s="433">
        <v>300</v>
      </c>
      <c r="M4109" s="136">
        <f t="shared" si="124"/>
        <v>-70864.190296666493</v>
      </c>
    </row>
    <row r="4110" spans="1:13">
      <c r="A4110" s="54" t="str">
        <f>D4110&amp;E4110&amp;F4110</f>
        <v>SERVICIOSVIATICOSCEDIS</v>
      </c>
      <c r="B4110" t="s">
        <v>2281</v>
      </c>
      <c r="C4110" s="1">
        <f t="shared" si="123"/>
        <v>45950</v>
      </c>
      <c r="D4110" s="71" t="s">
        <v>21</v>
      </c>
      <c r="E4110" s="71" t="s">
        <v>191</v>
      </c>
      <c r="F4110" s="70" t="s">
        <v>28</v>
      </c>
      <c r="J4110" s="71" t="s">
        <v>2154</v>
      </c>
      <c r="K4110" s="354"/>
      <c r="L4110" s="433">
        <v>2050</v>
      </c>
      <c r="M4110" s="136">
        <f t="shared" si="124"/>
        <v>-72914.190296666493</v>
      </c>
    </row>
    <row r="4111" spans="1:13">
      <c r="A4111" s="54" t="str">
        <f>D4111&amp;E4111&amp;F4111</f>
        <v>HRVIATICOSHR</v>
      </c>
      <c r="B4111" t="s">
        <v>2281</v>
      </c>
      <c r="C4111" s="1">
        <f t="shared" si="123"/>
        <v>45950</v>
      </c>
      <c r="D4111" s="71" t="s">
        <v>29</v>
      </c>
      <c r="E4111" s="71" t="s">
        <v>191</v>
      </c>
      <c r="F4111" s="70" t="s">
        <v>29</v>
      </c>
      <c r="J4111" s="71" t="s">
        <v>1082</v>
      </c>
      <c r="K4111" s="354"/>
      <c r="L4111" s="433">
        <v>7400</v>
      </c>
      <c r="M4111" s="136">
        <f t="shared" si="124"/>
        <v>-80314.190296666493</v>
      </c>
    </row>
    <row r="4112" spans="1:13">
      <c r="A4112" s="54" t="str">
        <f>D4112&amp;E4112&amp;F4112</f>
        <v>SERVICIOSCOMBUSTIBLESERVICIOS</v>
      </c>
      <c r="B4112" t="s">
        <v>2281</v>
      </c>
      <c r="C4112" s="1">
        <f t="shared" si="123"/>
        <v>45950</v>
      </c>
      <c r="D4112" s="71" t="s">
        <v>21</v>
      </c>
      <c r="E4112" s="71" t="s">
        <v>32</v>
      </c>
      <c r="F4112" s="70" t="s">
        <v>21</v>
      </c>
      <c r="J4112" s="71" t="s">
        <v>2430</v>
      </c>
      <c r="K4112" s="354"/>
      <c r="L4112" s="433">
        <v>500</v>
      </c>
      <c r="M4112" s="136">
        <f t="shared" si="124"/>
        <v>-80814.190296666493</v>
      </c>
    </row>
    <row r="4113" spans="1:13">
      <c r="A4113" s="54" t="str">
        <f>D4113&amp;E4113&amp;F4113</f>
        <v>SERVICIOSINSUMOSCOFFE</v>
      </c>
      <c r="B4113" t="s">
        <v>2281</v>
      </c>
      <c r="C4113" s="1">
        <f t="shared" si="123"/>
        <v>45950</v>
      </c>
      <c r="D4113" s="71" t="s">
        <v>21</v>
      </c>
      <c r="E4113" s="71" t="s">
        <v>133</v>
      </c>
      <c r="F4113" s="70" t="s">
        <v>135</v>
      </c>
      <c r="J4113" s="71" t="s">
        <v>2431</v>
      </c>
      <c r="K4113" s="354"/>
      <c r="L4113" s="433">
        <v>2500</v>
      </c>
      <c r="M4113" s="136">
        <f t="shared" si="124"/>
        <v>-83314.190296666493</v>
      </c>
    </row>
    <row r="4114" spans="1:13">
      <c r="A4114" s="54" t="str">
        <f>D4114&amp;E4114&amp;F4114</f>
        <v>SERVICIOSCOMBUSTIBLECEDIS</v>
      </c>
      <c r="B4114" t="s">
        <v>2281</v>
      </c>
      <c r="C4114" s="1">
        <f t="shared" si="123"/>
        <v>45950</v>
      </c>
      <c r="D4114" s="71" t="s">
        <v>21</v>
      </c>
      <c r="E4114" s="71" t="s">
        <v>32</v>
      </c>
      <c r="F4114" s="70" t="s">
        <v>28</v>
      </c>
      <c r="J4114" s="71" t="s">
        <v>2432</v>
      </c>
      <c r="K4114" s="354"/>
      <c r="L4114" s="433">
        <v>6000</v>
      </c>
      <c r="M4114" s="136">
        <f t="shared" si="124"/>
        <v>-89314.190296666493</v>
      </c>
    </row>
    <row r="4115" spans="1:13">
      <c r="A4115" s="54" t="str">
        <f>D4115&amp;E4115&amp;F4115</f>
        <v>FINANZASCUOTAS Y SUSCRIPCIONESCONTPAQ</v>
      </c>
      <c r="B4115" t="s">
        <v>2281</v>
      </c>
      <c r="C4115" s="1">
        <f t="shared" si="123"/>
        <v>45950</v>
      </c>
      <c r="D4115" s="71" t="s">
        <v>23</v>
      </c>
      <c r="E4115" s="71" t="s">
        <v>51</v>
      </c>
      <c r="F4115" s="70" t="s">
        <v>73</v>
      </c>
      <c r="G4115" s="71" t="s">
        <v>258</v>
      </c>
      <c r="J4115" s="71" t="s">
        <v>2433</v>
      </c>
      <c r="K4115" s="354"/>
      <c r="L4115" s="433">
        <v>6380</v>
      </c>
      <c r="M4115" s="136">
        <f>M4114+K4115-L4115</f>
        <v>-95694.190296666493</v>
      </c>
    </row>
    <row r="4116" spans="1:13">
      <c r="A4116" s="54" t="str">
        <f>D4116&amp;E4116&amp;F4116</f>
        <v>HRNOMINA SUCURSALA24</v>
      </c>
      <c r="B4116" t="s">
        <v>2281</v>
      </c>
      <c r="C4116" s="1">
        <f t="shared" si="123"/>
        <v>45950</v>
      </c>
      <c r="D4116" s="71" t="s">
        <v>29</v>
      </c>
      <c r="E4116" s="71" t="s">
        <v>154</v>
      </c>
      <c r="F4116" s="70" t="s">
        <v>106</v>
      </c>
      <c r="J4116" s="71" t="s">
        <v>2434</v>
      </c>
      <c r="K4116" s="354"/>
      <c r="L4116" s="433">
        <v>945</v>
      </c>
      <c r="M4116" s="136">
        <f>M4115+K4116-L4116</f>
        <v>-96639.190296666493</v>
      </c>
    </row>
    <row r="4117" spans="1:13">
      <c r="A4117" s="54" t="str">
        <f>D4117&amp;E4117&amp;F4117</f>
        <v>HRUBERHR</v>
      </c>
      <c r="B4117" t="s">
        <v>2281</v>
      </c>
      <c r="C4117" s="1">
        <f t="shared" si="123"/>
        <v>45950</v>
      </c>
      <c r="D4117" s="71" t="s">
        <v>29</v>
      </c>
      <c r="E4117" s="71" t="s">
        <v>189</v>
      </c>
      <c r="F4117" s="70" t="s">
        <v>29</v>
      </c>
      <c r="J4117" s="71" t="s">
        <v>2435</v>
      </c>
      <c r="K4117" s="354"/>
      <c r="L4117" s="523">
        <v>240</v>
      </c>
      <c r="M4117" s="136">
        <f>M4116+K4117-L4117</f>
        <v>-96879.190296666493</v>
      </c>
    </row>
    <row r="4118" spans="1:13">
      <c r="A4118" s="54" t="str">
        <f>D4118&amp;E4118&amp;F4118</f>
        <v>HRUBERHR</v>
      </c>
      <c r="B4118" t="s">
        <v>2281</v>
      </c>
      <c r="C4118" s="1">
        <f t="shared" si="123"/>
        <v>45950</v>
      </c>
      <c r="D4118" s="71" t="s">
        <v>29</v>
      </c>
      <c r="E4118" s="71" t="s">
        <v>189</v>
      </c>
      <c r="F4118" s="70" t="s">
        <v>29</v>
      </c>
      <c r="J4118" s="71" t="s">
        <v>2436</v>
      </c>
      <c r="K4118" s="354"/>
      <c r="L4118" s="523">
        <v>85</v>
      </c>
      <c r="M4118" s="136">
        <f>M4117+K4118-L4118</f>
        <v>-96964.190296666493</v>
      </c>
    </row>
    <row r="4119" spans="1:13">
      <c r="A4119" s="54" t="str">
        <f>D4119&amp;E4119&amp;F4119</f>
        <v>HRNOMINA SUCURSALA12</v>
      </c>
      <c r="B4119" t="s">
        <v>2281</v>
      </c>
      <c r="C4119" s="1">
        <f t="shared" si="123"/>
        <v>45950</v>
      </c>
      <c r="D4119" s="71" t="s">
        <v>29</v>
      </c>
      <c r="E4119" s="71" t="s">
        <v>154</v>
      </c>
      <c r="F4119" s="70" t="s">
        <v>98</v>
      </c>
      <c r="J4119" s="71" t="s">
        <v>2437</v>
      </c>
      <c r="K4119" s="354"/>
      <c r="L4119" s="433">
        <v>400</v>
      </c>
      <c r="M4119" s="136">
        <f>M4118+K4119-L4119</f>
        <v>-97364.190296666493</v>
      </c>
    </row>
    <row r="4120" spans="1:13">
      <c r="A4120" s="54" t="str">
        <f>D4120&amp;E4120&amp;F4120</f>
        <v>HRUBERHR</v>
      </c>
      <c r="B4120" t="s">
        <v>2281</v>
      </c>
      <c r="C4120" s="1">
        <f t="shared" si="123"/>
        <v>45950</v>
      </c>
      <c r="D4120" s="71" t="s">
        <v>29</v>
      </c>
      <c r="E4120" s="71" t="s">
        <v>189</v>
      </c>
      <c r="F4120" s="70" t="s">
        <v>29</v>
      </c>
      <c r="J4120" s="71" t="s">
        <v>2438</v>
      </c>
      <c r="K4120" s="354"/>
      <c r="L4120" s="523">
        <v>63</v>
      </c>
      <c r="M4120" s="136">
        <f>M4119+K4120-L4120</f>
        <v>-97427.190296666493</v>
      </c>
    </row>
    <row r="4121" spans="1:13">
      <c r="A4121" s="54" t="str">
        <f>D4121&amp;E4121&amp;F4121</f>
        <v>HRUBERHR</v>
      </c>
      <c r="B4121" t="s">
        <v>2281</v>
      </c>
      <c r="C4121" s="1">
        <f t="shared" si="123"/>
        <v>45950</v>
      </c>
      <c r="D4121" s="71" t="s">
        <v>29</v>
      </c>
      <c r="E4121" s="71" t="s">
        <v>189</v>
      </c>
      <c r="F4121" s="70" t="s">
        <v>29</v>
      </c>
      <c r="J4121" s="71" t="s">
        <v>2439</v>
      </c>
      <c r="K4121" s="354"/>
      <c r="L4121" s="523">
        <v>110</v>
      </c>
      <c r="M4121" s="136">
        <f>M4120+K4121-L4121</f>
        <v>-97537.190296666493</v>
      </c>
    </row>
    <row r="4122" spans="1:13">
      <c r="A4122" s="54" t="str">
        <f>D4122&amp;E4122&amp;F4122</f>
        <v>CAPUBERCAP</v>
      </c>
      <c r="B4122" t="s">
        <v>2281</v>
      </c>
      <c r="C4122" s="1">
        <f t="shared" si="123"/>
        <v>45950</v>
      </c>
      <c r="D4122" s="71" t="s">
        <v>31</v>
      </c>
      <c r="E4122" s="71" t="s">
        <v>189</v>
      </c>
      <c r="F4122" s="70" t="s">
        <v>31</v>
      </c>
      <c r="J4122" s="71" t="s">
        <v>2267</v>
      </c>
      <c r="L4122" s="523">
        <v>1108</v>
      </c>
      <c r="M4122" s="136">
        <f>M4121+K4122-L4122</f>
        <v>-98645.190296666493</v>
      </c>
    </row>
    <row r="4123" spans="1:13">
      <c r="A4123" s="54" t="str">
        <f>D4123&amp;E4123&amp;F4123</f>
        <v>CAPINSUMOSCAPRICHOS</v>
      </c>
      <c r="B4123" t="s">
        <v>2281</v>
      </c>
      <c r="C4123" s="1">
        <f t="shared" si="123"/>
        <v>45950</v>
      </c>
      <c r="D4123" s="71" t="s">
        <v>31</v>
      </c>
      <c r="E4123" s="71" t="s">
        <v>133</v>
      </c>
      <c r="F4123" s="70" t="s">
        <v>33</v>
      </c>
      <c r="J4123" s="71" t="s">
        <v>2440</v>
      </c>
      <c r="L4123" s="433">
        <v>60</v>
      </c>
      <c r="M4123" s="136">
        <f>M4122+K4123-L4123</f>
        <v>-98705.190296666493</v>
      </c>
    </row>
    <row r="4124" spans="1:13">
      <c r="A4124" s="54" t="str">
        <f>D4124&amp;E4124&amp;F4124</f>
        <v>CAPUBERCAP</v>
      </c>
      <c r="B4124" t="s">
        <v>2281</v>
      </c>
      <c r="C4124" s="1">
        <f t="shared" si="123"/>
        <v>45950</v>
      </c>
      <c r="D4124" s="71" t="s">
        <v>31</v>
      </c>
      <c r="E4124" s="71" t="s">
        <v>189</v>
      </c>
      <c r="F4124" s="70" t="s">
        <v>31</v>
      </c>
      <c r="J4124" s="71" t="s">
        <v>2441</v>
      </c>
      <c r="L4124" s="523">
        <v>347</v>
      </c>
      <c r="M4124" s="136">
        <f>M4123+K4124-L4124</f>
        <v>-99052.190296666493</v>
      </c>
    </row>
    <row r="4125" spans="1:13">
      <c r="A4125" s="54" t="str">
        <f>D4125&amp;E4125&amp;F4125</f>
        <v>ELIUBERL1</v>
      </c>
      <c r="B4125" t="s">
        <v>2281</v>
      </c>
      <c r="C4125" s="1">
        <f t="shared" si="123"/>
        <v>45950</v>
      </c>
      <c r="D4125" s="71" t="s">
        <v>130</v>
      </c>
      <c r="E4125" s="71" t="s">
        <v>189</v>
      </c>
      <c r="F4125" s="70" t="s">
        <v>136</v>
      </c>
      <c r="J4125" s="71" t="s">
        <v>2442</v>
      </c>
      <c r="L4125" s="523">
        <v>400</v>
      </c>
      <c r="M4125" s="136">
        <f>M4124+K4125-L4125</f>
        <v>-99452.190296666493</v>
      </c>
    </row>
    <row r="4126" spans="1:13">
      <c r="A4126" s="54" t="str">
        <f>D4126&amp;E4126&amp;F4126</f>
        <v>CAPJMASE6</v>
      </c>
      <c r="B4126" t="s">
        <v>2281</v>
      </c>
      <c r="C4126" s="1">
        <f t="shared" si="123"/>
        <v>45950</v>
      </c>
      <c r="D4126" s="71" t="s">
        <v>31</v>
      </c>
      <c r="E4126" s="71" t="s">
        <v>137</v>
      </c>
      <c r="F4126" s="70" t="s">
        <v>112</v>
      </c>
      <c r="J4126" s="71" t="s">
        <v>2443</v>
      </c>
      <c r="L4126" s="433">
        <v>257</v>
      </c>
      <c r="M4126" s="136">
        <f>M4125+K4126-L4126</f>
        <v>-99709.190296666493</v>
      </c>
    </row>
    <row r="4127" spans="1:13">
      <c r="A4127" s="54" t="str">
        <f>D4127&amp;E4127&amp;F4127</f>
        <v>CAPNOMINA SUCURSALE6</v>
      </c>
      <c r="B4127" t="s">
        <v>2281</v>
      </c>
      <c r="C4127" s="1">
        <f t="shared" si="123"/>
        <v>45950</v>
      </c>
      <c r="D4127" s="71" t="s">
        <v>31</v>
      </c>
      <c r="E4127" s="71" t="s">
        <v>154</v>
      </c>
      <c r="F4127" s="70" t="s">
        <v>112</v>
      </c>
      <c r="J4127" s="71" t="s">
        <v>2444</v>
      </c>
      <c r="L4127" s="433">
        <v>990</v>
      </c>
      <c r="M4127" s="136">
        <f>M4126+K4127-L4127</f>
        <v>-100699.19029666649</v>
      </c>
    </row>
    <row r="4128" spans="1:13">
      <c r="A4128" s="54" t="str">
        <f t="shared" ref="A4114:A4177" si="125">D4128&amp;E4128&amp;F4128</f>
        <v/>
      </c>
      <c r="B4128" t="s">
        <v>2281</v>
      </c>
      <c r="C4128" s="1">
        <v>45951</v>
      </c>
      <c r="D4128" s="71"/>
      <c r="F4128" s="70"/>
      <c r="J4128" s="71" t="s">
        <v>2045</v>
      </c>
      <c r="K4128" s="325">
        <v>208111.11</v>
      </c>
      <c r="L4128" s="432"/>
      <c r="M4128" s="136">
        <f>M4127+K4128-L4128</f>
        <v>107411.91970333349</v>
      </c>
    </row>
    <row r="4129" spans="1:13">
      <c r="A4129" s="54" t="str">
        <f>D4129&amp;E4129&amp;F4129</f>
        <v>FINANZASCOMISIONES BANCARIASTPV</v>
      </c>
      <c r="B4129" t="s">
        <v>2281</v>
      </c>
      <c r="C4129" s="1">
        <f t="shared" si="123"/>
        <v>45951</v>
      </c>
      <c r="D4129" s="71" t="s">
        <v>23</v>
      </c>
      <c r="E4129" s="71" t="s">
        <v>48</v>
      </c>
      <c r="F4129" s="70" t="s">
        <v>50</v>
      </c>
      <c r="J4129" s="242" t="s">
        <v>217</v>
      </c>
      <c r="L4129" s="433">
        <f>669.83+1129.18+134.16+808.97</f>
        <v>2742.1400000000003</v>
      </c>
      <c r="M4129" s="136">
        <f t="shared" ref="M4129:M4192" si="126">M4128+K4129-L4129</f>
        <v>104669.77970333349</v>
      </c>
    </row>
    <row r="4130" spans="1:13">
      <c r="A4130" s="54" t="str">
        <f t="shared" si="125"/>
        <v/>
      </c>
      <c r="B4130" t="s">
        <v>2281</v>
      </c>
      <c r="C4130" s="1">
        <f t="shared" si="123"/>
        <v>45951</v>
      </c>
      <c r="D4130" s="71"/>
      <c r="F4130" s="70"/>
      <c r="J4130" s="205" t="s">
        <v>1562</v>
      </c>
      <c r="K4130" s="205"/>
      <c r="L4130" s="206">
        <v>150000</v>
      </c>
      <c r="M4130" s="136">
        <f t="shared" si="126"/>
        <v>-45330.220296666506</v>
      </c>
    </row>
    <row r="4131" spans="1:13">
      <c r="A4131" s="54" t="str">
        <f t="shared" si="125"/>
        <v/>
      </c>
      <c r="B4131" t="s">
        <v>2281</v>
      </c>
      <c r="C4131" s="1">
        <f t="shared" si="123"/>
        <v>45951</v>
      </c>
      <c r="D4131" s="71"/>
      <c r="F4131" s="70"/>
      <c r="J4131" s="205" t="s">
        <v>2348</v>
      </c>
      <c r="K4131" s="205"/>
      <c r="L4131" s="206"/>
      <c r="M4131" s="136">
        <f t="shared" si="126"/>
        <v>-45330.220296666506</v>
      </c>
    </row>
    <row r="4132" spans="1:13">
      <c r="A4132" s="54" t="str">
        <f>D4132&amp;E4132&amp;F4132</f>
        <v>HRIMAGEN VISUALIMAGEN VISUAL HR</v>
      </c>
      <c r="B4132" t="s">
        <v>2281</v>
      </c>
      <c r="C4132" s="1">
        <f t="shared" si="123"/>
        <v>45951</v>
      </c>
      <c r="D4132" s="71" t="s">
        <v>29</v>
      </c>
      <c r="E4132" s="71" t="s">
        <v>127</v>
      </c>
      <c r="F4132" s="70" t="s">
        <v>128</v>
      </c>
      <c r="J4132" s="71" t="s">
        <v>2445</v>
      </c>
      <c r="L4132" s="433">
        <v>16999.8</v>
      </c>
      <c r="M4132" s="136">
        <f t="shared" si="126"/>
        <v>-62330.020296666509</v>
      </c>
    </row>
    <row r="4133" spans="1:13">
      <c r="A4133" s="54" t="str">
        <f>D4133&amp;E4133&amp;F4133</f>
        <v>SERVICIOSALARMACEDIS</v>
      </c>
      <c r="B4133" t="s">
        <v>2281</v>
      </c>
      <c r="C4133" s="1">
        <f t="shared" si="123"/>
        <v>45951</v>
      </c>
      <c r="D4133" s="71" t="s">
        <v>21</v>
      </c>
      <c r="E4133" s="71" t="s">
        <v>25</v>
      </c>
      <c r="F4133" s="70" t="s">
        <v>28</v>
      </c>
      <c r="J4133" s="71" t="s">
        <v>1219</v>
      </c>
      <c r="L4133" s="433">
        <f>560+553.97</f>
        <v>1113.97</v>
      </c>
      <c r="M4133" s="136">
        <f t="shared" si="126"/>
        <v>-63443.99029666651</v>
      </c>
    </row>
    <row r="4134" spans="1:13">
      <c r="A4134" s="54" t="str">
        <f>D4134&amp;E4134&amp;F4134</f>
        <v>SERVICIOSALARMASUCURSALES HR</v>
      </c>
      <c r="B4134" t="s">
        <v>2281</v>
      </c>
      <c r="C4134" s="1">
        <f t="shared" si="123"/>
        <v>45951</v>
      </c>
      <c r="D4134" s="71" t="s">
        <v>21</v>
      </c>
      <c r="E4134" s="71" t="s">
        <v>25</v>
      </c>
      <c r="F4134" s="70" t="s">
        <v>26</v>
      </c>
      <c r="J4134" s="71" t="s">
        <v>1651</v>
      </c>
      <c r="L4134" s="433">
        <f>5539.67+350</f>
        <v>5889.67</v>
      </c>
      <c r="M4134" s="136">
        <f t="shared" si="126"/>
        <v>-69333.660296666509</v>
      </c>
    </row>
    <row r="4135" spans="1:13">
      <c r="A4135" s="54" t="str">
        <f>D4135&amp;E4135&amp;F4135</f>
        <v>SERVICIOSALARMASUCURSALES CAPRICHOS</v>
      </c>
      <c r="B4135" t="s">
        <v>2281</v>
      </c>
      <c r="C4135" s="1">
        <f t="shared" si="123"/>
        <v>45951</v>
      </c>
      <c r="D4135" s="71" t="s">
        <v>21</v>
      </c>
      <c r="E4135" s="71" t="s">
        <v>25</v>
      </c>
      <c r="F4135" s="70" t="s">
        <v>27</v>
      </c>
      <c r="J4135" s="71" t="s">
        <v>2446</v>
      </c>
      <c r="L4135" s="433">
        <v>830.95</v>
      </c>
      <c r="M4135" s="136">
        <f t="shared" si="126"/>
        <v>-70164.610296666506</v>
      </c>
    </row>
    <row r="4136" spans="1:13">
      <c r="A4136" s="54" t="str">
        <f>D4136&amp;E4136&amp;F4136</f>
        <v>CAPVIATICOSCAPRICHOS</v>
      </c>
      <c r="B4136" t="s">
        <v>2281</v>
      </c>
      <c r="C4136" s="1">
        <f t="shared" si="123"/>
        <v>45951</v>
      </c>
      <c r="D4136" s="71" t="s">
        <v>31</v>
      </c>
      <c r="E4136" s="71" t="s">
        <v>191</v>
      </c>
      <c r="F4136" s="70" t="s">
        <v>33</v>
      </c>
      <c r="J4136" s="71" t="s">
        <v>2447</v>
      </c>
      <c r="L4136" s="433">
        <v>2000</v>
      </c>
      <c r="M4136" s="136">
        <f t="shared" si="126"/>
        <v>-72164.610296666506</v>
      </c>
    </row>
    <row r="4137" spans="1:13">
      <c r="A4137" s="54" t="str">
        <f>D4137&amp;E4137&amp;F4137</f>
        <v>HRFONDO Y REPOSICIONHR</v>
      </c>
      <c r="B4137" t="s">
        <v>2281</v>
      </c>
      <c r="C4137" s="1">
        <f t="shared" si="123"/>
        <v>45951</v>
      </c>
      <c r="D4137" s="71" t="s">
        <v>29</v>
      </c>
      <c r="E4137" s="71" t="s">
        <v>120</v>
      </c>
      <c r="F4137" s="70" t="s">
        <v>29</v>
      </c>
      <c r="J4137" s="71" t="s">
        <v>2448</v>
      </c>
      <c r="L4137" s="433">
        <v>1800</v>
      </c>
      <c r="M4137" s="136">
        <f t="shared" si="126"/>
        <v>-73964.610296666506</v>
      </c>
    </row>
    <row r="4138" spans="1:13">
      <c r="A4138" s="54" t="str">
        <f>D4138&amp;E4138&amp;F4138</f>
        <v>CAPFONDO Y REPOSICIONCAPRICHOS</v>
      </c>
      <c r="B4138" t="s">
        <v>2281</v>
      </c>
      <c r="C4138" s="1">
        <f t="shared" si="123"/>
        <v>45951</v>
      </c>
      <c r="D4138" s="71" t="s">
        <v>31</v>
      </c>
      <c r="E4138" s="71" t="s">
        <v>120</v>
      </c>
      <c r="F4138" s="70" t="s">
        <v>33</v>
      </c>
      <c r="J4138" s="71" t="s">
        <v>2449</v>
      </c>
      <c r="L4138" s="433">
        <v>2982</v>
      </c>
      <c r="M4138" s="136">
        <f t="shared" si="126"/>
        <v>-76946.610296666506</v>
      </c>
    </row>
    <row r="4139" spans="1:13">
      <c r="A4139" s="54" t="str">
        <f>D4139&amp;E4139&amp;F4139</f>
        <v>HRFONDO Y REPOSICIONHR</v>
      </c>
      <c r="B4139" t="s">
        <v>2281</v>
      </c>
      <c r="C4139" s="1">
        <f t="shared" si="123"/>
        <v>45951</v>
      </c>
      <c r="D4139" s="71" t="s">
        <v>29</v>
      </c>
      <c r="E4139" s="71" t="s">
        <v>120</v>
      </c>
      <c r="F4139" s="70" t="s">
        <v>29</v>
      </c>
      <c r="J4139" s="71" t="s">
        <v>357</v>
      </c>
      <c r="L4139" s="433">
        <v>2489</v>
      </c>
      <c r="M4139" s="136">
        <f t="shared" si="126"/>
        <v>-79435.610296666506</v>
      </c>
    </row>
    <row r="4140" spans="1:13">
      <c r="A4140" s="54" t="str">
        <f>D4140&amp;E4140&amp;F4140</f>
        <v>SERVICIOSCOMBUSTIBLECEDIS</v>
      </c>
      <c r="B4140" t="s">
        <v>2281</v>
      </c>
      <c r="C4140" s="1">
        <f t="shared" si="123"/>
        <v>45951</v>
      </c>
      <c r="D4140" s="71" t="s">
        <v>21</v>
      </c>
      <c r="E4140" s="71" t="s">
        <v>32</v>
      </c>
      <c r="F4140" s="70" t="s">
        <v>28</v>
      </c>
      <c r="G4140" s="71" t="s">
        <v>258</v>
      </c>
      <c r="J4140" s="71" t="s">
        <v>2432</v>
      </c>
      <c r="L4140" s="433">
        <v>2500</v>
      </c>
      <c r="M4140" s="136">
        <f t="shared" si="126"/>
        <v>-81935.610296666506</v>
      </c>
    </row>
    <row r="4141" spans="1:13">
      <c r="A4141" s="54" t="str">
        <f>D4141&amp;E4141&amp;F4141</f>
        <v>SERVICIOSCOMBUSTIBLESISTEMAS</v>
      </c>
      <c r="B4141" t="s">
        <v>2281</v>
      </c>
      <c r="C4141" s="1">
        <f t="shared" si="123"/>
        <v>45951</v>
      </c>
      <c r="D4141" s="71" t="s">
        <v>21</v>
      </c>
      <c r="E4141" s="71" t="s">
        <v>32</v>
      </c>
      <c r="F4141" s="70" t="s">
        <v>36</v>
      </c>
      <c r="J4141" s="71" t="s">
        <v>2450</v>
      </c>
      <c r="L4141" s="433">
        <v>1000</v>
      </c>
      <c r="M4141" s="136">
        <f t="shared" si="126"/>
        <v>-82935.610296666506</v>
      </c>
    </row>
    <row r="4142" spans="1:13">
      <c r="A4142" s="54" t="str">
        <f>D4142&amp;E4142&amp;F4142</f>
        <v>HRUBERHR</v>
      </c>
      <c r="B4142" t="s">
        <v>2281</v>
      </c>
      <c r="C4142" s="1">
        <f t="shared" si="123"/>
        <v>45951</v>
      </c>
      <c r="D4142" s="71" t="s">
        <v>29</v>
      </c>
      <c r="E4142" s="71" t="s">
        <v>189</v>
      </c>
      <c r="F4142" s="70" t="s">
        <v>29</v>
      </c>
      <c r="J4142" s="76" t="s">
        <v>2451</v>
      </c>
      <c r="L4142" s="522">
        <v>235</v>
      </c>
      <c r="M4142" s="136">
        <f t="shared" si="126"/>
        <v>-83170.610296666506</v>
      </c>
    </row>
    <row r="4143" spans="1:13">
      <c r="A4143" s="54" t="str">
        <f>D4143&amp;E4143&amp;F4143</f>
        <v>HRJMASA6</v>
      </c>
      <c r="B4143" t="s">
        <v>2281</v>
      </c>
      <c r="C4143" s="1">
        <f t="shared" si="123"/>
        <v>45951</v>
      </c>
      <c r="D4143" s="71" t="s">
        <v>29</v>
      </c>
      <c r="E4143" s="71" t="s">
        <v>137</v>
      </c>
      <c r="F4143" s="70" t="s">
        <v>93</v>
      </c>
      <c r="J4143" s="76" t="s">
        <v>2452</v>
      </c>
      <c r="L4143" s="434">
        <v>532</v>
      </c>
      <c r="M4143" s="136">
        <f t="shared" si="126"/>
        <v>-83702.610296666506</v>
      </c>
    </row>
    <row r="4144" spans="1:13">
      <c r="A4144" s="54" t="str">
        <f>D4144&amp;E4144&amp;F4144</f>
        <v>HRUBERHR</v>
      </c>
      <c r="B4144" t="s">
        <v>2281</v>
      </c>
      <c r="C4144" s="1">
        <f t="shared" si="123"/>
        <v>45951</v>
      </c>
      <c r="D4144" s="71" t="s">
        <v>29</v>
      </c>
      <c r="E4144" s="71" t="s">
        <v>189</v>
      </c>
      <c r="F4144" s="70" t="s">
        <v>29</v>
      </c>
      <c r="J4144" s="76" t="s">
        <v>2453</v>
      </c>
      <c r="L4144" s="522">
        <v>215</v>
      </c>
      <c r="M4144" s="136">
        <f t="shared" si="126"/>
        <v>-83917.610296666506</v>
      </c>
    </row>
    <row r="4145" spans="1:13">
      <c r="A4145" s="54" t="str">
        <f>D4145&amp;E4145&amp;F4145</f>
        <v>HRUBERHR</v>
      </c>
      <c r="B4145" t="s">
        <v>2281</v>
      </c>
      <c r="C4145" s="1">
        <f t="shared" si="123"/>
        <v>45951</v>
      </c>
      <c r="D4145" s="71" t="s">
        <v>29</v>
      </c>
      <c r="E4145" s="71" t="s">
        <v>189</v>
      </c>
      <c r="F4145" s="70" t="s">
        <v>29</v>
      </c>
      <c r="J4145" s="76" t="s">
        <v>2454</v>
      </c>
      <c r="L4145" s="522">
        <v>155</v>
      </c>
      <c r="M4145" s="136">
        <f t="shared" si="126"/>
        <v>-84072.610296666506</v>
      </c>
    </row>
    <row r="4146" spans="1:13">
      <c r="A4146" s="54" t="str">
        <f>D4146&amp;E4146&amp;F4146</f>
        <v>CAPUBERCAP</v>
      </c>
      <c r="B4146" t="s">
        <v>2281</v>
      </c>
      <c r="C4146" s="1">
        <f t="shared" si="123"/>
        <v>45951</v>
      </c>
      <c r="D4146" s="71" t="s">
        <v>31</v>
      </c>
      <c r="E4146" s="71" t="s">
        <v>189</v>
      </c>
      <c r="F4146" s="70" t="s">
        <v>31</v>
      </c>
      <c r="J4146" s="76" t="s">
        <v>2267</v>
      </c>
      <c r="L4146" s="522">
        <v>118</v>
      </c>
      <c r="M4146" s="136">
        <f t="shared" si="126"/>
        <v>-84190.610296666506</v>
      </c>
    </row>
    <row r="4147" spans="1:13">
      <c r="A4147" s="54" t="str">
        <f>D4147&amp;E4147&amp;F4147</f>
        <v>CAPUBERCAP</v>
      </c>
      <c r="B4147" t="s">
        <v>2281</v>
      </c>
      <c r="C4147" s="1">
        <f t="shared" si="123"/>
        <v>45951</v>
      </c>
      <c r="D4147" s="71" t="s">
        <v>31</v>
      </c>
      <c r="E4147" s="71" t="s">
        <v>189</v>
      </c>
      <c r="F4147" s="70" t="s">
        <v>31</v>
      </c>
      <c r="J4147" s="76" t="s">
        <v>2268</v>
      </c>
      <c r="L4147" s="522">
        <v>55</v>
      </c>
      <c r="M4147" s="136">
        <f t="shared" si="126"/>
        <v>-84245.610296666506</v>
      </c>
    </row>
    <row r="4148" spans="1:13">
      <c r="A4148" s="54" t="str">
        <f t="shared" si="125"/>
        <v/>
      </c>
      <c r="B4148" t="s">
        <v>2281</v>
      </c>
      <c r="C4148" s="1">
        <v>45952</v>
      </c>
      <c r="D4148" s="71"/>
      <c r="F4148" s="70"/>
      <c r="J4148" s="71" t="s">
        <v>2045</v>
      </c>
      <c r="K4148" s="325">
        <v>217841.94</v>
      </c>
      <c r="L4148" s="432"/>
      <c r="M4148" s="136">
        <f t="shared" si="126"/>
        <v>133596.3297033335</v>
      </c>
    </row>
    <row r="4149" spans="1:13">
      <c r="A4149" s="54" t="str">
        <f>D4149&amp;E4149&amp;F4149</f>
        <v>FINANZASCOMISIONES BANCARIASTPV</v>
      </c>
      <c r="B4149" t="s">
        <v>2281</v>
      </c>
      <c r="C4149" s="1">
        <f t="shared" si="123"/>
        <v>45952</v>
      </c>
      <c r="D4149" s="71" t="s">
        <v>23</v>
      </c>
      <c r="E4149" s="71" t="s">
        <v>48</v>
      </c>
      <c r="F4149" s="70" t="s">
        <v>50</v>
      </c>
      <c r="J4149" s="242" t="s">
        <v>217</v>
      </c>
      <c r="L4149" s="433">
        <f>172.33+649.78+884.84+1470.47</f>
        <v>3177.42</v>
      </c>
      <c r="M4149" s="136">
        <f t="shared" si="126"/>
        <v>130418.9097033335</v>
      </c>
    </row>
    <row r="4150" spans="1:13">
      <c r="A4150" s="54" t="str">
        <f t="shared" si="125"/>
        <v/>
      </c>
      <c r="B4150" t="s">
        <v>2281</v>
      </c>
      <c r="C4150" s="1">
        <f t="shared" si="123"/>
        <v>45952</v>
      </c>
      <c r="D4150" s="71"/>
      <c r="F4150" s="70"/>
      <c r="J4150" s="205" t="s">
        <v>1562</v>
      </c>
      <c r="K4150" s="205"/>
      <c r="L4150" s="206">
        <v>150000</v>
      </c>
      <c r="M4150" s="136">
        <f t="shared" si="126"/>
        <v>-19581.090296666502</v>
      </c>
    </row>
    <row r="4151" spans="1:13">
      <c r="A4151" s="54" t="str">
        <f t="shared" si="125"/>
        <v/>
      </c>
      <c r="B4151" t="s">
        <v>2281</v>
      </c>
      <c r="C4151" s="1">
        <f t="shared" si="123"/>
        <v>45952</v>
      </c>
      <c r="D4151" s="71"/>
      <c r="F4151" s="70"/>
      <c r="J4151" s="205" t="s">
        <v>2348</v>
      </c>
      <c r="K4151" s="205"/>
      <c r="L4151" s="206"/>
      <c r="M4151" s="136">
        <f t="shared" si="126"/>
        <v>-19581.090296666502</v>
      </c>
    </row>
    <row r="4152" spans="1:13">
      <c r="A4152" s="54" t="str">
        <f>D4152&amp;E4152&amp;F4152</f>
        <v>HRENERGIA ELECTRICAA15</v>
      </c>
      <c r="B4152" t="s">
        <v>2281</v>
      </c>
      <c r="C4152" s="1">
        <f t="shared" si="123"/>
        <v>45952</v>
      </c>
      <c r="D4152" s="71" t="s">
        <v>29</v>
      </c>
      <c r="E4152" s="71" t="s">
        <v>87</v>
      </c>
      <c r="F4152" s="70" t="s">
        <v>100</v>
      </c>
      <c r="J4152" s="71" t="s">
        <v>2455</v>
      </c>
      <c r="L4152" s="433">
        <v>12563</v>
      </c>
      <c r="M4152" s="136">
        <f t="shared" si="126"/>
        <v>-32144.090296666502</v>
      </c>
    </row>
    <row r="4153" spans="1:13">
      <c r="A4153" s="54" t="str">
        <f>D4153&amp;E4153&amp;F4153</f>
        <v>HRENERGIA ELECTRICAA12</v>
      </c>
      <c r="B4153" t="s">
        <v>2281</v>
      </c>
      <c r="C4153" s="1">
        <f t="shared" si="123"/>
        <v>45952</v>
      </c>
      <c r="D4153" s="387" t="s">
        <v>29</v>
      </c>
      <c r="E4153" s="387" t="s">
        <v>87</v>
      </c>
      <c r="F4153" s="375" t="s">
        <v>98</v>
      </c>
      <c r="J4153" s="71" t="s">
        <v>2456</v>
      </c>
      <c r="L4153" s="433">
        <v>19504</v>
      </c>
      <c r="M4153" s="136">
        <f t="shared" si="126"/>
        <v>-51648.090296666502</v>
      </c>
    </row>
    <row r="4154" spans="1:13">
      <c r="A4154" s="54" t="str">
        <f>D4154&amp;E4154&amp;F4154</f>
        <v>CAPINSUMOSCAPRICHOS</v>
      </c>
      <c r="B4154" t="s">
        <v>2281</v>
      </c>
      <c r="C4154" s="1">
        <f t="shared" si="123"/>
        <v>45952</v>
      </c>
      <c r="D4154" s="71" t="s">
        <v>31</v>
      </c>
      <c r="E4154" s="71" t="s">
        <v>133</v>
      </c>
      <c r="F4154" s="70" t="s">
        <v>33</v>
      </c>
      <c r="J4154" s="71" t="s">
        <v>2457</v>
      </c>
      <c r="L4154" s="433">
        <v>727.32</v>
      </c>
      <c r="M4154" s="136">
        <f t="shared" si="126"/>
        <v>-52375.410296666501</v>
      </c>
    </row>
    <row r="4155" spans="1:13">
      <c r="A4155" s="54" t="str">
        <f>D4155&amp;E4155&amp;F4155</f>
        <v>MKTACTIVACION MKT</v>
      </c>
      <c r="B4155" t="s">
        <v>2281</v>
      </c>
      <c r="C4155" s="1">
        <f t="shared" si="123"/>
        <v>45952</v>
      </c>
      <c r="D4155" t="s">
        <v>19</v>
      </c>
      <c r="E4155" t="s">
        <v>20</v>
      </c>
      <c r="F4155" t="s">
        <v>19</v>
      </c>
      <c r="J4155" s="71" t="s">
        <v>2458</v>
      </c>
      <c r="L4155" s="433">
        <v>2318</v>
      </c>
      <c r="M4155" s="136">
        <f t="shared" si="126"/>
        <v>-54693.410296666501</v>
      </c>
    </row>
    <row r="4156" spans="1:13">
      <c r="A4156" s="54" t="str">
        <f>D4156&amp;E4156&amp;F4156</f>
        <v>FINANZASVIATICOSFINANZAS</v>
      </c>
      <c r="B4156" t="s">
        <v>2281</v>
      </c>
      <c r="C4156" s="1">
        <f t="shared" si="123"/>
        <v>45952</v>
      </c>
      <c r="D4156" s="71" t="s">
        <v>23</v>
      </c>
      <c r="E4156" s="71" t="s">
        <v>191</v>
      </c>
      <c r="F4156" s="70" t="s">
        <v>23</v>
      </c>
      <c r="J4156" s="71" t="s">
        <v>1865</v>
      </c>
      <c r="L4156" s="433">
        <v>800</v>
      </c>
      <c r="M4156" s="136">
        <f t="shared" si="126"/>
        <v>-55493.410296666501</v>
      </c>
    </row>
    <row r="4157" spans="1:13">
      <c r="A4157" s="54" t="str">
        <f>D4157&amp;E4157&amp;F4157</f>
        <v>CAPVIATICOSCAPRICHOS</v>
      </c>
      <c r="B4157" t="s">
        <v>2281</v>
      </c>
      <c r="C4157" s="1">
        <f t="shared" si="123"/>
        <v>45952</v>
      </c>
      <c r="D4157" s="71" t="s">
        <v>31</v>
      </c>
      <c r="E4157" s="71" t="s">
        <v>191</v>
      </c>
      <c r="F4157" s="70" t="s">
        <v>33</v>
      </c>
      <c r="G4157" s="71" t="s">
        <v>258</v>
      </c>
      <c r="J4157" s="71" t="s">
        <v>2459</v>
      </c>
      <c r="L4157" s="433">
        <v>3600</v>
      </c>
      <c r="M4157" s="136">
        <f t="shared" si="126"/>
        <v>-59093.410296666501</v>
      </c>
    </row>
    <row r="4158" spans="1:13">
      <c r="A4158" s="54" t="str">
        <f>D4158&amp;E4158&amp;F4158</f>
        <v>HRUBERHR</v>
      </c>
      <c r="B4158" t="s">
        <v>2281</v>
      </c>
      <c r="C4158" s="1">
        <f t="shared" si="123"/>
        <v>45952</v>
      </c>
      <c r="D4158" s="71" t="s">
        <v>29</v>
      </c>
      <c r="E4158" s="71" t="s">
        <v>189</v>
      </c>
      <c r="F4158" s="70" t="s">
        <v>29</v>
      </c>
      <c r="J4158" s="76" t="s">
        <v>2388</v>
      </c>
      <c r="L4158" s="522">
        <v>75</v>
      </c>
      <c r="M4158" s="136">
        <f t="shared" si="126"/>
        <v>-59168.410296666501</v>
      </c>
    </row>
    <row r="4159" spans="1:13">
      <c r="A4159" s="54" t="str">
        <f>D4159&amp;E4159&amp;F4159</f>
        <v>HRFONDO Y REPOSICIONHR</v>
      </c>
      <c r="B4159" t="s">
        <v>2281</v>
      </c>
      <c r="C4159" s="1">
        <f t="shared" si="123"/>
        <v>45952</v>
      </c>
      <c r="D4159" s="71" t="s">
        <v>29</v>
      </c>
      <c r="E4159" s="71" t="s">
        <v>120</v>
      </c>
      <c r="F4159" s="70" t="s">
        <v>29</v>
      </c>
      <c r="J4159" s="76" t="s">
        <v>2460</v>
      </c>
      <c r="L4159" s="434">
        <v>15</v>
      </c>
      <c r="M4159" s="136">
        <f t="shared" si="126"/>
        <v>-59183.410296666501</v>
      </c>
    </row>
    <row r="4160" spans="1:13">
      <c r="A4160" s="54" t="str">
        <f>D4160&amp;E4160&amp;F4160</f>
        <v>SERVICIOSMTTO EQ DE COMPUTOMTTO EQ DE COMPUTO</v>
      </c>
      <c r="B4160" t="s">
        <v>2281</v>
      </c>
      <c r="C4160" s="1">
        <f t="shared" si="123"/>
        <v>45952</v>
      </c>
      <c r="D4160" s="71" t="s">
        <v>21</v>
      </c>
      <c r="E4160" s="71" t="s">
        <v>143</v>
      </c>
      <c r="F4160" s="453" t="s">
        <v>143</v>
      </c>
      <c r="J4160" s="76" t="s">
        <v>2461</v>
      </c>
      <c r="L4160" s="434">
        <v>1334</v>
      </c>
      <c r="M4160" s="136">
        <f t="shared" si="126"/>
        <v>-60517.410296666501</v>
      </c>
    </row>
    <row r="4161" spans="1:13">
      <c r="A4161" s="54" t="str">
        <f>D4161&amp;E4161&amp;F4161</f>
        <v>CAPUBERCAP</v>
      </c>
      <c r="B4161" t="s">
        <v>2281</v>
      </c>
      <c r="C4161" s="1">
        <f t="shared" si="123"/>
        <v>45952</v>
      </c>
      <c r="D4161" s="71" t="s">
        <v>31</v>
      </c>
      <c r="E4161" s="71" t="s">
        <v>189</v>
      </c>
      <c r="F4161" s="70" t="s">
        <v>31</v>
      </c>
      <c r="J4161" s="76" t="s">
        <v>2462</v>
      </c>
      <c r="L4161" s="522">
        <v>194</v>
      </c>
      <c r="M4161" s="136">
        <f t="shared" si="126"/>
        <v>-60711.410296666501</v>
      </c>
    </row>
    <row r="4162" spans="1:13">
      <c r="A4162" s="54" t="str">
        <f t="shared" si="125"/>
        <v>CAP</v>
      </c>
      <c r="B4162" t="s">
        <v>2281</v>
      </c>
      <c r="C4162" s="1">
        <f t="shared" si="123"/>
        <v>45952</v>
      </c>
      <c r="D4162" s="71" t="s">
        <v>31</v>
      </c>
      <c r="F4162" s="70"/>
      <c r="J4162" s="76" t="s">
        <v>2463</v>
      </c>
      <c r="L4162" s="434">
        <v>50</v>
      </c>
      <c r="M4162" s="136">
        <f t="shared" si="126"/>
        <v>-60761.410296666501</v>
      </c>
    </row>
    <row r="4163" spans="1:13">
      <c r="A4163" s="54" t="str">
        <f>D4163&amp;E4163&amp;F4163</f>
        <v>CAPUBERCAP</v>
      </c>
      <c r="B4163" t="s">
        <v>2281</v>
      </c>
      <c r="C4163" s="1">
        <f t="shared" si="123"/>
        <v>45952</v>
      </c>
      <c r="D4163" s="71" t="s">
        <v>31</v>
      </c>
      <c r="E4163" s="71" t="s">
        <v>189</v>
      </c>
      <c r="F4163" s="70" t="s">
        <v>31</v>
      </c>
      <c r="J4163" s="76" t="s">
        <v>2464</v>
      </c>
      <c r="L4163" s="522">
        <v>100</v>
      </c>
      <c r="M4163" s="136">
        <f t="shared" si="126"/>
        <v>-60861.410296666501</v>
      </c>
    </row>
    <row r="4164" spans="1:13">
      <c r="A4164" s="54" t="str">
        <f t="shared" si="125"/>
        <v/>
      </c>
      <c r="B4164" t="s">
        <v>2281</v>
      </c>
      <c r="C4164" s="1">
        <v>45953</v>
      </c>
      <c r="D4164" s="71"/>
      <c r="F4164" s="70"/>
      <c r="J4164" s="71" t="s">
        <v>2045</v>
      </c>
      <c r="K4164" s="325">
        <v>228697.39</v>
      </c>
      <c r="L4164" s="432"/>
      <c r="M4164" s="136">
        <f t="shared" si="126"/>
        <v>167835.97970333352</v>
      </c>
    </row>
    <row r="4165" spans="1:13">
      <c r="A4165" s="54" t="str">
        <f>D4165&amp;E4165&amp;F4165</f>
        <v>FINANZASCOMISIONES BANCARIASTPV</v>
      </c>
      <c r="B4165" t="s">
        <v>2281</v>
      </c>
      <c r="C4165" s="1">
        <f t="shared" ref="C4165:C4230" si="127">C4164</f>
        <v>45953</v>
      </c>
      <c r="D4165" s="71" t="s">
        <v>23</v>
      </c>
      <c r="E4165" s="71" t="s">
        <v>48</v>
      </c>
      <c r="F4165" s="70" t="s">
        <v>50</v>
      </c>
      <c r="J4165" s="242" t="s">
        <v>217</v>
      </c>
      <c r="L4165" s="433">
        <f>5.8+5.8+180.07+1350.7+792.59+1184.54</f>
        <v>3519.5</v>
      </c>
      <c r="M4165" s="136">
        <f t="shared" si="126"/>
        <v>164316.47970333352</v>
      </c>
    </row>
    <row r="4166" spans="1:13">
      <c r="A4166" s="54" t="str">
        <f t="shared" si="125"/>
        <v/>
      </c>
      <c r="B4166" t="s">
        <v>2281</v>
      </c>
      <c r="C4166" s="1">
        <f t="shared" si="127"/>
        <v>45953</v>
      </c>
      <c r="D4166" s="71"/>
      <c r="F4166" s="70"/>
      <c r="J4166" s="205" t="s">
        <v>1562</v>
      </c>
      <c r="K4166" s="205"/>
      <c r="L4166" s="206">
        <v>200000</v>
      </c>
      <c r="M4166" s="136">
        <f t="shared" si="126"/>
        <v>-35683.52029666648</v>
      </c>
    </row>
    <row r="4167" spans="1:13">
      <c r="A4167" s="54" t="str">
        <f t="shared" si="125"/>
        <v/>
      </c>
      <c r="B4167" t="s">
        <v>2281</v>
      </c>
      <c r="C4167" s="1">
        <f t="shared" si="127"/>
        <v>45953</v>
      </c>
      <c r="D4167" s="71"/>
      <c r="J4167" s="205" t="s">
        <v>2348</v>
      </c>
      <c r="K4167" s="205"/>
      <c r="L4167" s="206"/>
      <c r="M4167" s="136">
        <f t="shared" si="126"/>
        <v>-35683.52029666648</v>
      </c>
    </row>
    <row r="4168" spans="1:13">
      <c r="A4168" s="54" t="str">
        <f>D4168&amp;E4168&amp;F4168</f>
        <v>FINANZASENERGIA ELECTRICACEDIS</v>
      </c>
      <c r="B4168" t="s">
        <v>2281</v>
      </c>
      <c r="C4168" s="1">
        <f t="shared" si="127"/>
        <v>45953</v>
      </c>
      <c r="D4168" s="71" t="s">
        <v>23</v>
      </c>
      <c r="E4168" s="71" t="s">
        <v>87</v>
      </c>
      <c r="F4168" s="70" t="s">
        <v>28</v>
      </c>
      <c r="J4168" s="71" t="s">
        <v>2465</v>
      </c>
      <c r="L4168" s="433">
        <v>254</v>
      </c>
      <c r="M4168" s="136">
        <f t="shared" si="126"/>
        <v>-35937.52029666648</v>
      </c>
    </row>
    <row r="4169" spans="1:13">
      <c r="A4169" s="54" t="str">
        <f>D4169&amp;E4169&amp;F4169</f>
        <v>CAPENERGIA ELECTRICAE5</v>
      </c>
      <c r="B4169" t="s">
        <v>2281</v>
      </c>
      <c r="C4169" s="1">
        <f t="shared" si="127"/>
        <v>45953</v>
      </c>
      <c r="D4169" s="71" t="s">
        <v>31</v>
      </c>
      <c r="E4169" s="71" t="s">
        <v>87</v>
      </c>
      <c r="F4169" s="70" t="s">
        <v>111</v>
      </c>
      <c r="J4169" s="71" t="s">
        <v>931</v>
      </c>
      <c r="L4169" s="433">
        <v>23464</v>
      </c>
      <c r="M4169" s="136">
        <f t="shared" si="126"/>
        <v>-59401.52029666648</v>
      </c>
    </row>
    <row r="4170" spans="1:13">
      <c r="A4170" s="54" t="str">
        <f>D4170&amp;E4170&amp;F4170</f>
        <v>HRENERGIA ELECTRICAA24</v>
      </c>
      <c r="B4170" t="s">
        <v>2281</v>
      </c>
      <c r="C4170" s="1">
        <f t="shared" si="127"/>
        <v>45953</v>
      </c>
      <c r="D4170" s="387" t="s">
        <v>29</v>
      </c>
      <c r="E4170" s="387" t="s">
        <v>87</v>
      </c>
      <c r="F4170" s="375" t="s">
        <v>106</v>
      </c>
      <c r="J4170" s="71" t="s">
        <v>2466</v>
      </c>
      <c r="L4170" s="433">
        <v>15036</v>
      </c>
      <c r="M4170" s="136">
        <f t="shared" si="126"/>
        <v>-74437.52029666648</v>
      </c>
    </row>
    <row r="4171" spans="1:13">
      <c r="A4171" s="54" t="str">
        <f>D4171&amp;E4171&amp;F4171</f>
        <v>FINANZASVIATICOSFINANZAS</v>
      </c>
      <c r="B4171" t="s">
        <v>2281</v>
      </c>
      <c r="C4171" s="1">
        <f t="shared" si="127"/>
        <v>45953</v>
      </c>
      <c r="D4171" s="71" t="s">
        <v>23</v>
      </c>
      <c r="E4171" s="71" t="s">
        <v>191</v>
      </c>
      <c r="F4171" s="70" t="s">
        <v>23</v>
      </c>
      <c r="J4171" s="71" t="s">
        <v>2467</v>
      </c>
      <c r="L4171" s="433">
        <v>800</v>
      </c>
      <c r="M4171" s="136">
        <f t="shared" si="126"/>
        <v>-75237.52029666648</v>
      </c>
    </row>
    <row r="4172" spans="1:13">
      <c r="A4172" s="54" t="str">
        <f>D4172&amp;E4172&amp;F4172</f>
        <v>FINANZASINSUMOSFINANZAS</v>
      </c>
      <c r="B4172" t="s">
        <v>2281</v>
      </c>
      <c r="C4172" s="1">
        <f t="shared" si="127"/>
        <v>45953</v>
      </c>
      <c r="D4172" s="71" t="s">
        <v>23</v>
      </c>
      <c r="E4172" s="71" t="s">
        <v>133</v>
      </c>
      <c r="F4172" s="70" t="s">
        <v>23</v>
      </c>
      <c r="G4172" s="71" t="s">
        <v>258</v>
      </c>
      <c r="J4172" s="71" t="s">
        <v>2468</v>
      </c>
      <c r="L4172" s="433">
        <v>116</v>
      </c>
      <c r="M4172" s="136">
        <f>M4171+K4172-L4172</f>
        <v>-75353.52029666648</v>
      </c>
    </row>
    <row r="4173" spans="1:13">
      <c r="A4173" s="54" t="str">
        <f>D4173&amp;E4173&amp;F4173</f>
        <v>CAPMKTMKT CAP</v>
      </c>
      <c r="B4173" t="s">
        <v>2281</v>
      </c>
      <c r="C4173" s="1">
        <f t="shared" si="127"/>
        <v>45953</v>
      </c>
      <c r="D4173" s="71" t="s">
        <v>31</v>
      </c>
      <c r="E4173" s="71" t="s">
        <v>19</v>
      </c>
      <c r="F4173" s="70" t="s">
        <v>139</v>
      </c>
      <c r="G4173" s="71" t="s">
        <v>258</v>
      </c>
      <c r="J4173" s="71" t="s">
        <v>2469</v>
      </c>
      <c r="L4173" s="433">
        <v>1000</v>
      </c>
      <c r="M4173" s="136">
        <f>M4172+K4173-L4173</f>
        <v>-76353.52029666648</v>
      </c>
    </row>
    <row r="4174" spans="1:13">
      <c r="A4174" s="54" t="str">
        <f>D4174&amp;E4174&amp;F4174</f>
        <v>HRFONDO Y REPOSICIONHR</v>
      </c>
      <c r="B4174" t="s">
        <v>2281</v>
      </c>
      <c r="C4174" s="1">
        <f>C4173</f>
        <v>45953</v>
      </c>
      <c r="D4174" s="71" t="s">
        <v>29</v>
      </c>
      <c r="E4174" s="71" t="s">
        <v>120</v>
      </c>
      <c r="F4174" s="70" t="s">
        <v>29</v>
      </c>
      <c r="J4174" s="71" t="s">
        <v>2470</v>
      </c>
      <c r="L4174" s="433">
        <v>1200</v>
      </c>
      <c r="M4174" s="136">
        <f>M4173+K4174-L4174</f>
        <v>-77553.52029666648</v>
      </c>
    </row>
    <row r="4175" spans="1:13">
      <c r="A4175" s="54" t="str">
        <f>D4175&amp;E4175&amp;F4175</f>
        <v>HRINSUMOSHR</v>
      </c>
      <c r="B4175" t="s">
        <v>2281</v>
      </c>
      <c r="C4175" s="1">
        <f>C4173</f>
        <v>45953</v>
      </c>
      <c r="D4175" s="71" t="s">
        <v>29</v>
      </c>
      <c r="E4175" s="71" t="s">
        <v>133</v>
      </c>
      <c r="F4175" s="70" t="s">
        <v>29</v>
      </c>
      <c r="J4175" s="76" t="s">
        <v>2471</v>
      </c>
      <c r="L4175" s="434">
        <v>66</v>
      </c>
      <c r="M4175" s="136">
        <f>M4174+K4175-L4175</f>
        <v>-77619.52029666648</v>
      </c>
    </row>
    <row r="4176" spans="1:13">
      <c r="A4176" s="54" t="str">
        <f>D4176&amp;E4176&amp;F4176</f>
        <v>HRFONDO Y REPOSICIONHR</v>
      </c>
      <c r="B4176" t="s">
        <v>2281</v>
      </c>
      <c r="C4176" s="1">
        <f t="shared" si="127"/>
        <v>45953</v>
      </c>
      <c r="D4176" s="71" t="s">
        <v>29</v>
      </c>
      <c r="E4176" s="71" t="s">
        <v>120</v>
      </c>
      <c r="F4176" s="70" t="s">
        <v>29</v>
      </c>
      <c r="J4176" s="76" t="s">
        <v>2472</v>
      </c>
      <c r="L4176" s="434">
        <v>15</v>
      </c>
      <c r="M4176" s="136">
        <f>M4175+K4176-L4176</f>
        <v>-77634.52029666648</v>
      </c>
    </row>
    <row r="4177" spans="1:13">
      <c r="A4177" s="54" t="str">
        <f>D4177&amp;E4177&amp;F4177</f>
        <v>HRNOMINA SUCURSALA24</v>
      </c>
      <c r="B4177" t="s">
        <v>2281</v>
      </c>
      <c r="C4177" s="1">
        <f t="shared" si="127"/>
        <v>45953</v>
      </c>
      <c r="D4177" s="71" t="s">
        <v>29</v>
      </c>
      <c r="E4177" s="71" t="s">
        <v>154</v>
      </c>
      <c r="F4177" s="70" t="s">
        <v>106</v>
      </c>
      <c r="J4177" s="76" t="s">
        <v>2473</v>
      </c>
      <c r="L4177" s="434">
        <v>90</v>
      </c>
      <c r="M4177" s="136">
        <f>M4176+K4177-L4177</f>
        <v>-77724.52029666648</v>
      </c>
    </row>
    <row r="4178" spans="1:13">
      <c r="A4178" s="54" t="str">
        <f>D4178&amp;E4178&amp;F4178</f>
        <v>HRUBERHR</v>
      </c>
      <c r="B4178" t="s">
        <v>2281</v>
      </c>
      <c r="C4178" s="1">
        <f t="shared" si="127"/>
        <v>45953</v>
      </c>
      <c r="D4178" s="71" t="s">
        <v>29</v>
      </c>
      <c r="E4178" s="71" t="s">
        <v>189</v>
      </c>
      <c r="F4178" s="70" t="s">
        <v>29</v>
      </c>
      <c r="J4178" s="76" t="s">
        <v>2474</v>
      </c>
      <c r="L4178" s="522">
        <v>240</v>
      </c>
      <c r="M4178" s="136">
        <f>M4177+K4178-L4178</f>
        <v>-77964.52029666648</v>
      </c>
    </row>
    <row r="4179" spans="1:13">
      <c r="A4179" s="54" t="str">
        <f>D4179&amp;E4179&amp;F4179</f>
        <v>CAPUBERCAP</v>
      </c>
      <c r="B4179" t="s">
        <v>2281</v>
      </c>
      <c r="C4179" s="1">
        <f t="shared" si="127"/>
        <v>45953</v>
      </c>
      <c r="D4179" s="71" t="s">
        <v>31</v>
      </c>
      <c r="E4179" s="71" t="s">
        <v>189</v>
      </c>
      <c r="F4179" s="70" t="s">
        <v>31</v>
      </c>
      <c r="J4179" s="76" t="s">
        <v>2475</v>
      </c>
      <c r="L4179" s="522">
        <v>100</v>
      </c>
      <c r="M4179" s="136">
        <f t="shared" si="126"/>
        <v>-78064.52029666648</v>
      </c>
    </row>
    <row r="4180" spans="1:13">
      <c r="A4180" s="54" t="str">
        <f>D4180&amp;E4180&amp;F4180</f>
        <v>CAPINSUMOSCAPRICHOS</v>
      </c>
      <c r="B4180" t="s">
        <v>2281</v>
      </c>
      <c r="C4180" s="1">
        <f t="shared" si="127"/>
        <v>45953</v>
      </c>
      <c r="D4180" s="71" t="s">
        <v>31</v>
      </c>
      <c r="E4180" s="71" t="s">
        <v>133</v>
      </c>
      <c r="F4180" s="70" t="s">
        <v>33</v>
      </c>
      <c r="J4180" s="76" t="s">
        <v>2476</v>
      </c>
      <c r="L4180" s="434">
        <v>90</v>
      </c>
      <c r="M4180" s="136">
        <f t="shared" si="126"/>
        <v>-78154.52029666648</v>
      </c>
    </row>
    <row r="4181" spans="1:13">
      <c r="A4181" s="54" t="str">
        <f t="shared" ref="A4178:A4241" si="128">D4181&amp;E4181&amp;F4181</f>
        <v/>
      </c>
      <c r="B4181" t="s">
        <v>2281</v>
      </c>
      <c r="C4181" s="1">
        <v>45954</v>
      </c>
      <c r="D4181" s="71"/>
      <c r="F4181" s="70"/>
      <c r="J4181" s="71" t="s">
        <v>2045</v>
      </c>
      <c r="K4181" s="325">
        <v>266850.31</v>
      </c>
      <c r="L4181" s="432"/>
      <c r="M4181" s="136">
        <f t="shared" si="126"/>
        <v>188695.78970333352</v>
      </c>
    </row>
    <row r="4182" spans="1:13">
      <c r="A4182" s="54" t="str">
        <f>D4182&amp;E4182&amp;F4182</f>
        <v>FINANZASCOMISIONES BANCARIASTPV</v>
      </c>
      <c r="B4182" t="s">
        <v>2281</v>
      </c>
      <c r="C4182" s="1">
        <f t="shared" si="127"/>
        <v>45954</v>
      </c>
      <c r="D4182" s="71" t="s">
        <v>23</v>
      </c>
      <c r="E4182" s="71" t="s">
        <v>48</v>
      </c>
      <c r="F4182" s="70" t="s">
        <v>50</v>
      </c>
      <c r="J4182" s="71" t="s">
        <v>217</v>
      </c>
      <c r="L4182" s="433">
        <f>1163.54+152.52+1690.76+1497.56</f>
        <v>4504.3799999999992</v>
      </c>
      <c r="M4182" s="136">
        <f t="shared" si="126"/>
        <v>184191.40970333351</v>
      </c>
    </row>
    <row r="4183" spans="1:13">
      <c r="A4183" s="54" t="str">
        <f t="shared" si="128"/>
        <v/>
      </c>
      <c r="B4183" t="s">
        <v>2281</v>
      </c>
      <c r="C4183" s="1">
        <f t="shared" si="127"/>
        <v>45954</v>
      </c>
      <c r="D4183" s="71"/>
      <c r="F4183" s="70"/>
      <c r="J4183" s="205" t="s">
        <v>1562</v>
      </c>
      <c r="K4183" s="205"/>
      <c r="L4183" s="206">
        <v>150000</v>
      </c>
      <c r="M4183" s="136">
        <f t="shared" si="126"/>
        <v>34191.409703333513</v>
      </c>
    </row>
    <row r="4184" spans="1:13">
      <c r="A4184" s="54" t="str">
        <f t="shared" si="128"/>
        <v/>
      </c>
      <c r="B4184" t="s">
        <v>2281</v>
      </c>
      <c r="C4184" s="1">
        <f t="shared" si="127"/>
        <v>45954</v>
      </c>
      <c r="D4184" s="71"/>
      <c r="F4184" s="70"/>
      <c r="J4184" s="205" t="s">
        <v>2348</v>
      </c>
      <c r="K4184" s="205"/>
      <c r="L4184" s="206">
        <v>80000</v>
      </c>
      <c r="M4184" s="136">
        <f t="shared" si="126"/>
        <v>-45808.590296666487</v>
      </c>
    </row>
    <row r="4185" spans="1:13">
      <c r="A4185" s="54" t="str">
        <f>D4185&amp;E4185&amp;F4185</f>
        <v>HRCAPACITACIONCAPACITACION</v>
      </c>
      <c r="B4185" t="s">
        <v>2281</v>
      </c>
      <c r="C4185" s="1">
        <f t="shared" si="127"/>
        <v>45954</v>
      </c>
      <c r="D4185" t="s">
        <v>29</v>
      </c>
      <c r="E4185" s="71" t="s">
        <v>30</v>
      </c>
      <c r="F4185" s="70" t="s">
        <v>30</v>
      </c>
      <c r="J4185" s="71" t="s">
        <v>2477</v>
      </c>
      <c r="L4185" s="433">
        <v>13920</v>
      </c>
      <c r="M4185" s="136">
        <f t="shared" si="126"/>
        <v>-59728.590296666487</v>
      </c>
    </row>
    <row r="4186" spans="1:13">
      <c r="A4186" s="54" t="str">
        <f>D4186&amp;E4186&amp;F4186</f>
        <v>SERVICIOSMTTO EQ DE TRANSPORTECEDIS</v>
      </c>
      <c r="B4186" t="s">
        <v>2281</v>
      </c>
      <c r="C4186" s="1">
        <f t="shared" si="127"/>
        <v>45954</v>
      </c>
      <c r="D4186" s="71" t="s">
        <v>21</v>
      </c>
      <c r="E4186" s="71" t="s">
        <v>144</v>
      </c>
      <c r="F4186" s="70" t="s">
        <v>28</v>
      </c>
      <c r="J4186" s="71" t="s">
        <v>2478</v>
      </c>
      <c r="L4186" s="208">
        <f>7622-1335</f>
        <v>6287</v>
      </c>
      <c r="M4186" s="136">
        <f t="shared" si="126"/>
        <v>-66015.590296666487</v>
      </c>
    </row>
    <row r="4187" spans="1:13">
      <c r="A4187" s="54" t="str">
        <f>D4187&amp;E4187&amp;F4187</f>
        <v>SERVICIOSVIATICOSCEDIS</v>
      </c>
      <c r="B4187" t="s">
        <v>2281</v>
      </c>
      <c r="C4187" s="1">
        <f t="shared" si="127"/>
        <v>45954</v>
      </c>
      <c r="D4187" s="71" t="s">
        <v>21</v>
      </c>
      <c r="E4187" s="71" t="s">
        <v>191</v>
      </c>
      <c r="F4187" s="70" t="s">
        <v>28</v>
      </c>
      <c r="J4187" s="71" t="s">
        <v>1456</v>
      </c>
      <c r="L4187" s="433">
        <v>2050</v>
      </c>
      <c r="M4187" s="136">
        <f t="shared" si="126"/>
        <v>-68065.590296666487</v>
      </c>
    </row>
    <row r="4188" spans="1:13">
      <c r="A4188" s="54" t="str">
        <f>D4188&amp;E4188&amp;F4188</f>
        <v>SERVICIOSFONDO Y REPOSICIONSERVICIOS</v>
      </c>
      <c r="B4188" t="s">
        <v>2281</v>
      </c>
      <c r="C4188" s="1">
        <f t="shared" si="127"/>
        <v>45954</v>
      </c>
      <c r="D4188" s="71" t="s">
        <v>21</v>
      </c>
      <c r="E4188" s="71" t="s">
        <v>120</v>
      </c>
      <c r="F4188" s="70" t="s">
        <v>21</v>
      </c>
      <c r="J4188" s="71" t="s">
        <v>1878</v>
      </c>
      <c r="L4188" s="433">
        <v>2000</v>
      </c>
      <c r="M4188" s="136">
        <f t="shared" si="126"/>
        <v>-70065.590296666487</v>
      </c>
    </row>
    <row r="4189" spans="1:13">
      <c r="A4189" s="54" t="str">
        <f>D4189&amp;E4189&amp;F4189</f>
        <v>SERVICIOSGASCEDIS</v>
      </c>
      <c r="B4189" t="s">
        <v>2281</v>
      </c>
      <c r="C4189" s="1">
        <f t="shared" si="127"/>
        <v>45954</v>
      </c>
      <c r="D4189" s="71" t="s">
        <v>21</v>
      </c>
      <c r="E4189" s="71" t="s">
        <v>122</v>
      </c>
      <c r="F4189" s="70" t="s">
        <v>28</v>
      </c>
      <c r="J4189" s="71" t="s">
        <v>2325</v>
      </c>
      <c r="L4189" s="433">
        <v>300</v>
      </c>
      <c r="M4189" s="136">
        <f t="shared" si="126"/>
        <v>-70365.590296666487</v>
      </c>
    </row>
    <row r="4190" spans="1:13">
      <c r="A4190" s="54" t="str">
        <f>D4190&amp;E4190&amp;F4190</f>
        <v>ELIVIATICOSL1</v>
      </c>
      <c r="B4190" t="s">
        <v>2281</v>
      </c>
      <c r="C4190" s="1">
        <f t="shared" si="127"/>
        <v>45954</v>
      </c>
      <c r="D4190" t="s">
        <v>130</v>
      </c>
      <c r="E4190" t="s">
        <v>191</v>
      </c>
      <c r="F4190" t="s">
        <v>136</v>
      </c>
      <c r="J4190" s="71" t="s">
        <v>1968</v>
      </c>
      <c r="L4190" s="433">
        <v>1000</v>
      </c>
      <c r="M4190" s="136">
        <f t="shared" si="126"/>
        <v>-71365.590296666487</v>
      </c>
    </row>
    <row r="4191" spans="1:13">
      <c r="A4191" s="54" t="str">
        <f>D4191&amp;E4191&amp;F4191</f>
        <v>ELIINSUMOSL1</v>
      </c>
      <c r="B4191" t="s">
        <v>2281</v>
      </c>
      <c r="C4191" s="1">
        <f t="shared" si="127"/>
        <v>45954</v>
      </c>
      <c r="D4191" s="71" t="s">
        <v>130</v>
      </c>
      <c r="E4191" s="71" t="s">
        <v>133</v>
      </c>
      <c r="F4191" s="70" t="s">
        <v>136</v>
      </c>
      <c r="G4191" s="71" t="s">
        <v>258</v>
      </c>
      <c r="J4191" s="71" t="s">
        <v>2479</v>
      </c>
      <c r="L4191" s="433">
        <v>2350</v>
      </c>
      <c r="M4191" s="136">
        <f t="shared" si="126"/>
        <v>-73715.590296666487</v>
      </c>
    </row>
    <row r="4192" spans="1:13">
      <c r="A4192" s="54" t="str">
        <f>D4192&amp;E4192&amp;F4192</f>
        <v>FINANZASRECOLECCION DE BASURAHR</v>
      </c>
      <c r="B4192" t="s">
        <v>2281</v>
      </c>
      <c r="C4192" s="1">
        <f t="shared" si="127"/>
        <v>45954</v>
      </c>
      <c r="D4192" s="71" t="s">
        <v>23</v>
      </c>
      <c r="E4192" s="71" t="s">
        <v>166</v>
      </c>
      <c r="F4192" s="70" t="s">
        <v>29</v>
      </c>
      <c r="J4192" s="71" t="s">
        <v>1254</v>
      </c>
      <c r="L4192" s="433">
        <v>3299.76</v>
      </c>
      <c r="M4192" s="136">
        <f t="shared" si="126"/>
        <v>-77015.350296666482</v>
      </c>
    </row>
    <row r="4193" spans="1:13">
      <c r="A4193" s="54" t="str">
        <f>D4193&amp;E4193&amp;F4193</f>
        <v>SERVICIOSPAQUETERIACEDIS (E6)</v>
      </c>
      <c r="B4193" t="s">
        <v>2281</v>
      </c>
      <c r="C4193" s="1">
        <f t="shared" si="127"/>
        <v>45954</v>
      </c>
      <c r="D4193" s="71" t="s">
        <v>21</v>
      </c>
      <c r="E4193" s="71" t="s">
        <v>160</v>
      </c>
      <c r="F4193" s="70" t="s">
        <v>161</v>
      </c>
      <c r="J4193" s="71" t="s">
        <v>2480</v>
      </c>
      <c r="L4193" s="433">
        <v>2631.21</v>
      </c>
      <c r="M4193" s="136">
        <f>M4192+K4193-L4193</f>
        <v>-79646.560296666488</v>
      </c>
    </row>
    <row r="4194" spans="1:13">
      <c r="A4194" s="54" t="str">
        <f>D4194&amp;E4194&amp;F4194</f>
        <v>SERVICIOSTELEPEAJECEDIS</v>
      </c>
      <c r="B4194" t="s">
        <v>2281</v>
      </c>
      <c r="C4194" s="1">
        <f t="shared" si="127"/>
        <v>45954</v>
      </c>
      <c r="D4194" s="71" t="s">
        <v>21</v>
      </c>
      <c r="E4194" s="71" t="s">
        <v>186</v>
      </c>
      <c r="F4194" s="70" t="s">
        <v>28</v>
      </c>
      <c r="J4194" s="71" t="s">
        <v>238</v>
      </c>
      <c r="L4194" s="433">
        <v>2790</v>
      </c>
      <c r="M4194" s="136">
        <f>M4193+K4194-L4194</f>
        <v>-82436.560296666488</v>
      </c>
    </row>
    <row r="4195" spans="1:13">
      <c r="A4195" s="54" t="str">
        <f>D4195&amp;E4195&amp;F4195</f>
        <v>HRTELEPEAJEOP HR</v>
      </c>
      <c r="B4195" t="s">
        <v>2281</v>
      </c>
      <c r="C4195" s="1">
        <f t="shared" si="127"/>
        <v>45954</v>
      </c>
      <c r="D4195" s="71" t="s">
        <v>29</v>
      </c>
      <c r="E4195" s="71" t="s">
        <v>186</v>
      </c>
      <c r="F4195" s="143" t="s">
        <v>187</v>
      </c>
      <c r="J4195" s="71" t="s">
        <v>2481</v>
      </c>
      <c r="L4195" s="433">
        <v>294</v>
      </c>
      <c r="M4195" s="136">
        <f>M4194+K4195-L4195</f>
        <v>-82730.560296666488</v>
      </c>
    </row>
    <row r="4196" spans="1:13">
      <c r="A4196" s="54" t="str">
        <f>D4196&amp;E4196&amp;F4196</f>
        <v>HRTELEPEAJEOP HR</v>
      </c>
      <c r="B4196" t="s">
        <v>2281</v>
      </c>
      <c r="C4196" s="1">
        <f t="shared" si="127"/>
        <v>45954</v>
      </c>
      <c r="D4196" s="71" t="s">
        <v>29</v>
      </c>
      <c r="E4196" s="71" t="s">
        <v>186</v>
      </c>
      <c r="F4196" s="143" t="s">
        <v>187</v>
      </c>
      <c r="J4196" s="71" t="s">
        <v>2481</v>
      </c>
      <c r="L4196" s="433">
        <v>1269</v>
      </c>
      <c r="M4196" s="136">
        <f>M4195+K4196-L4196</f>
        <v>-83999.560296666488</v>
      </c>
    </row>
    <row r="4197" spans="1:13">
      <c r="A4197" s="54" t="str">
        <f>D4197&amp;E4197&amp;F4197</f>
        <v>HRTELEPEAJEOP HR</v>
      </c>
      <c r="B4197" t="s">
        <v>2281</v>
      </c>
      <c r="C4197" s="1">
        <f t="shared" si="127"/>
        <v>45954</v>
      </c>
      <c r="D4197" s="71" t="s">
        <v>29</v>
      </c>
      <c r="E4197" s="71" t="s">
        <v>186</v>
      </c>
      <c r="F4197" s="143" t="s">
        <v>187</v>
      </c>
      <c r="J4197" s="71" t="s">
        <v>2481</v>
      </c>
      <c r="L4197" s="433">
        <v>294</v>
      </c>
      <c r="M4197" s="136">
        <f t="shared" ref="M4197:M4212" si="129">M4196+K4197-L4197</f>
        <v>-84293.560296666488</v>
      </c>
    </row>
    <row r="4198" spans="1:13">
      <c r="A4198" s="54" t="str">
        <f>D4198&amp;E4198&amp;F4198</f>
        <v>HRTELEPEAJEOP HR</v>
      </c>
      <c r="B4198" t="s">
        <v>2281</v>
      </c>
      <c r="C4198" s="1">
        <f t="shared" si="127"/>
        <v>45954</v>
      </c>
      <c r="D4198" s="71" t="s">
        <v>29</v>
      </c>
      <c r="E4198" s="71" t="s">
        <v>186</v>
      </c>
      <c r="F4198" s="143" t="s">
        <v>187</v>
      </c>
      <c r="J4198" s="71" t="s">
        <v>975</v>
      </c>
      <c r="L4198" s="433">
        <v>151</v>
      </c>
      <c r="M4198" s="136">
        <f t="shared" si="129"/>
        <v>-84444.560296666488</v>
      </c>
    </row>
    <row r="4199" spans="1:13">
      <c r="A4199" s="54" t="str">
        <f>D4199&amp;E4199&amp;F4199</f>
        <v>HRTELEPEAJEOP HR</v>
      </c>
      <c r="B4199" t="s">
        <v>2281</v>
      </c>
      <c r="C4199" s="1">
        <f t="shared" si="127"/>
        <v>45954</v>
      </c>
      <c r="D4199" s="71" t="s">
        <v>29</v>
      </c>
      <c r="E4199" s="71" t="s">
        <v>186</v>
      </c>
      <c r="F4199" s="143" t="s">
        <v>187</v>
      </c>
      <c r="J4199" s="71" t="s">
        <v>238</v>
      </c>
      <c r="L4199" s="433">
        <v>658</v>
      </c>
      <c r="M4199" s="136">
        <f t="shared" si="129"/>
        <v>-85102.560296666488</v>
      </c>
    </row>
    <row r="4200" spans="1:13">
      <c r="A4200" s="54" t="str">
        <f>D4200&amp;E4200&amp;F4200</f>
        <v>FINANZASCUOTAS Y SUSCRIPCIONESTRASLADO DE VALORES</v>
      </c>
      <c r="B4200" t="s">
        <v>2281</v>
      </c>
      <c r="C4200" s="1">
        <f t="shared" si="127"/>
        <v>45954</v>
      </c>
      <c r="D4200" s="71" t="s">
        <v>23</v>
      </c>
      <c r="E4200" s="71" t="s">
        <v>51</v>
      </c>
      <c r="F4200" s="70" t="s">
        <v>82</v>
      </c>
      <c r="J4200" s="71" t="s">
        <v>2482</v>
      </c>
      <c r="L4200" s="433">
        <f>364+364+364+364+364+1813.76</f>
        <v>3633.76</v>
      </c>
      <c r="M4200" s="136">
        <f t="shared" si="129"/>
        <v>-88736.320296666483</v>
      </c>
    </row>
    <row r="4201" spans="1:13">
      <c r="A4201" s="54" t="str">
        <f>D4201&amp;E4201&amp;F4201</f>
        <v>SERVICIOSVIATICOSCOMPRAS</v>
      </c>
      <c r="B4201" t="s">
        <v>2281</v>
      </c>
      <c r="C4201" s="1">
        <f t="shared" si="127"/>
        <v>45954</v>
      </c>
      <c r="D4201" s="71" t="s">
        <v>21</v>
      </c>
      <c r="E4201" s="71" t="s">
        <v>191</v>
      </c>
      <c r="F4201" s="70" t="s">
        <v>148</v>
      </c>
      <c r="G4201" s="71" t="s">
        <v>258</v>
      </c>
      <c r="J4201" s="71" t="s">
        <v>2483</v>
      </c>
      <c r="L4201" s="433">
        <v>2000</v>
      </c>
      <c r="M4201" s="136">
        <f t="shared" si="129"/>
        <v>-90736.320296666483</v>
      </c>
    </row>
    <row r="4202" spans="1:13">
      <c r="A4202" s="54" t="str">
        <f>D4202&amp;E4202&amp;F4202</f>
        <v>FINANZASTELEFONIATELCEL</v>
      </c>
      <c r="B4202" t="s">
        <v>2281</v>
      </c>
      <c r="C4202" s="1">
        <f t="shared" si="127"/>
        <v>45954</v>
      </c>
      <c r="D4202" s="71" t="s">
        <v>23</v>
      </c>
      <c r="E4202" s="71" t="s">
        <v>181</v>
      </c>
      <c r="F4202" s="70" t="s">
        <v>183</v>
      </c>
      <c r="J4202" s="71" t="s">
        <v>2484</v>
      </c>
      <c r="L4202" s="433">
        <v>269</v>
      </c>
      <c r="M4202" s="136">
        <f t="shared" si="129"/>
        <v>-91005.320296666483</v>
      </c>
    </row>
    <row r="4203" spans="1:13">
      <c r="A4203" s="54" t="str">
        <f>D4203&amp;E4203&amp;F4203</f>
        <v>SERVICIOSMTTO DE EDIFICIOMANTENIMIENTO</v>
      </c>
      <c r="B4203" t="s">
        <v>2281</v>
      </c>
      <c r="C4203" s="1">
        <f t="shared" si="127"/>
        <v>45954</v>
      </c>
      <c r="D4203" s="71" t="s">
        <v>21</v>
      </c>
      <c r="E4203" s="71" t="s">
        <v>142</v>
      </c>
      <c r="F4203" s="70" t="s">
        <v>35</v>
      </c>
      <c r="G4203" s="71" t="s">
        <v>258</v>
      </c>
      <c r="J4203" s="71" t="s">
        <v>2485</v>
      </c>
      <c r="L4203" s="433">
        <v>514</v>
      </c>
      <c r="M4203" s="136">
        <f t="shared" si="129"/>
        <v>-91519.320296666483</v>
      </c>
    </row>
    <row r="4204" spans="1:13">
      <c r="A4204" s="54" t="str">
        <f t="shared" si="128"/>
        <v/>
      </c>
      <c r="B4204" t="s">
        <v>2281</v>
      </c>
      <c r="C4204" s="1">
        <f>C4202</f>
        <v>45954</v>
      </c>
      <c r="D4204" s="71"/>
      <c r="F4204" s="70"/>
      <c r="J4204" s="71" t="s">
        <v>440</v>
      </c>
      <c r="L4204" s="433">
        <v>26305.8</v>
      </c>
      <c r="M4204" s="136">
        <f t="shared" si="129"/>
        <v>-117825.12029666649</v>
      </c>
    </row>
    <row r="4205" spans="1:13">
      <c r="A4205" s="54" t="str">
        <f>D4205&amp;E4205&amp;F4205</f>
        <v>HRUBERHR</v>
      </c>
      <c r="B4205" t="s">
        <v>2281</v>
      </c>
      <c r="C4205" s="1">
        <f t="shared" si="127"/>
        <v>45954</v>
      </c>
      <c r="D4205" s="71" t="s">
        <v>29</v>
      </c>
      <c r="E4205" s="71" t="s">
        <v>189</v>
      </c>
      <c r="F4205" s="70" t="s">
        <v>29</v>
      </c>
      <c r="J4205" s="76" t="s">
        <v>2366</v>
      </c>
      <c r="L4205" s="522">
        <v>420</v>
      </c>
      <c r="M4205" s="136">
        <f>M4204+K4205-L4205</f>
        <v>-118245.12029666649</v>
      </c>
    </row>
    <row r="4206" spans="1:13">
      <c r="A4206" s="54" t="str">
        <f>D4206&amp;E4206&amp;F4206</f>
        <v>HRNOMINA SUCURSALA24</v>
      </c>
      <c r="B4206" t="s">
        <v>2281</v>
      </c>
      <c r="C4206" s="1">
        <f t="shared" si="127"/>
        <v>45954</v>
      </c>
      <c r="D4206" s="71" t="s">
        <v>29</v>
      </c>
      <c r="E4206" s="71" t="s">
        <v>154</v>
      </c>
      <c r="F4206" s="70" t="s">
        <v>106</v>
      </c>
      <c r="J4206" s="76" t="s">
        <v>2486</v>
      </c>
      <c r="L4206" s="434">
        <v>360</v>
      </c>
      <c r="M4206" s="136">
        <f>M4205+K4206-L4206</f>
        <v>-118605.12029666649</v>
      </c>
    </row>
    <row r="4207" spans="1:13">
      <c r="A4207" s="54" t="str">
        <f>D4207&amp;E4207&amp;F4207</f>
        <v>CAPUBERCAP</v>
      </c>
      <c r="B4207" t="s">
        <v>2281</v>
      </c>
      <c r="C4207" s="1">
        <f t="shared" si="127"/>
        <v>45954</v>
      </c>
      <c r="D4207" s="71" t="s">
        <v>31</v>
      </c>
      <c r="E4207" s="71" t="s">
        <v>189</v>
      </c>
      <c r="F4207" s="70" t="s">
        <v>31</v>
      </c>
      <c r="J4207" s="76" t="s">
        <v>2344</v>
      </c>
      <c r="L4207" s="522">
        <v>212</v>
      </c>
      <c r="M4207" s="136">
        <f>M4206+K4207-L4207</f>
        <v>-118817.12029666649</v>
      </c>
    </row>
    <row r="4208" spans="1:13">
      <c r="A4208" s="54" t="str">
        <f>D4208&amp;E4208&amp;F4208</f>
        <v>CAPSEGURIDADSEGURIDAD</v>
      </c>
      <c r="B4208" t="s">
        <v>2281</v>
      </c>
      <c r="C4208" s="1">
        <f t="shared" si="127"/>
        <v>45954</v>
      </c>
      <c r="D4208" s="71" t="s">
        <v>31</v>
      </c>
      <c r="E4208" s="71" t="s">
        <v>172</v>
      </c>
      <c r="F4208" s="70" t="s">
        <v>172</v>
      </c>
      <c r="G4208" s="71" t="s">
        <v>258</v>
      </c>
      <c r="J4208" s="76" t="s">
        <v>2487</v>
      </c>
      <c r="L4208" s="434">
        <v>300</v>
      </c>
      <c r="M4208" s="136">
        <f>M4207+K4208-L4208</f>
        <v>-119117.12029666649</v>
      </c>
    </row>
    <row r="4209" spans="1:13">
      <c r="A4209" s="54" t="str">
        <f>D4209&amp;E4209&amp;F4209</f>
        <v>CAPUBERCAP</v>
      </c>
      <c r="B4209" t="s">
        <v>2281</v>
      </c>
      <c r="C4209" s="1">
        <f t="shared" si="127"/>
        <v>45954</v>
      </c>
      <c r="D4209" s="71" t="s">
        <v>31</v>
      </c>
      <c r="E4209" s="71" t="s">
        <v>189</v>
      </c>
      <c r="F4209" s="70" t="s">
        <v>31</v>
      </c>
      <c r="J4209" s="76" t="s">
        <v>2488</v>
      </c>
      <c r="L4209" s="522">
        <v>130</v>
      </c>
      <c r="M4209" s="136">
        <f>M4208+K4209-L4209</f>
        <v>-119247.12029666649</v>
      </c>
    </row>
    <row r="4210" spans="1:13">
      <c r="A4210" s="54" t="str">
        <f>D4210&amp;E4210&amp;F4210</f>
        <v>CAPINSUMOSCAPRICHOS</v>
      </c>
      <c r="B4210" t="s">
        <v>2281</v>
      </c>
      <c r="C4210" s="1">
        <f t="shared" si="127"/>
        <v>45954</v>
      </c>
      <c r="D4210" s="71" t="s">
        <v>31</v>
      </c>
      <c r="E4210" s="71" t="s">
        <v>133</v>
      </c>
      <c r="F4210" s="70" t="s">
        <v>33</v>
      </c>
      <c r="J4210" s="76" t="s">
        <v>2489</v>
      </c>
      <c r="L4210" s="434">
        <v>30</v>
      </c>
      <c r="M4210" s="136">
        <f>M4209+K4210-L4210</f>
        <v>-119277.12029666649</v>
      </c>
    </row>
    <row r="4211" spans="1:13">
      <c r="A4211" s="54" t="str">
        <f>D4211&amp;E4211&amp;F4211</f>
        <v>CAPFUMIGACIONCAPRICHOS</v>
      </c>
      <c r="B4211" t="s">
        <v>2281</v>
      </c>
      <c r="C4211" s="1">
        <f t="shared" si="127"/>
        <v>45954</v>
      </c>
      <c r="D4211" s="71" t="s">
        <v>31</v>
      </c>
      <c r="E4211" s="71" t="s">
        <v>121</v>
      </c>
      <c r="F4211" s="70" t="s">
        <v>33</v>
      </c>
      <c r="G4211" s="71" t="s">
        <v>258</v>
      </c>
      <c r="J4211" s="76" t="s">
        <v>2490</v>
      </c>
      <c r="L4211" s="535">
        <v>471</v>
      </c>
      <c r="M4211" s="136">
        <f>M4210+K4211-L4211</f>
        <v>-119748.12029666649</v>
      </c>
    </row>
    <row r="4212" spans="1:13">
      <c r="A4212" s="54" t="str">
        <f>D4212&amp;E4212&amp;F4212</f>
        <v>CAPINSUMOSCAPRICHOS</v>
      </c>
      <c r="B4212" t="s">
        <v>2281</v>
      </c>
      <c r="C4212" s="1">
        <f t="shared" si="127"/>
        <v>45954</v>
      </c>
      <c r="D4212" s="71" t="s">
        <v>31</v>
      </c>
      <c r="E4212" s="71" t="s">
        <v>133</v>
      </c>
      <c r="F4212" s="70" t="s">
        <v>33</v>
      </c>
      <c r="G4212" s="71" t="s">
        <v>258</v>
      </c>
      <c r="J4212" s="76" t="s">
        <v>2491</v>
      </c>
      <c r="L4212" s="434">
        <v>21</v>
      </c>
      <c r="M4212" s="136">
        <f>M4211+K4212-L4212</f>
        <v>-119769.12029666649</v>
      </c>
    </row>
    <row r="4213" spans="1:13">
      <c r="A4213" s="54" t="str">
        <f t="shared" si="128"/>
        <v/>
      </c>
      <c r="B4213" t="s">
        <v>2281</v>
      </c>
      <c r="C4213" s="1">
        <v>45957</v>
      </c>
      <c r="D4213" s="71"/>
      <c r="F4213" s="70"/>
      <c r="J4213" s="71" t="s">
        <v>2045</v>
      </c>
      <c r="K4213" s="325">
        <v>1280783.49</v>
      </c>
      <c r="L4213" s="343"/>
      <c r="M4213" s="136">
        <f t="shared" ref="M4213:M4242" si="130">M4212+K4213-L4213</f>
        <v>1161014.3697033336</v>
      </c>
    </row>
    <row r="4214" spans="1:13">
      <c r="A4214" s="54" t="str">
        <f>D4214&amp;E4214&amp;F4214</f>
        <v>FINANZASCOMISIONES BANCARIASTPV</v>
      </c>
      <c r="B4214" t="s">
        <v>2281</v>
      </c>
      <c r="C4214" s="1">
        <f t="shared" si="127"/>
        <v>45957</v>
      </c>
      <c r="D4214" s="71" t="s">
        <v>23</v>
      </c>
      <c r="E4214" s="71" t="s">
        <v>48</v>
      </c>
      <c r="F4214" s="70" t="s">
        <v>50</v>
      </c>
      <c r="J4214" s="71" t="s">
        <v>217</v>
      </c>
      <c r="K4214" s="233"/>
      <c r="L4214" s="329">
        <f>1257.41+1138.48+4058.3+5197.62</f>
        <v>11651.810000000001</v>
      </c>
      <c r="M4214" s="136">
        <f t="shared" si="130"/>
        <v>1149362.5597033335</v>
      </c>
    </row>
    <row r="4215" spans="1:13">
      <c r="A4215" s="54" t="str">
        <f t="shared" si="128"/>
        <v/>
      </c>
      <c r="B4215" t="s">
        <v>2281</v>
      </c>
      <c r="C4215" s="1">
        <f t="shared" si="127"/>
        <v>45957</v>
      </c>
      <c r="D4215" s="71"/>
      <c r="F4215" s="70"/>
      <c r="J4215" s="205" t="s">
        <v>1562</v>
      </c>
      <c r="K4215" s="205"/>
      <c r="L4215" s="206">
        <v>300000</v>
      </c>
      <c r="M4215" s="136">
        <f t="shared" si="130"/>
        <v>849362.55970333354</v>
      </c>
    </row>
    <row r="4216" spans="1:13">
      <c r="A4216" s="54" t="str">
        <f t="shared" si="128"/>
        <v/>
      </c>
      <c r="B4216" t="s">
        <v>2281</v>
      </c>
      <c r="C4216" s="1">
        <f t="shared" si="127"/>
        <v>45957</v>
      </c>
      <c r="D4216" s="71"/>
      <c r="F4216" s="70"/>
      <c r="J4216" s="205" t="s">
        <v>2348</v>
      </c>
      <c r="K4216" s="205"/>
      <c r="L4216" s="206">
        <v>800000</v>
      </c>
      <c r="M4216" s="136">
        <f t="shared" si="130"/>
        <v>49362.559703333536</v>
      </c>
    </row>
    <row r="4217" spans="1:13">
      <c r="A4217" s="54" t="str">
        <f>D4217&amp;E4217&amp;F4217</f>
        <v>SERVICIOSMTTO EQ DE TRANSPORTECEDIS</v>
      </c>
      <c r="B4217" t="s">
        <v>2281</v>
      </c>
      <c r="C4217" s="1">
        <f t="shared" si="127"/>
        <v>45957</v>
      </c>
      <c r="D4217" s="71" t="s">
        <v>21</v>
      </c>
      <c r="E4217" s="71" t="s">
        <v>144</v>
      </c>
      <c r="F4217" s="70" t="s">
        <v>28</v>
      </c>
      <c r="J4217" s="71" t="s">
        <v>2492</v>
      </c>
      <c r="L4217" s="208">
        <v>5402.05</v>
      </c>
      <c r="M4217" s="136">
        <f t="shared" si="130"/>
        <v>43960.509703333533</v>
      </c>
    </row>
    <row r="4218" spans="1:13">
      <c r="A4218" s="54" t="str">
        <f t="shared" si="128"/>
        <v/>
      </c>
      <c r="B4218" t="s">
        <v>2281</v>
      </c>
      <c r="C4218" s="1">
        <f t="shared" si="127"/>
        <v>45957</v>
      </c>
      <c r="D4218" s="71"/>
      <c r="F4218" s="70"/>
      <c r="J4218" s="71" t="s">
        <v>2493</v>
      </c>
      <c r="L4218" s="433">
        <v>83243.38</v>
      </c>
      <c r="M4218" s="136">
        <f t="shared" si="130"/>
        <v>-39282.870296666471</v>
      </c>
    </row>
    <row r="4219" spans="1:13">
      <c r="A4219" s="54" t="str">
        <f>D4219&amp;E4219&amp;F4219</f>
        <v>SERVICIOSMTTO DE EDIFICIOMANTENIMIENTO</v>
      </c>
      <c r="B4219" t="s">
        <v>2281</v>
      </c>
      <c r="C4219" s="1">
        <f t="shared" si="127"/>
        <v>45957</v>
      </c>
      <c r="D4219" s="71" t="s">
        <v>21</v>
      </c>
      <c r="E4219" s="71" t="s">
        <v>142</v>
      </c>
      <c r="F4219" s="70" t="s">
        <v>35</v>
      </c>
      <c r="G4219" s="71" t="s">
        <v>258</v>
      </c>
      <c r="J4219" s="71" t="s">
        <v>2494</v>
      </c>
      <c r="L4219" s="433">
        <v>10400</v>
      </c>
      <c r="M4219" s="136">
        <f t="shared" si="130"/>
        <v>-49682.870296666471</v>
      </c>
    </row>
    <row r="4220" spans="1:13">
      <c r="A4220" s="54" t="str">
        <f>D4220&amp;E4220&amp;F4220</f>
        <v>SERVICIOSMTTO DE EDIFICIOMANTENIMIENTO</v>
      </c>
      <c r="B4220" t="s">
        <v>2281</v>
      </c>
      <c r="C4220" s="1">
        <f t="shared" si="127"/>
        <v>45957</v>
      </c>
      <c r="D4220" s="71" t="s">
        <v>21</v>
      </c>
      <c r="E4220" s="71" t="s">
        <v>142</v>
      </c>
      <c r="F4220" s="70" t="s">
        <v>35</v>
      </c>
      <c r="G4220" s="71" t="s">
        <v>258</v>
      </c>
      <c r="J4220" s="71" t="s">
        <v>2495</v>
      </c>
      <c r="L4220" s="433">
        <v>500</v>
      </c>
      <c r="M4220" s="136">
        <f t="shared" si="130"/>
        <v>-50182.870296666471</v>
      </c>
    </row>
    <row r="4221" spans="1:13">
      <c r="A4221" s="54" t="str">
        <f>D4221&amp;E4221&amp;F4221</f>
        <v>HRENERGIA ELECTRICAA6</v>
      </c>
      <c r="B4221" t="s">
        <v>2281</v>
      </c>
      <c r="C4221" s="1">
        <f t="shared" si="127"/>
        <v>45957</v>
      </c>
      <c r="D4221" s="71" t="s">
        <v>29</v>
      </c>
      <c r="E4221" s="71" t="s">
        <v>87</v>
      </c>
      <c r="F4221" s="375" t="s">
        <v>93</v>
      </c>
      <c r="J4221" s="71" t="s">
        <v>1263</v>
      </c>
      <c r="L4221" s="433">
        <v>7923</v>
      </c>
      <c r="M4221" s="136">
        <f t="shared" si="130"/>
        <v>-58105.870296666471</v>
      </c>
    </row>
    <row r="4222" spans="1:13">
      <c r="A4222" s="54" t="str">
        <f>D4222&amp;E4222&amp;F4222</f>
        <v>HRENERGIA ELECTRICAA6</v>
      </c>
      <c r="B4222" t="s">
        <v>2281</v>
      </c>
      <c r="C4222" s="1">
        <f t="shared" si="127"/>
        <v>45957</v>
      </c>
      <c r="D4222" s="71" t="s">
        <v>29</v>
      </c>
      <c r="E4222" s="71" t="s">
        <v>87</v>
      </c>
      <c r="F4222" s="375" t="s">
        <v>93</v>
      </c>
      <c r="J4222" s="71" t="s">
        <v>1263</v>
      </c>
      <c r="L4222" s="433">
        <v>4631</v>
      </c>
      <c r="M4222" s="136">
        <f t="shared" si="130"/>
        <v>-62736.870296666471</v>
      </c>
    </row>
    <row r="4223" spans="1:13">
      <c r="A4223" s="54" t="str">
        <f>D4223&amp;E4223&amp;F4223</f>
        <v>FINANZASFONDO Y REPOSICIONFINANZAS</v>
      </c>
      <c r="B4223" t="s">
        <v>2281</v>
      </c>
      <c r="C4223" s="1">
        <f t="shared" si="127"/>
        <v>45957</v>
      </c>
      <c r="D4223" s="71" t="s">
        <v>23</v>
      </c>
      <c r="E4223" s="71" t="s">
        <v>120</v>
      </c>
      <c r="F4223" s="70" t="s">
        <v>23</v>
      </c>
      <c r="J4223" s="71" t="s">
        <v>1113</v>
      </c>
      <c r="L4223" s="433">
        <v>300</v>
      </c>
      <c r="M4223" s="136">
        <f t="shared" si="130"/>
        <v>-63036.870296666471</v>
      </c>
    </row>
    <row r="4224" spans="1:13">
      <c r="A4224" s="54" t="str">
        <f>D4224&amp;E4224&amp;F4224</f>
        <v>SERVICIOSFONDO Y REPOSICIONSERVICIOS</v>
      </c>
      <c r="B4224" t="s">
        <v>2281</v>
      </c>
      <c r="C4224" s="1">
        <f t="shared" si="127"/>
        <v>45957</v>
      </c>
      <c r="D4224" s="71" t="s">
        <v>21</v>
      </c>
      <c r="E4224" s="71" t="s">
        <v>120</v>
      </c>
      <c r="F4224" s="70" t="s">
        <v>21</v>
      </c>
      <c r="G4224" s="71" t="s">
        <v>258</v>
      </c>
      <c r="J4224" s="71" t="s">
        <v>2496</v>
      </c>
      <c r="L4224" s="433">
        <v>1500</v>
      </c>
      <c r="M4224" s="136">
        <f t="shared" si="130"/>
        <v>-64536.870296666471</v>
      </c>
    </row>
    <row r="4225" spans="1:13">
      <c r="A4225" s="54" t="str">
        <f>D4225&amp;E4225&amp;F4225</f>
        <v>MKTVIATICOSMKT</v>
      </c>
      <c r="B4225" t="s">
        <v>2281</v>
      </c>
      <c r="C4225" s="1">
        <f t="shared" si="127"/>
        <v>45957</v>
      </c>
      <c r="D4225" s="71" t="s">
        <v>19</v>
      </c>
      <c r="E4225" s="71" t="s">
        <v>191</v>
      </c>
      <c r="F4225" s="70" t="s">
        <v>19</v>
      </c>
      <c r="G4225" s="71" t="s">
        <v>258</v>
      </c>
      <c r="J4225" s="71" t="s">
        <v>2219</v>
      </c>
      <c r="L4225" s="433">
        <v>1000</v>
      </c>
      <c r="M4225" s="136">
        <f t="shared" si="130"/>
        <v>-65536.870296666471</v>
      </c>
    </row>
    <row r="4226" spans="1:13">
      <c r="A4226" s="54" t="str">
        <f>D4226&amp;E4226&amp;F4226</f>
        <v>MKTCOMBUSTIBLEMKT</v>
      </c>
      <c r="B4226" t="s">
        <v>2281</v>
      </c>
      <c r="C4226" s="1">
        <f t="shared" si="127"/>
        <v>45957</v>
      </c>
      <c r="D4226" s="71" t="s">
        <v>19</v>
      </c>
      <c r="E4226" s="71" t="s">
        <v>32</v>
      </c>
      <c r="F4226" s="70" t="s">
        <v>19</v>
      </c>
      <c r="G4226" s="71" t="s">
        <v>258</v>
      </c>
      <c r="J4226" s="71" t="s">
        <v>2073</v>
      </c>
      <c r="L4226" s="433">
        <v>400</v>
      </c>
      <c r="M4226" s="136">
        <f t="shared" si="130"/>
        <v>-65936.870296666471</v>
      </c>
    </row>
    <row r="4227" spans="1:13">
      <c r="A4227" s="54" t="str">
        <f>D4227&amp;E4227&amp;F4227</f>
        <v>SERVICIOSINSUMOSSISTEMAS</v>
      </c>
      <c r="B4227" t="s">
        <v>2281</v>
      </c>
      <c r="C4227" s="1">
        <f t="shared" si="127"/>
        <v>45957</v>
      </c>
      <c r="D4227" s="71" t="s">
        <v>21</v>
      </c>
      <c r="E4227" s="71" t="s">
        <v>133</v>
      </c>
      <c r="F4227" s="70" t="s">
        <v>36</v>
      </c>
      <c r="J4227" s="71" t="s">
        <v>2497</v>
      </c>
      <c r="L4227" s="433">
        <v>3944</v>
      </c>
      <c r="M4227" s="136">
        <f t="shared" si="130"/>
        <v>-69880.870296666471</v>
      </c>
    </row>
    <row r="4228" spans="1:13">
      <c r="A4228" s="54" t="str">
        <f>D4228&amp;E4228&amp;F4228</f>
        <v>FINANZASSEGUROEQ. DE TRANSPORTE</v>
      </c>
      <c r="B4228" t="s">
        <v>2281</v>
      </c>
      <c r="C4228" s="1">
        <f t="shared" si="127"/>
        <v>45957</v>
      </c>
      <c r="D4228" s="71" t="s">
        <v>23</v>
      </c>
      <c r="E4228" s="71" t="s">
        <v>173</v>
      </c>
      <c r="F4228" s="70" t="s">
        <v>175</v>
      </c>
      <c r="J4228" s="71" t="s">
        <v>2498</v>
      </c>
      <c r="L4228" s="433">
        <v>4246.16</v>
      </c>
      <c r="M4228" s="136">
        <f t="shared" si="130"/>
        <v>-74127.030296666475</v>
      </c>
    </row>
    <row r="4229" spans="1:13">
      <c r="A4229" s="54" t="str">
        <f t="shared" si="128"/>
        <v/>
      </c>
      <c r="B4229" t="s">
        <v>2281</v>
      </c>
      <c r="C4229" s="1">
        <f t="shared" si="127"/>
        <v>45957</v>
      </c>
      <c r="D4229" s="71"/>
      <c r="F4229" s="70"/>
      <c r="J4229" s="71" t="s">
        <v>564</v>
      </c>
      <c r="L4229" s="433">
        <v>10522</v>
      </c>
      <c r="M4229" s="136">
        <f t="shared" si="130"/>
        <v>-84649.030296666475</v>
      </c>
    </row>
    <row r="4230" spans="1:13">
      <c r="A4230" s="54" t="str">
        <f>D4230&amp;E4230&amp;F4230</f>
        <v>HRUBERHR</v>
      </c>
      <c r="B4230" t="s">
        <v>2281</v>
      </c>
      <c r="C4230" s="1">
        <f t="shared" si="127"/>
        <v>45957</v>
      </c>
      <c r="D4230" s="71" t="s">
        <v>29</v>
      </c>
      <c r="E4230" s="71" t="s">
        <v>189</v>
      </c>
      <c r="F4230" s="70" t="s">
        <v>29</v>
      </c>
      <c r="J4230" s="76" t="s">
        <v>2499</v>
      </c>
      <c r="L4230" s="522">
        <v>300</v>
      </c>
      <c r="M4230" s="136">
        <f t="shared" si="130"/>
        <v>-84949.030296666475</v>
      </c>
    </row>
    <row r="4231" spans="1:13">
      <c r="A4231" s="54" t="str">
        <f>D4231&amp;E4231&amp;F4231</f>
        <v>HRFUMIGACIONHR</v>
      </c>
      <c r="B4231" t="s">
        <v>2281</v>
      </c>
      <c r="C4231" s="1">
        <f t="shared" ref="C4231:C4295" si="131">C4230</f>
        <v>45957</v>
      </c>
      <c r="D4231" s="71" t="s">
        <v>29</v>
      </c>
      <c r="E4231" s="71" t="s">
        <v>121</v>
      </c>
      <c r="F4231" s="70" t="s">
        <v>29</v>
      </c>
      <c r="G4231" s="71" t="s">
        <v>258</v>
      </c>
      <c r="J4231" s="76" t="s">
        <v>2500</v>
      </c>
      <c r="L4231" s="535">
        <v>1940</v>
      </c>
      <c r="M4231" s="136">
        <f t="shared" si="130"/>
        <v>-86889.030296666475</v>
      </c>
    </row>
    <row r="4232" spans="1:13">
      <c r="A4232" s="54" t="str">
        <f>D4232&amp;E4232&amp;F4232</f>
        <v>HRUBERHR</v>
      </c>
      <c r="B4232" t="s">
        <v>2281</v>
      </c>
      <c r="C4232" s="1">
        <f t="shared" si="131"/>
        <v>45957</v>
      </c>
      <c r="D4232" s="71" t="s">
        <v>29</v>
      </c>
      <c r="E4232" s="71" t="s">
        <v>189</v>
      </c>
      <c r="F4232" s="70" t="s">
        <v>29</v>
      </c>
      <c r="J4232" s="76" t="s">
        <v>2451</v>
      </c>
      <c r="L4232" s="522">
        <v>160</v>
      </c>
      <c r="M4232" s="136">
        <f t="shared" si="130"/>
        <v>-87049.030296666475</v>
      </c>
    </row>
    <row r="4233" spans="1:13">
      <c r="A4233" s="54" t="str">
        <f>D4233&amp;E4233&amp;F4233</f>
        <v>HRINSUMOSHR</v>
      </c>
      <c r="B4233" t="s">
        <v>2281</v>
      </c>
      <c r="C4233" s="1">
        <f t="shared" si="131"/>
        <v>45957</v>
      </c>
      <c r="D4233" s="71" t="s">
        <v>29</v>
      </c>
      <c r="E4233" s="71" t="s">
        <v>133</v>
      </c>
      <c r="F4233" s="70" t="s">
        <v>29</v>
      </c>
      <c r="J4233" s="76" t="s">
        <v>2501</v>
      </c>
      <c r="L4233" s="434">
        <v>90</v>
      </c>
      <c r="M4233" s="136">
        <f t="shared" si="130"/>
        <v>-87139.030296666475</v>
      </c>
    </row>
    <row r="4234" spans="1:13">
      <c r="A4234" s="54" t="str">
        <f>D4234&amp;E4234&amp;F4234</f>
        <v>HRNOMINA SUCURSALA10</v>
      </c>
      <c r="B4234" t="s">
        <v>2281</v>
      </c>
      <c r="C4234" s="1">
        <f t="shared" si="131"/>
        <v>45957</v>
      </c>
      <c r="D4234" s="71" t="s">
        <v>29</v>
      </c>
      <c r="E4234" s="71" t="s">
        <v>154</v>
      </c>
      <c r="F4234" s="70" t="s">
        <v>96</v>
      </c>
      <c r="J4234" s="76" t="s">
        <v>2502</v>
      </c>
      <c r="L4234" s="434">
        <v>138</v>
      </c>
      <c r="M4234" s="136">
        <f t="shared" si="130"/>
        <v>-87277.030296666475</v>
      </c>
    </row>
    <row r="4235" spans="1:13">
      <c r="A4235" s="54" t="str">
        <f>D4235&amp;E4235&amp;F4235</f>
        <v>HRFONDO Y REPOSICIONHR</v>
      </c>
      <c r="B4235" t="s">
        <v>2281</v>
      </c>
      <c r="C4235" s="1">
        <f t="shared" si="131"/>
        <v>45957</v>
      </c>
      <c r="D4235" s="71" t="s">
        <v>29</v>
      </c>
      <c r="E4235" s="71" t="s">
        <v>120</v>
      </c>
      <c r="F4235" s="70" t="s">
        <v>29</v>
      </c>
      <c r="J4235" s="76" t="s">
        <v>2503</v>
      </c>
      <c r="L4235" s="434">
        <v>250</v>
      </c>
      <c r="M4235" s="136">
        <f t="shared" si="130"/>
        <v>-87527.030296666475</v>
      </c>
    </row>
    <row r="4236" spans="1:13">
      <c r="A4236" s="54" t="str">
        <f>D4236&amp;E4236&amp;F4236</f>
        <v>HRNOMINA SUCURSALA12</v>
      </c>
      <c r="B4236" t="s">
        <v>2281</v>
      </c>
      <c r="C4236" s="1">
        <f t="shared" si="131"/>
        <v>45957</v>
      </c>
      <c r="D4236" s="71" t="s">
        <v>29</v>
      </c>
      <c r="E4236" s="71" t="s">
        <v>154</v>
      </c>
      <c r="F4236" s="70" t="s">
        <v>98</v>
      </c>
      <c r="J4236" s="76" t="s">
        <v>2504</v>
      </c>
      <c r="L4236" s="434">
        <v>2385</v>
      </c>
      <c r="M4236" s="136">
        <f>M4235+K4236-L4236</f>
        <v>-89912.030296666475</v>
      </c>
    </row>
    <row r="4237" spans="1:13">
      <c r="A4237" s="54" t="str">
        <f>D4237&amp;E4237&amp;F4237</f>
        <v>HRUBERHR</v>
      </c>
      <c r="B4237" t="s">
        <v>2281</v>
      </c>
      <c r="C4237" s="1">
        <f t="shared" si="131"/>
        <v>45957</v>
      </c>
      <c r="D4237" s="71" t="s">
        <v>29</v>
      </c>
      <c r="E4237" s="71" t="s">
        <v>189</v>
      </c>
      <c r="F4237" s="70" t="s">
        <v>29</v>
      </c>
      <c r="J4237" s="76" t="s">
        <v>2505</v>
      </c>
      <c r="L4237" s="522">
        <v>300</v>
      </c>
      <c r="M4237" s="136">
        <f>M4236+K4237-L4237</f>
        <v>-90212.030296666475</v>
      </c>
    </row>
    <row r="4238" spans="1:13">
      <c r="A4238" s="54" t="str">
        <f>D4238&amp;E4238&amp;F4238</f>
        <v>HRUBERHR</v>
      </c>
      <c r="B4238" t="s">
        <v>2281</v>
      </c>
      <c r="C4238" s="1">
        <f t="shared" si="131"/>
        <v>45957</v>
      </c>
      <c r="D4238" s="71" t="s">
        <v>29</v>
      </c>
      <c r="E4238" s="71" t="s">
        <v>189</v>
      </c>
      <c r="F4238" s="70" t="s">
        <v>29</v>
      </c>
      <c r="J4238" s="76" t="s">
        <v>2419</v>
      </c>
      <c r="L4238" s="522">
        <v>800</v>
      </c>
      <c r="M4238" s="136">
        <f>M4237+K4238-L4238</f>
        <v>-91012.030296666475</v>
      </c>
    </row>
    <row r="4239" spans="1:13">
      <c r="A4239" s="54" t="str">
        <f>D4239&amp;E4239&amp;F4239</f>
        <v>HRUBERHR</v>
      </c>
      <c r="B4239" t="s">
        <v>2281</v>
      </c>
      <c r="C4239" s="1">
        <f t="shared" si="131"/>
        <v>45957</v>
      </c>
      <c r="D4239" s="71" t="s">
        <v>29</v>
      </c>
      <c r="E4239" s="71" t="s">
        <v>189</v>
      </c>
      <c r="F4239" s="70" t="s">
        <v>29</v>
      </c>
      <c r="J4239" s="76" t="s">
        <v>2506</v>
      </c>
      <c r="L4239" s="522">
        <v>120</v>
      </c>
      <c r="M4239" s="136">
        <f>M4238+K4239-L4239</f>
        <v>-91132.030296666475</v>
      </c>
    </row>
    <row r="4240" spans="1:13">
      <c r="A4240" s="54" t="str">
        <f>D4240&amp;E4240&amp;F4240</f>
        <v>HRNOMINA SUCURSALA17</v>
      </c>
      <c r="B4240" t="s">
        <v>2281</v>
      </c>
      <c r="C4240" s="1">
        <f t="shared" si="131"/>
        <v>45957</v>
      </c>
      <c r="D4240" s="71" t="s">
        <v>29</v>
      </c>
      <c r="E4240" s="71" t="s">
        <v>154</v>
      </c>
      <c r="F4240" s="70" t="s">
        <v>102</v>
      </c>
      <c r="J4240" s="76" t="s">
        <v>2507</v>
      </c>
      <c r="L4240" s="434">
        <v>2065</v>
      </c>
      <c r="M4240" s="136">
        <f>M4239+K4240-L4240</f>
        <v>-93197.030296666475</v>
      </c>
    </row>
    <row r="4241" spans="1:13">
      <c r="A4241" s="54" t="str">
        <f>D4241&amp;E4241&amp;F4241</f>
        <v>HRUBERHR</v>
      </c>
      <c r="B4241" t="s">
        <v>2281</v>
      </c>
      <c r="C4241" s="1">
        <v>45957</v>
      </c>
      <c r="D4241" s="71" t="s">
        <v>29</v>
      </c>
      <c r="E4241" s="71" t="s">
        <v>189</v>
      </c>
      <c r="F4241" s="70" t="s">
        <v>29</v>
      </c>
      <c r="J4241" s="76" t="s">
        <v>2508</v>
      </c>
      <c r="L4241" s="522">
        <v>200</v>
      </c>
      <c r="M4241" s="136">
        <f>M4240+K4241-L4241</f>
        <v>-93397.030296666475</v>
      </c>
    </row>
    <row r="4242" spans="1:13">
      <c r="A4242" s="54" t="str">
        <f>D4242&amp;E4242&amp;F4242</f>
        <v>CAPUBERCAP</v>
      </c>
      <c r="B4242" t="s">
        <v>2281</v>
      </c>
      <c r="C4242" s="1">
        <f t="shared" si="131"/>
        <v>45957</v>
      </c>
      <c r="D4242" s="71" t="s">
        <v>31</v>
      </c>
      <c r="E4242" s="71" t="s">
        <v>189</v>
      </c>
      <c r="F4242" s="70" t="s">
        <v>31</v>
      </c>
      <c r="J4242" s="450" t="s">
        <v>2262</v>
      </c>
      <c r="K4242" s="450"/>
      <c r="L4242" s="522">
        <v>960</v>
      </c>
      <c r="M4242" s="136">
        <f>M4241+K4242-L4242</f>
        <v>-94357.030296666475</v>
      </c>
    </row>
    <row r="4243" spans="1:13">
      <c r="A4243" s="54" t="str">
        <f>D4243&amp;E4243&amp;F4243</f>
        <v>CAPINSUMOSCAPRICHOS</v>
      </c>
      <c r="B4243" t="s">
        <v>2281</v>
      </c>
      <c r="C4243" s="1">
        <f t="shared" si="131"/>
        <v>45957</v>
      </c>
      <c r="D4243" s="71" t="s">
        <v>31</v>
      </c>
      <c r="E4243" s="71" t="s">
        <v>133</v>
      </c>
      <c r="F4243" s="70" t="s">
        <v>33</v>
      </c>
      <c r="J4243" s="76" t="s">
        <v>2509</v>
      </c>
      <c r="L4243" s="434">
        <v>60</v>
      </c>
      <c r="M4243" s="136">
        <f>M4242+K4243-L4243</f>
        <v>-94417.030296666475</v>
      </c>
    </row>
    <row r="4244" spans="1:13">
      <c r="A4244" s="54" t="str">
        <f>D4244&amp;E4244&amp;F4244</f>
        <v>CAPUBERCAP</v>
      </c>
      <c r="B4244" t="s">
        <v>2281</v>
      </c>
      <c r="C4244" s="1">
        <f t="shared" si="131"/>
        <v>45957</v>
      </c>
      <c r="D4244" s="71" t="s">
        <v>31</v>
      </c>
      <c r="E4244" s="71" t="s">
        <v>189</v>
      </c>
      <c r="F4244" s="70" t="s">
        <v>31</v>
      </c>
      <c r="J4244" s="76" t="s">
        <v>2510</v>
      </c>
      <c r="L4244" s="522">
        <v>300</v>
      </c>
      <c r="M4244" s="136">
        <f>M4243+K4244-L4244</f>
        <v>-94717.030296666475</v>
      </c>
    </row>
    <row r="4245" spans="1:13">
      <c r="A4245" s="54" t="str">
        <f>D4245&amp;E4245&amp;F4245</f>
        <v>CAPUBERCAP</v>
      </c>
      <c r="B4245" t="s">
        <v>2281</v>
      </c>
      <c r="C4245" s="1">
        <f t="shared" si="131"/>
        <v>45957</v>
      </c>
      <c r="D4245" s="71" t="s">
        <v>31</v>
      </c>
      <c r="E4245" s="71" t="s">
        <v>189</v>
      </c>
      <c r="F4245" s="70" t="s">
        <v>31</v>
      </c>
      <c r="J4245" s="76" t="s">
        <v>2278</v>
      </c>
      <c r="L4245" s="522">
        <v>330</v>
      </c>
      <c r="M4245" s="136">
        <f>M4244+K4245-L4245</f>
        <v>-95047.030296666475</v>
      </c>
    </row>
    <row r="4246" spans="1:13">
      <c r="A4246" s="54" t="str">
        <f>D4246&amp;E4246&amp;F4246</f>
        <v>CAPINSUMOSCAPRICHOS</v>
      </c>
      <c r="B4246" t="s">
        <v>2281</v>
      </c>
      <c r="C4246" s="1">
        <f t="shared" si="131"/>
        <v>45957</v>
      </c>
      <c r="D4246" s="71" t="s">
        <v>31</v>
      </c>
      <c r="E4246" s="71" t="s">
        <v>133</v>
      </c>
      <c r="F4246" s="70" t="s">
        <v>33</v>
      </c>
      <c r="J4246" s="76" t="s">
        <v>2511</v>
      </c>
      <c r="L4246" s="434">
        <v>45</v>
      </c>
      <c r="M4246" s="136">
        <f>M4245+K4246-L4246</f>
        <v>-95092.030296666475</v>
      </c>
    </row>
    <row r="4247" spans="1:13">
      <c r="A4247" s="54" t="str">
        <f>D4247&amp;E4247&amp;F4247</f>
        <v>CAPUBERCAP</v>
      </c>
      <c r="B4247" t="s">
        <v>2281</v>
      </c>
      <c r="C4247" s="1">
        <f t="shared" si="131"/>
        <v>45957</v>
      </c>
      <c r="D4247" s="71" t="s">
        <v>31</v>
      </c>
      <c r="E4247" s="71" t="s">
        <v>189</v>
      </c>
      <c r="F4247" s="70" t="s">
        <v>31</v>
      </c>
      <c r="J4247" s="76" t="s">
        <v>2512</v>
      </c>
      <c r="L4247" s="522">
        <v>50</v>
      </c>
      <c r="M4247" s="136">
        <f>M4246+K4247-L4247</f>
        <v>-95142.030296666475</v>
      </c>
    </row>
    <row r="4248" spans="1:13">
      <c r="A4248" s="54" t="str">
        <f>D4248&amp;E4248&amp;F4248</f>
        <v>CAPINSUMOSCAPRICHOS</v>
      </c>
      <c r="B4248" t="s">
        <v>2281</v>
      </c>
      <c r="C4248" s="1">
        <f t="shared" si="131"/>
        <v>45957</v>
      </c>
      <c r="D4248" s="71" t="s">
        <v>31</v>
      </c>
      <c r="E4248" s="71" t="s">
        <v>133</v>
      </c>
      <c r="F4248" s="70" t="s">
        <v>33</v>
      </c>
      <c r="J4248" s="76" t="s">
        <v>2297</v>
      </c>
      <c r="L4248" s="434">
        <v>39</v>
      </c>
      <c r="M4248" s="136">
        <f t="shared" ref="M4248:M4267" si="132">M4247+K4248-L4248</f>
        <v>-95181.030296666475</v>
      </c>
    </row>
    <row r="4249" spans="1:13">
      <c r="A4249" s="54" t="str">
        <f>D4249&amp;E4249&amp;F4249</f>
        <v>ELIUBERL1</v>
      </c>
      <c r="B4249" t="s">
        <v>2281</v>
      </c>
      <c r="C4249" s="1">
        <f t="shared" si="131"/>
        <v>45957</v>
      </c>
      <c r="D4249" s="71" t="s">
        <v>130</v>
      </c>
      <c r="E4249" s="71" t="s">
        <v>189</v>
      </c>
      <c r="F4249" s="70" t="s">
        <v>136</v>
      </c>
      <c r="J4249" s="76" t="s">
        <v>2322</v>
      </c>
      <c r="L4249" s="522">
        <v>400</v>
      </c>
      <c r="M4249" s="136">
        <f>M4248+K4249-L4249</f>
        <v>-95581.030296666475</v>
      </c>
    </row>
    <row r="4250" spans="1:13">
      <c r="A4250" s="54" t="str">
        <f t="shared" ref="A4242:A4305" si="133">D4250&amp;E4250&amp;F4250</f>
        <v/>
      </c>
      <c r="B4250" t="s">
        <v>2281</v>
      </c>
      <c r="C4250" s="1">
        <v>45958</v>
      </c>
      <c r="D4250" s="71"/>
      <c r="F4250" s="70"/>
      <c r="J4250" s="71" t="s">
        <v>2045</v>
      </c>
      <c r="K4250" s="325">
        <v>282447.8</v>
      </c>
      <c r="L4250" s="432"/>
      <c r="M4250" s="136">
        <f>M4249+K4250-L4250</f>
        <v>186866.7697033335</v>
      </c>
    </row>
    <row r="4251" spans="1:13">
      <c r="A4251" s="54" t="str">
        <f>D4251&amp;E4251&amp;F4251</f>
        <v>FINANZASCOMISIONES BANCARIASTPV</v>
      </c>
      <c r="B4251" t="s">
        <v>2281</v>
      </c>
      <c r="C4251" s="1">
        <f t="shared" si="131"/>
        <v>45958</v>
      </c>
      <c r="D4251" s="71" t="s">
        <v>23</v>
      </c>
      <c r="E4251" s="71" t="s">
        <v>48</v>
      </c>
      <c r="F4251" s="70" t="s">
        <v>50</v>
      </c>
      <c r="J4251" s="71" t="s">
        <v>217</v>
      </c>
      <c r="L4251" s="433">
        <f>134.07+775.43+207.14+1409.54</f>
        <v>2526.1799999999998</v>
      </c>
      <c r="M4251" s="136">
        <f>M4250+K4251-L4251</f>
        <v>184340.58970333351</v>
      </c>
    </row>
    <row r="4252" spans="1:13">
      <c r="A4252" s="54" t="str">
        <f t="shared" si="133"/>
        <v/>
      </c>
      <c r="B4252" t="s">
        <v>2281</v>
      </c>
      <c r="C4252" s="1">
        <f t="shared" si="131"/>
        <v>45958</v>
      </c>
      <c r="D4252" s="71"/>
      <c r="F4252" s="70"/>
      <c r="J4252" s="205" t="s">
        <v>1562</v>
      </c>
      <c r="K4252" s="205"/>
      <c r="L4252" s="206">
        <v>200000</v>
      </c>
      <c r="M4252" s="136">
        <f>M4251+K4252-L4252</f>
        <v>-15659.410296666494</v>
      </c>
    </row>
    <row r="4253" spans="1:13">
      <c r="A4253" s="54" t="str">
        <f t="shared" si="133"/>
        <v/>
      </c>
      <c r="B4253" t="s">
        <v>2281</v>
      </c>
      <c r="C4253" s="1">
        <f t="shared" si="131"/>
        <v>45958</v>
      </c>
      <c r="D4253" s="71"/>
      <c r="F4253" s="70"/>
      <c r="J4253" s="205" t="s">
        <v>2348</v>
      </c>
      <c r="K4253" s="205"/>
      <c r="L4253" s="206"/>
      <c r="M4253" s="136">
        <f>M4252+K4253-L4253</f>
        <v>-15659.410296666494</v>
      </c>
    </row>
    <row r="4254" spans="1:13">
      <c r="A4254" s="54" t="str">
        <f>D4254&amp;E4254&amp;F4254</f>
        <v>CAPVIATICOSCAPRICHOS</v>
      </c>
      <c r="B4254" t="s">
        <v>2281</v>
      </c>
      <c r="C4254" s="1">
        <v>45958</v>
      </c>
      <c r="D4254" s="71" t="s">
        <v>31</v>
      </c>
      <c r="E4254" s="71" t="s">
        <v>191</v>
      </c>
      <c r="F4254" s="70" t="s">
        <v>33</v>
      </c>
      <c r="J4254" s="71" t="s">
        <v>2513</v>
      </c>
      <c r="L4254" s="433">
        <v>2500</v>
      </c>
      <c r="M4254" s="136">
        <f>M4253+K4254-L4254</f>
        <v>-18159.410296666494</v>
      </c>
    </row>
    <row r="4255" spans="1:13">
      <c r="A4255" s="54" t="str">
        <f>D4255&amp;E4255&amp;F4255</f>
        <v>HRVIATICOSHR</v>
      </c>
      <c r="B4255" t="s">
        <v>2281</v>
      </c>
      <c r="C4255" s="1">
        <f t="shared" si="131"/>
        <v>45958</v>
      </c>
      <c r="D4255" s="71" t="s">
        <v>29</v>
      </c>
      <c r="E4255" s="71" t="s">
        <v>191</v>
      </c>
      <c r="F4255" s="70" t="s">
        <v>29</v>
      </c>
      <c r="J4255" s="71" t="s">
        <v>2514</v>
      </c>
      <c r="L4255" s="433">
        <v>6800</v>
      </c>
      <c r="M4255" s="136">
        <f>M4254+K4255-L4255</f>
        <v>-24959.410296666494</v>
      </c>
    </row>
    <row r="4256" spans="1:13">
      <c r="A4256" s="54" t="str">
        <f>D4256&amp;E4256&amp;F4256</f>
        <v>HRCAPACITACIONCAPACITACION</v>
      </c>
      <c r="B4256" t="s">
        <v>2281</v>
      </c>
      <c r="C4256" s="1">
        <f t="shared" si="131"/>
        <v>45958</v>
      </c>
      <c r="D4256" t="s">
        <v>29</v>
      </c>
      <c r="E4256" s="71" t="s">
        <v>30</v>
      </c>
      <c r="F4256" s="70" t="s">
        <v>30</v>
      </c>
      <c r="J4256" s="71" t="s">
        <v>2515</v>
      </c>
      <c r="L4256" s="433">
        <v>1600</v>
      </c>
      <c r="M4256" s="136">
        <f>M4255+K4256-L4256</f>
        <v>-26559.410296666494</v>
      </c>
    </row>
    <row r="4257" spans="1:13">
      <c r="A4257" s="54" t="str">
        <f>D4257&amp;E4257&amp;F4257</f>
        <v>HRFONDO Y REPOSICIONHR</v>
      </c>
      <c r="B4257" t="s">
        <v>2281</v>
      </c>
      <c r="C4257" s="1">
        <f t="shared" si="131"/>
        <v>45958</v>
      </c>
      <c r="D4257" s="71" t="s">
        <v>29</v>
      </c>
      <c r="E4257" s="71" t="s">
        <v>120</v>
      </c>
      <c r="F4257" s="70" t="s">
        <v>29</v>
      </c>
      <c r="J4257" s="71" t="s">
        <v>2516</v>
      </c>
      <c r="L4257" s="433">
        <v>3800</v>
      </c>
      <c r="M4257" s="136">
        <f>M4256+K4257-L4257</f>
        <v>-30359.410296666494</v>
      </c>
    </row>
    <row r="4258" spans="1:13">
      <c r="A4258" s="54" t="str">
        <f>D4258&amp;E4258&amp;F4258</f>
        <v>HRFONDO Y REPOSICIONHR</v>
      </c>
      <c r="B4258" t="s">
        <v>2281</v>
      </c>
      <c r="C4258" s="1">
        <f t="shared" si="131"/>
        <v>45958</v>
      </c>
      <c r="D4258" s="71" t="s">
        <v>29</v>
      </c>
      <c r="E4258" s="71" t="s">
        <v>120</v>
      </c>
      <c r="F4258" s="70" t="s">
        <v>29</v>
      </c>
      <c r="J4258" s="71" t="s">
        <v>2517</v>
      </c>
      <c r="L4258" s="433">
        <v>2000</v>
      </c>
      <c r="M4258" s="136">
        <f>M4257+K4258-L4258</f>
        <v>-32359.410296666494</v>
      </c>
    </row>
    <row r="4259" spans="1:13">
      <c r="A4259" s="54" t="str">
        <f>D4259&amp;E4259&amp;F4259</f>
        <v>CAPFONDO Y REPOSICIONCAPRICHOS</v>
      </c>
      <c r="B4259" t="s">
        <v>2281</v>
      </c>
      <c r="C4259" s="1">
        <f t="shared" si="131"/>
        <v>45958</v>
      </c>
      <c r="D4259" s="71" t="s">
        <v>31</v>
      </c>
      <c r="E4259" s="71" t="s">
        <v>120</v>
      </c>
      <c r="F4259" s="70" t="s">
        <v>33</v>
      </c>
      <c r="J4259" s="71" t="s">
        <v>2518</v>
      </c>
      <c r="L4259" s="433">
        <v>1882</v>
      </c>
      <c r="M4259" s="136">
        <f>M4258+K4259-L4259</f>
        <v>-34241.410296666494</v>
      </c>
    </row>
    <row r="4260" spans="1:13">
      <c r="A4260" s="54" t="str">
        <f>D4260&amp;E4260&amp;F4260</f>
        <v>CAPFONDO Y REPOSICIONCAPRICHOS</v>
      </c>
      <c r="B4260" t="s">
        <v>2281</v>
      </c>
      <c r="C4260" s="1">
        <f t="shared" si="131"/>
        <v>45958</v>
      </c>
      <c r="D4260" s="71" t="s">
        <v>31</v>
      </c>
      <c r="E4260" s="71" t="s">
        <v>120</v>
      </c>
      <c r="F4260" s="70" t="s">
        <v>33</v>
      </c>
      <c r="G4260" s="71" t="s">
        <v>258</v>
      </c>
      <c r="J4260" s="71" t="s">
        <v>2519</v>
      </c>
      <c r="L4260" s="433">
        <v>2180</v>
      </c>
      <c r="M4260" s="136">
        <f>M4259+K4260-L4260</f>
        <v>-36421.410296666494</v>
      </c>
    </row>
    <row r="4261" spans="1:13">
      <c r="A4261" s="54" t="str">
        <f>D4261&amp;E4261&amp;F4261</f>
        <v>HRFONDO Y REPOSICIONHR</v>
      </c>
      <c r="B4261" t="s">
        <v>2281</v>
      </c>
      <c r="C4261" s="1">
        <f t="shared" si="131"/>
        <v>45958</v>
      </c>
      <c r="D4261" s="71" t="s">
        <v>29</v>
      </c>
      <c r="E4261" s="71" t="s">
        <v>120</v>
      </c>
      <c r="F4261" s="70" t="s">
        <v>29</v>
      </c>
      <c r="J4261" s="71" t="s">
        <v>2520</v>
      </c>
      <c r="L4261" s="433">
        <v>1923</v>
      </c>
      <c r="M4261" s="136">
        <f>M4260+K4261-L4261</f>
        <v>-38344.410296666494</v>
      </c>
    </row>
    <row r="4262" spans="1:13">
      <c r="A4262" s="54" t="str">
        <f>D4262&amp;E4262&amp;F4262</f>
        <v>SERVICIOSADQ DE EQ TECNOLOGICOADQ DE EQ TECNOLOGICO</v>
      </c>
      <c r="B4262" t="s">
        <v>2281</v>
      </c>
      <c r="C4262" s="1">
        <f t="shared" si="131"/>
        <v>45958</v>
      </c>
      <c r="D4262" s="71" t="s">
        <v>21</v>
      </c>
      <c r="E4262" s="71" t="s">
        <v>22</v>
      </c>
      <c r="F4262" s="70" t="s">
        <v>22</v>
      </c>
      <c r="G4262" s="71" t="s">
        <v>258</v>
      </c>
      <c r="J4262" s="71" t="s">
        <v>2521</v>
      </c>
      <c r="L4262" s="433">
        <v>2100</v>
      </c>
      <c r="M4262" s="136">
        <f>M4261+K4262-L4262</f>
        <v>-40444.410296666494</v>
      </c>
    </row>
    <row r="4263" spans="1:13">
      <c r="A4263" s="54" t="str">
        <f>D4263&amp;E4263&amp;F4263</f>
        <v>SERVICIOSVIATICOSCEDIS</v>
      </c>
      <c r="B4263" t="s">
        <v>2281</v>
      </c>
      <c r="C4263" s="1">
        <f t="shared" si="131"/>
        <v>45958</v>
      </c>
      <c r="D4263" s="71" t="s">
        <v>21</v>
      </c>
      <c r="E4263" s="71" t="s">
        <v>191</v>
      </c>
      <c r="F4263" s="70" t="s">
        <v>28</v>
      </c>
      <c r="G4263" s="71" t="s">
        <v>258</v>
      </c>
      <c r="J4263" s="71" t="s">
        <v>646</v>
      </c>
      <c r="L4263" s="433">
        <v>1100</v>
      </c>
      <c r="M4263" s="136">
        <f>M4262+K4263-L4263</f>
        <v>-41544.410296666494</v>
      </c>
    </row>
    <row r="4264" spans="1:13">
      <c r="A4264" s="54" t="str">
        <f>D4264&amp;E4264&amp;F4264</f>
        <v>HRMKTMKT HR</v>
      </c>
      <c r="B4264" t="s">
        <v>2281</v>
      </c>
      <c r="C4264" s="1">
        <f t="shared" si="131"/>
        <v>45958</v>
      </c>
      <c r="D4264" s="71" t="s">
        <v>29</v>
      </c>
      <c r="E4264" s="71" t="s">
        <v>19</v>
      </c>
      <c r="F4264" s="70" t="s">
        <v>138</v>
      </c>
      <c r="G4264" s="71" t="s">
        <v>258</v>
      </c>
      <c r="J4264" s="71" t="s">
        <v>2522</v>
      </c>
      <c r="L4264" s="433">
        <v>6000</v>
      </c>
      <c r="M4264" s="136">
        <f>M4263+K4264-L4264</f>
        <v>-47544.410296666494</v>
      </c>
    </row>
    <row r="4265" spans="1:13">
      <c r="A4265" s="54" t="str">
        <f>D4265&amp;E4265&amp;F4265</f>
        <v>CAPMTTO EQ DE TRANSPORTECAPRICHOS</v>
      </c>
      <c r="B4265" t="s">
        <v>2281</v>
      </c>
      <c r="C4265" s="1">
        <f t="shared" si="131"/>
        <v>45958</v>
      </c>
      <c r="D4265" s="71" t="s">
        <v>31</v>
      </c>
      <c r="E4265" s="71" t="s">
        <v>144</v>
      </c>
      <c r="F4265" s="70" t="s">
        <v>33</v>
      </c>
      <c r="J4265" s="71" t="s">
        <v>2523</v>
      </c>
      <c r="L4265" s="433">
        <v>3132</v>
      </c>
      <c r="M4265" s="136">
        <f>M4264+K4265-L4265</f>
        <v>-50676.410296666494</v>
      </c>
    </row>
    <row r="4266" spans="1:13">
      <c r="A4266" s="54" t="str">
        <f>D4266&amp;E4266&amp;F4266</f>
        <v>SERVICIOSVIATICOSCOMPRAS</v>
      </c>
      <c r="B4266" t="s">
        <v>2281</v>
      </c>
      <c r="C4266" s="1">
        <f t="shared" si="131"/>
        <v>45958</v>
      </c>
      <c r="D4266" s="71" t="s">
        <v>21</v>
      </c>
      <c r="E4266" s="71" t="s">
        <v>191</v>
      </c>
      <c r="F4266" s="70" t="s">
        <v>148</v>
      </c>
      <c r="J4266" s="71" t="s">
        <v>2524</v>
      </c>
      <c r="L4266" s="433">
        <v>4000</v>
      </c>
      <c r="M4266" s="136">
        <f>M4265+K4266-L4266</f>
        <v>-54676.410296666494</v>
      </c>
    </row>
    <row r="4267" spans="1:13">
      <c r="A4267" s="54" t="str">
        <f>D4267&amp;E4267&amp;F4267</f>
        <v>FINANZASFONDO Y REPOSICIONFINANZAS</v>
      </c>
      <c r="B4267" t="s">
        <v>2281</v>
      </c>
      <c r="C4267" s="1">
        <f t="shared" si="131"/>
        <v>45958</v>
      </c>
      <c r="D4267" s="71" t="s">
        <v>23</v>
      </c>
      <c r="E4267" s="71" t="s">
        <v>120</v>
      </c>
      <c r="F4267" s="70" t="s">
        <v>23</v>
      </c>
      <c r="J4267" s="71" t="s">
        <v>818</v>
      </c>
      <c r="L4267" s="433">
        <v>50</v>
      </c>
      <c r="M4267" s="136">
        <f>M4266+K4267-L4267</f>
        <v>-54726.410296666494</v>
      </c>
    </row>
    <row r="4268" spans="1:13">
      <c r="A4268" s="54" t="str">
        <f>D4268&amp;E4268&amp;F4268</f>
        <v>CAPINSUMOSCAPRICHOS</v>
      </c>
      <c r="B4268" t="s">
        <v>2281</v>
      </c>
      <c r="C4268" s="1">
        <f t="shared" si="131"/>
        <v>45958</v>
      </c>
      <c r="D4268" s="71" t="s">
        <v>31</v>
      </c>
      <c r="E4268" s="71" t="s">
        <v>133</v>
      </c>
      <c r="F4268" s="70" t="s">
        <v>33</v>
      </c>
      <c r="J4268" s="71" t="s">
        <v>2525</v>
      </c>
      <c r="L4268" s="433">
        <v>307</v>
      </c>
      <c r="M4268" s="136">
        <f>M4267+K4268-L4268</f>
        <v>-55033.410296666494</v>
      </c>
    </row>
    <row r="4269" spans="1:13">
      <c r="A4269" s="54" t="str">
        <f>D4269&amp;E4269&amp;F4269</f>
        <v>HRUBERHR</v>
      </c>
      <c r="B4269" t="s">
        <v>2281</v>
      </c>
      <c r="C4269" s="1">
        <f t="shared" si="131"/>
        <v>45958</v>
      </c>
      <c r="D4269" s="71" t="s">
        <v>29</v>
      </c>
      <c r="E4269" s="71" t="s">
        <v>189</v>
      </c>
      <c r="F4269" s="70" t="s">
        <v>29</v>
      </c>
      <c r="J4269" s="71" t="s">
        <v>2526</v>
      </c>
      <c r="L4269" s="523">
        <v>170</v>
      </c>
      <c r="M4269" s="136">
        <f>M4268+K4269-L4269</f>
        <v>-55203.410296666494</v>
      </c>
    </row>
    <row r="4270" spans="1:13">
      <c r="A4270" s="54" t="str">
        <f>D4270&amp;E4270&amp;F4270</f>
        <v>HRUBERHR</v>
      </c>
      <c r="B4270" t="s">
        <v>2281</v>
      </c>
      <c r="C4270" s="1">
        <f t="shared" si="131"/>
        <v>45958</v>
      </c>
      <c r="D4270" s="71" t="s">
        <v>29</v>
      </c>
      <c r="E4270" s="71" t="s">
        <v>189</v>
      </c>
      <c r="F4270" s="70" t="s">
        <v>29</v>
      </c>
      <c r="J4270" s="71" t="s">
        <v>2439</v>
      </c>
      <c r="L4270" s="523">
        <v>45</v>
      </c>
      <c r="M4270" s="136">
        <f t="shared" ref="M4270:M4280" si="134">M4269+K4270-L4270</f>
        <v>-55248.410296666494</v>
      </c>
    </row>
    <row r="4271" spans="1:13">
      <c r="A4271" s="54" t="str">
        <f>D4271&amp;E4271&amp;F4271</f>
        <v>HRINSUMOSHR</v>
      </c>
      <c r="B4271" t="s">
        <v>2281</v>
      </c>
      <c r="C4271" s="1">
        <f t="shared" si="131"/>
        <v>45958</v>
      </c>
      <c r="D4271" s="71" t="s">
        <v>29</v>
      </c>
      <c r="E4271" s="71" t="s">
        <v>133</v>
      </c>
      <c r="F4271" s="70" t="s">
        <v>29</v>
      </c>
      <c r="J4271" s="71" t="s">
        <v>2527</v>
      </c>
      <c r="L4271" s="433">
        <v>192</v>
      </c>
      <c r="M4271" s="136">
        <f t="shared" si="134"/>
        <v>-55440.410296666494</v>
      </c>
    </row>
    <row r="4272" spans="1:13">
      <c r="A4272" s="54" t="str">
        <f>D4272&amp;E4272&amp;F4272</f>
        <v>CAPUBERCAP</v>
      </c>
      <c r="B4272" t="s">
        <v>2281</v>
      </c>
      <c r="C4272" s="1">
        <f t="shared" si="131"/>
        <v>45958</v>
      </c>
      <c r="D4272" s="71" t="s">
        <v>31</v>
      </c>
      <c r="E4272" s="71" t="s">
        <v>189</v>
      </c>
      <c r="F4272" s="70" t="s">
        <v>31</v>
      </c>
      <c r="J4272" s="71" t="s">
        <v>2267</v>
      </c>
      <c r="L4272" s="523">
        <v>213</v>
      </c>
      <c r="M4272" s="136">
        <f t="shared" si="134"/>
        <v>-55653.410296666494</v>
      </c>
    </row>
    <row r="4273" spans="1:13">
      <c r="A4273" s="54" t="str">
        <f>D4273&amp;E4273&amp;F4273</f>
        <v>CAPUBERCAP</v>
      </c>
      <c r="B4273" t="s">
        <v>2281</v>
      </c>
      <c r="C4273" s="1">
        <f t="shared" si="131"/>
        <v>45958</v>
      </c>
      <c r="D4273" s="71" t="s">
        <v>31</v>
      </c>
      <c r="E4273" s="71" t="s">
        <v>189</v>
      </c>
      <c r="F4273" s="70" t="s">
        <v>31</v>
      </c>
      <c r="J4273" s="71" t="s">
        <v>2268</v>
      </c>
      <c r="L4273" s="523">
        <v>100</v>
      </c>
      <c r="M4273" s="136">
        <f t="shared" si="134"/>
        <v>-55753.410296666494</v>
      </c>
    </row>
    <row r="4274" spans="1:13">
      <c r="A4274" s="54" t="str">
        <f t="shared" si="133"/>
        <v/>
      </c>
      <c r="B4274" t="s">
        <v>2281</v>
      </c>
      <c r="C4274" s="1">
        <v>45959</v>
      </c>
      <c r="D4274" s="71"/>
      <c r="F4274" s="70"/>
      <c r="J4274" s="71" t="s">
        <v>2045</v>
      </c>
      <c r="K4274" s="325">
        <v>326501.2</v>
      </c>
      <c r="L4274" s="432"/>
      <c r="M4274" s="136">
        <f t="shared" si="134"/>
        <v>270747.78970333352</v>
      </c>
    </row>
    <row r="4275" spans="1:13">
      <c r="A4275" s="54" t="str">
        <f>D4275&amp;E4275&amp;F4275</f>
        <v>FINANZASCOMISIONES BANCARIASTPV</v>
      </c>
      <c r="B4275" t="s">
        <v>2281</v>
      </c>
      <c r="C4275" s="1">
        <f t="shared" si="131"/>
        <v>45959</v>
      </c>
      <c r="D4275" s="71" t="s">
        <v>23</v>
      </c>
      <c r="E4275" s="71" t="s">
        <v>48</v>
      </c>
      <c r="F4275" s="70" t="s">
        <v>50</v>
      </c>
      <c r="J4275" s="71" t="s">
        <v>217</v>
      </c>
      <c r="L4275" s="433">
        <f>61.67+1450.06+958.79+1241.57</f>
        <v>3712.09</v>
      </c>
      <c r="M4275" s="136">
        <f t="shared" si="134"/>
        <v>267035.69970333349</v>
      </c>
    </row>
    <row r="4276" spans="1:13">
      <c r="A4276" s="54" t="str">
        <f t="shared" si="133"/>
        <v/>
      </c>
      <c r="B4276" t="s">
        <v>2281</v>
      </c>
      <c r="C4276" s="1">
        <f t="shared" si="131"/>
        <v>45959</v>
      </c>
      <c r="D4276" s="71"/>
      <c r="F4276" s="70"/>
      <c r="J4276" s="205" t="s">
        <v>1562</v>
      </c>
      <c r="K4276" s="205"/>
      <c r="L4276" s="206">
        <v>300000</v>
      </c>
      <c r="M4276" s="136">
        <f t="shared" si="134"/>
        <v>-32964.300296666508</v>
      </c>
    </row>
    <row r="4277" spans="1:13">
      <c r="A4277" s="54" t="str">
        <f t="shared" si="133"/>
        <v/>
      </c>
      <c r="B4277" t="s">
        <v>2281</v>
      </c>
      <c r="C4277" s="1">
        <f t="shared" si="131"/>
        <v>45959</v>
      </c>
      <c r="D4277" s="71"/>
      <c r="F4277" s="70"/>
      <c r="J4277" s="205" t="s">
        <v>318</v>
      </c>
      <c r="K4277" s="205"/>
      <c r="L4277" s="206">
        <v>7450</v>
      </c>
      <c r="M4277" s="136">
        <f t="shared" si="134"/>
        <v>-40414.300296666508</v>
      </c>
    </row>
    <row r="4278" spans="1:13">
      <c r="A4278" s="54" t="str">
        <f>D4278&amp;E4278&amp;F4278</f>
        <v>SERVICIOSINSUMOSCADENA DE SUMINISTROS</v>
      </c>
      <c r="B4278" t="s">
        <v>2281</v>
      </c>
      <c r="C4278" s="1">
        <f t="shared" si="131"/>
        <v>45959</v>
      </c>
      <c r="D4278" s="71" t="s">
        <v>21</v>
      </c>
      <c r="E4278" s="71" t="s">
        <v>133</v>
      </c>
      <c r="F4278" s="70" t="s">
        <v>134</v>
      </c>
      <c r="G4278" s="71" t="s">
        <v>258</v>
      </c>
      <c r="J4278" s="71" t="s">
        <v>2528</v>
      </c>
      <c r="L4278" s="433">
        <v>16843.2</v>
      </c>
      <c r="M4278" s="136">
        <f t="shared" si="134"/>
        <v>-57257.500296666505</v>
      </c>
    </row>
    <row r="4279" spans="1:13">
      <c r="A4279" s="54" t="str">
        <f>D4279&amp;E4279&amp;F4279</f>
        <v>SERVICIOSPAQUETERIACEDIS (E6)</v>
      </c>
      <c r="B4279" t="s">
        <v>2281</v>
      </c>
      <c r="C4279" s="1">
        <f t="shared" si="131"/>
        <v>45959</v>
      </c>
      <c r="D4279" s="71" t="s">
        <v>21</v>
      </c>
      <c r="E4279" s="71" t="s">
        <v>160</v>
      </c>
      <c r="F4279" s="70" t="s">
        <v>161</v>
      </c>
      <c r="J4279" s="71" t="s">
        <v>2529</v>
      </c>
      <c r="L4279" s="433">
        <v>1480.7</v>
      </c>
      <c r="M4279" s="136">
        <f t="shared" si="134"/>
        <v>-58738.200296666502</v>
      </c>
    </row>
    <row r="4280" spans="1:13">
      <c r="A4280" s="54" t="str">
        <f>D4280&amp;E4280&amp;F4280</f>
        <v>SERVICIOSINSUMOSCEDIS</v>
      </c>
      <c r="B4280" t="s">
        <v>2281</v>
      </c>
      <c r="C4280" s="1">
        <f t="shared" si="131"/>
        <v>45959</v>
      </c>
      <c r="D4280" t="s">
        <v>21</v>
      </c>
      <c r="E4280" s="12" t="s">
        <v>133</v>
      </c>
      <c r="F4280" s="12" t="s">
        <v>28</v>
      </c>
      <c r="J4280" s="71" t="s">
        <v>2530</v>
      </c>
      <c r="L4280" s="433">
        <v>186</v>
      </c>
      <c r="M4280" s="136">
        <f t="shared" si="134"/>
        <v>-58924.200296666502</v>
      </c>
    </row>
    <row r="4281" spans="1:13">
      <c r="A4281" s="54" t="str">
        <f>D4281&amp;E4281&amp;F4281</f>
        <v>FINANZASCUOTAS Y SUSCRIPCIONESTIMBRES P/FACTURACION</v>
      </c>
      <c r="B4281" t="s">
        <v>2281</v>
      </c>
      <c r="C4281" s="1">
        <f t="shared" si="131"/>
        <v>45959</v>
      </c>
      <c r="D4281" s="71" t="s">
        <v>23</v>
      </c>
      <c r="E4281" s="71" t="s">
        <v>51</v>
      </c>
      <c r="F4281" s="70" t="s">
        <v>63</v>
      </c>
      <c r="G4281" s="71" t="s">
        <v>258</v>
      </c>
      <c r="J4281" s="71" t="s">
        <v>2531</v>
      </c>
      <c r="L4281" s="433">
        <v>4640</v>
      </c>
      <c r="M4281" s="136">
        <f>M4280+K4281-L4281</f>
        <v>-63564.200296666502</v>
      </c>
    </row>
    <row r="4282" spans="1:13">
      <c r="A4282" s="54" t="str">
        <f>D4282&amp;E4282&amp;F4282</f>
        <v>FINANZASVIATICOSFINANZAS</v>
      </c>
      <c r="B4282" t="s">
        <v>2281</v>
      </c>
      <c r="C4282" s="1">
        <f t="shared" si="131"/>
        <v>45959</v>
      </c>
      <c r="D4282" s="71" t="s">
        <v>23</v>
      </c>
      <c r="E4282" s="71" t="s">
        <v>191</v>
      </c>
      <c r="F4282" s="70" t="s">
        <v>23</v>
      </c>
      <c r="G4282" s="71" t="s">
        <v>258</v>
      </c>
      <c r="J4282" s="71" t="s">
        <v>2532</v>
      </c>
      <c r="L4282" s="433">
        <v>8000</v>
      </c>
      <c r="M4282" s="136">
        <f>M4281+K4282-L4282</f>
        <v>-71564.200296666502</v>
      </c>
    </row>
    <row r="4283" spans="1:13">
      <c r="A4283" s="54" t="str">
        <f>D4283&amp;E4283&amp;F4283</f>
        <v>CAPINSUMOSCAPRICHOS</v>
      </c>
      <c r="B4283" t="s">
        <v>2281</v>
      </c>
      <c r="C4283" s="1">
        <f t="shared" si="131"/>
        <v>45959</v>
      </c>
      <c r="D4283" s="71" t="s">
        <v>31</v>
      </c>
      <c r="E4283" s="71" t="s">
        <v>133</v>
      </c>
      <c r="F4283" s="70" t="s">
        <v>33</v>
      </c>
      <c r="G4283" s="71" t="s">
        <v>258</v>
      </c>
      <c r="J4283" s="71" t="s">
        <v>2533</v>
      </c>
      <c r="L4283" s="433">
        <v>4600</v>
      </c>
      <c r="M4283" s="136">
        <f>M4282+K4283-L4283</f>
        <v>-76164.200296666502</v>
      </c>
    </row>
    <row r="4284" spans="1:13">
      <c r="A4284" s="54" t="str">
        <f>D4284&amp;E4284&amp;F4284</f>
        <v>CAPENERGIA ELECTRICAE11</v>
      </c>
      <c r="B4284" t="s">
        <v>2281</v>
      </c>
      <c r="C4284" s="1">
        <f t="shared" si="131"/>
        <v>45959</v>
      </c>
      <c r="D4284" s="71" t="s">
        <v>31</v>
      </c>
      <c r="E4284" s="71" t="s">
        <v>87</v>
      </c>
      <c r="F4284" s="70" t="s">
        <v>118</v>
      </c>
      <c r="G4284" s="71" t="s">
        <v>258</v>
      </c>
      <c r="J4284" s="71" t="s">
        <v>2534</v>
      </c>
      <c r="L4284" s="433">
        <v>1279</v>
      </c>
      <c r="M4284" s="136">
        <f>M4283+K4284-L4284</f>
        <v>-77443.200296666502</v>
      </c>
    </row>
    <row r="4285" spans="1:13">
      <c r="A4285" s="54" t="str">
        <f>D4285&amp;E4285&amp;F4285</f>
        <v>SERVICIOSMTTO DE EDIFICIOMANTENIMIENTO</v>
      </c>
      <c r="B4285" t="s">
        <v>2281</v>
      </c>
      <c r="C4285" s="1">
        <f t="shared" si="131"/>
        <v>45959</v>
      </c>
      <c r="D4285" s="71" t="s">
        <v>21</v>
      </c>
      <c r="E4285" s="71" t="s">
        <v>142</v>
      </c>
      <c r="F4285" s="70" t="s">
        <v>35</v>
      </c>
      <c r="J4285" s="71" t="s">
        <v>2535</v>
      </c>
      <c r="L4285" s="433">
        <v>450</v>
      </c>
      <c r="M4285" s="136">
        <f>M4284+K4285-L4285</f>
        <v>-77893.200296666502</v>
      </c>
    </row>
    <row r="4286" spans="1:13">
      <c r="A4286" s="54" t="str">
        <f>D4286&amp;E4286&amp;F4286</f>
        <v>HRUBERHR</v>
      </c>
      <c r="B4286" t="s">
        <v>2281</v>
      </c>
      <c r="C4286" s="1">
        <f t="shared" si="131"/>
        <v>45959</v>
      </c>
      <c r="D4286" s="71" t="s">
        <v>29</v>
      </c>
      <c r="E4286" s="71" t="s">
        <v>189</v>
      </c>
      <c r="F4286" s="70" t="s">
        <v>29</v>
      </c>
      <c r="J4286" s="71" t="s">
        <v>2536</v>
      </c>
      <c r="L4286" s="523">
        <v>320</v>
      </c>
      <c r="M4286" s="136">
        <f>M4285+K4286-L4286</f>
        <v>-78213.200296666502</v>
      </c>
    </row>
    <row r="4287" spans="1:13">
      <c r="A4287" s="54" t="str">
        <f>D4287&amp;E4287&amp;F4287</f>
        <v>CAPUBERCAP</v>
      </c>
      <c r="B4287" t="s">
        <v>2281</v>
      </c>
      <c r="C4287" s="1">
        <f t="shared" si="131"/>
        <v>45959</v>
      </c>
      <c r="D4287" s="71" t="s">
        <v>31</v>
      </c>
      <c r="E4287" s="71" t="s">
        <v>189</v>
      </c>
      <c r="F4287" s="70" t="s">
        <v>31</v>
      </c>
      <c r="J4287" s="71" t="s">
        <v>2267</v>
      </c>
      <c r="L4287" s="523">
        <v>203</v>
      </c>
      <c r="M4287" s="136">
        <f>M4286+K4287-L4287</f>
        <v>-78416.200296666502</v>
      </c>
    </row>
    <row r="4288" spans="1:13">
      <c r="A4288" s="54" t="str">
        <f>D4288&amp;E4288&amp;F4288</f>
        <v>CAPUBERCAP</v>
      </c>
      <c r="B4288" t="s">
        <v>2281</v>
      </c>
      <c r="C4288" s="1">
        <f t="shared" si="131"/>
        <v>45959</v>
      </c>
      <c r="D4288" s="71" t="s">
        <v>31</v>
      </c>
      <c r="E4288" s="71" t="s">
        <v>189</v>
      </c>
      <c r="F4288" s="70" t="s">
        <v>31</v>
      </c>
      <c r="J4288" s="71" t="s">
        <v>2537</v>
      </c>
      <c r="L4288" s="523">
        <v>800</v>
      </c>
      <c r="M4288" s="136">
        <f>M4287+K4288-L4288</f>
        <v>-79216.200296666502</v>
      </c>
    </row>
    <row r="4289" spans="1:13">
      <c r="A4289" s="54" t="str">
        <f>D4289&amp;E4289&amp;F4289</f>
        <v>CAPUBERCAP</v>
      </c>
      <c r="B4289" t="s">
        <v>2281</v>
      </c>
      <c r="C4289" s="1">
        <f t="shared" si="131"/>
        <v>45959</v>
      </c>
      <c r="D4289" s="71" t="s">
        <v>31</v>
      </c>
      <c r="E4289" s="71" t="s">
        <v>189</v>
      </c>
      <c r="F4289" s="70" t="s">
        <v>31</v>
      </c>
      <c r="J4289" s="71" t="s">
        <v>2268</v>
      </c>
      <c r="L4289" s="523">
        <v>145</v>
      </c>
      <c r="M4289" s="136">
        <f>M4288+K4289-L4289</f>
        <v>-79361.200296666502</v>
      </c>
    </row>
    <row r="4290" spans="1:13">
      <c r="A4290" s="54" t="str">
        <f>D4290&amp;E4290&amp;F4290</f>
        <v>CAPUBERCAP</v>
      </c>
      <c r="B4290" t="s">
        <v>2281</v>
      </c>
      <c r="C4290" s="1">
        <f t="shared" si="131"/>
        <v>45959</v>
      </c>
      <c r="D4290" s="71" t="s">
        <v>31</v>
      </c>
      <c r="E4290" s="71" t="s">
        <v>189</v>
      </c>
      <c r="F4290" s="70" t="s">
        <v>31</v>
      </c>
      <c r="J4290" s="71" t="s">
        <v>2538</v>
      </c>
      <c r="L4290" s="523">
        <v>350</v>
      </c>
      <c r="M4290" s="136">
        <f>M4289+K4290-L4290</f>
        <v>-79711.200296666502</v>
      </c>
    </row>
    <row r="4291" spans="1:13">
      <c r="A4291" s="54" t="str">
        <f t="shared" si="133"/>
        <v/>
      </c>
      <c r="B4291" t="s">
        <v>2281</v>
      </c>
      <c r="C4291" s="1">
        <v>45960</v>
      </c>
      <c r="D4291" s="71"/>
      <c r="F4291" s="70"/>
      <c r="J4291" s="71" t="s">
        <v>2045</v>
      </c>
      <c r="K4291" s="325">
        <v>497811.77</v>
      </c>
      <c r="L4291" s="432"/>
      <c r="M4291" s="136">
        <f>M4290+K4291-L4291</f>
        <v>418100.56970333355</v>
      </c>
    </row>
    <row r="4292" spans="1:13">
      <c r="A4292" s="54" t="str">
        <f t="shared" si="133"/>
        <v/>
      </c>
      <c r="B4292" t="s">
        <v>2281</v>
      </c>
      <c r="C4292" s="1">
        <v>45960</v>
      </c>
      <c r="D4292" s="71"/>
      <c r="F4292" s="70"/>
      <c r="J4292" s="71" t="s">
        <v>2539</v>
      </c>
      <c r="K4292" s="325">
        <v>235</v>
      </c>
      <c r="L4292" s="432"/>
      <c r="M4292" s="136">
        <f>M4291+K4292-L4292</f>
        <v>418335.56970333355</v>
      </c>
    </row>
    <row r="4293" spans="1:13">
      <c r="A4293" s="54" t="str">
        <f t="shared" si="133"/>
        <v/>
      </c>
      <c r="B4293" t="s">
        <v>2281</v>
      </c>
      <c r="C4293" s="1">
        <v>45960</v>
      </c>
      <c r="D4293" s="71"/>
      <c r="F4293" s="70"/>
      <c r="J4293" s="71" t="s">
        <v>2540</v>
      </c>
      <c r="K4293" s="325">
        <v>2800</v>
      </c>
      <c r="L4293" s="432"/>
      <c r="M4293" s="136">
        <f>M4292+K4293-L4293</f>
        <v>421135.56970333355</v>
      </c>
    </row>
    <row r="4294" spans="1:13">
      <c r="A4294" s="54" t="str">
        <f>D4294&amp;E4294&amp;F4294</f>
        <v>FINANZASCOMISIONES BANCARIASTPV</v>
      </c>
      <c r="B4294" t="s">
        <v>2281</v>
      </c>
      <c r="C4294" s="1">
        <f>C4291</f>
        <v>45960</v>
      </c>
      <c r="D4294" s="71" t="s">
        <v>23</v>
      </c>
      <c r="E4294" s="71" t="s">
        <v>48</v>
      </c>
      <c r="F4294" s="70" t="s">
        <v>50</v>
      </c>
      <c r="J4294" s="71" t="s">
        <v>217</v>
      </c>
      <c r="L4294" s="433">
        <f>176.39+1354.17+1262.38+1949.74</f>
        <v>4742.68</v>
      </c>
      <c r="M4294" s="136">
        <f>M4293+K4294-L4294</f>
        <v>416392.88970333355</v>
      </c>
    </row>
    <row r="4295" spans="1:13">
      <c r="A4295" s="54" t="str">
        <f t="shared" si="133"/>
        <v/>
      </c>
      <c r="B4295" t="s">
        <v>2281</v>
      </c>
      <c r="C4295" s="1">
        <f>C4294</f>
        <v>45960</v>
      </c>
      <c r="D4295" s="71"/>
      <c r="F4295" s="70"/>
      <c r="J4295" s="71" t="s">
        <v>2541</v>
      </c>
      <c r="L4295" s="433">
        <v>400000</v>
      </c>
      <c r="M4295" s="136">
        <f>M4294+K4295-L4295</f>
        <v>16392.889703333552</v>
      </c>
    </row>
    <row r="4296" spans="1:13">
      <c r="A4296" s="54" t="str">
        <f>D4296&amp;E4296&amp;F4296</f>
        <v>FINANZASTELEFONIATELEFONIA</v>
      </c>
      <c r="B4296" t="s">
        <v>2281</v>
      </c>
      <c r="C4296" s="1">
        <f t="shared" ref="C4296:C4359" si="135">C4295</f>
        <v>45960</v>
      </c>
      <c r="D4296" s="71" t="s">
        <v>23</v>
      </c>
      <c r="E4296" s="71" t="s">
        <v>181</v>
      </c>
      <c r="F4296" s="230" t="s">
        <v>181</v>
      </c>
      <c r="J4296" s="71" t="s">
        <v>2542</v>
      </c>
      <c r="L4296" s="433">
        <v>27649.8</v>
      </c>
      <c r="M4296" s="136">
        <f>M4295+K4296-L4296</f>
        <v>-11256.910296666447</v>
      </c>
    </row>
    <row r="4297" spans="1:13">
      <c r="A4297" s="54" t="str">
        <f>D4297&amp;E4297&amp;F4297</f>
        <v>DEDONATIVOSDONATIVOS</v>
      </c>
      <c r="B4297" t="s">
        <v>2281</v>
      </c>
      <c r="C4297" s="1">
        <f t="shared" si="135"/>
        <v>45960</v>
      </c>
      <c r="D4297" s="71" t="s">
        <v>41</v>
      </c>
      <c r="E4297" s="71" t="s">
        <v>86</v>
      </c>
      <c r="F4297" s="70" t="s">
        <v>86</v>
      </c>
      <c r="J4297" s="71" t="s">
        <v>2543</v>
      </c>
      <c r="L4297" s="433">
        <v>4000</v>
      </c>
      <c r="M4297" s="136">
        <f>M4296+K4297-L4297</f>
        <v>-15256.910296666447</v>
      </c>
    </row>
    <row r="4298" spans="1:13">
      <c r="A4298" s="54" t="str">
        <f>D4298&amp;E4298&amp;F4298</f>
        <v>MKTVIATICOSMKT</v>
      </c>
      <c r="B4298" t="s">
        <v>2281</v>
      </c>
      <c r="C4298" s="1">
        <f t="shared" si="135"/>
        <v>45960</v>
      </c>
      <c r="D4298" s="71" t="s">
        <v>19</v>
      </c>
      <c r="E4298" s="71" t="s">
        <v>191</v>
      </c>
      <c r="F4298" s="70" t="s">
        <v>19</v>
      </c>
      <c r="G4298" s="71" t="s">
        <v>258</v>
      </c>
      <c r="J4298" s="71" t="s">
        <v>2072</v>
      </c>
      <c r="L4298" s="433">
        <v>628</v>
      </c>
      <c r="M4298" s="136">
        <f>M4297+K4298-L4298</f>
        <v>-15884.910296666447</v>
      </c>
    </row>
    <row r="4299" spans="1:13">
      <c r="A4299" s="54" t="str">
        <f>D4299&amp;E4299&amp;F4299</f>
        <v>MKTACTIVACION MKT</v>
      </c>
      <c r="B4299" t="s">
        <v>2281</v>
      </c>
      <c r="C4299" s="1">
        <f t="shared" si="135"/>
        <v>45960</v>
      </c>
      <c r="D4299" t="s">
        <v>19</v>
      </c>
      <c r="E4299" t="s">
        <v>20</v>
      </c>
      <c r="F4299" t="s">
        <v>19</v>
      </c>
      <c r="J4299" s="71" t="s">
        <v>2544</v>
      </c>
      <c r="L4299" s="433">
        <v>1160</v>
      </c>
      <c r="M4299" s="136">
        <f>M4298+K4299-L4299</f>
        <v>-17044.910296666447</v>
      </c>
    </row>
    <row r="4300" spans="1:13">
      <c r="A4300" s="54" t="str">
        <f>D4300&amp;E4300&amp;F4300</f>
        <v>FINANZASINSUMOSFINANZAS</v>
      </c>
      <c r="B4300" t="s">
        <v>2281</v>
      </c>
      <c r="C4300" s="1">
        <f t="shared" si="135"/>
        <v>45960</v>
      </c>
      <c r="D4300" s="71" t="s">
        <v>23</v>
      </c>
      <c r="E4300" s="71" t="s">
        <v>133</v>
      </c>
      <c r="F4300" s="70" t="s">
        <v>23</v>
      </c>
      <c r="G4300" s="71" t="s">
        <v>258</v>
      </c>
      <c r="J4300" s="71" t="s">
        <v>2545</v>
      </c>
      <c r="L4300" s="433">
        <v>3000</v>
      </c>
      <c r="M4300" s="136">
        <f>M4299+K4300-L4300</f>
        <v>-20044.910296666447</v>
      </c>
    </row>
    <row r="4301" spans="1:13">
      <c r="A4301" s="54" t="str">
        <f>D4301&amp;E4301&amp;F4301</f>
        <v>DEVIATICOSDIRECCION</v>
      </c>
      <c r="B4301" t="s">
        <v>2281</v>
      </c>
      <c r="C4301" s="1">
        <f t="shared" si="135"/>
        <v>45960</v>
      </c>
      <c r="D4301" s="71" t="s">
        <v>41</v>
      </c>
      <c r="E4301" s="71" t="s">
        <v>191</v>
      </c>
      <c r="F4301" s="70" t="s">
        <v>42</v>
      </c>
      <c r="J4301" s="71" t="s">
        <v>1617</v>
      </c>
      <c r="L4301" s="433">
        <v>1000</v>
      </c>
      <c r="M4301" s="136">
        <f>M4300+K4301-L4301</f>
        <v>-21044.910296666447</v>
      </c>
    </row>
    <row r="4302" spans="1:13">
      <c r="A4302" s="54" t="str">
        <f>D4302&amp;E4302&amp;F4302</f>
        <v>ELIVIATICOSL1</v>
      </c>
      <c r="B4302" t="s">
        <v>2281</v>
      </c>
      <c r="C4302" s="1">
        <f t="shared" si="135"/>
        <v>45960</v>
      </c>
      <c r="D4302" t="s">
        <v>130</v>
      </c>
      <c r="E4302" t="s">
        <v>191</v>
      </c>
      <c r="F4302" t="s">
        <v>136</v>
      </c>
      <c r="J4302" s="71" t="s">
        <v>2546</v>
      </c>
      <c r="L4302" s="433">
        <v>1000</v>
      </c>
      <c r="M4302" s="136">
        <f>M4301+K4302-L4302</f>
        <v>-22044.910296666447</v>
      </c>
    </row>
    <row r="4303" spans="1:13">
      <c r="A4303" s="54" t="str">
        <f>D4303&amp;E4303&amp;F4303</f>
        <v>MKTMKTINFLUENCERS</v>
      </c>
      <c r="B4303" t="s">
        <v>2281</v>
      </c>
      <c r="C4303" s="1">
        <f t="shared" si="135"/>
        <v>45960</v>
      </c>
      <c r="D4303" s="71" t="s">
        <v>19</v>
      </c>
      <c r="E4303" s="71" t="s">
        <v>19</v>
      </c>
      <c r="F4303" s="70" t="s">
        <v>141</v>
      </c>
      <c r="J4303" s="71" t="s">
        <v>2547</v>
      </c>
      <c r="L4303" s="433">
        <v>500</v>
      </c>
      <c r="M4303" s="136">
        <f>M4302+K4303-L4303</f>
        <v>-22544.910296666447</v>
      </c>
    </row>
    <row r="4304" spans="1:13">
      <c r="A4304" s="54" t="str">
        <f>D4304&amp;E4304&amp;F4304</f>
        <v>CAPUBERCAP</v>
      </c>
      <c r="B4304" t="s">
        <v>2281</v>
      </c>
      <c r="C4304" s="1">
        <f t="shared" si="135"/>
        <v>45960</v>
      </c>
      <c r="D4304" s="71" t="s">
        <v>31</v>
      </c>
      <c r="E4304" s="71" t="s">
        <v>189</v>
      </c>
      <c r="F4304" s="70" t="s">
        <v>31</v>
      </c>
      <c r="J4304" s="71" t="s">
        <v>2263</v>
      </c>
      <c r="L4304" s="523">
        <v>167</v>
      </c>
      <c r="M4304" s="136">
        <f>M4303+K4304-L4304</f>
        <v>-22711.910296666447</v>
      </c>
    </row>
    <row r="4305" spans="1:13">
      <c r="A4305" s="54" t="str">
        <f>D4305&amp;E4305&amp;F4305</f>
        <v>HRUBERHR</v>
      </c>
      <c r="B4305" t="s">
        <v>2281</v>
      </c>
      <c r="C4305" s="1">
        <f t="shared" si="135"/>
        <v>45960</v>
      </c>
      <c r="D4305" s="71" t="s">
        <v>29</v>
      </c>
      <c r="E4305" s="71" t="s">
        <v>189</v>
      </c>
      <c r="F4305" s="70" t="s">
        <v>29</v>
      </c>
      <c r="J4305" s="71" t="s">
        <v>2548</v>
      </c>
      <c r="L4305" s="523">
        <v>150</v>
      </c>
      <c r="M4305" s="136">
        <f>M4304+K4305-L4305</f>
        <v>-22861.910296666447</v>
      </c>
    </row>
    <row r="4306" spans="1:13">
      <c r="A4306" s="54" t="str">
        <f>D4306&amp;E4306&amp;F4306</f>
        <v>HRUBERHR</v>
      </c>
      <c r="B4306" t="s">
        <v>2281</v>
      </c>
      <c r="C4306" s="1">
        <f t="shared" si="135"/>
        <v>45960</v>
      </c>
      <c r="D4306" s="71" t="s">
        <v>29</v>
      </c>
      <c r="E4306" s="71" t="s">
        <v>189</v>
      </c>
      <c r="F4306" s="70" t="s">
        <v>29</v>
      </c>
      <c r="J4306" s="71" t="s">
        <v>2505</v>
      </c>
      <c r="L4306" s="523">
        <v>65</v>
      </c>
      <c r="M4306" s="136">
        <f>M4305+K4306-L4306</f>
        <v>-22926.910296666447</v>
      </c>
    </row>
    <row r="4307" spans="1:13">
      <c r="A4307" s="54" t="str">
        <f>D4307&amp;E4307&amp;F4307</f>
        <v>HRUBERHR</v>
      </c>
      <c r="B4307" t="s">
        <v>2281</v>
      </c>
      <c r="C4307" s="1">
        <f t="shared" si="135"/>
        <v>45960</v>
      </c>
      <c r="D4307" s="71" t="s">
        <v>29</v>
      </c>
      <c r="E4307" s="71" t="s">
        <v>189</v>
      </c>
      <c r="F4307" s="70" t="s">
        <v>29</v>
      </c>
      <c r="J4307" s="71" t="s">
        <v>2419</v>
      </c>
      <c r="L4307" s="523">
        <v>600</v>
      </c>
      <c r="M4307" s="136">
        <f t="shared" ref="M4307:M4337" si="136">M4306+K4307-L4307</f>
        <v>-23526.910296666447</v>
      </c>
    </row>
    <row r="4308" spans="1:13">
      <c r="A4308" s="54" t="str">
        <f>D4308&amp;E4308&amp;F4308</f>
        <v>SERVICIOSMTTO DE EDIFICIOMANTENIMIENTO</v>
      </c>
      <c r="B4308" t="s">
        <v>2281</v>
      </c>
      <c r="C4308" s="1">
        <f t="shared" si="135"/>
        <v>45960</v>
      </c>
      <c r="D4308" s="71" t="s">
        <v>21</v>
      </c>
      <c r="E4308" s="71" t="s">
        <v>142</v>
      </c>
      <c r="F4308" s="70" t="s">
        <v>35</v>
      </c>
      <c r="J4308" s="71" t="s">
        <v>2549</v>
      </c>
      <c r="L4308" s="433">
        <v>600</v>
      </c>
      <c r="M4308" s="136">
        <f t="shared" si="136"/>
        <v>-24126.910296666447</v>
      </c>
    </row>
    <row r="4309" spans="1:13">
      <c r="A4309" s="54" t="str">
        <f>D4309&amp;E4309&amp;F4309</f>
        <v>SERVICIOSMTTO DE EDIFICIOMANTENIMIENTO</v>
      </c>
      <c r="B4309" t="s">
        <v>2281</v>
      </c>
      <c r="C4309" s="1">
        <f t="shared" si="135"/>
        <v>45960</v>
      </c>
      <c r="D4309" s="71" t="s">
        <v>21</v>
      </c>
      <c r="E4309" s="71" t="s">
        <v>142</v>
      </c>
      <c r="F4309" s="70" t="s">
        <v>35</v>
      </c>
      <c r="J4309" s="71" t="s">
        <v>2550</v>
      </c>
      <c r="L4309" s="433">
        <v>750</v>
      </c>
      <c r="M4309" s="136">
        <f t="shared" si="136"/>
        <v>-24876.910296666447</v>
      </c>
    </row>
    <row r="4310" spans="1:13">
      <c r="A4310" s="54" t="str">
        <f>D4310&amp;E4310&amp;F4310</f>
        <v>CAPUBERCAP</v>
      </c>
      <c r="B4310" t="s">
        <v>2281</v>
      </c>
      <c r="C4310" s="1">
        <f t="shared" si="135"/>
        <v>45960</v>
      </c>
      <c r="D4310" s="71" t="s">
        <v>31</v>
      </c>
      <c r="E4310" s="71" t="s">
        <v>189</v>
      </c>
      <c r="F4310" s="70" t="s">
        <v>31</v>
      </c>
      <c r="J4310" s="71" t="s">
        <v>2262</v>
      </c>
      <c r="L4310" s="523">
        <v>152</v>
      </c>
      <c r="M4310" s="136">
        <f t="shared" si="136"/>
        <v>-25028.910296666447</v>
      </c>
    </row>
    <row r="4311" spans="1:13">
      <c r="A4311" s="54" t="str">
        <f t="shared" ref="A4306:A4370" si="137">D4311&amp;E4311&amp;F4311</f>
        <v/>
      </c>
      <c r="B4311" t="s">
        <v>2281</v>
      </c>
      <c r="C4311" s="1">
        <v>45961</v>
      </c>
      <c r="D4311" s="71"/>
      <c r="F4311" s="70"/>
      <c r="J4311" s="71" t="s">
        <v>2045</v>
      </c>
      <c r="K4311" s="325">
        <v>524739.01</v>
      </c>
      <c r="L4311" s="432"/>
      <c r="M4311" s="136">
        <f t="shared" si="136"/>
        <v>499710.09970333357</v>
      </c>
    </row>
    <row r="4312" spans="1:13">
      <c r="A4312" s="54" t="str">
        <f>D4312&amp;E4312&amp;F4312</f>
        <v>FINANZASCOMISIONES BANCARIASTPV</v>
      </c>
      <c r="B4312" t="s">
        <v>2281</v>
      </c>
      <c r="C4312" s="1">
        <f t="shared" si="135"/>
        <v>45961</v>
      </c>
      <c r="D4312" s="71" t="s">
        <v>23</v>
      </c>
      <c r="E4312" s="71" t="s">
        <v>48</v>
      </c>
      <c r="F4312" s="70" t="s">
        <v>50</v>
      </c>
      <c r="J4312" s="71" t="s">
        <v>217</v>
      </c>
      <c r="L4312" s="433">
        <f>5.8+5.8+9.28+185.58+1595.59+1419.24</f>
        <v>3221.29</v>
      </c>
      <c r="M4312" s="136">
        <f t="shared" si="136"/>
        <v>496488.80970333359</v>
      </c>
    </row>
    <row r="4313" spans="1:13">
      <c r="A4313" s="54" t="str">
        <f>D4313&amp;E4313&amp;F4313</f>
        <v>FINANZASCOMISIONES BANCARIASMANEJO DE CUENTA</v>
      </c>
      <c r="B4313" t="s">
        <v>2281</v>
      </c>
      <c r="C4313" s="1">
        <v>45961</v>
      </c>
      <c r="D4313" s="71" t="s">
        <v>23</v>
      </c>
      <c r="E4313" s="71" t="s">
        <v>48</v>
      </c>
      <c r="F4313" s="70" t="s">
        <v>49</v>
      </c>
      <c r="J4313" s="71" t="s">
        <v>2551</v>
      </c>
      <c r="L4313" s="433">
        <v>11254.38</v>
      </c>
      <c r="M4313" s="136">
        <f t="shared" si="136"/>
        <v>485234.42970333359</v>
      </c>
    </row>
    <row r="4314" spans="1:13">
      <c r="A4314" s="54" t="str">
        <f t="shared" si="137"/>
        <v/>
      </c>
      <c r="B4314" t="s">
        <v>2281</v>
      </c>
      <c r="C4314" s="1">
        <v>45961</v>
      </c>
      <c r="D4314" s="71"/>
      <c r="F4314" s="70"/>
      <c r="J4314" s="71" t="s">
        <v>2552</v>
      </c>
      <c r="K4314" s="325">
        <v>4317</v>
      </c>
      <c r="L4314" s="432"/>
      <c r="M4314" s="136">
        <f t="shared" si="136"/>
        <v>489551.42970333359</v>
      </c>
    </row>
    <row r="4315" spans="1:13">
      <c r="A4315" s="54" t="str">
        <f t="shared" si="137"/>
        <v/>
      </c>
      <c r="B4315" t="s">
        <v>2281</v>
      </c>
      <c r="C4315" s="1">
        <v>45961</v>
      </c>
      <c r="D4315" s="71"/>
      <c r="F4315" s="70"/>
      <c r="J4315" s="71" t="s">
        <v>2553</v>
      </c>
      <c r="L4315" s="433">
        <v>570027.4</v>
      </c>
      <c r="M4315" s="136">
        <f t="shared" si="136"/>
        <v>-80475.970296666434</v>
      </c>
    </row>
    <row r="4316" spans="1:13">
      <c r="A4316" s="54" t="str">
        <f>D4316&amp;E4316&amp;F4316</f>
        <v>SERVICIOSMTTO EQ DE TRANSPORTECEDIS</v>
      </c>
      <c r="B4316" t="s">
        <v>2281</v>
      </c>
      <c r="C4316" s="1">
        <v>45961</v>
      </c>
      <c r="D4316" s="71" t="s">
        <v>21</v>
      </c>
      <c r="E4316" s="71" t="s">
        <v>144</v>
      </c>
      <c r="F4316" s="70" t="s">
        <v>28</v>
      </c>
      <c r="J4316" s="71" t="s">
        <v>2554</v>
      </c>
      <c r="L4316" s="208">
        <v>6820</v>
      </c>
      <c r="M4316" s="136">
        <f t="shared" si="136"/>
        <v>-87295.970296666434</v>
      </c>
    </row>
    <row r="4317" spans="1:13">
      <c r="A4317" s="54" t="str">
        <f>D4317&amp;E4317&amp;F4317</f>
        <v>FINANZASCUOTAS Y SUSCRIPCIONESTRAMITES</v>
      </c>
      <c r="B4317" t="s">
        <v>2281</v>
      </c>
      <c r="C4317" s="1">
        <f t="shared" si="135"/>
        <v>45961</v>
      </c>
      <c r="D4317" s="71" t="s">
        <v>23</v>
      </c>
      <c r="E4317" s="71" t="s">
        <v>51</v>
      </c>
      <c r="F4317" s="70" t="s">
        <v>81</v>
      </c>
      <c r="J4317" s="71" t="s">
        <v>2555</v>
      </c>
      <c r="L4317" s="433">
        <v>16000</v>
      </c>
      <c r="M4317" s="136">
        <f t="shared" si="136"/>
        <v>-103295.97029666643</v>
      </c>
    </row>
    <row r="4318" spans="1:13">
      <c r="A4318" s="54" t="str">
        <f>D4318&amp;E4318&amp;F4318</f>
        <v>SERVICIOSMTTO MOBILIARIOREPARACION</v>
      </c>
      <c r="B4318" t="s">
        <v>2281</v>
      </c>
      <c r="C4318" s="1">
        <f t="shared" si="135"/>
        <v>45961</v>
      </c>
      <c r="D4318" s="71" t="s">
        <v>21</v>
      </c>
      <c r="E4318" s="71" t="s">
        <v>145</v>
      </c>
      <c r="F4318" s="70" t="s">
        <v>146</v>
      </c>
      <c r="J4318" s="71" t="s">
        <v>2556</v>
      </c>
      <c r="L4318" s="433">
        <v>6000</v>
      </c>
      <c r="M4318" s="136">
        <f t="shared" si="136"/>
        <v>-109295.97029666643</v>
      </c>
    </row>
    <row r="4319" spans="1:13">
      <c r="A4319" s="54" t="str">
        <f>D4319&amp;E4319&amp;F4319</f>
        <v>MKTVIATICOSMKT</v>
      </c>
      <c r="B4319" t="s">
        <v>2281</v>
      </c>
      <c r="C4319" s="1">
        <f t="shared" si="135"/>
        <v>45961</v>
      </c>
      <c r="D4319" s="71" t="s">
        <v>19</v>
      </c>
      <c r="E4319" s="71" t="s">
        <v>191</v>
      </c>
      <c r="F4319" s="70" t="s">
        <v>19</v>
      </c>
      <c r="J4319" s="71" t="s">
        <v>2219</v>
      </c>
      <c r="L4319" s="433">
        <v>1500</v>
      </c>
      <c r="M4319" s="136">
        <f t="shared" si="136"/>
        <v>-110795.97029666643</v>
      </c>
    </row>
    <row r="4320" spans="1:13">
      <c r="A4320" s="54" t="str">
        <f t="shared" si="137"/>
        <v/>
      </c>
      <c r="B4320" t="s">
        <v>2281</v>
      </c>
      <c r="C4320" s="1">
        <f t="shared" si="135"/>
        <v>45961</v>
      </c>
      <c r="D4320" s="71"/>
      <c r="F4320" s="70"/>
      <c r="J4320" s="71" t="s">
        <v>2557</v>
      </c>
      <c r="L4320" s="433">
        <v>23500</v>
      </c>
      <c r="M4320" s="136">
        <f t="shared" si="136"/>
        <v>-134295.97029666643</v>
      </c>
    </row>
    <row r="4321" spans="1:15">
      <c r="A4321" s="54" t="str">
        <f>D4321&amp;E4321&amp;F4321</f>
        <v>FINANZASFONDO Y REPOSICIONFINANZAS</v>
      </c>
      <c r="B4321" t="s">
        <v>2281</v>
      </c>
      <c r="C4321" s="1">
        <f t="shared" si="135"/>
        <v>45961</v>
      </c>
      <c r="D4321" s="71" t="s">
        <v>23</v>
      </c>
      <c r="E4321" s="71" t="s">
        <v>120</v>
      </c>
      <c r="F4321" s="70" t="s">
        <v>23</v>
      </c>
      <c r="J4321" s="71" t="s">
        <v>2558</v>
      </c>
      <c r="L4321" s="433">
        <v>2750</v>
      </c>
      <c r="M4321" s="136">
        <f t="shared" si="136"/>
        <v>-137045.97029666643</v>
      </c>
    </row>
    <row r="4322" spans="1:15">
      <c r="A4322" s="54"/>
      <c r="B4322" t="s">
        <v>2281</v>
      </c>
      <c r="C4322" s="1">
        <f t="shared" si="135"/>
        <v>45961</v>
      </c>
      <c r="D4322" s="71"/>
      <c r="F4322" s="70"/>
      <c r="J4322" s="71" t="s">
        <v>440</v>
      </c>
      <c r="L4322" s="433">
        <v>37879.5</v>
      </c>
      <c r="M4322" s="136">
        <f t="shared" si="136"/>
        <v>-174925.47029666643</v>
      </c>
    </row>
    <row r="4323" spans="1:15">
      <c r="A4323" s="54" t="str">
        <f>D4323&amp;E4323&amp;F4323</f>
        <v>CAPINSUMOSCAPRICHOS</v>
      </c>
      <c r="B4323" t="s">
        <v>2281</v>
      </c>
      <c r="C4323" s="1">
        <f>C4321</f>
        <v>45961</v>
      </c>
      <c r="D4323" s="71" t="s">
        <v>31</v>
      </c>
      <c r="E4323" s="71" t="s">
        <v>133</v>
      </c>
      <c r="F4323" s="70" t="s">
        <v>33</v>
      </c>
      <c r="J4323" s="71" t="s">
        <v>2335</v>
      </c>
      <c r="L4323" s="433">
        <v>54</v>
      </c>
      <c r="M4323" s="136">
        <f t="shared" si="136"/>
        <v>-174979.47029666643</v>
      </c>
    </row>
    <row r="4324" spans="1:15">
      <c r="A4324" s="54" t="str">
        <f>D4324&amp;E4324&amp;F4324</f>
        <v>CAPUBERCAP</v>
      </c>
      <c r="B4324" t="s">
        <v>2281</v>
      </c>
      <c r="C4324" s="1">
        <f t="shared" si="135"/>
        <v>45961</v>
      </c>
      <c r="D4324" s="71" t="s">
        <v>31</v>
      </c>
      <c r="E4324" s="71" t="s">
        <v>189</v>
      </c>
      <c r="F4324" s="70" t="s">
        <v>31</v>
      </c>
      <c r="J4324" s="71" t="s">
        <v>2559</v>
      </c>
      <c r="L4324" s="523">
        <v>400</v>
      </c>
      <c r="M4324" s="136">
        <f t="shared" si="136"/>
        <v>-175379.47029666643</v>
      </c>
    </row>
    <row r="4325" spans="1:15" s="229" customFormat="1">
      <c r="A4325" s="54" t="str">
        <f>D4325&amp;E4325&amp;F4325</f>
        <v>HRUBERHR</v>
      </c>
      <c r="B4325" s="229" t="s">
        <v>2281</v>
      </c>
      <c r="C4325" s="244">
        <f t="shared" si="135"/>
        <v>45961</v>
      </c>
      <c r="D4325" s="242" t="s">
        <v>29</v>
      </c>
      <c r="E4325" s="242" t="s">
        <v>189</v>
      </c>
      <c r="F4325" s="77" t="s">
        <v>29</v>
      </c>
      <c r="G4325" s="242"/>
      <c r="H4325" s="423"/>
      <c r="I4325" s="83"/>
      <c r="J4325" s="242" t="s">
        <v>2560</v>
      </c>
      <c r="K4325" s="332"/>
      <c r="L4325" s="523">
        <v>100</v>
      </c>
      <c r="M4325" s="136">
        <f t="shared" si="136"/>
        <v>-175479.47029666643</v>
      </c>
      <c r="N4325" s="242"/>
    </row>
    <row r="4326" spans="1:15">
      <c r="A4326" s="54" t="str">
        <f>D4326&amp;E4326&amp;F4326</f>
        <v>HRINSUMOSHR</v>
      </c>
      <c r="B4326" t="s">
        <v>2281</v>
      </c>
      <c r="C4326" s="1">
        <f t="shared" si="135"/>
        <v>45961</v>
      </c>
      <c r="D4326" s="71" t="s">
        <v>29</v>
      </c>
      <c r="E4326" s="71" t="s">
        <v>133</v>
      </c>
      <c r="F4326" s="70" t="s">
        <v>29</v>
      </c>
      <c r="J4326" s="71" t="s">
        <v>2367</v>
      </c>
      <c r="L4326" s="433">
        <v>100</v>
      </c>
      <c r="M4326" s="136">
        <f t="shared" si="136"/>
        <v>-175579.47029666643</v>
      </c>
    </row>
    <row r="4327" spans="1:15">
      <c r="A4327" s="54" t="str">
        <f>D4327&amp;E4327&amp;F4327</f>
        <v>HRUBERHR</v>
      </c>
      <c r="B4327" t="s">
        <v>2281</v>
      </c>
      <c r="C4327" s="1">
        <f t="shared" si="135"/>
        <v>45961</v>
      </c>
      <c r="D4327" s="71" t="s">
        <v>29</v>
      </c>
      <c r="E4327" s="71" t="s">
        <v>189</v>
      </c>
      <c r="F4327" s="70" t="s">
        <v>29</v>
      </c>
      <c r="J4327" s="71" t="s">
        <v>2561</v>
      </c>
      <c r="L4327" s="523">
        <v>130</v>
      </c>
      <c r="M4327" s="136">
        <f t="shared" si="136"/>
        <v>-175709.47029666643</v>
      </c>
    </row>
    <row r="4328" spans="1:15">
      <c r="A4328" s="54" t="str">
        <f>D4328&amp;E4328&amp;F4328</f>
        <v>HRUBERHR</v>
      </c>
      <c r="B4328" t="s">
        <v>2281</v>
      </c>
      <c r="C4328" s="1">
        <f t="shared" si="135"/>
        <v>45961</v>
      </c>
      <c r="D4328" s="71" t="s">
        <v>29</v>
      </c>
      <c r="E4328" s="71" t="s">
        <v>189</v>
      </c>
      <c r="F4328" s="70" t="s">
        <v>29</v>
      </c>
      <c r="J4328" s="71" t="s">
        <v>2453</v>
      </c>
      <c r="L4328" s="523">
        <v>510</v>
      </c>
      <c r="M4328" s="136">
        <f t="shared" si="136"/>
        <v>-176219.47029666643</v>
      </c>
    </row>
    <row r="4329" spans="1:15">
      <c r="A4329" s="54" t="str">
        <f>D4329&amp;E4329&amp;F4329</f>
        <v>HRUBERHR</v>
      </c>
      <c r="B4329" t="s">
        <v>2281</v>
      </c>
      <c r="C4329" s="1">
        <f t="shared" si="135"/>
        <v>45961</v>
      </c>
      <c r="D4329" s="71" t="s">
        <v>29</v>
      </c>
      <c r="E4329" s="71" t="s">
        <v>189</v>
      </c>
      <c r="F4329" s="70" t="s">
        <v>29</v>
      </c>
      <c r="J4329" s="71" t="s">
        <v>2562</v>
      </c>
      <c r="L4329" s="523">
        <v>400</v>
      </c>
      <c r="M4329" s="136">
        <f t="shared" si="136"/>
        <v>-176619.47029666643</v>
      </c>
    </row>
    <row r="4330" spans="1:15">
      <c r="A4330" s="54" t="str">
        <f t="shared" si="137"/>
        <v/>
      </c>
      <c r="B4330" t="s">
        <v>2281</v>
      </c>
      <c r="C4330" s="1">
        <v>45963</v>
      </c>
      <c r="D4330" s="71"/>
      <c r="F4330" s="70"/>
      <c r="J4330" s="71" t="s">
        <v>2563</v>
      </c>
      <c r="K4330" s="325">
        <f>23500-170</f>
        <v>23330</v>
      </c>
      <c r="L4330" s="432"/>
      <c r="M4330" s="136">
        <f t="shared" si="136"/>
        <v>-153289.47029666643</v>
      </c>
    </row>
    <row r="4331" spans="1:15">
      <c r="A4331" s="54" t="str">
        <f t="shared" si="137"/>
        <v/>
      </c>
      <c r="B4331" t="s">
        <v>2281</v>
      </c>
      <c r="C4331" s="1">
        <v>45964</v>
      </c>
      <c r="D4331" s="71"/>
      <c r="F4331" s="70"/>
      <c r="J4331" s="71" t="s">
        <v>2564</v>
      </c>
      <c r="K4331" s="325">
        <v>997398.59</v>
      </c>
      <c r="L4331" s="432"/>
      <c r="M4331" s="136">
        <f t="shared" si="136"/>
        <v>844109.11970333359</v>
      </c>
    </row>
    <row r="4332" spans="1:15">
      <c r="A4332" s="54" t="str">
        <f t="shared" si="137"/>
        <v/>
      </c>
      <c r="B4332" t="s">
        <v>2565</v>
      </c>
      <c r="C4332" s="1">
        <f t="shared" si="135"/>
        <v>45964</v>
      </c>
      <c r="D4332" s="71"/>
      <c r="F4332" s="70"/>
      <c r="J4332" s="71" t="s">
        <v>2566</v>
      </c>
      <c r="K4332" s="325">
        <v>236450.76</v>
      </c>
      <c r="L4332" s="432"/>
      <c r="M4332" s="136">
        <f t="shared" si="136"/>
        <v>1080559.8797033336</v>
      </c>
      <c r="O4332" s="5">
        <f>M4332-K4332</f>
        <v>844109.11970333359</v>
      </c>
    </row>
    <row r="4333" spans="1:15">
      <c r="A4333" s="54" t="str">
        <f>D4333&amp;E4333&amp;F4333</f>
        <v>FINANZASCOMISIONES BANCARIASTPV</v>
      </c>
      <c r="B4333" t="s">
        <v>2565</v>
      </c>
      <c r="C4333" s="1">
        <f t="shared" si="135"/>
        <v>45964</v>
      </c>
      <c r="D4333" t="s">
        <v>23</v>
      </c>
      <c r="E4333" t="s">
        <v>48</v>
      </c>
      <c r="F4333" t="s">
        <v>50</v>
      </c>
      <c r="J4333" s="71" t="s">
        <v>217</v>
      </c>
      <c r="L4333" s="433">
        <f>1559+2938+599+1134.23</f>
        <v>6230.23</v>
      </c>
      <c r="M4333" s="136">
        <f t="shared" si="136"/>
        <v>1074329.6497033336</v>
      </c>
    </row>
    <row r="4334" spans="1:15">
      <c r="A4334" s="54" t="str">
        <f>D4334&amp;E4334&amp;F4334</f>
        <v>FINANZASCOMISIONES BANCARIASMANEJO DE CUENTA</v>
      </c>
      <c r="B4334" t="s">
        <v>2565</v>
      </c>
      <c r="C4334" s="1">
        <f>C4332</f>
        <v>45964</v>
      </c>
      <c r="D4334" t="s">
        <v>23</v>
      </c>
      <c r="E4334" t="s">
        <v>48</v>
      </c>
      <c r="F4334" t="s">
        <v>49</v>
      </c>
      <c r="J4334" s="71" t="s">
        <v>218</v>
      </c>
      <c r="L4334" s="433">
        <f>464+464+833.28+580+580+4461.81</f>
        <v>7383.09</v>
      </c>
      <c r="M4334" s="136">
        <f t="shared" si="136"/>
        <v>1066946.5597033335</v>
      </c>
    </row>
    <row r="4335" spans="1:15">
      <c r="A4335" s="54" t="str">
        <f t="shared" si="137"/>
        <v/>
      </c>
      <c r="B4335" t="s">
        <v>2565</v>
      </c>
      <c r="C4335" s="1">
        <f>C4332</f>
        <v>45964</v>
      </c>
      <c r="D4335" s="71"/>
      <c r="F4335" s="70"/>
      <c r="J4335" s="205" t="s">
        <v>1562</v>
      </c>
      <c r="K4335" s="205"/>
      <c r="L4335" s="206">
        <v>400000</v>
      </c>
      <c r="M4335" s="136">
        <f t="shared" si="136"/>
        <v>666946.55970333354</v>
      </c>
    </row>
    <row r="4336" spans="1:15">
      <c r="A4336" s="54" t="str">
        <f t="shared" si="137"/>
        <v/>
      </c>
      <c r="B4336" t="s">
        <v>2565</v>
      </c>
      <c r="C4336" s="1">
        <f t="shared" si="135"/>
        <v>45964</v>
      </c>
      <c r="D4336" s="71"/>
      <c r="F4336" s="70"/>
      <c r="J4336" s="205" t="s">
        <v>222</v>
      </c>
      <c r="K4336" s="205"/>
      <c r="L4336" s="206">
        <v>700000</v>
      </c>
      <c r="M4336" s="136">
        <f t="shared" si="136"/>
        <v>-33053.440296666464</v>
      </c>
    </row>
    <row r="4337" spans="1:13">
      <c r="A4337" s="54" t="str">
        <f t="shared" si="137"/>
        <v/>
      </c>
      <c r="B4337" t="s">
        <v>2565</v>
      </c>
      <c r="C4337" s="1">
        <f t="shared" si="135"/>
        <v>45964</v>
      </c>
      <c r="D4337" s="71"/>
      <c r="F4337" s="70"/>
      <c r="J4337" s="205" t="s">
        <v>318</v>
      </c>
      <c r="K4337" s="205"/>
      <c r="L4337" s="206"/>
      <c r="M4337" s="136">
        <f t="shared" si="136"/>
        <v>-33053.440296666464</v>
      </c>
    </row>
    <row r="4338" spans="1:13">
      <c r="A4338" s="54" t="str">
        <f>D4338&amp;E4338&amp;F4338</f>
        <v>SERVICIOSVIATICOSCEDIS</v>
      </c>
      <c r="B4338" t="s">
        <v>2565</v>
      </c>
      <c r="C4338" s="1">
        <f t="shared" si="135"/>
        <v>45964</v>
      </c>
      <c r="D4338" s="71" t="s">
        <v>21</v>
      </c>
      <c r="E4338" s="71" t="s">
        <v>191</v>
      </c>
      <c r="F4338" s="70" t="s">
        <v>28</v>
      </c>
      <c r="G4338" s="71" t="s">
        <v>258</v>
      </c>
      <c r="J4338" s="71" t="s">
        <v>2567</v>
      </c>
      <c r="L4338" s="433">
        <v>400</v>
      </c>
      <c r="M4338" s="136">
        <f>M4337+K4338-L4338</f>
        <v>-33453.440296666464</v>
      </c>
    </row>
    <row r="4339" spans="1:13">
      <c r="A4339" s="54" t="str">
        <f>D4339&amp;E4339&amp;F4339</f>
        <v>SERVICIOSVIATICOSCEDIS</v>
      </c>
      <c r="B4339" t="s">
        <v>2565</v>
      </c>
      <c r="C4339" s="1">
        <f t="shared" si="135"/>
        <v>45964</v>
      </c>
      <c r="D4339" s="71" t="s">
        <v>21</v>
      </c>
      <c r="E4339" s="71" t="s">
        <v>191</v>
      </c>
      <c r="F4339" s="70" t="s">
        <v>28</v>
      </c>
      <c r="G4339" s="83"/>
      <c r="J4339" s="71" t="s">
        <v>2568</v>
      </c>
      <c r="L4339" s="433">
        <v>1600</v>
      </c>
      <c r="M4339" s="136">
        <f>M4338+K4339-L4339</f>
        <v>-35053.440296666464</v>
      </c>
    </row>
    <row r="4340" spans="1:13">
      <c r="A4340" s="54" t="str">
        <f>D4340&amp;E4340&amp;F4340</f>
        <v>FINANZASFONDO Y REPOSICIONFINANZAS</v>
      </c>
      <c r="B4340" t="s">
        <v>2565</v>
      </c>
      <c r="C4340" s="1">
        <f t="shared" si="135"/>
        <v>45964</v>
      </c>
      <c r="D4340" s="71" t="s">
        <v>23</v>
      </c>
      <c r="E4340" s="71" t="s">
        <v>120</v>
      </c>
      <c r="F4340" s="70" t="s">
        <v>23</v>
      </c>
      <c r="G4340" s="83"/>
      <c r="J4340" s="71" t="s">
        <v>2569</v>
      </c>
      <c r="L4340" s="433">
        <f>190+215</f>
        <v>405</v>
      </c>
      <c r="M4340" s="136">
        <f>M4339+K4340-L4340</f>
        <v>-35458.440296666464</v>
      </c>
    </row>
    <row r="4341" spans="1:13">
      <c r="A4341" s="54" t="str">
        <f>D4341&amp;E4341&amp;F4341</f>
        <v>HRFONDO Y REPOSICIONHR</v>
      </c>
      <c r="B4341" t="s">
        <v>2565</v>
      </c>
      <c r="C4341" s="1">
        <f t="shared" si="135"/>
        <v>45964</v>
      </c>
      <c r="D4341" s="71" t="s">
        <v>29</v>
      </c>
      <c r="E4341" s="71" t="s">
        <v>120</v>
      </c>
      <c r="F4341" s="70" t="s">
        <v>29</v>
      </c>
      <c r="J4341" s="71" t="s">
        <v>2174</v>
      </c>
      <c r="L4341" s="433">
        <v>2269</v>
      </c>
      <c r="M4341" s="136">
        <f>M4340+K4341-L4341</f>
        <v>-37727.440296666464</v>
      </c>
    </row>
    <row r="4342" spans="1:13">
      <c r="A4342" s="54" t="str">
        <f>D4342&amp;E4342&amp;F4342</f>
        <v>SERVICIOSVIATICOSCOMPRAS</v>
      </c>
      <c r="B4342" t="s">
        <v>2565</v>
      </c>
      <c r="C4342" s="1">
        <f t="shared" si="135"/>
        <v>45964</v>
      </c>
      <c r="D4342" s="71" t="s">
        <v>21</v>
      </c>
      <c r="E4342" s="71" t="s">
        <v>191</v>
      </c>
      <c r="F4342" s="70" t="s">
        <v>148</v>
      </c>
      <c r="J4342" s="71" t="s">
        <v>2570</v>
      </c>
      <c r="L4342" s="433">
        <v>500</v>
      </c>
      <c r="M4342" s="136">
        <f>M4341+K4342-L4342</f>
        <v>-38227.440296666464</v>
      </c>
    </row>
    <row r="4343" spans="1:13">
      <c r="A4343" s="54" t="str">
        <f>D4343&amp;E4343&amp;F4343</f>
        <v>SERVICIOSVIATICOSCEDIS</v>
      </c>
      <c r="B4343" t="s">
        <v>2565</v>
      </c>
      <c r="C4343" s="1">
        <f t="shared" si="135"/>
        <v>45964</v>
      </c>
      <c r="D4343" s="71" t="s">
        <v>21</v>
      </c>
      <c r="E4343" s="71" t="s">
        <v>191</v>
      </c>
      <c r="F4343" s="70" t="s">
        <v>28</v>
      </c>
      <c r="J4343" s="71" t="s">
        <v>2154</v>
      </c>
      <c r="L4343" s="433">
        <v>2050</v>
      </c>
      <c r="M4343" s="136">
        <f t="shared" ref="M4343:M4407" si="138">M4342+K4343-L4343</f>
        <v>-40277.440296666464</v>
      </c>
    </row>
    <row r="4344" spans="1:13">
      <c r="A4344" s="54" t="str">
        <f>D4344&amp;E4344&amp;F4344</f>
        <v>SERVICIOSGASCEDIS</v>
      </c>
      <c r="B4344" t="s">
        <v>2565</v>
      </c>
      <c r="C4344" s="1">
        <f t="shared" si="135"/>
        <v>45964</v>
      </c>
      <c r="D4344" s="71" t="s">
        <v>21</v>
      </c>
      <c r="E4344" s="71" t="s">
        <v>122</v>
      </c>
      <c r="F4344" s="70" t="s">
        <v>28</v>
      </c>
      <c r="J4344" s="71" t="s">
        <v>2571</v>
      </c>
      <c r="L4344" s="433">
        <v>300</v>
      </c>
      <c r="M4344" s="136">
        <f t="shared" si="138"/>
        <v>-40577.440296666464</v>
      </c>
    </row>
    <row r="4345" spans="1:13">
      <c r="A4345" s="54" t="str">
        <f>D4345&amp;E4345&amp;F4345</f>
        <v>FINANZASFONDO Y REPOSICIONFINANZAS</v>
      </c>
      <c r="B4345" t="s">
        <v>2565</v>
      </c>
      <c r="C4345" s="1">
        <f t="shared" si="135"/>
        <v>45964</v>
      </c>
      <c r="D4345" s="71" t="s">
        <v>23</v>
      </c>
      <c r="E4345" s="71" t="s">
        <v>120</v>
      </c>
      <c r="F4345" s="70" t="s">
        <v>23</v>
      </c>
      <c r="J4345" s="71" t="s">
        <v>2572</v>
      </c>
      <c r="L4345" s="433">
        <v>300</v>
      </c>
      <c r="M4345" s="136">
        <f t="shared" si="138"/>
        <v>-40877.440296666464</v>
      </c>
    </row>
    <row r="4346" spans="1:13">
      <c r="A4346" s="54" t="str">
        <f>D4346&amp;E4346&amp;F4346</f>
        <v>CAPVIATICOSCAPRICHOS</v>
      </c>
      <c r="B4346" t="s">
        <v>2565</v>
      </c>
      <c r="C4346" s="1">
        <f t="shared" si="135"/>
        <v>45964</v>
      </c>
      <c r="D4346" s="71" t="s">
        <v>31</v>
      </c>
      <c r="E4346" s="71" t="s">
        <v>191</v>
      </c>
      <c r="F4346" s="70" t="s">
        <v>33</v>
      </c>
      <c r="J4346" s="71" t="s">
        <v>286</v>
      </c>
      <c r="L4346" s="433">
        <v>2600</v>
      </c>
      <c r="M4346" s="136">
        <f t="shared" si="138"/>
        <v>-43477.440296666464</v>
      </c>
    </row>
    <row r="4347" spans="1:13">
      <c r="A4347" s="54" t="str">
        <f>D4347&amp;E4347&amp;F4347</f>
        <v>HRENERGIA ELECTRICAA11</v>
      </c>
      <c r="B4347" t="s">
        <v>2565</v>
      </c>
      <c r="C4347" s="1">
        <f t="shared" si="135"/>
        <v>45964</v>
      </c>
      <c r="D4347" s="71" t="s">
        <v>29</v>
      </c>
      <c r="E4347" s="71" t="s">
        <v>87</v>
      </c>
      <c r="F4347" s="70" t="s">
        <v>97</v>
      </c>
      <c r="J4347" s="71" t="s">
        <v>2573</v>
      </c>
      <c r="L4347" s="433">
        <v>23657</v>
      </c>
      <c r="M4347" s="136">
        <f t="shared" si="138"/>
        <v>-67134.440296666464</v>
      </c>
    </row>
    <row r="4348" spans="1:13">
      <c r="A4348" s="54" t="str">
        <f>D4348&amp;E4348&amp;F4348</f>
        <v>HRVIATICOSHR</v>
      </c>
      <c r="B4348" t="s">
        <v>2565</v>
      </c>
      <c r="C4348" s="1">
        <f t="shared" si="135"/>
        <v>45964</v>
      </c>
      <c r="D4348" s="71" t="s">
        <v>29</v>
      </c>
      <c r="E4348" s="71" t="s">
        <v>191</v>
      </c>
      <c r="F4348" s="70" t="s">
        <v>29</v>
      </c>
      <c r="J4348" s="71" t="s">
        <v>2574</v>
      </c>
      <c r="L4348" s="433">
        <v>7800</v>
      </c>
      <c r="M4348" s="136">
        <f t="shared" si="138"/>
        <v>-74934.440296666464</v>
      </c>
    </row>
    <row r="4349" spans="1:13">
      <c r="A4349" s="54" t="str">
        <f>D4349&amp;E4349&amp;F4349</f>
        <v>HRJMASA1</v>
      </c>
      <c r="B4349" t="s">
        <v>2565</v>
      </c>
      <c r="C4349" s="1">
        <f t="shared" si="135"/>
        <v>45964</v>
      </c>
      <c r="D4349" s="71" t="s">
        <v>29</v>
      </c>
      <c r="E4349" s="71" t="s">
        <v>137</v>
      </c>
      <c r="F4349" s="71" t="s">
        <v>88</v>
      </c>
      <c r="J4349" s="71" t="s">
        <v>2575</v>
      </c>
      <c r="L4349" s="433">
        <f>430+435</f>
        <v>865</v>
      </c>
      <c r="M4349" s="136">
        <f t="shared" si="138"/>
        <v>-75799.440296666464</v>
      </c>
    </row>
    <row r="4350" spans="1:13">
      <c r="A4350" s="54" t="str">
        <f>D4350&amp;E4350&amp;F4350</f>
        <v>HRJMASA9</v>
      </c>
      <c r="B4350" t="s">
        <v>2565</v>
      </c>
      <c r="C4350" s="1">
        <f t="shared" si="135"/>
        <v>45964</v>
      </c>
      <c r="D4350" s="71" t="s">
        <v>29</v>
      </c>
      <c r="E4350" s="71" t="s">
        <v>137</v>
      </c>
      <c r="F4350" s="70" t="s">
        <v>95</v>
      </c>
      <c r="J4350" s="71" t="s">
        <v>2576</v>
      </c>
      <c r="L4350" s="433">
        <v>999</v>
      </c>
      <c r="M4350" s="136">
        <f t="shared" si="138"/>
        <v>-76798.440296666464</v>
      </c>
    </row>
    <row r="4351" spans="1:13">
      <c r="A4351" s="54" t="str">
        <f>D4351&amp;E4351&amp;F4351</f>
        <v>HRJMASA10</v>
      </c>
      <c r="B4351" t="s">
        <v>2565</v>
      </c>
      <c r="C4351" s="1">
        <f t="shared" si="135"/>
        <v>45964</v>
      </c>
      <c r="D4351" s="71" t="s">
        <v>29</v>
      </c>
      <c r="E4351" s="71" t="s">
        <v>137</v>
      </c>
      <c r="F4351" s="70" t="s">
        <v>96</v>
      </c>
      <c r="J4351" s="71" t="s">
        <v>2577</v>
      </c>
      <c r="L4351" s="433">
        <v>8351</v>
      </c>
      <c r="M4351" s="136">
        <f t="shared" si="138"/>
        <v>-85149.440296666464</v>
      </c>
    </row>
    <row r="4352" spans="1:13">
      <c r="A4352" s="54" t="str">
        <f>D4352&amp;E4352&amp;F4352</f>
        <v>SERVICIOSJMASCEDIS</v>
      </c>
      <c r="B4352" t="s">
        <v>2565</v>
      </c>
      <c r="C4352" s="1">
        <f t="shared" si="135"/>
        <v>45964</v>
      </c>
      <c r="D4352" s="71" t="s">
        <v>21</v>
      </c>
      <c r="E4352" s="71" t="s">
        <v>137</v>
      </c>
      <c r="F4352" s="70" t="s">
        <v>28</v>
      </c>
      <c r="J4352" s="71" t="s">
        <v>2578</v>
      </c>
      <c r="L4352" s="433">
        <f>679+432+2154</f>
        <v>3265</v>
      </c>
      <c r="M4352" s="136">
        <f t="shared" si="138"/>
        <v>-88414.440296666464</v>
      </c>
    </row>
    <row r="4353" spans="1:13">
      <c r="A4353" s="54" t="str">
        <f>D4353&amp;E4353&amp;F4353</f>
        <v>CAPJMASE1</v>
      </c>
      <c r="B4353" t="s">
        <v>2565</v>
      </c>
      <c r="C4353" s="1">
        <f t="shared" si="135"/>
        <v>45964</v>
      </c>
      <c r="D4353" s="71" t="s">
        <v>31</v>
      </c>
      <c r="E4353" s="71" t="s">
        <v>137</v>
      </c>
      <c r="F4353" s="70" t="s">
        <v>107</v>
      </c>
      <c r="J4353" s="71" t="s">
        <v>233</v>
      </c>
      <c r="L4353" s="433">
        <v>430</v>
      </c>
      <c r="M4353" s="136">
        <f t="shared" si="138"/>
        <v>-88844.440296666464</v>
      </c>
    </row>
    <row r="4354" spans="1:13">
      <c r="A4354" s="54" t="str">
        <f>D4354&amp;E4354&amp;F4354</f>
        <v>HRJMASA2</v>
      </c>
      <c r="B4354" t="s">
        <v>2565</v>
      </c>
      <c r="C4354" s="1">
        <f t="shared" si="135"/>
        <v>45964</v>
      </c>
      <c r="D4354" s="71" t="s">
        <v>29</v>
      </c>
      <c r="E4354" s="71" t="s">
        <v>137</v>
      </c>
      <c r="F4354" s="70" t="s">
        <v>89</v>
      </c>
      <c r="J4354" s="71" t="s">
        <v>236</v>
      </c>
      <c r="L4354" s="433">
        <f>439+439</f>
        <v>878</v>
      </c>
      <c r="M4354" s="136">
        <f t="shared" si="138"/>
        <v>-89722.440296666464</v>
      </c>
    </row>
    <row r="4355" spans="1:13">
      <c r="A4355" s="54" t="str">
        <f>D4355&amp;E4355&amp;F4355</f>
        <v>HRUBERHR</v>
      </c>
      <c r="B4355" t="s">
        <v>2565</v>
      </c>
      <c r="C4355" s="1">
        <f t="shared" si="135"/>
        <v>45964</v>
      </c>
      <c r="D4355" s="71" t="s">
        <v>29</v>
      </c>
      <c r="E4355" s="71" t="s">
        <v>189</v>
      </c>
      <c r="F4355" s="70" t="s">
        <v>29</v>
      </c>
      <c r="J4355" s="76" t="s">
        <v>2548</v>
      </c>
      <c r="L4355" s="522">
        <v>350</v>
      </c>
      <c r="M4355" s="136">
        <f t="shared" si="138"/>
        <v>-90072.440296666464</v>
      </c>
    </row>
    <row r="4356" spans="1:13">
      <c r="A4356" s="54" t="str">
        <f>D4356&amp;E4356&amp;F4356</f>
        <v>HRUBERHR</v>
      </c>
      <c r="B4356" t="s">
        <v>2565</v>
      </c>
      <c r="C4356" s="1">
        <f t="shared" si="135"/>
        <v>45964</v>
      </c>
      <c r="D4356" s="71" t="s">
        <v>29</v>
      </c>
      <c r="E4356" s="71" t="s">
        <v>189</v>
      </c>
      <c r="F4356" s="70" t="s">
        <v>29</v>
      </c>
      <c r="J4356" s="76" t="s">
        <v>2579</v>
      </c>
      <c r="L4356" s="522">
        <v>70</v>
      </c>
      <c r="M4356" s="136">
        <f t="shared" si="138"/>
        <v>-90142.440296666464</v>
      </c>
    </row>
    <row r="4357" spans="1:13">
      <c r="A4357" s="54" t="str">
        <f>D4357&amp;E4357&amp;F4357</f>
        <v>HRUBERHR</v>
      </c>
      <c r="B4357" t="s">
        <v>2565</v>
      </c>
      <c r="C4357" s="1">
        <f t="shared" si="135"/>
        <v>45964</v>
      </c>
      <c r="D4357" s="71" t="s">
        <v>29</v>
      </c>
      <c r="E4357" s="71" t="s">
        <v>189</v>
      </c>
      <c r="F4357" s="70" t="s">
        <v>29</v>
      </c>
      <c r="J4357" s="76" t="s">
        <v>2580</v>
      </c>
      <c r="L4357" s="522">
        <v>550</v>
      </c>
      <c r="M4357" s="136">
        <f t="shared" si="138"/>
        <v>-90692.440296666464</v>
      </c>
    </row>
    <row r="4358" spans="1:13">
      <c r="A4358" s="54" t="str">
        <f>D4358&amp;E4358&amp;F4358</f>
        <v>SERVICIOSMTTO EQ DE COMPUTOMTTO EQ DE COMPUTO</v>
      </c>
      <c r="B4358" t="s">
        <v>2565</v>
      </c>
      <c r="C4358" s="1">
        <f t="shared" si="135"/>
        <v>45964</v>
      </c>
      <c r="D4358" s="71" t="s">
        <v>21</v>
      </c>
      <c r="E4358" s="71" t="s">
        <v>143</v>
      </c>
      <c r="F4358" s="70" t="s">
        <v>143</v>
      </c>
      <c r="G4358" s="83"/>
      <c r="J4358" s="76" t="s">
        <v>2581</v>
      </c>
      <c r="L4358" s="434">
        <v>979</v>
      </c>
      <c r="M4358" s="136">
        <f t="shared" si="138"/>
        <v>-91671.440296666464</v>
      </c>
    </row>
    <row r="4359" spans="1:13">
      <c r="A4359" s="54" t="str">
        <f>D4359&amp;E4359&amp;F4359</f>
        <v>HRNOMINA SUCURSALA12</v>
      </c>
      <c r="B4359" t="s">
        <v>2565</v>
      </c>
      <c r="C4359" s="1">
        <f t="shared" si="135"/>
        <v>45964</v>
      </c>
      <c r="D4359" s="71" t="s">
        <v>29</v>
      </c>
      <c r="E4359" s="71" t="s">
        <v>154</v>
      </c>
      <c r="F4359" s="70" t="s">
        <v>98</v>
      </c>
      <c r="J4359" s="76" t="s">
        <v>2582</v>
      </c>
      <c r="L4359" s="434">
        <v>1080</v>
      </c>
      <c r="M4359" s="136">
        <f t="shared" si="138"/>
        <v>-92751.440296666464</v>
      </c>
    </row>
    <row r="4360" spans="1:13">
      <c r="A4360" s="54" t="str">
        <f>D4360&amp;E4360&amp;F4360</f>
        <v>HRUBERHR</v>
      </c>
      <c r="B4360" t="s">
        <v>2565</v>
      </c>
      <c r="C4360" s="1">
        <f t="shared" ref="C4360:C4425" si="139">C4359</f>
        <v>45964</v>
      </c>
      <c r="D4360" s="71" t="s">
        <v>29</v>
      </c>
      <c r="E4360" s="71" t="s">
        <v>189</v>
      </c>
      <c r="F4360" s="70" t="s">
        <v>29</v>
      </c>
      <c r="J4360" s="76" t="s">
        <v>2583</v>
      </c>
      <c r="L4360" s="522">
        <v>278</v>
      </c>
      <c r="M4360" s="136">
        <f t="shared" si="138"/>
        <v>-93029.440296666464</v>
      </c>
    </row>
    <row r="4361" spans="1:13">
      <c r="A4361" s="54" t="str">
        <f>D4361&amp;E4361&amp;F4361</f>
        <v>HRUBERHR</v>
      </c>
      <c r="B4361" t="s">
        <v>2565</v>
      </c>
      <c r="C4361" s="1">
        <f t="shared" si="139"/>
        <v>45964</v>
      </c>
      <c r="D4361" s="71" t="s">
        <v>29</v>
      </c>
      <c r="E4361" s="71" t="s">
        <v>189</v>
      </c>
      <c r="F4361" s="70" t="s">
        <v>29</v>
      </c>
      <c r="J4361" s="76" t="s">
        <v>2419</v>
      </c>
      <c r="L4361" s="522">
        <v>500</v>
      </c>
      <c r="M4361" s="136">
        <f t="shared" si="138"/>
        <v>-93529.440296666464</v>
      </c>
    </row>
    <row r="4362" spans="1:13">
      <c r="A4362" s="54" t="str">
        <f>D4362&amp;E4362&amp;F4362</f>
        <v>HRINSUMOSHR</v>
      </c>
      <c r="B4362" t="s">
        <v>2565</v>
      </c>
      <c r="C4362" s="1">
        <f t="shared" si="139"/>
        <v>45964</v>
      </c>
      <c r="D4362" s="71" t="s">
        <v>29</v>
      </c>
      <c r="E4362" s="71" t="s">
        <v>133</v>
      </c>
      <c r="F4362" s="70" t="s">
        <v>29</v>
      </c>
      <c r="J4362" s="76" t="s">
        <v>2584</v>
      </c>
      <c r="L4362" s="434">
        <v>30</v>
      </c>
      <c r="M4362" s="136">
        <f t="shared" si="138"/>
        <v>-93559.440296666464</v>
      </c>
    </row>
    <row r="4363" spans="1:13">
      <c r="A4363" s="54" t="str">
        <f>D4363&amp;E4363&amp;F4363</f>
        <v>HRUBERHR</v>
      </c>
      <c r="B4363" t="s">
        <v>2565</v>
      </c>
      <c r="C4363" s="1">
        <f t="shared" si="139"/>
        <v>45964</v>
      </c>
      <c r="D4363" s="71" t="s">
        <v>29</v>
      </c>
      <c r="E4363" s="71" t="s">
        <v>189</v>
      </c>
      <c r="F4363" s="70" t="s">
        <v>29</v>
      </c>
      <c r="J4363" s="76" t="s">
        <v>2318</v>
      </c>
      <c r="L4363" s="522">
        <v>148</v>
      </c>
      <c r="M4363" s="136">
        <f t="shared" si="138"/>
        <v>-93707.440296666464</v>
      </c>
    </row>
    <row r="4364" spans="1:13">
      <c r="A4364" s="54" t="str">
        <f>D4364&amp;E4364&amp;F4364</f>
        <v>HRUBERHR</v>
      </c>
      <c r="B4364" t="s">
        <v>2565</v>
      </c>
      <c r="C4364" s="1">
        <f t="shared" si="139"/>
        <v>45964</v>
      </c>
      <c r="D4364" s="71" t="s">
        <v>29</v>
      </c>
      <c r="E4364" s="71" t="s">
        <v>189</v>
      </c>
      <c r="F4364" s="70" t="s">
        <v>29</v>
      </c>
      <c r="J4364" s="76" t="s">
        <v>2585</v>
      </c>
      <c r="L4364" s="522">
        <v>350</v>
      </c>
      <c r="M4364" s="136">
        <f t="shared" si="138"/>
        <v>-94057.440296666464</v>
      </c>
    </row>
    <row r="4365" spans="1:13">
      <c r="A4365" s="54" t="str">
        <f>D4365&amp;E4365&amp;F4365</f>
        <v>HRUBERHR</v>
      </c>
      <c r="B4365" t="s">
        <v>2565</v>
      </c>
      <c r="C4365" s="1">
        <f t="shared" si="139"/>
        <v>45964</v>
      </c>
      <c r="D4365" s="71" t="s">
        <v>29</v>
      </c>
      <c r="E4365" s="71" t="s">
        <v>189</v>
      </c>
      <c r="F4365" s="70" t="s">
        <v>29</v>
      </c>
      <c r="J4365" s="76" t="s">
        <v>2586</v>
      </c>
      <c r="L4365" s="522">
        <v>250</v>
      </c>
      <c r="M4365" s="136">
        <f t="shared" si="138"/>
        <v>-94307.440296666464</v>
      </c>
    </row>
    <row r="4366" spans="1:13">
      <c r="A4366" s="54" t="str">
        <f>D4366&amp;E4366&amp;F4366</f>
        <v>CAPUBERCAP</v>
      </c>
      <c r="B4366" t="s">
        <v>2565</v>
      </c>
      <c r="C4366" s="1">
        <f t="shared" si="139"/>
        <v>45964</v>
      </c>
      <c r="D4366" s="71" t="s">
        <v>31</v>
      </c>
      <c r="E4366" s="71" t="s">
        <v>189</v>
      </c>
      <c r="F4366" s="70" t="s">
        <v>31</v>
      </c>
      <c r="J4366" s="76" t="s">
        <v>2587</v>
      </c>
      <c r="L4366" s="522">
        <v>140</v>
      </c>
      <c r="M4366" s="136">
        <f t="shared" si="138"/>
        <v>-94447.440296666464</v>
      </c>
    </row>
    <row r="4367" spans="1:13">
      <c r="A4367" s="54" t="str">
        <f>D4367&amp;E4367&amp;F4367</f>
        <v>CAPUBERCAP</v>
      </c>
      <c r="B4367" t="s">
        <v>2565</v>
      </c>
      <c r="C4367" s="1">
        <f t="shared" si="139"/>
        <v>45964</v>
      </c>
      <c r="D4367" s="71" t="s">
        <v>31</v>
      </c>
      <c r="E4367" s="71" t="s">
        <v>189</v>
      </c>
      <c r="F4367" s="70" t="s">
        <v>31</v>
      </c>
      <c r="J4367" s="76" t="s">
        <v>2262</v>
      </c>
      <c r="L4367" s="522">
        <v>470</v>
      </c>
      <c r="M4367" s="136">
        <f t="shared" si="138"/>
        <v>-94917.440296666464</v>
      </c>
    </row>
    <row r="4368" spans="1:13">
      <c r="A4368" s="54" t="str">
        <f>D4368&amp;E4368&amp;F4368</f>
        <v>CAPUBERCAP</v>
      </c>
      <c r="B4368" t="s">
        <v>2565</v>
      </c>
      <c r="C4368" s="1">
        <f t="shared" si="139"/>
        <v>45964</v>
      </c>
      <c r="D4368" s="71" t="s">
        <v>31</v>
      </c>
      <c r="E4368" s="71" t="s">
        <v>189</v>
      </c>
      <c r="F4368" s="70" t="s">
        <v>31</v>
      </c>
      <c r="J4368" s="76" t="s">
        <v>2278</v>
      </c>
      <c r="L4368" s="522">
        <v>397</v>
      </c>
      <c r="M4368" s="136">
        <f t="shared" si="138"/>
        <v>-95314.440296666464</v>
      </c>
    </row>
    <row r="4369" spans="1:13">
      <c r="A4369" s="54" t="str">
        <f>D4369&amp;E4369&amp;F4369</f>
        <v>CAPUBERCAP</v>
      </c>
      <c r="B4369" t="s">
        <v>2565</v>
      </c>
      <c r="C4369" s="1">
        <f t="shared" si="139"/>
        <v>45964</v>
      </c>
      <c r="D4369" s="71" t="s">
        <v>31</v>
      </c>
      <c r="E4369" s="71" t="s">
        <v>189</v>
      </c>
      <c r="F4369" s="70" t="s">
        <v>31</v>
      </c>
      <c r="J4369" s="76" t="s">
        <v>2512</v>
      </c>
      <c r="L4369" s="522">
        <v>124</v>
      </c>
      <c r="M4369" s="136">
        <f t="shared" si="138"/>
        <v>-95438.440296666464</v>
      </c>
    </row>
    <row r="4370" spans="1:13">
      <c r="A4370" s="54" t="str">
        <f>D4370&amp;E4370&amp;F4370</f>
        <v>CAPNOMINA SUCURSALE2</v>
      </c>
      <c r="B4370" t="s">
        <v>2565</v>
      </c>
      <c r="C4370" s="1">
        <f t="shared" si="139"/>
        <v>45964</v>
      </c>
      <c r="D4370" s="71" t="s">
        <v>31</v>
      </c>
      <c r="E4370" s="71" t="s">
        <v>154</v>
      </c>
      <c r="F4370" s="70" t="s">
        <v>108</v>
      </c>
      <c r="J4370" s="76" t="s">
        <v>2319</v>
      </c>
      <c r="L4370" s="434">
        <v>320</v>
      </c>
      <c r="M4370" s="136">
        <f t="shared" si="138"/>
        <v>-95758.440296666464</v>
      </c>
    </row>
    <row r="4371" spans="1:13">
      <c r="A4371" s="54" t="str">
        <f>D4371&amp;E4371&amp;F4371</f>
        <v>CAPUBERCAP</v>
      </c>
      <c r="B4371" t="s">
        <v>2565</v>
      </c>
      <c r="C4371" s="1">
        <f t="shared" si="139"/>
        <v>45964</v>
      </c>
      <c r="D4371" s="71" t="s">
        <v>31</v>
      </c>
      <c r="E4371" s="71" t="s">
        <v>189</v>
      </c>
      <c r="F4371" s="70" t="s">
        <v>31</v>
      </c>
      <c r="J4371" s="76" t="s">
        <v>2512</v>
      </c>
      <c r="L4371" s="522">
        <v>124</v>
      </c>
      <c r="M4371" s="136">
        <f t="shared" si="138"/>
        <v>-95882.440296666464</v>
      </c>
    </row>
    <row r="4372" spans="1:13">
      <c r="A4372" s="54" t="str">
        <f>D4372&amp;E4372&amp;F4372</f>
        <v>CAPVACACIONES/FINIQUITOSCAPRICHOS</v>
      </c>
      <c r="B4372" t="s">
        <v>2565</v>
      </c>
      <c r="C4372" s="1">
        <f t="shared" si="139"/>
        <v>45964</v>
      </c>
      <c r="D4372" s="71" t="s">
        <v>31</v>
      </c>
      <c r="E4372" s="71" t="s">
        <v>190</v>
      </c>
      <c r="F4372" s="70" t="s">
        <v>33</v>
      </c>
      <c r="J4372" s="76" t="s">
        <v>2588</v>
      </c>
      <c r="L4372" s="434">
        <v>1438</v>
      </c>
      <c r="M4372" s="136">
        <f t="shared" si="138"/>
        <v>-97320.440296666464</v>
      </c>
    </row>
    <row r="4373" spans="1:13">
      <c r="A4373" s="54" t="str">
        <f>D4373&amp;E4373&amp;F4373</f>
        <v>CAPINSUMOSCAPRICHOS</v>
      </c>
      <c r="B4373" t="s">
        <v>2565</v>
      </c>
      <c r="C4373" s="1">
        <f t="shared" si="139"/>
        <v>45964</v>
      </c>
      <c r="D4373" s="71" t="s">
        <v>31</v>
      </c>
      <c r="E4373" s="71" t="s">
        <v>133</v>
      </c>
      <c r="F4373" s="70" t="s">
        <v>33</v>
      </c>
      <c r="G4373" s="71" t="s">
        <v>258</v>
      </c>
      <c r="J4373" s="76" t="s">
        <v>2589</v>
      </c>
      <c r="L4373" s="434">
        <v>52</v>
      </c>
      <c r="M4373" s="136">
        <f t="shared" si="138"/>
        <v>-97372.440296666464</v>
      </c>
    </row>
    <row r="4374" spans="1:13">
      <c r="A4374" s="54" t="str">
        <f t="shared" ref="A4374:A4437" si="140">D4374&amp;E4374&amp;F4374</f>
        <v/>
      </c>
      <c r="B4374" t="s">
        <v>2565</v>
      </c>
      <c r="C4374" s="1">
        <v>45965</v>
      </c>
      <c r="D4374" s="71"/>
      <c r="F4374" s="70"/>
      <c r="J4374" s="71" t="s">
        <v>2045</v>
      </c>
      <c r="K4374" s="325">
        <v>176758.56</v>
      </c>
      <c r="L4374" s="432"/>
      <c r="M4374" s="136">
        <f t="shared" si="138"/>
        <v>79386.119703333534</v>
      </c>
    </row>
    <row r="4375" spans="1:13">
      <c r="A4375" s="54" t="str">
        <f t="shared" si="140"/>
        <v/>
      </c>
      <c r="B4375" t="s">
        <v>2565</v>
      </c>
      <c r="C4375" s="1">
        <f t="shared" si="139"/>
        <v>45965</v>
      </c>
      <c r="D4375" s="71"/>
      <c r="F4375" s="70"/>
      <c r="J4375" s="71" t="s">
        <v>2590</v>
      </c>
      <c r="K4375" s="325">
        <v>4400</v>
      </c>
      <c r="L4375" s="432"/>
      <c r="M4375" s="136">
        <f t="shared" si="138"/>
        <v>83786.119703333534</v>
      </c>
    </row>
    <row r="4376" spans="1:13">
      <c r="A4376" s="54" t="str">
        <f t="shared" si="140"/>
        <v/>
      </c>
      <c r="B4376" t="s">
        <v>2565</v>
      </c>
      <c r="C4376" s="1">
        <f>C4375</f>
        <v>45965</v>
      </c>
      <c r="D4376" s="71"/>
      <c r="F4376" s="70"/>
      <c r="J4376" s="71" t="s">
        <v>2591</v>
      </c>
      <c r="K4376" s="325">
        <v>400000</v>
      </c>
      <c r="L4376" s="432"/>
      <c r="M4376" s="136">
        <f t="shared" si="138"/>
        <v>483786.11970333353</v>
      </c>
    </row>
    <row r="4377" spans="1:13">
      <c r="A4377" s="54" t="str">
        <f t="shared" si="140"/>
        <v>FINANZASCOMISIONES BANCARIASTPV</v>
      </c>
      <c r="B4377" t="s">
        <v>2565</v>
      </c>
      <c r="C4377" s="1">
        <f>C4374</f>
        <v>45965</v>
      </c>
      <c r="D4377" t="s">
        <v>23</v>
      </c>
      <c r="E4377" t="s">
        <v>48</v>
      </c>
      <c r="F4377" t="s">
        <v>50</v>
      </c>
      <c r="J4377" s="71" t="s">
        <v>217</v>
      </c>
      <c r="L4377" s="433">
        <f>790+1179.08+509.07+79.08</f>
        <v>2557.23</v>
      </c>
      <c r="M4377" s="136">
        <f t="shared" si="138"/>
        <v>481228.88970333355</v>
      </c>
    </row>
    <row r="4378" spans="1:13">
      <c r="A4378" s="54" t="str">
        <f t="shared" si="140"/>
        <v/>
      </c>
      <c r="B4378" t="s">
        <v>2565</v>
      </c>
      <c r="C4378" s="1">
        <f>C4377</f>
        <v>45965</v>
      </c>
      <c r="D4378" s="71"/>
      <c r="F4378" s="70"/>
      <c r="J4378" s="205" t="s">
        <v>1562</v>
      </c>
      <c r="K4378" s="205"/>
      <c r="L4378" s="206">
        <v>150000</v>
      </c>
      <c r="M4378" s="136">
        <f t="shared" si="138"/>
        <v>331228.88970333355</v>
      </c>
    </row>
    <row r="4379" spans="1:13">
      <c r="A4379" s="54" t="str">
        <f t="shared" si="140"/>
        <v/>
      </c>
      <c r="B4379" t="s">
        <v>2565</v>
      </c>
      <c r="C4379" s="1">
        <f t="shared" si="139"/>
        <v>45965</v>
      </c>
      <c r="D4379" s="71"/>
      <c r="F4379" s="70"/>
      <c r="J4379" s="205" t="s">
        <v>318</v>
      </c>
      <c r="K4379" s="205"/>
      <c r="L4379" s="206">
        <v>400000</v>
      </c>
      <c r="M4379" s="136">
        <f t="shared" si="138"/>
        <v>-68771.110296666448</v>
      </c>
    </row>
    <row r="4380" spans="1:13">
      <c r="A4380" s="54" t="str">
        <f t="shared" si="140"/>
        <v>HRIMAGEN VISUALIMAGEN VISUAL HR</v>
      </c>
      <c r="B4380" t="s">
        <v>2565</v>
      </c>
      <c r="C4380" s="1">
        <f t="shared" si="139"/>
        <v>45965</v>
      </c>
      <c r="D4380" s="71" t="s">
        <v>29</v>
      </c>
      <c r="E4380" s="71" t="s">
        <v>127</v>
      </c>
      <c r="F4380" s="70" t="s">
        <v>128</v>
      </c>
      <c r="J4380" s="71" t="s">
        <v>2592</v>
      </c>
      <c r="L4380" s="433">
        <v>7057.76</v>
      </c>
      <c r="M4380" s="136">
        <f t="shared" si="138"/>
        <v>-75828.870296666442</v>
      </c>
    </row>
    <row r="4381" spans="1:13">
      <c r="A4381" s="54" t="str">
        <f t="shared" si="140"/>
        <v>FINANZASVIATICOSFINANZAS</v>
      </c>
      <c r="B4381" t="s">
        <v>2565</v>
      </c>
      <c r="C4381" s="1">
        <f t="shared" si="139"/>
        <v>45965</v>
      </c>
      <c r="D4381" s="71" t="s">
        <v>23</v>
      </c>
      <c r="E4381" s="71" t="s">
        <v>191</v>
      </c>
      <c r="F4381" s="70" t="s">
        <v>23</v>
      </c>
      <c r="J4381" s="71" t="s">
        <v>1943</v>
      </c>
      <c r="L4381" s="433">
        <v>800</v>
      </c>
      <c r="M4381" s="136">
        <f t="shared" si="138"/>
        <v>-76628.870296666442</v>
      </c>
    </row>
    <row r="4382" spans="1:13">
      <c r="A4382" s="54" t="str">
        <f t="shared" si="140"/>
        <v>SERVICIOSMTTO DE EDIFICIOMANTENIMIENTO</v>
      </c>
      <c r="B4382" t="s">
        <v>2565</v>
      </c>
      <c r="C4382" s="1">
        <f t="shared" si="139"/>
        <v>45965</v>
      </c>
      <c r="D4382" s="71" t="s">
        <v>21</v>
      </c>
      <c r="E4382" s="71" t="s">
        <v>142</v>
      </c>
      <c r="F4382" s="70" t="s">
        <v>35</v>
      </c>
      <c r="J4382" s="71" t="s">
        <v>2593</v>
      </c>
      <c r="L4382" s="433">
        <v>2900</v>
      </c>
      <c r="M4382" s="136">
        <f t="shared" si="138"/>
        <v>-79528.870296666442</v>
      </c>
    </row>
    <row r="4383" spans="1:13">
      <c r="A4383" s="54" t="str">
        <f t="shared" si="140"/>
        <v>FINANZASINSUMOSFINANZAS</v>
      </c>
      <c r="B4383" t="s">
        <v>2565</v>
      </c>
      <c r="C4383" s="1">
        <f t="shared" si="139"/>
        <v>45965</v>
      </c>
      <c r="D4383" s="71" t="s">
        <v>23</v>
      </c>
      <c r="E4383" s="71" t="s">
        <v>133</v>
      </c>
      <c r="F4383" s="70" t="s">
        <v>23</v>
      </c>
      <c r="J4383" s="71" t="s">
        <v>2594</v>
      </c>
      <c r="L4383" s="433">
        <v>699</v>
      </c>
      <c r="M4383" s="136">
        <f t="shared" si="138"/>
        <v>-80227.870296666442</v>
      </c>
    </row>
    <row r="4384" spans="1:13">
      <c r="A4384" s="54" t="str">
        <f t="shared" si="140"/>
        <v>FINANZASFONDO Y REPOSICIONFINANZAS</v>
      </c>
      <c r="B4384" t="s">
        <v>2565</v>
      </c>
      <c r="C4384" s="1">
        <f t="shared" si="139"/>
        <v>45965</v>
      </c>
      <c r="D4384" s="71" t="s">
        <v>23</v>
      </c>
      <c r="E4384" s="71" t="s">
        <v>120</v>
      </c>
      <c r="F4384" s="70" t="s">
        <v>23</v>
      </c>
      <c r="J4384" s="71" t="s">
        <v>231</v>
      </c>
      <c r="L4384" s="433">
        <v>50</v>
      </c>
      <c r="M4384" s="136">
        <f t="shared" si="138"/>
        <v>-80277.870296666442</v>
      </c>
    </row>
    <row r="4385" spans="1:13">
      <c r="A4385" s="54" t="str">
        <f t="shared" si="140"/>
        <v>CAPFONDO Y REPOSICIONCAPRICHOS</v>
      </c>
      <c r="B4385" t="s">
        <v>2565</v>
      </c>
      <c r="C4385" s="1">
        <f t="shared" si="139"/>
        <v>45965</v>
      </c>
      <c r="D4385" s="71" t="s">
        <v>31</v>
      </c>
      <c r="E4385" s="71" t="s">
        <v>120</v>
      </c>
      <c r="F4385" s="70" t="s">
        <v>33</v>
      </c>
      <c r="J4385" s="71" t="s">
        <v>2595</v>
      </c>
      <c r="L4385" s="433">
        <v>1860</v>
      </c>
      <c r="M4385" s="136">
        <f t="shared" si="138"/>
        <v>-82137.870296666442</v>
      </c>
    </row>
    <row r="4386" spans="1:13">
      <c r="A4386" s="54" t="str">
        <f t="shared" si="140"/>
        <v>HRFONDO Y REPOSICIONHR</v>
      </c>
      <c r="B4386" t="s">
        <v>2565</v>
      </c>
      <c r="C4386" s="1">
        <f t="shared" si="139"/>
        <v>45965</v>
      </c>
      <c r="D4386" s="71" t="s">
        <v>29</v>
      </c>
      <c r="E4386" s="71" t="s">
        <v>120</v>
      </c>
      <c r="F4386" s="70" t="s">
        <v>29</v>
      </c>
      <c r="J4386" s="71" t="s">
        <v>395</v>
      </c>
      <c r="L4386" s="433">
        <v>3500</v>
      </c>
      <c r="M4386" s="136">
        <f t="shared" si="138"/>
        <v>-85637.870296666442</v>
      </c>
    </row>
    <row r="4387" spans="1:13">
      <c r="A4387" s="54" t="str">
        <f t="shared" si="140"/>
        <v>HRFONDO Y REPOSICIONHR</v>
      </c>
      <c r="B4387" t="s">
        <v>2565</v>
      </c>
      <c r="C4387" s="1">
        <f t="shared" si="139"/>
        <v>45965</v>
      </c>
      <c r="D4387" s="71" t="s">
        <v>29</v>
      </c>
      <c r="E4387" s="71" t="s">
        <v>120</v>
      </c>
      <c r="F4387" s="70" t="s">
        <v>29</v>
      </c>
      <c r="J4387" s="71" t="s">
        <v>2596</v>
      </c>
      <c r="L4387" s="433">
        <v>2424</v>
      </c>
      <c r="M4387" s="136">
        <f t="shared" si="138"/>
        <v>-88061.870296666442</v>
      </c>
    </row>
    <row r="4388" spans="1:13">
      <c r="A4388" s="54" t="str">
        <f t="shared" si="140"/>
        <v>HRFONDO Y REPOSICIONHR</v>
      </c>
      <c r="B4388" t="s">
        <v>2565</v>
      </c>
      <c r="C4388" s="1">
        <f t="shared" si="139"/>
        <v>45965</v>
      </c>
      <c r="D4388" s="71" t="s">
        <v>29</v>
      </c>
      <c r="E4388" s="71" t="s">
        <v>120</v>
      </c>
      <c r="F4388" s="70" t="s">
        <v>29</v>
      </c>
      <c r="J4388" s="71" t="s">
        <v>553</v>
      </c>
      <c r="L4388" s="433">
        <v>1784</v>
      </c>
      <c r="M4388" s="136">
        <f t="shared" si="138"/>
        <v>-89845.870296666442</v>
      </c>
    </row>
    <row r="4389" spans="1:13">
      <c r="A4389" s="54" t="str">
        <f t="shared" si="140"/>
        <v>CAPFONDO Y REPOSICIONCAPRICHOS</v>
      </c>
      <c r="B4389" t="s">
        <v>2565</v>
      </c>
      <c r="C4389" s="1">
        <f t="shared" si="139"/>
        <v>45965</v>
      </c>
      <c r="D4389" s="71" t="s">
        <v>31</v>
      </c>
      <c r="E4389" s="71" t="s">
        <v>120</v>
      </c>
      <c r="F4389" s="70" t="s">
        <v>33</v>
      </c>
      <c r="J4389" s="71" t="s">
        <v>1413</v>
      </c>
      <c r="L4389" s="433">
        <v>616</v>
      </c>
      <c r="M4389" s="136">
        <f t="shared" si="138"/>
        <v>-90461.870296666442</v>
      </c>
    </row>
    <row r="4390" spans="1:13">
      <c r="A4390" s="54" t="str">
        <f t="shared" si="140"/>
        <v>CAPFONDO Y REPOSICIONCAPRICHOS</v>
      </c>
      <c r="B4390" t="s">
        <v>2565</v>
      </c>
      <c r="C4390" s="1">
        <f t="shared" si="139"/>
        <v>45965</v>
      </c>
      <c r="D4390" s="71" t="s">
        <v>31</v>
      </c>
      <c r="E4390" s="71" t="s">
        <v>120</v>
      </c>
      <c r="F4390" s="70" t="s">
        <v>33</v>
      </c>
      <c r="J4390" s="71" t="s">
        <v>583</v>
      </c>
      <c r="L4390" s="433">
        <v>4459</v>
      </c>
      <c r="M4390" s="136">
        <f t="shared" si="138"/>
        <v>-94920.870296666442</v>
      </c>
    </row>
    <row r="4391" spans="1:13">
      <c r="A4391" s="54" t="str">
        <f t="shared" si="140"/>
        <v>MKTINSUMOSINSUMOS</v>
      </c>
      <c r="B4391" t="s">
        <v>2565</v>
      </c>
      <c r="C4391" s="1">
        <f t="shared" si="139"/>
        <v>45965</v>
      </c>
      <c r="D4391" s="71" t="s">
        <v>19</v>
      </c>
      <c r="E4391" s="71" t="s">
        <v>133</v>
      </c>
      <c r="F4391" s="70" t="s">
        <v>133</v>
      </c>
      <c r="J4391" s="71" t="s">
        <v>2597</v>
      </c>
      <c r="L4391" s="433">
        <v>1700</v>
      </c>
      <c r="M4391" s="136">
        <f t="shared" si="138"/>
        <v>-96620.870296666442</v>
      </c>
    </row>
    <row r="4392" spans="1:13">
      <c r="A4392" s="54" t="str">
        <f t="shared" si="140"/>
        <v>SERVICIOSVIATICOSCEDIS</v>
      </c>
      <c r="B4392" t="s">
        <v>2565</v>
      </c>
      <c r="C4392" s="1">
        <f t="shared" si="139"/>
        <v>45965</v>
      </c>
      <c r="D4392" s="71" t="s">
        <v>21</v>
      </c>
      <c r="E4392" s="71" t="s">
        <v>191</v>
      </c>
      <c r="F4392" s="70" t="s">
        <v>28</v>
      </c>
      <c r="J4392" s="71" t="s">
        <v>2598</v>
      </c>
      <c r="L4392" s="433">
        <v>1950</v>
      </c>
      <c r="M4392" s="136">
        <f t="shared" si="138"/>
        <v>-98570.870296666442</v>
      </c>
    </row>
    <row r="4393" spans="1:13">
      <c r="A4393" s="54" t="str">
        <f t="shared" si="140"/>
        <v>SERVICIOSFONDO Y REPOSICIONSERVICIOS</v>
      </c>
      <c r="B4393" t="s">
        <v>2565</v>
      </c>
      <c r="C4393" s="1">
        <f t="shared" si="139"/>
        <v>45965</v>
      </c>
      <c r="D4393" s="71" t="s">
        <v>21</v>
      </c>
      <c r="E4393" s="71" t="s">
        <v>120</v>
      </c>
      <c r="F4393" s="70" t="s">
        <v>21</v>
      </c>
      <c r="J4393" s="71" t="s">
        <v>2599</v>
      </c>
      <c r="L4393" s="433">
        <v>2000</v>
      </c>
      <c r="M4393" s="136">
        <f t="shared" si="138"/>
        <v>-100570.87029666644</v>
      </c>
    </row>
    <row r="4394" spans="1:13">
      <c r="A4394" s="54" t="str">
        <f t="shared" si="140"/>
        <v>HRUBERHR</v>
      </c>
      <c r="B4394" t="s">
        <v>2565</v>
      </c>
      <c r="C4394" s="1">
        <f t="shared" si="139"/>
        <v>45965</v>
      </c>
      <c r="D4394" s="71" t="s">
        <v>29</v>
      </c>
      <c r="E4394" s="71" t="s">
        <v>189</v>
      </c>
      <c r="F4394" s="70" t="s">
        <v>29</v>
      </c>
      <c r="J4394" s="71" t="s">
        <v>2388</v>
      </c>
      <c r="L4394" s="523">
        <v>250</v>
      </c>
      <c r="M4394" s="136">
        <f t="shared" si="138"/>
        <v>-100820.87029666644</v>
      </c>
    </row>
    <row r="4395" spans="1:13">
      <c r="A4395" s="54" t="str">
        <f t="shared" si="140"/>
        <v>CAPUBERCAP</v>
      </c>
      <c r="B4395" t="s">
        <v>2565</v>
      </c>
      <c r="C4395" s="1">
        <f t="shared" si="139"/>
        <v>45965</v>
      </c>
      <c r="D4395" s="71" t="s">
        <v>31</v>
      </c>
      <c r="E4395" s="71" t="s">
        <v>189</v>
      </c>
      <c r="F4395" s="70" t="s">
        <v>31</v>
      </c>
      <c r="J4395" s="71" t="s">
        <v>2262</v>
      </c>
      <c r="L4395" s="523">
        <v>195</v>
      </c>
      <c r="M4395" s="136">
        <f t="shared" si="138"/>
        <v>-101015.87029666644</v>
      </c>
    </row>
    <row r="4396" spans="1:13">
      <c r="A4396" s="54" t="str">
        <f t="shared" si="140"/>
        <v>CAPUBERCAP</v>
      </c>
      <c r="B4396" t="s">
        <v>2565</v>
      </c>
      <c r="C4396" s="1">
        <f t="shared" si="139"/>
        <v>45965</v>
      </c>
      <c r="D4396" s="71" t="s">
        <v>31</v>
      </c>
      <c r="E4396" s="71" t="s">
        <v>189</v>
      </c>
      <c r="F4396" s="70" t="s">
        <v>31</v>
      </c>
      <c r="J4396" s="71" t="s">
        <v>2278</v>
      </c>
      <c r="L4396" s="523">
        <v>100</v>
      </c>
      <c r="M4396" s="136">
        <f t="shared" si="138"/>
        <v>-101115.87029666644</v>
      </c>
    </row>
    <row r="4397" spans="1:13">
      <c r="A4397" s="54" t="str">
        <f t="shared" si="140"/>
        <v>CAPUBERCAP</v>
      </c>
      <c r="B4397" t="s">
        <v>2565</v>
      </c>
      <c r="C4397" s="1">
        <f t="shared" si="139"/>
        <v>45965</v>
      </c>
      <c r="D4397" s="71" t="s">
        <v>31</v>
      </c>
      <c r="E4397" s="71" t="s">
        <v>189</v>
      </c>
      <c r="F4397" s="70" t="s">
        <v>31</v>
      </c>
      <c r="J4397" s="71" t="s">
        <v>2301</v>
      </c>
      <c r="L4397" s="523">
        <v>98</v>
      </c>
      <c r="M4397" s="136">
        <f t="shared" si="138"/>
        <v>-101213.87029666644</v>
      </c>
    </row>
    <row r="4398" spans="1:13">
      <c r="A4398" s="54" t="str">
        <f t="shared" si="140"/>
        <v>ELIVIATICOSL1</v>
      </c>
      <c r="B4398" t="s">
        <v>2565</v>
      </c>
      <c r="C4398" s="1">
        <f t="shared" si="139"/>
        <v>45965</v>
      </c>
      <c r="D4398" s="71" t="s">
        <v>130</v>
      </c>
      <c r="E4398" s="71" t="s">
        <v>191</v>
      </c>
      <c r="F4398" s="70" t="s">
        <v>136</v>
      </c>
      <c r="G4398" s="83" t="s">
        <v>258</v>
      </c>
      <c r="J4398" s="71" t="s">
        <v>2600</v>
      </c>
      <c r="L4398" s="433">
        <v>400</v>
      </c>
      <c r="M4398" s="136">
        <f t="shared" si="138"/>
        <v>-101613.87029666644</v>
      </c>
    </row>
    <row r="4399" spans="1:13">
      <c r="A4399" s="54" t="str">
        <f t="shared" si="140"/>
        <v/>
      </c>
      <c r="B4399" t="s">
        <v>2565</v>
      </c>
      <c r="C4399" s="1">
        <v>45966</v>
      </c>
      <c r="D4399" s="71"/>
      <c r="F4399" s="70"/>
      <c r="J4399" s="71" t="s">
        <v>2045</v>
      </c>
      <c r="K4399" s="325">
        <v>160407.67000000001</v>
      </c>
      <c r="L4399" s="432"/>
      <c r="M4399" s="136">
        <f t="shared" si="138"/>
        <v>58793.799703333571</v>
      </c>
    </row>
    <row r="4400" spans="1:13">
      <c r="A4400" s="54" t="str">
        <f t="shared" si="140"/>
        <v>FINANZASCOMISIONES BANCARIASTPV</v>
      </c>
      <c r="B4400" t="s">
        <v>2565</v>
      </c>
      <c r="C4400" s="1">
        <f t="shared" si="139"/>
        <v>45966</v>
      </c>
      <c r="D4400" t="s">
        <v>23</v>
      </c>
      <c r="E4400" t="s">
        <v>48</v>
      </c>
      <c r="F4400" t="s">
        <v>50</v>
      </c>
      <c r="J4400" s="71" t="s">
        <v>217</v>
      </c>
      <c r="L4400" s="433">
        <f>1589.08+46.66+510.57+13.92</f>
        <v>2160.23</v>
      </c>
      <c r="M4400" s="136">
        <f t="shared" si="138"/>
        <v>56633.569703333567</v>
      </c>
    </row>
    <row r="4401" spans="1:13">
      <c r="A4401" s="54" t="str">
        <f t="shared" si="140"/>
        <v/>
      </c>
      <c r="B4401" t="s">
        <v>2565</v>
      </c>
      <c r="C4401" s="1">
        <f t="shared" si="139"/>
        <v>45966</v>
      </c>
      <c r="D4401" s="71"/>
      <c r="F4401" s="70"/>
      <c r="J4401" s="205" t="s">
        <v>1562</v>
      </c>
      <c r="K4401" s="205"/>
      <c r="L4401" s="206">
        <v>100000</v>
      </c>
      <c r="M4401" s="136">
        <f t="shared" si="138"/>
        <v>-43366.430296666433</v>
      </c>
    </row>
    <row r="4402" spans="1:13">
      <c r="A4402" s="54" t="str">
        <f t="shared" si="140"/>
        <v>CAPJMASE9</v>
      </c>
      <c r="B4402" t="s">
        <v>2565</v>
      </c>
      <c r="C4402" s="1">
        <f t="shared" si="139"/>
        <v>45966</v>
      </c>
      <c r="D4402" s="71" t="s">
        <v>31</v>
      </c>
      <c r="E4402" s="71" t="s">
        <v>137</v>
      </c>
      <c r="F4402" s="70" t="s">
        <v>116</v>
      </c>
      <c r="J4402" s="233" t="s">
        <v>2601</v>
      </c>
      <c r="K4402" s="233"/>
      <c r="L4402" s="329">
        <v>1509.07</v>
      </c>
      <c r="M4402" s="136">
        <f t="shared" si="138"/>
        <v>-44875.500296666432</v>
      </c>
    </row>
    <row r="4403" spans="1:13">
      <c r="A4403" s="54" t="str">
        <f t="shared" si="140"/>
        <v>HRENERGIA ELECTRICAA2</v>
      </c>
      <c r="B4403" t="s">
        <v>2565</v>
      </c>
      <c r="C4403" s="1">
        <f t="shared" si="139"/>
        <v>45966</v>
      </c>
      <c r="D4403" s="71" t="s">
        <v>29</v>
      </c>
      <c r="E4403" s="71" t="s">
        <v>87</v>
      </c>
      <c r="F4403" s="70" t="s">
        <v>89</v>
      </c>
      <c r="G4403" s="83"/>
      <c r="J4403" s="71" t="s">
        <v>2602</v>
      </c>
      <c r="L4403" s="433">
        <f>4393+299+28009</f>
        <v>32701</v>
      </c>
      <c r="M4403" s="136">
        <f t="shared" si="138"/>
        <v>-77576.500296666432</v>
      </c>
    </row>
    <row r="4404" spans="1:13">
      <c r="A4404" s="54" t="str">
        <f t="shared" si="140"/>
        <v>HRENERGIA ELECTRICAA3</v>
      </c>
      <c r="B4404" t="s">
        <v>2565</v>
      </c>
      <c r="C4404" s="1">
        <f t="shared" si="139"/>
        <v>45966</v>
      </c>
      <c r="D4404" s="71" t="s">
        <v>29</v>
      </c>
      <c r="E4404" s="71" t="s">
        <v>87</v>
      </c>
      <c r="F4404" s="70" t="s">
        <v>90</v>
      </c>
      <c r="J4404" s="71" t="s">
        <v>2603</v>
      </c>
      <c r="L4404" s="433">
        <v>12086</v>
      </c>
      <c r="M4404" s="136">
        <f t="shared" si="138"/>
        <v>-89662.500296666432</v>
      </c>
    </row>
    <row r="4405" spans="1:13">
      <c r="A4405" s="54" t="str">
        <f t="shared" si="140"/>
        <v>HRINSUMOSHR</v>
      </c>
      <c r="B4405" t="s">
        <v>2565</v>
      </c>
      <c r="C4405" s="1">
        <f t="shared" si="139"/>
        <v>45966</v>
      </c>
      <c r="D4405" s="71" t="s">
        <v>29</v>
      </c>
      <c r="E4405" s="71" t="s">
        <v>133</v>
      </c>
      <c r="F4405" s="70" t="s">
        <v>29</v>
      </c>
      <c r="J4405" s="71" t="s">
        <v>503</v>
      </c>
      <c r="L4405" s="433">
        <v>2350</v>
      </c>
      <c r="M4405" s="136">
        <f t="shared" si="138"/>
        <v>-92012.500296666432</v>
      </c>
    </row>
    <row r="4406" spans="1:13">
      <c r="A4406" s="54" t="str">
        <f t="shared" si="140"/>
        <v>SERVICIOSINSUMOSCEDIS</v>
      </c>
      <c r="B4406" t="s">
        <v>2565</v>
      </c>
      <c r="C4406" s="1">
        <f t="shared" si="139"/>
        <v>45966</v>
      </c>
      <c r="D4406" s="242" t="s">
        <v>21</v>
      </c>
      <c r="E4406" s="71" t="s">
        <v>133</v>
      </c>
      <c r="F4406" s="71" t="s">
        <v>28</v>
      </c>
      <c r="G4406" s="83" t="s">
        <v>258</v>
      </c>
      <c r="J4406" s="71" t="s">
        <v>2604</v>
      </c>
      <c r="L4406" s="433">
        <v>2425</v>
      </c>
      <c r="M4406" s="136">
        <f t="shared" si="138"/>
        <v>-94437.500296666432</v>
      </c>
    </row>
    <row r="4407" spans="1:13">
      <c r="A4407" s="54" t="str">
        <f t="shared" si="140"/>
        <v>FINANZASRECOLECCION DE BASURACEDIS</v>
      </c>
      <c r="B4407" t="s">
        <v>2565</v>
      </c>
      <c r="C4407" s="1">
        <f t="shared" si="139"/>
        <v>45966</v>
      </c>
      <c r="D4407" s="71" t="s">
        <v>23</v>
      </c>
      <c r="E4407" s="71" t="s">
        <v>166</v>
      </c>
      <c r="F4407" s="70" t="s">
        <v>28</v>
      </c>
      <c r="G4407" s="83" t="s">
        <v>258</v>
      </c>
      <c r="J4407" s="71" t="s">
        <v>1035</v>
      </c>
      <c r="L4407" s="433">
        <v>2919.72</v>
      </c>
      <c r="M4407" s="136">
        <f t="shared" si="138"/>
        <v>-97357.220296666434</v>
      </c>
    </row>
    <row r="4408" spans="1:13">
      <c r="A4408" s="54" t="str">
        <f t="shared" si="140"/>
        <v>SERVICIOSINSUMOSCADENA DE SUMINISTROS</v>
      </c>
      <c r="B4408" t="s">
        <v>2565</v>
      </c>
      <c r="C4408" s="1">
        <f t="shared" si="139"/>
        <v>45966</v>
      </c>
      <c r="D4408" s="71" t="s">
        <v>21</v>
      </c>
      <c r="E4408" s="71" t="s">
        <v>133</v>
      </c>
      <c r="F4408" s="70" t="s">
        <v>134</v>
      </c>
      <c r="J4408" s="71" t="s">
        <v>923</v>
      </c>
      <c r="L4408" s="433">
        <v>5026.38</v>
      </c>
      <c r="M4408" s="136">
        <f t="shared" ref="M4408:M4460" si="141">M4407+K4408-L4408</f>
        <v>-102383.60029666644</v>
      </c>
    </row>
    <row r="4409" spans="1:13">
      <c r="A4409" s="54" t="str">
        <f t="shared" si="140"/>
        <v>SERVICIOSINSUMOSCADENA DE SUMINISTROS</v>
      </c>
      <c r="B4409" t="s">
        <v>2565</v>
      </c>
      <c r="C4409" s="1">
        <f t="shared" si="139"/>
        <v>45966</v>
      </c>
      <c r="D4409" s="71" t="s">
        <v>21</v>
      </c>
      <c r="E4409" s="71" t="s">
        <v>133</v>
      </c>
      <c r="F4409" s="70" t="s">
        <v>134</v>
      </c>
      <c r="G4409" s="71" t="s">
        <v>258</v>
      </c>
      <c r="J4409" s="71" t="s">
        <v>858</v>
      </c>
      <c r="L4409" s="433">
        <v>2457.54</v>
      </c>
      <c r="M4409" s="136">
        <f t="shared" si="141"/>
        <v>-104841.14029666643</v>
      </c>
    </row>
    <row r="4410" spans="1:13">
      <c r="A4410" s="54" t="str">
        <f t="shared" si="140"/>
        <v>SERVICIOSINSUMOSCADENA DE SUMINISTROS</v>
      </c>
      <c r="B4410" t="s">
        <v>2565</v>
      </c>
      <c r="C4410" s="1">
        <f t="shared" si="139"/>
        <v>45966</v>
      </c>
      <c r="D4410" s="71" t="s">
        <v>21</v>
      </c>
      <c r="E4410" s="71" t="s">
        <v>133</v>
      </c>
      <c r="F4410" s="70" t="s">
        <v>134</v>
      </c>
      <c r="J4410" s="71" t="s">
        <v>634</v>
      </c>
      <c r="L4410" s="433">
        <v>3540</v>
      </c>
      <c r="M4410" s="136">
        <f t="shared" si="141"/>
        <v>-108381.14029666643</v>
      </c>
    </row>
    <row r="4411" spans="1:13">
      <c r="A4411" s="54" t="str">
        <f t="shared" si="140"/>
        <v>FINANZASFONDO Y REPOSICIONFINANZAS</v>
      </c>
      <c r="B4411" t="s">
        <v>2565</v>
      </c>
      <c r="C4411" s="1">
        <f t="shared" si="139"/>
        <v>45966</v>
      </c>
      <c r="D4411" s="71" t="s">
        <v>23</v>
      </c>
      <c r="E4411" s="71" t="s">
        <v>120</v>
      </c>
      <c r="F4411" s="70" t="s">
        <v>23</v>
      </c>
      <c r="G4411" s="83" t="s">
        <v>258</v>
      </c>
      <c r="J4411" s="71" t="s">
        <v>2007</v>
      </c>
      <c r="L4411" s="433">
        <v>4852</v>
      </c>
      <c r="M4411" s="136">
        <f t="shared" si="141"/>
        <v>-113233.14029666643</v>
      </c>
    </row>
    <row r="4412" spans="1:13">
      <c r="A4412" s="54" t="str">
        <f t="shared" si="140"/>
        <v>MKTMKTINFLUENCERS</v>
      </c>
      <c r="B4412" t="s">
        <v>2565</v>
      </c>
      <c r="C4412" s="1">
        <f t="shared" si="139"/>
        <v>45966</v>
      </c>
      <c r="D4412" s="71" t="s">
        <v>19</v>
      </c>
      <c r="E4412" s="71" t="s">
        <v>19</v>
      </c>
      <c r="F4412" s="70" t="s">
        <v>141</v>
      </c>
      <c r="J4412" s="71" t="s">
        <v>2605</v>
      </c>
      <c r="L4412" s="433">
        <v>3000</v>
      </c>
      <c r="M4412" s="136">
        <f t="shared" si="141"/>
        <v>-116233.14029666643</v>
      </c>
    </row>
    <row r="4413" spans="1:13">
      <c r="A4413" s="54" t="str">
        <f t="shared" si="140"/>
        <v>MKTACTIVACION MKT</v>
      </c>
      <c r="B4413" t="s">
        <v>2565</v>
      </c>
      <c r="C4413" s="1">
        <f t="shared" si="139"/>
        <v>45966</v>
      </c>
      <c r="D4413" t="s">
        <v>19</v>
      </c>
      <c r="E4413" t="s">
        <v>20</v>
      </c>
      <c r="F4413" t="s">
        <v>19</v>
      </c>
      <c r="J4413" s="71" t="s">
        <v>2606</v>
      </c>
      <c r="L4413" s="433">
        <v>2300</v>
      </c>
      <c r="M4413" s="136">
        <f t="shared" si="141"/>
        <v>-118533.14029666643</v>
      </c>
    </row>
    <row r="4414" spans="1:13">
      <c r="A4414" s="54" t="str">
        <f t="shared" si="140"/>
        <v>SERVICIOSVIATICOSCEDIS</v>
      </c>
      <c r="B4414" t="s">
        <v>2565</v>
      </c>
      <c r="C4414" s="1">
        <f t="shared" si="139"/>
        <v>45966</v>
      </c>
      <c r="D4414" s="71" t="s">
        <v>21</v>
      </c>
      <c r="E4414" s="71" t="s">
        <v>191</v>
      </c>
      <c r="F4414" s="70" t="s">
        <v>28</v>
      </c>
      <c r="J4414" s="71" t="s">
        <v>2607</v>
      </c>
      <c r="L4414" s="433">
        <v>6500</v>
      </c>
      <c r="M4414" s="136">
        <f t="shared" si="141"/>
        <v>-125033.14029666643</v>
      </c>
    </row>
    <row r="4415" spans="1:13">
      <c r="A4415" s="54" t="str">
        <f t="shared" si="140"/>
        <v>SERVICIOSVIATICOSCOMPRAS</v>
      </c>
      <c r="B4415" t="s">
        <v>2565</v>
      </c>
      <c r="C4415" s="1">
        <f t="shared" si="139"/>
        <v>45966</v>
      </c>
      <c r="D4415" s="71" t="s">
        <v>21</v>
      </c>
      <c r="E4415" s="71" t="s">
        <v>191</v>
      </c>
      <c r="F4415" s="70" t="s">
        <v>148</v>
      </c>
      <c r="J4415" s="71" t="s">
        <v>287</v>
      </c>
      <c r="L4415" s="433">
        <v>650</v>
      </c>
      <c r="M4415" s="136">
        <f t="shared" si="141"/>
        <v>-125683.14029666643</v>
      </c>
    </row>
    <row r="4416" spans="1:13">
      <c r="A4416" s="54" t="str">
        <f t="shared" si="140"/>
        <v>HRUBERHR</v>
      </c>
      <c r="B4416" t="s">
        <v>2565</v>
      </c>
      <c r="C4416" s="1">
        <f t="shared" si="139"/>
        <v>45966</v>
      </c>
      <c r="D4416" s="71" t="s">
        <v>29</v>
      </c>
      <c r="E4416" s="71" t="s">
        <v>189</v>
      </c>
      <c r="F4416" s="70" t="s">
        <v>29</v>
      </c>
      <c r="J4416" s="71" t="s">
        <v>2608</v>
      </c>
      <c r="L4416" s="523">
        <v>110</v>
      </c>
      <c r="M4416" s="136">
        <f t="shared" si="141"/>
        <v>-125793.14029666643</v>
      </c>
    </row>
    <row r="4417" spans="1:13">
      <c r="A4417" s="54" t="str">
        <f t="shared" si="140"/>
        <v>CAPUBERCAP</v>
      </c>
      <c r="B4417" t="s">
        <v>2565</v>
      </c>
      <c r="C4417" s="1">
        <f t="shared" si="139"/>
        <v>45966</v>
      </c>
      <c r="D4417" s="71" t="s">
        <v>31</v>
      </c>
      <c r="E4417" s="71" t="s">
        <v>189</v>
      </c>
      <c r="F4417" s="70" t="s">
        <v>31</v>
      </c>
      <c r="J4417" s="71" t="s">
        <v>2262</v>
      </c>
      <c r="L4417" s="523">
        <v>135</v>
      </c>
      <c r="M4417" s="136">
        <f t="shared" si="141"/>
        <v>-125928.14029666643</v>
      </c>
    </row>
    <row r="4418" spans="1:13">
      <c r="A4418" s="54" t="str">
        <f t="shared" si="140"/>
        <v>CAPUBERCAP</v>
      </c>
      <c r="B4418" t="s">
        <v>2565</v>
      </c>
      <c r="C4418" s="1">
        <f t="shared" si="139"/>
        <v>45966</v>
      </c>
      <c r="D4418" s="71" t="s">
        <v>31</v>
      </c>
      <c r="E4418" s="71" t="s">
        <v>189</v>
      </c>
      <c r="F4418" s="70" t="s">
        <v>31</v>
      </c>
      <c r="J4418" s="71" t="s">
        <v>2609</v>
      </c>
      <c r="L4418" s="523">
        <v>53</v>
      </c>
      <c r="M4418" s="136">
        <f t="shared" si="141"/>
        <v>-125981.14029666643</v>
      </c>
    </row>
    <row r="4419" spans="1:13">
      <c r="A4419" s="54" t="str">
        <f t="shared" si="140"/>
        <v>CAPINSUMOSCAPRICHOS</v>
      </c>
      <c r="B4419" t="s">
        <v>2565</v>
      </c>
      <c r="C4419" s="1">
        <f t="shared" si="139"/>
        <v>45966</v>
      </c>
      <c r="D4419" s="71" t="s">
        <v>31</v>
      </c>
      <c r="E4419" s="71" t="s">
        <v>133</v>
      </c>
      <c r="F4419" s="70" t="s">
        <v>33</v>
      </c>
      <c r="G4419" s="71" t="s">
        <v>258</v>
      </c>
      <c r="J4419" s="71" t="s">
        <v>2610</v>
      </c>
      <c r="L4419" s="433">
        <v>173</v>
      </c>
      <c r="M4419" s="136">
        <f t="shared" si="141"/>
        <v>-126154.14029666643</v>
      </c>
    </row>
    <row r="4420" spans="1:13">
      <c r="A4420" s="54" t="str">
        <f t="shared" si="140"/>
        <v/>
      </c>
      <c r="B4420" t="s">
        <v>2565</v>
      </c>
      <c r="C4420" s="1">
        <v>45967</v>
      </c>
      <c r="D4420" s="71"/>
      <c r="F4420" s="70"/>
      <c r="J4420" s="71" t="s">
        <v>2045</v>
      </c>
      <c r="K4420" s="325">
        <v>167231.71</v>
      </c>
      <c r="L4420" s="432"/>
      <c r="M4420" s="136">
        <f t="shared" si="141"/>
        <v>41077.56970333356</v>
      </c>
    </row>
    <row r="4421" spans="1:13">
      <c r="A4421" s="54" t="str">
        <f t="shared" si="140"/>
        <v>FINANZASCOMISIONES BANCARIASTPV</v>
      </c>
      <c r="B4421" t="s">
        <v>2565</v>
      </c>
      <c r="C4421" s="1">
        <f t="shared" si="139"/>
        <v>45967</v>
      </c>
      <c r="D4421" t="s">
        <v>23</v>
      </c>
      <c r="E4421" t="s">
        <v>48</v>
      </c>
      <c r="F4421" t="s">
        <v>50</v>
      </c>
      <c r="J4421" s="71" t="s">
        <v>217</v>
      </c>
      <c r="L4421" s="433">
        <f>5.8+5.8+174.52+1487.16+916.48+5.8</f>
        <v>2595.5600000000004</v>
      </c>
      <c r="M4421" s="136">
        <f t="shared" si="141"/>
        <v>38482.009703333562</v>
      </c>
    </row>
    <row r="4422" spans="1:13">
      <c r="A4422" s="54" t="str">
        <f t="shared" si="140"/>
        <v/>
      </c>
      <c r="B4422" t="s">
        <v>2565</v>
      </c>
      <c r="C4422" s="1">
        <f t="shared" si="139"/>
        <v>45967</v>
      </c>
      <c r="D4422" s="71"/>
      <c r="F4422" s="70"/>
      <c r="J4422" s="205" t="s">
        <v>1562</v>
      </c>
      <c r="K4422" s="205"/>
      <c r="L4422" s="205"/>
      <c r="M4422" s="136">
        <f t="shared" si="141"/>
        <v>38482.009703333562</v>
      </c>
    </row>
    <row r="4423" spans="1:13">
      <c r="A4423" s="54" t="str">
        <f t="shared" si="140"/>
        <v>SERVICIOSMTTO DE EDIFICIOMANTENIMIENTO</v>
      </c>
      <c r="B4423" t="s">
        <v>2565</v>
      </c>
      <c r="C4423" s="1">
        <f t="shared" si="139"/>
        <v>45967</v>
      </c>
      <c r="D4423" s="71" t="s">
        <v>21</v>
      </c>
      <c r="E4423" s="71" t="s">
        <v>142</v>
      </c>
      <c r="F4423" s="70" t="s">
        <v>35</v>
      </c>
      <c r="G4423" s="71" t="s">
        <v>258</v>
      </c>
      <c r="J4423" s="71" t="s">
        <v>2611</v>
      </c>
      <c r="L4423" s="433">
        <v>27717.56</v>
      </c>
      <c r="M4423" s="136">
        <f t="shared" si="141"/>
        <v>10764.449703333561</v>
      </c>
    </row>
    <row r="4424" spans="1:13">
      <c r="A4424" s="54" t="str">
        <f t="shared" si="140"/>
        <v>SERVICIOSINSUMOSCADENA DE SUMINISTROS</v>
      </c>
      <c r="B4424" t="s">
        <v>2565</v>
      </c>
      <c r="C4424" s="1">
        <f t="shared" si="139"/>
        <v>45967</v>
      </c>
      <c r="D4424" s="71" t="s">
        <v>21</v>
      </c>
      <c r="E4424" s="71" t="s">
        <v>133</v>
      </c>
      <c r="F4424" s="70" t="s">
        <v>134</v>
      </c>
      <c r="J4424" s="71" t="s">
        <v>945</v>
      </c>
      <c r="L4424" s="433">
        <v>22446</v>
      </c>
      <c r="M4424" s="136">
        <f t="shared" si="141"/>
        <v>-11681.550296666439</v>
      </c>
    </row>
    <row r="4425" spans="1:13">
      <c r="A4425" s="54" t="str">
        <f t="shared" si="140"/>
        <v>SERVICIOSINSUMOSCADENA DE SUMINISTROS</v>
      </c>
      <c r="B4425" t="s">
        <v>2565</v>
      </c>
      <c r="C4425" s="1">
        <f t="shared" si="139"/>
        <v>45967</v>
      </c>
      <c r="D4425" s="71" t="s">
        <v>21</v>
      </c>
      <c r="E4425" s="71" t="s">
        <v>133</v>
      </c>
      <c r="F4425" s="70" t="s">
        <v>134</v>
      </c>
      <c r="J4425" s="71" t="s">
        <v>2612</v>
      </c>
      <c r="L4425" s="433">
        <v>3149.4</v>
      </c>
      <c r="M4425" s="136">
        <f t="shared" si="141"/>
        <v>-14830.950296666439</v>
      </c>
    </row>
    <row r="4426" spans="1:13">
      <c r="A4426" s="54" t="str">
        <f t="shared" si="140"/>
        <v>HRFONDO Y REPOSICIONHR</v>
      </c>
      <c r="B4426" t="s">
        <v>2565</v>
      </c>
      <c r="C4426" s="1">
        <f t="shared" ref="C4426:C4492" si="142">C4425</f>
        <v>45967</v>
      </c>
      <c r="D4426" s="71" t="s">
        <v>29</v>
      </c>
      <c r="E4426" s="71" t="s">
        <v>120</v>
      </c>
      <c r="F4426" s="70" t="s">
        <v>29</v>
      </c>
      <c r="J4426" s="71" t="s">
        <v>1875</v>
      </c>
      <c r="L4426" s="433">
        <v>1218</v>
      </c>
      <c r="M4426" s="136">
        <f t="shared" si="141"/>
        <v>-16048.950296666439</v>
      </c>
    </row>
    <row r="4427" spans="1:13">
      <c r="A4427" s="54" t="str">
        <f t="shared" si="140"/>
        <v>SERVICIOSTELEPEAJECEDIS</v>
      </c>
      <c r="B4427" t="s">
        <v>2565</v>
      </c>
      <c r="C4427" s="1">
        <f t="shared" si="142"/>
        <v>45967</v>
      </c>
      <c r="D4427" s="71" t="s">
        <v>21</v>
      </c>
      <c r="E4427" s="71" t="s">
        <v>186</v>
      </c>
      <c r="F4427" s="70" t="s">
        <v>28</v>
      </c>
      <c r="J4427" s="71" t="s">
        <v>1140</v>
      </c>
      <c r="L4427" s="433">
        <v>6267</v>
      </c>
      <c r="M4427" s="136">
        <f t="shared" si="141"/>
        <v>-22315.950296666437</v>
      </c>
    </row>
    <row r="4428" spans="1:13">
      <c r="A4428" s="54" t="str">
        <f t="shared" si="140"/>
        <v>HRTELEPEAJEOP HR</v>
      </c>
      <c r="B4428" t="s">
        <v>2565</v>
      </c>
      <c r="C4428" s="1">
        <f t="shared" si="142"/>
        <v>45967</v>
      </c>
      <c r="D4428" s="71" t="s">
        <v>29</v>
      </c>
      <c r="E4428" s="71" t="s">
        <v>186</v>
      </c>
      <c r="F4428" s="70" t="s">
        <v>187</v>
      </c>
      <c r="J4428" s="71" t="s">
        <v>1141</v>
      </c>
      <c r="L4428" s="433">
        <v>588</v>
      </c>
      <c r="M4428" s="136">
        <f t="shared" si="141"/>
        <v>-22903.950296666437</v>
      </c>
    </row>
    <row r="4429" spans="1:13">
      <c r="A4429" s="54" t="str">
        <f t="shared" si="140"/>
        <v>HRTELEPEAJEOP HR</v>
      </c>
      <c r="B4429" t="s">
        <v>2565</v>
      </c>
      <c r="C4429" s="1">
        <f t="shared" si="142"/>
        <v>45967</v>
      </c>
      <c r="D4429" s="71" t="s">
        <v>29</v>
      </c>
      <c r="E4429" s="71" t="s">
        <v>186</v>
      </c>
      <c r="F4429" s="70" t="s">
        <v>187</v>
      </c>
      <c r="J4429" s="71" t="s">
        <v>1141</v>
      </c>
      <c r="L4429" s="433">
        <v>596</v>
      </c>
      <c r="M4429" s="136">
        <f t="shared" si="141"/>
        <v>-23499.950296666437</v>
      </c>
    </row>
    <row r="4430" spans="1:13">
      <c r="A4430" s="54" t="str">
        <f t="shared" si="140"/>
        <v>HRTELEPEAJEOP HR</v>
      </c>
      <c r="B4430" t="s">
        <v>2565</v>
      </c>
      <c r="C4430" s="1">
        <f t="shared" si="142"/>
        <v>45967</v>
      </c>
      <c r="D4430" s="71" t="s">
        <v>29</v>
      </c>
      <c r="E4430" s="71" t="s">
        <v>186</v>
      </c>
      <c r="F4430" s="70" t="s">
        <v>187</v>
      </c>
      <c r="J4430" s="71" t="s">
        <v>1141</v>
      </c>
      <c r="L4430" s="433">
        <v>356</v>
      </c>
      <c r="M4430" s="136">
        <f t="shared" si="141"/>
        <v>-23855.950296666437</v>
      </c>
    </row>
    <row r="4431" spans="1:13">
      <c r="A4431" s="54" t="str">
        <f t="shared" si="140"/>
        <v>HRTELEPEAJEOP HR</v>
      </c>
      <c r="B4431" t="s">
        <v>2565</v>
      </c>
      <c r="C4431" s="1">
        <f t="shared" si="142"/>
        <v>45967</v>
      </c>
      <c r="D4431" s="71" t="s">
        <v>29</v>
      </c>
      <c r="E4431" s="71" t="s">
        <v>186</v>
      </c>
      <c r="F4431" s="70" t="s">
        <v>187</v>
      </c>
      <c r="J4431" s="71" t="s">
        <v>1141</v>
      </c>
      <c r="L4431" s="433">
        <v>151</v>
      </c>
      <c r="M4431" s="136">
        <f t="shared" si="141"/>
        <v>-24006.950296666437</v>
      </c>
    </row>
    <row r="4432" spans="1:13">
      <c r="A4432" s="54" t="str">
        <f t="shared" si="140"/>
        <v>SERVICIOSTELEPEAJECEDIS</v>
      </c>
      <c r="B4432" t="s">
        <v>2565</v>
      </c>
      <c r="C4432" s="1">
        <f t="shared" si="142"/>
        <v>45967</v>
      </c>
      <c r="D4432" s="71" t="s">
        <v>21</v>
      </c>
      <c r="E4432" s="71" t="s">
        <v>186</v>
      </c>
      <c r="F4432" s="70" t="s">
        <v>28</v>
      </c>
      <c r="J4432" s="71" t="s">
        <v>1140</v>
      </c>
      <c r="L4432" s="433">
        <v>658</v>
      </c>
      <c r="M4432" s="136">
        <f t="shared" si="141"/>
        <v>-24664.950296666437</v>
      </c>
    </row>
    <row r="4433" spans="1:22">
      <c r="A4433" s="54" t="str">
        <f t="shared" si="140"/>
        <v>ELIVIATICOSL1</v>
      </c>
      <c r="B4433" t="s">
        <v>2565</v>
      </c>
      <c r="C4433" s="1">
        <f t="shared" si="142"/>
        <v>45967</v>
      </c>
      <c r="D4433" s="71" t="s">
        <v>130</v>
      </c>
      <c r="E4433" s="71" t="s">
        <v>191</v>
      </c>
      <c r="F4433" s="70" t="s">
        <v>136</v>
      </c>
      <c r="G4433" s="83" t="s">
        <v>258</v>
      </c>
      <c r="J4433" s="71" t="s">
        <v>2613</v>
      </c>
      <c r="L4433" s="433">
        <v>1000</v>
      </c>
      <c r="M4433" s="136">
        <f t="shared" si="141"/>
        <v>-25664.950296666437</v>
      </c>
    </row>
    <row r="4434" spans="1:22">
      <c r="A4434" s="54" t="str">
        <f t="shared" si="140"/>
        <v>SERVICIOSVIATICOSCEDIS</v>
      </c>
      <c r="B4434" t="s">
        <v>2565</v>
      </c>
      <c r="C4434" s="1">
        <f t="shared" si="142"/>
        <v>45967</v>
      </c>
      <c r="D4434" s="71" t="s">
        <v>21</v>
      </c>
      <c r="E4434" s="71" t="s">
        <v>191</v>
      </c>
      <c r="F4434" s="70" t="s">
        <v>28</v>
      </c>
      <c r="G4434" s="83"/>
      <c r="J4434" s="71" t="s">
        <v>2614</v>
      </c>
      <c r="L4434" s="433">
        <v>950</v>
      </c>
      <c r="M4434" s="136">
        <f t="shared" si="141"/>
        <v>-26614.950296666437</v>
      </c>
    </row>
    <row r="4435" spans="1:22">
      <c r="A4435" s="54" t="str">
        <f t="shared" si="140"/>
        <v>SERVICIOSALARMASUCURSALES HR</v>
      </c>
      <c r="B4435" t="s">
        <v>2565</v>
      </c>
      <c r="C4435" s="1">
        <f t="shared" si="142"/>
        <v>45967</v>
      </c>
      <c r="D4435" s="71" t="s">
        <v>21</v>
      </c>
      <c r="E4435" s="71" t="s">
        <v>25</v>
      </c>
      <c r="F4435" s="70" t="s">
        <v>26</v>
      </c>
      <c r="J4435" s="71" t="s">
        <v>2615</v>
      </c>
      <c r="L4435" s="433">
        <v>5885.9</v>
      </c>
      <c r="M4435" s="136">
        <f t="shared" si="141"/>
        <v>-32500.850296666438</v>
      </c>
    </row>
    <row r="4436" spans="1:22">
      <c r="A4436" s="54" t="str">
        <f t="shared" si="140"/>
        <v>SERVICIOSALARMASUCURSALES CAPRICHOS</v>
      </c>
      <c r="B4436" t="s">
        <v>2565</v>
      </c>
      <c r="C4436" s="1">
        <f t="shared" si="142"/>
        <v>45967</v>
      </c>
      <c r="D4436" s="71" t="s">
        <v>21</v>
      </c>
      <c r="E4436" s="71" t="s">
        <v>25</v>
      </c>
      <c r="F4436" s="70" t="s">
        <v>27</v>
      </c>
      <c r="J4436" s="71" t="s">
        <v>2616</v>
      </c>
      <c r="L4436" s="433">
        <v>386.4</v>
      </c>
      <c r="M4436" s="136">
        <f t="shared" si="141"/>
        <v>-32887.25029666644</v>
      </c>
    </row>
    <row r="4437" spans="1:22">
      <c r="A4437" s="54" t="str">
        <f t="shared" si="140"/>
        <v>CAPINSUMOSCAPRICHOS</v>
      </c>
      <c r="B4437" t="s">
        <v>2565</v>
      </c>
      <c r="C4437" s="1">
        <f t="shared" si="142"/>
        <v>45967</v>
      </c>
      <c r="D4437" s="71" t="s">
        <v>31</v>
      </c>
      <c r="E4437" s="71" t="s">
        <v>133</v>
      </c>
      <c r="F4437" s="70" t="s">
        <v>33</v>
      </c>
      <c r="G4437" s="71" t="s">
        <v>258</v>
      </c>
      <c r="J4437" s="71" t="s">
        <v>2617</v>
      </c>
      <c r="L4437" s="433">
        <v>1061.6400000000001</v>
      </c>
      <c r="M4437" s="136">
        <f t="shared" si="141"/>
        <v>-33948.890296666439</v>
      </c>
    </row>
    <row r="4438" spans="1:22">
      <c r="A4438" s="54" t="str">
        <f t="shared" ref="A4438:A4501" si="143">D4438&amp;E4438&amp;F4438</f>
        <v>HRINSUMOSHR</v>
      </c>
      <c r="B4438" t="s">
        <v>2565</v>
      </c>
      <c r="C4438" s="1">
        <f t="shared" si="142"/>
        <v>45967</v>
      </c>
      <c r="D4438" s="71" t="s">
        <v>29</v>
      </c>
      <c r="E4438" s="71" t="s">
        <v>133</v>
      </c>
      <c r="F4438" s="70" t="s">
        <v>29</v>
      </c>
      <c r="J4438" s="71" t="s">
        <v>2618</v>
      </c>
      <c r="L4438" s="433">
        <v>90</v>
      </c>
      <c r="M4438" s="136">
        <f t="shared" si="141"/>
        <v>-34038.890296666439</v>
      </c>
    </row>
    <row r="4439" spans="1:22">
      <c r="A4439" s="54" t="str">
        <f t="shared" si="143"/>
        <v>HRUBERHR</v>
      </c>
      <c r="B4439" t="s">
        <v>2565</v>
      </c>
      <c r="C4439" s="1">
        <f t="shared" si="142"/>
        <v>45967</v>
      </c>
      <c r="D4439" s="71" t="s">
        <v>29</v>
      </c>
      <c r="E4439" s="71" t="s">
        <v>189</v>
      </c>
      <c r="F4439" s="70" t="s">
        <v>29</v>
      </c>
      <c r="J4439" s="71" t="s">
        <v>2453</v>
      </c>
      <c r="L4439" s="523">
        <v>462</v>
      </c>
      <c r="M4439" s="136">
        <f t="shared" si="141"/>
        <v>-34500.890296666439</v>
      </c>
    </row>
    <row r="4440" spans="1:22">
      <c r="A4440" s="54" t="str">
        <f t="shared" si="143"/>
        <v>HRNOMINA SUCURSALA14</v>
      </c>
      <c r="B4440" t="s">
        <v>2565</v>
      </c>
      <c r="C4440" s="1">
        <f t="shared" si="142"/>
        <v>45967</v>
      </c>
      <c r="D4440" s="71" t="s">
        <v>29</v>
      </c>
      <c r="E4440" s="71" t="s">
        <v>154</v>
      </c>
      <c r="F4440" s="70" t="s">
        <v>99</v>
      </c>
      <c r="J4440" s="71" t="s">
        <v>2619</v>
      </c>
      <c r="L4440" s="433">
        <v>100</v>
      </c>
      <c r="M4440" s="136">
        <f t="shared" si="141"/>
        <v>-34600.890296666439</v>
      </c>
    </row>
    <row r="4441" spans="1:22">
      <c r="A4441" s="54" t="str">
        <f t="shared" si="143"/>
        <v>CAPUBERCAP</v>
      </c>
      <c r="B4441" t="s">
        <v>2565</v>
      </c>
      <c r="C4441" s="1">
        <f t="shared" si="142"/>
        <v>45967</v>
      </c>
      <c r="D4441" s="71" t="s">
        <v>31</v>
      </c>
      <c r="E4441" s="71" t="s">
        <v>189</v>
      </c>
      <c r="F4441" s="70" t="s">
        <v>31</v>
      </c>
      <c r="J4441" s="71" t="s">
        <v>2620</v>
      </c>
      <c r="L4441" s="523">
        <v>205</v>
      </c>
      <c r="M4441" s="136">
        <f t="shared" si="141"/>
        <v>-34805.890296666439</v>
      </c>
    </row>
    <row r="4442" spans="1:22">
      <c r="A4442" s="54" t="str">
        <f t="shared" si="143"/>
        <v>CAPUBERCAP</v>
      </c>
      <c r="B4442" t="s">
        <v>2565</v>
      </c>
      <c r="C4442" s="1">
        <f t="shared" si="142"/>
        <v>45967</v>
      </c>
      <c r="D4442" s="71" t="s">
        <v>31</v>
      </c>
      <c r="E4442" s="71" t="s">
        <v>189</v>
      </c>
      <c r="F4442" s="70" t="s">
        <v>31</v>
      </c>
      <c r="J4442" s="71" t="s">
        <v>2621</v>
      </c>
      <c r="L4442" s="523">
        <v>120</v>
      </c>
      <c r="M4442" s="136">
        <f t="shared" si="141"/>
        <v>-34925.890296666439</v>
      </c>
    </row>
    <row r="4443" spans="1:22">
      <c r="A4443" s="54" t="str">
        <f t="shared" si="143"/>
        <v>ELIVIATICOSL1</v>
      </c>
      <c r="B4443" t="s">
        <v>2565</v>
      </c>
      <c r="C4443" s="1">
        <f t="shared" si="142"/>
        <v>45967</v>
      </c>
      <c r="D4443" s="71" t="s">
        <v>130</v>
      </c>
      <c r="E4443" s="71" t="s">
        <v>191</v>
      </c>
      <c r="F4443" s="70" t="s">
        <v>136</v>
      </c>
      <c r="G4443" s="83" t="s">
        <v>258</v>
      </c>
      <c r="J4443" s="71" t="s">
        <v>2622</v>
      </c>
      <c r="L4443" s="433">
        <v>400</v>
      </c>
      <c r="M4443" s="136">
        <f t="shared" si="141"/>
        <v>-35325.890296666439</v>
      </c>
    </row>
    <row r="4444" spans="1:22">
      <c r="A4444" s="54" t="str">
        <f t="shared" si="143"/>
        <v/>
      </c>
      <c r="B4444" t="s">
        <v>2565</v>
      </c>
      <c r="C4444" s="1">
        <v>45968</v>
      </c>
      <c r="D4444" s="71"/>
      <c r="F4444" s="70"/>
      <c r="J4444" s="71" t="s">
        <v>2045</v>
      </c>
      <c r="K4444" s="325">
        <v>186547.89</v>
      </c>
      <c r="L4444" s="432"/>
      <c r="M4444" s="136">
        <f t="shared" si="141"/>
        <v>151221.99970333357</v>
      </c>
    </row>
    <row r="4445" spans="1:22" ht="19.5" customHeight="1">
      <c r="A4445" s="54" t="str">
        <f t="shared" si="143"/>
        <v>FINANZASCOMISIONES BANCARIASTPV</v>
      </c>
      <c r="B4445" s="1" t="s">
        <v>2565</v>
      </c>
      <c r="C4445" s="464">
        <f>C4444</f>
        <v>45968</v>
      </c>
      <c r="D4445" t="s">
        <v>23</v>
      </c>
      <c r="E4445" t="s">
        <v>48</v>
      </c>
      <c r="F4445" t="s">
        <v>50</v>
      </c>
      <c r="G4445" s="83"/>
      <c r="H4445" s="71"/>
      <c r="I4445" s="325"/>
      <c r="J4445" s="433" t="s">
        <v>217</v>
      </c>
      <c r="K4445" s="136"/>
      <c r="L4445">
        <f>154.27+599.15+1336.04+24.36</f>
        <v>2113.8200000000002</v>
      </c>
      <c r="M4445" s="1">
        <f t="shared" si="141"/>
        <v>149108.17970333356</v>
      </c>
      <c r="O4445" s="71"/>
      <c r="P4445" s="70"/>
      <c r="Q4445" s="71"/>
      <c r="R4445" s="83"/>
      <c r="S4445" s="71"/>
      <c r="T4445" s="325"/>
      <c r="U4445" s="433"/>
      <c r="V4445" s="136"/>
    </row>
    <row r="4446" spans="1:22">
      <c r="A4446" s="54" t="str">
        <f t="shared" si="143"/>
        <v/>
      </c>
      <c r="B4446" t="s">
        <v>2565</v>
      </c>
      <c r="C4446" s="1">
        <f t="shared" si="142"/>
        <v>45968</v>
      </c>
      <c r="D4446" s="71"/>
      <c r="F4446" s="70"/>
      <c r="J4446" s="205" t="s">
        <v>1562</v>
      </c>
      <c r="K4446" s="205"/>
      <c r="L4446" s="428">
        <v>185000</v>
      </c>
      <c r="M4446" s="136">
        <f t="shared" si="141"/>
        <v>-35891.820296666439</v>
      </c>
    </row>
    <row r="4447" spans="1:22">
      <c r="A4447" s="54" t="str">
        <f t="shared" si="143"/>
        <v/>
      </c>
      <c r="B4447" t="s">
        <v>2565</v>
      </c>
      <c r="C4447" s="1">
        <f t="shared" si="142"/>
        <v>45968</v>
      </c>
      <c r="D4447" s="71"/>
      <c r="F4447" s="70"/>
      <c r="J4447" s="205" t="s">
        <v>318</v>
      </c>
      <c r="K4447" s="205"/>
      <c r="L4447" s="428"/>
      <c r="M4447" s="136">
        <f t="shared" si="141"/>
        <v>-35891.820296666439</v>
      </c>
    </row>
    <row r="4448" spans="1:22">
      <c r="A4448" s="54" t="str">
        <f t="shared" si="143"/>
        <v/>
      </c>
      <c r="B4448" t="s">
        <v>2565</v>
      </c>
      <c r="C4448" s="1">
        <f t="shared" si="142"/>
        <v>45968</v>
      </c>
      <c r="D4448" s="71"/>
      <c r="F4448" s="70"/>
      <c r="J4448" s="71" t="s">
        <v>2623</v>
      </c>
      <c r="L4448" s="433">
        <v>84972.03</v>
      </c>
      <c r="M4448" s="136">
        <f t="shared" si="141"/>
        <v>-120863.85029666644</v>
      </c>
    </row>
    <row r="4449" spans="1:13">
      <c r="A4449" s="54" t="str">
        <f t="shared" si="143"/>
        <v>HRIMAGEN VISUALIMAGEN VISUAL HR</v>
      </c>
      <c r="B4449" t="s">
        <v>2565</v>
      </c>
      <c r="C4449" s="1">
        <f t="shared" si="142"/>
        <v>45968</v>
      </c>
      <c r="D4449" s="71" t="s">
        <v>29</v>
      </c>
      <c r="E4449" s="71" t="s">
        <v>127</v>
      </c>
      <c r="F4449" s="70" t="s">
        <v>128</v>
      </c>
      <c r="J4449" s="71" t="s">
        <v>2624</v>
      </c>
      <c r="L4449" s="433">
        <v>12180</v>
      </c>
      <c r="M4449" s="136">
        <f t="shared" si="141"/>
        <v>-133043.85029666644</v>
      </c>
    </row>
    <row r="4450" spans="1:13">
      <c r="A4450" s="54" t="str">
        <f t="shared" si="143"/>
        <v>HRIMAGEN VISUALIMAGEN VISUAL HR</v>
      </c>
      <c r="B4450" t="s">
        <v>2565</v>
      </c>
      <c r="C4450" s="1">
        <f t="shared" si="142"/>
        <v>45968</v>
      </c>
      <c r="D4450" s="71" t="s">
        <v>29</v>
      </c>
      <c r="E4450" s="71" t="s">
        <v>127</v>
      </c>
      <c r="F4450" s="70" t="s">
        <v>128</v>
      </c>
      <c r="G4450" s="71" t="s">
        <v>258</v>
      </c>
      <c r="J4450" s="71" t="s">
        <v>2625</v>
      </c>
      <c r="L4450" s="433">
        <v>2046.24</v>
      </c>
      <c r="M4450" s="136">
        <f t="shared" si="141"/>
        <v>-135090.09029666643</v>
      </c>
    </row>
    <row r="4451" spans="1:13">
      <c r="A4451" s="54" t="str">
        <f t="shared" si="143"/>
        <v>SERVICIOSPAQUETERIACEDIS (E6)</v>
      </c>
      <c r="B4451" t="s">
        <v>2565</v>
      </c>
      <c r="C4451" s="1">
        <f t="shared" si="142"/>
        <v>45968</v>
      </c>
      <c r="D4451" s="71" t="s">
        <v>21</v>
      </c>
      <c r="E4451" s="71" t="s">
        <v>160</v>
      </c>
      <c r="F4451" s="70" t="s">
        <v>161</v>
      </c>
      <c r="G4451" s="71" t="s">
        <v>258</v>
      </c>
      <c r="J4451" s="71" t="s">
        <v>1412</v>
      </c>
      <c r="L4451" s="433">
        <v>7712.88</v>
      </c>
      <c r="M4451" s="136">
        <f t="shared" si="141"/>
        <v>-142802.97029666643</v>
      </c>
    </row>
    <row r="4452" spans="1:13">
      <c r="A4452" s="54" t="str">
        <f t="shared" si="143"/>
        <v>MKTACTIVACION MKT</v>
      </c>
      <c r="B4452" t="s">
        <v>2565</v>
      </c>
      <c r="C4452" s="1">
        <f t="shared" si="142"/>
        <v>45968</v>
      </c>
      <c r="D4452" t="s">
        <v>19</v>
      </c>
      <c r="E4452" t="s">
        <v>20</v>
      </c>
      <c r="F4452" t="s">
        <v>19</v>
      </c>
      <c r="J4452" s="71" t="s">
        <v>2626</v>
      </c>
      <c r="L4452" s="433">
        <v>2200</v>
      </c>
      <c r="M4452" s="136">
        <f t="shared" si="141"/>
        <v>-145002.97029666643</v>
      </c>
    </row>
    <row r="4453" spans="1:13">
      <c r="A4453" s="54" t="str">
        <f t="shared" si="143"/>
        <v>FINANZASFONDO Y REPOSICIONFINANZAS</v>
      </c>
      <c r="B4453" t="s">
        <v>2565</v>
      </c>
      <c r="C4453" s="1">
        <f t="shared" si="142"/>
        <v>45968</v>
      </c>
      <c r="D4453" s="71" t="s">
        <v>23</v>
      </c>
      <c r="E4453" s="71" t="s">
        <v>120</v>
      </c>
      <c r="F4453" s="70" t="s">
        <v>23</v>
      </c>
      <c r="J4453" s="71" t="s">
        <v>1113</v>
      </c>
      <c r="L4453" s="433">
        <v>300</v>
      </c>
      <c r="M4453" s="136">
        <f t="shared" si="141"/>
        <v>-145302.97029666643</v>
      </c>
    </row>
    <row r="4454" spans="1:13">
      <c r="A4454" s="54" t="str">
        <f t="shared" si="143"/>
        <v>SERVICIOSCOMBUSTIBLESISTEMAS</v>
      </c>
      <c r="B4454" t="s">
        <v>2565</v>
      </c>
      <c r="C4454" s="1">
        <f t="shared" si="142"/>
        <v>45968</v>
      </c>
      <c r="D4454" s="71" t="s">
        <v>21</v>
      </c>
      <c r="E4454" s="71" t="s">
        <v>32</v>
      </c>
      <c r="F4454" s="70" t="s">
        <v>36</v>
      </c>
      <c r="J4454" s="71" t="s">
        <v>2097</v>
      </c>
      <c r="L4454" s="433">
        <v>500</v>
      </c>
      <c r="M4454" s="136">
        <f t="shared" si="141"/>
        <v>-145802.97029666643</v>
      </c>
    </row>
    <row r="4455" spans="1:13">
      <c r="A4455" s="54" t="str">
        <f t="shared" si="143"/>
        <v>SERVICIOSINSUMOSCADENA DE SUMINISTROS</v>
      </c>
      <c r="B4455" t="s">
        <v>2565</v>
      </c>
      <c r="C4455" s="1">
        <f t="shared" si="142"/>
        <v>45968</v>
      </c>
      <c r="D4455" s="71" t="s">
        <v>21</v>
      </c>
      <c r="E4455" s="71" t="s">
        <v>133</v>
      </c>
      <c r="F4455" s="70" t="s">
        <v>134</v>
      </c>
      <c r="J4455" s="71" t="s">
        <v>2627</v>
      </c>
      <c r="L4455" s="433">
        <v>4925</v>
      </c>
      <c r="M4455" s="136">
        <f t="shared" si="141"/>
        <v>-150727.97029666643</v>
      </c>
    </row>
    <row r="4456" spans="1:13">
      <c r="A4456" s="54" t="str">
        <f t="shared" si="143"/>
        <v>SERVICIOSINSUMOSCOFFE</v>
      </c>
      <c r="B4456" t="s">
        <v>2565</v>
      </c>
      <c r="C4456" s="1">
        <f t="shared" si="142"/>
        <v>45968</v>
      </c>
      <c r="D4456" s="71" t="s">
        <v>21</v>
      </c>
      <c r="E4456" s="71" t="s">
        <v>133</v>
      </c>
      <c r="F4456" s="70" t="s">
        <v>135</v>
      </c>
      <c r="J4456" s="71" t="s">
        <v>2628</v>
      </c>
      <c r="L4456" s="433">
        <v>2500</v>
      </c>
      <c r="M4456" s="136">
        <f t="shared" si="141"/>
        <v>-153227.97029666643</v>
      </c>
    </row>
    <row r="4457" spans="1:13">
      <c r="A4457" s="54" t="str">
        <f t="shared" si="143"/>
        <v>HRCAPACITACIONCAPACITACION</v>
      </c>
      <c r="B4457" t="s">
        <v>2565</v>
      </c>
      <c r="C4457" s="1">
        <f t="shared" si="142"/>
        <v>45968</v>
      </c>
      <c r="D4457" s="71" t="s">
        <v>29</v>
      </c>
      <c r="E4457" s="71" t="s">
        <v>30</v>
      </c>
      <c r="F4457" s="70" t="s">
        <v>30</v>
      </c>
      <c r="G4457" s="71" t="s">
        <v>258</v>
      </c>
      <c r="J4457" s="71" t="s">
        <v>2629</v>
      </c>
      <c r="L4457" s="433">
        <v>2500</v>
      </c>
      <c r="M4457" s="136">
        <f t="shared" si="141"/>
        <v>-155727.97029666643</v>
      </c>
    </row>
    <row r="4458" spans="1:13">
      <c r="A4458" s="54" t="str">
        <f t="shared" si="143"/>
        <v>SERVICIOSGASCEDIS</v>
      </c>
      <c r="B4458" t="s">
        <v>2565</v>
      </c>
      <c r="C4458" s="1">
        <f t="shared" si="142"/>
        <v>45968</v>
      </c>
      <c r="D4458" s="71" t="s">
        <v>21</v>
      </c>
      <c r="E4458" s="71" t="s">
        <v>122</v>
      </c>
      <c r="F4458" s="70" t="s">
        <v>28</v>
      </c>
      <c r="J4458" s="71" t="s">
        <v>2630</v>
      </c>
      <c r="L4458" s="433">
        <v>300</v>
      </c>
      <c r="M4458" s="136">
        <f t="shared" si="141"/>
        <v>-156027.97029666643</v>
      </c>
    </row>
    <row r="4459" spans="1:13">
      <c r="A4459" s="54" t="str">
        <f t="shared" si="143"/>
        <v>SERVICIOSVIATICOSCEDIS</v>
      </c>
      <c r="B4459" t="s">
        <v>2565</v>
      </c>
      <c r="C4459" s="1">
        <f t="shared" si="142"/>
        <v>45968</v>
      </c>
      <c r="D4459" s="71" t="s">
        <v>21</v>
      </c>
      <c r="E4459" s="71" t="s">
        <v>191</v>
      </c>
      <c r="F4459" s="70" t="s">
        <v>28</v>
      </c>
      <c r="J4459" s="71" t="s">
        <v>2154</v>
      </c>
      <c r="L4459" s="433">
        <v>2050</v>
      </c>
      <c r="M4459" s="136">
        <f t="shared" si="141"/>
        <v>-158077.97029666643</v>
      </c>
    </row>
    <row r="4460" spans="1:13">
      <c r="A4460" s="54" t="str">
        <f t="shared" si="143"/>
        <v>SERVICIOSCOMBUSTIBLECEDIS</v>
      </c>
      <c r="B4460" t="s">
        <v>2565</v>
      </c>
      <c r="C4460" s="1">
        <f t="shared" si="142"/>
        <v>45968</v>
      </c>
      <c r="D4460" s="71" t="s">
        <v>21</v>
      </c>
      <c r="E4460" s="71" t="s">
        <v>32</v>
      </c>
      <c r="F4460" s="70" t="s">
        <v>28</v>
      </c>
      <c r="J4460" s="71" t="s">
        <v>2631</v>
      </c>
      <c r="L4460" s="433">
        <v>6500</v>
      </c>
      <c r="M4460" s="136">
        <f t="shared" si="141"/>
        <v>-164577.97029666643</v>
      </c>
    </row>
    <row r="4461" spans="1:13">
      <c r="A4461" s="54" t="str">
        <f t="shared" si="143"/>
        <v>HRUBERHR</v>
      </c>
      <c r="B4461" t="s">
        <v>2565</v>
      </c>
      <c r="C4461" s="1">
        <f t="shared" si="142"/>
        <v>45968</v>
      </c>
      <c r="D4461" s="71" t="s">
        <v>29</v>
      </c>
      <c r="E4461" s="71" t="s">
        <v>189</v>
      </c>
      <c r="F4461" s="70" t="s">
        <v>29</v>
      </c>
      <c r="J4461" s="76" t="s">
        <v>2508</v>
      </c>
      <c r="L4461" s="522">
        <v>70</v>
      </c>
      <c r="M4461" s="136">
        <f>M4460+K4461-L4461</f>
        <v>-164647.97029666643</v>
      </c>
    </row>
    <row r="4462" spans="1:13">
      <c r="A4462" s="54" t="str">
        <f t="shared" si="143"/>
        <v>CAPUBERCAP</v>
      </c>
      <c r="B4462" t="s">
        <v>2565</v>
      </c>
      <c r="C4462" s="1">
        <f t="shared" si="142"/>
        <v>45968</v>
      </c>
      <c r="D4462" s="71" t="s">
        <v>31</v>
      </c>
      <c r="E4462" s="71" t="s">
        <v>189</v>
      </c>
      <c r="F4462" s="71" t="s">
        <v>31</v>
      </c>
      <c r="J4462" s="76" t="s">
        <v>2262</v>
      </c>
      <c r="L4462" s="522">
        <v>140</v>
      </c>
      <c r="M4462" s="136">
        <f>M4461+K4462-L4462</f>
        <v>-164787.97029666643</v>
      </c>
    </row>
    <row r="4463" spans="1:13">
      <c r="A4463" s="54" t="str">
        <f t="shared" si="143"/>
        <v>SERVICIOSMTTO DE EDIFICIOMANTENIMIENTO</v>
      </c>
      <c r="B4463" t="s">
        <v>2565</v>
      </c>
      <c r="C4463" s="1">
        <f t="shared" si="142"/>
        <v>45968</v>
      </c>
      <c r="D4463" s="71" t="s">
        <v>21</v>
      </c>
      <c r="E4463" s="71" t="s">
        <v>142</v>
      </c>
      <c r="F4463" s="70" t="s">
        <v>35</v>
      </c>
      <c r="J4463" s="76" t="s">
        <v>2632</v>
      </c>
      <c r="L4463" s="434">
        <v>2200</v>
      </c>
      <c r="M4463" s="136">
        <f>M4462+K4463-L4463</f>
        <v>-166987.97029666643</v>
      </c>
    </row>
    <row r="4464" spans="1:13">
      <c r="A4464" s="54" t="str">
        <f t="shared" si="143"/>
        <v>CAPUBERCAP</v>
      </c>
      <c r="B4464" t="s">
        <v>2565</v>
      </c>
      <c r="C4464" s="1">
        <f t="shared" si="142"/>
        <v>45968</v>
      </c>
      <c r="D4464" s="71" t="s">
        <v>31</v>
      </c>
      <c r="E4464" s="71" t="s">
        <v>189</v>
      </c>
      <c r="F4464" s="70" t="s">
        <v>31</v>
      </c>
      <c r="J4464" s="76" t="s">
        <v>2268</v>
      </c>
      <c r="L4464" s="522">
        <v>100</v>
      </c>
      <c r="M4464" s="136">
        <f>M4463+K4464-L4464</f>
        <v>-167087.97029666643</v>
      </c>
    </row>
    <row r="4465" spans="1:13">
      <c r="A4465" s="54" t="str">
        <f t="shared" si="143"/>
        <v>CAPINSUMOSCAPRICHOS</v>
      </c>
      <c r="B4465" t="s">
        <v>2565</v>
      </c>
      <c r="C4465" s="1">
        <f t="shared" si="142"/>
        <v>45968</v>
      </c>
      <c r="D4465" s="71" t="s">
        <v>31</v>
      </c>
      <c r="E4465" s="71" t="s">
        <v>133</v>
      </c>
      <c r="F4465" s="70" t="s">
        <v>33</v>
      </c>
      <c r="G4465" s="71" t="s">
        <v>258</v>
      </c>
      <c r="J4465" s="76" t="s">
        <v>2335</v>
      </c>
      <c r="L4465" s="434">
        <v>79</v>
      </c>
      <c r="M4465" s="136">
        <f>M4464+K4465-L4465</f>
        <v>-167166.97029666643</v>
      </c>
    </row>
    <row r="4466" spans="1:13">
      <c r="A4466" s="54" t="str">
        <f t="shared" si="143"/>
        <v>HRUBERHR</v>
      </c>
      <c r="B4466" t="s">
        <v>2565</v>
      </c>
      <c r="C4466" s="1">
        <f t="shared" si="142"/>
        <v>45968</v>
      </c>
      <c r="D4466" s="71" t="s">
        <v>29</v>
      </c>
      <c r="E4466" s="71" t="s">
        <v>189</v>
      </c>
      <c r="F4466" s="70" t="s">
        <v>29</v>
      </c>
      <c r="J4466" s="76" t="s">
        <v>2633</v>
      </c>
      <c r="L4466" s="522">
        <v>70</v>
      </c>
      <c r="M4466" s="136">
        <f>M4465+K4466-L4466</f>
        <v>-167236.97029666643</v>
      </c>
    </row>
    <row r="4467" spans="1:13">
      <c r="A4467" s="54" t="str">
        <f t="shared" si="143"/>
        <v>HRINSUMOSHR</v>
      </c>
      <c r="B4467" t="s">
        <v>2565</v>
      </c>
      <c r="C4467" s="1">
        <f t="shared" si="142"/>
        <v>45968</v>
      </c>
      <c r="D4467" s="71" t="s">
        <v>29</v>
      </c>
      <c r="E4467" s="71" t="s">
        <v>133</v>
      </c>
      <c r="F4467" s="70" t="s">
        <v>29</v>
      </c>
      <c r="J4467" s="76" t="s">
        <v>2634</v>
      </c>
      <c r="L4467" s="434">
        <v>296</v>
      </c>
      <c r="M4467" s="136">
        <f>M4466+K4467-L4467</f>
        <v>-167532.97029666643</v>
      </c>
    </row>
    <row r="4468" spans="1:13">
      <c r="A4468" s="54" t="str">
        <f t="shared" si="143"/>
        <v>HRUBERHR</v>
      </c>
      <c r="B4468" t="s">
        <v>2565</v>
      </c>
      <c r="C4468" s="1">
        <f t="shared" si="142"/>
        <v>45968</v>
      </c>
      <c r="D4468" s="71" t="s">
        <v>29</v>
      </c>
      <c r="E4468" s="71" t="s">
        <v>189</v>
      </c>
      <c r="F4468" s="70" t="s">
        <v>29</v>
      </c>
      <c r="J4468" s="76" t="s">
        <v>2635</v>
      </c>
      <c r="L4468" s="522">
        <v>220</v>
      </c>
      <c r="M4468" s="136">
        <f>M4467+K4468-L4468</f>
        <v>-167752.97029666643</v>
      </c>
    </row>
    <row r="4469" spans="1:13">
      <c r="A4469" s="54" t="str">
        <f t="shared" si="143"/>
        <v/>
      </c>
      <c r="B4469" t="s">
        <v>2565</v>
      </c>
      <c r="C4469" s="1">
        <v>45971</v>
      </c>
      <c r="D4469" s="71"/>
      <c r="F4469" s="70"/>
      <c r="J4469" s="71" t="s">
        <v>2045</v>
      </c>
      <c r="K4469" s="325">
        <v>941272.85</v>
      </c>
      <c r="L4469" s="432"/>
      <c r="M4469" s="136">
        <f>M4468+K4469-L4469</f>
        <v>773519.8797033336</v>
      </c>
    </row>
    <row r="4470" spans="1:13">
      <c r="A4470" s="54" t="str">
        <f t="shared" si="143"/>
        <v>FINANZASCOMISIONES BANCARIASTPV</v>
      </c>
      <c r="B4470" t="s">
        <v>2565</v>
      </c>
      <c r="C4470" s="1">
        <f t="shared" si="142"/>
        <v>45971</v>
      </c>
      <c r="D4470" t="s">
        <v>23</v>
      </c>
      <c r="E4470" t="s">
        <v>48</v>
      </c>
      <c r="F4470" t="s">
        <v>50</v>
      </c>
      <c r="J4470" s="71" t="s">
        <v>217</v>
      </c>
      <c r="L4470" s="433">
        <f>192.3+3883.12+1447.43+4284.06</f>
        <v>9806.91</v>
      </c>
      <c r="M4470" s="136">
        <f>M4469+K4470-L4470</f>
        <v>763712.96970333357</v>
      </c>
    </row>
    <row r="4471" spans="1:13">
      <c r="A4471" s="54" t="str">
        <f t="shared" si="143"/>
        <v/>
      </c>
      <c r="B4471" t="s">
        <v>2565</v>
      </c>
      <c r="C4471" s="1">
        <v>45971</v>
      </c>
      <c r="D4471" s="71"/>
      <c r="F4471" s="70"/>
      <c r="J4471" s="205" t="s">
        <v>1562</v>
      </c>
      <c r="K4471" s="205"/>
      <c r="L4471" s="428">
        <v>300000</v>
      </c>
      <c r="M4471" s="136">
        <f>M4470+K4471-L4471</f>
        <v>463712.96970333357</v>
      </c>
    </row>
    <row r="4472" spans="1:13">
      <c r="A4472" s="54" t="str">
        <f t="shared" si="143"/>
        <v/>
      </c>
      <c r="B4472" t="s">
        <v>2565</v>
      </c>
      <c r="C4472" s="1">
        <f t="shared" si="142"/>
        <v>45971</v>
      </c>
      <c r="D4472" s="71"/>
      <c r="F4472" s="70"/>
      <c r="J4472" s="205" t="s">
        <v>318</v>
      </c>
      <c r="K4472" s="205"/>
      <c r="L4472" s="428">
        <v>181000</v>
      </c>
      <c r="M4472" s="136">
        <f>M4471+K4472-L4472</f>
        <v>282712.96970333357</v>
      </c>
    </row>
    <row r="4473" spans="1:13">
      <c r="A4473" s="54" t="str">
        <f t="shared" si="143"/>
        <v/>
      </c>
      <c r="B4473" t="s">
        <v>2565</v>
      </c>
      <c r="C4473" s="1">
        <f t="shared" si="142"/>
        <v>45971</v>
      </c>
      <c r="D4473" s="71"/>
      <c r="F4473" s="70"/>
      <c r="J4473" s="205" t="s">
        <v>222</v>
      </c>
      <c r="K4473" s="205"/>
      <c r="L4473" s="428">
        <v>250000</v>
      </c>
      <c r="M4473" s="136">
        <f>M4472+K4473-L4473</f>
        <v>32712.969703333569</v>
      </c>
    </row>
    <row r="4474" spans="1:13">
      <c r="A4474" s="54" t="str">
        <f t="shared" si="143"/>
        <v/>
      </c>
      <c r="B4474" t="s">
        <v>2565</v>
      </c>
      <c r="C4474" s="1">
        <f t="shared" si="142"/>
        <v>45971</v>
      </c>
      <c r="D4474" s="458"/>
      <c r="F4474" s="70"/>
      <c r="J4474" s="233" t="s">
        <v>2636</v>
      </c>
      <c r="K4474" s="233"/>
      <c r="L4474" s="446">
        <v>109000</v>
      </c>
      <c r="M4474" s="136">
        <f>M4473+K4474-L4474</f>
        <v>-76287.030296666431</v>
      </c>
    </row>
    <row r="4475" spans="1:13">
      <c r="A4475" s="54" t="str">
        <f t="shared" si="143"/>
        <v/>
      </c>
      <c r="B4475" t="s">
        <v>2565</v>
      </c>
      <c r="C4475" s="1">
        <f t="shared" si="142"/>
        <v>45971</v>
      </c>
      <c r="D4475" s="458"/>
      <c r="F4475" s="70"/>
      <c r="J4475" s="233" t="s">
        <v>2637</v>
      </c>
      <c r="K4475" s="233"/>
      <c r="L4475" s="446">
        <v>72000</v>
      </c>
      <c r="M4475" s="136">
        <f>M4474+K4475-L4475</f>
        <v>-148287.03029666643</v>
      </c>
    </row>
    <row r="4476" spans="1:13">
      <c r="A4476" s="54" t="str">
        <f t="shared" si="143"/>
        <v/>
      </c>
      <c r="B4476" t="s">
        <v>2565</v>
      </c>
      <c r="C4476" s="1">
        <f t="shared" si="142"/>
        <v>45971</v>
      </c>
      <c r="D4476" s="458"/>
      <c r="F4476" s="70"/>
      <c r="J4476" s="233" t="s">
        <v>2638</v>
      </c>
      <c r="K4476" s="233"/>
      <c r="L4476" s="446">
        <v>3000</v>
      </c>
      <c r="M4476" s="136">
        <f>M4475+K4476-L4476</f>
        <v>-151287.03029666643</v>
      </c>
    </row>
    <row r="4477" spans="1:13">
      <c r="A4477" s="54" t="str">
        <f t="shared" si="143"/>
        <v/>
      </c>
      <c r="B4477" s="229" t="s">
        <v>2565</v>
      </c>
      <c r="C4477" s="244">
        <f>C4473</f>
        <v>45971</v>
      </c>
      <c r="E4477" s="242"/>
      <c r="F4477" s="77"/>
      <c r="G4477" s="242"/>
      <c r="H4477" s="423"/>
      <c r="J4477" s="242" t="s">
        <v>2639</v>
      </c>
      <c r="K4477" s="332"/>
      <c r="L4477" s="433">
        <v>25252.799999999999</v>
      </c>
      <c r="M4477" s="136">
        <f>M4476+K4477-L4477</f>
        <v>-176539.83029666642</v>
      </c>
    </row>
    <row r="4478" spans="1:13">
      <c r="A4478" s="54" t="str">
        <f t="shared" si="143"/>
        <v>FINANZASSEGUROEQ. DE TRANSPORTE</v>
      </c>
      <c r="B4478" t="s">
        <v>2565</v>
      </c>
      <c r="C4478" s="1">
        <f t="shared" si="142"/>
        <v>45971</v>
      </c>
      <c r="D4478" s="71" t="s">
        <v>23</v>
      </c>
      <c r="E4478" s="71" t="s">
        <v>173</v>
      </c>
      <c r="F4478" s="70" t="s">
        <v>175</v>
      </c>
      <c r="J4478" s="71" t="s">
        <v>2640</v>
      </c>
      <c r="L4478" s="433">
        <v>6008</v>
      </c>
      <c r="M4478" s="136">
        <f>M4477+K4478-L4478</f>
        <v>-182547.83029666642</v>
      </c>
    </row>
    <row r="4479" spans="1:13">
      <c r="A4479" s="54" t="str">
        <f t="shared" si="143"/>
        <v>CAPVIATICOSCAPRICHOS</v>
      </c>
      <c r="B4479" t="s">
        <v>2565</v>
      </c>
      <c r="C4479" s="1">
        <f t="shared" si="142"/>
        <v>45971</v>
      </c>
      <c r="D4479" s="71" t="s">
        <v>31</v>
      </c>
      <c r="E4479" s="71" t="s">
        <v>191</v>
      </c>
      <c r="F4479" s="70" t="s">
        <v>33</v>
      </c>
      <c r="J4479" s="71" t="s">
        <v>2641</v>
      </c>
      <c r="L4479" s="433">
        <v>2000</v>
      </c>
      <c r="M4479" s="136">
        <f>M4478+K4479-L4479</f>
        <v>-184547.83029666642</v>
      </c>
    </row>
    <row r="4480" spans="1:13">
      <c r="A4480" s="54" t="str">
        <f t="shared" si="143"/>
        <v>HRVIATICOSHR</v>
      </c>
      <c r="B4480" t="s">
        <v>2565</v>
      </c>
      <c r="C4480" s="1">
        <f t="shared" si="142"/>
        <v>45971</v>
      </c>
      <c r="D4480" s="71" t="s">
        <v>29</v>
      </c>
      <c r="E4480" s="71" t="s">
        <v>191</v>
      </c>
      <c r="F4480" s="70" t="s">
        <v>29</v>
      </c>
      <c r="J4480" s="71" t="s">
        <v>2642</v>
      </c>
      <c r="L4480" s="433">
        <v>7200</v>
      </c>
      <c r="M4480" s="136">
        <f>M4479+K4480-L4480</f>
        <v>-191747.83029666642</v>
      </c>
    </row>
    <row r="4481" spans="1:13">
      <c r="A4481" s="54" t="str">
        <f t="shared" si="143"/>
        <v>FINANZASTELEFONIATELCEL</v>
      </c>
      <c r="B4481" t="s">
        <v>2565</v>
      </c>
      <c r="C4481" s="1">
        <f t="shared" si="142"/>
        <v>45971</v>
      </c>
      <c r="D4481" s="71" t="s">
        <v>23</v>
      </c>
      <c r="E4481" s="71" t="s">
        <v>181</v>
      </c>
      <c r="F4481" s="70" t="s">
        <v>183</v>
      </c>
      <c r="G4481" s="71" t="s">
        <v>258</v>
      </c>
      <c r="J4481" s="71" t="s">
        <v>2643</v>
      </c>
      <c r="L4481" s="433">
        <v>4911.03</v>
      </c>
      <c r="M4481" s="136">
        <f>M4480+K4481-L4481</f>
        <v>-196658.86029666642</v>
      </c>
    </row>
    <row r="4482" spans="1:13">
      <c r="A4482" s="54" t="str">
        <f t="shared" si="143"/>
        <v>FINANZASTELEFONIATELCEL</v>
      </c>
      <c r="B4482" t="s">
        <v>2565</v>
      </c>
      <c r="C4482" s="1">
        <f t="shared" si="142"/>
        <v>45971</v>
      </c>
      <c r="D4482" s="71" t="s">
        <v>23</v>
      </c>
      <c r="E4482" s="71" t="s">
        <v>181</v>
      </c>
      <c r="F4482" s="70" t="s">
        <v>183</v>
      </c>
      <c r="G4482" s="71" t="s">
        <v>258</v>
      </c>
      <c r="J4482" s="71" t="s">
        <v>2644</v>
      </c>
      <c r="L4482" s="433">
        <v>3388.04</v>
      </c>
      <c r="M4482" s="136">
        <f>M4481+K4482-L4482</f>
        <v>-200046.90029666643</v>
      </c>
    </row>
    <row r="4483" spans="1:13">
      <c r="A4483" s="54" t="str">
        <f t="shared" si="143"/>
        <v>HRENERGIA ELECTRICAA1</v>
      </c>
      <c r="B4483" t="s">
        <v>2565</v>
      </c>
      <c r="C4483" s="1">
        <f t="shared" si="142"/>
        <v>45971</v>
      </c>
      <c r="D4483" s="71" t="s">
        <v>29</v>
      </c>
      <c r="E4483" s="71" t="s">
        <v>87</v>
      </c>
      <c r="F4483" s="70" t="s">
        <v>88</v>
      </c>
      <c r="J4483" s="71" t="s">
        <v>2645</v>
      </c>
      <c r="L4483" s="433">
        <v>6890</v>
      </c>
      <c r="M4483" s="136">
        <f>M4482+K4483-L4483</f>
        <v>-206936.90029666643</v>
      </c>
    </row>
    <row r="4484" spans="1:13">
      <c r="A4484" s="54" t="str">
        <f t="shared" si="143"/>
        <v>HRENERGIA ELECTRICAA9</v>
      </c>
      <c r="B4484" t="s">
        <v>2565</v>
      </c>
      <c r="C4484" s="1">
        <f t="shared" si="142"/>
        <v>45971</v>
      </c>
      <c r="D4484" s="71" t="s">
        <v>29</v>
      </c>
      <c r="E4484" s="71" t="s">
        <v>87</v>
      </c>
      <c r="F4484" s="70" t="s">
        <v>95</v>
      </c>
      <c r="J4484" s="71" t="s">
        <v>578</v>
      </c>
      <c r="L4484" s="433">
        <v>4362</v>
      </c>
      <c r="M4484" s="136">
        <f>M4483+K4484-L4484</f>
        <v>-211298.90029666643</v>
      </c>
    </row>
    <row r="4485" spans="1:13">
      <c r="A4485" s="54" t="str">
        <f t="shared" si="143"/>
        <v>HRENERGIA ELECTRICAA23</v>
      </c>
      <c r="B4485" t="s">
        <v>2565</v>
      </c>
      <c r="C4485" s="1">
        <f t="shared" si="142"/>
        <v>45971</v>
      </c>
      <c r="D4485" s="71" t="s">
        <v>29</v>
      </c>
      <c r="E4485" s="71" t="s">
        <v>87</v>
      </c>
      <c r="F4485" s="70" t="s">
        <v>105</v>
      </c>
      <c r="J4485" s="71" t="s">
        <v>2283</v>
      </c>
      <c r="L4485" s="433">
        <v>22131</v>
      </c>
      <c r="M4485" s="136">
        <f>M4484+K4485-L4485</f>
        <v>-233429.90029666643</v>
      </c>
    </row>
    <row r="4486" spans="1:13">
      <c r="A4486" s="54" t="str">
        <f t="shared" si="143"/>
        <v>FINANZASCUOTAS Y SUSCRIPCIONESTRAMITES</v>
      </c>
      <c r="B4486" t="s">
        <v>2565</v>
      </c>
      <c r="C4486" s="1">
        <f t="shared" si="142"/>
        <v>45971</v>
      </c>
      <c r="D4486" s="71" t="s">
        <v>23</v>
      </c>
      <c r="E4486" s="71" t="s">
        <v>51</v>
      </c>
      <c r="F4486" s="70" t="s">
        <v>81</v>
      </c>
      <c r="G4486" s="71" t="s">
        <v>258</v>
      </c>
      <c r="J4486" s="71" t="s">
        <v>2646</v>
      </c>
      <c r="L4486" s="433">
        <v>2518</v>
      </c>
      <c r="M4486" s="136">
        <f>M4485+K4486-L4486</f>
        <v>-235947.90029666643</v>
      </c>
    </row>
    <row r="4487" spans="1:13">
      <c r="A4487" s="54" t="str">
        <f t="shared" si="143"/>
        <v>FINANZASCOMBUSTIBLEFINANZAS</v>
      </c>
      <c r="B4487" t="s">
        <v>2565</v>
      </c>
      <c r="C4487" s="1">
        <f t="shared" si="142"/>
        <v>45971</v>
      </c>
      <c r="D4487" s="71" t="s">
        <v>23</v>
      </c>
      <c r="E4487" s="71" t="s">
        <v>32</v>
      </c>
      <c r="F4487" s="70" t="s">
        <v>23</v>
      </c>
      <c r="J4487" s="71" t="s">
        <v>2647</v>
      </c>
      <c r="L4487" s="433">
        <v>700</v>
      </c>
      <c r="M4487" s="136">
        <f>M4486+K4487-L4487</f>
        <v>-236647.90029666643</v>
      </c>
    </row>
    <row r="4488" spans="1:13">
      <c r="A4488" s="54" t="str">
        <f t="shared" si="143"/>
        <v>FINANZASCOMBUSTIBLECONTABILIDAD</v>
      </c>
      <c r="B4488" t="s">
        <v>2565</v>
      </c>
      <c r="C4488" s="1">
        <f t="shared" si="142"/>
        <v>45971</v>
      </c>
      <c r="D4488" s="71" t="s">
        <v>23</v>
      </c>
      <c r="E4488" s="71" t="s">
        <v>32</v>
      </c>
      <c r="F4488" s="70" t="s">
        <v>37</v>
      </c>
      <c r="J4488" s="71" t="s">
        <v>2648</v>
      </c>
      <c r="L4488" s="433">
        <v>950</v>
      </c>
      <c r="M4488" s="136">
        <f>M4487+K4488-L4488</f>
        <v>-237597.90029666643</v>
      </c>
    </row>
    <row r="4489" spans="1:13">
      <c r="A4489" s="54" t="str">
        <f t="shared" si="143"/>
        <v>CAPVIATICOSCAPRICHOS</v>
      </c>
      <c r="B4489" t="s">
        <v>2565</v>
      </c>
      <c r="C4489" s="1">
        <f t="shared" si="142"/>
        <v>45971</v>
      </c>
      <c r="D4489" s="71" t="s">
        <v>31</v>
      </c>
      <c r="E4489" s="71" t="s">
        <v>191</v>
      </c>
      <c r="F4489" s="70" t="s">
        <v>33</v>
      </c>
      <c r="J4489" s="71" t="s">
        <v>2649</v>
      </c>
      <c r="L4489" s="433">
        <v>11500</v>
      </c>
      <c r="M4489" s="136">
        <f>M4488+K4489-L4489</f>
        <v>-249097.90029666643</v>
      </c>
    </row>
    <row r="4490" spans="1:13">
      <c r="A4490" s="54" t="str">
        <f t="shared" si="143"/>
        <v>FINANZASTELEFONIATELEFONIA</v>
      </c>
      <c r="B4490" t="s">
        <v>2565</v>
      </c>
      <c r="C4490" s="1">
        <f t="shared" si="142"/>
        <v>45971</v>
      </c>
      <c r="D4490" s="71" t="s">
        <v>23</v>
      </c>
      <c r="E4490" s="71" t="s">
        <v>181</v>
      </c>
      <c r="F4490" s="70" t="s">
        <v>181</v>
      </c>
      <c r="J4490" s="71" t="s">
        <v>290</v>
      </c>
      <c r="L4490" s="433">
        <v>681</v>
      </c>
      <c r="M4490" s="136">
        <f>M4489+K4490-L4490</f>
        <v>-249778.90029666643</v>
      </c>
    </row>
    <row r="4491" spans="1:13">
      <c r="A4491" s="54" t="str">
        <f t="shared" si="143"/>
        <v>CAPINSUMOSCAPRICHOS</v>
      </c>
      <c r="B4491" t="s">
        <v>2565</v>
      </c>
      <c r="C4491" s="1">
        <f t="shared" si="142"/>
        <v>45971</v>
      </c>
      <c r="D4491" s="71" t="s">
        <v>31</v>
      </c>
      <c r="E4491" s="71" t="s">
        <v>133</v>
      </c>
      <c r="F4491" s="70" t="s">
        <v>33</v>
      </c>
      <c r="G4491" s="71" t="s">
        <v>258</v>
      </c>
      <c r="J4491" s="71" t="s">
        <v>2650</v>
      </c>
      <c r="L4491" s="433">
        <v>20300</v>
      </c>
      <c r="M4491" s="136">
        <f>M4490+K4491-L4491</f>
        <v>-270078.90029666643</v>
      </c>
    </row>
    <row r="4492" spans="1:13">
      <c r="A4492" s="54" t="str">
        <f t="shared" si="143"/>
        <v>HRINSUMOSHR</v>
      </c>
      <c r="B4492" t="s">
        <v>2565</v>
      </c>
      <c r="C4492" s="1">
        <f t="shared" si="142"/>
        <v>45971</v>
      </c>
      <c r="D4492" s="71" t="s">
        <v>29</v>
      </c>
      <c r="E4492" s="71" t="s">
        <v>133</v>
      </c>
      <c r="F4492" s="70" t="s">
        <v>29</v>
      </c>
      <c r="J4492" s="71" t="s">
        <v>2651</v>
      </c>
      <c r="L4492" s="433">
        <v>6902</v>
      </c>
      <c r="M4492" s="136">
        <f>M4491+K4492-L4492</f>
        <v>-276980.90029666643</v>
      </c>
    </row>
    <row r="4493" spans="1:13">
      <c r="A4493" s="54" t="str">
        <f t="shared" si="143"/>
        <v>SERVICIOSPAQUETERIACEDIS (E6)</v>
      </c>
      <c r="B4493" t="s">
        <v>2565</v>
      </c>
      <c r="C4493" s="1">
        <f t="shared" ref="C4493:C4558" si="144">C4492</f>
        <v>45971</v>
      </c>
      <c r="D4493" s="71" t="s">
        <v>21</v>
      </c>
      <c r="E4493" s="71" t="s">
        <v>160</v>
      </c>
      <c r="F4493" s="70" t="s">
        <v>161</v>
      </c>
      <c r="J4493" s="71" t="s">
        <v>229</v>
      </c>
      <c r="L4493" s="433">
        <v>1833.92</v>
      </c>
      <c r="M4493" s="136">
        <f t="shared" ref="M4493:M4497" si="145">M4492+K4493-L4493</f>
        <v>-278814.82029666641</v>
      </c>
    </row>
    <row r="4494" spans="1:13">
      <c r="A4494" s="54" t="str">
        <f t="shared" si="143"/>
        <v>MKTINSUMOSINSUMOS</v>
      </c>
      <c r="B4494" t="s">
        <v>2565</v>
      </c>
      <c r="C4494" s="1">
        <f t="shared" si="144"/>
        <v>45971</v>
      </c>
      <c r="D4494" s="71" t="s">
        <v>19</v>
      </c>
      <c r="E4494" s="71" t="s">
        <v>133</v>
      </c>
      <c r="F4494" s="70" t="s">
        <v>133</v>
      </c>
      <c r="J4494" s="71" t="s">
        <v>2652</v>
      </c>
      <c r="L4494" s="433">
        <v>1150</v>
      </c>
      <c r="M4494" s="136">
        <f t="shared" si="145"/>
        <v>-279964.82029666641</v>
      </c>
    </row>
    <row r="4495" spans="1:13">
      <c r="A4495" s="54" t="str">
        <f t="shared" si="143"/>
        <v/>
      </c>
      <c r="B4495" t="s">
        <v>2565</v>
      </c>
      <c r="C4495" s="1">
        <f t="shared" si="144"/>
        <v>45971</v>
      </c>
      <c r="D4495" s="71"/>
      <c r="F4495" s="70"/>
      <c r="J4495" s="71" t="s">
        <v>440</v>
      </c>
      <c r="L4495" s="433">
        <v>28304.18</v>
      </c>
      <c r="M4495" s="136">
        <f t="shared" si="145"/>
        <v>-308269.0002966664</v>
      </c>
    </row>
    <row r="4496" spans="1:13">
      <c r="A4496" s="54" t="str">
        <f t="shared" si="143"/>
        <v>MKTINSUMOSINSUMOS</v>
      </c>
      <c r="B4496" t="s">
        <v>2565</v>
      </c>
      <c r="C4496" s="1">
        <f>C4494</f>
        <v>45971</v>
      </c>
      <c r="D4496" s="71" t="s">
        <v>19</v>
      </c>
      <c r="E4496" s="71" t="s">
        <v>133</v>
      </c>
      <c r="F4496" s="70" t="s">
        <v>133</v>
      </c>
      <c r="J4496" s="71" t="s">
        <v>2653</v>
      </c>
      <c r="L4496" s="433">
        <v>3169</v>
      </c>
      <c r="M4496" s="136">
        <f t="shared" si="145"/>
        <v>-311438.0002966664</v>
      </c>
    </row>
    <row r="4497" spans="1:13">
      <c r="A4497" s="54" t="str">
        <f t="shared" si="143"/>
        <v>MKTVIATICOSMKT</v>
      </c>
      <c r="B4497" t="s">
        <v>2565</v>
      </c>
      <c r="C4497" s="1">
        <f t="shared" si="144"/>
        <v>45971</v>
      </c>
      <c r="D4497" s="71" t="s">
        <v>19</v>
      </c>
      <c r="E4497" s="71" t="s">
        <v>191</v>
      </c>
      <c r="F4497" s="70" t="s">
        <v>19</v>
      </c>
      <c r="G4497" s="71" t="s">
        <v>258</v>
      </c>
      <c r="J4497" s="71" t="s">
        <v>2654</v>
      </c>
      <c r="L4497" s="433">
        <v>250</v>
      </c>
      <c r="M4497" s="136">
        <f t="shared" si="145"/>
        <v>-311688.0002966664</v>
      </c>
    </row>
    <row r="4498" spans="1:13">
      <c r="A4498" s="54" t="str">
        <f t="shared" si="143"/>
        <v>FINANZASCUOTAS Y SUSCRIPCIONESTIMBRES P/FACTURACION</v>
      </c>
      <c r="B4498" t="s">
        <v>2565</v>
      </c>
      <c r="C4498" s="1">
        <f t="shared" si="144"/>
        <v>45971</v>
      </c>
      <c r="D4498" s="71" t="s">
        <v>23</v>
      </c>
      <c r="E4498" s="71" t="s">
        <v>51</v>
      </c>
      <c r="F4498" s="70" t="s">
        <v>63</v>
      </c>
      <c r="G4498" s="71" t="s">
        <v>258</v>
      </c>
      <c r="J4498" s="71" t="s">
        <v>2655</v>
      </c>
      <c r="L4498" s="433">
        <v>4640</v>
      </c>
      <c r="M4498" s="136">
        <f>M4497+K4498-L4498</f>
        <v>-316328.0002966664</v>
      </c>
    </row>
    <row r="4499" spans="1:13">
      <c r="A4499" s="54" t="str">
        <f t="shared" si="143"/>
        <v>HRINSUMOSHR</v>
      </c>
      <c r="B4499" t="s">
        <v>2565</v>
      </c>
      <c r="C4499" s="1">
        <f t="shared" si="144"/>
        <v>45971</v>
      </c>
      <c r="D4499" s="71" t="s">
        <v>29</v>
      </c>
      <c r="E4499" s="71" t="s">
        <v>133</v>
      </c>
      <c r="F4499" s="70" t="s">
        <v>29</v>
      </c>
      <c r="J4499" s="76" t="s">
        <v>2656</v>
      </c>
      <c r="L4499" s="434">
        <v>68</v>
      </c>
      <c r="M4499" s="136">
        <f>M4498+K4499-L4499</f>
        <v>-316396.0002966664</v>
      </c>
    </row>
    <row r="4500" spans="1:13">
      <c r="A4500" s="54" t="str">
        <f t="shared" si="143"/>
        <v>HRUBERHR</v>
      </c>
      <c r="B4500" t="s">
        <v>2565</v>
      </c>
      <c r="C4500" s="1">
        <f t="shared" si="144"/>
        <v>45971</v>
      </c>
      <c r="D4500" s="71" t="s">
        <v>29</v>
      </c>
      <c r="E4500" s="71" t="s">
        <v>189</v>
      </c>
      <c r="F4500" s="70" t="s">
        <v>29</v>
      </c>
      <c r="J4500" s="76" t="s">
        <v>2435</v>
      </c>
      <c r="L4500" s="522">
        <v>584</v>
      </c>
      <c r="M4500" s="136">
        <f>M4499+K4500-L4500</f>
        <v>-316980.0002966664</v>
      </c>
    </row>
    <row r="4501" spans="1:13">
      <c r="A4501" s="54" t="str">
        <f t="shared" si="143"/>
        <v>HRUBERHR</v>
      </c>
      <c r="B4501" t="s">
        <v>2565</v>
      </c>
      <c r="C4501" s="1">
        <f t="shared" si="144"/>
        <v>45971</v>
      </c>
      <c r="D4501" s="71" t="s">
        <v>29</v>
      </c>
      <c r="E4501" s="71" t="s">
        <v>189</v>
      </c>
      <c r="F4501" s="70" t="s">
        <v>29</v>
      </c>
      <c r="J4501" s="76" t="s">
        <v>2657</v>
      </c>
      <c r="L4501" s="522">
        <f>150+240</f>
        <v>390</v>
      </c>
      <c r="M4501" s="136">
        <f>M4500+K4501-L4501</f>
        <v>-317370.0002966664</v>
      </c>
    </row>
    <row r="4502" spans="1:13">
      <c r="A4502" s="54" t="str">
        <f t="shared" ref="A4502:A4565" si="146">D4502&amp;E4502&amp;F4502</f>
        <v>HRNOMINA SUCURSALHR</v>
      </c>
      <c r="B4502" t="s">
        <v>2565</v>
      </c>
      <c r="C4502" s="1">
        <f t="shared" si="144"/>
        <v>45971</v>
      </c>
      <c r="D4502" s="71" t="s">
        <v>29</v>
      </c>
      <c r="E4502" s="71" t="s">
        <v>154</v>
      </c>
      <c r="F4502" s="70" t="s">
        <v>29</v>
      </c>
      <c r="J4502" s="76" t="s">
        <v>2658</v>
      </c>
      <c r="L4502" s="434">
        <v>2407</v>
      </c>
      <c r="M4502" s="136">
        <f>M4501+K4502-L4502</f>
        <v>-319777.0002966664</v>
      </c>
    </row>
    <row r="4503" spans="1:13">
      <c r="A4503" s="54" t="str">
        <f t="shared" si="146"/>
        <v>HRUBERHR</v>
      </c>
      <c r="B4503" t="s">
        <v>2565</v>
      </c>
      <c r="C4503" s="1">
        <f t="shared" si="144"/>
        <v>45971</v>
      </c>
      <c r="D4503" s="71" t="s">
        <v>29</v>
      </c>
      <c r="E4503" s="71" t="s">
        <v>189</v>
      </c>
      <c r="F4503" s="70" t="s">
        <v>29</v>
      </c>
      <c r="J4503" s="76" t="s">
        <v>2366</v>
      </c>
      <c r="L4503" s="522">
        <v>300</v>
      </c>
      <c r="M4503" s="136">
        <f>M4502+K4503-L4503</f>
        <v>-320077.0002966664</v>
      </c>
    </row>
    <row r="4504" spans="1:13">
      <c r="A4504" s="54" t="str">
        <f t="shared" si="146"/>
        <v>CAPINSUMOSCAPRICHOS</v>
      </c>
      <c r="B4504" t="s">
        <v>2565</v>
      </c>
      <c r="C4504" s="1">
        <f t="shared" si="144"/>
        <v>45971</v>
      </c>
      <c r="D4504" s="71" t="s">
        <v>31</v>
      </c>
      <c r="E4504" s="71" t="s">
        <v>133</v>
      </c>
      <c r="F4504" s="70" t="s">
        <v>33</v>
      </c>
      <c r="G4504" s="71" t="s">
        <v>258</v>
      </c>
      <c r="J4504" s="76" t="s">
        <v>2659</v>
      </c>
      <c r="L4504" s="434">
        <v>812</v>
      </c>
      <c r="M4504" s="136">
        <f>M4503+K4504-L4504</f>
        <v>-320889.0002966664</v>
      </c>
    </row>
    <row r="4505" spans="1:13">
      <c r="A4505" s="54" t="str">
        <f t="shared" si="146"/>
        <v>CAPUBERCAP</v>
      </c>
      <c r="B4505" t="s">
        <v>2565</v>
      </c>
      <c r="C4505" s="1">
        <f t="shared" si="144"/>
        <v>45971</v>
      </c>
      <c r="D4505" s="71" t="s">
        <v>31</v>
      </c>
      <c r="E4505" s="71" t="s">
        <v>189</v>
      </c>
      <c r="F4505" s="70" t="s">
        <v>31</v>
      </c>
      <c r="J4505" s="76" t="s">
        <v>2267</v>
      </c>
      <c r="L4505" s="522">
        <v>481</v>
      </c>
      <c r="M4505" s="136">
        <f>M4504+K4505-L4505</f>
        <v>-321370.0002966664</v>
      </c>
    </row>
    <row r="4506" spans="1:13">
      <c r="A4506" s="54" t="str">
        <f t="shared" si="146"/>
        <v>CAPJMASE3</v>
      </c>
      <c r="B4506" t="s">
        <v>2565</v>
      </c>
      <c r="C4506" s="1">
        <f t="shared" si="144"/>
        <v>45971</v>
      </c>
      <c r="D4506" s="71" t="s">
        <v>31</v>
      </c>
      <c r="E4506" s="71" t="s">
        <v>137</v>
      </c>
      <c r="F4506" s="70" t="s">
        <v>109</v>
      </c>
      <c r="J4506" s="76" t="s">
        <v>2660</v>
      </c>
      <c r="L4506" s="434">
        <v>385</v>
      </c>
      <c r="M4506" s="136">
        <f>M4505+K4506-L4506</f>
        <v>-321755.0002966664</v>
      </c>
    </row>
    <row r="4507" spans="1:13">
      <c r="A4507" s="54" t="str">
        <f t="shared" si="146"/>
        <v>CAPUBERCAP</v>
      </c>
      <c r="B4507" t="s">
        <v>2565</v>
      </c>
      <c r="C4507" s="1">
        <f t="shared" si="144"/>
        <v>45971</v>
      </c>
      <c r="D4507" s="71" t="s">
        <v>31</v>
      </c>
      <c r="E4507" s="71" t="s">
        <v>189</v>
      </c>
      <c r="F4507" s="70" t="s">
        <v>31</v>
      </c>
      <c r="J4507" s="76" t="s">
        <v>2268</v>
      </c>
      <c r="L4507" s="522">
        <v>230</v>
      </c>
      <c r="M4507" s="136">
        <f>M4506+K4507-L4507</f>
        <v>-321985.0002966664</v>
      </c>
    </row>
    <row r="4508" spans="1:13">
      <c r="A4508" s="54" t="str">
        <f t="shared" si="146"/>
        <v>FINANZASRECOLECCION DE BASURACAPRICHOS</v>
      </c>
      <c r="B4508" t="s">
        <v>2565</v>
      </c>
      <c r="C4508" s="1">
        <f t="shared" si="144"/>
        <v>45971</v>
      </c>
      <c r="D4508" s="71" t="s">
        <v>23</v>
      </c>
      <c r="E4508" s="71" t="s">
        <v>166</v>
      </c>
      <c r="F4508" s="70" t="s">
        <v>33</v>
      </c>
      <c r="J4508" s="76" t="s">
        <v>2661</v>
      </c>
      <c r="L4508" s="434">
        <v>306</v>
      </c>
      <c r="M4508" s="136">
        <f>M4507+K4508-L4508</f>
        <v>-322291.0002966664</v>
      </c>
    </row>
    <row r="4509" spans="1:13">
      <c r="A4509" s="54" t="str">
        <f t="shared" si="146"/>
        <v>SERVICIOSMTTO DE EDIFICIOMANTENIMIENTO</v>
      </c>
      <c r="B4509" t="s">
        <v>2565</v>
      </c>
      <c r="C4509" s="1">
        <f t="shared" si="144"/>
        <v>45971</v>
      </c>
      <c r="D4509" s="71" t="s">
        <v>21</v>
      </c>
      <c r="E4509" s="71" t="s">
        <v>142</v>
      </c>
      <c r="F4509" s="70" t="s">
        <v>35</v>
      </c>
      <c r="J4509" s="76" t="s">
        <v>2662</v>
      </c>
      <c r="L4509" s="434">
        <v>500</v>
      </c>
      <c r="M4509" s="136">
        <f>M4508+K4509-L4509</f>
        <v>-322791.0002966664</v>
      </c>
    </row>
    <row r="4510" spans="1:13">
      <c r="A4510" s="54" t="str">
        <f t="shared" si="146"/>
        <v>CAPINSUMOSE6</v>
      </c>
      <c r="B4510" t="s">
        <v>2565</v>
      </c>
      <c r="C4510" s="1">
        <f t="shared" si="144"/>
        <v>45971</v>
      </c>
      <c r="D4510" s="71" t="s">
        <v>31</v>
      </c>
      <c r="E4510" s="71" t="s">
        <v>133</v>
      </c>
      <c r="F4510" s="70" t="s">
        <v>112</v>
      </c>
      <c r="J4510" s="76" t="s">
        <v>2663</v>
      </c>
      <c r="L4510" s="434">
        <v>800</v>
      </c>
      <c r="M4510" s="136">
        <f>M4509+K4510-L4510</f>
        <v>-323591.0002966664</v>
      </c>
    </row>
    <row r="4511" spans="1:13">
      <c r="A4511" s="54" t="str">
        <f t="shared" si="146"/>
        <v>CAPINSUMOSCAPRICHOS</v>
      </c>
      <c r="B4511" t="s">
        <v>2565</v>
      </c>
      <c r="C4511" s="1">
        <f t="shared" si="144"/>
        <v>45971</v>
      </c>
      <c r="D4511" s="71" t="s">
        <v>31</v>
      </c>
      <c r="E4511" s="71" t="s">
        <v>133</v>
      </c>
      <c r="F4511" s="70" t="s">
        <v>33</v>
      </c>
      <c r="G4511" s="71" t="s">
        <v>258</v>
      </c>
      <c r="J4511" s="76" t="s">
        <v>2525</v>
      </c>
      <c r="L4511" s="434">
        <v>253</v>
      </c>
      <c r="M4511" s="136">
        <f t="shared" ref="M4511:M4518" si="147">M4510+K4511-L4511</f>
        <v>-323844.0002966664</v>
      </c>
    </row>
    <row r="4512" spans="1:13">
      <c r="A4512" s="54" t="str">
        <f t="shared" si="146"/>
        <v/>
      </c>
      <c r="B4512" t="s">
        <v>2565</v>
      </c>
      <c r="C4512" s="1">
        <v>45972</v>
      </c>
      <c r="D4512" s="458"/>
      <c r="F4512" s="70"/>
      <c r="J4512" s="71" t="s">
        <v>2045</v>
      </c>
      <c r="K4512" s="325">
        <v>191058.51</v>
      </c>
      <c r="L4512" s="432"/>
      <c r="M4512" s="136">
        <f t="shared" si="147"/>
        <v>-132785.49029666639</v>
      </c>
    </row>
    <row r="4513" spans="1:13">
      <c r="A4513" s="54" t="str">
        <f t="shared" si="146"/>
        <v>FINANZASCOMISIONES BANCARIASTPV</v>
      </c>
      <c r="B4513" t="s">
        <v>2565</v>
      </c>
      <c r="C4513" s="1">
        <f t="shared" si="144"/>
        <v>45972</v>
      </c>
      <c r="D4513" t="s">
        <v>23</v>
      </c>
      <c r="E4513" t="s">
        <v>48</v>
      </c>
      <c r="F4513" t="s">
        <v>50</v>
      </c>
      <c r="J4513" s="71" t="s">
        <v>217</v>
      </c>
      <c r="L4513" s="433">
        <f>5.29+1114.05+575.05+841.5+3.48</f>
        <v>2539.37</v>
      </c>
      <c r="M4513" s="136">
        <f t="shared" si="147"/>
        <v>-135324.86029666639</v>
      </c>
    </row>
    <row r="4514" spans="1:13">
      <c r="A4514" s="54" t="str">
        <f t="shared" si="146"/>
        <v>FINANZASCOMISIONES BANCARIASMANEJO DE CUENTA</v>
      </c>
      <c r="B4514" t="s">
        <v>2565</v>
      </c>
      <c r="C4514" s="1">
        <f>C4513</f>
        <v>45972</v>
      </c>
      <c r="D4514" s="71" t="s">
        <v>23</v>
      </c>
      <c r="E4514" s="71" t="s">
        <v>48</v>
      </c>
      <c r="F4514" s="70" t="s">
        <v>49</v>
      </c>
      <c r="J4514" s="71" t="s">
        <v>764</v>
      </c>
      <c r="L4514" s="433">
        <f>7.54+24.64</f>
        <v>32.18</v>
      </c>
      <c r="M4514" s="136">
        <f t="shared" si="147"/>
        <v>-135357.04029666638</v>
      </c>
    </row>
    <row r="4515" spans="1:13">
      <c r="A4515" s="54" t="str">
        <f t="shared" si="146"/>
        <v/>
      </c>
      <c r="B4515" t="s">
        <v>2565</v>
      </c>
      <c r="C4515" s="1">
        <f>C4513</f>
        <v>45972</v>
      </c>
      <c r="D4515" s="71"/>
      <c r="F4515" s="70"/>
      <c r="J4515" s="205" t="s">
        <v>1562</v>
      </c>
      <c r="K4515" s="205"/>
      <c r="L4515" s="428"/>
      <c r="M4515" s="136">
        <f t="shared" si="147"/>
        <v>-135357.04029666638</v>
      </c>
    </row>
    <row r="4516" spans="1:13">
      <c r="A4516" s="54" t="str">
        <f t="shared" si="146"/>
        <v/>
      </c>
      <c r="B4516" t="s">
        <v>2565</v>
      </c>
      <c r="C4516" s="1">
        <f t="shared" si="144"/>
        <v>45972</v>
      </c>
      <c r="D4516" s="71"/>
      <c r="F4516" s="70"/>
      <c r="J4516" s="205" t="s">
        <v>318</v>
      </c>
      <c r="K4516" s="205"/>
      <c r="L4516" s="428"/>
      <c r="M4516" s="136">
        <f t="shared" si="147"/>
        <v>-135357.04029666638</v>
      </c>
    </row>
    <row r="4517" spans="1:13">
      <c r="A4517" s="54" t="str">
        <f t="shared" si="146"/>
        <v/>
      </c>
      <c r="B4517" t="s">
        <v>2565</v>
      </c>
      <c r="C4517" s="1">
        <f t="shared" si="144"/>
        <v>45972</v>
      </c>
      <c r="D4517" s="71"/>
      <c r="F4517" s="70"/>
      <c r="J4517" s="205" t="s">
        <v>222</v>
      </c>
      <c r="K4517" s="205"/>
      <c r="L4517" s="428"/>
      <c r="M4517" s="136">
        <f t="shared" si="147"/>
        <v>-135357.04029666638</v>
      </c>
    </row>
    <row r="4518" spans="1:13">
      <c r="A4518" s="54" t="str">
        <f t="shared" si="146"/>
        <v>CAPMTTO EQ DE TRANSPORTECAPRICHOS</v>
      </c>
      <c r="B4518" t="s">
        <v>2565</v>
      </c>
      <c r="C4518" s="1">
        <f t="shared" si="144"/>
        <v>45972</v>
      </c>
      <c r="D4518" s="71" t="s">
        <v>31</v>
      </c>
      <c r="E4518" s="71" t="s">
        <v>144</v>
      </c>
      <c r="F4518" s="70" t="s">
        <v>33</v>
      </c>
      <c r="G4518" s="71" t="s">
        <v>258</v>
      </c>
      <c r="J4518" s="71" t="s">
        <v>2664</v>
      </c>
      <c r="L4518" s="433">
        <v>1836</v>
      </c>
      <c r="M4518" s="136">
        <f t="shared" si="147"/>
        <v>-137193.04029666638</v>
      </c>
    </row>
    <row r="4519" spans="1:13">
      <c r="A4519" s="54" t="str">
        <f t="shared" si="146"/>
        <v>SERVICIOSMTTO EQ DE TRANSPORTECEDIS</v>
      </c>
      <c r="B4519" t="s">
        <v>2565</v>
      </c>
      <c r="C4519" s="1">
        <f t="shared" si="144"/>
        <v>45972</v>
      </c>
      <c r="D4519" s="71" t="s">
        <v>21</v>
      </c>
      <c r="E4519" s="71" t="s">
        <v>144</v>
      </c>
      <c r="F4519" s="70" t="s">
        <v>28</v>
      </c>
      <c r="G4519" s="71" t="s">
        <v>258</v>
      </c>
      <c r="J4519" s="71" t="s">
        <v>2665</v>
      </c>
      <c r="L4519" s="208">
        <v>11434.02</v>
      </c>
      <c r="M4519" s="136">
        <f t="shared" ref="M4518:M4527" si="148">M4518+K4519-L4519</f>
        <v>-148627.06029666637</v>
      </c>
    </row>
    <row r="4520" spans="1:13">
      <c r="A4520" s="54" t="str">
        <f t="shared" si="146"/>
        <v>SERVICIOSMTTO EQ DE TRANSPORTECEDIS</v>
      </c>
      <c r="B4520" t="s">
        <v>2565</v>
      </c>
      <c r="C4520" s="1">
        <f t="shared" si="144"/>
        <v>45972</v>
      </c>
      <c r="D4520" s="71" t="s">
        <v>21</v>
      </c>
      <c r="E4520" s="71" t="s">
        <v>144</v>
      </c>
      <c r="F4520" s="70" t="s">
        <v>28</v>
      </c>
      <c r="J4520" s="71" t="s">
        <v>2666</v>
      </c>
      <c r="L4520" s="208">
        <v>1000</v>
      </c>
      <c r="M4520" s="136">
        <f t="shared" si="148"/>
        <v>-149627.06029666637</v>
      </c>
    </row>
    <row r="4521" spans="1:13">
      <c r="A4521" s="54" t="str">
        <f t="shared" si="146"/>
        <v>HRFONDO Y REPOSICIONHR</v>
      </c>
      <c r="B4521" t="s">
        <v>2565</v>
      </c>
      <c r="C4521" s="1">
        <f t="shared" si="144"/>
        <v>45972</v>
      </c>
      <c r="D4521" s="71" t="s">
        <v>29</v>
      </c>
      <c r="E4521" s="71" t="s">
        <v>120</v>
      </c>
      <c r="F4521" s="70" t="s">
        <v>29</v>
      </c>
      <c r="J4521" s="71" t="s">
        <v>265</v>
      </c>
      <c r="L4521" s="433">
        <v>2761</v>
      </c>
      <c r="M4521" s="136">
        <f t="shared" si="148"/>
        <v>-152388.06029666637</v>
      </c>
    </row>
    <row r="4522" spans="1:13">
      <c r="A4522" s="54" t="str">
        <f t="shared" si="146"/>
        <v>HRFONDO Y REPOSICIONHR</v>
      </c>
      <c r="B4522" t="s">
        <v>2565</v>
      </c>
      <c r="C4522" s="1">
        <f t="shared" si="144"/>
        <v>45972</v>
      </c>
      <c r="D4522" s="71" t="s">
        <v>29</v>
      </c>
      <c r="E4522" s="71" t="s">
        <v>120</v>
      </c>
      <c r="F4522" s="70" t="s">
        <v>29</v>
      </c>
      <c r="J4522" s="71" t="s">
        <v>266</v>
      </c>
      <c r="L4522" s="433">
        <v>3500</v>
      </c>
      <c r="M4522" s="136">
        <f t="shared" si="148"/>
        <v>-155888.06029666637</v>
      </c>
    </row>
    <row r="4523" spans="1:13">
      <c r="A4523" s="54" t="str">
        <f t="shared" si="146"/>
        <v>HRFONDO Y REPOSICIONHR</v>
      </c>
      <c r="B4523" t="s">
        <v>2565</v>
      </c>
      <c r="C4523" s="1">
        <f t="shared" si="144"/>
        <v>45972</v>
      </c>
      <c r="D4523" s="71" t="s">
        <v>29</v>
      </c>
      <c r="E4523" s="71" t="s">
        <v>120</v>
      </c>
      <c r="F4523" s="70" t="s">
        <v>29</v>
      </c>
      <c r="J4523" s="71" t="s">
        <v>267</v>
      </c>
      <c r="L4523" s="433">
        <v>1500</v>
      </c>
      <c r="M4523" s="136">
        <f t="shared" si="148"/>
        <v>-157388.06029666637</v>
      </c>
    </row>
    <row r="4524" spans="1:13">
      <c r="A4524" s="54" t="str">
        <f t="shared" si="146"/>
        <v>CAPFONDO Y REPOSICIONCAPRICHOS</v>
      </c>
      <c r="B4524" t="s">
        <v>2565</v>
      </c>
      <c r="C4524" s="1">
        <f t="shared" si="144"/>
        <v>45972</v>
      </c>
      <c r="D4524" s="71" t="s">
        <v>31</v>
      </c>
      <c r="E4524" s="71" t="s">
        <v>120</v>
      </c>
      <c r="F4524" s="70" t="s">
        <v>33</v>
      </c>
      <c r="J4524" s="71" t="s">
        <v>1087</v>
      </c>
      <c r="L4524" s="433">
        <v>2293</v>
      </c>
      <c r="M4524" s="136">
        <f t="shared" si="148"/>
        <v>-159681.06029666637</v>
      </c>
    </row>
    <row r="4525" spans="1:13">
      <c r="A4525" s="54" t="str">
        <f t="shared" si="146"/>
        <v>CAPCAPACITACIONCAPACITACION</v>
      </c>
      <c r="B4525" t="s">
        <v>2565</v>
      </c>
      <c r="C4525" s="1">
        <f t="shared" si="144"/>
        <v>45972</v>
      </c>
      <c r="D4525" s="71" t="s">
        <v>31</v>
      </c>
      <c r="E4525" s="71" t="s">
        <v>30</v>
      </c>
      <c r="F4525" s="70" t="s">
        <v>30</v>
      </c>
      <c r="G4525" s="71" t="s">
        <v>258</v>
      </c>
      <c r="J4525" s="71" t="s">
        <v>2667</v>
      </c>
      <c r="L4525" s="433">
        <v>3712</v>
      </c>
      <c r="M4525" s="136">
        <f t="shared" si="148"/>
        <v>-163393.06029666637</v>
      </c>
    </row>
    <row r="4526" spans="1:13">
      <c r="A4526" s="54" t="str">
        <f t="shared" si="146"/>
        <v>FINANZASFONDO Y REPOSICIONFINANZAS</v>
      </c>
      <c r="B4526" t="s">
        <v>2565</v>
      </c>
      <c r="C4526" s="1">
        <f t="shared" si="144"/>
        <v>45972</v>
      </c>
      <c r="D4526" s="71" t="s">
        <v>23</v>
      </c>
      <c r="E4526" s="71" t="s">
        <v>120</v>
      </c>
      <c r="F4526" s="70" t="s">
        <v>23</v>
      </c>
      <c r="J4526" s="71" t="s">
        <v>818</v>
      </c>
      <c r="L4526" s="433">
        <v>50</v>
      </c>
      <c r="M4526" s="136">
        <f t="shared" si="148"/>
        <v>-163443.06029666637</v>
      </c>
    </row>
    <row r="4527" spans="1:13">
      <c r="A4527" s="54" t="str">
        <f t="shared" si="146"/>
        <v>CAPUBERCAP</v>
      </c>
      <c r="B4527" t="s">
        <v>2565</v>
      </c>
      <c r="C4527" s="1">
        <f t="shared" si="144"/>
        <v>45972</v>
      </c>
      <c r="D4527" s="71" t="s">
        <v>31</v>
      </c>
      <c r="E4527" s="71" t="s">
        <v>189</v>
      </c>
      <c r="F4527" s="70" t="s">
        <v>31</v>
      </c>
      <c r="J4527" s="76" t="s">
        <v>2344</v>
      </c>
      <c r="L4527" s="522">
        <v>200</v>
      </c>
      <c r="M4527" s="136">
        <f>M4526+K4527-L4527</f>
        <v>-163643.06029666637</v>
      </c>
    </row>
    <row r="4528" spans="1:13">
      <c r="A4528" s="54" t="str">
        <f t="shared" si="146"/>
        <v>CAPUBERCAP</v>
      </c>
      <c r="B4528" t="s">
        <v>2565</v>
      </c>
      <c r="C4528" s="1">
        <f t="shared" si="144"/>
        <v>45972</v>
      </c>
      <c r="D4528" s="71" t="s">
        <v>31</v>
      </c>
      <c r="E4528" s="71" t="s">
        <v>189</v>
      </c>
      <c r="F4528" s="70" t="s">
        <v>31</v>
      </c>
      <c r="J4528" s="76" t="s">
        <v>2278</v>
      </c>
      <c r="L4528" s="522">
        <v>100</v>
      </c>
      <c r="M4528" s="136">
        <f>M4527+K4528-L4528</f>
        <v>-163743.06029666637</v>
      </c>
    </row>
    <row r="4529" spans="1:13">
      <c r="A4529" s="54" t="str">
        <f t="shared" si="146"/>
        <v>CAPINSUMOSCAPRICHOS</v>
      </c>
      <c r="B4529" t="s">
        <v>2565</v>
      </c>
      <c r="C4529" s="1">
        <f t="shared" si="144"/>
        <v>45972</v>
      </c>
      <c r="D4529" s="71" t="s">
        <v>31</v>
      </c>
      <c r="E4529" s="71" t="s">
        <v>133</v>
      </c>
      <c r="F4529" s="70" t="s">
        <v>33</v>
      </c>
      <c r="G4529" s="71" t="s">
        <v>258</v>
      </c>
      <c r="J4529" s="76" t="s">
        <v>2668</v>
      </c>
      <c r="L4529" s="434">
        <v>157</v>
      </c>
      <c r="M4529" s="136">
        <f>M4528+K4529-L4529</f>
        <v>-163900.06029666637</v>
      </c>
    </row>
    <row r="4530" spans="1:13">
      <c r="A4530" s="54" t="str">
        <f t="shared" si="146"/>
        <v>HRUBERHR</v>
      </c>
      <c r="B4530" t="s">
        <v>2565</v>
      </c>
      <c r="C4530" s="1">
        <f t="shared" si="144"/>
        <v>45972</v>
      </c>
      <c r="D4530" s="71" t="s">
        <v>29</v>
      </c>
      <c r="E4530" s="71" t="s">
        <v>189</v>
      </c>
      <c r="F4530" s="70" t="s">
        <v>29</v>
      </c>
      <c r="J4530" s="76" t="s">
        <v>2669</v>
      </c>
      <c r="L4530" s="522">
        <v>296</v>
      </c>
      <c r="M4530" s="136">
        <f>M4529+K4530-L4530</f>
        <v>-164196.06029666637</v>
      </c>
    </row>
    <row r="4531" spans="1:13">
      <c r="A4531" s="54" t="str">
        <f t="shared" si="146"/>
        <v>HRUBERHR</v>
      </c>
      <c r="B4531" t="s">
        <v>2565</v>
      </c>
      <c r="C4531" s="1">
        <f t="shared" si="144"/>
        <v>45972</v>
      </c>
      <c r="D4531" s="71" t="s">
        <v>29</v>
      </c>
      <c r="E4531" s="71" t="s">
        <v>189</v>
      </c>
      <c r="F4531" s="70" t="s">
        <v>29</v>
      </c>
      <c r="J4531" s="76" t="s">
        <v>2608</v>
      </c>
      <c r="L4531" s="522">
        <v>440</v>
      </c>
      <c r="M4531" s="136">
        <f>M4530+K4531-L4531</f>
        <v>-164636.06029666637</v>
      </c>
    </row>
    <row r="4532" spans="1:13">
      <c r="A4532" s="54" t="str">
        <f t="shared" si="146"/>
        <v>HRINSUMOSHR</v>
      </c>
      <c r="B4532" t="s">
        <v>2565</v>
      </c>
      <c r="C4532" s="1">
        <f t="shared" si="144"/>
        <v>45972</v>
      </c>
      <c r="D4532" s="71" t="s">
        <v>29</v>
      </c>
      <c r="E4532" s="71" t="s">
        <v>133</v>
      </c>
      <c r="F4532" s="70" t="s">
        <v>29</v>
      </c>
      <c r="J4532" s="76" t="s">
        <v>2670</v>
      </c>
      <c r="L4532" s="434">
        <v>35</v>
      </c>
      <c r="M4532" s="136">
        <f>M4531+K4532-L4532</f>
        <v>-164671.06029666637</v>
      </c>
    </row>
    <row r="4533" spans="1:13">
      <c r="A4533" s="54" t="str">
        <f t="shared" si="146"/>
        <v>HRJMASA14</v>
      </c>
      <c r="B4533" t="s">
        <v>2565</v>
      </c>
      <c r="C4533" s="1">
        <f t="shared" si="144"/>
        <v>45972</v>
      </c>
      <c r="D4533" s="71" t="s">
        <v>29</v>
      </c>
      <c r="E4533" s="71" t="s">
        <v>137</v>
      </c>
      <c r="F4533" s="70" t="s">
        <v>99</v>
      </c>
      <c r="J4533" s="76" t="s">
        <v>2671</v>
      </c>
      <c r="L4533" s="434">
        <v>396</v>
      </c>
      <c r="M4533" s="136">
        <f>M4532+K4533-L4533</f>
        <v>-165067.06029666637</v>
      </c>
    </row>
    <row r="4534" spans="1:13">
      <c r="A4534" s="54" t="str">
        <f t="shared" si="146"/>
        <v>SERVICIOSMTTO DE EDIFICIOMANTENIMIENTO</v>
      </c>
      <c r="B4534" t="s">
        <v>2565</v>
      </c>
      <c r="C4534" s="1">
        <f t="shared" si="144"/>
        <v>45972</v>
      </c>
      <c r="D4534" s="71" t="s">
        <v>21</v>
      </c>
      <c r="E4534" s="71" t="s">
        <v>142</v>
      </c>
      <c r="F4534" s="70" t="s">
        <v>35</v>
      </c>
      <c r="J4534" s="76" t="s">
        <v>2672</v>
      </c>
      <c r="L4534" s="434">
        <v>1350</v>
      </c>
      <c r="M4534" s="136">
        <f>M4533+K4534-L4534</f>
        <v>-166417.06029666637</v>
      </c>
    </row>
    <row r="4535" spans="1:13">
      <c r="A4535" s="54" t="str">
        <f t="shared" si="146"/>
        <v/>
      </c>
      <c r="B4535" t="s">
        <v>2565</v>
      </c>
      <c r="C4535" s="1">
        <v>45973</v>
      </c>
      <c r="D4535" s="71"/>
      <c r="F4535" s="70"/>
      <c r="J4535" s="71" t="s">
        <v>2045</v>
      </c>
      <c r="K4535" s="325">
        <v>194879.16</v>
      </c>
      <c r="L4535" s="432"/>
      <c r="M4535" s="136">
        <f t="shared" ref="M4535:M4540" si="149">M4534+K4535-L4535</f>
        <v>28462.099703333632</v>
      </c>
    </row>
    <row r="4536" spans="1:13">
      <c r="A4536" s="54" t="str">
        <f t="shared" si="146"/>
        <v>FINANZASCOMISIONES BANCARIASTPV</v>
      </c>
      <c r="B4536" t="s">
        <v>2565</v>
      </c>
      <c r="C4536" s="1">
        <f t="shared" si="144"/>
        <v>45973</v>
      </c>
      <c r="D4536" t="s">
        <v>23</v>
      </c>
      <c r="E4536" t="s">
        <v>48</v>
      </c>
      <c r="F4536" t="s">
        <v>50</v>
      </c>
      <c r="J4536" s="71" t="s">
        <v>217</v>
      </c>
      <c r="L4536" s="433">
        <f>9.99+560.1+1118.75+885.58+1953.37+410.51+3.48</f>
        <v>4941.78</v>
      </c>
      <c r="M4536" s="136">
        <f t="shared" si="149"/>
        <v>23520.319703333633</v>
      </c>
    </row>
    <row r="4537" spans="1:13">
      <c r="A4537" s="54" t="str">
        <f t="shared" si="146"/>
        <v>FINANZASCOMISIONES BANCARIASMANEJO DE CUENTA</v>
      </c>
      <c r="B4537" t="s">
        <v>2565</v>
      </c>
      <c r="C4537" s="1">
        <f t="shared" si="144"/>
        <v>45973</v>
      </c>
      <c r="D4537" t="s">
        <v>23</v>
      </c>
      <c r="E4537" t="s">
        <v>48</v>
      </c>
      <c r="F4537" t="s">
        <v>49</v>
      </c>
      <c r="G4537" s="71" t="s">
        <v>258</v>
      </c>
      <c r="J4537" s="71" t="s">
        <v>764</v>
      </c>
      <c r="L4537" s="433">
        <f>294.64+395.56</f>
        <v>690.2</v>
      </c>
      <c r="M4537" s="136">
        <f t="shared" si="149"/>
        <v>22830.119703333632</v>
      </c>
    </row>
    <row r="4538" spans="1:13">
      <c r="A4538" s="54" t="str">
        <f t="shared" si="146"/>
        <v/>
      </c>
      <c r="B4538" t="s">
        <v>2565</v>
      </c>
      <c r="C4538" s="1">
        <f>C4536</f>
        <v>45973</v>
      </c>
      <c r="D4538" s="71"/>
      <c r="F4538" s="70"/>
      <c r="J4538" s="205" t="s">
        <v>1562</v>
      </c>
      <c r="K4538" s="205"/>
      <c r="L4538" s="428">
        <v>100000</v>
      </c>
      <c r="M4538" s="136">
        <f t="shared" si="149"/>
        <v>-77169.880296666364</v>
      </c>
    </row>
    <row r="4539" spans="1:13">
      <c r="A4539" s="54" t="str">
        <f t="shared" si="146"/>
        <v/>
      </c>
      <c r="B4539" t="s">
        <v>2565</v>
      </c>
      <c r="C4539" s="1">
        <f t="shared" si="144"/>
        <v>45973</v>
      </c>
      <c r="D4539" s="71"/>
      <c r="F4539" s="70"/>
      <c r="J4539" s="205" t="s">
        <v>222</v>
      </c>
      <c r="K4539" s="205"/>
      <c r="L4539" s="428">
        <v>50000</v>
      </c>
      <c r="M4539" s="136">
        <f t="shared" si="149"/>
        <v>-127169.88029666636</v>
      </c>
    </row>
    <row r="4540" spans="1:13">
      <c r="A4540" s="54" t="str">
        <f t="shared" si="146"/>
        <v>MKTFONDO Y REPOSICIONMKT</v>
      </c>
      <c r="B4540" t="s">
        <v>2565</v>
      </c>
      <c r="C4540" s="1">
        <f t="shared" si="144"/>
        <v>45973</v>
      </c>
      <c r="D4540" s="71" t="s">
        <v>19</v>
      </c>
      <c r="E4540" s="71" t="s">
        <v>120</v>
      </c>
      <c r="F4540" s="70" t="s">
        <v>19</v>
      </c>
      <c r="G4540" s="71" t="s">
        <v>258</v>
      </c>
      <c r="J4540" s="71" t="s">
        <v>2673</v>
      </c>
      <c r="L4540" s="433">
        <v>820</v>
      </c>
      <c r="M4540" s="136">
        <f t="shared" si="149"/>
        <v>-127989.88029666636</v>
      </c>
    </row>
    <row r="4541" spans="1:13">
      <c r="A4541" s="54" t="str">
        <f t="shared" si="146"/>
        <v>MKTACTIVACION MKT</v>
      </c>
      <c r="B4541" t="s">
        <v>2565</v>
      </c>
      <c r="C4541" s="1">
        <f t="shared" si="144"/>
        <v>45973</v>
      </c>
      <c r="D4541" t="s">
        <v>19</v>
      </c>
      <c r="E4541" t="s">
        <v>20</v>
      </c>
      <c r="F4541" t="s">
        <v>19</v>
      </c>
      <c r="J4541" s="71" t="s">
        <v>2674</v>
      </c>
      <c r="L4541" s="433">
        <v>1150</v>
      </c>
      <c r="M4541" s="136">
        <f t="shared" ref="M4541:M4608" si="150">M4540+K4541-L4541</f>
        <v>-129139.88029666636</v>
      </c>
    </row>
    <row r="4542" spans="1:13">
      <c r="A4542" s="54" t="str">
        <f t="shared" si="146"/>
        <v>MKTCOMBUSTIBLEMKT</v>
      </c>
      <c r="B4542" t="s">
        <v>2565</v>
      </c>
      <c r="C4542" s="1">
        <f t="shared" si="144"/>
        <v>45973</v>
      </c>
      <c r="D4542" s="71" t="s">
        <v>19</v>
      </c>
      <c r="E4542" s="71" t="s">
        <v>32</v>
      </c>
      <c r="F4542" s="70" t="s">
        <v>19</v>
      </c>
      <c r="G4542" s="71" t="s">
        <v>258</v>
      </c>
      <c r="J4542" s="71" t="s">
        <v>2073</v>
      </c>
      <c r="L4542" s="433">
        <v>200</v>
      </c>
      <c r="M4542" s="136">
        <f t="shared" si="150"/>
        <v>-129339.88029666636</v>
      </c>
    </row>
    <row r="4543" spans="1:13">
      <c r="A4543" s="54" t="str">
        <f t="shared" si="146"/>
        <v>SERVICIOSVIATICOSCEDIS</v>
      </c>
      <c r="B4543" t="s">
        <v>2565</v>
      </c>
      <c r="C4543" s="1">
        <f t="shared" si="144"/>
        <v>45973</v>
      </c>
      <c r="D4543" s="71" t="s">
        <v>21</v>
      </c>
      <c r="E4543" s="71" t="s">
        <v>191</v>
      </c>
      <c r="F4543" s="70" t="s">
        <v>28</v>
      </c>
      <c r="G4543" s="71" t="s">
        <v>258</v>
      </c>
      <c r="J4543" s="71" t="s">
        <v>2675</v>
      </c>
      <c r="L4543" s="433">
        <v>1100</v>
      </c>
      <c r="M4543" s="136">
        <f t="shared" si="150"/>
        <v>-130439.88029666636</v>
      </c>
    </row>
    <row r="4544" spans="1:13">
      <c r="A4544" s="54" t="str">
        <f t="shared" si="146"/>
        <v>DEDONATIVOSDONATIVOS</v>
      </c>
      <c r="B4544" t="s">
        <v>2565</v>
      </c>
      <c r="C4544" s="1">
        <f t="shared" si="144"/>
        <v>45973</v>
      </c>
      <c r="D4544" s="71" t="s">
        <v>41</v>
      </c>
      <c r="E4544" s="71" t="s">
        <v>86</v>
      </c>
      <c r="F4544" s="70" t="s">
        <v>86</v>
      </c>
      <c r="G4544" s="71" t="s">
        <v>258</v>
      </c>
      <c r="J4544" s="71" t="s">
        <v>2676</v>
      </c>
      <c r="L4544" s="433">
        <v>6000</v>
      </c>
      <c r="M4544" s="136">
        <f t="shared" si="150"/>
        <v>-136439.88029666635</v>
      </c>
    </row>
    <row r="4545" spans="1:13">
      <c r="A4545" s="54" t="str">
        <f t="shared" si="146"/>
        <v>SERVICIOSVIATICOSSISTEMAS</v>
      </c>
      <c r="B4545" t="s">
        <v>2565</v>
      </c>
      <c r="C4545" s="1">
        <f t="shared" si="144"/>
        <v>45973</v>
      </c>
      <c r="D4545" s="71" t="s">
        <v>21</v>
      </c>
      <c r="E4545" s="71" t="s">
        <v>191</v>
      </c>
      <c r="F4545" s="70" t="s">
        <v>36</v>
      </c>
      <c r="G4545" s="71" t="s">
        <v>258</v>
      </c>
      <c r="J4545" s="71" t="s">
        <v>470</v>
      </c>
      <c r="L4545" s="433">
        <v>2800</v>
      </c>
      <c r="M4545" s="136">
        <f t="shared" si="150"/>
        <v>-139239.88029666635</v>
      </c>
    </row>
    <row r="4546" spans="1:13">
      <c r="A4546" s="54" t="str">
        <f t="shared" si="146"/>
        <v>SERVICIOSGASCEDIS</v>
      </c>
      <c r="B4546" t="s">
        <v>2565</v>
      </c>
      <c r="C4546" s="1">
        <f t="shared" si="144"/>
        <v>45973</v>
      </c>
      <c r="D4546" s="71" t="s">
        <v>21</v>
      </c>
      <c r="E4546" s="71" t="s">
        <v>122</v>
      </c>
      <c r="F4546" s="70" t="s">
        <v>28</v>
      </c>
      <c r="J4546" s="71" t="s">
        <v>2677</v>
      </c>
      <c r="L4546" s="433">
        <v>303</v>
      </c>
      <c r="M4546" s="136">
        <f t="shared" si="150"/>
        <v>-139542.88029666635</v>
      </c>
    </row>
    <row r="4547" spans="1:13">
      <c r="A4547" s="54" t="str">
        <f t="shared" si="146"/>
        <v>SERVICIOSINSUMOSCOFFE</v>
      </c>
      <c r="B4547" t="s">
        <v>2565</v>
      </c>
      <c r="C4547" s="1">
        <f t="shared" si="144"/>
        <v>45973</v>
      </c>
      <c r="D4547" s="71" t="s">
        <v>21</v>
      </c>
      <c r="E4547" s="71" t="s">
        <v>133</v>
      </c>
      <c r="F4547" s="70" t="s">
        <v>135</v>
      </c>
      <c r="J4547" s="71" t="s">
        <v>2678</v>
      </c>
      <c r="L4547" s="433">
        <v>500</v>
      </c>
      <c r="M4547" s="136">
        <f t="shared" si="150"/>
        <v>-140042.88029666635</v>
      </c>
    </row>
    <row r="4548" spans="1:13">
      <c r="A4548" s="54" t="str">
        <f t="shared" si="146"/>
        <v>MKTVIATICOSMKT</v>
      </c>
      <c r="B4548" t="s">
        <v>2565</v>
      </c>
      <c r="C4548" s="1">
        <f t="shared" si="144"/>
        <v>45973</v>
      </c>
      <c r="D4548" s="71" t="s">
        <v>19</v>
      </c>
      <c r="E4548" s="71" t="s">
        <v>191</v>
      </c>
      <c r="F4548" s="70" t="s">
        <v>19</v>
      </c>
      <c r="G4548" s="71" t="s">
        <v>258</v>
      </c>
      <c r="J4548" s="71" t="s">
        <v>1951</v>
      </c>
      <c r="L4548" s="433">
        <v>250</v>
      </c>
      <c r="M4548" s="136">
        <f t="shared" si="150"/>
        <v>-140292.88029666635</v>
      </c>
    </row>
    <row r="4549" spans="1:13">
      <c r="A4549" s="54" t="str">
        <f t="shared" si="146"/>
        <v>CAPUBERCAP</v>
      </c>
      <c r="B4549" t="s">
        <v>2565</v>
      </c>
      <c r="C4549" s="1">
        <f t="shared" si="144"/>
        <v>45973</v>
      </c>
      <c r="D4549" s="71" t="s">
        <v>31</v>
      </c>
      <c r="E4549" s="71" t="s">
        <v>189</v>
      </c>
      <c r="F4549" s="70" t="s">
        <v>31</v>
      </c>
      <c r="J4549" s="71" t="s">
        <v>2267</v>
      </c>
      <c r="L4549" s="523">
        <v>119</v>
      </c>
      <c r="M4549" s="136">
        <f t="shared" si="150"/>
        <v>-140411.88029666635</v>
      </c>
    </row>
    <row r="4550" spans="1:13">
      <c r="A4550" s="54" t="str">
        <f t="shared" si="146"/>
        <v>CAPUBERCAP</v>
      </c>
      <c r="B4550" t="s">
        <v>2565</v>
      </c>
      <c r="C4550" s="1">
        <f t="shared" si="144"/>
        <v>45973</v>
      </c>
      <c r="D4550" s="71" t="s">
        <v>31</v>
      </c>
      <c r="E4550" s="71" t="s">
        <v>189</v>
      </c>
      <c r="F4550" s="70" t="s">
        <v>31</v>
      </c>
      <c r="J4550" s="71" t="s">
        <v>2268</v>
      </c>
      <c r="L4550" s="523">
        <v>60</v>
      </c>
      <c r="M4550" s="136">
        <f t="shared" si="150"/>
        <v>-140471.88029666635</v>
      </c>
    </row>
    <row r="4551" spans="1:13">
      <c r="A4551" s="54" t="str">
        <f t="shared" si="146"/>
        <v>CAPFONDO Y REPOSICIONCAPRICHOS</v>
      </c>
      <c r="B4551" t="s">
        <v>2565</v>
      </c>
      <c r="C4551" s="1">
        <f t="shared" si="144"/>
        <v>45973</v>
      </c>
      <c r="D4551" s="71" t="s">
        <v>31</v>
      </c>
      <c r="E4551" s="71" t="s">
        <v>120</v>
      </c>
      <c r="F4551" s="70" t="s">
        <v>33</v>
      </c>
      <c r="J4551" s="71" t="s">
        <v>2679</v>
      </c>
      <c r="L4551" s="433">
        <v>100</v>
      </c>
      <c r="M4551" s="136">
        <f t="shared" si="150"/>
        <v>-140571.88029666635</v>
      </c>
    </row>
    <row r="4552" spans="1:13">
      <c r="A4552" s="54" t="str">
        <f t="shared" si="146"/>
        <v>CAPINSUMOSCAPRICHOS</v>
      </c>
      <c r="B4552" t="s">
        <v>2565</v>
      </c>
      <c r="C4552" s="1">
        <f t="shared" si="144"/>
        <v>45973</v>
      </c>
      <c r="D4552" s="71" t="s">
        <v>31</v>
      </c>
      <c r="E4552" s="71" t="s">
        <v>133</v>
      </c>
      <c r="F4552" s="70" t="s">
        <v>33</v>
      </c>
      <c r="G4552" s="71" t="s">
        <v>258</v>
      </c>
      <c r="J4552" s="71" t="s">
        <v>2390</v>
      </c>
      <c r="L4552" s="433">
        <v>48</v>
      </c>
      <c r="M4552" s="136">
        <f t="shared" si="150"/>
        <v>-140619.88029666635</v>
      </c>
    </row>
    <row r="4553" spans="1:13">
      <c r="A4553" s="54" t="str">
        <f t="shared" si="146"/>
        <v>HRJMASA4</v>
      </c>
      <c r="B4553" t="s">
        <v>2565</v>
      </c>
      <c r="C4553" s="1">
        <f t="shared" si="144"/>
        <v>45973</v>
      </c>
      <c r="D4553" s="71" t="s">
        <v>29</v>
      </c>
      <c r="E4553" s="71" t="s">
        <v>137</v>
      </c>
      <c r="F4553" s="70" t="s">
        <v>91</v>
      </c>
      <c r="J4553" s="71" t="s">
        <v>2680</v>
      </c>
      <c r="L4553" s="433">
        <v>597</v>
      </c>
      <c r="M4553" s="136">
        <f t="shared" si="150"/>
        <v>-141216.88029666635</v>
      </c>
    </row>
    <row r="4554" spans="1:13">
      <c r="A4554" s="54" t="str">
        <f t="shared" si="146"/>
        <v>HRUBERHR</v>
      </c>
      <c r="B4554" t="s">
        <v>2565</v>
      </c>
      <c r="C4554" s="1">
        <f t="shared" si="144"/>
        <v>45973</v>
      </c>
      <c r="D4554" s="71" t="s">
        <v>29</v>
      </c>
      <c r="E4554" s="71" t="s">
        <v>189</v>
      </c>
      <c r="F4554" s="70" t="s">
        <v>29</v>
      </c>
      <c r="J4554" s="71" t="s">
        <v>2681</v>
      </c>
      <c r="L4554" s="523">
        <v>30</v>
      </c>
      <c r="M4554" s="136">
        <f t="shared" si="150"/>
        <v>-141246.88029666635</v>
      </c>
    </row>
    <row r="4555" spans="1:13">
      <c r="A4555" s="54" t="str">
        <f t="shared" si="146"/>
        <v>HRUBERHR</v>
      </c>
      <c r="B4555" t="s">
        <v>2565</v>
      </c>
      <c r="C4555" s="1">
        <f t="shared" si="144"/>
        <v>45973</v>
      </c>
      <c r="D4555" s="71" t="s">
        <v>29</v>
      </c>
      <c r="E4555" s="71" t="s">
        <v>189</v>
      </c>
      <c r="F4555" s="70" t="s">
        <v>29</v>
      </c>
      <c r="J4555" s="71" t="s">
        <v>2293</v>
      </c>
      <c r="L4555" s="523">
        <v>201</v>
      </c>
      <c r="M4555" s="136">
        <f t="shared" si="150"/>
        <v>-141447.88029666635</v>
      </c>
    </row>
    <row r="4556" spans="1:13">
      <c r="A4556" s="54" t="str">
        <f t="shared" si="146"/>
        <v>SERVICIOSMTTO DE EDIFICIOMANTENIMIENTO</v>
      </c>
      <c r="B4556" t="s">
        <v>2565</v>
      </c>
      <c r="C4556" s="1">
        <f t="shared" si="144"/>
        <v>45973</v>
      </c>
      <c r="D4556" s="71" t="s">
        <v>21</v>
      </c>
      <c r="E4556" s="71" t="s">
        <v>142</v>
      </c>
      <c r="F4556" s="70" t="s">
        <v>35</v>
      </c>
      <c r="J4556" s="71" t="s">
        <v>2682</v>
      </c>
      <c r="L4556" s="433">
        <v>1500</v>
      </c>
      <c r="M4556" s="136">
        <f t="shared" si="150"/>
        <v>-142947.88029666635</v>
      </c>
    </row>
    <row r="4557" spans="1:13">
      <c r="A4557" s="54" t="str">
        <f t="shared" si="146"/>
        <v>HRJMASA23</v>
      </c>
      <c r="B4557" t="s">
        <v>2565</v>
      </c>
      <c r="C4557" s="1">
        <f t="shared" si="144"/>
        <v>45973</v>
      </c>
      <c r="D4557" s="71" t="s">
        <v>29</v>
      </c>
      <c r="E4557" s="71" t="s">
        <v>137</v>
      </c>
      <c r="F4557" s="70" t="s">
        <v>105</v>
      </c>
      <c r="J4557" s="71" t="s">
        <v>2683</v>
      </c>
      <c r="L4557" s="433">
        <v>1017</v>
      </c>
      <c r="M4557" s="136">
        <f t="shared" si="150"/>
        <v>-143964.88029666635</v>
      </c>
    </row>
    <row r="4558" spans="1:13">
      <c r="A4558" s="54" t="str">
        <f t="shared" si="146"/>
        <v>HRNOMINA SUCURSALHR</v>
      </c>
      <c r="B4558" t="s">
        <v>2565</v>
      </c>
      <c r="C4558" s="1">
        <f t="shared" si="144"/>
        <v>45973</v>
      </c>
      <c r="D4558" s="71" t="s">
        <v>29</v>
      </c>
      <c r="E4558" s="71" t="s">
        <v>154</v>
      </c>
      <c r="F4558" s="70" t="s">
        <v>29</v>
      </c>
      <c r="J4558" s="71" t="s">
        <v>2684</v>
      </c>
      <c r="L4558" s="433">
        <v>405</v>
      </c>
      <c r="M4558" s="136">
        <f t="shared" si="150"/>
        <v>-144369.88029666635</v>
      </c>
    </row>
    <row r="4559" spans="1:13">
      <c r="A4559" s="54" t="str">
        <f t="shared" si="146"/>
        <v/>
      </c>
      <c r="B4559" t="s">
        <v>2565</v>
      </c>
      <c r="C4559" s="1">
        <v>45974</v>
      </c>
      <c r="D4559" s="71"/>
      <c r="F4559" s="70"/>
      <c r="J4559" s="71" t="s">
        <v>2045</v>
      </c>
      <c r="K4559" s="325">
        <v>204929.16</v>
      </c>
      <c r="L4559" s="432"/>
      <c r="M4559" s="136">
        <f t="shared" si="150"/>
        <v>60559.279703333654</v>
      </c>
    </row>
    <row r="4560" spans="1:13" ht="18.75" customHeight="1">
      <c r="A4560" s="54" t="str">
        <f t="shared" si="146"/>
        <v>FINANZASCOMISIONES BANCARIASTPV</v>
      </c>
      <c r="B4560" t="s">
        <v>2565</v>
      </c>
      <c r="C4560" s="1">
        <f t="shared" ref="C4560:C4625" si="151">C4559</f>
        <v>45974</v>
      </c>
      <c r="D4560" t="s">
        <v>23</v>
      </c>
      <c r="E4560" t="s">
        <v>48</v>
      </c>
      <c r="F4560" t="s">
        <v>50</v>
      </c>
      <c r="J4560" s="71" t="s">
        <v>217</v>
      </c>
      <c r="L4560" s="438">
        <f>40.98+1103.76+528.3+1088+410.51+1953.37+3.48</f>
        <v>5128.3999999999996</v>
      </c>
      <c r="M4560" s="136">
        <f t="shared" si="150"/>
        <v>55430.879703333652</v>
      </c>
    </row>
    <row r="4561" spans="1:13">
      <c r="A4561" s="54" t="str">
        <f t="shared" si="146"/>
        <v/>
      </c>
      <c r="B4561" t="s">
        <v>2565</v>
      </c>
      <c r="C4561" s="1">
        <f t="shared" si="151"/>
        <v>45974</v>
      </c>
      <c r="D4561" s="71"/>
      <c r="F4561" s="70"/>
      <c r="J4561" s="205" t="s">
        <v>1562</v>
      </c>
      <c r="K4561" s="205"/>
      <c r="L4561" s="428">
        <v>190000</v>
      </c>
      <c r="M4561" s="136">
        <f t="shared" si="150"/>
        <v>-134569.12029666634</v>
      </c>
    </row>
    <row r="4562" spans="1:13">
      <c r="A4562" s="54" t="str">
        <f t="shared" si="146"/>
        <v/>
      </c>
      <c r="B4562" t="s">
        <v>2565</v>
      </c>
      <c r="C4562" s="1">
        <f t="shared" si="151"/>
        <v>45974</v>
      </c>
      <c r="D4562" s="71"/>
      <c r="F4562" s="70"/>
      <c r="J4562" s="205" t="s">
        <v>222</v>
      </c>
      <c r="K4562" s="205"/>
      <c r="L4562" s="428"/>
      <c r="M4562" s="136">
        <f t="shared" si="150"/>
        <v>-134569.12029666634</v>
      </c>
    </row>
    <row r="4563" spans="1:13">
      <c r="A4563" s="54" t="str">
        <f t="shared" si="146"/>
        <v>SERVICIOSMTTO EQ DE TRANSPORTESERVICIOS</v>
      </c>
      <c r="B4563" t="s">
        <v>2565</v>
      </c>
      <c r="C4563" s="1">
        <f t="shared" si="151"/>
        <v>45974</v>
      </c>
      <c r="D4563" s="71" t="s">
        <v>21</v>
      </c>
      <c r="E4563" s="71" t="s">
        <v>144</v>
      </c>
      <c r="F4563" s="70" t="s">
        <v>21</v>
      </c>
      <c r="J4563" s="71" t="s">
        <v>2685</v>
      </c>
      <c r="K4563" s="332"/>
      <c r="L4563" s="433">
        <v>4002</v>
      </c>
      <c r="M4563" s="136">
        <f t="shared" si="150"/>
        <v>-138571.12029666634</v>
      </c>
    </row>
    <row r="4564" spans="1:13">
      <c r="A4564" s="54" t="str">
        <f t="shared" si="146"/>
        <v>SERVICIOSGASCEDIS</v>
      </c>
      <c r="B4564" t="s">
        <v>2565</v>
      </c>
      <c r="C4564" s="1">
        <f t="shared" si="151"/>
        <v>45974</v>
      </c>
      <c r="D4564" s="71" t="s">
        <v>21</v>
      </c>
      <c r="E4564" s="71" t="s">
        <v>122</v>
      </c>
      <c r="F4564" s="70" t="s">
        <v>28</v>
      </c>
      <c r="J4564" s="71" t="s">
        <v>2686</v>
      </c>
      <c r="K4564" s="332"/>
      <c r="L4564" s="433">
        <v>300</v>
      </c>
      <c r="M4564" s="136">
        <f t="shared" si="150"/>
        <v>-138871.12029666634</v>
      </c>
    </row>
    <row r="4565" spans="1:13">
      <c r="A4565" s="54" t="str">
        <f t="shared" si="146"/>
        <v>CAPJMASE8</v>
      </c>
      <c r="B4565" t="s">
        <v>2565</v>
      </c>
      <c r="C4565" s="1">
        <f t="shared" si="151"/>
        <v>45974</v>
      </c>
      <c r="D4565" s="71" t="s">
        <v>31</v>
      </c>
      <c r="E4565" s="71" t="s">
        <v>137</v>
      </c>
      <c r="F4565" s="70" t="s">
        <v>114</v>
      </c>
      <c r="J4565" s="71" t="s">
        <v>2013</v>
      </c>
      <c r="K4565" s="332"/>
      <c r="L4565" s="433">
        <v>1509.07</v>
      </c>
      <c r="M4565" s="136">
        <f t="shared" si="150"/>
        <v>-140380.19029666635</v>
      </c>
    </row>
    <row r="4566" spans="1:13">
      <c r="A4566" s="54" t="str">
        <f t="shared" ref="A4566:A4629" si="152">D4566&amp;E4566&amp;F4566</f>
        <v>CAPUBERCAP</v>
      </c>
      <c r="B4566" t="s">
        <v>2565</v>
      </c>
      <c r="C4566" s="1">
        <f>C4564</f>
        <v>45974</v>
      </c>
      <c r="D4566" s="71" t="s">
        <v>31</v>
      </c>
      <c r="E4566" s="71" t="s">
        <v>189</v>
      </c>
      <c r="F4566" s="70" t="s">
        <v>31</v>
      </c>
      <c r="J4566" s="76" t="s">
        <v>2267</v>
      </c>
      <c r="K4566" s="332"/>
      <c r="L4566" s="532">
        <v>120</v>
      </c>
      <c r="M4566" s="136">
        <f t="shared" si="150"/>
        <v>-140500.19029666635</v>
      </c>
    </row>
    <row r="4567" spans="1:13">
      <c r="A4567" s="54" t="str">
        <f t="shared" si="152"/>
        <v>CAPUBERCAP</v>
      </c>
      <c r="B4567" t="s">
        <v>2565</v>
      </c>
      <c r="C4567" s="1">
        <f t="shared" si="151"/>
        <v>45974</v>
      </c>
      <c r="D4567" s="71" t="s">
        <v>31</v>
      </c>
      <c r="E4567" s="71" t="s">
        <v>189</v>
      </c>
      <c r="F4567" s="70" t="s">
        <v>31</v>
      </c>
      <c r="J4567" s="76" t="s">
        <v>2375</v>
      </c>
      <c r="K4567" s="332"/>
      <c r="L4567" s="532">
        <v>63</v>
      </c>
      <c r="M4567" s="136">
        <f t="shared" si="150"/>
        <v>-140563.19029666635</v>
      </c>
    </row>
    <row r="4568" spans="1:13">
      <c r="A4568" s="54" t="str">
        <f t="shared" si="152"/>
        <v>CAPUBERCAP</v>
      </c>
      <c r="B4568" t="s">
        <v>2565</v>
      </c>
      <c r="C4568" s="1">
        <f t="shared" si="151"/>
        <v>45974</v>
      </c>
      <c r="D4568" s="71" t="s">
        <v>31</v>
      </c>
      <c r="E4568" s="71" t="s">
        <v>189</v>
      </c>
      <c r="F4568" s="70" t="s">
        <v>31</v>
      </c>
      <c r="J4568" s="76" t="s">
        <v>2335</v>
      </c>
      <c r="L4568" s="522">
        <v>114</v>
      </c>
      <c r="M4568" s="136">
        <f t="shared" si="150"/>
        <v>-140677.19029666635</v>
      </c>
    </row>
    <row r="4569" spans="1:13">
      <c r="A4569" s="54" t="str">
        <f t="shared" si="152"/>
        <v>HRUBERHR</v>
      </c>
      <c r="B4569" t="s">
        <v>2565</v>
      </c>
      <c r="C4569" s="1">
        <f t="shared" si="151"/>
        <v>45974</v>
      </c>
      <c r="D4569" s="71" t="s">
        <v>29</v>
      </c>
      <c r="E4569" s="71" t="s">
        <v>189</v>
      </c>
      <c r="F4569" s="70" t="s">
        <v>29</v>
      </c>
      <c r="J4569" s="76" t="s">
        <v>2657</v>
      </c>
      <c r="L4569" s="522">
        <v>100</v>
      </c>
      <c r="M4569" s="136">
        <f t="shared" si="150"/>
        <v>-140777.19029666635</v>
      </c>
    </row>
    <row r="4570" spans="1:13">
      <c r="A4570" s="54" t="str">
        <f t="shared" si="152"/>
        <v>HRINSUMOSHR</v>
      </c>
      <c r="B4570" t="s">
        <v>2565</v>
      </c>
      <c r="C4570" s="1">
        <f t="shared" si="151"/>
        <v>45974</v>
      </c>
      <c r="D4570" s="71" t="s">
        <v>29</v>
      </c>
      <c r="E4570" s="71" t="s">
        <v>133</v>
      </c>
      <c r="F4570" s="70" t="s">
        <v>29</v>
      </c>
      <c r="J4570" s="76" t="s">
        <v>2656</v>
      </c>
      <c r="L4570" s="434">
        <v>200</v>
      </c>
      <c r="M4570" s="136">
        <f t="shared" si="150"/>
        <v>-140977.19029666635</v>
      </c>
    </row>
    <row r="4571" spans="1:13">
      <c r="A4571" s="54" t="str">
        <f t="shared" si="152"/>
        <v>HRUBERHR</v>
      </c>
      <c r="B4571" t="s">
        <v>2565</v>
      </c>
      <c r="C4571" s="1">
        <f t="shared" si="151"/>
        <v>45974</v>
      </c>
      <c r="D4571" s="71" t="s">
        <v>29</v>
      </c>
      <c r="E4571" s="71" t="s">
        <v>189</v>
      </c>
      <c r="F4571" s="70" t="s">
        <v>29</v>
      </c>
      <c r="J4571" s="76" t="s">
        <v>2687</v>
      </c>
      <c r="L4571" s="522">
        <v>450</v>
      </c>
      <c r="M4571" s="136">
        <f t="shared" si="150"/>
        <v>-141427.19029666635</v>
      </c>
    </row>
    <row r="4572" spans="1:13">
      <c r="A4572" s="54" t="str">
        <f t="shared" si="152"/>
        <v>HRUBERHR</v>
      </c>
      <c r="B4572" t="s">
        <v>2565</v>
      </c>
      <c r="C4572" s="1">
        <f t="shared" si="151"/>
        <v>45974</v>
      </c>
      <c r="D4572" s="71" t="s">
        <v>29</v>
      </c>
      <c r="E4572" s="71" t="s">
        <v>189</v>
      </c>
      <c r="F4572" s="70" t="s">
        <v>29</v>
      </c>
      <c r="J4572" s="76" t="s">
        <v>2454</v>
      </c>
      <c r="L4572" s="522">
        <v>88</v>
      </c>
      <c r="M4572" s="136">
        <f t="shared" si="150"/>
        <v>-141515.19029666635</v>
      </c>
    </row>
    <row r="4573" spans="1:13">
      <c r="A4573" s="54" t="str">
        <f t="shared" si="152"/>
        <v>HRUBERHR</v>
      </c>
      <c r="B4573" t="s">
        <v>2565</v>
      </c>
      <c r="C4573" s="1">
        <f t="shared" si="151"/>
        <v>45974</v>
      </c>
      <c r="D4573" s="71" t="s">
        <v>29</v>
      </c>
      <c r="E4573" s="71" t="s">
        <v>189</v>
      </c>
      <c r="F4573" s="70" t="s">
        <v>29</v>
      </c>
      <c r="J4573" s="76" t="s">
        <v>2435</v>
      </c>
      <c r="L4573" s="522">
        <v>300</v>
      </c>
      <c r="M4573" s="136">
        <f t="shared" si="150"/>
        <v>-141815.19029666635</v>
      </c>
    </row>
    <row r="4574" spans="1:13">
      <c r="A4574" s="54" t="str">
        <f t="shared" si="152"/>
        <v/>
      </c>
      <c r="B4574" t="s">
        <v>2565</v>
      </c>
      <c r="C4574" s="1">
        <v>45975</v>
      </c>
      <c r="D4574" s="71"/>
      <c r="F4574" s="70"/>
      <c r="J4574" s="71" t="s">
        <v>2045</v>
      </c>
      <c r="K4574" s="325">
        <v>256270.43</v>
      </c>
      <c r="L4574" s="432"/>
      <c r="M4574" s="136">
        <f t="shared" si="150"/>
        <v>114455.23970333365</v>
      </c>
    </row>
    <row r="4575" spans="1:13">
      <c r="A4575" s="54" t="str">
        <f t="shared" si="152"/>
        <v>FINANZASCOMISIONES BANCARIASTPV</v>
      </c>
      <c r="B4575" t="s">
        <v>2565</v>
      </c>
      <c r="C4575" s="1">
        <f t="shared" si="151"/>
        <v>45975</v>
      </c>
      <c r="D4575" t="s">
        <v>23</v>
      </c>
      <c r="E4575" t="s">
        <v>48</v>
      </c>
      <c r="F4575" t="s">
        <v>50</v>
      </c>
      <c r="J4575" s="71" t="s">
        <v>217</v>
      </c>
      <c r="L4575" s="433">
        <f>5.8+5.8+56.31+1460.78+675.98+1748.33+5.8+20.88</f>
        <v>3979.6800000000003</v>
      </c>
      <c r="M4575" s="136">
        <f t="shared" si="150"/>
        <v>110475.55970333365</v>
      </c>
    </row>
    <row r="4576" spans="1:13">
      <c r="A4576" s="54" t="str">
        <f t="shared" si="152"/>
        <v/>
      </c>
      <c r="B4576" t="s">
        <v>2565</v>
      </c>
      <c r="C4576" s="1">
        <f t="shared" si="151"/>
        <v>45975</v>
      </c>
      <c r="D4576" s="71"/>
      <c r="F4576" s="70"/>
      <c r="J4576" s="205" t="s">
        <v>1562</v>
      </c>
      <c r="K4576" s="205"/>
      <c r="L4576" s="428">
        <v>150000</v>
      </c>
      <c r="M4576" s="136">
        <f t="shared" si="150"/>
        <v>-39524.440296666347</v>
      </c>
    </row>
    <row r="4577" spans="1:13">
      <c r="A4577" s="54" t="str">
        <f t="shared" si="152"/>
        <v/>
      </c>
      <c r="B4577" t="s">
        <v>2565</v>
      </c>
      <c r="C4577" s="1">
        <f t="shared" si="151"/>
        <v>45975</v>
      </c>
      <c r="D4577" s="71"/>
      <c r="F4577" s="70"/>
      <c r="J4577" s="205" t="s">
        <v>222</v>
      </c>
      <c r="K4577" s="205"/>
      <c r="L4577" s="428"/>
      <c r="M4577" s="136">
        <f t="shared" si="150"/>
        <v>-39524.440296666347</v>
      </c>
    </row>
    <row r="4578" spans="1:13">
      <c r="A4578" s="54" t="str">
        <f t="shared" si="152"/>
        <v>FINANZASSEGUROEQ. DE TRANSPORTE</v>
      </c>
      <c r="B4578" t="s">
        <v>2565</v>
      </c>
      <c r="C4578" s="1">
        <f t="shared" si="151"/>
        <v>45975</v>
      </c>
      <c r="D4578" s="71" t="s">
        <v>23</v>
      </c>
      <c r="E4578" s="71" t="s">
        <v>173</v>
      </c>
      <c r="F4578" s="70" t="s">
        <v>175</v>
      </c>
      <c r="J4578" s="71" t="s">
        <v>2688</v>
      </c>
      <c r="L4578" s="433">
        <v>10624.27</v>
      </c>
      <c r="M4578" s="136">
        <f t="shared" si="150"/>
        <v>-50148.710296666351</v>
      </c>
    </row>
    <row r="4579" spans="1:13">
      <c r="A4579" s="54" t="str">
        <f t="shared" si="152"/>
        <v>MKTVIATICOSMKT</v>
      </c>
      <c r="B4579" t="s">
        <v>2565</v>
      </c>
      <c r="C4579" s="1">
        <f t="shared" si="151"/>
        <v>45975</v>
      </c>
      <c r="D4579" s="71" t="s">
        <v>19</v>
      </c>
      <c r="E4579" s="71" t="s">
        <v>191</v>
      </c>
      <c r="F4579" s="70" t="s">
        <v>19</v>
      </c>
      <c r="G4579" s="71" t="s">
        <v>258</v>
      </c>
      <c r="J4579" s="71" t="s">
        <v>2219</v>
      </c>
      <c r="L4579" s="433">
        <v>1200</v>
      </c>
      <c r="M4579" s="136">
        <f t="shared" si="150"/>
        <v>-51348.710296666351</v>
      </c>
    </row>
    <row r="4580" spans="1:13">
      <c r="A4580" s="54" t="str">
        <f t="shared" si="152"/>
        <v>SERVICIOSTELEPEAJECEDIS</v>
      </c>
      <c r="B4580" t="s">
        <v>2565</v>
      </c>
      <c r="C4580" s="1">
        <f t="shared" si="151"/>
        <v>45975</v>
      </c>
      <c r="D4580" s="71" t="s">
        <v>21</v>
      </c>
      <c r="E4580" s="71" t="s">
        <v>186</v>
      </c>
      <c r="F4580" s="70" t="s">
        <v>28</v>
      </c>
      <c r="J4580" s="71" t="s">
        <v>2689</v>
      </c>
      <c r="L4580" s="433">
        <v>6073</v>
      </c>
      <c r="M4580" s="136">
        <f t="shared" si="150"/>
        <v>-57421.710296666351</v>
      </c>
    </row>
    <row r="4581" spans="1:13">
      <c r="A4581" s="54" t="str">
        <f t="shared" si="152"/>
        <v>HRTELEPEAJEOP HR</v>
      </c>
      <c r="B4581" t="s">
        <v>2565</v>
      </c>
      <c r="C4581" s="1">
        <f t="shared" si="151"/>
        <v>45975</v>
      </c>
      <c r="D4581" s="71" t="s">
        <v>29</v>
      </c>
      <c r="E4581" s="71" t="s">
        <v>186</v>
      </c>
      <c r="F4581" s="432" t="s">
        <v>187</v>
      </c>
      <c r="J4581" s="71" t="s">
        <v>2690</v>
      </c>
      <c r="L4581" s="433">
        <v>588</v>
      </c>
      <c r="M4581" s="136">
        <f t="shared" si="150"/>
        <v>-58009.710296666351</v>
      </c>
    </row>
    <row r="4582" spans="1:13">
      <c r="A4582" s="54" t="str">
        <f t="shared" si="152"/>
        <v>HRTELEPEAJEOP HR</v>
      </c>
      <c r="B4582" t="s">
        <v>2565</v>
      </c>
      <c r="C4582" s="1">
        <f t="shared" si="151"/>
        <v>45975</v>
      </c>
      <c r="D4582" s="71" t="s">
        <v>29</v>
      </c>
      <c r="E4582" s="71" t="s">
        <v>186</v>
      </c>
      <c r="F4582" s="70" t="s">
        <v>187</v>
      </c>
      <c r="J4582" s="71" t="s">
        <v>2690</v>
      </c>
      <c r="L4582" s="433">
        <v>151</v>
      </c>
      <c r="M4582" s="136">
        <f t="shared" si="150"/>
        <v>-58160.710296666351</v>
      </c>
    </row>
    <row r="4583" spans="1:13">
      <c r="A4583" s="54" t="str">
        <f t="shared" si="152"/>
        <v>SERVICIOSTELEPEAJECEDIS</v>
      </c>
      <c r="B4583" t="s">
        <v>2565</v>
      </c>
      <c r="C4583" s="1">
        <f t="shared" si="151"/>
        <v>45975</v>
      </c>
      <c r="D4583" s="71" t="s">
        <v>21</v>
      </c>
      <c r="E4583" s="71" t="s">
        <v>186</v>
      </c>
      <c r="F4583" s="70" t="s">
        <v>28</v>
      </c>
      <c r="J4583" s="71" t="s">
        <v>2689</v>
      </c>
      <c r="L4583" s="433">
        <v>658</v>
      </c>
      <c r="M4583" s="136">
        <f t="shared" si="150"/>
        <v>-58818.710296666351</v>
      </c>
    </row>
    <row r="4584" spans="1:13">
      <c r="A4584" s="54" t="str">
        <f t="shared" si="152"/>
        <v>ELIVIATICOSL1</v>
      </c>
      <c r="B4584" t="s">
        <v>2565</v>
      </c>
      <c r="C4584" s="1">
        <v>45975</v>
      </c>
      <c r="D4584" s="71" t="s">
        <v>130</v>
      </c>
      <c r="E4584" s="71" t="s">
        <v>191</v>
      </c>
      <c r="F4584" s="70" t="s">
        <v>136</v>
      </c>
      <c r="G4584" s="71" t="s">
        <v>258</v>
      </c>
      <c r="J4584" s="242" t="s">
        <v>2691</v>
      </c>
      <c r="K4584" s="332"/>
      <c r="L4584" s="433">
        <v>1000</v>
      </c>
      <c r="M4584" s="136">
        <f t="shared" si="150"/>
        <v>-59818.710296666351</v>
      </c>
    </row>
    <row r="4585" spans="1:13">
      <c r="A4585" s="54" t="str">
        <f t="shared" si="152"/>
        <v>HRIMAGEN VISUALIMAGEN VISUAL HR</v>
      </c>
      <c r="B4585" t="s">
        <v>2565</v>
      </c>
      <c r="C4585" s="1">
        <f t="shared" si="151"/>
        <v>45975</v>
      </c>
      <c r="D4585" s="71" t="s">
        <v>29</v>
      </c>
      <c r="E4585" s="71" t="s">
        <v>127</v>
      </c>
      <c r="F4585" s="70" t="s">
        <v>128</v>
      </c>
      <c r="J4585" s="71" t="s">
        <v>2692</v>
      </c>
      <c r="K4585" s="332"/>
      <c r="L4585" s="433">
        <v>28264.86</v>
      </c>
      <c r="M4585" s="136">
        <f t="shared" si="150"/>
        <v>-88083.570296666352</v>
      </c>
    </row>
    <row r="4586" spans="1:13">
      <c r="A4586" s="54" t="str">
        <f t="shared" si="152"/>
        <v>HRIMAGEN VISUALIMAGEN VISUAL HR</v>
      </c>
      <c r="B4586" t="s">
        <v>2565</v>
      </c>
      <c r="C4586" s="1">
        <f t="shared" si="151"/>
        <v>45975</v>
      </c>
      <c r="D4586" s="71" t="s">
        <v>29</v>
      </c>
      <c r="E4586" s="71" t="s">
        <v>127</v>
      </c>
      <c r="F4586" s="70" t="s">
        <v>128</v>
      </c>
      <c r="J4586" s="71" t="s">
        <v>2693</v>
      </c>
      <c r="K4586" s="332"/>
      <c r="L4586" s="433">
        <v>12880.8</v>
      </c>
      <c r="M4586" s="136">
        <f t="shared" si="150"/>
        <v>-100964.37029666635</v>
      </c>
    </row>
    <row r="4587" spans="1:13">
      <c r="A4587" s="54" t="str">
        <f t="shared" si="152"/>
        <v>HRIMAGEN VISUALIMAGEN VISUAL HR</v>
      </c>
      <c r="B4587" t="s">
        <v>2565</v>
      </c>
      <c r="C4587" s="1">
        <f t="shared" si="151"/>
        <v>45975</v>
      </c>
      <c r="D4587" s="71" t="s">
        <v>29</v>
      </c>
      <c r="E4587" s="71" t="s">
        <v>127</v>
      </c>
      <c r="F4587" s="70" t="s">
        <v>128</v>
      </c>
      <c r="J4587" s="71" t="s">
        <v>1095</v>
      </c>
      <c r="K4587" s="332"/>
      <c r="L4587" s="433">
        <v>7105</v>
      </c>
      <c r="M4587" s="136">
        <f t="shared" si="150"/>
        <v>-108069.37029666635</v>
      </c>
    </row>
    <row r="4588" spans="1:13">
      <c r="A4588" s="54" t="str">
        <f t="shared" si="152"/>
        <v>HRIMAGEN VISUALIMAGEN VISUAL HR</v>
      </c>
      <c r="B4588" t="s">
        <v>2565</v>
      </c>
      <c r="C4588" s="1">
        <f t="shared" si="151"/>
        <v>45975</v>
      </c>
      <c r="D4588" s="71" t="s">
        <v>29</v>
      </c>
      <c r="E4588" s="71" t="s">
        <v>127</v>
      </c>
      <c r="F4588" s="70" t="s">
        <v>128</v>
      </c>
      <c r="J4588" s="71" t="s">
        <v>1095</v>
      </c>
      <c r="K4588" s="332"/>
      <c r="L4588" s="433">
        <v>5755.2</v>
      </c>
      <c r="M4588" s="136">
        <f t="shared" si="150"/>
        <v>-113824.57029666635</v>
      </c>
    </row>
    <row r="4589" spans="1:13">
      <c r="A4589" s="54" t="str">
        <f t="shared" si="152"/>
        <v>SERVICIOSMTTO DE EDIFICIOMANTENIMIENTO</v>
      </c>
      <c r="B4589" t="s">
        <v>2565</v>
      </c>
      <c r="C4589" s="1">
        <f>C4586</f>
        <v>45975</v>
      </c>
      <c r="D4589" s="71" t="s">
        <v>21</v>
      </c>
      <c r="E4589" s="71" t="s">
        <v>142</v>
      </c>
      <c r="F4589" s="70" t="s">
        <v>35</v>
      </c>
      <c r="G4589" s="71" t="s">
        <v>258</v>
      </c>
      <c r="J4589" s="242" t="s">
        <v>2694</v>
      </c>
      <c r="K4589" s="332"/>
      <c r="L4589" s="433">
        <v>32527.31</v>
      </c>
      <c r="M4589" s="136">
        <f t="shared" si="150"/>
        <v>-146351.88029666635</v>
      </c>
    </row>
    <row r="4590" spans="1:13">
      <c r="A4590" s="54" t="str">
        <f t="shared" si="152"/>
        <v>SERVICIOSINSUMOSCADENA DE SUMINISTROS</v>
      </c>
      <c r="B4590" t="s">
        <v>2565</v>
      </c>
      <c r="C4590" s="1">
        <f t="shared" si="151"/>
        <v>45975</v>
      </c>
      <c r="D4590" s="71" t="s">
        <v>21</v>
      </c>
      <c r="E4590" s="71" t="s">
        <v>133</v>
      </c>
      <c r="F4590" s="70" t="s">
        <v>134</v>
      </c>
      <c r="G4590" s="71" t="s">
        <v>258</v>
      </c>
      <c r="J4590" s="71" t="s">
        <v>2695</v>
      </c>
      <c r="L4590" s="433">
        <v>7167.64</v>
      </c>
      <c r="M4590" s="136">
        <f t="shared" si="150"/>
        <v>-153519.52029666636</v>
      </c>
    </row>
    <row r="4591" spans="1:13">
      <c r="A4591" s="54" t="str">
        <f t="shared" si="152"/>
        <v>SERVICIOSINSUMOSCADENA DE SUMINISTROS</v>
      </c>
      <c r="B4591" t="s">
        <v>2565</v>
      </c>
      <c r="C4591" s="1">
        <f t="shared" si="151"/>
        <v>45975</v>
      </c>
      <c r="D4591" s="71" t="s">
        <v>21</v>
      </c>
      <c r="E4591" s="71" t="s">
        <v>133</v>
      </c>
      <c r="F4591" s="70" t="s">
        <v>134</v>
      </c>
      <c r="G4591" s="71" t="s">
        <v>258</v>
      </c>
      <c r="J4591" s="71" t="s">
        <v>2696</v>
      </c>
      <c r="L4591" s="433">
        <v>3184.94</v>
      </c>
      <c r="M4591" s="136">
        <f t="shared" si="150"/>
        <v>-156704.46029666637</v>
      </c>
    </row>
    <row r="4592" spans="1:13">
      <c r="A4592" s="54" t="str">
        <f t="shared" si="152"/>
        <v>SERVICIOSINSUMOSCADENA DE SUMINISTROS</v>
      </c>
      <c r="B4592" t="s">
        <v>2565</v>
      </c>
      <c r="C4592" s="1">
        <f t="shared" si="151"/>
        <v>45975</v>
      </c>
      <c r="D4592" s="71" t="s">
        <v>21</v>
      </c>
      <c r="E4592" s="71" t="s">
        <v>133</v>
      </c>
      <c r="F4592" s="70" t="s">
        <v>134</v>
      </c>
      <c r="G4592" s="71" t="s">
        <v>258</v>
      </c>
      <c r="J4592" s="71" t="s">
        <v>2697</v>
      </c>
      <c r="L4592" s="433">
        <v>1054.56</v>
      </c>
      <c r="M4592" s="136">
        <f t="shared" si="150"/>
        <v>-157759.02029666636</v>
      </c>
    </row>
    <row r="4593" spans="1:13">
      <c r="A4593" s="54" t="str">
        <f t="shared" si="152"/>
        <v>DEFONDO Y REPOSICIONDIRECCION</v>
      </c>
      <c r="B4593" t="s">
        <v>2565</v>
      </c>
      <c r="C4593" s="1">
        <f t="shared" si="151"/>
        <v>45975</v>
      </c>
      <c r="D4593" s="71" t="s">
        <v>41</v>
      </c>
      <c r="E4593" s="71" t="s">
        <v>120</v>
      </c>
      <c r="F4593" s="70" t="s">
        <v>42</v>
      </c>
      <c r="G4593" s="71" t="s">
        <v>258</v>
      </c>
      <c r="J4593" s="71" t="s">
        <v>2698</v>
      </c>
      <c r="L4593" s="433">
        <v>423</v>
      </c>
      <c r="M4593" s="136">
        <f t="shared" si="150"/>
        <v>-158182.02029666636</v>
      </c>
    </row>
    <row r="4594" spans="1:13">
      <c r="A4594" s="54" t="str">
        <f t="shared" si="152"/>
        <v>CAPUBERCAP</v>
      </c>
      <c r="B4594" t="s">
        <v>2565</v>
      </c>
      <c r="C4594" s="1">
        <f t="shared" si="151"/>
        <v>45975</v>
      </c>
      <c r="D4594" s="71" t="s">
        <v>31</v>
      </c>
      <c r="E4594" s="71" t="s">
        <v>189</v>
      </c>
      <c r="F4594" s="70" t="s">
        <v>31</v>
      </c>
      <c r="J4594" s="76" t="s">
        <v>2262</v>
      </c>
      <c r="L4594" s="522">
        <v>384</v>
      </c>
      <c r="M4594" s="136">
        <f t="shared" si="150"/>
        <v>-158566.02029666636</v>
      </c>
    </row>
    <row r="4595" spans="1:13">
      <c r="A4595" s="54" t="str">
        <f t="shared" si="152"/>
        <v>CAPMTTO EQ DE TRANSPORTECAPRICHOS</v>
      </c>
      <c r="B4595" t="s">
        <v>2565</v>
      </c>
      <c r="C4595" s="1">
        <f t="shared" si="151"/>
        <v>45975</v>
      </c>
      <c r="D4595" s="71" t="s">
        <v>31</v>
      </c>
      <c r="E4595" s="71" t="s">
        <v>144</v>
      </c>
      <c r="F4595" s="70" t="s">
        <v>33</v>
      </c>
      <c r="G4595" s="71" t="s">
        <v>258</v>
      </c>
      <c r="J4595" s="76" t="s">
        <v>2699</v>
      </c>
      <c r="L4595" s="434">
        <v>300</v>
      </c>
      <c r="M4595" s="136">
        <f t="shared" si="150"/>
        <v>-158866.02029666636</v>
      </c>
    </row>
    <row r="4596" spans="1:13">
      <c r="A4596" s="54" t="str">
        <f t="shared" si="152"/>
        <v>CAPUBERCAP</v>
      </c>
      <c r="B4596" t="s">
        <v>2565</v>
      </c>
      <c r="C4596" s="1">
        <f t="shared" si="151"/>
        <v>45975</v>
      </c>
      <c r="D4596" s="71" t="s">
        <v>31</v>
      </c>
      <c r="E4596" s="71" t="s">
        <v>189</v>
      </c>
      <c r="F4596" s="70" t="s">
        <v>31</v>
      </c>
      <c r="J4596" s="76" t="s">
        <v>2278</v>
      </c>
      <c r="L4596" s="522">
        <v>100</v>
      </c>
      <c r="M4596" s="136">
        <f t="shared" si="150"/>
        <v>-158966.02029666636</v>
      </c>
    </row>
    <row r="4597" spans="1:13">
      <c r="A4597" s="54" t="str">
        <f t="shared" si="152"/>
        <v>HRUBERHR</v>
      </c>
      <c r="B4597" t="s">
        <v>2565</v>
      </c>
      <c r="C4597" s="1">
        <f t="shared" si="151"/>
        <v>45975</v>
      </c>
      <c r="D4597" s="71" t="s">
        <v>29</v>
      </c>
      <c r="E4597" s="71" t="s">
        <v>189</v>
      </c>
      <c r="F4597" s="70" t="s">
        <v>29</v>
      </c>
      <c r="J4597" s="76" t="s">
        <v>2499</v>
      </c>
      <c r="L4597" s="522">
        <v>120</v>
      </c>
      <c r="M4597" s="136">
        <f t="shared" si="150"/>
        <v>-159086.02029666636</v>
      </c>
    </row>
    <row r="4598" spans="1:13">
      <c r="A4598" s="54" t="str">
        <f t="shared" si="152"/>
        <v>HRUBERHR</v>
      </c>
      <c r="B4598" t="s">
        <v>2565</v>
      </c>
      <c r="C4598" s="1">
        <f t="shared" si="151"/>
        <v>45975</v>
      </c>
      <c r="D4598" s="71" t="s">
        <v>29</v>
      </c>
      <c r="E4598" s="71" t="s">
        <v>189</v>
      </c>
      <c r="F4598" s="70" t="s">
        <v>29</v>
      </c>
      <c r="J4598" s="76" t="s">
        <v>2700</v>
      </c>
      <c r="L4598" s="522">
        <v>210</v>
      </c>
      <c r="M4598" s="136">
        <f t="shared" si="150"/>
        <v>-159296.02029666636</v>
      </c>
    </row>
    <row r="4599" spans="1:13">
      <c r="A4599" s="54" t="str">
        <f t="shared" si="152"/>
        <v>HRJMASA11</v>
      </c>
      <c r="B4599" t="s">
        <v>2565</v>
      </c>
      <c r="C4599" s="1">
        <f t="shared" si="151"/>
        <v>45975</v>
      </c>
      <c r="D4599" s="71" t="s">
        <v>29</v>
      </c>
      <c r="E4599" s="71" t="s">
        <v>137</v>
      </c>
      <c r="F4599" s="70" t="s">
        <v>97</v>
      </c>
      <c r="J4599" s="76" t="s">
        <v>2404</v>
      </c>
      <c r="L4599" s="434">
        <v>402</v>
      </c>
      <c r="M4599" s="136">
        <f t="shared" si="150"/>
        <v>-159698.02029666636</v>
      </c>
    </row>
    <row r="4600" spans="1:13">
      <c r="A4600" s="54" t="str">
        <f t="shared" si="152"/>
        <v>HRUBERHR</v>
      </c>
      <c r="B4600" t="s">
        <v>2565</v>
      </c>
      <c r="C4600" s="1">
        <f t="shared" si="151"/>
        <v>45975</v>
      </c>
      <c r="D4600" s="71" t="s">
        <v>29</v>
      </c>
      <c r="E4600" s="71" t="s">
        <v>189</v>
      </c>
      <c r="F4600" s="70" t="s">
        <v>29</v>
      </c>
      <c r="J4600" s="76" t="s">
        <v>2701</v>
      </c>
      <c r="L4600" s="522">
        <v>200</v>
      </c>
      <c r="M4600" s="136">
        <f t="shared" si="150"/>
        <v>-159898.02029666636</v>
      </c>
    </row>
    <row r="4601" spans="1:13">
      <c r="A4601" s="54" t="str">
        <f t="shared" si="152"/>
        <v>HRUBERHR</v>
      </c>
      <c r="B4601" t="s">
        <v>2565</v>
      </c>
      <c r="C4601" s="1">
        <f t="shared" si="151"/>
        <v>45975</v>
      </c>
      <c r="D4601" s="71" t="s">
        <v>29</v>
      </c>
      <c r="E4601" s="71" t="s">
        <v>189</v>
      </c>
      <c r="F4601" s="70" t="s">
        <v>29</v>
      </c>
      <c r="J4601" s="76" t="s">
        <v>2702</v>
      </c>
      <c r="L4601" s="522">
        <v>150</v>
      </c>
      <c r="M4601" s="136">
        <f t="shared" si="150"/>
        <v>-160048.02029666636</v>
      </c>
    </row>
    <row r="4602" spans="1:13">
      <c r="A4602" s="54" t="str">
        <f t="shared" si="152"/>
        <v>HRNOMINA SUCURSALA24</v>
      </c>
      <c r="B4602" t="s">
        <v>2565</v>
      </c>
      <c r="C4602" s="1">
        <f t="shared" si="151"/>
        <v>45975</v>
      </c>
      <c r="D4602" s="71" t="s">
        <v>29</v>
      </c>
      <c r="E4602" s="71" t="s">
        <v>154</v>
      </c>
      <c r="F4602" s="70" t="s">
        <v>106</v>
      </c>
      <c r="G4602" s="71" t="s">
        <v>258</v>
      </c>
      <c r="J4602" s="76" t="s">
        <v>2684</v>
      </c>
      <c r="L4602" s="434">
        <v>1080</v>
      </c>
      <c r="M4602" s="136">
        <f t="shared" si="150"/>
        <v>-161128.02029666636</v>
      </c>
    </row>
    <row r="4603" spans="1:13">
      <c r="A4603" s="54" t="str">
        <f t="shared" si="152"/>
        <v/>
      </c>
      <c r="B4603" t="s">
        <v>2565</v>
      </c>
      <c r="C4603" s="1">
        <v>45979</v>
      </c>
      <c r="D4603" s="71"/>
      <c r="F4603" s="70"/>
      <c r="J4603" s="71" t="s">
        <v>2045</v>
      </c>
      <c r="K4603" s="325">
        <v>1794646.88</v>
      </c>
      <c r="L4603" s="432"/>
      <c r="M4603" s="136">
        <f t="shared" si="150"/>
        <v>1633518.8597033336</v>
      </c>
    </row>
    <row r="4604" spans="1:13">
      <c r="A4604" s="54" t="str">
        <f t="shared" si="152"/>
        <v>FINANZASCOMISIONES BANCARIASTPV</v>
      </c>
      <c r="B4604" t="s">
        <v>2565</v>
      </c>
      <c r="C4604" s="1">
        <f t="shared" si="151"/>
        <v>45979</v>
      </c>
      <c r="D4604" t="s">
        <v>23</v>
      </c>
      <c r="E4604" t="s">
        <v>48</v>
      </c>
      <c r="F4604" t="s">
        <v>50</v>
      </c>
      <c r="J4604" s="71" t="s">
        <v>217</v>
      </c>
      <c r="L4604" s="433">
        <f>253.13+1093.12+5504.7+139.31+7979.09+1318.51+1367.73+3.48</f>
        <v>17659.07</v>
      </c>
      <c r="M4604" s="136">
        <f t="shared" si="150"/>
        <v>1615859.7897033335</v>
      </c>
    </row>
    <row r="4605" spans="1:13">
      <c r="A4605" s="54" t="str">
        <f t="shared" si="152"/>
        <v/>
      </c>
      <c r="B4605" t="s">
        <v>2565</v>
      </c>
      <c r="C4605" s="1">
        <f t="shared" si="151"/>
        <v>45979</v>
      </c>
      <c r="D4605" s="71"/>
      <c r="F4605" s="70"/>
      <c r="J4605" s="205" t="s">
        <v>1562</v>
      </c>
      <c r="K4605" s="205"/>
      <c r="L4605" s="428">
        <v>500000</v>
      </c>
      <c r="M4605" s="136">
        <f t="shared" si="150"/>
        <v>1115859.7897033335</v>
      </c>
    </row>
    <row r="4606" spans="1:13">
      <c r="A4606" s="54" t="str">
        <f t="shared" si="152"/>
        <v/>
      </c>
      <c r="B4606" t="s">
        <v>2565</v>
      </c>
      <c r="C4606" s="1">
        <f t="shared" si="151"/>
        <v>45979</v>
      </c>
      <c r="D4606" s="71"/>
      <c r="F4606" s="70"/>
      <c r="J4606" s="205" t="s">
        <v>222</v>
      </c>
      <c r="K4606" s="205"/>
      <c r="L4606" s="428">
        <v>400000</v>
      </c>
      <c r="M4606" s="136">
        <f t="shared" si="150"/>
        <v>715859.78970333352</v>
      </c>
    </row>
    <row r="4607" spans="1:13">
      <c r="A4607" s="54" t="str">
        <f t="shared" si="152"/>
        <v/>
      </c>
      <c r="B4607" t="s">
        <v>2565</v>
      </c>
      <c r="C4607" s="1">
        <f t="shared" si="151"/>
        <v>45979</v>
      </c>
      <c r="D4607" s="71"/>
      <c r="F4607" s="70"/>
      <c r="J4607" s="205" t="s">
        <v>318</v>
      </c>
      <c r="K4607" s="205"/>
      <c r="L4607" s="428">
        <v>679000</v>
      </c>
      <c r="M4607" s="136">
        <f t="shared" si="150"/>
        <v>36859.789703333518</v>
      </c>
    </row>
    <row r="4608" spans="1:13">
      <c r="A4608" s="54" t="str">
        <f t="shared" si="152"/>
        <v>SERVICIOSPAQUETERIACEDIS (E6)</v>
      </c>
      <c r="B4608" t="s">
        <v>2565</v>
      </c>
      <c r="C4608" s="1">
        <f t="shared" si="151"/>
        <v>45979</v>
      </c>
      <c r="D4608" s="71" t="s">
        <v>21</v>
      </c>
      <c r="E4608" s="71" t="s">
        <v>160</v>
      </c>
      <c r="F4608" s="70" t="s">
        <v>161</v>
      </c>
      <c r="J4608" s="71" t="s">
        <v>229</v>
      </c>
      <c r="L4608" s="433">
        <v>2445.65</v>
      </c>
      <c r="M4608" s="136">
        <f t="shared" si="150"/>
        <v>34414.139703333516</v>
      </c>
    </row>
    <row r="4609" spans="1:13">
      <c r="A4609" s="54" t="str">
        <f t="shared" si="152"/>
        <v/>
      </c>
      <c r="B4609" t="s">
        <v>2565</v>
      </c>
      <c r="C4609" s="1">
        <f t="shared" si="151"/>
        <v>45979</v>
      </c>
      <c r="D4609" s="71"/>
      <c r="F4609" s="70"/>
      <c r="J4609" s="71" t="s">
        <v>440</v>
      </c>
      <c r="L4609" s="433">
        <f>29461.6-4208</f>
        <v>25253.599999999999</v>
      </c>
      <c r="M4609" s="136">
        <f t="shared" ref="M4609:M4675" si="153">M4608+K4609-L4609</f>
        <v>9160.5397033335175</v>
      </c>
    </row>
    <row r="4610" spans="1:13">
      <c r="A4610" s="54" t="str">
        <f t="shared" si="152"/>
        <v>FINANZASFONDO Y REPOSICIONFINANZAS</v>
      </c>
      <c r="B4610" t="s">
        <v>2565</v>
      </c>
      <c r="C4610" s="1">
        <f t="shared" si="151"/>
        <v>45979</v>
      </c>
      <c r="D4610" s="71" t="s">
        <v>23</v>
      </c>
      <c r="E4610" s="71" t="s">
        <v>120</v>
      </c>
      <c r="F4610" s="70" t="s">
        <v>23</v>
      </c>
      <c r="J4610" s="71" t="s">
        <v>375</v>
      </c>
      <c r="L4610" s="433">
        <v>300</v>
      </c>
      <c r="M4610" s="136">
        <f t="shared" si="153"/>
        <v>8860.5397033335175</v>
      </c>
    </row>
    <row r="4611" spans="1:13">
      <c r="A4611" s="54" t="str">
        <f t="shared" si="152"/>
        <v>CAPVIATICOSCAPRICHOS</v>
      </c>
      <c r="B4611" t="s">
        <v>2565</v>
      </c>
      <c r="C4611" s="1">
        <f t="shared" si="151"/>
        <v>45979</v>
      </c>
      <c r="D4611" s="71" t="s">
        <v>31</v>
      </c>
      <c r="E4611" s="71" t="s">
        <v>191</v>
      </c>
      <c r="F4611" s="70" t="s">
        <v>33</v>
      </c>
      <c r="J4611" s="71" t="s">
        <v>2703</v>
      </c>
      <c r="L4611" s="433">
        <v>700</v>
      </c>
      <c r="M4611" s="136">
        <f t="shared" si="153"/>
        <v>8160.5397033335175</v>
      </c>
    </row>
    <row r="4612" spans="1:13">
      <c r="A4612" s="54" t="str">
        <f t="shared" si="152"/>
        <v>SERVICIOSVIATICOSCEDIS</v>
      </c>
      <c r="B4612" t="s">
        <v>2565</v>
      </c>
      <c r="C4612" s="1">
        <f t="shared" si="151"/>
        <v>45979</v>
      </c>
      <c r="D4612" s="71" t="s">
        <v>21</v>
      </c>
      <c r="E4612" s="71" t="s">
        <v>191</v>
      </c>
      <c r="F4612" s="70" t="s">
        <v>28</v>
      </c>
      <c r="G4612" s="71" t="s">
        <v>258</v>
      </c>
      <c r="J4612" s="71" t="s">
        <v>938</v>
      </c>
      <c r="L4612" s="433">
        <v>2050</v>
      </c>
      <c r="M4612" s="136">
        <f t="shared" si="153"/>
        <v>6110.5397033335175</v>
      </c>
    </row>
    <row r="4613" spans="1:13">
      <c r="A4613" s="54" t="str">
        <f t="shared" si="152"/>
        <v>SERVICIOSCOMBUSTIBLESERVICIOS</v>
      </c>
      <c r="B4613" t="s">
        <v>2565</v>
      </c>
      <c r="C4613" s="1">
        <f t="shared" si="151"/>
        <v>45979</v>
      </c>
      <c r="D4613" s="71" t="s">
        <v>21</v>
      </c>
      <c r="E4613" s="71" t="s">
        <v>32</v>
      </c>
      <c r="F4613" s="70" t="s">
        <v>21</v>
      </c>
      <c r="J4613" s="71" t="s">
        <v>2704</v>
      </c>
      <c r="L4613" s="433">
        <v>300</v>
      </c>
      <c r="M4613" s="136">
        <f t="shared" si="153"/>
        <v>5810.5397033335175</v>
      </c>
    </row>
    <row r="4614" spans="1:13">
      <c r="A4614" s="54" t="str">
        <f t="shared" si="152"/>
        <v>SERVICIOSINSUMOSCEDIS</v>
      </c>
      <c r="B4614" t="s">
        <v>2565</v>
      </c>
      <c r="C4614" s="1">
        <f t="shared" si="151"/>
        <v>45979</v>
      </c>
      <c r="D4614" s="71" t="s">
        <v>21</v>
      </c>
      <c r="E4614" s="71" t="s">
        <v>133</v>
      </c>
      <c r="F4614" s="71" t="s">
        <v>28</v>
      </c>
      <c r="G4614" s="71" t="s">
        <v>258</v>
      </c>
      <c r="J4614" s="71" t="s">
        <v>2705</v>
      </c>
      <c r="L4614" s="433">
        <v>4740</v>
      </c>
      <c r="M4614" s="136">
        <f t="shared" si="153"/>
        <v>1070.5397033335175</v>
      </c>
    </row>
    <row r="4615" spans="1:13">
      <c r="A4615" s="54" t="str">
        <f t="shared" si="152"/>
        <v>DEMTTO EQ DE TRANSPORTEDIRECCION</v>
      </c>
      <c r="B4615" t="s">
        <v>2565</v>
      </c>
      <c r="C4615" s="1">
        <f t="shared" si="151"/>
        <v>45979</v>
      </c>
      <c r="D4615" s="71" t="s">
        <v>41</v>
      </c>
      <c r="E4615" s="71" t="s">
        <v>144</v>
      </c>
      <c r="F4615" s="70" t="s">
        <v>42</v>
      </c>
      <c r="G4615" s="71" t="s">
        <v>258</v>
      </c>
      <c r="J4615" s="71" t="s">
        <v>2706</v>
      </c>
      <c r="L4615" s="433">
        <v>800</v>
      </c>
      <c r="M4615" s="136">
        <f t="shared" si="153"/>
        <v>270.53970333351754</v>
      </c>
    </row>
    <row r="4616" spans="1:13">
      <c r="A4616" s="54" t="str">
        <f t="shared" si="152"/>
        <v>CAPVIATICOSCAPRICHOS</v>
      </c>
      <c r="B4616" t="s">
        <v>2565</v>
      </c>
      <c r="C4616" s="1">
        <f t="shared" si="151"/>
        <v>45979</v>
      </c>
      <c r="D4616" s="71" t="s">
        <v>31</v>
      </c>
      <c r="E4616" s="71" t="s">
        <v>191</v>
      </c>
      <c r="F4616" s="70" t="s">
        <v>33</v>
      </c>
      <c r="J4616" s="71" t="s">
        <v>2707</v>
      </c>
      <c r="L4616" s="433">
        <v>2000</v>
      </c>
      <c r="M4616" s="136">
        <f t="shared" si="153"/>
        <v>-1729.4602966664825</v>
      </c>
    </row>
    <row r="4617" spans="1:13">
      <c r="A4617" s="54" t="str">
        <f t="shared" si="152"/>
        <v>CAPJMASE8</v>
      </c>
      <c r="B4617" t="s">
        <v>2565</v>
      </c>
      <c r="C4617" s="1">
        <f t="shared" si="151"/>
        <v>45979</v>
      </c>
      <c r="D4617" s="71" t="s">
        <v>31</v>
      </c>
      <c r="E4617" s="71" t="s">
        <v>137</v>
      </c>
      <c r="F4617" s="70" t="s">
        <v>114</v>
      </c>
      <c r="J4617" s="71" t="s">
        <v>1109</v>
      </c>
      <c r="L4617" s="433">
        <v>1509.64</v>
      </c>
      <c r="M4617" s="136">
        <f t="shared" si="153"/>
        <v>-3239.1002966664828</v>
      </c>
    </row>
    <row r="4618" spans="1:13">
      <c r="A4618" s="54" t="str">
        <f t="shared" si="152"/>
        <v>HRENERGIA ELECTRICAA10</v>
      </c>
      <c r="B4618" t="s">
        <v>2565</v>
      </c>
      <c r="C4618" s="1">
        <f>C4616</f>
        <v>45979</v>
      </c>
      <c r="D4618" s="71" t="s">
        <v>29</v>
      </c>
      <c r="E4618" s="71" t="s">
        <v>87</v>
      </c>
      <c r="F4618" s="70" t="s">
        <v>96</v>
      </c>
      <c r="J4618" s="71" t="s">
        <v>1670</v>
      </c>
      <c r="L4618" s="433">
        <f>28056+7778</f>
        <v>35834</v>
      </c>
      <c r="M4618" s="136">
        <f t="shared" si="153"/>
        <v>-39073.100296666482</v>
      </c>
    </row>
    <row r="4619" spans="1:13">
      <c r="A4619" s="54" t="str">
        <f t="shared" si="152"/>
        <v>CAPENERGIA ELECTRICAE1</v>
      </c>
      <c r="B4619" t="s">
        <v>2565</v>
      </c>
      <c r="C4619" s="1">
        <f t="shared" si="151"/>
        <v>45979</v>
      </c>
      <c r="D4619" s="71" t="s">
        <v>31</v>
      </c>
      <c r="E4619" s="71" t="s">
        <v>87</v>
      </c>
      <c r="F4619" s="70" t="s">
        <v>107</v>
      </c>
      <c r="J4619" s="71" t="s">
        <v>2708</v>
      </c>
      <c r="L4619" s="433">
        <v>19507</v>
      </c>
      <c r="M4619" s="136">
        <f t="shared" si="153"/>
        <v>-58580.100296666482</v>
      </c>
    </row>
    <row r="4620" spans="1:13">
      <c r="A4620" s="54" t="str">
        <f t="shared" si="152"/>
        <v>HRENERGIA ELECTRICAA14</v>
      </c>
      <c r="B4620" t="s">
        <v>2565</v>
      </c>
      <c r="C4620" s="1">
        <f t="shared" si="151"/>
        <v>45979</v>
      </c>
      <c r="D4620" s="71" t="s">
        <v>29</v>
      </c>
      <c r="E4620" s="71" t="s">
        <v>87</v>
      </c>
      <c r="F4620" s="71" t="s">
        <v>99</v>
      </c>
      <c r="J4620" s="71" t="s">
        <v>2164</v>
      </c>
      <c r="L4620" s="433">
        <v>8775</v>
      </c>
      <c r="M4620" s="136">
        <f t="shared" si="153"/>
        <v>-67355.100296666482</v>
      </c>
    </row>
    <row r="4621" spans="1:13">
      <c r="A4621" s="54" t="str">
        <f t="shared" si="152"/>
        <v>SERVICIOSCOMBUSTIBLECEDIS</v>
      </c>
      <c r="B4621" t="s">
        <v>2565</v>
      </c>
      <c r="C4621" s="1">
        <f t="shared" si="151"/>
        <v>45979</v>
      </c>
      <c r="D4621" s="71" t="s">
        <v>21</v>
      </c>
      <c r="E4621" s="71" t="s">
        <v>32</v>
      </c>
      <c r="F4621" s="71" t="s">
        <v>28</v>
      </c>
      <c r="J4621" s="71" t="s">
        <v>2432</v>
      </c>
      <c r="L4621" s="433">
        <v>6000</v>
      </c>
      <c r="M4621" s="136">
        <f t="shared" si="153"/>
        <v>-73355.100296666482</v>
      </c>
    </row>
    <row r="4622" spans="1:13">
      <c r="A4622" s="54" t="str">
        <f t="shared" si="152"/>
        <v>HRUBERHR</v>
      </c>
      <c r="B4622" t="s">
        <v>2565</v>
      </c>
      <c r="C4622" s="1">
        <f t="shared" si="151"/>
        <v>45979</v>
      </c>
      <c r="D4622" s="71" t="s">
        <v>29</v>
      </c>
      <c r="E4622" s="71" t="s">
        <v>189</v>
      </c>
      <c r="F4622" s="71" t="s">
        <v>29</v>
      </c>
      <c r="J4622" s="76" t="s">
        <v>2669</v>
      </c>
      <c r="L4622" s="522">
        <v>785</v>
      </c>
      <c r="M4622" s="136">
        <f t="shared" si="153"/>
        <v>-74140.100296666482</v>
      </c>
    </row>
    <row r="4623" spans="1:13">
      <c r="A4623" s="54" t="str">
        <f t="shared" si="152"/>
        <v>FINANZASRECOLECCION DE BASURAHR</v>
      </c>
      <c r="B4623" t="s">
        <v>2565</v>
      </c>
      <c r="C4623" s="1">
        <f t="shared" si="151"/>
        <v>45979</v>
      </c>
      <c r="D4623" s="71" t="s">
        <v>23</v>
      </c>
      <c r="E4623" s="71" t="s">
        <v>166</v>
      </c>
      <c r="F4623" s="71" t="s">
        <v>29</v>
      </c>
      <c r="J4623" s="76" t="s">
        <v>2709</v>
      </c>
      <c r="L4623" s="434">
        <v>600</v>
      </c>
      <c r="M4623" s="136">
        <f t="shared" si="153"/>
        <v>-74740.100296666482</v>
      </c>
    </row>
    <row r="4624" spans="1:13">
      <c r="A4624" s="54" t="str">
        <f t="shared" si="152"/>
        <v>HRUBERHR</v>
      </c>
      <c r="B4624" t="s">
        <v>2565</v>
      </c>
      <c r="C4624" s="1">
        <f t="shared" si="151"/>
        <v>45979</v>
      </c>
      <c r="D4624" s="71" t="s">
        <v>29</v>
      </c>
      <c r="E4624" s="71" t="s">
        <v>189</v>
      </c>
      <c r="F4624" s="71" t="s">
        <v>29</v>
      </c>
      <c r="J4624" s="76" t="s">
        <v>2710</v>
      </c>
      <c r="L4624" s="522">
        <v>1550</v>
      </c>
      <c r="M4624" s="136">
        <f t="shared" si="153"/>
        <v>-76290.100296666482</v>
      </c>
    </row>
    <row r="4625" spans="1:13">
      <c r="A4625" s="54" t="str">
        <f t="shared" si="152"/>
        <v>HRNOMINA SUCURSALA12</v>
      </c>
      <c r="B4625" t="s">
        <v>2565</v>
      </c>
      <c r="C4625" s="1">
        <f t="shared" si="151"/>
        <v>45979</v>
      </c>
      <c r="D4625" s="71" t="s">
        <v>29</v>
      </c>
      <c r="E4625" s="71" t="s">
        <v>154</v>
      </c>
      <c r="F4625" s="71" t="s">
        <v>98</v>
      </c>
      <c r="J4625" s="76" t="s">
        <v>2711</v>
      </c>
      <c r="L4625" s="434">
        <v>1440</v>
      </c>
      <c r="M4625" s="136">
        <f t="shared" si="153"/>
        <v>-77730.100296666482</v>
      </c>
    </row>
    <row r="4626" spans="1:13">
      <c r="A4626" s="54" t="str">
        <f t="shared" si="152"/>
        <v>HRNOMINA SUCURSALA12</v>
      </c>
      <c r="B4626" t="s">
        <v>2565</v>
      </c>
      <c r="C4626" s="1">
        <f t="shared" ref="C4626:C4691" si="154">C4625</f>
        <v>45979</v>
      </c>
      <c r="D4626" s="71" t="s">
        <v>29</v>
      </c>
      <c r="E4626" s="71" t="s">
        <v>154</v>
      </c>
      <c r="F4626" s="71" t="s">
        <v>98</v>
      </c>
      <c r="J4626" s="76" t="s">
        <v>2711</v>
      </c>
      <c r="L4626" s="434">
        <v>2780</v>
      </c>
      <c r="M4626" s="136">
        <f t="shared" si="153"/>
        <v>-80510.100296666482</v>
      </c>
    </row>
    <row r="4627" spans="1:13">
      <c r="A4627" s="54" t="str">
        <f t="shared" si="152"/>
        <v>HRUBERHR</v>
      </c>
      <c r="B4627" t="s">
        <v>2565</v>
      </c>
      <c r="C4627" s="1">
        <f t="shared" si="154"/>
        <v>45979</v>
      </c>
      <c r="D4627" s="71" t="s">
        <v>29</v>
      </c>
      <c r="E4627" s="71" t="s">
        <v>189</v>
      </c>
      <c r="F4627" s="71" t="s">
        <v>29</v>
      </c>
      <c r="J4627" s="76" t="s">
        <v>2562</v>
      </c>
      <c r="L4627" s="522">
        <v>1000</v>
      </c>
      <c r="M4627" s="136">
        <f t="shared" si="153"/>
        <v>-81510.100296666482</v>
      </c>
    </row>
    <row r="4628" spans="1:13">
      <c r="A4628" s="54" t="str">
        <f t="shared" si="152"/>
        <v>HRINSUMOSHR</v>
      </c>
      <c r="B4628" t="s">
        <v>2565</v>
      </c>
      <c r="C4628" s="1">
        <f t="shared" si="154"/>
        <v>45979</v>
      </c>
      <c r="D4628" s="71" t="s">
        <v>29</v>
      </c>
      <c r="E4628" s="71" t="s">
        <v>133</v>
      </c>
      <c r="F4628" s="71" t="s">
        <v>29</v>
      </c>
      <c r="J4628" s="76" t="s">
        <v>2405</v>
      </c>
      <c r="L4628" s="434">
        <v>30</v>
      </c>
      <c r="M4628" s="136">
        <f t="shared" si="153"/>
        <v>-81540.100296666482</v>
      </c>
    </row>
    <row r="4629" spans="1:13">
      <c r="A4629" s="54" t="str">
        <f t="shared" si="152"/>
        <v>HRJMASA22</v>
      </c>
      <c r="B4629" t="s">
        <v>2565</v>
      </c>
      <c r="C4629" s="1">
        <f t="shared" si="154"/>
        <v>45979</v>
      </c>
      <c r="D4629" s="71" t="s">
        <v>29</v>
      </c>
      <c r="E4629" s="71" t="s">
        <v>137</v>
      </c>
      <c r="F4629" s="71" t="s">
        <v>104</v>
      </c>
      <c r="J4629" s="76" t="s">
        <v>2406</v>
      </c>
      <c r="L4629" s="434">
        <v>766</v>
      </c>
      <c r="M4629" s="136">
        <f t="shared" si="153"/>
        <v>-82306.100296666482</v>
      </c>
    </row>
    <row r="4630" spans="1:13">
      <c r="A4630" s="54" t="str">
        <f t="shared" ref="A4630:A4693" si="155">D4630&amp;E4630&amp;F4630</f>
        <v>HRJMASA24</v>
      </c>
      <c r="B4630" t="s">
        <v>2565</v>
      </c>
      <c r="C4630" s="1">
        <f t="shared" si="154"/>
        <v>45979</v>
      </c>
      <c r="D4630" s="71" t="s">
        <v>29</v>
      </c>
      <c r="E4630" s="71" t="s">
        <v>137</v>
      </c>
      <c r="F4630" s="71" t="s">
        <v>106</v>
      </c>
      <c r="J4630" s="76" t="s">
        <v>2712</v>
      </c>
      <c r="L4630" s="434">
        <v>570</v>
      </c>
      <c r="M4630" s="136">
        <f t="shared" si="153"/>
        <v>-82876.100296666482</v>
      </c>
    </row>
    <row r="4631" spans="1:13">
      <c r="A4631" s="54" t="str">
        <f t="shared" si="155"/>
        <v>HRUBERHR</v>
      </c>
      <c r="B4631" t="s">
        <v>2565</v>
      </c>
      <c r="C4631" s="1">
        <f t="shared" si="154"/>
        <v>45979</v>
      </c>
      <c r="D4631" s="71" t="s">
        <v>29</v>
      </c>
      <c r="E4631" s="71" t="s">
        <v>189</v>
      </c>
      <c r="F4631" s="71" t="s">
        <v>29</v>
      </c>
      <c r="J4631" s="76" t="s">
        <v>2560</v>
      </c>
      <c r="L4631" s="522">
        <v>200</v>
      </c>
      <c r="M4631" s="136">
        <f t="shared" si="153"/>
        <v>-83076.100296666482</v>
      </c>
    </row>
    <row r="4632" spans="1:13">
      <c r="A4632" s="54" t="str">
        <f t="shared" si="155"/>
        <v>HRUBERHR</v>
      </c>
      <c r="B4632" t="s">
        <v>2565</v>
      </c>
      <c r="C4632" s="1">
        <f t="shared" si="154"/>
        <v>45979</v>
      </c>
      <c r="D4632" s="71" t="s">
        <v>29</v>
      </c>
      <c r="E4632" s="71" t="s">
        <v>189</v>
      </c>
      <c r="F4632" s="71" t="s">
        <v>29</v>
      </c>
      <c r="J4632" s="76" t="s">
        <v>2364</v>
      </c>
      <c r="L4632" s="522">
        <v>350</v>
      </c>
      <c r="M4632" s="136">
        <f t="shared" si="153"/>
        <v>-83426.100296666482</v>
      </c>
    </row>
    <row r="4633" spans="1:13">
      <c r="A4633" s="54" t="str">
        <f t="shared" si="155"/>
        <v>HRUBERHR</v>
      </c>
      <c r="B4633" t="s">
        <v>2565</v>
      </c>
      <c r="C4633" s="1">
        <f t="shared" si="154"/>
        <v>45979</v>
      </c>
      <c r="D4633" s="71" t="s">
        <v>29</v>
      </c>
      <c r="E4633" s="71" t="s">
        <v>189</v>
      </c>
      <c r="F4633" s="71" t="s">
        <v>29</v>
      </c>
      <c r="J4633" s="76" t="s">
        <v>2453</v>
      </c>
      <c r="L4633" s="522">
        <v>200</v>
      </c>
      <c r="M4633" s="136">
        <f t="shared" si="153"/>
        <v>-83626.100296666482</v>
      </c>
    </row>
    <row r="4634" spans="1:13">
      <c r="A4634" s="54" t="str">
        <f t="shared" si="155"/>
        <v>HRUBERHR</v>
      </c>
      <c r="B4634" t="s">
        <v>2565</v>
      </c>
      <c r="C4634" s="1">
        <f t="shared" si="154"/>
        <v>45979</v>
      </c>
      <c r="D4634" s="71" t="s">
        <v>29</v>
      </c>
      <c r="E4634" s="71" t="s">
        <v>189</v>
      </c>
      <c r="F4634" s="71" t="s">
        <v>29</v>
      </c>
      <c r="J4634" s="76" t="s">
        <v>2366</v>
      </c>
      <c r="L4634" s="522">
        <v>780</v>
      </c>
      <c r="M4634" s="136">
        <f t="shared" si="153"/>
        <v>-84406.100296666482</v>
      </c>
    </row>
    <row r="4635" spans="1:13">
      <c r="A4635" s="54" t="str">
        <f t="shared" si="155"/>
        <v>HRUBERHR</v>
      </c>
      <c r="B4635" t="s">
        <v>2565</v>
      </c>
      <c r="C4635" s="1">
        <f t="shared" si="154"/>
        <v>45979</v>
      </c>
      <c r="D4635" s="71" t="s">
        <v>29</v>
      </c>
      <c r="E4635" s="71" t="s">
        <v>189</v>
      </c>
      <c r="F4635" s="71" t="s">
        <v>29</v>
      </c>
      <c r="J4635" s="76" t="s">
        <v>2435</v>
      </c>
      <c r="L4635" s="522">
        <v>1300</v>
      </c>
      <c r="M4635" s="136">
        <f t="shared" si="153"/>
        <v>-85706.100296666482</v>
      </c>
    </row>
    <row r="4636" spans="1:13">
      <c r="A4636" s="54" t="str">
        <f t="shared" si="155"/>
        <v>HRUBERHR</v>
      </c>
      <c r="B4636" t="s">
        <v>2565</v>
      </c>
      <c r="C4636" s="1">
        <f t="shared" si="154"/>
        <v>45979</v>
      </c>
      <c r="D4636" s="71" t="s">
        <v>29</v>
      </c>
      <c r="E4636" s="71" t="s">
        <v>189</v>
      </c>
      <c r="F4636" s="71" t="s">
        <v>29</v>
      </c>
      <c r="J4636" s="76" t="s">
        <v>2453</v>
      </c>
      <c r="L4636" s="522">
        <v>1300</v>
      </c>
      <c r="M4636" s="136">
        <f t="shared" si="153"/>
        <v>-87006.100296666482</v>
      </c>
    </row>
    <row r="4637" spans="1:13">
      <c r="A4637" s="54" t="str">
        <f t="shared" si="155"/>
        <v>CAPUBERCAP</v>
      </c>
      <c r="B4637" t="s">
        <v>2565</v>
      </c>
      <c r="C4637" s="1">
        <f t="shared" si="154"/>
        <v>45979</v>
      </c>
      <c r="D4637" s="71" t="s">
        <v>31</v>
      </c>
      <c r="E4637" s="71" t="s">
        <v>189</v>
      </c>
      <c r="F4637" s="71" t="s">
        <v>31</v>
      </c>
      <c r="J4637" s="76" t="s">
        <v>2267</v>
      </c>
      <c r="L4637" s="522">
        <v>820</v>
      </c>
      <c r="M4637" s="136">
        <f t="shared" si="153"/>
        <v>-87826.100296666482</v>
      </c>
    </row>
    <row r="4638" spans="1:13">
      <c r="A4638" s="54" t="str">
        <f t="shared" si="155"/>
        <v>CAPNOMINA SUCURSALE4</v>
      </c>
      <c r="B4638" t="s">
        <v>2565</v>
      </c>
      <c r="C4638" s="1">
        <f t="shared" si="154"/>
        <v>45979</v>
      </c>
      <c r="D4638" s="71" t="s">
        <v>31</v>
      </c>
      <c r="E4638" s="71" t="s">
        <v>154</v>
      </c>
      <c r="F4638" s="71" t="s">
        <v>110</v>
      </c>
      <c r="J4638" s="76" t="s">
        <v>2713</v>
      </c>
      <c r="L4638" s="434">
        <v>475</v>
      </c>
      <c r="M4638" s="136">
        <f t="shared" si="153"/>
        <v>-88301.100296666482</v>
      </c>
    </row>
    <row r="4639" spans="1:13">
      <c r="A4639" s="54" t="str">
        <f t="shared" si="155"/>
        <v>CAPUBERCAP</v>
      </c>
      <c r="B4639" t="s">
        <v>2565</v>
      </c>
      <c r="C4639" s="1">
        <f t="shared" si="154"/>
        <v>45979</v>
      </c>
      <c r="D4639" s="71" t="s">
        <v>31</v>
      </c>
      <c r="E4639" s="71" t="s">
        <v>189</v>
      </c>
      <c r="F4639" s="71" t="s">
        <v>31</v>
      </c>
      <c r="J4639" s="76" t="s">
        <v>2375</v>
      </c>
      <c r="L4639" s="522">
        <v>337</v>
      </c>
      <c r="M4639" s="136">
        <f t="shared" si="153"/>
        <v>-88638.100296666482</v>
      </c>
    </row>
    <row r="4640" spans="1:13">
      <c r="A4640" s="54" t="str">
        <f t="shared" si="155"/>
        <v>CAPJMASE5</v>
      </c>
      <c r="B4640" t="s">
        <v>2565</v>
      </c>
      <c r="C4640" s="1">
        <f t="shared" si="154"/>
        <v>45979</v>
      </c>
      <c r="D4640" s="71" t="s">
        <v>31</v>
      </c>
      <c r="E4640" s="71" t="s">
        <v>137</v>
      </c>
      <c r="F4640" s="71" t="s">
        <v>111</v>
      </c>
      <c r="J4640" s="76" t="s">
        <v>2714</v>
      </c>
      <c r="L4640" s="434">
        <v>1732</v>
      </c>
      <c r="M4640" s="136">
        <f t="shared" si="153"/>
        <v>-90370.100296666482</v>
      </c>
    </row>
    <row r="4641" spans="1:13">
      <c r="A4641" s="54" t="str">
        <f t="shared" si="155"/>
        <v>CAPINSUMOSCAPRICHOS</v>
      </c>
      <c r="B4641" t="s">
        <v>2565</v>
      </c>
      <c r="C4641" s="1">
        <f t="shared" si="154"/>
        <v>45979</v>
      </c>
      <c r="D4641" s="71" t="s">
        <v>31</v>
      </c>
      <c r="E4641" s="71" t="s">
        <v>133</v>
      </c>
      <c r="F4641" s="70" t="s">
        <v>33</v>
      </c>
      <c r="G4641" s="71" t="s">
        <v>258</v>
      </c>
      <c r="J4641" s="76" t="s">
        <v>2715</v>
      </c>
      <c r="L4641" s="434">
        <v>47</v>
      </c>
      <c r="M4641" s="136">
        <f t="shared" si="153"/>
        <v>-90417.100296666482</v>
      </c>
    </row>
    <row r="4642" spans="1:13">
      <c r="A4642" s="54" t="str">
        <f t="shared" si="155"/>
        <v>HRUBERHR</v>
      </c>
      <c r="B4642" t="s">
        <v>2565</v>
      </c>
      <c r="C4642" s="1">
        <f t="shared" si="154"/>
        <v>45979</v>
      </c>
      <c r="D4642" s="71" t="s">
        <v>29</v>
      </c>
      <c r="E4642" s="71" t="s">
        <v>189</v>
      </c>
      <c r="F4642" s="71" t="s">
        <v>29</v>
      </c>
      <c r="G4642" s="71" t="s">
        <v>258</v>
      </c>
      <c r="J4642" s="76" t="s">
        <v>2526</v>
      </c>
      <c r="L4642" s="522">
        <v>600</v>
      </c>
      <c r="M4642" s="136">
        <f t="shared" si="153"/>
        <v>-91017.100296666482</v>
      </c>
    </row>
    <row r="4643" spans="1:13">
      <c r="A4643" s="54" t="str">
        <f t="shared" si="155"/>
        <v>HRINSUMOSHR</v>
      </c>
      <c r="B4643" t="s">
        <v>2565</v>
      </c>
      <c r="C4643" s="1">
        <f t="shared" si="154"/>
        <v>45979</v>
      </c>
      <c r="D4643" s="71" t="s">
        <v>29</v>
      </c>
      <c r="E4643" s="71" t="s">
        <v>133</v>
      </c>
      <c r="F4643" s="71" t="s">
        <v>29</v>
      </c>
      <c r="J4643" s="76" t="s">
        <v>2716</v>
      </c>
      <c r="L4643" s="434">
        <v>140</v>
      </c>
      <c r="M4643" s="136">
        <f t="shared" si="153"/>
        <v>-91157.100296666482</v>
      </c>
    </row>
    <row r="4644" spans="1:13">
      <c r="A4644" s="54" t="str">
        <f t="shared" si="155"/>
        <v>HRJMASA17</v>
      </c>
      <c r="B4644" t="s">
        <v>2565</v>
      </c>
      <c r="C4644" s="1">
        <f t="shared" si="154"/>
        <v>45979</v>
      </c>
      <c r="D4644" s="71" t="s">
        <v>29</v>
      </c>
      <c r="E4644" s="71" t="s">
        <v>137</v>
      </c>
      <c r="F4644" s="71" t="s">
        <v>102</v>
      </c>
      <c r="J4644" s="76" t="s">
        <v>2717</v>
      </c>
      <c r="L4644" s="434">
        <v>1150</v>
      </c>
      <c r="M4644" s="136">
        <f t="shared" si="153"/>
        <v>-92307.100296666482</v>
      </c>
    </row>
    <row r="4645" spans="1:13">
      <c r="A4645" s="54" t="str">
        <f t="shared" si="155"/>
        <v>HRUBERHR</v>
      </c>
      <c r="B4645" t="s">
        <v>2565</v>
      </c>
      <c r="C4645" s="1">
        <f t="shared" si="154"/>
        <v>45979</v>
      </c>
      <c r="D4645" s="71" t="s">
        <v>29</v>
      </c>
      <c r="E4645" s="71" t="s">
        <v>189</v>
      </c>
      <c r="F4645" s="71" t="s">
        <v>29</v>
      </c>
      <c r="G4645" s="71" t="s">
        <v>258</v>
      </c>
      <c r="J4645" s="76" t="s">
        <v>2718</v>
      </c>
      <c r="L4645" s="522">
        <v>270</v>
      </c>
      <c r="M4645" s="136">
        <f t="shared" si="153"/>
        <v>-92577.100296666482</v>
      </c>
    </row>
    <row r="4646" spans="1:13">
      <c r="A4646" s="54" t="str">
        <f t="shared" si="155"/>
        <v>CAPUBERCAP</v>
      </c>
      <c r="B4646" t="s">
        <v>2565</v>
      </c>
      <c r="C4646" s="1">
        <f t="shared" si="154"/>
        <v>45979</v>
      </c>
      <c r="D4646" s="71" t="s">
        <v>31</v>
      </c>
      <c r="E4646" s="71" t="s">
        <v>189</v>
      </c>
      <c r="F4646" s="71" t="s">
        <v>31</v>
      </c>
      <c r="J4646" s="76" t="s">
        <v>2441</v>
      </c>
      <c r="L4646" s="522">
        <v>50</v>
      </c>
      <c r="M4646" s="136">
        <f t="shared" si="153"/>
        <v>-92627.100296666482</v>
      </c>
    </row>
    <row r="4647" spans="1:13">
      <c r="A4647" s="54" t="str">
        <f t="shared" si="155"/>
        <v>CAPJMASE6</v>
      </c>
      <c r="B4647" t="s">
        <v>2565</v>
      </c>
      <c r="C4647" s="1">
        <f t="shared" si="154"/>
        <v>45979</v>
      </c>
      <c r="D4647" s="71" t="s">
        <v>31</v>
      </c>
      <c r="E4647" s="71" t="s">
        <v>137</v>
      </c>
      <c r="F4647" s="71" t="s">
        <v>112</v>
      </c>
      <c r="J4647" s="76" t="s">
        <v>2719</v>
      </c>
      <c r="L4647" s="434">
        <v>257</v>
      </c>
      <c r="M4647" s="136">
        <f t="shared" si="153"/>
        <v>-92884.100296666482</v>
      </c>
    </row>
    <row r="4648" spans="1:13">
      <c r="A4648" s="54" t="str">
        <f t="shared" si="155"/>
        <v/>
      </c>
      <c r="B4648" s="1" t="str">
        <f>B4647</f>
        <v>Nov</v>
      </c>
      <c r="C4648" s="1">
        <f>C4647</f>
        <v>45979</v>
      </c>
      <c r="J4648" s="76" t="s">
        <v>2262</v>
      </c>
      <c r="L4648" s="522">
        <v>300</v>
      </c>
      <c r="M4648" s="136">
        <f t="shared" si="153"/>
        <v>-93184.100296666482</v>
      </c>
    </row>
    <row r="4649" spans="1:13">
      <c r="A4649" s="54" t="str">
        <f t="shared" si="155"/>
        <v/>
      </c>
      <c r="B4649" t="s">
        <v>2565</v>
      </c>
      <c r="C4649" s="1">
        <v>45980</v>
      </c>
      <c r="D4649" s="71"/>
      <c r="J4649" s="71" t="s">
        <v>2045</v>
      </c>
      <c r="K4649" s="325">
        <v>255640.95999999999</v>
      </c>
      <c r="L4649" s="432"/>
      <c r="M4649" s="136">
        <f t="shared" si="153"/>
        <v>162456.85970333352</v>
      </c>
    </row>
    <row r="4650" spans="1:13">
      <c r="A4650" s="54" t="str">
        <f t="shared" si="155"/>
        <v>FINANZASCOMISIONES BANCARIASTPV</v>
      </c>
      <c r="B4650" t="s">
        <v>2565</v>
      </c>
      <c r="C4650" s="1">
        <f>C4649</f>
        <v>45980</v>
      </c>
      <c r="D4650" t="s">
        <v>23</v>
      </c>
      <c r="E4650" t="s">
        <v>48</v>
      </c>
      <c r="F4650" t="s">
        <v>50</v>
      </c>
      <c r="J4650" s="71" t="s">
        <v>217</v>
      </c>
      <c r="L4650" s="433">
        <f>39.54+817.1+127.39+1412.96+928</f>
        <v>3324.99</v>
      </c>
      <c r="M4650" s="136">
        <f t="shared" si="153"/>
        <v>159131.86970333353</v>
      </c>
    </row>
    <row r="4651" spans="1:13">
      <c r="A4651" s="54" t="str">
        <f t="shared" si="155"/>
        <v/>
      </c>
      <c r="B4651" t="s">
        <v>2565</v>
      </c>
      <c r="C4651" s="1">
        <f>C4650</f>
        <v>45980</v>
      </c>
      <c r="J4651" s="71" t="s">
        <v>2720</v>
      </c>
      <c r="L4651" s="433">
        <f>3233+88530+48236.17+7468.59+16607.77</f>
        <v>164075.52999999997</v>
      </c>
      <c r="M4651" s="136">
        <f t="shared" si="153"/>
        <v>-4943.6602966664359</v>
      </c>
    </row>
    <row r="4652" spans="1:13">
      <c r="A4652" s="54" t="str">
        <f t="shared" si="155"/>
        <v/>
      </c>
      <c r="B4652" t="s">
        <v>2565</v>
      </c>
      <c r="C4652" s="1">
        <f>C4650</f>
        <v>45980</v>
      </c>
      <c r="D4652" s="71"/>
      <c r="J4652" s="205" t="s">
        <v>1562</v>
      </c>
      <c r="K4652" s="205"/>
      <c r="L4652" s="428">
        <v>200000</v>
      </c>
      <c r="M4652" s="136">
        <f t="shared" si="153"/>
        <v>-204943.66029666644</v>
      </c>
    </row>
    <row r="4653" spans="1:13">
      <c r="A4653" s="54" t="str">
        <f t="shared" si="155"/>
        <v/>
      </c>
      <c r="B4653" t="s">
        <v>2565</v>
      </c>
      <c r="C4653" s="1">
        <f t="shared" si="154"/>
        <v>45980</v>
      </c>
      <c r="D4653" s="71"/>
      <c r="J4653" s="205" t="s">
        <v>222</v>
      </c>
      <c r="K4653" s="205"/>
      <c r="L4653" s="428"/>
      <c r="M4653" s="136">
        <f t="shared" si="153"/>
        <v>-204943.66029666644</v>
      </c>
    </row>
    <row r="4654" spans="1:13">
      <c r="A4654" s="54" t="str">
        <f t="shared" si="155"/>
        <v>MKTINSUMOSINSUMOS</v>
      </c>
      <c r="B4654" t="s">
        <v>2565</v>
      </c>
      <c r="C4654" s="1">
        <v>45980</v>
      </c>
      <c r="D4654" s="71" t="s">
        <v>19</v>
      </c>
      <c r="E4654" s="71" t="s">
        <v>133</v>
      </c>
      <c r="F4654" s="70" t="s">
        <v>133</v>
      </c>
      <c r="J4654" s="71" t="s">
        <v>1649</v>
      </c>
      <c r="L4654" s="433">
        <v>2200</v>
      </c>
      <c r="M4654" s="136">
        <f t="shared" si="153"/>
        <v>-207143.66029666644</v>
      </c>
    </row>
    <row r="4655" spans="1:13">
      <c r="A4655" s="54" t="str">
        <f t="shared" si="155"/>
        <v>SERVICIOS INSUMOSCEDIS</v>
      </c>
      <c r="B4655" t="s">
        <v>2565</v>
      </c>
      <c r="C4655" s="1">
        <f t="shared" si="154"/>
        <v>45980</v>
      </c>
      <c r="D4655" s="71" t="s">
        <v>2721</v>
      </c>
      <c r="E4655" s="71" t="s">
        <v>133</v>
      </c>
      <c r="F4655" s="71" t="s">
        <v>28</v>
      </c>
      <c r="G4655" s="71" t="s">
        <v>258</v>
      </c>
      <c r="J4655" s="71" t="s">
        <v>2722</v>
      </c>
      <c r="L4655" s="433">
        <v>857</v>
      </c>
      <c r="M4655" s="136">
        <f t="shared" si="153"/>
        <v>-208000.66029666644</v>
      </c>
    </row>
    <row r="4656" spans="1:13">
      <c r="A4656" s="54" t="str">
        <f t="shared" si="155"/>
        <v>CAPVIATICOSCAPRICHOS</v>
      </c>
      <c r="B4656" t="s">
        <v>2565</v>
      </c>
      <c r="C4656" s="1">
        <f t="shared" si="154"/>
        <v>45980</v>
      </c>
      <c r="D4656" s="71" t="s">
        <v>31</v>
      </c>
      <c r="E4656" s="71" t="s">
        <v>191</v>
      </c>
      <c r="F4656" s="71" t="s">
        <v>33</v>
      </c>
      <c r="G4656" s="71" t="s">
        <v>258</v>
      </c>
      <c r="J4656" s="71" t="s">
        <v>2723</v>
      </c>
      <c r="L4656" s="433">
        <v>3000</v>
      </c>
      <c r="M4656" s="136">
        <f t="shared" si="153"/>
        <v>-211000.66029666644</v>
      </c>
    </row>
    <row r="4657" spans="1:13">
      <c r="A4657" s="54" t="str">
        <f t="shared" si="155"/>
        <v>MKTINSUMOSINSUMOS</v>
      </c>
      <c r="B4657" t="s">
        <v>2565</v>
      </c>
      <c r="C4657" s="1">
        <f t="shared" si="154"/>
        <v>45980</v>
      </c>
      <c r="D4657" s="71" t="s">
        <v>19</v>
      </c>
      <c r="E4657" s="71" t="s">
        <v>133</v>
      </c>
      <c r="F4657" s="70" t="s">
        <v>133</v>
      </c>
      <c r="J4657" s="71" t="s">
        <v>2724</v>
      </c>
      <c r="L4657" s="433">
        <v>627</v>
      </c>
      <c r="M4657" s="136">
        <f t="shared" si="153"/>
        <v>-211627.66029666644</v>
      </c>
    </row>
    <row r="4658" spans="1:13">
      <c r="A4658" s="54" t="str">
        <f t="shared" si="155"/>
        <v>MKTVIATICOSMKT</v>
      </c>
      <c r="B4658" t="s">
        <v>2565</v>
      </c>
      <c r="C4658" s="1">
        <f>C4656</f>
        <v>45980</v>
      </c>
      <c r="D4658" s="71" t="s">
        <v>19</v>
      </c>
      <c r="E4658" s="71" t="s">
        <v>191</v>
      </c>
      <c r="F4658" s="71" t="s">
        <v>19</v>
      </c>
      <c r="G4658" s="71" t="s">
        <v>258</v>
      </c>
      <c r="J4658" s="71" t="s">
        <v>2725</v>
      </c>
      <c r="L4658" s="433">
        <v>250</v>
      </c>
      <c r="M4658" s="136">
        <f t="shared" si="153"/>
        <v>-211877.66029666644</v>
      </c>
    </row>
    <row r="4659" spans="1:13">
      <c r="A4659" s="54" t="str">
        <f t="shared" si="155"/>
        <v>MKTFONDO Y REPOSICIONMKT</v>
      </c>
      <c r="B4659" t="s">
        <v>2565</v>
      </c>
      <c r="C4659" s="1">
        <f t="shared" si="154"/>
        <v>45980</v>
      </c>
      <c r="D4659" s="71" t="s">
        <v>19</v>
      </c>
      <c r="E4659" s="71" t="s">
        <v>120</v>
      </c>
      <c r="F4659" s="71" t="s">
        <v>19</v>
      </c>
      <c r="J4659" s="71" t="s">
        <v>2726</v>
      </c>
      <c r="L4659" s="433">
        <v>527</v>
      </c>
      <c r="M4659" s="136">
        <f t="shared" si="153"/>
        <v>-212404.66029666644</v>
      </c>
    </row>
    <row r="4660" spans="1:13">
      <c r="A4660" s="54" t="str">
        <f t="shared" si="155"/>
        <v>CAPFONDO Y REPOSICIONCAPRICHOS</v>
      </c>
      <c r="B4660" t="s">
        <v>2565</v>
      </c>
      <c r="C4660" s="1">
        <f t="shared" si="154"/>
        <v>45980</v>
      </c>
      <c r="D4660" s="242" t="s">
        <v>31</v>
      </c>
      <c r="E4660" s="71" t="s">
        <v>120</v>
      </c>
      <c r="F4660" s="70" t="s">
        <v>33</v>
      </c>
      <c r="J4660" s="71" t="s">
        <v>584</v>
      </c>
      <c r="L4660" s="433">
        <v>1705.55</v>
      </c>
      <c r="M4660" s="136">
        <f t="shared" si="153"/>
        <v>-214110.21029666642</v>
      </c>
    </row>
    <row r="4661" spans="1:13">
      <c r="A4661" s="54" t="str">
        <f t="shared" si="155"/>
        <v>MKTACTIVACION MKT</v>
      </c>
      <c r="B4661" t="s">
        <v>2565</v>
      </c>
      <c r="C4661" s="1">
        <f t="shared" si="154"/>
        <v>45980</v>
      </c>
      <c r="D4661" t="s">
        <v>19</v>
      </c>
      <c r="E4661" t="s">
        <v>20</v>
      </c>
      <c r="F4661" t="s">
        <v>19</v>
      </c>
      <c r="J4661" s="71" t="s">
        <v>2727</v>
      </c>
      <c r="L4661" s="433">
        <v>1500</v>
      </c>
      <c r="M4661" s="136">
        <f t="shared" si="153"/>
        <v>-215610.21029666642</v>
      </c>
    </row>
    <row r="4662" spans="1:13">
      <c r="A4662" s="54" t="str">
        <f t="shared" si="155"/>
        <v>SERVICIOSFONDO Y REPOSICIONSERVICIOS</v>
      </c>
      <c r="B4662" t="s">
        <v>2565</v>
      </c>
      <c r="C4662" s="1">
        <f t="shared" si="154"/>
        <v>45980</v>
      </c>
      <c r="D4662" s="242" t="s">
        <v>21</v>
      </c>
      <c r="E4662" s="71" t="s">
        <v>120</v>
      </c>
      <c r="F4662" s="71" t="s">
        <v>21</v>
      </c>
      <c r="J4662" s="71" t="s">
        <v>710</v>
      </c>
      <c r="L4662" s="433">
        <v>2000</v>
      </c>
      <c r="M4662" s="136">
        <f t="shared" si="153"/>
        <v>-217610.21029666642</v>
      </c>
    </row>
    <row r="4663" spans="1:13">
      <c r="A4663" s="54" t="str">
        <f t="shared" si="155"/>
        <v>HRFONDO Y REPOSICIONHR</v>
      </c>
      <c r="B4663" t="s">
        <v>2565</v>
      </c>
      <c r="C4663" s="1">
        <f t="shared" si="154"/>
        <v>45980</v>
      </c>
      <c r="D4663" s="242" t="s">
        <v>29</v>
      </c>
      <c r="E4663" s="71" t="s">
        <v>120</v>
      </c>
      <c r="F4663" s="71" t="s">
        <v>29</v>
      </c>
      <c r="J4663" s="71" t="s">
        <v>2728</v>
      </c>
      <c r="L4663" s="433">
        <v>2990</v>
      </c>
      <c r="M4663" s="136">
        <f t="shared" si="153"/>
        <v>-220600.21029666642</v>
      </c>
    </row>
    <row r="4664" spans="1:13">
      <c r="A4664" s="54" t="str">
        <f t="shared" si="155"/>
        <v>HRFONDO Y REPOSICIONHR</v>
      </c>
      <c r="B4664" t="s">
        <v>2565</v>
      </c>
      <c r="C4664" s="1">
        <f t="shared" si="154"/>
        <v>45980</v>
      </c>
      <c r="D4664" s="242" t="s">
        <v>29</v>
      </c>
      <c r="E4664" s="71" t="s">
        <v>120</v>
      </c>
      <c r="F4664" s="71" t="s">
        <v>29</v>
      </c>
      <c r="J4664" s="71" t="s">
        <v>1240</v>
      </c>
      <c r="L4664" s="433">
        <v>1688</v>
      </c>
      <c r="M4664" s="136">
        <f t="shared" si="153"/>
        <v>-222288.21029666642</v>
      </c>
    </row>
    <row r="4665" spans="1:13">
      <c r="A4665" s="54" t="str">
        <f t="shared" si="155"/>
        <v>HRFONDO Y REPOSICIONHR</v>
      </c>
      <c r="B4665" t="s">
        <v>2565</v>
      </c>
      <c r="C4665" s="1">
        <f t="shared" si="154"/>
        <v>45980</v>
      </c>
      <c r="D4665" s="242" t="s">
        <v>29</v>
      </c>
      <c r="E4665" s="71" t="s">
        <v>120</v>
      </c>
      <c r="F4665" s="71" t="s">
        <v>29</v>
      </c>
      <c r="J4665" s="71" t="s">
        <v>2729</v>
      </c>
      <c r="L4665" s="433">
        <v>6484</v>
      </c>
      <c r="M4665" s="136">
        <f t="shared" si="153"/>
        <v>-228772.21029666642</v>
      </c>
    </row>
    <row r="4666" spans="1:13">
      <c r="A4666" s="54" t="str">
        <f t="shared" si="155"/>
        <v>CAPFONDO Y REPOSICIONCAPRICHOS</v>
      </c>
      <c r="B4666" t="s">
        <v>2565</v>
      </c>
      <c r="C4666" s="1">
        <f t="shared" si="154"/>
        <v>45980</v>
      </c>
      <c r="D4666" s="242" t="s">
        <v>31</v>
      </c>
      <c r="E4666" s="71" t="s">
        <v>120</v>
      </c>
      <c r="F4666" s="70" t="s">
        <v>33</v>
      </c>
      <c r="G4666" s="71" t="s">
        <v>258</v>
      </c>
      <c r="J4666" s="71" t="s">
        <v>1087</v>
      </c>
      <c r="L4666" s="433">
        <v>4774</v>
      </c>
      <c r="M4666" s="136">
        <f t="shared" si="153"/>
        <v>-233546.21029666642</v>
      </c>
    </row>
    <row r="4667" spans="1:13">
      <c r="A4667" s="54" t="str">
        <f t="shared" si="155"/>
        <v>SERVICIOSGASCEDIS</v>
      </c>
      <c r="B4667" t="s">
        <v>2565</v>
      </c>
      <c r="C4667" s="1">
        <f t="shared" si="154"/>
        <v>45980</v>
      </c>
      <c r="D4667" s="242" t="s">
        <v>21</v>
      </c>
      <c r="E4667" s="71" t="s">
        <v>122</v>
      </c>
      <c r="F4667" s="70" t="s">
        <v>28</v>
      </c>
      <c r="G4667" s="71" t="s">
        <v>258</v>
      </c>
      <c r="J4667" s="71" t="s">
        <v>2686</v>
      </c>
      <c r="L4667" s="433">
        <v>300</v>
      </c>
      <c r="M4667" s="136">
        <f t="shared" si="153"/>
        <v>-233846.21029666642</v>
      </c>
    </row>
    <row r="4668" spans="1:13">
      <c r="A4668" s="54" t="str">
        <f t="shared" si="155"/>
        <v>FINANZASCUOTAS Y SUSCRIPCIONESKOLBEE</v>
      </c>
      <c r="B4668" t="s">
        <v>2565</v>
      </c>
      <c r="C4668" s="1">
        <f t="shared" si="154"/>
        <v>45980</v>
      </c>
      <c r="D4668" s="242" t="s">
        <v>23</v>
      </c>
      <c r="E4668" s="71" t="s">
        <v>51</v>
      </c>
      <c r="F4668" s="71" t="s">
        <v>69</v>
      </c>
      <c r="G4668" s="71" t="s">
        <v>258</v>
      </c>
      <c r="J4668" s="71" t="s">
        <v>2730</v>
      </c>
      <c r="L4668" s="433">
        <v>1050</v>
      </c>
      <c r="M4668" s="136">
        <f t="shared" si="153"/>
        <v>-234896.21029666642</v>
      </c>
    </row>
    <row r="4669" spans="1:13">
      <c r="A4669" s="54" t="str">
        <f t="shared" si="155"/>
        <v>SERVICIOSINSUMOSCEDIS</v>
      </c>
      <c r="B4669" t="s">
        <v>2565</v>
      </c>
      <c r="C4669" s="1">
        <f t="shared" si="154"/>
        <v>45980</v>
      </c>
      <c r="D4669" s="242" t="s">
        <v>21</v>
      </c>
      <c r="E4669" s="71" t="s">
        <v>133</v>
      </c>
      <c r="F4669" s="71" t="s">
        <v>28</v>
      </c>
      <c r="G4669" s="71" t="s">
        <v>258</v>
      </c>
      <c r="J4669" s="71" t="s">
        <v>2731</v>
      </c>
      <c r="L4669" s="433">
        <v>528</v>
      </c>
      <c r="M4669" s="136">
        <f t="shared" si="153"/>
        <v>-235424.21029666642</v>
      </c>
    </row>
    <row r="4670" spans="1:13">
      <c r="A4670" s="54" t="str">
        <f t="shared" si="155"/>
        <v>HRUBERHR</v>
      </c>
      <c r="B4670" t="s">
        <v>2565</v>
      </c>
      <c r="C4670" s="1">
        <f t="shared" si="154"/>
        <v>45980</v>
      </c>
      <c r="D4670" s="242" t="s">
        <v>29</v>
      </c>
      <c r="E4670" s="71" t="s">
        <v>189</v>
      </c>
      <c r="F4670" s="71" t="s">
        <v>29</v>
      </c>
      <c r="G4670" s="71" t="s">
        <v>258</v>
      </c>
      <c r="J4670" s="76" t="s">
        <v>2388</v>
      </c>
      <c r="L4670" s="522">
        <v>502</v>
      </c>
      <c r="M4670" s="136">
        <f t="shared" si="153"/>
        <v>-235926.21029666642</v>
      </c>
    </row>
    <row r="4671" spans="1:13">
      <c r="A4671" s="54" t="str">
        <f t="shared" si="155"/>
        <v>CAPUBERCAP</v>
      </c>
      <c r="B4671" t="s">
        <v>2565</v>
      </c>
      <c r="C4671" s="1">
        <f t="shared" si="154"/>
        <v>45980</v>
      </c>
      <c r="D4671" s="242" t="s">
        <v>31</v>
      </c>
      <c r="E4671" s="71" t="s">
        <v>189</v>
      </c>
      <c r="F4671" s="71" t="s">
        <v>31</v>
      </c>
      <c r="J4671" s="76" t="s">
        <v>2262</v>
      </c>
      <c r="L4671" s="522">
        <v>162</v>
      </c>
      <c r="M4671" s="136">
        <f t="shared" si="153"/>
        <v>-236088.21029666642</v>
      </c>
    </row>
    <row r="4672" spans="1:13">
      <c r="A4672" s="54" t="str">
        <f t="shared" si="155"/>
        <v>CAPUBERCAP</v>
      </c>
      <c r="B4672" t="s">
        <v>2565</v>
      </c>
      <c r="C4672" s="1">
        <f t="shared" si="154"/>
        <v>45980</v>
      </c>
      <c r="D4672" s="242" t="s">
        <v>31</v>
      </c>
      <c r="E4672" s="71" t="s">
        <v>189</v>
      </c>
      <c r="F4672" s="71" t="s">
        <v>31</v>
      </c>
      <c r="J4672" s="76" t="s">
        <v>2278</v>
      </c>
      <c r="L4672" s="522">
        <v>100</v>
      </c>
      <c r="M4672" s="136">
        <f t="shared" si="153"/>
        <v>-236188.21029666642</v>
      </c>
    </row>
    <row r="4673" spans="1:13">
      <c r="A4673" s="54" t="str">
        <f t="shared" si="155"/>
        <v>SERVICIOSMTTO DE EDIFICIOMANTENIMIENTO</v>
      </c>
      <c r="B4673" t="s">
        <v>2565</v>
      </c>
      <c r="C4673" s="1">
        <f t="shared" si="154"/>
        <v>45980</v>
      </c>
      <c r="D4673" s="242" t="s">
        <v>21</v>
      </c>
      <c r="E4673" s="71" t="s">
        <v>142</v>
      </c>
      <c r="F4673" s="71" t="s">
        <v>35</v>
      </c>
      <c r="J4673" s="76" t="s">
        <v>2732</v>
      </c>
      <c r="L4673" s="434">
        <v>1345.6</v>
      </c>
      <c r="M4673" s="136">
        <f t="shared" si="153"/>
        <v>-237533.81029666643</v>
      </c>
    </row>
    <row r="4674" spans="1:13">
      <c r="A4674" s="54" t="str">
        <f t="shared" si="155"/>
        <v>CAPINSUMOSCAPRICHOS</v>
      </c>
      <c r="B4674" t="s">
        <v>2565</v>
      </c>
      <c r="C4674" s="1">
        <f t="shared" si="154"/>
        <v>45980</v>
      </c>
      <c r="D4674" s="242" t="s">
        <v>31</v>
      </c>
      <c r="E4674" s="71" t="s">
        <v>133</v>
      </c>
      <c r="F4674" s="71" t="s">
        <v>33</v>
      </c>
      <c r="G4674" s="71" t="s">
        <v>258</v>
      </c>
      <c r="J4674" s="76" t="s">
        <v>2733</v>
      </c>
      <c r="L4674" s="434">
        <v>310</v>
      </c>
      <c r="M4674" s="136">
        <f t="shared" si="153"/>
        <v>-237843.81029666643</v>
      </c>
    </row>
    <row r="4675" spans="1:13">
      <c r="A4675" s="54" t="str">
        <f t="shared" si="155"/>
        <v/>
      </c>
      <c r="B4675" t="s">
        <v>2565</v>
      </c>
      <c r="C4675" s="1">
        <v>45981</v>
      </c>
      <c r="D4675" s="71"/>
      <c r="J4675" s="71" t="s">
        <v>2045</v>
      </c>
      <c r="K4675" s="325">
        <v>244608.22</v>
      </c>
      <c r="L4675" s="432"/>
      <c r="M4675" s="136">
        <f t="shared" si="153"/>
        <v>6764.4097033335711</v>
      </c>
    </row>
    <row r="4676" spans="1:13">
      <c r="A4676" s="54" t="str">
        <f t="shared" si="155"/>
        <v>FINANZASCOMISIONES BANCARIASTPV</v>
      </c>
      <c r="B4676" t="s">
        <v>2565</v>
      </c>
      <c r="C4676" s="1">
        <f t="shared" si="154"/>
        <v>45981</v>
      </c>
      <c r="D4676" t="s">
        <v>23</v>
      </c>
      <c r="E4676" t="s">
        <v>48</v>
      </c>
      <c r="F4676" t="s">
        <v>50</v>
      </c>
      <c r="J4676" s="71" t="s">
        <v>217</v>
      </c>
      <c r="L4676" s="433">
        <f>37.72+672.14+26.79+1858.45+2913.04+752.62</f>
        <v>6260.7599999999993</v>
      </c>
      <c r="M4676" s="136">
        <f t="shared" ref="M4676:M4735" si="156">M4675+K4676-L4676</f>
        <v>503.64970333357178</v>
      </c>
    </row>
    <row r="4677" spans="1:13">
      <c r="A4677" s="54" t="str">
        <f t="shared" si="155"/>
        <v/>
      </c>
      <c r="B4677" t="s">
        <v>2565</v>
      </c>
      <c r="C4677" s="1">
        <f t="shared" si="154"/>
        <v>45981</v>
      </c>
      <c r="D4677" s="71"/>
      <c r="J4677" s="205" t="s">
        <v>1562</v>
      </c>
      <c r="K4677" s="205"/>
      <c r="L4677" s="428">
        <v>100000</v>
      </c>
      <c r="M4677" s="136">
        <f t="shared" si="156"/>
        <v>-99496.350296666424</v>
      </c>
    </row>
    <row r="4678" spans="1:13">
      <c r="A4678" s="54" t="str">
        <f t="shared" si="155"/>
        <v/>
      </c>
      <c r="B4678" t="s">
        <v>2565</v>
      </c>
      <c r="C4678" s="1">
        <f t="shared" si="154"/>
        <v>45981</v>
      </c>
      <c r="D4678" s="71"/>
      <c r="J4678" s="205" t="s">
        <v>222</v>
      </c>
      <c r="K4678" s="205"/>
      <c r="L4678" s="428"/>
      <c r="M4678" s="136">
        <f t="shared" si="156"/>
        <v>-99496.350296666424</v>
      </c>
    </row>
    <row r="4679" spans="1:13">
      <c r="A4679" s="54" t="str">
        <f t="shared" si="155"/>
        <v>SGEVIATICOSGESTION EMPRESARIAL</v>
      </c>
      <c r="B4679" t="s">
        <v>2565</v>
      </c>
      <c r="C4679" s="1">
        <f t="shared" si="154"/>
        <v>45981</v>
      </c>
      <c r="D4679" s="242" t="s">
        <v>39</v>
      </c>
      <c r="E4679" s="71" t="s">
        <v>191</v>
      </c>
      <c r="F4679" s="71" t="s">
        <v>40</v>
      </c>
      <c r="J4679" s="71" t="s">
        <v>1028</v>
      </c>
      <c r="L4679" s="433">
        <v>2900</v>
      </c>
      <c r="M4679" s="136">
        <f t="shared" si="156"/>
        <v>-102396.35029666642</v>
      </c>
    </row>
    <row r="4680" spans="1:13">
      <c r="A4680" s="54" t="str">
        <f t="shared" si="155"/>
        <v>SERVICIOSVIATICOSCEDIS</v>
      </c>
      <c r="B4680" t="s">
        <v>2565</v>
      </c>
      <c r="C4680" s="1">
        <f t="shared" si="154"/>
        <v>45981</v>
      </c>
      <c r="D4680" s="242" t="s">
        <v>21</v>
      </c>
      <c r="E4680" s="71" t="s">
        <v>191</v>
      </c>
      <c r="F4680" s="71" t="s">
        <v>28</v>
      </c>
      <c r="G4680" s="71" t="s">
        <v>258</v>
      </c>
      <c r="J4680" s="71" t="s">
        <v>2734</v>
      </c>
      <c r="L4680" s="433">
        <v>590</v>
      </c>
      <c r="M4680" s="136">
        <f t="shared" si="156"/>
        <v>-102986.35029666642</v>
      </c>
    </row>
    <row r="4681" spans="1:13">
      <c r="A4681" s="54" t="str">
        <f t="shared" si="155"/>
        <v>HRVIATICOSHR</v>
      </c>
      <c r="B4681" t="s">
        <v>2565</v>
      </c>
      <c r="C4681" s="1">
        <f t="shared" si="154"/>
        <v>45981</v>
      </c>
      <c r="D4681" s="242" t="s">
        <v>29</v>
      </c>
      <c r="E4681" s="71" t="s">
        <v>191</v>
      </c>
      <c r="F4681" s="71" t="s">
        <v>29</v>
      </c>
      <c r="J4681" s="71" t="s">
        <v>2735</v>
      </c>
      <c r="L4681" s="433">
        <v>3800</v>
      </c>
      <c r="M4681" s="136">
        <f t="shared" si="156"/>
        <v>-106786.35029666642</v>
      </c>
    </row>
    <row r="4682" spans="1:13">
      <c r="A4682" s="54" t="str">
        <f t="shared" si="155"/>
        <v>HRVIATICOSHR</v>
      </c>
      <c r="B4682" t="s">
        <v>2565</v>
      </c>
      <c r="C4682" s="1">
        <f t="shared" si="154"/>
        <v>45981</v>
      </c>
      <c r="D4682" s="242" t="s">
        <v>29</v>
      </c>
      <c r="E4682" s="71" t="s">
        <v>191</v>
      </c>
      <c r="F4682" s="71" t="s">
        <v>29</v>
      </c>
      <c r="J4682" s="71" t="s">
        <v>2736</v>
      </c>
      <c r="L4682" s="433">
        <v>2500</v>
      </c>
      <c r="M4682" s="136">
        <f t="shared" si="156"/>
        <v>-109286.35029666642</v>
      </c>
    </row>
    <row r="4683" spans="1:13">
      <c r="A4683" s="54" t="str">
        <f t="shared" si="155"/>
        <v>HRVIATICOSHR</v>
      </c>
      <c r="B4683" t="s">
        <v>2565</v>
      </c>
      <c r="C4683" s="1">
        <f t="shared" si="154"/>
        <v>45981</v>
      </c>
      <c r="D4683" s="242" t="s">
        <v>29</v>
      </c>
      <c r="E4683" s="71" t="s">
        <v>191</v>
      </c>
      <c r="F4683" s="71" t="s">
        <v>29</v>
      </c>
      <c r="J4683" s="71" t="s">
        <v>1487</v>
      </c>
      <c r="L4683" s="433">
        <v>4200</v>
      </c>
      <c r="M4683" s="136">
        <f t="shared" si="156"/>
        <v>-113486.35029666642</v>
      </c>
    </row>
    <row r="4684" spans="1:13">
      <c r="A4684" s="54" t="str">
        <f t="shared" si="155"/>
        <v>CAPUBERCAP</v>
      </c>
      <c r="B4684" t="s">
        <v>2565</v>
      </c>
      <c r="C4684" s="1">
        <f t="shared" si="154"/>
        <v>45981</v>
      </c>
      <c r="D4684" s="242" t="s">
        <v>31</v>
      </c>
      <c r="E4684" s="71" t="s">
        <v>189</v>
      </c>
      <c r="F4684" s="71" t="s">
        <v>31</v>
      </c>
      <c r="J4684" s="76" t="s">
        <v>2344</v>
      </c>
      <c r="L4684" s="522">
        <v>121</v>
      </c>
      <c r="M4684" s="136">
        <f t="shared" si="156"/>
        <v>-113607.35029666642</v>
      </c>
    </row>
    <row r="4685" spans="1:13">
      <c r="A4685" s="54" t="str">
        <f t="shared" si="155"/>
        <v>CAPUBERCAP</v>
      </c>
      <c r="B4685" t="s">
        <v>2565</v>
      </c>
      <c r="C4685" s="1">
        <f t="shared" si="154"/>
        <v>45981</v>
      </c>
      <c r="D4685" s="242" t="s">
        <v>31</v>
      </c>
      <c r="E4685" s="71" t="s">
        <v>189</v>
      </c>
      <c r="F4685" s="71" t="s">
        <v>31</v>
      </c>
      <c r="J4685" s="76" t="s">
        <v>2441</v>
      </c>
      <c r="L4685" s="522">
        <v>50</v>
      </c>
      <c r="M4685" s="136">
        <f t="shared" si="156"/>
        <v>-113657.35029666642</v>
      </c>
    </row>
    <row r="4686" spans="1:13">
      <c r="A4686" s="54" t="str">
        <f t="shared" si="155"/>
        <v>MKTACTIVACION MKT</v>
      </c>
      <c r="B4686" t="s">
        <v>2565</v>
      </c>
      <c r="C4686" s="1">
        <f t="shared" si="154"/>
        <v>45981</v>
      </c>
      <c r="D4686" t="s">
        <v>19</v>
      </c>
      <c r="E4686" t="s">
        <v>20</v>
      </c>
      <c r="F4686" t="s">
        <v>19</v>
      </c>
      <c r="J4686" s="76" t="s">
        <v>2737</v>
      </c>
      <c r="L4686" s="434">
        <v>71</v>
      </c>
      <c r="M4686" s="136">
        <f t="shared" si="156"/>
        <v>-113728.35029666642</v>
      </c>
    </row>
    <row r="4687" spans="1:13">
      <c r="A4687" s="54" t="str">
        <f t="shared" si="155"/>
        <v>HRUBERHR</v>
      </c>
      <c r="B4687" t="s">
        <v>2565</v>
      </c>
      <c r="C4687" s="1">
        <f t="shared" si="154"/>
        <v>45981</v>
      </c>
      <c r="D4687" s="242" t="s">
        <v>29</v>
      </c>
      <c r="E4687" s="71" t="s">
        <v>189</v>
      </c>
      <c r="F4687" s="71" t="s">
        <v>29</v>
      </c>
      <c r="G4687" s="71" t="s">
        <v>258</v>
      </c>
      <c r="J4687" s="76" t="s">
        <v>2669</v>
      </c>
      <c r="L4687" s="522">
        <v>339</v>
      </c>
      <c r="M4687" s="136">
        <f t="shared" si="156"/>
        <v>-114067.35029666642</v>
      </c>
    </row>
    <row r="4688" spans="1:13">
      <c r="A4688" s="54" t="str">
        <f t="shared" si="155"/>
        <v>HRUBERHR</v>
      </c>
      <c r="B4688" t="s">
        <v>2565</v>
      </c>
      <c r="C4688" s="1">
        <f t="shared" si="154"/>
        <v>45981</v>
      </c>
      <c r="D4688" s="242" t="s">
        <v>29</v>
      </c>
      <c r="E4688" s="71" t="s">
        <v>189</v>
      </c>
      <c r="F4688" s="71" t="s">
        <v>29</v>
      </c>
      <c r="G4688" s="71" t="s">
        <v>258</v>
      </c>
      <c r="J4688" s="76" t="s">
        <v>2738</v>
      </c>
      <c r="L4688" s="522">
        <v>640</v>
      </c>
      <c r="M4688" s="136">
        <f t="shared" si="156"/>
        <v>-114707.35029666642</v>
      </c>
    </row>
    <row r="4689" spans="1:14">
      <c r="A4689" s="54" t="str">
        <f t="shared" si="155"/>
        <v/>
      </c>
      <c r="B4689" t="s">
        <v>2565</v>
      </c>
      <c r="C4689" s="214">
        <v>45982</v>
      </c>
      <c r="D4689" s="71"/>
      <c r="J4689" s="71" t="s">
        <v>2045</v>
      </c>
      <c r="K4689" s="325">
        <v>272789.42</v>
      </c>
      <c r="L4689" s="432"/>
      <c r="M4689" s="136">
        <f t="shared" si="156"/>
        <v>158082.06970333355</v>
      </c>
    </row>
    <row r="4690" spans="1:14">
      <c r="A4690" s="54" t="str">
        <f t="shared" si="155"/>
        <v>FINANZASCOMISIONES BANCARIASTPV</v>
      </c>
      <c r="B4690" t="s">
        <v>2565</v>
      </c>
      <c r="C4690" s="1">
        <f>C4689</f>
        <v>45982</v>
      </c>
      <c r="D4690" t="s">
        <v>23</v>
      </c>
      <c r="E4690" t="s">
        <v>48</v>
      </c>
      <c r="F4690" t="s">
        <v>50</v>
      </c>
      <c r="J4690" s="71" t="s">
        <v>217</v>
      </c>
      <c r="L4690" s="433">
        <f>1286.08+667.79+711.8+69.53+3063.11+1108.17+1700+5.8+3.48</f>
        <v>8615.7599999999984</v>
      </c>
      <c r="M4690" s="136">
        <f t="shared" si="156"/>
        <v>149466.30970333354</v>
      </c>
    </row>
    <row r="4691" spans="1:14">
      <c r="A4691" s="54" t="str">
        <f t="shared" si="155"/>
        <v/>
      </c>
      <c r="B4691" t="s">
        <v>2565</v>
      </c>
      <c r="C4691" s="1">
        <f t="shared" si="154"/>
        <v>45982</v>
      </c>
      <c r="D4691" s="71"/>
      <c r="J4691" s="205" t="s">
        <v>1562</v>
      </c>
      <c r="K4691" s="205"/>
      <c r="L4691" s="428">
        <v>200000</v>
      </c>
      <c r="M4691" s="136">
        <f t="shared" si="156"/>
        <v>-50533.690296666464</v>
      </c>
    </row>
    <row r="4692" spans="1:14">
      <c r="A4692" s="54" t="str">
        <f t="shared" si="155"/>
        <v/>
      </c>
      <c r="B4692" t="s">
        <v>2565</v>
      </c>
      <c r="C4692" s="1">
        <f t="shared" ref="C4692:C4754" si="157">C4691</f>
        <v>45982</v>
      </c>
      <c r="D4692" s="71"/>
      <c r="J4692" s="205" t="s">
        <v>222</v>
      </c>
      <c r="K4692" s="205"/>
      <c r="L4692" s="205"/>
      <c r="M4692" s="136">
        <f t="shared" si="156"/>
        <v>-50533.690296666464</v>
      </c>
    </row>
    <row r="4693" spans="1:14" s="229" customFormat="1">
      <c r="A4693" s="54" t="str">
        <f t="shared" si="155"/>
        <v>HRIMAGEN VISUALIMAGEN VISUAL HR</v>
      </c>
      <c r="B4693" s="229" t="s">
        <v>2565</v>
      </c>
      <c r="C4693" s="244">
        <f t="shared" si="157"/>
        <v>45982</v>
      </c>
      <c r="D4693" s="242" t="s">
        <v>29</v>
      </c>
      <c r="E4693" s="242" t="s">
        <v>127</v>
      </c>
      <c r="F4693" s="242" t="s">
        <v>128</v>
      </c>
      <c r="G4693" s="242"/>
      <c r="H4693" s="423"/>
      <c r="I4693" s="83"/>
      <c r="J4693" s="242" t="s">
        <v>1095</v>
      </c>
      <c r="K4693" s="332"/>
      <c r="L4693" s="433">
        <v>34467</v>
      </c>
      <c r="M4693" s="163">
        <f t="shared" si="156"/>
        <v>-85000.690296666464</v>
      </c>
      <c r="N4693" s="242"/>
    </row>
    <row r="4694" spans="1:14">
      <c r="A4694" s="54" t="str">
        <f t="shared" ref="A4694:A4757" si="158">D4694&amp;E4694&amp;F4694</f>
        <v/>
      </c>
      <c r="B4694" t="s">
        <v>2565</v>
      </c>
      <c r="C4694" s="1">
        <f t="shared" si="157"/>
        <v>45982</v>
      </c>
      <c r="J4694" s="71" t="s">
        <v>564</v>
      </c>
      <c r="L4694" s="433">
        <v>36827</v>
      </c>
      <c r="M4694" s="136">
        <f t="shared" si="156"/>
        <v>-121827.69029666646</v>
      </c>
    </row>
    <row r="4695" spans="1:14">
      <c r="A4695" s="54" t="str">
        <f t="shared" si="158"/>
        <v>HRVIATICOSHR</v>
      </c>
      <c r="B4695" t="s">
        <v>2565</v>
      </c>
      <c r="C4695" s="1">
        <f t="shared" si="157"/>
        <v>45982</v>
      </c>
      <c r="D4695" s="242" t="s">
        <v>29</v>
      </c>
      <c r="E4695" s="71" t="s">
        <v>191</v>
      </c>
      <c r="F4695" s="71" t="s">
        <v>29</v>
      </c>
      <c r="J4695" s="71" t="s">
        <v>2739</v>
      </c>
      <c r="L4695" s="433">
        <v>2800</v>
      </c>
      <c r="M4695" s="136">
        <f t="shared" si="156"/>
        <v>-124627.69029666646</v>
      </c>
    </row>
    <row r="4696" spans="1:14">
      <c r="A4696" s="54" t="str">
        <f t="shared" si="158"/>
        <v>ELIVIATICOSL1</v>
      </c>
      <c r="B4696" t="s">
        <v>2565</v>
      </c>
      <c r="C4696" s="1">
        <f t="shared" si="157"/>
        <v>45982</v>
      </c>
      <c r="D4696" s="242" t="s">
        <v>130</v>
      </c>
      <c r="E4696" s="71" t="s">
        <v>191</v>
      </c>
      <c r="F4696" s="71" t="s">
        <v>136</v>
      </c>
      <c r="G4696" s="71" t="s">
        <v>258</v>
      </c>
      <c r="J4696" s="71" t="s">
        <v>1264</v>
      </c>
      <c r="L4696" s="433">
        <v>1000</v>
      </c>
      <c r="M4696" s="136">
        <f t="shared" si="156"/>
        <v>-125627.69029666646</v>
      </c>
    </row>
    <row r="4697" spans="1:14">
      <c r="A4697" s="54" t="str">
        <f t="shared" si="158"/>
        <v>DEVIATICOSDIRECCION</v>
      </c>
      <c r="B4697" t="s">
        <v>2565</v>
      </c>
      <c r="C4697" s="1">
        <f t="shared" si="157"/>
        <v>45982</v>
      </c>
      <c r="D4697" s="242" t="s">
        <v>41</v>
      </c>
      <c r="E4697" s="71" t="s">
        <v>191</v>
      </c>
      <c r="F4697" s="71" t="s">
        <v>42</v>
      </c>
      <c r="J4697" s="71" t="s">
        <v>2133</v>
      </c>
      <c r="L4697" s="433">
        <v>1000</v>
      </c>
      <c r="M4697" s="136">
        <f t="shared" si="156"/>
        <v>-126627.69029666646</v>
      </c>
    </row>
    <row r="4698" spans="1:14">
      <c r="A4698" s="54" t="str">
        <f t="shared" si="158"/>
        <v>SERVICIOSINSUMOSCEDIS</v>
      </c>
      <c r="B4698" t="s">
        <v>2565</v>
      </c>
      <c r="C4698" s="1">
        <f t="shared" si="157"/>
        <v>45982</v>
      </c>
      <c r="D4698" s="242" t="s">
        <v>21</v>
      </c>
      <c r="E4698" s="71" t="s">
        <v>133</v>
      </c>
      <c r="F4698" s="71" t="s">
        <v>28</v>
      </c>
      <c r="G4698" s="71" t="s">
        <v>258</v>
      </c>
      <c r="J4698" s="71" t="s">
        <v>2740</v>
      </c>
      <c r="L4698" s="433">
        <v>3000</v>
      </c>
      <c r="M4698" s="136">
        <f t="shared" si="156"/>
        <v>-129627.69029666646</v>
      </c>
    </row>
    <row r="4699" spans="1:14">
      <c r="A4699" s="54" t="str">
        <f t="shared" si="158"/>
        <v>SERVICIOSVIATICOSCEDIS</v>
      </c>
      <c r="B4699" t="s">
        <v>2565</v>
      </c>
      <c r="C4699" s="1">
        <f t="shared" si="157"/>
        <v>45982</v>
      </c>
      <c r="D4699" s="242" t="s">
        <v>21</v>
      </c>
      <c r="E4699" s="71" t="s">
        <v>191</v>
      </c>
      <c r="F4699" s="71" t="s">
        <v>28</v>
      </c>
      <c r="G4699" s="71" t="s">
        <v>258</v>
      </c>
      <c r="J4699" s="71" t="s">
        <v>1158</v>
      </c>
      <c r="L4699" s="433">
        <v>2050</v>
      </c>
      <c r="M4699" s="136">
        <f t="shared" si="156"/>
        <v>-131677.69029666646</v>
      </c>
    </row>
    <row r="4700" spans="1:14">
      <c r="A4700" s="54" t="str">
        <f t="shared" si="158"/>
        <v>FINANZASCUOTAS Y SUSCRIPCIONESREVALIDACION</v>
      </c>
      <c r="B4700" t="s">
        <v>2565</v>
      </c>
      <c r="C4700" s="1">
        <f t="shared" si="157"/>
        <v>45982</v>
      </c>
      <c r="D4700" t="s">
        <v>23</v>
      </c>
      <c r="E4700" t="s">
        <v>51</v>
      </c>
      <c r="F4700" t="s">
        <v>64</v>
      </c>
      <c r="G4700" s="71" t="s">
        <v>258</v>
      </c>
      <c r="J4700" s="71" t="s">
        <v>2741</v>
      </c>
      <c r="L4700" s="433">
        <v>70797</v>
      </c>
      <c r="M4700" s="136">
        <f t="shared" si="156"/>
        <v>-202474.69029666646</v>
      </c>
    </row>
    <row r="4701" spans="1:14">
      <c r="A4701" s="54" t="str">
        <f t="shared" si="158"/>
        <v>MKTMKTINFLUENCERS</v>
      </c>
      <c r="B4701" t="s">
        <v>2565</v>
      </c>
      <c r="C4701" s="1">
        <f t="shared" si="157"/>
        <v>45982</v>
      </c>
      <c r="D4701" s="71" t="s">
        <v>19</v>
      </c>
      <c r="E4701" s="71" t="s">
        <v>19</v>
      </c>
      <c r="F4701" s="70" t="s">
        <v>141</v>
      </c>
      <c r="J4701" s="71" t="s">
        <v>2024</v>
      </c>
      <c r="L4701" s="433">
        <v>5000</v>
      </c>
      <c r="M4701" s="136">
        <f t="shared" si="156"/>
        <v>-207474.69029666646</v>
      </c>
    </row>
    <row r="4702" spans="1:14">
      <c r="A4702" s="54" t="str">
        <f t="shared" si="158"/>
        <v>MKTINSUMOSINSUMOS</v>
      </c>
      <c r="B4702" t="s">
        <v>2565</v>
      </c>
      <c r="C4702" s="1">
        <f t="shared" si="157"/>
        <v>45982</v>
      </c>
      <c r="D4702" s="242" t="s">
        <v>19</v>
      </c>
      <c r="E4702" s="71" t="s">
        <v>133</v>
      </c>
      <c r="F4702" s="70" t="s">
        <v>133</v>
      </c>
      <c r="J4702" s="71" t="s">
        <v>2742</v>
      </c>
      <c r="L4702" s="433">
        <v>2600</v>
      </c>
      <c r="M4702" s="136">
        <f t="shared" si="156"/>
        <v>-210074.69029666646</v>
      </c>
    </row>
    <row r="4703" spans="1:14">
      <c r="A4703" s="54" t="str">
        <f t="shared" si="158"/>
        <v>MKTINSUMOSINSUMOS</v>
      </c>
      <c r="B4703" t="s">
        <v>2565</v>
      </c>
      <c r="C4703" s="1">
        <f t="shared" si="157"/>
        <v>45982</v>
      </c>
      <c r="D4703" s="242" t="s">
        <v>19</v>
      </c>
      <c r="E4703" s="71" t="s">
        <v>133</v>
      </c>
      <c r="F4703" s="70" t="s">
        <v>133</v>
      </c>
      <c r="G4703" s="71" t="s">
        <v>258</v>
      </c>
      <c r="J4703" s="71" t="s">
        <v>2743</v>
      </c>
      <c r="L4703" s="433">
        <v>1050</v>
      </c>
      <c r="M4703" s="136">
        <f t="shared" si="156"/>
        <v>-211124.69029666646</v>
      </c>
    </row>
    <row r="4704" spans="1:14">
      <c r="A4704" s="54" t="str">
        <f t="shared" si="158"/>
        <v>MKTINSUMOSINSUMOS</v>
      </c>
      <c r="B4704" t="s">
        <v>2565</v>
      </c>
      <c r="C4704" s="1">
        <f t="shared" si="157"/>
        <v>45982</v>
      </c>
      <c r="D4704" s="242" t="s">
        <v>19</v>
      </c>
      <c r="E4704" s="71" t="s">
        <v>133</v>
      </c>
      <c r="F4704" s="70" t="s">
        <v>133</v>
      </c>
      <c r="G4704" s="71" t="s">
        <v>258</v>
      </c>
      <c r="J4704" s="71" t="s">
        <v>1649</v>
      </c>
      <c r="L4704" s="433">
        <v>1600</v>
      </c>
      <c r="M4704" s="136">
        <f t="shared" si="156"/>
        <v>-212724.69029666646</v>
      </c>
    </row>
    <row r="4705" spans="1:13">
      <c r="A4705" s="54" t="str">
        <f t="shared" si="158"/>
        <v>FINANZASINSUMOSFINANZAS</v>
      </c>
      <c r="B4705" t="s">
        <v>2565</v>
      </c>
      <c r="C4705" s="1">
        <f t="shared" si="157"/>
        <v>45982</v>
      </c>
      <c r="D4705" s="242" t="s">
        <v>23</v>
      </c>
      <c r="E4705" s="71" t="s">
        <v>133</v>
      </c>
      <c r="F4705" s="70" t="s">
        <v>23</v>
      </c>
      <c r="J4705" s="71" t="s">
        <v>2744</v>
      </c>
      <c r="L4705" s="208">
        <v>57</v>
      </c>
      <c r="M4705" s="136">
        <f t="shared" si="156"/>
        <v>-212781.69029666646</v>
      </c>
    </row>
    <row r="4706" spans="1:13">
      <c r="A4706" s="54" t="str">
        <f t="shared" si="158"/>
        <v>SERVICIOSVIATICOSINVENTARIOS</v>
      </c>
      <c r="B4706" t="s">
        <v>2565</v>
      </c>
      <c r="C4706" s="1">
        <f t="shared" si="157"/>
        <v>45982</v>
      </c>
      <c r="D4706" s="242" t="s">
        <v>21</v>
      </c>
      <c r="E4706" s="71" t="s">
        <v>191</v>
      </c>
      <c r="F4706" s="71" t="s">
        <v>34</v>
      </c>
      <c r="J4706" s="71" t="s">
        <v>2745</v>
      </c>
      <c r="L4706" s="433">
        <v>300</v>
      </c>
      <c r="M4706" s="136">
        <f t="shared" si="156"/>
        <v>-213081.69029666646</v>
      </c>
    </row>
    <row r="4707" spans="1:13">
      <c r="A4707" s="54" t="str">
        <f t="shared" si="158"/>
        <v>SERVICIOSINSUMOSCOFFE</v>
      </c>
      <c r="B4707" t="s">
        <v>2565</v>
      </c>
      <c r="C4707" s="1">
        <f t="shared" si="157"/>
        <v>45982</v>
      </c>
      <c r="D4707" s="71" t="s">
        <v>21</v>
      </c>
      <c r="E4707" s="71" t="s">
        <v>133</v>
      </c>
      <c r="F4707" s="70" t="s">
        <v>135</v>
      </c>
      <c r="J4707" s="71" t="s">
        <v>2746</v>
      </c>
      <c r="L4707" s="433">
        <v>1750</v>
      </c>
      <c r="M4707" s="136">
        <f t="shared" si="156"/>
        <v>-214831.69029666646</v>
      </c>
    </row>
    <row r="4708" spans="1:13">
      <c r="A4708" s="54" t="str">
        <f t="shared" si="158"/>
        <v>MKTACTIVACION MKT</v>
      </c>
      <c r="B4708" t="s">
        <v>2565</v>
      </c>
      <c r="C4708" s="1">
        <v>45982</v>
      </c>
      <c r="D4708" t="s">
        <v>19</v>
      </c>
      <c r="E4708" t="s">
        <v>20</v>
      </c>
      <c r="F4708" t="s">
        <v>19</v>
      </c>
      <c r="J4708" s="71" t="s">
        <v>2747</v>
      </c>
      <c r="L4708" s="433">
        <v>4537</v>
      </c>
      <c r="M4708" s="136">
        <f t="shared" si="156"/>
        <v>-219368.69029666646</v>
      </c>
    </row>
    <row r="4709" spans="1:13">
      <c r="A4709" s="54" t="str">
        <f t="shared" si="158"/>
        <v>MKTINSUMOSINSUMOS</v>
      </c>
      <c r="B4709" t="s">
        <v>2565</v>
      </c>
      <c r="C4709" s="1">
        <v>45982</v>
      </c>
      <c r="D4709" t="s">
        <v>19</v>
      </c>
      <c r="E4709" t="s">
        <v>133</v>
      </c>
      <c r="F4709" t="s">
        <v>133</v>
      </c>
      <c r="G4709" s="71" t="s">
        <v>258</v>
      </c>
      <c r="J4709" s="71" t="s">
        <v>852</v>
      </c>
      <c r="L4709" s="433">
        <v>3100</v>
      </c>
      <c r="M4709" s="136">
        <f t="shared" si="156"/>
        <v>-222468.69029666646</v>
      </c>
    </row>
    <row r="4710" spans="1:13">
      <c r="A4710" s="54" t="str">
        <f t="shared" si="158"/>
        <v>DEGDNCGDNC</v>
      </c>
      <c r="B4710" t="s">
        <v>2565</v>
      </c>
      <c r="C4710" s="1">
        <f t="shared" si="157"/>
        <v>45982</v>
      </c>
      <c r="D4710" s="242" t="s">
        <v>41</v>
      </c>
      <c r="E4710" s="71" t="s">
        <v>123</v>
      </c>
      <c r="F4710" s="71" t="s">
        <v>123</v>
      </c>
      <c r="G4710" s="71" t="s">
        <v>258</v>
      </c>
      <c r="J4710" s="71" t="s">
        <v>123</v>
      </c>
      <c r="L4710" s="433">
        <v>5000</v>
      </c>
      <c r="M4710" s="136">
        <f t="shared" si="156"/>
        <v>-227468.69029666646</v>
      </c>
    </row>
    <row r="4711" spans="1:13">
      <c r="A4711" s="54" t="str">
        <f t="shared" si="158"/>
        <v>HRUBERHR</v>
      </c>
      <c r="B4711" t="s">
        <v>2565</v>
      </c>
      <c r="C4711" s="1">
        <f t="shared" si="157"/>
        <v>45982</v>
      </c>
      <c r="D4711" s="242" t="s">
        <v>29</v>
      </c>
      <c r="E4711" s="71" t="s">
        <v>189</v>
      </c>
      <c r="F4711" s="71" t="s">
        <v>29</v>
      </c>
      <c r="G4711" s="71" t="s">
        <v>258</v>
      </c>
      <c r="J4711" s="76" t="s">
        <v>2451</v>
      </c>
      <c r="L4711" s="522">
        <v>330</v>
      </c>
      <c r="M4711" s="136">
        <f t="shared" si="156"/>
        <v>-227798.69029666646</v>
      </c>
    </row>
    <row r="4712" spans="1:13">
      <c r="A4712" s="54" t="str">
        <f t="shared" si="158"/>
        <v>HRUBERHR</v>
      </c>
      <c r="B4712" t="s">
        <v>2565</v>
      </c>
      <c r="C4712" s="1">
        <f t="shared" si="157"/>
        <v>45982</v>
      </c>
      <c r="D4712" s="242" t="s">
        <v>29</v>
      </c>
      <c r="E4712" s="71" t="s">
        <v>189</v>
      </c>
      <c r="F4712" s="71" t="s">
        <v>29</v>
      </c>
      <c r="G4712" s="71" t="s">
        <v>258</v>
      </c>
      <c r="J4712" s="76" t="s">
        <v>2505</v>
      </c>
      <c r="L4712" s="522">
        <v>60</v>
      </c>
      <c r="M4712" s="136">
        <f t="shared" si="156"/>
        <v>-227858.69029666646</v>
      </c>
    </row>
    <row r="4713" spans="1:13">
      <c r="A4713" s="54" t="str">
        <f t="shared" si="158"/>
        <v>HRUBERHR</v>
      </c>
      <c r="B4713" t="s">
        <v>2565</v>
      </c>
      <c r="C4713" s="1">
        <f t="shared" si="157"/>
        <v>45982</v>
      </c>
      <c r="D4713" s="242" t="s">
        <v>29</v>
      </c>
      <c r="E4713" s="71" t="s">
        <v>189</v>
      </c>
      <c r="F4713" s="71" t="s">
        <v>29</v>
      </c>
      <c r="G4713" s="71" t="s">
        <v>258</v>
      </c>
      <c r="J4713" s="76" t="s">
        <v>2586</v>
      </c>
      <c r="L4713" s="522">
        <v>55</v>
      </c>
      <c r="M4713" s="136">
        <f t="shared" si="156"/>
        <v>-227913.69029666646</v>
      </c>
    </row>
    <row r="4714" spans="1:13">
      <c r="A4714" s="54" t="str">
        <f t="shared" si="158"/>
        <v>CAPUBERCAP</v>
      </c>
      <c r="B4714" t="s">
        <v>2565</v>
      </c>
      <c r="C4714" s="1">
        <f t="shared" si="157"/>
        <v>45982</v>
      </c>
      <c r="D4714" s="242" t="s">
        <v>31</v>
      </c>
      <c r="E4714" s="71" t="s">
        <v>189</v>
      </c>
      <c r="F4714" s="71" t="s">
        <v>31</v>
      </c>
      <c r="J4714" s="76" t="s">
        <v>2278</v>
      </c>
      <c r="L4714" s="522">
        <v>50</v>
      </c>
      <c r="M4714" s="136">
        <f t="shared" si="156"/>
        <v>-227963.69029666646</v>
      </c>
    </row>
    <row r="4715" spans="1:13">
      <c r="A4715" s="54" t="str">
        <f t="shared" si="158"/>
        <v>CAPINSUMOSCAPRICHOS</v>
      </c>
      <c r="B4715" t="s">
        <v>2565</v>
      </c>
      <c r="C4715" s="1">
        <f t="shared" si="157"/>
        <v>45982</v>
      </c>
      <c r="D4715" s="242" t="s">
        <v>31</v>
      </c>
      <c r="E4715" s="71" t="s">
        <v>133</v>
      </c>
      <c r="F4715" s="71" t="s">
        <v>33</v>
      </c>
      <c r="G4715" s="71" t="s">
        <v>258</v>
      </c>
      <c r="J4715" s="76" t="s">
        <v>2390</v>
      </c>
      <c r="L4715" s="434">
        <v>200</v>
      </c>
      <c r="M4715" s="136">
        <f t="shared" si="156"/>
        <v>-228163.69029666646</v>
      </c>
    </row>
    <row r="4716" spans="1:13">
      <c r="A4716" s="54" t="str">
        <f t="shared" si="158"/>
        <v>CAPFUMIGACIONCAPRICHOS</v>
      </c>
      <c r="B4716" t="s">
        <v>2565</v>
      </c>
      <c r="C4716" s="1">
        <f t="shared" si="157"/>
        <v>45982</v>
      </c>
      <c r="D4716" s="242" t="s">
        <v>31</v>
      </c>
      <c r="E4716" s="71" t="s">
        <v>121</v>
      </c>
      <c r="F4716" s="71" t="s">
        <v>33</v>
      </c>
      <c r="G4716" s="71" t="s">
        <v>258</v>
      </c>
      <c r="J4716" s="76" t="s">
        <v>2748</v>
      </c>
      <c r="L4716" s="535">
        <v>471</v>
      </c>
      <c r="M4716" s="136">
        <f t="shared" si="156"/>
        <v>-228634.69029666646</v>
      </c>
    </row>
    <row r="4717" spans="1:13">
      <c r="A4717" s="54" t="str">
        <f t="shared" si="158"/>
        <v>CAPFONDO Y REPOSICIONCAPRICHOS</v>
      </c>
      <c r="B4717" t="s">
        <v>2565</v>
      </c>
      <c r="C4717" s="1">
        <f t="shared" si="157"/>
        <v>45982</v>
      </c>
      <c r="D4717" s="242" t="s">
        <v>31</v>
      </c>
      <c r="E4717" s="71" t="s">
        <v>120</v>
      </c>
      <c r="F4717" s="70" t="s">
        <v>33</v>
      </c>
      <c r="J4717" s="76" t="s">
        <v>2749</v>
      </c>
      <c r="L4717" s="434">
        <v>20</v>
      </c>
      <c r="M4717" s="136">
        <f t="shared" si="156"/>
        <v>-228654.69029666646</v>
      </c>
    </row>
    <row r="4718" spans="1:13">
      <c r="A4718" s="54" t="str">
        <f t="shared" si="158"/>
        <v>HRNOMINA SUCURSALA24</v>
      </c>
      <c r="B4718" t="s">
        <v>2565</v>
      </c>
      <c r="C4718" s="1">
        <f t="shared" si="157"/>
        <v>45982</v>
      </c>
      <c r="D4718" s="242" t="s">
        <v>29</v>
      </c>
      <c r="E4718" s="71" t="s">
        <v>154</v>
      </c>
      <c r="F4718" s="71" t="s">
        <v>106</v>
      </c>
      <c r="G4718" s="71" t="s">
        <v>258</v>
      </c>
      <c r="J4718" s="76" t="s">
        <v>2750</v>
      </c>
      <c r="L4718" s="434">
        <v>1530</v>
      </c>
      <c r="M4718" s="136">
        <f t="shared" si="156"/>
        <v>-230184.69029666646</v>
      </c>
    </row>
    <row r="4719" spans="1:13">
      <c r="A4719" s="54" t="str">
        <f t="shared" si="158"/>
        <v/>
      </c>
      <c r="B4719" t="s">
        <v>2565</v>
      </c>
      <c r="C4719" s="1">
        <v>45985</v>
      </c>
      <c r="D4719" s="71"/>
      <c r="J4719" s="71" t="s">
        <v>2045</v>
      </c>
      <c r="K4719" s="325">
        <v>1152516.25</v>
      </c>
      <c r="L4719" s="432"/>
      <c r="M4719" s="136">
        <f t="shared" si="156"/>
        <v>922331.55970333354</v>
      </c>
    </row>
    <row r="4720" spans="1:13">
      <c r="A4720" s="54" t="str">
        <f t="shared" si="158"/>
        <v>FINANZASCOMISIONES BANCARIASTPV</v>
      </c>
      <c r="B4720" t="s">
        <v>2565</v>
      </c>
      <c r="C4720" s="1">
        <f t="shared" si="157"/>
        <v>45985</v>
      </c>
      <c r="D4720" s="71" t="s">
        <v>23</v>
      </c>
      <c r="E4720" s="71" t="s">
        <v>48</v>
      </c>
      <c r="F4720" s="71" t="s">
        <v>50</v>
      </c>
      <c r="J4720" s="71" t="s">
        <v>217</v>
      </c>
      <c r="L4720" s="438">
        <f>315.98+1419.26+2524.63+4582.21+12886.05+4989.49+24.36</f>
        <v>26741.979999999996</v>
      </c>
      <c r="M4720" s="136">
        <f t="shared" si="156"/>
        <v>895589.57970333355</v>
      </c>
    </row>
    <row r="4721" spans="1:13">
      <c r="A4721" s="54" t="str">
        <f t="shared" si="158"/>
        <v/>
      </c>
      <c r="B4721" t="s">
        <v>2565</v>
      </c>
      <c r="C4721" s="1">
        <f t="shared" si="157"/>
        <v>45985</v>
      </c>
      <c r="D4721" s="71"/>
      <c r="J4721" s="205" t="s">
        <v>1562</v>
      </c>
      <c r="K4721" s="205"/>
      <c r="L4721" s="428">
        <v>500000</v>
      </c>
      <c r="M4721" s="136">
        <f t="shared" si="156"/>
        <v>395589.57970333355</v>
      </c>
    </row>
    <row r="4722" spans="1:13">
      <c r="A4722" s="54" t="str">
        <f t="shared" si="158"/>
        <v/>
      </c>
      <c r="B4722" t="s">
        <v>2565</v>
      </c>
      <c r="C4722" s="1">
        <f t="shared" si="157"/>
        <v>45985</v>
      </c>
      <c r="D4722" s="71"/>
      <c r="J4722" s="205" t="s">
        <v>222</v>
      </c>
      <c r="K4722" s="205"/>
      <c r="L4722" s="428">
        <v>500000</v>
      </c>
      <c r="M4722" s="136">
        <f t="shared" si="156"/>
        <v>-104410.42029666645</v>
      </c>
    </row>
    <row r="4723" spans="1:13">
      <c r="A4723" s="54" t="str">
        <f t="shared" si="158"/>
        <v>SERVICIOSPAQUETERIACEDIS (E6)</v>
      </c>
      <c r="B4723" t="s">
        <v>2565</v>
      </c>
      <c r="C4723" s="1">
        <f t="shared" si="157"/>
        <v>45985</v>
      </c>
      <c r="D4723" s="71" t="s">
        <v>21</v>
      </c>
      <c r="E4723" s="71" t="s">
        <v>160</v>
      </c>
      <c r="F4723" s="71" t="s">
        <v>161</v>
      </c>
      <c r="J4723" s="71" t="s">
        <v>229</v>
      </c>
      <c r="L4723" s="433">
        <v>2188.42</v>
      </c>
      <c r="M4723" s="136">
        <f t="shared" si="156"/>
        <v>-106598.84029666644</v>
      </c>
    </row>
    <row r="4724" spans="1:13">
      <c r="A4724" s="54" t="str">
        <f t="shared" si="158"/>
        <v>SERVICIOSINSUMOSSISTEMAS</v>
      </c>
      <c r="B4724" t="s">
        <v>2565</v>
      </c>
      <c r="C4724" s="1">
        <f t="shared" si="157"/>
        <v>45985</v>
      </c>
      <c r="D4724" s="71" t="s">
        <v>21</v>
      </c>
      <c r="E4724" s="71" t="s">
        <v>133</v>
      </c>
      <c r="F4724" s="71" t="s">
        <v>36</v>
      </c>
      <c r="G4724" s="71" t="s">
        <v>258</v>
      </c>
      <c r="J4724" s="71" t="s">
        <v>2751</v>
      </c>
      <c r="L4724" s="433">
        <v>10440</v>
      </c>
      <c r="M4724" s="136">
        <f t="shared" si="156"/>
        <v>-117038.84029666644</v>
      </c>
    </row>
    <row r="4725" spans="1:13">
      <c r="A4725" s="54" t="str">
        <f t="shared" si="158"/>
        <v>SERVICIOSVIATICOSSISTEMAS</v>
      </c>
      <c r="B4725" t="s">
        <v>2565</v>
      </c>
      <c r="C4725" s="1">
        <f t="shared" si="157"/>
        <v>45985</v>
      </c>
      <c r="D4725" s="71" t="s">
        <v>21</v>
      </c>
      <c r="E4725" s="71" t="s">
        <v>191</v>
      </c>
      <c r="F4725" s="71" t="s">
        <v>36</v>
      </c>
      <c r="J4725" s="71" t="s">
        <v>470</v>
      </c>
      <c r="L4725" s="433">
        <v>4200</v>
      </c>
      <c r="M4725" s="136">
        <f t="shared" si="156"/>
        <v>-121238.84029666644</v>
      </c>
    </row>
    <row r="4726" spans="1:13">
      <c r="A4726" s="54" t="str">
        <f t="shared" si="158"/>
        <v>SERVICIOSVIATICOSCEDIS</v>
      </c>
      <c r="B4726" t="s">
        <v>2565</v>
      </c>
      <c r="C4726" s="1">
        <f t="shared" si="157"/>
        <v>45985</v>
      </c>
      <c r="D4726" s="71" t="s">
        <v>21</v>
      </c>
      <c r="E4726" s="71" t="s">
        <v>191</v>
      </c>
      <c r="F4726" s="71" t="s">
        <v>28</v>
      </c>
      <c r="J4726" s="71" t="s">
        <v>301</v>
      </c>
      <c r="L4726" s="433">
        <v>1100</v>
      </c>
      <c r="M4726" s="136">
        <f t="shared" si="156"/>
        <v>-122338.84029666644</v>
      </c>
    </row>
    <row r="4727" spans="1:13">
      <c r="A4727" s="54" t="str">
        <f t="shared" si="158"/>
        <v>FINANZASFONDO Y REPOSICIONFINANZAS</v>
      </c>
      <c r="B4727" t="s">
        <v>2565</v>
      </c>
      <c r="C4727" s="1">
        <f t="shared" si="157"/>
        <v>45985</v>
      </c>
      <c r="D4727" s="71" t="s">
        <v>23</v>
      </c>
      <c r="E4727" s="71" t="s">
        <v>120</v>
      </c>
      <c r="F4727" s="71" t="s">
        <v>23</v>
      </c>
      <c r="J4727" s="71" t="s">
        <v>2007</v>
      </c>
      <c r="L4727" s="433">
        <v>1240</v>
      </c>
      <c r="M4727" s="136">
        <f t="shared" si="156"/>
        <v>-123578.84029666644</v>
      </c>
    </row>
    <row r="4728" spans="1:13">
      <c r="A4728" s="54" t="str">
        <f t="shared" si="158"/>
        <v>FINANZASFONDO Y REPOSICIONFINANZAS</v>
      </c>
      <c r="B4728" t="s">
        <v>2565</v>
      </c>
      <c r="C4728" s="1">
        <f t="shared" si="157"/>
        <v>45985</v>
      </c>
      <c r="D4728" s="71" t="s">
        <v>23</v>
      </c>
      <c r="E4728" s="71" t="s">
        <v>120</v>
      </c>
      <c r="F4728" s="71" t="s">
        <v>23</v>
      </c>
      <c r="J4728" s="71" t="s">
        <v>2752</v>
      </c>
      <c r="L4728" s="433">
        <v>300</v>
      </c>
      <c r="M4728" s="136">
        <f t="shared" si="156"/>
        <v>-123878.84029666644</v>
      </c>
    </row>
    <row r="4729" spans="1:13">
      <c r="A4729" s="54" t="str">
        <f t="shared" si="158"/>
        <v>MKTVIATICOSMKT</v>
      </c>
      <c r="B4729" t="s">
        <v>2565</v>
      </c>
      <c r="C4729" s="1">
        <f t="shared" si="157"/>
        <v>45985</v>
      </c>
      <c r="D4729" s="71" t="s">
        <v>19</v>
      </c>
      <c r="E4729" s="71" t="s">
        <v>191</v>
      </c>
      <c r="F4729" s="71" t="s">
        <v>19</v>
      </c>
      <c r="J4729" s="71" t="s">
        <v>2753</v>
      </c>
      <c r="L4729" s="433">
        <v>20</v>
      </c>
      <c r="M4729" s="136">
        <f t="shared" si="156"/>
        <v>-123898.84029666644</v>
      </c>
    </row>
    <row r="4730" spans="1:13">
      <c r="A4730" s="54" t="str">
        <f t="shared" si="158"/>
        <v>SERVICIOSVIATICOSASESORES</v>
      </c>
      <c r="B4730" t="s">
        <v>2565</v>
      </c>
      <c r="C4730" s="1">
        <f t="shared" si="157"/>
        <v>45985</v>
      </c>
      <c r="D4730" s="71" t="s">
        <v>21</v>
      </c>
      <c r="E4730" s="71" t="s">
        <v>191</v>
      </c>
      <c r="F4730" t="s">
        <v>192</v>
      </c>
      <c r="J4730" s="71" t="s">
        <v>2754</v>
      </c>
      <c r="L4730" s="433">
        <v>1420</v>
      </c>
      <c r="M4730" s="136">
        <f t="shared" si="156"/>
        <v>-125318.84029666644</v>
      </c>
    </row>
    <row r="4731" spans="1:13">
      <c r="A4731" s="54" t="str">
        <f t="shared" si="158"/>
        <v>FINANZASFONDO Y REPOSICIONFINANZAS</v>
      </c>
      <c r="B4731" t="s">
        <v>2565</v>
      </c>
      <c r="C4731" s="1">
        <f t="shared" si="157"/>
        <v>45985</v>
      </c>
      <c r="D4731" s="71" t="s">
        <v>23</v>
      </c>
      <c r="E4731" s="71" t="s">
        <v>120</v>
      </c>
      <c r="F4731" s="71" t="s">
        <v>23</v>
      </c>
      <c r="J4731" s="71" t="s">
        <v>818</v>
      </c>
      <c r="L4731" s="433">
        <v>50</v>
      </c>
      <c r="M4731" s="136">
        <f t="shared" si="156"/>
        <v>-125368.84029666644</v>
      </c>
    </row>
    <row r="4732" spans="1:13">
      <c r="A4732" s="54" t="str">
        <f t="shared" si="158"/>
        <v>HRMKTMKT HR</v>
      </c>
      <c r="B4732" s="229" t="s">
        <v>2565</v>
      </c>
      <c r="C4732" s="244">
        <f t="shared" si="157"/>
        <v>45985</v>
      </c>
      <c r="D4732" s="242" t="s">
        <v>29</v>
      </c>
      <c r="E4732" s="242" t="s">
        <v>19</v>
      </c>
      <c r="F4732" s="242" t="s">
        <v>138</v>
      </c>
      <c r="G4732" s="242"/>
      <c r="H4732" s="423"/>
      <c r="J4732" s="242" t="s">
        <v>2755</v>
      </c>
      <c r="L4732" s="433">
        <v>8000</v>
      </c>
      <c r="M4732" s="136">
        <f t="shared" si="156"/>
        <v>-133368.84029666643</v>
      </c>
    </row>
    <row r="4733" spans="1:13">
      <c r="A4733" s="54" t="str">
        <f t="shared" si="158"/>
        <v>HRMKTMKT HR</v>
      </c>
      <c r="B4733" s="229" t="s">
        <v>2565</v>
      </c>
      <c r="C4733" s="244">
        <f t="shared" si="157"/>
        <v>45985</v>
      </c>
      <c r="D4733" s="242" t="s">
        <v>29</v>
      </c>
      <c r="E4733" s="242" t="s">
        <v>19</v>
      </c>
      <c r="F4733" s="242" t="s">
        <v>138</v>
      </c>
      <c r="G4733" s="242"/>
      <c r="H4733" s="423"/>
      <c r="J4733" s="242" t="s">
        <v>2756</v>
      </c>
      <c r="L4733" s="433">
        <v>5200</v>
      </c>
      <c r="M4733" s="136">
        <f>M4732+K4733-L4733</f>
        <v>-138568.84029666643</v>
      </c>
    </row>
    <row r="4734" spans="1:13">
      <c r="A4734" s="54" t="str">
        <f t="shared" si="158"/>
        <v>HRFONDO Y REPOSICIONHR</v>
      </c>
      <c r="B4734" t="s">
        <v>2565</v>
      </c>
      <c r="C4734" s="1">
        <f t="shared" si="157"/>
        <v>45985</v>
      </c>
      <c r="D4734" s="71" t="s">
        <v>29</v>
      </c>
      <c r="E4734" s="71" t="s">
        <v>120</v>
      </c>
      <c r="F4734" s="71" t="s">
        <v>29</v>
      </c>
      <c r="J4734" s="71" t="s">
        <v>2757</v>
      </c>
      <c r="L4734" s="433">
        <v>1539</v>
      </c>
      <c r="M4734" s="136">
        <f>M4733+K4734-L4734</f>
        <v>-140107.84029666643</v>
      </c>
    </row>
    <row r="4735" spans="1:13">
      <c r="A4735" s="54" t="str">
        <f t="shared" si="158"/>
        <v>ELIIMAGEN VISUALIMAGEN VISUAL ELILU</v>
      </c>
      <c r="B4735" t="s">
        <v>2565</v>
      </c>
      <c r="C4735" s="1">
        <f t="shared" si="157"/>
        <v>45985</v>
      </c>
      <c r="D4735" s="71" t="s">
        <v>130</v>
      </c>
      <c r="E4735" s="71" t="s">
        <v>127</v>
      </c>
      <c r="F4735" s="71" t="s">
        <v>131</v>
      </c>
      <c r="J4735" s="71" t="s">
        <v>2758</v>
      </c>
      <c r="L4735" s="433">
        <v>672.8</v>
      </c>
      <c r="M4735" s="136">
        <f>M4734+K4735-L4735</f>
        <v>-140780.64029666642</v>
      </c>
    </row>
    <row r="4736" spans="1:13">
      <c r="A4736" s="54" t="str">
        <f t="shared" si="158"/>
        <v>HRUBERHR</v>
      </c>
      <c r="B4736" t="s">
        <v>2565</v>
      </c>
      <c r="C4736" s="1">
        <f t="shared" si="157"/>
        <v>45985</v>
      </c>
      <c r="D4736" s="71" t="s">
        <v>29</v>
      </c>
      <c r="E4736" s="71" t="s">
        <v>189</v>
      </c>
      <c r="F4736" s="71" t="s">
        <v>29</v>
      </c>
      <c r="J4736" s="76" t="s">
        <v>2388</v>
      </c>
      <c r="L4736" s="522">
        <v>151</v>
      </c>
      <c r="M4736" s="136">
        <f>M4735+K4736-L4736</f>
        <v>-140931.64029666642</v>
      </c>
    </row>
    <row r="4737" spans="1:13">
      <c r="A4737" s="54" t="str">
        <f t="shared" si="158"/>
        <v>HRNOMINA SUCURSALA1</v>
      </c>
      <c r="B4737" t="s">
        <v>2565</v>
      </c>
      <c r="C4737" s="1">
        <f t="shared" si="157"/>
        <v>45985</v>
      </c>
      <c r="D4737" s="71" t="s">
        <v>29</v>
      </c>
      <c r="E4737" s="71" t="s">
        <v>154</v>
      </c>
      <c r="F4737" s="71" t="s">
        <v>88</v>
      </c>
      <c r="J4737" s="76" t="s">
        <v>2759</v>
      </c>
      <c r="L4737" s="434">
        <v>543</v>
      </c>
      <c r="M4737" s="136">
        <f>M4736+K4737-L4737</f>
        <v>-141474.64029666642</v>
      </c>
    </row>
    <row r="4738" spans="1:13">
      <c r="A4738" s="54" t="str">
        <f t="shared" si="158"/>
        <v>HRNOMINA SUCURSALA2</v>
      </c>
      <c r="B4738" t="s">
        <v>2565</v>
      </c>
      <c r="C4738" s="1">
        <f t="shared" si="157"/>
        <v>45985</v>
      </c>
      <c r="D4738" s="71" t="s">
        <v>29</v>
      </c>
      <c r="E4738" s="71" t="s">
        <v>154</v>
      </c>
      <c r="F4738" s="71" t="s">
        <v>89</v>
      </c>
      <c r="J4738" s="76" t="s">
        <v>2760</v>
      </c>
      <c r="L4738" s="434">
        <v>598</v>
      </c>
      <c r="M4738" s="136">
        <f>M4737+K4738-L4738</f>
        <v>-142072.64029666642</v>
      </c>
    </row>
    <row r="4739" spans="1:13">
      <c r="A4739" s="54" t="str">
        <f t="shared" si="158"/>
        <v>HRUBERHR</v>
      </c>
      <c r="B4739" t="s">
        <v>2565</v>
      </c>
      <c r="C4739" s="1">
        <f t="shared" si="157"/>
        <v>45985</v>
      </c>
      <c r="D4739" s="71" t="s">
        <v>29</v>
      </c>
      <c r="E4739" s="71" t="s">
        <v>189</v>
      </c>
      <c r="F4739" s="71" t="s">
        <v>29</v>
      </c>
      <c r="J4739" s="76" t="s">
        <v>2761</v>
      </c>
      <c r="L4739" s="522">
        <v>150</v>
      </c>
      <c r="M4739" s="136">
        <f>M4738+K4739-L4739</f>
        <v>-142222.64029666642</v>
      </c>
    </row>
    <row r="4740" spans="1:13">
      <c r="A4740" s="54" t="str">
        <f t="shared" si="158"/>
        <v>HRINSUMOSHR</v>
      </c>
      <c r="B4740" t="s">
        <v>2565</v>
      </c>
      <c r="C4740" s="1">
        <f t="shared" si="157"/>
        <v>45985</v>
      </c>
      <c r="D4740" s="71" t="s">
        <v>29</v>
      </c>
      <c r="E4740" s="71" t="s">
        <v>133</v>
      </c>
      <c r="F4740" s="71" t="s">
        <v>29</v>
      </c>
      <c r="J4740" s="76" t="s">
        <v>2762</v>
      </c>
      <c r="L4740" s="434">
        <v>119</v>
      </c>
      <c r="M4740" s="136">
        <f>M4739+K4740-L4740</f>
        <v>-142341.64029666642</v>
      </c>
    </row>
    <row r="4741" spans="1:13">
      <c r="A4741" s="54" t="str">
        <f t="shared" si="158"/>
        <v>HRUBERHR</v>
      </c>
      <c r="B4741" t="s">
        <v>2565</v>
      </c>
      <c r="C4741" s="1">
        <f t="shared" si="157"/>
        <v>45985</v>
      </c>
      <c r="D4741" s="71" t="s">
        <v>29</v>
      </c>
      <c r="E4741" s="71" t="s">
        <v>189</v>
      </c>
      <c r="F4741" s="71" t="s">
        <v>29</v>
      </c>
      <c r="J4741" s="76" t="s">
        <v>2608</v>
      </c>
      <c r="L4741" s="522">
        <v>65</v>
      </c>
      <c r="M4741" s="136">
        <f>M4740+K4741-L4741</f>
        <v>-142406.64029666642</v>
      </c>
    </row>
    <row r="4742" spans="1:13">
      <c r="A4742" s="54" t="str">
        <f t="shared" si="158"/>
        <v>SERVICIOSMTTO DE EDIFICIOMANTENIMIENTO</v>
      </c>
      <c r="B4742" t="s">
        <v>2565</v>
      </c>
      <c r="C4742" s="1">
        <f t="shared" si="157"/>
        <v>45985</v>
      </c>
      <c r="D4742" s="71" t="s">
        <v>21</v>
      </c>
      <c r="E4742" s="71" t="s">
        <v>142</v>
      </c>
      <c r="F4742" s="71" t="s">
        <v>35</v>
      </c>
      <c r="J4742" s="76" t="s">
        <v>2763</v>
      </c>
      <c r="L4742" s="434">
        <v>760</v>
      </c>
      <c r="M4742" s="136">
        <f>M4741+K4742-L4742</f>
        <v>-143166.64029666642</v>
      </c>
    </row>
    <row r="4743" spans="1:13">
      <c r="A4743" s="54" t="str">
        <f t="shared" si="158"/>
        <v>HRJMASA6</v>
      </c>
      <c r="B4743" t="s">
        <v>2565</v>
      </c>
      <c r="C4743" s="1">
        <f t="shared" si="157"/>
        <v>45985</v>
      </c>
      <c r="D4743" s="71" t="s">
        <v>29</v>
      </c>
      <c r="E4743" s="71" t="s">
        <v>137</v>
      </c>
      <c r="F4743" s="71" t="s">
        <v>93</v>
      </c>
      <c r="J4743" s="76" t="s">
        <v>2764</v>
      </c>
      <c r="L4743" s="434">
        <v>542</v>
      </c>
      <c r="M4743" s="136">
        <f>M4742+K4743-L4743</f>
        <v>-143708.64029666642</v>
      </c>
    </row>
    <row r="4744" spans="1:13">
      <c r="A4744" s="54" t="str">
        <f t="shared" si="158"/>
        <v>FINANZASCUOTAS Y SUSCRIPCIONESCANACO</v>
      </c>
      <c r="B4744" t="s">
        <v>2565</v>
      </c>
      <c r="C4744" s="1">
        <f t="shared" si="157"/>
        <v>45985</v>
      </c>
      <c r="D4744" t="s">
        <v>23</v>
      </c>
      <c r="E4744" t="s">
        <v>51</v>
      </c>
      <c r="F4744" t="s">
        <v>67</v>
      </c>
      <c r="J4744" s="76" t="s">
        <v>2765</v>
      </c>
      <c r="L4744" s="208">
        <v>640</v>
      </c>
      <c r="M4744" s="136">
        <f>M4743+K4744-L4744</f>
        <v>-144348.64029666642</v>
      </c>
    </row>
    <row r="4745" spans="1:13">
      <c r="A4745" s="54" t="str">
        <f t="shared" si="158"/>
        <v>HRNOMINA SUCURSALA10</v>
      </c>
      <c r="B4745" t="s">
        <v>2565</v>
      </c>
      <c r="C4745" s="1">
        <f t="shared" si="157"/>
        <v>45985</v>
      </c>
      <c r="D4745" s="71" t="s">
        <v>29</v>
      </c>
      <c r="E4745" s="71" t="s">
        <v>154</v>
      </c>
      <c r="F4745" s="71" t="s">
        <v>96</v>
      </c>
      <c r="J4745" s="76" t="s">
        <v>2766</v>
      </c>
      <c r="L4745" s="434">
        <v>2115</v>
      </c>
      <c r="M4745" s="136">
        <f>M4744+K4745-L4745</f>
        <v>-146463.64029666642</v>
      </c>
    </row>
    <row r="4746" spans="1:13">
      <c r="A4746" s="54" t="str">
        <f t="shared" si="158"/>
        <v>HRUBERHR</v>
      </c>
      <c r="B4746" t="s">
        <v>2565</v>
      </c>
      <c r="C4746" s="1">
        <f t="shared" si="157"/>
        <v>45985</v>
      </c>
      <c r="D4746" s="71" t="s">
        <v>29</v>
      </c>
      <c r="E4746" s="71" t="s">
        <v>189</v>
      </c>
      <c r="F4746" s="71" t="s">
        <v>29</v>
      </c>
      <c r="J4746" s="76" t="s">
        <v>2767</v>
      </c>
      <c r="L4746" s="522">
        <v>250</v>
      </c>
      <c r="M4746" s="136">
        <f>M4745+K4746-L4746</f>
        <v>-146713.64029666642</v>
      </c>
    </row>
    <row r="4747" spans="1:13">
      <c r="A4747" s="54" t="str">
        <f t="shared" si="158"/>
        <v>FINANZASRECOLECCION DE BASURAHR</v>
      </c>
      <c r="B4747" t="s">
        <v>2565</v>
      </c>
      <c r="C4747" s="1">
        <f t="shared" si="157"/>
        <v>45985</v>
      </c>
      <c r="D4747" s="71" t="s">
        <v>23</v>
      </c>
      <c r="E4747" s="71" t="s">
        <v>166</v>
      </c>
      <c r="F4747" s="71" t="s">
        <v>29</v>
      </c>
      <c r="J4747" s="76" t="s">
        <v>2768</v>
      </c>
      <c r="L4747" s="434">
        <v>700</v>
      </c>
      <c r="M4747" s="136">
        <f>M4746+K4747-L4747</f>
        <v>-147413.64029666642</v>
      </c>
    </row>
    <row r="4748" spans="1:13">
      <c r="A4748" s="54" t="str">
        <f t="shared" si="158"/>
        <v>HRUBERHR</v>
      </c>
      <c r="B4748" t="s">
        <v>2565</v>
      </c>
      <c r="C4748" s="1">
        <f t="shared" si="157"/>
        <v>45985</v>
      </c>
      <c r="D4748" s="71" t="s">
        <v>29</v>
      </c>
      <c r="E4748" s="71" t="s">
        <v>189</v>
      </c>
      <c r="F4748" s="71" t="s">
        <v>29</v>
      </c>
      <c r="J4748" s="76" t="s">
        <v>2769</v>
      </c>
      <c r="L4748" s="522">
        <v>328</v>
      </c>
      <c r="M4748" s="136">
        <f t="shared" ref="M4748:M4759" si="159">M4747+K4748-L4748</f>
        <v>-147741.64029666642</v>
      </c>
    </row>
    <row r="4749" spans="1:13">
      <c r="A4749" s="54" t="str">
        <f t="shared" si="158"/>
        <v>HRNOMINA SUCURSALA12</v>
      </c>
      <c r="B4749" t="s">
        <v>2565</v>
      </c>
      <c r="C4749" s="1">
        <f t="shared" si="157"/>
        <v>45985</v>
      </c>
      <c r="D4749" s="71" t="s">
        <v>29</v>
      </c>
      <c r="E4749" s="71" t="s">
        <v>154</v>
      </c>
      <c r="F4749" s="71" t="s">
        <v>98</v>
      </c>
      <c r="J4749" s="76" t="s">
        <v>2770</v>
      </c>
      <c r="L4749" s="434">
        <v>1710</v>
      </c>
      <c r="M4749" s="136">
        <f t="shared" si="159"/>
        <v>-149451.64029666642</v>
      </c>
    </row>
    <row r="4750" spans="1:13">
      <c r="A4750" s="54" t="str">
        <f t="shared" si="158"/>
        <v>HRNOMINA SUCURSALA12</v>
      </c>
      <c r="B4750" t="s">
        <v>2565</v>
      </c>
      <c r="C4750" s="1">
        <f t="shared" si="157"/>
        <v>45985</v>
      </c>
      <c r="D4750" s="71" t="s">
        <v>29</v>
      </c>
      <c r="E4750" s="71" t="s">
        <v>154</v>
      </c>
      <c r="F4750" s="71" t="s">
        <v>98</v>
      </c>
      <c r="J4750" s="76" t="s">
        <v>2770</v>
      </c>
      <c r="L4750" s="434">
        <v>2385</v>
      </c>
      <c r="M4750" s="136">
        <f t="shared" si="159"/>
        <v>-151836.64029666642</v>
      </c>
    </row>
    <row r="4751" spans="1:13">
      <c r="A4751" s="54" t="str">
        <f t="shared" si="158"/>
        <v>HRUBERHR</v>
      </c>
      <c r="B4751" t="s">
        <v>2565</v>
      </c>
      <c r="C4751" s="1">
        <f t="shared" si="157"/>
        <v>45985</v>
      </c>
      <c r="D4751" s="71" t="s">
        <v>29</v>
      </c>
      <c r="E4751" s="71" t="s">
        <v>189</v>
      </c>
      <c r="F4751" s="71" t="s">
        <v>29</v>
      </c>
      <c r="J4751" s="76" t="s">
        <v>2562</v>
      </c>
      <c r="L4751" s="522">
        <v>500</v>
      </c>
      <c r="M4751" s="136">
        <f t="shared" si="159"/>
        <v>-152336.64029666642</v>
      </c>
    </row>
    <row r="4752" spans="1:13">
      <c r="A4752" s="54" t="str">
        <f t="shared" si="158"/>
        <v>HRUBERHR</v>
      </c>
      <c r="B4752" t="s">
        <v>2565</v>
      </c>
      <c r="C4752" s="1">
        <f t="shared" si="157"/>
        <v>45985</v>
      </c>
      <c r="D4752" s="71" t="s">
        <v>29</v>
      </c>
      <c r="E4752" s="71" t="s">
        <v>189</v>
      </c>
      <c r="F4752" s="71" t="s">
        <v>29</v>
      </c>
      <c r="J4752" s="76" t="s">
        <v>2454</v>
      </c>
      <c r="L4752" s="522">
        <v>304</v>
      </c>
      <c r="M4752" s="136">
        <f t="shared" si="159"/>
        <v>-152640.64029666642</v>
      </c>
    </row>
    <row r="4753" spans="1:13">
      <c r="A4753" s="54" t="str">
        <f t="shared" si="158"/>
        <v>HRNOMINA SUCURSALA22</v>
      </c>
      <c r="B4753" t="s">
        <v>2565</v>
      </c>
      <c r="C4753" s="1">
        <v>45985</v>
      </c>
      <c r="D4753" s="71" t="s">
        <v>29</v>
      </c>
      <c r="E4753" s="71" t="s">
        <v>154</v>
      </c>
      <c r="F4753" s="71" t="s">
        <v>104</v>
      </c>
      <c r="J4753" s="76" t="s">
        <v>2771</v>
      </c>
      <c r="L4753" s="434">
        <v>519</v>
      </c>
      <c r="M4753" s="136">
        <f t="shared" si="159"/>
        <v>-153159.64029666642</v>
      </c>
    </row>
    <row r="4754" spans="1:13">
      <c r="A4754" s="54" t="str">
        <f t="shared" si="158"/>
        <v>SERVICIOSMTTO DE EDIFICIOMANTENIMIENTO</v>
      </c>
      <c r="B4754" t="s">
        <v>2565</v>
      </c>
      <c r="C4754" s="1">
        <f t="shared" si="157"/>
        <v>45985</v>
      </c>
      <c r="D4754" s="71" t="s">
        <v>21</v>
      </c>
      <c r="E4754" s="71" t="s">
        <v>142</v>
      </c>
      <c r="F4754" s="71" t="s">
        <v>35</v>
      </c>
      <c r="J4754" s="76" t="s">
        <v>2772</v>
      </c>
      <c r="L4754" s="434">
        <v>2089</v>
      </c>
      <c r="M4754" s="136">
        <f t="shared" si="159"/>
        <v>-155248.64029666642</v>
      </c>
    </row>
    <row r="4755" spans="1:13">
      <c r="A4755" s="54" t="str">
        <f t="shared" si="158"/>
        <v>HRNOMINA SUCURSALA24</v>
      </c>
      <c r="B4755" t="s">
        <v>2565</v>
      </c>
      <c r="C4755" s="1">
        <f t="shared" ref="C4755:C4825" si="160">C4754</f>
        <v>45985</v>
      </c>
      <c r="D4755" s="71" t="s">
        <v>29</v>
      </c>
      <c r="E4755" s="71" t="s">
        <v>154</v>
      </c>
      <c r="F4755" s="71" t="s">
        <v>106</v>
      </c>
      <c r="J4755" s="76" t="s">
        <v>2773</v>
      </c>
      <c r="L4755" s="434">
        <v>765</v>
      </c>
      <c r="M4755" s="136">
        <f t="shared" si="159"/>
        <v>-156013.64029666642</v>
      </c>
    </row>
    <row r="4756" spans="1:13">
      <c r="A4756" s="54" t="str">
        <f t="shared" si="158"/>
        <v>HRUBERHR</v>
      </c>
      <c r="B4756" t="s">
        <v>2565</v>
      </c>
      <c r="C4756" s="1">
        <f t="shared" si="160"/>
        <v>45985</v>
      </c>
      <c r="D4756" s="71" t="s">
        <v>29</v>
      </c>
      <c r="E4756" s="71" t="s">
        <v>189</v>
      </c>
      <c r="F4756" s="71" t="s">
        <v>29</v>
      </c>
      <c r="J4756" s="76" t="s">
        <v>2774</v>
      </c>
      <c r="L4756" s="522">
        <v>386</v>
      </c>
      <c r="M4756" s="136">
        <f t="shared" si="159"/>
        <v>-156399.64029666642</v>
      </c>
    </row>
    <row r="4757" spans="1:13">
      <c r="A4757" s="54" t="str">
        <f t="shared" si="158"/>
        <v>CAPUBERCAP</v>
      </c>
      <c r="B4757" t="s">
        <v>2565</v>
      </c>
      <c r="C4757" s="1">
        <f t="shared" si="160"/>
        <v>45985</v>
      </c>
      <c r="D4757" s="71" t="s">
        <v>31</v>
      </c>
      <c r="E4757" s="71" t="s">
        <v>189</v>
      </c>
      <c r="F4757" s="71" t="s">
        <v>31</v>
      </c>
      <c r="J4757" s="76" t="s">
        <v>2344</v>
      </c>
      <c r="L4757" s="522">
        <v>1468</v>
      </c>
      <c r="M4757" s="136">
        <f t="shared" si="159"/>
        <v>-157867.64029666642</v>
      </c>
    </row>
    <row r="4758" spans="1:13">
      <c r="A4758" s="54" t="str">
        <f t="shared" ref="A4758:A4821" si="161">D4758&amp;E4758&amp;F4758</f>
        <v>CAPNOMINA SUCURSALE1</v>
      </c>
      <c r="B4758" t="s">
        <v>2565</v>
      </c>
      <c r="C4758" s="1">
        <f t="shared" si="160"/>
        <v>45985</v>
      </c>
      <c r="D4758" s="71" t="s">
        <v>31</v>
      </c>
      <c r="E4758" s="71" t="s">
        <v>154</v>
      </c>
      <c r="F4758" s="71" t="s">
        <v>107</v>
      </c>
      <c r="J4758" s="76" t="s">
        <v>2775</v>
      </c>
      <c r="L4758" s="434">
        <v>360</v>
      </c>
      <c r="M4758" s="136">
        <f t="shared" si="159"/>
        <v>-158227.64029666642</v>
      </c>
    </row>
    <row r="4759" spans="1:13">
      <c r="A4759" s="54" t="str">
        <f t="shared" si="161"/>
        <v>FINANZASCUOTAS Y SUSCRIPCIONESCANACO</v>
      </c>
      <c r="B4759" t="s">
        <v>2565</v>
      </c>
      <c r="C4759" s="1">
        <f t="shared" si="160"/>
        <v>45985</v>
      </c>
      <c r="D4759" s="71" t="s">
        <v>23</v>
      </c>
      <c r="E4759" s="71" t="s">
        <v>51</v>
      </c>
      <c r="F4759" s="71" t="s">
        <v>67</v>
      </c>
      <c r="J4759" s="76" t="s">
        <v>2776</v>
      </c>
      <c r="L4759" s="434">
        <v>640</v>
      </c>
      <c r="M4759" s="136">
        <f t="shared" si="159"/>
        <v>-158867.64029666642</v>
      </c>
    </row>
    <row r="4760" spans="1:13">
      <c r="A4760" s="54" t="str">
        <f t="shared" si="161"/>
        <v>CAPUBERCAP</v>
      </c>
      <c r="B4760" t="s">
        <v>2565</v>
      </c>
      <c r="C4760" s="1">
        <f t="shared" si="160"/>
        <v>45985</v>
      </c>
      <c r="D4760" s="71" t="s">
        <v>31</v>
      </c>
      <c r="E4760" s="71" t="s">
        <v>189</v>
      </c>
      <c r="F4760" s="71" t="s">
        <v>31</v>
      </c>
      <c r="J4760" s="76" t="s">
        <v>2777</v>
      </c>
      <c r="L4760" s="522">
        <f>191+58</f>
        <v>249</v>
      </c>
      <c r="M4760" s="136">
        <f>M4759+K4760-L4760</f>
        <v>-159116.64029666642</v>
      </c>
    </row>
    <row r="4761" spans="1:13">
      <c r="A4761" s="54" t="str">
        <f t="shared" si="161"/>
        <v>CAPFONDO Y REPOSICIONCAPRICHOS</v>
      </c>
      <c r="B4761" t="s">
        <v>2565</v>
      </c>
      <c r="C4761" s="1">
        <f t="shared" si="160"/>
        <v>45985</v>
      </c>
      <c r="D4761" s="71" t="s">
        <v>31</v>
      </c>
      <c r="E4761" s="71" t="s">
        <v>120</v>
      </c>
      <c r="F4761" s="71" t="s">
        <v>33</v>
      </c>
      <c r="J4761" s="76" t="s">
        <v>2778</v>
      </c>
      <c r="L4761" s="434">
        <v>100</v>
      </c>
      <c r="M4761" s="136">
        <f t="shared" ref="M4761:M4768" si="162">M4760+K4761-L4761</f>
        <v>-159216.64029666642</v>
      </c>
    </row>
    <row r="4762" spans="1:13">
      <c r="A4762" s="54" t="str">
        <f t="shared" si="161"/>
        <v>CAPUBERCAP</v>
      </c>
      <c r="B4762" t="s">
        <v>2565</v>
      </c>
      <c r="C4762" s="1">
        <f t="shared" si="160"/>
        <v>45985</v>
      </c>
      <c r="D4762" s="71" t="s">
        <v>31</v>
      </c>
      <c r="E4762" s="71" t="s">
        <v>189</v>
      </c>
      <c r="F4762" s="71" t="s">
        <v>31</v>
      </c>
      <c r="J4762" s="76" t="s">
        <v>2441</v>
      </c>
      <c r="L4762" s="522">
        <v>315</v>
      </c>
      <c r="M4762" s="136">
        <f t="shared" si="162"/>
        <v>-159531.64029666642</v>
      </c>
    </row>
    <row r="4763" spans="1:13">
      <c r="A4763" s="54" t="str">
        <f t="shared" si="161"/>
        <v>CAPUBERCAP</v>
      </c>
      <c r="B4763" t="s">
        <v>2565</v>
      </c>
      <c r="C4763" s="1">
        <f t="shared" si="160"/>
        <v>45985</v>
      </c>
      <c r="D4763" s="71" t="s">
        <v>31</v>
      </c>
      <c r="E4763" s="71" t="s">
        <v>189</v>
      </c>
      <c r="F4763" s="71" t="s">
        <v>31</v>
      </c>
      <c r="J4763" s="76" t="s">
        <v>2779</v>
      </c>
      <c r="L4763" s="522">
        <v>43</v>
      </c>
      <c r="M4763" s="136">
        <f t="shared" si="162"/>
        <v>-159574.64029666642</v>
      </c>
    </row>
    <row r="4764" spans="1:13">
      <c r="A4764" s="54" t="str">
        <f t="shared" si="161"/>
        <v/>
      </c>
      <c r="B4764" t="s">
        <v>2565</v>
      </c>
      <c r="C4764" s="1">
        <v>45986</v>
      </c>
      <c r="D4764" s="71"/>
      <c r="J4764" s="71" t="s">
        <v>2045</v>
      </c>
      <c r="K4764" s="325">
        <v>262534.8</v>
      </c>
      <c r="L4764" s="432"/>
      <c r="M4764" s="136">
        <f t="shared" si="162"/>
        <v>102960.15970333357</v>
      </c>
    </row>
    <row r="4765" spans="1:13" ht="18" customHeight="1">
      <c r="A4765" s="54" t="str">
        <f t="shared" si="161"/>
        <v>FINANZASCOMISIONES BANCARIASTPV</v>
      </c>
      <c r="B4765" t="s">
        <v>2565</v>
      </c>
      <c r="C4765" s="1">
        <f t="shared" si="160"/>
        <v>45986</v>
      </c>
      <c r="D4765" s="71" t="s">
        <v>23</v>
      </c>
      <c r="E4765" s="71" t="s">
        <v>48</v>
      </c>
      <c r="F4765" s="71" t="s">
        <v>50</v>
      </c>
      <c r="J4765" s="71" t="s">
        <v>217</v>
      </c>
      <c r="L4765" s="438">
        <f>1221.62+275+26.7+1070.81+2915.39+844.55+17.4</f>
        <v>6371.47</v>
      </c>
      <c r="M4765" s="136">
        <f t="shared" si="162"/>
        <v>96588.68970333357</v>
      </c>
    </row>
    <row r="4766" spans="1:13">
      <c r="A4766" s="54" t="str">
        <f t="shared" si="161"/>
        <v/>
      </c>
      <c r="B4766" t="s">
        <v>2565</v>
      </c>
      <c r="C4766" s="1">
        <f t="shared" si="160"/>
        <v>45986</v>
      </c>
      <c r="D4766" s="71"/>
      <c r="J4766" s="205" t="s">
        <v>1562</v>
      </c>
      <c r="K4766" s="205"/>
      <c r="L4766" s="428">
        <v>100000</v>
      </c>
      <c r="M4766" s="136">
        <f t="shared" si="162"/>
        <v>-3411.3102966664301</v>
      </c>
    </row>
    <row r="4767" spans="1:13">
      <c r="A4767" s="54" t="str">
        <f t="shared" si="161"/>
        <v/>
      </c>
      <c r="B4767" t="s">
        <v>2565</v>
      </c>
      <c r="C4767" s="1">
        <f>C4766</f>
        <v>45986</v>
      </c>
      <c r="D4767" s="71"/>
      <c r="J4767" s="205" t="s">
        <v>222</v>
      </c>
      <c r="K4767" s="205"/>
      <c r="L4767" s="428">
        <v>100000</v>
      </c>
      <c r="M4767" s="136">
        <f t="shared" si="162"/>
        <v>-103411.31029666643</v>
      </c>
    </row>
    <row r="4768" spans="1:13">
      <c r="A4768" s="54" t="str">
        <f t="shared" si="161"/>
        <v>FINANZASRECOLECCION DE BASURAHR</v>
      </c>
      <c r="B4768" t="s">
        <v>2565</v>
      </c>
      <c r="C4768" s="1">
        <f t="shared" si="160"/>
        <v>45986</v>
      </c>
      <c r="D4768" s="71" t="s">
        <v>23</v>
      </c>
      <c r="E4768" s="71" t="s">
        <v>166</v>
      </c>
      <c r="F4768" s="71" t="s">
        <v>29</v>
      </c>
      <c r="J4768" s="71" t="s">
        <v>2780</v>
      </c>
      <c r="L4768" s="433">
        <v>3299.76</v>
      </c>
      <c r="M4768" s="136">
        <f t="shared" si="162"/>
        <v>-106711.07029666642</v>
      </c>
    </row>
    <row r="4769" spans="1:13">
      <c r="A4769" s="54" t="str">
        <f t="shared" si="161"/>
        <v>CAPVIATICOSCAPRICHOS</v>
      </c>
      <c r="B4769" t="s">
        <v>2565</v>
      </c>
      <c r="C4769" s="1">
        <f t="shared" si="160"/>
        <v>45986</v>
      </c>
      <c r="D4769" s="71" t="s">
        <v>31</v>
      </c>
      <c r="E4769" s="71" t="s">
        <v>191</v>
      </c>
      <c r="F4769" s="71" t="s">
        <v>33</v>
      </c>
      <c r="J4769" s="71" t="s">
        <v>2781</v>
      </c>
      <c r="L4769" s="433">
        <v>2500</v>
      </c>
      <c r="M4769" s="136">
        <f t="shared" ref="M4769:M4800" si="163">M4768+K4769-L4769</f>
        <v>-109211.07029666642</v>
      </c>
    </row>
    <row r="4770" spans="1:13">
      <c r="A4770" s="54" t="str">
        <f t="shared" si="161"/>
        <v>CAPFONDO Y REPOSICIONCAPRICHOS</v>
      </c>
      <c r="B4770" t="s">
        <v>2565</v>
      </c>
      <c r="C4770" s="1">
        <f t="shared" si="160"/>
        <v>45986</v>
      </c>
      <c r="D4770" s="71" t="s">
        <v>31</v>
      </c>
      <c r="E4770" s="71" t="s">
        <v>120</v>
      </c>
      <c r="F4770" s="71" t="s">
        <v>33</v>
      </c>
      <c r="G4770" s="71" t="s">
        <v>258</v>
      </c>
      <c r="J4770" s="71" t="s">
        <v>2782</v>
      </c>
      <c r="L4770" s="433">
        <v>718</v>
      </c>
      <c r="M4770" s="136">
        <f t="shared" si="163"/>
        <v>-109929.07029666642</v>
      </c>
    </row>
    <row r="4771" spans="1:13">
      <c r="A4771" s="54" t="str">
        <f t="shared" si="161"/>
        <v>CAPFONDO Y REPOSICIONCAPRICHOS</v>
      </c>
      <c r="B4771" t="s">
        <v>2565</v>
      </c>
      <c r="C4771" s="1">
        <f t="shared" si="160"/>
        <v>45986</v>
      </c>
      <c r="D4771" s="71" t="s">
        <v>31</v>
      </c>
      <c r="E4771" s="71" t="s">
        <v>120</v>
      </c>
      <c r="F4771" s="71" t="s">
        <v>33</v>
      </c>
      <c r="G4771" s="71" t="s">
        <v>258</v>
      </c>
      <c r="J4771" s="71" t="s">
        <v>584</v>
      </c>
      <c r="L4771" s="433">
        <v>1632</v>
      </c>
      <c r="M4771" s="136">
        <f t="shared" si="163"/>
        <v>-111561.07029666642</v>
      </c>
    </row>
    <row r="4772" spans="1:13">
      <c r="A4772" s="54" t="str">
        <f t="shared" si="161"/>
        <v>HRFONDO Y REPOSICIONHR</v>
      </c>
      <c r="B4772" t="s">
        <v>2565</v>
      </c>
      <c r="C4772" s="1">
        <f t="shared" si="160"/>
        <v>45986</v>
      </c>
      <c r="D4772" s="71" t="s">
        <v>29</v>
      </c>
      <c r="E4772" s="71" t="s">
        <v>120</v>
      </c>
      <c r="F4772" s="71" t="s">
        <v>29</v>
      </c>
      <c r="J4772" s="71" t="s">
        <v>553</v>
      </c>
      <c r="L4772" s="433">
        <v>1670</v>
      </c>
      <c r="M4772" s="136">
        <f t="shared" si="163"/>
        <v>-113231.07029666642</v>
      </c>
    </row>
    <row r="4773" spans="1:13">
      <c r="A4773" s="54" t="str">
        <f t="shared" si="161"/>
        <v>HRFONDO Y REPOSICIONHR</v>
      </c>
      <c r="B4773" t="s">
        <v>2565</v>
      </c>
      <c r="C4773" s="1">
        <f t="shared" si="160"/>
        <v>45986</v>
      </c>
      <c r="D4773" s="71" t="s">
        <v>29</v>
      </c>
      <c r="E4773" s="71" t="s">
        <v>120</v>
      </c>
      <c r="F4773" s="71" t="s">
        <v>29</v>
      </c>
      <c r="J4773" s="71" t="s">
        <v>1346</v>
      </c>
      <c r="L4773" s="433">
        <v>2416</v>
      </c>
      <c r="M4773" s="136">
        <f t="shared" si="163"/>
        <v>-115647.07029666642</v>
      </c>
    </row>
    <row r="4774" spans="1:13">
      <c r="A4774" s="54" t="str">
        <f t="shared" si="161"/>
        <v>CAPINSUMOSCAPRICHOS</v>
      </c>
      <c r="B4774" t="s">
        <v>2565</v>
      </c>
      <c r="C4774" s="1">
        <f t="shared" si="160"/>
        <v>45986</v>
      </c>
      <c r="D4774" s="71" t="s">
        <v>31</v>
      </c>
      <c r="E4774" s="71" t="s">
        <v>133</v>
      </c>
      <c r="F4774" s="71" t="s">
        <v>33</v>
      </c>
      <c r="J4774" s="71" t="s">
        <v>2783</v>
      </c>
      <c r="L4774" s="433">
        <v>7500</v>
      </c>
      <c r="M4774" s="136">
        <f t="shared" si="163"/>
        <v>-123147.07029666642</v>
      </c>
    </row>
    <row r="4775" spans="1:13">
      <c r="A4775" s="54" t="str">
        <f t="shared" si="161"/>
        <v>SGEFONDO Y REPOSICIONGESTION EMPRESARIAL</v>
      </c>
      <c r="B4775" t="s">
        <v>2565</v>
      </c>
      <c r="C4775" s="1">
        <f t="shared" si="160"/>
        <v>45986</v>
      </c>
      <c r="D4775" s="71" t="s">
        <v>39</v>
      </c>
      <c r="E4775" s="71" t="s">
        <v>120</v>
      </c>
      <c r="F4775" s="71" t="s">
        <v>40</v>
      </c>
      <c r="J4775" s="71" t="s">
        <v>2784</v>
      </c>
      <c r="L4775" s="433">
        <v>1350</v>
      </c>
      <c r="M4775" s="136">
        <f t="shared" si="163"/>
        <v>-124497.07029666642</v>
      </c>
    </row>
    <row r="4776" spans="1:13">
      <c r="A4776" s="54" t="str">
        <f t="shared" si="161"/>
        <v>SGEVIATICOSGESTION EMPRESARIAL</v>
      </c>
      <c r="B4776" t="s">
        <v>2565</v>
      </c>
      <c r="C4776" s="1">
        <f t="shared" si="160"/>
        <v>45986</v>
      </c>
      <c r="D4776" s="71" t="s">
        <v>39</v>
      </c>
      <c r="E4776" s="71" t="s">
        <v>191</v>
      </c>
      <c r="F4776" s="71" t="s">
        <v>40</v>
      </c>
      <c r="J4776" s="71" t="s">
        <v>1030</v>
      </c>
      <c r="L4776" s="433">
        <v>3000</v>
      </c>
      <c r="M4776" s="136">
        <f t="shared" si="163"/>
        <v>-127497.07029666642</v>
      </c>
    </row>
    <row r="4777" spans="1:13">
      <c r="A4777" s="54" t="str">
        <f t="shared" si="161"/>
        <v>SERVICIOSMTTO DE EDIFICIOMANTENIMIENTO</v>
      </c>
      <c r="B4777" t="s">
        <v>2565</v>
      </c>
      <c r="C4777" s="1">
        <f>C4770</f>
        <v>45986</v>
      </c>
      <c r="D4777" s="71" t="s">
        <v>21</v>
      </c>
      <c r="E4777" s="71" t="s">
        <v>142</v>
      </c>
      <c r="F4777" s="71" t="s">
        <v>35</v>
      </c>
      <c r="G4777" s="71" t="s">
        <v>258</v>
      </c>
      <c r="J4777" s="71" t="s">
        <v>1200</v>
      </c>
      <c r="L4777" s="433">
        <v>3551.08</v>
      </c>
      <c r="M4777" s="136">
        <f t="shared" si="163"/>
        <v>-131048.15029666643</v>
      </c>
    </row>
    <row r="4778" spans="1:13">
      <c r="A4778" s="54" t="str">
        <f t="shared" si="161"/>
        <v>FINANZASRENTASE8</v>
      </c>
      <c r="B4778" t="s">
        <v>2565</v>
      </c>
      <c r="C4778" s="1">
        <f>C4771</f>
        <v>45986</v>
      </c>
      <c r="D4778" s="71" t="s">
        <v>23</v>
      </c>
      <c r="E4778" s="71" t="s">
        <v>169</v>
      </c>
      <c r="F4778" s="71" t="s">
        <v>114</v>
      </c>
      <c r="J4778" s="71" t="s">
        <v>2012</v>
      </c>
      <c r="L4778" s="433">
        <v>6173.97</v>
      </c>
      <c r="M4778" s="136">
        <f t="shared" si="163"/>
        <v>-137222.12029666643</v>
      </c>
    </row>
    <row r="4779" spans="1:13">
      <c r="A4779" s="54" t="str">
        <f t="shared" si="161"/>
        <v>HRUBERHR</v>
      </c>
      <c r="B4779" t="s">
        <v>2565</v>
      </c>
      <c r="C4779" s="1">
        <f>C4777</f>
        <v>45986</v>
      </c>
      <c r="D4779" s="71" t="s">
        <v>29</v>
      </c>
      <c r="E4779" s="71" t="s">
        <v>189</v>
      </c>
      <c r="F4779" s="71" t="s">
        <v>29</v>
      </c>
      <c r="J4779" s="76" t="s">
        <v>2388</v>
      </c>
      <c r="L4779" s="522">
        <v>392</v>
      </c>
      <c r="M4779" s="136">
        <f t="shared" si="163"/>
        <v>-137614.12029666643</v>
      </c>
    </row>
    <row r="4780" spans="1:13">
      <c r="A4780" s="54" t="str">
        <f t="shared" si="161"/>
        <v>HR</v>
      </c>
      <c r="B4780" t="s">
        <v>2565</v>
      </c>
      <c r="C4780" s="1">
        <f t="shared" si="160"/>
        <v>45986</v>
      </c>
      <c r="D4780" s="71" t="s">
        <v>29</v>
      </c>
      <c r="J4780" s="76" t="s">
        <v>2785</v>
      </c>
      <c r="L4780" s="434">
        <v>601.99</v>
      </c>
      <c r="M4780" s="136">
        <f t="shared" si="163"/>
        <v>-138216.11029666642</v>
      </c>
    </row>
    <row r="4781" spans="1:13">
      <c r="A4781" s="54" t="str">
        <f t="shared" si="161"/>
        <v>SERVICIOSMTTO DE EDIFICIOMANTENIMIENTO</v>
      </c>
      <c r="B4781" t="s">
        <v>2565</v>
      </c>
      <c r="C4781" s="1">
        <f t="shared" si="160"/>
        <v>45986</v>
      </c>
      <c r="D4781" s="71" t="s">
        <v>21</v>
      </c>
      <c r="E4781" s="71" t="s">
        <v>142</v>
      </c>
      <c r="F4781" s="71" t="s">
        <v>35</v>
      </c>
      <c r="J4781" s="76" t="s">
        <v>2786</v>
      </c>
      <c r="L4781" s="476">
        <v>1160</v>
      </c>
      <c r="M4781" s="136">
        <f t="shared" si="163"/>
        <v>-139376.11029666642</v>
      </c>
    </row>
    <row r="4782" spans="1:13">
      <c r="A4782" s="54" t="str">
        <f t="shared" si="161"/>
        <v>FINANZASCUOTAS Y SUSCRIPCIONESCANACO</v>
      </c>
      <c r="B4782" t="s">
        <v>2565</v>
      </c>
      <c r="C4782" s="1">
        <f t="shared" si="160"/>
        <v>45986</v>
      </c>
      <c r="D4782" t="s">
        <v>23</v>
      </c>
      <c r="E4782" t="s">
        <v>51</v>
      </c>
      <c r="F4782" t="s">
        <v>67</v>
      </c>
      <c r="J4782" s="76" t="s">
        <v>2787</v>
      </c>
      <c r="L4782" s="476">
        <v>640</v>
      </c>
      <c r="M4782" s="136">
        <f t="shared" si="163"/>
        <v>-140016.11029666642</v>
      </c>
    </row>
    <row r="4783" spans="1:13">
      <c r="A4783" s="54" t="str">
        <f t="shared" si="161"/>
        <v>FINANZASCUOTAS Y SUSCRIPCIONESCANACO</v>
      </c>
      <c r="B4783" t="s">
        <v>2565</v>
      </c>
      <c r="C4783" s="1">
        <f t="shared" si="160"/>
        <v>45986</v>
      </c>
      <c r="D4783" t="s">
        <v>23</v>
      </c>
      <c r="E4783" t="s">
        <v>51</v>
      </c>
      <c r="F4783" t="s">
        <v>67</v>
      </c>
      <c r="J4783" s="76" t="s">
        <v>2788</v>
      </c>
      <c r="L4783" s="476">
        <v>640</v>
      </c>
      <c r="M4783" s="136">
        <f t="shared" si="163"/>
        <v>-140656.11029666642</v>
      </c>
    </row>
    <row r="4784" spans="1:13">
      <c r="A4784" s="54" t="str">
        <f t="shared" si="161"/>
        <v>CAPUBERCAP</v>
      </c>
      <c r="B4784" t="s">
        <v>2565</v>
      </c>
      <c r="C4784" s="1">
        <f t="shared" si="160"/>
        <v>45986</v>
      </c>
      <c r="D4784" s="71" t="s">
        <v>31</v>
      </c>
      <c r="E4784" s="71" t="s">
        <v>189</v>
      </c>
      <c r="F4784" s="71" t="s">
        <v>31</v>
      </c>
      <c r="J4784" s="76" t="s">
        <v>2609</v>
      </c>
      <c r="L4784" s="531">
        <v>147</v>
      </c>
      <c r="M4784" s="136">
        <f t="shared" si="163"/>
        <v>-140803.11029666642</v>
      </c>
    </row>
    <row r="4785" spans="1:13">
      <c r="A4785" s="54" t="str">
        <f t="shared" si="161"/>
        <v/>
      </c>
      <c r="B4785" t="s">
        <v>2565</v>
      </c>
      <c r="C4785" s="1">
        <v>45987</v>
      </c>
      <c r="D4785" s="71"/>
      <c r="J4785" s="71" t="s">
        <v>2045</v>
      </c>
      <c r="K4785" s="325">
        <v>276623.42</v>
      </c>
      <c r="L4785" s="432"/>
      <c r="M4785" s="136">
        <f t="shared" si="163"/>
        <v>135820.30970333357</v>
      </c>
    </row>
    <row r="4786" spans="1:13">
      <c r="A4786" s="54" t="str">
        <f t="shared" si="161"/>
        <v>FINANZASCOMISIONES BANCARIASTPV</v>
      </c>
      <c r="B4786" t="s">
        <v>2565</v>
      </c>
      <c r="C4786" s="1">
        <f t="shared" si="160"/>
        <v>45987</v>
      </c>
      <c r="D4786" s="71" t="s">
        <v>23</v>
      </c>
      <c r="E4786" s="71" t="s">
        <v>48</v>
      </c>
      <c r="F4786" s="71" t="s">
        <v>50</v>
      </c>
      <c r="J4786" s="71" t="s">
        <v>217</v>
      </c>
      <c r="L4786" s="433">
        <f>221.62+1275+126.7+1070.81+2915.39+844.55+64.78</f>
        <v>6518.85</v>
      </c>
      <c r="M4786" s="136">
        <f t="shared" si="163"/>
        <v>129301.45970333356</v>
      </c>
    </row>
    <row r="4787" spans="1:13">
      <c r="A4787" s="54" t="str">
        <f t="shared" si="161"/>
        <v/>
      </c>
      <c r="B4787" t="s">
        <v>2565</v>
      </c>
      <c r="C4787" s="1">
        <f t="shared" si="160"/>
        <v>45987</v>
      </c>
      <c r="D4787" s="71"/>
      <c r="J4787" s="205" t="s">
        <v>1562</v>
      </c>
      <c r="K4787" s="205"/>
      <c r="L4787" s="428"/>
      <c r="M4787" s="136">
        <f t="shared" si="163"/>
        <v>129301.45970333356</v>
      </c>
    </row>
    <row r="4788" spans="1:13">
      <c r="A4788" s="54" t="str">
        <f t="shared" si="161"/>
        <v>FINANZASSEGUROEDIFICIO</v>
      </c>
      <c r="B4788" t="s">
        <v>2565</v>
      </c>
      <c r="C4788" s="1">
        <f t="shared" si="160"/>
        <v>45987</v>
      </c>
      <c r="D4788" s="71" t="s">
        <v>23</v>
      </c>
      <c r="E4788" s="71" t="s">
        <v>173</v>
      </c>
      <c r="F4788" s="71" t="s">
        <v>174</v>
      </c>
      <c r="G4788" s="71" t="s">
        <v>258</v>
      </c>
      <c r="J4788" s="71" t="s">
        <v>2789</v>
      </c>
      <c r="L4788" s="433">
        <v>66509.039999999994</v>
      </c>
      <c r="M4788" s="136">
        <f t="shared" si="163"/>
        <v>62792.419703333566</v>
      </c>
    </row>
    <row r="4789" spans="1:13">
      <c r="A4789" s="54" t="str">
        <f t="shared" si="161"/>
        <v/>
      </c>
      <c r="B4789" t="s">
        <v>2565</v>
      </c>
      <c r="C4789" s="1">
        <f t="shared" si="160"/>
        <v>45987</v>
      </c>
      <c r="D4789" s="71"/>
      <c r="J4789" s="71" t="s">
        <v>2790</v>
      </c>
      <c r="L4789" s="433">
        <v>125513.26999999997</v>
      </c>
      <c r="M4789" s="136">
        <f t="shared" si="163"/>
        <v>-62720.850296666409</v>
      </c>
    </row>
    <row r="4790" spans="1:13">
      <c r="A4790" s="54" t="str">
        <f t="shared" si="161"/>
        <v>CAPMKTMKT CAP</v>
      </c>
      <c r="B4790" t="s">
        <v>2565</v>
      </c>
      <c r="C4790" s="1">
        <f t="shared" si="160"/>
        <v>45987</v>
      </c>
      <c r="D4790" s="71" t="s">
        <v>31</v>
      </c>
      <c r="E4790" s="71" t="s">
        <v>19</v>
      </c>
      <c r="F4790" s="71" t="s">
        <v>139</v>
      </c>
      <c r="J4790" s="71" t="s">
        <v>2791</v>
      </c>
      <c r="L4790" s="433">
        <v>1200</v>
      </c>
      <c r="M4790" s="136">
        <f t="shared" si="163"/>
        <v>-63920.850296666409</v>
      </c>
    </row>
    <row r="4791" spans="1:13">
      <c r="A4791" s="54" t="str">
        <f t="shared" si="161"/>
        <v>FINANZASCUOTAS Y SUSCRIPCIONESTRAMITES</v>
      </c>
      <c r="B4791" t="s">
        <v>2565</v>
      </c>
      <c r="C4791" s="1">
        <f t="shared" si="160"/>
        <v>45987</v>
      </c>
      <c r="D4791" s="71" t="s">
        <v>23</v>
      </c>
      <c r="E4791" s="71" t="s">
        <v>51</v>
      </c>
      <c r="F4791" s="71" t="s">
        <v>81</v>
      </c>
      <c r="G4791" s="71" t="s">
        <v>258</v>
      </c>
      <c r="J4791" s="71" t="s">
        <v>2792</v>
      </c>
      <c r="L4791" s="433">
        <v>29500</v>
      </c>
      <c r="M4791" s="136">
        <f t="shared" si="163"/>
        <v>-93420.850296666409</v>
      </c>
    </row>
    <row r="4792" spans="1:13">
      <c r="A4792" s="54" t="str">
        <f t="shared" si="161"/>
        <v>HRVIATICOSHR</v>
      </c>
      <c r="B4792" t="s">
        <v>2565</v>
      </c>
      <c r="C4792" s="1">
        <f t="shared" si="160"/>
        <v>45987</v>
      </c>
      <c r="D4792" s="71" t="s">
        <v>29</v>
      </c>
      <c r="E4792" s="71" t="s">
        <v>191</v>
      </c>
      <c r="F4792" s="71" t="s">
        <v>29</v>
      </c>
      <c r="J4792" s="71" t="s">
        <v>2385</v>
      </c>
      <c r="L4792" s="433">
        <v>5200</v>
      </c>
      <c r="M4792" s="136">
        <f t="shared" si="163"/>
        <v>-98620.850296666409</v>
      </c>
    </row>
    <row r="4793" spans="1:13">
      <c r="A4793" s="54" t="str">
        <f t="shared" si="161"/>
        <v>HRFONDO Y REPOSICIONHR</v>
      </c>
      <c r="B4793" t="s">
        <v>2565</v>
      </c>
      <c r="C4793" s="1">
        <f t="shared" si="160"/>
        <v>45987</v>
      </c>
      <c r="D4793" s="71" t="s">
        <v>29</v>
      </c>
      <c r="E4793" s="71" t="s">
        <v>120</v>
      </c>
      <c r="F4793" s="71" t="s">
        <v>29</v>
      </c>
      <c r="J4793" s="71" t="s">
        <v>2793</v>
      </c>
      <c r="L4793" s="208">
        <v>1996</v>
      </c>
      <c r="M4793" s="136">
        <f t="shared" si="163"/>
        <v>-100616.85029666641</v>
      </c>
    </row>
    <row r="4794" spans="1:13">
      <c r="A4794" s="54" t="str">
        <f t="shared" si="161"/>
        <v>SERVICIOSFONDO Y REPOSICIONSERVICIOS</v>
      </c>
      <c r="B4794" t="s">
        <v>2565</v>
      </c>
      <c r="C4794" s="1">
        <f t="shared" si="160"/>
        <v>45987</v>
      </c>
      <c r="D4794" s="71" t="s">
        <v>21</v>
      </c>
      <c r="E4794" s="71" t="s">
        <v>120</v>
      </c>
      <c r="F4794" s="71" t="s">
        <v>21</v>
      </c>
      <c r="J4794" s="71" t="s">
        <v>2794</v>
      </c>
      <c r="L4794" s="208">
        <v>543</v>
      </c>
      <c r="M4794" s="136">
        <f t="shared" si="163"/>
        <v>-101159.85029666641</v>
      </c>
    </row>
    <row r="4795" spans="1:13">
      <c r="A4795" s="54" t="str">
        <f t="shared" si="161"/>
        <v>HRJMASA5</v>
      </c>
      <c r="B4795" t="s">
        <v>2565</v>
      </c>
      <c r="C4795" s="1">
        <f t="shared" si="160"/>
        <v>45987</v>
      </c>
      <c r="D4795" s="71" t="s">
        <v>29</v>
      </c>
      <c r="E4795" s="71" t="s">
        <v>137</v>
      </c>
      <c r="F4795" s="71" t="s">
        <v>92</v>
      </c>
      <c r="J4795" s="71" t="s">
        <v>2403</v>
      </c>
      <c r="L4795" s="433">
        <v>1400</v>
      </c>
      <c r="M4795" s="136">
        <f t="shared" si="163"/>
        <v>-102559.85029666641</v>
      </c>
    </row>
    <row r="4796" spans="1:13">
      <c r="A4796" s="54" t="str">
        <f t="shared" si="161"/>
        <v>HRUBERHR</v>
      </c>
      <c r="B4796" t="s">
        <v>2565</v>
      </c>
      <c r="C4796" s="1">
        <f t="shared" si="160"/>
        <v>45987</v>
      </c>
      <c r="D4796" s="71" t="s">
        <v>29</v>
      </c>
      <c r="E4796" s="71" t="s">
        <v>189</v>
      </c>
      <c r="F4796" s="71" t="s">
        <v>29</v>
      </c>
      <c r="J4796" s="71" t="s">
        <v>2795</v>
      </c>
      <c r="L4796" s="523">
        <v>250</v>
      </c>
      <c r="M4796" s="136">
        <f t="shared" si="163"/>
        <v>-102809.85029666641</v>
      </c>
    </row>
    <row r="4797" spans="1:13">
      <c r="A4797" s="54" t="str">
        <f t="shared" si="161"/>
        <v>CAPUBERCAP</v>
      </c>
      <c r="B4797" t="s">
        <v>2565</v>
      </c>
      <c r="C4797" s="1">
        <f t="shared" si="160"/>
        <v>45987</v>
      </c>
      <c r="D4797" s="71" t="s">
        <v>31</v>
      </c>
      <c r="E4797" s="71" t="s">
        <v>189</v>
      </c>
      <c r="F4797" s="71" t="s">
        <v>31</v>
      </c>
      <c r="J4797" s="71" t="s">
        <v>2344</v>
      </c>
      <c r="L4797" s="523">
        <f>70+143</f>
        <v>213</v>
      </c>
      <c r="M4797" s="136">
        <f t="shared" si="163"/>
        <v>-103022.85029666641</v>
      </c>
    </row>
    <row r="4798" spans="1:13">
      <c r="A4798" s="54" t="str">
        <f t="shared" si="161"/>
        <v>CAPNOMINA SUCURSALE4</v>
      </c>
      <c r="B4798" t="s">
        <v>2565</v>
      </c>
      <c r="C4798" s="1">
        <f t="shared" si="160"/>
        <v>45987</v>
      </c>
      <c r="D4798" s="71" t="s">
        <v>31</v>
      </c>
      <c r="E4798" s="71" t="s">
        <v>154</v>
      </c>
      <c r="F4798" s="71" t="s">
        <v>110</v>
      </c>
      <c r="J4798" s="71" t="s">
        <v>2796</v>
      </c>
      <c r="L4798" s="433">
        <v>300</v>
      </c>
      <c r="M4798" s="136">
        <f>M4797+K4798-L4798</f>
        <v>-103322.85029666641</v>
      </c>
    </row>
    <row r="4799" spans="1:13">
      <c r="A4799" s="54" t="str">
        <f t="shared" si="161"/>
        <v>CAPUBERCAP</v>
      </c>
      <c r="B4799" t="s">
        <v>2565</v>
      </c>
      <c r="C4799" s="1">
        <f t="shared" si="160"/>
        <v>45987</v>
      </c>
      <c r="D4799" s="71" t="s">
        <v>31</v>
      </c>
      <c r="E4799" s="71" t="s">
        <v>189</v>
      </c>
      <c r="F4799" s="71" t="s">
        <v>31</v>
      </c>
      <c r="J4799" s="71" t="s">
        <v>2797</v>
      </c>
      <c r="L4799" s="523">
        <v>88</v>
      </c>
      <c r="M4799" s="136">
        <f>M4798+K4799-L4799</f>
        <v>-103410.85029666641</v>
      </c>
    </row>
    <row r="4800" spans="1:13">
      <c r="A4800" s="54" t="str">
        <f t="shared" si="161"/>
        <v>FINANZASCUOTAS Y SUSCRIPCIONESBITAM</v>
      </c>
      <c r="B4800" t="s">
        <v>2565</v>
      </c>
      <c r="C4800" s="1">
        <f t="shared" si="160"/>
        <v>45987</v>
      </c>
      <c r="D4800" s="71" t="s">
        <v>23</v>
      </c>
      <c r="E4800" s="71" t="s">
        <v>51</v>
      </c>
      <c r="F4800" s="71" t="s">
        <v>71</v>
      </c>
      <c r="J4800" s="71" t="s">
        <v>2798</v>
      </c>
      <c r="L4800" s="433">
        <v>8590.9599999999991</v>
      </c>
      <c r="M4800" s="136">
        <f>M4799+K4800-L4800</f>
        <v>-112001.8102966664</v>
      </c>
    </row>
    <row r="4801" spans="1:13">
      <c r="A4801" s="54" t="str">
        <f t="shared" si="161"/>
        <v/>
      </c>
      <c r="B4801" t="s">
        <v>2565</v>
      </c>
      <c r="C4801" s="1">
        <v>45988</v>
      </c>
      <c r="D4801" s="71"/>
      <c r="J4801" s="71" t="s">
        <v>2045</v>
      </c>
      <c r="K4801" s="325">
        <v>311560.38</v>
      </c>
      <c r="L4801" s="432"/>
      <c r="M4801" s="136">
        <f>M4800+K4801-L4801</f>
        <v>199558.5697033336</v>
      </c>
    </row>
    <row r="4802" spans="1:13">
      <c r="A4802" s="54" t="str">
        <f t="shared" si="161"/>
        <v>FINANZASCOMISIONES BANCARIASTPV</v>
      </c>
      <c r="B4802" t="s">
        <v>2565</v>
      </c>
      <c r="C4802" s="1">
        <f t="shared" si="160"/>
        <v>45988</v>
      </c>
      <c r="D4802" s="71" t="s">
        <v>23</v>
      </c>
      <c r="E4802" s="71" t="s">
        <v>48</v>
      </c>
      <c r="F4802" s="71" t="s">
        <v>50</v>
      </c>
      <c r="J4802" s="71" t="s">
        <v>217</v>
      </c>
      <c r="L4802" s="433">
        <f>1342.42+1136.2+926.84+4864.08+1345.79+51.66+5.8+3.48</f>
        <v>9676.27</v>
      </c>
      <c r="M4802" s="136">
        <f>M4801+K4802-L4802</f>
        <v>189882.29970333361</v>
      </c>
    </row>
    <row r="4803" spans="1:13">
      <c r="A4803" s="54" t="str">
        <f t="shared" si="161"/>
        <v/>
      </c>
      <c r="B4803" t="s">
        <v>2565</v>
      </c>
      <c r="C4803" s="1">
        <f t="shared" si="160"/>
        <v>45988</v>
      </c>
      <c r="D4803" s="71"/>
      <c r="J4803" s="205" t="s">
        <v>1562</v>
      </c>
      <c r="K4803" s="205"/>
      <c r="L4803" s="428">
        <v>250000</v>
      </c>
      <c r="M4803" s="136">
        <f>M4802+K4803-L4803</f>
        <v>-60117.700296666386</v>
      </c>
    </row>
    <row r="4804" spans="1:13">
      <c r="A4804" s="54" t="str">
        <f t="shared" si="161"/>
        <v>SERVICIOSMTTO DE EDIFICIOMANTENIMIENTO</v>
      </c>
      <c r="B4804" t="s">
        <v>2565</v>
      </c>
      <c r="C4804" s="1">
        <f t="shared" si="160"/>
        <v>45988</v>
      </c>
      <c r="D4804" s="71" t="s">
        <v>21</v>
      </c>
      <c r="E4804" s="71" t="s">
        <v>142</v>
      </c>
      <c r="F4804" s="71" t="s">
        <v>35</v>
      </c>
      <c r="J4804" s="71" t="s">
        <v>2799</v>
      </c>
      <c r="L4804" s="433">
        <v>40000</v>
      </c>
      <c r="M4804" s="136">
        <f>M4803+K4804-L4804</f>
        <v>-100117.70029666639</v>
      </c>
    </row>
    <row r="4805" spans="1:13">
      <c r="A4805" s="54" t="str">
        <f t="shared" si="161"/>
        <v>FINANZASCUOTAS Y SUSCRIPCIONESMULTAS</v>
      </c>
      <c r="B4805" t="s">
        <v>2565</v>
      </c>
      <c r="C4805" s="1">
        <f t="shared" si="160"/>
        <v>45988</v>
      </c>
      <c r="D4805" s="71" t="s">
        <v>23</v>
      </c>
      <c r="E4805" s="71" t="s">
        <v>51</v>
      </c>
      <c r="F4805" s="71" t="s">
        <v>74</v>
      </c>
      <c r="J4805" s="71" t="s">
        <v>2800</v>
      </c>
      <c r="L4805" s="433">
        <v>16892</v>
      </c>
      <c r="M4805" s="136">
        <f t="shared" ref="M4805:M4827" si="164">M4804+K4805-L4805</f>
        <v>-117009.70029666639</v>
      </c>
    </row>
    <row r="4806" spans="1:13">
      <c r="A4806" s="54" t="str">
        <f t="shared" si="161"/>
        <v>MKTACTIVACION MKT</v>
      </c>
      <c r="B4806" t="s">
        <v>2565</v>
      </c>
      <c r="C4806" s="1">
        <f t="shared" si="160"/>
        <v>45988</v>
      </c>
      <c r="D4806" t="s">
        <v>19</v>
      </c>
      <c r="E4806" t="s">
        <v>20</v>
      </c>
      <c r="F4806" t="s">
        <v>19</v>
      </c>
      <c r="J4806" s="71" t="s">
        <v>2801</v>
      </c>
      <c r="L4806" s="433">
        <v>600</v>
      </c>
      <c r="M4806" s="136">
        <f t="shared" si="164"/>
        <v>-117609.70029666639</v>
      </c>
    </row>
    <row r="4807" spans="1:13">
      <c r="A4807" s="54" t="str">
        <f t="shared" si="161"/>
        <v>HRINSUMOSHR</v>
      </c>
      <c r="B4807" t="s">
        <v>2565</v>
      </c>
      <c r="C4807" s="1">
        <f t="shared" si="160"/>
        <v>45988</v>
      </c>
      <c r="D4807" s="71" t="s">
        <v>29</v>
      </c>
      <c r="E4807" s="71" t="s">
        <v>133</v>
      </c>
      <c r="F4807" s="71" t="s">
        <v>29</v>
      </c>
      <c r="J4807" s="71" t="s">
        <v>2802</v>
      </c>
      <c r="L4807" s="433">
        <v>8200</v>
      </c>
      <c r="M4807" s="136">
        <f t="shared" si="164"/>
        <v>-125809.70029666639</v>
      </c>
    </row>
    <row r="4808" spans="1:13">
      <c r="A4808" s="54" t="str">
        <f t="shared" si="161"/>
        <v>SERVICIOSFONDO Y REPOSICIONSERVICIOS</v>
      </c>
      <c r="B4808" t="s">
        <v>2565</v>
      </c>
      <c r="C4808" s="1">
        <f t="shared" si="160"/>
        <v>45988</v>
      </c>
      <c r="D4808" s="71" t="s">
        <v>21</v>
      </c>
      <c r="E4808" s="71" t="s">
        <v>120</v>
      </c>
      <c r="F4808" s="71" t="s">
        <v>21</v>
      </c>
      <c r="J4808" s="71" t="s">
        <v>2803</v>
      </c>
      <c r="L4808" s="433">
        <v>2000</v>
      </c>
      <c r="M4808" s="136">
        <f t="shared" si="164"/>
        <v>-127809.70029666639</v>
      </c>
    </row>
    <row r="4809" spans="1:13">
      <c r="A4809" s="54" t="str">
        <f t="shared" si="161"/>
        <v>FINANZASVIATICOSFINANZAS</v>
      </c>
      <c r="B4809" t="s">
        <v>2565</v>
      </c>
      <c r="C4809" s="1">
        <f t="shared" si="160"/>
        <v>45988</v>
      </c>
      <c r="D4809" s="71" t="s">
        <v>23</v>
      </c>
      <c r="E4809" s="71" t="s">
        <v>191</v>
      </c>
      <c r="F4809" s="71" t="s">
        <v>23</v>
      </c>
      <c r="J4809" s="71" t="s">
        <v>2804</v>
      </c>
      <c r="L4809" s="433">
        <v>200</v>
      </c>
      <c r="M4809" s="136">
        <f t="shared" si="164"/>
        <v>-128009.70029666639</v>
      </c>
    </row>
    <row r="4810" spans="1:13">
      <c r="A4810" s="54" t="str">
        <f t="shared" si="161"/>
        <v>FINANZAS</v>
      </c>
      <c r="B4810" t="s">
        <v>2565</v>
      </c>
      <c r="C4810" s="1">
        <f t="shared" si="160"/>
        <v>45988</v>
      </c>
      <c r="D4810" s="71" t="s">
        <v>23</v>
      </c>
      <c r="J4810" s="71" t="s">
        <v>564</v>
      </c>
      <c r="L4810" s="433">
        <v>25253</v>
      </c>
      <c r="M4810" s="136">
        <f t="shared" si="164"/>
        <v>-153262.70029666639</v>
      </c>
    </row>
    <row r="4811" spans="1:13">
      <c r="A4811" s="54" t="str">
        <f t="shared" si="161"/>
        <v>SERVICIOSMTTO DE EDIFICIOMANTENIMIENTO</v>
      </c>
      <c r="B4811" t="s">
        <v>2565</v>
      </c>
      <c r="C4811" s="1">
        <f t="shared" si="160"/>
        <v>45988</v>
      </c>
      <c r="D4811" s="71" t="s">
        <v>21</v>
      </c>
      <c r="E4811" s="71" t="s">
        <v>142</v>
      </c>
      <c r="F4811" s="71" t="s">
        <v>35</v>
      </c>
      <c r="J4811" s="71" t="s">
        <v>2805</v>
      </c>
      <c r="L4811" s="433">
        <v>1160</v>
      </c>
      <c r="M4811" s="136">
        <f t="shared" si="164"/>
        <v>-154422.70029666639</v>
      </c>
    </row>
    <row r="4812" spans="1:13">
      <c r="A4812" s="54" t="str">
        <f t="shared" si="161"/>
        <v>HRJMASA22</v>
      </c>
      <c r="B4812" t="s">
        <v>2565</v>
      </c>
      <c r="C4812" s="1">
        <f t="shared" si="160"/>
        <v>45988</v>
      </c>
      <c r="D4812" s="71" t="s">
        <v>29</v>
      </c>
      <c r="E4812" s="71" t="s">
        <v>137</v>
      </c>
      <c r="F4812" s="71" t="s">
        <v>104</v>
      </c>
      <c r="J4812" s="71" t="s">
        <v>2806</v>
      </c>
      <c r="L4812" s="433">
        <v>1972</v>
      </c>
      <c r="M4812" s="136">
        <f t="shared" si="164"/>
        <v>-156394.70029666639</v>
      </c>
    </row>
    <row r="4813" spans="1:13">
      <c r="A4813" s="54" t="str">
        <f t="shared" si="161"/>
        <v>HRUBERHR</v>
      </c>
      <c r="B4813" t="s">
        <v>2565</v>
      </c>
      <c r="C4813" s="1">
        <f t="shared" si="160"/>
        <v>45988</v>
      </c>
      <c r="D4813" s="71" t="s">
        <v>29</v>
      </c>
      <c r="E4813" s="71" t="s">
        <v>189</v>
      </c>
      <c r="F4813" s="71" t="s">
        <v>29</v>
      </c>
      <c r="J4813" s="71" t="s">
        <v>2807</v>
      </c>
      <c r="L4813" s="523">
        <v>191</v>
      </c>
      <c r="M4813" s="136">
        <f t="shared" si="164"/>
        <v>-156585.70029666639</v>
      </c>
    </row>
    <row r="4814" spans="1:13">
      <c r="A4814" s="54" t="str">
        <f t="shared" si="161"/>
        <v/>
      </c>
      <c r="B4814" t="s">
        <v>2565</v>
      </c>
      <c r="C4814" s="1">
        <v>45989</v>
      </c>
      <c r="D4814" s="71"/>
      <c r="J4814" s="71" t="s">
        <v>2045</v>
      </c>
      <c r="K4814" s="325">
        <v>314489.03999999998</v>
      </c>
      <c r="L4814" s="432"/>
      <c r="M4814" s="136">
        <f t="shared" si="164"/>
        <v>157903.33970333359</v>
      </c>
    </row>
    <row r="4815" spans="1:13">
      <c r="A4815" s="54" t="str">
        <f t="shared" si="161"/>
        <v>FINANZASCOMISIONES BANCARIASTPV</v>
      </c>
      <c r="B4815" t="s">
        <v>2565</v>
      </c>
      <c r="C4815" s="1">
        <f t="shared" si="160"/>
        <v>45989</v>
      </c>
      <c r="D4815" s="71" t="s">
        <v>23</v>
      </c>
      <c r="E4815" s="71" t="s">
        <v>48</v>
      </c>
      <c r="F4815" s="71" t="s">
        <v>50</v>
      </c>
      <c r="J4815" s="71" t="s">
        <v>217</v>
      </c>
      <c r="L4815" s="433">
        <f>3.39+1196.24+330.04+3642.51+1485.51+11697.93+13.92</f>
        <v>18369.54</v>
      </c>
      <c r="M4815" s="136">
        <f t="shared" si="164"/>
        <v>139533.79970333359</v>
      </c>
    </row>
    <row r="4816" spans="1:13">
      <c r="A4816" s="54" t="str">
        <f t="shared" si="161"/>
        <v>FINANZASCOMISIONES BANCARIASMANEJO DE CUENTA</v>
      </c>
      <c r="B4816" t="s">
        <v>2565</v>
      </c>
      <c r="C4816" s="1">
        <f t="shared" si="160"/>
        <v>45989</v>
      </c>
      <c r="D4816" t="s">
        <v>23</v>
      </c>
      <c r="E4816" t="s">
        <v>48</v>
      </c>
      <c r="F4816" t="s">
        <v>49</v>
      </c>
      <c r="J4816" s="71" t="s">
        <v>343</v>
      </c>
      <c r="L4816" s="433">
        <f>464+464</f>
        <v>928</v>
      </c>
      <c r="M4816" s="136">
        <f t="shared" si="164"/>
        <v>138605.79970333359</v>
      </c>
    </row>
    <row r="4817" spans="1:13">
      <c r="A4817" s="54" t="str">
        <f t="shared" si="161"/>
        <v/>
      </c>
      <c r="B4817" t="s">
        <v>2565</v>
      </c>
      <c r="C4817" s="1">
        <f>C4815</f>
        <v>45989</v>
      </c>
      <c r="D4817" s="71"/>
      <c r="J4817" s="205" t="s">
        <v>1562</v>
      </c>
      <c r="K4817" s="205"/>
      <c r="L4817" s="428">
        <v>90550</v>
      </c>
      <c r="M4817" s="136">
        <f t="shared" si="164"/>
        <v>48055.799703333585</v>
      </c>
    </row>
    <row r="4818" spans="1:13">
      <c r="A4818" s="54" t="str">
        <f t="shared" si="161"/>
        <v>HRNOMINA SUCURSALA3</v>
      </c>
      <c r="B4818" t="s">
        <v>2565</v>
      </c>
      <c r="C4818" s="1">
        <f t="shared" si="160"/>
        <v>45989</v>
      </c>
      <c r="D4818" s="71" t="s">
        <v>29</v>
      </c>
      <c r="E4818" s="71" t="s">
        <v>154</v>
      </c>
      <c r="F4818" s="71" t="s">
        <v>90</v>
      </c>
      <c r="J4818" s="76" t="s">
        <v>2808</v>
      </c>
      <c r="L4818" s="434">
        <v>1200</v>
      </c>
      <c r="M4818" s="136">
        <f t="shared" si="164"/>
        <v>46855.799703333585</v>
      </c>
    </row>
    <row r="4819" spans="1:13">
      <c r="A4819" s="54" t="str">
        <f t="shared" si="161"/>
        <v/>
      </c>
      <c r="B4819" t="s">
        <v>2565</v>
      </c>
      <c r="C4819" s="1">
        <f t="shared" si="160"/>
        <v>45989</v>
      </c>
      <c r="D4819" s="71"/>
      <c r="J4819" s="76" t="s">
        <v>2809</v>
      </c>
      <c r="L4819" s="434">
        <v>1189.9100000000001</v>
      </c>
      <c r="M4819" s="136">
        <f t="shared" si="164"/>
        <v>45665.889703333582</v>
      </c>
    </row>
    <row r="4820" spans="1:13">
      <c r="A4820" s="54" t="str">
        <f t="shared" si="161"/>
        <v>HRINSUMOSHR</v>
      </c>
      <c r="B4820" t="s">
        <v>2565</v>
      </c>
      <c r="C4820" s="1">
        <f t="shared" si="160"/>
        <v>45989</v>
      </c>
      <c r="D4820" s="71" t="s">
        <v>29</v>
      </c>
      <c r="E4820" s="71" t="s">
        <v>133</v>
      </c>
      <c r="F4820" s="71" t="s">
        <v>29</v>
      </c>
      <c r="J4820" s="76" t="s">
        <v>2810</v>
      </c>
      <c r="L4820" s="434">
        <v>30</v>
      </c>
      <c r="M4820" s="136">
        <f t="shared" si="164"/>
        <v>45635.889703333582</v>
      </c>
    </row>
    <row r="4821" spans="1:13">
      <c r="A4821" s="54" t="str">
        <f t="shared" si="161"/>
        <v>HRNOMINA SUCURSALA24</v>
      </c>
      <c r="B4821" t="s">
        <v>2565</v>
      </c>
      <c r="C4821" s="1">
        <f t="shared" si="160"/>
        <v>45989</v>
      </c>
      <c r="D4821" s="71" t="s">
        <v>29</v>
      </c>
      <c r="E4821" s="71" t="s">
        <v>154</v>
      </c>
      <c r="F4821" s="71" t="s">
        <v>106</v>
      </c>
      <c r="J4821" s="76" t="s">
        <v>2811</v>
      </c>
      <c r="L4821" s="476">
        <v>2385</v>
      </c>
      <c r="M4821" s="136">
        <f t="shared" si="164"/>
        <v>43250.889703333582</v>
      </c>
    </row>
    <row r="4822" spans="1:13">
      <c r="A4822" s="54" t="str">
        <f t="shared" ref="A4822:A4885" si="165">D4822&amp;E4822&amp;F4822</f>
        <v>HRUBERHR</v>
      </c>
      <c r="B4822" t="s">
        <v>2565</v>
      </c>
      <c r="C4822" s="1">
        <f t="shared" si="160"/>
        <v>45989</v>
      </c>
      <c r="D4822" s="71" t="s">
        <v>29</v>
      </c>
      <c r="E4822" s="71" t="s">
        <v>189</v>
      </c>
      <c r="F4822" s="71" t="s">
        <v>29</v>
      </c>
      <c r="J4822" s="76" t="s">
        <v>2586</v>
      </c>
      <c r="L4822" s="522">
        <v>300</v>
      </c>
      <c r="M4822" s="136">
        <f t="shared" si="164"/>
        <v>42950.889703333582</v>
      </c>
    </row>
    <row r="4823" spans="1:13">
      <c r="A4823" s="54" t="str">
        <f t="shared" si="165"/>
        <v>CAPUBERCAP</v>
      </c>
      <c r="B4823" t="s">
        <v>2565</v>
      </c>
      <c r="C4823" s="1">
        <f t="shared" si="160"/>
        <v>45989</v>
      </c>
      <c r="D4823" s="71" t="s">
        <v>31</v>
      </c>
      <c r="E4823" s="71" t="s">
        <v>189</v>
      </c>
      <c r="F4823" s="71" t="s">
        <v>31</v>
      </c>
      <c r="J4823" s="76" t="s">
        <v>2299</v>
      </c>
      <c r="L4823" s="522">
        <v>386</v>
      </c>
      <c r="M4823" s="136">
        <f t="shared" si="164"/>
        <v>42564.889703333582</v>
      </c>
    </row>
    <row r="4824" spans="1:13">
      <c r="A4824" s="54" t="str">
        <f t="shared" si="165"/>
        <v>CAPENERGIA ELECTRICAE6</v>
      </c>
      <c r="B4824" t="s">
        <v>2565</v>
      </c>
      <c r="C4824" s="1">
        <f t="shared" si="160"/>
        <v>45989</v>
      </c>
      <c r="D4824" s="71" t="s">
        <v>31</v>
      </c>
      <c r="E4824" s="71" t="s">
        <v>87</v>
      </c>
      <c r="F4824" s="71" t="s">
        <v>112</v>
      </c>
      <c r="J4824" s="71" t="s">
        <v>2812</v>
      </c>
      <c r="L4824" s="433">
        <v>7798</v>
      </c>
      <c r="M4824" s="136">
        <f t="shared" si="164"/>
        <v>34766.889703333582</v>
      </c>
    </row>
    <row r="4825" spans="1:13">
      <c r="A4825" s="54" t="str">
        <f t="shared" si="165"/>
        <v>CAPENERGIA ELECTRICAE6</v>
      </c>
      <c r="B4825" t="s">
        <v>2565</v>
      </c>
      <c r="C4825" s="1">
        <f t="shared" si="160"/>
        <v>45989</v>
      </c>
      <c r="D4825" s="71" t="s">
        <v>31</v>
      </c>
      <c r="E4825" s="71" t="s">
        <v>87</v>
      </c>
      <c r="F4825" s="71" t="s">
        <v>112</v>
      </c>
      <c r="J4825" s="71" t="s">
        <v>2813</v>
      </c>
      <c r="L4825" s="433">
        <v>543</v>
      </c>
      <c r="M4825" s="136">
        <f t="shared" si="164"/>
        <v>34223.889703333582</v>
      </c>
    </row>
    <row r="4826" spans="1:13">
      <c r="A4826" s="54" t="str">
        <f t="shared" si="165"/>
        <v>FINANZASCUOTAS Y SUSCRIPCIONESKOLBEE</v>
      </c>
      <c r="B4826" t="s">
        <v>2565</v>
      </c>
      <c r="C4826" s="1">
        <f t="shared" ref="C4826:C4894" si="166">C4825</f>
        <v>45989</v>
      </c>
      <c r="D4826" s="71" t="s">
        <v>23</v>
      </c>
      <c r="E4826" s="71" t="s">
        <v>51</v>
      </c>
      <c r="F4826" s="71" t="s">
        <v>69</v>
      </c>
      <c r="J4826" s="71" t="s">
        <v>2814</v>
      </c>
      <c r="L4826" s="433">
        <v>1050</v>
      </c>
      <c r="M4826" s="136">
        <f t="shared" si="164"/>
        <v>33173.889703333582</v>
      </c>
    </row>
    <row r="4827" spans="1:13">
      <c r="A4827" s="54" t="str">
        <f t="shared" si="165"/>
        <v>FINANZASENERGIA ELECTRICACEDIS</v>
      </c>
      <c r="B4827" t="s">
        <v>2565</v>
      </c>
      <c r="C4827" s="1">
        <f t="shared" si="166"/>
        <v>45989</v>
      </c>
      <c r="D4827" s="71" t="s">
        <v>23</v>
      </c>
      <c r="E4827" s="71" t="s">
        <v>87</v>
      </c>
      <c r="F4827" s="71" t="s">
        <v>28</v>
      </c>
      <c r="J4827" s="71" t="s">
        <v>745</v>
      </c>
      <c r="L4827" s="433">
        <v>281</v>
      </c>
      <c r="M4827" s="136">
        <f t="shared" si="164"/>
        <v>32892.889703333582</v>
      </c>
    </row>
    <row r="4828" spans="1:13">
      <c r="A4828" s="54" t="str">
        <f t="shared" si="165"/>
        <v>FINANZASENERGIA ELECTRICACEDIS</v>
      </c>
      <c r="B4828" t="s">
        <v>2565</v>
      </c>
      <c r="C4828" s="1">
        <f t="shared" si="166"/>
        <v>45989</v>
      </c>
      <c r="D4828" s="71" t="s">
        <v>23</v>
      </c>
      <c r="E4828" s="71" t="s">
        <v>87</v>
      </c>
      <c r="F4828" s="71" t="s">
        <v>28</v>
      </c>
      <c r="J4828" s="71" t="s">
        <v>2815</v>
      </c>
      <c r="L4828" s="433">
        <v>7929</v>
      </c>
      <c r="M4828" s="136">
        <f>M4827+K4828-L4828</f>
        <v>24963.889703333582</v>
      </c>
    </row>
    <row r="4829" spans="1:13">
      <c r="A4829" s="54" t="str">
        <f t="shared" si="165"/>
        <v>FINANZASENERGIA ELECTRICACEDIS</v>
      </c>
      <c r="B4829" t="s">
        <v>2565</v>
      </c>
      <c r="C4829" s="1">
        <f t="shared" si="166"/>
        <v>45989</v>
      </c>
      <c r="D4829" s="71" t="s">
        <v>23</v>
      </c>
      <c r="E4829" s="71" t="s">
        <v>87</v>
      </c>
      <c r="F4829" s="71" t="s">
        <v>28</v>
      </c>
      <c r="J4829" s="71" t="s">
        <v>1791</v>
      </c>
      <c r="L4829" s="433">
        <v>2339</v>
      </c>
      <c r="M4829" s="136">
        <f>M4828+K4829-L4829</f>
        <v>22624.889703333582</v>
      </c>
    </row>
    <row r="4830" spans="1:13">
      <c r="A4830" s="54" t="str">
        <f t="shared" si="165"/>
        <v>FINANZASENERGIA ELECTRICACEDIS</v>
      </c>
      <c r="B4830" t="s">
        <v>2565</v>
      </c>
      <c r="C4830" s="1">
        <f t="shared" si="166"/>
        <v>45989</v>
      </c>
      <c r="D4830" s="71" t="s">
        <v>23</v>
      </c>
      <c r="E4830" s="71" t="s">
        <v>87</v>
      </c>
      <c r="F4830" s="71" t="s">
        <v>28</v>
      </c>
      <c r="J4830" s="71" t="s">
        <v>2816</v>
      </c>
      <c r="L4830" s="433">
        <v>281</v>
      </c>
      <c r="M4830" s="136">
        <f>M4829+K4830-L4830</f>
        <v>22343.889703333582</v>
      </c>
    </row>
    <row r="4831" spans="1:13">
      <c r="A4831" s="54" t="str">
        <f t="shared" si="165"/>
        <v>SERVICIOSTELEPEAJECEDIS</v>
      </c>
      <c r="B4831" t="s">
        <v>2565</v>
      </c>
      <c r="C4831" s="1">
        <f t="shared" si="166"/>
        <v>45989</v>
      </c>
      <c r="D4831" s="71" t="s">
        <v>21</v>
      </c>
      <c r="E4831" s="71" t="s">
        <v>186</v>
      </c>
      <c r="F4831" s="71" t="s">
        <v>28</v>
      </c>
      <c r="J4831" s="71" t="s">
        <v>238</v>
      </c>
      <c r="L4831" s="433">
        <v>5073</v>
      </c>
      <c r="M4831" s="136">
        <f>M4830+K4831-L4831</f>
        <v>17270.889703333582</v>
      </c>
    </row>
    <row r="4832" spans="1:13">
      <c r="A4832" s="54" t="str">
        <f t="shared" si="165"/>
        <v>HRTELEPEAJEOP HR</v>
      </c>
      <c r="B4832" t="s">
        <v>2565</v>
      </c>
      <c r="C4832" s="1">
        <f t="shared" si="166"/>
        <v>45989</v>
      </c>
      <c r="D4832" s="71" t="s">
        <v>29</v>
      </c>
      <c r="E4832" s="71" t="s">
        <v>186</v>
      </c>
      <c r="F4832" s="70" t="s">
        <v>187</v>
      </c>
      <c r="J4832" s="71" t="s">
        <v>975</v>
      </c>
      <c r="L4832" s="433">
        <v>623</v>
      </c>
      <c r="M4832" s="136">
        <f>M4831+K4832-L4832</f>
        <v>16647.889703333582</v>
      </c>
    </row>
    <row r="4833" spans="1:15">
      <c r="A4833" s="54" t="str">
        <f t="shared" si="165"/>
        <v>CAPTELEPEAJECAP</v>
      </c>
      <c r="B4833" t="s">
        <v>2565</v>
      </c>
      <c r="C4833" s="1">
        <f t="shared" si="166"/>
        <v>45989</v>
      </c>
      <c r="D4833" s="71" t="s">
        <v>31</v>
      </c>
      <c r="E4833" s="71" t="s">
        <v>186</v>
      </c>
      <c r="F4833" s="71" t="s">
        <v>31</v>
      </c>
      <c r="J4833" s="71" t="s">
        <v>2817</v>
      </c>
      <c r="L4833" s="433">
        <v>564</v>
      </c>
      <c r="M4833" s="136">
        <f t="shared" ref="M4833:M4859" si="167">M4832+K4833-L4833</f>
        <v>16083.889703333582</v>
      </c>
    </row>
    <row r="4834" spans="1:15">
      <c r="A4834" s="54" t="str">
        <f t="shared" si="165"/>
        <v>SERVICIOSTELEPEAJECEDIS</v>
      </c>
      <c r="B4834" t="s">
        <v>2565</v>
      </c>
      <c r="C4834" s="1">
        <f t="shared" si="166"/>
        <v>45989</v>
      </c>
      <c r="D4834" s="71" t="s">
        <v>21</v>
      </c>
      <c r="E4834" s="71" t="s">
        <v>186</v>
      </c>
      <c r="F4834" s="71" t="s">
        <v>28</v>
      </c>
      <c r="J4834" s="71" t="s">
        <v>238</v>
      </c>
      <c r="L4834" s="433">
        <v>658</v>
      </c>
      <c r="M4834" s="136">
        <f t="shared" si="167"/>
        <v>15425.889703333582</v>
      </c>
    </row>
    <row r="4835" spans="1:15">
      <c r="A4835" s="54" t="str">
        <f t="shared" si="165"/>
        <v>SERVICIOSMTTO EQ DE TRANSPORTECEDIS</v>
      </c>
      <c r="B4835" t="s">
        <v>2565</v>
      </c>
      <c r="C4835" s="1">
        <f t="shared" si="166"/>
        <v>45989</v>
      </c>
      <c r="D4835" s="71" t="s">
        <v>21</v>
      </c>
      <c r="E4835" s="71" t="s">
        <v>144</v>
      </c>
      <c r="F4835" s="71" t="s">
        <v>28</v>
      </c>
      <c r="J4835" s="71" t="s">
        <v>2818</v>
      </c>
      <c r="L4835" s="433">
        <v>4060</v>
      </c>
      <c r="M4835" s="136">
        <f t="shared" si="167"/>
        <v>11365.889703333582</v>
      </c>
    </row>
    <row r="4836" spans="1:15">
      <c r="A4836" s="54" t="str">
        <f t="shared" si="165"/>
        <v>SERVICIOSFONDO Y REPOSICIONSERVICIOS</v>
      </c>
      <c r="B4836" t="s">
        <v>2565</v>
      </c>
      <c r="C4836" s="1">
        <f t="shared" si="166"/>
        <v>45989</v>
      </c>
      <c r="D4836" s="71" t="s">
        <v>21</v>
      </c>
      <c r="E4836" s="71" t="s">
        <v>120</v>
      </c>
      <c r="F4836" s="71" t="s">
        <v>21</v>
      </c>
      <c r="J4836" s="71" t="s">
        <v>2819</v>
      </c>
      <c r="L4836" s="433">
        <v>1500</v>
      </c>
      <c r="M4836" s="136">
        <f t="shared" si="167"/>
        <v>9865.8897033335816</v>
      </c>
    </row>
    <row r="4837" spans="1:15">
      <c r="A4837" s="54" t="str">
        <f t="shared" si="165"/>
        <v/>
      </c>
      <c r="B4837" t="s">
        <v>2565</v>
      </c>
      <c r="C4837" s="1">
        <v>45992</v>
      </c>
      <c r="D4837" s="71"/>
      <c r="J4837" s="71" t="s">
        <v>2820</v>
      </c>
      <c r="K4837" s="325">
        <v>1155475.33</v>
      </c>
      <c r="L4837" s="432"/>
      <c r="M4837" s="136">
        <f t="shared" si="167"/>
        <v>1165341.2197033337</v>
      </c>
    </row>
    <row r="4838" spans="1:15">
      <c r="A4838" s="54" t="str">
        <f t="shared" si="165"/>
        <v/>
      </c>
      <c r="B4838" t="s">
        <v>2821</v>
      </c>
      <c r="C4838" s="1">
        <f t="shared" si="166"/>
        <v>45992</v>
      </c>
      <c r="J4838" s="71" t="s">
        <v>2822</v>
      </c>
      <c r="K4838" s="325">
        <v>444478.55</v>
      </c>
      <c r="M4838" s="136">
        <f>M4837+K4838-L4838</f>
        <v>1609819.7697033337</v>
      </c>
    </row>
    <row r="4839" spans="1:15" ht="21" customHeight="1">
      <c r="A4839" s="54" t="str">
        <f t="shared" si="165"/>
        <v>FINANZASCOMISIONES BANCARIASTPV</v>
      </c>
      <c r="B4839" t="s">
        <v>2821</v>
      </c>
      <c r="C4839" s="1">
        <f t="shared" si="166"/>
        <v>45992</v>
      </c>
      <c r="D4839" s="242" t="s">
        <v>23</v>
      </c>
      <c r="E4839" s="71" t="s">
        <v>48</v>
      </c>
      <c r="F4839" s="71" t="s">
        <v>50</v>
      </c>
      <c r="J4839" s="71" t="s">
        <v>217</v>
      </c>
      <c r="L4839" s="438">
        <f>2247.45+2375.23+3542.75+18168.1+8393.09+1566.22+2152.82</f>
        <v>38445.659999999996</v>
      </c>
      <c r="M4839" s="136">
        <f>M4838+K4839-L4839</f>
        <v>1571374.1097033338</v>
      </c>
      <c r="O4839" s="5"/>
    </row>
    <row r="4840" spans="1:15">
      <c r="A4840" s="54" t="str">
        <f t="shared" si="165"/>
        <v>FINANZASCOMISIONES BANCARIASMANEJO DE CUENTA</v>
      </c>
      <c r="B4840" t="s">
        <v>2821</v>
      </c>
      <c r="C4840" s="1">
        <f t="shared" si="166"/>
        <v>45992</v>
      </c>
      <c r="D4840" s="242" t="s">
        <v>23</v>
      </c>
      <c r="E4840" s="71" t="s">
        <v>48</v>
      </c>
      <c r="F4840" s="71" t="s">
        <v>49</v>
      </c>
      <c r="J4840" s="71" t="s">
        <v>2823</v>
      </c>
      <c r="L4840" s="433">
        <f>435+30+580+145+580+5127.2</f>
        <v>6897.2</v>
      </c>
      <c r="M4840" s="136">
        <f>M4839+K4840-L4840</f>
        <v>1564476.9097033339</v>
      </c>
    </row>
    <row r="4841" spans="1:15">
      <c r="A4841" s="54" t="str">
        <f t="shared" si="165"/>
        <v/>
      </c>
      <c r="B4841" t="s">
        <v>2821</v>
      </c>
      <c r="C4841" s="1">
        <f>C4839</f>
        <v>45992</v>
      </c>
      <c r="J4841" s="205" t="s">
        <v>1562</v>
      </c>
      <c r="K4841" s="205"/>
      <c r="L4841" s="428">
        <v>1200000</v>
      </c>
      <c r="M4841" s="136">
        <f>M4840+K4841-L4841</f>
        <v>364476.90970333386</v>
      </c>
    </row>
    <row r="4842" spans="1:15">
      <c r="A4842" s="54" t="str">
        <f t="shared" si="165"/>
        <v/>
      </c>
      <c r="B4842" t="s">
        <v>2821</v>
      </c>
      <c r="C4842" s="1">
        <f t="shared" si="166"/>
        <v>45992</v>
      </c>
      <c r="J4842" s="205" t="s">
        <v>222</v>
      </c>
      <c r="K4842" s="205"/>
      <c r="L4842" s="428">
        <v>300000</v>
      </c>
      <c r="M4842" s="136">
        <f>M4841+K4842-L4842</f>
        <v>64476.909703333862</v>
      </c>
    </row>
    <row r="4843" spans="1:15">
      <c r="A4843" s="54" t="str">
        <f t="shared" si="165"/>
        <v>HRENERGIA ELECTRICAA16</v>
      </c>
      <c r="B4843" t="s">
        <v>2821</v>
      </c>
      <c r="C4843" s="1">
        <f t="shared" si="166"/>
        <v>45992</v>
      </c>
      <c r="D4843" s="242" t="s">
        <v>29</v>
      </c>
      <c r="E4843" s="71" t="s">
        <v>87</v>
      </c>
      <c r="F4843" s="71" t="s">
        <v>101</v>
      </c>
      <c r="J4843" s="71" t="s">
        <v>2824</v>
      </c>
      <c r="L4843" s="433">
        <v>10550</v>
      </c>
      <c r="M4843" s="136">
        <f>M4842+K4843-L4843</f>
        <v>53926.909703333862</v>
      </c>
    </row>
    <row r="4844" spans="1:15">
      <c r="A4844" s="54" t="str">
        <f t="shared" si="165"/>
        <v>FINANZASENERGIA ELECTRICACEDIS</v>
      </c>
      <c r="B4844" t="s">
        <v>2821</v>
      </c>
      <c r="C4844" s="1">
        <f t="shared" si="166"/>
        <v>45992</v>
      </c>
      <c r="D4844" s="242" t="s">
        <v>23</v>
      </c>
      <c r="E4844" s="71" t="s">
        <v>87</v>
      </c>
      <c r="F4844" s="71" t="s">
        <v>28</v>
      </c>
      <c r="J4844" s="71" t="s">
        <v>744</v>
      </c>
      <c r="L4844" s="433">
        <v>285</v>
      </c>
      <c r="M4844" s="136">
        <f>M4843+K4844-L4844</f>
        <v>53641.909703333862</v>
      </c>
    </row>
    <row r="4845" spans="1:15">
      <c r="A4845" s="54" t="str">
        <f t="shared" si="165"/>
        <v>SERVICIOSINSUMOSCEDIS</v>
      </c>
      <c r="B4845" t="s">
        <v>2821</v>
      </c>
      <c r="C4845" s="1">
        <f t="shared" si="166"/>
        <v>45992</v>
      </c>
      <c r="D4845" s="242" t="s">
        <v>21</v>
      </c>
      <c r="E4845" s="71" t="s">
        <v>133</v>
      </c>
      <c r="F4845" s="71" t="s">
        <v>28</v>
      </c>
      <c r="G4845" s="71" t="s">
        <v>258</v>
      </c>
      <c r="J4845" s="71" t="s">
        <v>2825</v>
      </c>
      <c r="L4845" s="433">
        <v>2192.4</v>
      </c>
      <c r="M4845" s="136">
        <f>M4844+K4845-L4845</f>
        <v>51449.509703333861</v>
      </c>
    </row>
    <row r="4846" spans="1:15">
      <c r="A4846" s="54" t="str">
        <f t="shared" si="165"/>
        <v>CAPMKTMKT CAP</v>
      </c>
      <c r="B4846" t="s">
        <v>2821</v>
      </c>
      <c r="C4846" s="1">
        <f t="shared" si="166"/>
        <v>45992</v>
      </c>
      <c r="D4846" s="242" t="s">
        <v>31</v>
      </c>
      <c r="E4846" s="71" t="s">
        <v>19</v>
      </c>
      <c r="F4846" s="71" t="s">
        <v>139</v>
      </c>
      <c r="J4846" s="71" t="s">
        <v>2826</v>
      </c>
      <c r="L4846" s="433">
        <v>9825.43</v>
      </c>
      <c r="M4846" s="136">
        <f>M4845+K4846-L4846</f>
        <v>41624.07970333386</v>
      </c>
    </row>
    <row r="4847" spans="1:15">
      <c r="A4847" s="54" t="str">
        <f t="shared" si="165"/>
        <v>FINANZASCUOTAS Y SUSCRIPCIONESCONTPAQ</v>
      </c>
      <c r="B4847" t="s">
        <v>2821</v>
      </c>
      <c r="C4847" s="1">
        <f t="shared" si="166"/>
        <v>45992</v>
      </c>
      <c r="D4847" s="242" t="s">
        <v>23</v>
      </c>
      <c r="E4847" s="71" t="s">
        <v>51</v>
      </c>
      <c r="F4847" s="71" t="s">
        <v>73</v>
      </c>
      <c r="G4847" s="71" t="s">
        <v>258</v>
      </c>
      <c r="J4847" s="71" t="s">
        <v>2827</v>
      </c>
      <c r="L4847" s="433">
        <v>754</v>
      </c>
      <c r="M4847" s="136">
        <f>M4846+K4847-L4847</f>
        <v>40870.07970333386</v>
      </c>
    </row>
    <row r="4848" spans="1:15">
      <c r="A4848" s="54" t="str">
        <f t="shared" si="165"/>
        <v>DEGDNCGDNC</v>
      </c>
      <c r="B4848" t="s">
        <v>2821</v>
      </c>
      <c r="C4848" s="1">
        <f t="shared" si="166"/>
        <v>45992</v>
      </c>
      <c r="D4848" s="242" t="s">
        <v>41</v>
      </c>
      <c r="E4848" s="71" t="s">
        <v>123</v>
      </c>
      <c r="F4848" s="71" t="s">
        <v>123</v>
      </c>
      <c r="J4848" s="71" t="s">
        <v>123</v>
      </c>
      <c r="L4848" s="433">
        <v>215000</v>
      </c>
      <c r="M4848" s="136">
        <f>M4847+K4848-L4848</f>
        <v>-174129.92029666615</v>
      </c>
    </row>
    <row r="4849" spans="1:13">
      <c r="A4849" s="54" t="str">
        <f t="shared" si="165"/>
        <v>MKTINSUMOSINSUMOS</v>
      </c>
      <c r="B4849" t="s">
        <v>2821</v>
      </c>
      <c r="C4849" s="1">
        <f t="shared" si="166"/>
        <v>45992</v>
      </c>
      <c r="D4849" s="242" t="s">
        <v>19</v>
      </c>
      <c r="E4849" s="71" t="s">
        <v>133</v>
      </c>
      <c r="F4849" s="71" t="s">
        <v>133</v>
      </c>
      <c r="G4849" s="71" t="s">
        <v>258</v>
      </c>
      <c r="J4849" s="71" t="s">
        <v>2828</v>
      </c>
      <c r="L4849" s="433">
        <v>500</v>
      </c>
      <c r="M4849" s="136">
        <f>M4848+K4849-L4849</f>
        <v>-174629.92029666615</v>
      </c>
    </row>
    <row r="4850" spans="1:13">
      <c r="A4850" s="54" t="str">
        <f t="shared" si="165"/>
        <v>SERVICIOSVIATICOSINVENTARIOS</v>
      </c>
      <c r="B4850" t="s">
        <v>2821</v>
      </c>
      <c r="C4850" s="1">
        <f>C4848</f>
        <v>45992</v>
      </c>
      <c r="D4850" s="242" t="s">
        <v>21</v>
      </c>
      <c r="E4850" s="71" t="s">
        <v>191</v>
      </c>
      <c r="F4850" s="71" t="s">
        <v>34</v>
      </c>
      <c r="J4850" s="71" t="s">
        <v>1595</v>
      </c>
      <c r="L4850" s="433">
        <v>700</v>
      </c>
      <c r="M4850" s="136">
        <f>M4849+K4850-L4850</f>
        <v>-175329.92029666615</v>
      </c>
    </row>
    <row r="4851" spans="1:13">
      <c r="A4851" s="54" t="str">
        <f t="shared" si="165"/>
        <v>FINANZASFONDO Y REPOSICIONFINANZAS</v>
      </c>
      <c r="B4851" t="s">
        <v>2821</v>
      </c>
      <c r="C4851" s="1">
        <f t="shared" si="166"/>
        <v>45992</v>
      </c>
      <c r="D4851" s="242" t="s">
        <v>23</v>
      </c>
      <c r="E4851" s="71" t="s">
        <v>120</v>
      </c>
      <c r="F4851" s="71" t="s">
        <v>23</v>
      </c>
      <c r="J4851" s="71" t="s">
        <v>1113</v>
      </c>
      <c r="L4851" s="433">
        <v>300</v>
      </c>
      <c r="M4851" s="136">
        <f>M4850+K4851-L4851</f>
        <v>-175629.92029666615</v>
      </c>
    </row>
    <row r="4852" spans="1:13">
      <c r="A4852" s="54" t="str">
        <f t="shared" si="165"/>
        <v>FINANZASINSUMOSFINANZAS</v>
      </c>
      <c r="B4852" t="s">
        <v>2821</v>
      </c>
      <c r="C4852" s="1">
        <f t="shared" si="166"/>
        <v>45992</v>
      </c>
      <c r="D4852" s="242" t="s">
        <v>23</v>
      </c>
      <c r="E4852" s="71" t="s">
        <v>133</v>
      </c>
      <c r="F4852" s="71" t="s">
        <v>23</v>
      </c>
      <c r="J4852" s="71" t="s">
        <v>2829</v>
      </c>
      <c r="L4852" s="433">
        <v>550</v>
      </c>
      <c r="M4852" s="136">
        <f>M4851+K4852-L4852</f>
        <v>-176179.92029666615</v>
      </c>
    </row>
    <row r="4853" spans="1:13">
      <c r="A4853" s="54" t="str">
        <f t="shared" si="165"/>
        <v>SERVICIOSMTTO EQ DE TRANSPORTESERVICIOS</v>
      </c>
      <c r="B4853" t="s">
        <v>2821</v>
      </c>
      <c r="C4853" s="1">
        <f t="shared" si="166"/>
        <v>45992</v>
      </c>
      <c r="D4853" s="242" t="s">
        <v>21</v>
      </c>
      <c r="E4853" s="71" t="s">
        <v>144</v>
      </c>
      <c r="F4853" s="71" t="s">
        <v>21</v>
      </c>
      <c r="J4853" s="71" t="s">
        <v>2830</v>
      </c>
      <c r="L4853" s="433">
        <v>450</v>
      </c>
      <c r="M4853" s="136">
        <f>M4852+K4853-L4853</f>
        <v>-176629.92029666615</v>
      </c>
    </row>
    <row r="4854" spans="1:13">
      <c r="A4854" s="54" t="str">
        <f t="shared" si="165"/>
        <v>HRVIATICOSHR</v>
      </c>
      <c r="B4854" t="s">
        <v>2821</v>
      </c>
      <c r="C4854" s="1">
        <f t="shared" si="166"/>
        <v>45992</v>
      </c>
      <c r="D4854" s="242" t="s">
        <v>29</v>
      </c>
      <c r="E4854" s="71" t="s">
        <v>191</v>
      </c>
      <c r="F4854" s="71" t="s">
        <v>29</v>
      </c>
      <c r="J4854" s="71" t="s">
        <v>2831</v>
      </c>
      <c r="L4854" s="433">
        <v>4800</v>
      </c>
      <c r="M4854" s="136">
        <f>M4853+K4854-L4854</f>
        <v>-181429.92029666615</v>
      </c>
    </row>
    <row r="4855" spans="1:13">
      <c r="A4855" s="54" t="str">
        <f t="shared" si="165"/>
        <v>HRINSUMOSHR</v>
      </c>
      <c r="B4855" t="s">
        <v>2821</v>
      </c>
      <c r="C4855" s="1">
        <f t="shared" si="166"/>
        <v>45992</v>
      </c>
      <c r="D4855" s="242" t="s">
        <v>29</v>
      </c>
      <c r="E4855" s="71" t="s">
        <v>133</v>
      </c>
      <c r="F4855" s="71" t="s">
        <v>29</v>
      </c>
      <c r="J4855" s="71" t="s">
        <v>2832</v>
      </c>
      <c r="L4855" s="433">
        <v>3800</v>
      </c>
      <c r="M4855" s="136">
        <f>M4854+K4855-L4855</f>
        <v>-185229.92029666615</v>
      </c>
    </row>
    <row r="4856" spans="1:13">
      <c r="A4856" s="54" t="str">
        <f t="shared" si="165"/>
        <v>ELIVIATICOSL1</v>
      </c>
      <c r="B4856" t="s">
        <v>2821</v>
      </c>
      <c r="C4856" s="1">
        <f t="shared" si="166"/>
        <v>45992</v>
      </c>
      <c r="D4856" s="242" t="s">
        <v>130</v>
      </c>
      <c r="E4856" s="71" t="s">
        <v>191</v>
      </c>
      <c r="F4856" s="71" t="s">
        <v>136</v>
      </c>
      <c r="G4856" s="71" t="s">
        <v>258</v>
      </c>
      <c r="J4856" s="71" t="s">
        <v>690</v>
      </c>
      <c r="L4856" s="433">
        <v>1000</v>
      </c>
      <c r="M4856" s="136">
        <f>M4855+K4856-L4856</f>
        <v>-186229.92029666615</v>
      </c>
    </row>
    <row r="4857" spans="1:13">
      <c r="A4857" s="54" t="str">
        <f t="shared" si="165"/>
        <v>SERVICIOSVIATICOSSISTEMAS</v>
      </c>
      <c r="B4857" t="s">
        <v>2821</v>
      </c>
      <c r="C4857" s="1">
        <f t="shared" si="166"/>
        <v>45992</v>
      </c>
      <c r="D4857" s="242" t="s">
        <v>21</v>
      </c>
      <c r="E4857" s="71" t="s">
        <v>191</v>
      </c>
      <c r="F4857" s="71" t="s">
        <v>36</v>
      </c>
      <c r="J4857" s="71" t="s">
        <v>878</v>
      </c>
      <c r="L4857" s="433">
        <f>2400+2800</f>
        <v>5200</v>
      </c>
      <c r="M4857" s="136">
        <f>M4856+K4857-L4857</f>
        <v>-191429.92029666615</v>
      </c>
    </row>
    <row r="4858" spans="1:13">
      <c r="A4858" s="54" t="str">
        <f t="shared" si="165"/>
        <v>SERVICIOSVIATICOSASESORES</v>
      </c>
      <c r="B4858" t="s">
        <v>2821</v>
      </c>
      <c r="C4858" s="1">
        <v>45992</v>
      </c>
      <c r="D4858" s="229" t="s">
        <v>21</v>
      </c>
      <c r="E4858" t="s">
        <v>191</v>
      </c>
      <c r="F4858" t="s">
        <v>192</v>
      </c>
      <c r="J4858" s="71" t="s">
        <v>2754</v>
      </c>
      <c r="L4858" s="433">
        <v>1085</v>
      </c>
      <c r="M4858" s="136">
        <f>M4857+K4858-L4858</f>
        <v>-192514.92029666615</v>
      </c>
    </row>
    <row r="4859" spans="1:13">
      <c r="A4859" s="54" t="str">
        <f t="shared" si="165"/>
        <v>HRUBERHR</v>
      </c>
      <c r="B4859" t="s">
        <v>2821</v>
      </c>
      <c r="C4859" s="1">
        <f t="shared" si="166"/>
        <v>45992</v>
      </c>
      <c r="D4859" s="242" t="s">
        <v>29</v>
      </c>
      <c r="E4859" s="71" t="s">
        <v>189</v>
      </c>
      <c r="F4859" s="71" t="s">
        <v>29</v>
      </c>
      <c r="J4859" s="76" t="s">
        <v>2561</v>
      </c>
      <c r="L4859" s="522">
        <v>300</v>
      </c>
      <c r="M4859" s="136">
        <f>M4858+K4859-L4859</f>
        <v>-192814.92029666615</v>
      </c>
    </row>
    <row r="4860" spans="1:13">
      <c r="A4860" s="54" t="str">
        <f t="shared" si="165"/>
        <v>SERVICIOSMTTO EQ DE COMPUTOMTTO EQ DE COMPUTO</v>
      </c>
      <c r="B4860" t="s">
        <v>2821</v>
      </c>
      <c r="C4860" s="1">
        <f t="shared" si="166"/>
        <v>45992</v>
      </c>
      <c r="D4860" s="242" t="s">
        <v>21</v>
      </c>
      <c r="E4860" s="71" t="s">
        <v>143</v>
      </c>
      <c r="F4860" s="71" t="s">
        <v>143</v>
      </c>
      <c r="J4860" s="76" t="s">
        <v>2833</v>
      </c>
      <c r="L4860" s="434">
        <v>692</v>
      </c>
      <c r="M4860" s="136">
        <f>M4859+K4860-L4860</f>
        <v>-193506.92029666615</v>
      </c>
    </row>
    <row r="4861" spans="1:13">
      <c r="A4861" s="54" t="str">
        <f t="shared" si="165"/>
        <v>HRINSUMOSHR</v>
      </c>
      <c r="B4861" t="s">
        <v>2821</v>
      </c>
      <c r="C4861" s="1">
        <f t="shared" si="166"/>
        <v>45992</v>
      </c>
      <c r="D4861" s="242" t="s">
        <v>29</v>
      </c>
      <c r="E4861" s="71" t="s">
        <v>133</v>
      </c>
      <c r="F4861" s="71" t="s">
        <v>29</v>
      </c>
      <c r="J4861" s="76" t="s">
        <v>2834</v>
      </c>
      <c r="L4861" s="434">
        <v>42</v>
      </c>
      <c r="M4861" s="136">
        <f>M4860+K4861-L4861</f>
        <v>-193548.92029666615</v>
      </c>
    </row>
    <row r="4862" spans="1:13">
      <c r="A4862" s="54" t="str">
        <f t="shared" si="165"/>
        <v>HRUBERHR</v>
      </c>
      <c r="B4862" t="s">
        <v>2821</v>
      </c>
      <c r="C4862" s="1">
        <f t="shared" si="166"/>
        <v>45992</v>
      </c>
      <c r="D4862" s="242" t="s">
        <v>29</v>
      </c>
      <c r="E4862" s="71" t="s">
        <v>189</v>
      </c>
      <c r="F4862" s="71" t="s">
        <v>29</v>
      </c>
      <c r="J4862" s="76" t="s">
        <v>2364</v>
      </c>
      <c r="L4862" s="522">
        <v>350</v>
      </c>
      <c r="M4862" s="136">
        <f>M4861+K4862-L4862</f>
        <v>-193898.92029666615</v>
      </c>
    </row>
    <row r="4863" spans="1:13">
      <c r="A4863" s="54" t="str">
        <f t="shared" si="165"/>
        <v>HRUBERHR</v>
      </c>
      <c r="B4863" t="s">
        <v>2821</v>
      </c>
      <c r="C4863" s="1">
        <f t="shared" si="166"/>
        <v>45992</v>
      </c>
      <c r="D4863" s="242" t="s">
        <v>29</v>
      </c>
      <c r="E4863" s="71" t="s">
        <v>189</v>
      </c>
      <c r="F4863" s="71" t="s">
        <v>29</v>
      </c>
      <c r="J4863" s="76" t="s">
        <v>2835</v>
      </c>
      <c r="L4863" s="522">
        <v>121</v>
      </c>
      <c r="M4863" s="136">
        <f>M4862+K4863-L4863</f>
        <v>-194019.92029666615</v>
      </c>
    </row>
    <row r="4864" spans="1:13">
      <c r="A4864" s="54" t="str">
        <f t="shared" si="165"/>
        <v>HRNOMINA SUCURSALA10</v>
      </c>
      <c r="B4864" t="s">
        <v>2821</v>
      </c>
      <c r="C4864" s="1">
        <f t="shared" si="166"/>
        <v>45992</v>
      </c>
      <c r="D4864" s="242" t="s">
        <v>29</v>
      </c>
      <c r="E4864" s="71" t="s">
        <v>154</v>
      </c>
      <c r="F4864" s="71" t="s">
        <v>96</v>
      </c>
      <c r="J4864" s="76" t="s">
        <v>2766</v>
      </c>
      <c r="L4864" s="434">
        <v>1730</v>
      </c>
      <c r="M4864" s="136">
        <f>M4863+K4864-L4864</f>
        <v>-195749.92029666615</v>
      </c>
    </row>
    <row r="4865" spans="1:13">
      <c r="A4865" s="54" t="str">
        <f t="shared" si="165"/>
        <v>HRINSUMOSHR</v>
      </c>
      <c r="B4865" t="s">
        <v>2821</v>
      </c>
      <c r="C4865" s="1">
        <f t="shared" si="166"/>
        <v>45992</v>
      </c>
      <c r="D4865" s="242" t="s">
        <v>29</v>
      </c>
      <c r="E4865" s="71" t="s">
        <v>133</v>
      </c>
      <c r="F4865" s="71" t="s">
        <v>29</v>
      </c>
      <c r="J4865" s="76" t="s">
        <v>2367</v>
      </c>
      <c r="L4865" s="434">
        <v>180</v>
      </c>
      <c r="M4865" s="136">
        <f>M4864+K4865-L4865</f>
        <v>-195929.92029666615</v>
      </c>
    </row>
    <row r="4866" spans="1:13">
      <c r="A4866" s="54" t="str">
        <f t="shared" si="165"/>
        <v>HRUBERHR</v>
      </c>
      <c r="B4866" t="s">
        <v>2821</v>
      </c>
      <c r="C4866" s="1">
        <f t="shared" si="166"/>
        <v>45992</v>
      </c>
      <c r="D4866" s="242" t="s">
        <v>29</v>
      </c>
      <c r="E4866" s="71" t="s">
        <v>189</v>
      </c>
      <c r="F4866" s="71" t="s">
        <v>29</v>
      </c>
      <c r="J4866" s="76" t="s">
        <v>2561</v>
      </c>
      <c r="L4866" s="522">
        <v>440</v>
      </c>
      <c r="M4866" s="136">
        <f>M4865+K4866-L4866</f>
        <v>-196369.92029666615</v>
      </c>
    </row>
    <row r="4867" spans="1:13">
      <c r="A4867" s="54" t="str">
        <f t="shared" si="165"/>
        <v>HRNOMINA SUCURSALA10</v>
      </c>
      <c r="B4867" t="s">
        <v>2821</v>
      </c>
      <c r="C4867" s="1">
        <f t="shared" si="166"/>
        <v>45992</v>
      </c>
      <c r="D4867" s="242" t="s">
        <v>29</v>
      </c>
      <c r="E4867" s="71" t="s">
        <v>154</v>
      </c>
      <c r="F4867" s="387" t="s">
        <v>96</v>
      </c>
      <c r="J4867" s="76" t="s">
        <v>2766</v>
      </c>
      <c r="L4867" s="434">
        <v>1930</v>
      </c>
      <c r="M4867" s="136">
        <f>M4866+K4867-L4867</f>
        <v>-198299.92029666615</v>
      </c>
    </row>
    <row r="4868" spans="1:13">
      <c r="A4868" s="54" t="str">
        <f t="shared" si="165"/>
        <v>HRUBERHR</v>
      </c>
      <c r="B4868" t="s">
        <v>2821</v>
      </c>
      <c r="C4868" s="1">
        <f t="shared" si="166"/>
        <v>45992</v>
      </c>
      <c r="D4868" s="242" t="s">
        <v>29</v>
      </c>
      <c r="E4868" s="71" t="s">
        <v>189</v>
      </c>
      <c r="F4868" s="71" t="s">
        <v>29</v>
      </c>
      <c r="J4868" s="76" t="s">
        <v>2836</v>
      </c>
      <c r="L4868" s="522">
        <v>500</v>
      </c>
      <c r="M4868" s="136">
        <f>M4867+K4868-L4868</f>
        <v>-198799.92029666615</v>
      </c>
    </row>
    <row r="4869" spans="1:13">
      <c r="A4869" s="54" t="str">
        <f t="shared" si="165"/>
        <v>HRNOMINA SUCURSALA12</v>
      </c>
      <c r="B4869" t="s">
        <v>2821</v>
      </c>
      <c r="C4869" s="1">
        <f t="shared" si="166"/>
        <v>45992</v>
      </c>
      <c r="D4869" s="242" t="s">
        <v>29</v>
      </c>
      <c r="E4869" s="71" t="s">
        <v>154</v>
      </c>
      <c r="F4869" s="71" t="s">
        <v>98</v>
      </c>
      <c r="J4869" s="76" t="s">
        <v>2837</v>
      </c>
      <c r="L4869" s="434">
        <v>1000</v>
      </c>
      <c r="M4869" s="136">
        <f>M4868+K4869-L4869</f>
        <v>-199799.92029666615</v>
      </c>
    </row>
    <row r="4870" spans="1:13">
      <c r="A4870" s="54" t="str">
        <f t="shared" si="165"/>
        <v>HRNOMINA SUCURSALA12</v>
      </c>
      <c r="B4870" t="s">
        <v>2821</v>
      </c>
      <c r="C4870" s="1">
        <f t="shared" si="166"/>
        <v>45992</v>
      </c>
      <c r="D4870" s="242" t="s">
        <v>29</v>
      </c>
      <c r="E4870" s="71" t="s">
        <v>154</v>
      </c>
      <c r="F4870" s="71" t="s">
        <v>98</v>
      </c>
      <c r="J4870" s="76" t="s">
        <v>2837</v>
      </c>
      <c r="L4870" s="434">
        <v>470</v>
      </c>
      <c r="M4870" s="136">
        <f>M4869+K4870-L4870</f>
        <v>-200269.92029666615</v>
      </c>
    </row>
    <row r="4871" spans="1:13">
      <c r="A4871" s="54" t="str">
        <f t="shared" si="165"/>
        <v>HRUBERHR</v>
      </c>
      <c r="B4871" t="s">
        <v>2821</v>
      </c>
      <c r="C4871" s="1">
        <f t="shared" si="166"/>
        <v>45992</v>
      </c>
      <c r="D4871" s="242" t="s">
        <v>29</v>
      </c>
      <c r="E4871" s="71" t="s">
        <v>189</v>
      </c>
      <c r="F4871" s="71" t="s">
        <v>29</v>
      </c>
      <c r="J4871" s="76" t="s">
        <v>2453</v>
      </c>
      <c r="L4871" s="522">
        <v>250</v>
      </c>
      <c r="M4871" s="136">
        <f>M4870+K4871-L4871</f>
        <v>-200519.92029666615</v>
      </c>
    </row>
    <row r="4872" spans="1:13">
      <c r="A4872" s="54" t="str">
        <f t="shared" si="165"/>
        <v>HRUBERHR</v>
      </c>
      <c r="B4872" t="s">
        <v>2821</v>
      </c>
      <c r="C4872" s="1">
        <f t="shared" si="166"/>
        <v>45992</v>
      </c>
      <c r="D4872" s="242" t="s">
        <v>29</v>
      </c>
      <c r="E4872" s="71" t="s">
        <v>189</v>
      </c>
      <c r="F4872" s="71" t="s">
        <v>29</v>
      </c>
      <c r="J4872" s="76" t="s">
        <v>2562</v>
      </c>
      <c r="L4872" s="522">
        <v>880</v>
      </c>
      <c r="M4872" s="136">
        <f>M4871+K4872-L4872</f>
        <v>-201399.92029666615</v>
      </c>
    </row>
    <row r="4873" spans="1:13">
      <c r="A4873" s="54" t="str">
        <f t="shared" si="165"/>
        <v/>
      </c>
      <c r="B4873" t="s">
        <v>2821</v>
      </c>
      <c r="C4873" s="1">
        <f t="shared" si="166"/>
        <v>45992</v>
      </c>
      <c r="F4873" s="387"/>
      <c r="J4873" s="76" t="s">
        <v>2838</v>
      </c>
      <c r="L4873" s="434">
        <v>408</v>
      </c>
      <c r="M4873" s="136">
        <f>M4872+K4873-L4873</f>
        <v>-201807.92029666615</v>
      </c>
    </row>
    <row r="4874" spans="1:13">
      <c r="A4874" s="54" t="str">
        <f t="shared" si="165"/>
        <v>HRUBERHR</v>
      </c>
      <c r="B4874" t="s">
        <v>2821</v>
      </c>
      <c r="C4874" s="1">
        <f t="shared" si="166"/>
        <v>45992</v>
      </c>
      <c r="D4874" s="242" t="s">
        <v>29</v>
      </c>
      <c r="E4874" s="71" t="s">
        <v>189</v>
      </c>
      <c r="F4874" s="71" t="s">
        <v>29</v>
      </c>
      <c r="J4874" s="76" t="s">
        <v>2454</v>
      </c>
      <c r="L4874" s="522">
        <v>142</v>
      </c>
      <c r="M4874" s="136">
        <f>M4873+K4874-L4874</f>
        <v>-201949.92029666615</v>
      </c>
    </row>
    <row r="4875" spans="1:13">
      <c r="A4875" s="54" t="str">
        <f t="shared" si="165"/>
        <v>HRUBERHR</v>
      </c>
      <c r="B4875" t="s">
        <v>2821</v>
      </c>
      <c r="C4875" s="1">
        <f t="shared" si="166"/>
        <v>45992</v>
      </c>
      <c r="D4875" s="242" t="s">
        <v>29</v>
      </c>
      <c r="E4875" s="71" t="s">
        <v>189</v>
      </c>
      <c r="F4875" s="71" t="s">
        <v>29</v>
      </c>
      <c r="J4875" s="76" t="s">
        <v>2366</v>
      </c>
      <c r="L4875" s="522">
        <v>1050</v>
      </c>
      <c r="M4875" s="136">
        <f>M4874+K4875-L4875</f>
        <v>-202999.92029666615</v>
      </c>
    </row>
    <row r="4876" spans="1:13">
      <c r="A4876" s="54" t="str">
        <f t="shared" si="165"/>
        <v>HRNOMINA SUCURSALA22</v>
      </c>
      <c r="B4876" t="s">
        <v>2821</v>
      </c>
      <c r="C4876" s="1">
        <f t="shared" si="166"/>
        <v>45992</v>
      </c>
      <c r="D4876" s="242" t="s">
        <v>29</v>
      </c>
      <c r="E4876" s="71" t="s">
        <v>154</v>
      </c>
      <c r="F4876" s="71" t="s">
        <v>104</v>
      </c>
      <c r="J4876" s="76" t="s">
        <v>2839</v>
      </c>
      <c r="L4876" s="434">
        <v>150</v>
      </c>
      <c r="M4876" s="136">
        <f>M4875+K4876-L4876</f>
        <v>-203149.92029666615</v>
      </c>
    </row>
    <row r="4877" spans="1:13">
      <c r="A4877" s="54" t="str">
        <f t="shared" si="165"/>
        <v>HRUBERHR</v>
      </c>
      <c r="B4877" t="s">
        <v>2821</v>
      </c>
      <c r="C4877" s="1">
        <f t="shared" si="166"/>
        <v>45992</v>
      </c>
      <c r="D4877" s="242" t="s">
        <v>29</v>
      </c>
      <c r="E4877" s="71" t="s">
        <v>189</v>
      </c>
      <c r="F4877" s="71" t="s">
        <v>29</v>
      </c>
      <c r="J4877" s="76" t="s">
        <v>2840</v>
      </c>
      <c r="L4877" s="522">
        <f>864+102</f>
        <v>966</v>
      </c>
      <c r="M4877" s="136">
        <f>M4876+K4877-L4877</f>
        <v>-204115.92029666615</v>
      </c>
    </row>
    <row r="4878" spans="1:13">
      <c r="A4878" s="54" t="str">
        <f t="shared" si="165"/>
        <v>HRNOMINA SUCURSALA24</v>
      </c>
      <c r="B4878" t="s">
        <v>2821</v>
      </c>
      <c r="C4878" s="1">
        <f t="shared" si="166"/>
        <v>45992</v>
      </c>
      <c r="D4878" s="242" t="s">
        <v>29</v>
      </c>
      <c r="E4878" s="71" t="s">
        <v>154</v>
      </c>
      <c r="F4878" s="71" t="s">
        <v>106</v>
      </c>
      <c r="J4878" s="76" t="s">
        <v>2841</v>
      </c>
      <c r="L4878" s="434">
        <v>420</v>
      </c>
      <c r="M4878" s="136">
        <f>M4877+K4878-L4878</f>
        <v>-204535.92029666615</v>
      </c>
    </row>
    <row r="4879" spans="1:13">
      <c r="A4879" s="54" t="str">
        <f t="shared" si="165"/>
        <v>CAPUBERCAP</v>
      </c>
      <c r="B4879" t="s">
        <v>2821</v>
      </c>
      <c r="C4879" s="1">
        <v>45992</v>
      </c>
      <c r="D4879" s="242" t="s">
        <v>31</v>
      </c>
      <c r="E4879" s="71" t="s">
        <v>189</v>
      </c>
      <c r="F4879" s="71" t="s">
        <v>31</v>
      </c>
      <c r="J4879" s="76" t="s">
        <v>2267</v>
      </c>
      <c r="L4879" s="522">
        <v>889</v>
      </c>
      <c r="M4879" s="136">
        <f>M4878+K4879-L4879</f>
        <v>-205424.92029666615</v>
      </c>
    </row>
    <row r="4880" spans="1:13">
      <c r="A4880" s="54" t="str">
        <f t="shared" si="165"/>
        <v>CAPUBERCAP</v>
      </c>
      <c r="B4880" t="s">
        <v>2821</v>
      </c>
      <c r="C4880" s="1">
        <f t="shared" si="166"/>
        <v>45992</v>
      </c>
      <c r="D4880" s="242" t="s">
        <v>31</v>
      </c>
      <c r="E4880" s="71" t="s">
        <v>189</v>
      </c>
      <c r="F4880" s="71" t="s">
        <v>31</v>
      </c>
      <c r="J4880" s="76" t="s">
        <v>2268</v>
      </c>
      <c r="L4880" s="522">
        <v>60</v>
      </c>
      <c r="M4880" s="136">
        <f>M4879+K4880-L4880</f>
        <v>-205484.92029666615</v>
      </c>
    </row>
    <row r="4881" spans="1:13">
      <c r="A4881" s="54" t="str">
        <f t="shared" si="165"/>
        <v>CAPNOMINA SUCURSALE4</v>
      </c>
      <c r="B4881" t="s">
        <v>2821</v>
      </c>
      <c r="C4881" s="1">
        <f t="shared" si="166"/>
        <v>45992</v>
      </c>
      <c r="D4881" s="242" t="s">
        <v>31</v>
      </c>
      <c r="E4881" s="71" t="s">
        <v>154</v>
      </c>
      <c r="F4881" s="71" t="s">
        <v>110</v>
      </c>
      <c r="J4881" s="76" t="s">
        <v>2796</v>
      </c>
      <c r="L4881" s="434">
        <v>1019</v>
      </c>
      <c r="M4881" s="136">
        <f>M4880+K4881-L4881</f>
        <v>-206503.92029666615</v>
      </c>
    </row>
    <row r="4882" spans="1:13">
      <c r="A4882" s="54" t="str">
        <f t="shared" si="165"/>
        <v>CAPUBERCAP</v>
      </c>
      <c r="B4882" t="s">
        <v>2821</v>
      </c>
      <c r="C4882" s="1">
        <f t="shared" si="166"/>
        <v>45992</v>
      </c>
      <c r="D4882" s="242" t="s">
        <v>31</v>
      </c>
      <c r="E4882" s="71" t="s">
        <v>189</v>
      </c>
      <c r="F4882" s="71" t="s">
        <v>31</v>
      </c>
      <c r="J4882" s="76" t="s">
        <v>2842</v>
      </c>
      <c r="L4882" s="522">
        <v>65</v>
      </c>
      <c r="M4882" s="136">
        <f>M4881+K4882-L4882</f>
        <v>-206568.92029666615</v>
      </c>
    </row>
    <row r="4883" spans="1:13">
      <c r="A4883" s="54" t="str">
        <f t="shared" si="165"/>
        <v>CAPINSUMOSCAPRICHOS</v>
      </c>
      <c r="B4883" t="s">
        <v>2821</v>
      </c>
      <c r="C4883" s="1">
        <f t="shared" si="166"/>
        <v>45992</v>
      </c>
      <c r="D4883" s="242" t="s">
        <v>31</v>
      </c>
      <c r="E4883" s="71" t="s">
        <v>133</v>
      </c>
      <c r="F4883" s="71" t="s">
        <v>33</v>
      </c>
      <c r="J4883" s="76" t="s">
        <v>2525</v>
      </c>
      <c r="L4883" s="433">
        <v>157</v>
      </c>
      <c r="M4883" s="136">
        <f>M4882+K4883-L4883</f>
        <v>-206725.92029666615</v>
      </c>
    </row>
    <row r="4884" spans="1:13">
      <c r="A4884" s="54" t="str">
        <f t="shared" si="165"/>
        <v/>
      </c>
      <c r="B4884" t="s">
        <v>2821</v>
      </c>
      <c r="C4884" s="1">
        <v>45993</v>
      </c>
      <c r="J4884" s="71" t="s">
        <v>2045</v>
      </c>
      <c r="K4884" s="325">
        <v>405935.72</v>
      </c>
      <c r="L4884" s="432"/>
      <c r="M4884" s="136">
        <f>M4883+K4884-L4884</f>
        <v>199209.79970333382</v>
      </c>
    </row>
    <row r="4885" spans="1:13">
      <c r="A4885" s="54" t="str">
        <f t="shared" si="165"/>
        <v>FINANZASCOMISIONES BANCARIASTPV</v>
      </c>
      <c r="B4885" t="s">
        <v>2821</v>
      </c>
      <c r="C4885" s="1">
        <f t="shared" si="166"/>
        <v>45993</v>
      </c>
      <c r="D4885" s="242" t="s">
        <v>23</v>
      </c>
      <c r="E4885" s="71" t="s">
        <v>48</v>
      </c>
      <c r="F4885" s="71" t="s">
        <v>50</v>
      </c>
      <c r="J4885" s="71" t="s">
        <v>217</v>
      </c>
      <c r="L4885" s="433">
        <f>649.98+1612.05+431.9+1.117+4576.64+1291.18</f>
        <v>8562.8670000000002</v>
      </c>
      <c r="M4885" s="136">
        <f>M4884+K4885-L4885</f>
        <v>190646.93270333382</v>
      </c>
    </row>
    <row r="4886" spans="1:13">
      <c r="A4886" s="54" t="str">
        <f t="shared" ref="A4886:A4949" si="168">D4886&amp;E4886&amp;F4886</f>
        <v/>
      </c>
      <c r="B4886" t="s">
        <v>2821</v>
      </c>
      <c r="C4886" s="1">
        <f t="shared" si="166"/>
        <v>45993</v>
      </c>
      <c r="J4886" s="205" t="s">
        <v>1562</v>
      </c>
      <c r="K4886" s="205"/>
      <c r="L4886" s="428">
        <v>250000</v>
      </c>
      <c r="M4886" s="136">
        <f>M4885+K4886-L4886</f>
        <v>-59353.06729666618</v>
      </c>
    </row>
    <row r="4887" spans="1:13">
      <c r="A4887" s="54" t="str">
        <f t="shared" si="168"/>
        <v>FINANZASTELEFONIATELCEL</v>
      </c>
      <c r="B4887" t="s">
        <v>2821</v>
      </c>
      <c r="C4887" s="1">
        <f t="shared" si="166"/>
        <v>45993</v>
      </c>
      <c r="D4887" s="242" t="s">
        <v>23</v>
      </c>
      <c r="E4887" s="71" t="s">
        <v>181</v>
      </c>
      <c r="F4887" s="71" t="s">
        <v>183</v>
      </c>
      <c r="J4887" s="71" t="s">
        <v>2113</v>
      </c>
      <c r="L4887" s="433">
        <v>3789.04</v>
      </c>
      <c r="M4887" s="136">
        <f>M4886+K4887-L4887</f>
        <v>-63142.107296666181</v>
      </c>
    </row>
    <row r="4888" spans="1:13">
      <c r="A4888" s="54" t="str">
        <f t="shared" si="168"/>
        <v>SERVICIOSPAQUETERIACEDIS (E6)</v>
      </c>
      <c r="B4888" t="s">
        <v>2821</v>
      </c>
      <c r="C4888" s="1">
        <f t="shared" si="166"/>
        <v>45993</v>
      </c>
      <c r="D4888" s="242" t="s">
        <v>21</v>
      </c>
      <c r="E4888" s="71" t="s">
        <v>160</v>
      </c>
      <c r="F4888" s="71" t="s">
        <v>161</v>
      </c>
      <c r="J4888" s="71" t="s">
        <v>1412</v>
      </c>
      <c r="L4888" s="433">
        <v>4651.04</v>
      </c>
      <c r="M4888" s="136">
        <f>M4887+K4888-L4888</f>
        <v>-67793.147296666182</v>
      </c>
    </row>
    <row r="4889" spans="1:13">
      <c r="A4889" s="54" t="str">
        <f t="shared" si="168"/>
        <v>FINANZASRECOLECCION DE BASURACEDIS</v>
      </c>
      <c r="B4889" t="s">
        <v>2821</v>
      </c>
      <c r="C4889" s="1">
        <f t="shared" si="166"/>
        <v>45993</v>
      </c>
      <c r="D4889" s="242" t="s">
        <v>23</v>
      </c>
      <c r="E4889" s="71" t="s">
        <v>166</v>
      </c>
      <c r="F4889" s="71" t="s">
        <v>28</v>
      </c>
      <c r="J4889" s="71" t="s">
        <v>1035</v>
      </c>
      <c r="L4889" s="433">
        <v>2922.72</v>
      </c>
      <c r="M4889" s="136">
        <f>M4888+K4889-L4889</f>
        <v>-70715.867296666183</v>
      </c>
    </row>
    <row r="4890" spans="1:13">
      <c r="A4890" s="54" t="str">
        <f t="shared" si="168"/>
        <v>SERVICIOSINSUMOSCADENA DE SUMINISTROS</v>
      </c>
      <c r="B4890" t="s">
        <v>2821</v>
      </c>
      <c r="C4890" s="1">
        <f t="shared" si="166"/>
        <v>45993</v>
      </c>
      <c r="D4890" s="242" t="s">
        <v>21</v>
      </c>
      <c r="E4890" s="71" t="s">
        <v>133</v>
      </c>
      <c r="F4890" s="71" t="s">
        <v>134</v>
      </c>
      <c r="J4890" s="71" t="s">
        <v>2843</v>
      </c>
      <c r="L4890" s="433">
        <v>4368.21</v>
      </c>
      <c r="M4890" s="136">
        <f>M4889+K4890-L4890</f>
        <v>-75084.07729666619</v>
      </c>
    </row>
    <row r="4891" spans="1:13">
      <c r="A4891" s="54" t="str">
        <f t="shared" si="168"/>
        <v>SERVICIOSVIATICOSCEDIS</v>
      </c>
      <c r="B4891" t="s">
        <v>2821</v>
      </c>
      <c r="C4891" s="1">
        <f t="shared" si="166"/>
        <v>45993</v>
      </c>
      <c r="D4891" s="242" t="s">
        <v>21</v>
      </c>
      <c r="E4891" s="71" t="s">
        <v>191</v>
      </c>
      <c r="F4891" s="71" t="s">
        <v>28</v>
      </c>
      <c r="J4891" s="71" t="s">
        <v>2844</v>
      </c>
      <c r="L4891" s="433">
        <v>1100</v>
      </c>
      <c r="M4891" s="136">
        <f>M4890+K4891-L4891</f>
        <v>-76184.07729666619</v>
      </c>
    </row>
    <row r="4892" spans="1:13">
      <c r="A4892" s="54" t="str">
        <f t="shared" si="168"/>
        <v>MKTMKTINFLUENCERS</v>
      </c>
      <c r="B4892" t="s">
        <v>2821</v>
      </c>
      <c r="C4892" s="1">
        <f t="shared" si="166"/>
        <v>45993</v>
      </c>
      <c r="D4892" s="242" t="s">
        <v>19</v>
      </c>
      <c r="E4892" s="71" t="s">
        <v>19</v>
      </c>
      <c r="F4892" s="71" t="s">
        <v>141</v>
      </c>
      <c r="J4892" s="71" t="s">
        <v>2024</v>
      </c>
      <c r="L4892" s="433">
        <v>5500</v>
      </c>
      <c r="M4892" s="136">
        <f>M4891+K4892-L4892</f>
        <v>-81684.07729666619</v>
      </c>
    </row>
    <row r="4893" spans="1:13">
      <c r="A4893" s="54" t="str">
        <f t="shared" si="168"/>
        <v>CAPMKTMKT CAP</v>
      </c>
      <c r="B4893" t="s">
        <v>2821</v>
      </c>
      <c r="C4893" s="1">
        <f t="shared" si="166"/>
        <v>45993</v>
      </c>
      <c r="D4893" s="242" t="s">
        <v>31</v>
      </c>
      <c r="E4893" s="71" t="s">
        <v>19</v>
      </c>
      <c r="F4893" s="71" t="s">
        <v>139</v>
      </c>
      <c r="J4893" s="71" t="s">
        <v>2845</v>
      </c>
      <c r="L4893" s="433">
        <v>700</v>
      </c>
      <c r="M4893" s="136">
        <f>M4892+K4893-L4893</f>
        <v>-82384.07729666619</v>
      </c>
    </row>
    <row r="4894" spans="1:13">
      <c r="A4894" s="54" t="str">
        <f t="shared" si="168"/>
        <v>SERVICIOSINSUMOSCADENA DE SUMINISTROS</v>
      </c>
      <c r="B4894" t="s">
        <v>2821</v>
      </c>
      <c r="C4894" s="1">
        <f t="shared" si="166"/>
        <v>45993</v>
      </c>
      <c r="D4894" s="242" t="s">
        <v>21</v>
      </c>
      <c r="E4894" s="71" t="s">
        <v>133</v>
      </c>
      <c r="F4894" s="71" t="s">
        <v>134</v>
      </c>
      <c r="J4894" s="71" t="s">
        <v>634</v>
      </c>
      <c r="L4894" s="433">
        <v>4000</v>
      </c>
      <c r="M4894" s="136">
        <f>M4893+K4894-L4894</f>
        <v>-86384.07729666619</v>
      </c>
    </row>
    <row r="4895" spans="1:13">
      <c r="A4895" s="54" t="str">
        <f t="shared" si="168"/>
        <v>HRMKTMKT HR</v>
      </c>
      <c r="B4895" t="s">
        <v>2821</v>
      </c>
      <c r="C4895" s="1">
        <f>C4893</f>
        <v>45993</v>
      </c>
      <c r="D4895" s="242" t="s">
        <v>29</v>
      </c>
      <c r="E4895" s="71" t="s">
        <v>19</v>
      </c>
      <c r="F4895" s="71" t="s">
        <v>138</v>
      </c>
      <c r="J4895" s="71" t="s">
        <v>2846</v>
      </c>
      <c r="L4895" s="433">
        <v>2000</v>
      </c>
      <c r="M4895" s="136">
        <f>M4894+K4895-L4895</f>
        <v>-88384.07729666619</v>
      </c>
    </row>
    <row r="4896" spans="1:13">
      <c r="A4896" s="54" t="str">
        <f t="shared" si="168"/>
        <v>CAPVIATICOSCAPRICHOS</v>
      </c>
      <c r="B4896" t="s">
        <v>2821</v>
      </c>
      <c r="C4896" s="1">
        <f t="shared" ref="C4896:C4964" si="169">C4895</f>
        <v>45993</v>
      </c>
      <c r="D4896" s="242" t="s">
        <v>31</v>
      </c>
      <c r="E4896" s="71" t="s">
        <v>191</v>
      </c>
      <c r="F4896" s="387" t="s">
        <v>33</v>
      </c>
      <c r="J4896" s="71" t="s">
        <v>2847</v>
      </c>
      <c r="L4896" s="433">
        <v>3000</v>
      </c>
      <c r="M4896" s="136">
        <f>M4895+K4896-L4896</f>
        <v>-91384.07729666619</v>
      </c>
    </row>
    <row r="4897" spans="1:13">
      <c r="A4897" s="54" t="str">
        <f t="shared" si="168"/>
        <v>SERVICIOSMTTO EQ DE COMPUTOMTTO EQ DE COMPUTO</v>
      </c>
      <c r="B4897" t="s">
        <v>2821</v>
      </c>
      <c r="C4897" s="1">
        <f t="shared" si="169"/>
        <v>45993</v>
      </c>
      <c r="D4897" s="242" t="s">
        <v>21</v>
      </c>
      <c r="E4897" s="71" t="s">
        <v>143</v>
      </c>
      <c r="F4897" s="242" t="s">
        <v>143</v>
      </c>
      <c r="J4897" s="71" t="s">
        <v>2848</v>
      </c>
      <c r="L4897" s="433">
        <v>1500</v>
      </c>
      <c r="M4897" s="136">
        <f>M4896+K4897-L4897</f>
        <v>-92884.07729666619</v>
      </c>
    </row>
    <row r="4898" spans="1:13">
      <c r="A4898" s="54" t="str">
        <f t="shared" si="168"/>
        <v>CAPFONDO Y REPOSICIONCAPRICHOS</v>
      </c>
      <c r="B4898" t="s">
        <v>2821</v>
      </c>
      <c r="C4898" s="1">
        <f t="shared" si="169"/>
        <v>45993</v>
      </c>
      <c r="D4898" s="242" t="s">
        <v>31</v>
      </c>
      <c r="E4898" s="71" t="s">
        <v>120</v>
      </c>
      <c r="F4898" s="387" t="s">
        <v>33</v>
      </c>
      <c r="J4898" s="71" t="s">
        <v>583</v>
      </c>
      <c r="L4898" s="433">
        <v>600</v>
      </c>
      <c r="M4898" s="136">
        <f>M4897+K4898-L4898</f>
        <v>-93484.07729666619</v>
      </c>
    </row>
    <row r="4899" spans="1:13">
      <c r="A4899" s="54" t="str">
        <f t="shared" si="168"/>
        <v>HRFONDO Y REPOSICIONHR</v>
      </c>
      <c r="B4899" t="s">
        <v>2821</v>
      </c>
      <c r="C4899" s="1">
        <f t="shared" si="169"/>
        <v>45993</v>
      </c>
      <c r="D4899" s="242" t="s">
        <v>29</v>
      </c>
      <c r="E4899" s="71" t="s">
        <v>120</v>
      </c>
      <c r="F4899" s="71" t="s">
        <v>29</v>
      </c>
      <c r="J4899" s="71" t="s">
        <v>539</v>
      </c>
      <c r="L4899" s="433">
        <v>2133</v>
      </c>
      <c r="M4899" s="136">
        <f>M4898+K4899-L4899</f>
        <v>-95617.07729666619</v>
      </c>
    </row>
    <row r="4900" spans="1:13">
      <c r="A4900" s="54" t="str">
        <f t="shared" si="168"/>
        <v>HRFONDO Y REPOSICIONHR</v>
      </c>
      <c r="B4900" t="s">
        <v>2821</v>
      </c>
      <c r="C4900" s="1">
        <f t="shared" si="169"/>
        <v>45993</v>
      </c>
      <c r="D4900" s="242" t="s">
        <v>29</v>
      </c>
      <c r="E4900" s="71" t="s">
        <v>120</v>
      </c>
      <c r="F4900" s="71" t="s">
        <v>29</v>
      </c>
      <c r="J4900" s="71" t="s">
        <v>357</v>
      </c>
      <c r="L4900" s="433">
        <v>2494</v>
      </c>
      <c r="M4900" s="136">
        <f>M4899+K4900-L4900</f>
        <v>-98111.07729666619</v>
      </c>
    </row>
    <row r="4901" spans="1:13">
      <c r="A4901" s="54" t="str">
        <f t="shared" si="168"/>
        <v>HRFONDO Y REPOSICIONHR</v>
      </c>
      <c r="B4901" t="s">
        <v>2821</v>
      </c>
      <c r="C4901" s="1">
        <f t="shared" si="169"/>
        <v>45993</v>
      </c>
      <c r="D4901" s="242" t="s">
        <v>29</v>
      </c>
      <c r="E4901" s="71" t="s">
        <v>120</v>
      </c>
      <c r="F4901" s="71" t="s">
        <v>29</v>
      </c>
      <c r="J4901" s="71" t="s">
        <v>2849</v>
      </c>
      <c r="L4901" s="433">
        <v>1971</v>
      </c>
      <c r="M4901" s="136">
        <f>M4900+K4901-L4901</f>
        <v>-100082.07729666619</v>
      </c>
    </row>
    <row r="4902" spans="1:13">
      <c r="A4902" s="54" t="str">
        <f t="shared" si="168"/>
        <v>FINANZASSEGUROEQ. DE TRANSPORTE</v>
      </c>
      <c r="B4902" t="s">
        <v>2821</v>
      </c>
      <c r="C4902" s="1">
        <f t="shared" si="169"/>
        <v>45993</v>
      </c>
      <c r="D4902" s="242" t="s">
        <v>23</v>
      </c>
      <c r="E4902" s="71" t="s">
        <v>173</v>
      </c>
      <c r="F4902" s="71" t="s">
        <v>175</v>
      </c>
      <c r="J4902" s="71" t="s">
        <v>2850</v>
      </c>
      <c r="L4902" s="433">
        <v>5500</v>
      </c>
      <c r="M4902" s="136">
        <f>M4901+K4902-L4902</f>
        <v>-105582.07729666619</v>
      </c>
    </row>
    <row r="4903" spans="1:13">
      <c r="A4903" s="54" t="str">
        <f t="shared" si="168"/>
        <v>FINANZASTELEFONIATELMEX</v>
      </c>
      <c r="B4903" t="s">
        <v>2821</v>
      </c>
      <c r="C4903" s="1">
        <f t="shared" si="169"/>
        <v>45993</v>
      </c>
      <c r="D4903" s="242" t="s">
        <v>23</v>
      </c>
      <c r="E4903" s="71" t="s">
        <v>181</v>
      </c>
      <c r="F4903" s="71" t="s">
        <v>182</v>
      </c>
      <c r="J4903" s="71" t="s">
        <v>2030</v>
      </c>
      <c r="L4903" s="433">
        <v>26261</v>
      </c>
      <c r="M4903" s="136">
        <f>M4902+K4903-L4903</f>
        <v>-131843.07729666619</v>
      </c>
    </row>
    <row r="4904" spans="1:13">
      <c r="A4904" s="54" t="str">
        <f t="shared" si="168"/>
        <v>SGEVIATICOSGESTION EMPRESARIAL</v>
      </c>
      <c r="B4904" t="s">
        <v>2821</v>
      </c>
      <c r="C4904" s="1">
        <f t="shared" si="169"/>
        <v>45993</v>
      </c>
      <c r="D4904" s="242" t="s">
        <v>39</v>
      </c>
      <c r="E4904" s="71" t="s">
        <v>191</v>
      </c>
      <c r="F4904" s="71" t="s">
        <v>40</v>
      </c>
      <c r="J4904" s="71" t="s">
        <v>2851</v>
      </c>
      <c r="L4904" s="433">
        <v>3000</v>
      </c>
      <c r="M4904" s="136">
        <f>M4903+K4904-L4904</f>
        <v>-134843.07729666619</v>
      </c>
    </row>
    <row r="4905" spans="1:13">
      <c r="A4905" s="54" t="str">
        <f t="shared" si="168"/>
        <v>HRUBERHR</v>
      </c>
      <c r="B4905" t="s">
        <v>2821</v>
      </c>
      <c r="C4905" s="1">
        <f t="shared" si="169"/>
        <v>45993</v>
      </c>
      <c r="D4905" s="242" t="s">
        <v>29</v>
      </c>
      <c r="E4905" s="71" t="s">
        <v>189</v>
      </c>
      <c r="F4905" s="71" t="s">
        <v>29</v>
      </c>
      <c r="J4905" s="76" t="s">
        <v>2526</v>
      </c>
      <c r="L4905" s="522">
        <v>525</v>
      </c>
      <c r="M4905" s="136">
        <f>M4904+K4905-L4905</f>
        <v>-135368.07729666619</v>
      </c>
    </row>
    <row r="4906" spans="1:13">
      <c r="A4906" s="54" t="str">
        <f t="shared" si="168"/>
        <v>SERVICIOSMTTO DE EDIFICIOMANTENIMIENTO</v>
      </c>
      <c r="B4906" t="s">
        <v>2821</v>
      </c>
      <c r="C4906" s="1">
        <f t="shared" si="169"/>
        <v>45993</v>
      </c>
      <c r="D4906" s="242" t="s">
        <v>21</v>
      </c>
      <c r="E4906" s="71" t="s">
        <v>142</v>
      </c>
      <c r="F4906" s="387" t="s">
        <v>35</v>
      </c>
      <c r="G4906" s="71" t="s">
        <v>258</v>
      </c>
      <c r="J4906" s="76" t="s">
        <v>2852</v>
      </c>
      <c r="L4906" s="434">
        <v>2384</v>
      </c>
      <c r="M4906" s="136">
        <f>M4905+K4906-L4906</f>
        <v>-137752.07729666619</v>
      </c>
    </row>
    <row r="4907" spans="1:13">
      <c r="A4907" s="54" t="str">
        <f t="shared" si="168"/>
        <v>FINANZASRECOLECCION DE BASURAHR</v>
      </c>
      <c r="B4907" t="s">
        <v>2821</v>
      </c>
      <c r="C4907" s="1">
        <f t="shared" si="169"/>
        <v>45993</v>
      </c>
      <c r="D4907" s="242" t="s">
        <v>23</v>
      </c>
      <c r="E4907" s="71" t="s">
        <v>166</v>
      </c>
      <c r="F4907" s="71" t="s">
        <v>29</v>
      </c>
      <c r="J4907" s="76" t="s">
        <v>2853</v>
      </c>
      <c r="L4907" s="434">
        <v>600</v>
      </c>
      <c r="M4907" s="136">
        <f>M4906+K4907-L4907</f>
        <v>-138352.07729666619</v>
      </c>
    </row>
    <row r="4908" spans="1:13">
      <c r="A4908" s="54" t="str">
        <f t="shared" si="168"/>
        <v>HRNOMINA SUCURSALA24</v>
      </c>
      <c r="B4908" t="s">
        <v>2821</v>
      </c>
      <c r="C4908" s="1">
        <f t="shared" si="169"/>
        <v>45993</v>
      </c>
      <c r="D4908" s="242" t="s">
        <v>29</v>
      </c>
      <c r="E4908" s="71" t="s">
        <v>154</v>
      </c>
      <c r="F4908" s="71" t="s">
        <v>106</v>
      </c>
      <c r="J4908" s="76" t="s">
        <v>2854</v>
      </c>
      <c r="L4908" s="434">
        <v>495</v>
      </c>
      <c r="M4908" s="136">
        <f>M4907+K4908-L4908</f>
        <v>-138847.07729666619</v>
      </c>
    </row>
    <row r="4909" spans="1:13">
      <c r="A4909" s="54" t="str">
        <f t="shared" si="168"/>
        <v>CAPUBERCAP</v>
      </c>
      <c r="B4909" t="s">
        <v>2821</v>
      </c>
      <c r="C4909" s="1">
        <f t="shared" si="169"/>
        <v>45993</v>
      </c>
      <c r="D4909" s="242" t="s">
        <v>31</v>
      </c>
      <c r="E4909" s="71" t="s">
        <v>189</v>
      </c>
      <c r="F4909" s="71" t="s">
        <v>31</v>
      </c>
      <c r="J4909" s="76" t="s">
        <v>2376</v>
      </c>
      <c r="L4909" s="522">
        <v>150</v>
      </c>
      <c r="M4909" s="136">
        <f>M4908+K4909-L4909</f>
        <v>-138997.07729666619</v>
      </c>
    </row>
    <row r="4910" spans="1:13">
      <c r="A4910" s="54" t="str">
        <f t="shared" si="168"/>
        <v>CAPUBERCAP</v>
      </c>
      <c r="B4910" t="s">
        <v>2821</v>
      </c>
      <c r="C4910" s="1">
        <f t="shared" si="169"/>
        <v>45993</v>
      </c>
      <c r="D4910" s="242" t="s">
        <v>31</v>
      </c>
      <c r="E4910" s="71" t="s">
        <v>189</v>
      </c>
      <c r="F4910" s="71" t="s">
        <v>31</v>
      </c>
      <c r="J4910" s="76" t="s">
        <v>2441</v>
      </c>
      <c r="L4910" s="522">
        <v>100</v>
      </c>
      <c r="M4910" s="136">
        <f>M4909+K4910-L4910</f>
        <v>-139097.07729666619</v>
      </c>
    </row>
    <row r="4911" spans="1:13">
      <c r="A4911" s="54" t="str">
        <f t="shared" si="168"/>
        <v>CAPINSUMOSCAPRICHOS</v>
      </c>
      <c r="B4911" t="s">
        <v>2821</v>
      </c>
      <c r="C4911" s="1">
        <f t="shared" si="169"/>
        <v>45993</v>
      </c>
      <c r="D4911" s="242" t="s">
        <v>31</v>
      </c>
      <c r="E4911" s="71" t="s">
        <v>133</v>
      </c>
      <c r="F4911" s="71" t="s">
        <v>33</v>
      </c>
      <c r="J4911" s="76" t="s">
        <v>2335</v>
      </c>
      <c r="L4911" s="434">
        <v>50</v>
      </c>
      <c r="M4911" s="136">
        <f>M4910+K4911-L4911</f>
        <v>-139147.07729666619</v>
      </c>
    </row>
    <row r="4912" spans="1:13">
      <c r="A4912" s="54" t="str">
        <f t="shared" si="168"/>
        <v>CAPINSUMOSCAPRICHOS</v>
      </c>
      <c r="B4912" t="s">
        <v>2821</v>
      </c>
      <c r="C4912" s="1">
        <f t="shared" si="169"/>
        <v>45993</v>
      </c>
      <c r="D4912" s="242" t="s">
        <v>31</v>
      </c>
      <c r="E4912" s="71" t="s">
        <v>133</v>
      </c>
      <c r="F4912" s="71" t="s">
        <v>33</v>
      </c>
      <c r="J4912" s="76" t="s">
        <v>2715</v>
      </c>
      <c r="L4912" s="434">
        <v>203</v>
      </c>
      <c r="M4912" s="136">
        <f>M4911+K4912-L4912</f>
        <v>-139350.07729666619</v>
      </c>
    </row>
    <row r="4913" spans="1:13">
      <c r="A4913" s="54" t="str">
        <f t="shared" si="168"/>
        <v/>
      </c>
      <c r="B4913" t="s">
        <v>2821</v>
      </c>
      <c r="C4913" s="1">
        <v>45994</v>
      </c>
      <c r="J4913" s="71" t="s">
        <v>2045</v>
      </c>
      <c r="K4913" s="325">
        <v>375008.08</v>
      </c>
      <c r="L4913" s="432"/>
      <c r="M4913" s="136">
        <f>M4912+K4913-L4913</f>
        <v>235658.00270333383</v>
      </c>
    </row>
    <row r="4914" spans="1:13">
      <c r="A4914" s="54" t="str">
        <f t="shared" si="168"/>
        <v>FINANZASCOMISIONES BANCARIASTPV</v>
      </c>
      <c r="B4914" t="s">
        <v>2821</v>
      </c>
      <c r="C4914" s="1">
        <f t="shared" si="169"/>
        <v>45994</v>
      </c>
      <c r="D4914" s="242" t="s">
        <v>23</v>
      </c>
      <c r="E4914" s="71" t="s">
        <v>48</v>
      </c>
      <c r="F4914" s="387" t="s">
        <v>50</v>
      </c>
      <c r="J4914" s="71" t="s">
        <v>217</v>
      </c>
      <c r="L4914" s="433">
        <f>720.38+1377.68+529.64+4471.51+1334.12</f>
        <v>8433.33</v>
      </c>
      <c r="M4914" s="136">
        <f>M4913+K4914-L4914</f>
        <v>227224.67270333384</v>
      </c>
    </row>
    <row r="4915" spans="1:13">
      <c r="A4915" s="54" t="str">
        <f t="shared" si="168"/>
        <v>FINANZASCOMISIONES BANCARIASMANEJO DE CUENTA</v>
      </c>
      <c r="B4915" t="s">
        <v>2821</v>
      </c>
      <c r="C4915" s="1">
        <f t="shared" si="169"/>
        <v>45994</v>
      </c>
      <c r="D4915" s="242" t="s">
        <v>23</v>
      </c>
      <c r="E4915" s="71" t="s">
        <v>48</v>
      </c>
      <c r="F4915" s="387" t="s">
        <v>49</v>
      </c>
      <c r="G4915" s="71" t="s">
        <v>258</v>
      </c>
      <c r="J4915" s="71" t="s">
        <v>218</v>
      </c>
      <c r="L4915" s="433">
        <f>580</f>
        <v>580</v>
      </c>
      <c r="M4915" s="136">
        <f>M4914+K4915-L4915</f>
        <v>226644.67270333384</v>
      </c>
    </row>
    <row r="4916" spans="1:13">
      <c r="A4916" s="54" t="str">
        <f t="shared" si="168"/>
        <v/>
      </c>
      <c r="B4916" t="s">
        <v>2821</v>
      </c>
      <c r="C4916" s="1">
        <f>C4914</f>
        <v>45994</v>
      </c>
      <c r="J4916" s="205" t="s">
        <v>1562</v>
      </c>
      <c r="K4916" s="205"/>
      <c r="L4916" s="428">
        <v>300000</v>
      </c>
      <c r="M4916" s="136">
        <f>M4915+K4916-L4916</f>
        <v>-73355.327296666161</v>
      </c>
    </row>
    <row r="4917" spans="1:13">
      <c r="A4917" s="54" t="str">
        <f t="shared" si="168"/>
        <v>HRUBERHR</v>
      </c>
      <c r="B4917" t="s">
        <v>2821</v>
      </c>
      <c r="C4917" s="1">
        <f t="shared" si="169"/>
        <v>45994</v>
      </c>
      <c r="D4917" s="242" t="s">
        <v>29</v>
      </c>
      <c r="E4917" s="71" t="s">
        <v>189</v>
      </c>
      <c r="F4917" s="71" t="s">
        <v>29</v>
      </c>
      <c r="J4917" s="76" t="s">
        <v>2669</v>
      </c>
      <c r="L4917" s="522">
        <v>60</v>
      </c>
      <c r="M4917" s="136">
        <f>M4916+K4917-L4917</f>
        <v>-73415.327296666161</v>
      </c>
    </row>
    <row r="4918" spans="1:13">
      <c r="A4918" s="54" t="str">
        <f t="shared" si="168"/>
        <v>HRUBERHR</v>
      </c>
      <c r="B4918" t="s">
        <v>2821</v>
      </c>
      <c r="C4918" s="1">
        <f t="shared" si="169"/>
        <v>45994</v>
      </c>
      <c r="D4918" s="242" t="s">
        <v>29</v>
      </c>
      <c r="E4918" s="71" t="s">
        <v>189</v>
      </c>
      <c r="F4918" s="71" t="s">
        <v>29</v>
      </c>
      <c r="J4918" s="76" t="s">
        <v>2769</v>
      </c>
      <c r="L4918" s="522">
        <f>375+150</f>
        <v>525</v>
      </c>
      <c r="M4918" s="136">
        <f>M4917+K4918-L4918</f>
        <v>-73940.327296666161</v>
      </c>
    </row>
    <row r="4919" spans="1:13">
      <c r="A4919" s="54" t="str">
        <f t="shared" si="168"/>
        <v>FINANZASCUOTAS Y SUSCRIPCIONESCANACO</v>
      </c>
      <c r="B4919" t="s">
        <v>2821</v>
      </c>
      <c r="C4919" s="1">
        <f t="shared" si="169"/>
        <v>45994</v>
      </c>
      <c r="D4919" s="242" t="s">
        <v>23</v>
      </c>
      <c r="E4919" s="71" t="s">
        <v>51</v>
      </c>
      <c r="F4919" s="71" t="s">
        <v>67</v>
      </c>
      <c r="G4919" s="71" t="s">
        <v>258</v>
      </c>
      <c r="J4919" s="76" t="s">
        <v>2855</v>
      </c>
      <c r="L4919" s="434">
        <v>640</v>
      </c>
      <c r="M4919" s="136">
        <f>M4918+K4919-L4919</f>
        <v>-74580.327296666161</v>
      </c>
    </row>
    <row r="4920" spans="1:13">
      <c r="A4920" s="54" t="str">
        <f t="shared" si="168"/>
        <v>HRUBERHR</v>
      </c>
      <c r="B4920" t="s">
        <v>2821</v>
      </c>
      <c r="C4920" s="1">
        <f t="shared" si="169"/>
        <v>45994</v>
      </c>
      <c r="D4920" s="242" t="s">
        <v>29</v>
      </c>
      <c r="E4920" s="71" t="s">
        <v>189</v>
      </c>
      <c r="F4920" s="71" t="s">
        <v>29</v>
      </c>
      <c r="J4920" s="76" t="s">
        <v>2856</v>
      </c>
      <c r="L4920" s="522">
        <v>80</v>
      </c>
      <c r="M4920" s="136">
        <f>M4919+K4920-L4920</f>
        <v>-74660.327296666161</v>
      </c>
    </row>
    <row r="4921" spans="1:13">
      <c r="A4921" s="54" t="str">
        <f t="shared" si="168"/>
        <v>CAPUBERCAP</v>
      </c>
      <c r="B4921" t="s">
        <v>2821</v>
      </c>
      <c r="C4921" s="1">
        <f t="shared" si="169"/>
        <v>45994</v>
      </c>
      <c r="D4921" s="242" t="s">
        <v>31</v>
      </c>
      <c r="E4921" s="71" t="s">
        <v>189</v>
      </c>
      <c r="F4921" s="71" t="s">
        <v>31</v>
      </c>
      <c r="J4921" s="76" t="s">
        <v>2267</v>
      </c>
      <c r="L4921" s="522">
        <v>100</v>
      </c>
      <c r="M4921" s="136">
        <f>M4920+K4921-L4921</f>
        <v>-74760.327296666161</v>
      </c>
    </row>
    <row r="4922" spans="1:13">
      <c r="A4922" s="54" t="str">
        <f t="shared" si="168"/>
        <v>CAPUBERCAP</v>
      </c>
      <c r="B4922" t="s">
        <v>2821</v>
      </c>
      <c r="C4922" s="1">
        <f t="shared" si="169"/>
        <v>45994</v>
      </c>
      <c r="D4922" s="242" t="s">
        <v>31</v>
      </c>
      <c r="E4922" s="71" t="s">
        <v>189</v>
      </c>
      <c r="F4922" s="71" t="s">
        <v>31</v>
      </c>
      <c r="J4922" s="76" t="s">
        <v>2441</v>
      </c>
      <c r="L4922" s="522">
        <v>100</v>
      </c>
      <c r="M4922" s="136">
        <f>M4921+K4922-L4922</f>
        <v>-74860.327296666161</v>
      </c>
    </row>
    <row r="4923" spans="1:13">
      <c r="A4923" s="54" t="str">
        <f t="shared" si="168"/>
        <v>CAPUBERCAP</v>
      </c>
      <c r="B4923" t="s">
        <v>2821</v>
      </c>
      <c r="C4923" s="1">
        <f t="shared" si="169"/>
        <v>45994</v>
      </c>
      <c r="D4923" s="242" t="s">
        <v>31</v>
      </c>
      <c r="E4923" s="71" t="s">
        <v>189</v>
      </c>
      <c r="F4923" s="71" t="s">
        <v>31</v>
      </c>
      <c r="J4923" s="76" t="s">
        <v>2857</v>
      </c>
      <c r="L4923" s="522">
        <v>132</v>
      </c>
      <c r="M4923" s="136">
        <f>M4922+K4923-L4923</f>
        <v>-74992.327296666161</v>
      </c>
    </row>
    <row r="4924" spans="1:13">
      <c r="A4924" s="54" t="str">
        <f t="shared" si="168"/>
        <v>SERVICIOSVIATICOSINVENTARIOS</v>
      </c>
      <c r="B4924" t="s">
        <v>2821</v>
      </c>
      <c r="C4924" s="1">
        <f>C4922</f>
        <v>45994</v>
      </c>
      <c r="D4924" s="242" t="s">
        <v>21</v>
      </c>
      <c r="E4924" s="71" t="s">
        <v>191</v>
      </c>
      <c r="F4924" s="71" t="s">
        <v>34</v>
      </c>
      <c r="J4924" s="71" t="s">
        <v>533</v>
      </c>
      <c r="L4924" s="208">
        <v>200</v>
      </c>
      <c r="M4924" s="136">
        <f>M4923+K4924-L4924</f>
        <v>-75192.327296666161</v>
      </c>
    </row>
    <row r="4925" spans="1:13">
      <c r="A4925" s="54" t="str">
        <f t="shared" si="168"/>
        <v>FINANZASFONDO Y REPOSICIONFINANZAS</v>
      </c>
      <c r="B4925" t="s">
        <v>2821</v>
      </c>
      <c r="C4925" s="1">
        <f t="shared" si="169"/>
        <v>45994</v>
      </c>
      <c r="D4925" s="242" t="s">
        <v>23</v>
      </c>
      <c r="E4925" s="71" t="s">
        <v>120</v>
      </c>
      <c r="F4925" s="71" t="s">
        <v>23</v>
      </c>
      <c r="J4925" s="71" t="s">
        <v>818</v>
      </c>
      <c r="L4925" s="433">
        <v>50</v>
      </c>
      <c r="M4925" s="136">
        <f>M4924+K4925-L4925</f>
        <v>-75242.327296666161</v>
      </c>
    </row>
    <row r="4926" spans="1:13">
      <c r="A4926" s="54" t="str">
        <f t="shared" si="168"/>
        <v>MKTACTIVACION MKT</v>
      </c>
      <c r="B4926" t="s">
        <v>2821</v>
      </c>
      <c r="C4926" s="1">
        <f t="shared" si="169"/>
        <v>45994</v>
      </c>
      <c r="D4926" s="229" t="s">
        <v>19</v>
      </c>
      <c r="E4926" t="s">
        <v>20</v>
      </c>
      <c r="F4926" t="s">
        <v>19</v>
      </c>
      <c r="J4926" s="71" t="s">
        <v>2858</v>
      </c>
      <c r="L4926" s="433">
        <v>1682</v>
      </c>
      <c r="M4926" s="136">
        <f>M4925+K4926-L4926</f>
        <v>-76924.327296666161</v>
      </c>
    </row>
    <row r="4927" spans="1:13">
      <c r="A4927" s="54" t="str">
        <f t="shared" si="168"/>
        <v>HRJMASA1</v>
      </c>
      <c r="B4927" t="s">
        <v>2821</v>
      </c>
      <c r="C4927" s="1">
        <f t="shared" si="169"/>
        <v>45994</v>
      </c>
      <c r="D4927" s="242" t="s">
        <v>29</v>
      </c>
      <c r="E4927" s="71" t="s">
        <v>137</v>
      </c>
      <c r="F4927" s="71" t="s">
        <v>88</v>
      </c>
      <c r="J4927" s="71" t="s">
        <v>2859</v>
      </c>
      <c r="L4927" s="433">
        <f>436+1795</f>
        <v>2231</v>
      </c>
      <c r="M4927" s="136">
        <f>M4926+K4927-L4927</f>
        <v>-79155.327296666161</v>
      </c>
    </row>
    <row r="4928" spans="1:13">
      <c r="A4928" s="54" t="str">
        <f t="shared" si="168"/>
        <v>HRJMASA9</v>
      </c>
      <c r="B4928" t="s">
        <v>2821</v>
      </c>
      <c r="C4928" s="1">
        <f t="shared" si="169"/>
        <v>45994</v>
      </c>
      <c r="D4928" s="242" t="s">
        <v>29</v>
      </c>
      <c r="E4928" s="71" t="s">
        <v>137</v>
      </c>
      <c r="F4928" s="71" t="s">
        <v>95</v>
      </c>
      <c r="J4928" s="71" t="s">
        <v>2860</v>
      </c>
      <c r="L4928" s="433">
        <v>689</v>
      </c>
      <c r="M4928" s="136">
        <f>M4927+K4928-L4928</f>
        <v>-79844.327296666161</v>
      </c>
    </row>
    <row r="4929" spans="1:13">
      <c r="A4929" s="54" t="str">
        <f t="shared" si="168"/>
        <v>HRJMASA10</v>
      </c>
      <c r="B4929" t="s">
        <v>2821</v>
      </c>
      <c r="C4929" s="1">
        <f t="shared" si="169"/>
        <v>45994</v>
      </c>
      <c r="D4929" s="242" t="s">
        <v>29</v>
      </c>
      <c r="E4929" s="71" t="s">
        <v>137</v>
      </c>
      <c r="F4929" s="71" t="s">
        <v>96</v>
      </c>
      <c r="J4929" s="71" t="s">
        <v>2861</v>
      </c>
      <c r="L4929" s="433">
        <v>15558</v>
      </c>
      <c r="M4929" s="136">
        <f>M4928+K4929-L4929</f>
        <v>-95402.327296666161</v>
      </c>
    </row>
    <row r="4930" spans="1:13">
      <c r="A4930" s="54" t="str">
        <f t="shared" si="168"/>
        <v>SERVICIOSJMASCEDIS</v>
      </c>
      <c r="B4930" t="s">
        <v>2821</v>
      </c>
      <c r="C4930" s="1">
        <f t="shared" si="169"/>
        <v>45994</v>
      </c>
      <c r="D4930" s="242" t="s">
        <v>21</v>
      </c>
      <c r="E4930" s="71" t="s">
        <v>137</v>
      </c>
      <c r="F4930" s="71" t="s">
        <v>28</v>
      </c>
      <c r="J4930" s="71" t="s">
        <v>2862</v>
      </c>
      <c r="L4930" s="433">
        <f>598+437+2308</f>
        <v>3343</v>
      </c>
      <c r="M4930" s="136">
        <f>M4929+K4930-L4930</f>
        <v>-98745.327296666161</v>
      </c>
    </row>
    <row r="4931" spans="1:13">
      <c r="A4931" s="54" t="str">
        <f t="shared" si="168"/>
        <v>CAPJMASE1</v>
      </c>
      <c r="B4931" t="s">
        <v>2821</v>
      </c>
      <c r="C4931" s="1">
        <f t="shared" si="169"/>
        <v>45994</v>
      </c>
      <c r="D4931" s="242" t="s">
        <v>31</v>
      </c>
      <c r="E4931" s="71" t="s">
        <v>137</v>
      </c>
      <c r="F4931" s="71" t="s">
        <v>107</v>
      </c>
      <c r="J4931" s="71" t="s">
        <v>233</v>
      </c>
      <c r="L4931" s="433">
        <v>439</v>
      </c>
      <c r="M4931" s="136">
        <f>M4930+K4931-L4931</f>
        <v>-99184.327296666161</v>
      </c>
    </row>
    <row r="4932" spans="1:13">
      <c r="A4932" s="54" t="str">
        <f t="shared" si="168"/>
        <v>HRJMASA2</v>
      </c>
      <c r="B4932" t="s">
        <v>2821</v>
      </c>
      <c r="C4932" s="1">
        <f t="shared" si="169"/>
        <v>45994</v>
      </c>
      <c r="D4932" s="242" t="s">
        <v>29</v>
      </c>
      <c r="E4932" s="71" t="s">
        <v>137</v>
      </c>
      <c r="F4932" s="71" t="s">
        <v>89</v>
      </c>
      <c r="J4932" s="71" t="s">
        <v>236</v>
      </c>
      <c r="L4932" s="433">
        <f>446+445</f>
        <v>891</v>
      </c>
      <c r="M4932" s="136">
        <f>M4931+K4932-L4932</f>
        <v>-100075.32729666616</v>
      </c>
    </row>
    <row r="4933" spans="1:13">
      <c r="A4933" s="54" t="str">
        <f t="shared" si="168"/>
        <v>SERVICIOSADQ DE EQ TECNOLOGICOADQ DE EQ TECNOLOGICO</v>
      </c>
      <c r="B4933" t="s">
        <v>2821</v>
      </c>
      <c r="C4933" s="1">
        <f t="shared" si="169"/>
        <v>45994</v>
      </c>
      <c r="D4933" s="242" t="s">
        <v>21</v>
      </c>
      <c r="E4933" s="71" t="s">
        <v>22</v>
      </c>
      <c r="F4933" s="71" t="s">
        <v>22</v>
      </c>
      <c r="J4933" s="71" t="s">
        <v>2863</v>
      </c>
      <c r="L4933" s="433">
        <f>1499.01+50</f>
        <v>1549.01</v>
      </c>
      <c r="M4933" s="136">
        <f>M4932+K4933-L4933</f>
        <v>-101624.33729666616</v>
      </c>
    </row>
    <row r="4934" spans="1:13">
      <c r="A4934" s="54" t="str">
        <f t="shared" si="168"/>
        <v>FINANZASTELEFONIATELCEL</v>
      </c>
      <c r="B4934" t="s">
        <v>2821</v>
      </c>
      <c r="C4934" s="1">
        <f>C4932</f>
        <v>45994</v>
      </c>
      <c r="D4934" s="242" t="s">
        <v>23</v>
      </c>
      <c r="E4934" s="71" t="s">
        <v>181</v>
      </c>
      <c r="F4934" s="71" t="s">
        <v>183</v>
      </c>
      <c r="J4934" s="71" t="s">
        <v>2864</v>
      </c>
      <c r="L4934" s="433">
        <v>275</v>
      </c>
      <c r="M4934" s="136">
        <f>M4933+K4934-L4934</f>
        <v>-101899.33729666616</v>
      </c>
    </row>
    <row r="4935" spans="1:13">
      <c r="A4935" s="54" t="str">
        <f t="shared" si="168"/>
        <v>SERVICIOSPAQUETERIACEDIS (E6)</v>
      </c>
      <c r="B4935" t="s">
        <v>2821</v>
      </c>
      <c r="C4935" s="1">
        <f t="shared" si="169"/>
        <v>45994</v>
      </c>
      <c r="D4935" s="242" t="s">
        <v>21</v>
      </c>
      <c r="E4935" s="71" t="s">
        <v>160</v>
      </c>
      <c r="F4935" s="71" t="s">
        <v>161</v>
      </c>
      <c r="G4935" s="71" t="s">
        <v>258</v>
      </c>
      <c r="J4935" s="71" t="s">
        <v>2865</v>
      </c>
      <c r="L4935" s="433">
        <v>1559</v>
      </c>
      <c r="M4935" s="136">
        <f>M4934+K4935-L4935</f>
        <v>-103458.33729666616</v>
      </c>
    </row>
    <row r="4936" spans="1:13">
      <c r="A4936" s="54" t="str">
        <f t="shared" si="168"/>
        <v>SERVICIOSVIATICOSCEDIS</v>
      </c>
      <c r="B4936" t="s">
        <v>2821</v>
      </c>
      <c r="C4936" s="1">
        <f t="shared" si="169"/>
        <v>45994</v>
      </c>
      <c r="D4936" s="242" t="s">
        <v>21</v>
      </c>
      <c r="E4936" s="71" t="s">
        <v>191</v>
      </c>
      <c r="F4936" s="71" t="s">
        <v>28</v>
      </c>
      <c r="G4936" s="71" t="s">
        <v>258</v>
      </c>
      <c r="J4936" s="71" t="s">
        <v>2866</v>
      </c>
      <c r="L4936" s="433">
        <v>4000</v>
      </c>
      <c r="M4936" s="136">
        <f>M4935+K4936-L4936</f>
        <v>-107458.33729666616</v>
      </c>
    </row>
    <row r="4937" spans="1:13">
      <c r="A4937" s="54" t="str">
        <f t="shared" si="168"/>
        <v/>
      </c>
      <c r="B4937" t="s">
        <v>2821</v>
      </c>
      <c r="C4937" s="1">
        <v>45995</v>
      </c>
      <c r="J4937" s="71" t="s">
        <v>2045</v>
      </c>
      <c r="K4937" s="325">
        <v>395020.39</v>
      </c>
      <c r="L4937" s="432"/>
      <c r="M4937" s="136">
        <f>M4936+K4937-L4937</f>
        <v>287562.05270333384</v>
      </c>
    </row>
    <row r="4938" spans="1:13">
      <c r="A4938" s="54" t="str">
        <f t="shared" si="168"/>
        <v>FINANZASCOMISIONES BANCARIASTPV</v>
      </c>
      <c r="B4938" t="s">
        <v>2821</v>
      </c>
      <c r="C4938" s="1">
        <f>C4937</f>
        <v>45995</v>
      </c>
      <c r="D4938" s="242" t="s">
        <v>23</v>
      </c>
      <c r="E4938" s="71" t="s">
        <v>48</v>
      </c>
      <c r="F4938" s="71" t="s">
        <v>50</v>
      </c>
      <c r="J4938" s="71" t="s">
        <v>217</v>
      </c>
      <c r="L4938" s="433">
        <f>5.8+5.8+662.65+1578.23+5407.38+1307+381.33+662.25+241.86</f>
        <v>10252.300000000001</v>
      </c>
      <c r="M4938" s="136">
        <f>M4937+K4938-L4938</f>
        <v>277309.75270333386</v>
      </c>
    </row>
    <row r="4939" spans="1:13">
      <c r="A4939" s="54" t="str">
        <f t="shared" si="168"/>
        <v>FINANZASCOMISIONES BANCARIASMANEJO DE CUENTA</v>
      </c>
      <c r="B4939" t="s">
        <v>2821</v>
      </c>
      <c r="C4939" s="1">
        <f t="shared" si="169"/>
        <v>45995</v>
      </c>
      <c r="D4939" s="242" t="s">
        <v>23</v>
      </c>
      <c r="E4939" s="71" t="s">
        <v>48</v>
      </c>
      <c r="F4939" s="71" t="s">
        <v>49</v>
      </c>
      <c r="J4939" s="71" t="s">
        <v>2867</v>
      </c>
      <c r="K4939" s="325">
        <v>170</v>
      </c>
      <c r="M4939" s="136">
        <f>M4938+K4939-L4939</f>
        <v>277479.75270333386</v>
      </c>
    </row>
    <row r="4940" spans="1:13">
      <c r="A4940" s="54" t="str">
        <f t="shared" si="168"/>
        <v/>
      </c>
      <c r="B4940" t="s">
        <v>2821</v>
      </c>
      <c r="C4940" s="1">
        <f t="shared" si="169"/>
        <v>45995</v>
      </c>
      <c r="J4940" s="205" t="s">
        <v>1562</v>
      </c>
      <c r="K4940" s="205"/>
      <c r="L4940" s="428">
        <v>300000</v>
      </c>
      <c r="M4940" s="136">
        <f>M4939+K4940-L4940</f>
        <v>-22520.247296666144</v>
      </c>
    </row>
    <row r="4941" spans="1:13">
      <c r="A4941" s="54" t="str">
        <f t="shared" si="168"/>
        <v/>
      </c>
      <c r="B4941" t="s">
        <v>2821</v>
      </c>
      <c r="C4941" s="1">
        <f t="shared" si="169"/>
        <v>45995</v>
      </c>
      <c r="J4941" s="205" t="s">
        <v>222</v>
      </c>
      <c r="K4941" s="205"/>
      <c r="L4941" s="428"/>
      <c r="M4941" s="136">
        <f>M4940+K4941-L4941</f>
        <v>-22520.247296666144</v>
      </c>
    </row>
    <row r="4942" spans="1:13">
      <c r="A4942" s="54" t="str">
        <f t="shared" si="168"/>
        <v>DEVIATICOSDIRECCION</v>
      </c>
      <c r="B4942" t="s">
        <v>2821</v>
      </c>
      <c r="C4942" s="1">
        <f t="shared" si="169"/>
        <v>45995</v>
      </c>
      <c r="D4942" s="242" t="s">
        <v>41</v>
      </c>
      <c r="E4942" s="71" t="s">
        <v>191</v>
      </c>
      <c r="F4942" s="71" t="s">
        <v>42</v>
      </c>
      <c r="J4942" s="71" t="s">
        <v>2868</v>
      </c>
      <c r="L4942" s="433">
        <v>1000</v>
      </c>
      <c r="M4942" s="136">
        <f>M4941+K4942-L4942</f>
        <v>-23520.247296666144</v>
      </c>
    </row>
    <row r="4943" spans="1:13">
      <c r="A4943" s="54" t="str">
        <f t="shared" si="168"/>
        <v>MKTACTIVACION MKT</v>
      </c>
      <c r="B4943" t="s">
        <v>2821</v>
      </c>
      <c r="C4943" s="1">
        <f t="shared" si="169"/>
        <v>45995</v>
      </c>
      <c r="D4943" s="229" t="s">
        <v>19</v>
      </c>
      <c r="E4943" t="s">
        <v>20</v>
      </c>
      <c r="F4943" t="s">
        <v>19</v>
      </c>
      <c r="G4943" s="71" t="s">
        <v>258</v>
      </c>
      <c r="J4943" s="71" t="s">
        <v>2869</v>
      </c>
      <c r="L4943" s="433">
        <v>5050</v>
      </c>
      <c r="M4943" s="136">
        <f>M4942+K4943-L4943</f>
        <v>-28570.247296666144</v>
      </c>
    </row>
    <row r="4944" spans="1:13">
      <c r="A4944" s="54" t="str">
        <f t="shared" si="168"/>
        <v>MKTINSUMOSINSUMOS</v>
      </c>
      <c r="B4944" t="s">
        <v>2821</v>
      </c>
      <c r="C4944" s="1">
        <f t="shared" si="169"/>
        <v>45995</v>
      </c>
      <c r="D4944" s="242" t="s">
        <v>19</v>
      </c>
      <c r="E4944" s="71" t="s">
        <v>133</v>
      </c>
      <c r="F4944" s="71" t="s">
        <v>133</v>
      </c>
      <c r="G4944" s="71" t="s">
        <v>258</v>
      </c>
      <c r="J4944" s="71" t="s">
        <v>2870</v>
      </c>
      <c r="L4944" s="433">
        <v>300</v>
      </c>
      <c r="M4944" s="136">
        <f>M4943+K4944-L4944</f>
        <v>-28870.247296666144</v>
      </c>
    </row>
    <row r="4945" spans="1:13">
      <c r="A4945" s="54" t="str">
        <f t="shared" si="168"/>
        <v>MKTINSUMOSINSUMOS</v>
      </c>
      <c r="B4945" t="s">
        <v>2821</v>
      </c>
      <c r="C4945" s="1">
        <f t="shared" si="169"/>
        <v>45995</v>
      </c>
      <c r="D4945" s="242" t="s">
        <v>19</v>
      </c>
      <c r="E4945" s="71" t="s">
        <v>133</v>
      </c>
      <c r="F4945" s="71" t="s">
        <v>133</v>
      </c>
      <c r="J4945" s="71" t="s">
        <v>2871</v>
      </c>
      <c r="L4945" s="433">
        <v>832</v>
      </c>
      <c r="M4945" s="136">
        <f>M4944+K4945-L4945</f>
        <v>-29702.247296666144</v>
      </c>
    </row>
    <row r="4946" spans="1:13">
      <c r="A4946" s="54" t="str">
        <f t="shared" si="168"/>
        <v>FINANZASTELEFONIATELCEL</v>
      </c>
      <c r="B4946" t="s">
        <v>2821</v>
      </c>
      <c r="C4946" s="1">
        <f t="shared" si="169"/>
        <v>45995</v>
      </c>
      <c r="D4946" s="242" t="s">
        <v>23</v>
      </c>
      <c r="E4946" s="71" t="s">
        <v>181</v>
      </c>
      <c r="F4946" s="71" t="s">
        <v>183</v>
      </c>
      <c r="J4946" s="71" t="s">
        <v>2872</v>
      </c>
      <c r="L4946" s="433">
        <v>5711.93</v>
      </c>
      <c r="M4946" s="136">
        <f>M4945+K4946-L4946</f>
        <v>-35414.177296666145</v>
      </c>
    </row>
    <row r="4947" spans="1:13">
      <c r="A4947" s="54" t="str">
        <f t="shared" si="168"/>
        <v>SERVICIOSALARMASUCURSALES CAPRICHOS</v>
      </c>
      <c r="B4947" t="s">
        <v>2821</v>
      </c>
      <c r="C4947" s="1">
        <f>C4945</f>
        <v>45995</v>
      </c>
      <c r="D4947" s="242" t="s">
        <v>21</v>
      </c>
      <c r="E4947" s="71" t="s">
        <v>25</v>
      </c>
      <c r="F4947" s="71" t="s">
        <v>27</v>
      </c>
      <c r="J4947" s="71" t="s">
        <v>2873</v>
      </c>
      <c r="L4947" s="433">
        <v>835</v>
      </c>
      <c r="M4947" s="136">
        <f>M4946+K4947-L4947</f>
        <v>-36249.177296666145</v>
      </c>
    </row>
    <row r="4948" spans="1:13">
      <c r="A4948" s="54" t="str">
        <f t="shared" si="168"/>
        <v>MKTACTIVACION MKT</v>
      </c>
      <c r="B4948" t="s">
        <v>2821</v>
      </c>
      <c r="C4948" s="1">
        <f>C4945</f>
        <v>45995</v>
      </c>
      <c r="D4948" s="229" t="s">
        <v>19</v>
      </c>
      <c r="E4948" t="s">
        <v>20</v>
      </c>
      <c r="F4948" t="s">
        <v>19</v>
      </c>
      <c r="J4948" s="71" t="s">
        <v>2874</v>
      </c>
      <c r="L4948" s="433">
        <v>7167</v>
      </c>
      <c r="M4948" s="136">
        <f>M4947+K4948-L4948</f>
        <v>-43416.177296666145</v>
      </c>
    </row>
    <row r="4949" spans="1:13">
      <c r="A4949" s="54" t="str">
        <f t="shared" si="168"/>
        <v/>
      </c>
      <c r="B4949" t="s">
        <v>2821</v>
      </c>
      <c r="C4949" s="1">
        <f t="shared" si="169"/>
        <v>45995</v>
      </c>
      <c r="J4949" s="76" t="s">
        <v>2875</v>
      </c>
      <c r="L4949" s="434">
        <v>200</v>
      </c>
      <c r="M4949" s="136">
        <f>M4948+K4949-L4949</f>
        <v>-43616.177296666145</v>
      </c>
    </row>
    <row r="4950" spans="1:13">
      <c r="A4950" s="54" t="str">
        <f t="shared" ref="A4950:A5013" si="170">D4950&amp;E4950&amp;F4950</f>
        <v>HRNOMINA SUCURSALA11</v>
      </c>
      <c r="B4950" t="s">
        <v>2821</v>
      </c>
      <c r="C4950" s="1">
        <f t="shared" si="169"/>
        <v>45995</v>
      </c>
      <c r="D4950" s="242" t="s">
        <v>29</v>
      </c>
      <c r="E4950" s="71" t="s">
        <v>154</v>
      </c>
      <c r="F4950" s="71" t="s">
        <v>97</v>
      </c>
      <c r="J4950" s="76" t="s">
        <v>2876</v>
      </c>
      <c r="L4950" s="434">
        <v>1407</v>
      </c>
      <c r="M4950" s="136">
        <f>M4949+K4950-L4950</f>
        <v>-45023.177296666145</v>
      </c>
    </row>
    <row r="4951" spans="1:13">
      <c r="A4951" s="54" t="str">
        <f t="shared" si="170"/>
        <v>HRUBERHR</v>
      </c>
      <c r="B4951" t="s">
        <v>2821</v>
      </c>
      <c r="C4951" s="1">
        <f t="shared" si="169"/>
        <v>45995</v>
      </c>
      <c r="D4951" s="242" t="s">
        <v>29</v>
      </c>
      <c r="E4951" s="71" t="s">
        <v>189</v>
      </c>
      <c r="F4951" s="71" t="s">
        <v>29</v>
      </c>
      <c r="J4951" s="76" t="s">
        <v>2453</v>
      </c>
      <c r="L4951" s="522">
        <v>100</v>
      </c>
      <c r="M4951" s="136">
        <f>M4950+K4951-L4951</f>
        <v>-45123.177296666145</v>
      </c>
    </row>
    <row r="4952" spans="1:13">
      <c r="A4952" s="54" t="str">
        <f t="shared" si="170"/>
        <v>HRUBERHR</v>
      </c>
      <c r="B4952" t="s">
        <v>2821</v>
      </c>
      <c r="C4952" s="1">
        <f t="shared" si="169"/>
        <v>45995</v>
      </c>
      <c r="D4952" s="242" t="s">
        <v>29</v>
      </c>
      <c r="E4952" s="71" t="s">
        <v>189</v>
      </c>
      <c r="F4952" s="71" t="s">
        <v>29</v>
      </c>
      <c r="J4952" s="76" t="s">
        <v>2454</v>
      </c>
      <c r="L4952" s="522">
        <v>161</v>
      </c>
      <c r="M4952" s="136">
        <f>M4951+K4952-L4952</f>
        <v>-45284.177296666145</v>
      </c>
    </row>
    <row r="4953" spans="1:13">
      <c r="A4953" s="54" t="str">
        <f t="shared" si="170"/>
        <v>CAPINSUMOSCAPRICHOS</v>
      </c>
      <c r="B4953" t="s">
        <v>2821</v>
      </c>
      <c r="C4953" s="1">
        <f t="shared" si="169"/>
        <v>45995</v>
      </c>
      <c r="D4953" s="242" t="s">
        <v>31</v>
      </c>
      <c r="E4953" s="71" t="s">
        <v>133</v>
      </c>
      <c r="F4953" s="71" t="s">
        <v>33</v>
      </c>
      <c r="J4953" s="76" t="s">
        <v>2659</v>
      </c>
      <c r="L4953" s="434">
        <v>100</v>
      </c>
      <c r="M4953" s="136">
        <f>M4952+K4953-L4953</f>
        <v>-45384.177296666145</v>
      </c>
    </row>
    <row r="4954" spans="1:13">
      <c r="A4954" s="54" t="str">
        <f t="shared" si="170"/>
        <v>CAPUBERCAP</v>
      </c>
      <c r="B4954" t="s">
        <v>2821</v>
      </c>
      <c r="C4954" s="1">
        <f t="shared" si="169"/>
        <v>45995</v>
      </c>
      <c r="D4954" s="242" t="s">
        <v>31</v>
      </c>
      <c r="E4954" s="71" t="s">
        <v>189</v>
      </c>
      <c r="F4954" s="71" t="s">
        <v>31</v>
      </c>
      <c r="J4954" s="76" t="s">
        <v>2376</v>
      </c>
      <c r="L4954" s="522">
        <v>513</v>
      </c>
      <c r="M4954" s="136">
        <f>M4953+K4954-L4954</f>
        <v>-45897.177296666145</v>
      </c>
    </row>
    <row r="4955" spans="1:13">
      <c r="A4955" s="54" t="str">
        <f t="shared" si="170"/>
        <v>CAPUBERCAP</v>
      </c>
      <c r="B4955" t="s">
        <v>2821</v>
      </c>
      <c r="C4955" s="1">
        <f t="shared" si="169"/>
        <v>45995</v>
      </c>
      <c r="D4955" s="242" t="s">
        <v>31</v>
      </c>
      <c r="E4955" s="71" t="s">
        <v>189</v>
      </c>
      <c r="F4955" s="71" t="s">
        <v>31</v>
      </c>
      <c r="J4955" s="76" t="s">
        <v>2842</v>
      </c>
      <c r="L4955" s="522">
        <v>67</v>
      </c>
      <c r="M4955" s="136">
        <f>M4954+K4955-L4955</f>
        <v>-45964.177296666145</v>
      </c>
    </row>
    <row r="4956" spans="1:13">
      <c r="A4956" s="54" t="str">
        <f t="shared" si="170"/>
        <v>CAPINSUMOSCAPRICHOS</v>
      </c>
      <c r="B4956" t="s">
        <v>2821</v>
      </c>
      <c r="C4956" s="1">
        <f t="shared" si="169"/>
        <v>45995</v>
      </c>
      <c r="D4956" s="242" t="s">
        <v>31</v>
      </c>
      <c r="E4956" s="71" t="s">
        <v>133</v>
      </c>
      <c r="F4956" s="71" t="s">
        <v>33</v>
      </c>
      <c r="J4956" s="76" t="s">
        <v>2877</v>
      </c>
      <c r="L4956" s="434">
        <v>94</v>
      </c>
      <c r="M4956" s="136">
        <f>M4955+K4956-L4956</f>
        <v>-46058.177296666145</v>
      </c>
    </row>
    <row r="4957" spans="1:13">
      <c r="A4957" s="54" t="str">
        <f t="shared" si="170"/>
        <v>CAPUBERCAP</v>
      </c>
      <c r="B4957" t="s">
        <v>2821</v>
      </c>
      <c r="C4957" s="1">
        <f t="shared" si="169"/>
        <v>45995</v>
      </c>
      <c r="D4957" s="242" t="s">
        <v>31</v>
      </c>
      <c r="E4957" s="71" t="s">
        <v>189</v>
      </c>
      <c r="F4957" s="71" t="s">
        <v>31</v>
      </c>
      <c r="J4957" s="76" t="s">
        <v>2878</v>
      </c>
      <c r="L4957" s="523">
        <v>80</v>
      </c>
      <c r="M4957" s="136">
        <f>M4956+K4957-L4957</f>
        <v>-46138.177296666145</v>
      </c>
    </row>
    <row r="4958" spans="1:13">
      <c r="A4958" s="54" t="str">
        <f t="shared" si="170"/>
        <v/>
      </c>
      <c r="B4958" t="s">
        <v>2821</v>
      </c>
      <c r="C4958" s="1">
        <v>45996</v>
      </c>
      <c r="J4958" s="71" t="s">
        <v>2045</v>
      </c>
      <c r="K4958" s="325">
        <v>466941.93</v>
      </c>
      <c r="L4958" s="432"/>
      <c r="M4958" s="136">
        <f>M4957+K4958-L4958</f>
        <v>420803.75270333386</v>
      </c>
    </row>
    <row r="4959" spans="1:13">
      <c r="A4959" s="54" t="str">
        <f t="shared" si="170"/>
        <v>FINANZASCOMISIONES BANCARIASTPV</v>
      </c>
      <c r="B4959" t="s">
        <v>2821</v>
      </c>
      <c r="C4959" s="1">
        <f t="shared" si="169"/>
        <v>45996</v>
      </c>
      <c r="D4959" s="242" t="s">
        <v>23</v>
      </c>
      <c r="E4959" s="71" t="s">
        <v>48</v>
      </c>
      <c r="F4959" s="71" t="s">
        <v>50</v>
      </c>
      <c r="J4959" s="71" t="s">
        <v>217</v>
      </c>
      <c r="L4959" s="433">
        <f>759.62+1682.96+772.96+6196.22+2117.09+5.8</f>
        <v>11534.65</v>
      </c>
      <c r="M4959" s="136">
        <f>M4958+K4959-L4959</f>
        <v>409269.10270333383</v>
      </c>
    </row>
    <row r="4960" spans="1:13">
      <c r="A4960" s="54" t="str">
        <f t="shared" si="170"/>
        <v>FINANZASCOMISIONES BANCARIASMANEJO DE CUENTA</v>
      </c>
      <c r="B4960" t="s">
        <v>2821</v>
      </c>
      <c r="C4960" s="1">
        <f t="shared" si="169"/>
        <v>45996</v>
      </c>
      <c r="D4960" s="242" t="s">
        <v>23</v>
      </c>
      <c r="E4960" s="71" t="s">
        <v>48</v>
      </c>
      <c r="F4960" s="71" t="s">
        <v>49</v>
      </c>
      <c r="G4960" s="71" t="s">
        <v>258</v>
      </c>
      <c r="J4960" s="71" t="s">
        <v>218</v>
      </c>
      <c r="L4960" s="433">
        <f>357.86+241.86+772.56</f>
        <v>1372.28</v>
      </c>
      <c r="M4960" s="136">
        <f>M4959+K4960-L4960</f>
        <v>407896.8227033338</v>
      </c>
    </row>
    <row r="4961" spans="1:13">
      <c r="A4961" s="54" t="str">
        <f t="shared" si="170"/>
        <v/>
      </c>
      <c r="B4961" t="s">
        <v>2821</v>
      </c>
      <c r="C4961" s="1">
        <f t="shared" si="169"/>
        <v>45996</v>
      </c>
      <c r="J4961" s="205" t="s">
        <v>1562</v>
      </c>
      <c r="K4961" s="205"/>
      <c r="L4961" s="428">
        <v>81000</v>
      </c>
      <c r="M4961" s="136">
        <f>M4960+K4961-L4961</f>
        <v>326896.8227033338</v>
      </c>
    </row>
    <row r="4962" spans="1:13">
      <c r="A4962" s="54" t="str">
        <f t="shared" si="170"/>
        <v/>
      </c>
      <c r="B4962" t="s">
        <v>2821</v>
      </c>
      <c r="C4962" s="1">
        <f t="shared" si="169"/>
        <v>45996</v>
      </c>
      <c r="J4962" s="205" t="s">
        <v>222</v>
      </c>
      <c r="K4962" s="205"/>
      <c r="L4962" s="428">
        <v>400000</v>
      </c>
      <c r="M4962" s="136">
        <f>M4961+K4962-L4962</f>
        <v>-73103.177296666196</v>
      </c>
    </row>
    <row r="4963" spans="1:13">
      <c r="A4963" s="54" t="str">
        <f t="shared" si="170"/>
        <v>HRIMAGEN VISUALIMAGEN VISUAL HR</v>
      </c>
      <c r="B4963" t="s">
        <v>2821</v>
      </c>
      <c r="C4963" s="1">
        <f t="shared" si="169"/>
        <v>45996</v>
      </c>
      <c r="D4963" s="242" t="s">
        <v>29</v>
      </c>
      <c r="E4963" s="71" t="s">
        <v>127</v>
      </c>
      <c r="F4963" s="71" t="s">
        <v>128</v>
      </c>
      <c r="J4963" s="71" t="s">
        <v>2879</v>
      </c>
      <c r="L4963" s="433">
        <v>3180.72</v>
      </c>
      <c r="M4963" s="136">
        <f>M4962+K4963-L4963</f>
        <v>-76283.897296666197</v>
      </c>
    </row>
    <row r="4964" spans="1:13">
      <c r="A4964" s="54" t="str">
        <f t="shared" si="170"/>
        <v>FINANZASSOLUONESOLUONE (RETAIL)</v>
      </c>
      <c r="B4964" t="s">
        <v>2821</v>
      </c>
      <c r="C4964" s="1">
        <f t="shared" si="169"/>
        <v>45996</v>
      </c>
      <c r="D4964" s="242" t="s">
        <v>23</v>
      </c>
      <c r="E4964" t="s">
        <v>179</v>
      </c>
      <c r="F4964" s="71" t="s">
        <v>180</v>
      </c>
      <c r="G4964" s="71" t="s">
        <v>258</v>
      </c>
      <c r="J4964" s="71" t="s">
        <v>2880</v>
      </c>
      <c r="L4964" s="433">
        <v>17272.45</v>
      </c>
      <c r="M4964" s="136">
        <f>M4963+K4964-L4964</f>
        <v>-93556.347296666194</v>
      </c>
    </row>
    <row r="4965" spans="1:13">
      <c r="A4965" s="54" t="str">
        <f t="shared" si="170"/>
        <v>HRIMAGEN VISUALIMAGEN VISUAL HR</v>
      </c>
      <c r="B4965" t="s">
        <v>2821</v>
      </c>
      <c r="C4965" s="1">
        <f t="shared" ref="C4965:C5033" si="171">C4964</f>
        <v>45996</v>
      </c>
      <c r="D4965" s="242" t="s">
        <v>29</v>
      </c>
      <c r="E4965" s="71" t="s">
        <v>127</v>
      </c>
      <c r="F4965" s="71" t="s">
        <v>128</v>
      </c>
      <c r="J4965" s="71" t="s">
        <v>2881</v>
      </c>
      <c r="L4965" s="433">
        <v>32815.760000000002</v>
      </c>
      <c r="M4965" s="136">
        <f>M4964+K4965-L4965</f>
        <v>-126372.10729666619</v>
      </c>
    </row>
    <row r="4966" spans="1:13">
      <c r="A4966" s="54" t="str">
        <f t="shared" si="170"/>
        <v>HRENERGIA ELECTRICAA18</v>
      </c>
      <c r="B4966" t="s">
        <v>2821</v>
      </c>
      <c r="C4966" s="1">
        <f t="shared" si="171"/>
        <v>45996</v>
      </c>
      <c r="D4966" s="242" t="s">
        <v>29</v>
      </c>
      <c r="E4966" s="71" t="s">
        <v>87</v>
      </c>
      <c r="F4966" s="71" t="s">
        <v>103</v>
      </c>
      <c r="J4966" s="71" t="s">
        <v>1307</v>
      </c>
      <c r="L4966" s="208">
        <v>4970</v>
      </c>
      <c r="M4966" s="136">
        <f>M4965+K4966-L4966</f>
        <v>-131342.10729666619</v>
      </c>
    </row>
    <row r="4967" spans="1:13">
      <c r="A4967" s="54" t="str">
        <f t="shared" si="170"/>
        <v>HRENERGIA ELECTRICAA23</v>
      </c>
      <c r="B4967" t="s">
        <v>2821</v>
      </c>
      <c r="C4967" s="1">
        <f t="shared" si="171"/>
        <v>45996</v>
      </c>
      <c r="D4967" s="242" t="s">
        <v>29</v>
      </c>
      <c r="E4967" s="71" t="s">
        <v>87</v>
      </c>
      <c r="F4967" s="71" t="s">
        <v>105</v>
      </c>
      <c r="J4967" s="71" t="s">
        <v>2882</v>
      </c>
      <c r="L4967" s="433">
        <v>2756</v>
      </c>
      <c r="M4967" s="136">
        <f>M4966+K4967-L4967</f>
        <v>-134098.10729666619</v>
      </c>
    </row>
    <row r="4968" spans="1:13">
      <c r="A4968" s="54" t="str">
        <f t="shared" si="170"/>
        <v>FINANZASCUOTAS Y SUSCRIPCIONESCONTPAQ</v>
      </c>
      <c r="B4968" t="s">
        <v>2821</v>
      </c>
      <c r="C4968" s="1">
        <f t="shared" si="171"/>
        <v>45996</v>
      </c>
      <c r="D4968" s="242" t="s">
        <v>23</v>
      </c>
      <c r="E4968" s="71" t="s">
        <v>51</v>
      </c>
      <c r="F4968" s="71" t="s">
        <v>73</v>
      </c>
      <c r="G4968" s="71" t="s">
        <v>258</v>
      </c>
      <c r="J4968" s="71" t="s">
        <v>2883</v>
      </c>
      <c r="L4968" s="433">
        <v>1691.72</v>
      </c>
      <c r="M4968" s="136">
        <f>M4967+K4968-L4968</f>
        <v>-135789.82729666619</v>
      </c>
    </row>
    <row r="4969" spans="1:13">
      <c r="A4969" s="54" t="str">
        <f t="shared" si="170"/>
        <v>FINANZASVIATICOSFINANZAS</v>
      </c>
      <c r="B4969" t="s">
        <v>2821</v>
      </c>
      <c r="C4969" s="1">
        <f t="shared" si="171"/>
        <v>45996</v>
      </c>
      <c r="D4969" s="242" t="s">
        <v>23</v>
      </c>
      <c r="E4969" s="71" t="s">
        <v>191</v>
      </c>
      <c r="F4969" s="71" t="s">
        <v>23</v>
      </c>
      <c r="J4969" s="71" t="s">
        <v>2884</v>
      </c>
      <c r="L4969" s="433">
        <v>300</v>
      </c>
      <c r="M4969" s="136">
        <f>M4968+K4969-L4969</f>
        <v>-136089.82729666619</v>
      </c>
    </row>
    <row r="4970" spans="1:13">
      <c r="A4970" s="54" t="str">
        <f t="shared" si="170"/>
        <v>SERVICIOSCOMBUSTIBLECEDIS</v>
      </c>
      <c r="B4970" t="s">
        <v>2821</v>
      </c>
      <c r="C4970" s="1">
        <f t="shared" si="171"/>
        <v>45996</v>
      </c>
      <c r="D4970" s="242" t="s">
        <v>21</v>
      </c>
      <c r="E4970" s="71" t="s">
        <v>32</v>
      </c>
      <c r="F4970" s="71" t="s">
        <v>28</v>
      </c>
      <c r="J4970" s="71" t="s">
        <v>2885</v>
      </c>
      <c r="L4970" s="433">
        <v>700</v>
      </c>
      <c r="M4970" s="136">
        <f>M4969+K4970-L4970</f>
        <v>-136789.82729666619</v>
      </c>
    </row>
    <row r="4971" spans="1:13">
      <c r="A4971" s="54" t="str">
        <f t="shared" si="170"/>
        <v>SERVICIOSCOMBUSTIBLEMANTENIMIENTO</v>
      </c>
      <c r="B4971" t="s">
        <v>2821</v>
      </c>
      <c r="C4971" s="1">
        <f t="shared" si="171"/>
        <v>45996</v>
      </c>
      <c r="D4971" s="242" t="s">
        <v>21</v>
      </c>
      <c r="E4971" s="71" t="s">
        <v>32</v>
      </c>
      <c r="F4971" s="71" t="s">
        <v>35</v>
      </c>
      <c r="G4971" s="71" t="s">
        <v>258</v>
      </c>
      <c r="J4971" s="71" t="s">
        <v>2886</v>
      </c>
      <c r="L4971" s="433">
        <v>200</v>
      </c>
      <c r="M4971" s="136">
        <f>M4970+K4971-L4971</f>
        <v>-136989.82729666619</v>
      </c>
    </row>
    <row r="4972" spans="1:13">
      <c r="A4972" s="54" t="str">
        <f t="shared" si="170"/>
        <v>FINANZASFONDO Y REPOSICIONFINANZAS</v>
      </c>
      <c r="B4972" t="s">
        <v>2821</v>
      </c>
      <c r="C4972" s="1">
        <f t="shared" si="171"/>
        <v>45996</v>
      </c>
      <c r="D4972" s="242" t="s">
        <v>23</v>
      </c>
      <c r="E4972" s="71" t="s">
        <v>120</v>
      </c>
      <c r="F4972" s="71" t="s">
        <v>23</v>
      </c>
      <c r="J4972" s="71" t="s">
        <v>2887</v>
      </c>
      <c r="L4972" s="433">
        <v>1740</v>
      </c>
      <c r="M4972" s="136">
        <f>M4971+K4972-L4972</f>
        <v>-138729.82729666619</v>
      </c>
    </row>
    <row r="4973" spans="1:13">
      <c r="A4973" s="54" t="str">
        <f t="shared" si="170"/>
        <v>MKTFONDO Y REPOSICIONMKT</v>
      </c>
      <c r="B4973" t="s">
        <v>2821</v>
      </c>
      <c r="C4973" s="1">
        <f t="shared" si="171"/>
        <v>45996</v>
      </c>
      <c r="D4973" s="242" t="s">
        <v>19</v>
      </c>
      <c r="E4973" s="71" t="s">
        <v>120</v>
      </c>
      <c r="F4973" s="71" t="s">
        <v>19</v>
      </c>
      <c r="G4973" s="71" t="s">
        <v>258</v>
      </c>
      <c r="J4973" s="71" t="s">
        <v>2888</v>
      </c>
      <c r="L4973" s="433">
        <v>250</v>
      </c>
      <c r="M4973" s="136">
        <f>M4972+K4973-L4973</f>
        <v>-138979.82729666619</v>
      </c>
    </row>
    <row r="4974" spans="1:13">
      <c r="A4974" s="54" t="str">
        <f t="shared" si="170"/>
        <v>MKTFONDO Y REPOSICIONMKT</v>
      </c>
      <c r="B4974" t="s">
        <v>2821</v>
      </c>
      <c r="C4974" s="1">
        <f t="shared" si="171"/>
        <v>45996</v>
      </c>
      <c r="D4974" s="242" t="s">
        <v>19</v>
      </c>
      <c r="E4974" s="71" t="s">
        <v>120</v>
      </c>
      <c r="F4974" s="71" t="s">
        <v>19</v>
      </c>
      <c r="G4974" s="71" t="s">
        <v>258</v>
      </c>
      <c r="J4974" s="71" t="s">
        <v>1880</v>
      </c>
      <c r="L4974" s="433">
        <v>3000</v>
      </c>
      <c r="M4974" s="136">
        <f>M4973+K4974-L4974</f>
        <v>-141979.82729666619</v>
      </c>
    </row>
    <row r="4975" spans="1:13">
      <c r="A4975" s="54" t="str">
        <f t="shared" si="170"/>
        <v>MKTFONDO Y REPOSICIONMKT</v>
      </c>
      <c r="B4975" t="s">
        <v>2821</v>
      </c>
      <c r="C4975" s="1">
        <f t="shared" si="171"/>
        <v>45996</v>
      </c>
      <c r="D4975" s="242" t="s">
        <v>19</v>
      </c>
      <c r="E4975" s="71" t="s">
        <v>120</v>
      </c>
      <c r="F4975" s="71" t="s">
        <v>19</v>
      </c>
      <c r="G4975" s="71" t="s">
        <v>258</v>
      </c>
      <c r="J4975" s="71" t="s">
        <v>2889</v>
      </c>
      <c r="L4975" s="433">
        <v>1526</v>
      </c>
      <c r="M4975" s="136">
        <f>M4974+K4975-L4975</f>
        <v>-143505.82729666619</v>
      </c>
    </row>
    <row r="4976" spans="1:13">
      <c r="A4976" s="54" t="str">
        <f t="shared" si="170"/>
        <v>MKTACTIVACION MKT</v>
      </c>
      <c r="B4976" t="s">
        <v>2821</v>
      </c>
      <c r="C4976" s="1">
        <f t="shared" si="171"/>
        <v>45996</v>
      </c>
      <c r="D4976" s="229" t="s">
        <v>19</v>
      </c>
      <c r="E4976" t="s">
        <v>20</v>
      </c>
      <c r="F4976" t="s">
        <v>19</v>
      </c>
      <c r="G4976" s="71" t="s">
        <v>258</v>
      </c>
      <c r="J4976" s="71" t="s">
        <v>2890</v>
      </c>
      <c r="L4976" s="433">
        <v>600</v>
      </c>
      <c r="M4976" s="136">
        <f>M4975+K4976-L4976</f>
        <v>-144105.82729666619</v>
      </c>
    </row>
    <row r="4977" spans="1:13">
      <c r="A4977" s="54" t="str">
        <f t="shared" si="170"/>
        <v>HRMKTMKT HR</v>
      </c>
      <c r="B4977" t="s">
        <v>2821</v>
      </c>
      <c r="C4977" s="1">
        <f t="shared" si="171"/>
        <v>45996</v>
      </c>
      <c r="D4977" s="242" t="s">
        <v>29</v>
      </c>
      <c r="E4977" s="71" t="s">
        <v>19</v>
      </c>
      <c r="F4977" s="71" t="s">
        <v>138</v>
      </c>
      <c r="J4977" s="71" t="s">
        <v>2891</v>
      </c>
      <c r="L4977" s="433">
        <v>5800</v>
      </c>
      <c r="M4977" s="136">
        <f>M4976+K4977-L4977</f>
        <v>-149905.82729666619</v>
      </c>
    </row>
    <row r="4978" spans="1:13">
      <c r="A4978" s="54" t="str">
        <f t="shared" si="170"/>
        <v>FINANZASINSUMOSFINANZAS</v>
      </c>
      <c r="B4978" t="s">
        <v>2821</v>
      </c>
      <c r="C4978" s="1">
        <f t="shared" si="171"/>
        <v>45996</v>
      </c>
      <c r="D4978" s="242" t="s">
        <v>23</v>
      </c>
      <c r="E4978" s="71" t="s">
        <v>133</v>
      </c>
      <c r="F4978" s="71" t="s">
        <v>23</v>
      </c>
      <c r="J4978" s="71" t="s">
        <v>2892</v>
      </c>
      <c r="L4978" s="433">
        <v>116</v>
      </c>
      <c r="M4978" s="136">
        <f>M4977+K4978-L4978</f>
        <v>-150021.82729666619</v>
      </c>
    </row>
    <row r="4979" spans="1:13">
      <c r="A4979" s="54" t="str">
        <f t="shared" si="170"/>
        <v>HRMKTMKT HR</v>
      </c>
      <c r="B4979" t="s">
        <v>2821</v>
      </c>
      <c r="C4979" s="1">
        <f t="shared" si="171"/>
        <v>45996</v>
      </c>
      <c r="D4979" s="242" t="s">
        <v>29</v>
      </c>
      <c r="E4979" s="71" t="s">
        <v>19</v>
      </c>
      <c r="F4979" s="71" t="s">
        <v>138</v>
      </c>
      <c r="J4979" s="71" t="s">
        <v>2893</v>
      </c>
      <c r="L4979" s="433">
        <v>300</v>
      </c>
      <c r="M4979" s="136">
        <f>M4978+K4979-L4979</f>
        <v>-150321.82729666619</v>
      </c>
    </row>
    <row r="4980" spans="1:13">
      <c r="A4980" s="54" t="str">
        <f t="shared" si="170"/>
        <v>HRVIATICOSHR</v>
      </c>
      <c r="B4980" t="s">
        <v>2821</v>
      </c>
      <c r="C4980" s="1">
        <f t="shared" si="171"/>
        <v>45996</v>
      </c>
      <c r="D4980" s="242" t="s">
        <v>29</v>
      </c>
      <c r="E4980" s="71" t="s">
        <v>191</v>
      </c>
      <c r="F4980" s="71" t="s">
        <v>29</v>
      </c>
      <c r="J4980" s="71" t="s">
        <v>2894</v>
      </c>
      <c r="L4980" s="433">
        <v>4500</v>
      </c>
      <c r="M4980" s="136">
        <f>M4979+K4980-L4980</f>
        <v>-154821.82729666619</v>
      </c>
    </row>
    <row r="4981" spans="1:13">
      <c r="A4981" s="54" t="str">
        <f t="shared" si="170"/>
        <v>SERVICIOSMTTO DE EDIFICIOMANTENIMIENTO</v>
      </c>
      <c r="B4981" t="s">
        <v>2821</v>
      </c>
      <c r="C4981" s="1">
        <f t="shared" si="171"/>
        <v>45996</v>
      </c>
      <c r="D4981" s="242" t="s">
        <v>21</v>
      </c>
      <c r="E4981" s="71" t="s">
        <v>142</v>
      </c>
      <c r="F4981" s="71" t="s">
        <v>35</v>
      </c>
      <c r="J4981" s="71" t="s">
        <v>2895</v>
      </c>
      <c r="L4981" s="433">
        <v>5000</v>
      </c>
      <c r="M4981" s="136">
        <f>M4980+K4981-L4981</f>
        <v>-159821.82729666619</v>
      </c>
    </row>
    <row r="4982" spans="1:13">
      <c r="A4982" s="54" t="str">
        <f t="shared" si="170"/>
        <v>SERVICIOSGASCEDIS</v>
      </c>
      <c r="B4982" t="s">
        <v>2821</v>
      </c>
      <c r="C4982" s="1">
        <f t="shared" si="171"/>
        <v>45996</v>
      </c>
      <c r="D4982" s="242" t="s">
        <v>21</v>
      </c>
      <c r="E4982" s="71" t="s">
        <v>122</v>
      </c>
      <c r="F4982" s="71" t="s">
        <v>28</v>
      </c>
      <c r="J4982" s="71" t="s">
        <v>2896</v>
      </c>
      <c r="L4982" s="433">
        <v>300</v>
      </c>
      <c r="M4982" s="136">
        <f>M4981+K4982-L4982</f>
        <v>-160121.82729666619</v>
      </c>
    </row>
    <row r="4983" spans="1:13">
      <c r="A4983" s="54" t="str">
        <f t="shared" si="170"/>
        <v>SERVICIOSFONDO Y REPOSICIONSERVICIOS</v>
      </c>
      <c r="B4983" t="s">
        <v>2821</v>
      </c>
      <c r="C4983" s="1">
        <f t="shared" si="171"/>
        <v>45996</v>
      </c>
      <c r="D4983" s="242" t="s">
        <v>21</v>
      </c>
      <c r="E4983" s="71" t="s">
        <v>120</v>
      </c>
      <c r="F4983" s="71" t="s">
        <v>21</v>
      </c>
      <c r="J4983" s="71" t="s">
        <v>1080</v>
      </c>
      <c r="L4983" s="433">
        <v>2000</v>
      </c>
      <c r="M4983" s="136">
        <f>M4982+K4983-L4983</f>
        <v>-162121.82729666619</v>
      </c>
    </row>
    <row r="4984" spans="1:13">
      <c r="A4984" s="54" t="str">
        <f t="shared" si="170"/>
        <v>SERVICIOSVIATICOSCEDIS</v>
      </c>
      <c r="B4984" t="s">
        <v>2821</v>
      </c>
      <c r="C4984" s="1">
        <f t="shared" si="171"/>
        <v>45996</v>
      </c>
      <c r="D4984" s="242" t="s">
        <v>21</v>
      </c>
      <c r="E4984" s="71" t="s">
        <v>191</v>
      </c>
      <c r="F4984" s="71" t="s">
        <v>28</v>
      </c>
      <c r="J4984" s="71" t="s">
        <v>2897</v>
      </c>
      <c r="L4984" s="433">
        <v>2450</v>
      </c>
      <c r="M4984" s="136">
        <f>M4983+K4984-L4984</f>
        <v>-164571.82729666619</v>
      </c>
    </row>
    <row r="4985" spans="1:13">
      <c r="A4985" s="54" t="str">
        <f t="shared" si="170"/>
        <v/>
      </c>
      <c r="B4985" t="s">
        <v>2821</v>
      </c>
      <c r="C4985" s="1">
        <f t="shared" si="171"/>
        <v>45996</v>
      </c>
      <c r="F4985" s="387"/>
      <c r="J4985" s="71" t="s">
        <v>2898</v>
      </c>
      <c r="L4985" s="433">
        <v>4980</v>
      </c>
      <c r="M4985" s="136">
        <f>M4984+K4985-L4985</f>
        <v>-169551.82729666619</v>
      </c>
    </row>
    <row r="4986" spans="1:13">
      <c r="A4986" s="54" t="str">
        <f t="shared" si="170"/>
        <v>MKTACTIVACION MKT</v>
      </c>
      <c r="B4986" t="s">
        <v>2821</v>
      </c>
      <c r="C4986" s="1">
        <f t="shared" si="171"/>
        <v>45996</v>
      </c>
      <c r="D4986" s="229" t="s">
        <v>19</v>
      </c>
      <c r="E4986" t="s">
        <v>20</v>
      </c>
      <c r="F4986" t="s">
        <v>19</v>
      </c>
      <c r="J4986" s="71" t="s">
        <v>2899</v>
      </c>
      <c r="L4986" s="433">
        <v>320</v>
      </c>
      <c r="M4986" s="136">
        <f>M4985+K4986-L4986</f>
        <v>-169871.82729666619</v>
      </c>
    </row>
    <row r="4987" spans="1:13">
      <c r="A4987" s="54" t="str">
        <f t="shared" si="170"/>
        <v>MKTACTIVACION MKT</v>
      </c>
      <c r="B4987" t="s">
        <v>2821</v>
      </c>
      <c r="C4987" s="1">
        <f t="shared" si="171"/>
        <v>45996</v>
      </c>
      <c r="D4987" s="229" t="s">
        <v>19</v>
      </c>
      <c r="E4987" t="s">
        <v>20</v>
      </c>
      <c r="F4987" t="s">
        <v>19</v>
      </c>
      <c r="G4987" s="71" t="s">
        <v>258</v>
      </c>
      <c r="J4987" s="71" t="s">
        <v>2900</v>
      </c>
      <c r="L4987" s="433">
        <v>700</v>
      </c>
      <c r="M4987" s="136">
        <f>M4986+K4987-L4987</f>
        <v>-170571.82729666619</v>
      </c>
    </row>
    <row r="4988" spans="1:13">
      <c r="A4988" s="54" t="str">
        <f t="shared" si="170"/>
        <v>MKTINSUMOSINSUMOS</v>
      </c>
      <c r="B4988" t="s">
        <v>2821</v>
      </c>
      <c r="C4988" s="1">
        <f t="shared" si="171"/>
        <v>45996</v>
      </c>
      <c r="D4988" s="242" t="s">
        <v>19</v>
      </c>
      <c r="E4988" s="71" t="s">
        <v>133</v>
      </c>
      <c r="F4988" s="71" t="s">
        <v>133</v>
      </c>
      <c r="G4988" s="71" t="s">
        <v>258</v>
      </c>
      <c r="J4988" s="71" t="s">
        <v>2901</v>
      </c>
      <c r="L4988" s="433">
        <v>33</v>
      </c>
      <c r="M4988" s="136">
        <f>M4987+K4988-L4988</f>
        <v>-170604.82729666619</v>
      </c>
    </row>
    <row r="4989" spans="1:13">
      <c r="A4989" s="54" t="str">
        <f t="shared" si="170"/>
        <v>FINANZASCOMBUSTIBLE</v>
      </c>
      <c r="B4989" t="s">
        <v>2821</v>
      </c>
      <c r="C4989" s="1">
        <f t="shared" si="171"/>
        <v>45996</v>
      </c>
      <c r="D4989" s="242" t="s">
        <v>23</v>
      </c>
      <c r="E4989" s="71" t="s">
        <v>32</v>
      </c>
      <c r="J4989" s="71" t="s">
        <v>440</v>
      </c>
      <c r="L4989" s="433">
        <v>51032.5</v>
      </c>
      <c r="M4989" s="136">
        <f>M4988+K4989-L4989</f>
        <v>-221637.32729666619</v>
      </c>
    </row>
    <row r="4990" spans="1:13">
      <c r="A4990" s="54" t="str">
        <f t="shared" si="170"/>
        <v>HRMKTMKT HR</v>
      </c>
      <c r="B4990" t="s">
        <v>2821</v>
      </c>
      <c r="C4990" s="1">
        <f>C4988</f>
        <v>45996</v>
      </c>
      <c r="D4990" s="242" t="s">
        <v>29</v>
      </c>
      <c r="E4990" s="71" t="s">
        <v>19</v>
      </c>
      <c r="F4990" s="71" t="s">
        <v>138</v>
      </c>
      <c r="J4990" s="71" t="s">
        <v>2902</v>
      </c>
      <c r="L4990" s="433">
        <v>1700</v>
      </c>
      <c r="M4990" s="136">
        <f>M4989+K4990-L4990</f>
        <v>-223337.32729666619</v>
      </c>
    </row>
    <row r="4991" spans="1:13">
      <c r="A4991" s="54" t="str">
        <f t="shared" si="170"/>
        <v>SERVICIOSALARMACEDIS</v>
      </c>
      <c r="B4991" t="s">
        <v>2821</v>
      </c>
      <c r="C4991" s="1">
        <f>C4989</f>
        <v>45996</v>
      </c>
      <c r="D4991" s="242" t="s">
        <v>21</v>
      </c>
      <c r="E4991" s="71" t="s">
        <v>25</v>
      </c>
      <c r="F4991" s="71" t="s">
        <v>28</v>
      </c>
      <c r="J4991" s="71" t="s">
        <v>2903</v>
      </c>
      <c r="L4991" s="433">
        <v>553.97</v>
      </c>
      <c r="M4991" s="136">
        <f>M4990+K4991-L4991</f>
        <v>-223891.29729666619</v>
      </c>
    </row>
    <row r="4992" spans="1:13">
      <c r="A4992" s="54" t="str">
        <f t="shared" si="170"/>
        <v>HRUBERHR</v>
      </c>
      <c r="B4992" t="s">
        <v>2821</v>
      </c>
      <c r="C4992" s="1">
        <f>C4990</f>
        <v>45996</v>
      </c>
      <c r="D4992" s="242" t="s">
        <v>29</v>
      </c>
      <c r="E4992" s="71" t="s">
        <v>189</v>
      </c>
      <c r="F4992" s="71" t="s">
        <v>29</v>
      </c>
      <c r="J4992" s="76" t="s">
        <v>2904</v>
      </c>
      <c r="L4992" s="522">
        <v>240</v>
      </c>
      <c r="M4992" s="136">
        <f>M4991+K4992-L4992</f>
        <v>-224131.29729666619</v>
      </c>
    </row>
    <row r="4993" spans="1:13">
      <c r="A4993" s="54" t="str">
        <f t="shared" si="170"/>
        <v>HRUBERHR</v>
      </c>
      <c r="B4993" t="s">
        <v>2821</v>
      </c>
      <c r="C4993" s="1">
        <f t="shared" si="171"/>
        <v>45996</v>
      </c>
      <c r="D4993" s="242" t="s">
        <v>29</v>
      </c>
      <c r="E4993" s="71" t="s">
        <v>189</v>
      </c>
      <c r="F4993" s="71" t="s">
        <v>29</v>
      </c>
      <c r="J4993" s="76" t="s">
        <v>2905</v>
      </c>
      <c r="L4993" s="522">
        <v>69</v>
      </c>
      <c r="M4993" s="136">
        <f>M4992+K4993-L4993</f>
        <v>-224200.29729666619</v>
      </c>
    </row>
    <row r="4994" spans="1:13">
      <c r="A4994" s="54" t="str">
        <f t="shared" si="170"/>
        <v>HRUBERHR</v>
      </c>
      <c r="B4994" t="s">
        <v>2821</v>
      </c>
      <c r="C4994" s="1">
        <f t="shared" si="171"/>
        <v>45996</v>
      </c>
      <c r="D4994" s="242" t="s">
        <v>29</v>
      </c>
      <c r="E4994" s="71" t="s">
        <v>189</v>
      </c>
      <c r="F4994" s="71" t="s">
        <v>29</v>
      </c>
      <c r="J4994" s="76" t="s">
        <v>2906</v>
      </c>
      <c r="L4994" s="522">
        <v>600</v>
      </c>
      <c r="M4994" s="136">
        <f>M4993+K4994-L4994</f>
        <v>-224800.29729666619</v>
      </c>
    </row>
    <row r="4995" spans="1:13">
      <c r="A4995" s="54" t="str">
        <f t="shared" si="170"/>
        <v>HRINSUMOSHR</v>
      </c>
      <c r="B4995" t="s">
        <v>2821</v>
      </c>
      <c r="C4995" s="1">
        <f t="shared" si="171"/>
        <v>45996</v>
      </c>
      <c r="D4995" s="242" t="s">
        <v>29</v>
      </c>
      <c r="E4995" s="71" t="s">
        <v>133</v>
      </c>
      <c r="F4995" s="71" t="s">
        <v>29</v>
      </c>
      <c r="J4995" s="76" t="s">
        <v>2367</v>
      </c>
      <c r="L4995" s="434">
        <v>150</v>
      </c>
      <c r="M4995" s="136">
        <f>M4994+K4995-L4995</f>
        <v>-224950.29729666619</v>
      </c>
    </row>
    <row r="4996" spans="1:13">
      <c r="A4996" s="54" t="str">
        <f t="shared" si="170"/>
        <v>HRUBERHR</v>
      </c>
      <c r="B4996" t="s">
        <v>2821</v>
      </c>
      <c r="C4996" s="1">
        <f t="shared" si="171"/>
        <v>45996</v>
      </c>
      <c r="D4996" s="242" t="s">
        <v>29</v>
      </c>
      <c r="E4996" s="71" t="s">
        <v>189</v>
      </c>
      <c r="F4996" s="71" t="s">
        <v>29</v>
      </c>
      <c r="J4996" s="76" t="s">
        <v>2769</v>
      </c>
      <c r="L4996" s="522">
        <v>584</v>
      </c>
      <c r="M4996" s="136">
        <f>M4995+K4996-L4996</f>
        <v>-225534.29729666619</v>
      </c>
    </row>
    <row r="4997" spans="1:13">
      <c r="A4997" s="54" t="str">
        <f t="shared" si="170"/>
        <v/>
      </c>
      <c r="B4997" t="s">
        <v>2821</v>
      </c>
      <c r="C4997" s="1">
        <f t="shared" si="171"/>
        <v>45996</v>
      </c>
      <c r="J4997" s="76" t="s">
        <v>2907</v>
      </c>
      <c r="L4997" s="434">
        <v>216</v>
      </c>
      <c r="M4997" s="136">
        <f>M4996+K4997-L4997</f>
        <v>-225750.29729666619</v>
      </c>
    </row>
    <row r="4998" spans="1:13">
      <c r="A4998" s="54" t="str">
        <f t="shared" si="170"/>
        <v>HRUBERHR</v>
      </c>
      <c r="B4998" t="s">
        <v>2821</v>
      </c>
      <c r="C4998" s="1">
        <f t="shared" si="171"/>
        <v>45996</v>
      </c>
      <c r="D4998" s="242" t="s">
        <v>29</v>
      </c>
      <c r="E4998" s="71" t="s">
        <v>189</v>
      </c>
      <c r="F4998" s="71" t="s">
        <v>29</v>
      </c>
      <c r="J4998" s="76" t="s">
        <v>2435</v>
      </c>
      <c r="L4998" s="522">
        <v>120</v>
      </c>
      <c r="M4998" s="136">
        <f>M4997+K4998-L4998</f>
        <v>-225870.29729666619</v>
      </c>
    </row>
    <row r="4999" spans="1:13">
      <c r="A4999" s="54" t="str">
        <f t="shared" si="170"/>
        <v>CAPUBERCAP</v>
      </c>
      <c r="B4999" t="s">
        <v>2821</v>
      </c>
      <c r="C4999" s="1">
        <f t="shared" si="171"/>
        <v>45996</v>
      </c>
      <c r="D4999" s="242" t="s">
        <v>31</v>
      </c>
      <c r="E4999" s="71" t="s">
        <v>189</v>
      </c>
      <c r="F4999" s="71" t="s">
        <v>31</v>
      </c>
      <c r="J4999" s="76" t="s">
        <v>2344</v>
      </c>
      <c r="L4999" s="522">
        <v>755</v>
      </c>
      <c r="M4999" s="136">
        <f>M4998+K4999-L4999</f>
        <v>-226625.29729666619</v>
      </c>
    </row>
    <row r="5000" spans="1:13">
      <c r="A5000" s="54" t="str">
        <f t="shared" si="170"/>
        <v>CAPJMASE3</v>
      </c>
      <c r="B5000" t="s">
        <v>2821</v>
      </c>
      <c r="C5000" s="1">
        <f t="shared" si="171"/>
        <v>45996</v>
      </c>
      <c r="D5000" s="242" t="s">
        <v>31</v>
      </c>
      <c r="E5000" s="71" t="s">
        <v>137</v>
      </c>
      <c r="F5000" s="71" t="s">
        <v>109</v>
      </c>
      <c r="J5000" s="76" t="s">
        <v>2327</v>
      </c>
      <c r="L5000" s="434">
        <v>401</v>
      </c>
      <c r="M5000" s="136">
        <f>M4999+K5000-L5000</f>
        <v>-227026.29729666619</v>
      </c>
    </row>
    <row r="5001" spans="1:13">
      <c r="A5001" s="54" t="str">
        <f t="shared" si="170"/>
        <v>CAPUBERCAP</v>
      </c>
      <c r="B5001" t="s">
        <v>2821</v>
      </c>
      <c r="C5001" s="1">
        <f t="shared" si="171"/>
        <v>45996</v>
      </c>
      <c r="D5001" s="242" t="s">
        <v>31</v>
      </c>
      <c r="E5001" s="71" t="s">
        <v>189</v>
      </c>
      <c r="F5001" s="71" t="s">
        <v>31</v>
      </c>
      <c r="J5001" s="76" t="s">
        <v>2278</v>
      </c>
      <c r="L5001" s="522">
        <v>120</v>
      </c>
      <c r="M5001" s="136">
        <f>M5000+K5001-L5001</f>
        <v>-227146.29729666619</v>
      </c>
    </row>
    <row r="5002" spans="1:13">
      <c r="A5002" s="54" t="str">
        <f t="shared" si="170"/>
        <v>CAPFONDO Y REPOSICIONCAPRICHOS</v>
      </c>
      <c r="B5002" t="s">
        <v>2821</v>
      </c>
      <c r="C5002" s="1">
        <f t="shared" si="171"/>
        <v>45996</v>
      </c>
      <c r="D5002" s="242" t="s">
        <v>31</v>
      </c>
      <c r="E5002" s="71" t="s">
        <v>120</v>
      </c>
      <c r="F5002" s="71" t="s">
        <v>33</v>
      </c>
      <c r="J5002" s="76" t="s">
        <v>2908</v>
      </c>
      <c r="L5002" s="434">
        <v>200</v>
      </c>
      <c r="M5002" s="136">
        <f>M5001+K5002-L5002</f>
        <v>-227346.29729666619</v>
      </c>
    </row>
    <row r="5003" spans="1:13">
      <c r="A5003" s="54" t="str">
        <f t="shared" si="170"/>
        <v>CAPUBERCAP</v>
      </c>
      <c r="B5003" t="s">
        <v>2821</v>
      </c>
      <c r="C5003" s="1">
        <f t="shared" si="171"/>
        <v>45996</v>
      </c>
      <c r="D5003" s="242" t="s">
        <v>31</v>
      </c>
      <c r="E5003" s="71" t="s">
        <v>189</v>
      </c>
      <c r="F5003" s="71" t="s">
        <v>31</v>
      </c>
      <c r="J5003" s="76" t="s">
        <v>2777</v>
      </c>
      <c r="L5003" s="522">
        <v>60</v>
      </c>
      <c r="M5003" s="136">
        <f>M5002+K5003-L5003</f>
        <v>-227406.29729666619</v>
      </c>
    </row>
    <row r="5004" spans="1:13">
      <c r="A5004" s="54" t="str">
        <f t="shared" si="170"/>
        <v/>
      </c>
      <c r="B5004" t="s">
        <v>2821</v>
      </c>
      <c r="C5004" s="1">
        <v>45999</v>
      </c>
      <c r="J5004" s="71" t="s">
        <v>2045</v>
      </c>
      <c r="K5004" s="325">
        <v>2091637.15</v>
      </c>
      <c r="L5004" s="432"/>
      <c r="M5004" s="136">
        <f>M5003+K5004-L5004</f>
        <v>1864230.8527033338</v>
      </c>
    </row>
    <row r="5005" spans="1:13">
      <c r="A5005" s="54" t="str">
        <f t="shared" si="170"/>
        <v>FINANZASCOMISIONES BANCARIASTPV</v>
      </c>
      <c r="B5005" t="s">
        <v>2821</v>
      </c>
      <c r="C5005" s="1">
        <f t="shared" si="171"/>
        <v>45999</v>
      </c>
      <c r="D5005" s="242" t="s">
        <v>23</v>
      </c>
      <c r="E5005" s="71" t="s">
        <v>48</v>
      </c>
      <c r="F5005" s="71" t="s">
        <v>50</v>
      </c>
      <c r="J5005" s="71" t="s">
        <v>217</v>
      </c>
      <c r="L5005" s="433">
        <f>838.12+2793.96+2382.68+2053.8+24591.28+11464.91+55.68</f>
        <v>44180.43</v>
      </c>
      <c r="M5005" s="136">
        <f>M5004+K5005-L5005</f>
        <v>1820050.4227033339</v>
      </c>
    </row>
    <row r="5006" spans="1:13">
      <c r="A5006" s="54" t="str">
        <f t="shared" si="170"/>
        <v/>
      </c>
      <c r="B5006" t="s">
        <v>2821</v>
      </c>
      <c r="C5006" s="1">
        <f>C5005</f>
        <v>45999</v>
      </c>
      <c r="J5006" s="205" t="s">
        <v>1562</v>
      </c>
      <c r="K5006" s="205"/>
      <c r="L5006" s="428">
        <v>450000</v>
      </c>
      <c r="M5006" s="136">
        <f>M5005+K5006-L5006</f>
        <v>1370050.4227033339</v>
      </c>
    </row>
    <row r="5007" spans="1:13">
      <c r="A5007" s="54" t="str">
        <f t="shared" si="170"/>
        <v/>
      </c>
      <c r="B5007" t="s">
        <v>2821</v>
      </c>
      <c r="C5007" s="1">
        <f>C5006</f>
        <v>45999</v>
      </c>
      <c r="J5007" s="205" t="s">
        <v>222</v>
      </c>
      <c r="K5007" s="205"/>
      <c r="L5007" s="428">
        <v>1000000</v>
      </c>
      <c r="M5007" s="136">
        <f>M5006+K5007-L5007</f>
        <v>370050.4227033339</v>
      </c>
    </row>
    <row r="5008" spans="1:13">
      <c r="A5008" s="54" t="str">
        <f t="shared" si="170"/>
        <v/>
      </c>
      <c r="B5008" t="s">
        <v>2821</v>
      </c>
      <c r="C5008" s="1">
        <f>C5007</f>
        <v>45999</v>
      </c>
      <c r="J5008" s="71" t="s">
        <v>2909</v>
      </c>
      <c r="L5008" s="433">
        <v>300000</v>
      </c>
      <c r="M5008" s="136">
        <f>M5007+K5008-L5008</f>
        <v>70050.422703333898</v>
      </c>
    </row>
    <row r="5009" spans="1:13">
      <c r="A5009" s="54" t="str">
        <f t="shared" si="170"/>
        <v/>
      </c>
      <c r="B5009" t="s">
        <v>2821</v>
      </c>
      <c r="C5009" s="1">
        <f>C5008</f>
        <v>45999</v>
      </c>
      <c r="J5009" s="71" t="s">
        <v>2910</v>
      </c>
      <c r="L5009" s="438">
        <v>168445.32</v>
      </c>
      <c r="M5009" s="136">
        <f>M5008+K5009-L5009</f>
        <v>-98394.897296666109</v>
      </c>
    </row>
    <row r="5010" spans="1:13">
      <c r="A5010" s="54" t="str">
        <f t="shared" si="170"/>
        <v>SERVICIOSCOMBUSTIBLECEDIS</v>
      </c>
      <c r="B5010" t="s">
        <v>2821</v>
      </c>
      <c r="C5010" s="1">
        <f>C5009</f>
        <v>45999</v>
      </c>
      <c r="D5010" s="242" t="s">
        <v>21</v>
      </c>
      <c r="E5010" s="71" t="s">
        <v>32</v>
      </c>
      <c r="F5010" s="71" t="s">
        <v>28</v>
      </c>
      <c r="J5010" s="71" t="s">
        <v>2432</v>
      </c>
      <c r="L5010" s="433">
        <v>2000</v>
      </c>
      <c r="M5010" s="136">
        <f>M5009+K5010-L5010</f>
        <v>-100394.89729666611</v>
      </c>
    </row>
    <row r="5011" spans="1:13">
      <c r="A5011" s="54" t="str">
        <f t="shared" si="170"/>
        <v>FINANZASFONDO Y REPOSICIONFINANZAS</v>
      </c>
      <c r="B5011" t="s">
        <v>2821</v>
      </c>
      <c r="C5011" s="1">
        <f>C5010</f>
        <v>45999</v>
      </c>
      <c r="D5011" s="242" t="s">
        <v>23</v>
      </c>
      <c r="E5011" s="71" t="s">
        <v>120</v>
      </c>
      <c r="F5011" s="71" t="s">
        <v>23</v>
      </c>
      <c r="J5011" s="71" t="s">
        <v>1869</v>
      </c>
      <c r="L5011" s="433">
        <v>300</v>
      </c>
      <c r="M5011" s="136">
        <f>M5010+K5011-L5011</f>
        <v>-100694.89729666611</v>
      </c>
    </row>
    <row r="5012" spans="1:13">
      <c r="A5012" s="54" t="str">
        <f t="shared" si="170"/>
        <v>CAPENERGIA ELECTRICAE1</v>
      </c>
      <c r="B5012" t="s">
        <v>2821</v>
      </c>
      <c r="C5012" s="1">
        <f>C5011</f>
        <v>45999</v>
      </c>
      <c r="D5012" s="242" t="s">
        <v>31</v>
      </c>
      <c r="E5012" s="71" t="s">
        <v>87</v>
      </c>
      <c r="F5012" s="71" t="s">
        <v>107</v>
      </c>
      <c r="J5012" s="71" t="s">
        <v>2911</v>
      </c>
      <c r="L5012" s="433">
        <v>4817</v>
      </c>
      <c r="M5012" s="136">
        <f>M5011+K5012-L5012</f>
        <v>-105511.89729666611</v>
      </c>
    </row>
    <row r="5013" spans="1:13">
      <c r="A5013" s="54" t="str">
        <f t="shared" si="170"/>
        <v>CAPENERGIA ELECTRICAE8</v>
      </c>
      <c r="B5013" t="s">
        <v>2821</v>
      </c>
      <c r="C5013" s="1">
        <f>C5012</f>
        <v>45999</v>
      </c>
      <c r="D5013" s="242" t="s">
        <v>31</v>
      </c>
      <c r="E5013" s="71" t="s">
        <v>87</v>
      </c>
      <c r="F5013" s="71" t="s">
        <v>114</v>
      </c>
      <c r="J5013" s="71" t="s">
        <v>2912</v>
      </c>
      <c r="L5013" s="433">
        <v>21181</v>
      </c>
      <c r="M5013" s="136">
        <f>M5012+K5013-L5013</f>
        <v>-126692.89729666611</v>
      </c>
    </row>
    <row r="5014" spans="1:13">
      <c r="A5014" s="54" t="str">
        <f t="shared" ref="A5014:A5077" si="172">D5014&amp;E5014&amp;F5014</f>
        <v>CAPENERGIA ELECTRICAE9</v>
      </c>
      <c r="B5014" t="s">
        <v>2821</v>
      </c>
      <c r="C5014" s="1">
        <f>C5013</f>
        <v>45999</v>
      </c>
      <c r="D5014" s="242" t="s">
        <v>31</v>
      </c>
      <c r="E5014" s="71" t="s">
        <v>87</v>
      </c>
      <c r="F5014" s="71" t="s">
        <v>116</v>
      </c>
      <c r="J5014" s="71" t="s">
        <v>2913</v>
      </c>
      <c r="L5014" s="433">
        <v>10185</v>
      </c>
      <c r="M5014" s="136">
        <f>M5013+K5014-L5014</f>
        <v>-136877.89729666611</v>
      </c>
    </row>
    <row r="5015" spans="1:13">
      <c r="A5015" s="54" t="str">
        <f t="shared" si="172"/>
        <v>DEGDNCGDNC</v>
      </c>
      <c r="B5015" t="s">
        <v>2821</v>
      </c>
      <c r="C5015" s="1">
        <f>C5014</f>
        <v>45999</v>
      </c>
      <c r="D5015" s="242" t="s">
        <v>41</v>
      </c>
      <c r="E5015" s="71" t="s">
        <v>123</v>
      </c>
      <c r="F5015" s="71" t="s">
        <v>123</v>
      </c>
      <c r="J5015" s="71" t="s">
        <v>2914</v>
      </c>
      <c r="L5015" s="433">
        <v>3950</v>
      </c>
      <c r="M5015" s="136">
        <f>M5014+K5015-L5015</f>
        <v>-140827.89729666611</v>
      </c>
    </row>
    <row r="5016" spans="1:13">
      <c r="A5016" s="54" t="str">
        <f t="shared" si="172"/>
        <v/>
      </c>
      <c r="B5016" t="s">
        <v>2821</v>
      </c>
      <c r="C5016" s="1">
        <f>C5015</f>
        <v>45999</v>
      </c>
      <c r="F5016" s="387"/>
      <c r="J5016" s="71" t="s">
        <v>2915</v>
      </c>
      <c r="L5016" s="433">
        <v>24000</v>
      </c>
      <c r="M5016" s="136">
        <f>M5015+K5016-L5016</f>
        <v>-164827.89729666611</v>
      </c>
    </row>
    <row r="5017" spans="1:13">
      <c r="A5017" s="54" t="str">
        <f t="shared" si="172"/>
        <v>FINANZASFONDO Y REPOSICIONFINANZAS</v>
      </c>
      <c r="B5017" t="s">
        <v>2821</v>
      </c>
      <c r="C5017" s="1">
        <f>C5016</f>
        <v>45999</v>
      </c>
      <c r="D5017" s="242" t="s">
        <v>23</v>
      </c>
      <c r="E5017" s="71" t="s">
        <v>120</v>
      </c>
      <c r="F5017" s="71" t="s">
        <v>23</v>
      </c>
      <c r="J5017" s="71" t="s">
        <v>818</v>
      </c>
      <c r="L5017" s="433">
        <v>50</v>
      </c>
      <c r="M5017" s="136">
        <f>M5016+K5017-L5017</f>
        <v>-164877.89729666611</v>
      </c>
    </row>
    <row r="5018" spans="1:13">
      <c r="A5018" s="54" t="str">
        <f t="shared" si="172"/>
        <v>SERVICIOSVIATICOSASESORES</v>
      </c>
      <c r="B5018" t="s">
        <v>2821</v>
      </c>
      <c r="C5018" s="1">
        <f>C5017</f>
        <v>45999</v>
      </c>
      <c r="D5018" s="242" t="s">
        <v>21</v>
      </c>
      <c r="E5018" s="71" t="s">
        <v>191</v>
      </c>
      <c r="F5018" t="s">
        <v>192</v>
      </c>
      <c r="J5018" s="71" t="s">
        <v>2916</v>
      </c>
      <c r="L5018" s="433">
        <v>1475</v>
      </c>
      <c r="M5018" s="136">
        <f>M5017+K5018-L5018</f>
        <v>-166352.89729666611</v>
      </c>
    </row>
    <row r="5019" spans="1:13">
      <c r="A5019" s="54" t="str">
        <f t="shared" si="172"/>
        <v>CAPVIATICOSCAPRICHOS</v>
      </c>
      <c r="B5019" t="s">
        <v>2821</v>
      </c>
      <c r="C5019" s="1">
        <f>C5018</f>
        <v>45999</v>
      </c>
      <c r="D5019" s="242" t="s">
        <v>31</v>
      </c>
      <c r="E5019" s="71" t="s">
        <v>191</v>
      </c>
      <c r="F5019" s="71" t="s">
        <v>33</v>
      </c>
      <c r="J5019" s="71" t="s">
        <v>2261</v>
      </c>
      <c r="L5019" s="433">
        <v>5000</v>
      </c>
      <c r="M5019" s="136">
        <f>M5018+K5019-L5019</f>
        <v>-171352.89729666611</v>
      </c>
    </row>
    <row r="5020" spans="1:13">
      <c r="A5020" s="54" t="str">
        <f t="shared" si="172"/>
        <v>HRINSUMOSHR</v>
      </c>
      <c r="B5020" t="s">
        <v>2821</v>
      </c>
      <c r="C5020" s="1">
        <f>C5019</f>
        <v>45999</v>
      </c>
      <c r="D5020" s="242" t="s">
        <v>29</v>
      </c>
      <c r="E5020" s="71" t="s">
        <v>133</v>
      </c>
      <c r="F5020" s="71" t="s">
        <v>29</v>
      </c>
      <c r="J5020" s="71" t="s">
        <v>2905</v>
      </c>
      <c r="L5020" s="433">
        <v>340</v>
      </c>
      <c r="M5020" s="136">
        <f>M5019+K5020-L5020</f>
        <v>-171692.89729666611</v>
      </c>
    </row>
    <row r="5021" spans="1:13">
      <c r="A5021" s="54" t="str">
        <f t="shared" si="172"/>
        <v>HRUBERHR</v>
      </c>
      <c r="B5021" t="s">
        <v>2821</v>
      </c>
      <c r="C5021" s="1">
        <f>C5020</f>
        <v>45999</v>
      </c>
      <c r="D5021" s="242" t="s">
        <v>29</v>
      </c>
      <c r="E5021" s="71" t="s">
        <v>189</v>
      </c>
      <c r="F5021" s="71" t="s">
        <v>29</v>
      </c>
      <c r="J5021" s="71" t="s">
        <v>2526</v>
      </c>
      <c r="L5021" s="523">
        <v>488</v>
      </c>
      <c r="M5021" s="136">
        <f>M5020+K5021-L5021</f>
        <v>-172180.89729666611</v>
      </c>
    </row>
    <row r="5022" spans="1:13">
      <c r="A5022" s="54" t="str">
        <f t="shared" si="172"/>
        <v>HRNOMINA SUCURSALA3</v>
      </c>
      <c r="B5022" t="s">
        <v>2821</v>
      </c>
      <c r="C5022" s="1">
        <f>C5021</f>
        <v>45999</v>
      </c>
      <c r="D5022" s="242" t="s">
        <v>29</v>
      </c>
      <c r="E5022" s="71" t="s">
        <v>154</v>
      </c>
      <c r="F5022" s="71" t="s">
        <v>90</v>
      </c>
      <c r="J5022" s="71" t="s">
        <v>2917</v>
      </c>
      <c r="L5022" s="433">
        <v>2302</v>
      </c>
      <c r="M5022" s="136">
        <f>M5021+K5022-L5022</f>
        <v>-174482.89729666611</v>
      </c>
    </row>
    <row r="5023" spans="1:13">
      <c r="A5023" s="54" t="str">
        <f t="shared" si="172"/>
        <v>HRUBERHR</v>
      </c>
      <c r="B5023" t="s">
        <v>2821</v>
      </c>
      <c r="C5023" s="1">
        <f>C5022</f>
        <v>45999</v>
      </c>
      <c r="D5023" s="242" t="s">
        <v>29</v>
      </c>
      <c r="E5023" s="71" t="s">
        <v>189</v>
      </c>
      <c r="F5023" s="71" t="s">
        <v>29</v>
      </c>
      <c r="J5023" s="71" t="s">
        <v>2918</v>
      </c>
      <c r="L5023" s="523">
        <v>100</v>
      </c>
      <c r="M5023" s="136">
        <f>M5022+K5023-L5023</f>
        <v>-174582.89729666611</v>
      </c>
    </row>
    <row r="5024" spans="1:13">
      <c r="A5024" s="54" t="str">
        <f t="shared" si="172"/>
        <v>HRUBERHR</v>
      </c>
      <c r="B5024" t="s">
        <v>2821</v>
      </c>
      <c r="C5024" s="1">
        <f>C5023</f>
        <v>45999</v>
      </c>
      <c r="D5024" s="242" t="s">
        <v>29</v>
      </c>
      <c r="E5024" s="71" t="s">
        <v>189</v>
      </c>
      <c r="F5024" s="71" t="s">
        <v>29</v>
      </c>
      <c r="J5024" s="71" t="s">
        <v>2835</v>
      </c>
      <c r="L5024" s="523">
        <v>53</v>
      </c>
      <c r="M5024" s="136">
        <f>M5023+K5024-L5024</f>
        <v>-174635.89729666611</v>
      </c>
    </row>
    <row r="5025" spans="1:13">
      <c r="A5025" s="54" t="str">
        <f t="shared" si="172"/>
        <v>HRNOMINA SUCURSALA10</v>
      </c>
      <c r="B5025" t="s">
        <v>2821</v>
      </c>
      <c r="C5025" s="1">
        <f>C5024</f>
        <v>45999</v>
      </c>
      <c r="D5025" s="242" t="s">
        <v>29</v>
      </c>
      <c r="E5025" s="71" t="s">
        <v>154</v>
      </c>
      <c r="F5025" s="71" t="s">
        <v>96</v>
      </c>
      <c r="J5025" s="71" t="s">
        <v>2766</v>
      </c>
      <c r="L5025" s="433">
        <v>2126</v>
      </c>
      <c r="M5025" s="136">
        <f>M5024+K5025-L5025</f>
        <v>-176761.89729666611</v>
      </c>
    </row>
    <row r="5026" spans="1:13">
      <c r="A5026" s="54" t="str">
        <f t="shared" si="172"/>
        <v>HRINSUMOSHR</v>
      </c>
      <c r="B5026" t="s">
        <v>2821</v>
      </c>
      <c r="C5026" s="1">
        <f>C5025</f>
        <v>45999</v>
      </c>
      <c r="D5026" s="242" t="s">
        <v>29</v>
      </c>
      <c r="E5026" s="71" t="s">
        <v>133</v>
      </c>
      <c r="F5026" s="71" t="s">
        <v>29</v>
      </c>
      <c r="J5026" s="71" t="s">
        <v>2367</v>
      </c>
      <c r="L5026" s="433">
        <v>1950</v>
      </c>
      <c r="M5026" s="136">
        <f>M5025+K5026-L5026</f>
        <v>-178711.89729666611</v>
      </c>
    </row>
    <row r="5027" spans="1:13">
      <c r="A5027" s="54" t="str">
        <f t="shared" si="172"/>
        <v>HRNOMINA SUCURSALA10</v>
      </c>
      <c r="B5027" t="s">
        <v>2821</v>
      </c>
      <c r="C5027" s="1">
        <f>C5026</f>
        <v>45999</v>
      </c>
      <c r="D5027" s="242" t="s">
        <v>29</v>
      </c>
      <c r="E5027" s="71" t="s">
        <v>154</v>
      </c>
      <c r="F5027" s="71" t="s">
        <v>96</v>
      </c>
      <c r="J5027" s="71" t="s">
        <v>2766</v>
      </c>
      <c r="L5027" s="433">
        <v>287.89999999999998</v>
      </c>
      <c r="M5027" s="136">
        <f>M5026+K5027-L5027</f>
        <v>-178999.7972966661</v>
      </c>
    </row>
    <row r="5028" spans="1:13">
      <c r="A5028" s="54" t="str">
        <f t="shared" si="172"/>
        <v>HRUBERHR</v>
      </c>
      <c r="B5028" t="s">
        <v>2821</v>
      </c>
      <c r="C5028" s="1">
        <f>C5027</f>
        <v>45999</v>
      </c>
      <c r="D5028" s="242" t="s">
        <v>29</v>
      </c>
      <c r="E5028" s="71" t="s">
        <v>189</v>
      </c>
      <c r="F5028" s="71" t="s">
        <v>29</v>
      </c>
      <c r="J5028" s="71" t="s">
        <v>2919</v>
      </c>
      <c r="L5028" s="523">
        <v>1020</v>
      </c>
      <c r="M5028" s="136">
        <f>M5027+K5028-L5028</f>
        <v>-180019.7972966661</v>
      </c>
    </row>
    <row r="5029" spans="1:13">
      <c r="A5029" s="54" t="str">
        <f t="shared" si="172"/>
        <v>HRUBERHR</v>
      </c>
      <c r="B5029" t="s">
        <v>2821</v>
      </c>
      <c r="C5029" s="1">
        <f>C5028</f>
        <v>45999</v>
      </c>
      <c r="D5029" s="242" t="s">
        <v>29</v>
      </c>
      <c r="E5029" s="71" t="s">
        <v>189</v>
      </c>
      <c r="F5029" s="71" t="s">
        <v>29</v>
      </c>
      <c r="J5029" s="71" t="s">
        <v>2767</v>
      </c>
      <c r="L5029" s="523">
        <v>250</v>
      </c>
      <c r="M5029" s="136">
        <f>M5028+K5029-L5029</f>
        <v>-180269.7972966661</v>
      </c>
    </row>
    <row r="5030" spans="1:13">
      <c r="A5030" s="54" t="str">
        <f t="shared" si="172"/>
        <v>HRNOMINA SUCURSALA12</v>
      </c>
      <c r="B5030" t="s">
        <v>2821</v>
      </c>
      <c r="C5030" s="1">
        <f>C5029</f>
        <v>45999</v>
      </c>
      <c r="D5030" s="242" t="s">
        <v>29</v>
      </c>
      <c r="E5030" s="71" t="s">
        <v>154</v>
      </c>
      <c r="F5030" s="71" t="s">
        <v>98</v>
      </c>
      <c r="J5030" s="71" t="s">
        <v>2837</v>
      </c>
      <c r="L5030" s="433">
        <v>2005</v>
      </c>
      <c r="M5030" s="136">
        <f>M5029+K5030-L5030</f>
        <v>-182274.7972966661</v>
      </c>
    </row>
    <row r="5031" spans="1:13">
      <c r="A5031" s="54" t="str">
        <f t="shared" si="172"/>
        <v>HRNOMINA SUCURSALA12</v>
      </c>
      <c r="B5031" t="s">
        <v>2821</v>
      </c>
      <c r="C5031" s="1">
        <f>C5030</f>
        <v>45999</v>
      </c>
      <c r="D5031" s="242" t="s">
        <v>29</v>
      </c>
      <c r="E5031" s="71" t="s">
        <v>154</v>
      </c>
      <c r="F5031" s="71" t="s">
        <v>98</v>
      </c>
      <c r="J5031" s="71" t="s">
        <v>2837</v>
      </c>
      <c r="L5031" s="433">
        <v>2900</v>
      </c>
      <c r="M5031" s="136">
        <f>M5030+K5031-L5031</f>
        <v>-185174.7972966661</v>
      </c>
    </row>
    <row r="5032" spans="1:13">
      <c r="A5032" s="54" t="str">
        <f t="shared" si="172"/>
        <v>HRUBERHR</v>
      </c>
      <c r="B5032" t="s">
        <v>2821</v>
      </c>
      <c r="C5032" s="1">
        <f>C5031</f>
        <v>45999</v>
      </c>
      <c r="D5032" s="242" t="s">
        <v>29</v>
      </c>
      <c r="E5032" s="71" t="s">
        <v>189</v>
      </c>
      <c r="F5032" s="71" t="s">
        <v>29</v>
      </c>
      <c r="J5032" s="71" t="s">
        <v>2562</v>
      </c>
      <c r="L5032" s="523">
        <v>2350</v>
      </c>
      <c r="M5032" s="136">
        <f>M5031+K5032-L5032</f>
        <v>-187524.7972966661</v>
      </c>
    </row>
    <row r="5033" spans="1:13">
      <c r="A5033" s="54" t="str">
        <f t="shared" si="172"/>
        <v>HRUBERHR</v>
      </c>
      <c r="B5033" t="s">
        <v>2821</v>
      </c>
      <c r="C5033" s="1">
        <f>C5032</f>
        <v>45999</v>
      </c>
      <c r="D5033" s="242" t="s">
        <v>29</v>
      </c>
      <c r="E5033" s="71" t="s">
        <v>189</v>
      </c>
      <c r="F5033" s="71" t="s">
        <v>29</v>
      </c>
      <c r="J5033" s="71" t="s">
        <v>2318</v>
      </c>
      <c r="L5033" s="523">
        <v>224</v>
      </c>
      <c r="M5033" s="136">
        <f>M5032+K5033-L5033</f>
        <v>-187748.7972966661</v>
      </c>
    </row>
    <row r="5034" spans="1:13">
      <c r="A5034" s="54" t="str">
        <f t="shared" si="172"/>
        <v>HRINSUMOSHR</v>
      </c>
      <c r="B5034" t="s">
        <v>2821</v>
      </c>
      <c r="C5034" s="1">
        <f>C5033</f>
        <v>45999</v>
      </c>
      <c r="D5034" s="242" t="s">
        <v>29</v>
      </c>
      <c r="E5034" s="71" t="s">
        <v>133</v>
      </c>
      <c r="F5034" s="71" t="s">
        <v>29</v>
      </c>
      <c r="J5034" s="71" t="s">
        <v>2920</v>
      </c>
      <c r="L5034" s="433">
        <v>162</v>
      </c>
      <c r="M5034" s="136">
        <f>M5033+K5034-L5034</f>
        <v>-187910.7972966661</v>
      </c>
    </row>
    <row r="5035" spans="1:13">
      <c r="A5035" s="54" t="str">
        <f t="shared" si="172"/>
        <v>HRUBERHR</v>
      </c>
      <c r="B5035" t="s">
        <v>2821</v>
      </c>
      <c r="C5035" s="1">
        <f>C5034</f>
        <v>45999</v>
      </c>
      <c r="D5035" s="242" t="s">
        <v>29</v>
      </c>
      <c r="E5035" s="71" t="s">
        <v>189</v>
      </c>
      <c r="F5035" s="71" t="s">
        <v>29</v>
      </c>
      <c r="J5035" s="71" t="s">
        <v>2718</v>
      </c>
      <c r="L5035" s="523">
        <v>1650</v>
      </c>
      <c r="M5035" s="136">
        <f>M5034+K5035-L5035</f>
        <v>-189560.7972966661</v>
      </c>
    </row>
    <row r="5036" spans="1:13">
      <c r="A5036" s="54" t="str">
        <f t="shared" si="172"/>
        <v>HRUBERHR</v>
      </c>
      <c r="B5036" t="s">
        <v>2821</v>
      </c>
      <c r="C5036" s="1">
        <f>C5035</f>
        <v>45999</v>
      </c>
      <c r="D5036" s="242" t="s">
        <v>29</v>
      </c>
      <c r="E5036" s="71" t="s">
        <v>189</v>
      </c>
      <c r="F5036" s="71" t="s">
        <v>29</v>
      </c>
      <c r="J5036" s="71" t="s">
        <v>2774</v>
      </c>
      <c r="L5036" s="523">
        <v>743</v>
      </c>
      <c r="M5036" s="136">
        <f>M5035+K5036-L5036</f>
        <v>-190303.7972966661</v>
      </c>
    </row>
    <row r="5037" spans="1:13">
      <c r="A5037" s="54" t="str">
        <f t="shared" si="172"/>
        <v>HRNOMINA SUCURSALA24</v>
      </c>
      <c r="B5037" t="s">
        <v>2821</v>
      </c>
      <c r="C5037" s="1">
        <f>C5036</f>
        <v>45999</v>
      </c>
      <c r="D5037" s="242" t="s">
        <v>29</v>
      </c>
      <c r="E5037" s="71" t="s">
        <v>154</v>
      </c>
      <c r="F5037" s="71" t="s">
        <v>106</v>
      </c>
      <c r="J5037" s="71" t="s">
        <v>2921</v>
      </c>
      <c r="L5037" s="433">
        <v>1145</v>
      </c>
      <c r="M5037" s="136">
        <f>M5036+K5037-L5037</f>
        <v>-191448.7972966661</v>
      </c>
    </row>
    <row r="5038" spans="1:13">
      <c r="A5038" s="54" t="str">
        <f t="shared" si="172"/>
        <v>CAPUBERCAP</v>
      </c>
      <c r="B5038" t="s">
        <v>2821</v>
      </c>
      <c r="C5038" s="1">
        <f>C5037</f>
        <v>45999</v>
      </c>
      <c r="D5038" s="242" t="s">
        <v>31</v>
      </c>
      <c r="E5038" s="71" t="s">
        <v>189</v>
      </c>
      <c r="F5038" s="71" t="s">
        <v>31</v>
      </c>
      <c r="J5038" s="71" t="s">
        <v>2922</v>
      </c>
      <c r="L5038" s="523">
        <v>450</v>
      </c>
      <c r="M5038" s="136">
        <f>M5037+K5038-L5038</f>
        <v>-191898.7972966661</v>
      </c>
    </row>
    <row r="5039" spans="1:13">
      <c r="A5039" s="54" t="str">
        <f t="shared" si="172"/>
        <v>CAPNOMINA SUCURSALE1</v>
      </c>
      <c r="B5039" t="s">
        <v>2821</v>
      </c>
      <c r="C5039" s="1">
        <f>C5038</f>
        <v>45999</v>
      </c>
      <c r="D5039" s="242" t="s">
        <v>31</v>
      </c>
      <c r="E5039" s="71" t="s">
        <v>154</v>
      </c>
      <c r="F5039" s="71" t="s">
        <v>107</v>
      </c>
      <c r="J5039" s="71" t="s">
        <v>2923</v>
      </c>
      <c r="L5039" s="433">
        <v>1625</v>
      </c>
      <c r="M5039" s="136">
        <f>M5038+K5039-L5039</f>
        <v>-193523.7972966661</v>
      </c>
    </row>
    <row r="5040" spans="1:13">
      <c r="A5040" s="54" t="str">
        <f t="shared" si="172"/>
        <v>CAPUBERCAP</v>
      </c>
      <c r="B5040" t="s">
        <v>2821</v>
      </c>
      <c r="C5040" s="1">
        <f>C5039</f>
        <v>45999</v>
      </c>
      <c r="D5040" s="242" t="s">
        <v>31</v>
      </c>
      <c r="E5040" s="71" t="s">
        <v>189</v>
      </c>
      <c r="F5040" s="71" t="s">
        <v>31</v>
      </c>
      <c r="J5040" s="71" t="s">
        <v>2267</v>
      </c>
      <c r="L5040" s="523">
        <v>2139</v>
      </c>
      <c r="M5040" s="136">
        <f>M5039+K5040-L5040</f>
        <v>-195662.7972966661</v>
      </c>
    </row>
    <row r="5041" spans="1:13">
      <c r="A5041" s="54" t="str">
        <f t="shared" si="172"/>
        <v>CAPINSUMOSCAPRICHOS</v>
      </c>
      <c r="B5041" t="s">
        <v>2821</v>
      </c>
      <c r="C5041" s="1">
        <f>C5040</f>
        <v>45999</v>
      </c>
      <c r="D5041" s="242" t="s">
        <v>31</v>
      </c>
      <c r="E5041" s="71" t="s">
        <v>133</v>
      </c>
      <c r="F5041" s="71" t="s">
        <v>33</v>
      </c>
      <c r="J5041" s="71" t="s">
        <v>2924</v>
      </c>
      <c r="L5041" s="433">
        <v>150</v>
      </c>
      <c r="M5041" s="136">
        <f>M5040+K5041-L5041</f>
        <v>-195812.7972966661</v>
      </c>
    </row>
    <row r="5042" spans="1:13">
      <c r="A5042" s="54" t="str">
        <f t="shared" si="172"/>
        <v>CAPUBERCAP</v>
      </c>
      <c r="B5042" t="s">
        <v>2821</v>
      </c>
      <c r="C5042" s="1">
        <f>C5041</f>
        <v>45999</v>
      </c>
      <c r="D5042" s="242" t="s">
        <v>31</v>
      </c>
      <c r="E5042" s="71" t="s">
        <v>189</v>
      </c>
      <c r="F5042" s="71" t="s">
        <v>31</v>
      </c>
      <c r="J5042" s="71" t="s">
        <v>2537</v>
      </c>
      <c r="L5042" s="523">
        <v>500</v>
      </c>
      <c r="M5042" s="136">
        <f>M5041+K5042-L5042</f>
        <v>-196312.7972966661</v>
      </c>
    </row>
    <row r="5043" spans="1:13">
      <c r="A5043" s="54" t="str">
        <f t="shared" si="172"/>
        <v>CAPNOMINA SUCURSALE3</v>
      </c>
      <c r="B5043" t="s">
        <v>2821</v>
      </c>
      <c r="C5043" s="1">
        <f>C5042</f>
        <v>45999</v>
      </c>
      <c r="D5043" s="242" t="s">
        <v>31</v>
      </c>
      <c r="E5043" s="71" t="s">
        <v>154</v>
      </c>
      <c r="F5043" s="71" t="s">
        <v>109</v>
      </c>
      <c r="J5043" s="71" t="s">
        <v>2925</v>
      </c>
      <c r="L5043" s="208">
        <v>1400</v>
      </c>
      <c r="M5043" s="136">
        <f>M5042+K5043-L5043</f>
        <v>-197712.7972966661</v>
      </c>
    </row>
    <row r="5044" spans="1:13">
      <c r="A5044" s="54" t="str">
        <f t="shared" si="172"/>
        <v>CAPUBERCAP</v>
      </c>
      <c r="B5044" t="s">
        <v>2821</v>
      </c>
      <c r="C5044" s="1">
        <f>C5043</f>
        <v>45999</v>
      </c>
      <c r="D5044" s="242" t="s">
        <v>31</v>
      </c>
      <c r="E5044" s="71" t="s">
        <v>189</v>
      </c>
      <c r="F5044" s="71" t="s">
        <v>31</v>
      </c>
      <c r="J5044" s="71" t="s">
        <v>2268</v>
      </c>
      <c r="L5044" s="523">
        <v>630</v>
      </c>
      <c r="M5044" s="136">
        <f>M5043+K5044-L5044</f>
        <v>-198342.7972966661</v>
      </c>
    </row>
    <row r="5045" spans="1:13">
      <c r="A5045" s="54" t="str">
        <f t="shared" si="172"/>
        <v>CAPNOMINA SUCURSALE4</v>
      </c>
      <c r="B5045" t="s">
        <v>2821</v>
      </c>
      <c r="C5045" s="1">
        <f>C5044</f>
        <v>45999</v>
      </c>
      <c r="D5045" s="242" t="s">
        <v>31</v>
      </c>
      <c r="E5045" s="71" t="s">
        <v>154</v>
      </c>
      <c r="F5045" s="71" t="s">
        <v>110</v>
      </c>
      <c r="J5045" s="71" t="s">
        <v>2796</v>
      </c>
      <c r="L5045" s="433">
        <v>4145</v>
      </c>
      <c r="M5045" s="136">
        <f>M5044+K5045-L5045</f>
        <v>-202487.7972966661</v>
      </c>
    </row>
    <row r="5046" spans="1:13">
      <c r="A5046" s="54" t="str">
        <f t="shared" si="172"/>
        <v>CAPINSUMOSCAPRICHOS</v>
      </c>
      <c r="B5046" t="s">
        <v>2821</v>
      </c>
      <c r="C5046" s="1">
        <f>C5045</f>
        <v>45999</v>
      </c>
      <c r="D5046" s="242" t="s">
        <v>31</v>
      </c>
      <c r="E5046" s="71" t="s">
        <v>133</v>
      </c>
      <c r="F5046" s="71" t="s">
        <v>33</v>
      </c>
      <c r="J5046" s="71" t="s">
        <v>2926</v>
      </c>
      <c r="L5046" s="433">
        <v>198</v>
      </c>
      <c r="M5046" s="136">
        <f>M5045+K5046-L5046</f>
        <v>-202685.7972966661</v>
      </c>
    </row>
    <row r="5047" spans="1:13">
      <c r="A5047" s="54" t="str">
        <f t="shared" si="172"/>
        <v>CAPFONDO Y REPOSICIONCAPRICHOS</v>
      </c>
      <c r="B5047" t="s">
        <v>2821</v>
      </c>
      <c r="C5047" s="1">
        <f>C5046</f>
        <v>45999</v>
      </c>
      <c r="D5047" s="242" t="s">
        <v>31</v>
      </c>
      <c r="E5047" s="71" t="s">
        <v>120</v>
      </c>
      <c r="F5047" s="71" t="s">
        <v>33</v>
      </c>
      <c r="J5047" s="71" t="s">
        <v>2778</v>
      </c>
      <c r="L5047" s="433">
        <v>100</v>
      </c>
      <c r="M5047" s="136">
        <f>M5046+K5047-L5047</f>
        <v>-202785.7972966661</v>
      </c>
    </row>
    <row r="5048" spans="1:13">
      <c r="A5048" s="54" t="str">
        <f t="shared" si="172"/>
        <v>CAPNOMINA SUCURSALE5</v>
      </c>
      <c r="B5048" t="s">
        <v>2821</v>
      </c>
      <c r="C5048" s="1">
        <f>C5047</f>
        <v>45999</v>
      </c>
      <c r="D5048" s="242" t="s">
        <v>31</v>
      </c>
      <c r="E5048" s="71" t="s">
        <v>154</v>
      </c>
      <c r="F5048" s="71" t="s">
        <v>111</v>
      </c>
      <c r="J5048" s="71" t="s">
        <v>2927</v>
      </c>
      <c r="L5048" s="433">
        <v>1670</v>
      </c>
      <c r="M5048" s="136">
        <f>M5047+K5048-L5048</f>
        <v>-204455.7972966661</v>
      </c>
    </row>
    <row r="5049" spans="1:13">
      <c r="A5049" s="54" t="str">
        <f t="shared" si="172"/>
        <v>CAPUBERCAP</v>
      </c>
      <c r="B5049" t="s">
        <v>2821</v>
      </c>
      <c r="C5049" s="1">
        <f>C5048</f>
        <v>45999</v>
      </c>
      <c r="D5049" s="242" t="s">
        <v>31</v>
      </c>
      <c r="E5049" s="71" t="s">
        <v>189</v>
      </c>
      <c r="F5049" s="71" t="s">
        <v>31</v>
      </c>
      <c r="J5049" s="71" t="s">
        <v>2842</v>
      </c>
      <c r="L5049" s="523">
        <v>163</v>
      </c>
      <c r="M5049" s="136">
        <f>M5048+K5049-L5049</f>
        <v>-204618.7972966661</v>
      </c>
    </row>
    <row r="5050" spans="1:13">
      <c r="A5050" s="54" t="str">
        <f t="shared" si="172"/>
        <v>CAPNOMINA SUCURSALE6</v>
      </c>
      <c r="B5050" t="s">
        <v>2821</v>
      </c>
      <c r="C5050" s="1">
        <f>C5049</f>
        <v>45999</v>
      </c>
      <c r="D5050" s="242" t="s">
        <v>31</v>
      </c>
      <c r="E5050" s="71" t="s">
        <v>154</v>
      </c>
      <c r="F5050" s="71" t="s">
        <v>112</v>
      </c>
      <c r="J5050" s="71" t="s">
        <v>2928</v>
      </c>
      <c r="L5050" s="433">
        <v>1088</v>
      </c>
      <c r="M5050" s="136">
        <f>M5049+K5050-L5050</f>
        <v>-205706.7972966661</v>
      </c>
    </row>
    <row r="5051" spans="1:13">
      <c r="A5051" s="54" t="str">
        <f t="shared" si="172"/>
        <v>ELIVIATICOSL1</v>
      </c>
      <c r="B5051" t="s">
        <v>2821</v>
      </c>
      <c r="C5051" s="1">
        <f>C5050</f>
        <v>45999</v>
      </c>
      <c r="D5051" s="242" t="s">
        <v>130</v>
      </c>
      <c r="E5051" s="71" t="s">
        <v>191</v>
      </c>
      <c r="F5051" s="71" t="s">
        <v>136</v>
      </c>
      <c r="J5051" s="71" t="s">
        <v>2929</v>
      </c>
      <c r="L5051" s="433">
        <v>1000</v>
      </c>
      <c r="M5051" s="136">
        <f>M5050+K5051-L5051</f>
        <v>-206706.7972966661</v>
      </c>
    </row>
    <row r="5052" spans="1:13">
      <c r="A5052" s="54" t="str">
        <f t="shared" si="172"/>
        <v>ELIUBERL1</v>
      </c>
      <c r="B5052" t="s">
        <v>2821</v>
      </c>
      <c r="C5052" s="1">
        <f>C5051</f>
        <v>45999</v>
      </c>
      <c r="D5052" s="242" t="s">
        <v>130</v>
      </c>
      <c r="E5052" s="71" t="s">
        <v>189</v>
      </c>
      <c r="F5052" s="71" t="s">
        <v>136</v>
      </c>
      <c r="G5052" s="71" t="s">
        <v>258</v>
      </c>
      <c r="J5052" s="71" t="s">
        <v>2930</v>
      </c>
      <c r="L5052" s="523">
        <v>500</v>
      </c>
      <c r="M5052" s="136">
        <f>M5051+K5052-L5052</f>
        <v>-207206.7972966661</v>
      </c>
    </row>
    <row r="5053" spans="1:13">
      <c r="A5053" s="54" t="str">
        <f t="shared" si="172"/>
        <v/>
      </c>
      <c r="B5053" t="s">
        <v>2821</v>
      </c>
      <c r="C5053" s="1">
        <v>46000</v>
      </c>
      <c r="J5053" s="71" t="s">
        <v>2045</v>
      </c>
      <c r="K5053" s="325">
        <v>462514.62</v>
      </c>
      <c r="L5053" s="432"/>
      <c r="M5053" s="136">
        <f>M5052+K5053-L5053</f>
        <v>255307.82270333389</v>
      </c>
    </row>
    <row r="5054" spans="1:13">
      <c r="A5054" s="54" t="str">
        <f t="shared" si="172"/>
        <v/>
      </c>
      <c r="B5054" t="s">
        <v>2821</v>
      </c>
      <c r="C5054" s="1">
        <f t="shared" ref="C5054:C5097" si="173">C5053</f>
        <v>46000</v>
      </c>
      <c r="J5054" s="71" t="s">
        <v>1287</v>
      </c>
      <c r="K5054" s="325">
        <v>1100</v>
      </c>
      <c r="M5054" s="136">
        <f>M5053+K5054-L5054</f>
        <v>256407.82270333389</v>
      </c>
    </row>
    <row r="5055" spans="1:13">
      <c r="A5055" s="54" t="str">
        <f t="shared" si="172"/>
        <v>FINANZASCOMISIONES BANCARIASTPV</v>
      </c>
      <c r="B5055" t="s">
        <v>2821</v>
      </c>
      <c r="C5055" s="1">
        <f t="shared" si="173"/>
        <v>46000</v>
      </c>
      <c r="D5055" s="242" t="s">
        <v>23</v>
      </c>
      <c r="E5055" s="71" t="s">
        <v>48</v>
      </c>
      <c r="F5055" s="71" t="s">
        <v>50</v>
      </c>
      <c r="J5055" s="71" t="s">
        <v>217</v>
      </c>
      <c r="L5055" s="433">
        <f>500.83+1435.64+816.48+6749.51+1922.91+155.47+17.4+10.44</f>
        <v>11608.679999999998</v>
      </c>
      <c r="M5055" s="136">
        <f>M5054+K5055-L5055</f>
        <v>244799.1427033339</v>
      </c>
    </row>
    <row r="5056" spans="1:13">
      <c r="A5056" s="54" t="str">
        <f t="shared" si="172"/>
        <v/>
      </c>
      <c r="B5056" t="s">
        <v>2821</v>
      </c>
      <c r="C5056" s="1">
        <f t="shared" si="173"/>
        <v>46000</v>
      </c>
      <c r="J5056" s="205" t="s">
        <v>1562</v>
      </c>
      <c r="K5056" s="205"/>
      <c r="L5056" s="428">
        <v>50000</v>
      </c>
      <c r="M5056" s="136">
        <f>M5055+K5056-L5056</f>
        <v>194799.1427033339</v>
      </c>
    </row>
    <row r="5057" spans="1:13">
      <c r="A5057" s="54" t="str">
        <f t="shared" si="172"/>
        <v/>
      </c>
      <c r="B5057" t="s">
        <v>2821</v>
      </c>
      <c r="C5057" s="1">
        <f t="shared" si="173"/>
        <v>46000</v>
      </c>
      <c r="J5057" s="205" t="s">
        <v>318</v>
      </c>
      <c r="K5057" s="205"/>
      <c r="L5057" s="428">
        <v>250000</v>
      </c>
      <c r="M5057" s="136">
        <f>M5056+K5057-L5057</f>
        <v>-55200.857296666101</v>
      </c>
    </row>
    <row r="5058" spans="1:13">
      <c r="A5058" s="54" t="str">
        <f t="shared" si="172"/>
        <v>FINANZASCUOTAS Y SUSCRIPCIONESTRAMITES</v>
      </c>
      <c r="B5058" t="s">
        <v>2821</v>
      </c>
      <c r="C5058" s="1">
        <f t="shared" si="173"/>
        <v>46000</v>
      </c>
      <c r="D5058" s="242" t="s">
        <v>23</v>
      </c>
      <c r="E5058" s="71" t="s">
        <v>51</v>
      </c>
      <c r="F5058" s="71" t="s">
        <v>81</v>
      </c>
      <c r="J5058" s="71" t="s">
        <v>2931</v>
      </c>
      <c r="L5058" s="433">
        <v>9443</v>
      </c>
      <c r="M5058" s="136">
        <f>M5057+K5058-L5058</f>
        <v>-64643.857296666101</v>
      </c>
    </row>
    <row r="5059" spans="1:13">
      <c r="A5059" s="54" t="str">
        <f t="shared" si="172"/>
        <v>HRFONDO Y REPOSICIONHR</v>
      </c>
      <c r="B5059" t="s">
        <v>2821</v>
      </c>
      <c r="C5059" s="1">
        <f t="shared" si="173"/>
        <v>46000</v>
      </c>
      <c r="D5059" s="242" t="s">
        <v>29</v>
      </c>
      <c r="E5059" s="71" t="s">
        <v>120</v>
      </c>
      <c r="F5059" s="71" t="s">
        <v>29</v>
      </c>
      <c r="J5059" s="71" t="s">
        <v>2932</v>
      </c>
      <c r="L5059" s="433">
        <v>5000</v>
      </c>
      <c r="M5059" s="136">
        <f>M5058+K5059-L5059</f>
        <v>-69643.857296666101</v>
      </c>
    </row>
    <row r="5060" spans="1:13">
      <c r="A5060" s="54" t="str">
        <f t="shared" si="172"/>
        <v>HRFONDO Y REPOSICIONHR</v>
      </c>
      <c r="B5060" t="s">
        <v>2821</v>
      </c>
      <c r="C5060" s="1">
        <f t="shared" si="173"/>
        <v>46000</v>
      </c>
      <c r="D5060" s="242" t="s">
        <v>29</v>
      </c>
      <c r="E5060" s="71" t="s">
        <v>120</v>
      </c>
      <c r="F5060" s="71" t="s">
        <v>29</v>
      </c>
      <c r="J5060" s="71" t="s">
        <v>266</v>
      </c>
      <c r="L5060" s="433">
        <v>3124</v>
      </c>
      <c r="M5060" s="136">
        <f>M5059+K5060-L5060</f>
        <v>-72767.857296666101</v>
      </c>
    </row>
    <row r="5061" spans="1:13">
      <c r="A5061" s="54" t="str">
        <f t="shared" si="172"/>
        <v>HRFONDO Y REPOSICIONHR</v>
      </c>
      <c r="B5061" t="s">
        <v>2821</v>
      </c>
      <c r="C5061" s="1">
        <f t="shared" si="173"/>
        <v>46000</v>
      </c>
      <c r="D5061" s="242" t="s">
        <v>29</v>
      </c>
      <c r="E5061" s="71" t="s">
        <v>120</v>
      </c>
      <c r="F5061" s="71" t="s">
        <v>29</v>
      </c>
      <c r="J5061" s="71" t="s">
        <v>2849</v>
      </c>
      <c r="L5061" s="433">
        <v>2500</v>
      </c>
      <c r="M5061" s="136">
        <f>M5060+K5061-L5061</f>
        <v>-75267.857296666101</v>
      </c>
    </row>
    <row r="5062" spans="1:13">
      <c r="A5062" s="54" t="str">
        <f t="shared" si="172"/>
        <v>CAPFONDO Y REPOSICIONCAPRICHOS</v>
      </c>
      <c r="B5062" t="s">
        <v>2821</v>
      </c>
      <c r="C5062" s="1">
        <f t="shared" si="173"/>
        <v>46000</v>
      </c>
      <c r="D5062" s="242" t="s">
        <v>31</v>
      </c>
      <c r="E5062" s="71" t="s">
        <v>120</v>
      </c>
      <c r="F5062" s="71" t="s">
        <v>33</v>
      </c>
      <c r="J5062" s="71" t="s">
        <v>1185</v>
      </c>
      <c r="L5062" s="433">
        <v>2773</v>
      </c>
      <c r="M5062" s="136">
        <f>M5061+K5062-L5062</f>
        <v>-78040.857296666101</v>
      </c>
    </row>
    <row r="5063" spans="1:13">
      <c r="A5063" s="54" t="str">
        <f t="shared" si="172"/>
        <v>CAPFONDO Y REPOSICIONCAPRICHOS</v>
      </c>
      <c r="B5063" t="s">
        <v>2821</v>
      </c>
      <c r="C5063" s="1">
        <f t="shared" si="173"/>
        <v>46000</v>
      </c>
      <c r="D5063" s="242" t="s">
        <v>31</v>
      </c>
      <c r="E5063" s="71" t="s">
        <v>120</v>
      </c>
      <c r="F5063" s="71" t="s">
        <v>33</v>
      </c>
      <c r="J5063" s="71" t="s">
        <v>2933</v>
      </c>
      <c r="L5063" s="433">
        <v>2205</v>
      </c>
      <c r="M5063" s="136">
        <f>M5062+K5063-L5063</f>
        <v>-80245.857296666101</v>
      </c>
    </row>
    <row r="5064" spans="1:13">
      <c r="A5064" s="54" t="str">
        <f t="shared" si="172"/>
        <v>HRINSUMOSHR</v>
      </c>
      <c r="B5064" t="s">
        <v>2821</v>
      </c>
      <c r="C5064" s="1">
        <f t="shared" si="173"/>
        <v>46000</v>
      </c>
      <c r="D5064" s="242" t="s">
        <v>29</v>
      </c>
      <c r="E5064" s="71" t="s">
        <v>133</v>
      </c>
      <c r="F5064" s="71" t="s">
        <v>29</v>
      </c>
      <c r="J5064" s="71" t="s">
        <v>2934</v>
      </c>
      <c r="L5064" s="208">
        <v>2700</v>
      </c>
      <c r="M5064" s="136">
        <f>M5063+K5064-L5064</f>
        <v>-82945.857296666101</v>
      </c>
    </row>
    <row r="5065" spans="1:13">
      <c r="A5065" s="54" t="str">
        <f t="shared" si="172"/>
        <v>SERVICIOSMTTO DE EDIFICIOMANTENIMIENTO</v>
      </c>
      <c r="B5065" t="s">
        <v>2821</v>
      </c>
      <c r="C5065" s="1">
        <f t="shared" si="173"/>
        <v>46000</v>
      </c>
      <c r="D5065" s="242" t="s">
        <v>21</v>
      </c>
      <c r="E5065" s="71" t="s">
        <v>142</v>
      </c>
      <c r="F5065" s="71" t="s">
        <v>35</v>
      </c>
      <c r="J5065" s="71" t="s">
        <v>2935</v>
      </c>
      <c r="L5065" s="433">
        <v>3100</v>
      </c>
      <c r="M5065" s="136">
        <f>M5064+K5065-L5065</f>
        <v>-86045.857296666101</v>
      </c>
    </row>
    <row r="5066" spans="1:13">
      <c r="A5066" s="54" t="str">
        <f t="shared" si="172"/>
        <v>FINANZASHONORARIOSFINANZAS</v>
      </c>
      <c r="B5066" s="89" t="s">
        <v>2821</v>
      </c>
      <c r="C5066" s="235">
        <f t="shared" si="173"/>
        <v>46000</v>
      </c>
      <c r="D5066" s="242" t="s">
        <v>23</v>
      </c>
      <c r="E5066" s="387" t="s">
        <v>124</v>
      </c>
      <c r="F5066" s="387" t="s">
        <v>23</v>
      </c>
      <c r="G5066" s="387" t="s">
        <v>258</v>
      </c>
      <c r="H5066" s="400"/>
      <c r="J5066" s="387" t="s">
        <v>2936</v>
      </c>
      <c r="L5066" s="433">
        <v>6400</v>
      </c>
      <c r="M5066" s="136">
        <f>M5065+K5066-L5066</f>
        <v>-92445.857296666101</v>
      </c>
    </row>
    <row r="5067" spans="1:13">
      <c r="A5067" s="54" t="str">
        <f t="shared" si="172"/>
        <v>SERVICIOSMTTO DE EDIFICIOMANTENIMIENTO</v>
      </c>
      <c r="B5067" t="s">
        <v>2821</v>
      </c>
      <c r="C5067" s="1">
        <f t="shared" si="173"/>
        <v>46000</v>
      </c>
      <c r="D5067" s="242" t="s">
        <v>21</v>
      </c>
      <c r="E5067" s="71" t="s">
        <v>142</v>
      </c>
      <c r="F5067" s="71" t="s">
        <v>35</v>
      </c>
      <c r="J5067" s="71" t="s">
        <v>2937</v>
      </c>
      <c r="L5067" s="433">
        <v>950</v>
      </c>
      <c r="M5067" s="136">
        <f>M5066+K5067-L5067</f>
        <v>-93395.857296666101</v>
      </c>
    </row>
    <row r="5068" spans="1:13">
      <c r="A5068" s="54" t="str">
        <f t="shared" si="172"/>
        <v>SERVICIOSALARMASUCURSALES CAPRICHOS</v>
      </c>
      <c r="B5068" t="s">
        <v>2821</v>
      </c>
      <c r="C5068" s="1">
        <f>C5067</f>
        <v>46000</v>
      </c>
      <c r="D5068" s="242" t="s">
        <v>21</v>
      </c>
      <c r="E5068" s="71" t="s">
        <v>25</v>
      </c>
      <c r="F5068" s="71" t="s">
        <v>27</v>
      </c>
      <c r="J5068" s="71" t="s">
        <v>2938</v>
      </c>
      <c r="L5068" s="433">
        <v>386.4</v>
      </c>
      <c r="M5068" s="136">
        <f>M5067+K5068-L5068</f>
        <v>-93782.257296666095</v>
      </c>
    </row>
    <row r="5069" spans="1:13">
      <c r="A5069" s="54" t="str">
        <f t="shared" si="172"/>
        <v>CAPJMASE8</v>
      </c>
      <c r="B5069" t="s">
        <v>2821</v>
      </c>
      <c r="C5069" s="1">
        <f>C5068</f>
        <v>46000</v>
      </c>
      <c r="D5069" s="242" t="s">
        <v>31</v>
      </c>
      <c r="E5069" s="71" t="s">
        <v>137</v>
      </c>
      <c r="F5069" s="71" t="s">
        <v>114</v>
      </c>
      <c r="J5069" s="71" t="s">
        <v>2939</v>
      </c>
      <c r="L5069" s="433">
        <v>1509.7</v>
      </c>
      <c r="M5069" s="136">
        <f>M5068+K5069-L5069</f>
        <v>-95291.957296666093</v>
      </c>
    </row>
    <row r="5070" spans="1:13">
      <c r="A5070" s="54" t="str">
        <f t="shared" si="172"/>
        <v>HRVIATICOSHR</v>
      </c>
      <c r="B5070" t="s">
        <v>2821</v>
      </c>
      <c r="C5070" s="1">
        <f>C5069</f>
        <v>46000</v>
      </c>
      <c r="D5070" s="242" t="s">
        <v>29</v>
      </c>
      <c r="E5070" s="71" t="s">
        <v>191</v>
      </c>
      <c r="F5070" s="71" t="s">
        <v>29</v>
      </c>
      <c r="J5070" s="71" t="s">
        <v>2940</v>
      </c>
      <c r="L5070" s="433">
        <v>6800</v>
      </c>
      <c r="M5070" s="136">
        <f>M5069+K5070-L5070</f>
        <v>-102091.95729666609</v>
      </c>
    </row>
    <row r="5071" spans="1:13">
      <c r="A5071" s="54" t="str">
        <f t="shared" si="172"/>
        <v>SERVICIOSINSUMOSSISTEMAS</v>
      </c>
      <c r="B5071" t="s">
        <v>2821</v>
      </c>
      <c r="C5071" s="1">
        <f>C5070</f>
        <v>46000</v>
      </c>
      <c r="D5071" s="242" t="s">
        <v>21</v>
      </c>
      <c r="E5071" s="71" t="s">
        <v>133</v>
      </c>
      <c r="F5071" s="71" t="s">
        <v>36</v>
      </c>
      <c r="G5071" s="71" t="s">
        <v>258</v>
      </c>
      <c r="J5071" s="71" t="s">
        <v>2941</v>
      </c>
      <c r="L5071" s="433">
        <v>2500</v>
      </c>
      <c r="M5071" s="136">
        <f>M5070+K5071-L5071</f>
        <v>-104591.95729666609</v>
      </c>
    </row>
    <row r="5072" spans="1:13">
      <c r="A5072" s="54" t="str">
        <f t="shared" si="172"/>
        <v>SERVICIOSVIATICOSSISTEMAS</v>
      </c>
      <c r="B5072" t="s">
        <v>2821</v>
      </c>
      <c r="C5072" s="1">
        <f>C5071</f>
        <v>46000</v>
      </c>
      <c r="D5072" s="242" t="s">
        <v>21</v>
      </c>
      <c r="E5072" s="71" t="s">
        <v>191</v>
      </c>
      <c r="F5072" s="71" t="s">
        <v>36</v>
      </c>
      <c r="J5072" s="71" t="s">
        <v>2942</v>
      </c>
      <c r="L5072" s="433">
        <v>3800</v>
      </c>
      <c r="M5072" s="136">
        <f>M5071+K5072-L5072</f>
        <v>-108391.95729666609</v>
      </c>
    </row>
    <row r="5073" spans="1:13">
      <c r="A5073" s="54" t="str">
        <f t="shared" si="172"/>
        <v>FINANZASINSUMOSFINANZAS</v>
      </c>
      <c r="B5073" t="s">
        <v>2821</v>
      </c>
      <c r="C5073" s="1">
        <f>C5072</f>
        <v>46000</v>
      </c>
      <c r="D5073" s="242" t="s">
        <v>23</v>
      </c>
      <c r="E5073" s="71" t="s">
        <v>133</v>
      </c>
      <c r="F5073" s="71" t="s">
        <v>23</v>
      </c>
      <c r="J5073" s="71" t="s">
        <v>2943</v>
      </c>
      <c r="L5073" s="433">
        <v>900</v>
      </c>
      <c r="M5073" s="136">
        <f>M5072+K5073-L5073</f>
        <v>-109291.95729666609</v>
      </c>
    </row>
    <row r="5074" spans="1:13">
      <c r="A5074" s="54" t="str">
        <f t="shared" si="172"/>
        <v>FINANZASINSUMOSFINANZAS</v>
      </c>
      <c r="B5074" t="s">
        <v>2821</v>
      </c>
      <c r="C5074" s="1">
        <f>C5073</f>
        <v>46000</v>
      </c>
      <c r="D5074" s="242" t="s">
        <v>23</v>
      </c>
      <c r="E5074" s="71" t="s">
        <v>133</v>
      </c>
      <c r="F5074" s="71" t="s">
        <v>23</v>
      </c>
      <c r="G5074" s="71" t="s">
        <v>258</v>
      </c>
      <c r="J5074" s="71" t="s">
        <v>2944</v>
      </c>
      <c r="L5074" s="433">
        <v>400</v>
      </c>
      <c r="M5074" s="136">
        <f>M5073+K5074-L5074</f>
        <v>-109691.95729666609</v>
      </c>
    </row>
    <row r="5075" spans="1:13">
      <c r="A5075" s="54" t="str">
        <f t="shared" si="172"/>
        <v>SERVICIOSVIATICOSMANTENIMIENTO</v>
      </c>
      <c r="B5075" t="s">
        <v>2821</v>
      </c>
      <c r="C5075" s="1">
        <f>C5074</f>
        <v>46000</v>
      </c>
      <c r="D5075" s="242" t="s">
        <v>21</v>
      </c>
      <c r="E5075" s="71" t="s">
        <v>191</v>
      </c>
      <c r="F5075" s="71" t="s">
        <v>35</v>
      </c>
      <c r="J5075" s="71" t="s">
        <v>2945</v>
      </c>
      <c r="L5075" s="433">
        <v>500</v>
      </c>
      <c r="M5075" s="136">
        <f>M5074+K5075-L5075</f>
        <v>-110191.95729666609</v>
      </c>
    </row>
    <row r="5076" spans="1:13">
      <c r="A5076" s="54" t="str">
        <f t="shared" si="172"/>
        <v>FINANZASVIATICOSFINANZAS</v>
      </c>
      <c r="B5076" t="s">
        <v>2821</v>
      </c>
      <c r="C5076" s="1">
        <f>C5075</f>
        <v>46000</v>
      </c>
      <c r="D5076" s="242" t="s">
        <v>23</v>
      </c>
      <c r="E5076" s="71" t="s">
        <v>191</v>
      </c>
      <c r="F5076" s="71" t="s">
        <v>23</v>
      </c>
      <c r="G5076" s="71" t="s">
        <v>258</v>
      </c>
      <c r="J5076" s="71" t="s">
        <v>2946</v>
      </c>
      <c r="L5076" s="433">
        <v>435</v>
      </c>
      <c r="M5076" s="136">
        <f>M5075+K5076-L5076</f>
        <v>-110626.95729666609</v>
      </c>
    </row>
    <row r="5077" spans="1:13">
      <c r="A5077" s="54" t="str">
        <f t="shared" si="172"/>
        <v>SERVICIOSVIATICOSCEDIS</v>
      </c>
      <c r="B5077" t="s">
        <v>2821</v>
      </c>
      <c r="C5077" s="1">
        <f>C5076</f>
        <v>46000</v>
      </c>
      <c r="D5077" s="242" t="s">
        <v>21</v>
      </c>
      <c r="E5077" s="71" t="s">
        <v>191</v>
      </c>
      <c r="F5077" s="71" t="s">
        <v>28</v>
      </c>
      <c r="J5077" s="71" t="s">
        <v>2153</v>
      </c>
      <c r="L5077" s="433">
        <v>1100</v>
      </c>
      <c r="M5077" s="136">
        <f>M5076+K5077-L5077</f>
        <v>-111726.95729666609</v>
      </c>
    </row>
    <row r="5078" spans="1:13">
      <c r="A5078" s="54" t="str">
        <f t="shared" ref="A5078:A5141" si="174">D5078&amp;E5078&amp;F5078</f>
        <v>SERVICIOSMTTO DE EDIFICIOMANTENIMIENTO</v>
      </c>
      <c r="B5078" t="s">
        <v>2821</v>
      </c>
      <c r="C5078" s="1">
        <f>C5077</f>
        <v>46000</v>
      </c>
      <c r="D5078" s="242" t="s">
        <v>21</v>
      </c>
      <c r="E5078" s="71" t="s">
        <v>142</v>
      </c>
      <c r="F5078" s="71" t="s">
        <v>35</v>
      </c>
      <c r="J5078" s="71" t="s">
        <v>1597</v>
      </c>
      <c r="L5078" s="433">
        <v>11000</v>
      </c>
      <c r="M5078" s="136">
        <f>M5077+K5078-L5078</f>
        <v>-122726.95729666609</v>
      </c>
    </row>
    <row r="5079" spans="1:13">
      <c r="A5079" s="54" t="str">
        <f t="shared" si="174"/>
        <v>HRVIATICOSHR</v>
      </c>
      <c r="B5079" t="s">
        <v>2821</v>
      </c>
      <c r="C5079" s="1">
        <f>C5078</f>
        <v>46000</v>
      </c>
      <c r="D5079" s="242" t="s">
        <v>29</v>
      </c>
      <c r="E5079" s="71" t="s">
        <v>191</v>
      </c>
      <c r="F5079" s="71" t="s">
        <v>29</v>
      </c>
      <c r="J5079" s="71" t="s">
        <v>2947</v>
      </c>
      <c r="L5079" s="433">
        <v>4200</v>
      </c>
      <c r="M5079" s="136">
        <f>M5078+K5079-L5079</f>
        <v>-126926.95729666609</v>
      </c>
    </row>
    <row r="5080" spans="1:13">
      <c r="A5080" s="54" t="str">
        <f t="shared" si="174"/>
        <v>SERVICIOSVIATICOSMANTENIMIENTO</v>
      </c>
      <c r="B5080" t="s">
        <v>2821</v>
      </c>
      <c r="C5080" s="1">
        <f>C5079</f>
        <v>46000</v>
      </c>
      <c r="D5080" s="242" t="s">
        <v>21</v>
      </c>
      <c r="E5080" s="71" t="s">
        <v>191</v>
      </c>
      <c r="F5080" s="71" t="s">
        <v>35</v>
      </c>
      <c r="J5080" s="71" t="s">
        <v>2948</v>
      </c>
      <c r="L5080" s="433">
        <v>2800</v>
      </c>
      <c r="M5080" s="136">
        <f>M5079+K5080-L5080</f>
        <v>-129726.95729666609</v>
      </c>
    </row>
    <row r="5081" spans="1:13">
      <c r="A5081" s="54" t="str">
        <f t="shared" si="174"/>
        <v>SERVICIOSPAQUETERIACEDIS (E6)</v>
      </c>
      <c r="B5081" t="s">
        <v>2821</v>
      </c>
      <c r="C5081" s="1">
        <f>C5080</f>
        <v>46000</v>
      </c>
      <c r="D5081" s="242" t="s">
        <v>21</v>
      </c>
      <c r="E5081" s="71" t="s">
        <v>160</v>
      </c>
      <c r="F5081" s="71" t="s">
        <v>161</v>
      </c>
      <c r="J5081" s="71" t="s">
        <v>580</v>
      </c>
      <c r="L5081" s="433">
        <v>971.46</v>
      </c>
      <c r="M5081" s="136">
        <f>M5080+K5081-L5081</f>
        <v>-130698.4172966661</v>
      </c>
    </row>
    <row r="5082" spans="1:13">
      <c r="A5082" s="54" t="str">
        <f t="shared" si="174"/>
        <v>SERVICIOSINSUMOSSISTEMAS</v>
      </c>
      <c r="B5082" t="s">
        <v>2821</v>
      </c>
      <c r="C5082" s="1">
        <f>C5081</f>
        <v>46000</v>
      </c>
      <c r="D5082" s="242" t="s">
        <v>21</v>
      </c>
      <c r="E5082" s="71" t="s">
        <v>133</v>
      </c>
      <c r="F5082" s="71" t="s">
        <v>36</v>
      </c>
      <c r="G5082" s="71" t="s">
        <v>258</v>
      </c>
      <c r="J5082" s="71" t="s">
        <v>907</v>
      </c>
      <c r="L5082" s="433">
        <v>9860</v>
      </c>
      <c r="M5082" s="136">
        <f>M5081+K5082-L5082</f>
        <v>-140558.4172966661</v>
      </c>
    </row>
    <row r="5083" spans="1:13">
      <c r="A5083" s="54" t="str">
        <f t="shared" si="174"/>
        <v>SERVICIOSTELEPEAJECEDIS</v>
      </c>
      <c r="B5083" t="s">
        <v>2821</v>
      </c>
      <c r="C5083" s="1">
        <f>C5082</f>
        <v>46000</v>
      </c>
      <c r="D5083" s="242" t="s">
        <v>21</v>
      </c>
      <c r="E5083" s="71" t="s">
        <v>186</v>
      </c>
      <c r="F5083" s="71" t="s">
        <v>28</v>
      </c>
      <c r="J5083" s="71" t="s">
        <v>238</v>
      </c>
      <c r="L5083" s="433">
        <v>4132</v>
      </c>
      <c r="M5083" s="136">
        <f>M5082+K5083-L5083</f>
        <v>-144690.4172966661</v>
      </c>
    </row>
    <row r="5084" spans="1:13">
      <c r="A5084" s="54" t="str">
        <f t="shared" si="174"/>
        <v>HRTELEPEAJEOP HR</v>
      </c>
      <c r="B5084" t="s">
        <v>2821</v>
      </c>
      <c r="C5084" s="1">
        <f>C5083</f>
        <v>46000</v>
      </c>
      <c r="D5084" s="242" t="s">
        <v>29</v>
      </c>
      <c r="E5084" s="71" t="s">
        <v>186</v>
      </c>
      <c r="F5084" s="71" t="s">
        <v>187</v>
      </c>
      <c r="J5084" s="71" t="s">
        <v>2949</v>
      </c>
      <c r="L5084" s="433">
        <v>1328</v>
      </c>
      <c r="M5084" s="136">
        <f>M5083+K5084-L5084</f>
        <v>-146018.4172966661</v>
      </c>
    </row>
    <row r="5085" spans="1:13">
      <c r="A5085" s="54" t="str">
        <f t="shared" si="174"/>
        <v>HRTELEPEAJEOP HR</v>
      </c>
      <c r="B5085" t="s">
        <v>2821</v>
      </c>
      <c r="C5085" s="1">
        <f>C5084</f>
        <v>46000</v>
      </c>
      <c r="D5085" s="242" t="s">
        <v>29</v>
      </c>
      <c r="E5085" s="71" t="s">
        <v>186</v>
      </c>
      <c r="F5085" s="71" t="s">
        <v>187</v>
      </c>
      <c r="J5085" s="71" t="s">
        <v>2393</v>
      </c>
      <c r="L5085" s="433">
        <v>267</v>
      </c>
      <c r="M5085" s="136">
        <f>M5084+K5085-L5085</f>
        <v>-146285.4172966661</v>
      </c>
    </row>
    <row r="5086" spans="1:13">
      <c r="A5086" s="54" t="str">
        <f t="shared" si="174"/>
        <v>HRTELEPEAJEOP HR</v>
      </c>
      <c r="B5086" t="s">
        <v>2821</v>
      </c>
      <c r="C5086" s="1">
        <f>C5085</f>
        <v>46000</v>
      </c>
      <c r="D5086" s="242" t="s">
        <v>29</v>
      </c>
      <c r="E5086" s="71" t="s">
        <v>186</v>
      </c>
      <c r="F5086" s="71" t="s">
        <v>187</v>
      </c>
      <c r="J5086" s="71" t="s">
        <v>2393</v>
      </c>
      <c r="L5086" s="433">
        <v>302</v>
      </c>
      <c r="M5086" s="136">
        <f>M5085+K5086-L5086</f>
        <v>-146587.4172966661</v>
      </c>
    </row>
    <row r="5087" spans="1:13">
      <c r="A5087" s="54" t="str">
        <f t="shared" si="174"/>
        <v>SERVICIOSTELEPEAJECEDIS</v>
      </c>
      <c r="B5087" t="s">
        <v>2821</v>
      </c>
      <c r="C5087" s="1">
        <f>C5086</f>
        <v>46000</v>
      </c>
      <c r="D5087" s="242" t="s">
        <v>21</v>
      </c>
      <c r="E5087" s="71" t="s">
        <v>186</v>
      </c>
      <c r="F5087" s="71" t="s">
        <v>28</v>
      </c>
      <c r="J5087" s="71" t="s">
        <v>238</v>
      </c>
      <c r="L5087" s="433">
        <v>151</v>
      </c>
      <c r="M5087" s="136">
        <f>M5086+K5087-L5087</f>
        <v>-146738.4172966661</v>
      </c>
    </row>
    <row r="5088" spans="1:13">
      <c r="A5088" s="54" t="str">
        <f t="shared" si="174"/>
        <v/>
      </c>
      <c r="B5088" t="s">
        <v>2821</v>
      </c>
      <c r="C5088" s="1">
        <f>C5087</f>
        <v>46000</v>
      </c>
      <c r="J5088" s="71" t="s">
        <v>2950</v>
      </c>
      <c r="L5088" s="433">
        <f>900+3130.03</f>
        <v>4030.03</v>
      </c>
      <c r="M5088" s="136">
        <f>M5087+K5088-L5088</f>
        <v>-150768.4472966661</v>
      </c>
    </row>
    <row r="5089" spans="1:13">
      <c r="A5089" s="54" t="str">
        <f t="shared" si="174"/>
        <v>SERVICIOSMTTO DE EDIFICIOMANTENIMIENTO</v>
      </c>
      <c r="B5089" t="s">
        <v>2821</v>
      </c>
      <c r="C5089" s="1">
        <f>C5088</f>
        <v>46000</v>
      </c>
      <c r="D5089" s="242" t="s">
        <v>21</v>
      </c>
      <c r="E5089" s="71" t="s">
        <v>142</v>
      </c>
      <c r="F5089" s="71" t="s">
        <v>35</v>
      </c>
      <c r="G5089" s="71" t="s">
        <v>258</v>
      </c>
      <c r="J5089" s="76" t="s">
        <v>2951</v>
      </c>
      <c r="L5089" s="434">
        <v>203</v>
      </c>
      <c r="M5089" s="136">
        <f>M5088+K5089-L5089</f>
        <v>-150971.4472966661</v>
      </c>
    </row>
    <row r="5090" spans="1:13">
      <c r="A5090" s="54" t="str">
        <f t="shared" si="174"/>
        <v>HRUBERHR</v>
      </c>
      <c r="B5090" t="s">
        <v>2821</v>
      </c>
      <c r="C5090" s="1">
        <f>C5089</f>
        <v>46000</v>
      </c>
      <c r="D5090" s="242" t="s">
        <v>29</v>
      </c>
      <c r="E5090" s="71" t="s">
        <v>189</v>
      </c>
      <c r="F5090" s="71" t="s">
        <v>29</v>
      </c>
      <c r="J5090" s="76" t="s">
        <v>2526</v>
      </c>
      <c r="L5090" s="522">
        <v>220</v>
      </c>
      <c r="M5090" s="136">
        <f>M5089+K5090-L5090</f>
        <v>-151191.4472966661</v>
      </c>
    </row>
    <row r="5091" spans="1:13">
      <c r="A5091" s="54" t="str">
        <f t="shared" si="174"/>
        <v>HRJMASA4</v>
      </c>
      <c r="B5091" t="s">
        <v>2821</v>
      </c>
      <c r="C5091" s="1">
        <f>C5090</f>
        <v>46000</v>
      </c>
      <c r="D5091" s="242" t="s">
        <v>29</v>
      </c>
      <c r="E5091" s="71" t="s">
        <v>137</v>
      </c>
      <c r="F5091" s="71" t="s">
        <v>91</v>
      </c>
      <c r="J5091" s="76" t="s">
        <v>2363</v>
      </c>
      <c r="L5091" s="434">
        <v>604</v>
      </c>
      <c r="M5091" s="136">
        <f>M5090+K5091-L5091</f>
        <v>-151795.4472966661</v>
      </c>
    </row>
    <row r="5092" spans="1:13">
      <c r="A5092" s="54" t="str">
        <f t="shared" si="174"/>
        <v>HRUBERHR</v>
      </c>
      <c r="B5092" t="s">
        <v>2821</v>
      </c>
      <c r="C5092" s="1">
        <f>C5091</f>
        <v>46000</v>
      </c>
      <c r="D5092" s="242" t="s">
        <v>29</v>
      </c>
      <c r="E5092" s="71" t="s">
        <v>189</v>
      </c>
      <c r="F5092" s="71" t="s">
        <v>29</v>
      </c>
      <c r="J5092" s="76" t="s">
        <v>2364</v>
      </c>
      <c r="L5092" s="522">
        <v>40</v>
      </c>
      <c r="M5092" s="136">
        <f>M5091+K5092-L5092</f>
        <v>-151835.4472966661</v>
      </c>
    </row>
    <row r="5093" spans="1:13">
      <c r="A5093" s="54" t="str">
        <f t="shared" si="174"/>
        <v>HRUBERHR</v>
      </c>
      <c r="B5093" t="s">
        <v>2821</v>
      </c>
      <c r="C5093" s="1">
        <f>C5092</f>
        <v>46000</v>
      </c>
      <c r="D5093" s="242" t="s">
        <v>29</v>
      </c>
      <c r="E5093" s="71" t="s">
        <v>189</v>
      </c>
      <c r="F5093" s="71" t="s">
        <v>29</v>
      </c>
      <c r="J5093" s="76" t="s">
        <v>2561</v>
      </c>
      <c r="L5093" s="531">
        <v>120</v>
      </c>
      <c r="M5093" s="136">
        <f>M5092+K5093-L5093</f>
        <v>-151955.4472966661</v>
      </c>
    </row>
    <row r="5094" spans="1:13">
      <c r="A5094" s="54" t="str">
        <f t="shared" si="174"/>
        <v/>
      </c>
      <c r="B5094" t="s">
        <v>2821</v>
      </c>
      <c r="C5094" s="1">
        <f>C5093</f>
        <v>46000</v>
      </c>
      <c r="J5094" s="76" t="s">
        <v>2952</v>
      </c>
      <c r="L5094" s="434">
        <v>460</v>
      </c>
      <c r="M5094" s="136">
        <f>M5093+K5094-L5094</f>
        <v>-152415.4472966661</v>
      </c>
    </row>
    <row r="5095" spans="1:13">
      <c r="A5095" s="54" t="str">
        <f t="shared" si="174"/>
        <v>HRUBERHR</v>
      </c>
      <c r="B5095" t="s">
        <v>2821</v>
      </c>
      <c r="C5095" s="1">
        <f>C5094</f>
        <v>46000</v>
      </c>
      <c r="D5095" s="242" t="s">
        <v>29</v>
      </c>
      <c r="E5095" s="71" t="s">
        <v>189</v>
      </c>
      <c r="F5095" s="71" t="s">
        <v>29</v>
      </c>
      <c r="J5095" s="76" t="s">
        <v>2453</v>
      </c>
      <c r="L5095" s="522">
        <v>150</v>
      </c>
      <c r="M5095" s="136">
        <f>M5094+K5095-L5095</f>
        <v>-152565.4472966661</v>
      </c>
    </row>
    <row r="5096" spans="1:13">
      <c r="A5096" s="54" t="str">
        <f t="shared" si="174"/>
        <v/>
      </c>
      <c r="B5096" t="s">
        <v>2821</v>
      </c>
      <c r="C5096" s="1">
        <v>46001</v>
      </c>
      <c r="J5096" s="71" t="s">
        <v>2045</v>
      </c>
      <c r="K5096" s="325">
        <v>518538.22</v>
      </c>
      <c r="L5096" s="432"/>
      <c r="M5096" s="136">
        <f>M5095+K5096-L5096</f>
        <v>365972.77270333387</v>
      </c>
    </row>
    <row r="5097" spans="1:13">
      <c r="A5097" s="54" t="str">
        <f t="shared" si="174"/>
        <v>FINANZASCOMISIONES BANCARIASTPV</v>
      </c>
      <c r="B5097" t="s">
        <v>2821</v>
      </c>
      <c r="C5097" s="1">
        <f t="shared" si="173"/>
        <v>46001</v>
      </c>
      <c r="D5097" s="242" t="s">
        <v>23</v>
      </c>
      <c r="E5097" s="71" t="s">
        <v>48</v>
      </c>
      <c r="F5097" s="71" t="s">
        <v>50</v>
      </c>
      <c r="J5097" s="71" t="s">
        <v>217</v>
      </c>
      <c r="L5097" s="433">
        <f>708.78+1574.29+844.17+27.84+5690.71+2015.32+44.98</f>
        <v>10906.09</v>
      </c>
      <c r="M5097" s="136">
        <f>M5096+K5097-L5097</f>
        <v>355066.68270333385</v>
      </c>
    </row>
    <row r="5098" spans="1:13">
      <c r="A5098" s="54" t="str">
        <f t="shared" si="174"/>
        <v/>
      </c>
      <c r="B5098" t="s">
        <v>2821</v>
      </c>
      <c r="C5098" s="1">
        <f t="shared" ref="C5098:C5169" si="175">C5097</f>
        <v>46001</v>
      </c>
      <c r="J5098" s="205" t="s">
        <v>1562</v>
      </c>
      <c r="K5098" s="205"/>
      <c r="L5098" s="428">
        <v>200000</v>
      </c>
      <c r="M5098" s="136">
        <f>M5097+K5098-L5098</f>
        <v>155066.68270333385</v>
      </c>
    </row>
    <row r="5099" spans="1:13">
      <c r="A5099" s="54" t="str">
        <f t="shared" si="174"/>
        <v/>
      </c>
      <c r="B5099" t="s">
        <v>2821</v>
      </c>
      <c r="C5099" s="1">
        <f t="shared" si="175"/>
        <v>46001</v>
      </c>
      <c r="J5099" s="233" t="s">
        <v>2953</v>
      </c>
      <c r="K5099" s="233"/>
      <c r="L5099" s="446">
        <v>200000</v>
      </c>
      <c r="M5099" s="136">
        <f>M5098+K5099-L5099</f>
        <v>-44933.317296666151</v>
      </c>
    </row>
    <row r="5100" spans="1:13">
      <c r="A5100" s="54" t="str">
        <f t="shared" si="174"/>
        <v>SERVICIOSADQ DE EQ TECNOLOGICOADQ DE EQ TECNOLOGICO</v>
      </c>
      <c r="B5100" t="s">
        <v>2821</v>
      </c>
      <c r="C5100" s="1">
        <f t="shared" si="175"/>
        <v>46001</v>
      </c>
      <c r="D5100" s="242" t="s">
        <v>21</v>
      </c>
      <c r="E5100" s="71" t="s">
        <v>22</v>
      </c>
      <c r="F5100" s="71" t="s">
        <v>22</v>
      </c>
      <c r="J5100" s="71" t="s">
        <v>2954</v>
      </c>
      <c r="L5100" s="433">
        <f>1499.01+50</f>
        <v>1549.01</v>
      </c>
      <c r="M5100" s="136">
        <f>M5099+K5100-L5100</f>
        <v>-46482.327296666153</v>
      </c>
    </row>
    <row r="5101" spans="1:13">
      <c r="A5101" s="54" t="str">
        <f t="shared" si="174"/>
        <v>HRENERGIA ELECTRICAA17</v>
      </c>
      <c r="B5101" t="s">
        <v>2821</v>
      </c>
      <c r="C5101" s="1">
        <f t="shared" si="175"/>
        <v>46001</v>
      </c>
      <c r="D5101" s="242" t="s">
        <v>29</v>
      </c>
      <c r="E5101" s="71" t="s">
        <v>87</v>
      </c>
      <c r="F5101" s="71" t="s">
        <v>102</v>
      </c>
      <c r="J5101" s="71" t="s">
        <v>2955</v>
      </c>
      <c r="L5101" s="433">
        <v>13402</v>
      </c>
      <c r="M5101" s="136">
        <f>M5100+K5101-L5101</f>
        <v>-59884.327296666153</v>
      </c>
    </row>
    <row r="5102" spans="1:13">
      <c r="A5102" s="54" t="str">
        <f t="shared" si="174"/>
        <v>SERVICIOSMTTO DE EDIFICIOMANTENIMIENTO</v>
      </c>
      <c r="B5102" t="s">
        <v>2821</v>
      </c>
      <c r="C5102" s="1">
        <f t="shared" si="175"/>
        <v>46001</v>
      </c>
      <c r="D5102" s="242" t="s">
        <v>21</v>
      </c>
      <c r="E5102" s="71" t="s">
        <v>142</v>
      </c>
      <c r="F5102" s="71" t="s">
        <v>35</v>
      </c>
      <c r="G5102" s="71" t="s">
        <v>258</v>
      </c>
      <c r="J5102" s="71" t="s">
        <v>2956</v>
      </c>
      <c r="L5102" s="433">
        <v>12610</v>
      </c>
      <c r="M5102" s="136">
        <f>M5101+K5102-L5102</f>
        <v>-72494.327296666161</v>
      </c>
    </row>
    <row r="5103" spans="1:13">
      <c r="A5103" s="54" t="str">
        <f t="shared" si="174"/>
        <v>CAPVIATICOSCAPRICHOS</v>
      </c>
      <c r="B5103" t="s">
        <v>2821</v>
      </c>
      <c r="C5103" s="1">
        <f t="shared" si="175"/>
        <v>46001</v>
      </c>
      <c r="D5103" s="242" t="s">
        <v>31</v>
      </c>
      <c r="E5103" s="71" t="s">
        <v>191</v>
      </c>
      <c r="F5103" s="71" t="s">
        <v>33</v>
      </c>
      <c r="J5103" s="71" t="s">
        <v>2957</v>
      </c>
      <c r="L5103" s="433">
        <v>1800</v>
      </c>
      <c r="M5103" s="136">
        <f>M5102+K5103-L5103</f>
        <v>-74294.327296666161</v>
      </c>
    </row>
    <row r="5104" spans="1:13">
      <c r="A5104" s="54" t="str">
        <f t="shared" si="174"/>
        <v>SERVICIOSINSUMOSSISTEMAS</v>
      </c>
      <c r="B5104" t="s">
        <v>2821</v>
      </c>
      <c r="C5104" s="1">
        <f t="shared" si="175"/>
        <v>46001</v>
      </c>
      <c r="D5104" s="242" t="s">
        <v>21</v>
      </c>
      <c r="E5104" s="71" t="s">
        <v>133</v>
      </c>
      <c r="F5104" s="71" t="s">
        <v>36</v>
      </c>
      <c r="J5104" s="71" t="s">
        <v>2958</v>
      </c>
      <c r="L5104" s="433">
        <v>2000</v>
      </c>
      <c r="M5104" s="136">
        <f>M5103+K5104-L5104</f>
        <v>-76294.327296666161</v>
      </c>
    </row>
    <row r="5105" spans="1:13">
      <c r="A5105" s="54" t="str">
        <f t="shared" si="174"/>
        <v>SERVICIOSMTTO DE EDIFICIOMANTENIMIENTO</v>
      </c>
      <c r="B5105" t="s">
        <v>2821</v>
      </c>
      <c r="C5105" s="1">
        <f t="shared" si="175"/>
        <v>46001</v>
      </c>
      <c r="D5105" s="242" t="s">
        <v>21</v>
      </c>
      <c r="E5105" s="71" t="s">
        <v>142</v>
      </c>
      <c r="F5105" s="71" t="s">
        <v>35</v>
      </c>
      <c r="G5105" s="71" t="s">
        <v>258</v>
      </c>
      <c r="J5105" s="71" t="s">
        <v>1693</v>
      </c>
      <c r="L5105" s="433">
        <v>9000</v>
      </c>
      <c r="M5105" s="136">
        <f>M5104+K5105-L5105</f>
        <v>-85294.327296666161</v>
      </c>
    </row>
    <row r="5106" spans="1:13">
      <c r="A5106" s="54" t="str">
        <f t="shared" si="174"/>
        <v>SERVICIOSADQ DE EQ TECNOLOGICOADQ DE EQ TECNOLOGICO</v>
      </c>
      <c r="B5106" t="s">
        <v>2821</v>
      </c>
      <c r="C5106" s="1">
        <f t="shared" si="175"/>
        <v>46001</v>
      </c>
      <c r="D5106" s="242" t="s">
        <v>21</v>
      </c>
      <c r="E5106" s="71" t="s">
        <v>22</v>
      </c>
      <c r="F5106" s="71" t="s">
        <v>22</v>
      </c>
      <c r="G5106" s="71" t="s">
        <v>258</v>
      </c>
      <c r="J5106" s="71" t="s">
        <v>2959</v>
      </c>
      <c r="L5106" s="433">
        <v>16817.89</v>
      </c>
      <c r="M5106" s="136">
        <f>M5105+K5106-L5106</f>
        <v>-102112.21729666616</v>
      </c>
    </row>
    <row r="5107" spans="1:13">
      <c r="A5107" s="54" t="str">
        <f t="shared" si="174"/>
        <v>HRUBERHR</v>
      </c>
      <c r="B5107" t="s">
        <v>2821</v>
      </c>
      <c r="C5107" s="1">
        <f t="shared" si="175"/>
        <v>46001</v>
      </c>
      <c r="D5107" s="242" t="s">
        <v>29</v>
      </c>
      <c r="E5107" s="71" t="s">
        <v>189</v>
      </c>
      <c r="F5107" s="71" t="s">
        <v>29</v>
      </c>
      <c r="J5107" s="71" t="s">
        <v>2435</v>
      </c>
      <c r="L5107" s="523">
        <v>95</v>
      </c>
      <c r="M5107" s="136">
        <f>M5106+K5107-L5107</f>
        <v>-102207.21729666616</v>
      </c>
    </row>
    <row r="5108" spans="1:13">
      <c r="A5108" s="54" t="str">
        <f t="shared" si="174"/>
        <v>CAPUBERCAP</v>
      </c>
      <c r="B5108" t="s">
        <v>2821</v>
      </c>
      <c r="C5108" s="1">
        <f t="shared" si="175"/>
        <v>46001</v>
      </c>
      <c r="D5108" s="242" t="s">
        <v>31</v>
      </c>
      <c r="E5108" s="71" t="s">
        <v>189</v>
      </c>
      <c r="F5108" s="71" t="s">
        <v>31</v>
      </c>
      <c r="J5108" s="71" t="s">
        <v>2268</v>
      </c>
      <c r="L5108" s="523">
        <v>200</v>
      </c>
      <c r="M5108" s="136">
        <f>M5107+K5108-L5108</f>
        <v>-102407.21729666616</v>
      </c>
    </row>
    <row r="5109" spans="1:13">
      <c r="A5109" s="54" t="str">
        <f t="shared" si="174"/>
        <v>FINANZASRECOLECCION DE BASURACAPRICHOS</v>
      </c>
      <c r="B5109" t="s">
        <v>2821</v>
      </c>
      <c r="C5109" s="1">
        <f t="shared" si="175"/>
        <v>46001</v>
      </c>
      <c r="D5109" s="242" t="s">
        <v>23</v>
      </c>
      <c r="E5109" s="71" t="s">
        <v>166</v>
      </c>
      <c r="F5109" s="71" t="s">
        <v>33</v>
      </c>
      <c r="J5109" s="71" t="s">
        <v>2960</v>
      </c>
      <c r="L5109" s="433">
        <v>800</v>
      </c>
      <c r="M5109" s="136">
        <f>M5108+K5109-L5109</f>
        <v>-103207.21729666616</v>
      </c>
    </row>
    <row r="5110" spans="1:13">
      <c r="A5110" s="54" t="str">
        <f t="shared" si="174"/>
        <v>CAPINSUMOSCAPRICHOS</v>
      </c>
      <c r="B5110" t="s">
        <v>2821</v>
      </c>
      <c r="C5110" s="1">
        <f t="shared" si="175"/>
        <v>46001</v>
      </c>
      <c r="D5110" s="242" t="s">
        <v>31</v>
      </c>
      <c r="E5110" s="71" t="s">
        <v>133</v>
      </c>
      <c r="F5110" s="71" t="s">
        <v>33</v>
      </c>
      <c r="J5110" s="71" t="s">
        <v>2961</v>
      </c>
      <c r="L5110" s="433">
        <v>269.99</v>
      </c>
      <c r="M5110" s="136">
        <f>M5109+K5110-L5110</f>
        <v>-103477.20729666617</v>
      </c>
    </row>
    <row r="5111" spans="1:13">
      <c r="A5111" s="54" t="str">
        <f t="shared" si="174"/>
        <v/>
      </c>
      <c r="B5111" t="s">
        <v>2821</v>
      </c>
      <c r="C5111" s="1">
        <v>46002</v>
      </c>
      <c r="J5111" s="71" t="s">
        <v>2045</v>
      </c>
      <c r="K5111" s="325">
        <v>536294.05000000005</v>
      </c>
      <c r="L5111" s="432"/>
      <c r="M5111" s="136">
        <f>M5110+K5111-L5111</f>
        <v>432816.84270333388</v>
      </c>
    </row>
    <row r="5112" spans="1:13">
      <c r="A5112" s="54" t="str">
        <f t="shared" si="174"/>
        <v>FINANZASCOMISIONES BANCARIASTPV</v>
      </c>
      <c r="B5112" t="s">
        <v>2821</v>
      </c>
      <c r="C5112" s="1">
        <f t="shared" si="175"/>
        <v>46002</v>
      </c>
      <c r="D5112" s="242" t="s">
        <v>23</v>
      </c>
      <c r="E5112" s="71" t="s">
        <v>48</v>
      </c>
      <c r="F5112" s="71" t="s">
        <v>50</v>
      </c>
      <c r="J5112" s="71" t="s">
        <v>217</v>
      </c>
      <c r="L5112" s="433">
        <f>1290.45+636.49+423.14+1255.29+41.76+6869.86+2831.86+5.8+5.8+3.48</f>
        <v>13363.929999999998</v>
      </c>
      <c r="M5112" s="136">
        <f>M5111+K5112-L5112</f>
        <v>419452.91270333389</v>
      </c>
    </row>
    <row r="5113" spans="1:13">
      <c r="A5113" s="54" t="str">
        <f t="shared" si="174"/>
        <v/>
      </c>
      <c r="B5113" t="s">
        <v>2821</v>
      </c>
      <c r="C5113" s="1">
        <f t="shared" si="175"/>
        <v>46002</v>
      </c>
      <c r="J5113" s="205" t="s">
        <v>1562</v>
      </c>
      <c r="K5113" s="205"/>
      <c r="L5113" s="428">
        <v>200000</v>
      </c>
      <c r="M5113" s="136">
        <f>M5112+K5113-L5113</f>
        <v>219452.91270333389</v>
      </c>
    </row>
    <row r="5114" spans="1:13">
      <c r="A5114" s="54" t="str">
        <f t="shared" si="174"/>
        <v/>
      </c>
      <c r="B5114" t="s">
        <v>2821</v>
      </c>
      <c r="C5114" s="1">
        <f t="shared" si="175"/>
        <v>46002</v>
      </c>
      <c r="J5114" s="73" t="s">
        <v>2953</v>
      </c>
      <c r="L5114" s="433">
        <v>200000</v>
      </c>
      <c r="M5114" s="136">
        <f>M5113+K5114-L5114</f>
        <v>19452.912703333888</v>
      </c>
    </row>
    <row r="5115" spans="1:13">
      <c r="A5115" s="54" t="str">
        <f t="shared" si="174"/>
        <v>SERVICIOSVIATICOSINVENTARIOS</v>
      </c>
      <c r="B5115" t="s">
        <v>2821</v>
      </c>
      <c r="C5115" s="1">
        <f t="shared" si="175"/>
        <v>46002</v>
      </c>
      <c r="D5115" s="242" t="s">
        <v>21</v>
      </c>
      <c r="E5115" s="71" t="s">
        <v>191</v>
      </c>
      <c r="F5115" s="71" t="s">
        <v>34</v>
      </c>
      <c r="J5115" s="71" t="s">
        <v>2962</v>
      </c>
      <c r="L5115" s="433">
        <v>300</v>
      </c>
      <c r="M5115" s="136">
        <f>M5114+K5115-L5115</f>
        <v>19152.912703333888</v>
      </c>
    </row>
    <row r="5116" spans="1:13">
      <c r="A5116" s="54" t="str">
        <f t="shared" si="174"/>
        <v>SERVICIOSMTTO DE EDIFICIOMANTENIMIENTO</v>
      </c>
      <c r="B5116" t="s">
        <v>2821</v>
      </c>
      <c r="C5116" s="1">
        <f t="shared" si="175"/>
        <v>46002</v>
      </c>
      <c r="D5116" s="242" t="s">
        <v>21</v>
      </c>
      <c r="E5116" s="71" t="s">
        <v>142</v>
      </c>
      <c r="F5116" s="71" t="s">
        <v>35</v>
      </c>
      <c r="G5116" s="71" t="s">
        <v>258</v>
      </c>
      <c r="J5116" s="71" t="s">
        <v>2963</v>
      </c>
      <c r="L5116" s="433">
        <v>3500</v>
      </c>
      <c r="M5116" s="136">
        <f>M5115+K5116-L5116</f>
        <v>15652.912703333888</v>
      </c>
    </row>
    <row r="5117" spans="1:13">
      <c r="A5117" s="54" t="str">
        <f t="shared" si="174"/>
        <v>ELIVIATICOSL1</v>
      </c>
      <c r="B5117" t="s">
        <v>2821</v>
      </c>
      <c r="C5117" s="1">
        <f t="shared" si="175"/>
        <v>46002</v>
      </c>
      <c r="D5117" s="242" t="s">
        <v>130</v>
      </c>
      <c r="E5117" s="71" t="s">
        <v>191</v>
      </c>
      <c r="F5117" s="71" t="s">
        <v>136</v>
      </c>
      <c r="J5117" s="71" t="s">
        <v>690</v>
      </c>
      <c r="L5117" s="433">
        <v>1500</v>
      </c>
      <c r="M5117" s="136">
        <f>M5116+K5117-L5117</f>
        <v>14152.912703333888</v>
      </c>
    </row>
    <row r="5118" spans="1:13">
      <c r="A5118" s="54" t="str">
        <f t="shared" si="174"/>
        <v>SERVICIOSINSUMOSCADENA DE SUMINISTROS</v>
      </c>
      <c r="B5118" t="s">
        <v>2821</v>
      </c>
      <c r="C5118" s="1">
        <f t="shared" si="175"/>
        <v>46002</v>
      </c>
      <c r="D5118" s="242" t="s">
        <v>21</v>
      </c>
      <c r="E5118" s="71" t="s">
        <v>133</v>
      </c>
      <c r="F5118" s="71" t="s">
        <v>134</v>
      </c>
      <c r="J5118" s="71" t="s">
        <v>2964</v>
      </c>
      <c r="L5118" s="433">
        <v>2325</v>
      </c>
      <c r="M5118" s="136">
        <f>M5117+K5118-L5118</f>
        <v>11827.912703333888</v>
      </c>
    </row>
    <row r="5119" spans="1:13">
      <c r="A5119" s="54" t="str">
        <f t="shared" si="174"/>
        <v>SERVICIOSINSUMOSCADENA DE SUMINISTROS</v>
      </c>
      <c r="B5119" t="s">
        <v>2821</v>
      </c>
      <c r="C5119" s="1">
        <f t="shared" si="175"/>
        <v>46002</v>
      </c>
      <c r="D5119" s="242" t="s">
        <v>21</v>
      </c>
      <c r="E5119" s="71" t="s">
        <v>133</v>
      </c>
      <c r="F5119" s="71" t="s">
        <v>134</v>
      </c>
      <c r="J5119" s="71" t="s">
        <v>2965</v>
      </c>
      <c r="L5119" s="433">
        <v>22446</v>
      </c>
      <c r="M5119" s="136">
        <f>M5118+K5119-L5119</f>
        <v>-10618.087296666112</v>
      </c>
    </row>
    <row r="5120" spans="1:13">
      <c r="A5120" s="54" t="str">
        <f t="shared" si="174"/>
        <v>SERVICIOSINSUMOSCADENA DE SUMINISTROS</v>
      </c>
      <c r="B5120" t="s">
        <v>2821</v>
      </c>
      <c r="C5120" s="1">
        <f t="shared" si="175"/>
        <v>46002</v>
      </c>
      <c r="D5120" s="242" t="s">
        <v>21</v>
      </c>
      <c r="E5120" s="71" t="s">
        <v>133</v>
      </c>
      <c r="F5120" s="71" t="s">
        <v>134</v>
      </c>
      <c r="J5120" s="71" t="s">
        <v>2966</v>
      </c>
      <c r="L5120" s="433">
        <v>2929</v>
      </c>
      <c r="M5120" s="136">
        <f>M5119+K5120-L5120</f>
        <v>-13547.087296666112</v>
      </c>
    </row>
    <row r="5121" spans="1:13">
      <c r="A5121" s="54" t="str">
        <f t="shared" si="174"/>
        <v>SERVICIOSINSUMOSCADENA DE SUMINISTROS</v>
      </c>
      <c r="B5121" t="s">
        <v>2821</v>
      </c>
      <c r="C5121" s="1">
        <f t="shared" si="175"/>
        <v>46002</v>
      </c>
      <c r="D5121" s="242" t="s">
        <v>21</v>
      </c>
      <c r="E5121" s="71" t="s">
        <v>133</v>
      </c>
      <c r="F5121" s="71" t="s">
        <v>134</v>
      </c>
      <c r="J5121" s="71" t="s">
        <v>2967</v>
      </c>
      <c r="L5121" s="433">
        <v>7348.6</v>
      </c>
      <c r="M5121" s="136">
        <f>M5120+K5121-L5121</f>
        <v>-20895.68729666611</v>
      </c>
    </row>
    <row r="5122" spans="1:13">
      <c r="A5122" s="54" t="str">
        <f t="shared" si="174"/>
        <v>FINANZASRECOLECCION DE BASURACEDIS</v>
      </c>
      <c r="B5122" t="s">
        <v>2821</v>
      </c>
      <c r="C5122" s="1">
        <f>C5121</f>
        <v>46002</v>
      </c>
      <c r="D5122" s="242" t="s">
        <v>23</v>
      </c>
      <c r="E5122" s="71" t="s">
        <v>166</v>
      </c>
      <c r="F5122" s="71" t="s">
        <v>28</v>
      </c>
      <c r="J5122" s="71" t="s">
        <v>1035</v>
      </c>
      <c r="L5122" s="433">
        <v>2408.16</v>
      </c>
      <c r="M5122" s="136">
        <f>M5121+K5122-L5122</f>
        <v>-23303.84729666611</v>
      </c>
    </row>
    <row r="5123" spans="1:13">
      <c r="A5123" s="54" t="str">
        <f t="shared" si="174"/>
        <v>FINANZASINSUMOSFINANZAS</v>
      </c>
      <c r="B5123" t="s">
        <v>2821</v>
      </c>
      <c r="C5123" s="1">
        <f>C5122</f>
        <v>46002</v>
      </c>
      <c r="D5123" s="242" t="s">
        <v>23</v>
      </c>
      <c r="E5123" s="71" t="s">
        <v>133</v>
      </c>
      <c r="F5123" s="71" t="s">
        <v>23</v>
      </c>
      <c r="J5123" s="71" t="s">
        <v>921</v>
      </c>
      <c r="L5123" s="433">
        <v>1000</v>
      </c>
      <c r="M5123" s="136">
        <f>M5122+K5123-L5123</f>
        <v>-24303.84729666611</v>
      </c>
    </row>
    <row r="5124" spans="1:13">
      <c r="A5124" s="54" t="str">
        <f t="shared" si="174"/>
        <v/>
      </c>
      <c r="B5124" t="s">
        <v>2821</v>
      </c>
      <c r="C5124" s="1">
        <f>C5122</f>
        <v>46002</v>
      </c>
      <c r="J5124" s="71" t="s">
        <v>564</v>
      </c>
      <c r="L5124" s="433">
        <v>51032.5</v>
      </c>
      <c r="M5124" s="136">
        <f>M5123+K5124-L5124</f>
        <v>-75336.347296666107</v>
      </c>
    </row>
    <row r="5125" spans="1:13">
      <c r="A5125" s="54" t="str">
        <f t="shared" si="174"/>
        <v>DEVIATICOSDIRECCION</v>
      </c>
      <c r="B5125" t="s">
        <v>2821</v>
      </c>
      <c r="C5125" s="1">
        <f t="shared" ref="C5125:C5134" si="176">C5124</f>
        <v>46002</v>
      </c>
      <c r="D5125" s="242" t="s">
        <v>41</v>
      </c>
      <c r="E5125" s="71" t="s">
        <v>191</v>
      </c>
      <c r="F5125" s="71" t="s">
        <v>42</v>
      </c>
      <c r="J5125" s="71" t="s">
        <v>2968</v>
      </c>
      <c r="L5125" s="433">
        <v>1000</v>
      </c>
      <c r="M5125" s="136">
        <f>M5124+K5125-L5125</f>
        <v>-76336.347296666107</v>
      </c>
    </row>
    <row r="5126" spans="1:13">
      <c r="A5126" s="54" t="str">
        <f t="shared" si="174"/>
        <v>CAPVIATICOSCAPRICHOS</v>
      </c>
      <c r="B5126" t="s">
        <v>2821</v>
      </c>
      <c r="C5126" s="1">
        <f>C5125</f>
        <v>46002</v>
      </c>
      <c r="D5126" s="242" t="s">
        <v>31</v>
      </c>
      <c r="E5126" s="71" t="s">
        <v>191</v>
      </c>
      <c r="F5126" s="71" t="s">
        <v>33</v>
      </c>
      <c r="J5126" s="71" t="s">
        <v>2261</v>
      </c>
      <c r="L5126" s="433">
        <v>2700</v>
      </c>
      <c r="M5126" s="136">
        <f>M5125+K5126-L5126</f>
        <v>-79036.347296666107</v>
      </c>
    </row>
    <row r="5127" spans="1:13">
      <c r="A5127" s="54" t="str">
        <f t="shared" si="174"/>
        <v>SERVICIOSVIATICOSMANTENIMIENTO</v>
      </c>
      <c r="B5127" t="s">
        <v>2821</v>
      </c>
      <c r="C5127" s="1">
        <f>C5125</f>
        <v>46002</v>
      </c>
      <c r="D5127" s="242" t="s">
        <v>21</v>
      </c>
      <c r="E5127" s="71" t="s">
        <v>191</v>
      </c>
      <c r="F5127" s="71" t="s">
        <v>35</v>
      </c>
      <c r="J5127" s="71" t="s">
        <v>2969</v>
      </c>
      <c r="L5127" s="433">
        <v>1600</v>
      </c>
      <c r="M5127" s="136">
        <f>M5126+K5127-L5127</f>
        <v>-80636.347296666107</v>
      </c>
    </row>
    <row r="5128" spans="1:13">
      <c r="A5128" s="54" t="str">
        <f t="shared" si="174"/>
        <v>CAPFONDO Y REPOSICIONCAPRICHOS</v>
      </c>
      <c r="B5128" t="s">
        <v>2821</v>
      </c>
      <c r="C5128" s="1">
        <f t="shared" si="176"/>
        <v>46002</v>
      </c>
      <c r="D5128" s="242" t="s">
        <v>31</v>
      </c>
      <c r="E5128" s="71" t="s">
        <v>120</v>
      </c>
      <c r="F5128" s="71" t="s">
        <v>33</v>
      </c>
      <c r="J5128" s="71" t="s">
        <v>2970</v>
      </c>
      <c r="L5128" s="433">
        <v>1770</v>
      </c>
      <c r="M5128" s="136">
        <f>M5127+K5128-L5128</f>
        <v>-82406.347296666107</v>
      </c>
    </row>
    <row r="5129" spans="1:13">
      <c r="A5129" s="54" t="str">
        <f t="shared" si="174"/>
        <v>SGEVIATICOSGESTION EMPRESARIAL</v>
      </c>
      <c r="B5129" t="s">
        <v>2821</v>
      </c>
      <c r="C5129" s="1">
        <f t="shared" si="176"/>
        <v>46002</v>
      </c>
      <c r="D5129" s="242" t="s">
        <v>39</v>
      </c>
      <c r="E5129" s="71" t="s">
        <v>191</v>
      </c>
      <c r="F5129" s="71" t="s">
        <v>40</v>
      </c>
      <c r="J5129" s="71" t="s">
        <v>1030</v>
      </c>
      <c r="L5129" s="433">
        <v>3000</v>
      </c>
      <c r="M5129" s="136">
        <f>M5128+K5129-L5129</f>
        <v>-85406.347296666107</v>
      </c>
    </row>
    <row r="5130" spans="1:13">
      <c r="A5130" s="54" t="str">
        <f t="shared" si="174"/>
        <v>FINANZASVIATICOSFINANZAS</v>
      </c>
      <c r="B5130" t="s">
        <v>2821</v>
      </c>
      <c r="C5130" s="1">
        <f t="shared" si="176"/>
        <v>46002</v>
      </c>
      <c r="D5130" s="242" t="s">
        <v>23</v>
      </c>
      <c r="E5130" s="71" t="s">
        <v>191</v>
      </c>
      <c r="F5130" s="71" t="s">
        <v>23</v>
      </c>
      <c r="J5130" s="71" t="s">
        <v>1943</v>
      </c>
      <c r="L5130" s="433">
        <v>1300</v>
      </c>
      <c r="M5130" s="136">
        <f>M5129+K5130-L5130</f>
        <v>-86706.347296666107</v>
      </c>
    </row>
    <row r="5131" spans="1:13">
      <c r="A5131" s="54" t="str">
        <f>D5131&amp;E5131&amp;F5131</f>
        <v>SERVICIOSVIATICOSCOMPRAS</v>
      </c>
      <c r="B5131" t="s">
        <v>2821</v>
      </c>
      <c r="C5131" s="1">
        <f t="shared" si="176"/>
        <v>46002</v>
      </c>
      <c r="D5131" s="242" t="s">
        <v>21</v>
      </c>
      <c r="E5131" s="71" t="s">
        <v>191</v>
      </c>
      <c r="F5131" s="71" t="s">
        <v>148</v>
      </c>
      <c r="J5131" s="71" t="s">
        <v>2971</v>
      </c>
      <c r="L5131" s="433">
        <v>500</v>
      </c>
      <c r="M5131" s="136">
        <f>M5130+K5131-L5131</f>
        <v>-87206.347296666107</v>
      </c>
    </row>
    <row r="5132" spans="1:13">
      <c r="A5132" s="54" t="str">
        <f>D5132&amp;E5132&amp;F5132</f>
        <v>MKTMKTINFLUENCERS</v>
      </c>
      <c r="B5132" t="s">
        <v>2821</v>
      </c>
      <c r="C5132" s="1">
        <f t="shared" si="176"/>
        <v>46002</v>
      </c>
      <c r="D5132" s="242" t="s">
        <v>19</v>
      </c>
      <c r="E5132" s="71" t="s">
        <v>19</v>
      </c>
      <c r="F5132" s="71" t="s">
        <v>141</v>
      </c>
      <c r="J5132" s="71" t="s">
        <v>2024</v>
      </c>
      <c r="L5132" s="433">
        <v>450</v>
      </c>
      <c r="M5132" s="136">
        <f>M5131+K5132-L5132</f>
        <v>-87656.347296666107</v>
      </c>
    </row>
    <row r="5133" spans="1:13">
      <c r="A5133" s="54" t="str">
        <f>D5133&amp;E5133&amp;F5133</f>
        <v>SERVICIOSVIATICOSMANTENIMIENTO</v>
      </c>
      <c r="B5133" t="s">
        <v>2821</v>
      </c>
      <c r="C5133" s="1">
        <f t="shared" si="176"/>
        <v>46002</v>
      </c>
      <c r="D5133" s="242" t="s">
        <v>21</v>
      </c>
      <c r="E5133" s="71" t="s">
        <v>191</v>
      </c>
      <c r="F5133" s="71" t="s">
        <v>35</v>
      </c>
      <c r="J5133" s="71" t="s">
        <v>2085</v>
      </c>
      <c r="L5133" s="433">
        <v>1800</v>
      </c>
      <c r="M5133" s="136">
        <f>M5132+K5133-L5133</f>
        <v>-89456.347296666107</v>
      </c>
    </row>
    <row r="5134" spans="1:13">
      <c r="A5134" s="54" t="str">
        <f>D5134&amp;E5134&amp;F5134</f>
        <v>HRUBERHR</v>
      </c>
      <c r="B5134" t="s">
        <v>2821</v>
      </c>
      <c r="C5134" s="1">
        <f t="shared" si="176"/>
        <v>46002</v>
      </c>
      <c r="D5134" s="242" t="s">
        <v>29</v>
      </c>
      <c r="E5134" s="71" t="s">
        <v>189</v>
      </c>
      <c r="F5134" s="71" t="s">
        <v>29</v>
      </c>
      <c r="J5134" s="76" t="s">
        <v>2972</v>
      </c>
      <c r="L5134" s="522">
        <v>50</v>
      </c>
      <c r="M5134" s="136">
        <f>M5133+K5134-L5134</f>
        <v>-89506.347296666107</v>
      </c>
    </row>
    <row r="5135" spans="1:13">
      <c r="A5135" s="54" t="str">
        <f>D5135&amp;E5135&amp;F5135</f>
        <v>HRINSUMOSHR</v>
      </c>
      <c r="B5135" t="s">
        <v>2821</v>
      </c>
      <c r="C5135" s="1">
        <f>C5134</f>
        <v>46002</v>
      </c>
      <c r="D5135" s="242" t="s">
        <v>29</v>
      </c>
      <c r="E5135" s="71" t="s">
        <v>133</v>
      </c>
      <c r="F5135" s="71" t="s">
        <v>29</v>
      </c>
      <c r="J5135" s="76" t="s">
        <v>2905</v>
      </c>
      <c r="L5135" s="434">
        <v>40</v>
      </c>
      <c r="M5135" s="136">
        <f>M5134+K5135-L5135</f>
        <v>-89546.347296666107</v>
      </c>
    </row>
    <row r="5136" spans="1:13">
      <c r="A5136" s="54" t="str">
        <f>D5136&amp;E5136&amp;F5136</f>
        <v>HRUBERHR</v>
      </c>
      <c r="B5136" t="s">
        <v>2821</v>
      </c>
      <c r="C5136" s="1">
        <f>C5135</f>
        <v>46002</v>
      </c>
      <c r="D5136" s="242" t="s">
        <v>29</v>
      </c>
      <c r="E5136" s="71" t="s">
        <v>189</v>
      </c>
      <c r="F5136" s="71" t="s">
        <v>29</v>
      </c>
      <c r="J5136" s="76" t="s">
        <v>2973</v>
      </c>
      <c r="L5136" s="522">
        <v>287</v>
      </c>
      <c r="M5136" s="136">
        <f>M5135+K5136-L5136</f>
        <v>-89833.347296666107</v>
      </c>
    </row>
    <row r="5137" spans="1:13">
      <c r="A5137" s="54" t="str">
        <f>D5137&amp;E5137&amp;F5137</f>
        <v>SERVICIOSMTTO DE EDIFICIOMANTENIMIENTO</v>
      </c>
      <c r="B5137" t="s">
        <v>2821</v>
      </c>
      <c r="C5137" s="1">
        <f>C5136</f>
        <v>46002</v>
      </c>
      <c r="D5137" s="242" t="s">
        <v>21</v>
      </c>
      <c r="E5137" s="71" t="s">
        <v>142</v>
      </c>
      <c r="F5137" s="71" t="s">
        <v>35</v>
      </c>
      <c r="G5137" s="71" t="s">
        <v>258</v>
      </c>
      <c r="J5137" s="76" t="s">
        <v>2974</v>
      </c>
      <c r="L5137" s="434">
        <v>2478</v>
      </c>
      <c r="M5137" s="136">
        <f>M5136+K5137-L5137</f>
        <v>-92311.347296666107</v>
      </c>
    </row>
    <row r="5138" spans="1:13">
      <c r="A5138" s="54" t="str">
        <f>D5138&amp;E5138&amp;F5138</f>
        <v>HRUBERHR</v>
      </c>
      <c r="B5138" t="s">
        <v>2821</v>
      </c>
      <c r="C5138" s="1">
        <f>C5137</f>
        <v>46002</v>
      </c>
      <c r="D5138" s="242" t="s">
        <v>29</v>
      </c>
      <c r="E5138" s="71" t="s">
        <v>189</v>
      </c>
      <c r="F5138" s="71" t="s">
        <v>29</v>
      </c>
      <c r="J5138" s="76" t="s">
        <v>2975</v>
      </c>
      <c r="L5138" s="522">
        <v>50</v>
      </c>
      <c r="M5138" s="136">
        <f>M5137+K5138-L5138</f>
        <v>-92361.347296666107</v>
      </c>
    </row>
    <row r="5139" spans="1:13">
      <c r="A5139" s="54" t="str">
        <f>D5139&amp;E5139&amp;F5139</f>
        <v>HRJMASA11</v>
      </c>
      <c r="B5139" t="s">
        <v>2821</v>
      </c>
      <c r="C5139" s="1">
        <f>C5138</f>
        <v>46002</v>
      </c>
      <c r="D5139" s="242" t="s">
        <v>29</v>
      </c>
      <c r="E5139" s="71" t="s">
        <v>137</v>
      </c>
      <c r="F5139" s="71" t="s">
        <v>97</v>
      </c>
      <c r="J5139" s="76" t="s">
        <v>2404</v>
      </c>
      <c r="L5139" s="434">
        <v>615</v>
      </c>
      <c r="M5139" s="136">
        <f>M5138+K5139-L5139</f>
        <v>-92976.347296666107</v>
      </c>
    </row>
    <row r="5140" spans="1:13">
      <c r="A5140" s="54" t="str">
        <f>D5140&amp;E5140&amp;F5140</f>
        <v>HRJMASA15</v>
      </c>
      <c r="B5140" t="s">
        <v>2821</v>
      </c>
      <c r="C5140" s="1">
        <f>C5139</f>
        <v>46002</v>
      </c>
      <c r="D5140" s="242" t="s">
        <v>29</v>
      </c>
      <c r="E5140" s="71" t="s">
        <v>137</v>
      </c>
      <c r="F5140" s="71" t="s">
        <v>100</v>
      </c>
      <c r="J5140" s="76" t="s">
        <v>2976</v>
      </c>
      <c r="L5140" s="434">
        <v>957</v>
      </c>
      <c r="M5140" s="136">
        <f>M5139+K5140-L5140</f>
        <v>-93933.347296666107</v>
      </c>
    </row>
    <row r="5141" spans="1:13">
      <c r="A5141" s="54" t="str">
        <f>D5141&amp;E5141&amp;F5141</f>
        <v>HRUBERHR</v>
      </c>
      <c r="B5141" t="s">
        <v>2821</v>
      </c>
      <c r="C5141" s="1">
        <f>C5140</f>
        <v>46002</v>
      </c>
      <c r="D5141" s="242" t="s">
        <v>29</v>
      </c>
      <c r="E5141" s="71" t="s">
        <v>189</v>
      </c>
      <c r="F5141" s="71" t="s">
        <v>29</v>
      </c>
      <c r="J5141" s="76" t="s">
        <v>2366</v>
      </c>
      <c r="L5141" s="522">
        <v>660</v>
      </c>
      <c r="M5141" s="136">
        <f>M5140+K5141-L5141</f>
        <v>-94593.347296666107</v>
      </c>
    </row>
    <row r="5142" spans="1:13">
      <c r="A5142" s="54" t="str">
        <f>D5142&amp;E5142&amp;F5142</f>
        <v>CAPUBERCAP</v>
      </c>
      <c r="B5142" t="s">
        <v>2821</v>
      </c>
      <c r="C5142" s="1">
        <f>C5141</f>
        <v>46002</v>
      </c>
      <c r="D5142" s="242" t="s">
        <v>31</v>
      </c>
      <c r="E5142" s="71" t="s">
        <v>189</v>
      </c>
      <c r="F5142" s="71" t="s">
        <v>31</v>
      </c>
      <c r="J5142" s="76" t="s">
        <v>2267</v>
      </c>
      <c r="L5142" s="522">
        <v>549</v>
      </c>
      <c r="M5142" s="136">
        <f>M5141+K5142-L5142</f>
        <v>-95142.347296666107</v>
      </c>
    </row>
    <row r="5143" spans="1:13">
      <c r="A5143" s="54" t="str">
        <f>D5143&amp;E5143&amp;F5143</f>
        <v>CAPUBERCAP</v>
      </c>
      <c r="B5143" t="s">
        <v>2821</v>
      </c>
      <c r="C5143" s="1">
        <f>C5142</f>
        <v>46002</v>
      </c>
      <c r="D5143" s="242" t="s">
        <v>31</v>
      </c>
      <c r="E5143" s="71" t="s">
        <v>189</v>
      </c>
      <c r="F5143" s="71" t="s">
        <v>31</v>
      </c>
      <c r="J5143" s="76" t="s">
        <v>2268</v>
      </c>
      <c r="L5143" s="522">
        <v>65</v>
      </c>
      <c r="M5143" s="136">
        <f>M5142+K5143-L5143</f>
        <v>-95207.347296666107</v>
      </c>
    </row>
    <row r="5144" spans="1:13">
      <c r="A5144" s="54" t="str">
        <f>D5144&amp;E5144&amp;F5144</f>
        <v>SERVICIOSMTTO DE EDIFICIOMANTENIMIENTO</v>
      </c>
      <c r="B5144" t="s">
        <v>2821</v>
      </c>
      <c r="C5144" s="1">
        <f>C5143</f>
        <v>46002</v>
      </c>
      <c r="D5144" s="242" t="s">
        <v>21</v>
      </c>
      <c r="E5144" s="71" t="s">
        <v>142</v>
      </c>
      <c r="F5144" s="71" t="s">
        <v>35</v>
      </c>
      <c r="G5144" s="71" t="s">
        <v>258</v>
      </c>
      <c r="J5144" s="76" t="s">
        <v>2977</v>
      </c>
      <c r="L5144" s="434">
        <v>736</v>
      </c>
      <c r="M5144" s="136">
        <f>M5143+K5144-L5144</f>
        <v>-95943.347296666107</v>
      </c>
    </row>
    <row r="5145" spans="1:13">
      <c r="A5145" s="54" t="str">
        <f t="shared" ref="A5142:A5205" si="177">D5145&amp;E5145&amp;F5145</f>
        <v/>
      </c>
      <c r="B5145" t="s">
        <v>2821</v>
      </c>
      <c r="C5145" s="1">
        <v>46003</v>
      </c>
      <c r="J5145" s="71" t="s">
        <v>2045</v>
      </c>
      <c r="K5145" s="325">
        <v>630091.34</v>
      </c>
      <c r="L5145" s="432"/>
      <c r="M5145" s="136">
        <f>M5144+K5145-L5145</f>
        <v>534147.99270333385</v>
      </c>
    </row>
    <row r="5146" spans="1:13">
      <c r="A5146" s="54" t="str">
        <f>D5146&amp;E5146&amp;F5146</f>
        <v>FINANZASCOMISIONES BANCARIASTPV</v>
      </c>
      <c r="B5146" t="s">
        <v>2821</v>
      </c>
      <c r="C5146" s="1">
        <f t="shared" si="175"/>
        <v>46003</v>
      </c>
      <c r="D5146" s="242" t="s">
        <v>23</v>
      </c>
      <c r="E5146" s="71" t="s">
        <v>48</v>
      </c>
      <c r="F5146" s="71" t="s">
        <v>50</v>
      </c>
      <c r="J5146" s="71" t="s">
        <v>217</v>
      </c>
      <c r="L5146" s="433">
        <f>588.63+195.27+7320.9+3974.89</f>
        <v>12079.689999999999</v>
      </c>
      <c r="M5146" s="136">
        <f>M5145+K5146-L5146</f>
        <v>522068.30270333384</v>
      </c>
    </row>
    <row r="5147" spans="1:13">
      <c r="A5147" s="54" t="str">
        <f t="shared" si="177"/>
        <v/>
      </c>
      <c r="B5147" t="s">
        <v>2821</v>
      </c>
      <c r="C5147" s="1">
        <f t="shared" si="175"/>
        <v>46003</v>
      </c>
      <c r="J5147" s="205" t="s">
        <v>1562</v>
      </c>
      <c r="K5147" s="205"/>
      <c r="L5147" s="428">
        <v>135000</v>
      </c>
      <c r="M5147" s="136">
        <f>M5146+K5147-L5147</f>
        <v>387068.30270333384</v>
      </c>
    </row>
    <row r="5148" spans="1:13">
      <c r="A5148" s="54" t="str">
        <f t="shared" si="177"/>
        <v/>
      </c>
      <c r="B5148" t="s">
        <v>2821</v>
      </c>
      <c r="C5148" s="1">
        <f t="shared" si="175"/>
        <v>46003</v>
      </c>
      <c r="J5148" s="205" t="s">
        <v>318</v>
      </c>
      <c r="K5148" s="205"/>
      <c r="L5148" s="428">
        <v>150000</v>
      </c>
      <c r="M5148" s="136">
        <f>M5147+K5148-L5148</f>
        <v>237068.30270333384</v>
      </c>
    </row>
    <row r="5149" spans="1:13">
      <c r="A5149" s="54" t="str">
        <f t="shared" si="177"/>
        <v/>
      </c>
      <c r="B5149" t="s">
        <v>2821</v>
      </c>
      <c r="C5149" s="1">
        <f t="shared" si="175"/>
        <v>46003</v>
      </c>
      <c r="J5149" s="71" t="s">
        <v>2978</v>
      </c>
      <c r="L5149" s="433">
        <v>150000</v>
      </c>
      <c r="M5149" s="136">
        <f>M5148+K5149-L5149</f>
        <v>87068.302703333844</v>
      </c>
    </row>
    <row r="5150" spans="1:13">
      <c r="A5150" s="54" t="str">
        <f>D5150&amp;E5150&amp;F5150</f>
        <v>FINANZASHONORARIOSRECURSOS HUMANOS</v>
      </c>
      <c r="B5150" t="s">
        <v>2821</v>
      </c>
      <c r="C5150" s="1">
        <f t="shared" si="175"/>
        <v>46003</v>
      </c>
      <c r="D5150" s="242" t="s">
        <v>23</v>
      </c>
      <c r="E5150" s="71" t="s">
        <v>124</v>
      </c>
      <c r="F5150" s="71" t="s">
        <v>125</v>
      </c>
      <c r="J5150" s="71" t="s">
        <v>2979</v>
      </c>
      <c r="L5150" s="433">
        <v>132000</v>
      </c>
      <c r="M5150" s="136">
        <f>M5149+K5150-L5150</f>
        <v>-44931.697296666156</v>
      </c>
    </row>
    <row r="5151" spans="1:13">
      <c r="A5151" s="54" t="str">
        <f t="shared" si="177"/>
        <v>HR</v>
      </c>
      <c r="B5151" t="s">
        <v>2821</v>
      </c>
      <c r="C5151" s="1">
        <f t="shared" si="175"/>
        <v>46003</v>
      </c>
      <c r="D5151" s="242" t="s">
        <v>29</v>
      </c>
      <c r="F5151" s="387"/>
      <c r="G5151" s="71" t="s">
        <v>258</v>
      </c>
      <c r="J5151" s="76" t="s">
        <v>2980</v>
      </c>
      <c r="L5151" s="434">
        <v>1599</v>
      </c>
      <c r="M5151" s="136">
        <f>M5150+K5151-L5151</f>
        <v>-46530.697296666156</v>
      </c>
    </row>
    <row r="5152" spans="1:13">
      <c r="A5152" s="54" t="str">
        <f>D5152&amp;E5152&amp;F5152</f>
        <v>HRUBERHR</v>
      </c>
      <c r="B5152" t="s">
        <v>2821</v>
      </c>
      <c r="C5152" s="1">
        <f t="shared" si="175"/>
        <v>46003</v>
      </c>
      <c r="D5152" s="242" t="s">
        <v>29</v>
      </c>
      <c r="E5152" s="71" t="s">
        <v>189</v>
      </c>
      <c r="F5152" s="71" t="s">
        <v>29</v>
      </c>
      <c r="J5152" s="76" t="s">
        <v>2975</v>
      </c>
      <c r="L5152" s="522">
        <v>100</v>
      </c>
      <c r="M5152" s="136">
        <f>M5151+K5152-L5152</f>
        <v>-46630.697296666156</v>
      </c>
    </row>
    <row r="5153" spans="1:13">
      <c r="A5153" s="54" t="str">
        <f>D5153&amp;E5153&amp;F5153</f>
        <v>HRINSUMOSHR</v>
      </c>
      <c r="B5153" t="s">
        <v>2821</v>
      </c>
      <c r="C5153" s="1">
        <f t="shared" si="175"/>
        <v>46003</v>
      </c>
      <c r="D5153" s="242" t="s">
        <v>29</v>
      </c>
      <c r="E5153" s="71" t="s">
        <v>133</v>
      </c>
      <c r="F5153" s="71" t="s">
        <v>29</v>
      </c>
      <c r="J5153" s="76" t="s">
        <v>2277</v>
      </c>
      <c r="L5153" s="434">
        <v>180</v>
      </c>
      <c r="M5153" s="136">
        <f>M5152+K5153-L5153</f>
        <v>-46810.697296666156</v>
      </c>
    </row>
    <row r="5154" spans="1:13">
      <c r="A5154" s="54" t="str">
        <f>D5154&amp;E5154&amp;F5154</f>
        <v>HRUBERHR</v>
      </c>
      <c r="B5154" t="s">
        <v>2821</v>
      </c>
      <c r="C5154" s="1">
        <f>C5152</f>
        <v>46003</v>
      </c>
      <c r="D5154" s="242" t="s">
        <v>29</v>
      </c>
      <c r="E5154" s="71" t="s">
        <v>189</v>
      </c>
      <c r="F5154" s="71" t="s">
        <v>29</v>
      </c>
      <c r="J5154" s="76" t="s">
        <v>2767</v>
      </c>
      <c r="L5154" s="522">
        <v>1100</v>
      </c>
      <c r="M5154" s="136">
        <f>M5153+K5154-L5154</f>
        <v>-47910.697296666156</v>
      </c>
    </row>
    <row r="5155" spans="1:13">
      <c r="A5155" s="54" t="str">
        <f>D5155&amp;E5155&amp;F5155</f>
        <v>HRINSUMOSHR</v>
      </c>
      <c r="B5155" t="s">
        <v>2821</v>
      </c>
      <c r="C5155" s="1">
        <f t="shared" si="175"/>
        <v>46003</v>
      </c>
      <c r="D5155" s="242" t="s">
        <v>29</v>
      </c>
      <c r="E5155" s="71" t="s">
        <v>133</v>
      </c>
      <c r="F5155" s="71" t="s">
        <v>29</v>
      </c>
      <c r="J5155" s="76" t="s">
        <v>2656</v>
      </c>
      <c r="L5155" s="434">
        <v>160</v>
      </c>
      <c r="M5155" s="136">
        <f>M5154+K5155-L5155</f>
        <v>-48070.697296666156</v>
      </c>
    </row>
    <row r="5156" spans="1:13">
      <c r="A5156" s="54" t="str">
        <f>D5156&amp;E5156&amp;F5156</f>
        <v>HRUBERHR</v>
      </c>
      <c r="B5156" t="s">
        <v>2821</v>
      </c>
      <c r="C5156" s="1">
        <f t="shared" si="175"/>
        <v>46003</v>
      </c>
      <c r="D5156" s="242" t="s">
        <v>29</v>
      </c>
      <c r="E5156" s="71" t="s">
        <v>189</v>
      </c>
      <c r="F5156" s="71" t="s">
        <v>29</v>
      </c>
      <c r="J5156" s="76" t="s">
        <v>2981</v>
      </c>
      <c r="L5156" s="522">
        <v>600</v>
      </c>
      <c r="M5156" s="136">
        <f>M5155+K5156-L5156</f>
        <v>-48670.697296666156</v>
      </c>
    </row>
    <row r="5157" spans="1:13">
      <c r="A5157" s="54" t="str">
        <f>D5157&amp;E5157&amp;F5157</f>
        <v>HRUBERHR</v>
      </c>
      <c r="B5157" t="s">
        <v>2821</v>
      </c>
      <c r="C5157" s="1">
        <f t="shared" si="175"/>
        <v>46003</v>
      </c>
      <c r="D5157" s="242" t="s">
        <v>29</v>
      </c>
      <c r="E5157" s="71" t="s">
        <v>189</v>
      </c>
      <c r="F5157" s="71" t="s">
        <v>29</v>
      </c>
      <c r="J5157" s="76" t="s">
        <v>2366</v>
      </c>
      <c r="L5157" s="531">
        <v>660</v>
      </c>
      <c r="M5157" s="136">
        <f>M5156+K5157-L5157</f>
        <v>-49330.697296666156</v>
      </c>
    </row>
    <row r="5158" spans="1:13">
      <c r="A5158" s="54" t="str">
        <f>D5158&amp;E5158&amp;F5158</f>
        <v>HRJMASA24</v>
      </c>
      <c r="B5158" t="s">
        <v>2821</v>
      </c>
      <c r="C5158" s="1">
        <f t="shared" si="175"/>
        <v>46003</v>
      </c>
      <c r="D5158" s="242" t="s">
        <v>29</v>
      </c>
      <c r="E5158" s="71" t="s">
        <v>137</v>
      </c>
      <c r="F5158" s="71" t="s">
        <v>106</v>
      </c>
      <c r="J5158" s="76" t="s">
        <v>2712</v>
      </c>
      <c r="L5158" s="434">
        <v>1167</v>
      </c>
      <c r="M5158" s="136">
        <f>M5157+K5158-L5158</f>
        <v>-50497.697296666156</v>
      </c>
    </row>
    <row r="5159" spans="1:13">
      <c r="A5159" s="54" t="str">
        <f>D5159&amp;E5159&amp;F5159</f>
        <v>HRUBERHR</v>
      </c>
      <c r="B5159" t="s">
        <v>2821</v>
      </c>
      <c r="C5159" s="1">
        <f t="shared" si="175"/>
        <v>46003</v>
      </c>
      <c r="D5159" s="242" t="s">
        <v>29</v>
      </c>
      <c r="E5159" s="71" t="s">
        <v>189</v>
      </c>
      <c r="F5159" s="71" t="s">
        <v>29</v>
      </c>
      <c r="J5159" s="76" t="s">
        <v>2982</v>
      </c>
      <c r="L5159" s="522">
        <v>84</v>
      </c>
      <c r="M5159" s="136">
        <f>M5158+K5159-L5159</f>
        <v>-50581.697296666156</v>
      </c>
    </row>
    <row r="5160" spans="1:13">
      <c r="A5160" s="54" t="str">
        <f>D5160&amp;E5160&amp;F5160</f>
        <v>CAPUBERCAP</v>
      </c>
      <c r="B5160" t="s">
        <v>2821</v>
      </c>
      <c r="C5160" s="1">
        <f t="shared" si="175"/>
        <v>46003</v>
      </c>
      <c r="D5160" s="242" t="s">
        <v>31</v>
      </c>
      <c r="E5160" s="71" t="s">
        <v>189</v>
      </c>
      <c r="F5160" s="71" t="s">
        <v>31</v>
      </c>
      <c r="J5160" s="76" t="s">
        <v>2267</v>
      </c>
      <c r="L5160" s="522">
        <v>270</v>
      </c>
      <c r="M5160" s="136">
        <f>M5159+K5160-L5160</f>
        <v>-50851.697296666156</v>
      </c>
    </row>
    <row r="5161" spans="1:13">
      <c r="A5161" s="54" t="str">
        <f>D5161&amp;E5161&amp;F5161</f>
        <v>CAPUBERCAP</v>
      </c>
      <c r="B5161" t="s">
        <v>2821</v>
      </c>
      <c r="C5161" s="1">
        <f t="shared" si="175"/>
        <v>46003</v>
      </c>
      <c r="D5161" s="242" t="s">
        <v>31</v>
      </c>
      <c r="E5161" s="71" t="s">
        <v>189</v>
      </c>
      <c r="F5161" s="71" t="s">
        <v>31</v>
      </c>
      <c r="J5161" s="76" t="s">
        <v>2537</v>
      </c>
      <c r="L5161" s="522">
        <v>400</v>
      </c>
      <c r="M5161" s="136">
        <f>M5160+K5161-L5161</f>
        <v>-51251.697296666156</v>
      </c>
    </row>
    <row r="5162" spans="1:13">
      <c r="A5162" s="54" t="str">
        <f>D5162&amp;E5162&amp;F5162</f>
        <v>ELIUBERL1</v>
      </c>
      <c r="B5162" t="s">
        <v>2821</v>
      </c>
      <c r="C5162" s="1">
        <f t="shared" si="175"/>
        <v>46003</v>
      </c>
      <c r="D5162" s="242" t="s">
        <v>130</v>
      </c>
      <c r="E5162" s="71" t="s">
        <v>189</v>
      </c>
      <c r="F5162" s="71" t="s">
        <v>136</v>
      </c>
      <c r="G5162" s="71" t="s">
        <v>258</v>
      </c>
      <c r="J5162" s="76" t="s">
        <v>2442</v>
      </c>
      <c r="L5162" s="522">
        <v>150</v>
      </c>
      <c r="M5162" s="136">
        <f>M5161+K5162-L5162</f>
        <v>-51401.697296666156</v>
      </c>
    </row>
    <row r="5163" spans="1:13">
      <c r="A5163" s="54" t="str">
        <f>D5163&amp;E5163&amp;F5163</f>
        <v>FINANZASINSUMOSFINANZAS</v>
      </c>
      <c r="B5163" t="s">
        <v>2821</v>
      </c>
      <c r="C5163" s="1">
        <f t="shared" si="175"/>
        <v>46003</v>
      </c>
      <c r="D5163" s="242" t="s">
        <v>23</v>
      </c>
      <c r="E5163" s="71" t="s">
        <v>133</v>
      </c>
      <c r="F5163" s="71" t="s">
        <v>23</v>
      </c>
      <c r="G5163" s="71" t="s">
        <v>258</v>
      </c>
      <c r="J5163" s="71" t="s">
        <v>2983</v>
      </c>
      <c r="L5163" s="433">
        <v>66</v>
      </c>
      <c r="M5163" s="136">
        <f>M5162+K5163-L5163</f>
        <v>-51467.697296666156</v>
      </c>
    </row>
    <row r="5164" spans="1:13">
      <c r="A5164" s="54" t="str">
        <f>D5164&amp;E5164&amp;F5164</f>
        <v>MKTFONDO Y REPOSICIONMKT</v>
      </c>
      <c r="B5164" t="s">
        <v>2821</v>
      </c>
      <c r="C5164" s="1">
        <f t="shared" si="175"/>
        <v>46003</v>
      </c>
      <c r="D5164" s="242" t="s">
        <v>19</v>
      </c>
      <c r="E5164" s="71" t="s">
        <v>120</v>
      </c>
      <c r="F5164" s="71" t="s">
        <v>19</v>
      </c>
      <c r="G5164" s="71" t="s">
        <v>258</v>
      </c>
      <c r="J5164" s="71" t="s">
        <v>2726</v>
      </c>
      <c r="L5164" s="433">
        <v>235</v>
      </c>
      <c r="M5164" s="136">
        <f>M5163+K5164-L5164</f>
        <v>-51702.697296666156</v>
      </c>
    </row>
    <row r="5165" spans="1:13">
      <c r="A5165" s="54" t="str">
        <f>D5165&amp;E5165&amp;F5165</f>
        <v>MKTVIATICOSMKT</v>
      </c>
      <c r="B5165" t="s">
        <v>2821</v>
      </c>
      <c r="C5165" s="1">
        <f t="shared" si="175"/>
        <v>46003</v>
      </c>
      <c r="D5165" s="242" t="s">
        <v>19</v>
      </c>
      <c r="E5165" s="71" t="s">
        <v>191</v>
      </c>
      <c r="F5165" s="71" t="s">
        <v>19</v>
      </c>
      <c r="G5165" s="71" t="s">
        <v>258</v>
      </c>
      <c r="J5165" s="71" t="s">
        <v>2984</v>
      </c>
      <c r="L5165" s="433">
        <v>1690</v>
      </c>
      <c r="M5165" s="136">
        <f>M5164+K5165-L5165</f>
        <v>-53392.697296666156</v>
      </c>
    </row>
    <row r="5166" spans="1:13">
      <c r="A5166" s="54" t="str">
        <f>D5166&amp;E5166&amp;F5166</f>
        <v>SERVICIOSVIATICOSMANTENIMIENTO</v>
      </c>
      <c r="B5166" t="s">
        <v>2821</v>
      </c>
      <c r="C5166" s="1">
        <f t="shared" si="175"/>
        <v>46003</v>
      </c>
      <c r="D5166" s="242" t="s">
        <v>21</v>
      </c>
      <c r="E5166" s="71" t="s">
        <v>191</v>
      </c>
      <c r="F5166" s="71" t="s">
        <v>35</v>
      </c>
      <c r="J5166" s="71" t="s">
        <v>2985</v>
      </c>
      <c r="L5166" s="433">
        <v>1100</v>
      </c>
      <c r="M5166" s="136">
        <f>M5165+K5166-L5166</f>
        <v>-54492.697296666156</v>
      </c>
    </row>
    <row r="5167" spans="1:13">
      <c r="A5167" s="54" t="str">
        <f t="shared" si="177"/>
        <v/>
      </c>
      <c r="B5167" t="s">
        <v>2821</v>
      </c>
      <c r="C5167" s="1">
        <v>46006</v>
      </c>
      <c r="J5167" s="71" t="s">
        <v>2045</v>
      </c>
      <c r="K5167" s="325">
        <v>2500763.2400000002</v>
      </c>
      <c r="L5167" s="432"/>
      <c r="M5167" s="136">
        <f>M5166+K5167-L5167</f>
        <v>2446270.5427033342</v>
      </c>
    </row>
    <row r="5168" spans="1:13">
      <c r="A5168" s="54" t="str">
        <f>D5168&amp;E5168&amp;F5168</f>
        <v>FINANZASCOMISIONES BANCARIASTPV</v>
      </c>
      <c r="B5168" t="s">
        <v>2821</v>
      </c>
      <c r="C5168" s="1">
        <f t="shared" si="175"/>
        <v>46006</v>
      </c>
      <c r="D5168" s="242" t="s">
        <v>23</v>
      </c>
      <c r="E5168" s="71" t="s">
        <v>48</v>
      </c>
      <c r="F5168" s="71" t="s">
        <v>50</v>
      </c>
      <c r="J5168" s="71" t="s">
        <v>217</v>
      </c>
      <c r="L5168" s="433">
        <f>15+3760.33+1100.87+24.36+1044+6033.64+25576.22+12726.43+590.47+2539.54</f>
        <v>53410.86</v>
      </c>
      <c r="M5168" s="136">
        <f>M5167+K5168-L5168</f>
        <v>2392859.6827033344</v>
      </c>
    </row>
    <row r="5169" spans="1:13">
      <c r="A5169" s="54" t="str">
        <f t="shared" si="177"/>
        <v/>
      </c>
      <c r="B5169" t="s">
        <v>2821</v>
      </c>
      <c r="C5169" s="1">
        <f t="shared" si="175"/>
        <v>46006</v>
      </c>
      <c r="J5169" s="205" t="s">
        <v>1562</v>
      </c>
      <c r="K5169" s="205"/>
      <c r="L5169" s="428">
        <v>400000</v>
      </c>
      <c r="M5169" s="136">
        <f>M5168+K5169-L5169</f>
        <v>1992859.6827033344</v>
      </c>
    </row>
    <row r="5170" spans="1:13">
      <c r="A5170" s="54" t="str">
        <f t="shared" si="177"/>
        <v/>
      </c>
      <c r="B5170" t="s">
        <v>2821</v>
      </c>
      <c r="C5170" s="1">
        <f t="shared" ref="C5170:C5284" si="178">C5169</f>
        <v>46006</v>
      </c>
      <c r="J5170" s="205" t="s">
        <v>222</v>
      </c>
      <c r="K5170" s="205"/>
      <c r="L5170" s="428">
        <v>1800000</v>
      </c>
      <c r="M5170" s="136">
        <f>M5169+K5170-L5170</f>
        <v>192859.68270333437</v>
      </c>
    </row>
    <row r="5171" spans="1:13">
      <c r="A5171" s="54" t="str">
        <f>D5171&amp;E5171&amp;F5171</f>
        <v>FINANZASPOSADASPOSADAS</v>
      </c>
      <c r="B5171" t="s">
        <v>2821</v>
      </c>
      <c r="C5171" s="1">
        <f t="shared" si="178"/>
        <v>46006</v>
      </c>
      <c r="D5171" s="242" t="s">
        <v>23</v>
      </c>
      <c r="E5171" s="71" t="s">
        <v>163</v>
      </c>
      <c r="F5171" s="71" t="s">
        <v>163</v>
      </c>
      <c r="J5171" s="71" t="s">
        <v>2986</v>
      </c>
      <c r="L5171" s="433">
        <v>5000</v>
      </c>
      <c r="M5171" s="136">
        <f>M5170+K5171-L5171</f>
        <v>187859.68270333437</v>
      </c>
    </row>
    <row r="5172" spans="1:13">
      <c r="A5172" s="54" t="str">
        <f>D5172&amp;E5172&amp;F5172</f>
        <v>SERVICIOSMTTO DE EDIFICIOMANTENIMIENTO</v>
      </c>
      <c r="B5172" t="s">
        <v>2821</v>
      </c>
      <c r="C5172" s="1">
        <f t="shared" si="178"/>
        <v>46006</v>
      </c>
      <c r="D5172" s="242" t="s">
        <v>21</v>
      </c>
      <c r="E5172" s="71" t="s">
        <v>142</v>
      </c>
      <c r="F5172" s="71" t="s">
        <v>35</v>
      </c>
      <c r="G5172" s="71" t="s">
        <v>258</v>
      </c>
      <c r="J5172" s="71" t="s">
        <v>2987</v>
      </c>
      <c r="L5172" s="433">
        <v>21250.69</v>
      </c>
      <c r="M5172" s="136">
        <f>M5171+K5172-L5172</f>
        <v>166608.99270333437</v>
      </c>
    </row>
    <row r="5173" spans="1:13">
      <c r="A5173" s="54" t="str">
        <f>D5173&amp;E5173&amp;F5173</f>
        <v>SERVICIOSINSUMOSSISTEMAS</v>
      </c>
      <c r="B5173" t="s">
        <v>2821</v>
      </c>
      <c r="C5173" s="1">
        <f t="shared" si="178"/>
        <v>46006</v>
      </c>
      <c r="D5173" s="242" t="s">
        <v>21</v>
      </c>
      <c r="E5173" s="71" t="s">
        <v>133</v>
      </c>
      <c r="F5173" s="71" t="s">
        <v>36</v>
      </c>
      <c r="G5173" s="71" t="s">
        <v>258</v>
      </c>
      <c r="J5173" s="71" t="s">
        <v>2988</v>
      </c>
      <c r="L5173" s="433">
        <v>5543.64</v>
      </c>
      <c r="M5173" s="136">
        <f>M5172+K5173-L5173</f>
        <v>161065.35270333436</v>
      </c>
    </row>
    <row r="5174" spans="1:13">
      <c r="A5174" s="54" t="str">
        <f>D5174&amp;E5174&amp;F5174</f>
        <v>SERVICIOSPAQUETERIACEDIS (E6)</v>
      </c>
      <c r="B5174" t="s">
        <v>2821</v>
      </c>
      <c r="C5174" s="1">
        <f t="shared" si="178"/>
        <v>46006</v>
      </c>
      <c r="D5174" s="242" t="s">
        <v>21</v>
      </c>
      <c r="E5174" s="71" t="s">
        <v>160</v>
      </c>
      <c r="F5174" s="71" t="s">
        <v>161</v>
      </c>
      <c r="J5174" s="71" t="s">
        <v>229</v>
      </c>
      <c r="L5174" s="433">
        <v>2779.92</v>
      </c>
      <c r="M5174" s="136">
        <f>M5173+K5174-L5174</f>
        <v>158285.43270333434</v>
      </c>
    </row>
    <row r="5175" spans="1:13">
      <c r="A5175" s="54" t="str">
        <f>D5175&amp;E5175&amp;F5175</f>
        <v>HRUBERHR</v>
      </c>
      <c r="B5175" t="s">
        <v>2821</v>
      </c>
      <c r="C5175" s="1">
        <f t="shared" si="178"/>
        <v>46006</v>
      </c>
      <c r="D5175" s="242" t="s">
        <v>29</v>
      </c>
      <c r="E5175" s="71" t="s">
        <v>189</v>
      </c>
      <c r="F5175" s="71" t="s">
        <v>29</v>
      </c>
      <c r="J5175" s="76" t="s">
        <v>2548</v>
      </c>
      <c r="L5175" s="522">
        <v>400</v>
      </c>
      <c r="M5175" s="136">
        <f>M5174+K5175-L5175</f>
        <v>157885.43270333434</v>
      </c>
    </row>
    <row r="5176" spans="1:13">
      <c r="A5176" s="54" t="str">
        <f>D5176&amp;E5176&amp;F5176</f>
        <v>HRNOMINA SUCURSALA2</v>
      </c>
      <c r="B5176" t="s">
        <v>2821</v>
      </c>
      <c r="C5176" s="1">
        <f t="shared" si="178"/>
        <v>46006</v>
      </c>
      <c r="D5176" s="242" t="s">
        <v>29</v>
      </c>
      <c r="E5176" s="71" t="s">
        <v>154</v>
      </c>
      <c r="F5176" s="71" t="s">
        <v>89</v>
      </c>
      <c r="J5176" s="76" t="s">
        <v>2989</v>
      </c>
      <c r="L5176" s="434">
        <v>3590</v>
      </c>
      <c r="M5176" s="136">
        <f>M5175+K5176-L5176</f>
        <v>154295.43270333434</v>
      </c>
    </row>
    <row r="5177" spans="1:13">
      <c r="A5177" s="54" t="str">
        <f>D5177&amp;E5177&amp;F5177</f>
        <v>HRNOMINA SUCURSALA3</v>
      </c>
      <c r="B5177" t="s">
        <v>2821</v>
      </c>
      <c r="C5177" s="1">
        <f t="shared" si="178"/>
        <v>46006</v>
      </c>
      <c r="D5177" s="242" t="s">
        <v>29</v>
      </c>
      <c r="E5177" s="71" t="s">
        <v>154</v>
      </c>
      <c r="F5177" s="71" t="s">
        <v>90</v>
      </c>
      <c r="J5177" s="76" t="s">
        <v>2990</v>
      </c>
      <c r="L5177" s="434">
        <v>2510</v>
      </c>
      <c r="M5177" s="136">
        <f>M5176+K5177-L5177</f>
        <v>151785.43270333434</v>
      </c>
    </row>
    <row r="5178" spans="1:13">
      <c r="A5178" s="54" t="str">
        <f>D5178&amp;E5178&amp;F5178</f>
        <v>HRUBERHR</v>
      </c>
      <c r="B5178" t="s">
        <v>2821</v>
      </c>
      <c r="C5178" s="1">
        <f t="shared" si="178"/>
        <v>46006</v>
      </c>
      <c r="D5178" s="242" t="s">
        <v>29</v>
      </c>
      <c r="E5178" s="71" t="s">
        <v>189</v>
      </c>
      <c r="F5178" s="71" t="s">
        <v>29</v>
      </c>
      <c r="J5178" s="76" t="s">
        <v>2388</v>
      </c>
      <c r="L5178" s="522">
        <v>225</v>
      </c>
      <c r="M5178" s="136">
        <f>M5177+K5178-L5178</f>
        <v>151560.43270333434</v>
      </c>
    </row>
    <row r="5179" spans="1:13">
      <c r="A5179" s="54" t="str">
        <f>D5179&amp;E5179&amp;F5179</f>
        <v>HRUBERHR</v>
      </c>
      <c r="B5179" t="s">
        <v>2821</v>
      </c>
      <c r="C5179" s="1">
        <f t="shared" si="178"/>
        <v>46006</v>
      </c>
      <c r="D5179" s="242" t="s">
        <v>29</v>
      </c>
      <c r="E5179" s="71" t="s">
        <v>189</v>
      </c>
      <c r="F5179" s="71" t="s">
        <v>29</v>
      </c>
      <c r="J5179" s="76" t="s">
        <v>2991</v>
      </c>
      <c r="L5179" s="522">
        <v>540</v>
      </c>
      <c r="M5179" s="136">
        <f>M5178+K5179-L5179</f>
        <v>151020.43270333434</v>
      </c>
    </row>
    <row r="5180" spans="1:13">
      <c r="A5180" s="54" t="str">
        <f>D5180&amp;E5180&amp;F5180</f>
        <v>HRNOMINA SUCURSALA6</v>
      </c>
      <c r="B5180" t="s">
        <v>2821</v>
      </c>
      <c r="C5180" s="1">
        <f t="shared" si="178"/>
        <v>46006</v>
      </c>
      <c r="D5180" s="242" t="s">
        <v>29</v>
      </c>
      <c r="E5180" s="71" t="s">
        <v>154</v>
      </c>
      <c r="F5180" s="71" t="s">
        <v>93</v>
      </c>
      <c r="J5180" s="76" t="s">
        <v>2992</v>
      </c>
      <c r="L5180" s="434">
        <v>3165</v>
      </c>
      <c r="M5180" s="136">
        <f>M5179+K5180-L5180</f>
        <v>147855.43270333434</v>
      </c>
    </row>
    <row r="5181" spans="1:13">
      <c r="A5181" s="54" t="str">
        <f>D5181&amp;E5181&amp;F5181</f>
        <v>FINANZASRECOLECCION DE BASURAHR</v>
      </c>
      <c r="B5181" t="s">
        <v>2821</v>
      </c>
      <c r="C5181" s="1">
        <f t="shared" si="178"/>
        <v>46006</v>
      </c>
      <c r="D5181" s="242" t="s">
        <v>23</v>
      </c>
      <c r="E5181" s="71" t="s">
        <v>166</v>
      </c>
      <c r="F5181" s="71" t="s">
        <v>29</v>
      </c>
      <c r="J5181" s="76" t="s">
        <v>2993</v>
      </c>
      <c r="L5181" s="434">
        <v>600</v>
      </c>
      <c r="M5181" s="136">
        <f>M5180+K5181-L5181</f>
        <v>147255.43270333434</v>
      </c>
    </row>
    <row r="5182" spans="1:13">
      <c r="A5182" s="54" t="str">
        <f>D5182&amp;E5182&amp;F5182</f>
        <v>HRUBERHR</v>
      </c>
      <c r="B5182" t="s">
        <v>2821</v>
      </c>
      <c r="C5182" s="1">
        <f t="shared" si="178"/>
        <v>46006</v>
      </c>
      <c r="D5182" s="242" t="s">
        <v>29</v>
      </c>
      <c r="E5182" s="71" t="s">
        <v>189</v>
      </c>
      <c r="F5182" s="71" t="s">
        <v>29</v>
      </c>
      <c r="J5182" s="76" t="s">
        <v>2608</v>
      </c>
      <c r="L5182" s="522">
        <v>100</v>
      </c>
      <c r="M5182" s="136">
        <f>M5181+K5182-L5182</f>
        <v>147155.43270333434</v>
      </c>
    </row>
    <row r="5183" spans="1:13">
      <c r="A5183" s="54" t="str">
        <f>D5183&amp;E5183&amp;F5183</f>
        <v>SERVICIOSMTTO DE EDIFICIOMANTENIMIENTO</v>
      </c>
      <c r="B5183" t="s">
        <v>2821</v>
      </c>
      <c r="C5183" s="1">
        <f t="shared" si="178"/>
        <v>46006</v>
      </c>
      <c r="D5183" s="242" t="s">
        <v>21</v>
      </c>
      <c r="E5183" s="71" t="s">
        <v>142</v>
      </c>
      <c r="F5183" s="71" t="s">
        <v>35</v>
      </c>
      <c r="G5183" s="71" t="s">
        <v>258</v>
      </c>
      <c r="J5183" s="76" t="s">
        <v>2994</v>
      </c>
      <c r="L5183" s="434">
        <v>190</v>
      </c>
      <c r="M5183" s="136">
        <f>M5182+K5183-L5183</f>
        <v>146965.43270333434</v>
      </c>
    </row>
    <row r="5184" spans="1:13">
      <c r="A5184" s="54" t="str">
        <f>D5184&amp;E5184&amp;F5184</f>
        <v>HRUBERHR</v>
      </c>
      <c r="B5184" t="s">
        <v>2821</v>
      </c>
      <c r="C5184" s="1">
        <f t="shared" si="178"/>
        <v>46006</v>
      </c>
      <c r="D5184" s="242" t="s">
        <v>29</v>
      </c>
      <c r="E5184" s="71" t="s">
        <v>189</v>
      </c>
      <c r="F5184" s="71" t="s">
        <v>29</v>
      </c>
      <c r="J5184" s="76" t="s">
        <v>2995</v>
      </c>
      <c r="L5184" s="522">
        <v>200</v>
      </c>
      <c r="M5184" s="136">
        <f>M5183+K5184-L5184</f>
        <v>146765.43270333434</v>
      </c>
    </row>
    <row r="5185" spans="1:13">
      <c r="A5185" s="54" t="str">
        <f>D5185&amp;E5185&amp;F5185</f>
        <v>HRUBERHR</v>
      </c>
      <c r="B5185" t="s">
        <v>2821</v>
      </c>
      <c r="C5185" s="1">
        <f t="shared" si="178"/>
        <v>46006</v>
      </c>
      <c r="D5185" s="242" t="s">
        <v>29</v>
      </c>
      <c r="E5185" s="71" t="s">
        <v>189</v>
      </c>
      <c r="F5185" s="71" t="s">
        <v>29</v>
      </c>
      <c r="J5185" s="76" t="s">
        <v>2399</v>
      </c>
      <c r="L5185" s="522">
        <v>1710</v>
      </c>
      <c r="M5185" s="136">
        <f>M5184+K5185-L5185</f>
        <v>145055.43270333434</v>
      </c>
    </row>
    <row r="5186" spans="1:13">
      <c r="A5186" s="54" t="str">
        <f>D5186&amp;E5186&amp;F5186</f>
        <v>HRNOMINA SUCURSALA10</v>
      </c>
      <c r="B5186" t="s">
        <v>2821</v>
      </c>
      <c r="C5186" s="1">
        <f t="shared" si="178"/>
        <v>46006</v>
      </c>
      <c r="D5186" s="242" t="s">
        <v>29</v>
      </c>
      <c r="E5186" s="71" t="s">
        <v>154</v>
      </c>
      <c r="F5186" s="71" t="s">
        <v>96</v>
      </c>
      <c r="J5186" s="76" t="s">
        <v>2996</v>
      </c>
      <c r="L5186" s="434">
        <v>4700</v>
      </c>
      <c r="M5186" s="136">
        <f>M5185+K5186-L5186</f>
        <v>140355.43270333434</v>
      </c>
    </row>
    <row r="5187" spans="1:13">
      <c r="A5187" s="54" t="str">
        <f>D5187&amp;E5187&amp;F5187</f>
        <v>HRINSUMOSHR</v>
      </c>
      <c r="B5187" t="s">
        <v>2821</v>
      </c>
      <c r="C5187" s="1">
        <f t="shared" si="178"/>
        <v>46006</v>
      </c>
      <c r="D5187" s="242" t="s">
        <v>29</v>
      </c>
      <c r="E5187" s="71" t="s">
        <v>133</v>
      </c>
      <c r="F5187" s="71" t="s">
        <v>29</v>
      </c>
      <c r="J5187" s="76" t="s">
        <v>2997</v>
      </c>
      <c r="L5187" s="434">
        <v>54.98</v>
      </c>
      <c r="M5187" s="136">
        <f>M5186+K5187-L5187</f>
        <v>140300.45270333433</v>
      </c>
    </row>
    <row r="5188" spans="1:13">
      <c r="A5188" s="54" t="str">
        <f t="shared" si="177"/>
        <v/>
      </c>
      <c r="B5188" t="s">
        <v>2821</v>
      </c>
      <c r="C5188" s="1">
        <f t="shared" si="178"/>
        <v>46006</v>
      </c>
      <c r="J5188" s="76" t="s">
        <v>2998</v>
      </c>
      <c r="L5188" s="434">
        <v>263</v>
      </c>
      <c r="M5188" s="136">
        <f>M5187+K5188-L5188</f>
        <v>140037.45270333433</v>
      </c>
    </row>
    <row r="5189" spans="1:13">
      <c r="A5189" s="54" t="str">
        <f>D5189&amp;E5189&amp;F5189</f>
        <v>HRUBERHR</v>
      </c>
      <c r="B5189" t="s">
        <v>2821</v>
      </c>
      <c r="C5189" s="1">
        <f t="shared" si="178"/>
        <v>46006</v>
      </c>
      <c r="D5189" s="242" t="s">
        <v>29</v>
      </c>
      <c r="E5189" s="71" t="s">
        <v>189</v>
      </c>
      <c r="F5189" s="71" t="s">
        <v>29</v>
      </c>
      <c r="J5189" s="76" t="s">
        <v>2999</v>
      </c>
      <c r="L5189" s="522">
        <v>1900</v>
      </c>
      <c r="M5189" s="136">
        <f>M5188+K5189-L5189</f>
        <v>138137.45270333433</v>
      </c>
    </row>
    <row r="5190" spans="1:13">
      <c r="A5190" s="54" t="str">
        <f>D5190&amp;E5190&amp;F5190</f>
        <v>HRINSUMOSHR</v>
      </c>
      <c r="B5190" t="s">
        <v>2821</v>
      </c>
      <c r="C5190" s="1">
        <f t="shared" si="178"/>
        <v>46006</v>
      </c>
      <c r="D5190" s="242" t="s">
        <v>29</v>
      </c>
      <c r="E5190" s="71" t="s">
        <v>133</v>
      </c>
      <c r="F5190" s="71" t="s">
        <v>29</v>
      </c>
      <c r="J5190" s="76" t="s">
        <v>2291</v>
      </c>
      <c r="L5190" s="434">
        <v>440</v>
      </c>
      <c r="M5190" s="136">
        <f>M5189+K5190-L5190</f>
        <v>137697.45270333433</v>
      </c>
    </row>
    <row r="5191" spans="1:13">
      <c r="A5191" s="54" t="str">
        <f>D5191&amp;E5191&amp;F5191</f>
        <v>HRNOMINA SUCURSALA12</v>
      </c>
      <c r="B5191" t="s">
        <v>2821</v>
      </c>
      <c r="C5191" s="1">
        <f t="shared" si="178"/>
        <v>46006</v>
      </c>
      <c r="D5191" s="242" t="s">
        <v>29</v>
      </c>
      <c r="E5191" s="71" t="s">
        <v>154</v>
      </c>
      <c r="F5191" s="71" t="s">
        <v>98</v>
      </c>
      <c r="J5191" s="76" t="s">
        <v>2372</v>
      </c>
      <c r="L5191" s="434">
        <v>7325</v>
      </c>
      <c r="M5191" s="136">
        <f>M5190+K5191-L5191</f>
        <v>130372.45270333433</v>
      </c>
    </row>
    <row r="5192" spans="1:13">
      <c r="A5192" s="54" t="str">
        <f>D5192&amp;E5192&amp;F5192</f>
        <v>HRUBERHR</v>
      </c>
      <c r="B5192" t="s">
        <v>2821</v>
      </c>
      <c r="C5192" s="1">
        <f t="shared" si="178"/>
        <v>46006</v>
      </c>
      <c r="D5192" s="242" t="s">
        <v>29</v>
      </c>
      <c r="E5192" s="71" t="s">
        <v>189</v>
      </c>
      <c r="F5192" s="71" t="s">
        <v>29</v>
      </c>
      <c r="J5192" s="76" t="s">
        <v>2505</v>
      </c>
      <c r="L5192" s="522">
        <v>1205</v>
      </c>
      <c r="M5192" s="136">
        <f>M5191+K5192-L5192</f>
        <v>129167.45270333433</v>
      </c>
    </row>
    <row r="5193" spans="1:13">
      <c r="A5193" s="54" t="str">
        <f>D5193&amp;E5193&amp;F5193</f>
        <v>HRUBERHR</v>
      </c>
      <c r="B5193" t="s">
        <v>2821</v>
      </c>
      <c r="C5193" s="1">
        <f t="shared" si="178"/>
        <v>46006</v>
      </c>
      <c r="D5193" s="242" t="s">
        <v>29</v>
      </c>
      <c r="E5193" s="71" t="s">
        <v>189</v>
      </c>
      <c r="F5193" s="71" t="s">
        <v>29</v>
      </c>
      <c r="J5193" s="76" t="s">
        <v>2419</v>
      </c>
      <c r="L5193" s="522">
        <v>2370</v>
      </c>
      <c r="M5193" s="136">
        <f>M5192+K5193-L5193</f>
        <v>126797.45270333433</v>
      </c>
    </row>
    <row r="5194" spans="1:13">
      <c r="A5194" s="54" t="str">
        <f>D5194&amp;E5194&amp;F5194</f>
        <v>HRJMASA14</v>
      </c>
      <c r="B5194" t="s">
        <v>2821</v>
      </c>
      <c r="C5194" s="1">
        <f t="shared" si="178"/>
        <v>46006</v>
      </c>
      <c r="D5194" s="242" t="s">
        <v>29</v>
      </c>
      <c r="E5194" s="71" t="s">
        <v>137</v>
      </c>
      <c r="F5194" s="71" t="s">
        <v>99</v>
      </c>
      <c r="J5194" s="76" t="s">
        <v>3000</v>
      </c>
      <c r="L5194" s="434">
        <v>535</v>
      </c>
      <c r="M5194" s="136">
        <f>M5193+K5194-L5194</f>
        <v>126262.45270333433</v>
      </c>
    </row>
    <row r="5195" spans="1:13">
      <c r="A5195" s="54" t="str">
        <f>D5195&amp;E5195&amp;F5195</f>
        <v>HRNOMINA SUCURSALA14</v>
      </c>
      <c r="B5195" t="s">
        <v>2821</v>
      </c>
      <c r="C5195" s="1">
        <f t="shared" si="178"/>
        <v>46006</v>
      </c>
      <c r="D5195" s="242" t="s">
        <v>29</v>
      </c>
      <c r="E5195" s="71" t="s">
        <v>154</v>
      </c>
      <c r="F5195" s="71" t="s">
        <v>99</v>
      </c>
      <c r="J5195" s="76" t="s">
        <v>3001</v>
      </c>
      <c r="L5195" s="434">
        <v>710</v>
      </c>
      <c r="M5195" s="136">
        <f>M5194+K5195-L5195</f>
        <v>125552.45270333433</v>
      </c>
    </row>
    <row r="5196" spans="1:13">
      <c r="A5196" s="54" t="str">
        <f>D5196&amp;E5196&amp;F5196</f>
        <v>HRUBERHR</v>
      </c>
      <c r="B5196" t="s">
        <v>2821</v>
      </c>
      <c r="C5196" s="1">
        <f t="shared" si="178"/>
        <v>46006</v>
      </c>
      <c r="D5196" s="242" t="s">
        <v>29</v>
      </c>
      <c r="E5196" s="71" t="s">
        <v>189</v>
      </c>
      <c r="F5196" s="71" t="s">
        <v>29</v>
      </c>
      <c r="J5196" s="76" t="s">
        <v>2505</v>
      </c>
      <c r="L5196" s="522">
        <v>725</v>
      </c>
      <c r="M5196" s="136">
        <f>M5195+K5196-L5196</f>
        <v>124827.45270333433</v>
      </c>
    </row>
    <row r="5197" spans="1:13">
      <c r="A5197" s="54" t="str">
        <f>D5197&amp;E5197&amp;F5197</f>
        <v>HRNOMINA SUCURSALA17</v>
      </c>
      <c r="B5197" t="s">
        <v>2821</v>
      </c>
      <c r="C5197" s="1">
        <f t="shared" si="178"/>
        <v>46006</v>
      </c>
      <c r="D5197" s="242" t="s">
        <v>29</v>
      </c>
      <c r="E5197" s="71" t="s">
        <v>154</v>
      </c>
      <c r="F5197" s="71" t="s">
        <v>102</v>
      </c>
      <c r="J5197" s="76" t="s">
        <v>3002</v>
      </c>
      <c r="L5197" s="434">
        <v>1200</v>
      </c>
      <c r="M5197" s="136">
        <f>M5196+K5197-L5197</f>
        <v>123627.45270333433</v>
      </c>
    </row>
    <row r="5198" spans="1:13">
      <c r="A5198" s="54" t="str">
        <f>D5198&amp;E5198&amp;F5198</f>
        <v>FINANZASRECOLECCION DE BASURAHR</v>
      </c>
      <c r="B5198" t="s">
        <v>2821</v>
      </c>
      <c r="C5198" s="1">
        <f t="shared" si="178"/>
        <v>46006</v>
      </c>
      <c r="D5198" s="242" t="s">
        <v>23</v>
      </c>
      <c r="E5198" s="71" t="s">
        <v>166</v>
      </c>
      <c r="F5198" s="71" t="s">
        <v>29</v>
      </c>
      <c r="J5198" s="76" t="s">
        <v>3003</v>
      </c>
      <c r="L5198" s="434">
        <v>700</v>
      </c>
      <c r="M5198" s="136">
        <f>M5197+K5198-L5198</f>
        <v>122927.45270333433</v>
      </c>
    </row>
    <row r="5199" spans="1:13">
      <c r="A5199" s="54" t="str">
        <f>D5199&amp;E5199&amp;F5199</f>
        <v>HRNOMINA SUCURSALA18</v>
      </c>
      <c r="B5199" t="s">
        <v>2821</v>
      </c>
      <c r="C5199" s="1">
        <f t="shared" si="178"/>
        <v>46006</v>
      </c>
      <c r="D5199" s="242" t="s">
        <v>29</v>
      </c>
      <c r="E5199" s="71" t="s">
        <v>154</v>
      </c>
      <c r="F5199" s="71" t="s">
        <v>103</v>
      </c>
      <c r="J5199" s="76" t="s">
        <v>3004</v>
      </c>
      <c r="L5199" s="434">
        <v>1300</v>
      </c>
      <c r="M5199" s="136">
        <f>M5198+K5199-L5199</f>
        <v>121627.45270333433</v>
      </c>
    </row>
    <row r="5200" spans="1:13">
      <c r="A5200" s="54" t="str">
        <f>D5200&amp;E5200&amp;F5200</f>
        <v>HRINSUMOSHR</v>
      </c>
      <c r="B5200" t="s">
        <v>2821</v>
      </c>
      <c r="C5200" s="1">
        <f t="shared" si="178"/>
        <v>46006</v>
      </c>
      <c r="D5200" s="242" t="s">
        <v>29</v>
      </c>
      <c r="E5200" s="71" t="s">
        <v>133</v>
      </c>
      <c r="F5200" s="71" t="s">
        <v>29</v>
      </c>
      <c r="J5200" s="76" t="s">
        <v>3005</v>
      </c>
      <c r="L5200" s="434">
        <v>1141</v>
      </c>
      <c r="M5200" s="136">
        <f>M5199+K5200-L5200</f>
        <v>120486.45270333433</v>
      </c>
    </row>
    <row r="5201" spans="1:13">
      <c r="A5201" s="54" t="str">
        <f>D5201&amp;E5201&amp;F5201</f>
        <v>HRNOMINA SUCURSALA22</v>
      </c>
      <c r="B5201" t="s">
        <v>2821</v>
      </c>
      <c r="C5201" s="1">
        <f t="shared" si="178"/>
        <v>46006</v>
      </c>
      <c r="D5201" s="242" t="s">
        <v>29</v>
      </c>
      <c r="E5201" s="71" t="s">
        <v>154</v>
      </c>
      <c r="F5201" s="71" t="s">
        <v>104</v>
      </c>
      <c r="J5201" s="76" t="s">
        <v>2294</v>
      </c>
      <c r="L5201" s="434">
        <v>1510</v>
      </c>
      <c r="M5201" s="136">
        <f>M5200+K5201-L5201</f>
        <v>118976.45270333433</v>
      </c>
    </row>
    <row r="5202" spans="1:13">
      <c r="A5202" s="54" t="str">
        <f>D5202&amp;E5202&amp;F5202</f>
        <v>HRINSUMOSHR</v>
      </c>
      <c r="B5202" t="s">
        <v>2821</v>
      </c>
      <c r="C5202" s="1">
        <f t="shared" si="178"/>
        <v>46006</v>
      </c>
      <c r="D5202" s="242" t="s">
        <v>29</v>
      </c>
      <c r="E5202" s="71" t="s">
        <v>133</v>
      </c>
      <c r="F5202" s="71" t="s">
        <v>29</v>
      </c>
      <c r="J5202" s="76" t="s">
        <v>3006</v>
      </c>
      <c r="L5202" s="434">
        <v>139</v>
      </c>
      <c r="M5202" s="136">
        <f>M5201+K5202-L5202</f>
        <v>118837.45270333433</v>
      </c>
    </row>
    <row r="5203" spans="1:13">
      <c r="A5203" s="54" t="str">
        <f>D5203&amp;E5203&amp;F5203</f>
        <v>HRUBERHR</v>
      </c>
      <c r="B5203" t="s">
        <v>2821</v>
      </c>
      <c r="C5203" s="1">
        <f t="shared" si="178"/>
        <v>46006</v>
      </c>
      <c r="D5203" s="242" t="s">
        <v>29</v>
      </c>
      <c r="E5203" s="71" t="s">
        <v>189</v>
      </c>
      <c r="F5203" s="71" t="s">
        <v>29</v>
      </c>
      <c r="J5203" s="76" t="s">
        <v>2702</v>
      </c>
      <c r="L5203" s="522">
        <v>1860</v>
      </c>
      <c r="M5203" s="136">
        <f>M5202+K5203-L5203</f>
        <v>116977.45270333433</v>
      </c>
    </row>
    <row r="5204" spans="1:13">
      <c r="A5204" s="54" t="str">
        <f>D5204&amp;E5204&amp;F5204</f>
        <v>HRNOMINA SUCURSALA23</v>
      </c>
      <c r="B5204" t="s">
        <v>2821</v>
      </c>
      <c r="C5204" s="1">
        <f t="shared" si="178"/>
        <v>46006</v>
      </c>
      <c r="D5204" s="242" t="s">
        <v>29</v>
      </c>
      <c r="E5204" s="71" t="s">
        <v>154</v>
      </c>
      <c r="F5204" s="71" t="s">
        <v>105</v>
      </c>
      <c r="J5204" s="76" t="s">
        <v>3007</v>
      </c>
      <c r="L5204" s="434">
        <v>3010</v>
      </c>
      <c r="M5204" s="136">
        <f>M5203+K5204-L5204</f>
        <v>113967.45270333433</v>
      </c>
    </row>
    <row r="5205" spans="1:13">
      <c r="A5205" s="54" t="str">
        <f>D5205&amp;E5205&amp;F5205</f>
        <v>HRUBERHR</v>
      </c>
      <c r="B5205" t="s">
        <v>2821</v>
      </c>
      <c r="C5205" s="1">
        <f t="shared" si="178"/>
        <v>46006</v>
      </c>
      <c r="D5205" s="242" t="s">
        <v>29</v>
      </c>
      <c r="E5205" s="71" t="s">
        <v>189</v>
      </c>
      <c r="F5205" s="71" t="s">
        <v>29</v>
      </c>
      <c r="J5205" s="76" t="s">
        <v>2508</v>
      </c>
      <c r="L5205" s="522">
        <v>68</v>
      </c>
      <c r="M5205" s="136">
        <f>M5204+K5205-L5205</f>
        <v>113899.45270333433</v>
      </c>
    </row>
    <row r="5206" spans="1:13">
      <c r="A5206" s="54" t="str">
        <f>D5206&amp;E5206&amp;F5206</f>
        <v>HRNOMINA SUCURSALA24</v>
      </c>
      <c r="B5206" t="s">
        <v>2821</v>
      </c>
      <c r="C5206" s="1">
        <f t="shared" si="178"/>
        <v>46006</v>
      </c>
      <c r="D5206" s="242" t="s">
        <v>29</v>
      </c>
      <c r="E5206" s="71" t="s">
        <v>154</v>
      </c>
      <c r="F5206" s="71" t="s">
        <v>106</v>
      </c>
      <c r="J5206" s="76" t="s">
        <v>3008</v>
      </c>
      <c r="L5206" s="434">
        <v>5055</v>
      </c>
      <c r="M5206" s="136">
        <f>M5205+K5206-L5206</f>
        <v>108844.45270333433</v>
      </c>
    </row>
    <row r="5207" spans="1:13">
      <c r="A5207" s="54" t="str">
        <f>D5207&amp;E5207&amp;F5207</f>
        <v>HRUBERHR</v>
      </c>
      <c r="B5207" t="s">
        <v>2821</v>
      </c>
      <c r="C5207" s="1">
        <f t="shared" si="178"/>
        <v>46006</v>
      </c>
      <c r="D5207" s="242" t="s">
        <v>29</v>
      </c>
      <c r="E5207" s="71" t="s">
        <v>189</v>
      </c>
      <c r="F5207" s="71" t="s">
        <v>29</v>
      </c>
      <c r="J5207" s="76" t="s">
        <v>3009</v>
      </c>
      <c r="L5207" s="522">
        <v>976</v>
      </c>
      <c r="M5207" s="136">
        <f>M5206+K5207-L5207</f>
        <v>107868.45270333433</v>
      </c>
    </row>
    <row r="5208" spans="1:13">
      <c r="A5208" s="54" t="str">
        <f>D5208&amp;E5208&amp;F5208</f>
        <v>CAPNOMINA SUCURSALE1</v>
      </c>
      <c r="B5208" t="s">
        <v>2821</v>
      </c>
      <c r="C5208" s="1">
        <f t="shared" si="178"/>
        <v>46006</v>
      </c>
      <c r="D5208" s="242" t="s">
        <v>31</v>
      </c>
      <c r="E5208" s="71" t="s">
        <v>154</v>
      </c>
      <c r="F5208" s="71" t="s">
        <v>107</v>
      </c>
      <c r="J5208" s="76" t="s">
        <v>2298</v>
      </c>
      <c r="L5208" s="434">
        <v>2268</v>
      </c>
      <c r="M5208" s="136">
        <f>M5207+K5208-L5208</f>
        <v>105600.45270333433</v>
      </c>
    </row>
    <row r="5209" spans="1:13">
      <c r="A5209" s="54" t="str">
        <f>D5209&amp;E5209&amp;F5209</f>
        <v>CAPUBERCAP</v>
      </c>
      <c r="B5209" t="s">
        <v>2821</v>
      </c>
      <c r="C5209" s="1">
        <f t="shared" si="178"/>
        <v>46006</v>
      </c>
      <c r="D5209" s="242" t="s">
        <v>31</v>
      </c>
      <c r="E5209" s="71" t="s">
        <v>189</v>
      </c>
      <c r="F5209" s="71" t="s">
        <v>31</v>
      </c>
      <c r="J5209" s="76" t="s">
        <v>2587</v>
      </c>
      <c r="L5209" s="522">
        <v>670</v>
      </c>
      <c r="M5209" s="136">
        <f>M5208+K5209-L5209</f>
        <v>104930.45270333433</v>
      </c>
    </row>
    <row r="5210" spans="1:13">
      <c r="A5210" s="54" t="str">
        <f>D5210&amp;E5210&amp;F5210</f>
        <v>CAPUBERCAP</v>
      </c>
      <c r="B5210" t="s">
        <v>2821</v>
      </c>
      <c r="C5210" s="1">
        <f t="shared" si="178"/>
        <v>46006</v>
      </c>
      <c r="D5210" s="242" t="s">
        <v>31</v>
      </c>
      <c r="E5210" s="71" t="s">
        <v>189</v>
      </c>
      <c r="F5210" s="71" t="s">
        <v>31</v>
      </c>
      <c r="J5210" s="76" t="s">
        <v>2262</v>
      </c>
      <c r="L5210" s="522">
        <v>574</v>
      </c>
      <c r="M5210" s="136">
        <f>M5209+K5210-L5210</f>
        <v>104356.45270333433</v>
      </c>
    </row>
    <row r="5211" spans="1:13">
      <c r="A5211" s="54" t="str">
        <f>D5211&amp;E5211&amp;F5211</f>
        <v>CAPNOMINA SUCURSALE2</v>
      </c>
      <c r="B5211" t="s">
        <v>2821</v>
      </c>
      <c r="C5211" s="1">
        <f t="shared" si="178"/>
        <v>46006</v>
      </c>
      <c r="D5211" s="242" t="s">
        <v>31</v>
      </c>
      <c r="E5211" s="71" t="s">
        <v>154</v>
      </c>
      <c r="F5211" s="71" t="s">
        <v>108</v>
      </c>
      <c r="J5211" s="76" t="s">
        <v>2319</v>
      </c>
      <c r="L5211" s="434">
        <v>220</v>
      </c>
      <c r="M5211" s="136">
        <f>M5210+K5211-L5211</f>
        <v>104136.45270333433</v>
      </c>
    </row>
    <row r="5212" spans="1:13">
      <c r="A5212" s="54" t="str">
        <f>D5212&amp;E5212&amp;F5212</f>
        <v>CAPNOMINA SUCURSALE3</v>
      </c>
      <c r="B5212" t="s">
        <v>2821</v>
      </c>
      <c r="C5212" s="1">
        <f t="shared" si="178"/>
        <v>46006</v>
      </c>
      <c r="D5212" s="242" t="s">
        <v>31</v>
      </c>
      <c r="E5212" s="71" t="s">
        <v>154</v>
      </c>
      <c r="F5212" s="71" t="s">
        <v>109</v>
      </c>
      <c r="J5212" s="76" t="s">
        <v>3010</v>
      </c>
      <c r="L5212" s="434">
        <v>2825</v>
      </c>
      <c r="M5212" s="136">
        <f>M5211+K5212-L5212</f>
        <v>101311.45270333433</v>
      </c>
    </row>
    <row r="5213" spans="1:13">
      <c r="A5213" s="54" t="str">
        <f>D5213&amp;E5213&amp;F5213</f>
        <v>CAPUBERCAP</v>
      </c>
      <c r="B5213" t="s">
        <v>2821</v>
      </c>
      <c r="C5213" s="1">
        <f t="shared" si="178"/>
        <v>46006</v>
      </c>
      <c r="D5213" s="242" t="s">
        <v>31</v>
      </c>
      <c r="E5213" s="71" t="s">
        <v>189</v>
      </c>
      <c r="F5213" s="71" t="s">
        <v>31</v>
      </c>
      <c r="J5213" s="76" t="s">
        <v>2510</v>
      </c>
      <c r="L5213" s="522">
        <v>1000</v>
      </c>
      <c r="M5213" s="136">
        <f>M5212+K5213-L5213</f>
        <v>100311.45270333433</v>
      </c>
    </row>
    <row r="5214" spans="1:13">
      <c r="A5214" s="54" t="str">
        <f>D5214&amp;E5214&amp;F5214</f>
        <v>CAPNOMINA SUCURSALE4</v>
      </c>
      <c r="B5214" t="s">
        <v>2821</v>
      </c>
      <c r="C5214" s="1">
        <f t="shared" si="178"/>
        <v>46006</v>
      </c>
      <c r="D5214" s="242" t="s">
        <v>31</v>
      </c>
      <c r="E5214" s="71" t="s">
        <v>154</v>
      </c>
      <c r="F5214" s="71" t="s">
        <v>110</v>
      </c>
      <c r="J5214" s="76" t="s">
        <v>3011</v>
      </c>
      <c r="L5214" s="434">
        <v>6510</v>
      </c>
      <c r="M5214" s="136">
        <f>M5213+K5214-L5214</f>
        <v>93801.452703334333</v>
      </c>
    </row>
    <row r="5215" spans="1:13">
      <c r="A5215" s="54" t="str">
        <f>D5215&amp;E5215&amp;F5215</f>
        <v>CAPUBERCAP</v>
      </c>
      <c r="B5215" t="s">
        <v>2821</v>
      </c>
      <c r="C5215" s="1">
        <f t="shared" si="178"/>
        <v>46006</v>
      </c>
      <c r="D5215" s="242" t="s">
        <v>31</v>
      </c>
      <c r="E5215" s="71" t="s">
        <v>189</v>
      </c>
      <c r="F5215" s="71" t="s">
        <v>31</v>
      </c>
      <c r="J5215" s="76" t="s">
        <v>2278</v>
      </c>
      <c r="L5215" s="522">
        <v>336</v>
      </c>
      <c r="M5215" s="136">
        <f>M5214+K5215-L5215</f>
        <v>93465.452703334333</v>
      </c>
    </row>
    <row r="5216" spans="1:13">
      <c r="A5216" s="54" t="str">
        <f>D5216&amp;E5216&amp;F5216</f>
        <v>CAPNOMINA SUCURSALE5</v>
      </c>
      <c r="B5216" t="s">
        <v>2821</v>
      </c>
      <c r="C5216" s="1">
        <f t="shared" si="178"/>
        <v>46006</v>
      </c>
      <c r="D5216" s="242" t="s">
        <v>31</v>
      </c>
      <c r="E5216" s="71" t="s">
        <v>154</v>
      </c>
      <c r="F5216" s="71" t="s">
        <v>111</v>
      </c>
      <c r="J5216" s="76" t="s">
        <v>3012</v>
      </c>
      <c r="L5216" s="434">
        <v>2450</v>
      </c>
      <c r="M5216" s="136">
        <f>M5215+K5216-L5216</f>
        <v>91015.452703334333</v>
      </c>
    </row>
    <row r="5217" spans="1:13">
      <c r="A5217" s="54" t="str">
        <f>D5217&amp;E5217&amp;F5217</f>
        <v>CAPNOMINA SUCURSALE5</v>
      </c>
      <c r="B5217" t="s">
        <v>2821</v>
      </c>
      <c r="C5217" s="1">
        <f t="shared" si="178"/>
        <v>46006</v>
      </c>
      <c r="D5217" s="242" t="s">
        <v>31</v>
      </c>
      <c r="E5217" s="71" t="s">
        <v>154</v>
      </c>
      <c r="F5217" s="71" t="s">
        <v>111</v>
      </c>
      <c r="J5217" s="76" t="s">
        <v>3012</v>
      </c>
      <c r="L5217" s="434">
        <v>4975</v>
      </c>
      <c r="M5217" s="136">
        <f>M5216+K5217-L5217</f>
        <v>86040.452703334333</v>
      </c>
    </row>
    <row r="5218" spans="1:13">
      <c r="A5218" s="54" t="str">
        <f>D5218&amp;E5218&amp;F5218</f>
        <v>CAPINSUMOSCAPRICHOS</v>
      </c>
      <c r="B5218" t="s">
        <v>2821</v>
      </c>
      <c r="C5218" s="1">
        <f t="shared" si="178"/>
        <v>46006</v>
      </c>
      <c r="D5218" s="242" t="s">
        <v>31</v>
      </c>
      <c r="E5218" s="71" t="s">
        <v>133</v>
      </c>
      <c r="F5218" s="71" t="s">
        <v>33</v>
      </c>
      <c r="J5218" s="76" t="s">
        <v>3013</v>
      </c>
      <c r="L5218" s="434">
        <v>119</v>
      </c>
      <c r="M5218" s="136">
        <f>M5217+K5218-L5218</f>
        <v>85921.452703334333</v>
      </c>
    </row>
    <row r="5219" spans="1:13">
      <c r="A5219" s="54" t="str">
        <f>D5219&amp;E5219&amp;F5219</f>
        <v>CAPUBERCAP</v>
      </c>
      <c r="B5219" t="s">
        <v>2821</v>
      </c>
      <c r="C5219" s="1">
        <f t="shared" si="178"/>
        <v>46006</v>
      </c>
      <c r="D5219" s="242" t="s">
        <v>31</v>
      </c>
      <c r="E5219" s="71" t="s">
        <v>189</v>
      </c>
      <c r="F5219" s="71" t="s">
        <v>31</v>
      </c>
      <c r="J5219" s="76" t="s">
        <v>3014</v>
      </c>
      <c r="L5219" s="522">
        <v>800</v>
      </c>
      <c r="M5219" s="136">
        <f>M5218+K5219-L5219</f>
        <v>85121.452703334333</v>
      </c>
    </row>
    <row r="5220" spans="1:13">
      <c r="A5220" s="54" t="str">
        <f>D5220&amp;E5220&amp;F5220</f>
        <v>CAPUBERCAP</v>
      </c>
      <c r="B5220" t="s">
        <v>2821</v>
      </c>
      <c r="C5220" s="1">
        <f t="shared" si="178"/>
        <v>46006</v>
      </c>
      <c r="D5220" s="242" t="s">
        <v>31</v>
      </c>
      <c r="E5220" s="71" t="s">
        <v>189</v>
      </c>
      <c r="F5220" s="71" t="s">
        <v>31</v>
      </c>
      <c r="J5220" s="76" t="s">
        <v>3015</v>
      </c>
      <c r="L5220" s="522">
        <v>650</v>
      </c>
      <c r="M5220" s="136">
        <f>M5219+K5220-L5220</f>
        <v>84471.452703334333</v>
      </c>
    </row>
    <row r="5221" spans="1:13">
      <c r="A5221" s="54" t="str">
        <f>D5221&amp;E5221&amp;F5221</f>
        <v>CAPNOMINA SUCURSALE9</v>
      </c>
      <c r="B5221" t="s">
        <v>2821</v>
      </c>
      <c r="C5221" s="1">
        <f t="shared" si="178"/>
        <v>46006</v>
      </c>
      <c r="D5221" s="242" t="s">
        <v>31</v>
      </c>
      <c r="E5221" s="71" t="s">
        <v>154</v>
      </c>
      <c r="F5221" s="71" t="s">
        <v>116</v>
      </c>
      <c r="J5221" s="76" t="s">
        <v>3016</v>
      </c>
      <c r="L5221" s="434">
        <v>4485</v>
      </c>
      <c r="M5221" s="136">
        <f>M5220+K5221-L5221</f>
        <v>79986.452703334333</v>
      </c>
    </row>
    <row r="5222" spans="1:13">
      <c r="A5222" s="54" t="str">
        <f>D5222&amp;E5222&amp;F5222</f>
        <v>CAPUBERCAP</v>
      </c>
      <c r="B5222" t="s">
        <v>2821</v>
      </c>
      <c r="C5222" s="1">
        <f t="shared" si="178"/>
        <v>46006</v>
      </c>
      <c r="D5222" s="242" t="s">
        <v>31</v>
      </c>
      <c r="E5222" s="71" t="s">
        <v>189</v>
      </c>
      <c r="F5222" s="71" t="s">
        <v>31</v>
      </c>
      <c r="J5222" s="76" t="s">
        <v>3017</v>
      </c>
      <c r="L5222" s="522">
        <v>1649</v>
      </c>
      <c r="M5222" s="136">
        <f>M5221+K5222-L5222</f>
        <v>78337.452703334333</v>
      </c>
    </row>
    <row r="5223" spans="1:13">
      <c r="A5223" s="54" t="str">
        <f>D5223&amp;E5223&amp;F5223</f>
        <v>ELIUBERL1</v>
      </c>
      <c r="B5223" t="s">
        <v>2821</v>
      </c>
      <c r="C5223" s="1">
        <f t="shared" si="178"/>
        <v>46006</v>
      </c>
      <c r="D5223" s="242" t="s">
        <v>130</v>
      </c>
      <c r="E5223" s="71" t="s">
        <v>189</v>
      </c>
      <c r="F5223" s="71" t="s">
        <v>136</v>
      </c>
      <c r="G5223" s="71" t="s">
        <v>258</v>
      </c>
      <c r="J5223" s="76" t="s">
        <v>3018</v>
      </c>
      <c r="L5223" s="522">
        <v>700</v>
      </c>
      <c r="M5223" s="136">
        <f>M5222+K5223-L5223</f>
        <v>77637.452703334333</v>
      </c>
    </row>
    <row r="5224" spans="1:13">
      <c r="A5224" s="54" t="str">
        <f>D5224&amp;E5224&amp;F5224</f>
        <v>HRINSUMOSHR</v>
      </c>
      <c r="B5224" t="s">
        <v>2821</v>
      </c>
      <c r="C5224" s="1">
        <f t="shared" si="178"/>
        <v>46006</v>
      </c>
      <c r="D5224" s="242" t="s">
        <v>29</v>
      </c>
      <c r="E5224" s="71" t="s">
        <v>133</v>
      </c>
      <c r="F5224" s="71" t="s">
        <v>29</v>
      </c>
      <c r="J5224" s="76" t="s">
        <v>3019</v>
      </c>
      <c r="L5224" s="434">
        <v>430</v>
      </c>
      <c r="M5224" s="136">
        <f>M5223+K5224-L5224</f>
        <v>77207.452703334333</v>
      </c>
    </row>
    <row r="5225" spans="1:13">
      <c r="A5225" s="54" t="str">
        <f>D5225&amp;E5225&amp;F5225</f>
        <v>SERVICIOSGASCEDIS</v>
      </c>
      <c r="B5225" t="s">
        <v>2821</v>
      </c>
      <c r="C5225" s="1">
        <f>C5174</f>
        <v>46006</v>
      </c>
      <c r="D5225" s="242" t="s">
        <v>21</v>
      </c>
      <c r="E5225" s="71" t="s">
        <v>122</v>
      </c>
      <c r="F5225" s="71" t="s">
        <v>28</v>
      </c>
      <c r="J5225" s="71" t="s">
        <v>3020</v>
      </c>
      <c r="L5225" s="433">
        <v>300</v>
      </c>
      <c r="M5225" s="136">
        <f>M5224+K5225-L5225</f>
        <v>76907.452703334333</v>
      </c>
    </row>
    <row r="5226" spans="1:13">
      <c r="A5226" s="54" t="str">
        <f>D5226&amp;E5226&amp;F5226</f>
        <v>FINANZASFONDO Y REPOSICIONFINANZAS</v>
      </c>
      <c r="B5226" t="s">
        <v>2821</v>
      </c>
      <c r="C5226" s="1">
        <f t="shared" si="178"/>
        <v>46006</v>
      </c>
      <c r="D5226" s="242" t="s">
        <v>23</v>
      </c>
      <c r="E5226" s="71" t="s">
        <v>120</v>
      </c>
      <c r="F5226" s="71" t="s">
        <v>23</v>
      </c>
      <c r="J5226" s="71" t="s">
        <v>1113</v>
      </c>
      <c r="L5226" s="433">
        <v>300</v>
      </c>
      <c r="M5226" s="136">
        <f>M5225+K5226-L5226</f>
        <v>76607.452703334333</v>
      </c>
    </row>
    <row r="5227" spans="1:13">
      <c r="A5227" s="54" t="str">
        <f>D5227&amp;E5227&amp;F5227</f>
        <v>SERVICIOSVIATICOSCEDIS</v>
      </c>
      <c r="B5227" t="s">
        <v>2821</v>
      </c>
      <c r="C5227" s="1">
        <f t="shared" si="178"/>
        <v>46006</v>
      </c>
      <c r="D5227" s="242" t="s">
        <v>21</v>
      </c>
      <c r="E5227" s="71" t="s">
        <v>191</v>
      </c>
      <c r="F5227" s="71" t="s">
        <v>28</v>
      </c>
      <c r="J5227" s="71" t="s">
        <v>1950</v>
      </c>
      <c r="L5227" s="433">
        <v>1100</v>
      </c>
      <c r="M5227" s="136">
        <f>M5226+K5227-L5227</f>
        <v>75507.452703334333</v>
      </c>
    </row>
    <row r="5228" spans="1:13">
      <c r="A5228" s="54" t="str">
        <f>D5228&amp;E5228&amp;F5228</f>
        <v>CAPVIATICOSCAPRICHOS</v>
      </c>
      <c r="B5228" t="s">
        <v>2821</v>
      </c>
      <c r="C5228" s="1">
        <f t="shared" si="178"/>
        <v>46006</v>
      </c>
      <c r="D5228" s="242" t="s">
        <v>31</v>
      </c>
      <c r="E5228" s="71" t="s">
        <v>191</v>
      </c>
      <c r="F5228" s="71" t="s">
        <v>33</v>
      </c>
      <c r="J5228" s="71" t="s">
        <v>1268</v>
      </c>
      <c r="L5228" s="433">
        <v>700</v>
      </c>
      <c r="M5228" s="136">
        <f>M5227+K5228-L5228</f>
        <v>74807.452703334333</v>
      </c>
    </row>
    <row r="5229" spans="1:13">
      <c r="A5229" s="54" t="str">
        <f>D5229&amp;E5229&amp;F5229</f>
        <v>FINANZASCOMBUSTIBLEFINANZAS</v>
      </c>
      <c r="B5229" t="s">
        <v>2821</v>
      </c>
      <c r="C5229" s="1">
        <f t="shared" si="178"/>
        <v>46006</v>
      </c>
      <c r="D5229" s="242" t="s">
        <v>23</v>
      </c>
      <c r="E5229" s="71" t="s">
        <v>32</v>
      </c>
      <c r="F5229" s="71" t="s">
        <v>23</v>
      </c>
      <c r="J5229" s="71" t="s">
        <v>3021</v>
      </c>
      <c r="L5229" s="433">
        <v>700</v>
      </c>
      <c r="M5229" s="136">
        <f>M5228+K5229-L5229</f>
        <v>74107.452703334333</v>
      </c>
    </row>
    <row r="5230" spans="1:13">
      <c r="A5230" s="54" t="str">
        <f>D5230&amp;E5230&amp;F5230</f>
        <v>SERVICIOSFONDO Y REPOSICIONMANTENIMIENTO</v>
      </c>
      <c r="B5230" t="s">
        <v>2821</v>
      </c>
      <c r="C5230" s="1">
        <f t="shared" si="178"/>
        <v>46006</v>
      </c>
      <c r="D5230" s="242" t="s">
        <v>21</v>
      </c>
      <c r="E5230" s="71" t="s">
        <v>120</v>
      </c>
      <c r="F5230" s="71" t="s">
        <v>35</v>
      </c>
      <c r="J5230" s="71" t="s">
        <v>3022</v>
      </c>
      <c r="L5230" s="433">
        <v>2000</v>
      </c>
      <c r="M5230" s="136">
        <f>M5229+K5230-L5230</f>
        <v>72107.452703334333</v>
      </c>
    </row>
    <row r="5231" spans="1:13">
      <c r="A5231" s="54" t="str">
        <f>D5231&amp;E5231&amp;F5231</f>
        <v>SERVICIOSVIATICOSASESORES</v>
      </c>
      <c r="B5231" t="s">
        <v>2821</v>
      </c>
      <c r="C5231" s="1">
        <f t="shared" si="178"/>
        <v>46006</v>
      </c>
      <c r="D5231" s="242" t="s">
        <v>21</v>
      </c>
      <c r="E5231" s="71" t="s">
        <v>191</v>
      </c>
      <c r="F5231" t="s">
        <v>192</v>
      </c>
      <c r="G5231" s="71" t="s">
        <v>258</v>
      </c>
      <c r="J5231" s="71" t="s">
        <v>3023</v>
      </c>
      <c r="L5231" s="433">
        <v>1122</v>
      </c>
      <c r="M5231" s="136">
        <f>M5230+K5231-L5231</f>
        <v>70985.452703334333</v>
      </c>
    </row>
    <row r="5232" spans="1:13">
      <c r="A5232" s="54" t="str">
        <f>D5232&amp;E5232&amp;F5232</f>
        <v>SERVICIOSVIATICOSCEDIS</v>
      </c>
      <c r="B5232" t="s">
        <v>2821</v>
      </c>
      <c r="C5232" s="1">
        <f t="shared" si="178"/>
        <v>46006</v>
      </c>
      <c r="D5232" s="242" t="s">
        <v>21</v>
      </c>
      <c r="E5232" s="71" t="s">
        <v>191</v>
      </c>
      <c r="F5232" s="71" t="s">
        <v>28</v>
      </c>
      <c r="J5232" s="71" t="s">
        <v>646</v>
      </c>
      <c r="L5232" s="433">
        <v>2450</v>
      </c>
      <c r="M5232" s="136">
        <f>M5231+K5232-L5232</f>
        <v>68535.452703334333</v>
      </c>
    </row>
    <row r="5233" spans="1:13">
      <c r="A5233" s="54" t="str">
        <f>D5233&amp;E5233&amp;F5233</f>
        <v>MKTVIATICOSMKT</v>
      </c>
      <c r="B5233" t="s">
        <v>2821</v>
      </c>
      <c r="C5233" s="1">
        <f t="shared" si="178"/>
        <v>46006</v>
      </c>
      <c r="D5233" s="242" t="s">
        <v>19</v>
      </c>
      <c r="E5233" s="71" t="s">
        <v>191</v>
      </c>
      <c r="F5233" s="71" t="s">
        <v>19</v>
      </c>
      <c r="G5233" s="71" t="s">
        <v>258</v>
      </c>
      <c r="J5233" s="71" t="s">
        <v>2072</v>
      </c>
      <c r="L5233" s="433">
        <v>250</v>
      </c>
      <c r="M5233" s="136">
        <f>M5232+K5233-L5233</f>
        <v>68285.452703334333</v>
      </c>
    </row>
    <row r="5234" spans="1:13">
      <c r="A5234" s="54" t="str">
        <f>D5234&amp;E5234&amp;F5234</f>
        <v>SERVICIOSMTTO EQ DE TRANSPORTECEDIS</v>
      </c>
      <c r="B5234" t="s">
        <v>2821</v>
      </c>
      <c r="C5234" s="1">
        <f t="shared" si="178"/>
        <v>46006</v>
      </c>
      <c r="D5234" s="242" t="s">
        <v>21</v>
      </c>
      <c r="E5234" s="71" t="s">
        <v>144</v>
      </c>
      <c r="F5234" s="71" t="s">
        <v>28</v>
      </c>
      <c r="G5234" s="71" t="s">
        <v>258</v>
      </c>
      <c r="J5234" s="71" t="s">
        <v>3024</v>
      </c>
      <c r="L5234" s="433">
        <v>8000</v>
      </c>
      <c r="M5234" s="136">
        <f>M5233+K5234-L5234</f>
        <v>60285.452703334333</v>
      </c>
    </row>
    <row r="5235" spans="1:13">
      <c r="A5235" s="54" t="str">
        <f>D5235&amp;E5235&amp;F5235</f>
        <v>SERVICIOSVIATICOSMANTENIMIENTO</v>
      </c>
      <c r="B5235" t="s">
        <v>2821</v>
      </c>
      <c r="C5235" s="1">
        <f t="shared" si="178"/>
        <v>46006</v>
      </c>
      <c r="D5235" s="242" t="s">
        <v>21</v>
      </c>
      <c r="E5235" s="71" t="s">
        <v>191</v>
      </c>
      <c r="F5235" s="71" t="s">
        <v>35</v>
      </c>
      <c r="J5235" s="71" t="s">
        <v>2985</v>
      </c>
      <c r="L5235" s="433">
        <v>700</v>
      </c>
      <c r="M5235" s="136">
        <f>M5234+K5235-L5235</f>
        <v>59585.452703334333</v>
      </c>
    </row>
    <row r="5236" spans="1:13">
      <c r="A5236" s="54" t="str">
        <f>D5236&amp;E5236&amp;F5236</f>
        <v>FINANZASVIATICOSFINANZAS</v>
      </c>
      <c r="B5236" t="s">
        <v>2821</v>
      </c>
      <c r="C5236" s="1">
        <f t="shared" si="178"/>
        <v>46006</v>
      </c>
      <c r="D5236" s="242" t="s">
        <v>23</v>
      </c>
      <c r="E5236" s="71" t="s">
        <v>191</v>
      </c>
      <c r="F5236" s="71" t="s">
        <v>23</v>
      </c>
      <c r="J5236" s="71" t="s">
        <v>3025</v>
      </c>
      <c r="L5236" s="433">
        <v>50</v>
      </c>
      <c r="M5236" s="136">
        <f>M5235+K5236-L5236</f>
        <v>59535.452703334333</v>
      </c>
    </row>
    <row r="5237" spans="1:13">
      <c r="A5237" s="54" t="str">
        <f>D5237&amp;E5237&amp;F5237</f>
        <v>FINANZASTELEFONIATOTAL PLAY (CONTA)</v>
      </c>
      <c r="B5237" t="s">
        <v>2821</v>
      </c>
      <c r="C5237" s="1">
        <f t="shared" si="178"/>
        <v>46006</v>
      </c>
      <c r="D5237" s="242" t="s">
        <v>23</v>
      </c>
      <c r="E5237" s="71" t="s">
        <v>181</v>
      </c>
      <c r="F5237" s="71" t="s">
        <v>185</v>
      </c>
      <c r="J5237" s="71" t="s">
        <v>290</v>
      </c>
      <c r="L5237" s="433">
        <v>680</v>
      </c>
      <c r="M5237" s="136">
        <f>M5236+K5237-L5237</f>
        <v>58855.452703334333</v>
      </c>
    </row>
    <row r="5238" spans="1:13">
      <c r="A5238" s="54" t="str">
        <f>D5238&amp;E5238&amp;F5238</f>
        <v>SERVICIOSVIATICOSSISTEMAS</v>
      </c>
      <c r="B5238" t="s">
        <v>2821</v>
      </c>
      <c r="C5238" s="1">
        <f>C5236</f>
        <v>46006</v>
      </c>
      <c r="D5238" s="242" t="s">
        <v>21</v>
      </c>
      <c r="E5238" s="71" t="s">
        <v>191</v>
      </c>
      <c r="F5238" s="71" t="s">
        <v>36</v>
      </c>
      <c r="J5238" s="71" t="s">
        <v>3026</v>
      </c>
      <c r="L5238" s="433">
        <f>1400+600</f>
        <v>2000</v>
      </c>
      <c r="M5238" s="136">
        <f>M5237+K5238-L5238</f>
        <v>56855.452703334333</v>
      </c>
    </row>
    <row r="5239" spans="1:13">
      <c r="A5239" s="54" t="str">
        <f>D5239&amp;E5239&amp;F5239</f>
        <v>CAPVIATICOSCAPRICHOS</v>
      </c>
      <c r="B5239" t="s">
        <v>2821</v>
      </c>
      <c r="C5239" s="1">
        <f t="shared" si="178"/>
        <v>46006</v>
      </c>
      <c r="D5239" s="242" t="s">
        <v>31</v>
      </c>
      <c r="E5239" s="71" t="s">
        <v>191</v>
      </c>
      <c r="F5239" s="71" t="s">
        <v>33</v>
      </c>
      <c r="J5239" s="71" t="s">
        <v>1268</v>
      </c>
      <c r="L5239" s="433">
        <v>4000</v>
      </c>
      <c r="M5239" s="136">
        <f>M5238+K5239-L5239</f>
        <v>52855.452703334333</v>
      </c>
    </row>
    <row r="5240" spans="1:13">
      <c r="A5240" s="54" t="str">
        <f>D5240&amp;E5240&amp;F5240</f>
        <v>HRVIATICOSHR</v>
      </c>
      <c r="B5240" t="s">
        <v>2821</v>
      </c>
      <c r="C5240" s="1">
        <f t="shared" si="178"/>
        <v>46006</v>
      </c>
      <c r="D5240" s="242" t="s">
        <v>29</v>
      </c>
      <c r="E5240" s="71" t="s">
        <v>191</v>
      </c>
      <c r="F5240" s="71" t="s">
        <v>29</v>
      </c>
      <c r="J5240" s="71" t="s">
        <v>1487</v>
      </c>
      <c r="L5240" s="433">
        <v>9600</v>
      </c>
      <c r="M5240" s="136">
        <f>M5239+K5240-L5240</f>
        <v>43255.452703334333</v>
      </c>
    </row>
    <row r="5241" spans="1:13">
      <c r="A5241" s="54" t="str">
        <f t="shared" ref="A5206:A5269" si="179">D5241&amp;E5241&amp;F5241</f>
        <v/>
      </c>
      <c r="B5241" t="s">
        <v>2821</v>
      </c>
      <c r="C5241" s="1">
        <v>46007</v>
      </c>
      <c r="J5241" s="71" t="s">
        <v>2045</v>
      </c>
      <c r="K5241" s="325">
        <v>671571.33</v>
      </c>
      <c r="L5241" s="432"/>
      <c r="M5241" s="136">
        <f>M5240+K5241-L5241</f>
        <v>714826.78270333423</v>
      </c>
    </row>
    <row r="5242" spans="1:13">
      <c r="A5242" s="54" t="str">
        <f>D5242&amp;E5242&amp;F5242</f>
        <v>FINANZASCOMISIONES BANCARIASTPV</v>
      </c>
      <c r="B5242" t="s">
        <v>2821</v>
      </c>
      <c r="C5242" s="1">
        <f t="shared" si="178"/>
        <v>46007</v>
      </c>
      <c r="D5242" s="242" t="s">
        <v>23</v>
      </c>
      <c r="E5242" s="71" t="s">
        <v>48</v>
      </c>
      <c r="F5242" s="71" t="s">
        <v>50</v>
      </c>
      <c r="J5242" s="71" t="s">
        <v>217</v>
      </c>
      <c r="L5242" s="433">
        <f>95.45+518.15+1098.61+139.79+5.8+17.4+6.96+1268.43+6787.16+2695.41</f>
        <v>12633.16</v>
      </c>
      <c r="M5242" s="136">
        <f>M5241+K5242-L5242</f>
        <v>702193.6227033342</v>
      </c>
    </row>
    <row r="5243" spans="1:13">
      <c r="A5243" s="54" t="str">
        <f t="shared" si="179"/>
        <v/>
      </c>
      <c r="B5243" t="s">
        <v>2821</v>
      </c>
      <c r="C5243" s="1">
        <f t="shared" si="178"/>
        <v>46007</v>
      </c>
      <c r="J5243" s="205" t="s">
        <v>1562</v>
      </c>
      <c r="K5243" s="205"/>
      <c r="L5243" s="428">
        <v>300000</v>
      </c>
      <c r="M5243" s="136">
        <f>M5242+K5243-L5243</f>
        <v>402193.6227033342</v>
      </c>
    </row>
    <row r="5244" spans="1:13">
      <c r="A5244" s="54" t="str">
        <f t="shared" si="179"/>
        <v/>
      </c>
      <c r="B5244" t="s">
        <v>2821</v>
      </c>
      <c r="C5244" s="1">
        <f t="shared" si="178"/>
        <v>46007</v>
      </c>
      <c r="J5244" s="205" t="s">
        <v>222</v>
      </c>
      <c r="K5244" s="205"/>
      <c r="L5244" s="205"/>
      <c r="M5244" s="136">
        <f>M5243+K5244-L5244</f>
        <v>402193.6227033342</v>
      </c>
    </row>
    <row r="5245" spans="1:13">
      <c r="A5245" s="54" t="str">
        <f>D5245&amp;E5245&amp;F5245</f>
        <v>SGECUOTAS Y SUSCRIPCIONESFROGMI</v>
      </c>
      <c r="B5245" t="s">
        <v>2821</v>
      </c>
      <c r="C5245" s="1">
        <f t="shared" si="178"/>
        <v>46007</v>
      </c>
      <c r="D5245" s="242" t="s">
        <v>39</v>
      </c>
      <c r="E5245" s="71" t="s">
        <v>51</v>
      </c>
      <c r="F5245" s="71" t="s">
        <v>57</v>
      </c>
      <c r="J5245" s="71" t="s">
        <v>3027</v>
      </c>
      <c r="L5245" s="433">
        <v>58139.16</v>
      </c>
      <c r="M5245" s="136">
        <f>M5244+K5245-L5245</f>
        <v>344054.46270333417</v>
      </c>
    </row>
    <row r="5246" spans="1:13">
      <c r="A5246" s="54" t="str">
        <f>D5246&amp;E5246&amp;F5246</f>
        <v>DEGDNCGDNC</v>
      </c>
      <c r="B5246" t="s">
        <v>2821</v>
      </c>
      <c r="C5246" s="1">
        <f t="shared" si="178"/>
        <v>46007</v>
      </c>
      <c r="D5246" s="242" t="s">
        <v>41</v>
      </c>
      <c r="E5246" s="71" t="s">
        <v>123</v>
      </c>
      <c r="F5246" s="71" t="s">
        <v>123</v>
      </c>
      <c r="J5246" s="71" t="s">
        <v>123</v>
      </c>
      <c r="L5246" s="433">
        <v>7679</v>
      </c>
      <c r="M5246" s="136">
        <f>M5245+K5246-L5246</f>
        <v>336375.46270333417</v>
      </c>
    </row>
    <row r="5247" spans="1:13">
      <c r="A5247" s="54" t="str">
        <f>D5247&amp;E5247&amp;F5247</f>
        <v>SERVICIOSMTTO DE EDIFICIOMANTENIMIENTO</v>
      </c>
      <c r="B5247" t="s">
        <v>2821</v>
      </c>
      <c r="C5247" s="1">
        <f t="shared" si="178"/>
        <v>46007</v>
      </c>
      <c r="D5247" s="242" t="s">
        <v>21</v>
      </c>
      <c r="E5247" s="71" t="s">
        <v>142</v>
      </c>
      <c r="F5247" s="71" t="s">
        <v>35</v>
      </c>
      <c r="G5247" s="71" t="s">
        <v>258</v>
      </c>
      <c r="J5247" s="71" t="s">
        <v>3028</v>
      </c>
      <c r="L5247" s="433">
        <v>2800</v>
      </c>
      <c r="M5247" s="136">
        <f>M5246+K5247-L5247</f>
        <v>333575.46270333417</v>
      </c>
    </row>
    <row r="5248" spans="1:13">
      <c r="A5248" s="54" t="str">
        <f>D5248&amp;E5248&amp;F5248</f>
        <v>DEGDNCGDNC</v>
      </c>
      <c r="B5248" t="s">
        <v>2821</v>
      </c>
      <c r="C5248" s="1">
        <f t="shared" si="178"/>
        <v>46007</v>
      </c>
      <c r="D5248" s="242" t="s">
        <v>41</v>
      </c>
      <c r="E5248" s="71" t="s">
        <v>123</v>
      </c>
      <c r="F5248" s="71" t="s">
        <v>123</v>
      </c>
      <c r="J5248" s="71" t="s">
        <v>3029</v>
      </c>
      <c r="L5248" s="433">
        <v>216050</v>
      </c>
      <c r="M5248" s="136">
        <f>M5247+K5248-L5248</f>
        <v>117525.46270333417</v>
      </c>
    </row>
    <row r="5249" spans="1:13">
      <c r="A5249" s="54" t="str">
        <f t="shared" si="179"/>
        <v/>
      </c>
      <c r="B5249" t="s">
        <v>2821</v>
      </c>
      <c r="C5249" s="1">
        <f t="shared" si="178"/>
        <v>46007</v>
      </c>
      <c r="F5249" s="387"/>
      <c r="J5249" s="71" t="s">
        <v>3030</v>
      </c>
      <c r="L5249" s="78">
        <f>9077+1030</f>
        <v>10107</v>
      </c>
      <c r="M5249" s="136">
        <f>M5248+K5249-L5249</f>
        <v>107418.46270333417</v>
      </c>
    </row>
    <row r="5250" spans="1:13">
      <c r="A5250" s="54" t="str">
        <f>D5250&amp;E5250&amp;F5250</f>
        <v>HRVIATICOSHR</v>
      </c>
      <c r="B5250" t="s">
        <v>2821</v>
      </c>
      <c r="C5250" s="1">
        <f t="shared" si="178"/>
        <v>46007</v>
      </c>
      <c r="D5250" s="242" t="s">
        <v>29</v>
      </c>
      <c r="E5250" s="71" t="s">
        <v>191</v>
      </c>
      <c r="F5250" s="71" t="s">
        <v>29</v>
      </c>
      <c r="J5250" s="71" t="s">
        <v>3031</v>
      </c>
      <c r="L5250" s="433">
        <v>4800</v>
      </c>
      <c r="M5250" s="136">
        <f>M5249+K5250-L5250</f>
        <v>102618.46270333417</v>
      </c>
    </row>
    <row r="5251" spans="1:13">
      <c r="A5251" s="54" t="str">
        <f>D5251&amp;E5251&amp;F5251</f>
        <v>HRFONDO Y REPOSICIONHR</v>
      </c>
      <c r="B5251" t="s">
        <v>2821</v>
      </c>
      <c r="C5251" s="1">
        <f t="shared" si="178"/>
        <v>46007</v>
      </c>
      <c r="D5251" s="242" t="s">
        <v>29</v>
      </c>
      <c r="E5251" s="71" t="s">
        <v>120</v>
      </c>
      <c r="F5251" s="71" t="s">
        <v>29</v>
      </c>
      <c r="J5251" s="71" t="s">
        <v>1875</v>
      </c>
      <c r="L5251" s="433">
        <v>2135</v>
      </c>
      <c r="M5251" s="136">
        <f>M5250+K5251-L5251</f>
        <v>100483.46270333417</v>
      </c>
    </row>
    <row r="5252" spans="1:13">
      <c r="A5252" s="54" t="str">
        <f>D5252&amp;E5252&amp;F5252</f>
        <v>HRFONDO Y REPOSICIONHR</v>
      </c>
      <c r="B5252" t="s">
        <v>2821</v>
      </c>
      <c r="C5252" s="1">
        <f t="shared" si="178"/>
        <v>46007</v>
      </c>
      <c r="D5252" s="242" t="s">
        <v>29</v>
      </c>
      <c r="E5252" s="71" t="s">
        <v>120</v>
      </c>
      <c r="F5252" s="71" t="s">
        <v>29</v>
      </c>
      <c r="J5252" s="71" t="s">
        <v>357</v>
      </c>
      <c r="L5252" s="433">
        <v>7474</v>
      </c>
      <c r="M5252" s="136">
        <f>M5251+K5252-L5252</f>
        <v>93009.462703334168</v>
      </c>
    </row>
    <row r="5253" spans="1:13">
      <c r="A5253" s="54" t="str">
        <f>D5253&amp;E5253&amp;F5253</f>
        <v>HRFONDO Y REPOSICIONHR</v>
      </c>
      <c r="B5253" t="s">
        <v>2821</v>
      </c>
      <c r="C5253" s="1">
        <f t="shared" si="178"/>
        <v>46007</v>
      </c>
      <c r="D5253" s="242" t="s">
        <v>29</v>
      </c>
      <c r="E5253" s="71" t="s">
        <v>120</v>
      </c>
      <c r="F5253" s="71" t="s">
        <v>29</v>
      </c>
      <c r="J5253" s="71" t="s">
        <v>265</v>
      </c>
      <c r="L5253" s="208">
        <v>6473</v>
      </c>
      <c r="M5253" s="136">
        <f>M5252+K5253-L5253</f>
        <v>86536.462703334168</v>
      </c>
    </row>
    <row r="5254" spans="1:13">
      <c r="A5254" s="54" t="str">
        <f>D5254&amp;E5254&amp;F5254</f>
        <v>CAPFONDO Y REPOSICIONCAPRICHOS</v>
      </c>
      <c r="B5254" t="s">
        <v>2821</v>
      </c>
      <c r="C5254" s="1">
        <f t="shared" si="178"/>
        <v>46007</v>
      </c>
      <c r="D5254" s="242" t="s">
        <v>31</v>
      </c>
      <c r="E5254" s="71" t="s">
        <v>120</v>
      </c>
      <c r="F5254" s="71" t="s">
        <v>33</v>
      </c>
      <c r="J5254" s="71" t="s">
        <v>2933</v>
      </c>
      <c r="L5254" s="433">
        <v>1765</v>
      </c>
      <c r="M5254" s="136">
        <f>M5253+K5254-L5254</f>
        <v>84771.462703334168</v>
      </c>
    </row>
    <row r="5255" spans="1:13">
      <c r="A5255" s="54" t="str">
        <f>D5255&amp;E5255&amp;F5255</f>
        <v>CAPFONDO Y REPOSICIONCAPRICHOS</v>
      </c>
      <c r="B5255" t="s">
        <v>2821</v>
      </c>
      <c r="C5255" s="1">
        <f t="shared" si="178"/>
        <v>46007</v>
      </c>
      <c r="D5255" s="242" t="s">
        <v>31</v>
      </c>
      <c r="E5255" s="71" t="s">
        <v>120</v>
      </c>
      <c r="F5255" s="71" t="s">
        <v>33</v>
      </c>
      <c r="J5255" s="71" t="s">
        <v>1185</v>
      </c>
      <c r="L5255" s="433">
        <v>2278</v>
      </c>
      <c r="M5255" s="136">
        <f>M5254+K5255-L5255</f>
        <v>82493.462703334168</v>
      </c>
    </row>
    <row r="5256" spans="1:13">
      <c r="A5256" s="54" t="str">
        <f>D5256&amp;E5256&amp;F5256</f>
        <v>HRFONDO Y REPOSICIONHR</v>
      </c>
      <c r="B5256" t="s">
        <v>2821</v>
      </c>
      <c r="C5256" s="1">
        <f t="shared" si="178"/>
        <v>46007</v>
      </c>
      <c r="D5256" s="242" t="s">
        <v>29</v>
      </c>
      <c r="E5256" s="71" t="s">
        <v>120</v>
      </c>
      <c r="F5256" s="71" t="s">
        <v>29</v>
      </c>
      <c r="J5256" s="71" t="s">
        <v>267</v>
      </c>
      <c r="L5256" s="433">
        <v>2640</v>
      </c>
      <c r="M5256" s="136">
        <f>M5255+K5256-L5256</f>
        <v>79853.462703334168</v>
      </c>
    </row>
    <row r="5257" spans="1:13">
      <c r="A5257" s="54" t="str">
        <f>D5257&amp;E5257&amp;F5257</f>
        <v>FINANZASVIATICOSFINANZAS</v>
      </c>
      <c r="B5257" t="s">
        <v>2821</v>
      </c>
      <c r="C5257" s="1">
        <f t="shared" si="178"/>
        <v>46007</v>
      </c>
      <c r="D5257" s="242" t="s">
        <v>23</v>
      </c>
      <c r="E5257" s="71" t="s">
        <v>191</v>
      </c>
      <c r="F5257" s="71" t="s">
        <v>23</v>
      </c>
      <c r="J5257" s="71" t="s">
        <v>3032</v>
      </c>
      <c r="L5257" s="433">
        <v>600</v>
      </c>
      <c r="M5257" s="136">
        <f>M5256+K5257-L5257</f>
        <v>79253.462703334168</v>
      </c>
    </row>
    <row r="5258" spans="1:13">
      <c r="A5258" s="54" t="str">
        <f>D5258&amp;E5258&amp;F5258</f>
        <v>FINANZASCOMBUSTIBLEFINANZAS</v>
      </c>
      <c r="B5258" t="s">
        <v>2821</v>
      </c>
      <c r="C5258" s="1">
        <f t="shared" si="178"/>
        <v>46007</v>
      </c>
      <c r="D5258" s="242" t="s">
        <v>23</v>
      </c>
      <c r="E5258" s="71" t="s">
        <v>32</v>
      </c>
      <c r="F5258" s="71" t="s">
        <v>23</v>
      </c>
      <c r="J5258" s="71" t="s">
        <v>3033</v>
      </c>
      <c r="L5258" s="433">
        <v>500</v>
      </c>
      <c r="M5258" s="136">
        <f>M5257+K5258-L5258</f>
        <v>78753.462703334168</v>
      </c>
    </row>
    <row r="5259" spans="1:13">
      <c r="A5259" s="54" t="str">
        <f>D5259&amp;E5259&amp;F5259</f>
        <v>ELIINSUMOSL1</v>
      </c>
      <c r="B5259" t="s">
        <v>2821</v>
      </c>
      <c r="C5259" s="1">
        <f t="shared" si="178"/>
        <v>46007</v>
      </c>
      <c r="D5259" s="242" t="s">
        <v>130</v>
      </c>
      <c r="E5259" s="71" t="s">
        <v>133</v>
      </c>
      <c r="F5259" s="71" t="s">
        <v>136</v>
      </c>
      <c r="J5259" s="71" t="s">
        <v>3034</v>
      </c>
      <c r="L5259" s="433">
        <v>910</v>
      </c>
      <c r="M5259" s="136">
        <f>M5258+K5259-L5259</f>
        <v>77843.462703334168</v>
      </c>
    </row>
    <row r="5260" spans="1:13">
      <c r="A5260" s="54" t="str">
        <f>D5260&amp;E5260&amp;F5260</f>
        <v>MKTINSUMOSINSUMOS</v>
      </c>
      <c r="B5260" t="s">
        <v>2821</v>
      </c>
      <c r="C5260" s="1">
        <f t="shared" si="178"/>
        <v>46007</v>
      </c>
      <c r="D5260" s="242" t="s">
        <v>19</v>
      </c>
      <c r="E5260" s="71" t="s">
        <v>133</v>
      </c>
      <c r="F5260" s="71" t="s">
        <v>133</v>
      </c>
      <c r="J5260" s="71" t="s">
        <v>3035</v>
      </c>
      <c r="L5260" s="433">
        <v>250</v>
      </c>
      <c r="M5260" s="136">
        <f>M5259+K5260-L5260</f>
        <v>77593.462703334168</v>
      </c>
    </row>
    <row r="5261" spans="1:13">
      <c r="A5261" s="54" t="str">
        <f>D5261&amp;E5261&amp;F5261</f>
        <v>SERVICIOSVIATICOSCEDIS</v>
      </c>
      <c r="B5261" t="s">
        <v>2821</v>
      </c>
      <c r="C5261" s="1">
        <f t="shared" si="178"/>
        <v>46007</v>
      </c>
      <c r="D5261" s="242" t="s">
        <v>21</v>
      </c>
      <c r="E5261" s="71" t="s">
        <v>191</v>
      </c>
      <c r="F5261" s="71" t="s">
        <v>28</v>
      </c>
      <c r="J5261" s="71" t="s">
        <v>3036</v>
      </c>
      <c r="L5261" s="433">
        <v>900</v>
      </c>
      <c r="M5261" s="136">
        <f>M5260+K5261-L5261</f>
        <v>76693.462703334168</v>
      </c>
    </row>
    <row r="5262" spans="1:13">
      <c r="A5262" s="54" t="str">
        <f>D5262&amp;E5262&amp;F5262</f>
        <v>HRIMAGEN VISUALIMAGEN VISUAL HR</v>
      </c>
      <c r="B5262" t="s">
        <v>2821</v>
      </c>
      <c r="C5262" s="1">
        <f t="shared" si="178"/>
        <v>46007</v>
      </c>
      <c r="D5262" s="242" t="s">
        <v>29</v>
      </c>
      <c r="E5262" s="71" t="s">
        <v>127</v>
      </c>
      <c r="F5262" s="71" t="s">
        <v>128</v>
      </c>
      <c r="J5262" s="71" t="s">
        <v>3037</v>
      </c>
      <c r="L5262" s="433">
        <v>2700</v>
      </c>
      <c r="M5262" s="136">
        <f>M5261+K5262-L5262</f>
        <v>73993.462703334168</v>
      </c>
    </row>
    <row r="5263" spans="1:13">
      <c r="A5263" s="54" t="str">
        <f>D5263&amp;E5263&amp;F5263</f>
        <v>SERVICIOSGASCEDIS</v>
      </c>
      <c r="B5263" t="s">
        <v>2821</v>
      </c>
      <c r="C5263" s="1">
        <f t="shared" si="178"/>
        <v>46007</v>
      </c>
      <c r="D5263" s="242" t="s">
        <v>21</v>
      </c>
      <c r="E5263" s="71" t="s">
        <v>122</v>
      </c>
      <c r="F5263" s="71" t="s">
        <v>28</v>
      </c>
      <c r="J5263" s="71" t="s">
        <v>2325</v>
      </c>
      <c r="L5263" s="433">
        <v>300</v>
      </c>
      <c r="M5263" s="136">
        <f>M5262+K5263-L5263</f>
        <v>73693.462703334168</v>
      </c>
    </row>
    <row r="5264" spans="1:13">
      <c r="A5264" s="54" t="str">
        <f>D5264&amp;E5264&amp;F5264</f>
        <v>HRFONDO Y REPOSICIONHR</v>
      </c>
      <c r="B5264" t="s">
        <v>2821</v>
      </c>
      <c r="C5264" s="1">
        <f t="shared" si="178"/>
        <v>46007</v>
      </c>
      <c r="D5264" s="242" t="s">
        <v>29</v>
      </c>
      <c r="E5264" s="71" t="s">
        <v>120</v>
      </c>
      <c r="F5264" s="71" t="s">
        <v>29</v>
      </c>
      <c r="J5264" s="71" t="s">
        <v>3038</v>
      </c>
      <c r="L5264" s="433">
        <v>1720</v>
      </c>
      <c r="M5264" s="136">
        <f>M5263+K5264-L5264</f>
        <v>71973.462703334168</v>
      </c>
    </row>
    <row r="5265" spans="1:13">
      <c r="A5265" s="54" t="str">
        <f>D5265&amp;E5265&amp;F5265</f>
        <v>SERVICIOSADQ DE EQ TECNOLOGICOADQ DE EQ TECNOLOGICO</v>
      </c>
      <c r="B5265" t="s">
        <v>2821</v>
      </c>
      <c r="C5265" s="1">
        <f t="shared" si="178"/>
        <v>46007</v>
      </c>
      <c r="D5265" s="242" t="s">
        <v>21</v>
      </c>
      <c r="E5265" s="71" t="s">
        <v>22</v>
      </c>
      <c r="F5265" s="71" t="s">
        <v>22</v>
      </c>
      <c r="G5265" s="71" t="s">
        <v>258</v>
      </c>
      <c r="J5265" s="71" t="s">
        <v>3039</v>
      </c>
      <c r="L5265" s="433">
        <v>37463.99</v>
      </c>
      <c r="M5265" s="136">
        <f>M5264+K5265-L5265</f>
        <v>34509.47270333417</v>
      </c>
    </row>
    <row r="5266" spans="1:13">
      <c r="A5266" s="54" t="str">
        <f>D5266&amp;E5266&amp;F5266</f>
        <v>SERVICIOSMTTO DE EDIFICIOMANTENIMIENTO</v>
      </c>
      <c r="B5266" t="s">
        <v>2821</v>
      </c>
      <c r="C5266" s="1">
        <f t="shared" si="178"/>
        <v>46007</v>
      </c>
      <c r="D5266" s="242" t="s">
        <v>21</v>
      </c>
      <c r="E5266" s="71" t="s">
        <v>142</v>
      </c>
      <c r="F5266" s="71" t="s">
        <v>35</v>
      </c>
      <c r="G5266" s="71" t="s">
        <v>258</v>
      </c>
      <c r="J5266" s="71" t="s">
        <v>3040</v>
      </c>
      <c r="L5266" s="433">
        <v>1500</v>
      </c>
      <c r="M5266" s="136">
        <f>M5265+K5266-L5266</f>
        <v>33009.47270333417</v>
      </c>
    </row>
    <row r="5267" spans="1:13">
      <c r="A5267" s="54" t="str">
        <f>D5267&amp;E5267&amp;F5267</f>
        <v>CAPUBERCAP</v>
      </c>
      <c r="B5267" t="s">
        <v>2821</v>
      </c>
      <c r="C5267" s="1">
        <f t="shared" si="178"/>
        <v>46007</v>
      </c>
      <c r="D5267" s="242" t="s">
        <v>31</v>
      </c>
      <c r="E5267" s="71" t="s">
        <v>189</v>
      </c>
      <c r="F5267" s="71" t="s">
        <v>31</v>
      </c>
      <c r="J5267" s="71" t="s">
        <v>3041</v>
      </c>
      <c r="L5267" s="523">
        <v>140</v>
      </c>
      <c r="M5267" s="136">
        <f>M5266+K5267-L5267</f>
        <v>32869.47270333417</v>
      </c>
    </row>
    <row r="5268" spans="1:13">
      <c r="A5268" s="54" t="str">
        <f>D5268&amp;E5268&amp;F5268</f>
        <v>CAPUBERCAP</v>
      </c>
      <c r="B5268" t="s">
        <v>2821</v>
      </c>
      <c r="C5268" s="1">
        <f t="shared" si="178"/>
        <v>46007</v>
      </c>
      <c r="D5268" s="242" t="s">
        <v>31</v>
      </c>
      <c r="E5268" s="71" t="s">
        <v>189</v>
      </c>
      <c r="F5268" s="71" t="s">
        <v>31</v>
      </c>
      <c r="J5268" s="71" t="s">
        <v>2267</v>
      </c>
      <c r="L5268" s="523">
        <v>421</v>
      </c>
      <c r="M5268" s="136">
        <f>M5267+K5268-L5268</f>
        <v>32448.47270333417</v>
      </c>
    </row>
    <row r="5269" spans="1:13">
      <c r="A5269" s="54" t="str">
        <f>D5269&amp;E5269&amp;F5269</f>
        <v>CAPUBERCAP</v>
      </c>
      <c r="B5269" t="s">
        <v>2821</v>
      </c>
      <c r="C5269" s="1">
        <f t="shared" si="178"/>
        <v>46007</v>
      </c>
      <c r="D5269" s="242" t="s">
        <v>31</v>
      </c>
      <c r="E5269" s="71" t="s">
        <v>189</v>
      </c>
      <c r="F5269" s="71" t="s">
        <v>31</v>
      </c>
      <c r="J5269" s="71" t="s">
        <v>2537</v>
      </c>
      <c r="L5269" s="523">
        <v>300</v>
      </c>
      <c r="M5269" s="136">
        <f>M5268+K5269-L5269</f>
        <v>32148.47270333417</v>
      </c>
    </row>
    <row r="5270" spans="1:13">
      <c r="A5270" s="54" t="str">
        <f>D5270&amp;E5270&amp;F5270</f>
        <v>CAPUBERCAP</v>
      </c>
      <c r="B5270" t="s">
        <v>2821</v>
      </c>
      <c r="C5270" s="1">
        <f t="shared" si="178"/>
        <v>46007</v>
      </c>
      <c r="D5270" s="242" t="s">
        <v>31</v>
      </c>
      <c r="E5270" s="71" t="s">
        <v>189</v>
      </c>
      <c r="F5270" s="71" t="s">
        <v>31</v>
      </c>
      <c r="J5270" s="71" t="s">
        <v>2375</v>
      </c>
      <c r="L5270" s="523">
        <v>235</v>
      </c>
      <c r="M5270" s="136">
        <f>M5269+K5270-L5270</f>
        <v>31913.47270333417</v>
      </c>
    </row>
    <row r="5271" spans="1:13">
      <c r="A5271" s="54" t="str">
        <f>D5271&amp;E5271&amp;F5271</f>
        <v>CAPUBERCAP</v>
      </c>
      <c r="B5271" t="s">
        <v>2821</v>
      </c>
      <c r="C5271" s="1">
        <f t="shared" si="178"/>
        <v>46007</v>
      </c>
      <c r="D5271" s="242" t="s">
        <v>31</v>
      </c>
      <c r="E5271" s="71" t="s">
        <v>189</v>
      </c>
      <c r="F5271" s="71" t="s">
        <v>31</v>
      </c>
      <c r="J5271" s="71" t="s">
        <v>3042</v>
      </c>
      <c r="L5271" s="523">
        <v>59</v>
      </c>
      <c r="M5271" s="136">
        <f>M5270+K5271-L5271</f>
        <v>31854.47270333417</v>
      </c>
    </row>
    <row r="5272" spans="1:13">
      <c r="A5272" s="54" t="str">
        <f>D5272&amp;E5272&amp;F5272</f>
        <v>CAPINSUMOSCAPRICHOS</v>
      </c>
      <c r="B5272" t="s">
        <v>2821</v>
      </c>
      <c r="C5272" s="1">
        <f t="shared" si="178"/>
        <v>46007</v>
      </c>
      <c r="D5272" s="242" t="s">
        <v>31</v>
      </c>
      <c r="E5272" s="71" t="s">
        <v>133</v>
      </c>
      <c r="F5272" s="71" t="s">
        <v>33</v>
      </c>
      <c r="J5272" s="71" t="s">
        <v>3043</v>
      </c>
      <c r="L5272" s="523">
        <v>104</v>
      </c>
      <c r="M5272" s="136">
        <f>M5271+K5272-L5272</f>
        <v>31750.47270333417</v>
      </c>
    </row>
    <row r="5273" spans="1:13">
      <c r="A5273" s="54" t="str">
        <f>D5273&amp;E5273&amp;F5273</f>
        <v>FINANZASRECOLECCION DE BASURACAPRICHOS</v>
      </c>
      <c r="B5273" t="s">
        <v>2821</v>
      </c>
      <c r="C5273" s="1">
        <f t="shared" si="178"/>
        <v>46007</v>
      </c>
      <c r="D5273" s="242" t="s">
        <v>23</v>
      </c>
      <c r="E5273" s="71" t="s">
        <v>166</v>
      </c>
      <c r="F5273" s="71" t="s">
        <v>33</v>
      </c>
      <c r="J5273" s="71" t="s">
        <v>3044</v>
      </c>
      <c r="L5273" s="433">
        <v>400</v>
      </c>
      <c r="M5273" s="136">
        <f>M5272+K5273-L5273</f>
        <v>31350.47270333417</v>
      </c>
    </row>
    <row r="5274" spans="1:13">
      <c r="A5274" s="54" t="str">
        <f>D5274&amp;E5274&amp;F5274</f>
        <v>ELIUBERL1</v>
      </c>
      <c r="B5274" t="s">
        <v>2821</v>
      </c>
      <c r="C5274" s="1">
        <f t="shared" si="178"/>
        <v>46007</v>
      </c>
      <c r="D5274" s="242" t="s">
        <v>130</v>
      </c>
      <c r="E5274" s="71" t="s">
        <v>189</v>
      </c>
      <c r="F5274" s="71" t="s">
        <v>136</v>
      </c>
      <c r="G5274" s="71" t="s">
        <v>258</v>
      </c>
      <c r="J5274" s="71" t="s">
        <v>2442</v>
      </c>
      <c r="L5274" s="523">
        <v>400</v>
      </c>
      <c r="M5274" s="136">
        <f>M5273+K5274-L5274</f>
        <v>30950.47270333417</v>
      </c>
    </row>
    <row r="5275" spans="1:13">
      <c r="A5275" s="54" t="str">
        <f>D5275&amp;E5275&amp;F5275</f>
        <v>HRUBERHR</v>
      </c>
      <c r="B5275" t="s">
        <v>2821</v>
      </c>
      <c r="C5275" s="1">
        <f t="shared" si="178"/>
        <v>46007</v>
      </c>
      <c r="D5275" s="242" t="s">
        <v>29</v>
      </c>
      <c r="E5275" s="71" t="s">
        <v>189</v>
      </c>
      <c r="F5275" s="71" t="s">
        <v>29</v>
      </c>
      <c r="J5275" s="71" t="s">
        <v>2366</v>
      </c>
      <c r="L5275" s="523">
        <v>660</v>
      </c>
      <c r="M5275" s="136">
        <f>M5274+K5275-L5275</f>
        <v>30290.47270333417</v>
      </c>
    </row>
    <row r="5276" spans="1:13">
      <c r="A5276" s="54" t="str">
        <f>D5276&amp;E5276&amp;F5276</f>
        <v>HRINSUMOSHR</v>
      </c>
      <c r="B5276" t="s">
        <v>2821</v>
      </c>
      <c r="C5276" s="1">
        <f t="shared" si="178"/>
        <v>46007</v>
      </c>
      <c r="D5276" s="242" t="s">
        <v>29</v>
      </c>
      <c r="E5276" s="71" t="s">
        <v>133</v>
      </c>
      <c r="F5276" s="71" t="s">
        <v>29</v>
      </c>
      <c r="J5276" s="71" t="s">
        <v>2405</v>
      </c>
      <c r="L5276" s="433">
        <v>644</v>
      </c>
      <c r="M5276" s="136">
        <f>M5275+K5276-L5276</f>
        <v>29646.47270333417</v>
      </c>
    </row>
    <row r="5277" spans="1:13">
      <c r="A5277" s="54" t="str">
        <f>D5277&amp;E5277&amp;F5277</f>
        <v>HRUBERHR</v>
      </c>
      <c r="B5277" t="s">
        <v>2821</v>
      </c>
      <c r="C5277" s="1">
        <f t="shared" si="178"/>
        <v>46007</v>
      </c>
      <c r="D5277" s="242" t="s">
        <v>29</v>
      </c>
      <c r="E5277" s="71" t="s">
        <v>189</v>
      </c>
      <c r="F5277" s="71" t="s">
        <v>29</v>
      </c>
      <c r="J5277" s="71" t="s">
        <v>3045</v>
      </c>
      <c r="L5277" s="523">
        <v>225</v>
      </c>
      <c r="M5277" s="136">
        <f>M5276+K5277-L5277</f>
        <v>29421.47270333417</v>
      </c>
    </row>
    <row r="5278" spans="1:13">
      <c r="A5278" s="54" t="str">
        <f>D5278&amp;E5278&amp;F5278</f>
        <v>HRUBERHR</v>
      </c>
      <c r="B5278" t="s">
        <v>2821</v>
      </c>
      <c r="C5278" s="1">
        <f t="shared" si="178"/>
        <v>46007</v>
      </c>
      <c r="D5278" s="242" t="s">
        <v>29</v>
      </c>
      <c r="E5278" s="71" t="s">
        <v>189</v>
      </c>
      <c r="F5278" s="71" t="s">
        <v>29</v>
      </c>
      <c r="J5278" s="71" t="s">
        <v>2526</v>
      </c>
      <c r="L5278" s="523">
        <v>260</v>
      </c>
      <c r="M5278" s="136">
        <f>M5277+K5278-L5278</f>
        <v>29161.47270333417</v>
      </c>
    </row>
    <row r="5279" spans="1:13">
      <c r="A5279" s="54" t="str">
        <f>D5279&amp;E5279&amp;F5279</f>
        <v>HRUBERHR</v>
      </c>
      <c r="B5279" t="s">
        <v>2821</v>
      </c>
      <c r="C5279" s="1">
        <f t="shared" si="178"/>
        <v>46007</v>
      </c>
      <c r="D5279" s="242" t="s">
        <v>29</v>
      </c>
      <c r="E5279" s="71" t="s">
        <v>189</v>
      </c>
      <c r="F5279" s="71" t="s">
        <v>29</v>
      </c>
      <c r="J5279" s="71" t="s">
        <v>2364</v>
      </c>
      <c r="L5279" s="523">
        <v>300</v>
      </c>
      <c r="M5279" s="136">
        <f>M5278+K5279-L5279</f>
        <v>28861.47270333417</v>
      </c>
    </row>
    <row r="5280" spans="1:13">
      <c r="A5280" s="54" t="str">
        <f>D5280&amp;E5280&amp;F5280</f>
        <v>HRUBERHR</v>
      </c>
      <c r="B5280" t="s">
        <v>2821</v>
      </c>
      <c r="C5280" s="1">
        <f t="shared" si="178"/>
        <v>46007</v>
      </c>
      <c r="D5280" s="242" t="s">
        <v>29</v>
      </c>
      <c r="E5280" s="71" t="s">
        <v>189</v>
      </c>
      <c r="F5280" s="71" t="s">
        <v>29</v>
      </c>
      <c r="J5280" s="71" t="s">
        <v>2975</v>
      </c>
      <c r="L5280" s="523">
        <v>100</v>
      </c>
      <c r="M5280" s="136">
        <f>M5279+K5280-L5280</f>
        <v>28761.47270333417</v>
      </c>
    </row>
    <row r="5281" spans="1:13">
      <c r="A5281" s="54" t="str">
        <f>D5281&amp;E5281&amp;F5281</f>
        <v>HRINSUMOSHR</v>
      </c>
      <c r="B5281" t="s">
        <v>2821</v>
      </c>
      <c r="C5281" s="1">
        <f t="shared" si="178"/>
        <v>46007</v>
      </c>
      <c r="D5281" s="242" t="s">
        <v>29</v>
      </c>
      <c r="E5281" s="71" t="s">
        <v>133</v>
      </c>
      <c r="F5281" s="71" t="s">
        <v>29</v>
      </c>
      <c r="J5281" s="71" t="s">
        <v>2367</v>
      </c>
      <c r="L5281" s="433">
        <v>135</v>
      </c>
      <c r="M5281" s="136">
        <f>M5280+K5281-L5281</f>
        <v>28626.47270333417</v>
      </c>
    </row>
    <row r="5282" spans="1:13">
      <c r="A5282" s="54" t="str">
        <f>D5282&amp;E5282&amp;F5282</f>
        <v>HRINSUMOSHR</v>
      </c>
      <c r="B5282" t="s">
        <v>2821</v>
      </c>
      <c r="C5282" s="1">
        <f t="shared" si="178"/>
        <v>46007</v>
      </c>
      <c r="D5282" s="242" t="s">
        <v>29</v>
      </c>
      <c r="E5282" s="71" t="s">
        <v>133</v>
      </c>
      <c r="F5282" s="71" t="s">
        <v>29</v>
      </c>
      <c r="J5282" s="71" t="s">
        <v>3046</v>
      </c>
      <c r="L5282" s="433">
        <v>3175</v>
      </c>
      <c r="M5282" s="136">
        <f>M5281+K5282-L5282</f>
        <v>25451.47270333417</v>
      </c>
    </row>
    <row r="5283" spans="1:13">
      <c r="A5283" s="54" t="str">
        <f>D5283&amp;E5283&amp;F5283</f>
        <v>HRNOMINA SUCURSALA12</v>
      </c>
      <c r="B5283" t="s">
        <v>2821</v>
      </c>
      <c r="C5283" s="1">
        <f t="shared" si="178"/>
        <v>46007</v>
      </c>
      <c r="D5283" s="242" t="s">
        <v>29</v>
      </c>
      <c r="E5283" s="71" t="s">
        <v>154</v>
      </c>
      <c r="F5283" s="71" t="s">
        <v>98</v>
      </c>
      <c r="J5283" s="71" t="s">
        <v>2837</v>
      </c>
      <c r="L5283" s="433">
        <v>117</v>
      </c>
      <c r="M5283" s="136">
        <f>M5282+K5283-L5283</f>
        <v>25334.47270333417</v>
      </c>
    </row>
    <row r="5284" spans="1:13">
      <c r="A5284" s="54" t="str">
        <f>D5284&amp;E5284&amp;F5284</f>
        <v>HRUBERHR</v>
      </c>
      <c r="B5284" t="s">
        <v>2821</v>
      </c>
      <c r="C5284" s="1">
        <f t="shared" si="178"/>
        <v>46007</v>
      </c>
      <c r="D5284" s="242" t="s">
        <v>29</v>
      </c>
      <c r="E5284" s="71" t="s">
        <v>189</v>
      </c>
      <c r="F5284" s="71" t="s">
        <v>29</v>
      </c>
      <c r="J5284" s="71" t="s">
        <v>2562</v>
      </c>
      <c r="L5284" s="523">
        <v>600</v>
      </c>
      <c r="M5284" s="136">
        <f>M5283+K5284-L5284</f>
        <v>24734.47270333417</v>
      </c>
    </row>
    <row r="5285" spans="1:13">
      <c r="A5285" s="54" t="str">
        <f>D5285&amp;E5285&amp;F5285</f>
        <v>HRINSUMOSHR</v>
      </c>
      <c r="B5285" t="s">
        <v>2821</v>
      </c>
      <c r="C5285" s="1">
        <f t="shared" ref="C5285:C5361" si="180">C5284</f>
        <v>46007</v>
      </c>
      <c r="D5285" s="242" t="s">
        <v>29</v>
      </c>
      <c r="E5285" s="71" t="s">
        <v>133</v>
      </c>
      <c r="F5285" s="71" t="s">
        <v>29</v>
      </c>
      <c r="J5285" s="71" t="s">
        <v>2405</v>
      </c>
      <c r="L5285" s="433">
        <v>30</v>
      </c>
      <c r="M5285" s="136">
        <f>M5284+K5285-L5285</f>
        <v>24704.47270333417</v>
      </c>
    </row>
    <row r="5286" spans="1:13">
      <c r="A5286" s="54" t="str">
        <f t="shared" ref="A5270:A5333" si="181">D5286&amp;E5286&amp;F5286</f>
        <v/>
      </c>
      <c r="B5286" t="s">
        <v>2821</v>
      </c>
      <c r="C5286" s="1">
        <v>46008</v>
      </c>
      <c r="J5286" s="71" t="s">
        <v>2045</v>
      </c>
      <c r="K5286" s="325">
        <v>708519.47</v>
      </c>
      <c r="L5286" s="432"/>
      <c r="M5286" s="136">
        <f>M5285+K5286-L5286</f>
        <v>733223.94270333415</v>
      </c>
    </row>
    <row r="5287" spans="1:13">
      <c r="A5287" s="54" t="str">
        <f>D5287&amp;E5287&amp;F5287</f>
        <v>FINANZASCOMISIONES BANCARIASTPV</v>
      </c>
      <c r="B5287" s="489" t="s">
        <v>2821</v>
      </c>
      <c r="C5287" s="490">
        <f t="shared" si="180"/>
        <v>46008</v>
      </c>
      <c r="D5287" s="242" t="s">
        <v>23</v>
      </c>
      <c r="E5287" s="71" t="s">
        <v>48</v>
      </c>
      <c r="F5287" s="71" t="s">
        <v>50</v>
      </c>
      <c r="J5287" s="71" t="s">
        <v>217</v>
      </c>
      <c r="L5287" s="433">
        <f>156.68+1392.71+1460.89+103.44+34.8+3741.07+7565.41+3306.59</f>
        <v>17761.59</v>
      </c>
      <c r="M5287" s="136">
        <f>M5286+K5287-L5287</f>
        <v>715462.35270333418</v>
      </c>
    </row>
    <row r="5288" spans="1:13">
      <c r="A5288" s="54" t="str">
        <f t="shared" si="181"/>
        <v/>
      </c>
      <c r="B5288" t="s">
        <v>2821</v>
      </c>
      <c r="C5288" s="1">
        <f t="shared" si="180"/>
        <v>46008</v>
      </c>
      <c r="J5288" s="205" t="s">
        <v>1562</v>
      </c>
      <c r="K5288" s="205"/>
      <c r="L5288" s="428"/>
      <c r="M5288" s="136">
        <f>M5287+K5288-L5288</f>
        <v>715462.35270333418</v>
      </c>
    </row>
    <row r="5289" spans="1:13">
      <c r="A5289" s="54" t="str">
        <f t="shared" si="181"/>
        <v/>
      </c>
      <c r="B5289" t="s">
        <v>2821</v>
      </c>
      <c r="C5289" s="1">
        <f t="shared" si="180"/>
        <v>46008</v>
      </c>
      <c r="J5289" s="71" t="s">
        <v>2978</v>
      </c>
      <c r="L5289" s="433">
        <v>600000</v>
      </c>
      <c r="M5289" s="136">
        <f>M5288+K5289-L5289</f>
        <v>115462.35270333418</v>
      </c>
    </row>
    <row r="5290" spans="1:13">
      <c r="A5290" s="54" t="str">
        <f>D5290&amp;E5290&amp;F5290</f>
        <v>CAPENERGIA ELECTRICAE7</v>
      </c>
      <c r="B5290" t="s">
        <v>2821</v>
      </c>
      <c r="C5290" s="1">
        <f t="shared" si="180"/>
        <v>46008</v>
      </c>
      <c r="D5290" s="242" t="s">
        <v>31</v>
      </c>
      <c r="E5290" s="71" t="s">
        <v>87</v>
      </c>
      <c r="F5290" s="71" t="s">
        <v>113</v>
      </c>
      <c r="J5290" s="71" t="s">
        <v>3047</v>
      </c>
      <c r="L5290" s="433">
        <v>9077</v>
      </c>
      <c r="M5290" s="136">
        <f>M5289+K5290-L5290</f>
        <v>106385.35270333418</v>
      </c>
    </row>
    <row r="5291" spans="1:13">
      <c r="A5291" s="54" t="str">
        <f>D5291&amp;E5291&amp;F5291</f>
        <v>HRENERGIA ELECTRICAA8</v>
      </c>
      <c r="B5291" t="s">
        <v>2821</v>
      </c>
      <c r="C5291" s="1">
        <f t="shared" si="180"/>
        <v>46008</v>
      </c>
      <c r="D5291" s="242" t="s">
        <v>29</v>
      </c>
      <c r="E5291" s="71" t="s">
        <v>87</v>
      </c>
      <c r="F5291" s="71" t="s">
        <v>94</v>
      </c>
      <c r="J5291" s="71" t="s">
        <v>903</v>
      </c>
      <c r="L5291" s="433">
        <v>8770</v>
      </c>
      <c r="M5291" s="136">
        <f>M5290+K5291-L5291</f>
        <v>97615.352703334182</v>
      </c>
    </row>
    <row r="5292" spans="1:13">
      <c r="A5292" s="54" t="str">
        <f>D5292&amp;E5292&amp;F5292</f>
        <v>CAPENERGIA ELECTRICAE4</v>
      </c>
      <c r="B5292" t="s">
        <v>2821</v>
      </c>
      <c r="C5292" s="1">
        <f t="shared" si="180"/>
        <v>46008</v>
      </c>
      <c r="D5292" s="242" t="s">
        <v>31</v>
      </c>
      <c r="E5292" s="71" t="s">
        <v>87</v>
      </c>
      <c r="F5292" s="71" t="s">
        <v>110</v>
      </c>
      <c r="J5292" s="71" t="s">
        <v>3048</v>
      </c>
      <c r="L5292" s="433">
        <v>8595</v>
      </c>
      <c r="M5292" s="136">
        <f>M5291+K5292-L5292</f>
        <v>89020.352703334182</v>
      </c>
    </row>
    <row r="5293" spans="1:13">
      <c r="A5293" s="54" t="str">
        <f>D5293&amp;E5293&amp;F5293</f>
        <v>HRENERGIA ELECTRICAA4</v>
      </c>
      <c r="B5293" t="s">
        <v>2821</v>
      </c>
      <c r="C5293" s="1">
        <f t="shared" si="180"/>
        <v>46008</v>
      </c>
      <c r="D5293" s="242" t="s">
        <v>29</v>
      </c>
      <c r="E5293" s="71" t="s">
        <v>87</v>
      </c>
      <c r="F5293" s="71" t="s">
        <v>91</v>
      </c>
      <c r="J5293" s="71" t="s">
        <v>376</v>
      </c>
      <c r="L5293" s="433">
        <v>7254</v>
      </c>
      <c r="M5293" s="136">
        <f>M5292+K5293-L5293</f>
        <v>81766.352703334182</v>
      </c>
    </row>
    <row r="5294" spans="1:13">
      <c r="A5294" s="54" t="str">
        <f>D5294&amp;E5294&amp;F5294</f>
        <v>HRENERGIA ELECTRICAA5</v>
      </c>
      <c r="B5294" t="s">
        <v>2821</v>
      </c>
      <c r="C5294" s="1">
        <f t="shared" si="180"/>
        <v>46008</v>
      </c>
      <c r="D5294" s="242" t="s">
        <v>29</v>
      </c>
      <c r="E5294" s="71" t="s">
        <v>87</v>
      </c>
      <c r="F5294" s="71" t="s">
        <v>92</v>
      </c>
      <c r="J5294" s="71" t="s">
        <v>902</v>
      </c>
      <c r="L5294" s="433">
        <f>6489+2121+4851</f>
        <v>13461</v>
      </c>
      <c r="M5294" s="136">
        <f>M5293+K5294-L5294</f>
        <v>68305.352703334182</v>
      </c>
    </row>
    <row r="5295" spans="1:13">
      <c r="A5295" s="54" t="str">
        <f>D5295&amp;E5295&amp;F5295</f>
        <v>CAPENERGIA ELECTRICAE3</v>
      </c>
      <c r="B5295" t="s">
        <v>2821</v>
      </c>
      <c r="C5295" s="1">
        <f t="shared" si="180"/>
        <v>46008</v>
      </c>
      <c r="D5295" s="242" t="s">
        <v>31</v>
      </c>
      <c r="E5295" s="71" t="s">
        <v>87</v>
      </c>
      <c r="F5295" s="71" t="s">
        <v>109</v>
      </c>
      <c r="J5295" s="71" t="s">
        <v>381</v>
      </c>
      <c r="L5295" s="433">
        <v>5927</v>
      </c>
      <c r="M5295" s="136">
        <f>M5294+K5295-L5295</f>
        <v>62378.352703334182</v>
      </c>
    </row>
    <row r="5296" spans="1:13">
      <c r="A5296" s="54" t="str">
        <f>D5296&amp;E5296&amp;F5296</f>
        <v>HRENERGIA ELECTRICAA22</v>
      </c>
      <c r="B5296" t="s">
        <v>2821</v>
      </c>
      <c r="C5296" s="1">
        <f t="shared" si="180"/>
        <v>46008</v>
      </c>
      <c r="D5296" s="242" t="s">
        <v>29</v>
      </c>
      <c r="E5296" s="71" t="s">
        <v>87</v>
      </c>
      <c r="F5296" s="71" t="s">
        <v>104</v>
      </c>
      <c r="J5296" s="71" t="s">
        <v>379</v>
      </c>
      <c r="L5296" s="433">
        <v>5719</v>
      </c>
      <c r="M5296" s="136">
        <f>M5295+K5296-L5296</f>
        <v>56659.352703334182</v>
      </c>
    </row>
    <row r="5297" spans="1:13">
      <c r="A5297" s="54" t="str">
        <f>D5297&amp;E5297&amp;F5297</f>
        <v>MKTVIATICOSMKT</v>
      </c>
      <c r="B5297" t="s">
        <v>2821</v>
      </c>
      <c r="C5297" s="1">
        <f t="shared" si="180"/>
        <v>46008</v>
      </c>
      <c r="D5297" s="242" t="s">
        <v>19</v>
      </c>
      <c r="E5297" s="71" t="s">
        <v>191</v>
      </c>
      <c r="F5297" s="71" t="s">
        <v>19</v>
      </c>
      <c r="G5297" s="71" t="s">
        <v>258</v>
      </c>
      <c r="J5297" s="71" t="s">
        <v>2072</v>
      </c>
      <c r="L5297" s="433">
        <v>1800</v>
      </c>
      <c r="M5297" s="136">
        <f>M5296+K5297-L5297</f>
        <v>54859.352703334182</v>
      </c>
    </row>
    <row r="5298" spans="1:13">
      <c r="A5298" s="54" t="str">
        <f>D5298&amp;E5298&amp;F5298</f>
        <v>MKTINSUMOSINSUMOS</v>
      </c>
      <c r="B5298" t="s">
        <v>2821</v>
      </c>
      <c r="C5298" s="1">
        <f t="shared" si="180"/>
        <v>46008</v>
      </c>
      <c r="D5298" s="242" t="s">
        <v>19</v>
      </c>
      <c r="E5298" s="71" t="s">
        <v>133</v>
      </c>
      <c r="F5298" s="71" t="s">
        <v>133</v>
      </c>
      <c r="J5298" s="71" t="s">
        <v>3049</v>
      </c>
      <c r="L5298" s="433">
        <v>2800</v>
      </c>
      <c r="M5298" s="136">
        <f>M5297+K5298-L5298</f>
        <v>52059.352703334182</v>
      </c>
    </row>
    <row r="5299" spans="1:13">
      <c r="A5299" s="54" t="str">
        <f>D5299&amp;E5299&amp;F5299</f>
        <v>FINANZASFONDO Y REPOSICIONFINANZAS</v>
      </c>
      <c r="B5299" t="s">
        <v>2821</v>
      </c>
      <c r="C5299" s="1">
        <f t="shared" si="180"/>
        <v>46008</v>
      </c>
      <c r="D5299" s="242" t="s">
        <v>23</v>
      </c>
      <c r="E5299" s="71" t="s">
        <v>120</v>
      </c>
      <c r="F5299" s="71" t="s">
        <v>23</v>
      </c>
      <c r="J5299" s="71" t="s">
        <v>794</v>
      </c>
      <c r="L5299" s="433">
        <v>6300</v>
      </c>
      <c r="M5299" s="136">
        <f>M5298+K5299-L5299</f>
        <v>45759.352703334182</v>
      </c>
    </row>
    <row r="5300" spans="1:13">
      <c r="A5300" s="54" t="str">
        <f>D5300&amp;E5300&amp;F5300</f>
        <v>FINANZASCUOTAS Y SUSCRIPCIONESTRAMITES</v>
      </c>
      <c r="B5300" t="s">
        <v>2821</v>
      </c>
      <c r="C5300" s="1">
        <f t="shared" si="180"/>
        <v>46008</v>
      </c>
      <c r="D5300" s="242" t="s">
        <v>23</v>
      </c>
      <c r="E5300" s="71" t="s">
        <v>51</v>
      </c>
      <c r="F5300" s="71" t="s">
        <v>81</v>
      </c>
      <c r="J5300" s="71" t="s">
        <v>3050</v>
      </c>
      <c r="L5300" s="433">
        <v>1500</v>
      </c>
      <c r="M5300" s="136">
        <f>M5299+K5300-L5300</f>
        <v>44259.352703334182</v>
      </c>
    </row>
    <row r="5301" spans="1:13">
      <c r="A5301" s="54" t="str">
        <f>D5301&amp;E5301&amp;F5301</f>
        <v>SERVICIOSMTTO EQ DE TRANSPORTECEDIS</v>
      </c>
      <c r="B5301" t="s">
        <v>2821</v>
      </c>
      <c r="C5301" s="1">
        <f t="shared" si="180"/>
        <v>46008</v>
      </c>
      <c r="D5301" s="242" t="s">
        <v>21</v>
      </c>
      <c r="E5301" s="71" t="s">
        <v>144</v>
      </c>
      <c r="F5301" s="71" t="s">
        <v>28</v>
      </c>
      <c r="J5301" s="71" t="s">
        <v>3051</v>
      </c>
      <c r="L5301" s="433">
        <v>3000</v>
      </c>
      <c r="M5301" s="136">
        <f>M5300+K5301-L5301</f>
        <v>41259.352703334182</v>
      </c>
    </row>
    <row r="5302" spans="1:13">
      <c r="A5302" s="54" t="str">
        <f>D5302&amp;E5302&amp;F5302</f>
        <v>FINANZASPOSADASPOSADAS</v>
      </c>
      <c r="B5302" t="s">
        <v>2821</v>
      </c>
      <c r="C5302" s="1">
        <f>C5289</f>
        <v>46008</v>
      </c>
      <c r="D5302" s="242" t="s">
        <v>23</v>
      </c>
      <c r="E5302" s="71" t="s">
        <v>163</v>
      </c>
      <c r="F5302" s="71" t="s">
        <v>163</v>
      </c>
      <c r="J5302" s="71" t="s">
        <v>3052</v>
      </c>
      <c r="L5302" s="433">
        <v>2000</v>
      </c>
      <c r="M5302" s="136">
        <f>M5301+K5302-L5302</f>
        <v>39259.352703334182</v>
      </c>
    </row>
    <row r="5303" spans="1:13">
      <c r="A5303" s="54" t="str">
        <f>D5303&amp;E5303&amp;F5303</f>
        <v>SERVICIOSINSUMOSCADENA DE SUMINISTROS</v>
      </c>
      <c r="B5303" t="s">
        <v>2821</v>
      </c>
      <c r="C5303" s="1">
        <f t="shared" si="180"/>
        <v>46008</v>
      </c>
      <c r="D5303" s="242" t="s">
        <v>21</v>
      </c>
      <c r="E5303" s="71" t="s">
        <v>133</v>
      </c>
      <c r="F5303" s="71" t="s">
        <v>134</v>
      </c>
      <c r="J5303" s="71" t="s">
        <v>3053</v>
      </c>
      <c r="L5303" s="433">
        <v>2325</v>
      </c>
      <c r="M5303" s="136">
        <f>M5302+K5303-L5303</f>
        <v>36934.352703334182</v>
      </c>
    </row>
    <row r="5304" spans="1:13">
      <c r="A5304" s="54" t="str">
        <f>D5304&amp;E5304&amp;F5304</f>
        <v>SERVICIOSINSUMOSCADENA DE SUMINISTROS</v>
      </c>
      <c r="B5304" t="s">
        <v>2821</v>
      </c>
      <c r="C5304" s="1">
        <f t="shared" si="180"/>
        <v>46008</v>
      </c>
      <c r="D5304" s="242" t="s">
        <v>21</v>
      </c>
      <c r="E5304" s="71" t="s">
        <v>133</v>
      </c>
      <c r="F5304" s="71" t="s">
        <v>134</v>
      </c>
      <c r="J5304" s="71" t="s">
        <v>924</v>
      </c>
      <c r="L5304" s="433">
        <v>5200</v>
      </c>
      <c r="M5304" s="136">
        <f>M5303+K5304-L5304</f>
        <v>31734.352703334182</v>
      </c>
    </row>
    <row r="5305" spans="1:13">
      <c r="A5305" s="54" t="str">
        <f>D5305&amp;E5305&amp;F5305</f>
        <v>SERVICIOSINSUMOSCADENA DE SUMINISTROS</v>
      </c>
      <c r="B5305" t="s">
        <v>2821</v>
      </c>
      <c r="C5305" s="1">
        <f t="shared" si="180"/>
        <v>46008</v>
      </c>
      <c r="D5305" s="242" t="s">
        <v>21</v>
      </c>
      <c r="E5305" s="71" t="s">
        <v>133</v>
      </c>
      <c r="F5305" s="71" t="s">
        <v>134</v>
      </c>
      <c r="J5305" s="71" t="s">
        <v>3054</v>
      </c>
      <c r="L5305" s="433">
        <v>23804.36</v>
      </c>
      <c r="M5305" s="136">
        <f>M5304+K5305-L5305</f>
        <v>7929.992703334181</v>
      </c>
    </row>
    <row r="5306" spans="1:13">
      <c r="A5306" s="54" t="str">
        <f>D5306&amp;E5306&amp;F5306</f>
        <v>SERVICIOSMTTO DE EDIFICIOMANTENIMIENTO</v>
      </c>
      <c r="B5306" t="s">
        <v>2821</v>
      </c>
      <c r="C5306" s="1">
        <f t="shared" si="180"/>
        <v>46008</v>
      </c>
      <c r="D5306" s="242" t="s">
        <v>21</v>
      </c>
      <c r="E5306" s="71" t="s">
        <v>142</v>
      </c>
      <c r="F5306" s="71" t="s">
        <v>35</v>
      </c>
      <c r="G5306" s="71" t="s">
        <v>258</v>
      </c>
      <c r="J5306" s="71" t="s">
        <v>3055</v>
      </c>
      <c r="L5306" s="433">
        <v>800</v>
      </c>
      <c r="M5306" s="136">
        <f>M5305+K5306-L5306</f>
        <v>7129.992703334181</v>
      </c>
    </row>
    <row r="5307" spans="1:13">
      <c r="A5307" s="54" t="str">
        <f>D5307&amp;E5307&amp;F5307</f>
        <v>CAPUBERCAP</v>
      </c>
      <c r="B5307" t="s">
        <v>2821</v>
      </c>
      <c r="C5307" s="1">
        <f t="shared" si="180"/>
        <v>46008</v>
      </c>
      <c r="D5307" s="242" t="s">
        <v>31</v>
      </c>
      <c r="E5307" s="71" t="s">
        <v>189</v>
      </c>
      <c r="F5307" s="71" t="s">
        <v>31</v>
      </c>
      <c r="J5307" s="71" t="s">
        <v>3041</v>
      </c>
      <c r="L5307" s="523">
        <v>70</v>
      </c>
      <c r="M5307" s="136">
        <f>M5306+K5307-L5307</f>
        <v>7059.992703334181</v>
      </c>
    </row>
    <row r="5308" spans="1:13">
      <c r="A5308" s="54" t="str">
        <f>D5308&amp;E5308&amp;F5308</f>
        <v>CAPUBERCAP</v>
      </c>
      <c r="B5308" t="s">
        <v>2821</v>
      </c>
      <c r="C5308" s="1">
        <f t="shared" si="180"/>
        <v>46008</v>
      </c>
      <c r="D5308" s="242" t="s">
        <v>31</v>
      </c>
      <c r="E5308" s="71" t="s">
        <v>189</v>
      </c>
      <c r="F5308" s="71" t="s">
        <v>31</v>
      </c>
      <c r="J5308" s="71" t="s">
        <v>2267</v>
      </c>
      <c r="L5308" s="523">
        <v>390</v>
      </c>
      <c r="M5308" s="136">
        <f>M5307+K5308-L5308</f>
        <v>6669.992703334181</v>
      </c>
    </row>
    <row r="5309" spans="1:13">
      <c r="A5309" s="54" t="str">
        <f>D5309&amp;E5309&amp;F5309</f>
        <v>SERVICIOSMTTO DE EDIFICIOMANTENIMIENTO</v>
      </c>
      <c r="B5309" t="s">
        <v>2821</v>
      </c>
      <c r="C5309" s="1">
        <f t="shared" si="180"/>
        <v>46008</v>
      </c>
      <c r="D5309" s="242" t="s">
        <v>21</v>
      </c>
      <c r="E5309" s="71" t="s">
        <v>142</v>
      </c>
      <c r="F5309" s="71" t="s">
        <v>35</v>
      </c>
      <c r="G5309" s="71" t="s">
        <v>258</v>
      </c>
      <c r="J5309" s="71" t="s">
        <v>3056</v>
      </c>
      <c r="L5309" s="433">
        <v>279</v>
      </c>
      <c r="M5309" s="136">
        <f>M5308+K5309-L5309</f>
        <v>6390.992703334181</v>
      </c>
    </row>
    <row r="5310" spans="1:13">
      <c r="A5310" s="54" t="str">
        <f>D5310&amp;E5310&amp;F5310</f>
        <v>CAPUBERCAP</v>
      </c>
      <c r="B5310" t="s">
        <v>2821</v>
      </c>
      <c r="C5310" s="1">
        <f t="shared" si="180"/>
        <v>46008</v>
      </c>
      <c r="D5310" s="242" t="s">
        <v>31</v>
      </c>
      <c r="E5310" s="71" t="s">
        <v>189</v>
      </c>
      <c r="F5310" s="71" t="s">
        <v>31</v>
      </c>
      <c r="J5310" s="71" t="s">
        <v>3057</v>
      </c>
      <c r="L5310" s="523">
        <v>300</v>
      </c>
      <c r="M5310" s="136">
        <f>M5309+K5310-L5310</f>
        <v>6090.992703334181</v>
      </c>
    </row>
    <row r="5311" spans="1:13">
      <c r="A5311" s="54" t="str">
        <f>D5311&amp;E5311&amp;F5311</f>
        <v>CAPUBERCAP</v>
      </c>
      <c r="B5311" t="s">
        <v>2821</v>
      </c>
      <c r="C5311" s="1">
        <f t="shared" si="180"/>
        <v>46008</v>
      </c>
      <c r="D5311" s="242" t="s">
        <v>31</v>
      </c>
      <c r="E5311" s="71" t="s">
        <v>189</v>
      </c>
      <c r="F5311" s="71" t="s">
        <v>31</v>
      </c>
      <c r="J5311" s="71" t="s">
        <v>2268</v>
      </c>
      <c r="L5311" s="523">
        <v>120</v>
      </c>
      <c r="M5311" s="136">
        <f>M5310+K5311-L5311</f>
        <v>5970.992703334181</v>
      </c>
    </row>
    <row r="5312" spans="1:13">
      <c r="A5312" s="54" t="str">
        <f>D5312&amp;E5312&amp;F5312</f>
        <v>CAPUBERCAP</v>
      </c>
      <c r="B5312" t="s">
        <v>2821</v>
      </c>
      <c r="C5312" s="1">
        <f t="shared" si="180"/>
        <v>46008</v>
      </c>
      <c r="D5312" s="242" t="s">
        <v>31</v>
      </c>
      <c r="E5312" s="71" t="s">
        <v>189</v>
      </c>
      <c r="F5312" s="71" t="s">
        <v>31</v>
      </c>
      <c r="J5312" s="71" t="s">
        <v>3058</v>
      </c>
      <c r="L5312" s="523">
        <v>140</v>
      </c>
      <c r="M5312" s="136">
        <f>M5311+K5312-L5312</f>
        <v>5830.992703334181</v>
      </c>
    </row>
    <row r="5313" spans="1:13">
      <c r="A5313" s="54" t="str">
        <f>D5313&amp;E5313&amp;F5313</f>
        <v>ELIVIATICOSL1</v>
      </c>
      <c r="B5313" t="s">
        <v>2821</v>
      </c>
      <c r="C5313" s="1">
        <f t="shared" si="180"/>
        <v>46008</v>
      </c>
      <c r="D5313" s="242" t="s">
        <v>130</v>
      </c>
      <c r="E5313" s="71" t="s">
        <v>191</v>
      </c>
      <c r="F5313" s="71" t="s">
        <v>136</v>
      </c>
      <c r="J5313" s="71" t="s">
        <v>3059</v>
      </c>
      <c r="L5313" s="433">
        <v>400</v>
      </c>
      <c r="M5313" s="136">
        <f>M5312+K5313-L5313</f>
        <v>5430.992703334181</v>
      </c>
    </row>
    <row r="5314" spans="1:13">
      <c r="A5314" s="54" t="str">
        <f>D5314&amp;E5314&amp;F5314</f>
        <v>HRVIATICOSHR</v>
      </c>
      <c r="B5314" t="s">
        <v>2821</v>
      </c>
      <c r="C5314" s="1">
        <f t="shared" si="180"/>
        <v>46008</v>
      </c>
      <c r="D5314" s="242" t="s">
        <v>29</v>
      </c>
      <c r="E5314" s="71" t="s">
        <v>191</v>
      </c>
      <c r="F5314" s="71" t="s">
        <v>29</v>
      </c>
      <c r="J5314" s="71" t="s">
        <v>2442</v>
      </c>
      <c r="L5314" s="523">
        <v>200</v>
      </c>
      <c r="M5314" s="136">
        <f>M5313+K5314-L5314</f>
        <v>5230.992703334181</v>
      </c>
    </row>
    <row r="5315" spans="1:13">
      <c r="A5315" s="54" t="str">
        <f>D5315&amp;E5315&amp;F5315</f>
        <v>HRUBERHR</v>
      </c>
      <c r="B5315" t="s">
        <v>2821</v>
      </c>
      <c r="C5315" s="1">
        <f t="shared" si="180"/>
        <v>46008</v>
      </c>
      <c r="D5315" s="242" t="s">
        <v>29</v>
      </c>
      <c r="E5315" s="71" t="s">
        <v>189</v>
      </c>
      <c r="F5315" s="71" t="s">
        <v>29</v>
      </c>
      <c r="J5315" s="71" t="s">
        <v>3060</v>
      </c>
      <c r="L5315" s="523">
        <v>175</v>
      </c>
      <c r="M5315" s="136">
        <f>M5314+K5315-L5315</f>
        <v>5055.992703334181</v>
      </c>
    </row>
    <row r="5316" spans="1:13">
      <c r="A5316" s="54" t="str">
        <f>D5316&amp;E5316&amp;F5316</f>
        <v>HRUBERHR</v>
      </c>
      <c r="B5316" t="s">
        <v>2821</v>
      </c>
      <c r="C5316" s="1">
        <f t="shared" si="180"/>
        <v>46008</v>
      </c>
      <c r="D5316" s="242" t="s">
        <v>29</v>
      </c>
      <c r="E5316" s="71" t="s">
        <v>189</v>
      </c>
      <c r="F5316" s="71" t="s">
        <v>29</v>
      </c>
      <c r="J5316" s="71" t="s">
        <v>2364</v>
      </c>
      <c r="L5316" s="523">
        <v>380</v>
      </c>
      <c r="M5316" s="136">
        <f>M5315+K5316-L5316</f>
        <v>4675.992703334181</v>
      </c>
    </row>
    <row r="5317" spans="1:13">
      <c r="A5317" s="54" t="str">
        <f>D5317&amp;E5317&amp;F5317</f>
        <v>HRUBERHR</v>
      </c>
      <c r="B5317" t="s">
        <v>2821</v>
      </c>
      <c r="C5317" s="1">
        <f t="shared" si="180"/>
        <v>46008</v>
      </c>
      <c r="D5317" s="242" t="s">
        <v>29</v>
      </c>
      <c r="E5317" s="71" t="s">
        <v>189</v>
      </c>
      <c r="F5317" s="71" t="s">
        <v>29</v>
      </c>
      <c r="J5317" s="71" t="s">
        <v>3061</v>
      </c>
      <c r="L5317" s="523">
        <v>50</v>
      </c>
      <c r="M5317" s="136">
        <f>M5316+K5317-L5317</f>
        <v>4625.992703334181</v>
      </c>
    </row>
    <row r="5318" spans="1:13">
      <c r="A5318" s="54" t="str">
        <f>D5318&amp;E5318&amp;F5318</f>
        <v>HRUBERHR</v>
      </c>
      <c r="B5318" t="s">
        <v>2821</v>
      </c>
      <c r="C5318" s="1">
        <f t="shared" si="180"/>
        <v>46008</v>
      </c>
      <c r="D5318" s="242" t="s">
        <v>29</v>
      </c>
      <c r="E5318" s="71" t="s">
        <v>189</v>
      </c>
      <c r="F5318" s="71" t="s">
        <v>29</v>
      </c>
      <c r="J5318" s="71" t="s">
        <v>3062</v>
      </c>
      <c r="L5318" s="523">
        <v>680</v>
      </c>
      <c r="M5318" s="136">
        <f>M5317+K5318-L5318</f>
        <v>3945.992703334181</v>
      </c>
    </row>
    <row r="5319" spans="1:13">
      <c r="A5319" s="54" t="str">
        <f>D5319&amp;E5319&amp;F5319</f>
        <v>HRUBERHR</v>
      </c>
      <c r="B5319" t="s">
        <v>2821</v>
      </c>
      <c r="C5319" s="1">
        <f t="shared" si="180"/>
        <v>46008</v>
      </c>
      <c r="D5319" s="242" t="s">
        <v>29</v>
      </c>
      <c r="E5319" s="71" t="s">
        <v>189</v>
      </c>
      <c r="F5319" s="71" t="s">
        <v>29</v>
      </c>
      <c r="J5319" s="71" t="s">
        <v>2836</v>
      </c>
      <c r="L5319" s="523">
        <v>550</v>
      </c>
      <c r="M5319" s="136">
        <f>M5318+K5319-L5319</f>
        <v>3395.992703334181</v>
      </c>
    </row>
    <row r="5320" spans="1:13">
      <c r="A5320" s="54" t="str">
        <f>D5320&amp;E5320&amp;F5320</f>
        <v>HRUBERHR</v>
      </c>
      <c r="B5320" t="s">
        <v>2821</v>
      </c>
      <c r="C5320" s="1">
        <f t="shared" si="180"/>
        <v>46008</v>
      </c>
      <c r="D5320" s="242" t="s">
        <v>29</v>
      </c>
      <c r="E5320" s="71" t="s">
        <v>189</v>
      </c>
      <c r="F5320" s="71" t="s">
        <v>29</v>
      </c>
      <c r="J5320" s="71" t="s">
        <v>3063</v>
      </c>
      <c r="L5320" s="523">
        <v>700</v>
      </c>
      <c r="M5320" s="136">
        <f>M5319+K5320-L5320</f>
        <v>2695.992703334181</v>
      </c>
    </row>
    <row r="5321" spans="1:13">
      <c r="A5321" s="54" t="str">
        <f>D5321&amp;E5321&amp;F5321</f>
        <v>HRUBERHR</v>
      </c>
      <c r="B5321" t="s">
        <v>2821</v>
      </c>
      <c r="C5321" s="1">
        <f t="shared" si="180"/>
        <v>46008</v>
      </c>
      <c r="D5321" s="242" t="s">
        <v>29</v>
      </c>
      <c r="E5321" s="71" t="s">
        <v>189</v>
      </c>
      <c r="F5321" s="71" t="s">
        <v>29</v>
      </c>
      <c r="J5321" s="71" t="s">
        <v>2454</v>
      </c>
      <c r="L5321" s="523">
        <v>150</v>
      </c>
      <c r="M5321" s="136">
        <f>M5320+K5321-L5321</f>
        <v>2545.992703334181</v>
      </c>
    </row>
    <row r="5322" spans="1:13">
      <c r="A5322" s="54" t="str">
        <f>D5322&amp;E5322&amp;F5322</f>
        <v>HRUBERHR</v>
      </c>
      <c r="B5322" t="s">
        <v>2821</v>
      </c>
      <c r="C5322" s="1">
        <f t="shared" si="180"/>
        <v>46008</v>
      </c>
      <c r="D5322" s="242" t="s">
        <v>29</v>
      </c>
      <c r="E5322" s="71" t="s">
        <v>189</v>
      </c>
      <c r="F5322" s="71" t="s">
        <v>29</v>
      </c>
      <c r="J5322" s="71" t="s">
        <v>2366</v>
      </c>
      <c r="L5322" s="523">
        <v>660</v>
      </c>
      <c r="M5322" s="136">
        <f>M5321+K5322-L5322</f>
        <v>1885.992703334181</v>
      </c>
    </row>
    <row r="5323" spans="1:13">
      <c r="A5323" s="54" t="str">
        <f>D5323&amp;E5323&amp;F5323</f>
        <v>HRUBERHR</v>
      </c>
      <c r="B5323" t="s">
        <v>2821</v>
      </c>
      <c r="C5323" s="1">
        <f t="shared" si="180"/>
        <v>46008</v>
      </c>
      <c r="D5323" s="242" t="s">
        <v>29</v>
      </c>
      <c r="E5323" s="71" t="s">
        <v>189</v>
      </c>
      <c r="F5323" s="71" t="s">
        <v>29</v>
      </c>
      <c r="J5323" s="71" t="s">
        <v>2840</v>
      </c>
      <c r="L5323" s="523">
        <v>607</v>
      </c>
      <c r="M5323" s="136">
        <f>M5322+K5323-L5323</f>
        <v>1278.992703334181</v>
      </c>
    </row>
    <row r="5324" spans="1:13">
      <c r="A5324" s="54" t="str">
        <f t="shared" si="181"/>
        <v/>
      </c>
      <c r="B5324" t="s">
        <v>2821</v>
      </c>
      <c r="C5324" s="1">
        <v>46009</v>
      </c>
      <c r="J5324" s="71" t="s">
        <v>2045</v>
      </c>
      <c r="K5324" s="325">
        <v>762176.52</v>
      </c>
      <c r="L5324" s="432"/>
      <c r="M5324" s="136">
        <f>M5323+K5324-L5324</f>
        <v>763455.51270333421</v>
      </c>
    </row>
    <row r="5325" spans="1:13" ht="15.75" customHeight="1">
      <c r="A5325" s="54" t="str">
        <f>D5325&amp;E5325&amp;F5325</f>
        <v>FINANZASCOMISIONES BANCARIASTPV</v>
      </c>
      <c r="B5325" t="s">
        <v>2821</v>
      </c>
      <c r="C5325" s="1">
        <f t="shared" si="180"/>
        <v>46009</v>
      </c>
      <c r="D5325" s="242" t="s">
        <v>23</v>
      </c>
      <c r="E5325" s="71" t="s">
        <v>48</v>
      </c>
      <c r="F5325" s="71" t="s">
        <v>50</v>
      </c>
      <c r="J5325" s="71" t="s">
        <v>217</v>
      </c>
      <c r="L5325" s="438">
        <f>1000.59+228.07+643.96+13862+0.98+6586.39+3198.46+31.32+5.8</f>
        <v>25557.57</v>
      </c>
      <c r="M5325" s="136">
        <f>M5324+K5325-L5325</f>
        <v>737897.94270333427</v>
      </c>
    </row>
    <row r="5326" spans="1:13">
      <c r="A5326" s="54" t="str">
        <f t="shared" si="181"/>
        <v/>
      </c>
      <c r="B5326" t="s">
        <v>2821</v>
      </c>
      <c r="C5326" s="1">
        <v>46009</v>
      </c>
      <c r="J5326" s="205" t="s">
        <v>1562</v>
      </c>
      <c r="K5326" s="205"/>
      <c r="L5326" s="428">
        <v>200000</v>
      </c>
      <c r="M5326" s="136">
        <f>M5325+K5326-L5326</f>
        <v>537897.94270333427</v>
      </c>
    </row>
    <row r="5327" spans="1:13">
      <c r="A5327" s="54" t="str">
        <f t="shared" si="181"/>
        <v/>
      </c>
      <c r="B5327" t="s">
        <v>2821</v>
      </c>
      <c r="C5327" s="1">
        <f t="shared" si="180"/>
        <v>46009</v>
      </c>
      <c r="J5327" s="205" t="s">
        <v>222</v>
      </c>
      <c r="K5327" s="205"/>
      <c r="L5327" s="428">
        <v>100000</v>
      </c>
      <c r="M5327" s="136">
        <f>M5326+K5327-L5327</f>
        <v>437897.94270333427</v>
      </c>
    </row>
    <row r="5328" spans="1:13">
      <c r="A5328" s="54" t="str">
        <f t="shared" si="181"/>
        <v/>
      </c>
      <c r="B5328" t="s">
        <v>2821</v>
      </c>
      <c r="C5328" s="1">
        <f t="shared" si="180"/>
        <v>46009</v>
      </c>
      <c r="J5328" s="71" t="s">
        <v>2978</v>
      </c>
      <c r="L5328" s="433">
        <v>400000</v>
      </c>
      <c r="M5328" s="136">
        <f>M5327+K5328-L5328</f>
        <v>37897.942703334265</v>
      </c>
    </row>
    <row r="5329" spans="1:13">
      <c r="A5329" s="54" t="str">
        <f>D5329&amp;E5329&amp;F5329</f>
        <v>SERVICIOSINSUMOSCEDIS</v>
      </c>
      <c r="B5329" t="s">
        <v>2821</v>
      </c>
      <c r="C5329" s="1">
        <f t="shared" si="180"/>
        <v>46009</v>
      </c>
      <c r="D5329" s="242" t="s">
        <v>21</v>
      </c>
      <c r="E5329" s="71" t="s">
        <v>133</v>
      </c>
      <c r="F5329" s="71" t="s">
        <v>28</v>
      </c>
      <c r="J5329" s="71" t="s">
        <v>3064</v>
      </c>
      <c r="L5329" s="208">
        <v>3021.8</v>
      </c>
      <c r="M5329" s="136">
        <f>M5328+K5329-L5329</f>
        <v>34876.142703334262</v>
      </c>
    </row>
    <row r="5330" spans="1:13">
      <c r="A5330" s="54" t="str">
        <f>D5330&amp;E5330&amp;F5330</f>
        <v>ELIVIATICOSL1</v>
      </c>
      <c r="B5330" t="s">
        <v>2821</v>
      </c>
      <c r="C5330" s="1">
        <f t="shared" si="180"/>
        <v>46009</v>
      </c>
      <c r="D5330" s="242" t="s">
        <v>130</v>
      </c>
      <c r="E5330" s="71" t="s">
        <v>191</v>
      </c>
      <c r="F5330" s="71" t="s">
        <v>136</v>
      </c>
      <c r="J5330" s="71" t="s">
        <v>2546</v>
      </c>
      <c r="L5330" s="433">
        <v>1500</v>
      </c>
      <c r="M5330" s="136">
        <f>M5329+K5330-L5330</f>
        <v>33376.142703334262</v>
      </c>
    </row>
    <row r="5331" spans="1:13">
      <c r="A5331" s="54" t="str">
        <f>D5331&amp;E5331&amp;F5331</f>
        <v>FINANZASVIATICOSFINANZAS</v>
      </c>
      <c r="B5331" t="s">
        <v>2821</v>
      </c>
      <c r="C5331" s="1">
        <f t="shared" si="180"/>
        <v>46009</v>
      </c>
      <c r="D5331" s="242" t="s">
        <v>23</v>
      </c>
      <c r="E5331" s="71" t="s">
        <v>191</v>
      </c>
      <c r="F5331" s="71" t="s">
        <v>23</v>
      </c>
      <c r="J5331" s="71" t="s">
        <v>2006</v>
      </c>
      <c r="L5331" s="433">
        <v>150</v>
      </c>
      <c r="M5331" s="136">
        <f>M5330+K5331-L5331</f>
        <v>33226.142703334262</v>
      </c>
    </row>
    <row r="5332" spans="1:13">
      <c r="A5332" s="54" t="str">
        <f t="shared" si="181"/>
        <v/>
      </c>
      <c r="B5332" t="s">
        <v>2821</v>
      </c>
      <c r="C5332" s="1">
        <f t="shared" si="180"/>
        <v>46009</v>
      </c>
      <c r="J5332" s="71" t="s">
        <v>564</v>
      </c>
      <c r="L5332" s="433">
        <v>49453.4</v>
      </c>
      <c r="M5332" s="136">
        <f>M5331+K5332-L5332</f>
        <v>-16227.257296665739</v>
      </c>
    </row>
    <row r="5333" spans="1:13">
      <c r="A5333" s="54" t="str">
        <f>D5333&amp;E5333&amp;F5333</f>
        <v>CAPUBERCAP</v>
      </c>
      <c r="B5333" t="s">
        <v>2821</v>
      </c>
      <c r="C5333" s="1">
        <f>C5332</f>
        <v>46009</v>
      </c>
      <c r="D5333" s="242" t="s">
        <v>31</v>
      </c>
      <c r="E5333" s="71" t="s">
        <v>189</v>
      </c>
      <c r="F5333" s="71" t="s">
        <v>31</v>
      </c>
      <c r="J5333" s="71" t="s">
        <v>3065</v>
      </c>
      <c r="L5333" s="523">
        <v>370</v>
      </c>
      <c r="M5333" s="136">
        <f>M5332+K5333-L5333</f>
        <v>-16597.257296665739</v>
      </c>
    </row>
    <row r="5334" spans="1:13">
      <c r="A5334" s="54" t="str">
        <f>D5334&amp;E5334&amp;F5334</f>
        <v>CAPUBERCAP</v>
      </c>
      <c r="B5334" t="s">
        <v>2821</v>
      </c>
      <c r="C5334" s="1">
        <f>C5333</f>
        <v>46009</v>
      </c>
      <c r="D5334" s="242" t="s">
        <v>31</v>
      </c>
      <c r="E5334" s="71" t="s">
        <v>189</v>
      </c>
      <c r="F5334" s="71" t="s">
        <v>31</v>
      </c>
      <c r="J5334" s="71" t="s">
        <v>2267</v>
      </c>
      <c r="L5334" s="523">
        <v>258</v>
      </c>
      <c r="M5334" s="136">
        <f>M5333+K5334-L5334</f>
        <v>-16855.257296665739</v>
      </c>
    </row>
    <row r="5335" spans="1:13">
      <c r="A5335" s="54" t="str">
        <f>D5335&amp;E5335&amp;F5335</f>
        <v>CAPUBERCAP</v>
      </c>
      <c r="B5335" t="s">
        <v>2821</v>
      </c>
      <c r="C5335" s="1">
        <f>C5334</f>
        <v>46009</v>
      </c>
      <c r="D5335" s="242" t="s">
        <v>31</v>
      </c>
      <c r="E5335" s="71" t="s">
        <v>189</v>
      </c>
      <c r="F5335" s="71" t="s">
        <v>31</v>
      </c>
      <c r="J5335" s="71" t="s">
        <v>2537</v>
      </c>
      <c r="L5335" s="523">
        <v>300</v>
      </c>
      <c r="M5335" s="136">
        <f>M5334+K5335-L5335</f>
        <v>-17155.257296665739</v>
      </c>
    </row>
    <row r="5336" spans="1:13">
      <c r="A5336" s="54" t="str">
        <f>D5336&amp;E5336&amp;F5336</f>
        <v>CAPUBERCAP</v>
      </c>
      <c r="B5336" t="s">
        <v>2821</v>
      </c>
      <c r="C5336" s="1">
        <f>C5335</f>
        <v>46009</v>
      </c>
      <c r="D5336" s="242" t="s">
        <v>31</v>
      </c>
      <c r="E5336" s="71" t="s">
        <v>189</v>
      </c>
      <c r="F5336" s="71" t="s">
        <v>31</v>
      </c>
      <c r="J5336" s="71" t="s">
        <v>2268</v>
      </c>
      <c r="L5336" s="523">
        <v>140</v>
      </c>
      <c r="M5336" s="136">
        <f>M5335+K5336-L5336</f>
        <v>-17295.257296665739</v>
      </c>
    </row>
    <row r="5337" spans="1:13">
      <c r="A5337" s="54" t="str">
        <f>D5337&amp;E5337&amp;F5337</f>
        <v>CAPINSUMOSCAPRICHOS</v>
      </c>
      <c r="B5337" t="s">
        <v>2821</v>
      </c>
      <c r="C5337" s="1">
        <f>C5336</f>
        <v>46009</v>
      </c>
      <c r="D5337" s="242" t="s">
        <v>31</v>
      </c>
      <c r="E5337" s="71" t="s">
        <v>133</v>
      </c>
      <c r="F5337" s="71" t="s">
        <v>33</v>
      </c>
      <c r="J5337" s="71" t="s">
        <v>3066</v>
      </c>
      <c r="L5337" s="433">
        <v>422</v>
      </c>
      <c r="M5337" s="136">
        <f>M5336+K5337-L5337</f>
        <v>-17717.257296665739</v>
      </c>
    </row>
    <row r="5338" spans="1:13">
      <c r="A5338" s="54" t="str">
        <f>D5338&amp;E5338&amp;F5338</f>
        <v>CAPUBERCAP</v>
      </c>
      <c r="B5338" t="s">
        <v>2821</v>
      </c>
      <c r="C5338" s="1">
        <f>C5337</f>
        <v>46009</v>
      </c>
      <c r="D5338" s="242" t="s">
        <v>31</v>
      </c>
      <c r="E5338" s="71" t="s">
        <v>189</v>
      </c>
      <c r="F5338" s="71" t="s">
        <v>31</v>
      </c>
      <c r="J5338" s="71" t="s">
        <v>2842</v>
      </c>
      <c r="L5338" s="523">
        <v>138</v>
      </c>
      <c r="M5338" s="136">
        <f>M5337+K5338-L5338</f>
        <v>-17855.257296665739</v>
      </c>
    </row>
    <row r="5339" spans="1:13">
      <c r="A5339" s="54" t="str">
        <f>D5339&amp;E5339&amp;F5339</f>
        <v>ELIUBERL1</v>
      </c>
      <c r="B5339" t="s">
        <v>2821</v>
      </c>
      <c r="C5339" s="1">
        <f>C5338</f>
        <v>46009</v>
      </c>
      <c r="D5339" s="242" t="s">
        <v>130</v>
      </c>
      <c r="E5339" s="71" t="s">
        <v>189</v>
      </c>
      <c r="F5339" s="71" t="s">
        <v>136</v>
      </c>
      <c r="G5339" s="71" t="s">
        <v>258</v>
      </c>
      <c r="J5339" s="71" t="s">
        <v>2442</v>
      </c>
      <c r="L5339" s="523">
        <v>650</v>
      </c>
      <c r="M5339" s="136">
        <f>M5338+K5339-L5339</f>
        <v>-18505.257296665739</v>
      </c>
    </row>
    <row r="5340" spans="1:13">
      <c r="A5340" s="54" t="str">
        <f>D5340&amp;E5340&amp;F5340</f>
        <v>HRUBERHR</v>
      </c>
      <c r="B5340" t="s">
        <v>2821</v>
      </c>
      <c r="C5340" s="1">
        <f>C5332</f>
        <v>46009</v>
      </c>
      <c r="D5340" s="242" t="s">
        <v>29</v>
      </c>
      <c r="E5340" s="71" t="s">
        <v>189</v>
      </c>
      <c r="F5340" s="71" t="s">
        <v>29</v>
      </c>
      <c r="J5340" s="71" t="s">
        <v>2560</v>
      </c>
      <c r="L5340" s="523">
        <v>325</v>
      </c>
      <c r="M5340" s="136">
        <f>M5339+K5340-L5340</f>
        <v>-18830.257296665739</v>
      </c>
    </row>
    <row r="5341" spans="1:13">
      <c r="A5341" s="54" t="str">
        <f>D5341&amp;E5341&amp;F5341</f>
        <v>HRUBERHR</v>
      </c>
      <c r="B5341" t="s">
        <v>2821</v>
      </c>
      <c r="C5341" s="1">
        <f t="shared" si="180"/>
        <v>46009</v>
      </c>
      <c r="D5341" s="242" t="s">
        <v>29</v>
      </c>
      <c r="E5341" s="71" t="s">
        <v>189</v>
      </c>
      <c r="F5341" s="71" t="s">
        <v>29</v>
      </c>
      <c r="J5341" s="71" t="s">
        <v>2364</v>
      </c>
      <c r="L5341" s="523">
        <v>380</v>
      </c>
      <c r="M5341" s="136">
        <f>M5340+K5341-L5341</f>
        <v>-19210.257296665739</v>
      </c>
    </row>
    <row r="5342" spans="1:13">
      <c r="A5342" s="54" t="str">
        <f>D5342&amp;E5342&amp;F5342</f>
        <v>HRUBERHR</v>
      </c>
      <c r="B5342" t="s">
        <v>2821</v>
      </c>
      <c r="C5342" s="1">
        <f t="shared" si="180"/>
        <v>46009</v>
      </c>
      <c r="D5342" s="242" t="s">
        <v>29</v>
      </c>
      <c r="E5342" s="71" t="s">
        <v>189</v>
      </c>
      <c r="F5342" s="71" t="s">
        <v>29</v>
      </c>
      <c r="J5342" s="71" t="s">
        <v>3067</v>
      </c>
      <c r="L5342" s="523">
        <v>205</v>
      </c>
      <c r="M5342" s="136">
        <f>M5341+K5342-L5342</f>
        <v>-19415.257296665739</v>
      </c>
    </row>
    <row r="5343" spans="1:13">
      <c r="A5343" s="54" t="str">
        <f>D5343&amp;E5343&amp;F5343</f>
        <v>HRUBERHR</v>
      </c>
      <c r="B5343" t="s">
        <v>2821</v>
      </c>
      <c r="C5343" s="1">
        <f t="shared" si="180"/>
        <v>46009</v>
      </c>
      <c r="D5343" s="242" t="s">
        <v>29</v>
      </c>
      <c r="E5343" s="71" t="s">
        <v>189</v>
      </c>
      <c r="F5343" s="71" t="s">
        <v>29</v>
      </c>
      <c r="J5343" s="71" t="s">
        <v>2975</v>
      </c>
      <c r="L5343" s="523">
        <v>100</v>
      </c>
      <c r="M5343" s="136">
        <f>M5342+K5343-L5343</f>
        <v>-19515.257296665739</v>
      </c>
    </row>
    <row r="5344" spans="1:13">
      <c r="A5344" s="54" t="str">
        <f>D5344&amp;E5344&amp;F5344</f>
        <v>HRUBERHR</v>
      </c>
      <c r="B5344" t="s">
        <v>2821</v>
      </c>
      <c r="C5344" s="1">
        <f t="shared" si="180"/>
        <v>46009</v>
      </c>
      <c r="D5344" s="242" t="s">
        <v>29</v>
      </c>
      <c r="E5344" s="71" t="s">
        <v>189</v>
      </c>
      <c r="F5344" s="71" t="s">
        <v>29</v>
      </c>
      <c r="J5344" s="71" t="s">
        <v>2767</v>
      </c>
      <c r="L5344" s="523">
        <v>550</v>
      </c>
      <c r="M5344" s="136">
        <f>M5343+K5344-L5344</f>
        <v>-20065.257296665739</v>
      </c>
    </row>
    <row r="5345" spans="1:14">
      <c r="A5345" s="54" t="str">
        <f>D5345&amp;E5345&amp;F5345</f>
        <v>HRUBERHR</v>
      </c>
      <c r="B5345" t="s">
        <v>2821</v>
      </c>
      <c r="C5345" s="1">
        <f t="shared" si="180"/>
        <v>46009</v>
      </c>
      <c r="D5345" s="242" t="s">
        <v>29</v>
      </c>
      <c r="E5345" s="71" t="s">
        <v>189</v>
      </c>
      <c r="F5345" s="71" t="s">
        <v>29</v>
      </c>
      <c r="J5345" s="71" t="s">
        <v>3068</v>
      </c>
      <c r="L5345" s="523">
        <v>250</v>
      </c>
      <c r="M5345" s="136">
        <f>M5344+K5345-L5345</f>
        <v>-20315.257296665739</v>
      </c>
    </row>
    <row r="5346" spans="1:14">
      <c r="A5346" s="54" t="str">
        <f>D5346&amp;E5346&amp;F5346</f>
        <v>HRUBERHR</v>
      </c>
      <c r="B5346" t="s">
        <v>2821</v>
      </c>
      <c r="C5346" s="1">
        <f>C5345</f>
        <v>46009</v>
      </c>
      <c r="D5346" s="242" t="s">
        <v>29</v>
      </c>
      <c r="E5346" s="71" t="s">
        <v>189</v>
      </c>
      <c r="F5346" s="71" t="s">
        <v>29</v>
      </c>
      <c r="J5346" s="71" t="s">
        <v>2562</v>
      </c>
      <c r="L5346" s="523">
        <v>600</v>
      </c>
      <c r="M5346" s="136">
        <f>M5345+K5346-L5346</f>
        <v>-20915.257296665739</v>
      </c>
    </row>
    <row r="5347" spans="1:14">
      <c r="A5347" s="54" t="str">
        <f>D5347&amp;E5347&amp;F5347</f>
        <v>HRUBERHR</v>
      </c>
      <c r="B5347" t="s">
        <v>2821</v>
      </c>
      <c r="C5347" s="1">
        <f>C5346</f>
        <v>46009</v>
      </c>
      <c r="D5347" s="242" t="s">
        <v>29</v>
      </c>
      <c r="E5347" s="71" t="s">
        <v>189</v>
      </c>
      <c r="F5347" s="71" t="s">
        <v>29</v>
      </c>
      <c r="J5347" s="71" t="s">
        <v>2454</v>
      </c>
      <c r="L5347" s="523">
        <v>80</v>
      </c>
      <c r="M5347" s="136">
        <f>M5346+K5347-L5347</f>
        <v>-20995.257296665739</v>
      </c>
    </row>
    <row r="5348" spans="1:14">
      <c r="A5348" s="54" t="str">
        <f>D5348&amp;E5348&amp;F5348</f>
        <v>HRUBERHR</v>
      </c>
      <c r="B5348" t="s">
        <v>2821</v>
      </c>
      <c r="C5348" s="1">
        <f>C5347</f>
        <v>46009</v>
      </c>
      <c r="D5348" s="242" t="s">
        <v>29</v>
      </c>
      <c r="E5348" s="71" t="s">
        <v>189</v>
      </c>
      <c r="F5348" s="71" t="s">
        <v>29</v>
      </c>
      <c r="J5348" s="71" t="s">
        <v>2366</v>
      </c>
      <c r="L5348" s="523">
        <v>600</v>
      </c>
      <c r="M5348" s="136">
        <f>M5347+K5348-L5348</f>
        <v>-21595.257296665739</v>
      </c>
    </row>
    <row r="5349" spans="1:14">
      <c r="A5349" s="54" t="str">
        <f>D5349&amp;E5349&amp;F5349</f>
        <v>HRUBERHR</v>
      </c>
      <c r="B5349" t="s">
        <v>2821</v>
      </c>
      <c r="C5349" s="1">
        <f>C5348</f>
        <v>46009</v>
      </c>
      <c r="D5349" s="242" t="s">
        <v>29</v>
      </c>
      <c r="E5349" s="71" t="s">
        <v>189</v>
      </c>
      <c r="F5349" s="71" t="s">
        <v>29</v>
      </c>
      <c r="J5349" s="71" t="s">
        <v>2536</v>
      </c>
      <c r="L5349" s="523">
        <v>250</v>
      </c>
      <c r="M5349" s="136">
        <f>M5348+K5349-L5349</f>
        <v>-21845.257296665739</v>
      </c>
    </row>
    <row r="5350" spans="1:14">
      <c r="A5350" s="54" t="str">
        <f>D5350&amp;E5350&amp;F5350</f>
        <v>HRUBERHR</v>
      </c>
      <c r="B5350" t="s">
        <v>2821</v>
      </c>
      <c r="C5350" s="1">
        <f>C5349</f>
        <v>46009</v>
      </c>
      <c r="D5350" s="242" t="s">
        <v>29</v>
      </c>
      <c r="E5350" s="71" t="s">
        <v>189</v>
      </c>
      <c r="F5350" s="71" t="s">
        <v>29</v>
      </c>
      <c r="J5350" s="71" t="s">
        <v>2840</v>
      </c>
      <c r="L5350" s="523">
        <v>374</v>
      </c>
      <c r="M5350" s="136">
        <f>M5349+K5350-L5350</f>
        <v>-22219.257296665739</v>
      </c>
    </row>
    <row r="5351" spans="1:14">
      <c r="A5351" s="54" t="str">
        <f t="shared" ref="A5334:A5397" si="182">D5351&amp;E5351&amp;F5351</f>
        <v/>
      </c>
      <c r="B5351" t="s">
        <v>2821</v>
      </c>
      <c r="C5351" s="1">
        <v>46010</v>
      </c>
      <c r="J5351" s="71" t="s">
        <v>2045</v>
      </c>
      <c r="K5351" s="325">
        <v>796690.2</v>
      </c>
      <c r="L5351" s="432"/>
      <c r="M5351" s="136">
        <f>M5350+K5351-L5351</f>
        <v>774470.94270333427</v>
      </c>
    </row>
    <row r="5352" spans="1:14" ht="12.75" customHeight="1">
      <c r="A5352" s="54" t="str">
        <f>D5352&amp;E5352&amp;F5352</f>
        <v>FINANZASCOMISIONES BANCARIASTPV</v>
      </c>
      <c r="B5352" t="s">
        <v>2821</v>
      </c>
      <c r="C5352" s="1">
        <f t="shared" si="180"/>
        <v>46010</v>
      </c>
      <c r="D5352" s="242" t="s">
        <v>23</v>
      </c>
      <c r="E5352" s="71" t="s">
        <v>48</v>
      </c>
      <c r="F5352" s="71" t="s">
        <v>50</v>
      </c>
      <c r="J5352" s="71" t="s">
        <v>217</v>
      </c>
      <c r="L5352" s="438">
        <f>175.01+614.79+1553.82+383.39+5.8+5.8+13.92+6.96+1599.33+8834.14+4480.9</f>
        <v>17673.86</v>
      </c>
      <c r="M5352" s="136">
        <f>M5351+K5352-L5352</f>
        <v>756797.08270333428</v>
      </c>
    </row>
    <row r="5353" spans="1:14">
      <c r="A5353" s="54" t="str">
        <f t="shared" si="182"/>
        <v/>
      </c>
      <c r="B5353" t="s">
        <v>2821</v>
      </c>
      <c r="C5353" s="1">
        <f t="shared" si="180"/>
        <v>46010</v>
      </c>
      <c r="J5353" s="205" t="s">
        <v>1562</v>
      </c>
      <c r="K5353" s="205"/>
      <c r="L5353" s="428">
        <v>260000</v>
      </c>
      <c r="M5353" s="136">
        <f>M5352+K5353-L5353</f>
        <v>496797.08270333428</v>
      </c>
    </row>
    <row r="5354" spans="1:14">
      <c r="A5354" s="54" t="str">
        <f t="shared" si="182"/>
        <v/>
      </c>
      <c r="B5354" t="s">
        <v>2821</v>
      </c>
      <c r="C5354" s="1">
        <f t="shared" si="180"/>
        <v>46010</v>
      </c>
      <c r="J5354" s="205" t="s">
        <v>222</v>
      </c>
      <c r="K5354" s="205"/>
      <c r="L5354" s="428"/>
      <c r="M5354" s="136">
        <f>M5353+K5354-L5354</f>
        <v>496797.08270333428</v>
      </c>
    </row>
    <row r="5355" spans="1:14">
      <c r="A5355" s="54" t="str">
        <f>D5355&amp;E5355&amp;F5355</f>
        <v>FINANZASSINETISINETI (SAP)</v>
      </c>
      <c r="B5355" t="s">
        <v>2821</v>
      </c>
      <c r="C5355" s="1">
        <f t="shared" si="180"/>
        <v>46010</v>
      </c>
      <c r="D5355" s="242" t="s">
        <v>23</v>
      </c>
      <c r="E5355" s="71" t="s">
        <v>177</v>
      </c>
      <c r="F5355" s="71" t="s">
        <v>178</v>
      </c>
      <c r="J5355" s="71" t="s">
        <v>3069</v>
      </c>
      <c r="L5355" s="433">
        <v>129496.27</v>
      </c>
      <c r="M5355" s="136">
        <f>M5354+K5355-L5355</f>
        <v>367300.81270333426</v>
      </c>
    </row>
    <row r="5356" spans="1:14">
      <c r="A5356" s="54" t="str">
        <f t="shared" si="182"/>
        <v/>
      </c>
      <c r="B5356" t="s">
        <v>2821</v>
      </c>
      <c r="C5356" s="1">
        <f t="shared" si="180"/>
        <v>46010</v>
      </c>
      <c r="J5356" s="71" t="s">
        <v>2978</v>
      </c>
      <c r="L5356" s="433">
        <v>300000</v>
      </c>
      <c r="M5356" s="136">
        <f>M5355+K5356-L5356</f>
        <v>67300.812703334261</v>
      </c>
    </row>
    <row r="5357" spans="1:14">
      <c r="A5357" s="54" t="str">
        <f>D5357&amp;E5357&amp;F5357</f>
        <v>FINANZASCUOTAS Y SUSCRIPCIONESCONTPAQ</v>
      </c>
      <c r="B5357" t="s">
        <v>2821</v>
      </c>
      <c r="C5357" s="1">
        <f t="shared" si="180"/>
        <v>46010</v>
      </c>
      <c r="D5357" s="242" t="s">
        <v>23</v>
      </c>
      <c r="E5357" s="71" t="s">
        <v>51</v>
      </c>
      <c r="F5357" s="71" t="s">
        <v>73</v>
      </c>
      <c r="G5357" s="71" t="s">
        <v>258</v>
      </c>
      <c r="J5357" s="71" t="s">
        <v>2883</v>
      </c>
      <c r="L5357" s="433">
        <f>754+1691</f>
        <v>2445</v>
      </c>
      <c r="M5357" s="136">
        <f>M5356+K5357-L5357</f>
        <v>64855.812703334261</v>
      </c>
    </row>
    <row r="5358" spans="1:14">
      <c r="A5358" s="54" t="str">
        <f>D5358&amp;E5358&amp;F5358</f>
        <v>SERVICIOSVIATICOSSISTEMAS</v>
      </c>
      <c r="B5358" t="s">
        <v>2821</v>
      </c>
      <c r="C5358" s="1">
        <f t="shared" si="180"/>
        <v>46010</v>
      </c>
      <c r="D5358" s="242" t="s">
        <v>21</v>
      </c>
      <c r="E5358" s="71" t="s">
        <v>191</v>
      </c>
      <c r="F5358" s="71" t="s">
        <v>36</v>
      </c>
      <c r="J5358" s="71" t="s">
        <v>470</v>
      </c>
      <c r="L5358" s="433">
        <v>3600</v>
      </c>
      <c r="M5358" s="136">
        <f>M5357+K5358-L5358</f>
        <v>61255.812703334261</v>
      </c>
    </row>
    <row r="5359" spans="1:14" s="483" customFormat="1">
      <c r="A5359" s="54" t="str">
        <f>D5359&amp;E5359&amp;F5359</f>
        <v>FINANZASCOMISIONES BANCARIASMANEJO DE CUENTA</v>
      </c>
      <c r="B5359" s="483" t="s">
        <v>2821</v>
      </c>
      <c r="C5359" s="492">
        <f t="shared" si="180"/>
        <v>46010</v>
      </c>
      <c r="D5359" s="493" t="s">
        <v>23</v>
      </c>
      <c r="E5359" s="493" t="s">
        <v>48</v>
      </c>
      <c r="F5359" s="493" t="s">
        <v>49</v>
      </c>
      <c r="G5359" s="493"/>
      <c r="H5359" s="494"/>
      <c r="I5359" s="83"/>
      <c r="J5359" s="493" t="s">
        <v>3070</v>
      </c>
      <c r="K5359" s="495"/>
      <c r="L5359" s="496">
        <v>2204.23</v>
      </c>
      <c r="M5359" s="136">
        <f>M5358+K5359-L5359</f>
        <v>59051.582703334258</v>
      </c>
      <c r="N5359" s="493"/>
    </row>
    <row r="5360" spans="1:14">
      <c r="A5360" s="54" t="str">
        <f>D5360&amp;E5360&amp;F5360</f>
        <v>HRENERGIA ELECTRICAA15</v>
      </c>
      <c r="B5360" t="s">
        <v>2821</v>
      </c>
      <c r="C5360" s="1">
        <f t="shared" si="180"/>
        <v>46010</v>
      </c>
      <c r="D5360" s="242" t="s">
        <v>29</v>
      </c>
      <c r="E5360" s="71" t="s">
        <v>87</v>
      </c>
      <c r="F5360" s="71" t="s">
        <v>100</v>
      </c>
      <c r="J5360" s="71" t="s">
        <v>3071</v>
      </c>
      <c r="L5360" s="433">
        <v>10350</v>
      </c>
      <c r="M5360" s="136">
        <f>M5359+K5360-L5360</f>
        <v>48701.582703334258</v>
      </c>
    </row>
    <row r="5361" spans="1:13">
      <c r="A5361" s="54" t="str">
        <f>D5361&amp;E5361&amp;F5361</f>
        <v>FINANZASVIATICOSFINANZAS</v>
      </c>
      <c r="B5361" t="s">
        <v>2821</v>
      </c>
      <c r="C5361" s="1">
        <f t="shared" si="180"/>
        <v>46010</v>
      </c>
      <c r="D5361" s="242" t="s">
        <v>23</v>
      </c>
      <c r="E5361" s="71" t="s">
        <v>191</v>
      </c>
      <c r="F5361" s="71" t="s">
        <v>23</v>
      </c>
      <c r="G5361" s="71" t="s">
        <v>258</v>
      </c>
      <c r="J5361" s="71" t="s">
        <v>2946</v>
      </c>
      <c r="L5361" s="433">
        <v>400</v>
      </c>
      <c r="M5361" s="136">
        <f>M5360+K5361-L5361</f>
        <v>48301.582703334258</v>
      </c>
    </row>
    <row r="5362" spans="1:13">
      <c r="A5362" s="54" t="str">
        <f>D5362&amp;E5362&amp;F5362</f>
        <v>HRNOMINA SUCURSALA1</v>
      </c>
      <c r="B5362" t="s">
        <v>2821</v>
      </c>
      <c r="C5362" s="1">
        <f t="shared" ref="C5362:C5452" si="183">C5361</f>
        <v>46010</v>
      </c>
      <c r="D5362" s="242" t="s">
        <v>29</v>
      </c>
      <c r="E5362" s="71" t="s">
        <v>154</v>
      </c>
      <c r="F5362" s="71" t="s">
        <v>88</v>
      </c>
      <c r="J5362" s="71" t="s">
        <v>3072</v>
      </c>
      <c r="L5362" s="433">
        <v>1030</v>
      </c>
      <c r="M5362" s="136">
        <f>M5361+K5362-L5362</f>
        <v>47271.582703334258</v>
      </c>
    </row>
    <row r="5363" spans="1:13">
      <c r="A5363" s="54" t="str">
        <f>D5363&amp;E5363&amp;F5363</f>
        <v>HRUBERHR</v>
      </c>
      <c r="B5363" t="s">
        <v>2821</v>
      </c>
      <c r="C5363" s="1">
        <f t="shared" si="183"/>
        <v>46010</v>
      </c>
      <c r="D5363" s="242" t="s">
        <v>29</v>
      </c>
      <c r="E5363" s="71" t="s">
        <v>189</v>
      </c>
      <c r="F5363" s="71" t="s">
        <v>29</v>
      </c>
      <c r="J5363" s="71" t="s">
        <v>2560</v>
      </c>
      <c r="L5363" s="523">
        <v>225</v>
      </c>
      <c r="M5363" s="136">
        <f>M5362+K5363-L5363</f>
        <v>47046.582703334258</v>
      </c>
    </row>
    <row r="5364" spans="1:13">
      <c r="A5364" s="54" t="str">
        <f>D5364&amp;E5364&amp;F5364</f>
        <v>HRUBERHR</v>
      </c>
      <c r="B5364" t="s">
        <v>2821</v>
      </c>
      <c r="C5364" s="1">
        <f t="shared" si="183"/>
        <v>46010</v>
      </c>
      <c r="D5364" s="242" t="s">
        <v>29</v>
      </c>
      <c r="E5364" s="71" t="s">
        <v>189</v>
      </c>
      <c r="F5364" s="71" t="s">
        <v>29</v>
      </c>
      <c r="J5364" s="71" t="s">
        <v>2973</v>
      </c>
      <c r="L5364" s="523">
        <v>380</v>
      </c>
      <c r="M5364" s="136">
        <f>M5363+K5364-L5364</f>
        <v>46666.582703334258</v>
      </c>
    </row>
    <row r="5365" spans="1:13">
      <c r="A5365" s="54" t="str">
        <f>D5365&amp;E5365&amp;F5365</f>
        <v>HRUBERHR</v>
      </c>
      <c r="B5365" t="s">
        <v>2821</v>
      </c>
      <c r="C5365" s="1">
        <f t="shared" si="183"/>
        <v>46010</v>
      </c>
      <c r="D5365" s="242" t="s">
        <v>29</v>
      </c>
      <c r="E5365" s="71" t="s">
        <v>189</v>
      </c>
      <c r="F5365" s="71" t="s">
        <v>29</v>
      </c>
      <c r="J5365" s="71" t="s">
        <v>2364</v>
      </c>
      <c r="L5365" s="523">
        <v>380</v>
      </c>
      <c r="M5365" s="136">
        <f>M5364+K5365-L5365</f>
        <v>46286.582703334258</v>
      </c>
    </row>
    <row r="5366" spans="1:13">
      <c r="A5366" s="54" t="str">
        <f>D5366&amp;E5366&amp;F5366</f>
        <v>HRUBERHR</v>
      </c>
      <c r="B5366" t="s">
        <v>2821</v>
      </c>
      <c r="C5366" s="1">
        <f t="shared" si="183"/>
        <v>46010</v>
      </c>
      <c r="D5366" s="242" t="s">
        <v>29</v>
      </c>
      <c r="E5366" s="71" t="s">
        <v>189</v>
      </c>
      <c r="F5366" s="71" t="s">
        <v>29</v>
      </c>
      <c r="J5366" s="71" t="s">
        <v>3067</v>
      </c>
      <c r="L5366" s="523">
        <v>388</v>
      </c>
      <c r="M5366" s="136">
        <f>M5365+K5366-L5366</f>
        <v>45898.582703334258</v>
      </c>
    </row>
    <row r="5367" spans="1:13">
      <c r="A5367" s="54" t="str">
        <f>D5367&amp;E5367&amp;F5367</f>
        <v>HRUBERHR</v>
      </c>
      <c r="B5367" t="s">
        <v>2821</v>
      </c>
      <c r="C5367" s="1">
        <f t="shared" si="183"/>
        <v>46010</v>
      </c>
      <c r="D5367" s="242" t="s">
        <v>29</v>
      </c>
      <c r="E5367" s="71" t="s">
        <v>189</v>
      </c>
      <c r="F5367" s="71" t="s">
        <v>29</v>
      </c>
      <c r="J5367" s="71" t="s">
        <v>2975</v>
      </c>
      <c r="L5367" s="523">
        <v>50</v>
      </c>
      <c r="M5367" s="136">
        <f>M5366+K5367-L5367</f>
        <v>45848.582703334258</v>
      </c>
    </row>
    <row r="5368" spans="1:13">
      <c r="A5368" s="54" t="str">
        <f>D5368&amp;E5368&amp;F5368</f>
        <v>HRNOMINA SUCURSALA10</v>
      </c>
      <c r="B5368" t="s">
        <v>2821</v>
      </c>
      <c r="C5368" s="1">
        <f t="shared" si="183"/>
        <v>46010</v>
      </c>
      <c r="D5368" s="242" t="s">
        <v>29</v>
      </c>
      <c r="E5368" s="71" t="s">
        <v>154</v>
      </c>
      <c r="F5368" s="71" t="s">
        <v>96</v>
      </c>
      <c r="J5368" s="71" t="s">
        <v>3073</v>
      </c>
      <c r="L5368" s="433">
        <v>1980</v>
      </c>
      <c r="M5368" s="136">
        <f>M5367+K5368-L5368</f>
        <v>43868.582703334258</v>
      </c>
    </row>
    <row r="5369" spans="1:13">
      <c r="A5369" s="54" t="str">
        <f>D5369&amp;E5369&amp;F5369</f>
        <v>HRNOMINA SUCURSALA10</v>
      </c>
      <c r="B5369" t="s">
        <v>2821</v>
      </c>
      <c r="C5369" s="1">
        <f t="shared" si="183"/>
        <v>46010</v>
      </c>
      <c r="D5369" s="242" t="s">
        <v>29</v>
      </c>
      <c r="E5369" s="71" t="s">
        <v>154</v>
      </c>
      <c r="F5369" s="71" t="s">
        <v>96</v>
      </c>
      <c r="J5369" s="71" t="s">
        <v>3073</v>
      </c>
      <c r="L5369" s="433">
        <v>3140</v>
      </c>
      <c r="M5369" s="136">
        <f>M5368+K5369-L5369</f>
        <v>40728.582703334258</v>
      </c>
    </row>
    <row r="5370" spans="1:13">
      <c r="A5370" s="54" t="str">
        <f>D5370&amp;E5370&amp;F5370</f>
        <v>HRNOMINA SUCURSALA12</v>
      </c>
      <c r="B5370" t="s">
        <v>2821</v>
      </c>
      <c r="C5370" s="1">
        <f t="shared" si="183"/>
        <v>46010</v>
      </c>
      <c r="D5370" s="242" t="s">
        <v>29</v>
      </c>
      <c r="E5370" s="71" t="s">
        <v>154</v>
      </c>
      <c r="F5370" s="71" t="s">
        <v>98</v>
      </c>
      <c r="J5370" s="71" t="s">
        <v>3074</v>
      </c>
      <c r="L5370" s="433">
        <v>13352</v>
      </c>
      <c r="M5370" s="136">
        <f>M5369+K5370-L5370</f>
        <v>27376.582703334258</v>
      </c>
    </row>
    <row r="5371" spans="1:13">
      <c r="A5371" s="54" t="str">
        <f>D5371&amp;E5371&amp;F5371</f>
        <v>ELIUBERL1</v>
      </c>
      <c r="B5371" t="s">
        <v>2821</v>
      </c>
      <c r="C5371" s="1">
        <f>C5369</f>
        <v>46010</v>
      </c>
      <c r="D5371" s="242" t="s">
        <v>130</v>
      </c>
      <c r="E5371" s="71" t="s">
        <v>189</v>
      </c>
      <c r="F5371" s="71" t="s">
        <v>136</v>
      </c>
      <c r="G5371" s="71" t="s">
        <v>258</v>
      </c>
      <c r="J5371" s="71" t="s">
        <v>2442</v>
      </c>
      <c r="L5371" s="523">
        <v>400</v>
      </c>
      <c r="M5371" s="136">
        <f>M5370+K5371-L5371</f>
        <v>26976.582703334258</v>
      </c>
    </row>
    <row r="5372" spans="1:13">
      <c r="A5372" s="54" t="str">
        <f>D5372&amp;E5372&amp;F5372</f>
        <v>CAPFUMIGACIONCAPRICHOS</v>
      </c>
      <c r="B5372" t="s">
        <v>2821</v>
      </c>
      <c r="C5372" s="1">
        <f t="shared" si="183"/>
        <v>46010</v>
      </c>
      <c r="D5372" s="242" t="s">
        <v>31</v>
      </c>
      <c r="E5372" s="71" t="s">
        <v>121</v>
      </c>
      <c r="F5372" s="71" t="s">
        <v>33</v>
      </c>
      <c r="J5372" s="71" t="s">
        <v>3075</v>
      </c>
      <c r="L5372" s="536">
        <v>471</v>
      </c>
      <c r="M5372" s="136">
        <f>M5371+K5372-L5372</f>
        <v>26505.582703334258</v>
      </c>
    </row>
    <row r="5373" spans="1:13">
      <c r="A5373" s="54" t="str">
        <f>D5373&amp;E5373&amp;F5373</f>
        <v>HRUBERHR</v>
      </c>
      <c r="B5373" t="s">
        <v>2821</v>
      </c>
      <c r="C5373" s="1">
        <f t="shared" si="183"/>
        <v>46010</v>
      </c>
      <c r="D5373" s="242" t="s">
        <v>29</v>
      </c>
      <c r="E5373" s="71" t="s">
        <v>189</v>
      </c>
      <c r="F5373" s="71" t="s">
        <v>29</v>
      </c>
      <c r="J5373" s="71" t="s">
        <v>3076</v>
      </c>
      <c r="L5373" s="523">
        <v>720</v>
      </c>
      <c r="M5373" s="136">
        <f>M5372+K5373-L5373</f>
        <v>25785.582703334258</v>
      </c>
    </row>
    <row r="5374" spans="1:13">
      <c r="A5374" s="54" t="str">
        <f>D5374&amp;E5374&amp;F5374</f>
        <v>HRUBERHR</v>
      </c>
      <c r="B5374" t="s">
        <v>2821</v>
      </c>
      <c r="C5374" s="1">
        <f t="shared" si="183"/>
        <v>46010</v>
      </c>
      <c r="D5374" s="242" t="s">
        <v>29</v>
      </c>
      <c r="E5374" s="71" t="s">
        <v>189</v>
      </c>
      <c r="F5374" s="71" t="s">
        <v>29</v>
      </c>
      <c r="J5374" s="71" t="s">
        <v>2767</v>
      </c>
      <c r="L5374" s="523">
        <v>550</v>
      </c>
      <c r="M5374" s="136">
        <f>M5373+K5374-L5374</f>
        <v>25235.582703334258</v>
      </c>
    </row>
    <row r="5375" spans="1:13">
      <c r="A5375" s="54" t="str">
        <f>D5375&amp;E5375&amp;F5375</f>
        <v>HRNOMINA SUCURSALA12</v>
      </c>
      <c r="B5375" t="s">
        <v>2821</v>
      </c>
      <c r="C5375" s="1">
        <f t="shared" si="183"/>
        <v>46010</v>
      </c>
      <c r="D5375" s="242" t="s">
        <v>29</v>
      </c>
      <c r="E5375" s="71" t="s">
        <v>154</v>
      </c>
      <c r="F5375" s="71" t="s">
        <v>98</v>
      </c>
      <c r="J5375" s="71" t="s">
        <v>2837</v>
      </c>
      <c r="L5375" s="433">
        <v>3352</v>
      </c>
      <c r="M5375" s="136">
        <f>M5374+K5375-L5375</f>
        <v>21883.582703334258</v>
      </c>
    </row>
    <row r="5376" spans="1:13">
      <c r="A5376" s="54" t="str">
        <f>D5376&amp;E5376&amp;F5376</f>
        <v>HRUBERHR</v>
      </c>
      <c r="B5376" t="s">
        <v>2821</v>
      </c>
      <c r="C5376" s="1">
        <f t="shared" si="183"/>
        <v>46010</v>
      </c>
      <c r="D5376" s="242" t="s">
        <v>29</v>
      </c>
      <c r="E5376" s="71" t="s">
        <v>189</v>
      </c>
      <c r="F5376" s="71" t="s">
        <v>29</v>
      </c>
      <c r="J5376" s="71" t="s">
        <v>2453</v>
      </c>
      <c r="L5376" s="523">
        <v>300</v>
      </c>
      <c r="M5376" s="136">
        <f>M5375+K5376-L5376</f>
        <v>21583.582703334258</v>
      </c>
    </row>
    <row r="5377" spans="1:13">
      <c r="A5377" s="54" t="str">
        <f>D5377&amp;E5377&amp;F5377</f>
        <v>HRNOMINA SUCURSALA14</v>
      </c>
      <c r="B5377" t="s">
        <v>2821</v>
      </c>
      <c r="C5377" s="1">
        <f t="shared" si="183"/>
        <v>46010</v>
      </c>
      <c r="D5377" s="242" t="s">
        <v>29</v>
      </c>
      <c r="E5377" s="71" t="s">
        <v>154</v>
      </c>
      <c r="F5377" s="71" t="s">
        <v>99</v>
      </c>
      <c r="J5377" s="71" t="s">
        <v>3077</v>
      </c>
      <c r="L5377" s="433">
        <v>2518</v>
      </c>
      <c r="M5377" s="136">
        <f>M5376+K5377-L5377</f>
        <v>19065.582703334258</v>
      </c>
    </row>
    <row r="5378" spans="1:13">
      <c r="A5378" s="54" t="str">
        <f>D5378&amp;E5378&amp;F5378</f>
        <v>HRUBERHR</v>
      </c>
      <c r="B5378" t="s">
        <v>2821</v>
      </c>
      <c r="C5378" s="1">
        <f t="shared" si="183"/>
        <v>46010</v>
      </c>
      <c r="D5378" s="242" t="s">
        <v>29</v>
      </c>
      <c r="E5378" s="71" t="s">
        <v>189</v>
      </c>
      <c r="F5378" s="71" t="s">
        <v>29</v>
      </c>
      <c r="J5378" s="71" t="s">
        <v>2562</v>
      </c>
      <c r="L5378" s="523">
        <v>700</v>
      </c>
      <c r="M5378" s="136">
        <f>M5377+K5378-L5378</f>
        <v>18365.582703334258</v>
      </c>
    </row>
    <row r="5379" spans="1:13">
      <c r="A5379" s="54" t="str">
        <f>D5379&amp;E5379&amp;F5379</f>
        <v>HRNOMINA SUCURSALA15</v>
      </c>
      <c r="B5379" t="s">
        <v>2821</v>
      </c>
      <c r="C5379" s="1">
        <f t="shared" si="183"/>
        <v>46010</v>
      </c>
      <c r="D5379" s="242" t="s">
        <v>29</v>
      </c>
      <c r="E5379" s="71" t="s">
        <v>154</v>
      </c>
      <c r="F5379" s="71" t="s">
        <v>100</v>
      </c>
      <c r="J5379" s="71" t="s">
        <v>3078</v>
      </c>
      <c r="L5379" s="433">
        <v>2693</v>
      </c>
      <c r="M5379" s="136">
        <f>M5378+K5379-L5379</f>
        <v>15672.582703334258</v>
      </c>
    </row>
    <row r="5380" spans="1:13">
      <c r="A5380" s="54" t="str">
        <f>D5380&amp;E5380&amp;F5380</f>
        <v>HRNOMINA SUCURSALA17</v>
      </c>
      <c r="B5380" t="s">
        <v>2821</v>
      </c>
      <c r="C5380" s="1">
        <f t="shared" si="183"/>
        <v>46010</v>
      </c>
      <c r="D5380" s="242" t="s">
        <v>29</v>
      </c>
      <c r="E5380" s="71" t="s">
        <v>154</v>
      </c>
      <c r="F5380" s="71" t="s">
        <v>102</v>
      </c>
      <c r="J5380" s="71" t="s">
        <v>3079</v>
      </c>
      <c r="L5380" s="433">
        <v>1927</v>
      </c>
      <c r="M5380" s="136">
        <f>M5379+K5380-L5380</f>
        <v>13745.582703334258</v>
      </c>
    </row>
    <row r="5381" spans="1:13">
      <c r="A5381" s="54" t="str">
        <f>D5381&amp;E5381&amp;F5381</f>
        <v>CAPJMASE6</v>
      </c>
      <c r="B5381" t="s">
        <v>2821</v>
      </c>
      <c r="C5381" s="1">
        <f t="shared" si="183"/>
        <v>46010</v>
      </c>
      <c r="D5381" s="242" t="s">
        <v>31</v>
      </c>
      <c r="E5381" s="71" t="s">
        <v>137</v>
      </c>
      <c r="F5381" s="71" t="s">
        <v>112</v>
      </c>
      <c r="J5381" s="71" t="s">
        <v>3080</v>
      </c>
      <c r="L5381" s="433">
        <v>277</v>
      </c>
      <c r="M5381" s="136">
        <f>M5380+K5381-L5381</f>
        <v>13468.582703334258</v>
      </c>
    </row>
    <row r="5382" spans="1:13">
      <c r="A5382" s="54" t="str">
        <f>D5382&amp;E5382&amp;F5382</f>
        <v>HRUBERHR</v>
      </c>
      <c r="B5382" t="s">
        <v>2821</v>
      </c>
      <c r="C5382" s="1">
        <f t="shared" si="183"/>
        <v>46010</v>
      </c>
      <c r="D5382" s="242" t="s">
        <v>29</v>
      </c>
      <c r="E5382" s="71" t="s">
        <v>189</v>
      </c>
      <c r="F5382" s="71" t="s">
        <v>29</v>
      </c>
      <c r="J5382" s="71" t="s">
        <v>2366</v>
      </c>
      <c r="L5382" s="523">
        <v>900</v>
      </c>
      <c r="M5382" s="136">
        <f>M5381+K5382-L5382</f>
        <v>12568.582703334258</v>
      </c>
    </row>
    <row r="5383" spans="1:13">
      <c r="A5383" s="54" t="str">
        <f>D5383&amp;E5383&amp;F5383</f>
        <v>HRNOMINA SUCURSALA24</v>
      </c>
      <c r="B5383" t="s">
        <v>2821</v>
      </c>
      <c r="C5383" s="1">
        <f t="shared" si="183"/>
        <v>46010</v>
      </c>
      <c r="D5383" s="242" t="s">
        <v>29</v>
      </c>
      <c r="E5383" s="71" t="s">
        <v>154</v>
      </c>
      <c r="F5383" s="71" t="s">
        <v>106</v>
      </c>
      <c r="J5383" s="71" t="s">
        <v>2841</v>
      </c>
      <c r="L5383" s="433">
        <v>3250</v>
      </c>
      <c r="M5383" s="136">
        <f>M5382+K5383-L5383</f>
        <v>9318.5827033342575</v>
      </c>
    </row>
    <row r="5384" spans="1:13">
      <c r="A5384" s="54" t="str">
        <f>D5384&amp;E5384&amp;F5384</f>
        <v>HRUBERHR</v>
      </c>
      <c r="B5384" t="s">
        <v>2821</v>
      </c>
      <c r="C5384" s="1">
        <f t="shared" si="183"/>
        <v>46010</v>
      </c>
      <c r="D5384" s="242" t="s">
        <v>29</v>
      </c>
      <c r="E5384" s="71" t="s">
        <v>189</v>
      </c>
      <c r="F5384" s="71" t="s">
        <v>29</v>
      </c>
      <c r="J5384" s="71" t="s">
        <v>2435</v>
      </c>
      <c r="L5384" s="523">
        <v>333</v>
      </c>
      <c r="M5384" s="136">
        <f>M5383+K5384-L5384</f>
        <v>8985.5827033342575</v>
      </c>
    </row>
    <row r="5385" spans="1:13">
      <c r="A5385" s="54" t="str">
        <f>D5385&amp;E5385&amp;F5385</f>
        <v>CAPUBERCAP</v>
      </c>
      <c r="B5385" t="s">
        <v>2821</v>
      </c>
      <c r="C5385" s="1">
        <f t="shared" si="183"/>
        <v>46010</v>
      </c>
      <c r="D5385" s="242" t="s">
        <v>31</v>
      </c>
      <c r="E5385" s="71" t="s">
        <v>189</v>
      </c>
      <c r="F5385" s="71" t="s">
        <v>31</v>
      </c>
      <c r="J5385" s="71" t="s">
        <v>3041</v>
      </c>
      <c r="L5385" s="523">
        <v>200</v>
      </c>
      <c r="M5385" s="136">
        <f>M5384+K5385-L5385</f>
        <v>8785.5827033342575</v>
      </c>
    </row>
    <row r="5386" spans="1:13">
      <c r="A5386" s="54" t="str">
        <f>D5386&amp;E5386&amp;F5386</f>
        <v>CAPUBERCAP</v>
      </c>
      <c r="B5386" t="s">
        <v>2821</v>
      </c>
      <c r="C5386" s="1">
        <f t="shared" si="183"/>
        <v>46010</v>
      </c>
      <c r="D5386" s="242" t="s">
        <v>31</v>
      </c>
      <c r="E5386" s="71" t="s">
        <v>189</v>
      </c>
      <c r="F5386" s="71" t="s">
        <v>31</v>
      </c>
      <c r="J5386" s="71" t="s">
        <v>2267</v>
      </c>
      <c r="L5386" s="523">
        <v>325</v>
      </c>
      <c r="M5386" s="136">
        <f>M5385+K5386-L5386</f>
        <v>8460.5827033342575</v>
      </c>
    </row>
    <row r="5387" spans="1:13">
      <c r="A5387" s="54" t="str">
        <f>D5387&amp;E5387&amp;F5387</f>
        <v>CAPUBERCAP</v>
      </c>
      <c r="B5387" t="s">
        <v>2821</v>
      </c>
      <c r="C5387" s="1">
        <f t="shared" si="183"/>
        <v>46010</v>
      </c>
      <c r="D5387" s="242" t="s">
        <v>31</v>
      </c>
      <c r="E5387" s="71" t="s">
        <v>189</v>
      </c>
      <c r="F5387" s="71" t="s">
        <v>31</v>
      </c>
      <c r="J5387" s="71" t="s">
        <v>2537</v>
      </c>
      <c r="L5387" s="523">
        <v>300</v>
      </c>
      <c r="M5387" s="136">
        <f>M5386+K5387-L5387</f>
        <v>8160.5827033342575</v>
      </c>
    </row>
    <row r="5388" spans="1:13">
      <c r="A5388" s="54" t="str">
        <f>D5388&amp;E5388&amp;F5388</f>
        <v>CAPUBERCAP</v>
      </c>
      <c r="B5388" t="s">
        <v>2821</v>
      </c>
      <c r="C5388" s="1">
        <f t="shared" si="183"/>
        <v>46010</v>
      </c>
      <c r="D5388" s="242" t="s">
        <v>31</v>
      </c>
      <c r="E5388" s="71" t="s">
        <v>189</v>
      </c>
      <c r="F5388" s="71" t="s">
        <v>31</v>
      </c>
      <c r="J5388" s="71" t="s">
        <v>2268</v>
      </c>
      <c r="L5388" s="523">
        <v>240</v>
      </c>
      <c r="M5388" s="136">
        <f>M5387+K5388-L5388</f>
        <v>7920.5827033342575</v>
      </c>
    </row>
    <row r="5389" spans="1:13">
      <c r="A5389" s="54" t="str">
        <f>D5389&amp;E5389&amp;F5389</f>
        <v>CAPUBERCAP</v>
      </c>
      <c r="B5389" t="s">
        <v>2821</v>
      </c>
      <c r="C5389" s="1">
        <f t="shared" si="183"/>
        <v>46010</v>
      </c>
      <c r="D5389" s="242" t="s">
        <v>31</v>
      </c>
      <c r="E5389" s="71" t="s">
        <v>189</v>
      </c>
      <c r="F5389" s="71" t="s">
        <v>31</v>
      </c>
      <c r="J5389" s="71" t="s">
        <v>2842</v>
      </c>
      <c r="L5389" s="523">
        <v>237</v>
      </c>
      <c r="M5389" s="136">
        <f>M5388+K5389-L5389</f>
        <v>7683.5827033342575</v>
      </c>
    </row>
    <row r="5390" spans="1:13">
      <c r="A5390" s="54" t="str">
        <f>D5390&amp;E5390&amp;F5390</f>
        <v>CAPUBERCAP</v>
      </c>
      <c r="B5390" s="499" t="s">
        <v>2821</v>
      </c>
      <c r="C5390" s="500">
        <f t="shared" si="183"/>
        <v>46010</v>
      </c>
      <c r="D5390" s="242" t="s">
        <v>31</v>
      </c>
      <c r="E5390" s="71" t="s">
        <v>189</v>
      </c>
      <c r="F5390" s="71" t="s">
        <v>31</v>
      </c>
      <c r="J5390" s="71" t="s">
        <v>2878</v>
      </c>
      <c r="L5390" s="523">
        <v>340</v>
      </c>
      <c r="M5390" s="136">
        <f>M5389+K5390-L5390</f>
        <v>7343.5827033342575</v>
      </c>
    </row>
    <row r="5391" spans="1:13">
      <c r="A5391" s="54" t="str">
        <f t="shared" si="182"/>
        <v/>
      </c>
      <c r="B5391" t="s">
        <v>2821</v>
      </c>
      <c r="C5391" s="1">
        <v>46013</v>
      </c>
      <c r="J5391" s="71" t="s">
        <v>2045</v>
      </c>
      <c r="K5391" s="325">
        <v>3010942.78</v>
      </c>
      <c r="L5391" s="432"/>
      <c r="M5391" s="136">
        <f>M5390+K5391-L5391</f>
        <v>3018286.3627033341</v>
      </c>
    </row>
    <row r="5392" spans="1:13">
      <c r="A5392" s="54" t="str">
        <f>D5392&amp;E5392&amp;F5392</f>
        <v>FINANZASCOMISIONES BANCARIASTPV</v>
      </c>
      <c r="B5392" t="s">
        <v>2821</v>
      </c>
      <c r="C5392" s="1">
        <f t="shared" si="183"/>
        <v>46013</v>
      </c>
      <c r="D5392" s="242" t="s">
        <v>23</v>
      </c>
      <c r="E5392" s="71" t="s">
        <v>48</v>
      </c>
      <c r="F5392" s="387" t="s">
        <v>50</v>
      </c>
      <c r="J5392" s="71" t="s">
        <v>217</v>
      </c>
      <c r="L5392" s="433">
        <f>1821.95+2742.8+3655.5+1822.51+5.8+38.28+6210.49+28829.63+13907.44</f>
        <v>59034.400000000001</v>
      </c>
      <c r="M5392" s="136">
        <f>M5391+K5392-L5392</f>
        <v>2959251.9627033342</v>
      </c>
    </row>
    <row r="5393" spans="1:13">
      <c r="A5393" s="54" t="str">
        <f t="shared" si="182"/>
        <v/>
      </c>
      <c r="B5393" t="s">
        <v>2821</v>
      </c>
      <c r="C5393" s="1">
        <f t="shared" si="183"/>
        <v>46013</v>
      </c>
      <c r="J5393" s="205" t="s">
        <v>1562</v>
      </c>
      <c r="K5393" s="205"/>
      <c r="L5393" s="428">
        <v>100000</v>
      </c>
      <c r="M5393" s="136">
        <f>M5392+K5393-L5393</f>
        <v>2859251.9627033342</v>
      </c>
    </row>
    <row r="5394" spans="1:13">
      <c r="A5394" s="54" t="str">
        <f t="shared" si="182"/>
        <v/>
      </c>
      <c r="B5394" t="s">
        <v>2821</v>
      </c>
      <c r="C5394" s="1">
        <f t="shared" si="183"/>
        <v>46013</v>
      </c>
      <c r="J5394" s="205" t="s">
        <v>222</v>
      </c>
      <c r="K5394" s="205"/>
      <c r="L5394" s="428">
        <f>185437.52+300000</f>
        <v>485437.52</v>
      </c>
      <c r="M5394" s="136">
        <f>M5393+K5394-L5394</f>
        <v>2373814.4427033341</v>
      </c>
    </row>
    <row r="5395" spans="1:13">
      <c r="A5395" s="54" t="str">
        <f t="shared" si="182"/>
        <v/>
      </c>
      <c r="B5395" t="s">
        <v>2821</v>
      </c>
      <c r="C5395" s="1">
        <f t="shared" si="183"/>
        <v>46013</v>
      </c>
      <c r="F5395" s="387"/>
      <c r="J5395" s="71" t="s">
        <v>123</v>
      </c>
      <c r="L5395" s="433">
        <v>214000</v>
      </c>
      <c r="M5395" s="136">
        <f>M5394+K5395-L5395</f>
        <v>2159814.4427033341</v>
      </c>
    </row>
    <row r="5396" spans="1:13">
      <c r="A5396" s="54" t="str">
        <f t="shared" si="182"/>
        <v/>
      </c>
      <c r="B5396" t="s">
        <v>2821</v>
      </c>
      <c r="C5396" s="1">
        <f t="shared" si="183"/>
        <v>46013</v>
      </c>
      <c r="J5396" s="71" t="s">
        <v>2978</v>
      </c>
      <c r="L5396" s="433">
        <v>2100000</v>
      </c>
      <c r="M5396" s="136">
        <f>M5395+K5396-L5396</f>
        <v>59814.442703334149</v>
      </c>
    </row>
    <row r="5397" spans="1:13">
      <c r="A5397" s="54" t="str">
        <f>D5397&amp;E5397&amp;F5397</f>
        <v>MKTFONDO Y REPOSICIONMKT</v>
      </c>
      <c r="B5397" t="s">
        <v>2821</v>
      </c>
      <c r="C5397" s="1">
        <f t="shared" si="183"/>
        <v>46013</v>
      </c>
      <c r="D5397" s="242" t="s">
        <v>19</v>
      </c>
      <c r="E5397" s="242" t="s">
        <v>120</v>
      </c>
      <c r="F5397" s="242" t="s">
        <v>19</v>
      </c>
      <c r="J5397" s="71" t="s">
        <v>2726</v>
      </c>
      <c r="L5397" s="433">
        <v>250</v>
      </c>
      <c r="M5397" s="136">
        <f>M5396+K5397-L5397</f>
        <v>59564.442703334149</v>
      </c>
    </row>
    <row r="5398" spans="1:13">
      <c r="A5398" s="54" t="str">
        <f>D5398&amp;E5398&amp;F5398</f>
        <v>SERVICIOSVIATICOSCOMPRAS</v>
      </c>
      <c r="B5398" t="s">
        <v>2821</v>
      </c>
      <c r="C5398" s="1">
        <f t="shared" si="183"/>
        <v>46013</v>
      </c>
      <c r="D5398" s="242" t="s">
        <v>21</v>
      </c>
      <c r="E5398" s="242" t="s">
        <v>191</v>
      </c>
      <c r="F5398" s="387" t="s">
        <v>148</v>
      </c>
      <c r="J5398" s="71" t="s">
        <v>3081</v>
      </c>
      <c r="L5398" s="433">
        <v>1800</v>
      </c>
      <c r="M5398" s="136">
        <f>M5397+K5398-L5398</f>
        <v>57764.442703334149</v>
      </c>
    </row>
    <row r="5399" spans="1:13">
      <c r="A5399" s="54" t="str">
        <f>D5399&amp;E5399&amp;F5399</f>
        <v>SERVICIOSMTTO EQ DE TRANSPORTECEDIS</v>
      </c>
      <c r="B5399" t="s">
        <v>2821</v>
      </c>
      <c r="C5399" s="1">
        <f t="shared" si="183"/>
        <v>46013</v>
      </c>
      <c r="D5399" s="242" t="s">
        <v>21</v>
      </c>
      <c r="E5399" s="242" t="s">
        <v>144</v>
      </c>
      <c r="F5399" s="387" t="s">
        <v>28</v>
      </c>
      <c r="J5399" s="71" t="s">
        <v>3082</v>
      </c>
      <c r="L5399" s="433">
        <v>2682</v>
      </c>
      <c r="M5399" s="136">
        <f>M5398+K5399-L5399</f>
        <v>55082.442703334149</v>
      </c>
    </row>
    <row r="5400" spans="1:13">
      <c r="A5400" s="54" t="str">
        <f>D5400&amp;E5400&amp;F5400</f>
        <v>SERVICIOSVIATICOSCEDIS</v>
      </c>
      <c r="B5400" t="s">
        <v>2821</v>
      </c>
      <c r="C5400" s="1">
        <f t="shared" si="183"/>
        <v>46013</v>
      </c>
      <c r="D5400" s="242" t="s">
        <v>21</v>
      </c>
      <c r="E5400" s="242" t="s">
        <v>191</v>
      </c>
      <c r="F5400" s="387" t="s">
        <v>28</v>
      </c>
      <c r="J5400" s="71" t="s">
        <v>3083</v>
      </c>
      <c r="L5400" s="433">
        <v>1200</v>
      </c>
      <c r="M5400" s="136">
        <f>M5399+K5400-L5400</f>
        <v>53882.442703334149</v>
      </c>
    </row>
    <row r="5401" spans="1:13">
      <c r="A5401" s="54" t="str">
        <f>D5401&amp;E5401&amp;F5401</f>
        <v>FINANZASFONDO Y REPOSICIONFINANZAS</v>
      </c>
      <c r="B5401" t="s">
        <v>2821</v>
      </c>
      <c r="C5401" s="1">
        <f t="shared" si="183"/>
        <v>46013</v>
      </c>
      <c r="D5401" s="242" t="s">
        <v>23</v>
      </c>
      <c r="E5401" s="242" t="s">
        <v>120</v>
      </c>
      <c r="F5401" s="387" t="s">
        <v>23</v>
      </c>
      <c r="J5401" s="71" t="s">
        <v>2887</v>
      </c>
      <c r="L5401" s="433">
        <v>2748</v>
      </c>
      <c r="M5401" s="136">
        <f>M5400+K5401-L5401</f>
        <v>51134.442703334149</v>
      </c>
    </row>
    <row r="5402" spans="1:13">
      <c r="A5402" s="54" t="str">
        <f>D5402&amp;E5402&amp;F5402</f>
        <v>SERVICIOSMTTO EQ DE TRANSPORTECEDIS</v>
      </c>
      <c r="B5402" t="s">
        <v>2821</v>
      </c>
      <c r="C5402" s="1">
        <f t="shared" si="183"/>
        <v>46013</v>
      </c>
      <c r="D5402" s="242" t="s">
        <v>21</v>
      </c>
      <c r="E5402" s="242" t="s">
        <v>144</v>
      </c>
      <c r="F5402" s="387" t="s">
        <v>28</v>
      </c>
      <c r="J5402" s="71" t="s">
        <v>3084</v>
      </c>
      <c r="L5402" s="433">
        <v>1500</v>
      </c>
      <c r="M5402" s="136">
        <f>M5401+K5402-L5402</f>
        <v>49634.442703334149</v>
      </c>
    </row>
    <row r="5403" spans="1:13">
      <c r="A5403" s="54" t="str">
        <f>D5403&amp;E5403&amp;F5403</f>
        <v>FINANZASFONDO Y REPOSICIONFINANZAS</v>
      </c>
      <c r="B5403" t="s">
        <v>2821</v>
      </c>
      <c r="C5403" s="1">
        <f t="shared" si="183"/>
        <v>46013</v>
      </c>
      <c r="D5403" s="242" t="s">
        <v>23</v>
      </c>
      <c r="E5403" s="242" t="s">
        <v>120</v>
      </c>
      <c r="F5403" s="387" t="s">
        <v>23</v>
      </c>
      <c r="J5403" s="71" t="s">
        <v>3085</v>
      </c>
      <c r="L5403" s="433">
        <v>1500</v>
      </c>
      <c r="M5403" s="136">
        <f>M5402+K5403-L5403</f>
        <v>48134.442703334149</v>
      </c>
    </row>
    <row r="5404" spans="1:13">
      <c r="A5404" s="54" t="str">
        <f>D5404&amp;E5404&amp;F5404</f>
        <v>FINANZASVIATICOSFINANZAS</v>
      </c>
      <c r="B5404" t="s">
        <v>2821</v>
      </c>
      <c r="C5404" s="1">
        <f t="shared" si="183"/>
        <v>46013</v>
      </c>
      <c r="D5404" s="242" t="s">
        <v>23</v>
      </c>
      <c r="E5404" s="242" t="s">
        <v>191</v>
      </c>
      <c r="F5404" s="387" t="s">
        <v>23</v>
      </c>
      <c r="J5404" s="71" t="s">
        <v>2804</v>
      </c>
      <c r="L5404" s="433">
        <v>300</v>
      </c>
      <c r="M5404" s="136">
        <f>M5403+K5404-L5404</f>
        <v>47834.442703334149</v>
      </c>
    </row>
    <row r="5405" spans="1:13">
      <c r="A5405" s="54" t="str">
        <f>D5405&amp;E5405&amp;F5405</f>
        <v>FINANZASVIATICOSFINANZAS</v>
      </c>
      <c r="B5405" t="s">
        <v>2821</v>
      </c>
      <c r="C5405" s="1">
        <f t="shared" si="183"/>
        <v>46013</v>
      </c>
      <c r="D5405" s="242" t="s">
        <v>23</v>
      </c>
      <c r="E5405" s="242" t="s">
        <v>191</v>
      </c>
      <c r="F5405" s="387" t="s">
        <v>23</v>
      </c>
      <c r="J5405" s="71" t="s">
        <v>667</v>
      </c>
      <c r="L5405" s="433">
        <v>150</v>
      </c>
      <c r="M5405" s="136">
        <f>M5404+K5405-L5405</f>
        <v>47684.442703334149</v>
      </c>
    </row>
    <row r="5406" spans="1:13">
      <c r="A5406" s="54" t="str">
        <f>D5406&amp;E5406&amp;F5406</f>
        <v>FINANZASFONDO Y REPOSICIONFINANZAS</v>
      </c>
      <c r="B5406" t="s">
        <v>2821</v>
      </c>
      <c r="C5406" s="1">
        <f t="shared" si="183"/>
        <v>46013</v>
      </c>
      <c r="D5406" s="242" t="s">
        <v>23</v>
      </c>
      <c r="E5406" s="242" t="s">
        <v>120</v>
      </c>
      <c r="F5406" s="387" t="s">
        <v>23</v>
      </c>
      <c r="J5406" s="71" t="s">
        <v>3086</v>
      </c>
      <c r="L5406" s="433">
        <v>50</v>
      </c>
      <c r="M5406" s="136">
        <f>M5405+K5406-L5406</f>
        <v>47634.442703334149</v>
      </c>
    </row>
    <row r="5407" spans="1:13">
      <c r="A5407" s="54" t="str">
        <f>D5407&amp;E5407&amp;F5407</f>
        <v>FINANZASMTTO EQ DE TRANSPORTEFINANZAS</v>
      </c>
      <c r="B5407" t="s">
        <v>2821</v>
      </c>
      <c r="C5407" s="1">
        <f t="shared" si="183"/>
        <v>46013</v>
      </c>
      <c r="D5407" s="242" t="s">
        <v>23</v>
      </c>
      <c r="E5407" s="242" t="s">
        <v>144</v>
      </c>
      <c r="F5407" s="387" t="s">
        <v>23</v>
      </c>
      <c r="J5407" s="71" t="s">
        <v>3087</v>
      </c>
      <c r="L5407" s="433">
        <v>4028</v>
      </c>
      <c r="M5407" s="136">
        <f>M5406+K5407-L5407</f>
        <v>43606.442703334149</v>
      </c>
    </row>
    <row r="5408" spans="1:13">
      <c r="A5408" s="54" t="str">
        <f>D5408&amp;E5408&amp;F5408</f>
        <v>FINANZASFONDO Y REPOSICIONFINANZAS</v>
      </c>
      <c r="B5408" t="s">
        <v>2821</v>
      </c>
      <c r="C5408" s="1">
        <f t="shared" si="183"/>
        <v>46013</v>
      </c>
      <c r="D5408" s="242" t="s">
        <v>23</v>
      </c>
      <c r="E5408" s="242" t="s">
        <v>120</v>
      </c>
      <c r="F5408" s="387" t="s">
        <v>23</v>
      </c>
      <c r="J5408" s="71" t="s">
        <v>1113</v>
      </c>
      <c r="L5408" s="433">
        <v>300</v>
      </c>
      <c r="M5408" s="136">
        <f>M5407+K5408-L5408</f>
        <v>43306.442703334149</v>
      </c>
    </row>
    <row r="5409" spans="1:13">
      <c r="A5409" s="54" t="str">
        <f>D5409&amp;E5409&amp;F5409</f>
        <v>SERVICIOSFONDO Y REPOSICIONSERVICIOS</v>
      </c>
      <c r="B5409" t="s">
        <v>2821</v>
      </c>
      <c r="C5409" s="1">
        <f t="shared" si="183"/>
        <v>46013</v>
      </c>
      <c r="D5409" s="242" t="s">
        <v>21</v>
      </c>
      <c r="E5409" s="242" t="s">
        <v>120</v>
      </c>
      <c r="F5409" s="387" t="s">
        <v>21</v>
      </c>
      <c r="J5409" s="71" t="s">
        <v>3088</v>
      </c>
      <c r="L5409" s="433">
        <v>2000</v>
      </c>
      <c r="M5409" s="136">
        <f>M5408+K5409-L5409</f>
        <v>41306.442703334149</v>
      </c>
    </row>
    <row r="5410" spans="1:13">
      <c r="A5410" s="54" t="str">
        <f>D5410&amp;E5410&amp;F5410</f>
        <v>SERVICIOSVIATICOSCEDIS</v>
      </c>
      <c r="B5410" t="s">
        <v>2821</v>
      </c>
      <c r="C5410" s="1">
        <f t="shared" si="183"/>
        <v>46013</v>
      </c>
      <c r="D5410" s="242" t="s">
        <v>21</v>
      </c>
      <c r="E5410" s="242" t="s">
        <v>191</v>
      </c>
      <c r="F5410" s="387" t="s">
        <v>28</v>
      </c>
      <c r="J5410" s="71" t="s">
        <v>646</v>
      </c>
      <c r="L5410" s="433">
        <v>2450</v>
      </c>
      <c r="M5410" s="136">
        <f>M5409+K5410-L5410</f>
        <v>38856.442703334149</v>
      </c>
    </row>
    <row r="5411" spans="1:13">
      <c r="A5411" s="54" t="str">
        <f>D5411&amp;E5411&amp;F5411</f>
        <v>MKTINSUMOSINSUMOS</v>
      </c>
      <c r="B5411" t="s">
        <v>2821</v>
      </c>
      <c r="C5411" s="1">
        <f t="shared" si="183"/>
        <v>46013</v>
      </c>
      <c r="D5411" s="242" t="s">
        <v>19</v>
      </c>
      <c r="E5411" s="242" t="s">
        <v>133</v>
      </c>
      <c r="F5411" s="242" t="s">
        <v>133</v>
      </c>
      <c r="J5411" s="71" t="s">
        <v>3089</v>
      </c>
      <c r="L5411" s="433">
        <v>520</v>
      </c>
      <c r="M5411" s="136">
        <f>M5410+K5411-L5411</f>
        <v>38336.442703334149</v>
      </c>
    </row>
    <row r="5412" spans="1:13">
      <c r="A5412" s="54" t="str">
        <f>D5412&amp;E5412&amp;F5412</f>
        <v>FINANZASENERGIA ELECTRICACEDIS</v>
      </c>
      <c r="B5412" t="s">
        <v>2821</v>
      </c>
      <c r="C5412" s="1">
        <f t="shared" si="183"/>
        <v>46013</v>
      </c>
      <c r="D5412" s="242" t="s">
        <v>23</v>
      </c>
      <c r="E5412" s="242" t="s">
        <v>87</v>
      </c>
      <c r="F5412" s="387" t="s">
        <v>28</v>
      </c>
      <c r="J5412" s="71" t="s">
        <v>3090</v>
      </c>
      <c r="L5412" s="433">
        <v>702</v>
      </c>
      <c r="M5412" s="136">
        <f>M5411+K5412-L5412</f>
        <v>37634.442703334149</v>
      </c>
    </row>
    <row r="5413" spans="1:13">
      <c r="A5413" s="54" t="str">
        <f>D5413&amp;E5413&amp;F5413</f>
        <v>HRENERGIA ELECTRICAA24</v>
      </c>
      <c r="B5413" t="s">
        <v>2821</v>
      </c>
      <c r="C5413" s="1">
        <f t="shared" si="183"/>
        <v>46013</v>
      </c>
      <c r="D5413" s="242" t="s">
        <v>29</v>
      </c>
      <c r="E5413" s="242" t="s">
        <v>87</v>
      </c>
      <c r="F5413" s="387" t="s">
        <v>106</v>
      </c>
      <c r="J5413" s="71" t="s">
        <v>930</v>
      </c>
      <c r="L5413" s="433">
        <v>12007</v>
      </c>
      <c r="M5413" s="136">
        <f>M5412+K5413-L5413</f>
        <v>25627.442703334149</v>
      </c>
    </row>
    <row r="5414" spans="1:13">
      <c r="A5414" s="54" t="str">
        <f>D5414&amp;E5414&amp;F5414</f>
        <v>HRENERGIA ELECTRICAA12</v>
      </c>
      <c r="B5414" t="s">
        <v>2821</v>
      </c>
      <c r="C5414" s="1">
        <f t="shared" si="183"/>
        <v>46013</v>
      </c>
      <c r="D5414" s="242" t="s">
        <v>29</v>
      </c>
      <c r="E5414" s="242" t="s">
        <v>87</v>
      </c>
      <c r="F5414" s="387" t="s">
        <v>98</v>
      </c>
      <c r="J5414" s="71" t="s">
        <v>436</v>
      </c>
      <c r="L5414" s="433">
        <v>15541</v>
      </c>
      <c r="M5414" s="136">
        <f>M5413+K5414-L5414</f>
        <v>10086.442703334149</v>
      </c>
    </row>
    <row r="5415" spans="1:13">
      <c r="A5415" s="54" t="str">
        <f>D5415&amp;E5415&amp;F5415</f>
        <v>CAPVIATICOSCAPRICHOS</v>
      </c>
      <c r="B5415" t="s">
        <v>2821</v>
      </c>
      <c r="C5415" s="1">
        <f t="shared" si="183"/>
        <v>46013</v>
      </c>
      <c r="D5415" s="242" t="s">
        <v>31</v>
      </c>
      <c r="E5415" s="242" t="s">
        <v>191</v>
      </c>
      <c r="F5415" s="387" t="s">
        <v>33</v>
      </c>
      <c r="G5415" s="71" t="s">
        <v>258</v>
      </c>
      <c r="J5415" s="71" t="s">
        <v>1268</v>
      </c>
      <c r="L5415" s="433">
        <v>3000</v>
      </c>
      <c r="M5415" s="136">
        <f>M5414+K5415-L5415</f>
        <v>7086.442703334149</v>
      </c>
    </row>
    <row r="5416" spans="1:13">
      <c r="A5416" s="54" t="str">
        <f>D5416&amp;E5416&amp;F5416</f>
        <v>FINANZASVIATICOSFINANZAS</v>
      </c>
      <c r="B5416" t="s">
        <v>2821</v>
      </c>
      <c r="C5416" s="1">
        <f t="shared" si="183"/>
        <v>46013</v>
      </c>
      <c r="D5416" s="242" t="s">
        <v>23</v>
      </c>
      <c r="E5416" s="242" t="s">
        <v>191</v>
      </c>
      <c r="F5416" s="387" t="s">
        <v>23</v>
      </c>
      <c r="G5416" s="71" t="s">
        <v>258</v>
      </c>
      <c r="J5416" s="71" t="s">
        <v>3091</v>
      </c>
      <c r="L5416" s="433">
        <v>435</v>
      </c>
      <c r="M5416" s="136">
        <f>M5415+K5416-L5416</f>
        <v>6651.442703334149</v>
      </c>
    </row>
    <row r="5417" spans="1:13">
      <c r="A5417" s="54" t="str">
        <f>D5417&amp;E5417&amp;F5417</f>
        <v>SERVICIOSVIATICOSCEDIS</v>
      </c>
      <c r="B5417" t="s">
        <v>2821</v>
      </c>
      <c r="C5417" s="1">
        <f t="shared" si="183"/>
        <v>46013</v>
      </c>
      <c r="D5417" s="242" t="s">
        <v>21</v>
      </c>
      <c r="E5417" s="242" t="s">
        <v>191</v>
      </c>
      <c r="F5417" s="387" t="s">
        <v>28</v>
      </c>
      <c r="J5417" s="71" t="s">
        <v>3092</v>
      </c>
      <c r="L5417" s="433">
        <v>1100</v>
      </c>
      <c r="M5417" s="136">
        <f>M5416+K5417-L5417</f>
        <v>5551.442703334149</v>
      </c>
    </row>
    <row r="5418" spans="1:13">
      <c r="A5418" s="54" t="str">
        <f>D5418&amp;E5418&amp;F5418</f>
        <v>FINANZASPOSADASPOSADAS</v>
      </c>
      <c r="B5418" t="s">
        <v>2821</v>
      </c>
      <c r="C5418" s="1">
        <f t="shared" si="183"/>
        <v>46013</v>
      </c>
      <c r="D5418" s="242" t="s">
        <v>23</v>
      </c>
      <c r="E5418" s="242" t="s">
        <v>163</v>
      </c>
      <c r="F5418" s="387" t="s">
        <v>163</v>
      </c>
      <c r="J5418" s="71" t="s">
        <v>3093</v>
      </c>
      <c r="L5418" s="433">
        <v>1000</v>
      </c>
      <c r="M5418" s="136">
        <f>M5417+K5418-L5418</f>
        <v>4551.442703334149</v>
      </c>
    </row>
    <row r="5419" spans="1:13">
      <c r="A5419" s="54" t="str">
        <f>D5419&amp;E5419&amp;F5419</f>
        <v>HRVIATICOSHR</v>
      </c>
      <c r="B5419" t="s">
        <v>2821</v>
      </c>
      <c r="C5419" s="1">
        <f t="shared" si="183"/>
        <v>46013</v>
      </c>
      <c r="D5419" s="242" t="s">
        <v>29</v>
      </c>
      <c r="E5419" s="242" t="s">
        <v>191</v>
      </c>
      <c r="F5419" s="387" t="s">
        <v>29</v>
      </c>
      <c r="J5419" s="71" t="s">
        <v>284</v>
      </c>
      <c r="L5419" s="433">
        <v>6200</v>
      </c>
      <c r="M5419" s="136">
        <f>M5418+K5419-L5419</f>
        <v>-1648.557296665851</v>
      </c>
    </row>
    <row r="5420" spans="1:13">
      <c r="A5420" s="54" t="str">
        <f>D5420&amp;E5420&amp;F5420</f>
        <v>SERVICIOSVIATICOSCEDIS</v>
      </c>
      <c r="B5420" t="s">
        <v>2821</v>
      </c>
      <c r="C5420" s="1">
        <f t="shared" si="183"/>
        <v>46013</v>
      </c>
      <c r="D5420" s="242" t="s">
        <v>21</v>
      </c>
      <c r="E5420" s="242" t="s">
        <v>191</v>
      </c>
      <c r="F5420" s="387" t="s">
        <v>28</v>
      </c>
      <c r="J5420" s="71" t="s">
        <v>3094</v>
      </c>
      <c r="L5420" s="433">
        <v>3000</v>
      </c>
      <c r="M5420" s="136">
        <f>M5419+K5420-L5420</f>
        <v>-4648.557296665851</v>
      </c>
    </row>
    <row r="5421" spans="1:13">
      <c r="A5421" s="54" t="str">
        <f>D5421&amp;E5421&amp;F5421</f>
        <v>SERVICIOSVIATICOSCEDIS</v>
      </c>
      <c r="B5421" t="s">
        <v>2821</v>
      </c>
      <c r="C5421" s="1">
        <f t="shared" si="183"/>
        <v>46013</v>
      </c>
      <c r="D5421" s="242" t="s">
        <v>21</v>
      </c>
      <c r="E5421" s="242" t="s">
        <v>191</v>
      </c>
      <c r="F5421" s="387" t="s">
        <v>28</v>
      </c>
      <c r="J5421" s="71" t="s">
        <v>3095</v>
      </c>
      <c r="L5421" s="433">
        <v>1000</v>
      </c>
      <c r="M5421" s="136">
        <f>M5420+K5421-L5421</f>
        <v>-5648.557296665851</v>
      </c>
    </row>
    <row r="5422" spans="1:13">
      <c r="A5422" s="54" t="str">
        <f>D5422&amp;E5422&amp;F5422</f>
        <v>SERVICIOSMTTO DE EDIFICIOMANTENIMIENTO</v>
      </c>
      <c r="B5422" t="s">
        <v>2821</v>
      </c>
      <c r="C5422" s="1">
        <f t="shared" si="183"/>
        <v>46013</v>
      </c>
      <c r="D5422" s="242" t="s">
        <v>21</v>
      </c>
      <c r="E5422" s="242" t="s">
        <v>142</v>
      </c>
      <c r="F5422" s="71" t="s">
        <v>35</v>
      </c>
      <c r="G5422" s="71" t="s">
        <v>258</v>
      </c>
      <c r="J5422" s="71" t="s">
        <v>3096</v>
      </c>
      <c r="L5422" s="433">
        <v>26600</v>
      </c>
      <c r="M5422" s="136">
        <f>M5421+K5422-L5422</f>
        <v>-32248.557296665851</v>
      </c>
    </row>
    <row r="5423" spans="1:13">
      <c r="A5423" s="54" t="str">
        <f>D5423&amp;E5423&amp;F5423</f>
        <v>HRUBERHR</v>
      </c>
      <c r="B5423" t="s">
        <v>2821</v>
      </c>
      <c r="C5423" s="1">
        <f t="shared" si="183"/>
        <v>46013</v>
      </c>
      <c r="D5423" s="242" t="s">
        <v>29</v>
      </c>
      <c r="E5423" s="242" t="s">
        <v>189</v>
      </c>
      <c r="F5423" s="71" t="s">
        <v>29</v>
      </c>
      <c r="J5423" s="71" t="s">
        <v>3097</v>
      </c>
      <c r="L5423" s="523">
        <v>875</v>
      </c>
      <c r="M5423" s="136">
        <f>M5422+K5423-L5423</f>
        <v>-33123.557296665851</v>
      </c>
    </row>
    <row r="5424" spans="1:13">
      <c r="A5424" s="54" t="str">
        <f>D5424&amp;E5424&amp;F5424</f>
        <v>HRNOMINA SUCURSALA2</v>
      </c>
      <c r="B5424" t="s">
        <v>2821</v>
      </c>
      <c r="C5424" s="1">
        <f t="shared" si="183"/>
        <v>46013</v>
      </c>
      <c r="D5424" s="242" t="s">
        <v>29</v>
      </c>
      <c r="E5424" s="242" t="s">
        <v>154</v>
      </c>
      <c r="F5424" s="71" t="s">
        <v>89</v>
      </c>
      <c r="J5424" s="71" t="s">
        <v>2760</v>
      </c>
      <c r="L5424" s="433">
        <v>5549</v>
      </c>
      <c r="M5424" s="136">
        <f>M5423+K5424-L5424</f>
        <v>-38672.557296665851</v>
      </c>
    </row>
    <row r="5425" spans="1:13">
      <c r="A5425" s="54" t="str">
        <f>D5425&amp;E5425&amp;F5425</f>
        <v>HRNOMINA SUCURSALA3</v>
      </c>
      <c r="B5425" t="s">
        <v>2821</v>
      </c>
      <c r="C5425" s="1">
        <f t="shared" si="183"/>
        <v>46013</v>
      </c>
      <c r="D5425" s="242" t="s">
        <v>29</v>
      </c>
      <c r="E5425" s="242" t="s">
        <v>154</v>
      </c>
      <c r="F5425" s="71" t="s">
        <v>90</v>
      </c>
      <c r="J5425" s="71" t="s">
        <v>2917</v>
      </c>
      <c r="L5425" s="433">
        <v>3400</v>
      </c>
      <c r="M5425" s="136">
        <f>M5424+K5425-L5425</f>
        <v>-42072.557296665851</v>
      </c>
    </row>
    <row r="5426" spans="1:13">
      <c r="A5426" s="54" t="str">
        <f>D5426&amp;E5426&amp;F5426</f>
        <v>SERVICIOSMTTO DE EDIFICIOMANTENIMIENTO</v>
      </c>
      <c r="B5426" t="s">
        <v>2821</v>
      </c>
      <c r="C5426" s="1">
        <f>C5424</f>
        <v>46013</v>
      </c>
      <c r="D5426" s="242" t="s">
        <v>21</v>
      </c>
      <c r="E5426" s="242" t="s">
        <v>142</v>
      </c>
      <c r="F5426" s="71" t="s">
        <v>35</v>
      </c>
      <c r="G5426" s="71" t="s">
        <v>258</v>
      </c>
      <c r="J5426" s="71" t="s">
        <v>3098</v>
      </c>
      <c r="L5426" s="208">
        <v>84</v>
      </c>
      <c r="M5426" s="136">
        <f>M5425+K5426-L5426</f>
        <v>-42156.557296665851</v>
      </c>
    </row>
    <row r="5427" spans="1:13">
      <c r="A5427" s="54" t="str">
        <f>D5427&amp;E5427&amp;F5427</f>
        <v>HRUBERHR</v>
      </c>
      <c r="B5427" t="s">
        <v>2821</v>
      </c>
      <c r="C5427" s="1">
        <f t="shared" si="183"/>
        <v>46013</v>
      </c>
      <c r="D5427" s="242" t="s">
        <v>29</v>
      </c>
      <c r="E5427" s="242" t="s">
        <v>189</v>
      </c>
      <c r="F5427" s="71" t="s">
        <v>29</v>
      </c>
      <c r="J5427" s="71" t="s">
        <v>2526</v>
      </c>
      <c r="L5427" s="523">
        <v>477</v>
      </c>
      <c r="M5427" s="136">
        <f>M5426+K5427-L5427</f>
        <v>-42633.557296665851</v>
      </c>
    </row>
    <row r="5428" spans="1:13">
      <c r="A5428" s="54" t="str">
        <f>D5428&amp;E5428&amp;F5428</f>
        <v>HRUBERHR</v>
      </c>
      <c r="B5428" t="s">
        <v>2821</v>
      </c>
      <c r="C5428" s="1">
        <f t="shared" si="183"/>
        <v>46013</v>
      </c>
      <c r="D5428" s="242" t="s">
        <v>29</v>
      </c>
      <c r="E5428" s="242" t="s">
        <v>189</v>
      </c>
      <c r="F5428" s="71" t="s">
        <v>29</v>
      </c>
      <c r="J5428" s="71" t="s">
        <v>3099</v>
      </c>
      <c r="L5428" s="523">
        <v>960</v>
      </c>
      <c r="M5428" s="136">
        <f>M5427+K5428-L5428</f>
        <v>-43593.557296665851</v>
      </c>
    </row>
    <row r="5429" spans="1:13">
      <c r="A5429" s="54" t="str">
        <f>D5429&amp;E5429&amp;F5429</f>
        <v>HRVIATICOSHR</v>
      </c>
      <c r="B5429" t="s">
        <v>2821</v>
      </c>
      <c r="C5429" s="1">
        <f t="shared" si="183"/>
        <v>46013</v>
      </c>
      <c r="D5429" s="242" t="s">
        <v>29</v>
      </c>
      <c r="E5429" s="242" t="s">
        <v>191</v>
      </c>
      <c r="F5429" s="71" t="s">
        <v>29</v>
      </c>
      <c r="J5429" s="71" t="s">
        <v>3100</v>
      </c>
      <c r="L5429" s="433">
        <v>350</v>
      </c>
      <c r="M5429" s="136">
        <f>M5428+K5429-L5429</f>
        <v>-43943.557296665851</v>
      </c>
    </row>
    <row r="5430" spans="1:13">
      <c r="A5430" s="54" t="str">
        <f>D5430&amp;E5430&amp;F5430</f>
        <v>HRNOMINA SUCURSALA5</v>
      </c>
      <c r="B5430" t="s">
        <v>2821</v>
      </c>
      <c r="C5430" s="1">
        <f t="shared" si="183"/>
        <v>46013</v>
      </c>
      <c r="D5430" s="242" t="s">
        <v>29</v>
      </c>
      <c r="E5430" s="242" t="s">
        <v>154</v>
      </c>
      <c r="F5430" s="71" t="s">
        <v>92</v>
      </c>
      <c r="J5430" s="71" t="s">
        <v>3101</v>
      </c>
      <c r="L5430" s="433">
        <v>1670</v>
      </c>
      <c r="M5430" s="136">
        <f>M5429+K5430-L5430</f>
        <v>-45613.557296665851</v>
      </c>
    </row>
    <row r="5431" spans="1:13">
      <c r="A5431" s="54" t="str">
        <f>D5431&amp;E5431&amp;F5431</f>
        <v>HRUBERHR</v>
      </c>
      <c r="B5431" t="s">
        <v>2821</v>
      </c>
      <c r="C5431" s="1">
        <f t="shared" si="183"/>
        <v>46013</v>
      </c>
      <c r="D5431" s="242" t="s">
        <v>29</v>
      </c>
      <c r="E5431" s="242" t="s">
        <v>189</v>
      </c>
      <c r="F5431" s="71" t="s">
        <v>29</v>
      </c>
      <c r="J5431" s="71" t="s">
        <v>3067</v>
      </c>
      <c r="L5431" s="523">
        <v>1570</v>
      </c>
      <c r="M5431" s="136">
        <f>M5430+K5431-L5431</f>
        <v>-47183.557296665851</v>
      </c>
    </row>
    <row r="5432" spans="1:13">
      <c r="A5432" s="54" t="str">
        <f>D5432&amp;E5432&amp;F5432</f>
        <v>HRJMASA6</v>
      </c>
      <c r="B5432" t="s">
        <v>2821</v>
      </c>
      <c r="C5432" s="1">
        <f t="shared" si="183"/>
        <v>46013</v>
      </c>
      <c r="D5432" s="242" t="s">
        <v>29</v>
      </c>
      <c r="E5432" s="242" t="s">
        <v>137</v>
      </c>
      <c r="F5432" s="71" t="s">
        <v>93</v>
      </c>
      <c r="J5432" s="71" t="s">
        <v>2452</v>
      </c>
      <c r="L5432" s="433">
        <v>544</v>
      </c>
      <c r="M5432" s="136">
        <f>M5431+K5432-L5432</f>
        <v>-47727.557296665851</v>
      </c>
    </row>
    <row r="5433" spans="1:13">
      <c r="A5433" s="54" t="str">
        <f>D5433&amp;E5433&amp;F5433</f>
        <v>HRNOMINA SUCURSALA6</v>
      </c>
      <c r="B5433" t="s">
        <v>2821</v>
      </c>
      <c r="C5433" s="1">
        <f t="shared" si="183"/>
        <v>46013</v>
      </c>
      <c r="D5433" s="242" t="s">
        <v>29</v>
      </c>
      <c r="E5433" s="242" t="s">
        <v>154</v>
      </c>
      <c r="F5433" s="71" t="s">
        <v>93</v>
      </c>
      <c r="J5433" s="71" t="s">
        <v>3102</v>
      </c>
      <c r="L5433" s="433">
        <v>6386</v>
      </c>
      <c r="M5433" s="136">
        <f>M5432+K5433-L5433</f>
        <v>-54113.557296665851</v>
      </c>
    </row>
    <row r="5434" spans="1:13">
      <c r="A5434" s="54" t="str">
        <f>D5434&amp;E5434&amp;F5434</f>
        <v>HRUBERHR</v>
      </c>
      <c r="B5434" t="s">
        <v>2821</v>
      </c>
      <c r="C5434" s="1">
        <f t="shared" si="183"/>
        <v>46013</v>
      </c>
      <c r="D5434" s="242" t="s">
        <v>29</v>
      </c>
      <c r="E5434" s="242" t="s">
        <v>189</v>
      </c>
      <c r="F5434" s="71" t="s">
        <v>29</v>
      </c>
      <c r="J5434" s="71" t="s">
        <v>2835</v>
      </c>
      <c r="L5434" s="523">
        <v>68</v>
      </c>
      <c r="M5434" s="136">
        <f>M5433+K5434-L5434</f>
        <v>-54181.557296665851</v>
      </c>
    </row>
    <row r="5435" spans="1:13">
      <c r="A5435" s="54" t="str">
        <f>D5435&amp;E5435&amp;F5435</f>
        <v>HRUBERHR</v>
      </c>
      <c r="B5435" t="s">
        <v>2821</v>
      </c>
      <c r="C5435" s="1">
        <f t="shared" si="183"/>
        <v>46013</v>
      </c>
      <c r="D5435" s="242" t="s">
        <v>29</v>
      </c>
      <c r="E5435" s="242" t="s">
        <v>189</v>
      </c>
      <c r="F5435" s="71" t="s">
        <v>29</v>
      </c>
      <c r="J5435" s="71" t="s">
        <v>2975</v>
      </c>
      <c r="L5435" s="523">
        <v>150</v>
      </c>
      <c r="M5435" s="136">
        <f>M5434+K5435-L5435</f>
        <v>-54331.557296665851</v>
      </c>
    </row>
    <row r="5436" spans="1:13">
      <c r="A5436" s="54" t="str">
        <f>D5436&amp;E5436&amp;F5436</f>
        <v>HRUBERHR</v>
      </c>
      <c r="B5436" t="s">
        <v>2821</v>
      </c>
      <c r="C5436" s="1">
        <f t="shared" si="183"/>
        <v>46013</v>
      </c>
      <c r="D5436" s="242" t="s">
        <v>29</v>
      </c>
      <c r="E5436" s="242" t="s">
        <v>189</v>
      </c>
      <c r="F5436" s="71" t="s">
        <v>29</v>
      </c>
      <c r="J5436" s="71" t="s">
        <v>2561</v>
      </c>
      <c r="L5436" s="523">
        <v>1870</v>
      </c>
      <c r="M5436" s="136">
        <f>M5435+K5436-L5436</f>
        <v>-56201.557296665851</v>
      </c>
    </row>
    <row r="5437" spans="1:13">
      <c r="A5437" s="54" t="str">
        <f>D5437&amp;E5437&amp;F5437</f>
        <v>HRINSUMOSHR</v>
      </c>
      <c r="B5437" t="s">
        <v>2821</v>
      </c>
      <c r="C5437" s="1">
        <f t="shared" si="183"/>
        <v>46013</v>
      </c>
      <c r="D5437" s="242" t="s">
        <v>29</v>
      </c>
      <c r="E5437" s="242" t="s">
        <v>133</v>
      </c>
      <c r="F5437" s="71" t="s">
        <v>29</v>
      </c>
      <c r="J5437" s="71" t="s">
        <v>2367</v>
      </c>
      <c r="L5437" s="433">
        <v>150</v>
      </c>
      <c r="M5437" s="136">
        <f>M5436+K5437-L5437</f>
        <v>-56351.557296665851</v>
      </c>
    </row>
    <row r="5438" spans="1:13">
      <c r="A5438" s="54" t="str">
        <f>D5438&amp;E5438&amp;F5438</f>
        <v>HRINSUMOSHR</v>
      </c>
      <c r="B5438" t="s">
        <v>2821</v>
      </c>
      <c r="C5438" s="1">
        <f t="shared" si="183"/>
        <v>46013</v>
      </c>
      <c r="D5438" s="242" t="s">
        <v>29</v>
      </c>
      <c r="E5438" s="242" t="s">
        <v>133</v>
      </c>
      <c r="F5438" s="71" t="s">
        <v>29</v>
      </c>
      <c r="J5438" s="71" t="s">
        <v>2367</v>
      </c>
      <c r="L5438" s="433">
        <f>150+240+180</f>
        <v>570</v>
      </c>
      <c r="M5438" s="136">
        <f>M5437+K5438-L5438</f>
        <v>-56921.557296665851</v>
      </c>
    </row>
    <row r="5439" spans="1:13">
      <c r="A5439" s="54" t="str">
        <f>D5439&amp;E5439&amp;F5439</f>
        <v>HRUBERHR</v>
      </c>
      <c r="B5439" t="s">
        <v>2821</v>
      </c>
      <c r="C5439" s="1">
        <f t="shared" si="183"/>
        <v>46013</v>
      </c>
      <c r="D5439" s="242" t="s">
        <v>29</v>
      </c>
      <c r="E5439" s="242" t="s">
        <v>189</v>
      </c>
      <c r="F5439" s="71" t="s">
        <v>29</v>
      </c>
      <c r="J5439" s="71" t="s">
        <v>3103</v>
      </c>
      <c r="L5439" s="523">
        <v>2600</v>
      </c>
      <c r="M5439" s="136">
        <f>M5438+K5439-L5439</f>
        <v>-59521.557296665851</v>
      </c>
    </row>
    <row r="5440" spans="1:13">
      <c r="A5440" s="54" t="str">
        <f>D5440&amp;E5440&amp;F5440</f>
        <v>HRUBERHR</v>
      </c>
      <c r="B5440" t="s">
        <v>2821</v>
      </c>
      <c r="C5440" s="1">
        <f t="shared" si="183"/>
        <v>46013</v>
      </c>
      <c r="D5440" s="242" t="s">
        <v>29</v>
      </c>
      <c r="E5440" s="242" t="s">
        <v>189</v>
      </c>
      <c r="F5440" s="71" t="s">
        <v>29</v>
      </c>
      <c r="J5440" s="71" t="s">
        <v>2453</v>
      </c>
      <c r="L5440" s="523">
        <v>2158</v>
      </c>
      <c r="M5440" s="136">
        <f>M5439+K5440-L5440</f>
        <v>-61679.557296665851</v>
      </c>
    </row>
    <row r="5441" spans="1:13">
      <c r="A5441" s="54" t="str">
        <f>D5441&amp;E5441&amp;F5441</f>
        <v>HRNOMINA SUCURSALA12</v>
      </c>
      <c r="B5441" t="s">
        <v>2821</v>
      </c>
      <c r="C5441" s="1">
        <f t="shared" si="183"/>
        <v>46013</v>
      </c>
      <c r="D5441" s="242" t="s">
        <v>29</v>
      </c>
      <c r="E5441" s="242" t="s">
        <v>154</v>
      </c>
      <c r="F5441" s="71" t="s">
        <v>98</v>
      </c>
      <c r="J5441" s="71" t="s">
        <v>2837</v>
      </c>
      <c r="L5441" s="433">
        <v>400</v>
      </c>
      <c r="M5441" s="136">
        <f>M5440+K5441-L5441</f>
        <v>-62079.557296665851</v>
      </c>
    </row>
    <row r="5442" spans="1:13">
      <c r="A5442" s="54" t="str">
        <f>D5442&amp;E5442&amp;F5442</f>
        <v>HRINSUMOSHR</v>
      </c>
      <c r="B5442" t="s">
        <v>2821</v>
      </c>
      <c r="C5442" s="1">
        <f t="shared" si="183"/>
        <v>46013</v>
      </c>
      <c r="D5442" s="242" t="s">
        <v>29</v>
      </c>
      <c r="E5442" s="242" t="s">
        <v>133</v>
      </c>
      <c r="F5442" s="71" t="s">
        <v>29</v>
      </c>
      <c r="J5442" s="71" t="s">
        <v>3104</v>
      </c>
      <c r="L5442" s="433">
        <v>190</v>
      </c>
      <c r="M5442" s="136">
        <f>M5441+K5442-L5442</f>
        <v>-62269.557296665851</v>
      </c>
    </row>
    <row r="5443" spans="1:13">
      <c r="A5443" s="54" t="str">
        <f>D5443&amp;E5443&amp;F5443</f>
        <v>HRUBERHR</v>
      </c>
      <c r="B5443" t="s">
        <v>2821</v>
      </c>
      <c r="C5443" s="1">
        <f t="shared" si="183"/>
        <v>46013</v>
      </c>
      <c r="D5443" s="242" t="s">
        <v>29</v>
      </c>
      <c r="E5443" s="242" t="s">
        <v>189</v>
      </c>
      <c r="F5443" s="71" t="s">
        <v>29</v>
      </c>
      <c r="J5443" s="71" t="s">
        <v>2562</v>
      </c>
      <c r="L5443" s="523">
        <v>2200</v>
      </c>
      <c r="M5443" s="136">
        <f>M5442+K5443-L5443</f>
        <v>-64469.557296665851</v>
      </c>
    </row>
    <row r="5444" spans="1:13">
      <c r="A5444" s="54" t="str">
        <f t="shared" ref="A5398:A5461" si="184">D5444&amp;E5444&amp;F5444</f>
        <v/>
      </c>
      <c r="B5444" t="s">
        <v>2821</v>
      </c>
      <c r="C5444" s="1">
        <f t="shared" si="183"/>
        <v>46013</v>
      </c>
      <c r="E5444" s="242"/>
      <c r="J5444" s="71" t="s">
        <v>3105</v>
      </c>
      <c r="L5444" s="433">
        <v>160</v>
      </c>
      <c r="M5444" s="136">
        <f>M5443+K5444-L5444</f>
        <v>-64629.557296665851</v>
      </c>
    </row>
    <row r="5445" spans="1:13">
      <c r="A5445" s="54" t="str">
        <f>D5445&amp;E5445&amp;F5445</f>
        <v>HRNOMINA SUCURSALA16</v>
      </c>
      <c r="B5445" t="s">
        <v>2821</v>
      </c>
      <c r="C5445" s="1">
        <f t="shared" si="183"/>
        <v>46013</v>
      </c>
      <c r="D5445" s="242" t="s">
        <v>29</v>
      </c>
      <c r="E5445" s="242" t="s">
        <v>154</v>
      </c>
      <c r="F5445" s="71" t="s">
        <v>101</v>
      </c>
      <c r="J5445" s="71" t="s">
        <v>3106</v>
      </c>
      <c r="L5445" s="433">
        <v>1930</v>
      </c>
      <c r="M5445" s="136">
        <f>M5444+K5445-L5445</f>
        <v>-66559.557296665851</v>
      </c>
    </row>
    <row r="5446" spans="1:13">
      <c r="A5446" s="54" t="str">
        <f>D5446&amp;E5446&amp;F5446</f>
        <v>HRINSUMOSHR</v>
      </c>
      <c r="B5446" t="s">
        <v>2821</v>
      </c>
      <c r="C5446" s="1">
        <f t="shared" si="183"/>
        <v>46013</v>
      </c>
      <c r="D5446" s="242" t="s">
        <v>29</v>
      </c>
      <c r="E5446" s="242" t="s">
        <v>133</v>
      </c>
      <c r="F5446" s="71" t="s">
        <v>29</v>
      </c>
      <c r="J5446" s="71" t="s">
        <v>3107</v>
      </c>
      <c r="L5446" s="433">
        <v>25</v>
      </c>
      <c r="M5446" s="136">
        <f>M5445+K5446-L5446</f>
        <v>-66584.557296665851</v>
      </c>
    </row>
    <row r="5447" spans="1:13">
      <c r="A5447" s="54" t="str">
        <f>D5447&amp;E5447&amp;F5447</f>
        <v>HRNOMINA SUCURSALA18</v>
      </c>
      <c r="B5447" t="s">
        <v>2821</v>
      </c>
      <c r="C5447" s="1">
        <f t="shared" si="183"/>
        <v>46013</v>
      </c>
      <c r="D5447" s="242" t="s">
        <v>29</v>
      </c>
      <c r="E5447" s="242" t="s">
        <v>154</v>
      </c>
      <c r="F5447" s="71" t="s">
        <v>103</v>
      </c>
      <c r="J5447" s="71" t="s">
        <v>3108</v>
      </c>
      <c r="L5447" s="433">
        <v>3100</v>
      </c>
      <c r="M5447" s="136">
        <f>M5446+K5447-L5447</f>
        <v>-69684.557296665851</v>
      </c>
    </row>
    <row r="5448" spans="1:13">
      <c r="A5448" s="54" t="str">
        <f>D5448&amp;E5448&amp;F5448</f>
        <v>HRNOMINA SUCURSALA22</v>
      </c>
      <c r="B5448" t="s">
        <v>2821</v>
      </c>
      <c r="C5448" s="1">
        <f>C5422</f>
        <v>46013</v>
      </c>
      <c r="D5448" s="242" t="s">
        <v>29</v>
      </c>
      <c r="E5448" s="242" t="s">
        <v>154</v>
      </c>
      <c r="F5448" s="71" t="s">
        <v>104</v>
      </c>
      <c r="J5448" s="71" t="s">
        <v>3109</v>
      </c>
      <c r="L5448" s="433">
        <v>2263</v>
      </c>
      <c r="M5448" s="136">
        <f>M5447+K5448-L5448</f>
        <v>-71947.557296665851</v>
      </c>
    </row>
    <row r="5449" spans="1:13">
      <c r="A5449" s="54" t="str">
        <f>D5449&amp;E5449&amp;F5449</f>
        <v>HRNOMINA SUCURSALA22</v>
      </c>
      <c r="B5449" t="s">
        <v>2821</v>
      </c>
      <c r="C5449" s="1">
        <f t="shared" si="183"/>
        <v>46013</v>
      </c>
      <c r="D5449" s="242" t="s">
        <v>29</v>
      </c>
      <c r="E5449" s="242" t="s">
        <v>154</v>
      </c>
      <c r="F5449" s="71" t="s">
        <v>104</v>
      </c>
      <c r="J5449" s="71" t="s">
        <v>2839</v>
      </c>
      <c r="L5449" s="433">
        <v>2128</v>
      </c>
      <c r="M5449" s="136">
        <f>M5448+K5449-L5449</f>
        <v>-74075.557296665851</v>
      </c>
    </row>
    <row r="5450" spans="1:13">
      <c r="A5450" s="54" t="str">
        <f>D5450&amp;E5450&amp;F5450</f>
        <v>HRUBERHR</v>
      </c>
      <c r="B5450" t="s">
        <v>2821</v>
      </c>
      <c r="C5450" s="1">
        <f t="shared" si="183"/>
        <v>46013</v>
      </c>
      <c r="D5450" s="242" t="s">
        <v>29</v>
      </c>
      <c r="E5450" s="242" t="s">
        <v>189</v>
      </c>
      <c r="F5450" s="71" t="s">
        <v>29</v>
      </c>
      <c r="J5450" s="71" t="s">
        <v>2366</v>
      </c>
      <c r="L5450" s="523">
        <v>2100</v>
      </c>
      <c r="M5450" s="136">
        <f>M5449+K5450-L5450</f>
        <v>-76175.557296665851</v>
      </c>
    </row>
    <row r="5451" spans="1:13">
      <c r="A5451" s="54" t="str">
        <f>D5451&amp;E5451&amp;F5451</f>
        <v>HRNOMINA SUCURSALA23</v>
      </c>
      <c r="B5451" t="s">
        <v>2821</v>
      </c>
      <c r="C5451" s="1">
        <f t="shared" si="183"/>
        <v>46013</v>
      </c>
      <c r="D5451" s="242" t="s">
        <v>29</v>
      </c>
      <c r="E5451" s="242" t="s">
        <v>154</v>
      </c>
      <c r="F5451" s="71" t="s">
        <v>105</v>
      </c>
      <c r="J5451" s="71" t="s">
        <v>3110</v>
      </c>
      <c r="L5451" s="433">
        <v>5070</v>
      </c>
      <c r="M5451" s="136">
        <f>M5450+K5451-L5451</f>
        <v>-81245.557296665851</v>
      </c>
    </row>
    <row r="5452" spans="1:13">
      <c r="A5452" s="54" t="str">
        <f>D5452&amp;E5452&amp;F5452</f>
        <v>HRNOMINA SUCURSALA24</v>
      </c>
      <c r="B5452" t="s">
        <v>2821</v>
      </c>
      <c r="C5452" s="1">
        <f t="shared" si="183"/>
        <v>46013</v>
      </c>
      <c r="D5452" s="242" t="s">
        <v>29</v>
      </c>
      <c r="E5452" s="242" t="s">
        <v>154</v>
      </c>
      <c r="F5452" s="71" t="s">
        <v>106</v>
      </c>
      <c r="J5452" s="71" t="s">
        <v>2841</v>
      </c>
      <c r="L5452" s="433">
        <v>7685</v>
      </c>
      <c r="M5452" s="136">
        <f>M5451+K5452-L5452</f>
        <v>-88930.557296665851</v>
      </c>
    </row>
    <row r="5453" spans="1:13">
      <c r="A5453" s="54" t="str">
        <f>D5453&amp;E5453&amp;F5453</f>
        <v>HRUBERHR</v>
      </c>
      <c r="B5453" t="s">
        <v>2821</v>
      </c>
      <c r="C5453" s="1">
        <f t="shared" ref="C5453:C5473" si="185">C5452</f>
        <v>46013</v>
      </c>
      <c r="D5453" s="242" t="s">
        <v>29</v>
      </c>
      <c r="E5453" s="242" t="s">
        <v>189</v>
      </c>
      <c r="F5453" s="71" t="s">
        <v>29</v>
      </c>
      <c r="J5453" s="71" t="s">
        <v>2435</v>
      </c>
      <c r="L5453" s="523">
        <v>2395</v>
      </c>
      <c r="M5453" s="136">
        <f>M5452+K5453-L5453</f>
        <v>-91325.557296665851</v>
      </c>
    </row>
    <row r="5454" spans="1:13">
      <c r="A5454" s="54" t="str">
        <f>D5454&amp;E5454&amp;F5454</f>
        <v>HRINSUMOSHR</v>
      </c>
      <c r="B5454" t="s">
        <v>2821</v>
      </c>
      <c r="C5454" s="1">
        <f t="shared" si="185"/>
        <v>46013</v>
      </c>
      <c r="D5454" s="242" t="s">
        <v>29</v>
      </c>
      <c r="E5454" s="242" t="s">
        <v>133</v>
      </c>
      <c r="F5454" s="71" t="s">
        <v>29</v>
      </c>
      <c r="J5454" s="71" t="s">
        <v>3111</v>
      </c>
      <c r="L5454" s="433">
        <v>595</v>
      </c>
      <c r="M5454" s="136">
        <f>M5453+K5454-L5454</f>
        <v>-91920.557296665851</v>
      </c>
    </row>
    <row r="5455" spans="1:13">
      <c r="A5455" s="54" t="str">
        <f>D5455&amp;E5455&amp;F5455</f>
        <v>CAPUBERCAP</v>
      </c>
      <c r="B5455" t="s">
        <v>2821</v>
      </c>
      <c r="C5455" s="1">
        <f t="shared" si="185"/>
        <v>46013</v>
      </c>
      <c r="D5455" s="242" t="s">
        <v>31</v>
      </c>
      <c r="E5455" s="242" t="s">
        <v>189</v>
      </c>
      <c r="F5455" s="71" t="s">
        <v>31</v>
      </c>
      <c r="J5455" s="71" t="s">
        <v>3041</v>
      </c>
      <c r="L5455" s="523">
        <v>600</v>
      </c>
      <c r="M5455" s="136">
        <f>M5454+K5455-L5455</f>
        <v>-92520.557296665851</v>
      </c>
    </row>
    <row r="5456" spans="1:13">
      <c r="A5456" s="54" t="str">
        <f>D5456&amp;E5456&amp;F5456</f>
        <v>CAPNOMINA SUCURSALE1</v>
      </c>
      <c r="B5456" t="s">
        <v>2821</v>
      </c>
      <c r="C5456" s="1">
        <f t="shared" si="185"/>
        <v>46013</v>
      </c>
      <c r="D5456" s="242" t="s">
        <v>31</v>
      </c>
      <c r="E5456" s="242" t="s">
        <v>154</v>
      </c>
      <c r="F5456" s="71" t="s">
        <v>107</v>
      </c>
      <c r="J5456" s="71" t="s">
        <v>2923</v>
      </c>
      <c r="L5456" s="433">
        <v>2883</v>
      </c>
      <c r="M5456" s="136">
        <f>M5455+K5456-L5456</f>
        <v>-95403.557296665851</v>
      </c>
    </row>
    <row r="5457" spans="1:13">
      <c r="A5457" s="54" t="str">
        <f>D5457&amp;E5457&amp;F5457</f>
        <v>CAPUBERCAP</v>
      </c>
      <c r="B5457" t="s">
        <v>2821</v>
      </c>
      <c r="C5457" s="1">
        <f t="shared" si="185"/>
        <v>46013</v>
      </c>
      <c r="D5457" s="242" t="s">
        <v>31</v>
      </c>
      <c r="E5457" s="242" t="s">
        <v>189</v>
      </c>
      <c r="F5457" s="71" t="s">
        <v>31</v>
      </c>
      <c r="J5457" s="71" t="s">
        <v>2267</v>
      </c>
      <c r="L5457" s="523">
        <f>500+1373</f>
        <v>1873</v>
      </c>
      <c r="M5457" s="136">
        <f>M5456+K5457-L5457</f>
        <v>-97276.557296665851</v>
      </c>
    </row>
    <row r="5458" spans="1:13">
      <c r="A5458" s="54" t="str">
        <f>D5458&amp;E5458&amp;F5458</f>
        <v>CAPUBERCAP</v>
      </c>
      <c r="B5458" t="s">
        <v>2821</v>
      </c>
      <c r="C5458" s="1">
        <f t="shared" si="185"/>
        <v>46013</v>
      </c>
      <c r="D5458" s="242" t="s">
        <v>31</v>
      </c>
      <c r="E5458" s="242" t="s">
        <v>189</v>
      </c>
      <c r="F5458" s="71" t="s">
        <v>31</v>
      </c>
      <c r="J5458" s="71" t="s">
        <v>2537</v>
      </c>
      <c r="L5458" s="523">
        <v>1100</v>
      </c>
      <c r="M5458" s="136">
        <f>M5457+K5458-L5458</f>
        <v>-98376.557296665851</v>
      </c>
    </row>
    <row r="5459" spans="1:13">
      <c r="A5459" s="54" t="str">
        <f>D5459&amp;E5459&amp;F5459</f>
        <v>CAPNOMINA SUCURSALE3</v>
      </c>
      <c r="B5459" t="s">
        <v>2821</v>
      </c>
      <c r="C5459" s="1">
        <f t="shared" si="185"/>
        <v>46013</v>
      </c>
      <c r="D5459" s="242" t="s">
        <v>31</v>
      </c>
      <c r="E5459" s="242" t="s">
        <v>154</v>
      </c>
      <c r="F5459" s="71" t="s">
        <v>109</v>
      </c>
      <c r="J5459" s="71" t="s">
        <v>2925</v>
      </c>
      <c r="L5459" s="433">
        <v>2965</v>
      </c>
      <c r="M5459" s="136">
        <f>M5458+K5459-L5459</f>
        <v>-101341.55729666585</v>
      </c>
    </row>
    <row r="5460" spans="1:13">
      <c r="A5460" s="54" t="str">
        <f>D5460&amp;E5460&amp;F5460</f>
        <v>CAPINSUMOSCAPRICHOS</v>
      </c>
      <c r="B5460" t="s">
        <v>2821</v>
      </c>
      <c r="C5460" s="1">
        <f t="shared" si="185"/>
        <v>46013</v>
      </c>
      <c r="D5460" s="242" t="s">
        <v>31</v>
      </c>
      <c r="E5460" s="242" t="s">
        <v>133</v>
      </c>
      <c r="F5460" s="71" t="s">
        <v>33</v>
      </c>
      <c r="J5460" s="71" t="s">
        <v>3112</v>
      </c>
      <c r="L5460" s="433">
        <v>72</v>
      </c>
      <c r="M5460" s="136">
        <f>M5459+K5460-L5460</f>
        <v>-101413.55729666585</v>
      </c>
    </row>
    <row r="5461" spans="1:13">
      <c r="A5461" s="54" t="str">
        <f>D5461&amp;E5461&amp;F5461</f>
        <v>CAPNOMINA SUCURSALE4</v>
      </c>
      <c r="B5461" t="s">
        <v>2821</v>
      </c>
      <c r="C5461" s="1">
        <f t="shared" si="185"/>
        <v>46013</v>
      </c>
      <c r="D5461" s="242" t="s">
        <v>31</v>
      </c>
      <c r="E5461" s="242" t="s">
        <v>154</v>
      </c>
      <c r="F5461" s="71" t="s">
        <v>110</v>
      </c>
      <c r="J5461" s="71" t="s">
        <v>2713</v>
      </c>
      <c r="L5461" s="433">
        <v>12645</v>
      </c>
      <c r="M5461" s="136">
        <f>M5460+K5461-L5461</f>
        <v>-114058.55729666585</v>
      </c>
    </row>
    <row r="5462" spans="1:13">
      <c r="A5462" s="54" t="str">
        <f>D5462&amp;E5462&amp;F5462</f>
        <v>CAPUBERCAP</v>
      </c>
      <c r="B5462" t="s">
        <v>2821</v>
      </c>
      <c r="C5462" s="1">
        <f t="shared" si="185"/>
        <v>46013</v>
      </c>
      <c r="D5462" s="242" t="s">
        <v>31</v>
      </c>
      <c r="E5462" s="242" t="s">
        <v>189</v>
      </c>
      <c r="F5462" s="71" t="s">
        <v>31</v>
      </c>
      <c r="J5462" s="71" t="s">
        <v>2842</v>
      </c>
      <c r="L5462" s="523">
        <v>1365</v>
      </c>
      <c r="M5462" s="136">
        <f>M5461+K5462-L5462</f>
        <v>-115423.55729666585</v>
      </c>
    </row>
    <row r="5463" spans="1:13">
      <c r="A5463" s="54" t="str">
        <f>D5463&amp;E5463&amp;F5463</f>
        <v>CAPINSUMOSCAPRICHOS</v>
      </c>
      <c r="B5463" t="s">
        <v>2821</v>
      </c>
      <c r="C5463" s="1">
        <f t="shared" si="185"/>
        <v>46013</v>
      </c>
      <c r="D5463" s="242" t="s">
        <v>31</v>
      </c>
      <c r="E5463" s="242" t="s">
        <v>133</v>
      </c>
      <c r="F5463" s="71" t="s">
        <v>33</v>
      </c>
      <c r="J5463" s="71" t="s">
        <v>2335</v>
      </c>
      <c r="L5463" s="433">
        <v>47</v>
      </c>
      <c r="M5463" s="136">
        <f>M5462+K5463-L5463</f>
        <v>-115470.55729666585</v>
      </c>
    </row>
    <row r="5464" spans="1:13">
      <c r="A5464" s="54" t="str">
        <f>D5464&amp;E5464&amp;F5464</f>
        <v>CAPNOMINA SUCURSALE5</v>
      </c>
      <c r="B5464" t="s">
        <v>2821</v>
      </c>
      <c r="C5464" s="1">
        <f t="shared" si="185"/>
        <v>46013</v>
      </c>
      <c r="D5464" s="242" t="s">
        <v>31</v>
      </c>
      <c r="E5464" s="242" t="s">
        <v>154</v>
      </c>
      <c r="F5464" s="71" t="s">
        <v>111</v>
      </c>
      <c r="J5464" s="71" t="s">
        <v>2927</v>
      </c>
      <c r="L5464" s="433">
        <v>236</v>
      </c>
      <c r="M5464" s="136">
        <f>M5463+K5464-L5464</f>
        <v>-115706.55729666585</v>
      </c>
    </row>
    <row r="5465" spans="1:13">
      <c r="A5465" s="54" t="str">
        <f>D5465&amp;E5465&amp;F5465</f>
        <v>CAPINSUMOSE6</v>
      </c>
      <c r="B5465" t="s">
        <v>2821</v>
      </c>
      <c r="C5465" s="1">
        <f t="shared" si="185"/>
        <v>46013</v>
      </c>
      <c r="D5465" s="242" t="s">
        <v>31</v>
      </c>
      <c r="E5465" s="242" t="s">
        <v>133</v>
      </c>
      <c r="F5465" s="71" t="s">
        <v>112</v>
      </c>
      <c r="J5465" s="71" t="s">
        <v>2663</v>
      </c>
      <c r="L5465" s="433">
        <v>294</v>
      </c>
      <c r="M5465" s="136">
        <f>M5464+K5465-L5465</f>
        <v>-116000.55729666585</v>
      </c>
    </row>
    <row r="5466" spans="1:13">
      <c r="A5466" s="54" t="str">
        <f>D5466&amp;E5466&amp;F5466</f>
        <v>CAPUBERCAP</v>
      </c>
      <c r="B5466" t="s">
        <v>2821</v>
      </c>
      <c r="C5466" s="1">
        <f t="shared" si="185"/>
        <v>46013</v>
      </c>
      <c r="D5466" s="242" t="s">
        <v>31</v>
      </c>
      <c r="E5466" s="242" t="s">
        <v>189</v>
      </c>
      <c r="F5466" s="71" t="s">
        <v>31</v>
      </c>
      <c r="J5466" s="71" t="s">
        <v>3058</v>
      </c>
      <c r="L5466" s="523">
        <v>975</v>
      </c>
      <c r="M5466" s="136">
        <f>M5465+K5466-L5466</f>
        <v>-116975.55729666585</v>
      </c>
    </row>
    <row r="5467" spans="1:13">
      <c r="A5467" s="54" t="str">
        <f>D5467&amp;E5467&amp;F5467</f>
        <v>CAPJMASE6</v>
      </c>
      <c r="B5467" t="s">
        <v>2821</v>
      </c>
      <c r="C5467" s="1">
        <f t="shared" si="185"/>
        <v>46013</v>
      </c>
      <c r="D5467" s="242" t="s">
        <v>31</v>
      </c>
      <c r="E5467" s="242" t="s">
        <v>137</v>
      </c>
      <c r="F5467" s="71" t="s">
        <v>112</v>
      </c>
      <c r="J5467" s="71" t="s">
        <v>3113</v>
      </c>
      <c r="L5467" s="433">
        <v>387</v>
      </c>
      <c r="M5467" s="136">
        <f>M5466+K5467-L5467</f>
        <v>-117362.55729666585</v>
      </c>
    </row>
    <row r="5468" spans="1:13">
      <c r="A5468" s="54" t="str">
        <f>D5468&amp;E5468&amp;F5468</f>
        <v>CAPINSUMOSCAPRICHOS</v>
      </c>
      <c r="B5468" t="s">
        <v>2821</v>
      </c>
      <c r="C5468" s="1">
        <f t="shared" si="185"/>
        <v>46013</v>
      </c>
      <c r="D5468" s="242" t="s">
        <v>31</v>
      </c>
      <c r="E5468" s="242" t="s">
        <v>133</v>
      </c>
      <c r="F5468" s="71" t="s">
        <v>33</v>
      </c>
      <c r="J5468" s="71" t="s">
        <v>3114</v>
      </c>
      <c r="L5468" s="433">
        <v>220</v>
      </c>
      <c r="M5468" s="136">
        <f>M5467+K5468-L5468</f>
        <v>-117582.55729666585</v>
      </c>
    </row>
    <row r="5469" spans="1:13">
      <c r="A5469" s="54" t="str">
        <f>D5469&amp;E5469&amp;F5469</f>
        <v>CAPNOMINA SUCURSALE8</v>
      </c>
      <c r="B5469" t="s">
        <v>2821</v>
      </c>
      <c r="C5469" s="1">
        <f t="shared" si="185"/>
        <v>46013</v>
      </c>
      <c r="D5469" s="242" t="s">
        <v>31</v>
      </c>
      <c r="E5469" s="242" t="s">
        <v>154</v>
      </c>
      <c r="F5469" s="71" t="s">
        <v>114</v>
      </c>
      <c r="J5469" s="71" t="s">
        <v>3115</v>
      </c>
      <c r="L5469" s="433">
        <v>4510</v>
      </c>
      <c r="M5469" s="136">
        <f>M5468+K5469-L5469</f>
        <v>-122092.55729666585</v>
      </c>
    </row>
    <row r="5470" spans="1:13">
      <c r="A5470" s="54" t="str">
        <f>D5470&amp;E5470&amp;F5470</f>
        <v>CAPNOMINA SUCURSALE9</v>
      </c>
      <c r="B5470" t="s">
        <v>2821</v>
      </c>
      <c r="C5470" s="1">
        <f t="shared" si="185"/>
        <v>46013</v>
      </c>
      <c r="D5470" s="242" t="s">
        <v>31</v>
      </c>
      <c r="E5470" s="242" t="s">
        <v>154</v>
      </c>
      <c r="F5470" s="71" t="s">
        <v>116</v>
      </c>
      <c r="J5470" s="71" t="s">
        <v>3116</v>
      </c>
      <c r="L5470" s="433">
        <v>4482</v>
      </c>
      <c r="M5470" s="136">
        <f>M5469+K5470-L5470</f>
        <v>-126574.55729666585</v>
      </c>
    </row>
    <row r="5471" spans="1:13">
      <c r="A5471" s="54" t="str">
        <f>D5471&amp;E5471&amp;F5471</f>
        <v>CAPNOMINA SUCURSALE11</v>
      </c>
      <c r="B5471" t="s">
        <v>2821</v>
      </c>
      <c r="C5471" s="1">
        <f t="shared" si="185"/>
        <v>46013</v>
      </c>
      <c r="D5471" s="242" t="s">
        <v>31</v>
      </c>
      <c r="E5471" s="242" t="s">
        <v>154</v>
      </c>
      <c r="F5471" s="71" t="s">
        <v>118</v>
      </c>
      <c r="J5471" s="71" t="s">
        <v>3117</v>
      </c>
      <c r="L5471" s="433">
        <v>10075</v>
      </c>
      <c r="M5471" s="136">
        <f>M5470+K5471-L5471</f>
        <v>-136649.55729666585</v>
      </c>
    </row>
    <row r="5472" spans="1:13">
      <c r="A5472" s="54" t="str">
        <f>D5472&amp;E5472&amp;F5472</f>
        <v>CAPUBERCAP</v>
      </c>
      <c r="B5472" t="s">
        <v>2821</v>
      </c>
      <c r="C5472" s="1">
        <f t="shared" si="185"/>
        <v>46013</v>
      </c>
      <c r="D5472" s="242" t="s">
        <v>31</v>
      </c>
      <c r="E5472" s="242" t="s">
        <v>189</v>
      </c>
      <c r="F5472" s="71" t="s">
        <v>31</v>
      </c>
      <c r="J5472" s="71" t="s">
        <v>3118</v>
      </c>
      <c r="L5472" s="523">
        <v>2053</v>
      </c>
      <c r="M5472" s="136">
        <f>M5471+K5472-L5472</f>
        <v>-138702.55729666585</v>
      </c>
    </row>
    <row r="5473" spans="1:13">
      <c r="A5473" s="54" t="str">
        <f>D5473&amp;E5473&amp;F5473</f>
        <v>ELIUBERL1</v>
      </c>
      <c r="B5473" t="s">
        <v>2821</v>
      </c>
      <c r="C5473" s="1">
        <f t="shared" si="185"/>
        <v>46013</v>
      </c>
      <c r="D5473" s="242" t="s">
        <v>130</v>
      </c>
      <c r="E5473" s="242" t="s">
        <v>189</v>
      </c>
      <c r="F5473" s="71" t="s">
        <v>136</v>
      </c>
      <c r="G5473" s="71" t="s">
        <v>258</v>
      </c>
      <c r="J5473" s="71" t="s">
        <v>2930</v>
      </c>
      <c r="L5473" s="523">
        <v>600</v>
      </c>
      <c r="M5473" s="136">
        <f>M5472+K5473-L5473</f>
        <v>-139302.55729666585</v>
      </c>
    </row>
    <row r="5474" spans="1:13">
      <c r="A5474" s="54" t="str">
        <f t="shared" ref="A5462:A5525" si="186">D5474&amp;E5474&amp;F5474</f>
        <v/>
      </c>
      <c r="B5474" t="s">
        <v>2821</v>
      </c>
      <c r="C5474" s="1">
        <v>46014</v>
      </c>
      <c r="E5474" s="242"/>
      <c r="J5474" s="71" t="s">
        <v>2045</v>
      </c>
      <c r="K5474" s="325">
        <v>1179963.23</v>
      </c>
      <c r="L5474" s="432"/>
      <c r="M5474" s="136">
        <f>M5473+K5474-L5474</f>
        <v>1040660.6727033341</v>
      </c>
    </row>
    <row r="5475" spans="1:13">
      <c r="A5475" s="54" t="str">
        <f>D5475&amp;E5475&amp;F5475</f>
        <v>FINANZASCOMISIONES BANCARIASTPV</v>
      </c>
      <c r="B5475" t="s">
        <v>2821</v>
      </c>
      <c r="C5475" s="1">
        <f t="shared" ref="C5475:C5529" si="187">C5474</f>
        <v>46014</v>
      </c>
      <c r="D5475" s="242" t="s">
        <v>23</v>
      </c>
      <c r="E5475" s="242" t="s">
        <v>48</v>
      </c>
      <c r="F5475" s="71" t="s">
        <v>50</v>
      </c>
      <c r="J5475" s="71" t="s">
        <v>217</v>
      </c>
      <c r="L5475" s="433">
        <f>10342.89+3897.85+1416.11+1774.07+5.8+13.92+2891.79+336.8+676.91</f>
        <v>21356.14</v>
      </c>
      <c r="M5475" s="136">
        <f>M5474+K5475-L5475</f>
        <v>1019304.5327033341</v>
      </c>
    </row>
    <row r="5476" spans="1:13">
      <c r="A5476" s="54" t="str">
        <f t="shared" si="186"/>
        <v/>
      </c>
      <c r="B5476" t="s">
        <v>2821</v>
      </c>
      <c r="C5476" s="1">
        <f t="shared" si="187"/>
        <v>46014</v>
      </c>
      <c r="E5476" s="242"/>
      <c r="J5476" s="205" t="s">
        <v>1562</v>
      </c>
      <c r="K5476" s="205"/>
      <c r="L5476" s="205"/>
      <c r="M5476" s="136">
        <f>M5475+K5476-L5476</f>
        <v>1019304.5327033341</v>
      </c>
    </row>
    <row r="5477" spans="1:13">
      <c r="A5477" s="54" t="str">
        <f t="shared" si="186"/>
        <v/>
      </c>
      <c r="B5477" t="s">
        <v>2821</v>
      </c>
      <c r="C5477" s="1">
        <f t="shared" si="187"/>
        <v>46014</v>
      </c>
      <c r="E5477" s="242"/>
      <c r="J5477" s="205" t="s">
        <v>222</v>
      </c>
      <c r="K5477" s="205"/>
      <c r="L5477" s="205"/>
      <c r="M5477" s="136">
        <f>M5476+K5477-L5477</f>
        <v>1019304.5327033341</v>
      </c>
    </row>
    <row r="5478" spans="1:13">
      <c r="A5478" s="54" t="str">
        <f>D5478&amp;E5478&amp;F5478</f>
        <v>FINANZASSOLUONESOLUONE (RETAIL)</v>
      </c>
      <c r="B5478" t="s">
        <v>2821</v>
      </c>
      <c r="C5478" s="1">
        <f t="shared" si="187"/>
        <v>46014</v>
      </c>
      <c r="D5478" s="242" t="s">
        <v>23</v>
      </c>
      <c r="E5478" s="242" t="s">
        <v>179</v>
      </c>
      <c r="F5478" s="387" t="s">
        <v>180</v>
      </c>
      <c r="G5478" s="71" t="s">
        <v>258</v>
      </c>
      <c r="J5478" s="71" t="s">
        <v>3119</v>
      </c>
      <c r="L5478" s="433">
        <v>134784.99</v>
      </c>
      <c r="M5478" s="136">
        <f>M5477+K5478-L5478</f>
        <v>884519.54270333413</v>
      </c>
    </row>
    <row r="5479" spans="1:13">
      <c r="A5479" s="54" t="str">
        <f>D5479&amp;E5479&amp;F5479</f>
        <v>FINANZASSOLUONESOLUONE (RETAIL)</v>
      </c>
      <c r="B5479" t="s">
        <v>2821</v>
      </c>
      <c r="C5479" s="1">
        <f t="shared" si="187"/>
        <v>46014</v>
      </c>
      <c r="D5479" s="242" t="s">
        <v>23</v>
      </c>
      <c r="E5479" s="242" t="s">
        <v>179</v>
      </c>
      <c r="F5479" s="387" t="s">
        <v>180</v>
      </c>
      <c r="G5479" s="71" t="s">
        <v>258</v>
      </c>
      <c r="J5479" s="71" t="s">
        <v>3120</v>
      </c>
      <c r="L5479" s="433">
        <v>85536.82</v>
      </c>
      <c r="M5479" s="136">
        <f>M5478+K5479-L5479</f>
        <v>798982.72270333418</v>
      </c>
    </row>
    <row r="5480" spans="1:13">
      <c r="A5480" s="54" t="str">
        <f t="shared" si="186"/>
        <v/>
      </c>
      <c r="B5480" t="s">
        <v>2821</v>
      </c>
      <c r="C5480" s="1">
        <f t="shared" si="187"/>
        <v>46014</v>
      </c>
      <c r="E5480" s="242"/>
      <c r="J5480" s="71" t="s">
        <v>2978</v>
      </c>
      <c r="L5480" s="433">
        <v>550000</v>
      </c>
      <c r="M5480" s="136">
        <f>M5479+K5480-L5480</f>
        <v>248982.72270333418</v>
      </c>
    </row>
    <row r="5481" spans="1:13">
      <c r="A5481" s="54" t="str">
        <f>D5481&amp;E5481&amp;F5481</f>
        <v>FINANZASPOSADASPOSADAS</v>
      </c>
      <c r="B5481" t="s">
        <v>2821</v>
      </c>
      <c r="C5481" s="1">
        <f t="shared" si="187"/>
        <v>46014</v>
      </c>
      <c r="D5481" s="242" t="s">
        <v>23</v>
      </c>
      <c r="E5481" s="242" t="s">
        <v>163</v>
      </c>
      <c r="F5481" s="387" t="s">
        <v>163</v>
      </c>
      <c r="J5481" s="71" t="s">
        <v>3121</v>
      </c>
      <c r="L5481" s="433">
        <v>6450</v>
      </c>
      <c r="M5481" s="136">
        <f>M5480+K5481-L5481</f>
        <v>242532.72270333418</v>
      </c>
    </row>
    <row r="5482" spans="1:13">
      <c r="A5482" s="54" t="str">
        <f>D5482&amp;E5482&amp;F5482</f>
        <v>FINANZASHONORARIOSLEGAL</v>
      </c>
      <c r="B5482" t="s">
        <v>2821</v>
      </c>
      <c r="C5482" s="1">
        <f t="shared" si="187"/>
        <v>46014</v>
      </c>
      <c r="D5482" s="242" t="s">
        <v>23</v>
      </c>
      <c r="E5482" s="242" t="s">
        <v>124</v>
      </c>
      <c r="F5482" s="71" t="s">
        <v>126</v>
      </c>
      <c r="J5482" s="71" t="s">
        <v>3122</v>
      </c>
      <c r="L5482" s="433">
        <v>260000</v>
      </c>
      <c r="M5482" s="136">
        <f>M5481+K5482-L5482</f>
        <v>-17467.277296665823</v>
      </c>
    </row>
    <row r="5483" spans="1:13">
      <c r="A5483" s="54" t="str">
        <f>D5483&amp;E5483&amp;F5483</f>
        <v>SERVICIOSMTTO DE EDIFICIOMANTENIMIENTO</v>
      </c>
      <c r="B5483" t="s">
        <v>2821</v>
      </c>
      <c r="C5483" s="1">
        <f t="shared" si="187"/>
        <v>46014</v>
      </c>
      <c r="D5483" s="242" t="s">
        <v>21</v>
      </c>
      <c r="E5483" s="242" t="s">
        <v>142</v>
      </c>
      <c r="F5483" s="71" t="s">
        <v>35</v>
      </c>
      <c r="G5483" s="71" t="s">
        <v>258</v>
      </c>
      <c r="J5483" s="71" t="s">
        <v>3123</v>
      </c>
      <c r="L5483" s="433">
        <v>14771.84</v>
      </c>
      <c r="M5483" s="136">
        <f>M5482+K5483-L5483</f>
        <v>-32239.117296665823</v>
      </c>
    </row>
    <row r="5484" spans="1:13">
      <c r="A5484" s="54" t="str">
        <f>D5484&amp;E5484&amp;F5484</f>
        <v>HRFONDO Y REPOSICIONHR</v>
      </c>
      <c r="B5484" t="s">
        <v>2821</v>
      </c>
      <c r="C5484" s="1">
        <f t="shared" si="187"/>
        <v>46014</v>
      </c>
      <c r="D5484" s="242" t="s">
        <v>29</v>
      </c>
      <c r="E5484" s="242" t="s">
        <v>120</v>
      </c>
      <c r="F5484" s="71" t="s">
        <v>29</v>
      </c>
      <c r="J5484" s="71" t="s">
        <v>265</v>
      </c>
      <c r="L5484" s="433">
        <v>5000</v>
      </c>
      <c r="M5484" s="136">
        <f>M5483+K5484-L5484</f>
        <v>-37239.11729666582</v>
      </c>
    </row>
    <row r="5485" spans="1:13">
      <c r="A5485" s="54" t="str">
        <f>D5485&amp;E5485&amp;F5485</f>
        <v>HRFONDO Y REPOSICIONHR</v>
      </c>
      <c r="B5485" t="s">
        <v>2821</v>
      </c>
      <c r="C5485" s="1">
        <f t="shared" si="187"/>
        <v>46014</v>
      </c>
      <c r="D5485" s="242" t="s">
        <v>29</v>
      </c>
      <c r="E5485" s="242" t="s">
        <v>120</v>
      </c>
      <c r="F5485" s="71" t="s">
        <v>29</v>
      </c>
      <c r="J5485" s="71" t="s">
        <v>266</v>
      </c>
      <c r="L5485" s="433">
        <v>4000</v>
      </c>
      <c r="M5485" s="136">
        <f>M5484+K5485-L5485</f>
        <v>-41239.11729666582</v>
      </c>
    </row>
    <row r="5486" spans="1:13">
      <c r="A5486" s="54" t="str">
        <f>D5486&amp;E5486&amp;F5486</f>
        <v>CAPFONDO Y REPOSICIONCAPRICHOS</v>
      </c>
      <c r="B5486" t="s">
        <v>2821</v>
      </c>
      <c r="C5486" s="1">
        <f t="shared" si="187"/>
        <v>46014</v>
      </c>
      <c r="D5486" s="242" t="s">
        <v>31</v>
      </c>
      <c r="E5486" s="242" t="s">
        <v>120</v>
      </c>
      <c r="F5486" s="71" t="s">
        <v>33</v>
      </c>
      <c r="J5486" s="71" t="s">
        <v>1087</v>
      </c>
      <c r="L5486" s="433">
        <v>2325</v>
      </c>
      <c r="M5486" s="136">
        <f>M5485+K5486-L5486</f>
        <v>-43564.11729666582</v>
      </c>
    </row>
    <row r="5487" spans="1:13">
      <c r="A5487" s="54" t="str">
        <f>D5487&amp;E5487&amp;F5487</f>
        <v>CAPFONDO Y REPOSICIONCAPRICHOS</v>
      </c>
      <c r="B5487" t="s">
        <v>2821</v>
      </c>
      <c r="C5487" s="1">
        <f t="shared" si="187"/>
        <v>46014</v>
      </c>
      <c r="D5487" s="242" t="s">
        <v>31</v>
      </c>
      <c r="E5487" s="242" t="s">
        <v>120</v>
      </c>
      <c r="F5487" s="71" t="s">
        <v>33</v>
      </c>
      <c r="J5487" s="71" t="s">
        <v>3124</v>
      </c>
      <c r="L5487" s="433">
        <v>4765</v>
      </c>
      <c r="M5487" s="136">
        <f>M5486+K5487-L5487</f>
        <v>-48329.11729666582</v>
      </c>
    </row>
    <row r="5488" spans="1:13">
      <c r="A5488" s="54" t="str">
        <f>D5488&amp;E5488&amp;F5488</f>
        <v>ELIVIATICOSL1</v>
      </c>
      <c r="B5488" t="s">
        <v>2821</v>
      </c>
      <c r="C5488" s="1">
        <f t="shared" si="187"/>
        <v>46014</v>
      </c>
      <c r="D5488" s="242" t="s">
        <v>130</v>
      </c>
      <c r="E5488" s="242" t="s">
        <v>191</v>
      </c>
      <c r="F5488" s="71" t="s">
        <v>136</v>
      </c>
      <c r="J5488" s="71" t="s">
        <v>3125</v>
      </c>
      <c r="L5488" s="433">
        <v>1500</v>
      </c>
      <c r="M5488" s="136">
        <f>M5487+K5488-L5488</f>
        <v>-49829.11729666582</v>
      </c>
    </row>
    <row r="5489" spans="1:13">
      <c r="A5489" s="54" t="str">
        <f>D5489&amp;E5489&amp;F5489</f>
        <v>FINANZASRECOLECCION DE BASURAHR</v>
      </c>
      <c r="B5489" t="s">
        <v>2821</v>
      </c>
      <c r="C5489" s="1">
        <f t="shared" si="187"/>
        <v>46014</v>
      </c>
      <c r="D5489" s="242" t="s">
        <v>23</v>
      </c>
      <c r="E5489" s="242" t="s">
        <v>166</v>
      </c>
      <c r="F5489" s="71" t="s">
        <v>29</v>
      </c>
      <c r="J5489" s="71" t="s">
        <v>3126</v>
      </c>
      <c r="L5489" s="433">
        <v>3299.76</v>
      </c>
      <c r="M5489" s="136">
        <f>M5488+K5489-L5489</f>
        <v>-53128.877296665822</v>
      </c>
    </row>
    <row r="5490" spans="1:13">
      <c r="A5490" s="54" t="str">
        <f>D5490&amp;E5490&amp;F5490</f>
        <v>HRFONDO Y REPOSICIONHR</v>
      </c>
      <c r="B5490" t="s">
        <v>2821</v>
      </c>
      <c r="C5490" s="1">
        <f t="shared" si="187"/>
        <v>46014</v>
      </c>
      <c r="D5490" s="242" t="s">
        <v>29</v>
      </c>
      <c r="E5490" s="242" t="s">
        <v>120</v>
      </c>
      <c r="F5490" s="71" t="s">
        <v>29</v>
      </c>
      <c r="J5490" s="71" t="s">
        <v>1875</v>
      </c>
      <c r="L5490" s="433">
        <v>2399</v>
      </c>
      <c r="M5490" s="136">
        <f>M5489+K5490-L5490</f>
        <v>-55527.877296665822</v>
      </c>
    </row>
    <row r="5491" spans="1:13">
      <c r="A5491" s="54" t="str">
        <f>D5491&amp;E5491&amp;F5491</f>
        <v>HRIMAGEN VISUALIMAGEN VISUAL HR</v>
      </c>
      <c r="B5491" t="s">
        <v>2821</v>
      </c>
      <c r="C5491" s="1">
        <f t="shared" si="187"/>
        <v>46014</v>
      </c>
      <c r="D5491" s="242" t="s">
        <v>29</v>
      </c>
      <c r="E5491" s="242" t="s">
        <v>127</v>
      </c>
      <c r="F5491" s="71" t="s">
        <v>128</v>
      </c>
      <c r="J5491" s="71" t="s">
        <v>2881</v>
      </c>
      <c r="L5491" s="433">
        <v>15000</v>
      </c>
      <c r="M5491" s="136">
        <f>M5490+K5491-L5491</f>
        <v>-70527.877296665829</v>
      </c>
    </row>
    <row r="5492" spans="1:13">
      <c r="A5492" s="54" t="str">
        <f>D5492&amp;E5492&amp;F5492</f>
        <v>SERVICIOSMTTO DE EDIFICIOMANTENIMIENTO</v>
      </c>
      <c r="B5492" t="s">
        <v>2821</v>
      </c>
      <c r="C5492" s="1">
        <f t="shared" si="187"/>
        <v>46014</v>
      </c>
      <c r="D5492" s="242" t="s">
        <v>21</v>
      </c>
      <c r="E5492" s="242" t="s">
        <v>142</v>
      </c>
      <c r="F5492" s="71" t="s">
        <v>35</v>
      </c>
      <c r="G5492" s="71" t="s">
        <v>258</v>
      </c>
      <c r="J5492" s="71" t="s">
        <v>3127</v>
      </c>
      <c r="L5492" s="433">
        <v>4640</v>
      </c>
      <c r="M5492" s="136">
        <f>M5491+K5492-L5492</f>
        <v>-75167.877296665829</v>
      </c>
    </row>
    <row r="5493" spans="1:13">
      <c r="A5493" s="54" t="str">
        <f>D5493&amp;E5493&amp;F5493</f>
        <v>FINANZASVIATICOSFINANZAS</v>
      </c>
      <c r="B5493" t="s">
        <v>2821</v>
      </c>
      <c r="C5493" s="1">
        <f t="shared" si="187"/>
        <v>46014</v>
      </c>
      <c r="D5493" s="242" t="s">
        <v>23</v>
      </c>
      <c r="E5493" s="242" t="s">
        <v>191</v>
      </c>
      <c r="F5493" s="71" t="s">
        <v>23</v>
      </c>
      <c r="G5493" s="71" t="s">
        <v>258</v>
      </c>
      <c r="J5493" s="71" t="s">
        <v>2804</v>
      </c>
      <c r="L5493" s="433">
        <v>300</v>
      </c>
      <c r="M5493" s="136">
        <f>M5492+K5493-L5493</f>
        <v>-75467.877296665829</v>
      </c>
    </row>
    <row r="5494" spans="1:13">
      <c r="A5494" s="54" t="str">
        <f>D5494&amp;E5494&amp;F5494</f>
        <v>FINANZASCOMBUSTIBLEFINANZAS</v>
      </c>
      <c r="B5494" t="s">
        <v>2821</v>
      </c>
      <c r="C5494" s="1">
        <f t="shared" si="187"/>
        <v>46014</v>
      </c>
      <c r="D5494" s="242" t="s">
        <v>23</v>
      </c>
      <c r="E5494" s="242" t="s">
        <v>32</v>
      </c>
      <c r="F5494" s="71" t="s">
        <v>23</v>
      </c>
      <c r="J5494" s="71" t="s">
        <v>3128</v>
      </c>
      <c r="L5494" s="433">
        <v>500</v>
      </c>
      <c r="M5494" s="136">
        <f>M5493+K5494-L5494</f>
        <v>-75967.877296665829</v>
      </c>
    </row>
    <row r="5495" spans="1:13">
      <c r="A5495" s="54" t="str">
        <f>D5495&amp;E5495&amp;F5495</f>
        <v>FINANZASVIATICOSFINANZAS</v>
      </c>
      <c r="B5495" t="s">
        <v>2821</v>
      </c>
      <c r="C5495" s="1">
        <f t="shared" si="187"/>
        <v>46014</v>
      </c>
      <c r="D5495" s="242" t="s">
        <v>23</v>
      </c>
      <c r="E5495" s="242" t="s">
        <v>191</v>
      </c>
      <c r="F5495" s="71" t="s">
        <v>23</v>
      </c>
      <c r="G5495" s="71" t="s">
        <v>258</v>
      </c>
      <c r="J5495" s="71" t="s">
        <v>3091</v>
      </c>
      <c r="L5495" s="433">
        <v>865</v>
      </c>
      <c r="M5495" s="136">
        <f>M5494+K5495-L5495</f>
        <v>-76832.877296665829</v>
      </c>
    </row>
    <row r="5496" spans="1:13">
      <c r="A5496" s="54" t="str">
        <f>D5496&amp;E5496&amp;F5496</f>
        <v>SGEVIATICOSGESTION EMPRESARIAL</v>
      </c>
      <c r="B5496" t="s">
        <v>2821</v>
      </c>
      <c r="C5496" s="1">
        <f t="shared" si="187"/>
        <v>46014</v>
      </c>
      <c r="D5496" s="242" t="s">
        <v>39</v>
      </c>
      <c r="E5496" s="242" t="s">
        <v>191</v>
      </c>
      <c r="F5496" s="71" t="s">
        <v>40</v>
      </c>
      <c r="J5496" s="71" t="s">
        <v>2851</v>
      </c>
      <c r="L5496" s="433">
        <v>4200</v>
      </c>
      <c r="M5496" s="136">
        <f>M5495+K5496-L5496</f>
        <v>-81032.877296665829</v>
      </c>
    </row>
    <row r="5497" spans="1:13">
      <c r="A5497" s="54" t="str">
        <f>D5497&amp;E5497&amp;F5497</f>
        <v>SERVICIOSCOMBUSTIBLESERVICIOS</v>
      </c>
      <c r="B5497" t="s">
        <v>2821</v>
      </c>
      <c r="C5497" s="1">
        <f t="shared" si="187"/>
        <v>46014</v>
      </c>
      <c r="D5497" s="242" t="s">
        <v>21</v>
      </c>
      <c r="E5497" s="242" t="s">
        <v>32</v>
      </c>
      <c r="F5497" s="71" t="s">
        <v>21</v>
      </c>
      <c r="J5497" s="71" t="s">
        <v>3129</v>
      </c>
      <c r="L5497" s="433">
        <v>700</v>
      </c>
      <c r="M5497" s="136">
        <f>M5496+K5497-L5497</f>
        <v>-81732.877296665829</v>
      </c>
    </row>
    <row r="5498" spans="1:13">
      <c r="A5498" s="54" t="str">
        <f>D5498&amp;E5498&amp;F5498</f>
        <v>HRFONDO Y REPOSICIONHR</v>
      </c>
      <c r="B5498" t="s">
        <v>2821</v>
      </c>
      <c r="C5498" s="1">
        <f t="shared" si="187"/>
        <v>46014</v>
      </c>
      <c r="D5498" s="242" t="s">
        <v>29</v>
      </c>
      <c r="E5498" s="242" t="s">
        <v>120</v>
      </c>
      <c r="F5498" s="71" t="s">
        <v>29</v>
      </c>
      <c r="J5498" s="71" t="s">
        <v>553</v>
      </c>
      <c r="L5498" s="433">
        <v>3500</v>
      </c>
      <c r="M5498" s="136">
        <f>M5497+K5498-L5498</f>
        <v>-85232.877296665829</v>
      </c>
    </row>
    <row r="5499" spans="1:13">
      <c r="A5499" s="54" t="str">
        <f>D5499&amp;E5499&amp;F5499</f>
        <v>HRUBERHR</v>
      </c>
      <c r="B5499" t="s">
        <v>2821</v>
      </c>
      <c r="C5499" s="1">
        <f t="shared" si="187"/>
        <v>46014</v>
      </c>
      <c r="D5499" s="242" t="s">
        <v>29</v>
      </c>
      <c r="E5499" s="242" t="s">
        <v>189</v>
      </c>
      <c r="F5499" s="71" t="s">
        <v>29</v>
      </c>
      <c r="J5499" s="71" t="s">
        <v>2835</v>
      </c>
      <c r="L5499" s="523">
        <v>250</v>
      </c>
      <c r="M5499" s="136">
        <f>M5498+K5499-L5499</f>
        <v>-85482.877296665829</v>
      </c>
    </row>
    <row r="5500" spans="1:13">
      <c r="A5500" s="54" t="str">
        <f>D5500&amp;E5500&amp;F5500</f>
        <v>HRUBERHR</v>
      </c>
      <c r="B5500" t="s">
        <v>2821</v>
      </c>
      <c r="C5500" s="1">
        <f t="shared" si="187"/>
        <v>46014</v>
      </c>
      <c r="D5500" s="242" t="s">
        <v>29</v>
      </c>
      <c r="E5500" s="242" t="s">
        <v>189</v>
      </c>
      <c r="F5500" s="71" t="s">
        <v>29</v>
      </c>
      <c r="J5500" s="71" t="s">
        <v>2560</v>
      </c>
      <c r="L5500" s="523">
        <v>275</v>
      </c>
      <c r="M5500" s="136">
        <f>M5499+K5500-L5500</f>
        <v>-85757.877296665829</v>
      </c>
    </row>
    <row r="5501" spans="1:13">
      <c r="A5501" s="54" t="str">
        <f>D5501&amp;E5501&amp;F5501</f>
        <v>SERVICIOSMTTO DE EDIFICIOMANTENIMIENTO</v>
      </c>
      <c r="B5501" t="s">
        <v>2821</v>
      </c>
      <c r="C5501" s="1">
        <f t="shared" si="187"/>
        <v>46014</v>
      </c>
      <c r="D5501" s="242" t="s">
        <v>21</v>
      </c>
      <c r="E5501" s="242" t="s">
        <v>142</v>
      </c>
      <c r="F5501" s="71" t="s">
        <v>35</v>
      </c>
      <c r="G5501" s="71" t="s">
        <v>258</v>
      </c>
      <c r="J5501" s="71" t="s">
        <v>3130</v>
      </c>
      <c r="L5501" s="433">
        <v>50</v>
      </c>
      <c r="M5501" s="136">
        <f>M5500+K5501-L5501</f>
        <v>-85807.877296665829</v>
      </c>
    </row>
    <row r="5502" spans="1:13">
      <c r="A5502" s="54" t="str">
        <f>D5502&amp;E5502&amp;F5502</f>
        <v>HRNOMINA SUCURSALA2</v>
      </c>
      <c r="B5502" t="s">
        <v>2821</v>
      </c>
      <c r="C5502" s="1">
        <f t="shared" si="187"/>
        <v>46014</v>
      </c>
      <c r="D5502" s="242" t="s">
        <v>29</v>
      </c>
      <c r="E5502" s="242" t="s">
        <v>154</v>
      </c>
      <c r="F5502" s="71" t="s">
        <v>89</v>
      </c>
      <c r="J5502" s="71" t="s">
        <v>3131</v>
      </c>
      <c r="L5502" s="433">
        <v>350</v>
      </c>
      <c r="M5502" s="136">
        <f>M5501+K5502-L5502</f>
        <v>-86157.877296665829</v>
      </c>
    </row>
    <row r="5503" spans="1:13">
      <c r="A5503" s="54" t="str">
        <f>D5503&amp;E5503&amp;F5503</f>
        <v>HRUBERHR</v>
      </c>
      <c r="B5503" t="s">
        <v>2821</v>
      </c>
      <c r="C5503" s="1">
        <f t="shared" si="187"/>
        <v>46014</v>
      </c>
      <c r="D5503" s="242" t="s">
        <v>29</v>
      </c>
      <c r="E5503" s="242" t="s">
        <v>189</v>
      </c>
      <c r="F5503" s="71" t="s">
        <v>29</v>
      </c>
      <c r="J5503" s="71" t="s">
        <v>2364</v>
      </c>
      <c r="L5503" s="523">
        <v>320</v>
      </c>
      <c r="M5503" s="136">
        <f>M5502+K5503-L5503</f>
        <v>-86477.877296665829</v>
      </c>
    </row>
    <row r="5504" spans="1:13">
      <c r="A5504" s="54" t="str">
        <f>D5504&amp;E5504&amp;F5504</f>
        <v>HRFONDO Y REPOSICIONHR</v>
      </c>
      <c r="B5504" t="s">
        <v>2821</v>
      </c>
      <c r="C5504" s="1">
        <f t="shared" si="187"/>
        <v>46014</v>
      </c>
      <c r="D5504" s="242" t="s">
        <v>29</v>
      </c>
      <c r="E5504" s="242" t="s">
        <v>120</v>
      </c>
      <c r="F5504" s="71" t="s">
        <v>29</v>
      </c>
      <c r="J5504" s="71" t="s">
        <v>3100</v>
      </c>
      <c r="L5504" s="433">
        <v>360</v>
      </c>
      <c r="M5504" s="136">
        <f>M5503+K5504-L5504</f>
        <v>-86837.877296665829</v>
      </c>
    </row>
    <row r="5505" spans="1:13">
      <c r="A5505" s="54" t="str">
        <f>D5505&amp;E5505&amp;F5505</f>
        <v>HRVACACIONES/FINIQUITOSHR</v>
      </c>
      <c r="B5505" t="s">
        <v>2821</v>
      </c>
      <c r="C5505" s="1">
        <f t="shared" si="187"/>
        <v>46014</v>
      </c>
      <c r="D5505" s="242" t="s">
        <v>29</v>
      </c>
      <c r="E5505" s="242" t="s">
        <v>190</v>
      </c>
      <c r="F5505" s="71" t="s">
        <v>29</v>
      </c>
      <c r="J5505" s="71" t="s">
        <v>3132</v>
      </c>
      <c r="L5505" s="433">
        <v>13245</v>
      </c>
      <c r="M5505" s="136">
        <f>M5504+K5505-L5505</f>
        <v>-100082.87729666583</v>
      </c>
    </row>
    <row r="5506" spans="1:13">
      <c r="A5506" s="54" t="str">
        <f>D5506&amp;E5506&amp;F5506</f>
        <v>HRUBERHR</v>
      </c>
      <c r="B5506" t="s">
        <v>2821</v>
      </c>
      <c r="C5506" s="1">
        <f t="shared" si="187"/>
        <v>46014</v>
      </c>
      <c r="D5506" s="242" t="s">
        <v>29</v>
      </c>
      <c r="E5506" s="242" t="s">
        <v>189</v>
      </c>
      <c r="F5506" s="71" t="s">
        <v>29</v>
      </c>
      <c r="J5506" s="71" t="s">
        <v>3067</v>
      </c>
      <c r="L5506" s="523">
        <v>385</v>
      </c>
      <c r="M5506" s="136">
        <f>M5505+K5506-L5506</f>
        <v>-100467.87729666583</v>
      </c>
    </row>
    <row r="5507" spans="1:13">
      <c r="A5507" s="54" t="str">
        <f>D5507&amp;E5507&amp;F5507</f>
        <v>HRNOMINA SUCURSALA6</v>
      </c>
      <c r="B5507" t="s">
        <v>2821</v>
      </c>
      <c r="C5507" s="1">
        <f t="shared" si="187"/>
        <v>46014</v>
      </c>
      <c r="D5507" s="242" t="s">
        <v>29</v>
      </c>
      <c r="E5507" s="242" t="s">
        <v>154</v>
      </c>
      <c r="F5507" s="71" t="s">
        <v>93</v>
      </c>
      <c r="J5507" s="71" t="s">
        <v>3102</v>
      </c>
      <c r="L5507" s="433">
        <v>2040</v>
      </c>
      <c r="M5507" s="136">
        <f>M5506+K5507-L5507</f>
        <v>-102507.87729666583</v>
      </c>
    </row>
    <row r="5508" spans="1:13">
      <c r="A5508" s="54" t="str">
        <f>D5508&amp;E5508&amp;F5508</f>
        <v>HRUBERHR</v>
      </c>
      <c r="B5508" t="s">
        <v>2821</v>
      </c>
      <c r="C5508" s="1">
        <f t="shared" si="187"/>
        <v>46014</v>
      </c>
      <c r="D5508" s="242" t="s">
        <v>29</v>
      </c>
      <c r="E5508" s="242" t="s">
        <v>189</v>
      </c>
      <c r="F5508" s="71" t="s">
        <v>29</v>
      </c>
      <c r="J5508" s="71" t="s">
        <v>2975</v>
      </c>
      <c r="L5508" s="523">
        <v>100</v>
      </c>
      <c r="M5508" s="136">
        <f>M5507+K5508-L5508</f>
        <v>-102607.87729666583</v>
      </c>
    </row>
    <row r="5509" spans="1:13">
      <c r="A5509" s="54" t="str">
        <f>D5509&amp;E5509&amp;F5509</f>
        <v>HRUBERHR</v>
      </c>
      <c r="B5509" t="s">
        <v>2821</v>
      </c>
      <c r="C5509" s="1">
        <f t="shared" si="187"/>
        <v>46014</v>
      </c>
      <c r="D5509" s="242" t="s">
        <v>29</v>
      </c>
      <c r="E5509" s="242" t="s">
        <v>189</v>
      </c>
      <c r="F5509" s="71" t="s">
        <v>29</v>
      </c>
      <c r="J5509" s="71" t="s">
        <v>3076</v>
      </c>
      <c r="L5509" s="523">
        <v>1210</v>
      </c>
      <c r="M5509" s="136">
        <f>M5508+K5509-L5509</f>
        <v>-103817.87729666583</v>
      </c>
    </row>
    <row r="5510" spans="1:13">
      <c r="A5510" s="54" t="str">
        <f>D5510&amp;E5510&amp;F5510</f>
        <v>HRINSUMOSHR</v>
      </c>
      <c r="B5510" t="s">
        <v>2821</v>
      </c>
      <c r="C5510" s="1">
        <f t="shared" si="187"/>
        <v>46014</v>
      </c>
      <c r="D5510" s="242" t="s">
        <v>29</v>
      </c>
      <c r="E5510" s="242" t="s">
        <v>133</v>
      </c>
      <c r="F5510" s="71" t="s">
        <v>29</v>
      </c>
      <c r="J5510" s="71" t="s">
        <v>2618</v>
      </c>
      <c r="L5510" s="433">
        <v>650</v>
      </c>
      <c r="M5510" s="136">
        <f>M5509+K5510-L5510</f>
        <v>-104467.87729666583</v>
      </c>
    </row>
    <row r="5511" spans="1:13">
      <c r="A5511" s="54" t="str">
        <f>D5511&amp;E5511&amp;F5511</f>
        <v>HRUBERHR</v>
      </c>
      <c r="B5511" t="s">
        <v>2821</v>
      </c>
      <c r="C5511" s="1">
        <f t="shared" si="187"/>
        <v>46014</v>
      </c>
      <c r="D5511" s="242" t="s">
        <v>29</v>
      </c>
      <c r="E5511" s="242" t="s">
        <v>189</v>
      </c>
      <c r="F5511" s="71" t="s">
        <v>29</v>
      </c>
      <c r="J5511" s="71" t="s">
        <v>2767</v>
      </c>
      <c r="L5511" s="523">
        <v>950</v>
      </c>
      <c r="M5511" s="136">
        <f>M5510+K5511-L5511</f>
        <v>-105417.87729666583</v>
      </c>
    </row>
    <row r="5512" spans="1:13">
      <c r="A5512" s="54" t="str">
        <f>D5512&amp;E5512&amp;F5512</f>
        <v>HRUBERHR</v>
      </c>
      <c r="B5512" t="s">
        <v>2821</v>
      </c>
      <c r="C5512" s="1">
        <f t="shared" si="187"/>
        <v>46014</v>
      </c>
      <c r="D5512" s="242" t="s">
        <v>29</v>
      </c>
      <c r="E5512" s="242" t="s">
        <v>189</v>
      </c>
      <c r="F5512" s="71" t="s">
        <v>29</v>
      </c>
      <c r="J5512" s="71" t="s">
        <v>2453</v>
      </c>
      <c r="L5512" s="523">
        <v>100</v>
      </c>
      <c r="M5512" s="136">
        <f>M5511+K5512-L5512</f>
        <v>-105517.87729666583</v>
      </c>
    </row>
    <row r="5513" spans="1:13">
      <c r="A5513" s="54" t="str">
        <f>D5513&amp;E5513&amp;F5513</f>
        <v>HRUBERHR</v>
      </c>
      <c r="B5513" t="s">
        <v>2821</v>
      </c>
      <c r="C5513" s="1">
        <f t="shared" si="187"/>
        <v>46014</v>
      </c>
      <c r="D5513" s="242" t="s">
        <v>29</v>
      </c>
      <c r="E5513" s="242" t="s">
        <v>189</v>
      </c>
      <c r="F5513" s="71" t="s">
        <v>29</v>
      </c>
      <c r="J5513" s="71" t="s">
        <v>2453</v>
      </c>
      <c r="L5513" s="523">
        <v>829</v>
      </c>
      <c r="M5513" s="136">
        <f>M5512+K5513-L5513</f>
        <v>-106346.87729666583</v>
      </c>
    </row>
    <row r="5514" spans="1:13">
      <c r="A5514" s="54" t="str">
        <f>D5514&amp;E5514&amp;F5514</f>
        <v>HRINSUMOSHR</v>
      </c>
      <c r="B5514" t="s">
        <v>2821</v>
      </c>
      <c r="C5514" s="1">
        <f t="shared" si="187"/>
        <v>46014</v>
      </c>
      <c r="D5514" s="242" t="s">
        <v>29</v>
      </c>
      <c r="E5514" s="242" t="s">
        <v>133</v>
      </c>
      <c r="F5514" s="71" t="s">
        <v>29</v>
      </c>
      <c r="J5514" s="71" t="s">
        <v>3104</v>
      </c>
      <c r="L5514" s="433">
        <v>470</v>
      </c>
      <c r="M5514" s="136">
        <f>M5513+K5514-L5514</f>
        <v>-106816.87729666583</v>
      </c>
    </row>
    <row r="5515" spans="1:13">
      <c r="A5515" s="54" t="str">
        <f>D5515&amp;E5515&amp;F5515</f>
        <v>HRFONDO Y REPOSICIONHR</v>
      </c>
      <c r="B5515" t="s">
        <v>2821</v>
      </c>
      <c r="C5515" s="1">
        <f t="shared" si="187"/>
        <v>46014</v>
      </c>
      <c r="D5515" s="242" t="s">
        <v>29</v>
      </c>
      <c r="E5515" s="242" t="s">
        <v>120</v>
      </c>
      <c r="F5515" s="71" t="s">
        <v>29</v>
      </c>
      <c r="J5515" s="71" t="s">
        <v>3133</v>
      </c>
      <c r="L5515" s="433">
        <v>737</v>
      </c>
      <c r="M5515" s="136">
        <f>M5514+K5515-L5515</f>
        <v>-107553.87729666583</v>
      </c>
    </row>
    <row r="5516" spans="1:13">
      <c r="A5516" s="54" t="str">
        <f>D5516&amp;E5516&amp;F5516</f>
        <v>HRUBERHR</v>
      </c>
      <c r="B5516" t="s">
        <v>2821</v>
      </c>
      <c r="C5516" s="1">
        <f t="shared" si="187"/>
        <v>46014</v>
      </c>
      <c r="D5516" s="242" t="s">
        <v>29</v>
      </c>
      <c r="E5516" s="242" t="s">
        <v>189</v>
      </c>
      <c r="F5516" s="71" t="s">
        <v>29</v>
      </c>
      <c r="J5516" s="71" t="s">
        <v>2562</v>
      </c>
      <c r="L5516" s="523">
        <v>880</v>
      </c>
      <c r="M5516" s="136">
        <f>M5515+K5516-L5516</f>
        <v>-108433.87729666583</v>
      </c>
    </row>
    <row r="5517" spans="1:13">
      <c r="A5517" s="54" t="str">
        <f>D5517&amp;E5517&amp;F5517</f>
        <v>HRJMASA16</v>
      </c>
      <c r="B5517" t="s">
        <v>2821</v>
      </c>
      <c r="C5517" s="1">
        <f t="shared" si="187"/>
        <v>46014</v>
      </c>
      <c r="D5517" s="242" t="s">
        <v>29</v>
      </c>
      <c r="E5517" s="242" t="s">
        <v>137</v>
      </c>
      <c r="F5517" s="71" t="s">
        <v>101</v>
      </c>
      <c r="J5517" s="71" t="s">
        <v>3134</v>
      </c>
      <c r="L5517" s="433">
        <v>1601</v>
      </c>
      <c r="M5517" s="136">
        <f>M5516+K5517-L5517</f>
        <v>-110034.87729666583</v>
      </c>
    </row>
    <row r="5518" spans="1:13">
      <c r="A5518" s="54" t="str">
        <f>D5518&amp;E5518&amp;F5518</f>
        <v>HRUBERHR</v>
      </c>
      <c r="B5518" t="s">
        <v>2821</v>
      </c>
      <c r="C5518" s="1">
        <f t="shared" si="187"/>
        <v>46014</v>
      </c>
      <c r="D5518" s="242" t="s">
        <v>29</v>
      </c>
      <c r="E5518" s="242" t="s">
        <v>189</v>
      </c>
      <c r="F5518" s="71" t="s">
        <v>29</v>
      </c>
      <c r="J5518" s="71" t="s">
        <v>2366</v>
      </c>
      <c r="L5518" s="523">
        <v>750</v>
      </c>
      <c r="M5518" s="136">
        <f>M5517+K5518-L5518</f>
        <v>-110784.87729666583</v>
      </c>
    </row>
    <row r="5519" spans="1:13">
      <c r="A5519" s="54" t="str">
        <f>D5519&amp;E5519&amp;F5519</f>
        <v>HRUBERHR</v>
      </c>
      <c r="B5519" t="s">
        <v>2821</v>
      </c>
      <c r="C5519" s="1">
        <f t="shared" si="187"/>
        <v>46014</v>
      </c>
      <c r="D5519" s="242" t="s">
        <v>29</v>
      </c>
      <c r="E5519" s="242" t="s">
        <v>189</v>
      </c>
      <c r="F5519" s="71" t="s">
        <v>29</v>
      </c>
      <c r="J5519" s="71" t="s">
        <v>2840</v>
      </c>
      <c r="L5519" s="523">
        <v>244</v>
      </c>
      <c r="M5519" s="136">
        <f>M5518+K5519-L5519</f>
        <v>-111028.87729666583</v>
      </c>
    </row>
    <row r="5520" spans="1:13">
      <c r="A5520" s="54" t="str">
        <f>D5520&amp;E5520&amp;F5520</f>
        <v>CAPNOMINA SUCURSALE1</v>
      </c>
      <c r="B5520" t="s">
        <v>2821</v>
      </c>
      <c r="C5520" s="1">
        <f t="shared" si="187"/>
        <v>46014</v>
      </c>
      <c r="D5520" s="242" t="s">
        <v>31</v>
      </c>
      <c r="E5520" s="242" t="s">
        <v>154</v>
      </c>
      <c r="F5520" s="71" t="s">
        <v>107</v>
      </c>
      <c r="J5520" s="71" t="s">
        <v>3135</v>
      </c>
      <c r="L5520" s="433">
        <v>385</v>
      </c>
      <c r="M5520" s="136">
        <f>M5519+K5520-L5520</f>
        <v>-111413.87729666583</v>
      </c>
    </row>
    <row r="5521" spans="1:13">
      <c r="A5521" s="54" t="str">
        <f>D5521&amp;E5521&amp;F5521</f>
        <v>CAPUBERCAP</v>
      </c>
      <c r="B5521" t="s">
        <v>2821</v>
      </c>
      <c r="C5521" s="1">
        <f t="shared" si="187"/>
        <v>46014</v>
      </c>
      <c r="D5521" s="242" t="s">
        <v>31</v>
      </c>
      <c r="E5521" s="242" t="s">
        <v>189</v>
      </c>
      <c r="F5521" s="71" t="s">
        <v>31</v>
      </c>
      <c r="J5521" s="71" t="s">
        <v>3041</v>
      </c>
      <c r="L5521" s="523">
        <v>210</v>
      </c>
      <c r="M5521" s="136">
        <f>M5520+K5521-L5521</f>
        <v>-111623.87729666583</v>
      </c>
    </row>
    <row r="5522" spans="1:13">
      <c r="A5522" s="54" t="str">
        <f>D5522&amp;E5522&amp;F5522</f>
        <v>CAPUBERCAP</v>
      </c>
      <c r="B5522" t="s">
        <v>2821</v>
      </c>
      <c r="C5522" s="1">
        <f t="shared" si="187"/>
        <v>46014</v>
      </c>
      <c r="D5522" s="242" t="s">
        <v>31</v>
      </c>
      <c r="E5522" s="242" t="s">
        <v>189</v>
      </c>
      <c r="F5522" s="71" t="s">
        <v>31</v>
      </c>
      <c r="J5522" s="71" t="s">
        <v>2267</v>
      </c>
      <c r="L5522" s="523">
        <v>112</v>
      </c>
      <c r="M5522" s="136">
        <f>M5521+K5522-L5522</f>
        <v>-111735.87729666583</v>
      </c>
    </row>
    <row r="5523" spans="1:13">
      <c r="A5523" s="54" t="str">
        <f>D5523&amp;E5523&amp;F5523</f>
        <v>CAPNOMINA SUCURSALE2</v>
      </c>
      <c r="B5523" t="s">
        <v>2821</v>
      </c>
      <c r="C5523" s="1">
        <f t="shared" si="187"/>
        <v>46014</v>
      </c>
      <c r="D5523" s="242" t="s">
        <v>31</v>
      </c>
      <c r="E5523" s="242" t="s">
        <v>154</v>
      </c>
      <c r="F5523" s="71" t="s">
        <v>108</v>
      </c>
      <c r="J5523" s="71" t="s">
        <v>3136</v>
      </c>
      <c r="L5523" s="433">
        <v>550</v>
      </c>
      <c r="M5523" s="136">
        <f>M5522+K5523-L5523</f>
        <v>-112285.87729666583</v>
      </c>
    </row>
    <row r="5524" spans="1:13">
      <c r="A5524" s="54" t="str">
        <f>D5524&amp;E5524&amp;F5524</f>
        <v>CAPUBERCAP</v>
      </c>
      <c r="B5524" t="s">
        <v>2821</v>
      </c>
      <c r="C5524" s="1">
        <f t="shared" si="187"/>
        <v>46014</v>
      </c>
      <c r="D5524" s="242" t="s">
        <v>31</v>
      </c>
      <c r="E5524" s="242" t="s">
        <v>189</v>
      </c>
      <c r="F5524" s="71" t="s">
        <v>31</v>
      </c>
      <c r="J5524" s="71" t="s">
        <v>2537</v>
      </c>
      <c r="L5524" s="523">
        <v>400</v>
      </c>
      <c r="M5524" s="136">
        <f>M5523+K5524-L5524</f>
        <v>-112685.87729666583</v>
      </c>
    </row>
    <row r="5525" spans="1:13">
      <c r="A5525" s="54" t="str">
        <f>D5525&amp;E5525&amp;F5525</f>
        <v>CAPUBERCAP</v>
      </c>
      <c r="B5525" t="s">
        <v>2821</v>
      </c>
      <c r="C5525" s="1">
        <f t="shared" si="187"/>
        <v>46014</v>
      </c>
      <c r="D5525" s="242" t="s">
        <v>31</v>
      </c>
      <c r="E5525" s="242" t="s">
        <v>189</v>
      </c>
      <c r="F5525" s="71" t="s">
        <v>31</v>
      </c>
      <c r="J5525" s="71" t="s">
        <v>2268</v>
      </c>
      <c r="L5525" s="523">
        <v>150</v>
      </c>
      <c r="M5525" s="136">
        <f>M5524+K5525-L5525</f>
        <v>-112835.87729666583</v>
      </c>
    </row>
    <row r="5526" spans="1:13">
      <c r="A5526" s="54" t="str">
        <f>D5526&amp;E5526&amp;F5526</f>
        <v>CAPUBERCAP</v>
      </c>
      <c r="B5526" t="s">
        <v>2821</v>
      </c>
      <c r="C5526" s="1">
        <f t="shared" si="187"/>
        <v>46014</v>
      </c>
      <c r="D5526" s="242" t="s">
        <v>31</v>
      </c>
      <c r="E5526" s="242" t="s">
        <v>189</v>
      </c>
      <c r="F5526" s="71" t="s">
        <v>31</v>
      </c>
      <c r="J5526" s="71" t="s">
        <v>2842</v>
      </c>
      <c r="L5526" s="523">
        <v>734</v>
      </c>
      <c r="M5526" s="136">
        <f>M5525+K5526-L5526</f>
        <v>-113569.87729666583</v>
      </c>
    </row>
    <row r="5527" spans="1:13">
      <c r="A5527" s="54" t="str">
        <f>D5527&amp;E5527&amp;F5527</f>
        <v>CAPUBERCAP</v>
      </c>
      <c r="B5527" t="s">
        <v>2821</v>
      </c>
      <c r="C5527" s="1">
        <f t="shared" si="187"/>
        <v>46014</v>
      </c>
      <c r="D5527" s="242" t="s">
        <v>31</v>
      </c>
      <c r="E5527" s="242" t="s">
        <v>189</v>
      </c>
      <c r="F5527" s="71" t="s">
        <v>31</v>
      </c>
      <c r="J5527" s="71" t="s">
        <v>3118</v>
      </c>
      <c r="L5527" s="523">
        <v>797</v>
      </c>
      <c r="M5527" s="136">
        <f>M5526+K5527-L5527</f>
        <v>-114366.87729666583</v>
      </c>
    </row>
    <row r="5528" spans="1:13">
      <c r="A5528" s="54" t="str">
        <f>D5528&amp;E5528&amp;F5528</f>
        <v>ELIUBERL1</v>
      </c>
      <c r="B5528" t="s">
        <v>2821</v>
      </c>
      <c r="C5528" s="1">
        <f t="shared" si="187"/>
        <v>46014</v>
      </c>
      <c r="D5528" s="242" t="s">
        <v>130</v>
      </c>
      <c r="E5528" s="242" t="s">
        <v>189</v>
      </c>
      <c r="F5528" s="71" t="s">
        <v>136</v>
      </c>
      <c r="G5528" s="71" t="s">
        <v>258</v>
      </c>
      <c r="J5528" s="71" t="s">
        <v>2930</v>
      </c>
      <c r="L5528" s="523">
        <v>413</v>
      </c>
      <c r="M5528" s="136">
        <f>M5527+K5528-L5528</f>
        <v>-114779.87729666583</v>
      </c>
    </row>
    <row r="5529" spans="1:13">
      <c r="A5529" s="54" t="str">
        <f t="shared" ref="A5526:A5569" si="188">D5529&amp;E5529&amp;F5529</f>
        <v/>
      </c>
      <c r="B5529" t="s">
        <v>2821</v>
      </c>
      <c r="C5529" s="1">
        <f t="shared" si="187"/>
        <v>46014</v>
      </c>
      <c r="E5529" s="242"/>
      <c r="J5529" s="71" t="s">
        <v>2045</v>
      </c>
      <c r="K5529" s="325">
        <v>1334823.8</v>
      </c>
      <c r="L5529" s="432"/>
      <c r="M5529" s="136">
        <f>M5528+K5529-L5529</f>
        <v>1220043.9227033341</v>
      </c>
    </row>
    <row r="5530" spans="1:13">
      <c r="A5530" s="54" t="str">
        <f>D5530&amp;E5530&amp;F5530</f>
        <v>FINANZASCOMISIONES BANCARIASTPV</v>
      </c>
      <c r="B5530" s="502" t="s">
        <v>2821</v>
      </c>
      <c r="C5530" s="503">
        <v>46015</v>
      </c>
      <c r="D5530" s="242" t="s">
        <v>23</v>
      </c>
      <c r="E5530" s="242" t="s">
        <v>48</v>
      </c>
      <c r="F5530" s="71" t="s">
        <v>50</v>
      </c>
      <c r="J5530" s="71" t="s">
        <v>217</v>
      </c>
      <c r="L5530" s="433">
        <f>1486.66+454.04+15150.94+5283.57+1994.46+890.74+2629.08</f>
        <v>27889.489999999998</v>
      </c>
      <c r="M5530" s="136">
        <f>M5529+K5530-L5530</f>
        <v>1192154.4327033341</v>
      </c>
    </row>
    <row r="5531" spans="1:13">
      <c r="A5531" s="54" t="str">
        <f t="shared" si="188"/>
        <v/>
      </c>
      <c r="B5531" t="s">
        <v>2821</v>
      </c>
      <c r="C5531" s="1">
        <v>46015</v>
      </c>
      <c r="J5531" s="205" t="s">
        <v>1562</v>
      </c>
      <c r="K5531" s="205"/>
      <c r="L5531" s="428">
        <v>1000000</v>
      </c>
      <c r="M5531" s="136">
        <f>M5530+K5531-L5531</f>
        <v>192154.43270333414</v>
      </c>
    </row>
    <row r="5532" spans="1:13">
      <c r="A5532" s="54" t="str">
        <f t="shared" si="188"/>
        <v/>
      </c>
      <c r="B5532" t="s">
        <v>2821</v>
      </c>
      <c r="C5532" s="1">
        <v>46015</v>
      </c>
      <c r="J5532" s="205" t="s">
        <v>222</v>
      </c>
      <c r="K5532" s="205"/>
      <c r="L5532" s="205"/>
      <c r="M5532" s="136">
        <f>M5531+K5532-L5532</f>
        <v>192154.43270333414</v>
      </c>
    </row>
    <row r="5533" spans="1:13">
      <c r="A5533" s="54" t="str">
        <f>D5533&amp;E5533&amp;F5533</f>
        <v>FINANZASHONORARIOSLEGAL</v>
      </c>
      <c r="B5533" t="s">
        <v>2821</v>
      </c>
      <c r="C5533" s="1">
        <v>46015</v>
      </c>
      <c r="D5533" s="242" t="s">
        <v>23</v>
      </c>
      <c r="E5533" s="71" t="s">
        <v>124</v>
      </c>
      <c r="F5533" s="71" t="s">
        <v>126</v>
      </c>
      <c r="J5533" s="71" t="s">
        <v>3137</v>
      </c>
      <c r="L5533" s="208">
        <v>100000</v>
      </c>
      <c r="M5533" s="136">
        <f>M5532+K5533-L5533</f>
        <v>92154.43270333414</v>
      </c>
    </row>
    <row r="5534" spans="1:13">
      <c r="A5534" s="54" t="str">
        <f>D5534&amp;E5534&amp;F5534</f>
        <v>FINANZASRENTASE8</v>
      </c>
      <c r="B5534" t="s">
        <v>2821</v>
      </c>
      <c r="C5534" s="1">
        <v>46015</v>
      </c>
      <c r="D5534" s="242" t="s">
        <v>23</v>
      </c>
      <c r="E5534" s="71" t="s">
        <v>169</v>
      </c>
      <c r="F5534" s="71" t="s">
        <v>114</v>
      </c>
      <c r="J5534" s="71" t="s">
        <v>3138</v>
      </c>
      <c r="L5534" s="433">
        <v>13150.49</v>
      </c>
      <c r="M5534" s="136">
        <f>M5533+K5534-L5534</f>
        <v>79003.942703334134</v>
      </c>
    </row>
    <row r="5535" spans="1:13">
      <c r="A5535" s="54" t="str">
        <f>D5535&amp;E5535&amp;F5535</f>
        <v>FINANZASPOSADASPOSADAS</v>
      </c>
      <c r="B5535" t="s">
        <v>2821</v>
      </c>
      <c r="C5535" s="1">
        <v>46015</v>
      </c>
      <c r="D5535" s="242" t="s">
        <v>23</v>
      </c>
      <c r="E5535" s="71" t="s">
        <v>163</v>
      </c>
      <c r="F5535" s="71" t="s">
        <v>163</v>
      </c>
      <c r="J5535" s="71" t="s">
        <v>3139</v>
      </c>
      <c r="L5535" s="433">
        <v>2000</v>
      </c>
      <c r="M5535" s="136">
        <f>M5534+K5535-L5535</f>
        <v>77003.942703334134</v>
      </c>
    </row>
    <row r="5536" spans="1:13">
      <c r="A5536" s="54" t="str">
        <f>D5536&amp;E5536&amp;F5536</f>
        <v>FINANZASCOMBUSTIBLEFINANZAS</v>
      </c>
      <c r="B5536" t="s">
        <v>2821</v>
      </c>
      <c r="C5536" s="1">
        <v>46015</v>
      </c>
      <c r="D5536" s="242" t="s">
        <v>23</v>
      </c>
      <c r="E5536" s="71" t="s">
        <v>32</v>
      </c>
      <c r="F5536" s="71" t="s">
        <v>23</v>
      </c>
      <c r="J5536" s="71" t="s">
        <v>3140</v>
      </c>
      <c r="L5536" s="433">
        <v>200</v>
      </c>
      <c r="M5536" s="136">
        <f>M5535+K5536-L5536</f>
        <v>76803.942703334134</v>
      </c>
    </row>
    <row r="5537" spans="1:13">
      <c r="A5537" s="54" t="str">
        <f>D5537&amp;E5537&amp;F5537</f>
        <v>FINANZASVIATICOSFINANZAS</v>
      </c>
      <c r="B5537" t="s">
        <v>2821</v>
      </c>
      <c r="C5537" s="1">
        <v>46015</v>
      </c>
      <c r="D5537" s="242" t="s">
        <v>23</v>
      </c>
      <c r="E5537" s="71" t="s">
        <v>191</v>
      </c>
      <c r="F5537" s="71" t="s">
        <v>23</v>
      </c>
      <c r="G5537" s="71" t="s">
        <v>258</v>
      </c>
      <c r="J5537" s="71" t="s">
        <v>2804</v>
      </c>
      <c r="L5537" s="433">
        <v>300</v>
      </c>
      <c r="M5537" s="136">
        <f>M5536+K5537-L5537</f>
        <v>76503.942703334134</v>
      </c>
    </row>
    <row r="5538" spans="1:13">
      <c r="A5538" s="54" t="str">
        <f>D5538&amp;E5538&amp;F5538</f>
        <v>CAPENERGIA ELECTRICAE11</v>
      </c>
      <c r="B5538" t="s">
        <v>2821</v>
      </c>
      <c r="C5538" s="1">
        <v>46015</v>
      </c>
      <c r="D5538" s="242" t="s">
        <v>31</v>
      </c>
      <c r="E5538" s="71" t="s">
        <v>87</v>
      </c>
      <c r="F5538" s="71" t="s">
        <v>118</v>
      </c>
      <c r="J5538" s="71" t="s">
        <v>3141</v>
      </c>
      <c r="L5538" s="433">
        <v>1987</v>
      </c>
      <c r="M5538" s="136">
        <f>M5537+K5538-L5538</f>
        <v>74516.942703334134</v>
      </c>
    </row>
    <row r="5539" spans="1:13">
      <c r="A5539" s="54" t="str">
        <f>D5539&amp;E5539&amp;F5539</f>
        <v>DEGDNCGDNC</v>
      </c>
      <c r="B5539" t="s">
        <v>2821</v>
      </c>
      <c r="C5539" s="1">
        <v>46015</v>
      </c>
      <c r="D5539" s="242" t="s">
        <v>41</v>
      </c>
      <c r="E5539" s="71" t="s">
        <v>123</v>
      </c>
      <c r="F5539" s="71" t="s">
        <v>123</v>
      </c>
      <c r="J5539" s="71" t="s">
        <v>2195</v>
      </c>
      <c r="L5539" s="433">
        <v>60000</v>
      </c>
      <c r="M5539" s="136">
        <f>M5538+K5539-L5539</f>
        <v>14516.942703334134</v>
      </c>
    </row>
    <row r="5540" spans="1:13">
      <c r="A5540" s="54" t="str">
        <f>D5540&amp;E5540&amp;F5540</f>
        <v>SERVICIOSMTTO DE EDIFICIOMANTENIMIENTO</v>
      </c>
      <c r="B5540" t="s">
        <v>2821</v>
      </c>
      <c r="C5540" s="1">
        <v>46015</v>
      </c>
      <c r="D5540" s="242" t="s">
        <v>21</v>
      </c>
      <c r="E5540" s="71" t="s">
        <v>142</v>
      </c>
      <c r="F5540" s="71" t="s">
        <v>35</v>
      </c>
      <c r="G5540" s="71" t="s">
        <v>258</v>
      </c>
      <c r="J5540" s="71" t="s">
        <v>3142</v>
      </c>
      <c r="L5540" s="433">
        <v>156</v>
      </c>
      <c r="M5540" s="136">
        <f>M5539+K5540-L5540</f>
        <v>14360.942703334134</v>
      </c>
    </row>
    <row r="5541" spans="1:13">
      <c r="A5541" s="54" t="str">
        <f>D5541&amp;E5541&amp;F5541</f>
        <v>FINANZASCUOTAS Y SUSCRIPCIONESKOLBEE</v>
      </c>
      <c r="B5541" t="s">
        <v>2821</v>
      </c>
      <c r="C5541" s="1">
        <v>46015</v>
      </c>
      <c r="D5541" s="242" t="s">
        <v>23</v>
      </c>
      <c r="E5541" s="71" t="s">
        <v>51</v>
      </c>
      <c r="F5541" s="71" t="s">
        <v>69</v>
      </c>
      <c r="G5541" s="71" t="s">
        <v>258</v>
      </c>
      <c r="J5541" s="71" t="s">
        <v>3143</v>
      </c>
      <c r="L5541" s="433">
        <v>1050</v>
      </c>
      <c r="M5541" s="136">
        <f>M5540+K5541-L5541</f>
        <v>13310.942703334134</v>
      </c>
    </row>
    <row r="5542" spans="1:13">
      <c r="A5542" s="54" t="str">
        <f>D5542&amp;E5542&amp;F5542</f>
        <v>SERVICIOSMTTO DE EDIFICIOMANTENIMIENTO</v>
      </c>
      <c r="B5542" t="s">
        <v>2821</v>
      </c>
      <c r="C5542" s="1">
        <v>46015</v>
      </c>
      <c r="D5542" s="242" t="s">
        <v>21</v>
      </c>
      <c r="E5542" s="71" t="s">
        <v>142</v>
      </c>
      <c r="F5542" s="71" t="s">
        <v>35</v>
      </c>
      <c r="G5542" s="71" t="s">
        <v>258</v>
      </c>
      <c r="J5542" s="71" t="s">
        <v>1597</v>
      </c>
      <c r="L5542" s="433">
        <v>4700</v>
      </c>
      <c r="M5542" s="136">
        <f>M5541+K5542-L5542</f>
        <v>8610.9427033341344</v>
      </c>
    </row>
    <row r="5543" spans="1:13">
      <c r="A5543" s="54" t="str">
        <f>D5543&amp;E5543&amp;F5543</f>
        <v>CAPUBERCAP</v>
      </c>
      <c r="B5543" t="s">
        <v>2821</v>
      </c>
      <c r="C5543" s="1">
        <v>46015</v>
      </c>
      <c r="D5543" s="242" t="s">
        <v>31</v>
      </c>
      <c r="E5543" s="71" t="s">
        <v>189</v>
      </c>
      <c r="F5543" s="71" t="s">
        <v>31</v>
      </c>
      <c r="J5543" s="71" t="s">
        <v>3041</v>
      </c>
      <c r="L5543" s="523">
        <v>270</v>
      </c>
      <c r="M5543" s="136">
        <f>M5542+K5543-L5543</f>
        <v>8340.9427033341344</v>
      </c>
    </row>
    <row r="5544" spans="1:13">
      <c r="A5544" s="54" t="str">
        <f>D5544&amp;E5544&amp;F5544</f>
        <v>CAPUBERCAP</v>
      </c>
      <c r="B5544" t="s">
        <v>2821</v>
      </c>
      <c r="C5544" s="1">
        <v>46015</v>
      </c>
      <c r="D5544" s="242" t="s">
        <v>31</v>
      </c>
      <c r="E5544" s="71" t="s">
        <v>189</v>
      </c>
      <c r="F5544" s="71" t="s">
        <v>31</v>
      </c>
      <c r="J5544" s="71" t="s">
        <v>2267</v>
      </c>
      <c r="L5544" s="523">
        <v>746</v>
      </c>
      <c r="M5544" s="136">
        <f>M5543+K5544-L5544</f>
        <v>7594.9427033341344</v>
      </c>
    </row>
    <row r="5545" spans="1:13">
      <c r="A5545" s="54" t="str">
        <f>D5545&amp;E5545&amp;F5545</f>
        <v>SERVICIOSMTTO DE EDIFICIOMANTENIMIENTO</v>
      </c>
      <c r="B5545" t="s">
        <v>2821</v>
      </c>
      <c r="C5545" s="1">
        <v>46015</v>
      </c>
      <c r="D5545" s="242" t="s">
        <v>21</v>
      </c>
      <c r="E5545" s="71" t="s">
        <v>142</v>
      </c>
      <c r="F5545" s="71" t="s">
        <v>35</v>
      </c>
      <c r="G5545" s="71" t="s">
        <v>258</v>
      </c>
      <c r="J5545" s="71" t="s">
        <v>3144</v>
      </c>
      <c r="L5545" s="433">
        <v>300</v>
      </c>
      <c r="M5545" s="136">
        <f>M5544+K5545-L5545</f>
        <v>7294.9427033341344</v>
      </c>
    </row>
    <row r="5546" spans="1:13">
      <c r="A5546" s="54" t="str">
        <f>D5546&amp;E5546&amp;F5546</f>
        <v>CAPUBERCAP</v>
      </c>
      <c r="B5546" t="s">
        <v>2821</v>
      </c>
      <c r="C5546" s="1">
        <v>46015</v>
      </c>
      <c r="D5546" s="242" t="s">
        <v>31</v>
      </c>
      <c r="E5546" s="71" t="s">
        <v>189</v>
      </c>
      <c r="F5546" s="71" t="s">
        <v>31</v>
      </c>
      <c r="J5546" s="71" t="s">
        <v>2537</v>
      </c>
      <c r="L5546" s="523">
        <v>400</v>
      </c>
      <c r="M5546" s="136">
        <f>M5545+K5546-L5546</f>
        <v>6894.9427033341344</v>
      </c>
    </row>
    <row r="5547" spans="1:13">
      <c r="A5547" s="54" t="str">
        <f>D5547&amp;E5547&amp;F5547</f>
        <v>CAPUBERCAP</v>
      </c>
      <c r="B5547" t="s">
        <v>2821</v>
      </c>
      <c r="C5547" s="1">
        <v>46015</v>
      </c>
      <c r="D5547" s="242" t="s">
        <v>31</v>
      </c>
      <c r="E5547" s="71" t="s">
        <v>189</v>
      </c>
      <c r="F5547" s="71" t="s">
        <v>31</v>
      </c>
      <c r="J5547" s="71" t="s">
        <v>2268</v>
      </c>
      <c r="L5547" s="523">
        <v>190</v>
      </c>
      <c r="M5547" s="136">
        <f>M5546+K5547-L5547</f>
        <v>6704.9427033341344</v>
      </c>
    </row>
    <row r="5548" spans="1:13">
      <c r="A5548" s="54" t="str">
        <f>D5548&amp;E5548&amp;F5548</f>
        <v>SERVICIOSMTTO DE EDIFICIOMANTENIMIENTO</v>
      </c>
      <c r="B5548" t="s">
        <v>2821</v>
      </c>
      <c r="C5548" s="1">
        <v>46015</v>
      </c>
      <c r="D5548" s="242" t="s">
        <v>21</v>
      </c>
      <c r="E5548" s="71" t="s">
        <v>142</v>
      </c>
      <c r="F5548" s="71" t="s">
        <v>35</v>
      </c>
      <c r="G5548" s="71" t="s">
        <v>258</v>
      </c>
      <c r="J5548" s="71" t="s">
        <v>3145</v>
      </c>
      <c r="L5548" s="433">
        <v>500</v>
      </c>
      <c r="M5548" s="136">
        <f>M5547+K5548-L5548</f>
        <v>6204.9427033341344</v>
      </c>
    </row>
    <row r="5549" spans="1:13">
      <c r="A5549" s="54" t="str">
        <f>D5549&amp;E5549&amp;F5549</f>
        <v>CAPNOMINA SUCURSALE6</v>
      </c>
      <c r="B5549" t="s">
        <v>2821</v>
      </c>
      <c r="C5549" s="1">
        <v>46015</v>
      </c>
      <c r="D5549" s="242" t="s">
        <v>31</v>
      </c>
      <c r="E5549" s="71" t="s">
        <v>154</v>
      </c>
      <c r="F5549" s="71" t="s">
        <v>112</v>
      </c>
      <c r="J5549" s="71" t="s">
        <v>2928</v>
      </c>
      <c r="L5549" s="433">
        <v>813</v>
      </c>
      <c r="M5549" s="136">
        <f>M5548+K5549-L5549</f>
        <v>5391.9427033341344</v>
      </c>
    </row>
    <row r="5550" spans="1:13">
      <c r="A5550" s="54" t="str">
        <f>D5550&amp;E5550&amp;F5550</f>
        <v>CAPUBERCAP</v>
      </c>
      <c r="B5550" t="s">
        <v>2821</v>
      </c>
      <c r="C5550" s="1">
        <v>46015</v>
      </c>
      <c r="D5550" s="242" t="s">
        <v>31</v>
      </c>
      <c r="E5550" s="71" t="s">
        <v>189</v>
      </c>
      <c r="F5550" s="71" t="s">
        <v>31</v>
      </c>
      <c r="J5550" s="71" t="s">
        <v>3058</v>
      </c>
      <c r="L5550" s="523">
        <v>500</v>
      </c>
      <c r="M5550" s="136">
        <f>M5549+K5550-L5550</f>
        <v>4891.9427033341344</v>
      </c>
    </row>
    <row r="5551" spans="1:13">
      <c r="A5551" s="54" t="str">
        <f>D5551&amp;E5551&amp;F5551</f>
        <v>CAPUBERCAP</v>
      </c>
      <c r="B5551" t="s">
        <v>2821</v>
      </c>
      <c r="C5551" s="1">
        <v>46015</v>
      </c>
      <c r="D5551" s="242" t="s">
        <v>31</v>
      </c>
      <c r="E5551" s="71" t="s">
        <v>189</v>
      </c>
      <c r="F5551" s="71" t="s">
        <v>31</v>
      </c>
      <c r="J5551" s="71" t="s">
        <v>3146</v>
      </c>
      <c r="L5551" s="523">
        <v>1385</v>
      </c>
      <c r="M5551" s="136">
        <f>M5550+K5551-L5551</f>
        <v>3506.9427033341344</v>
      </c>
    </row>
    <row r="5552" spans="1:13">
      <c r="A5552" s="54" t="str">
        <f>D5552&amp;E5552&amp;F5552</f>
        <v>ELIUBERL1</v>
      </c>
      <c r="B5552" t="s">
        <v>2821</v>
      </c>
      <c r="C5552" s="1">
        <v>46015</v>
      </c>
      <c r="D5552" s="242" t="s">
        <v>130</v>
      </c>
      <c r="E5552" s="71" t="s">
        <v>189</v>
      </c>
      <c r="F5552" s="71" t="s">
        <v>136</v>
      </c>
      <c r="G5552" s="71" t="s">
        <v>258</v>
      </c>
      <c r="J5552" s="71" t="s">
        <v>2442</v>
      </c>
      <c r="L5552" s="524">
        <v>250</v>
      </c>
      <c r="M5552" s="136">
        <f>M5551+K5552-L5552</f>
        <v>3256.9427033341344</v>
      </c>
    </row>
    <row r="5553" spans="1:13">
      <c r="A5553" s="54" t="str">
        <f>D5553&amp;E5553&amp;F5553</f>
        <v>HRUBERHR</v>
      </c>
      <c r="B5553" t="s">
        <v>2821</v>
      </c>
      <c r="C5553" s="1">
        <v>46015</v>
      </c>
      <c r="D5553" s="242" t="s">
        <v>29</v>
      </c>
      <c r="E5553" s="71" t="s">
        <v>189</v>
      </c>
      <c r="F5553" s="71" t="s">
        <v>29</v>
      </c>
      <c r="J5553" s="71" t="s">
        <v>2560</v>
      </c>
      <c r="L5553" s="524">
        <v>275</v>
      </c>
      <c r="M5553" s="136">
        <f>M5552+K5553-L5553</f>
        <v>2981.9427033341344</v>
      </c>
    </row>
    <row r="5554" spans="1:13">
      <c r="A5554" s="54" t="str">
        <f>D5554&amp;E5554&amp;F5554</f>
        <v>HRVIATICOSHR</v>
      </c>
      <c r="B5554" t="s">
        <v>2821</v>
      </c>
      <c r="C5554" s="1">
        <v>46015</v>
      </c>
      <c r="D5554" s="242" t="s">
        <v>29</v>
      </c>
      <c r="E5554" s="71" t="s">
        <v>191</v>
      </c>
      <c r="F5554" s="71" t="s">
        <v>29</v>
      </c>
      <c r="J5554" s="71" t="s">
        <v>3100</v>
      </c>
      <c r="L5554" s="208">
        <v>320</v>
      </c>
      <c r="M5554" s="136">
        <f>M5553+K5554-L5554</f>
        <v>2661.9427033341344</v>
      </c>
    </row>
    <row r="5555" spans="1:13">
      <c r="A5555" s="54" t="str">
        <f>D5555&amp;E5555&amp;F5555</f>
        <v>HRUBERHR</v>
      </c>
      <c r="B5555" t="s">
        <v>2821</v>
      </c>
      <c r="C5555" s="1">
        <v>46015</v>
      </c>
      <c r="D5555" s="242" t="s">
        <v>29</v>
      </c>
      <c r="E5555" s="71" t="s">
        <v>189</v>
      </c>
      <c r="F5555" s="71" t="s">
        <v>29</v>
      </c>
      <c r="G5555" s="71" t="s">
        <v>258</v>
      </c>
      <c r="J5555" s="71" t="s">
        <v>3147</v>
      </c>
      <c r="L5555" s="524">
        <v>640</v>
      </c>
      <c r="M5555" s="136">
        <f>M5554+K5555-L5555</f>
        <v>2021.9427033341344</v>
      </c>
    </row>
    <row r="5556" spans="1:13">
      <c r="A5556" s="54" t="str">
        <f>D5556&amp;E5556&amp;F5556</f>
        <v>HRUBERHR</v>
      </c>
      <c r="B5556" t="s">
        <v>2821</v>
      </c>
      <c r="C5556" s="1">
        <v>46015</v>
      </c>
      <c r="D5556" s="242" t="s">
        <v>29</v>
      </c>
      <c r="E5556" s="71" t="s">
        <v>189</v>
      </c>
      <c r="F5556" s="71" t="s">
        <v>29</v>
      </c>
      <c r="J5556" s="71" t="s">
        <v>3067</v>
      </c>
      <c r="L5556" s="524">
        <v>595</v>
      </c>
      <c r="M5556" s="136">
        <f>M5555+K5556-L5556</f>
        <v>1426.9427033341344</v>
      </c>
    </row>
    <row r="5557" spans="1:13">
      <c r="A5557" s="54" t="str">
        <f>D5557&amp;E5557&amp;F5557</f>
        <v>HRINSUMOSHR</v>
      </c>
      <c r="B5557" t="s">
        <v>2821</v>
      </c>
      <c r="C5557" s="1">
        <v>46015</v>
      </c>
      <c r="D5557" s="242" t="s">
        <v>29</v>
      </c>
      <c r="E5557" s="71" t="s">
        <v>133</v>
      </c>
      <c r="F5557" s="71" t="s">
        <v>29</v>
      </c>
      <c r="J5557" s="71" t="s">
        <v>3148</v>
      </c>
      <c r="L5557" s="433">
        <v>59</v>
      </c>
      <c r="M5557" s="136">
        <f>M5556+K5557-L5557</f>
        <v>1367.9427033341344</v>
      </c>
    </row>
    <row r="5558" spans="1:13">
      <c r="A5558" s="54" t="str">
        <f>D5558&amp;E5558&amp;F5558</f>
        <v>HRUBERHR</v>
      </c>
      <c r="B5558" t="s">
        <v>2821</v>
      </c>
      <c r="C5558" s="1">
        <v>46015</v>
      </c>
      <c r="D5558" s="242" t="s">
        <v>29</v>
      </c>
      <c r="E5558" s="71" t="s">
        <v>189</v>
      </c>
      <c r="F5558" s="71" t="s">
        <v>29</v>
      </c>
      <c r="J5558" s="71" t="s">
        <v>2835</v>
      </c>
      <c r="L5558" s="523">
        <v>100</v>
      </c>
      <c r="M5558" s="136">
        <f>M5557+K5558-L5558</f>
        <v>1267.9427033341344</v>
      </c>
    </row>
    <row r="5559" spans="1:13">
      <c r="A5559" s="54" t="str">
        <f>D5559&amp;E5559&amp;F5559</f>
        <v>HRUBERHR</v>
      </c>
      <c r="B5559" t="s">
        <v>2821</v>
      </c>
      <c r="C5559" s="1">
        <v>46015</v>
      </c>
      <c r="D5559" s="242" t="s">
        <v>29</v>
      </c>
      <c r="E5559" s="71" t="s">
        <v>189</v>
      </c>
      <c r="F5559" s="71" t="s">
        <v>29</v>
      </c>
      <c r="J5559" s="71" t="s">
        <v>2975</v>
      </c>
      <c r="L5559" s="523">
        <v>270</v>
      </c>
      <c r="M5559" s="136">
        <f>M5558+K5559-L5559</f>
        <v>997.94270333413442</v>
      </c>
    </row>
    <row r="5560" spans="1:13">
      <c r="A5560" s="54" t="str">
        <f>D5560&amp;E5560&amp;F5560</f>
        <v>HRINSUMOSHR</v>
      </c>
      <c r="B5560" t="s">
        <v>2821</v>
      </c>
      <c r="C5560" s="1">
        <v>46015</v>
      </c>
      <c r="D5560" s="242" t="s">
        <v>29</v>
      </c>
      <c r="E5560" s="71" t="s">
        <v>133</v>
      </c>
      <c r="F5560" s="71" t="s">
        <v>29</v>
      </c>
      <c r="J5560" s="71" t="s">
        <v>2367</v>
      </c>
      <c r="L5560" s="433">
        <v>1000</v>
      </c>
      <c r="M5560" s="136">
        <f>M5559+K5560-L5560</f>
        <v>-2.0572966658655787</v>
      </c>
    </row>
    <row r="5561" spans="1:13">
      <c r="A5561" s="54" t="str">
        <f>D5561&amp;E5561&amp;F5561</f>
        <v>HRUBERHR</v>
      </c>
      <c r="B5561" t="s">
        <v>2821</v>
      </c>
      <c r="C5561" s="1">
        <v>46015</v>
      </c>
      <c r="D5561" s="242" t="s">
        <v>29</v>
      </c>
      <c r="E5561" s="71" t="s">
        <v>189</v>
      </c>
      <c r="F5561" s="71" t="s">
        <v>29</v>
      </c>
      <c r="J5561" s="71" t="s">
        <v>2561</v>
      </c>
      <c r="L5561" s="523">
        <v>950</v>
      </c>
      <c r="M5561" s="136">
        <f>M5560+K5561-L5561</f>
        <v>-952.05729666586558</v>
      </c>
    </row>
    <row r="5562" spans="1:13">
      <c r="A5562" s="54" t="str">
        <f>D5562&amp;E5562&amp;F5562</f>
        <v>HRUBERHR</v>
      </c>
      <c r="B5562" t="s">
        <v>2821</v>
      </c>
      <c r="C5562" s="1">
        <v>46015</v>
      </c>
      <c r="D5562" s="242" t="s">
        <v>29</v>
      </c>
      <c r="E5562" s="71" t="s">
        <v>189</v>
      </c>
      <c r="F5562" s="71" t="s">
        <v>29</v>
      </c>
      <c r="J5562" s="71" t="s">
        <v>2767</v>
      </c>
      <c r="L5562" s="523">
        <v>120</v>
      </c>
      <c r="M5562" s="136">
        <f>M5561+K5562-L5562</f>
        <v>-1072.0572966658656</v>
      </c>
    </row>
    <row r="5563" spans="1:13">
      <c r="A5563" s="54" t="str">
        <f>D5563&amp;E5563&amp;F5563</f>
        <v>HRUBERHR</v>
      </c>
      <c r="B5563" t="s">
        <v>2821</v>
      </c>
      <c r="C5563" s="1">
        <v>46015</v>
      </c>
      <c r="D5563" s="242" t="s">
        <v>29</v>
      </c>
      <c r="E5563" s="71" t="s">
        <v>189</v>
      </c>
      <c r="F5563" s="71" t="s">
        <v>29</v>
      </c>
      <c r="J5563" s="71" t="s">
        <v>3149</v>
      </c>
      <c r="L5563" s="523">
        <v>250</v>
      </c>
      <c r="M5563" s="136">
        <f>M5562+K5563-L5563</f>
        <v>-1322.0572966658656</v>
      </c>
    </row>
    <row r="5564" spans="1:13">
      <c r="A5564" s="54" t="str">
        <f>D5564&amp;E5564&amp;F5564</f>
        <v>HRVIATICOSHR</v>
      </c>
      <c r="B5564" t="s">
        <v>2821</v>
      </c>
      <c r="C5564" s="1">
        <v>46015</v>
      </c>
      <c r="D5564" s="242" t="s">
        <v>29</v>
      </c>
      <c r="E5564" s="71" t="s">
        <v>191</v>
      </c>
      <c r="F5564" s="71" t="s">
        <v>29</v>
      </c>
      <c r="J5564" s="71" t="s">
        <v>3150</v>
      </c>
      <c r="L5564" s="433">
        <v>900</v>
      </c>
      <c r="M5564" s="136">
        <f>M5563+K5564-L5564</f>
        <v>-2222.0572966658656</v>
      </c>
    </row>
    <row r="5565" spans="1:13">
      <c r="A5565" s="54" t="str">
        <f>D5565&amp;E5565&amp;F5565</f>
        <v>HRUBERHR</v>
      </c>
      <c r="B5565" t="s">
        <v>2821</v>
      </c>
      <c r="C5565" s="1">
        <v>46015</v>
      </c>
      <c r="D5565" s="242" t="s">
        <v>29</v>
      </c>
      <c r="E5565" s="71" t="s">
        <v>189</v>
      </c>
      <c r="F5565" s="71" t="s">
        <v>29</v>
      </c>
      <c r="J5565" s="71" t="s">
        <v>2454</v>
      </c>
      <c r="L5565" s="523">
        <v>159</v>
      </c>
      <c r="M5565" s="136">
        <f>M5564+K5565-L5565</f>
        <v>-2381.0572966658656</v>
      </c>
    </row>
    <row r="5566" spans="1:13">
      <c r="A5566" s="54" t="str">
        <f>D5566&amp;E5566&amp;F5566</f>
        <v>HRUBERHR</v>
      </c>
      <c r="B5566" t="s">
        <v>2821</v>
      </c>
      <c r="C5566" s="1">
        <v>46015</v>
      </c>
      <c r="D5566" s="242" t="s">
        <v>29</v>
      </c>
      <c r="E5566" s="71" t="s">
        <v>189</v>
      </c>
      <c r="F5566" s="71" t="s">
        <v>29</v>
      </c>
      <c r="J5566" s="71" t="s">
        <v>2366</v>
      </c>
      <c r="L5566" s="523">
        <v>750</v>
      </c>
      <c r="M5566" s="136">
        <f>M5565+K5566-L5566</f>
        <v>-3131.0572966658656</v>
      </c>
    </row>
    <row r="5567" spans="1:13">
      <c r="A5567" s="54" t="str">
        <f>D5567&amp;E5567&amp;F5567</f>
        <v>HRUBERHR</v>
      </c>
      <c r="B5567" t="s">
        <v>2821</v>
      </c>
      <c r="C5567" s="1">
        <v>46015</v>
      </c>
      <c r="D5567" s="242" t="s">
        <v>29</v>
      </c>
      <c r="E5567" s="71" t="s">
        <v>189</v>
      </c>
      <c r="F5567" s="71" t="s">
        <v>29</v>
      </c>
      <c r="J5567" s="71" t="s">
        <v>2435</v>
      </c>
      <c r="L5567" s="523">
        <v>486</v>
      </c>
      <c r="M5567" s="136">
        <f>M5566+K5567-L5567</f>
        <v>-3617.0572966658656</v>
      </c>
    </row>
    <row r="5568" spans="1:13">
      <c r="A5568" s="137" t="str">
        <f>D5568&amp;E5568&amp;F5568</f>
        <v/>
      </c>
      <c r="B5568" t="s">
        <v>2821</v>
      </c>
      <c r="C5568" s="1">
        <v>46017</v>
      </c>
      <c r="J5568" s="71" t="s">
        <v>2045</v>
      </c>
      <c r="K5568" s="325">
        <v>1076123.7</v>
      </c>
      <c r="L5568" s="432"/>
      <c r="M5568" s="136">
        <f>M5567+K5568-L5568</f>
        <v>1072506.6427033341</v>
      </c>
    </row>
    <row r="5569" spans="1:13">
      <c r="A5569" s="54" t="str">
        <f>D5569&amp;E5569&amp;F5569</f>
        <v>FINANZASCOMISIONES BANCARIASTPV</v>
      </c>
      <c r="B5569" t="s">
        <v>2821</v>
      </c>
      <c r="C5569" s="1">
        <v>46017</v>
      </c>
      <c r="D5569" s="242" t="s">
        <v>23</v>
      </c>
      <c r="E5569" s="71" t="s">
        <v>48</v>
      </c>
      <c r="F5569" s="71" t="s">
        <v>50</v>
      </c>
      <c r="J5569" s="71" t="s">
        <v>217</v>
      </c>
      <c r="L5569" s="433">
        <f>1210.97+309.74+392.78+1542.48+1110.68+59.16+5.8+12842.02+4180.27</f>
        <v>21653.9</v>
      </c>
      <c r="M5569" s="136">
        <f>M5568+K5569-L5569</f>
        <v>1050852.7427033342</v>
      </c>
    </row>
    <row r="5570" spans="1:13">
      <c r="A5570" s="137" t="str">
        <f>D5570&amp;E5570&amp;F5570</f>
        <v/>
      </c>
      <c r="B5570" t="s">
        <v>2821</v>
      </c>
      <c r="C5570" s="1">
        <v>46017</v>
      </c>
      <c r="J5570" s="205" t="s">
        <v>1562</v>
      </c>
      <c r="K5570" s="205"/>
      <c r="L5570" s="428">
        <v>330000</v>
      </c>
      <c r="M5570" s="136">
        <f>M5569+K5570-L5570</f>
        <v>720852.7427033342</v>
      </c>
    </row>
    <row r="5571" spans="1:13">
      <c r="A5571" s="137" t="str">
        <f>D5571&amp;E5571&amp;F5571</f>
        <v/>
      </c>
      <c r="B5571" t="s">
        <v>2821</v>
      </c>
      <c r="C5571" s="1">
        <v>46017</v>
      </c>
      <c r="J5571" s="205" t="s">
        <v>222</v>
      </c>
      <c r="K5571" s="205"/>
      <c r="L5571" s="205"/>
      <c r="M5571" s="136">
        <f>M5570+K5571-L5571</f>
        <v>720852.7427033342</v>
      </c>
    </row>
    <row r="5572" spans="1:13">
      <c r="A5572" s="137" t="str">
        <f>D5572&amp;E5572&amp;F5572</f>
        <v/>
      </c>
      <c r="B5572" t="s">
        <v>2821</v>
      </c>
      <c r="C5572" s="1">
        <v>46017</v>
      </c>
      <c r="J5572" s="71" t="s">
        <v>3151</v>
      </c>
      <c r="L5572" s="504">
        <v>482552.66999999993</v>
      </c>
      <c r="M5572" s="136">
        <f>M5571+K5572-L5572</f>
        <v>238300.07270333427</v>
      </c>
    </row>
    <row r="5573" spans="1:13">
      <c r="A5573" s="54" t="str">
        <f>D5573&amp;E5573&amp;F5573</f>
        <v>FINANZASPOSADASPOSADAS</v>
      </c>
      <c r="B5573" t="s">
        <v>2821</v>
      </c>
      <c r="C5573" s="1">
        <v>46017</v>
      </c>
      <c r="D5573" s="242" t="s">
        <v>23</v>
      </c>
      <c r="E5573" s="71" t="s">
        <v>163</v>
      </c>
      <c r="F5573" s="71" t="s">
        <v>163</v>
      </c>
      <c r="G5573" s="71" t="s">
        <v>258</v>
      </c>
      <c r="J5573" s="71" t="s">
        <v>3152</v>
      </c>
      <c r="L5573" s="433">
        <v>29500</v>
      </c>
      <c r="M5573" s="136">
        <f>M5572+K5573-L5573</f>
        <v>208800.07270333427</v>
      </c>
    </row>
    <row r="5574" spans="1:13">
      <c r="A5574" s="54" t="str">
        <f>D5574&amp;E5574&amp;F5574</f>
        <v>FINANZASPOSADASPOSADAS</v>
      </c>
      <c r="B5574" t="s">
        <v>2821</v>
      </c>
      <c r="C5574" s="1">
        <v>46017</v>
      </c>
      <c r="D5574" s="242" t="s">
        <v>23</v>
      </c>
      <c r="E5574" s="71" t="s">
        <v>163</v>
      </c>
      <c r="F5574" s="71" t="s">
        <v>163</v>
      </c>
      <c r="G5574" s="71" t="s">
        <v>258</v>
      </c>
      <c r="J5574" s="71" t="s">
        <v>3153</v>
      </c>
      <c r="L5574" s="433">
        <v>65000</v>
      </c>
      <c r="M5574" s="136">
        <f>M5573+K5574-L5574</f>
        <v>143800.07270333427</v>
      </c>
    </row>
    <row r="5575" spans="1:13">
      <c r="A5575" s="54" t="str">
        <f>D5575&amp;E5575&amp;F5575</f>
        <v>FINANZASCOMBUSTIBLEFINANZAS</v>
      </c>
      <c r="B5575" t="s">
        <v>2821</v>
      </c>
      <c r="C5575" s="1">
        <v>46017</v>
      </c>
      <c r="D5575" s="242" t="s">
        <v>23</v>
      </c>
      <c r="E5575" s="71" t="s">
        <v>32</v>
      </c>
      <c r="F5575" s="71" t="s">
        <v>23</v>
      </c>
      <c r="G5575" s="71" t="s">
        <v>258</v>
      </c>
      <c r="J5575" s="71" t="s">
        <v>3154</v>
      </c>
      <c r="L5575" s="433">
        <v>300</v>
      </c>
      <c r="M5575" s="136">
        <f>M5574+K5575-L5575</f>
        <v>143500.07270333427</v>
      </c>
    </row>
    <row r="5576" spans="1:13">
      <c r="A5576" s="54" t="str">
        <f>D5576&amp;E5576&amp;F5576</f>
        <v>FINANZASVIATICOSFINANZAS</v>
      </c>
      <c r="B5576" t="s">
        <v>2821</v>
      </c>
      <c r="C5576" s="1">
        <v>46017</v>
      </c>
      <c r="D5576" s="242" t="s">
        <v>23</v>
      </c>
      <c r="E5576" s="71" t="s">
        <v>191</v>
      </c>
      <c r="F5576" s="71" t="s">
        <v>23</v>
      </c>
      <c r="G5576" s="71" t="s">
        <v>258</v>
      </c>
      <c r="J5576" s="71" t="s">
        <v>2804</v>
      </c>
      <c r="L5576" s="433">
        <v>300</v>
      </c>
      <c r="M5576" s="136">
        <f>M5575+K5576-L5576</f>
        <v>143200.07270333427</v>
      </c>
    </row>
    <row r="5577" spans="1:13">
      <c r="A5577" s="54" t="str">
        <f>D5577&amp;E5577&amp;F5577</f>
        <v>FINANZASFONDO Y REPOSICIONFINANZAS</v>
      </c>
      <c r="B5577" t="s">
        <v>2821</v>
      </c>
      <c r="C5577" s="1">
        <v>46017</v>
      </c>
      <c r="D5577" s="242" t="s">
        <v>23</v>
      </c>
      <c r="E5577" s="71" t="s">
        <v>120</v>
      </c>
      <c r="F5577" s="71" t="s">
        <v>23</v>
      </c>
      <c r="J5577" s="71" t="s">
        <v>1510</v>
      </c>
      <c r="L5577" s="433">
        <v>500</v>
      </c>
      <c r="M5577" s="136">
        <f>M5576+K5577-L5577</f>
        <v>142700.07270333427</v>
      </c>
    </row>
    <row r="5578" spans="1:13">
      <c r="A5578" s="54" t="str">
        <f>D5578&amp;E5578&amp;F5578</f>
        <v>FINANZASCOMBUSTIBLEFINANZAS</v>
      </c>
      <c r="B5578" t="s">
        <v>2821</v>
      </c>
      <c r="C5578" s="1">
        <v>46017</v>
      </c>
      <c r="D5578" s="242" t="s">
        <v>23</v>
      </c>
      <c r="E5578" s="71" t="s">
        <v>32</v>
      </c>
      <c r="F5578" s="71" t="s">
        <v>23</v>
      </c>
      <c r="J5578" s="71" t="s">
        <v>3155</v>
      </c>
      <c r="L5578" s="433">
        <v>500</v>
      </c>
      <c r="M5578" s="136">
        <f>M5577+K5578-L5578</f>
        <v>142200.07270333427</v>
      </c>
    </row>
    <row r="5579" spans="1:13">
      <c r="A5579" s="54" t="str">
        <f>D5579&amp;E5579&amp;F5579</f>
        <v>DEVIATICOSDIRECCION</v>
      </c>
      <c r="B5579" t="s">
        <v>2821</v>
      </c>
      <c r="C5579" s="1">
        <v>46017</v>
      </c>
      <c r="D5579" s="242" t="s">
        <v>41</v>
      </c>
      <c r="E5579" s="71" t="s">
        <v>191</v>
      </c>
      <c r="F5579" s="71" t="s">
        <v>42</v>
      </c>
      <c r="G5579" s="71" t="s">
        <v>258</v>
      </c>
      <c r="J5579" s="71" t="s">
        <v>3156</v>
      </c>
      <c r="L5579" s="433">
        <v>1956</v>
      </c>
      <c r="M5579" s="136">
        <f>M5578+K5579-L5579</f>
        <v>140244.07270333427</v>
      </c>
    </row>
    <row r="5580" spans="1:13">
      <c r="A5580" s="137" t="str">
        <f>D5580&amp;E5580&amp;F5580</f>
        <v>ENERGIA ELECTRICA</v>
      </c>
      <c r="B5580" t="s">
        <v>2821</v>
      </c>
      <c r="C5580" s="1">
        <v>46017</v>
      </c>
      <c r="E5580" s="71" t="s">
        <v>87</v>
      </c>
      <c r="J5580" s="71" t="s">
        <v>3157</v>
      </c>
      <c r="L5580" s="433">
        <v>8135</v>
      </c>
      <c r="M5580" s="136">
        <f>M5579+K5580-L5580</f>
        <v>132109.07270333427</v>
      </c>
    </row>
    <row r="5581" spans="1:13">
      <c r="A5581" s="54" t="str">
        <f>D5581&amp;E5581&amp;F5581</f>
        <v>HRTELEPEAJEOP HR</v>
      </c>
      <c r="B5581" t="s">
        <v>2821</v>
      </c>
      <c r="C5581" s="1">
        <v>46017</v>
      </c>
      <c r="D5581" s="242" t="s">
        <v>29</v>
      </c>
      <c r="E5581" s="71" t="s">
        <v>186</v>
      </c>
      <c r="F5581" s="71" t="s">
        <v>187</v>
      </c>
      <c r="J5581" s="71" t="s">
        <v>2481</v>
      </c>
      <c r="L5581" s="433">
        <v>1034</v>
      </c>
      <c r="M5581" s="136">
        <f>M5580+K5581-L5581</f>
        <v>131075.07270333427</v>
      </c>
    </row>
    <row r="5582" spans="1:13">
      <c r="A5582" s="54" t="str">
        <f>D5582&amp;E5582&amp;F5582</f>
        <v>HRTELEPEAJEOP HR</v>
      </c>
      <c r="B5582" t="s">
        <v>2821</v>
      </c>
      <c r="C5582" s="1">
        <v>46017</v>
      </c>
      <c r="D5582" s="242" t="s">
        <v>29</v>
      </c>
      <c r="E5582" s="71" t="s">
        <v>186</v>
      </c>
      <c r="F5582" s="71" t="s">
        <v>187</v>
      </c>
      <c r="J5582" s="71" t="s">
        <v>2481</v>
      </c>
      <c r="L5582" s="433">
        <v>356</v>
      </c>
      <c r="M5582" s="136">
        <f>M5581+K5582-L5582</f>
        <v>130719.07270333427</v>
      </c>
    </row>
    <row r="5583" spans="1:13">
      <c r="A5583" s="54" t="str">
        <f>D5583&amp;E5583&amp;F5583</f>
        <v>HRTELEPEAJEOP HR</v>
      </c>
      <c r="B5583" t="s">
        <v>2821</v>
      </c>
      <c r="C5583" s="1">
        <v>46017</v>
      </c>
      <c r="D5583" s="242" t="s">
        <v>29</v>
      </c>
      <c r="E5583" s="71" t="s">
        <v>186</v>
      </c>
      <c r="F5583" s="71" t="s">
        <v>187</v>
      </c>
      <c r="J5583" s="71" t="s">
        <v>239</v>
      </c>
      <c r="L5583" s="433">
        <v>1486</v>
      </c>
      <c r="M5583" s="136">
        <f>M5582+K5583-L5583</f>
        <v>129233.07270333427</v>
      </c>
    </row>
    <row r="5584" spans="1:13">
      <c r="A5584" s="54" t="str">
        <f>D5584&amp;E5584&amp;F5584</f>
        <v>SERVICIOSTELEPEAJECEDIS</v>
      </c>
      <c r="B5584" t="s">
        <v>2821</v>
      </c>
      <c r="C5584" s="1">
        <v>46017</v>
      </c>
      <c r="D5584" s="242" t="s">
        <v>21</v>
      </c>
      <c r="E5584" s="71" t="s">
        <v>186</v>
      </c>
      <c r="F5584" s="71" t="s">
        <v>28</v>
      </c>
      <c r="J5584" s="71" t="s">
        <v>909</v>
      </c>
      <c r="L5584" s="433">
        <v>6707</v>
      </c>
      <c r="M5584" s="136">
        <f>M5583+K5584-L5584</f>
        <v>122526.07270333427</v>
      </c>
    </row>
    <row r="5585" spans="1:13">
      <c r="A5585" s="137" t="str">
        <f>D5585&amp;E5585&amp;F5585</f>
        <v>FINANZASCOMBUSTIBLE</v>
      </c>
      <c r="B5585" t="s">
        <v>2821</v>
      </c>
      <c r="C5585" s="1">
        <v>46017</v>
      </c>
      <c r="D5585" s="242" t="s">
        <v>23</v>
      </c>
      <c r="E5585" s="71" t="s">
        <v>32</v>
      </c>
      <c r="G5585" s="71" t="s">
        <v>258</v>
      </c>
      <c r="J5585" s="71" t="s">
        <v>3158</v>
      </c>
      <c r="L5585" s="433">
        <v>1000</v>
      </c>
      <c r="M5585" s="136">
        <f>M5584+K5585-L5585</f>
        <v>121526.07270333427</v>
      </c>
    </row>
    <row r="5586" spans="1:13">
      <c r="A5586" s="54" t="str">
        <f>D5586&amp;E5586&amp;F5586</f>
        <v>HRUBERHR</v>
      </c>
      <c r="B5586" t="s">
        <v>2821</v>
      </c>
      <c r="C5586" s="1">
        <v>46017</v>
      </c>
      <c r="D5586" s="242" t="s">
        <v>29</v>
      </c>
      <c r="E5586" s="71" t="s">
        <v>189</v>
      </c>
      <c r="F5586" s="71" t="s">
        <v>29</v>
      </c>
      <c r="J5586" s="71" t="s">
        <v>2560</v>
      </c>
      <c r="L5586" s="523">
        <v>275</v>
      </c>
      <c r="M5586" s="136">
        <f>M5585+K5586-L5586</f>
        <v>121251.07270333427</v>
      </c>
    </row>
    <row r="5587" spans="1:13">
      <c r="A5587" s="54" t="str">
        <f>D5587&amp;E5587&amp;F5587</f>
        <v>HRUBERHR</v>
      </c>
      <c r="B5587" t="s">
        <v>2821</v>
      </c>
      <c r="C5587" s="1">
        <v>46017</v>
      </c>
      <c r="D5587" s="242" t="s">
        <v>29</v>
      </c>
      <c r="E5587" s="71" t="s">
        <v>189</v>
      </c>
      <c r="F5587" s="71" t="s">
        <v>29</v>
      </c>
      <c r="J5587" s="71" t="s">
        <v>2561</v>
      </c>
      <c r="L5587" s="523">
        <v>1000</v>
      </c>
      <c r="M5587" s="136">
        <f>M5586+K5587-L5587</f>
        <v>120251.07270333427</v>
      </c>
    </row>
    <row r="5588" spans="1:13">
      <c r="A5588" s="54" t="str">
        <f>D5588&amp;E5588&amp;F5588</f>
        <v>HRUBERHR</v>
      </c>
      <c r="B5588" t="s">
        <v>2821</v>
      </c>
      <c r="C5588" s="1">
        <v>46017</v>
      </c>
      <c r="D5588" s="242" t="s">
        <v>29</v>
      </c>
      <c r="E5588" s="71" t="s">
        <v>189</v>
      </c>
      <c r="F5588" s="71" t="s">
        <v>29</v>
      </c>
      <c r="J5588" s="71" t="s">
        <v>2920</v>
      </c>
      <c r="L5588" s="433">
        <v>138.80000000000001</v>
      </c>
      <c r="M5588" s="136">
        <f>M5587+K5588-L5588</f>
        <v>120112.27270333427</v>
      </c>
    </row>
    <row r="5589" spans="1:13">
      <c r="A5589" s="54" t="str">
        <f>D5589&amp;E5589&amp;F5589</f>
        <v>HRNOMINA SUCURSALA18</v>
      </c>
      <c r="B5589" t="s">
        <v>2821</v>
      </c>
      <c r="C5589" s="1">
        <v>46017</v>
      </c>
      <c r="D5589" s="242" t="s">
        <v>29</v>
      </c>
      <c r="E5589" s="71" t="s">
        <v>154</v>
      </c>
      <c r="F5589" s="71" t="s">
        <v>103</v>
      </c>
      <c r="J5589" s="71" t="s">
        <v>3159</v>
      </c>
      <c r="L5589" s="433">
        <v>1370</v>
      </c>
      <c r="M5589" s="136">
        <f>M5588+K5589-L5589</f>
        <v>118742.27270333427</v>
      </c>
    </row>
    <row r="5590" spans="1:13">
      <c r="A5590" s="54" t="str">
        <f>D5590&amp;E5590&amp;F5590</f>
        <v>CAPUBERCAP</v>
      </c>
      <c r="B5590" t="s">
        <v>2821</v>
      </c>
      <c r="C5590" s="1">
        <v>46017</v>
      </c>
      <c r="D5590" s="242" t="s">
        <v>31</v>
      </c>
      <c r="E5590" s="71" t="s">
        <v>189</v>
      </c>
      <c r="F5590" s="71" t="s">
        <v>31</v>
      </c>
      <c r="J5590" s="71" t="s">
        <v>2587</v>
      </c>
      <c r="L5590" s="523">
        <v>400</v>
      </c>
      <c r="M5590" s="136">
        <f>M5589+K5590-L5590</f>
        <v>118342.27270333427</v>
      </c>
    </row>
    <row r="5591" spans="1:13">
      <c r="A5591" s="137" t="str">
        <f>D5591&amp;E5591&amp;F5591</f>
        <v/>
      </c>
      <c r="B5591" t="s">
        <v>2821</v>
      </c>
      <c r="C5591" s="1">
        <v>46020</v>
      </c>
      <c r="J5591" s="71" t="s">
        <v>2045</v>
      </c>
      <c r="K5591" s="325">
        <v>1148123.68</v>
      </c>
      <c r="L5591" s="432"/>
      <c r="M5591" s="136">
        <f>M5590+K5591-L5591</f>
        <v>1266465.9527033342</v>
      </c>
    </row>
    <row r="5592" spans="1:13">
      <c r="A5592" s="54" t="str">
        <f>D5592&amp;E5592&amp;F5592</f>
        <v>FINANZASCOMISIONES BANCARIASTPV</v>
      </c>
      <c r="B5592" t="s">
        <v>2821</v>
      </c>
      <c r="C5592" s="1">
        <v>46020</v>
      </c>
      <c r="D5592" s="242" t="s">
        <v>23</v>
      </c>
      <c r="E5592" s="71" t="s">
        <v>48</v>
      </c>
      <c r="F5592" s="71" t="s">
        <v>50</v>
      </c>
      <c r="J5592" s="71" t="s">
        <v>217</v>
      </c>
      <c r="L5592" s="433">
        <f>1542.24+9230.32+7751.81+2823.97+815.05+596.02+11.6+5.8+3.48+4170</f>
        <v>26950.289999999997</v>
      </c>
      <c r="M5592" s="136">
        <f>M5591+K5592-L5592</f>
        <v>1239515.6627033341</v>
      </c>
    </row>
    <row r="5593" spans="1:13">
      <c r="A5593" s="137" t="str">
        <f>D5593&amp;E5593&amp;F5593</f>
        <v/>
      </c>
      <c r="B5593" t="s">
        <v>2821</v>
      </c>
      <c r="C5593" s="1">
        <v>46020</v>
      </c>
      <c r="J5593" s="205" t="s">
        <v>1562</v>
      </c>
      <c r="K5593" s="205"/>
      <c r="L5593" s="428">
        <v>1100000</v>
      </c>
      <c r="M5593" s="136">
        <f>M5592+K5593-L5593</f>
        <v>139515.66270333412</v>
      </c>
    </row>
    <row r="5594" spans="1:13">
      <c r="A5594" s="137" t="str">
        <f>D5594&amp;E5594&amp;F5594</f>
        <v/>
      </c>
      <c r="B5594" t="s">
        <v>2821</v>
      </c>
      <c r="C5594" s="1">
        <v>46020</v>
      </c>
      <c r="J5594" s="205" t="s">
        <v>222</v>
      </c>
      <c r="K5594" s="205"/>
      <c r="L5594" s="205"/>
      <c r="M5594" s="136">
        <f>M5593+K5594-L5594</f>
        <v>139515.66270333412</v>
      </c>
    </row>
    <row r="5595" spans="1:13">
      <c r="A5595" s="54" t="str">
        <f>D5595&amp;E5595&amp;F5595</f>
        <v>MELIMAGEN VISUALMELISSA</v>
      </c>
      <c r="B5595" t="s">
        <v>2821</v>
      </c>
      <c r="C5595" s="1">
        <v>46020</v>
      </c>
      <c r="D5595" s="242" t="s">
        <v>43</v>
      </c>
      <c r="E5595" s="71" t="s">
        <v>127</v>
      </c>
      <c r="F5595" s="71" t="s">
        <v>44</v>
      </c>
      <c r="G5595" s="71" t="s">
        <v>258</v>
      </c>
      <c r="J5595" s="71" t="s">
        <v>3160</v>
      </c>
      <c r="L5595" s="433">
        <v>450</v>
      </c>
      <c r="M5595" s="136">
        <f>M5594+K5595-L5595</f>
        <v>139065.66270333412</v>
      </c>
    </row>
    <row r="5596" spans="1:13">
      <c r="A5596" s="54" t="str">
        <f>D5596&amp;E5596&amp;F5596</f>
        <v>HRIMAGEN VISUALIMAGEN VISUAL HR</v>
      </c>
      <c r="B5596" t="s">
        <v>2821</v>
      </c>
      <c r="C5596" s="1">
        <v>46020</v>
      </c>
      <c r="D5596" s="242" t="s">
        <v>29</v>
      </c>
      <c r="E5596" s="71" t="s">
        <v>127</v>
      </c>
      <c r="F5596" s="71" t="s">
        <v>128</v>
      </c>
      <c r="J5596" s="71" t="s">
        <v>3161</v>
      </c>
      <c r="L5596" s="433">
        <v>1320.32</v>
      </c>
      <c r="M5596" s="136">
        <f>M5595+K5596-L5596</f>
        <v>137745.34270333411</v>
      </c>
    </row>
    <row r="5597" spans="1:13">
      <c r="A5597" s="54" t="str">
        <f>D5597&amp;E5597&amp;F5597</f>
        <v>HRIMAGEN VISUALIMAGEN VISUAL HR</v>
      </c>
      <c r="B5597" t="s">
        <v>2821</v>
      </c>
      <c r="C5597" s="1">
        <v>46020</v>
      </c>
      <c r="D5597" s="242" t="s">
        <v>29</v>
      </c>
      <c r="E5597" s="71" t="s">
        <v>127</v>
      </c>
      <c r="F5597" s="71" t="s">
        <v>128</v>
      </c>
      <c r="J5597" s="71" t="s">
        <v>3162</v>
      </c>
      <c r="L5597" s="433">
        <v>3484.6</v>
      </c>
      <c r="M5597" s="136">
        <f>M5596+K5597-L5597</f>
        <v>134260.74270333411</v>
      </c>
    </row>
    <row r="5598" spans="1:13">
      <c r="A5598" s="137" t="str">
        <f>D5598&amp;E5598&amp;F5598</f>
        <v>FINANZASCOMBUSTIBLE</v>
      </c>
      <c r="B5598" t="s">
        <v>2821</v>
      </c>
      <c r="C5598" s="1">
        <v>46020</v>
      </c>
      <c r="D5598" s="242" t="s">
        <v>23</v>
      </c>
      <c r="E5598" s="71" t="s">
        <v>32</v>
      </c>
      <c r="J5598" s="71" t="s">
        <v>564</v>
      </c>
      <c r="L5598" s="433">
        <v>25252.799999999999</v>
      </c>
      <c r="M5598" s="136">
        <f>M5597+K5598-L5598</f>
        <v>109007.94270333411</v>
      </c>
    </row>
    <row r="5599" spans="1:13">
      <c r="A5599" s="54" t="str">
        <f>D5599&amp;E5599&amp;F5599</f>
        <v>FINANZASPOSADASPOSADAS</v>
      </c>
      <c r="B5599" t="s">
        <v>2821</v>
      </c>
      <c r="C5599" s="1">
        <v>46020</v>
      </c>
      <c r="D5599" s="242" t="s">
        <v>23</v>
      </c>
      <c r="E5599" s="71" t="s">
        <v>163</v>
      </c>
      <c r="F5599" s="71" t="s">
        <v>163</v>
      </c>
      <c r="G5599" s="71" t="s">
        <v>258</v>
      </c>
      <c r="J5599" s="71" t="s">
        <v>3163</v>
      </c>
      <c r="L5599" s="433">
        <v>13000</v>
      </c>
      <c r="M5599" s="136">
        <f>M5598+K5599-L5599</f>
        <v>96007.942703334105</v>
      </c>
    </row>
    <row r="5600" spans="1:13">
      <c r="A5600" s="54" t="str">
        <f>D5600&amp;E5600&amp;F5600</f>
        <v>SERVICIOSVIATICOSCEDIS</v>
      </c>
      <c r="B5600" t="s">
        <v>2821</v>
      </c>
      <c r="C5600" s="1">
        <v>46020</v>
      </c>
      <c r="D5600" s="242" t="s">
        <v>21</v>
      </c>
      <c r="E5600" s="71" t="s">
        <v>191</v>
      </c>
      <c r="F5600" s="71" t="s">
        <v>28</v>
      </c>
      <c r="J5600" s="71" t="s">
        <v>700</v>
      </c>
      <c r="L5600" s="433">
        <v>2450</v>
      </c>
      <c r="M5600" s="136">
        <f>M5599+K5600-L5600</f>
        <v>93557.942703334105</v>
      </c>
    </row>
    <row r="5601" spans="1:13">
      <c r="A5601" s="54" t="str">
        <f>D5601&amp;E5601&amp;F5601</f>
        <v>HRVIATICOSHR</v>
      </c>
      <c r="B5601" t="s">
        <v>2821</v>
      </c>
      <c r="C5601" s="1">
        <v>46020</v>
      </c>
      <c r="D5601" s="242" t="s">
        <v>29</v>
      </c>
      <c r="E5601" s="71" t="s">
        <v>191</v>
      </c>
      <c r="F5601" s="71" t="s">
        <v>29</v>
      </c>
      <c r="J5601" s="71" t="s">
        <v>3164</v>
      </c>
      <c r="L5601" s="433">
        <v>4800</v>
      </c>
      <c r="M5601" s="136">
        <f>M5600+K5601-L5601</f>
        <v>88757.942703334105</v>
      </c>
    </row>
    <row r="5602" spans="1:13">
      <c r="A5602" s="54" t="str">
        <f>D5602&amp;E5602&amp;F5602</f>
        <v>SERVICIOSGASCEDIS</v>
      </c>
      <c r="B5602" t="s">
        <v>2821</v>
      </c>
      <c r="C5602" s="1">
        <v>46020</v>
      </c>
      <c r="D5602" s="242" t="s">
        <v>21</v>
      </c>
      <c r="E5602" s="71" t="s">
        <v>122</v>
      </c>
      <c r="F5602" s="71" t="s">
        <v>28</v>
      </c>
      <c r="J5602" s="71" t="s">
        <v>3165</v>
      </c>
      <c r="L5602" s="433">
        <v>300</v>
      </c>
      <c r="M5602" s="136">
        <f>M5601+K5602-L5602</f>
        <v>88457.942703334105</v>
      </c>
    </row>
    <row r="5603" spans="1:13">
      <c r="A5603" s="54" t="str">
        <f>D5603&amp;E5603&amp;F5603</f>
        <v>FINANZASVIATICOSFINANZAS</v>
      </c>
      <c r="B5603" t="s">
        <v>2821</v>
      </c>
      <c r="C5603" s="1">
        <v>46020</v>
      </c>
      <c r="D5603" s="242" t="s">
        <v>23</v>
      </c>
      <c r="E5603" s="71" t="s">
        <v>191</v>
      </c>
      <c r="F5603" s="71" t="s">
        <v>23</v>
      </c>
      <c r="J5603" s="71" t="s">
        <v>1869</v>
      </c>
      <c r="L5603" s="433">
        <v>300</v>
      </c>
      <c r="M5603" s="136">
        <f>M5602+K5603-L5603</f>
        <v>88157.942703334105</v>
      </c>
    </row>
    <row r="5604" spans="1:13">
      <c r="A5604" s="54" t="str">
        <f>D5604&amp;E5604&amp;F5604</f>
        <v>FINANZASCOMBUSTIBLEFINANZAS</v>
      </c>
      <c r="B5604" t="s">
        <v>2821</v>
      </c>
      <c r="C5604" s="1">
        <v>46020</v>
      </c>
      <c r="D5604" s="242" t="s">
        <v>23</v>
      </c>
      <c r="E5604" s="71" t="s">
        <v>32</v>
      </c>
      <c r="F5604" s="71" t="s">
        <v>23</v>
      </c>
      <c r="J5604" s="71" t="s">
        <v>3166</v>
      </c>
      <c r="L5604" s="433">
        <v>1500</v>
      </c>
      <c r="M5604" s="136">
        <f>M5603+K5604-L5604</f>
        <v>86657.942703334105</v>
      </c>
    </row>
    <row r="5605" spans="1:13">
      <c r="A5605" s="54" t="str">
        <f>D5605&amp;E5605&amp;F5605</f>
        <v>FINANZASTELEFONIATELCEL</v>
      </c>
      <c r="B5605" t="s">
        <v>2821</v>
      </c>
      <c r="C5605" s="1">
        <v>46020</v>
      </c>
      <c r="D5605" s="242" t="s">
        <v>23</v>
      </c>
      <c r="E5605" s="71" t="s">
        <v>181</v>
      </c>
      <c r="F5605" s="71" t="s">
        <v>183</v>
      </c>
      <c r="J5605" s="71" t="s">
        <v>454</v>
      </c>
      <c r="L5605" s="433">
        <v>270</v>
      </c>
      <c r="M5605" s="136">
        <f>M5604+K5605-L5605</f>
        <v>86387.942703334105</v>
      </c>
    </row>
    <row r="5606" spans="1:13">
      <c r="A5606" s="54" t="str">
        <f>D5606&amp;E5606&amp;F5606</f>
        <v>FINANZASCUOTAS Y SUSCRIPCIONESTRAMITES</v>
      </c>
      <c r="B5606" t="s">
        <v>2821</v>
      </c>
      <c r="C5606" s="1">
        <v>46020</v>
      </c>
      <c r="D5606" s="242" t="s">
        <v>23</v>
      </c>
      <c r="E5606" s="71" t="s">
        <v>51</v>
      </c>
      <c r="F5606" s="71" t="s">
        <v>81</v>
      </c>
      <c r="G5606" s="71" t="s">
        <v>258</v>
      </c>
      <c r="J5606" s="71" t="s">
        <v>3167</v>
      </c>
      <c r="L5606" s="433">
        <v>447</v>
      </c>
      <c r="M5606" s="136">
        <f>M5605+K5606-L5606</f>
        <v>85940.942703334105</v>
      </c>
    </row>
    <row r="5607" spans="1:13">
      <c r="A5607" s="54" t="str">
        <f>D5607&amp;E5607&amp;F5607</f>
        <v>CAPUBERCAP</v>
      </c>
      <c r="B5607" t="s">
        <v>2821</v>
      </c>
      <c r="C5607" s="1">
        <v>46020</v>
      </c>
      <c r="D5607" s="242" t="s">
        <v>31</v>
      </c>
      <c r="E5607" s="71" t="s">
        <v>189</v>
      </c>
      <c r="F5607" s="71" t="s">
        <v>31</v>
      </c>
      <c r="J5607" s="71" t="s">
        <v>3041</v>
      </c>
      <c r="L5607" s="523">
        <v>350</v>
      </c>
      <c r="M5607" s="136">
        <f>M5606+K5607-L5607</f>
        <v>85590.942703334105</v>
      </c>
    </row>
    <row r="5608" spans="1:13">
      <c r="A5608" s="54" t="str">
        <f>D5608&amp;E5608&amp;F5608</f>
        <v>CAPUBERCAP</v>
      </c>
      <c r="B5608" t="s">
        <v>2821</v>
      </c>
      <c r="C5608" s="1">
        <v>46020</v>
      </c>
      <c r="D5608" s="242" t="s">
        <v>31</v>
      </c>
      <c r="E5608" s="71" t="s">
        <v>189</v>
      </c>
      <c r="F5608" s="71" t="s">
        <v>31</v>
      </c>
      <c r="J5608" s="71" t="s">
        <v>2267</v>
      </c>
      <c r="L5608" s="523">
        <v>712</v>
      </c>
      <c r="M5608" s="136">
        <f>M5607+K5608-L5608</f>
        <v>84878.942703334105</v>
      </c>
    </row>
    <row r="5609" spans="1:13">
      <c r="A5609" s="54" t="str">
        <f>D5609&amp;E5609&amp;F5609</f>
        <v>CAPNOMINA SUCURSALE2</v>
      </c>
      <c r="B5609" t="s">
        <v>2821</v>
      </c>
      <c r="C5609" s="1">
        <v>46020</v>
      </c>
      <c r="D5609" s="242" t="s">
        <v>31</v>
      </c>
      <c r="E5609" s="71" t="s">
        <v>154</v>
      </c>
      <c r="F5609" s="71" t="s">
        <v>108</v>
      </c>
      <c r="J5609" s="71" t="s">
        <v>3136</v>
      </c>
      <c r="L5609" s="433">
        <v>600</v>
      </c>
      <c r="M5609" s="136">
        <f>M5608+K5609-L5609</f>
        <v>84278.942703334105</v>
      </c>
    </row>
    <row r="5610" spans="1:13">
      <c r="A5610" s="54" t="str">
        <f>D5610&amp;E5610&amp;F5610</f>
        <v>CAPUBERCAP</v>
      </c>
      <c r="B5610" t="s">
        <v>2821</v>
      </c>
      <c r="C5610" s="1">
        <v>46020</v>
      </c>
      <c r="D5610" s="242" t="s">
        <v>31</v>
      </c>
      <c r="E5610" s="71" t="s">
        <v>189</v>
      </c>
      <c r="F5610" s="71" t="s">
        <v>31</v>
      </c>
      <c r="J5610" s="71" t="s">
        <v>2537</v>
      </c>
      <c r="L5610" s="523">
        <v>600</v>
      </c>
      <c r="M5610" s="136">
        <f>M5609+K5610-L5610</f>
        <v>83678.942703334105</v>
      </c>
    </row>
    <row r="5611" spans="1:13">
      <c r="A5611" s="54" t="str">
        <f>D5611&amp;E5611&amp;F5611</f>
        <v>CAPNOMINA SUCURSALE4</v>
      </c>
      <c r="B5611" t="s">
        <v>2821</v>
      </c>
      <c r="C5611" s="1">
        <v>46020</v>
      </c>
      <c r="D5611" s="242" t="s">
        <v>31</v>
      </c>
      <c r="E5611" s="71" t="s">
        <v>154</v>
      </c>
      <c r="F5611" s="71" t="s">
        <v>110</v>
      </c>
      <c r="J5611" s="71" t="s">
        <v>2796</v>
      </c>
      <c r="L5611" s="433">
        <v>2403</v>
      </c>
      <c r="M5611" s="136">
        <f>M5610+K5611-L5611</f>
        <v>81275.942703334105</v>
      </c>
    </row>
    <row r="5612" spans="1:13">
      <c r="A5612" s="54" t="str">
        <f>D5612&amp;E5612&amp;F5612</f>
        <v>CAPUBERCAP</v>
      </c>
      <c r="B5612" t="s">
        <v>2821</v>
      </c>
      <c r="C5612" s="1">
        <v>46020</v>
      </c>
      <c r="D5612" s="242" t="s">
        <v>31</v>
      </c>
      <c r="E5612" s="71" t="s">
        <v>189</v>
      </c>
      <c r="F5612" s="71" t="s">
        <v>31</v>
      </c>
      <c r="J5612" s="71" t="s">
        <v>2268</v>
      </c>
      <c r="L5612" s="523">
        <v>600</v>
      </c>
      <c r="M5612" s="136">
        <f>M5611+K5612-L5612</f>
        <v>80675.942703334105</v>
      </c>
    </row>
    <row r="5613" spans="1:13">
      <c r="A5613" s="54" t="str">
        <f>D5613&amp;E5613&amp;F5613</f>
        <v>CAPINSUMOSCAPRICHOS</v>
      </c>
      <c r="B5613" t="s">
        <v>2821</v>
      </c>
      <c r="C5613" s="1">
        <v>46020</v>
      </c>
      <c r="D5613" s="242" t="s">
        <v>31</v>
      </c>
      <c r="E5613" s="71" t="s">
        <v>133</v>
      </c>
      <c r="F5613" s="71" t="s">
        <v>33</v>
      </c>
      <c r="J5613" s="71" t="s">
        <v>2926</v>
      </c>
      <c r="L5613" s="208">
        <v>600</v>
      </c>
      <c r="M5613" s="136">
        <f>M5612+K5613-L5613</f>
        <v>80075.942703334105</v>
      </c>
    </row>
    <row r="5614" spans="1:13">
      <c r="A5614" s="54" t="str">
        <f>D5614&amp;E5614&amp;F5614</f>
        <v>CAPUBERCAP</v>
      </c>
      <c r="B5614" t="s">
        <v>2821</v>
      </c>
      <c r="C5614" s="1">
        <v>46020</v>
      </c>
      <c r="D5614" s="242" t="s">
        <v>31</v>
      </c>
      <c r="E5614" s="71" t="s">
        <v>189</v>
      </c>
      <c r="F5614" s="71" t="s">
        <v>31</v>
      </c>
      <c r="J5614" s="71" t="s">
        <v>2842</v>
      </c>
      <c r="L5614" s="524">
        <v>310</v>
      </c>
      <c r="M5614" s="136">
        <f>M5613+K5614-L5614</f>
        <v>79765.942703334105</v>
      </c>
    </row>
    <row r="5615" spans="1:13">
      <c r="A5615" s="54" t="str">
        <f>D5615&amp;E5615&amp;F5615</f>
        <v>CAPINSUMOSCAPRICHOS</v>
      </c>
      <c r="B5615" t="s">
        <v>2821</v>
      </c>
      <c r="C5615" s="1">
        <v>46020</v>
      </c>
      <c r="D5615" s="242" t="s">
        <v>31</v>
      </c>
      <c r="E5615" s="71" t="s">
        <v>133</v>
      </c>
      <c r="F5615" s="71" t="s">
        <v>33</v>
      </c>
      <c r="J5615" s="71" t="s">
        <v>2335</v>
      </c>
      <c r="L5615" s="208">
        <v>110</v>
      </c>
      <c r="M5615" s="136">
        <f>M5614+K5615-L5615</f>
        <v>79655.942703334105</v>
      </c>
    </row>
    <row r="5616" spans="1:13">
      <c r="A5616" s="54" t="str">
        <f>D5616&amp;E5616&amp;F5616</f>
        <v>CAPUBERCAP</v>
      </c>
      <c r="B5616" t="s">
        <v>2821</v>
      </c>
      <c r="C5616" s="1">
        <v>46020</v>
      </c>
      <c r="D5616" s="242" t="s">
        <v>31</v>
      </c>
      <c r="E5616" s="71" t="s">
        <v>189</v>
      </c>
      <c r="F5616" s="71" t="s">
        <v>31</v>
      </c>
      <c r="J5616" s="71" t="s">
        <v>2878</v>
      </c>
      <c r="L5616" s="523">
        <v>100</v>
      </c>
      <c r="M5616" s="136">
        <f>M5615+K5616-L5616</f>
        <v>79555.942703334105</v>
      </c>
    </row>
    <row r="5617" spans="1:13">
      <c r="A5617" s="54" t="str">
        <f>D5617&amp;E5617&amp;F5617</f>
        <v>CAPNOMINA SUCURSALE8</v>
      </c>
      <c r="B5617" t="s">
        <v>2821</v>
      </c>
      <c r="C5617" s="1">
        <v>46020</v>
      </c>
      <c r="D5617" s="242" t="s">
        <v>31</v>
      </c>
      <c r="E5617" s="71" t="s">
        <v>154</v>
      </c>
      <c r="F5617" s="71" t="s">
        <v>114</v>
      </c>
      <c r="J5617" s="71" t="s">
        <v>3115</v>
      </c>
      <c r="L5617" s="433">
        <v>3033</v>
      </c>
      <c r="M5617" s="136">
        <f>M5616+K5617-L5617</f>
        <v>76522.942703334105</v>
      </c>
    </row>
    <row r="5618" spans="1:13">
      <c r="A5618" s="54" t="str">
        <f>D5618&amp;E5618&amp;F5618</f>
        <v>CAPNOMINA SUCURSALE9</v>
      </c>
      <c r="B5618" t="s">
        <v>2821</v>
      </c>
      <c r="C5618" s="1">
        <v>46020</v>
      </c>
      <c r="D5618" s="242" t="s">
        <v>31</v>
      </c>
      <c r="E5618" s="71" t="s">
        <v>154</v>
      </c>
      <c r="F5618" s="71" t="s">
        <v>116</v>
      </c>
      <c r="J5618" s="71" t="s">
        <v>3168</v>
      </c>
      <c r="L5618" s="433">
        <v>4102</v>
      </c>
      <c r="M5618" s="136">
        <f>M5617+K5618-L5618</f>
        <v>72420.942703334105</v>
      </c>
    </row>
    <row r="5619" spans="1:13">
      <c r="A5619" s="54" t="str">
        <f>D5619&amp;E5619&amp;F5619</f>
        <v>HRNOMINA SUCURSALA3</v>
      </c>
      <c r="B5619" t="s">
        <v>2821</v>
      </c>
      <c r="C5619" s="1">
        <v>46020</v>
      </c>
      <c r="D5619" s="242" t="s">
        <v>29</v>
      </c>
      <c r="E5619" s="71" t="s">
        <v>154</v>
      </c>
      <c r="F5619" s="71" t="s">
        <v>90</v>
      </c>
      <c r="J5619" s="71" t="s">
        <v>2917</v>
      </c>
      <c r="L5619" s="433">
        <v>1140</v>
      </c>
      <c r="M5619" s="136">
        <f>M5618+K5619-L5619</f>
        <v>71280.942703334105</v>
      </c>
    </row>
    <row r="5620" spans="1:13">
      <c r="A5620" s="54" t="str">
        <f>D5620&amp;E5620&amp;F5620</f>
        <v>HRNOMINA SUCURSALA8</v>
      </c>
      <c r="B5620" t="s">
        <v>2821</v>
      </c>
      <c r="C5620" s="1">
        <v>46020</v>
      </c>
      <c r="D5620" s="242" t="s">
        <v>29</v>
      </c>
      <c r="E5620" s="71" t="s">
        <v>154</v>
      </c>
      <c r="F5620" s="71" t="s">
        <v>94</v>
      </c>
      <c r="J5620" s="71" t="s">
        <v>3169</v>
      </c>
      <c r="L5620" s="208">
        <v>2500</v>
      </c>
      <c r="M5620" s="136">
        <f>M5619+K5620-L5620</f>
        <v>68780.942703334105</v>
      </c>
    </row>
    <row r="5621" spans="1:13">
      <c r="A5621" s="54" t="str">
        <f>D5621&amp;E5621&amp;F5621</f>
        <v>HRNOMINA SUCURSALA10</v>
      </c>
      <c r="B5621" t="s">
        <v>2821</v>
      </c>
      <c r="C5621" s="1">
        <v>46020</v>
      </c>
      <c r="D5621" s="242" t="s">
        <v>29</v>
      </c>
      <c r="E5621" s="71" t="s">
        <v>154</v>
      </c>
      <c r="F5621" s="71" t="s">
        <v>96</v>
      </c>
      <c r="J5621" s="71" t="s">
        <v>2766</v>
      </c>
      <c r="L5621" s="208">
        <v>6448</v>
      </c>
      <c r="M5621" s="136">
        <f>M5620+K5621-L5621</f>
        <v>62332.942703334105</v>
      </c>
    </row>
    <row r="5622" spans="1:13">
      <c r="A5622" s="54" t="str">
        <f>D5622&amp;E5622&amp;F5622</f>
        <v>HRFONDO Y REPOSICIONHR</v>
      </c>
      <c r="B5622" t="s">
        <v>2821</v>
      </c>
      <c r="C5622" s="1">
        <v>46020</v>
      </c>
      <c r="D5622" s="242" t="s">
        <v>29</v>
      </c>
      <c r="E5622" s="71" t="s">
        <v>120</v>
      </c>
      <c r="F5622" s="71" t="s">
        <v>29</v>
      </c>
      <c r="J5622" s="71" t="s">
        <v>3170</v>
      </c>
      <c r="L5622" s="208">
        <v>1452</v>
      </c>
      <c r="M5622" s="136">
        <f>M5621+K5622-L5622</f>
        <v>60880.942703334105</v>
      </c>
    </row>
    <row r="5623" spans="1:13">
      <c r="A5623" s="54" t="str">
        <f>D5623&amp;E5623&amp;F5623</f>
        <v>HRINSUMOSHR</v>
      </c>
      <c r="B5623" t="s">
        <v>2821</v>
      </c>
      <c r="C5623" s="1">
        <v>46020</v>
      </c>
      <c r="D5623" s="242" t="s">
        <v>29</v>
      </c>
      <c r="E5623" s="71" t="s">
        <v>133</v>
      </c>
      <c r="F5623" s="71" t="s">
        <v>29</v>
      </c>
      <c r="J5623" s="71" t="s">
        <v>2343</v>
      </c>
      <c r="L5623" s="208">
        <v>149</v>
      </c>
      <c r="M5623" s="136">
        <f>M5622+K5623-L5623</f>
        <v>60731.942703334105</v>
      </c>
    </row>
    <row r="5624" spans="1:13">
      <c r="A5624" s="54" t="str">
        <f>D5624&amp;E5624&amp;F5624</f>
        <v>HRNOMINA SUCURSALA17</v>
      </c>
      <c r="B5624" t="s">
        <v>2821</v>
      </c>
      <c r="C5624" s="1">
        <v>46020</v>
      </c>
      <c r="D5624" s="242" t="s">
        <v>29</v>
      </c>
      <c r="E5624" s="71" t="s">
        <v>154</v>
      </c>
      <c r="F5624" s="71" t="s">
        <v>102</v>
      </c>
      <c r="J5624" s="71" t="s">
        <v>3079</v>
      </c>
      <c r="L5624" s="433">
        <v>3145</v>
      </c>
      <c r="M5624" s="136">
        <f>M5623+K5624-L5624</f>
        <v>57586.942703334105</v>
      </c>
    </row>
    <row r="5625" spans="1:13">
      <c r="A5625" s="54" t="str">
        <f>D5625&amp;E5625&amp;F5625</f>
        <v>HRINSUMOSHR</v>
      </c>
      <c r="B5625" t="s">
        <v>2821</v>
      </c>
      <c r="C5625" s="1">
        <v>46020</v>
      </c>
      <c r="D5625" s="242" t="s">
        <v>29</v>
      </c>
      <c r="E5625" s="71" t="s">
        <v>133</v>
      </c>
      <c r="F5625" s="71" t="s">
        <v>29</v>
      </c>
      <c r="J5625" s="71" t="s">
        <v>2405</v>
      </c>
      <c r="L5625" s="433">
        <v>40</v>
      </c>
      <c r="M5625" s="136">
        <f>M5624+K5625-L5625</f>
        <v>57546.942703334105</v>
      </c>
    </row>
    <row r="5626" spans="1:13">
      <c r="A5626" s="54" t="str">
        <f>D5626&amp;E5626&amp;F5626</f>
        <v>HRUBERHR</v>
      </c>
      <c r="B5626" t="s">
        <v>2821</v>
      </c>
      <c r="C5626" s="1">
        <v>46020</v>
      </c>
      <c r="D5626" s="242" t="s">
        <v>29</v>
      </c>
      <c r="E5626" s="71" t="s">
        <v>189</v>
      </c>
      <c r="F5626" s="71" t="s">
        <v>29</v>
      </c>
      <c r="J5626" s="71" t="s">
        <v>2366</v>
      </c>
      <c r="L5626" s="524">
        <v>300</v>
      </c>
      <c r="M5626" s="136">
        <f>M5625+K5626-L5626</f>
        <v>57246.942703334105</v>
      </c>
    </row>
    <row r="5627" spans="1:13">
      <c r="A5627" s="54" t="str">
        <f>D5627&amp;E5627&amp;F5627</f>
        <v>HRNOMINA SUCURSALA23</v>
      </c>
      <c r="B5627" t="s">
        <v>2821</v>
      </c>
      <c r="C5627" s="1">
        <v>46020</v>
      </c>
      <c r="D5627" s="242" t="s">
        <v>29</v>
      </c>
      <c r="E5627" s="71" t="s">
        <v>154</v>
      </c>
      <c r="F5627" s="71" t="s">
        <v>105</v>
      </c>
      <c r="J5627" s="71" t="s">
        <v>3110</v>
      </c>
      <c r="L5627" s="208">
        <v>500</v>
      </c>
      <c r="M5627" s="136">
        <f>M5626+K5627-L5627</f>
        <v>56746.942703334105</v>
      </c>
    </row>
    <row r="5628" spans="1:13">
      <c r="A5628" s="54" t="str">
        <f>D5628&amp;E5628&amp;F5628</f>
        <v>HRUBERHR</v>
      </c>
      <c r="B5628" t="s">
        <v>2821</v>
      </c>
      <c r="C5628" s="1">
        <v>46020</v>
      </c>
      <c r="D5628" s="242" t="s">
        <v>29</v>
      </c>
      <c r="E5628" s="71" t="s">
        <v>189</v>
      </c>
      <c r="F5628" s="71" t="s">
        <v>29</v>
      </c>
      <c r="J5628" s="71" t="s">
        <v>2435</v>
      </c>
      <c r="L5628" s="524">
        <v>200</v>
      </c>
      <c r="M5628" s="136">
        <f>M5627+K5628-L5628</f>
        <v>56546.942703334105</v>
      </c>
    </row>
    <row r="5629" spans="1:13">
      <c r="A5629" s="54" t="str">
        <f>D5629&amp;E5629&amp;F5629</f>
        <v>HRNOMINA SUCURSALA6</v>
      </c>
      <c r="B5629" t="s">
        <v>2821</v>
      </c>
      <c r="C5629" s="1">
        <v>46020</v>
      </c>
      <c r="D5629" s="242" t="s">
        <v>29</v>
      </c>
      <c r="E5629" s="71" t="s">
        <v>154</v>
      </c>
      <c r="F5629" s="71" t="s">
        <v>93</v>
      </c>
      <c r="J5629" s="71" t="s">
        <v>3102</v>
      </c>
      <c r="L5629" s="208">
        <v>800</v>
      </c>
      <c r="M5629" s="136">
        <f>M5628+K5629-L5629</f>
        <v>55746.942703334105</v>
      </c>
    </row>
    <row r="5630" spans="1:13">
      <c r="A5630" s="54" t="str">
        <f>D5630&amp;E5630&amp;F5630</f>
        <v>HRVIATICOSHR</v>
      </c>
      <c r="B5630" t="s">
        <v>2821</v>
      </c>
      <c r="C5630" s="1">
        <v>46020</v>
      </c>
      <c r="D5630" s="242" t="s">
        <v>29</v>
      </c>
      <c r="E5630" s="71" t="s">
        <v>191</v>
      </c>
      <c r="F5630" s="71" t="s">
        <v>29</v>
      </c>
      <c r="G5630" s="71" t="s">
        <v>258</v>
      </c>
      <c r="J5630" s="71" t="s">
        <v>3171</v>
      </c>
      <c r="L5630" s="208">
        <v>5000</v>
      </c>
      <c r="M5630" s="136">
        <f>M5629+K5630-L5630</f>
        <v>50746.942703334105</v>
      </c>
    </row>
    <row r="5631" spans="1:13">
      <c r="A5631" s="137" t="str">
        <f>D5631&amp;E5631&amp;F5631</f>
        <v/>
      </c>
      <c r="B5631" t="s">
        <v>2821</v>
      </c>
      <c r="C5631" s="1">
        <v>46021</v>
      </c>
      <c r="J5631" s="71" t="s">
        <v>2045</v>
      </c>
      <c r="K5631" s="325">
        <v>299099.34000000003</v>
      </c>
      <c r="L5631" s="432"/>
      <c r="M5631" s="136">
        <f>M5630+K5631-L5631</f>
        <v>349846.28270333412</v>
      </c>
    </row>
    <row r="5632" spans="1:13">
      <c r="A5632" s="137"/>
      <c r="B5632" t="s">
        <v>2821</v>
      </c>
      <c r="C5632" s="1">
        <v>46021</v>
      </c>
      <c r="J5632" s="71" t="s">
        <v>3172</v>
      </c>
      <c r="K5632" s="325">
        <v>114000</v>
      </c>
      <c r="L5632" s="432"/>
      <c r="M5632" s="136">
        <f>M5631+K5632-L5632</f>
        <v>463846.28270333412</v>
      </c>
    </row>
    <row r="5633" spans="1:13" ht="15.75" customHeight="1">
      <c r="A5633" s="54" t="str">
        <f>D5633&amp;E5633&amp;F5633</f>
        <v>FINANZASCOMISIONES BANCARIASTPV</v>
      </c>
      <c r="B5633" t="s">
        <v>2821</v>
      </c>
      <c r="C5633" s="1">
        <v>46021</v>
      </c>
      <c r="D5633" s="242" t="s">
        <v>23</v>
      </c>
      <c r="E5633" s="71" t="s">
        <v>48</v>
      </c>
      <c r="F5633" s="71" t="s">
        <v>50</v>
      </c>
      <c r="J5633" s="71" t="s">
        <v>217</v>
      </c>
      <c r="L5633" s="438">
        <f>2474.89+1856.5+1133+277.28+1017.67+56.5356+34.8</f>
        <v>6850.6755999999996</v>
      </c>
      <c r="M5633" s="136">
        <f>M5632+K5633-L5633</f>
        <v>456995.6071033341</v>
      </c>
    </row>
    <row r="5634" spans="1:13">
      <c r="A5634" s="137" t="str">
        <f>D5634&amp;E5634&amp;F5634</f>
        <v/>
      </c>
      <c r="B5634" t="s">
        <v>2821</v>
      </c>
      <c r="C5634" s="1">
        <v>46021</v>
      </c>
      <c r="J5634" s="205" t="s">
        <v>1562</v>
      </c>
      <c r="K5634" s="205"/>
      <c r="L5634" s="428">
        <v>5000</v>
      </c>
      <c r="M5634" s="136">
        <f>M5633+K5634-L5634</f>
        <v>451995.6071033341</v>
      </c>
    </row>
    <row r="5635" spans="1:13">
      <c r="A5635" s="137" t="str">
        <f>D5635&amp;E5635&amp;F5635</f>
        <v/>
      </c>
      <c r="B5635" t="s">
        <v>2821</v>
      </c>
      <c r="C5635" s="1">
        <v>46021</v>
      </c>
      <c r="J5635" s="205" t="s">
        <v>222</v>
      </c>
      <c r="K5635" s="205"/>
      <c r="L5635" s="205"/>
      <c r="M5635" s="136">
        <f>M5634+K5635-L5635</f>
        <v>451995.6071033341</v>
      </c>
    </row>
    <row r="5636" spans="1:13">
      <c r="A5636" s="54" t="str">
        <f>D5636&amp;E5636&amp;F5636</f>
        <v>CAPENERGIA ELECTRICAE5</v>
      </c>
      <c r="B5636" t="s">
        <v>2821</v>
      </c>
      <c r="C5636" s="1">
        <v>46021</v>
      </c>
      <c r="D5636" s="242" t="s">
        <v>31</v>
      </c>
      <c r="E5636" s="71" t="s">
        <v>87</v>
      </c>
      <c r="F5636" s="71" t="s">
        <v>111</v>
      </c>
      <c r="J5636" s="71" t="s">
        <v>3173</v>
      </c>
      <c r="L5636" s="208">
        <v>15419</v>
      </c>
      <c r="M5636" s="136">
        <f>M5635+K5636-L5636</f>
        <v>436576.6071033341</v>
      </c>
    </row>
    <row r="5637" spans="1:13">
      <c r="A5637" s="54" t="str">
        <f>D5637&amp;E5637&amp;F5637</f>
        <v>CAPVIATICOSCAPRICHOS</v>
      </c>
      <c r="B5637" t="s">
        <v>2821</v>
      </c>
      <c r="C5637" s="1">
        <v>46021</v>
      </c>
      <c r="D5637" s="242" t="s">
        <v>31</v>
      </c>
      <c r="E5637" s="71" t="s">
        <v>191</v>
      </c>
      <c r="F5637" s="71" t="s">
        <v>33</v>
      </c>
      <c r="J5637" s="71" t="s">
        <v>2641</v>
      </c>
      <c r="L5637" s="208">
        <v>2000</v>
      </c>
      <c r="M5637" s="136">
        <f>M5636+K5637-L5637</f>
        <v>434576.6071033341</v>
      </c>
    </row>
    <row r="5638" spans="1:13">
      <c r="A5638" s="54" t="str">
        <f>D5638&amp;E5638&amp;F5638</f>
        <v>HRFONDO Y REPOSICIONHR</v>
      </c>
      <c r="B5638" t="s">
        <v>2821</v>
      </c>
      <c r="C5638" s="1">
        <v>46021</v>
      </c>
      <c r="D5638" s="242" t="s">
        <v>29</v>
      </c>
      <c r="E5638" s="71" t="s">
        <v>120</v>
      </c>
      <c r="F5638" s="71" t="s">
        <v>29</v>
      </c>
      <c r="J5638" s="71" t="s">
        <v>3174</v>
      </c>
      <c r="L5638" s="433">
        <v>3500</v>
      </c>
      <c r="M5638" s="136">
        <f>M5637+K5638-L5638</f>
        <v>431076.6071033341</v>
      </c>
    </row>
    <row r="5639" spans="1:13">
      <c r="A5639" s="54" t="str">
        <f>D5639&amp;E5639&amp;F5639</f>
        <v>HRFONDO Y REPOSICIONHR</v>
      </c>
      <c r="B5639" t="s">
        <v>2821</v>
      </c>
      <c r="C5639" s="1">
        <v>46021</v>
      </c>
      <c r="D5639" s="242" t="s">
        <v>29</v>
      </c>
      <c r="E5639" s="71" t="s">
        <v>120</v>
      </c>
      <c r="F5639" s="71" t="s">
        <v>29</v>
      </c>
      <c r="J5639" s="71" t="s">
        <v>1624</v>
      </c>
      <c r="L5639" s="433">
        <v>4000</v>
      </c>
      <c r="M5639" s="136">
        <f>M5638+K5639-L5639</f>
        <v>427076.6071033341</v>
      </c>
    </row>
    <row r="5640" spans="1:13">
      <c r="A5640" s="54" t="str">
        <f>D5640&amp;E5640&amp;F5640</f>
        <v>HRFONDO Y REPOSICIONHR</v>
      </c>
      <c r="B5640" t="s">
        <v>2821</v>
      </c>
      <c r="C5640" s="1">
        <v>46021</v>
      </c>
      <c r="D5640" s="242" t="s">
        <v>29</v>
      </c>
      <c r="E5640" s="71" t="s">
        <v>120</v>
      </c>
      <c r="F5640" s="71" t="s">
        <v>29</v>
      </c>
      <c r="J5640" s="71" t="s">
        <v>3175</v>
      </c>
      <c r="L5640" s="433">
        <v>2500</v>
      </c>
      <c r="M5640" s="136">
        <f>M5639+K5640-L5640</f>
        <v>424576.6071033341</v>
      </c>
    </row>
    <row r="5641" spans="1:13">
      <c r="A5641" s="54" t="str">
        <f>D5641&amp;E5641&amp;F5641</f>
        <v>CAPFONDO Y REPOSICIONCAPRICHOS</v>
      </c>
      <c r="B5641" t="s">
        <v>2821</v>
      </c>
      <c r="C5641" s="1">
        <v>46021</v>
      </c>
      <c r="D5641" s="242" t="s">
        <v>31</v>
      </c>
      <c r="E5641" s="71" t="s">
        <v>120</v>
      </c>
      <c r="F5641" s="71" t="s">
        <v>33</v>
      </c>
      <c r="J5641" s="71" t="s">
        <v>1627</v>
      </c>
      <c r="L5641" s="433">
        <v>1626</v>
      </c>
      <c r="M5641" s="136">
        <f>M5640+K5641-L5641</f>
        <v>422950.6071033341</v>
      </c>
    </row>
    <row r="5642" spans="1:13">
      <c r="A5642" s="54" t="str">
        <f>D5642&amp;E5642&amp;F5642</f>
        <v>CAPFONDO Y REPOSICIONCAPRICHOS</v>
      </c>
      <c r="B5642" t="s">
        <v>2821</v>
      </c>
      <c r="C5642" s="1">
        <v>46021</v>
      </c>
      <c r="D5642" s="242" t="s">
        <v>31</v>
      </c>
      <c r="E5642" s="71" t="s">
        <v>120</v>
      </c>
      <c r="F5642" s="71" t="s">
        <v>33</v>
      </c>
      <c r="J5642" s="71" t="s">
        <v>1626</v>
      </c>
      <c r="L5642" s="433">
        <v>5528</v>
      </c>
      <c r="M5642" s="136">
        <f>M5641+K5642-L5642</f>
        <v>417422.6071033341</v>
      </c>
    </row>
    <row r="5643" spans="1:13">
      <c r="A5643" s="54" t="str">
        <f>D5643&amp;E5643&amp;F5643</f>
        <v>SERVICIOSVIATICOSMANTENIMIENTO</v>
      </c>
      <c r="B5643" t="s">
        <v>2821</v>
      </c>
      <c r="C5643" s="1">
        <v>46021</v>
      </c>
      <c r="D5643" s="242" t="s">
        <v>21</v>
      </c>
      <c r="E5643" s="71" t="s">
        <v>191</v>
      </c>
      <c r="F5643" s="71" t="s">
        <v>35</v>
      </c>
      <c r="J5643" s="71" t="s">
        <v>424</v>
      </c>
      <c r="L5643" s="433">
        <v>900</v>
      </c>
      <c r="M5643" s="136">
        <f>M5642+K5643-L5643</f>
        <v>416522.6071033341</v>
      </c>
    </row>
    <row r="5644" spans="1:13">
      <c r="A5644" s="54" t="str">
        <f>D5644&amp;E5644&amp;F5644</f>
        <v>SERVICIOSADQ DE EQ TECNOLOGICOADQ DE EQ TECNOLOGICO</v>
      </c>
      <c r="B5644" t="s">
        <v>2821</v>
      </c>
      <c r="C5644" s="1">
        <v>46021</v>
      </c>
      <c r="D5644" s="242" t="s">
        <v>21</v>
      </c>
      <c r="E5644" s="71" t="s">
        <v>22</v>
      </c>
      <c r="F5644" s="71" t="s">
        <v>22</v>
      </c>
      <c r="G5644" s="71" t="s">
        <v>258</v>
      </c>
      <c r="J5644" s="71" t="s">
        <v>3176</v>
      </c>
      <c r="L5644" s="433">
        <v>1499.01</v>
      </c>
      <c r="M5644" s="136">
        <f>M5643+K5644-L5644</f>
        <v>415023.59710333409</v>
      </c>
    </row>
    <row r="5645" spans="1:13">
      <c r="A5645" s="54" t="str">
        <f>D5645&amp;E5645&amp;F5645</f>
        <v>SERVICIOSADQ DE EQ TECNOLOGICOADQ DE EQ TECNOLOGICO</v>
      </c>
      <c r="B5645" t="s">
        <v>2821</v>
      </c>
      <c r="C5645" s="1">
        <v>46021</v>
      </c>
      <c r="D5645" s="242" t="s">
        <v>21</v>
      </c>
      <c r="E5645" s="71" t="s">
        <v>22</v>
      </c>
      <c r="F5645" s="71" t="s">
        <v>22</v>
      </c>
      <c r="G5645" s="71" t="s">
        <v>258</v>
      </c>
      <c r="J5645" s="71" t="s">
        <v>3177</v>
      </c>
      <c r="L5645" s="433">
        <v>50</v>
      </c>
      <c r="M5645" s="136">
        <f>M5644+K5645-L5645</f>
        <v>414973.59710333409</v>
      </c>
    </row>
    <row r="5646" spans="1:13">
      <c r="A5646" s="54" t="str">
        <f>D5646&amp;E5646&amp;F5646</f>
        <v>SERVICIOSMTTO DE EDIFICIOMANTENIMIENTO</v>
      </c>
      <c r="B5646" t="s">
        <v>2821</v>
      </c>
      <c r="C5646" s="1">
        <v>46021</v>
      </c>
      <c r="D5646" s="242" t="s">
        <v>21</v>
      </c>
      <c r="E5646" s="71" t="s">
        <v>142</v>
      </c>
      <c r="F5646" s="71" t="s">
        <v>35</v>
      </c>
      <c r="J5646" s="71" t="s">
        <v>3178</v>
      </c>
      <c r="L5646" s="433">
        <v>9933.2199999999993</v>
      </c>
      <c r="M5646" s="136">
        <f>M5645+K5646-L5646</f>
        <v>405040.37710333412</v>
      </c>
    </row>
    <row r="5647" spans="1:13">
      <c r="A5647" s="54" t="str">
        <f>D5647&amp;E5647&amp;F5647</f>
        <v>SERVICIOSMTTO DE EDIFICIOMANTENIMIENTO</v>
      </c>
      <c r="B5647" t="s">
        <v>2821</v>
      </c>
      <c r="C5647" s="1">
        <v>46021</v>
      </c>
      <c r="D5647" s="242" t="s">
        <v>21</v>
      </c>
      <c r="E5647" s="71" t="s">
        <v>142</v>
      </c>
      <c r="F5647" s="71" t="s">
        <v>35</v>
      </c>
      <c r="J5647" s="71" t="s">
        <v>3179</v>
      </c>
      <c r="L5647" s="433">
        <v>472.54</v>
      </c>
      <c r="M5647" s="136">
        <f>M5646+K5647-L5647</f>
        <v>404567.83710333414</v>
      </c>
    </row>
    <row r="5648" spans="1:13">
      <c r="A5648" s="54" t="str">
        <f>D5648&amp;E5648&amp;F5648</f>
        <v>FINANZASPOSADASPOSADAS</v>
      </c>
      <c r="B5648" t="s">
        <v>2821</v>
      </c>
      <c r="C5648" s="1">
        <v>46021</v>
      </c>
      <c r="D5648" s="242" t="s">
        <v>23</v>
      </c>
      <c r="E5648" s="71" t="s">
        <v>163</v>
      </c>
      <c r="F5648" s="71" t="s">
        <v>163</v>
      </c>
      <c r="J5648" s="71" t="s">
        <v>3180</v>
      </c>
      <c r="L5648" s="433">
        <v>900</v>
      </c>
      <c r="M5648" s="136">
        <f>M5647+K5648-L5648</f>
        <v>403667.83710333414</v>
      </c>
    </row>
    <row r="5649" spans="1:13">
      <c r="A5649" s="54" t="str">
        <f>D5649&amp;E5649&amp;F5649</f>
        <v>FINANZASFONDO Y REPOSICIONFINANZAS</v>
      </c>
      <c r="B5649" t="s">
        <v>2821</v>
      </c>
      <c r="C5649" s="1">
        <v>46021</v>
      </c>
      <c r="D5649" s="242" t="s">
        <v>23</v>
      </c>
      <c r="E5649" s="71" t="s">
        <v>120</v>
      </c>
      <c r="F5649" s="71" t="s">
        <v>23</v>
      </c>
      <c r="J5649" s="71" t="s">
        <v>3181</v>
      </c>
      <c r="L5649" s="433">
        <v>90</v>
      </c>
      <c r="M5649" s="136">
        <f>M5648+K5649-L5649</f>
        <v>403577.83710333414</v>
      </c>
    </row>
    <row r="5650" spans="1:13">
      <c r="A5650" s="54" t="str">
        <f>D5650&amp;E5650&amp;F5650</f>
        <v>FINANZASFONDO Y REPOSICIONFINANZAS</v>
      </c>
      <c r="B5650" t="s">
        <v>2821</v>
      </c>
      <c r="C5650" s="1">
        <v>46021</v>
      </c>
      <c r="D5650" s="242" t="s">
        <v>23</v>
      </c>
      <c r="E5650" s="71" t="s">
        <v>120</v>
      </c>
      <c r="F5650" s="71" t="s">
        <v>23</v>
      </c>
      <c r="J5650" s="71" t="s">
        <v>818</v>
      </c>
      <c r="L5650" s="433">
        <v>50</v>
      </c>
      <c r="M5650" s="136">
        <f>M5649+K5650-L5650</f>
        <v>403527.83710333414</v>
      </c>
    </row>
    <row r="5651" spans="1:13">
      <c r="A5651" s="54" t="str">
        <f>D5651&amp;E5651&amp;F5651</f>
        <v>FINANZASVIATICOSFINANZAS</v>
      </c>
      <c r="B5651" t="s">
        <v>2821</v>
      </c>
      <c r="C5651" s="1">
        <v>46021</v>
      </c>
      <c r="D5651" s="242" t="s">
        <v>23</v>
      </c>
      <c r="E5651" s="71" t="s">
        <v>191</v>
      </c>
      <c r="F5651" s="71" t="s">
        <v>23</v>
      </c>
      <c r="G5651" s="71" t="s">
        <v>258</v>
      </c>
      <c r="J5651" s="71" t="s">
        <v>3182</v>
      </c>
      <c r="L5651" s="433">
        <v>420</v>
      </c>
      <c r="M5651" s="136">
        <f>M5650+K5651-L5651</f>
        <v>403107.83710333414</v>
      </c>
    </row>
    <row r="5652" spans="1:13">
      <c r="A5652" s="54" t="str">
        <f>D5652&amp;E5652&amp;F5652</f>
        <v>SERVICIOSGASCEDIS</v>
      </c>
      <c r="B5652" t="s">
        <v>2821</v>
      </c>
      <c r="C5652" s="1">
        <v>46021</v>
      </c>
      <c r="D5652" s="242" t="s">
        <v>21</v>
      </c>
      <c r="E5652" s="71" t="s">
        <v>122</v>
      </c>
      <c r="F5652" s="71" t="s">
        <v>28</v>
      </c>
      <c r="J5652" s="71" t="s">
        <v>2571</v>
      </c>
      <c r="L5652" s="433">
        <v>300</v>
      </c>
      <c r="M5652" s="136">
        <f>M5651+K5652-L5652</f>
        <v>402807.83710333414</v>
      </c>
    </row>
    <row r="5653" spans="1:13">
      <c r="A5653" s="54" t="str">
        <f>D5653&amp;E5653&amp;F5653</f>
        <v>SERVICIOSVIATICOSCEDIS</v>
      </c>
      <c r="B5653" t="s">
        <v>2821</v>
      </c>
      <c r="C5653" s="1">
        <v>46021</v>
      </c>
      <c r="D5653" s="242" t="s">
        <v>21</v>
      </c>
      <c r="E5653" s="71" t="s">
        <v>191</v>
      </c>
      <c r="F5653" s="71" t="s">
        <v>28</v>
      </c>
      <c r="J5653" s="71" t="s">
        <v>1950</v>
      </c>
      <c r="L5653" s="433">
        <v>1100</v>
      </c>
      <c r="M5653" s="136">
        <f>M5652+K5653-L5653</f>
        <v>401707.83710333414</v>
      </c>
    </row>
    <row r="5654" spans="1:13">
      <c r="A5654" s="54" t="str">
        <f>D5654&amp;E5654&amp;F5654</f>
        <v>SERVICIOSVIATICOSCEDIS</v>
      </c>
      <c r="B5654" t="s">
        <v>2821</v>
      </c>
      <c r="C5654" s="1">
        <v>46021</v>
      </c>
      <c r="D5654" s="242" t="s">
        <v>21</v>
      </c>
      <c r="E5654" s="71" t="s">
        <v>191</v>
      </c>
      <c r="F5654" s="71" t="s">
        <v>28</v>
      </c>
      <c r="J5654" s="71" t="s">
        <v>3183</v>
      </c>
      <c r="L5654" s="433">
        <v>2450</v>
      </c>
      <c r="M5654" s="136">
        <f>M5653+K5654-L5654</f>
        <v>399257.83710333414</v>
      </c>
    </row>
    <row r="5655" spans="1:13">
      <c r="A5655" s="54" t="str">
        <f>D5655&amp;E5655&amp;F5655</f>
        <v>SERVICIOSVIATICOSCEDIS</v>
      </c>
      <c r="B5655" t="s">
        <v>2821</v>
      </c>
      <c r="C5655" s="1">
        <v>46021</v>
      </c>
      <c r="D5655" s="242" t="s">
        <v>21</v>
      </c>
      <c r="E5655" s="71" t="s">
        <v>191</v>
      </c>
      <c r="F5655" s="71" t="s">
        <v>28</v>
      </c>
      <c r="J5655" s="71" t="s">
        <v>646</v>
      </c>
      <c r="L5655" s="208">
        <v>2450</v>
      </c>
      <c r="M5655" s="136">
        <f>M5654+K5655-L5655</f>
        <v>396807.83710333414</v>
      </c>
    </row>
    <row r="5656" spans="1:13">
      <c r="A5656" s="54" t="str">
        <f>D5656&amp;E5656&amp;F5656</f>
        <v>FINANZASFONDO Y REPOSICIONFINANZAS</v>
      </c>
      <c r="B5656" t="s">
        <v>2821</v>
      </c>
      <c r="C5656" s="1">
        <v>46021</v>
      </c>
      <c r="D5656" s="242" t="s">
        <v>23</v>
      </c>
      <c r="E5656" s="71" t="s">
        <v>120</v>
      </c>
      <c r="F5656" s="71" t="s">
        <v>23</v>
      </c>
      <c r="J5656" s="71" t="s">
        <v>2007</v>
      </c>
      <c r="L5656" s="208">
        <v>1982</v>
      </c>
      <c r="M5656" s="136">
        <f>M5655+K5656-L5656</f>
        <v>394825.83710333414</v>
      </c>
    </row>
    <row r="5657" spans="1:13">
      <c r="A5657" s="54" t="str">
        <f>D5657&amp;E5657&amp;F5657</f>
        <v>FINANZASRECOLECCION DE BASURAHR</v>
      </c>
      <c r="B5657" t="s">
        <v>2821</v>
      </c>
      <c r="C5657" s="1">
        <v>46021</v>
      </c>
      <c r="D5657" s="242" t="s">
        <v>23</v>
      </c>
      <c r="E5657" s="71" t="s">
        <v>166</v>
      </c>
      <c r="F5657" s="71" t="s">
        <v>29</v>
      </c>
      <c r="J5657" s="71" t="s">
        <v>2853</v>
      </c>
      <c r="L5657" s="208">
        <v>600</v>
      </c>
      <c r="M5657" s="136">
        <f>M5656+K5657-L5657</f>
        <v>394225.83710333414</v>
      </c>
    </row>
    <row r="5658" spans="1:13">
      <c r="A5658" s="54" t="str">
        <f>D5658&amp;E5658&amp;F5658</f>
        <v>HRGASHR</v>
      </c>
      <c r="B5658" t="s">
        <v>2821</v>
      </c>
      <c r="C5658" s="1">
        <v>46021</v>
      </c>
      <c r="D5658" s="242" t="s">
        <v>29</v>
      </c>
      <c r="E5658" s="71" t="s">
        <v>122</v>
      </c>
      <c r="F5658" s="71" t="s">
        <v>29</v>
      </c>
      <c r="J5658" s="71" t="s">
        <v>3184</v>
      </c>
      <c r="L5658" s="208">
        <v>2000</v>
      </c>
      <c r="M5658" s="136">
        <f>M5657+K5658-L5658</f>
        <v>392225.83710333414</v>
      </c>
    </row>
    <row r="5659" spans="1:13">
      <c r="A5659" s="137" t="str">
        <f>D5659&amp;E5659&amp;F5659</f>
        <v>FINANZASSUCURSALES HR</v>
      </c>
      <c r="B5659" t="s">
        <v>2821</v>
      </c>
      <c r="C5659" s="1">
        <v>46021</v>
      </c>
      <c r="D5659" s="242" t="s">
        <v>23</v>
      </c>
      <c r="F5659" s="71" t="s">
        <v>26</v>
      </c>
      <c r="J5659" s="71" t="s">
        <v>3185</v>
      </c>
      <c r="L5659" s="208">
        <v>600</v>
      </c>
      <c r="M5659" s="136">
        <f>M5658+K5659-L5659</f>
        <v>391625.83710333414</v>
      </c>
    </row>
    <row r="5660" spans="1:13">
      <c r="A5660" s="54" t="str">
        <f>D5660&amp;E5660&amp;F5660</f>
        <v>HRINSUMOSHR</v>
      </c>
      <c r="B5660" t="s">
        <v>2821</v>
      </c>
      <c r="C5660" s="1">
        <v>46021</v>
      </c>
      <c r="D5660" s="242" t="s">
        <v>29</v>
      </c>
      <c r="E5660" s="71" t="s">
        <v>133</v>
      </c>
      <c r="F5660" s="71" t="s">
        <v>29</v>
      </c>
      <c r="J5660" s="71" t="s">
        <v>3111</v>
      </c>
      <c r="L5660" s="208">
        <v>250</v>
      </c>
      <c r="M5660" s="136">
        <f>M5659+K5660-L5660</f>
        <v>391375.83710333414</v>
      </c>
    </row>
    <row r="5661" spans="1:13">
      <c r="A5661" s="54" t="str">
        <f>D5661&amp;E5661&amp;F5661</f>
        <v>CAPUBERCAP</v>
      </c>
      <c r="B5661" t="s">
        <v>2821</v>
      </c>
      <c r="C5661" s="1">
        <v>46021</v>
      </c>
      <c r="D5661" s="242" t="s">
        <v>31</v>
      </c>
      <c r="E5661" s="71" t="s">
        <v>189</v>
      </c>
      <c r="F5661" s="71" t="s">
        <v>31</v>
      </c>
      <c r="J5661" s="71" t="s">
        <v>3186</v>
      </c>
      <c r="L5661" s="523">
        <v>60</v>
      </c>
      <c r="M5661" s="136">
        <f>M5660+K5661-L5661</f>
        <v>391315.83710333414</v>
      </c>
    </row>
    <row r="5662" spans="1:13">
      <c r="A5662" s="54" t="str">
        <f>D5662&amp;E5662&amp;F5662</f>
        <v>CAPUBERCAP</v>
      </c>
      <c r="B5662" t="s">
        <v>2821</v>
      </c>
      <c r="C5662" s="1">
        <v>46021</v>
      </c>
      <c r="D5662" s="242" t="s">
        <v>31</v>
      </c>
      <c r="E5662" s="71" t="s">
        <v>189</v>
      </c>
      <c r="F5662" s="71" t="s">
        <v>31</v>
      </c>
      <c r="J5662" s="71" t="s">
        <v>2267</v>
      </c>
      <c r="L5662" s="523">
        <v>1203</v>
      </c>
      <c r="M5662" s="136">
        <f>M5661+K5662-L5662</f>
        <v>390112.83710333414</v>
      </c>
    </row>
    <row r="5663" spans="1:13">
      <c r="A5663" s="54" t="str">
        <f>D5663&amp;E5663&amp;F5663</f>
        <v>CAPUBERCAP</v>
      </c>
      <c r="B5663" t="s">
        <v>2821</v>
      </c>
      <c r="C5663" s="1">
        <v>46021</v>
      </c>
      <c r="D5663" s="242" t="s">
        <v>31</v>
      </c>
      <c r="E5663" s="71" t="s">
        <v>189</v>
      </c>
      <c r="F5663" s="71" t="s">
        <v>31</v>
      </c>
      <c r="J5663" s="71" t="s">
        <v>2268</v>
      </c>
      <c r="L5663" s="523">
        <v>50</v>
      </c>
      <c r="M5663" s="136">
        <f>M5662+K5663-L5663</f>
        <v>390062.83710333414</v>
      </c>
    </row>
    <row r="5664" spans="1:13">
      <c r="A5664" s="54" t="str">
        <f>D5664&amp;E5664&amp;F5664</f>
        <v>CAPNOMINA SUCURSALE7</v>
      </c>
      <c r="B5664" t="s">
        <v>2821</v>
      </c>
      <c r="C5664" s="1">
        <v>46021</v>
      </c>
      <c r="D5664" s="242" t="s">
        <v>31</v>
      </c>
      <c r="E5664" s="71" t="s">
        <v>154</v>
      </c>
      <c r="F5664" s="71" t="s">
        <v>113</v>
      </c>
      <c r="J5664" s="71" t="s">
        <v>3187</v>
      </c>
      <c r="L5664" s="208">
        <v>305</v>
      </c>
      <c r="M5664" s="136">
        <f>M5663+K5664-L5664</f>
        <v>389757.83710333414</v>
      </c>
    </row>
    <row r="5665" spans="1:13">
      <c r="A5665" s="54" t="str">
        <f>D5665&amp;E5665&amp;F5665</f>
        <v>CAPNOMINA SUCURSALE6</v>
      </c>
      <c r="B5665" t="s">
        <v>2821</v>
      </c>
      <c r="C5665" s="1">
        <v>46021</v>
      </c>
      <c r="D5665" s="242" t="s">
        <v>31</v>
      </c>
      <c r="E5665" s="71" t="s">
        <v>154</v>
      </c>
      <c r="F5665" s="71" t="s">
        <v>112</v>
      </c>
      <c r="J5665" s="71" t="s">
        <v>3188</v>
      </c>
      <c r="L5665" s="208">
        <v>1088</v>
      </c>
      <c r="M5665" s="136">
        <f>M5664+K5665-L5665</f>
        <v>388669.83710333414</v>
      </c>
    </row>
    <row r="5666" spans="1:13">
      <c r="A5666" s="54" t="str">
        <f>D5666&amp;E5666&amp;F5666</f>
        <v>CAPJMASE8</v>
      </c>
      <c r="B5666" t="s">
        <v>2821</v>
      </c>
      <c r="C5666" s="1">
        <v>46021</v>
      </c>
      <c r="D5666" s="242" t="s">
        <v>31</v>
      </c>
      <c r="E5666" s="71" t="s">
        <v>137</v>
      </c>
      <c r="F5666" s="71" t="s">
        <v>114</v>
      </c>
      <c r="J5666" s="71" t="s">
        <v>3189</v>
      </c>
      <c r="L5666" s="208">
        <v>157</v>
      </c>
      <c r="M5666" s="136">
        <f>M5665+K5666-L5666</f>
        <v>388512.83710333414</v>
      </c>
    </row>
    <row r="5667" spans="1:13">
      <c r="A5667" s="54" t="str">
        <f>D5667&amp;E5667&amp;F5667</f>
        <v>CAPNOMINA SUCURSALE9</v>
      </c>
      <c r="B5667" t="s">
        <v>2821</v>
      </c>
      <c r="C5667" s="1">
        <v>46021</v>
      </c>
      <c r="D5667" s="242" t="s">
        <v>31</v>
      </c>
      <c r="E5667" s="71" t="s">
        <v>154</v>
      </c>
      <c r="F5667" s="71" t="s">
        <v>116</v>
      </c>
      <c r="J5667" s="71" t="s">
        <v>3116</v>
      </c>
      <c r="L5667" s="208">
        <v>2987</v>
      </c>
      <c r="M5667" s="136">
        <f>M5666+K5667-L5667</f>
        <v>385525.83710333414</v>
      </c>
    </row>
    <row r="5668" spans="1:13">
      <c r="A5668" s="137" t="str">
        <f>D5668&amp;E5668&amp;F5668</f>
        <v/>
      </c>
      <c r="B5668" t="s">
        <v>2821</v>
      </c>
      <c r="C5668" s="1">
        <v>46022</v>
      </c>
      <c r="J5668" s="71" t="s">
        <v>2045</v>
      </c>
      <c r="K5668" s="325">
        <v>347404.76</v>
      </c>
      <c r="L5668" s="432"/>
      <c r="M5668" s="136">
        <f>M5667+K5668-L5668</f>
        <v>732930.59710333415</v>
      </c>
    </row>
    <row r="5669" spans="1:13">
      <c r="A5669" s="137"/>
      <c r="B5669" t="s">
        <v>2821</v>
      </c>
      <c r="C5669" s="1">
        <v>46022</v>
      </c>
      <c r="J5669" s="71" t="s">
        <v>3190</v>
      </c>
      <c r="K5669" s="325">
        <v>72212.13</v>
      </c>
      <c r="L5669" s="432"/>
      <c r="M5669" s="136">
        <f>M5668+K5669-L5669</f>
        <v>805142.72710333415</v>
      </c>
    </row>
    <row r="5670" spans="1:13">
      <c r="A5670" s="137"/>
      <c r="B5670" t="s">
        <v>2821</v>
      </c>
      <c r="C5670" s="1">
        <v>46022</v>
      </c>
      <c r="J5670" s="71" t="s">
        <v>3191</v>
      </c>
      <c r="L5670" s="433">
        <v>97410.13</v>
      </c>
      <c r="M5670" s="136">
        <f>M5669+K5670-L5670</f>
        <v>707732.59710333415</v>
      </c>
    </row>
    <row r="5671" spans="1:13">
      <c r="A5671" s="137"/>
      <c r="B5671" t="s">
        <v>2821</v>
      </c>
      <c r="C5671" s="1">
        <v>46022</v>
      </c>
      <c r="J5671" s="71" t="s">
        <v>3192</v>
      </c>
      <c r="K5671" s="325">
        <v>53902.05</v>
      </c>
      <c r="L5671" s="432"/>
      <c r="M5671" s="136">
        <f>M5670+K5671-L5671</f>
        <v>761634.64710333419</v>
      </c>
    </row>
    <row r="5672" spans="1:13">
      <c r="A5672" s="137"/>
      <c r="B5672" t="s">
        <v>2821</v>
      </c>
      <c r="C5672" s="1">
        <v>46022</v>
      </c>
      <c r="J5672" s="71" t="s">
        <v>3193</v>
      </c>
      <c r="L5672" s="433">
        <v>71906.509999999995</v>
      </c>
      <c r="M5672" s="136">
        <f>M5671+K5672-L5672</f>
        <v>689728.13710333419</v>
      </c>
    </row>
    <row r="5673" spans="1:13">
      <c r="A5673" s="137"/>
      <c r="B5673" t="s">
        <v>2821</v>
      </c>
      <c r="C5673" s="1">
        <v>46022</v>
      </c>
      <c r="J5673" s="71" t="s">
        <v>3194</v>
      </c>
      <c r="K5673" s="325">
        <v>245000</v>
      </c>
      <c r="L5673" s="432"/>
      <c r="M5673" s="136">
        <f>M5672+K5673-L5673</f>
        <v>934728.13710333419</v>
      </c>
    </row>
    <row r="5674" spans="1:13">
      <c r="A5674" s="54" t="str">
        <f>D5674&amp;E5674&amp;F5674</f>
        <v>FINANZASCOMISIONES BANCARIASTPV</v>
      </c>
      <c r="B5674" t="s">
        <v>2821</v>
      </c>
      <c r="C5674" s="1">
        <v>46022</v>
      </c>
      <c r="D5674" s="242" t="s">
        <v>23</v>
      </c>
      <c r="E5674" s="71" t="s">
        <v>48</v>
      </c>
      <c r="F5674" s="71" t="s">
        <v>50</v>
      </c>
      <c r="J5674" s="71" t="s">
        <v>217</v>
      </c>
      <c r="L5674" s="433">
        <f>1332.74+78.86+5.8+5.8+34.8+6715.51+3267.09+2199.77+73.51</f>
        <v>13713.880000000001</v>
      </c>
      <c r="M5674" s="136">
        <f>M5673+K5674-L5674</f>
        <v>921014.25710333418</v>
      </c>
    </row>
    <row r="5675" spans="1:13">
      <c r="A5675" s="137" t="str">
        <f>D5675&amp;E5675&amp;F5675</f>
        <v/>
      </c>
      <c r="B5675" t="s">
        <v>2821</v>
      </c>
      <c r="C5675" s="1">
        <v>46022</v>
      </c>
      <c r="J5675" s="205" t="s">
        <v>1562</v>
      </c>
      <c r="K5675" s="205"/>
      <c r="L5675" s="428"/>
      <c r="M5675" s="136">
        <f>M5674+K5675-L5675</f>
        <v>921014.25710333418</v>
      </c>
    </row>
    <row r="5676" spans="1:13">
      <c r="A5676" s="137" t="str">
        <f>D5676&amp;E5676&amp;F5676</f>
        <v/>
      </c>
      <c r="B5676" t="s">
        <v>2821</v>
      </c>
      <c r="C5676" s="1">
        <v>46022</v>
      </c>
      <c r="J5676" s="205" t="s">
        <v>222</v>
      </c>
      <c r="K5676" s="205"/>
      <c r="L5676" s="205"/>
      <c r="M5676" s="136">
        <f>M5675+K5676-L5676</f>
        <v>921014.25710333418</v>
      </c>
    </row>
    <row r="5677" spans="1:13">
      <c r="A5677" s="137" t="str">
        <f>D5677&amp;E5677&amp;F5677</f>
        <v/>
      </c>
      <c r="B5677" t="s">
        <v>2821</v>
      </c>
      <c r="C5677" s="1">
        <v>46022</v>
      </c>
      <c r="J5677" s="71" t="s">
        <v>2092</v>
      </c>
      <c r="L5677" s="433">
        <v>65305.859999999993</v>
      </c>
      <c r="M5677" s="136">
        <f>M5676+K5677-L5677</f>
        <v>855708.39710333419</v>
      </c>
    </row>
    <row r="5678" spans="1:13">
      <c r="A5678" s="54" t="str">
        <f>D5678&amp;E5678&amp;F5678</f>
        <v>FINANZASTELEFONIATELEFONIA</v>
      </c>
      <c r="B5678" t="s">
        <v>2821</v>
      </c>
      <c r="C5678" s="1">
        <v>46022</v>
      </c>
      <c r="D5678" s="242" t="s">
        <v>23</v>
      </c>
      <c r="E5678" s="71" t="s">
        <v>181</v>
      </c>
      <c r="F5678" s="71" t="s">
        <v>181</v>
      </c>
      <c r="J5678" s="71" t="s">
        <v>2030</v>
      </c>
      <c r="L5678" s="208">
        <v>27940</v>
      </c>
      <c r="M5678" s="136">
        <f>M5677+K5678-L5678</f>
        <v>827768.39710333419</v>
      </c>
    </row>
    <row r="5679" spans="1:13">
      <c r="A5679" s="54" t="str">
        <f>D5679&amp;E5679&amp;F5679</f>
        <v>SERVICIOSMTTO DE EDIFICIOMANTENIMIENTO</v>
      </c>
      <c r="B5679" t="s">
        <v>2821</v>
      </c>
      <c r="C5679" s="1">
        <v>46022</v>
      </c>
      <c r="D5679" s="242" t="s">
        <v>21</v>
      </c>
      <c r="E5679" s="71" t="s">
        <v>142</v>
      </c>
      <c r="F5679" s="71" t="s">
        <v>35</v>
      </c>
      <c r="J5679" s="71" t="s">
        <v>3195</v>
      </c>
      <c r="L5679" s="208">
        <v>5145.04</v>
      </c>
      <c r="M5679" s="136">
        <f>M5678+K5679-L5679</f>
        <v>822623.35710333416</v>
      </c>
    </row>
    <row r="5680" spans="1:13">
      <c r="A5680" s="54" t="str">
        <f>D5680&amp;E5680&amp;F5680</f>
        <v>CAPIMAGEN VISUALIMAGEN VISUAL CAP</v>
      </c>
      <c r="B5680" t="s">
        <v>2821</v>
      </c>
      <c r="C5680" s="1">
        <v>46022</v>
      </c>
      <c r="D5680" s="242" t="s">
        <v>31</v>
      </c>
      <c r="E5680" s="71" t="s">
        <v>127</v>
      </c>
      <c r="F5680" s="71" t="s">
        <v>129</v>
      </c>
      <c r="J5680" s="71" t="s">
        <v>3196</v>
      </c>
      <c r="L5680" s="433">
        <v>4640</v>
      </c>
      <c r="M5680" s="136">
        <f>M5679+K5680-L5680</f>
        <v>817983.35710333416</v>
      </c>
    </row>
    <row r="5681" spans="1:14">
      <c r="A5681" s="54" t="str">
        <f>D5681&amp;E5681&amp;F5681</f>
        <v>SERVICIOSALARMACEDIS</v>
      </c>
      <c r="B5681" t="s">
        <v>2821</v>
      </c>
      <c r="C5681" s="1">
        <v>46022</v>
      </c>
      <c r="D5681" s="242" t="s">
        <v>21</v>
      </c>
      <c r="E5681" s="71" t="s">
        <v>25</v>
      </c>
      <c r="F5681" s="71" t="s">
        <v>28</v>
      </c>
      <c r="J5681" s="71" t="s">
        <v>3197</v>
      </c>
      <c r="L5681" s="433">
        <v>1107.94</v>
      </c>
      <c r="M5681" s="136">
        <f>M5680+K5681-L5681</f>
        <v>816875.41710333421</v>
      </c>
    </row>
    <row r="5682" spans="1:14">
      <c r="A5682" s="54" t="str">
        <f>D5682&amp;E5682&amp;F5682</f>
        <v>SERVICIOSALARMASUCURSALES CAPRICHOS</v>
      </c>
      <c r="B5682" t="s">
        <v>2821</v>
      </c>
      <c r="C5682" s="1">
        <v>46022</v>
      </c>
      <c r="D5682" s="242" t="s">
        <v>21</v>
      </c>
      <c r="E5682" s="71" t="s">
        <v>25</v>
      </c>
      <c r="F5682" s="71" t="s">
        <v>27</v>
      </c>
      <c r="J5682" s="71" t="s">
        <v>3198</v>
      </c>
      <c r="L5682" s="433">
        <v>2215.86</v>
      </c>
      <c r="M5682" s="136">
        <f>M5681+K5682-L5682</f>
        <v>814659.55710333423</v>
      </c>
    </row>
    <row r="5683" spans="1:14">
      <c r="A5683" s="54" t="str">
        <f>D5683&amp;E5683&amp;F5683</f>
        <v>SERVICIOSALARMASUCURSALES HR</v>
      </c>
      <c r="B5683" t="s">
        <v>2821</v>
      </c>
      <c r="C5683" s="1">
        <v>46022</v>
      </c>
      <c r="D5683" s="242" t="s">
        <v>21</v>
      </c>
      <c r="E5683" s="71" t="s">
        <v>25</v>
      </c>
      <c r="F5683" s="71" t="s">
        <v>26</v>
      </c>
      <c r="J5683" s="71" t="s">
        <v>3199</v>
      </c>
      <c r="L5683" s="433">
        <v>5539.67</v>
      </c>
      <c r="M5683" s="136">
        <f t="shared" ref="M5683:M5691" si="189">M5682+K5683-L5683</f>
        <v>809119.88710333419</v>
      </c>
    </row>
    <row r="5684" spans="1:14">
      <c r="A5684" s="54" t="str">
        <f>D5684&amp;E5684&amp;F5684</f>
        <v>SERVICIOSINSUMOSCADENA DE SUMINISTROS</v>
      </c>
      <c r="B5684" t="s">
        <v>2821</v>
      </c>
      <c r="C5684" s="1">
        <v>46022</v>
      </c>
      <c r="D5684" s="242" t="s">
        <v>21</v>
      </c>
      <c r="E5684" s="71" t="s">
        <v>133</v>
      </c>
      <c r="F5684" s="71" t="s">
        <v>134</v>
      </c>
      <c r="J5684" s="71" t="s">
        <v>3200</v>
      </c>
      <c r="L5684" s="433">
        <v>16843.2</v>
      </c>
      <c r="M5684" s="136">
        <f t="shared" si="189"/>
        <v>792276.68710333423</v>
      </c>
    </row>
    <row r="5685" spans="1:14">
      <c r="A5685" s="54"/>
      <c r="B5685" t="s">
        <v>2821</v>
      </c>
      <c r="C5685" s="1">
        <v>46022</v>
      </c>
      <c r="J5685" s="71" t="s">
        <v>3201</v>
      </c>
      <c r="L5685" s="433">
        <v>3408</v>
      </c>
      <c r="M5685" s="136">
        <f t="shared" si="189"/>
        <v>788868.68710333423</v>
      </c>
    </row>
    <row r="5686" spans="1:14">
      <c r="A5686" s="54" t="str">
        <f>D5686&amp;E5686&amp;F5686</f>
        <v>SERVICIOSINSUMOSCADENA DE SUMINISTROS</v>
      </c>
      <c r="B5686" t="s">
        <v>2821</v>
      </c>
      <c r="C5686" s="1">
        <v>46022</v>
      </c>
      <c r="D5686" s="242" t="s">
        <v>21</v>
      </c>
      <c r="E5686" s="71" t="s">
        <v>133</v>
      </c>
      <c r="F5686" s="71" t="s">
        <v>134</v>
      </c>
      <c r="J5686" s="71" t="s">
        <v>689</v>
      </c>
      <c r="L5686" s="433">
        <v>57611.57</v>
      </c>
      <c r="M5686" s="136">
        <f t="shared" si="189"/>
        <v>731257.11710333428</v>
      </c>
    </row>
    <row r="5687" spans="1:14">
      <c r="A5687" s="54" t="str">
        <f>D5687&amp;E5687&amp;F5687</f>
        <v>SERVICIOSINSUMOSCADENA DE SUMINISTROS</v>
      </c>
      <c r="B5687" t="s">
        <v>2821</v>
      </c>
      <c r="C5687" s="1">
        <v>46022</v>
      </c>
      <c r="D5687" s="242" t="s">
        <v>21</v>
      </c>
      <c r="E5687" s="71" t="s">
        <v>133</v>
      </c>
      <c r="F5687" s="71" t="s">
        <v>134</v>
      </c>
      <c r="J5687" s="71" t="s">
        <v>2965</v>
      </c>
      <c r="L5687" s="433">
        <v>22446</v>
      </c>
      <c r="M5687" s="136">
        <f t="shared" si="189"/>
        <v>708811.11710333428</v>
      </c>
    </row>
    <row r="5688" spans="1:14">
      <c r="A5688" s="54" t="str">
        <f>D5688&amp;E5688&amp;F5688</f>
        <v>SERVICIOSINSUMOSCADENA DE SUMINISTROS</v>
      </c>
      <c r="B5688" t="s">
        <v>2821</v>
      </c>
      <c r="C5688" s="1">
        <v>46022</v>
      </c>
      <c r="D5688" s="242" t="s">
        <v>21</v>
      </c>
      <c r="E5688" s="71" t="s">
        <v>133</v>
      </c>
      <c r="F5688" s="71" t="s">
        <v>134</v>
      </c>
      <c r="J5688" s="71" t="s">
        <v>689</v>
      </c>
      <c r="L5688" s="433">
        <v>14088.08</v>
      </c>
      <c r="M5688" s="136">
        <f t="shared" si="189"/>
        <v>694723.03710333433</v>
      </c>
    </row>
    <row r="5689" spans="1:14">
      <c r="A5689" s="54" t="str">
        <f>D5689&amp;E5689&amp;F5689</f>
        <v>SERVICIOSINSUMOSCADENA DE SUMINISTROS</v>
      </c>
      <c r="B5689" t="s">
        <v>2821</v>
      </c>
      <c r="C5689" s="1">
        <v>46022</v>
      </c>
      <c r="D5689" s="242" t="s">
        <v>21</v>
      </c>
      <c r="E5689" s="71" t="s">
        <v>133</v>
      </c>
      <c r="F5689" s="71" t="s">
        <v>134</v>
      </c>
      <c r="J5689" s="71" t="s">
        <v>3202</v>
      </c>
      <c r="L5689" s="433">
        <v>8398.4</v>
      </c>
      <c r="M5689" s="136">
        <f t="shared" si="189"/>
        <v>686324.6371033343</v>
      </c>
    </row>
    <row r="5690" spans="1:14">
      <c r="A5690" s="54" t="str">
        <f>D5690&amp;E5690&amp;F5690</f>
        <v>FINANZASRECOLECCION DE BASURACEDIS</v>
      </c>
      <c r="B5690" t="s">
        <v>2821</v>
      </c>
      <c r="C5690" s="1">
        <v>46022</v>
      </c>
      <c r="D5690" s="242" t="s">
        <v>23</v>
      </c>
      <c r="E5690" s="71" t="s">
        <v>166</v>
      </c>
      <c r="F5690" s="71" t="s">
        <v>28</v>
      </c>
      <c r="J5690" s="71" t="s">
        <v>3203</v>
      </c>
      <c r="L5690" s="433">
        <v>2408.16</v>
      </c>
      <c r="M5690" s="136">
        <f t="shared" si="189"/>
        <v>683916.47710333427</v>
      </c>
    </row>
    <row r="5691" spans="1:14">
      <c r="A5691" s="54" t="str">
        <f>D5691&amp;E5691&amp;F5691</f>
        <v>SGEVIATICOSGESTION EMPRESARIAL</v>
      </c>
      <c r="B5691" t="s">
        <v>2821</v>
      </c>
      <c r="C5691" s="1">
        <v>46022</v>
      </c>
      <c r="D5691" s="242" t="s">
        <v>39</v>
      </c>
      <c r="E5691" s="71" t="s">
        <v>191</v>
      </c>
      <c r="F5691" s="71" t="s">
        <v>40</v>
      </c>
      <c r="J5691" s="71" t="s">
        <v>2851</v>
      </c>
      <c r="L5691" s="433">
        <v>3300</v>
      </c>
      <c r="M5691" s="136">
        <f t="shared" si="189"/>
        <v>680616.47710333427</v>
      </c>
    </row>
    <row r="5692" spans="1:14">
      <c r="A5692" s="54" t="str">
        <f>D5692&amp;E5692&amp;F5692</f>
        <v>FINANZASVIATICOSFINANZAS</v>
      </c>
      <c r="B5692" t="s">
        <v>2821</v>
      </c>
      <c r="C5692" s="1">
        <v>46022</v>
      </c>
      <c r="D5692" s="242" t="s">
        <v>23</v>
      </c>
      <c r="E5692" s="71" t="s">
        <v>191</v>
      </c>
      <c r="F5692" s="71" t="s">
        <v>23</v>
      </c>
      <c r="G5692" s="71" t="s">
        <v>258</v>
      </c>
      <c r="J5692" s="71" t="s">
        <v>3204</v>
      </c>
      <c r="L5692" s="433">
        <v>390</v>
      </c>
      <c r="M5692" s="136">
        <f>M5691+K5692-L5692</f>
        <v>680226.47710333427</v>
      </c>
    </row>
    <row r="5693" spans="1:14" s="89" customFormat="1">
      <c r="A5693" s="54" t="str">
        <f t="shared" ref="A5678:A5741" si="190">D5693&amp;E5693&amp;F5693</f>
        <v/>
      </c>
      <c r="B5693" s="89" t="s">
        <v>2821</v>
      </c>
      <c r="C5693" s="235">
        <v>46022</v>
      </c>
      <c r="D5693" s="387"/>
      <c r="E5693" s="387"/>
      <c r="F5693" s="387"/>
      <c r="G5693" s="387"/>
      <c r="H5693" s="400"/>
      <c r="I5693" s="83"/>
      <c r="J5693" s="89" t="s">
        <v>3205</v>
      </c>
      <c r="K5693" s="331"/>
      <c r="L5693" s="433">
        <v>745000</v>
      </c>
      <c r="M5693" s="136">
        <f>M5692+K5693-L5693</f>
        <v>-64773.522896665731</v>
      </c>
      <c r="N5693" s="387"/>
    </row>
    <row r="5694" spans="1:14">
      <c r="A5694" s="54" t="str">
        <f>D5694&amp;E5694&amp;F5694</f>
        <v>CAPUBERCAP</v>
      </c>
      <c r="B5694" t="s">
        <v>2821</v>
      </c>
      <c r="C5694" s="1">
        <v>46022</v>
      </c>
      <c r="D5694" s="242" t="s">
        <v>31</v>
      </c>
      <c r="E5694" s="71" t="s">
        <v>189</v>
      </c>
      <c r="F5694" s="71" t="s">
        <v>31</v>
      </c>
      <c r="J5694" s="71" t="s">
        <v>3041</v>
      </c>
      <c r="L5694" s="523">
        <v>140</v>
      </c>
      <c r="M5694" s="136">
        <f>M5693+K5694-L5694</f>
        <v>-64913.522896665731</v>
      </c>
    </row>
    <row r="5695" spans="1:14">
      <c r="A5695" s="54" t="str">
        <f>D5695&amp;E5695&amp;F5695</f>
        <v>CAPUBERCAP</v>
      </c>
      <c r="B5695" t="s">
        <v>2821</v>
      </c>
      <c r="C5695" s="1">
        <v>46022</v>
      </c>
      <c r="D5695" s="242" t="s">
        <v>31</v>
      </c>
      <c r="E5695" s="71" t="s">
        <v>189</v>
      </c>
      <c r="F5695" s="71" t="s">
        <v>31</v>
      </c>
      <c r="J5695" s="71" t="s">
        <v>2267</v>
      </c>
      <c r="L5695" s="523">
        <v>192</v>
      </c>
      <c r="M5695" s="136">
        <f>M5694+K5695-L5695</f>
        <v>-65105.522896665731</v>
      </c>
    </row>
    <row r="5696" spans="1:14">
      <c r="A5696" s="54" t="str">
        <f>D5696&amp;E5696&amp;F5696</f>
        <v>CAPUBERCAP</v>
      </c>
      <c r="B5696" t="s">
        <v>2821</v>
      </c>
      <c r="C5696" s="1">
        <v>46022</v>
      </c>
      <c r="D5696" s="242" t="s">
        <v>31</v>
      </c>
      <c r="E5696" s="71" t="s">
        <v>189</v>
      </c>
      <c r="F5696" s="71" t="s">
        <v>31</v>
      </c>
      <c r="J5696" s="71" t="s">
        <v>2537</v>
      </c>
      <c r="L5696" s="523">
        <v>700</v>
      </c>
      <c r="M5696" s="136">
        <f>M5695+K5696-L5696</f>
        <v>-65805.522896665731</v>
      </c>
    </row>
    <row r="5697" spans="1:13">
      <c r="A5697" s="54" t="str">
        <f>D5697&amp;E5697&amp;F5697</f>
        <v>CAPUBERCAP</v>
      </c>
      <c r="B5697" t="s">
        <v>2821</v>
      </c>
      <c r="C5697" s="1">
        <v>46022</v>
      </c>
      <c r="D5697" s="242" t="s">
        <v>31</v>
      </c>
      <c r="E5697" s="71" t="s">
        <v>189</v>
      </c>
      <c r="F5697" s="71" t="s">
        <v>31</v>
      </c>
      <c r="J5697" s="71" t="s">
        <v>2268</v>
      </c>
      <c r="L5697" s="523">
        <v>100</v>
      </c>
      <c r="M5697" s="136">
        <f>M5696+K5697-L5697</f>
        <v>-65905.522896665731</v>
      </c>
    </row>
    <row r="5698" spans="1:13">
      <c r="A5698" s="54" t="str">
        <f>D5698&amp;E5698&amp;F5698</f>
        <v>CAPUBERCAP</v>
      </c>
      <c r="B5698" t="s">
        <v>2821</v>
      </c>
      <c r="C5698" s="1">
        <v>46022</v>
      </c>
      <c r="D5698" s="242" t="s">
        <v>31</v>
      </c>
      <c r="E5698" s="71" t="s">
        <v>189</v>
      </c>
      <c r="F5698" s="71" t="s">
        <v>31</v>
      </c>
      <c r="J5698" s="71" t="s">
        <v>3058</v>
      </c>
      <c r="L5698" s="523">
        <v>370</v>
      </c>
      <c r="M5698" s="136">
        <f>M5697+K5698-L5698</f>
        <v>-66275.522896665731</v>
      </c>
    </row>
    <row r="5699" spans="1:13">
      <c r="A5699" s="54" t="str">
        <f t="shared" si="190"/>
        <v/>
      </c>
      <c r="B5699" t="s">
        <v>2821</v>
      </c>
      <c r="C5699" s="1">
        <v>46022</v>
      </c>
      <c r="J5699" s="71" t="s">
        <v>3206</v>
      </c>
      <c r="L5699" s="433">
        <v>160</v>
      </c>
      <c r="M5699" s="136">
        <f>M5698+K5699-L5699</f>
        <v>-66435.522896665731</v>
      </c>
    </row>
    <row r="5700" spans="1:13">
      <c r="A5700" s="54" t="str">
        <f>D5700&amp;E5700&amp;F5700</f>
        <v>HRUBERHR</v>
      </c>
      <c r="B5700" t="s">
        <v>2821</v>
      </c>
      <c r="C5700" s="1">
        <v>46022</v>
      </c>
      <c r="D5700" s="242" t="s">
        <v>29</v>
      </c>
      <c r="E5700" s="71" t="s">
        <v>189</v>
      </c>
      <c r="F5700" s="71" t="s">
        <v>29</v>
      </c>
      <c r="J5700" s="71" t="s">
        <v>2835</v>
      </c>
      <c r="L5700" s="523">
        <v>60</v>
      </c>
      <c r="M5700" s="136">
        <f>M5699+K5700-L5700</f>
        <v>-66495.522896665731</v>
      </c>
    </row>
    <row r="5701" spans="1:13">
      <c r="A5701" s="54" t="str">
        <f>D5701&amp;E5701&amp;F5701</f>
        <v>HRINSUMOSHR</v>
      </c>
      <c r="B5701" t="s">
        <v>2821</v>
      </c>
      <c r="C5701" s="1">
        <v>46022</v>
      </c>
      <c r="D5701" s="242" t="s">
        <v>29</v>
      </c>
      <c r="E5701" s="71" t="s">
        <v>133</v>
      </c>
      <c r="F5701" s="71" t="s">
        <v>29</v>
      </c>
      <c r="J5701" s="71" t="s">
        <v>3207</v>
      </c>
      <c r="L5701" s="433">
        <v>40</v>
      </c>
      <c r="M5701" s="136">
        <f>M5700+K5701-L5701</f>
        <v>-66535.522896665731</v>
      </c>
    </row>
    <row r="5702" spans="1:13">
      <c r="A5702" s="54" t="str">
        <f t="shared" si="190"/>
        <v/>
      </c>
      <c r="B5702" t="s">
        <v>2821</v>
      </c>
      <c r="C5702" s="1">
        <v>46024</v>
      </c>
      <c r="J5702" s="71" t="s">
        <v>2045</v>
      </c>
      <c r="K5702" s="325">
        <v>250193.83</v>
      </c>
      <c r="L5702" s="432"/>
      <c r="M5702" s="136">
        <f>M5701+K5702-L5702</f>
        <v>183658.30710333426</v>
      </c>
    </row>
    <row r="5703" spans="1:13">
      <c r="A5703" s="54" t="str">
        <f t="shared" si="190"/>
        <v/>
      </c>
      <c r="B5703" t="s">
        <v>2821</v>
      </c>
      <c r="C5703" s="1">
        <v>46024</v>
      </c>
      <c r="J5703" s="71" t="s">
        <v>3208</v>
      </c>
      <c r="K5703" s="325">
        <v>87000</v>
      </c>
      <c r="L5703" s="432"/>
      <c r="M5703" s="136">
        <f>M5702+K5703-L5703</f>
        <v>270658.30710333423</v>
      </c>
    </row>
    <row r="5704" spans="1:13">
      <c r="A5704" s="54" t="str">
        <f>D5704&amp;E5704&amp;F5704</f>
        <v>FINANZASCOMISIONES BANCARIASMANEJO DE CUENTA</v>
      </c>
      <c r="B5704" t="s">
        <v>2821</v>
      </c>
      <c r="C5704" s="1">
        <v>46024</v>
      </c>
      <c r="D5704" s="242" t="s">
        <v>23</v>
      </c>
      <c r="E5704" s="71" t="s">
        <v>48</v>
      </c>
      <c r="F5704" s="71" t="s">
        <v>49</v>
      </c>
      <c r="J5704" s="71" t="s">
        <v>764</v>
      </c>
      <c r="L5704" s="433">
        <f>464+464+435+435+145+469.8</f>
        <v>2412.8000000000002</v>
      </c>
      <c r="M5704" s="136">
        <f>M5703+K5704-L5704</f>
        <v>268245.50710333424</v>
      </c>
    </row>
    <row r="5705" spans="1:13" ht="15.75" customHeight="1">
      <c r="A5705" s="54" t="str">
        <f>D5705&amp;E5705&amp;F5705</f>
        <v>FINANZASCOMISIONES BANCARIASTPV</v>
      </c>
      <c r="B5705" s="506" t="s">
        <v>2821</v>
      </c>
      <c r="C5705" s="507">
        <v>46024</v>
      </c>
      <c r="D5705" s="242" t="s">
        <v>23</v>
      </c>
      <c r="E5705" s="71" t="s">
        <v>48</v>
      </c>
      <c r="F5705" s="71" t="s">
        <v>50</v>
      </c>
      <c r="J5705" s="71" t="s">
        <v>217</v>
      </c>
      <c r="L5705" s="438">
        <f>193.5+130.81+1336.18+192.37+1202.34</f>
        <v>3055.2</v>
      </c>
      <c r="M5705" s="136">
        <f>M5704+K5705-L5705</f>
        <v>265190.30710333423</v>
      </c>
    </row>
    <row r="5706" spans="1:13">
      <c r="A5706" s="54" t="str">
        <f t="shared" si="190"/>
        <v/>
      </c>
      <c r="B5706" t="s">
        <v>2821</v>
      </c>
      <c r="C5706" s="1">
        <v>46024</v>
      </c>
      <c r="J5706" s="205" t="s">
        <v>1562</v>
      </c>
      <c r="K5706" s="205"/>
      <c r="L5706" s="428"/>
      <c r="M5706" s="136">
        <f>M5705+K5706-L5706</f>
        <v>265190.30710333423</v>
      </c>
    </row>
    <row r="5707" spans="1:13">
      <c r="A5707" s="54" t="str">
        <f t="shared" si="190"/>
        <v/>
      </c>
      <c r="B5707" t="s">
        <v>2821</v>
      </c>
      <c r="C5707" s="1">
        <v>46024</v>
      </c>
      <c r="J5707" s="205" t="s">
        <v>222</v>
      </c>
      <c r="K5707" s="205"/>
      <c r="L5707" s="205"/>
      <c r="M5707" s="136">
        <f>M5706+K5707-L5707</f>
        <v>265190.30710333423</v>
      </c>
    </row>
    <row r="5708" spans="1:13">
      <c r="A5708" s="54" t="str">
        <f>D5708&amp;E5708&amp;F5708</f>
        <v>SERVICIOSVIATICOSMANTENIMIENTO</v>
      </c>
      <c r="B5708" t="s">
        <v>2821</v>
      </c>
      <c r="C5708" s="1">
        <v>46024</v>
      </c>
      <c r="D5708" s="242" t="s">
        <v>21</v>
      </c>
      <c r="E5708" s="71" t="s">
        <v>191</v>
      </c>
      <c r="F5708" s="71" t="s">
        <v>35</v>
      </c>
      <c r="J5708" s="71" t="s">
        <v>3209</v>
      </c>
      <c r="L5708" s="433">
        <v>500</v>
      </c>
      <c r="M5708" s="136">
        <f>M5707+K5708-L5708</f>
        <v>264690.30710333423</v>
      </c>
    </row>
    <row r="5709" spans="1:13">
      <c r="A5709" s="54" t="str">
        <f t="shared" si="190"/>
        <v/>
      </c>
      <c r="B5709" t="s">
        <v>2821</v>
      </c>
      <c r="C5709" s="1">
        <v>46024</v>
      </c>
      <c r="J5709" s="71" t="s">
        <v>3210</v>
      </c>
      <c r="L5709" s="433">
        <v>245000</v>
      </c>
      <c r="M5709" s="136">
        <f>M5708+K5709-L5709</f>
        <v>19690.307103334228</v>
      </c>
    </row>
    <row r="5710" spans="1:13">
      <c r="A5710" s="54" t="str">
        <f t="shared" si="190"/>
        <v/>
      </c>
      <c r="B5710" t="s">
        <v>2821</v>
      </c>
      <c r="C5710" s="1">
        <v>46024</v>
      </c>
      <c r="J5710" s="71" t="s">
        <v>3211</v>
      </c>
      <c r="L5710" s="433">
        <v>26305</v>
      </c>
      <c r="M5710" s="136">
        <f t="shared" ref="M5710:M5724" si="191">M5709+K5710-L5710</f>
        <v>-6614.6928966657724</v>
      </c>
    </row>
    <row r="5711" spans="1:13">
      <c r="A5711" s="54" t="str">
        <f>D5711&amp;E5711&amp;F5711</f>
        <v>CAPUBERCAP</v>
      </c>
      <c r="B5711" t="s">
        <v>2821</v>
      </c>
      <c r="C5711" s="1">
        <v>46024</v>
      </c>
      <c r="D5711" s="242" t="s">
        <v>31</v>
      </c>
      <c r="E5711" s="71" t="s">
        <v>189</v>
      </c>
      <c r="F5711" s="71" t="s">
        <v>31</v>
      </c>
      <c r="J5711" s="76" t="s">
        <v>3041</v>
      </c>
      <c r="L5711" s="522">
        <v>220</v>
      </c>
      <c r="M5711" s="136">
        <f t="shared" si="191"/>
        <v>-6834.6928966657724</v>
      </c>
    </row>
    <row r="5712" spans="1:13">
      <c r="A5712" s="54" t="str">
        <f>D5712&amp;E5712&amp;F5712</f>
        <v>HRNOMINA SUCURSALA24</v>
      </c>
      <c r="B5712" t="s">
        <v>2821</v>
      </c>
      <c r="C5712" s="1">
        <v>46024</v>
      </c>
      <c r="D5712" s="242" t="s">
        <v>29</v>
      </c>
      <c r="E5712" s="71" t="s">
        <v>154</v>
      </c>
      <c r="F5712" s="71" t="s">
        <v>106</v>
      </c>
      <c r="J5712" s="76" t="s">
        <v>3212</v>
      </c>
      <c r="L5712" s="434">
        <v>810</v>
      </c>
      <c r="M5712" s="136">
        <f t="shared" si="191"/>
        <v>-7644.6928966657724</v>
      </c>
    </row>
    <row r="5713" spans="1:13">
      <c r="A5713" s="54" t="str">
        <f t="shared" si="190"/>
        <v/>
      </c>
      <c r="B5713" t="s">
        <v>2821</v>
      </c>
      <c r="C5713" s="1">
        <v>46027</v>
      </c>
      <c r="J5713" s="71" t="s">
        <v>3213</v>
      </c>
      <c r="K5713" s="325">
        <v>645915.1</v>
      </c>
      <c r="L5713" s="432"/>
      <c r="M5713" s="136">
        <f t="shared" si="191"/>
        <v>638270.4071033342</v>
      </c>
    </row>
    <row r="5714" spans="1:13">
      <c r="A5714" s="54" t="str">
        <f t="shared" si="190"/>
        <v/>
      </c>
      <c r="B5714" t="s">
        <v>3214</v>
      </c>
      <c r="C5714" s="1">
        <v>46027</v>
      </c>
      <c r="J5714" s="71" t="s">
        <v>3215</v>
      </c>
      <c r="K5714" s="325">
        <v>199263.31</v>
      </c>
      <c r="L5714" s="432"/>
      <c r="M5714" s="136">
        <f t="shared" si="191"/>
        <v>837533.71710333414</v>
      </c>
    </row>
    <row r="5715" spans="1:13">
      <c r="A5715" s="54" t="str">
        <f>D5715&amp;E5715&amp;F5715</f>
        <v>FINANZASCOMISIONES BANCARIASTPV</v>
      </c>
      <c r="B5715" t="s">
        <v>3214</v>
      </c>
      <c r="C5715" s="1">
        <v>46027</v>
      </c>
      <c r="D5715" s="242" t="s">
        <v>23</v>
      </c>
      <c r="E5715" s="71" t="s">
        <v>48</v>
      </c>
      <c r="F5715" s="71" t="s">
        <v>50</v>
      </c>
      <c r="J5715" s="71" t="s">
        <v>217</v>
      </c>
      <c r="L5715" s="433">
        <f>1340.74+1086.73+1605.92+1306.2+7328.07+5353.5</f>
        <v>18021.16</v>
      </c>
      <c r="M5715" s="136">
        <f t="shared" si="191"/>
        <v>819512.55710333411</v>
      </c>
    </row>
    <row r="5716" spans="1:13">
      <c r="A5716" s="54" t="str">
        <f t="shared" si="190"/>
        <v/>
      </c>
      <c r="B5716" t="s">
        <v>3214</v>
      </c>
      <c r="C5716" s="1">
        <v>46027</v>
      </c>
      <c r="J5716" s="205" t="s">
        <v>1562</v>
      </c>
      <c r="K5716" s="205"/>
      <c r="L5716" s="428">
        <v>300000</v>
      </c>
      <c r="M5716" s="136">
        <f t="shared" si="191"/>
        <v>519512.55710333411</v>
      </c>
    </row>
    <row r="5717" spans="1:13">
      <c r="A5717" s="54" t="str">
        <f t="shared" si="190"/>
        <v/>
      </c>
      <c r="B5717" t="s">
        <v>3214</v>
      </c>
      <c r="C5717" s="1">
        <v>46027</v>
      </c>
      <c r="J5717" s="205" t="s">
        <v>222</v>
      </c>
      <c r="K5717" s="205"/>
      <c r="L5717" s="428">
        <v>350000</v>
      </c>
      <c r="M5717" s="136">
        <f t="shared" si="191"/>
        <v>169512.55710333411</v>
      </c>
    </row>
    <row r="5718" spans="1:13">
      <c r="A5718" s="54" t="str">
        <f>D5718&amp;E5718&amp;F5718</f>
        <v>SERVICIOSVIATICOSMANTENIMIENTO</v>
      </c>
      <c r="B5718" t="s">
        <v>3214</v>
      </c>
      <c r="C5718" s="1">
        <v>46027</v>
      </c>
      <c r="D5718" s="242" t="s">
        <v>21</v>
      </c>
      <c r="E5718" s="71" t="s">
        <v>191</v>
      </c>
      <c r="F5718" s="71" t="s">
        <v>35</v>
      </c>
      <c r="J5718" s="71" t="s">
        <v>2085</v>
      </c>
      <c r="L5718" s="433">
        <v>500</v>
      </c>
      <c r="M5718" s="136">
        <f t="shared" si="191"/>
        <v>169012.55710333411</v>
      </c>
    </row>
    <row r="5719" spans="1:13">
      <c r="A5719" s="54" t="str">
        <f>D5719&amp;E5719&amp;F5719</f>
        <v>MKTVIATICOSMKT</v>
      </c>
      <c r="B5719" t="s">
        <v>3214</v>
      </c>
      <c r="C5719" s="1">
        <v>46027</v>
      </c>
      <c r="D5719" s="242" t="s">
        <v>19</v>
      </c>
      <c r="E5719" s="71" t="s">
        <v>191</v>
      </c>
      <c r="F5719" s="71" t="s">
        <v>19</v>
      </c>
      <c r="J5719" s="71" t="s">
        <v>2072</v>
      </c>
      <c r="L5719" s="433">
        <v>250</v>
      </c>
      <c r="M5719" s="136">
        <f t="shared" si="191"/>
        <v>168762.55710333411</v>
      </c>
    </row>
    <row r="5720" spans="1:13">
      <c r="A5720" s="54" t="str">
        <f>D5720&amp;E5720&amp;F5720</f>
        <v>MKTINSUMOSINSUMOS</v>
      </c>
      <c r="B5720" t="s">
        <v>3214</v>
      </c>
      <c r="C5720" s="1">
        <v>46027</v>
      </c>
      <c r="D5720" s="242" t="s">
        <v>19</v>
      </c>
      <c r="E5720" s="71" t="s">
        <v>133</v>
      </c>
      <c r="F5720" s="71" t="s">
        <v>133</v>
      </c>
      <c r="J5720" s="71" t="s">
        <v>3216</v>
      </c>
      <c r="L5720" s="433">
        <v>2352</v>
      </c>
      <c r="M5720" s="136">
        <f t="shared" si="191"/>
        <v>166410.55710333411</v>
      </c>
    </row>
    <row r="5721" spans="1:13">
      <c r="A5721" s="54" t="str">
        <f>D5721&amp;E5721&amp;F5721</f>
        <v>HRENERGIA ELECTRICAA2</v>
      </c>
      <c r="B5721" t="s">
        <v>3214</v>
      </c>
      <c r="C5721" s="1">
        <v>46027</v>
      </c>
      <c r="D5721" s="242" t="s">
        <v>29</v>
      </c>
      <c r="E5721" s="71" t="s">
        <v>87</v>
      </c>
      <c r="F5721" s="71" t="s">
        <v>89</v>
      </c>
      <c r="J5721" s="71" t="s">
        <v>3217</v>
      </c>
      <c r="L5721" s="433">
        <f>4066+300+11021</f>
        <v>15387</v>
      </c>
      <c r="M5721" s="136">
        <f t="shared" si="191"/>
        <v>151023.55710333411</v>
      </c>
    </row>
    <row r="5722" spans="1:13">
      <c r="A5722" s="54" t="str">
        <f>D5722&amp;E5722&amp;F5722</f>
        <v>HRENERGIA ELECTRICAA3</v>
      </c>
      <c r="B5722" t="s">
        <v>3214</v>
      </c>
      <c r="C5722" s="1">
        <v>46027</v>
      </c>
      <c r="D5722" s="242" t="s">
        <v>29</v>
      </c>
      <c r="E5722" s="71" t="s">
        <v>87</v>
      </c>
      <c r="F5722" s="71" t="s">
        <v>90</v>
      </c>
      <c r="J5722" s="71" t="s">
        <v>2603</v>
      </c>
      <c r="L5722" s="433">
        <v>9205</v>
      </c>
      <c r="M5722" s="136">
        <f t="shared" si="191"/>
        <v>141818.55710333411</v>
      </c>
    </row>
    <row r="5723" spans="1:13">
      <c r="A5723" s="54" t="str">
        <f>D5723&amp;E5723&amp;F5723</f>
        <v>HRENERGIA ELECTRICAA11</v>
      </c>
      <c r="B5723" t="s">
        <v>3214</v>
      </c>
      <c r="C5723" s="1">
        <v>46027</v>
      </c>
      <c r="D5723" s="242" t="s">
        <v>29</v>
      </c>
      <c r="E5723" s="71" t="s">
        <v>87</v>
      </c>
      <c r="F5723" s="71" t="s">
        <v>97</v>
      </c>
      <c r="J5723" s="71" t="s">
        <v>1036</v>
      </c>
      <c r="L5723" s="433">
        <v>16115</v>
      </c>
      <c r="M5723" s="136">
        <f t="shared" si="191"/>
        <v>125703.55710333411</v>
      </c>
    </row>
    <row r="5724" spans="1:13">
      <c r="A5724" s="54" t="str">
        <f>D5724&amp;E5724&amp;F5724</f>
        <v>HRENERGIA ELECTRICAA18</v>
      </c>
      <c r="B5724" t="s">
        <v>3214</v>
      </c>
      <c r="C5724" s="1">
        <v>46027</v>
      </c>
      <c r="D5724" s="242" t="s">
        <v>29</v>
      </c>
      <c r="E5724" s="71" t="s">
        <v>87</v>
      </c>
      <c r="F5724" s="71" t="s">
        <v>103</v>
      </c>
      <c r="J5724" s="71" t="s">
        <v>3218</v>
      </c>
      <c r="L5724" s="433">
        <v>3447</v>
      </c>
      <c r="M5724" s="136">
        <f t="shared" si="191"/>
        <v>122256.55710333411</v>
      </c>
    </row>
    <row r="5725" spans="1:13">
      <c r="A5725" s="54" t="str">
        <f>D5725&amp;E5725&amp;F5725</f>
        <v>FINANZASFONDO Y REPOSICIONFINANZAS</v>
      </c>
      <c r="B5725" t="s">
        <v>3214</v>
      </c>
      <c r="C5725" s="1">
        <v>46027</v>
      </c>
      <c r="D5725" s="242" t="s">
        <v>23</v>
      </c>
      <c r="E5725" s="71" t="s">
        <v>120</v>
      </c>
      <c r="F5725" s="71" t="s">
        <v>23</v>
      </c>
      <c r="J5725" s="71" t="s">
        <v>818</v>
      </c>
      <c r="L5725" s="433">
        <v>50</v>
      </c>
      <c r="M5725" s="136">
        <f t="shared" ref="M5725:M5792" si="192">M5724+K5725-L5725</f>
        <v>122206.55710333411</v>
      </c>
    </row>
    <row r="5726" spans="1:13">
      <c r="A5726" s="54" t="str">
        <f>D5726&amp;E5726&amp;F5726</f>
        <v>HRJMASA1</v>
      </c>
      <c r="B5726" t="s">
        <v>3214</v>
      </c>
      <c r="C5726" s="1">
        <v>46027</v>
      </c>
      <c r="D5726" s="242" t="s">
        <v>29</v>
      </c>
      <c r="E5726" s="71" t="s">
        <v>137</v>
      </c>
      <c r="F5726" s="71" t="s">
        <v>88</v>
      </c>
      <c r="J5726" s="71" t="s">
        <v>3219</v>
      </c>
      <c r="L5726" s="433">
        <f>442+1471</f>
        <v>1913</v>
      </c>
      <c r="M5726" s="136">
        <f t="shared" si="192"/>
        <v>120293.55710333411</v>
      </c>
    </row>
    <row r="5727" spans="1:13">
      <c r="A5727" s="54" t="str">
        <f>D5727&amp;E5727&amp;F5727</f>
        <v>HRJMASA9</v>
      </c>
      <c r="B5727" t="s">
        <v>3214</v>
      </c>
      <c r="C5727" s="1">
        <v>46027</v>
      </c>
      <c r="D5727" s="242" t="s">
        <v>29</v>
      </c>
      <c r="E5727" s="71" t="s">
        <v>137</v>
      </c>
      <c r="F5727" s="71" t="s">
        <v>95</v>
      </c>
      <c r="J5727" s="71" t="s">
        <v>3220</v>
      </c>
      <c r="L5727" s="433">
        <v>445</v>
      </c>
      <c r="M5727" s="136">
        <f t="shared" si="192"/>
        <v>119848.55710333411</v>
      </c>
    </row>
    <row r="5728" spans="1:13">
      <c r="A5728" s="54" t="str">
        <f>D5728&amp;E5728&amp;F5728</f>
        <v>HRJMASA10</v>
      </c>
      <c r="B5728" t="s">
        <v>3214</v>
      </c>
      <c r="C5728" s="1">
        <v>46027</v>
      </c>
      <c r="D5728" s="242" t="s">
        <v>29</v>
      </c>
      <c r="E5728" s="71" t="s">
        <v>137</v>
      </c>
      <c r="F5728" s="71" t="s">
        <v>96</v>
      </c>
      <c r="J5728" s="71" t="s">
        <v>3221</v>
      </c>
      <c r="L5728" s="433">
        <v>8513</v>
      </c>
      <c r="M5728" s="136">
        <f t="shared" si="192"/>
        <v>111335.55710333411</v>
      </c>
    </row>
    <row r="5729" spans="1:13">
      <c r="A5729" s="54" t="str">
        <f>D5729&amp;E5729&amp;F5729</f>
        <v>SERVICIOSJMASCEDIS</v>
      </c>
      <c r="B5729" t="s">
        <v>3214</v>
      </c>
      <c r="C5729" s="1">
        <v>46027</v>
      </c>
      <c r="D5729" s="242" t="s">
        <v>21</v>
      </c>
      <c r="E5729" s="71" t="s">
        <v>137</v>
      </c>
      <c r="F5729" s="71" t="s">
        <v>28</v>
      </c>
      <c r="J5729" s="71" t="s">
        <v>3222</v>
      </c>
      <c r="L5729" s="208">
        <f>448+443+1175</f>
        <v>2066</v>
      </c>
      <c r="M5729" s="136">
        <f t="shared" si="192"/>
        <v>109269.55710333411</v>
      </c>
    </row>
    <row r="5730" spans="1:13">
      <c r="A5730" s="54" t="str">
        <f>D5730&amp;E5730&amp;F5730</f>
        <v>CAPJMASE1</v>
      </c>
      <c r="B5730" t="s">
        <v>3214</v>
      </c>
      <c r="C5730" s="1">
        <v>46027</v>
      </c>
      <c r="D5730" s="242" t="s">
        <v>31</v>
      </c>
      <c r="E5730" s="71" t="s">
        <v>137</v>
      </c>
      <c r="F5730" s="71" t="s">
        <v>107</v>
      </c>
      <c r="J5730" s="71" t="s">
        <v>3223</v>
      </c>
      <c r="L5730" s="208">
        <v>443</v>
      </c>
      <c r="M5730" s="136">
        <f t="shared" si="192"/>
        <v>108826.55710333411</v>
      </c>
    </row>
    <row r="5731" spans="1:13">
      <c r="A5731" s="54" t="str">
        <f>D5731&amp;E5731&amp;F5731</f>
        <v>HRJMASA2</v>
      </c>
      <c r="B5731" t="s">
        <v>3214</v>
      </c>
      <c r="C5731" s="1">
        <v>46027</v>
      </c>
      <c r="D5731" s="242" t="s">
        <v>29</v>
      </c>
      <c r="E5731" s="71" t="s">
        <v>137</v>
      </c>
      <c r="F5731" s="71" t="s">
        <v>89</v>
      </c>
      <c r="J5731" s="71" t="s">
        <v>3224</v>
      </c>
      <c r="L5731" s="433">
        <f>452+452</f>
        <v>904</v>
      </c>
      <c r="M5731" s="136">
        <f t="shared" si="192"/>
        <v>107922.55710333411</v>
      </c>
    </row>
    <row r="5732" spans="1:13">
      <c r="A5732" s="54" t="str">
        <f>D5732&amp;E5732&amp;F5732</f>
        <v>FINANZASCOMBUSTIBLEFINANZAS</v>
      </c>
      <c r="B5732" t="s">
        <v>3214</v>
      </c>
      <c r="C5732" s="1">
        <v>46027</v>
      </c>
      <c r="D5732" s="242" t="s">
        <v>23</v>
      </c>
      <c r="E5732" s="71" t="s">
        <v>32</v>
      </c>
      <c r="F5732" s="71" t="s">
        <v>23</v>
      </c>
      <c r="J5732" s="71" t="s">
        <v>3225</v>
      </c>
      <c r="L5732" s="433">
        <v>1500</v>
      </c>
      <c r="M5732" s="136">
        <f t="shared" si="192"/>
        <v>106422.55710333411</v>
      </c>
    </row>
    <row r="5733" spans="1:13">
      <c r="A5733" s="54" t="str">
        <f>D5733&amp;E5733&amp;F5733</f>
        <v>FINANZASFONDO Y REPOSICIONFINANZAS</v>
      </c>
      <c r="B5733" t="s">
        <v>3214</v>
      </c>
      <c r="C5733" s="1">
        <v>46027</v>
      </c>
      <c r="D5733" s="242" t="s">
        <v>23</v>
      </c>
      <c r="E5733" s="71" t="s">
        <v>120</v>
      </c>
      <c r="F5733" s="71" t="s">
        <v>23</v>
      </c>
      <c r="J5733" s="71" t="s">
        <v>2036</v>
      </c>
      <c r="L5733" s="433">
        <v>300</v>
      </c>
      <c r="M5733" s="136">
        <f t="shared" si="192"/>
        <v>106122.55710333411</v>
      </c>
    </row>
    <row r="5734" spans="1:13">
      <c r="A5734" s="54" t="str">
        <f>D5734&amp;E5734&amp;F5734</f>
        <v>DEFONDO Y REPOSICIONDIRECCION</v>
      </c>
      <c r="B5734" t="s">
        <v>3214</v>
      </c>
      <c r="C5734" s="1">
        <v>46027</v>
      </c>
      <c r="D5734" s="242" t="s">
        <v>41</v>
      </c>
      <c r="E5734" s="242" t="s">
        <v>120</v>
      </c>
      <c r="F5734" s="242" t="s">
        <v>42</v>
      </c>
      <c r="J5734" s="71" t="s">
        <v>3226</v>
      </c>
      <c r="L5734" s="433">
        <v>700</v>
      </c>
      <c r="M5734" s="136">
        <f t="shared" si="192"/>
        <v>105422.55710333411</v>
      </c>
    </row>
    <row r="5735" spans="1:13">
      <c r="A5735" s="54" t="str">
        <f>D5735&amp;E5735&amp;F5735</f>
        <v>DEFONDO Y REPOSICIONDIRECCION</v>
      </c>
      <c r="B5735" t="s">
        <v>3214</v>
      </c>
      <c r="C5735" s="1">
        <v>46027</v>
      </c>
      <c r="D5735" s="242" t="s">
        <v>41</v>
      </c>
      <c r="E5735" s="71" t="s">
        <v>120</v>
      </c>
      <c r="F5735" s="71" t="s">
        <v>42</v>
      </c>
      <c r="J5735" s="71" t="s">
        <v>3227</v>
      </c>
      <c r="L5735" s="433">
        <v>500</v>
      </c>
      <c r="M5735" s="136">
        <f t="shared" si="192"/>
        <v>104922.55710333411</v>
      </c>
    </row>
    <row r="5736" spans="1:13">
      <c r="A5736" s="54" t="str">
        <f>D5736&amp;E5736&amp;F5736</f>
        <v>FINANZASCUOTAS Y SUSCRIPCIONESBITAM</v>
      </c>
      <c r="B5736" t="s">
        <v>3214</v>
      </c>
      <c r="C5736" s="1">
        <v>46027</v>
      </c>
      <c r="D5736" s="242" t="s">
        <v>23</v>
      </c>
      <c r="E5736" s="71" t="s">
        <v>51</v>
      </c>
      <c r="F5736" s="71" t="s">
        <v>71</v>
      </c>
      <c r="G5736" s="71" t="s">
        <v>258</v>
      </c>
      <c r="J5736" s="71" t="s">
        <v>3228</v>
      </c>
      <c r="L5736" s="433">
        <v>12149.84</v>
      </c>
      <c r="M5736" s="136">
        <f t="shared" si="192"/>
        <v>92772.717103334115</v>
      </c>
    </row>
    <row r="5737" spans="1:13">
      <c r="A5737" s="54" t="str">
        <f>D5737&amp;E5737&amp;F5737</f>
        <v>HRNOMINA SUCURSALA5</v>
      </c>
      <c r="B5737" t="s">
        <v>3214</v>
      </c>
      <c r="C5737" s="1">
        <v>46027</v>
      </c>
      <c r="D5737" s="242" t="s">
        <v>29</v>
      </c>
      <c r="E5737" s="71" t="s">
        <v>154</v>
      </c>
      <c r="F5737" s="71" t="s">
        <v>92</v>
      </c>
      <c r="J5737" s="71" t="s">
        <v>3229</v>
      </c>
      <c r="L5737" s="433">
        <v>520</v>
      </c>
      <c r="M5737" s="136">
        <f t="shared" si="192"/>
        <v>92252.717103334115</v>
      </c>
    </row>
    <row r="5738" spans="1:13">
      <c r="A5738" s="54" t="str">
        <f>D5738&amp;E5738&amp;F5738</f>
        <v>SERVICIOSMTTO DE EDIFICIOMANTENIMIENTO</v>
      </c>
      <c r="B5738" t="s">
        <v>3214</v>
      </c>
      <c r="C5738" s="1">
        <v>46027</v>
      </c>
      <c r="D5738" s="242" t="s">
        <v>21</v>
      </c>
      <c r="E5738" s="71" t="s">
        <v>142</v>
      </c>
      <c r="F5738" s="71" t="s">
        <v>35</v>
      </c>
      <c r="J5738" s="71" t="s">
        <v>3230</v>
      </c>
      <c r="L5738" s="433">
        <v>750</v>
      </c>
      <c r="M5738" s="136">
        <f t="shared" si="192"/>
        <v>91502.717103334115</v>
      </c>
    </row>
    <row r="5739" spans="1:13">
      <c r="A5739" s="54" t="str">
        <f>D5739&amp;E5739&amp;F5739</f>
        <v>HRNOMINA SUCURSALA3</v>
      </c>
      <c r="B5739" t="s">
        <v>3214</v>
      </c>
      <c r="C5739" s="1">
        <v>46027</v>
      </c>
      <c r="D5739" s="242" t="s">
        <v>29</v>
      </c>
      <c r="E5739" s="71" t="s">
        <v>154</v>
      </c>
      <c r="F5739" s="71" t="s">
        <v>90</v>
      </c>
      <c r="J5739" s="71" t="s">
        <v>3231</v>
      </c>
      <c r="L5739" s="433">
        <f>1360-1025</f>
        <v>335</v>
      </c>
      <c r="M5739" s="136">
        <f t="shared" si="192"/>
        <v>91167.717103334115</v>
      </c>
    </row>
    <row r="5740" spans="1:13">
      <c r="A5740" s="54" t="str">
        <f>D5740&amp;E5740&amp;F5740</f>
        <v>HRNOMINA SUCURSALA10</v>
      </c>
      <c r="B5740" t="s">
        <v>3214</v>
      </c>
      <c r="C5740" s="1">
        <v>46027</v>
      </c>
      <c r="D5740" s="242" t="s">
        <v>29</v>
      </c>
      <c r="E5740" s="71" t="s">
        <v>154</v>
      </c>
      <c r="F5740" s="71" t="s">
        <v>96</v>
      </c>
      <c r="J5740" s="71" t="s">
        <v>3232</v>
      </c>
      <c r="L5740" s="433">
        <v>1550</v>
      </c>
      <c r="M5740" s="136">
        <f t="shared" si="192"/>
        <v>89617.717103334115</v>
      </c>
    </row>
    <row r="5741" spans="1:13">
      <c r="A5741" s="54" t="str">
        <f>D5741&amp;E5741&amp;F5741</f>
        <v>HRINSUMOSHR</v>
      </c>
      <c r="B5741" t="s">
        <v>3214</v>
      </c>
      <c r="C5741" s="1">
        <v>46027</v>
      </c>
      <c r="D5741" s="242" t="s">
        <v>29</v>
      </c>
      <c r="E5741" s="71" t="s">
        <v>133</v>
      </c>
      <c r="F5741" s="71" t="s">
        <v>29</v>
      </c>
      <c r="J5741" s="71" t="s">
        <v>2618</v>
      </c>
      <c r="L5741" s="433">
        <v>180</v>
      </c>
      <c r="M5741" s="136">
        <f t="shared" si="192"/>
        <v>89437.717103334115</v>
      </c>
    </row>
    <row r="5742" spans="1:13">
      <c r="A5742" s="54" t="str">
        <f>D5742&amp;E5742&amp;F5742</f>
        <v>HRINSUMOSHR</v>
      </c>
      <c r="B5742" t="s">
        <v>3214</v>
      </c>
      <c r="C5742" s="1">
        <v>46027</v>
      </c>
      <c r="D5742" s="242" t="s">
        <v>29</v>
      </c>
      <c r="E5742" s="71" t="s">
        <v>133</v>
      </c>
      <c r="F5742" s="71" t="s">
        <v>29</v>
      </c>
      <c r="J5742" s="71" t="s">
        <v>3233</v>
      </c>
      <c r="L5742" s="433">
        <v>664</v>
      </c>
      <c r="M5742" s="136">
        <f t="shared" si="192"/>
        <v>88773.717103334115</v>
      </c>
    </row>
    <row r="5743" spans="1:13">
      <c r="A5743" s="54" t="str">
        <f>D5743&amp;E5743&amp;F5743</f>
        <v>HRUBERHR</v>
      </c>
      <c r="B5743" t="s">
        <v>3214</v>
      </c>
      <c r="C5743" s="1">
        <v>46027</v>
      </c>
      <c r="D5743" s="242" t="s">
        <v>29</v>
      </c>
      <c r="E5743" s="71" t="s">
        <v>189</v>
      </c>
      <c r="F5743" s="71" t="s">
        <v>29</v>
      </c>
      <c r="J5743" s="71" t="s">
        <v>3234</v>
      </c>
      <c r="L5743" s="433">
        <v>800</v>
      </c>
      <c r="M5743" s="136">
        <f t="shared" si="192"/>
        <v>87973.717103334115</v>
      </c>
    </row>
    <row r="5744" spans="1:13">
      <c r="A5744" s="54" t="str">
        <f>D5744&amp;E5744&amp;F5744</f>
        <v>CAPNOMINA SUCURSALE1</v>
      </c>
      <c r="B5744" t="s">
        <v>3214</v>
      </c>
      <c r="C5744" s="1">
        <v>46027</v>
      </c>
      <c r="D5744" s="242" t="s">
        <v>31</v>
      </c>
      <c r="E5744" s="71" t="s">
        <v>154</v>
      </c>
      <c r="F5744" s="71" t="s">
        <v>107</v>
      </c>
      <c r="J5744" s="71" t="s">
        <v>2923</v>
      </c>
      <c r="L5744" s="433">
        <v>5324</v>
      </c>
      <c r="M5744" s="136">
        <f t="shared" si="192"/>
        <v>82649.717103334115</v>
      </c>
    </row>
    <row r="5745" spans="1:13">
      <c r="A5745" s="54" t="str">
        <f>D5745&amp;E5745&amp;F5745</f>
        <v>CAPUBERCAP</v>
      </c>
      <c r="B5745" t="s">
        <v>3214</v>
      </c>
      <c r="C5745" s="1">
        <v>46027</v>
      </c>
      <c r="D5745" s="242" t="s">
        <v>31</v>
      </c>
      <c r="E5745" s="71" t="s">
        <v>189</v>
      </c>
      <c r="F5745" s="71" t="s">
        <v>31</v>
      </c>
      <c r="J5745" s="71" t="s">
        <v>2267</v>
      </c>
      <c r="L5745" s="433">
        <f>2849+240</f>
        <v>3089</v>
      </c>
      <c r="M5745" s="136">
        <f t="shared" si="192"/>
        <v>79560.717103334115</v>
      </c>
    </row>
    <row r="5746" spans="1:13">
      <c r="A5746" s="54" t="str">
        <f>D5746&amp;E5746&amp;F5746</f>
        <v>CAPNOMINA SUCURSALE2</v>
      </c>
      <c r="B5746" t="s">
        <v>3214</v>
      </c>
      <c r="C5746" s="1">
        <v>46027</v>
      </c>
      <c r="D5746" s="242" t="s">
        <v>31</v>
      </c>
      <c r="E5746" s="71" t="s">
        <v>154</v>
      </c>
      <c r="F5746" s="71" t="s">
        <v>108</v>
      </c>
      <c r="J5746" s="71" t="s">
        <v>3235</v>
      </c>
      <c r="L5746" s="433">
        <v>1600</v>
      </c>
      <c r="M5746" s="136">
        <f t="shared" si="192"/>
        <v>77960.717103334115</v>
      </c>
    </row>
    <row r="5747" spans="1:13">
      <c r="A5747" s="54" t="str">
        <f>D5747&amp;E5747&amp;F5747</f>
        <v>CAPNOMINA SUCURSALE4</v>
      </c>
      <c r="B5747" t="s">
        <v>3214</v>
      </c>
      <c r="C5747" s="1">
        <v>46027</v>
      </c>
      <c r="D5747" s="242" t="s">
        <v>31</v>
      </c>
      <c r="E5747" s="71" t="s">
        <v>154</v>
      </c>
      <c r="F5747" s="71" t="s">
        <v>110</v>
      </c>
      <c r="J5747" s="71" t="s">
        <v>3236</v>
      </c>
      <c r="L5747" s="433">
        <v>420</v>
      </c>
      <c r="M5747" s="136">
        <f t="shared" si="192"/>
        <v>77540.717103334115</v>
      </c>
    </row>
    <row r="5748" spans="1:13">
      <c r="A5748" s="54"/>
      <c r="B5748" t="s">
        <v>3214</v>
      </c>
      <c r="C5748" s="1">
        <v>46027</v>
      </c>
      <c r="J5748" s="71" t="s">
        <v>3237</v>
      </c>
      <c r="L5748" s="433">
        <v>370</v>
      </c>
      <c r="M5748" s="136">
        <f t="shared" si="192"/>
        <v>77170.717103334115</v>
      </c>
    </row>
    <row r="5749" spans="1:13">
      <c r="A5749" s="54" t="str">
        <f>D5749&amp;E5749&amp;F5749</f>
        <v>CAPNOMINA SUCURSALE5</v>
      </c>
      <c r="B5749" t="s">
        <v>3214</v>
      </c>
      <c r="C5749" s="1">
        <v>46027</v>
      </c>
      <c r="D5749" s="242" t="s">
        <v>31</v>
      </c>
      <c r="E5749" s="71" t="s">
        <v>154</v>
      </c>
      <c r="F5749" s="71" t="s">
        <v>111</v>
      </c>
      <c r="J5749" s="71" t="s">
        <v>3238</v>
      </c>
      <c r="L5749" s="433">
        <v>224</v>
      </c>
      <c r="M5749" s="136">
        <f t="shared" si="192"/>
        <v>76946.717103334115</v>
      </c>
    </row>
    <row r="5750" spans="1:13">
      <c r="A5750" s="54" t="str">
        <f>D5750&amp;E5750&amp;F5750</f>
        <v>CAPINSUMOSCAPRICHOS</v>
      </c>
      <c r="B5750" t="s">
        <v>3214</v>
      </c>
      <c r="C5750" s="1">
        <v>46027</v>
      </c>
      <c r="D5750" s="242" t="s">
        <v>31</v>
      </c>
      <c r="E5750" s="71" t="s">
        <v>133</v>
      </c>
      <c r="F5750" s="71" t="s">
        <v>33</v>
      </c>
      <c r="J5750" s="71" t="s">
        <v>3239</v>
      </c>
      <c r="L5750" s="433">
        <v>40</v>
      </c>
      <c r="M5750" s="136">
        <f t="shared" si="192"/>
        <v>76906.717103334115</v>
      </c>
    </row>
    <row r="5751" spans="1:13">
      <c r="A5751" s="54" t="str">
        <f>D5751&amp;E5751&amp;F5751</f>
        <v>CAPNOMINA SUCURSALE6</v>
      </c>
      <c r="B5751" t="s">
        <v>3214</v>
      </c>
      <c r="C5751" s="1">
        <v>46028</v>
      </c>
      <c r="D5751" s="242" t="s">
        <v>31</v>
      </c>
      <c r="E5751" s="71" t="s">
        <v>154</v>
      </c>
      <c r="F5751" s="71" t="s">
        <v>112</v>
      </c>
      <c r="J5751" s="71" t="s">
        <v>3187</v>
      </c>
      <c r="L5751" s="433">
        <v>525</v>
      </c>
      <c r="M5751" s="136">
        <f t="shared" si="192"/>
        <v>76381.717103334115</v>
      </c>
    </row>
    <row r="5752" spans="1:13">
      <c r="A5752" s="54" t="str">
        <f t="shared" ref="A5749:A5797" si="193">D5752&amp;E5752&amp;F5752</f>
        <v/>
      </c>
      <c r="B5752" t="s">
        <v>3214</v>
      </c>
      <c r="C5752" s="1">
        <v>46028</v>
      </c>
      <c r="J5752" s="71" t="s">
        <v>3240</v>
      </c>
      <c r="L5752" s="433">
        <v>230</v>
      </c>
      <c r="M5752" s="136">
        <f t="shared" si="192"/>
        <v>76151.717103334115</v>
      </c>
    </row>
    <row r="5753" spans="1:13">
      <c r="A5753" s="54" t="str">
        <f>D5753&amp;E5753&amp;F5753</f>
        <v>SERVICIOSMTTO DE EDIFICIOMANTENIMIENTO</v>
      </c>
      <c r="B5753" t="s">
        <v>3214</v>
      </c>
      <c r="C5753" s="1">
        <v>46028</v>
      </c>
      <c r="D5753" s="242" t="s">
        <v>21</v>
      </c>
      <c r="E5753" s="71" t="s">
        <v>142</v>
      </c>
      <c r="F5753" s="71" t="s">
        <v>35</v>
      </c>
      <c r="J5753" s="71" t="s">
        <v>3241</v>
      </c>
      <c r="L5753" s="433">
        <v>1008</v>
      </c>
      <c r="M5753" s="136">
        <f t="shared" si="192"/>
        <v>75143.717103334115</v>
      </c>
    </row>
    <row r="5754" spans="1:13">
      <c r="A5754" s="54" t="str">
        <f>D5754&amp;E5754&amp;F5754</f>
        <v>CAPUBERCAP</v>
      </c>
      <c r="B5754" t="s">
        <v>3214</v>
      </c>
      <c r="C5754" s="1">
        <v>46028</v>
      </c>
      <c r="D5754" s="242" t="s">
        <v>31</v>
      </c>
      <c r="E5754" s="71" t="s">
        <v>189</v>
      </c>
      <c r="F5754" s="71" t="s">
        <v>31</v>
      </c>
      <c r="J5754" s="71" t="s">
        <v>3118</v>
      </c>
      <c r="L5754" s="433">
        <v>92</v>
      </c>
      <c r="M5754" s="136">
        <f t="shared" si="192"/>
        <v>75051.717103334115</v>
      </c>
    </row>
    <row r="5755" spans="1:13">
      <c r="A5755" s="54" t="str">
        <f>D5755&amp;E5755&amp;F5755</f>
        <v>CAPFONDO Y REPOSICIONCAPRICHOS</v>
      </c>
      <c r="B5755" t="s">
        <v>3214</v>
      </c>
      <c r="C5755" s="1">
        <v>46028</v>
      </c>
      <c r="D5755" s="242" t="s">
        <v>31</v>
      </c>
      <c r="E5755" s="71" t="s">
        <v>120</v>
      </c>
      <c r="F5755" s="71" t="s">
        <v>33</v>
      </c>
      <c r="J5755" s="71" t="s">
        <v>3242</v>
      </c>
      <c r="L5755" s="433">
        <v>100</v>
      </c>
      <c r="M5755" s="136">
        <f t="shared" si="192"/>
        <v>74951.717103334115</v>
      </c>
    </row>
    <row r="5756" spans="1:13">
      <c r="A5756" s="54" t="str">
        <f>D5756&amp;E5756&amp;F5756</f>
        <v>CAPINSUMOSCAPRICHOS</v>
      </c>
      <c r="B5756" t="s">
        <v>3214</v>
      </c>
      <c r="C5756" s="1">
        <v>46028</v>
      </c>
      <c r="D5756" s="242" t="s">
        <v>31</v>
      </c>
      <c r="E5756" s="71" t="s">
        <v>133</v>
      </c>
      <c r="F5756" s="71" t="s">
        <v>33</v>
      </c>
      <c r="J5756" s="71" t="s">
        <v>3243</v>
      </c>
      <c r="L5756" s="433">
        <v>258</v>
      </c>
      <c r="M5756" s="136">
        <f t="shared" si="192"/>
        <v>74693.717103334115</v>
      </c>
    </row>
    <row r="5757" spans="1:13">
      <c r="A5757" s="54" t="str">
        <f>D5757&amp;E5757&amp;F5757</f>
        <v>SERVICIOSMTTO DE EDIFICIOMANTENIMIENTO</v>
      </c>
      <c r="B5757" t="s">
        <v>3214</v>
      </c>
      <c r="C5757" s="1">
        <v>46028</v>
      </c>
      <c r="D5757" s="242" t="s">
        <v>21</v>
      </c>
      <c r="E5757" s="71" t="s">
        <v>142</v>
      </c>
      <c r="F5757" s="71" t="s">
        <v>35</v>
      </c>
      <c r="J5757" s="71" t="s">
        <v>3244</v>
      </c>
      <c r="L5757" s="433">
        <v>157</v>
      </c>
      <c r="M5757" s="136">
        <f t="shared" si="192"/>
        <v>74536.717103334115</v>
      </c>
    </row>
    <row r="5758" spans="1:13">
      <c r="A5758" s="54" t="str">
        <f>D5758&amp;E5758&amp;F5758</f>
        <v>CAPNOMINA SUCURSALE8</v>
      </c>
      <c r="B5758" t="s">
        <v>3214</v>
      </c>
      <c r="C5758" s="1">
        <v>46028</v>
      </c>
      <c r="D5758" s="242" t="s">
        <v>31</v>
      </c>
      <c r="E5758" s="71" t="s">
        <v>154</v>
      </c>
      <c r="F5758" s="71" t="s">
        <v>114</v>
      </c>
      <c r="J5758" s="71" t="s">
        <v>3245</v>
      </c>
      <c r="L5758" s="433">
        <v>5040</v>
      </c>
      <c r="M5758" s="136">
        <f t="shared" si="192"/>
        <v>69496.717103334115</v>
      </c>
    </row>
    <row r="5759" spans="1:13">
      <c r="A5759" s="54" t="str">
        <f t="shared" si="193"/>
        <v/>
      </c>
      <c r="B5759" t="s">
        <v>3214</v>
      </c>
      <c r="C5759" s="1">
        <v>46028</v>
      </c>
      <c r="J5759" s="71" t="s">
        <v>2045</v>
      </c>
      <c r="K5759" s="325">
        <v>224032.13</v>
      </c>
      <c r="L5759" s="432"/>
      <c r="M5759" s="136">
        <f t="shared" si="192"/>
        <v>293528.84710333415</v>
      </c>
    </row>
    <row r="5760" spans="1:13">
      <c r="A5760" s="54"/>
      <c r="B5760" t="s">
        <v>3214</v>
      </c>
      <c r="C5760" s="1">
        <v>46028</v>
      </c>
      <c r="J5760" s="71" t="s">
        <v>3246</v>
      </c>
      <c r="K5760" s="325">
        <v>634.5</v>
      </c>
      <c r="L5760" s="432"/>
      <c r="M5760" s="136">
        <f t="shared" si="192"/>
        <v>294163.34710333415</v>
      </c>
    </row>
    <row r="5761" spans="1:13">
      <c r="A5761" s="54"/>
      <c r="B5761" t="s">
        <v>3214</v>
      </c>
      <c r="C5761" s="1">
        <v>46028</v>
      </c>
      <c r="J5761" s="71" t="s">
        <v>3247</v>
      </c>
      <c r="L5761" s="433">
        <v>3079.05</v>
      </c>
      <c r="M5761" s="136">
        <f t="shared" si="192"/>
        <v>291084.29710333416</v>
      </c>
    </row>
    <row r="5762" spans="1:13">
      <c r="A5762" s="54"/>
      <c r="B5762" t="s">
        <v>3214</v>
      </c>
      <c r="C5762" s="1">
        <v>46028</v>
      </c>
      <c r="J5762" s="71" t="s">
        <v>3248</v>
      </c>
      <c r="K5762" s="325">
        <v>1554.64</v>
      </c>
      <c r="L5762" s="432"/>
      <c r="M5762" s="136">
        <f t="shared" si="192"/>
        <v>292638.93710333417</v>
      </c>
    </row>
    <row r="5763" spans="1:13">
      <c r="A5763" s="54"/>
      <c r="B5763" t="s">
        <v>3214</v>
      </c>
      <c r="C5763" s="1">
        <v>46028</v>
      </c>
      <c r="J5763" s="71" t="s">
        <v>3249</v>
      </c>
      <c r="L5763" s="433">
        <v>932.68</v>
      </c>
      <c r="M5763" s="136">
        <f t="shared" si="192"/>
        <v>291706.25710333418</v>
      </c>
    </row>
    <row r="5764" spans="1:13" ht="15" customHeight="1">
      <c r="A5764" s="54" t="str">
        <f>D5764&amp;E5764&amp;F5764</f>
        <v>FINANZASCOMISIONES BANCARIASTPV</v>
      </c>
      <c r="B5764" t="s">
        <v>3214</v>
      </c>
      <c r="C5764" s="1">
        <v>46028</v>
      </c>
      <c r="D5764" s="242" t="s">
        <v>23</v>
      </c>
      <c r="E5764" s="71" t="s">
        <v>48</v>
      </c>
      <c r="F5764" s="71" t="s">
        <v>50</v>
      </c>
      <c r="J5764" s="71" t="s">
        <v>217</v>
      </c>
      <c r="L5764" s="438">
        <f>1399.99+2032.7+940.69+189.95+221.87+135.64+5.8+289.79</f>
        <v>5216.43</v>
      </c>
      <c r="M5764" s="136">
        <f t="shared" si="192"/>
        <v>286489.82710333419</v>
      </c>
    </row>
    <row r="5765" spans="1:13">
      <c r="A5765" s="54" t="str">
        <f t="shared" si="193"/>
        <v/>
      </c>
      <c r="B5765" t="s">
        <v>3214</v>
      </c>
      <c r="C5765" s="1">
        <v>46028</v>
      </c>
      <c r="J5765" s="205" t="s">
        <v>1562</v>
      </c>
      <c r="K5765" s="205"/>
      <c r="L5765" s="428">
        <v>150000</v>
      </c>
      <c r="M5765" s="136">
        <f t="shared" si="192"/>
        <v>136489.82710333419</v>
      </c>
    </row>
    <row r="5766" spans="1:13">
      <c r="A5766" s="54" t="str">
        <f t="shared" si="193"/>
        <v/>
      </c>
      <c r="B5766" t="s">
        <v>3214</v>
      </c>
      <c r="C5766" s="1">
        <v>46028</v>
      </c>
      <c r="J5766" s="205" t="s">
        <v>222</v>
      </c>
      <c r="K5766" s="205"/>
      <c r="L5766" s="428"/>
      <c r="M5766" s="136">
        <f t="shared" si="192"/>
        <v>136489.82710333419</v>
      </c>
    </row>
    <row r="5767" spans="1:13">
      <c r="A5767" s="54" t="str">
        <f>D5767&amp;E5767&amp;F5767</f>
        <v>FINANZASTELEFONIATELCEL</v>
      </c>
      <c r="B5767" t="s">
        <v>3214</v>
      </c>
      <c r="C5767" s="1">
        <v>46028</v>
      </c>
      <c r="D5767" s="242" t="s">
        <v>23</v>
      </c>
      <c r="E5767" s="71" t="s">
        <v>181</v>
      </c>
      <c r="F5767" s="71" t="s">
        <v>183</v>
      </c>
      <c r="J5767" s="71" t="s">
        <v>555</v>
      </c>
      <c r="L5767" s="433">
        <v>5342</v>
      </c>
      <c r="M5767" s="136">
        <f t="shared" si="192"/>
        <v>131147.82710333419</v>
      </c>
    </row>
    <row r="5768" spans="1:13">
      <c r="A5768" s="54" t="str">
        <f>D5768&amp;E5768&amp;F5768</f>
        <v>FINANZASTELEFONIATELCEL</v>
      </c>
      <c r="B5768" t="s">
        <v>3214</v>
      </c>
      <c r="C5768" s="1">
        <v>46028</v>
      </c>
      <c r="D5768" s="242" t="s">
        <v>23</v>
      </c>
      <c r="E5768" s="71" t="s">
        <v>181</v>
      </c>
      <c r="F5768" s="71" t="s">
        <v>183</v>
      </c>
      <c r="J5768" s="71" t="s">
        <v>554</v>
      </c>
      <c r="L5768" s="208">
        <v>3389.04</v>
      </c>
      <c r="M5768" s="136">
        <f t="shared" si="192"/>
        <v>127758.78710333419</v>
      </c>
    </row>
    <row r="5769" spans="1:13">
      <c r="A5769" s="54" t="str">
        <f>D5769&amp;E5769&amp;F5769</f>
        <v>HRENERGIA ELECTRICAA23</v>
      </c>
      <c r="B5769" t="s">
        <v>3214</v>
      </c>
      <c r="C5769" s="1">
        <v>46028</v>
      </c>
      <c r="D5769" s="242" t="s">
        <v>29</v>
      </c>
      <c r="E5769" s="71" t="s">
        <v>87</v>
      </c>
      <c r="F5769" s="71" t="s">
        <v>105</v>
      </c>
      <c r="J5769" s="71" t="s">
        <v>3250</v>
      </c>
      <c r="L5769" s="433">
        <v>2815</v>
      </c>
      <c r="M5769" s="136">
        <f t="shared" si="192"/>
        <v>124943.78710333419</v>
      </c>
    </row>
    <row r="5770" spans="1:13">
      <c r="A5770" s="54" t="str">
        <f>D5770&amp;E5770&amp;F5770</f>
        <v>CAPENERGIA ELECTRICAE9</v>
      </c>
      <c r="B5770" t="s">
        <v>3214</v>
      </c>
      <c r="C5770" s="1">
        <v>46028</v>
      </c>
      <c r="D5770" s="242" t="s">
        <v>31</v>
      </c>
      <c r="E5770" s="71" t="s">
        <v>87</v>
      </c>
      <c r="F5770" s="71" t="s">
        <v>116</v>
      </c>
      <c r="J5770" s="71" t="s">
        <v>3251</v>
      </c>
      <c r="L5770" s="433">
        <v>8362</v>
      </c>
      <c r="M5770" s="136">
        <f t="shared" si="192"/>
        <v>116581.78710333419</v>
      </c>
    </row>
    <row r="5771" spans="1:13">
      <c r="A5771" s="54" t="str">
        <f>D5771&amp;E5771&amp;F5771</f>
        <v>CAPIMAGEN VISUALIMAGEN VISUAL CAP</v>
      </c>
      <c r="B5771" t="s">
        <v>3214</v>
      </c>
      <c r="C5771" s="1">
        <v>46028</v>
      </c>
      <c r="D5771" s="242" t="s">
        <v>31</v>
      </c>
      <c r="E5771" s="71" t="s">
        <v>127</v>
      </c>
      <c r="F5771" s="71" t="s">
        <v>129</v>
      </c>
      <c r="J5771" s="71" t="s">
        <v>3252</v>
      </c>
      <c r="L5771" s="433">
        <v>11402.8</v>
      </c>
      <c r="M5771" s="136">
        <f t="shared" si="192"/>
        <v>105178.98710333419</v>
      </c>
    </row>
    <row r="5772" spans="1:13">
      <c r="A5772" s="54" t="str">
        <f>D5772&amp;E5772&amp;F5772</f>
        <v>CAPIMAGEN VISUALIMAGEN VISUAL CAP</v>
      </c>
      <c r="B5772" t="s">
        <v>3214</v>
      </c>
      <c r="C5772" s="1">
        <v>46028</v>
      </c>
      <c r="D5772" s="242" t="s">
        <v>31</v>
      </c>
      <c r="E5772" s="71" t="s">
        <v>127</v>
      </c>
      <c r="F5772" s="71" t="s">
        <v>129</v>
      </c>
      <c r="J5772" s="71" t="s">
        <v>3253</v>
      </c>
      <c r="L5772" s="433">
        <v>4640</v>
      </c>
      <c r="M5772" s="136">
        <f t="shared" si="192"/>
        <v>100538.98710333419</v>
      </c>
    </row>
    <row r="5773" spans="1:13">
      <c r="A5773" s="54" t="str">
        <f>D5773&amp;E5773&amp;F5773</f>
        <v>CAPMTTO EQ DE TRANSPORTECAPRICHOS</v>
      </c>
      <c r="B5773" t="s">
        <v>3214</v>
      </c>
      <c r="C5773" s="1">
        <v>46028</v>
      </c>
      <c r="D5773" s="242" t="s">
        <v>31</v>
      </c>
      <c r="E5773" s="71" t="s">
        <v>144</v>
      </c>
      <c r="F5773" s="71" t="s">
        <v>33</v>
      </c>
      <c r="J5773" s="71" t="s">
        <v>3254</v>
      </c>
      <c r="L5773" s="433">
        <v>3132</v>
      </c>
      <c r="M5773" s="136">
        <f t="shared" si="192"/>
        <v>97406.987103334191</v>
      </c>
    </row>
    <row r="5774" spans="1:13">
      <c r="A5774" s="54" t="str">
        <f>D5774&amp;E5774&amp;F5774</f>
        <v>SERVICIOSTELEPEAJECEDIS</v>
      </c>
      <c r="B5774" t="s">
        <v>3214</v>
      </c>
      <c r="C5774" s="1">
        <v>46028</v>
      </c>
      <c r="D5774" s="242" t="s">
        <v>21</v>
      </c>
      <c r="E5774" s="71" t="s">
        <v>186</v>
      </c>
      <c r="F5774" s="71" t="s">
        <v>28</v>
      </c>
      <c r="J5774" s="71" t="s">
        <v>3255</v>
      </c>
      <c r="L5774" s="433">
        <v>5643</v>
      </c>
      <c r="M5774" s="136">
        <f t="shared" si="192"/>
        <v>91763.987103334191</v>
      </c>
    </row>
    <row r="5775" spans="1:13">
      <c r="A5775" s="54" t="str">
        <f>D5775&amp;E5775&amp;F5775</f>
        <v>FINANZASTELEPEAJEFINANZAS</v>
      </c>
      <c r="B5775" t="s">
        <v>3214</v>
      </c>
      <c r="C5775" s="1">
        <v>46028</v>
      </c>
      <c r="D5775" s="242" t="s">
        <v>23</v>
      </c>
      <c r="E5775" s="71" t="s">
        <v>186</v>
      </c>
      <c r="F5775" s="71" t="s">
        <v>23</v>
      </c>
      <c r="J5775" s="71" t="s">
        <v>3256</v>
      </c>
      <c r="L5775" s="433">
        <v>178</v>
      </c>
      <c r="M5775" s="136">
        <f t="shared" si="192"/>
        <v>91585.987103334191</v>
      </c>
    </row>
    <row r="5776" spans="1:13">
      <c r="A5776" s="54" t="str">
        <f>D5776&amp;E5776&amp;F5776</f>
        <v>SERVICIOSTELEPEAJECEDIS</v>
      </c>
      <c r="B5776" t="s">
        <v>3214</v>
      </c>
      <c r="C5776" s="1">
        <v>46028</v>
      </c>
      <c r="D5776" s="242" t="s">
        <v>21</v>
      </c>
      <c r="E5776" s="242" t="s">
        <v>186</v>
      </c>
      <c r="F5776" s="242" t="s">
        <v>28</v>
      </c>
      <c r="J5776" s="71" t="s">
        <v>238</v>
      </c>
      <c r="L5776" s="433">
        <v>751</v>
      </c>
      <c r="M5776" s="136">
        <f t="shared" si="192"/>
        <v>90834.987103334191</v>
      </c>
    </row>
    <row r="5777" spans="1:13">
      <c r="A5777" s="54" t="str">
        <f>D5777&amp;E5777&amp;F5777</f>
        <v>SGEVIATICOSGESTION EMPRESARIAL</v>
      </c>
      <c r="B5777" t="s">
        <v>3214</v>
      </c>
      <c r="C5777" s="1">
        <v>46028</v>
      </c>
      <c r="D5777" s="242" t="s">
        <v>39</v>
      </c>
      <c r="E5777" s="71" t="s">
        <v>191</v>
      </c>
      <c r="F5777" s="71" t="s">
        <v>40</v>
      </c>
      <c r="J5777" s="71" t="s">
        <v>1030</v>
      </c>
      <c r="L5777" s="433">
        <v>2400</v>
      </c>
      <c r="M5777" s="136">
        <f t="shared" si="192"/>
        <v>88434.987103334191</v>
      </c>
    </row>
    <row r="5778" spans="1:13">
      <c r="A5778" s="54" t="str">
        <f>D5778&amp;E5778&amp;F5778</f>
        <v>SGEFONDO Y REPOSICIONGESTION EMPRESARIAL</v>
      </c>
      <c r="B5778" t="s">
        <v>3214</v>
      </c>
      <c r="C5778" s="1">
        <v>46028</v>
      </c>
      <c r="D5778" s="242" t="s">
        <v>39</v>
      </c>
      <c r="E5778" s="71" t="s">
        <v>120</v>
      </c>
      <c r="F5778" s="71" t="s">
        <v>40</v>
      </c>
      <c r="J5778" s="71" t="s">
        <v>3257</v>
      </c>
      <c r="L5778" s="433">
        <v>299</v>
      </c>
      <c r="M5778" s="136">
        <f t="shared" si="192"/>
        <v>88135.987103334191</v>
      </c>
    </row>
    <row r="5779" spans="1:13">
      <c r="A5779" s="54" t="str">
        <f>D5779&amp;E5779&amp;F5779</f>
        <v>HRFONDO Y REPOSICIONHR</v>
      </c>
      <c r="B5779" t="s">
        <v>3214</v>
      </c>
      <c r="C5779" s="1">
        <v>46028</v>
      </c>
      <c r="D5779" s="242" t="s">
        <v>29</v>
      </c>
      <c r="E5779" s="71" t="s">
        <v>120</v>
      </c>
      <c r="F5779" s="71" t="s">
        <v>29</v>
      </c>
      <c r="J5779" s="71" t="s">
        <v>265</v>
      </c>
      <c r="L5779" s="433">
        <v>4610</v>
      </c>
      <c r="M5779" s="136">
        <f t="shared" si="192"/>
        <v>83525.987103334191</v>
      </c>
    </row>
    <row r="5780" spans="1:13">
      <c r="A5780" s="54" t="str">
        <f>D5780&amp;E5780&amp;F5780</f>
        <v>HRFONDO Y REPOSICIONHR</v>
      </c>
      <c r="B5780" t="s">
        <v>3214</v>
      </c>
      <c r="C5780" s="1">
        <v>46028</v>
      </c>
      <c r="D5780" s="242" t="s">
        <v>29</v>
      </c>
      <c r="E5780" s="71" t="s">
        <v>120</v>
      </c>
      <c r="F5780" s="71" t="s">
        <v>29</v>
      </c>
      <c r="J5780" s="71" t="s">
        <v>267</v>
      </c>
      <c r="L5780" s="433">
        <v>3000</v>
      </c>
      <c r="M5780" s="136">
        <f t="shared" si="192"/>
        <v>80525.987103334191</v>
      </c>
    </row>
    <row r="5781" spans="1:13">
      <c r="A5781" s="54" t="str">
        <f>D5781&amp;E5781&amp;F5781</f>
        <v>HRFONDO Y REPOSICIONHR</v>
      </c>
      <c r="B5781" t="s">
        <v>3214</v>
      </c>
      <c r="C5781" s="1">
        <v>46028</v>
      </c>
      <c r="D5781" s="242" t="s">
        <v>29</v>
      </c>
      <c r="E5781" s="71" t="s">
        <v>120</v>
      </c>
      <c r="F5781" s="71" t="s">
        <v>29</v>
      </c>
      <c r="J5781" s="71" t="s">
        <v>266</v>
      </c>
      <c r="L5781" s="433">
        <v>2321</v>
      </c>
      <c r="M5781" s="136">
        <f t="shared" si="192"/>
        <v>78204.987103334191</v>
      </c>
    </row>
    <row r="5782" spans="1:13">
      <c r="A5782" s="54" t="str">
        <f>D5782&amp;E5782&amp;F5782</f>
        <v>SERVICIOSVIATICOSMANTENIMIENTO</v>
      </c>
      <c r="B5782" t="s">
        <v>3214</v>
      </c>
      <c r="C5782" s="1">
        <v>46028</v>
      </c>
      <c r="D5782" s="242" t="s">
        <v>21</v>
      </c>
      <c r="E5782" s="71" t="s">
        <v>191</v>
      </c>
      <c r="F5782" s="71" t="s">
        <v>35</v>
      </c>
      <c r="J5782" s="71" t="s">
        <v>3258</v>
      </c>
      <c r="L5782" s="433">
        <v>400</v>
      </c>
      <c r="M5782" s="136">
        <f t="shared" si="192"/>
        <v>77804.987103334191</v>
      </c>
    </row>
    <row r="5783" spans="1:13">
      <c r="A5783" s="54" t="str">
        <f>D5783&amp;E5783&amp;F5783</f>
        <v>CAPUBERCAP</v>
      </c>
      <c r="B5783" t="s">
        <v>3214</v>
      </c>
      <c r="C5783" s="1">
        <v>46028</v>
      </c>
      <c r="D5783" s="242" t="s">
        <v>31</v>
      </c>
      <c r="E5783" s="71" t="s">
        <v>189</v>
      </c>
      <c r="F5783" s="71" t="s">
        <v>31</v>
      </c>
      <c r="J5783" s="71" t="s">
        <v>2267</v>
      </c>
      <c r="L5783" s="433">
        <v>480</v>
      </c>
      <c r="M5783" s="136">
        <f t="shared" si="192"/>
        <v>77324.987103334191</v>
      </c>
    </row>
    <row r="5784" spans="1:13">
      <c r="A5784" s="54" t="str">
        <f>D5784&amp;E5784&amp;F5784</f>
        <v>CAPINSUMOSCAPRICHOS</v>
      </c>
      <c r="B5784" t="s">
        <v>3214</v>
      </c>
      <c r="C5784" s="1">
        <v>46028</v>
      </c>
      <c r="D5784" s="242" t="s">
        <v>31</v>
      </c>
      <c r="E5784" s="71" t="s">
        <v>133</v>
      </c>
      <c r="F5784" s="71" t="s">
        <v>33</v>
      </c>
      <c r="J5784" s="71" t="s">
        <v>2926</v>
      </c>
      <c r="L5784" s="433">
        <v>70</v>
      </c>
      <c r="M5784" s="136">
        <f t="shared" si="192"/>
        <v>77254.987103334191</v>
      </c>
    </row>
    <row r="5785" spans="1:13">
      <c r="A5785" s="54" t="str">
        <f>D5785&amp;E5785&amp;F5785</f>
        <v>CAPUBERCAP</v>
      </c>
      <c r="B5785" t="s">
        <v>3214</v>
      </c>
      <c r="C5785" s="1">
        <v>46028</v>
      </c>
      <c r="D5785" s="242" t="s">
        <v>31</v>
      </c>
      <c r="E5785" s="71" t="s">
        <v>189</v>
      </c>
      <c r="F5785" s="71" t="s">
        <v>31</v>
      </c>
      <c r="J5785" s="71" t="s">
        <v>2268</v>
      </c>
      <c r="L5785" s="433">
        <v>120</v>
      </c>
      <c r="M5785" s="136">
        <f t="shared" si="192"/>
        <v>77134.987103334191</v>
      </c>
    </row>
    <row r="5786" spans="1:13">
      <c r="A5786" s="54" t="str">
        <f>D5786&amp;E5786&amp;F5786</f>
        <v>SERVICIOSMTTO DE EDIFICIOMANTENIMIENTO</v>
      </c>
      <c r="B5786" t="s">
        <v>3214</v>
      </c>
      <c r="C5786" s="1">
        <v>46028</v>
      </c>
      <c r="D5786" s="242" t="s">
        <v>21</v>
      </c>
      <c r="E5786" s="71" t="s">
        <v>142</v>
      </c>
      <c r="F5786" s="71" t="s">
        <v>35</v>
      </c>
      <c r="J5786" s="71" t="s">
        <v>3259</v>
      </c>
      <c r="L5786" s="433">
        <v>131</v>
      </c>
      <c r="M5786" s="136">
        <f t="shared" si="192"/>
        <v>77003.987103334191</v>
      </c>
    </row>
    <row r="5787" spans="1:13">
      <c r="A5787" s="54" t="str">
        <f>D5787&amp;E5787&amp;F5787</f>
        <v>CAPINSUMOSCAPRICHOS</v>
      </c>
      <c r="B5787" t="s">
        <v>3214</v>
      </c>
      <c r="C5787" s="1">
        <v>46028</v>
      </c>
      <c r="D5787" s="242" t="s">
        <v>31</v>
      </c>
      <c r="E5787" s="71" t="s">
        <v>133</v>
      </c>
      <c r="F5787" s="71" t="s">
        <v>33</v>
      </c>
      <c r="J5787" s="71" t="s">
        <v>3114</v>
      </c>
      <c r="L5787" s="433">
        <v>33</v>
      </c>
      <c r="M5787" s="136">
        <f t="shared" si="192"/>
        <v>76970.987103334191</v>
      </c>
    </row>
    <row r="5788" spans="1:13">
      <c r="A5788" s="54" t="str">
        <f>D5788&amp;E5788&amp;F5788</f>
        <v>CAPUBERCAP</v>
      </c>
      <c r="B5788" t="s">
        <v>3214</v>
      </c>
      <c r="C5788" s="1">
        <v>46028</v>
      </c>
      <c r="D5788" s="242" t="s">
        <v>31</v>
      </c>
      <c r="E5788" s="71" t="s">
        <v>189</v>
      </c>
      <c r="F5788" s="71" t="s">
        <v>31</v>
      </c>
      <c r="J5788" s="71" t="s">
        <v>3118</v>
      </c>
      <c r="L5788" s="433">
        <v>150</v>
      </c>
      <c r="M5788" s="136">
        <f t="shared" si="192"/>
        <v>76820.987103334191</v>
      </c>
    </row>
    <row r="5789" spans="1:13">
      <c r="A5789" s="54" t="str">
        <f>D5789&amp;E5789&amp;F5789</f>
        <v>HRINSUMOSHR</v>
      </c>
      <c r="B5789" t="s">
        <v>3214</v>
      </c>
      <c r="C5789" s="1">
        <v>46028</v>
      </c>
      <c r="D5789" s="242" t="s">
        <v>29</v>
      </c>
      <c r="E5789" s="71" t="s">
        <v>133</v>
      </c>
      <c r="F5789" s="71" t="s">
        <v>29</v>
      </c>
      <c r="J5789" s="71" t="s">
        <v>3260</v>
      </c>
      <c r="L5789" s="433">
        <v>138</v>
      </c>
      <c r="M5789" s="136">
        <f t="shared" si="192"/>
        <v>76682.987103334191</v>
      </c>
    </row>
    <row r="5790" spans="1:13">
      <c r="A5790" s="54" t="str">
        <f>D5790&amp;E5790&amp;F5790</f>
        <v>HRNOMINA SUCURSALA9</v>
      </c>
      <c r="B5790" t="s">
        <v>3214</v>
      </c>
      <c r="C5790" s="1">
        <v>46028</v>
      </c>
      <c r="D5790" s="242" t="s">
        <v>29</v>
      </c>
      <c r="E5790" s="71" t="s">
        <v>154</v>
      </c>
      <c r="F5790" s="71" t="s">
        <v>95</v>
      </c>
      <c r="J5790" s="71" t="s">
        <v>3261</v>
      </c>
      <c r="L5790" s="433">
        <v>2355</v>
      </c>
      <c r="M5790" s="136">
        <f t="shared" si="192"/>
        <v>74327.987103334191</v>
      </c>
    </row>
    <row r="5791" spans="1:13">
      <c r="A5791" s="54" t="str">
        <f>D5791&amp;E5791&amp;F5791</f>
        <v>HRINSUMOSHR</v>
      </c>
      <c r="B5791" t="s">
        <v>3214</v>
      </c>
      <c r="C5791" s="1">
        <v>46028</v>
      </c>
      <c r="D5791" s="242" t="s">
        <v>29</v>
      </c>
      <c r="E5791" s="71" t="s">
        <v>133</v>
      </c>
      <c r="F5791" s="71" t="s">
        <v>29</v>
      </c>
      <c r="J5791" s="71" t="s">
        <v>2656</v>
      </c>
      <c r="L5791" s="433">
        <v>102</v>
      </c>
      <c r="M5791" s="136">
        <f t="shared" si="192"/>
        <v>74225.987103334191</v>
      </c>
    </row>
    <row r="5792" spans="1:13">
      <c r="A5792" s="54" t="str">
        <f>D5792&amp;E5792&amp;F5792</f>
        <v>FINANZASCUOTAS Y SUSCRIPCIONESPROTECCION CIVIL</v>
      </c>
      <c r="B5792" t="s">
        <v>3214</v>
      </c>
      <c r="C5792" s="1">
        <v>46028</v>
      </c>
      <c r="D5792" s="242" t="s">
        <v>23</v>
      </c>
      <c r="E5792" s="71" t="s">
        <v>51</v>
      </c>
      <c r="F5792" s="71" t="s">
        <v>76</v>
      </c>
      <c r="J5792" s="71" t="s">
        <v>3262</v>
      </c>
      <c r="L5792" s="433">
        <v>1245</v>
      </c>
      <c r="M5792" s="136">
        <f t="shared" si="192"/>
        <v>72980.987103334191</v>
      </c>
    </row>
    <row r="5793" spans="1:13">
      <c r="A5793" s="54" t="str">
        <f>D5793&amp;E5793&amp;F5793</f>
        <v>HRUBERHR</v>
      </c>
      <c r="B5793" t="s">
        <v>3214</v>
      </c>
      <c r="C5793" s="1">
        <v>46028</v>
      </c>
      <c r="D5793" s="242" t="s">
        <v>29</v>
      </c>
      <c r="E5793" s="71" t="s">
        <v>189</v>
      </c>
      <c r="F5793" s="71" t="s">
        <v>29</v>
      </c>
      <c r="J5793" s="71" t="s">
        <v>2562</v>
      </c>
      <c r="L5793" s="433">
        <v>250</v>
      </c>
      <c r="M5793" s="136">
        <f t="shared" ref="M5793:M5860" si="194">M5792+K5793-L5793</f>
        <v>72730.987103334191</v>
      </c>
    </row>
    <row r="5794" spans="1:13">
      <c r="A5794" s="54" t="str">
        <f>D5794&amp;E5794&amp;F5794</f>
        <v>HRNOMINA SUCURSALA16</v>
      </c>
      <c r="B5794" t="s">
        <v>3214</v>
      </c>
      <c r="C5794" s="1">
        <v>46028</v>
      </c>
      <c r="D5794" s="242" t="s">
        <v>29</v>
      </c>
      <c r="E5794" s="71" t="s">
        <v>154</v>
      </c>
      <c r="F5794" s="71" t="s">
        <v>101</v>
      </c>
      <c r="J5794" s="71" t="s">
        <v>3106</v>
      </c>
      <c r="L5794" s="433">
        <v>2730</v>
      </c>
      <c r="M5794" s="136">
        <f t="shared" si="194"/>
        <v>70000.987103334191</v>
      </c>
    </row>
    <row r="5795" spans="1:13">
      <c r="A5795" s="54" t="str">
        <f>D5795&amp;E5795&amp;F5795</f>
        <v>HRINSUMOSHR</v>
      </c>
      <c r="B5795" t="s">
        <v>3214</v>
      </c>
      <c r="C5795" s="1">
        <v>46028</v>
      </c>
      <c r="D5795" s="242" t="s">
        <v>29</v>
      </c>
      <c r="E5795" s="71" t="s">
        <v>133</v>
      </c>
      <c r="F5795" s="71" t="s">
        <v>29</v>
      </c>
      <c r="J5795" s="71" t="s">
        <v>3263</v>
      </c>
      <c r="L5795" s="433">
        <v>70</v>
      </c>
      <c r="M5795" s="136">
        <f t="shared" si="194"/>
        <v>69930.987103334191</v>
      </c>
    </row>
    <row r="5796" spans="1:13">
      <c r="A5796" s="54" t="str">
        <f>D5796&amp;E5796&amp;F5796</f>
        <v>HRJMASA22</v>
      </c>
      <c r="B5796" t="s">
        <v>3214</v>
      </c>
      <c r="C5796" s="1">
        <v>46028</v>
      </c>
      <c r="D5796" s="242" t="s">
        <v>29</v>
      </c>
      <c r="E5796" s="71" t="s">
        <v>137</v>
      </c>
      <c r="F5796" s="71" t="s">
        <v>104</v>
      </c>
      <c r="J5796" s="71" t="s">
        <v>2406</v>
      </c>
      <c r="L5796" s="433">
        <v>790</v>
      </c>
      <c r="M5796" s="136">
        <f t="shared" si="194"/>
        <v>69140.987103334191</v>
      </c>
    </row>
    <row r="5797" spans="1:13">
      <c r="A5797" s="54" t="str">
        <f>D5797&amp;E5797&amp;F5797</f>
        <v>HRNOMINA SUCURSALA22</v>
      </c>
      <c r="B5797" t="s">
        <v>3214</v>
      </c>
      <c r="C5797" s="1">
        <v>46028</v>
      </c>
      <c r="D5797" s="242" t="s">
        <v>29</v>
      </c>
      <c r="E5797" s="71" t="s">
        <v>154</v>
      </c>
      <c r="F5797" s="71" t="s">
        <v>104</v>
      </c>
      <c r="J5797" s="71" t="s">
        <v>2839</v>
      </c>
      <c r="L5797" s="433">
        <v>215</v>
      </c>
      <c r="M5797" s="136">
        <f t="shared" si="194"/>
        <v>68925.987103334191</v>
      </c>
    </row>
    <row r="5798" spans="1:13">
      <c r="A5798" s="137" t="str">
        <f>D5798&amp;E5798&amp;F5798</f>
        <v/>
      </c>
      <c r="B5798" t="s">
        <v>3214</v>
      </c>
      <c r="C5798" s="1">
        <v>46029</v>
      </c>
      <c r="J5798" s="71" t="s">
        <v>2045</v>
      </c>
      <c r="K5798" s="325">
        <v>220080.06</v>
      </c>
      <c r="L5798" s="432"/>
      <c r="M5798" s="136">
        <f t="shared" si="194"/>
        <v>289006.04710333422</v>
      </c>
    </row>
    <row r="5799" spans="1:13">
      <c r="A5799" s="54" t="str">
        <f>D5799&amp;E5799&amp;F5799</f>
        <v>FINANZASCOMISIONES BANCARIASTPV</v>
      </c>
      <c r="B5799" t="s">
        <v>3214</v>
      </c>
      <c r="C5799" s="1">
        <v>46029</v>
      </c>
      <c r="D5799" s="242" t="s">
        <v>23</v>
      </c>
      <c r="E5799" s="71" t="s">
        <v>48</v>
      </c>
      <c r="F5799" s="71" t="s">
        <v>50</v>
      </c>
      <c r="J5799" s="71" t="s">
        <v>217</v>
      </c>
      <c r="L5799" s="433">
        <v>5709.1</v>
      </c>
      <c r="M5799" s="136">
        <f t="shared" si="194"/>
        <v>283296.94710333424</v>
      </c>
    </row>
    <row r="5800" spans="1:13">
      <c r="A5800" s="137" t="str">
        <f>D5800&amp;E5800&amp;F5800</f>
        <v>FINANZASCOMISIONES BANCARIASMANEJO DE CUENTA</v>
      </c>
      <c r="B5800" t="s">
        <v>3214</v>
      </c>
      <c r="C5800" s="1">
        <v>46029</v>
      </c>
      <c r="D5800" s="242" t="s">
        <v>23</v>
      </c>
      <c r="E5800" s="71" t="s">
        <v>48</v>
      </c>
      <c r="F5800" s="71" t="s">
        <v>49</v>
      </c>
      <c r="J5800" s="71" t="s">
        <v>218</v>
      </c>
      <c r="L5800" s="433">
        <f>67.86+335.24</f>
        <v>403.1</v>
      </c>
      <c r="M5800" s="136">
        <f t="shared" si="194"/>
        <v>282893.84710333426</v>
      </c>
    </row>
    <row r="5801" spans="1:13">
      <c r="A5801" s="137" t="str">
        <f>D5801&amp;E5801&amp;F5801</f>
        <v/>
      </c>
      <c r="B5801" t="s">
        <v>3214</v>
      </c>
      <c r="C5801" s="1">
        <v>46029</v>
      </c>
      <c r="J5801" s="205" t="s">
        <v>1562</v>
      </c>
      <c r="K5801" s="205"/>
      <c r="L5801" s="428">
        <v>200000</v>
      </c>
      <c r="M5801" s="136">
        <f t="shared" si="194"/>
        <v>82893.847103334265</v>
      </c>
    </row>
    <row r="5802" spans="1:13">
      <c r="A5802" s="137" t="str">
        <f>D5802&amp;E5802&amp;F5802</f>
        <v/>
      </c>
      <c r="B5802" t="s">
        <v>3214</v>
      </c>
      <c r="C5802" s="1">
        <v>46029</v>
      </c>
      <c r="J5802" s="205" t="s">
        <v>222</v>
      </c>
      <c r="K5802" s="205"/>
      <c r="L5802" s="428"/>
      <c r="M5802" s="136">
        <f t="shared" si="194"/>
        <v>82893.847103334265</v>
      </c>
    </row>
    <row r="5803" spans="1:13">
      <c r="A5803" s="54" t="str">
        <f>D5803&amp;E5803&amp;F5803</f>
        <v>FINANZASTELEFONIATOTAL PLAY (CONTA)</v>
      </c>
      <c r="B5803" t="s">
        <v>3214</v>
      </c>
      <c r="C5803" s="1">
        <v>46029</v>
      </c>
      <c r="D5803" s="242" t="s">
        <v>23</v>
      </c>
      <c r="E5803" s="71" t="s">
        <v>181</v>
      </c>
      <c r="F5803" s="12" t="s">
        <v>185</v>
      </c>
      <c r="J5803" s="71" t="s">
        <v>3264</v>
      </c>
      <c r="L5803" s="433">
        <v>681</v>
      </c>
      <c r="M5803" s="136">
        <f t="shared" si="194"/>
        <v>82212.847103334265</v>
      </c>
    </row>
    <row r="5804" spans="1:13">
      <c r="A5804" s="54" t="str">
        <f>D5804&amp;E5804&amp;F5804</f>
        <v>HRENERGIA ELECTRICAA9</v>
      </c>
      <c r="B5804" t="s">
        <v>3214</v>
      </c>
      <c r="C5804" s="1">
        <v>46029</v>
      </c>
      <c r="D5804" s="242" t="s">
        <v>29</v>
      </c>
      <c r="E5804" s="71" t="s">
        <v>87</v>
      </c>
      <c r="F5804" s="71" t="s">
        <v>95</v>
      </c>
      <c r="J5804" s="71" t="s">
        <v>3265</v>
      </c>
      <c r="L5804" s="433">
        <v>13589</v>
      </c>
      <c r="M5804" s="136">
        <f t="shared" si="194"/>
        <v>68623.847103334265</v>
      </c>
    </row>
    <row r="5805" spans="1:13">
      <c r="A5805" s="54" t="str">
        <f>D5805&amp;E5805&amp;F5805</f>
        <v>MKTVIATICOSMKT</v>
      </c>
      <c r="B5805" t="s">
        <v>3214</v>
      </c>
      <c r="C5805" s="1">
        <v>46029</v>
      </c>
      <c r="D5805" s="242" t="s">
        <v>19</v>
      </c>
      <c r="E5805" s="71" t="s">
        <v>191</v>
      </c>
      <c r="F5805" s="71" t="s">
        <v>19</v>
      </c>
      <c r="J5805" s="71" t="s">
        <v>3266</v>
      </c>
      <c r="L5805" s="433">
        <v>250</v>
      </c>
      <c r="M5805" s="136">
        <f t="shared" si="194"/>
        <v>68373.847103334265</v>
      </c>
    </row>
    <row r="5806" spans="1:13">
      <c r="A5806" s="54" t="str">
        <f>D5806&amp;E5806&amp;F5806</f>
        <v>SERVICIOSVIATICOSSISTEMAS</v>
      </c>
      <c r="B5806" t="s">
        <v>3214</v>
      </c>
      <c r="C5806" s="1">
        <v>46029</v>
      </c>
      <c r="D5806" s="242" t="s">
        <v>21</v>
      </c>
      <c r="E5806" s="71" t="s">
        <v>191</v>
      </c>
      <c r="F5806" s="71" t="s">
        <v>36</v>
      </c>
      <c r="G5806" s="71" t="s">
        <v>258</v>
      </c>
      <c r="J5806" s="71" t="s">
        <v>1567</v>
      </c>
      <c r="L5806" s="433">
        <v>3600</v>
      </c>
      <c r="M5806" s="136">
        <f t="shared" si="194"/>
        <v>64773.847103334265</v>
      </c>
    </row>
    <row r="5807" spans="1:13">
      <c r="A5807" s="54" t="str">
        <f>D5807&amp;E5807&amp;F5807</f>
        <v>HRVIATICOSHR</v>
      </c>
      <c r="B5807" t="s">
        <v>3214</v>
      </c>
      <c r="C5807" s="1">
        <v>46029</v>
      </c>
      <c r="D5807" s="242" t="s">
        <v>29</v>
      </c>
      <c r="E5807" s="71" t="s">
        <v>191</v>
      </c>
      <c r="F5807" s="71" t="s">
        <v>29</v>
      </c>
      <c r="J5807" s="71" t="s">
        <v>810</v>
      </c>
      <c r="L5807" s="433">
        <v>4200</v>
      </c>
      <c r="M5807" s="136">
        <f t="shared" si="194"/>
        <v>60573.847103334265</v>
      </c>
    </row>
    <row r="5808" spans="1:13">
      <c r="A5808" s="54" t="str">
        <f>D5808&amp;E5808&amp;F5808</f>
        <v>SERVICIOSFONDO Y REPOSICIONSERVICIOS</v>
      </c>
      <c r="B5808" t="s">
        <v>3214</v>
      </c>
      <c r="C5808" s="1">
        <v>46029</v>
      </c>
      <c r="D5808" s="242" t="s">
        <v>21</v>
      </c>
      <c r="E5808" s="71" t="s">
        <v>120</v>
      </c>
      <c r="F5808" s="71" t="s">
        <v>21</v>
      </c>
      <c r="J5808" s="71" t="s">
        <v>3267</v>
      </c>
      <c r="L5808" s="433">
        <v>450</v>
      </c>
      <c r="M5808" s="136">
        <f t="shared" si="194"/>
        <v>60123.847103334265</v>
      </c>
    </row>
    <row r="5809" spans="1:13">
      <c r="A5809" s="54" t="str">
        <f>D5809&amp;E5809&amp;F5809</f>
        <v>CAPUBERCAP</v>
      </c>
      <c r="B5809" t="s">
        <v>3214</v>
      </c>
      <c r="C5809" s="1">
        <v>46029</v>
      </c>
      <c r="D5809" s="242" t="s">
        <v>31</v>
      </c>
      <c r="E5809" s="71" t="s">
        <v>189</v>
      </c>
      <c r="F5809" s="71" t="s">
        <v>31</v>
      </c>
      <c r="J5809" s="71" t="s">
        <v>2268</v>
      </c>
      <c r="L5809" s="433">
        <v>85</v>
      </c>
      <c r="M5809" s="136">
        <f t="shared" si="194"/>
        <v>60038.847103334265</v>
      </c>
    </row>
    <row r="5810" spans="1:13">
      <c r="A5810" s="54" t="str">
        <f>D5810&amp;E5810&amp;F5810</f>
        <v>CAPINSUMOSCAPRICHOS</v>
      </c>
      <c r="B5810" t="s">
        <v>3214</v>
      </c>
      <c r="C5810" s="1">
        <v>46029</v>
      </c>
      <c r="D5810" s="242" t="s">
        <v>31</v>
      </c>
      <c r="E5810" s="71" t="s">
        <v>133</v>
      </c>
      <c r="F5810" s="71" t="s">
        <v>33</v>
      </c>
      <c r="J5810" s="71" t="s">
        <v>2926</v>
      </c>
      <c r="L5810" s="433">
        <v>75</v>
      </c>
      <c r="M5810" s="136">
        <f t="shared" si="194"/>
        <v>59963.847103334265</v>
      </c>
    </row>
    <row r="5811" spans="1:13">
      <c r="A5811" s="54" t="str">
        <f>D5811&amp;E5811&amp;F5811</f>
        <v>CAPINSUMOSCAPRICHOS</v>
      </c>
      <c r="B5811" t="s">
        <v>3214</v>
      </c>
      <c r="C5811" s="1">
        <v>46029</v>
      </c>
      <c r="D5811" s="242" t="s">
        <v>31</v>
      </c>
      <c r="E5811" s="71" t="s">
        <v>133</v>
      </c>
      <c r="F5811" s="71" t="s">
        <v>33</v>
      </c>
      <c r="J5811" s="71" t="s">
        <v>3268</v>
      </c>
      <c r="L5811" s="433">
        <v>30</v>
      </c>
      <c r="M5811" s="136">
        <f t="shared" si="194"/>
        <v>59933.847103334265</v>
      </c>
    </row>
    <row r="5812" spans="1:13">
      <c r="A5812" s="54" t="str">
        <f>D5812&amp;E5812&amp;F5812</f>
        <v>SERVICIOSMTTO DE EDIFICIOMANTENIMIENTO</v>
      </c>
      <c r="B5812" t="s">
        <v>3214</v>
      </c>
      <c r="C5812" s="1">
        <v>46029</v>
      </c>
      <c r="D5812" s="242" t="s">
        <v>21</v>
      </c>
      <c r="E5812" s="242" t="s">
        <v>142</v>
      </c>
      <c r="F5812" s="242" t="s">
        <v>35</v>
      </c>
      <c r="J5812" s="71" t="s">
        <v>3269</v>
      </c>
      <c r="L5812" s="208">
        <v>110</v>
      </c>
      <c r="M5812" s="136">
        <f t="shared" si="194"/>
        <v>59823.847103334265</v>
      </c>
    </row>
    <row r="5813" spans="1:13">
      <c r="A5813" s="137" t="str">
        <f>D5813&amp;E5813&amp;F5813</f>
        <v>CAP</v>
      </c>
      <c r="B5813" t="s">
        <v>3214</v>
      </c>
      <c r="C5813" s="1">
        <v>46029</v>
      </c>
      <c r="D5813" s="387" t="s">
        <v>31</v>
      </c>
      <c r="E5813" s="387"/>
      <c r="F5813" s="387"/>
      <c r="J5813" s="71" t="s">
        <v>3270</v>
      </c>
      <c r="L5813" s="208">
        <v>4217</v>
      </c>
      <c r="M5813" s="136">
        <f t="shared" si="194"/>
        <v>55606.847103334265</v>
      </c>
    </row>
    <row r="5814" spans="1:13">
      <c r="A5814" s="137" t="str">
        <f>D5814&amp;E5814&amp;F5814</f>
        <v/>
      </c>
      <c r="B5814" t="s">
        <v>3214</v>
      </c>
      <c r="C5814" s="1">
        <v>46029</v>
      </c>
      <c r="J5814" s="71" t="s">
        <v>3271</v>
      </c>
      <c r="L5814" s="208">
        <v>300</v>
      </c>
      <c r="M5814" s="136">
        <f t="shared" si="194"/>
        <v>55306.847103334265</v>
      </c>
    </row>
    <row r="5815" spans="1:13">
      <c r="A5815" s="137" t="str">
        <f>D5815&amp;E5815&amp;F5815</f>
        <v/>
      </c>
      <c r="B5815" t="s">
        <v>3214</v>
      </c>
      <c r="C5815" s="1">
        <v>46029</v>
      </c>
      <c r="J5815" s="71" t="s">
        <v>3272</v>
      </c>
      <c r="L5815" s="208">
        <v>8828</v>
      </c>
      <c r="M5815" s="136">
        <f t="shared" si="194"/>
        <v>46478.847103334265</v>
      </c>
    </row>
    <row r="5816" spans="1:13">
      <c r="A5816" s="137" t="str">
        <f>D5816&amp;E5816&amp;F5816</f>
        <v/>
      </c>
      <c r="B5816" t="s">
        <v>3214</v>
      </c>
      <c r="C5816" s="1">
        <v>46030</v>
      </c>
      <c r="J5816" s="71" t="s">
        <v>2045</v>
      </c>
      <c r="K5816" s="325">
        <v>171591.84</v>
      </c>
      <c r="L5816" s="432"/>
      <c r="M5816" s="136">
        <f t="shared" si="194"/>
        <v>218070.68710333426</v>
      </c>
    </row>
    <row r="5817" spans="1:13">
      <c r="A5817" s="54" t="str">
        <f>D5817&amp;E5817&amp;F5817</f>
        <v>FINANZASCOMISIONES BANCARIASTPV</v>
      </c>
      <c r="B5817" t="s">
        <v>3214</v>
      </c>
      <c r="C5817" s="1">
        <v>46030</v>
      </c>
      <c r="D5817" s="242" t="s">
        <v>23</v>
      </c>
      <c r="E5817" s="242" t="s">
        <v>48</v>
      </c>
      <c r="F5817" s="242" t="s">
        <v>50</v>
      </c>
      <c r="J5817" s="71" t="s">
        <v>217</v>
      </c>
      <c r="L5817" s="433">
        <f>1424.47+116.3+102.85+146.79+14.48+372.94+5.8+13.92+895.17</f>
        <v>3092.7200000000003</v>
      </c>
      <c r="M5817" s="136">
        <f t="shared" si="194"/>
        <v>214977.96710333426</v>
      </c>
    </row>
    <row r="5818" spans="1:13">
      <c r="A5818" s="137" t="str">
        <f>D5818&amp;E5818&amp;F5818</f>
        <v/>
      </c>
      <c r="B5818" t="s">
        <v>3214</v>
      </c>
      <c r="C5818" s="1">
        <v>46030</v>
      </c>
      <c r="J5818" s="205" t="s">
        <v>1562</v>
      </c>
      <c r="K5818" s="205"/>
      <c r="L5818" s="428">
        <v>200000</v>
      </c>
      <c r="M5818" s="136">
        <f t="shared" si="194"/>
        <v>14977.96710333426</v>
      </c>
    </row>
    <row r="5819" spans="1:13">
      <c r="A5819" s="137" t="str">
        <f>D5819&amp;E5819&amp;F5819</f>
        <v/>
      </c>
      <c r="B5819" t="s">
        <v>3214</v>
      </c>
      <c r="C5819" s="1">
        <v>46030</v>
      </c>
      <c r="J5819" s="205" t="s">
        <v>222</v>
      </c>
      <c r="K5819" s="205"/>
      <c r="L5819" s="428"/>
      <c r="M5819" s="136">
        <f t="shared" si="194"/>
        <v>14977.96710333426</v>
      </c>
    </row>
    <row r="5820" spans="1:13">
      <c r="A5820" s="54" t="str">
        <f>D5820&amp;E5820&amp;F5820</f>
        <v>SERVICIOSINSUMOSCOFFE</v>
      </c>
      <c r="B5820" t="s">
        <v>3214</v>
      </c>
      <c r="C5820" s="1">
        <v>46030</v>
      </c>
      <c r="D5820" s="242" t="s">
        <v>21</v>
      </c>
      <c r="E5820" s="71" t="s">
        <v>133</v>
      </c>
      <c r="F5820" s="71" t="s">
        <v>135</v>
      </c>
      <c r="J5820" s="71" t="s">
        <v>3273</v>
      </c>
      <c r="L5820" s="208">
        <v>2500</v>
      </c>
      <c r="M5820" s="136">
        <f t="shared" si="194"/>
        <v>12477.96710333426</v>
      </c>
    </row>
    <row r="5821" spans="1:13">
      <c r="A5821" s="54" t="str">
        <f>D5821&amp;E5821&amp;F5821</f>
        <v>SGEINSUMOSGESTION EMPRESARIAL</v>
      </c>
      <c r="B5821" t="s">
        <v>3214</v>
      </c>
      <c r="C5821" s="1">
        <v>46030</v>
      </c>
      <c r="D5821" s="242" t="s">
        <v>39</v>
      </c>
      <c r="E5821" s="71" t="s">
        <v>133</v>
      </c>
      <c r="F5821" s="71" t="s">
        <v>40</v>
      </c>
      <c r="J5821" s="71" t="s">
        <v>3274</v>
      </c>
      <c r="L5821" s="208">
        <v>3200</v>
      </c>
      <c r="M5821" s="136">
        <f t="shared" si="194"/>
        <v>9277.9671033342602</v>
      </c>
    </row>
    <row r="5822" spans="1:13">
      <c r="A5822" s="54" t="str">
        <f>D5822&amp;E5822&amp;F5822</f>
        <v>SGEINSUMOSGESTION EMPRESARIAL</v>
      </c>
      <c r="B5822" t="s">
        <v>3214</v>
      </c>
      <c r="C5822" s="1">
        <v>46030</v>
      </c>
      <c r="D5822" s="242" t="s">
        <v>39</v>
      </c>
      <c r="E5822" s="242" t="s">
        <v>133</v>
      </c>
      <c r="F5822" s="242" t="s">
        <v>40</v>
      </c>
      <c r="J5822" s="71" t="s">
        <v>3275</v>
      </c>
      <c r="L5822" s="433">
        <v>7714</v>
      </c>
      <c r="M5822" s="136">
        <f t="shared" si="194"/>
        <v>1563.9671033342602</v>
      </c>
    </row>
    <row r="5823" spans="1:13">
      <c r="A5823" s="54" t="str">
        <f>D5823&amp;E5823&amp;F5823</f>
        <v>FINANZASPOSADASPOSADAS</v>
      </c>
      <c r="B5823" t="s">
        <v>3214</v>
      </c>
      <c r="C5823" s="1">
        <v>46030</v>
      </c>
      <c r="D5823" s="242" t="s">
        <v>23</v>
      </c>
      <c r="E5823" s="242" t="s">
        <v>163</v>
      </c>
      <c r="F5823" s="242" t="s">
        <v>163</v>
      </c>
      <c r="G5823" s="71" t="s">
        <v>258</v>
      </c>
      <c r="J5823" s="71" t="s">
        <v>3276</v>
      </c>
      <c r="L5823" s="433">
        <v>2100</v>
      </c>
      <c r="M5823" s="136">
        <f t="shared" si="194"/>
        <v>-536.03289666573983</v>
      </c>
    </row>
    <row r="5824" spans="1:13">
      <c r="A5824" s="54" t="str">
        <f>D5824&amp;E5824&amp;F5824</f>
        <v>MKTINSUMOSINSUMOS</v>
      </c>
      <c r="B5824" t="s">
        <v>3214</v>
      </c>
      <c r="C5824" s="1">
        <v>46030</v>
      </c>
      <c r="D5824" s="242" t="s">
        <v>19</v>
      </c>
      <c r="E5824" s="242" t="s">
        <v>133</v>
      </c>
      <c r="F5824" s="242" t="s">
        <v>133</v>
      </c>
      <c r="J5824" s="71" t="s">
        <v>3277</v>
      </c>
      <c r="L5824" s="433">
        <v>800</v>
      </c>
      <c r="M5824" s="136">
        <f t="shared" si="194"/>
        <v>-1336.0328966657398</v>
      </c>
    </row>
    <row r="5825" spans="1:13">
      <c r="A5825" s="54" t="str">
        <f>D5825&amp;E5825&amp;F5825</f>
        <v>FINANZASPOSADASPOSADAS</v>
      </c>
      <c r="B5825" t="s">
        <v>3214</v>
      </c>
      <c r="C5825" s="1">
        <v>46030</v>
      </c>
      <c r="D5825" s="242" t="s">
        <v>23</v>
      </c>
      <c r="E5825" s="242" t="s">
        <v>163</v>
      </c>
      <c r="F5825" s="242" t="s">
        <v>163</v>
      </c>
      <c r="G5825" s="71" t="s">
        <v>258</v>
      </c>
      <c r="J5825" s="71" t="s">
        <v>3278</v>
      </c>
      <c r="L5825" s="433">
        <f>37975+3500</f>
        <v>41475</v>
      </c>
      <c r="M5825" s="136">
        <f t="shared" si="194"/>
        <v>-42811.03289666574</v>
      </c>
    </row>
    <row r="5826" spans="1:13">
      <c r="A5826" s="54" t="str">
        <f>D5826&amp;E5826&amp;F5826</f>
        <v>SERVICIOSGASCEDIS</v>
      </c>
      <c r="B5826" t="s">
        <v>3214</v>
      </c>
      <c r="C5826" s="1">
        <v>46030</v>
      </c>
      <c r="D5826" s="242" t="s">
        <v>21</v>
      </c>
      <c r="E5826" s="71" t="s">
        <v>122</v>
      </c>
      <c r="F5826" s="71" t="s">
        <v>28</v>
      </c>
      <c r="J5826" s="71" t="s">
        <v>3279</v>
      </c>
      <c r="L5826" s="433">
        <v>300</v>
      </c>
      <c r="M5826" s="136">
        <f t="shared" si="194"/>
        <v>-43111.03289666574</v>
      </c>
    </row>
    <row r="5827" spans="1:13">
      <c r="A5827" s="54" t="str">
        <f>D5827&amp;E5827&amp;F5827</f>
        <v>SERVICIOSVIATICOSCEDIS</v>
      </c>
      <c r="B5827" t="s">
        <v>3214</v>
      </c>
      <c r="C5827" s="1">
        <v>46030</v>
      </c>
      <c r="D5827" s="242" t="s">
        <v>21</v>
      </c>
      <c r="E5827" s="242" t="s">
        <v>191</v>
      </c>
      <c r="F5827" s="242" t="s">
        <v>28</v>
      </c>
      <c r="J5827" s="71" t="s">
        <v>3280</v>
      </c>
      <c r="L5827" s="433">
        <v>1100</v>
      </c>
      <c r="M5827" s="136">
        <f t="shared" si="194"/>
        <v>-44211.03289666574</v>
      </c>
    </row>
    <row r="5828" spans="1:13">
      <c r="A5828" s="54" t="str">
        <f t="shared" ref="A5828:A5830" si="195">D5828&amp;E5828&amp;F5828</f>
        <v>CAPUBERCAP</v>
      </c>
      <c r="B5828" t="s">
        <v>3214</v>
      </c>
      <c r="C5828" s="1">
        <v>46030</v>
      </c>
      <c r="D5828" s="242" t="s">
        <v>31</v>
      </c>
      <c r="E5828" s="71" t="s">
        <v>189</v>
      </c>
      <c r="F5828" s="71" t="s">
        <v>31</v>
      </c>
      <c r="J5828" s="71" t="s">
        <v>2267</v>
      </c>
      <c r="L5828" s="433">
        <v>325</v>
      </c>
      <c r="M5828" s="136">
        <f t="shared" si="194"/>
        <v>-44536.03289666574</v>
      </c>
    </row>
    <row r="5829" spans="1:13">
      <c r="A5829" s="54" t="str">
        <f t="shared" si="195"/>
        <v>HRUBERHR</v>
      </c>
      <c r="B5829" t="s">
        <v>3214</v>
      </c>
      <c r="C5829" s="1">
        <v>46030</v>
      </c>
      <c r="D5829" s="242" t="s">
        <v>29</v>
      </c>
      <c r="E5829" s="71" t="s">
        <v>189</v>
      </c>
      <c r="F5829" s="71" t="s">
        <v>29</v>
      </c>
      <c r="J5829" s="71" t="s">
        <v>2562</v>
      </c>
      <c r="L5829" s="433">
        <v>250</v>
      </c>
      <c r="M5829" s="136">
        <f t="shared" si="194"/>
        <v>-44786.03289666574</v>
      </c>
    </row>
    <row r="5830" spans="1:13">
      <c r="A5830" s="54" t="str">
        <f t="shared" si="195"/>
        <v>HRUBERHR</v>
      </c>
      <c r="B5830" t="s">
        <v>3214</v>
      </c>
      <c r="C5830" s="1">
        <v>46030</v>
      </c>
      <c r="D5830" s="242" t="s">
        <v>29</v>
      </c>
      <c r="E5830" s="71" t="s">
        <v>189</v>
      </c>
      <c r="F5830" s="71" t="s">
        <v>29</v>
      </c>
      <c r="J5830" s="71" t="s">
        <v>3281</v>
      </c>
      <c r="L5830" s="433">
        <v>296</v>
      </c>
      <c r="M5830" s="136">
        <f t="shared" si="194"/>
        <v>-45082.03289666574</v>
      </c>
    </row>
    <row r="5831" spans="1:13">
      <c r="A5831" s="137" t="str">
        <f>D5831&amp;E5831&amp;F5831</f>
        <v/>
      </c>
      <c r="B5831" t="s">
        <v>3214</v>
      </c>
      <c r="C5831" s="1">
        <v>46031</v>
      </c>
      <c r="J5831" s="71" t="s">
        <v>2045</v>
      </c>
      <c r="K5831" s="325">
        <v>188362.9</v>
      </c>
      <c r="L5831" s="432"/>
      <c r="M5831" s="136">
        <f t="shared" si="194"/>
        <v>143280.86710333425</v>
      </c>
    </row>
    <row r="5832" spans="1:13">
      <c r="A5832" s="54" t="str">
        <f>D5832&amp;E5832&amp;F5832</f>
        <v>FINANZASCOMISIONES BANCARIASTPV</v>
      </c>
      <c r="B5832" t="s">
        <v>3214</v>
      </c>
      <c r="C5832" s="1">
        <v>46031</v>
      </c>
      <c r="D5832" s="242" t="s">
        <v>23</v>
      </c>
      <c r="E5832" s="71" t="s">
        <v>48</v>
      </c>
      <c r="F5832" s="71" t="s">
        <v>50</v>
      </c>
      <c r="J5832" s="71" t="s">
        <v>217</v>
      </c>
      <c r="L5832" s="433">
        <f>1238.31+56.15+5.8+5.8+10.44+256.67+1518.09+1268.54</f>
        <v>4359.8</v>
      </c>
      <c r="M5832" s="136">
        <f t="shared" si="194"/>
        <v>138921.06710333427</v>
      </c>
    </row>
    <row r="5833" spans="1:13">
      <c r="A5833" s="137" t="str">
        <f>D5833&amp;E5833&amp;F5833</f>
        <v/>
      </c>
      <c r="B5833" t="s">
        <v>3214</v>
      </c>
      <c r="C5833" s="1">
        <v>46031</v>
      </c>
      <c r="J5833" s="205" t="s">
        <v>1562</v>
      </c>
      <c r="K5833" s="205"/>
      <c r="L5833" s="428">
        <v>140000</v>
      </c>
      <c r="M5833" s="136">
        <f t="shared" si="194"/>
        <v>-1078.932896665734</v>
      </c>
    </row>
    <row r="5834" spans="1:13">
      <c r="A5834" s="137" t="str">
        <f>D5834&amp;E5834&amp;F5834</f>
        <v/>
      </c>
      <c r="B5834" t="s">
        <v>3214</v>
      </c>
      <c r="C5834" s="1">
        <v>46031</v>
      </c>
      <c r="J5834" s="205" t="s">
        <v>222</v>
      </c>
      <c r="K5834" s="205"/>
      <c r="L5834" s="428"/>
      <c r="M5834" s="136">
        <f t="shared" si="194"/>
        <v>-1078.932896665734</v>
      </c>
    </row>
    <row r="5835" spans="1:13">
      <c r="A5835" s="54" t="str">
        <f>D5835&amp;E5835&amp;F5835</f>
        <v>HRENERGIA ELECTRICAA1</v>
      </c>
      <c r="B5835" t="s">
        <v>3214</v>
      </c>
      <c r="C5835" s="1">
        <v>46031</v>
      </c>
      <c r="D5835" s="242" t="s">
        <v>29</v>
      </c>
      <c r="E5835" s="71" t="s">
        <v>87</v>
      </c>
      <c r="F5835" s="71" t="s">
        <v>88</v>
      </c>
      <c r="J5835" s="71" t="s">
        <v>3282</v>
      </c>
      <c r="L5835" s="433">
        <v>4407</v>
      </c>
      <c r="M5835" s="136">
        <f t="shared" si="194"/>
        <v>-5485.932896665734</v>
      </c>
    </row>
    <row r="5836" spans="1:13">
      <c r="A5836" s="137" t="str">
        <f>D5836&amp;E5836&amp;F5836</f>
        <v>FINANZASCOMBUSTIBLE</v>
      </c>
      <c r="B5836" t="s">
        <v>3214</v>
      </c>
      <c r="C5836" s="1">
        <v>46031</v>
      </c>
      <c r="D5836" s="242" t="s">
        <v>23</v>
      </c>
      <c r="E5836" s="71" t="s">
        <v>32</v>
      </c>
      <c r="J5836" s="71" t="s">
        <v>2413</v>
      </c>
      <c r="L5836" s="433">
        <v>25252.799999999999</v>
      </c>
      <c r="M5836" s="136">
        <f t="shared" si="194"/>
        <v>-30738.732896665733</v>
      </c>
    </row>
    <row r="5837" spans="1:13">
      <c r="A5837" s="137" t="str">
        <f>D5837&amp;E5837&amp;F5837</f>
        <v>FINANZASCOMBUSTIBLE</v>
      </c>
      <c r="B5837" t="s">
        <v>3214</v>
      </c>
      <c r="C5837" s="1">
        <v>46031</v>
      </c>
      <c r="D5837" s="242" t="s">
        <v>23</v>
      </c>
      <c r="E5837" s="71" t="s">
        <v>32</v>
      </c>
      <c r="J5837" s="71" t="s">
        <v>3283</v>
      </c>
      <c r="L5837" s="433">
        <f>160+6118.32</f>
        <v>6278.32</v>
      </c>
      <c r="M5837" s="136">
        <f t="shared" si="194"/>
        <v>-37017.052896665729</v>
      </c>
    </row>
    <row r="5838" spans="1:13">
      <c r="A5838" s="137" t="str">
        <f>D5838&amp;E5838&amp;F5838</f>
        <v>FINANZASCOMBUSTIBLE</v>
      </c>
      <c r="B5838" t="s">
        <v>3214</v>
      </c>
      <c r="C5838" s="1">
        <v>46031</v>
      </c>
      <c r="D5838" s="242" t="s">
        <v>23</v>
      </c>
      <c r="E5838" s="71" t="s">
        <v>32</v>
      </c>
      <c r="J5838" s="71" t="s">
        <v>3284</v>
      </c>
      <c r="L5838" s="433">
        <v>1160</v>
      </c>
      <c r="M5838" s="136">
        <f t="shared" si="194"/>
        <v>-38177.052896665729</v>
      </c>
    </row>
    <row r="5839" spans="1:13">
      <c r="A5839" s="54" t="str">
        <f>D5839&amp;E5839&amp;F5839</f>
        <v>SERVICIOSVIATICOSCOMPRAS</v>
      </c>
      <c r="B5839" t="s">
        <v>3214</v>
      </c>
      <c r="C5839" s="1">
        <v>46031</v>
      </c>
      <c r="D5839" s="242" t="s">
        <v>21</v>
      </c>
      <c r="E5839" s="71" t="s">
        <v>191</v>
      </c>
      <c r="F5839" s="71" t="s">
        <v>148</v>
      </c>
      <c r="J5839" s="71" t="s">
        <v>3285</v>
      </c>
      <c r="L5839" s="433">
        <v>500</v>
      </c>
      <c r="M5839" s="136">
        <f t="shared" si="194"/>
        <v>-38677.052896665729</v>
      </c>
    </row>
    <row r="5840" spans="1:13">
      <c r="A5840" s="137" t="str">
        <f>D5840&amp;E5840&amp;F5840</f>
        <v/>
      </c>
      <c r="B5840" t="s">
        <v>3214</v>
      </c>
      <c r="C5840" s="1">
        <v>46031</v>
      </c>
      <c r="J5840" s="71" t="s">
        <v>3286</v>
      </c>
      <c r="L5840" s="433">
        <v>9000</v>
      </c>
      <c r="M5840" s="136">
        <f t="shared" si="194"/>
        <v>-47677.052896665729</v>
      </c>
    </row>
    <row r="5841" spans="1:13">
      <c r="A5841" s="54" t="str">
        <f>D5841&amp;E5841&amp;F5841</f>
        <v>HRMTTO EQ DE TRANSPORTEHR</v>
      </c>
      <c r="B5841" t="s">
        <v>3214</v>
      </c>
      <c r="C5841" s="1">
        <v>46031</v>
      </c>
      <c r="D5841" s="242" t="s">
        <v>29</v>
      </c>
      <c r="E5841" s="71" t="s">
        <v>144</v>
      </c>
      <c r="F5841" s="71" t="s">
        <v>29</v>
      </c>
      <c r="J5841" s="71" t="s">
        <v>3287</v>
      </c>
      <c r="L5841" s="433">
        <v>3364</v>
      </c>
      <c r="M5841" s="136">
        <f t="shared" si="194"/>
        <v>-51041.052896665729</v>
      </c>
    </row>
    <row r="5842" spans="1:13">
      <c r="A5842" s="54" t="str">
        <f>D5842&amp;E5842&amp;F5842</f>
        <v>SERVICIOSALARMASUCURSALES CAPRICHOS</v>
      </c>
      <c r="B5842" t="s">
        <v>3214</v>
      </c>
      <c r="C5842" s="1">
        <v>46031</v>
      </c>
      <c r="D5842" s="242" t="s">
        <v>21</v>
      </c>
      <c r="E5842" s="71" t="s">
        <v>25</v>
      </c>
      <c r="F5842" s="71" t="s">
        <v>27</v>
      </c>
      <c r="J5842" s="71" t="s">
        <v>3288</v>
      </c>
      <c r="L5842" s="433">
        <v>386.4</v>
      </c>
      <c r="M5842" s="136">
        <f t="shared" si="194"/>
        <v>-51427.452896665731</v>
      </c>
    </row>
    <row r="5843" spans="1:13">
      <c r="A5843" s="54" t="str">
        <f>D5843&amp;E5843&amp;F5843</f>
        <v>HRIMAGEN VISUALIMAGEN VISUAL HR</v>
      </c>
      <c r="B5843" t="s">
        <v>3214</v>
      </c>
      <c r="C5843" s="1">
        <v>46031</v>
      </c>
      <c r="D5843" s="242" t="s">
        <v>29</v>
      </c>
      <c r="E5843" s="71" t="s">
        <v>127</v>
      </c>
      <c r="F5843" s="71" t="s">
        <v>128</v>
      </c>
      <c r="J5843" s="71" t="s">
        <v>3289</v>
      </c>
      <c r="L5843" s="433">
        <v>3248</v>
      </c>
      <c r="M5843" s="136">
        <f t="shared" si="194"/>
        <v>-54675.452896665731</v>
      </c>
    </row>
    <row r="5844" spans="1:13">
      <c r="A5844" s="54" t="str">
        <f>D5844&amp;E5844&amp;F5844</f>
        <v>HRJMASA11</v>
      </c>
      <c r="B5844" t="s">
        <v>3214</v>
      </c>
      <c r="C5844" s="1">
        <v>46031</v>
      </c>
      <c r="D5844" s="242" t="s">
        <v>29</v>
      </c>
      <c r="E5844" s="71" t="s">
        <v>137</v>
      </c>
      <c r="F5844" s="71" t="s">
        <v>97</v>
      </c>
      <c r="J5844" s="71" t="s">
        <v>3290</v>
      </c>
      <c r="L5844" s="433">
        <v>413</v>
      </c>
      <c r="M5844" s="136">
        <f t="shared" si="194"/>
        <v>-55088.452896665731</v>
      </c>
    </row>
    <row r="5845" spans="1:13">
      <c r="A5845" s="137" t="str">
        <f>D5845&amp;E5845&amp;F5845</f>
        <v/>
      </c>
      <c r="B5845" t="s">
        <v>3214</v>
      </c>
      <c r="C5845" s="1">
        <v>46034</v>
      </c>
      <c r="J5845" s="71" t="s">
        <v>2045</v>
      </c>
      <c r="K5845" s="325">
        <v>646344.27</v>
      </c>
      <c r="L5845" s="432"/>
      <c r="M5845" s="136">
        <f t="shared" si="194"/>
        <v>591255.81710333424</v>
      </c>
    </row>
    <row r="5846" spans="1:13">
      <c r="A5846" s="137"/>
      <c r="B5846" t="s">
        <v>3214</v>
      </c>
      <c r="C5846" s="1">
        <v>46034</v>
      </c>
      <c r="J5846" s="71" t="s">
        <v>3291</v>
      </c>
      <c r="K5846" s="325">
        <v>634.5</v>
      </c>
      <c r="L5846" s="432"/>
      <c r="M5846" s="136">
        <f t="shared" si="194"/>
        <v>591890.31710333424</v>
      </c>
    </row>
    <row r="5847" spans="1:13">
      <c r="A5847" s="137"/>
      <c r="B5847" t="s">
        <v>3214</v>
      </c>
      <c r="C5847" s="1">
        <v>46034</v>
      </c>
      <c r="J5847" s="71" t="s">
        <v>3292</v>
      </c>
      <c r="L5847" s="433">
        <v>3079.05</v>
      </c>
      <c r="M5847" s="136">
        <f t="shared" si="194"/>
        <v>588811.26710333419</v>
      </c>
    </row>
    <row r="5848" spans="1:13">
      <c r="A5848" s="137"/>
      <c r="B5848" t="s">
        <v>3214</v>
      </c>
      <c r="C5848" s="1">
        <v>46034</v>
      </c>
      <c r="J5848" s="71" t="s">
        <v>3293</v>
      </c>
      <c r="K5848" s="325">
        <v>1554.64</v>
      </c>
      <c r="L5848" s="432"/>
      <c r="M5848" s="136">
        <f t="shared" si="194"/>
        <v>590365.9071033342</v>
      </c>
    </row>
    <row r="5849" spans="1:13">
      <c r="A5849" s="137"/>
      <c r="B5849" t="s">
        <v>3214</v>
      </c>
      <c r="C5849" s="1">
        <v>46034</v>
      </c>
      <c r="J5849" s="71" t="s">
        <v>3294</v>
      </c>
      <c r="L5849" s="433">
        <v>932.68</v>
      </c>
      <c r="M5849" s="136">
        <f t="shared" si="194"/>
        <v>589433.22710333415</v>
      </c>
    </row>
    <row r="5850" spans="1:13">
      <c r="A5850" s="54" t="str">
        <f>D5850&amp;E5850&amp;F5850</f>
        <v>FINANZASCOMISIONES BANCARIASTPV</v>
      </c>
      <c r="B5850" t="s">
        <v>3214</v>
      </c>
      <c r="C5850" s="1">
        <v>46034</v>
      </c>
      <c r="D5850" s="242" t="s">
        <v>23</v>
      </c>
      <c r="E5850" s="71" t="s">
        <v>48</v>
      </c>
      <c r="F5850" s="71" t="s">
        <v>50</v>
      </c>
      <c r="J5850" s="71" t="s">
        <v>217</v>
      </c>
      <c r="L5850" s="433">
        <f>713.35+1499.73+127.6+1294.64+5.8+6.96+1024.5+5864.53+3880.76+21.08+973.83</f>
        <v>15412.78</v>
      </c>
      <c r="M5850" s="136">
        <f t="shared" si="194"/>
        <v>574020.44710333413</v>
      </c>
    </row>
    <row r="5851" spans="1:13">
      <c r="A5851" s="137" t="str">
        <f>D5851&amp;E5851&amp;F5851</f>
        <v/>
      </c>
      <c r="B5851" t="s">
        <v>3214</v>
      </c>
      <c r="C5851" s="1">
        <v>46034</v>
      </c>
      <c r="J5851" s="205" t="s">
        <v>1562</v>
      </c>
      <c r="K5851" s="205"/>
      <c r="L5851" s="428">
        <v>150000</v>
      </c>
      <c r="M5851" s="136">
        <f t="shared" si="194"/>
        <v>424020.44710333413</v>
      </c>
    </row>
    <row r="5852" spans="1:13">
      <c r="A5852" s="137" t="str">
        <f>D5852&amp;E5852&amp;F5852</f>
        <v/>
      </c>
      <c r="B5852" t="s">
        <v>3214</v>
      </c>
      <c r="C5852" s="1">
        <v>46034</v>
      </c>
      <c r="J5852" s="205" t="s">
        <v>222</v>
      </c>
      <c r="K5852" s="205"/>
      <c r="L5852" s="428">
        <v>400000</v>
      </c>
      <c r="M5852" s="136">
        <f t="shared" si="194"/>
        <v>24020.447103334125</v>
      </c>
    </row>
    <row r="5853" spans="1:13">
      <c r="A5853" s="54" t="str">
        <f>D5853&amp;E5853&amp;F5853</f>
        <v>SERVICIOSADQ DE EQ TECNOLOGICOADQ DE EQ TECNOLOGICO</v>
      </c>
      <c r="B5853" t="s">
        <v>3214</v>
      </c>
      <c r="C5853" s="1">
        <v>46034</v>
      </c>
      <c r="D5853" s="242" t="s">
        <v>21</v>
      </c>
      <c r="E5853" s="71" t="s">
        <v>22</v>
      </c>
      <c r="F5853" s="71" t="s">
        <v>22</v>
      </c>
      <c r="J5853" s="71" t="s">
        <v>3295</v>
      </c>
      <c r="L5853" s="433">
        <v>11502.32</v>
      </c>
      <c r="M5853" s="136">
        <f t="shared" si="194"/>
        <v>12518.127103334125</v>
      </c>
    </row>
    <row r="5854" spans="1:13">
      <c r="A5854" s="54" t="str">
        <f>D5854&amp;E5854&amp;F5854</f>
        <v>SERVICIOSVIATICOSCEDIS</v>
      </c>
      <c r="B5854" t="s">
        <v>3214</v>
      </c>
      <c r="C5854" s="1">
        <v>46034</v>
      </c>
      <c r="D5854" s="242" t="s">
        <v>21</v>
      </c>
      <c r="E5854" s="71" t="s">
        <v>191</v>
      </c>
      <c r="F5854" s="71" t="s">
        <v>28</v>
      </c>
      <c r="J5854" s="71" t="s">
        <v>3296</v>
      </c>
      <c r="L5854" s="433">
        <v>1100</v>
      </c>
      <c r="M5854" s="136">
        <f t="shared" si="194"/>
        <v>11418.127103334125</v>
      </c>
    </row>
    <row r="5855" spans="1:13">
      <c r="A5855" s="54" t="str">
        <f>D5855&amp;E5855&amp;F5855</f>
        <v>SERVICIOSPAQUETERIACEDIS (E6)</v>
      </c>
      <c r="B5855" t="s">
        <v>3214</v>
      </c>
      <c r="C5855" s="1">
        <v>46034</v>
      </c>
      <c r="D5855" s="242" t="s">
        <v>21</v>
      </c>
      <c r="E5855" s="71" t="s">
        <v>160</v>
      </c>
      <c r="F5855" s="71" t="s">
        <v>161</v>
      </c>
      <c r="J5855" s="71" t="s">
        <v>229</v>
      </c>
      <c r="L5855" s="433">
        <v>1629.03</v>
      </c>
      <c r="M5855" s="136">
        <f t="shared" si="194"/>
        <v>9789.0971033341248</v>
      </c>
    </row>
    <row r="5856" spans="1:13">
      <c r="A5856" s="54" t="str">
        <f>D5856&amp;E5856&amp;F5856</f>
        <v>FINANZASFONDO Y REPOSICIONFINANZAS</v>
      </c>
      <c r="B5856" t="s">
        <v>3214</v>
      </c>
      <c r="C5856" s="1">
        <v>46034</v>
      </c>
      <c r="D5856" s="242" t="s">
        <v>23</v>
      </c>
      <c r="E5856" s="71" t="s">
        <v>120</v>
      </c>
      <c r="F5856" s="71" t="s">
        <v>23</v>
      </c>
      <c r="J5856" s="71" t="s">
        <v>3297</v>
      </c>
      <c r="L5856" s="208">
        <v>350</v>
      </c>
      <c r="M5856" s="136">
        <f t="shared" si="194"/>
        <v>9439.0971033341248</v>
      </c>
    </row>
    <row r="5857" spans="1:13">
      <c r="A5857" s="54" t="str">
        <f>D5857&amp;E5857&amp;F5857</f>
        <v>FINANZASFONDO Y REPOSICIONFINANZAS</v>
      </c>
      <c r="B5857" t="s">
        <v>3214</v>
      </c>
      <c r="C5857" s="1">
        <v>46034</v>
      </c>
      <c r="D5857" s="242" t="s">
        <v>23</v>
      </c>
      <c r="E5857" s="71" t="s">
        <v>120</v>
      </c>
      <c r="F5857" s="71" t="s">
        <v>23</v>
      </c>
      <c r="J5857" s="71" t="s">
        <v>3298</v>
      </c>
      <c r="L5857" s="433">
        <v>300</v>
      </c>
      <c r="M5857" s="136">
        <f t="shared" si="194"/>
        <v>9139.0971033341248</v>
      </c>
    </row>
    <row r="5858" spans="1:13">
      <c r="A5858" s="54" t="str">
        <f>D5858&amp;E5858&amp;F5858</f>
        <v>SERVICIOSINSUMOSCOFFE</v>
      </c>
      <c r="B5858" t="s">
        <v>3214</v>
      </c>
      <c r="C5858" s="1">
        <v>46034</v>
      </c>
      <c r="D5858" s="242" t="s">
        <v>21</v>
      </c>
      <c r="E5858" s="71" t="s">
        <v>133</v>
      </c>
      <c r="F5858" s="71" t="s">
        <v>135</v>
      </c>
      <c r="J5858" s="71" t="s">
        <v>3299</v>
      </c>
      <c r="L5858" s="433">
        <v>1750</v>
      </c>
      <c r="M5858" s="136">
        <f t="shared" si="194"/>
        <v>7389.0971033341248</v>
      </c>
    </row>
    <row r="5859" spans="1:13">
      <c r="A5859" s="54" t="str">
        <f>D5859&amp;E5859&amp;F5859</f>
        <v>HRUBERHR</v>
      </c>
      <c r="B5859" t="s">
        <v>3214</v>
      </c>
      <c r="C5859" s="1">
        <v>46034</v>
      </c>
      <c r="D5859" s="242" t="s">
        <v>29</v>
      </c>
      <c r="E5859" s="71" t="s">
        <v>189</v>
      </c>
      <c r="F5859" s="71" t="s">
        <v>29</v>
      </c>
      <c r="J5859" s="71" t="s">
        <v>2585</v>
      </c>
      <c r="L5859" s="433">
        <v>160</v>
      </c>
      <c r="M5859" s="136">
        <f t="shared" si="194"/>
        <v>7229.0971033341248</v>
      </c>
    </row>
    <row r="5860" spans="1:13">
      <c r="A5860" s="54" t="str">
        <f>D5860&amp;E5860&amp;F5860</f>
        <v>CAPINSUMOSCAPRICHOS</v>
      </c>
      <c r="B5860" t="s">
        <v>3214</v>
      </c>
      <c r="C5860" s="1">
        <v>46034</v>
      </c>
      <c r="D5860" s="242" t="s">
        <v>31</v>
      </c>
      <c r="E5860" s="71" t="s">
        <v>133</v>
      </c>
      <c r="F5860" s="71" t="s">
        <v>33</v>
      </c>
      <c r="J5860" s="71" t="s">
        <v>2659</v>
      </c>
      <c r="L5860" s="433">
        <v>30</v>
      </c>
      <c r="M5860" s="136">
        <f t="shared" si="194"/>
        <v>7199.0971033341248</v>
      </c>
    </row>
    <row r="5861" spans="1:13">
      <c r="A5861" s="54" t="str">
        <f t="shared" ref="A5861:A5862" si="196">D5861&amp;E5861&amp;F5861</f>
        <v>CAPUBERCAP</v>
      </c>
      <c r="B5861" t="s">
        <v>3214</v>
      </c>
      <c r="C5861" s="1">
        <v>46034</v>
      </c>
      <c r="D5861" s="242" t="s">
        <v>31</v>
      </c>
      <c r="E5861" s="71" t="s">
        <v>189</v>
      </c>
      <c r="F5861" s="71" t="s">
        <v>31</v>
      </c>
      <c r="J5861" s="71" t="s">
        <v>2344</v>
      </c>
      <c r="L5861" s="433">
        <v>1367</v>
      </c>
      <c r="M5861" s="136">
        <f t="shared" ref="M5861:M5867" si="197">M5860+K5861-L5861</f>
        <v>5832.0971033341248</v>
      </c>
    </row>
    <row r="5862" spans="1:13">
      <c r="A5862" s="54" t="str">
        <f t="shared" si="196"/>
        <v>CAPUBERCAP</v>
      </c>
      <c r="B5862" t="s">
        <v>3214</v>
      </c>
      <c r="C5862" s="1">
        <v>46034</v>
      </c>
      <c r="D5862" s="242" t="s">
        <v>31</v>
      </c>
      <c r="E5862" s="71" t="s">
        <v>189</v>
      </c>
      <c r="F5862" s="71" t="s">
        <v>31</v>
      </c>
      <c r="J5862" s="71" t="s">
        <v>2441</v>
      </c>
      <c r="L5862" s="433">
        <v>400</v>
      </c>
      <c r="M5862" s="136">
        <f t="shared" si="197"/>
        <v>5432.0971033341248</v>
      </c>
    </row>
    <row r="5863" spans="1:13">
      <c r="A5863" s="54" t="str">
        <f>D5863&amp;E5863&amp;F5863</f>
        <v>CAPINSUMOSCAPRICHOS</v>
      </c>
      <c r="B5863" t="s">
        <v>3214</v>
      </c>
      <c r="C5863" s="1">
        <v>46034</v>
      </c>
      <c r="D5863" s="242" t="s">
        <v>31</v>
      </c>
      <c r="E5863" s="71" t="s">
        <v>133</v>
      </c>
      <c r="F5863" s="71" t="s">
        <v>33</v>
      </c>
      <c r="J5863" s="71" t="s">
        <v>3300</v>
      </c>
      <c r="L5863" s="433">
        <v>185</v>
      </c>
      <c r="M5863" s="136">
        <f t="shared" si="197"/>
        <v>5247.0971033341248</v>
      </c>
    </row>
    <row r="5864" spans="1:13">
      <c r="A5864" s="137" t="str">
        <f>D5864&amp;E5864&amp;F5864</f>
        <v/>
      </c>
      <c r="B5864" t="s">
        <v>3214</v>
      </c>
      <c r="C5864" s="1">
        <v>46035</v>
      </c>
      <c r="J5864" s="71" t="s">
        <v>2045</v>
      </c>
      <c r="K5864" s="325">
        <v>120008.1</v>
      </c>
      <c r="L5864" s="432"/>
      <c r="M5864" s="136">
        <f t="shared" si="197"/>
        <v>125255.19710333413</v>
      </c>
    </row>
    <row r="5865" spans="1:13">
      <c r="A5865" s="54" t="str">
        <f>D5865&amp;E5865&amp;F5865</f>
        <v>FINANZASCOMISIONES BANCARIASTPV</v>
      </c>
      <c r="B5865" t="s">
        <v>3214</v>
      </c>
      <c r="C5865" s="1">
        <v>46035</v>
      </c>
      <c r="D5865" s="242" t="s">
        <v>23</v>
      </c>
      <c r="E5865" s="71" t="s">
        <v>48</v>
      </c>
      <c r="F5865" s="71" t="s">
        <v>50</v>
      </c>
      <c r="J5865" s="71" t="s">
        <v>217</v>
      </c>
      <c r="L5865" s="433">
        <f>159.28+6.64+180.25+3.48+32.2+699.76+1201.38</f>
        <v>2282.9899999999998</v>
      </c>
      <c r="M5865" s="136">
        <f>M5864+K5865-L5865</f>
        <v>122972.20710333412</v>
      </c>
    </row>
    <row r="5866" spans="1:13">
      <c r="A5866" s="137" t="str">
        <f>D5866&amp;E5866&amp;F5866</f>
        <v/>
      </c>
      <c r="B5866" t="s">
        <v>3214</v>
      </c>
      <c r="C5866" s="1">
        <v>46035</v>
      </c>
      <c r="J5866" s="205" t="s">
        <v>1562</v>
      </c>
      <c r="K5866" s="205"/>
      <c r="L5866" s="428">
        <v>50000</v>
      </c>
      <c r="M5866" s="136">
        <f>M5865+K5866-L5866</f>
        <v>72972.20710333412</v>
      </c>
    </row>
    <row r="5867" spans="1:13">
      <c r="A5867" s="137" t="str">
        <f>D5867&amp;E5867&amp;F5867</f>
        <v/>
      </c>
      <c r="B5867" t="s">
        <v>3214</v>
      </c>
      <c r="C5867" s="1">
        <v>46035</v>
      </c>
      <c r="J5867" s="205" t="s">
        <v>222</v>
      </c>
      <c r="K5867" s="205"/>
      <c r="L5867" s="428"/>
      <c r="M5867" s="136">
        <f>M5866+K5867-L5867</f>
        <v>72972.20710333412</v>
      </c>
    </row>
    <row r="5868" spans="1:13">
      <c r="A5868" s="54" t="str">
        <f>D5868&amp;E5868&amp;F5868</f>
        <v>FINANZASSEGUROEQ. DE TRANSPORTE</v>
      </c>
      <c r="B5868" t="s">
        <v>3214</v>
      </c>
      <c r="C5868" s="1">
        <v>46035</v>
      </c>
      <c r="D5868" s="242" t="s">
        <v>23</v>
      </c>
      <c r="E5868" s="71" t="s">
        <v>173</v>
      </c>
      <c r="F5868" s="71" t="s">
        <v>175</v>
      </c>
      <c r="J5868" s="71" t="s">
        <v>3301</v>
      </c>
      <c r="L5868" s="433">
        <v>36468</v>
      </c>
      <c r="M5868" s="136">
        <f>M5867+K5868-L5868</f>
        <v>36504.20710333412</v>
      </c>
    </row>
    <row r="5869" spans="1:13">
      <c r="A5869" s="54" t="str">
        <f>D5869&amp;E5869&amp;F5869</f>
        <v>HRFONDO Y REPOSICIONHR</v>
      </c>
      <c r="B5869" t="s">
        <v>3214</v>
      </c>
      <c r="C5869" s="1">
        <v>46035</v>
      </c>
      <c r="D5869" s="242" t="s">
        <v>29</v>
      </c>
      <c r="E5869" s="71" t="s">
        <v>120</v>
      </c>
      <c r="F5869" s="71" t="s">
        <v>29</v>
      </c>
      <c r="J5869" s="71" t="s">
        <v>3302</v>
      </c>
      <c r="L5869" s="433">
        <v>4610</v>
      </c>
      <c r="M5869" s="136">
        <f>M5868+K5869-L5869</f>
        <v>31894.20710333412</v>
      </c>
    </row>
    <row r="5870" spans="1:13">
      <c r="A5870" s="54" t="str">
        <f>D5870&amp;E5870&amp;F5870</f>
        <v>HRFONDO Y REPOSICIONHR</v>
      </c>
      <c r="B5870" t="s">
        <v>3214</v>
      </c>
      <c r="C5870" s="1">
        <v>46035</v>
      </c>
      <c r="D5870" s="242" t="s">
        <v>29</v>
      </c>
      <c r="E5870" s="71" t="s">
        <v>120</v>
      </c>
      <c r="F5870" s="71" t="s">
        <v>29</v>
      </c>
      <c r="J5870" s="71" t="s">
        <v>3303</v>
      </c>
      <c r="L5870" s="433">
        <v>2321</v>
      </c>
      <c r="M5870" s="136">
        <f>M5869+K5870-L5870</f>
        <v>29573.20710333412</v>
      </c>
    </row>
    <row r="5871" spans="1:13">
      <c r="A5871" s="54" t="str">
        <f>D5871&amp;E5871&amp;F5871</f>
        <v>HRFONDO Y REPOSICIONHR</v>
      </c>
      <c r="B5871" t="s">
        <v>3214</v>
      </c>
      <c r="C5871" s="1">
        <v>46035</v>
      </c>
      <c r="D5871" s="71" t="s">
        <v>29</v>
      </c>
      <c r="E5871" s="71" t="s">
        <v>120</v>
      </c>
      <c r="F5871" s="71" t="s">
        <v>29</v>
      </c>
      <c r="J5871" s="71" t="s">
        <v>3304</v>
      </c>
      <c r="L5871" s="433">
        <v>2294</v>
      </c>
      <c r="M5871" s="136">
        <f>M5870+K5871-L5871</f>
        <v>27279.20710333412</v>
      </c>
    </row>
    <row r="5872" spans="1:13">
      <c r="A5872" s="54" t="str">
        <f>D5872&amp;E5872&amp;F5872</f>
        <v>CAPFONDO Y REPOSICIONCAPRICHOS</v>
      </c>
      <c r="B5872" t="s">
        <v>3214</v>
      </c>
      <c r="C5872" s="1">
        <v>46035</v>
      </c>
      <c r="D5872" s="242" t="s">
        <v>31</v>
      </c>
      <c r="E5872" s="71" t="s">
        <v>120</v>
      </c>
      <c r="F5872" s="71" t="s">
        <v>33</v>
      </c>
      <c r="J5872" s="71" t="s">
        <v>3305</v>
      </c>
      <c r="L5872" s="433">
        <v>1576</v>
      </c>
      <c r="M5872" s="136">
        <f>M5871+K5872-L5872</f>
        <v>25703.20710333412</v>
      </c>
    </row>
    <row r="5873" spans="1:13">
      <c r="A5873" s="54" t="str">
        <f>D5873&amp;E5873&amp;F5873</f>
        <v>CAPFONDO Y REPOSICIONCAPRICHOS</v>
      </c>
      <c r="B5873" t="s">
        <v>3214</v>
      </c>
      <c r="C5873" s="1">
        <v>46035</v>
      </c>
      <c r="D5873" s="242" t="s">
        <v>31</v>
      </c>
      <c r="E5873" s="71" t="s">
        <v>120</v>
      </c>
      <c r="F5873" s="71" t="s">
        <v>33</v>
      </c>
      <c r="J5873" s="71" t="s">
        <v>3306</v>
      </c>
      <c r="L5873" s="433">
        <v>1116</v>
      </c>
      <c r="M5873" s="136">
        <f>M5872+K5873-L5873</f>
        <v>24587.20710333412</v>
      </c>
    </row>
    <row r="5874" spans="1:13">
      <c r="A5874" s="54" t="str">
        <f>D5874&amp;E5874&amp;F5874</f>
        <v>SERVICIOSALARMASUCURSALES HR</v>
      </c>
      <c r="B5874" t="s">
        <v>3214</v>
      </c>
      <c r="C5874" s="1">
        <v>46035</v>
      </c>
      <c r="D5874" s="242" t="s">
        <v>21</v>
      </c>
      <c r="E5874" s="71" t="s">
        <v>25</v>
      </c>
      <c r="F5874" s="71" t="s">
        <v>26</v>
      </c>
      <c r="J5874" s="71" t="s">
        <v>1651</v>
      </c>
      <c r="L5874" s="433">
        <v>5539.67</v>
      </c>
      <c r="M5874" s="136">
        <f>M5873+K5874-L5874</f>
        <v>19047.537103334122</v>
      </c>
    </row>
    <row r="5875" spans="1:13">
      <c r="A5875" s="54" t="str">
        <f>D5875&amp;E5875&amp;F5875</f>
        <v>SERVICIOSMTTO DE EDIFICIOMANTENIMIENTO</v>
      </c>
      <c r="B5875" t="s">
        <v>3214</v>
      </c>
      <c r="C5875" s="1">
        <v>46035</v>
      </c>
      <c r="D5875" s="242" t="s">
        <v>21</v>
      </c>
      <c r="E5875" s="71" t="s">
        <v>142</v>
      </c>
      <c r="F5875" s="71" t="s">
        <v>35</v>
      </c>
      <c r="J5875" s="71" t="s">
        <v>3307</v>
      </c>
      <c r="L5875" s="433">
        <v>9292.43</v>
      </c>
      <c r="M5875" s="136">
        <f>M5874+K5875-L5875</f>
        <v>9755.1071033341213</v>
      </c>
    </row>
    <row r="5876" spans="1:13">
      <c r="A5876" s="54" t="str">
        <f>D5876&amp;E5876&amp;F5876</f>
        <v>SERVICIOSMTTO DE EDIFICIOMANTENIMIENTO</v>
      </c>
      <c r="B5876" t="s">
        <v>3214</v>
      </c>
      <c r="C5876" s="1">
        <v>46035</v>
      </c>
      <c r="D5876" s="242" t="s">
        <v>21</v>
      </c>
      <c r="E5876" s="71" t="s">
        <v>142</v>
      </c>
      <c r="F5876" s="71" t="s">
        <v>35</v>
      </c>
      <c r="J5876" s="71" t="s">
        <v>959</v>
      </c>
      <c r="L5876" s="433">
        <v>1134.74</v>
      </c>
      <c r="M5876" s="136">
        <f>M5875+K5876-L5876</f>
        <v>8620.3671033341216</v>
      </c>
    </row>
    <row r="5877" spans="1:13">
      <c r="A5877" s="54" t="str">
        <f>D5877&amp;E5877&amp;F5877</f>
        <v>CAPFONDO Y REPOSICIONCAPRICHOS</v>
      </c>
      <c r="B5877" t="s">
        <v>3214</v>
      </c>
      <c r="C5877" s="1">
        <v>46035</v>
      </c>
      <c r="D5877" s="242" t="s">
        <v>31</v>
      </c>
      <c r="E5877" s="71" t="s">
        <v>120</v>
      </c>
      <c r="F5877" s="71" t="s">
        <v>33</v>
      </c>
      <c r="J5877" s="71" t="s">
        <v>2970</v>
      </c>
      <c r="L5877" s="433">
        <v>3762</v>
      </c>
      <c r="M5877" s="136">
        <f>M5876+K5877-L5877</f>
        <v>4858.3671033341216</v>
      </c>
    </row>
    <row r="5878" spans="1:13">
      <c r="A5878" s="54" t="str">
        <f>D5878&amp;E5878&amp;F5878</f>
        <v>SERVICIOSPAQUETERIACT INTERNACIONAL</v>
      </c>
      <c r="B5878" t="s">
        <v>3214</v>
      </c>
      <c r="C5878" s="1">
        <v>46035</v>
      </c>
      <c r="D5878" s="242" t="s">
        <v>21</v>
      </c>
      <c r="E5878" s="71" t="s">
        <v>160</v>
      </c>
      <c r="F5878" s="71" t="s">
        <v>162</v>
      </c>
      <c r="J5878" s="71" t="s">
        <v>3308</v>
      </c>
      <c r="L5878" s="433">
        <v>140</v>
      </c>
      <c r="M5878" s="136">
        <f>M5877+K5878-L5878</f>
        <v>4718.3671033341216</v>
      </c>
    </row>
    <row r="5879" spans="1:13">
      <c r="A5879" s="54" t="str">
        <f>D5879&amp;E5879&amp;F5879</f>
        <v>CAPNOMINA SUCURSALE1</v>
      </c>
      <c r="B5879" t="s">
        <v>3214</v>
      </c>
      <c r="C5879" s="1">
        <v>46035</v>
      </c>
      <c r="D5879" s="242" t="s">
        <v>31</v>
      </c>
      <c r="E5879" s="71" t="s">
        <v>154</v>
      </c>
      <c r="F5879" s="71" t="s">
        <v>107</v>
      </c>
      <c r="J5879" s="71" t="s">
        <v>2923</v>
      </c>
      <c r="L5879" s="433">
        <v>665</v>
      </c>
      <c r="M5879" s="136">
        <f>M5878+K5879-L5879</f>
        <v>4053.3671033341216</v>
      </c>
    </row>
    <row r="5880" spans="1:13">
      <c r="A5880" s="54" t="str">
        <f>D5880&amp;E5880&amp;F5880</f>
        <v>CAPNOMINA SUCURSALE2</v>
      </c>
      <c r="B5880" t="s">
        <v>3214</v>
      </c>
      <c r="C5880" s="1">
        <v>46035</v>
      </c>
      <c r="D5880" s="242" t="s">
        <v>31</v>
      </c>
      <c r="E5880" s="71" t="s">
        <v>154</v>
      </c>
      <c r="F5880" s="71" t="s">
        <v>108</v>
      </c>
      <c r="J5880" s="71" t="s">
        <v>3136</v>
      </c>
      <c r="L5880" s="433">
        <v>435</v>
      </c>
      <c r="M5880" s="136">
        <f>M5879+K5880-L5880</f>
        <v>3618.3671033341216</v>
      </c>
    </row>
    <row r="5881" spans="1:13">
      <c r="A5881" s="54" t="str">
        <f>D5881&amp;E5881&amp;F5881</f>
        <v>CAPNOMINA SUCURSALE2</v>
      </c>
      <c r="B5881" t="s">
        <v>3214</v>
      </c>
      <c r="C5881" s="1">
        <v>46035</v>
      </c>
      <c r="D5881" s="242" t="s">
        <v>31</v>
      </c>
      <c r="E5881" s="71" t="s">
        <v>154</v>
      </c>
      <c r="F5881" s="71" t="s">
        <v>108</v>
      </c>
      <c r="J5881" s="71" t="s">
        <v>3136</v>
      </c>
      <c r="L5881" s="433">
        <v>204</v>
      </c>
      <c r="M5881" s="136">
        <f>M5880+K5881-L5881</f>
        <v>3414.3671033341216</v>
      </c>
    </row>
    <row r="5882" spans="1:13">
      <c r="A5882" s="137" t="str">
        <f>D5882&amp;E5882&amp;F5882</f>
        <v/>
      </c>
      <c r="B5882" t="s">
        <v>3214</v>
      </c>
      <c r="C5882" s="1">
        <v>46035</v>
      </c>
      <c r="J5882" s="71" t="s">
        <v>2562</v>
      </c>
      <c r="L5882" s="433">
        <v>150</v>
      </c>
      <c r="M5882" s="136">
        <f>M5881+K5882-L5882</f>
        <v>3264.3671033341216</v>
      </c>
    </row>
    <row r="5883" spans="1:13">
      <c r="A5883" s="137" t="str">
        <f>D5883&amp;E5883&amp;F5883</f>
        <v/>
      </c>
      <c r="B5883" t="s">
        <v>3214</v>
      </c>
      <c r="C5883" s="1">
        <v>46035</v>
      </c>
      <c r="J5883" s="71" t="s">
        <v>3309</v>
      </c>
      <c r="L5883" s="433">
        <v>2000</v>
      </c>
      <c r="M5883" s="136">
        <f t="shared" ref="M5883:M5890" si="198">M5882+K5883-L5883</f>
        <v>1264.3671033341216</v>
      </c>
    </row>
    <row r="5884" spans="1:13">
      <c r="A5884" s="137" t="str">
        <f>D5884&amp;E5884&amp;F5884</f>
        <v/>
      </c>
      <c r="B5884" t="s">
        <v>3214</v>
      </c>
      <c r="C5884" s="1">
        <v>46036</v>
      </c>
      <c r="J5884" s="71" t="s">
        <v>2045</v>
      </c>
      <c r="K5884" s="325">
        <v>162228.57</v>
      </c>
      <c r="L5884" s="432"/>
      <c r="M5884" s="136">
        <f t="shared" si="198"/>
        <v>163492.93710333412</v>
      </c>
    </row>
    <row r="5885" spans="1:13" ht="16.5" customHeight="1">
      <c r="A5885" s="54" t="str">
        <f>D5885&amp;E5885&amp;F5885</f>
        <v>FINANZASCOMISIONES BANCARIASTPV</v>
      </c>
      <c r="B5885" t="s">
        <v>3214</v>
      </c>
      <c r="C5885" s="1">
        <v>46036</v>
      </c>
      <c r="D5885" s="242" t="s">
        <v>23</v>
      </c>
      <c r="E5885" s="71" t="s">
        <v>48</v>
      </c>
      <c r="F5885" s="71" t="s">
        <v>50</v>
      </c>
      <c r="J5885" s="71" t="s">
        <v>217</v>
      </c>
      <c r="L5885" s="438">
        <f>220.64+50.37+30.13+24.36+223.58+327.02+1401.1+883.05</f>
        <v>3160.25</v>
      </c>
      <c r="M5885" s="136">
        <f t="shared" si="198"/>
        <v>160332.68710333412</v>
      </c>
    </row>
    <row r="5886" spans="1:13">
      <c r="A5886" s="137" t="str">
        <f>D5886&amp;E5886&amp;F5886</f>
        <v/>
      </c>
      <c r="B5886" t="s">
        <v>3214</v>
      </c>
      <c r="C5886" s="1">
        <v>46036</v>
      </c>
      <c r="J5886" s="205" t="s">
        <v>1562</v>
      </c>
      <c r="K5886" s="205"/>
      <c r="L5886" s="428">
        <v>150000</v>
      </c>
      <c r="M5886" s="136">
        <f t="shared" si="198"/>
        <v>10332.687103334116</v>
      </c>
    </row>
    <row r="5887" spans="1:13">
      <c r="A5887" s="137" t="str">
        <f>D5887&amp;E5887&amp;F5887</f>
        <v/>
      </c>
      <c r="B5887" t="s">
        <v>3214</v>
      </c>
      <c r="C5887" s="1">
        <v>46036</v>
      </c>
      <c r="J5887" s="205" t="s">
        <v>222</v>
      </c>
      <c r="K5887" s="205"/>
      <c r="L5887" s="428"/>
      <c r="M5887" s="136">
        <f t="shared" si="198"/>
        <v>10332.687103334116</v>
      </c>
    </row>
    <row r="5888" spans="1:13">
      <c r="A5888" s="137" t="str">
        <f>D5888&amp;E5888&amp;F5888</f>
        <v>FINANZASCUOTAS Y SUSCRIPCIONES</v>
      </c>
      <c r="B5888" t="s">
        <v>3214</v>
      </c>
      <c r="C5888" s="1">
        <v>46036</v>
      </c>
      <c r="D5888" s="242" t="s">
        <v>23</v>
      </c>
      <c r="E5888" s="71" t="s">
        <v>51</v>
      </c>
      <c r="J5888" s="71" t="s">
        <v>3310</v>
      </c>
      <c r="L5888" s="433">
        <f>2192.5+2192.5+812</f>
        <v>5197</v>
      </c>
      <c r="M5888" s="136">
        <f t="shared" si="198"/>
        <v>5135.6871033341158</v>
      </c>
    </row>
    <row r="5889" spans="1:13">
      <c r="A5889" s="54" t="str">
        <f>D5889&amp;E5889&amp;F5889</f>
        <v>CAPSGMCAPRICHOS</v>
      </c>
      <c r="B5889" t="s">
        <v>3214</v>
      </c>
      <c r="C5889" s="1">
        <v>46036</v>
      </c>
      <c r="D5889" s="242" t="s">
        <v>31</v>
      </c>
      <c r="E5889" s="71" t="s">
        <v>176</v>
      </c>
      <c r="F5889" s="71" t="s">
        <v>33</v>
      </c>
      <c r="J5889" s="71" t="s">
        <v>2387</v>
      </c>
      <c r="L5889" s="433">
        <v>24411.57</v>
      </c>
      <c r="M5889" s="136">
        <f t="shared" si="198"/>
        <v>-19275.882896665884</v>
      </c>
    </row>
    <row r="5890" spans="1:13">
      <c r="A5890" s="54" t="str">
        <f>D5890&amp;E5890&amp;F5890</f>
        <v>SERVICIOSFONDO Y REPOSICIONMANTENIMIENTO</v>
      </c>
      <c r="B5890" t="s">
        <v>3214</v>
      </c>
      <c r="C5890" s="1">
        <v>46036</v>
      </c>
      <c r="D5890" s="242" t="s">
        <v>21</v>
      </c>
      <c r="E5890" s="71" t="s">
        <v>120</v>
      </c>
      <c r="F5890" s="71" t="s">
        <v>35</v>
      </c>
      <c r="J5890" s="71" t="s">
        <v>3311</v>
      </c>
      <c r="L5890" s="433">
        <v>300</v>
      </c>
      <c r="M5890" s="136">
        <f t="shared" si="198"/>
        <v>-19575.882896665884</v>
      </c>
    </row>
    <row r="5891" spans="1:13">
      <c r="A5891" s="54" t="str">
        <f>D5891&amp;E5891&amp;F5891</f>
        <v>SERVICIOSVIATICOSCEDIS</v>
      </c>
      <c r="B5891" t="s">
        <v>3214</v>
      </c>
      <c r="C5891" s="1">
        <v>46036</v>
      </c>
      <c r="D5891" s="242" t="s">
        <v>21</v>
      </c>
      <c r="E5891" s="71" t="s">
        <v>191</v>
      </c>
      <c r="F5891" s="71" t="s">
        <v>28</v>
      </c>
      <c r="J5891" s="71" t="s">
        <v>3312</v>
      </c>
      <c r="L5891" s="433">
        <v>1100</v>
      </c>
      <c r="M5891" s="136">
        <f>M5890+K5891-L5891</f>
        <v>-20675.882896665884</v>
      </c>
    </row>
    <row r="5892" spans="1:13">
      <c r="A5892" s="54" t="str">
        <f>D5892&amp;E5892&amp;F5892</f>
        <v>MKTINSUMOSINSUMOS</v>
      </c>
      <c r="B5892" t="s">
        <v>3214</v>
      </c>
      <c r="C5892" s="1">
        <v>46036</v>
      </c>
      <c r="D5892" s="242" t="s">
        <v>19</v>
      </c>
      <c r="E5892" s="71" t="s">
        <v>133</v>
      </c>
      <c r="F5892" s="242" t="s">
        <v>133</v>
      </c>
      <c r="J5892" s="71" t="s">
        <v>3313</v>
      </c>
      <c r="L5892" s="433">
        <v>2889.99</v>
      </c>
      <c r="M5892" s="136">
        <f>M5891+K5892-L5892</f>
        <v>-23565.872896665882</v>
      </c>
    </row>
    <row r="5893" spans="1:13">
      <c r="A5893" s="54" t="str">
        <f>D5893&amp;E5893&amp;F5893</f>
        <v>MKTMKTINFLUENCERS</v>
      </c>
      <c r="B5893" t="s">
        <v>3214</v>
      </c>
      <c r="C5893" s="1">
        <v>46036</v>
      </c>
      <c r="D5893" s="242" t="s">
        <v>19</v>
      </c>
      <c r="E5893" s="71" t="s">
        <v>19</v>
      </c>
      <c r="F5893" s="71" t="s">
        <v>141</v>
      </c>
      <c r="J5893" s="71" t="s">
        <v>2024</v>
      </c>
      <c r="L5893" s="433">
        <v>500</v>
      </c>
      <c r="M5893" s="136">
        <f>M5892+K5893-L5893</f>
        <v>-24065.872896665882</v>
      </c>
    </row>
    <row r="5894" spans="1:13">
      <c r="A5894" s="54" t="str">
        <f>D5894&amp;E5894&amp;F5894</f>
        <v>HRVIATICOSHR</v>
      </c>
      <c r="B5894" t="s">
        <v>3214</v>
      </c>
      <c r="C5894" s="1">
        <v>46036</v>
      </c>
      <c r="D5894" s="242" t="s">
        <v>29</v>
      </c>
      <c r="E5894" s="71" t="s">
        <v>191</v>
      </c>
      <c r="F5894" s="71" t="s">
        <v>29</v>
      </c>
      <c r="J5894" s="71" t="s">
        <v>3314</v>
      </c>
      <c r="L5894" s="433">
        <v>2600</v>
      </c>
      <c r="M5894" s="136">
        <f>M5893+K5894-L5894</f>
        <v>-26665.872896665882</v>
      </c>
    </row>
    <row r="5895" spans="1:13">
      <c r="A5895" s="54" t="str">
        <f>D5895&amp;E5895&amp;F5895</f>
        <v>SERVICIOSMTTO DE EDIFICIOMANTENIMIENTO</v>
      </c>
      <c r="B5895" t="s">
        <v>3214</v>
      </c>
      <c r="C5895" s="1">
        <v>46036</v>
      </c>
      <c r="D5895" s="242" t="s">
        <v>21</v>
      </c>
      <c r="E5895" s="71" t="s">
        <v>142</v>
      </c>
      <c r="F5895" s="71" t="s">
        <v>35</v>
      </c>
      <c r="J5895" s="71" t="s">
        <v>1597</v>
      </c>
      <c r="L5895" s="433">
        <v>5000</v>
      </c>
      <c r="M5895" s="136">
        <f>M5894+K5895-L5895</f>
        <v>-31665.872896665882</v>
      </c>
    </row>
    <row r="5896" spans="1:13">
      <c r="A5896" s="54" t="str">
        <f t="shared" ref="A5896:A5897" si="199">D5896&amp;E5896&amp;F5896</f>
        <v>CAPUBERCAP</v>
      </c>
      <c r="B5896" t="s">
        <v>3214</v>
      </c>
      <c r="C5896" s="1">
        <v>46036</v>
      </c>
      <c r="D5896" s="242" t="s">
        <v>31</v>
      </c>
      <c r="E5896" s="71" t="s">
        <v>189</v>
      </c>
      <c r="F5896" s="71" t="s">
        <v>31</v>
      </c>
      <c r="J5896" s="71" t="s">
        <v>2267</v>
      </c>
      <c r="L5896" s="433">
        <v>77</v>
      </c>
      <c r="M5896" s="136">
        <f t="shared" ref="M5896:M5916" si="200">M5895+K5896-L5896</f>
        <v>-31742.872896665882</v>
      </c>
    </row>
    <row r="5897" spans="1:13">
      <c r="A5897" s="54" t="str">
        <f t="shared" si="199"/>
        <v>CAPUBERCAP</v>
      </c>
      <c r="B5897" t="s">
        <v>3214</v>
      </c>
      <c r="C5897" s="1">
        <v>46036</v>
      </c>
      <c r="D5897" s="242" t="s">
        <v>31</v>
      </c>
      <c r="E5897" s="71" t="s">
        <v>189</v>
      </c>
      <c r="F5897" s="71" t="s">
        <v>31</v>
      </c>
      <c r="J5897" s="71" t="s">
        <v>2268</v>
      </c>
      <c r="L5897" s="433">
        <v>130</v>
      </c>
      <c r="M5897" s="136">
        <f t="shared" si="200"/>
        <v>-31872.872896665882</v>
      </c>
    </row>
    <row r="5898" spans="1:13">
      <c r="A5898" s="54" t="str">
        <f>D5898&amp;E5898&amp;F5898</f>
        <v>CAPINSUMOSCAPRICHOS</v>
      </c>
      <c r="B5898" t="s">
        <v>3214</v>
      </c>
      <c r="C5898" s="1">
        <v>46036</v>
      </c>
      <c r="D5898" s="242" t="s">
        <v>31</v>
      </c>
      <c r="E5898" s="71" t="s">
        <v>133</v>
      </c>
      <c r="F5898" s="71" t="s">
        <v>33</v>
      </c>
      <c r="J5898" s="71" t="s">
        <v>3315</v>
      </c>
      <c r="L5898" s="433">
        <v>167</v>
      </c>
      <c r="M5898" s="136">
        <f t="shared" si="200"/>
        <v>-32039.872896665882</v>
      </c>
    </row>
    <row r="5899" spans="1:13">
      <c r="A5899" s="54" t="str">
        <f>D5899&amp;E5899&amp;F5899</f>
        <v>CAPJMASE5</v>
      </c>
      <c r="B5899" t="s">
        <v>3214</v>
      </c>
      <c r="C5899" s="1">
        <v>46036</v>
      </c>
      <c r="D5899" s="242" t="s">
        <v>31</v>
      </c>
      <c r="E5899" s="71" t="s">
        <v>137</v>
      </c>
      <c r="F5899" s="71" t="s">
        <v>111</v>
      </c>
      <c r="J5899" s="71" t="s">
        <v>2403</v>
      </c>
      <c r="L5899" s="433">
        <v>1178</v>
      </c>
      <c r="M5899" s="136">
        <f t="shared" si="200"/>
        <v>-33217.872896665882</v>
      </c>
    </row>
    <row r="5900" spans="1:13">
      <c r="A5900" s="54" t="str">
        <f>D5900&amp;E5900&amp;F5900</f>
        <v>CAPINSUMOSCAPRICHOS</v>
      </c>
      <c r="B5900" t="s">
        <v>3214</v>
      </c>
      <c r="C5900" s="1">
        <v>46036</v>
      </c>
      <c r="D5900" s="242" t="s">
        <v>31</v>
      </c>
      <c r="E5900" s="71" t="s">
        <v>133</v>
      </c>
      <c r="F5900" s="71" t="s">
        <v>33</v>
      </c>
      <c r="J5900" s="71" t="s">
        <v>3316</v>
      </c>
      <c r="L5900" s="432"/>
      <c r="M5900" s="136">
        <f t="shared" si="200"/>
        <v>-33217.872896665882</v>
      </c>
    </row>
    <row r="5901" spans="1:13">
      <c r="A5901" s="137" t="str">
        <f>D5901&amp;E5901&amp;F5901</f>
        <v/>
      </c>
      <c r="B5901" t="s">
        <v>3214</v>
      </c>
      <c r="C5901" s="1">
        <v>46037</v>
      </c>
      <c r="J5901" s="71" t="s">
        <v>2045</v>
      </c>
      <c r="K5901" s="325">
        <v>174289.41</v>
      </c>
      <c r="L5901" s="432"/>
      <c r="M5901" s="136">
        <f t="shared" si="200"/>
        <v>141071.53710333412</v>
      </c>
    </row>
    <row r="5902" spans="1:13">
      <c r="A5902" s="54" t="str">
        <f>D5902&amp;E5902&amp;F5902</f>
        <v>FINANZASCOMISIONES BANCARIASTPV</v>
      </c>
      <c r="B5902" t="s">
        <v>3214</v>
      </c>
      <c r="C5902" s="1">
        <v>46037</v>
      </c>
      <c r="D5902" s="242" t="s">
        <v>23</v>
      </c>
      <c r="E5902" s="71" t="s">
        <v>48</v>
      </c>
      <c r="F5902" s="71" t="s">
        <v>50</v>
      </c>
      <c r="J5902" s="71" t="s">
        <v>217</v>
      </c>
      <c r="L5902" s="433">
        <f>183.83+18.28+51.21+10.44+163.05+149.92+2001.28+1089.83</f>
        <v>3667.84</v>
      </c>
      <c r="M5902" s="136">
        <f t="shared" si="200"/>
        <v>137403.69710333413</v>
      </c>
    </row>
    <row r="5903" spans="1:13">
      <c r="A5903" s="137" t="str">
        <f>D5903&amp;E5903&amp;F5903</f>
        <v/>
      </c>
      <c r="B5903" t="s">
        <v>3214</v>
      </c>
      <c r="C5903" s="1">
        <v>46037</v>
      </c>
      <c r="J5903" s="205" t="s">
        <v>1562</v>
      </c>
      <c r="K5903" s="205"/>
      <c r="L5903" s="428">
        <v>100000</v>
      </c>
      <c r="M5903" s="136">
        <f t="shared" si="200"/>
        <v>37403.697103334125</v>
      </c>
    </row>
    <row r="5904" spans="1:13">
      <c r="A5904" s="137" t="str">
        <f>D5904&amp;E5904&amp;F5904</f>
        <v/>
      </c>
      <c r="B5904" t="s">
        <v>3214</v>
      </c>
      <c r="C5904" s="1">
        <v>46037</v>
      </c>
      <c r="J5904" s="205" t="s">
        <v>222</v>
      </c>
      <c r="K5904" s="205"/>
      <c r="L5904" s="428"/>
      <c r="M5904" s="136">
        <f t="shared" si="200"/>
        <v>37403.697103334125</v>
      </c>
    </row>
    <row r="5905" spans="1:13">
      <c r="A5905" s="137" t="str">
        <f>D5905&amp;E5905&amp;F5905</f>
        <v/>
      </c>
      <c r="B5905" t="s">
        <v>3214</v>
      </c>
      <c r="C5905" s="1">
        <v>46037</v>
      </c>
      <c r="J5905" s="71" t="s">
        <v>3317</v>
      </c>
      <c r="L5905" s="433">
        <v>6118.32</v>
      </c>
      <c r="M5905" s="136">
        <f t="shared" si="200"/>
        <v>31285.377103334125</v>
      </c>
    </row>
    <row r="5906" spans="1:13">
      <c r="A5906" s="137" t="str">
        <f>D5906&amp;E5906&amp;F5906</f>
        <v/>
      </c>
      <c r="B5906" t="s">
        <v>3214</v>
      </c>
      <c r="C5906" s="1">
        <v>46037</v>
      </c>
      <c r="J5906" s="71" t="s">
        <v>3318</v>
      </c>
      <c r="L5906" s="433">
        <v>30469.8</v>
      </c>
      <c r="M5906" s="136">
        <f t="shared" si="200"/>
        <v>815.57710333412615</v>
      </c>
    </row>
    <row r="5907" spans="1:13">
      <c r="A5907" s="137" t="str">
        <f>D5907&amp;E5907&amp;F5907</f>
        <v/>
      </c>
      <c r="B5907" t="s">
        <v>3214</v>
      </c>
      <c r="C5907" s="1">
        <v>46037</v>
      </c>
      <c r="J5907" s="71" t="s">
        <v>3319</v>
      </c>
      <c r="L5907" s="433">
        <v>500</v>
      </c>
      <c r="M5907" s="136">
        <f t="shared" si="200"/>
        <v>315.57710333412615</v>
      </c>
    </row>
    <row r="5908" spans="1:13">
      <c r="A5908" s="54" t="str">
        <f>D5908&amp;E5908&amp;F5908</f>
        <v>FINANZASVIATICOSFINANZAS</v>
      </c>
      <c r="B5908" t="s">
        <v>3214</v>
      </c>
      <c r="C5908" s="1">
        <v>46037</v>
      </c>
      <c r="D5908" s="242" t="s">
        <v>23</v>
      </c>
      <c r="E5908" s="71" t="s">
        <v>191</v>
      </c>
      <c r="F5908" s="71" t="s">
        <v>23</v>
      </c>
      <c r="J5908" s="71" t="s">
        <v>1797</v>
      </c>
      <c r="L5908" s="433">
        <v>800</v>
      </c>
      <c r="M5908" s="136">
        <f t="shared" si="200"/>
        <v>-484.42289666587385</v>
      </c>
    </row>
    <row r="5909" spans="1:13">
      <c r="A5909" s="54" t="str">
        <f>D5909&amp;E5909&amp;F5909</f>
        <v>SGEVIATICOSGESTION EMPRESARIAL</v>
      </c>
      <c r="B5909" t="s">
        <v>3214</v>
      </c>
      <c r="C5909" s="1">
        <v>46037</v>
      </c>
      <c r="D5909" s="242" t="s">
        <v>39</v>
      </c>
      <c r="E5909" s="71" t="s">
        <v>191</v>
      </c>
      <c r="F5909" s="71" t="s">
        <v>40</v>
      </c>
      <c r="J5909" s="71" t="s">
        <v>3320</v>
      </c>
      <c r="L5909" s="433">
        <v>1200</v>
      </c>
      <c r="M5909" s="136">
        <f t="shared" si="200"/>
        <v>-1684.4228966658738</v>
      </c>
    </row>
    <row r="5910" spans="1:13">
      <c r="A5910" s="54" t="str">
        <f>D5910&amp;E5910&amp;F5910</f>
        <v>MKTACTIVACIONMKT</v>
      </c>
      <c r="B5910" t="s">
        <v>3214</v>
      </c>
      <c r="C5910" s="1">
        <v>46037</v>
      </c>
      <c r="D5910" s="242" t="s">
        <v>19</v>
      </c>
      <c r="E5910" s="71" t="s">
        <v>2236</v>
      </c>
      <c r="F5910" s="71" t="s">
        <v>19</v>
      </c>
      <c r="J5910" s="71" t="s">
        <v>3321</v>
      </c>
      <c r="L5910" s="433">
        <v>600</v>
      </c>
      <c r="M5910" s="136">
        <f t="shared" si="200"/>
        <v>-2284.4228966658738</v>
      </c>
    </row>
    <row r="5911" spans="1:13">
      <c r="A5911" s="54" t="str">
        <f>D5911&amp;E5911&amp;F5911</f>
        <v>SERVICIOSMTTO EQ DE COMPUTOMTTO EQ DE COMPUTO</v>
      </c>
      <c r="B5911" t="s">
        <v>3214</v>
      </c>
      <c r="C5911" s="1">
        <v>46037</v>
      </c>
      <c r="D5911" s="242" t="s">
        <v>21</v>
      </c>
      <c r="E5911" s="71" t="s">
        <v>143</v>
      </c>
      <c r="F5911" s="71" t="s">
        <v>143</v>
      </c>
      <c r="J5911" s="71" t="s">
        <v>3322</v>
      </c>
      <c r="L5911" s="433">
        <v>812</v>
      </c>
      <c r="M5911" s="136">
        <f t="shared" si="200"/>
        <v>-3096.4228966658738</v>
      </c>
    </row>
    <row r="5912" spans="1:13">
      <c r="A5912" s="54" t="str">
        <f>D5912&amp;E5912&amp;F5912</f>
        <v>FINANZASTELEPEAJEFINANZAS</v>
      </c>
      <c r="B5912" t="s">
        <v>3214</v>
      </c>
      <c r="C5912" s="1">
        <v>46037</v>
      </c>
      <c r="D5912" s="242" t="s">
        <v>23</v>
      </c>
      <c r="E5912" s="71" t="s">
        <v>186</v>
      </c>
      <c r="F5912" s="71" t="s">
        <v>23</v>
      </c>
      <c r="J5912" s="71" t="s">
        <v>3323</v>
      </c>
      <c r="L5912" s="433">
        <v>329</v>
      </c>
      <c r="M5912" s="136">
        <f t="shared" si="200"/>
        <v>-3425.4228966658738</v>
      </c>
    </row>
    <row r="5913" spans="1:13">
      <c r="A5913" s="54" t="str">
        <f>D5913&amp;E5913&amp;F5913</f>
        <v>SERVICIOSTELEPEAJECEDIS</v>
      </c>
      <c r="B5913" t="s">
        <v>3214</v>
      </c>
      <c r="C5913" s="1">
        <v>46037</v>
      </c>
      <c r="D5913" s="242" t="s">
        <v>21</v>
      </c>
      <c r="E5913" s="71" t="s">
        <v>186</v>
      </c>
      <c r="F5913" s="71" t="s">
        <v>28</v>
      </c>
      <c r="J5913" s="71" t="s">
        <v>350</v>
      </c>
      <c r="L5913" s="433">
        <v>5150</v>
      </c>
      <c r="M5913" s="136">
        <f t="shared" si="200"/>
        <v>-8575.4228966658738</v>
      </c>
    </row>
    <row r="5914" spans="1:13">
      <c r="A5914" s="54" t="str">
        <f>D5914&amp;E5914&amp;F5914</f>
        <v>HRTELEPEAJEOP HR</v>
      </c>
      <c r="B5914" t="s">
        <v>3214</v>
      </c>
      <c r="C5914" s="1">
        <v>46037</v>
      </c>
      <c r="D5914" s="242" t="s">
        <v>29</v>
      </c>
      <c r="E5914" s="71" t="s">
        <v>186</v>
      </c>
      <c r="F5914" s="71" t="s">
        <v>187</v>
      </c>
      <c r="J5914" s="71" t="s">
        <v>2949</v>
      </c>
      <c r="L5914" s="433">
        <v>294</v>
      </c>
      <c r="M5914" s="136">
        <f t="shared" si="200"/>
        <v>-8869.4228966658738</v>
      </c>
    </row>
    <row r="5915" spans="1:13">
      <c r="A5915" s="54" t="str">
        <f>D5915&amp;E5915&amp;F5915</f>
        <v>CAPTELEPEAJEOP CAPRICHOS</v>
      </c>
      <c r="B5915" t="s">
        <v>3214</v>
      </c>
      <c r="C5915" s="1">
        <v>46037</v>
      </c>
      <c r="D5915" s="242" t="s">
        <v>31</v>
      </c>
      <c r="E5915" s="71" t="s">
        <v>186</v>
      </c>
      <c r="F5915" s="71" t="s">
        <v>188</v>
      </c>
      <c r="J5915" s="71" t="s">
        <v>242</v>
      </c>
      <c r="L5915" s="433">
        <v>329</v>
      </c>
      <c r="M5915" s="136">
        <f t="shared" si="200"/>
        <v>-9198.4228966658738</v>
      </c>
    </row>
    <row r="5916" spans="1:13">
      <c r="A5916" s="54" t="str">
        <f>D5916&amp;E5916&amp;F5916</f>
        <v>SERVICIOSTELEPEAJECEDIS</v>
      </c>
      <c r="B5916" t="s">
        <v>3214</v>
      </c>
      <c r="C5916" s="1">
        <v>46037</v>
      </c>
      <c r="D5916" s="242" t="s">
        <v>21</v>
      </c>
      <c r="E5916" s="71" t="s">
        <v>186</v>
      </c>
      <c r="F5916" s="71" t="s">
        <v>28</v>
      </c>
      <c r="J5916" s="71" t="s">
        <v>350</v>
      </c>
      <c r="L5916" s="433">
        <v>658</v>
      </c>
      <c r="M5916" s="136">
        <f>M5915+K5916-L5916</f>
        <v>-9856.4228966658738</v>
      </c>
    </row>
    <row r="5917" spans="1:13">
      <c r="A5917" s="54" t="str">
        <f>D5917&amp;E5917&amp;F5917</f>
        <v>CAPUBERCAP</v>
      </c>
      <c r="B5917" t="s">
        <v>3214</v>
      </c>
      <c r="C5917" s="1">
        <v>46037</v>
      </c>
      <c r="D5917" s="242" t="s">
        <v>31</v>
      </c>
      <c r="E5917" s="71" t="s">
        <v>189</v>
      </c>
      <c r="F5917" s="71" t="s">
        <v>31</v>
      </c>
      <c r="J5917" s="71" t="s">
        <v>2268</v>
      </c>
      <c r="L5917" s="433">
        <v>55</v>
      </c>
      <c r="M5917" s="136">
        <f>M5916+K5917-L5917</f>
        <v>-9911.4228966658738</v>
      </c>
    </row>
    <row r="5918" spans="1:13">
      <c r="A5918" s="54" t="str">
        <f>D5918&amp;E5918&amp;F5918</f>
        <v>FINANZASRECOLECCION DE BASURACAPRICHOS</v>
      </c>
      <c r="B5918" t="s">
        <v>3214</v>
      </c>
      <c r="C5918" s="1">
        <v>46037</v>
      </c>
      <c r="D5918" s="242" t="s">
        <v>23</v>
      </c>
      <c r="E5918" s="71" t="s">
        <v>166</v>
      </c>
      <c r="F5918" s="71" t="s">
        <v>33</v>
      </c>
      <c r="J5918" s="71" t="s">
        <v>3324</v>
      </c>
      <c r="L5918" s="433">
        <v>943</v>
      </c>
      <c r="M5918" s="136">
        <f>M5917+K5918-L5918</f>
        <v>-10854.422896665874</v>
      </c>
    </row>
    <row r="5919" spans="1:13">
      <c r="A5919" s="54" t="str">
        <f>D5919&amp;E5919&amp;F5919</f>
        <v>FINANZASCUOTAS Y SUSCRIPCIONESCANACO</v>
      </c>
      <c r="B5919" t="s">
        <v>3214</v>
      </c>
      <c r="C5919" s="1">
        <v>46037</v>
      </c>
      <c r="D5919" s="242" t="s">
        <v>23</v>
      </c>
      <c r="E5919" s="71" t="s">
        <v>51</v>
      </c>
      <c r="F5919" s="71" t="s">
        <v>67</v>
      </c>
      <c r="G5919" s="71" t="s">
        <v>258</v>
      </c>
      <c r="J5919" s="71" t="s">
        <v>3325</v>
      </c>
      <c r="L5919" s="433">
        <v>640</v>
      </c>
      <c r="M5919" s="136">
        <f>M5918+K5919-L5919</f>
        <v>-11494.422896665874</v>
      </c>
    </row>
    <row r="5920" spans="1:13">
      <c r="A5920" s="54" t="str">
        <f>D5920&amp;E5920&amp;F5920</f>
        <v>CAPUBERCAP</v>
      </c>
      <c r="B5920" t="s">
        <v>3214</v>
      </c>
      <c r="C5920" s="1">
        <v>46037</v>
      </c>
      <c r="D5920" s="242" t="s">
        <v>31</v>
      </c>
      <c r="E5920" s="71" t="s">
        <v>189</v>
      </c>
      <c r="F5920" s="71" t="s">
        <v>31</v>
      </c>
      <c r="J5920" s="71" t="s">
        <v>3118</v>
      </c>
      <c r="L5920" s="433">
        <v>400</v>
      </c>
      <c r="M5920" s="136">
        <f>M5919+K5920-L5920</f>
        <v>-11894.422896665874</v>
      </c>
    </row>
    <row r="5921" spans="1:13">
      <c r="A5921" s="137" t="str">
        <f>D5921&amp;E5921&amp;F5921</f>
        <v/>
      </c>
      <c r="B5921" t="s">
        <v>3214</v>
      </c>
      <c r="C5921" s="1">
        <v>46037</v>
      </c>
      <c r="J5921" s="71" t="s">
        <v>3326</v>
      </c>
      <c r="L5921" s="433">
        <v>50</v>
      </c>
      <c r="M5921" s="136">
        <f>M5920+K5921-L5921</f>
        <v>-11944.422896665874</v>
      </c>
    </row>
    <row r="5922" spans="1:13">
      <c r="A5922" s="54" t="str">
        <f>D5922&amp;E5922&amp;F5922</f>
        <v>HRUBERHR</v>
      </c>
      <c r="B5922" t="s">
        <v>3214</v>
      </c>
      <c r="C5922" s="1">
        <v>46037</v>
      </c>
      <c r="D5922" s="242" t="s">
        <v>29</v>
      </c>
      <c r="E5922" s="71" t="s">
        <v>189</v>
      </c>
      <c r="F5922" s="71" t="s">
        <v>29</v>
      </c>
      <c r="J5922" s="71" t="s">
        <v>2366</v>
      </c>
      <c r="L5922" s="433">
        <v>122</v>
      </c>
      <c r="M5922" s="136">
        <f>M5921+K5922-L5922</f>
        <v>-12066.422896665874</v>
      </c>
    </row>
    <row r="5923" spans="1:13">
      <c r="A5923" s="137" t="str">
        <f>D5923&amp;E5923&amp;F5923</f>
        <v/>
      </c>
      <c r="B5923" t="s">
        <v>3214</v>
      </c>
      <c r="C5923" s="1">
        <v>46038</v>
      </c>
      <c r="J5923" s="71" t="s">
        <v>2045</v>
      </c>
      <c r="K5923" s="325">
        <v>193495.26</v>
      </c>
      <c r="L5923" s="432"/>
      <c r="M5923" s="136">
        <f>M5922+K5923-L5923</f>
        <v>181428.83710333414</v>
      </c>
    </row>
    <row r="5924" spans="1:13">
      <c r="A5924" s="54" t="str">
        <f>D5924&amp;E5924&amp;F5924</f>
        <v>FINANZASCOMISIONES BANCARIASTPV</v>
      </c>
      <c r="B5924" t="s">
        <v>3214</v>
      </c>
      <c r="C5924" s="1">
        <v>46038</v>
      </c>
      <c r="D5924" s="242" t="s">
        <v>23</v>
      </c>
      <c r="E5924" s="71" t="s">
        <v>48</v>
      </c>
      <c r="F5924" s="71" t="s">
        <v>50</v>
      </c>
      <c r="J5924" s="71" t="s">
        <v>517</v>
      </c>
      <c r="L5924" s="433">
        <f>277.35+46.04+18.1+11.6+5.8+5.8+3.48+306.58+1909.16+1317.26</f>
        <v>3901.17</v>
      </c>
      <c r="M5924" s="136">
        <f>M5923+K5924-L5924</f>
        <v>177527.66710333413</v>
      </c>
    </row>
    <row r="5925" spans="1:13">
      <c r="A5925" s="137" t="str">
        <f>D5925&amp;E5925&amp;F5925</f>
        <v/>
      </c>
      <c r="B5925" t="s">
        <v>3214</v>
      </c>
      <c r="C5925" s="1">
        <v>46038</v>
      </c>
      <c r="J5925" s="205" t="s">
        <v>1562</v>
      </c>
      <c r="K5925" s="205"/>
      <c r="L5925" s="428">
        <v>148000</v>
      </c>
      <c r="M5925" s="136">
        <f>M5924+K5925-L5925</f>
        <v>29527.667103334126</v>
      </c>
    </row>
    <row r="5926" spans="1:13">
      <c r="A5926" s="137" t="str">
        <f>D5926&amp;E5926&amp;F5926</f>
        <v/>
      </c>
      <c r="B5926" t="s">
        <v>3214</v>
      </c>
      <c r="C5926" s="1">
        <v>46038</v>
      </c>
      <c r="J5926" s="205" t="s">
        <v>222</v>
      </c>
      <c r="K5926" s="205"/>
      <c r="L5926" s="428"/>
      <c r="M5926" s="136">
        <f>M5925+K5926-L5926</f>
        <v>29527.667103334126</v>
      </c>
    </row>
    <row r="5927" spans="1:13">
      <c r="A5927" s="54" t="str">
        <f>D5927&amp;E5927&amp;F5927</f>
        <v>SERVICIOSMTTO EQ DE TRANSPORTECEDIS</v>
      </c>
      <c r="B5927" t="s">
        <v>3214</v>
      </c>
      <c r="C5927" s="1">
        <v>46038</v>
      </c>
      <c r="D5927" s="242" t="s">
        <v>21</v>
      </c>
      <c r="E5927" s="71" t="s">
        <v>144</v>
      </c>
      <c r="F5927" s="71" t="s">
        <v>28</v>
      </c>
      <c r="J5927" s="71" t="s">
        <v>3327</v>
      </c>
      <c r="L5927" s="433">
        <v>4649.42</v>
      </c>
      <c r="M5927" s="136">
        <f t="shared" ref="M5927:M5995" si="201">M5926+K5927-L5927</f>
        <v>24878.247103334128</v>
      </c>
    </row>
    <row r="5928" spans="1:13" ht="15.75" customHeight="1">
      <c r="A5928" s="54" t="str">
        <f>D5928&amp;E5928&amp;F5928</f>
        <v>SERVICIOSVIATICOSCOMPRAS</v>
      </c>
      <c r="B5928" t="s">
        <v>3214</v>
      </c>
      <c r="C5928" s="1">
        <v>46038</v>
      </c>
      <c r="D5928" s="242" t="s">
        <v>21</v>
      </c>
      <c r="E5928" s="71" t="s">
        <v>191</v>
      </c>
      <c r="F5928" s="71" t="s">
        <v>148</v>
      </c>
      <c r="J5928" s="71" t="s">
        <v>287</v>
      </c>
      <c r="L5928" s="433">
        <v>500</v>
      </c>
      <c r="M5928" s="136">
        <f t="shared" si="201"/>
        <v>24378.247103334128</v>
      </c>
    </row>
    <row r="5929" spans="1:13">
      <c r="A5929" s="54" t="str">
        <f>D5929&amp;E5929&amp;F5929</f>
        <v>HRIMAGEN VISUALIMAGEN VISUAL HR</v>
      </c>
      <c r="B5929" t="s">
        <v>3214</v>
      </c>
      <c r="C5929" s="1">
        <v>46038</v>
      </c>
      <c r="D5929" s="242" t="s">
        <v>29</v>
      </c>
      <c r="E5929" s="71" t="s">
        <v>127</v>
      </c>
      <c r="F5929" s="71" t="s">
        <v>128</v>
      </c>
      <c r="J5929" s="71" t="s">
        <v>1315</v>
      </c>
      <c r="L5929" s="433">
        <v>27567.71</v>
      </c>
      <c r="M5929" s="136">
        <f t="shared" si="201"/>
        <v>-3189.4628966658711</v>
      </c>
    </row>
    <row r="5930" spans="1:13">
      <c r="A5930" s="54" t="str">
        <f>D5930&amp;E5930&amp;F5930</f>
        <v>MKTVIATICOSMKT</v>
      </c>
      <c r="B5930" t="s">
        <v>3214</v>
      </c>
      <c r="C5930" s="1">
        <v>46038</v>
      </c>
      <c r="D5930" s="242" t="s">
        <v>19</v>
      </c>
      <c r="E5930" s="71" t="s">
        <v>191</v>
      </c>
      <c r="F5930" s="71" t="s">
        <v>19</v>
      </c>
      <c r="J5930" s="71" t="s">
        <v>2072</v>
      </c>
      <c r="L5930" s="433">
        <v>800</v>
      </c>
      <c r="M5930" s="136">
        <f t="shared" si="201"/>
        <v>-3989.4628966658711</v>
      </c>
    </row>
    <row r="5931" spans="1:13">
      <c r="A5931" s="54" t="str">
        <f>D5931&amp;E5931&amp;F5931</f>
        <v>HRUBERHR</v>
      </c>
      <c r="B5931" t="s">
        <v>3214</v>
      </c>
      <c r="C5931" s="1">
        <v>46038</v>
      </c>
      <c r="D5931" s="242" t="s">
        <v>29</v>
      </c>
      <c r="E5931" s="71" t="s">
        <v>189</v>
      </c>
      <c r="F5931" s="71" t="s">
        <v>29</v>
      </c>
      <c r="J5931" s="71" t="s">
        <v>2536</v>
      </c>
      <c r="L5931" s="433">
        <v>604</v>
      </c>
      <c r="M5931" s="136">
        <f t="shared" si="201"/>
        <v>-4593.4628966658711</v>
      </c>
    </row>
    <row r="5932" spans="1:13">
      <c r="A5932" s="54" t="str">
        <f>D5932&amp;E5932&amp;F5932</f>
        <v>HRINSUMOSHR</v>
      </c>
      <c r="B5932" t="s">
        <v>3214</v>
      </c>
      <c r="C5932" s="1">
        <v>46038</v>
      </c>
      <c r="D5932" s="242" t="s">
        <v>29</v>
      </c>
      <c r="E5932" s="71" t="s">
        <v>133</v>
      </c>
      <c r="F5932" s="71" t="s">
        <v>29</v>
      </c>
      <c r="J5932" s="71" t="s">
        <v>3328</v>
      </c>
      <c r="L5932" s="433">
        <v>66</v>
      </c>
      <c r="M5932" s="136">
        <f t="shared" si="201"/>
        <v>-4659.4628966658711</v>
      </c>
    </row>
    <row r="5933" spans="1:13">
      <c r="A5933" s="54" t="str">
        <f>D5933&amp;E5933&amp;F5933</f>
        <v>CAPUBERCAP</v>
      </c>
      <c r="B5933" t="s">
        <v>3214</v>
      </c>
      <c r="C5933" s="1">
        <v>46038</v>
      </c>
      <c r="D5933" s="242" t="s">
        <v>31</v>
      </c>
      <c r="E5933" s="71" t="s">
        <v>189</v>
      </c>
      <c r="F5933" s="71" t="s">
        <v>31</v>
      </c>
      <c r="J5933" s="71" t="s">
        <v>2267</v>
      </c>
      <c r="L5933" s="433">
        <v>304</v>
      </c>
      <c r="M5933" s="136">
        <f t="shared" si="201"/>
        <v>-4963.4628966658711</v>
      </c>
    </row>
    <row r="5934" spans="1:13">
      <c r="A5934" s="54" t="str">
        <f>D5934&amp;E5934&amp;F5934</f>
        <v>SERVICIOSMTTO DE EDIFICIOMANTENIMIENTO</v>
      </c>
      <c r="B5934" t="s">
        <v>3214</v>
      </c>
      <c r="C5934" s="1">
        <v>46038</v>
      </c>
      <c r="D5934" s="242" t="s">
        <v>21</v>
      </c>
      <c r="E5934" s="71" t="s">
        <v>142</v>
      </c>
      <c r="F5934" s="71" t="s">
        <v>35</v>
      </c>
      <c r="J5934" s="71" t="s">
        <v>3329</v>
      </c>
      <c r="L5934" s="433">
        <v>1900</v>
      </c>
      <c r="M5934" s="136">
        <f t="shared" si="201"/>
        <v>-6863.4628966658711</v>
      </c>
    </row>
    <row r="5935" spans="1:13">
      <c r="A5935" s="54" t="str">
        <f>D5935&amp;E5935&amp;F5935</f>
        <v>CAPUBERCAP</v>
      </c>
      <c r="B5935" t="s">
        <v>3214</v>
      </c>
      <c r="C5935" s="1">
        <v>46038</v>
      </c>
      <c r="D5935" s="242" t="s">
        <v>31</v>
      </c>
      <c r="E5935" s="71" t="s">
        <v>189</v>
      </c>
      <c r="F5935" s="71" t="s">
        <v>31</v>
      </c>
      <c r="J5935" s="71" t="s">
        <v>2268</v>
      </c>
      <c r="L5935" s="433">
        <v>150</v>
      </c>
      <c r="M5935" s="136">
        <f t="shared" si="201"/>
        <v>-7013.4628966658711</v>
      </c>
    </row>
    <row r="5936" spans="1:13">
      <c r="A5936" s="54" t="str">
        <f>D5936&amp;E5936&amp;F5936</f>
        <v>CAPINSUMOSCAPRICHOS</v>
      </c>
      <c r="B5936" t="s">
        <v>3214</v>
      </c>
      <c r="C5936" s="1">
        <v>46038</v>
      </c>
      <c r="D5936" s="242" t="s">
        <v>31</v>
      </c>
      <c r="E5936" s="71" t="s">
        <v>133</v>
      </c>
      <c r="F5936" s="71" t="s">
        <v>33</v>
      </c>
      <c r="J5936" s="71" t="s">
        <v>2335</v>
      </c>
      <c r="L5936" s="433">
        <v>51</v>
      </c>
      <c r="M5936" s="136">
        <f t="shared" si="201"/>
        <v>-7064.4628966658711</v>
      </c>
    </row>
    <row r="5937" spans="1:13">
      <c r="A5937" s="54" t="str">
        <f>D5937&amp;E5937&amp;F5937</f>
        <v>CAPINSUMOSCAPRICHOS</v>
      </c>
      <c r="B5937" t="s">
        <v>3214</v>
      </c>
      <c r="C5937" s="1">
        <v>46038</v>
      </c>
      <c r="D5937" s="242" t="s">
        <v>31</v>
      </c>
      <c r="E5937" s="71" t="s">
        <v>133</v>
      </c>
      <c r="F5937" s="71" t="s">
        <v>33</v>
      </c>
      <c r="J5937" s="71" t="s">
        <v>2663</v>
      </c>
      <c r="L5937" s="433">
        <v>288</v>
      </c>
      <c r="M5937" s="136">
        <f t="shared" si="201"/>
        <v>-7352.4628966658711</v>
      </c>
    </row>
    <row r="5938" spans="1:13">
      <c r="A5938" s="54" t="str">
        <f>D5938&amp;E5938&amp;F5938</f>
        <v>FINANZASCUOTAS Y SUSCRIPCIONESCANACO</v>
      </c>
      <c r="B5938" t="s">
        <v>3214</v>
      </c>
      <c r="C5938" s="1">
        <v>46038</v>
      </c>
      <c r="D5938" s="242" t="s">
        <v>23</v>
      </c>
      <c r="E5938" s="71" t="s">
        <v>51</v>
      </c>
      <c r="F5938" s="71" t="s">
        <v>67</v>
      </c>
      <c r="G5938" s="71" t="s">
        <v>258</v>
      </c>
      <c r="J5938" s="71" t="s">
        <v>3330</v>
      </c>
      <c r="L5938" s="433">
        <v>640</v>
      </c>
      <c r="M5938" s="136">
        <f t="shared" si="201"/>
        <v>-7992.4628966658711</v>
      </c>
    </row>
    <row r="5939" spans="1:13">
      <c r="A5939" s="54" t="str">
        <f>D5939&amp;E5939&amp;F5939</f>
        <v>FINANZASCUOTAS Y SUSCRIPCIONESCANACO</v>
      </c>
      <c r="B5939" t="s">
        <v>3214</v>
      </c>
      <c r="C5939" s="1">
        <v>46038</v>
      </c>
      <c r="D5939" s="242" t="s">
        <v>23</v>
      </c>
      <c r="E5939" s="71" t="s">
        <v>51</v>
      </c>
      <c r="F5939" s="71" t="s">
        <v>67</v>
      </c>
      <c r="G5939" s="71" t="s">
        <v>258</v>
      </c>
      <c r="J5939" s="71" t="s">
        <v>3331</v>
      </c>
      <c r="L5939" s="433">
        <v>640</v>
      </c>
      <c r="M5939" s="136">
        <f t="shared" si="201"/>
        <v>-8632.4628966658711</v>
      </c>
    </row>
    <row r="5940" spans="1:13">
      <c r="A5940" s="137" t="str">
        <f>D5940&amp;E5940&amp;F5940</f>
        <v/>
      </c>
      <c r="B5940" t="s">
        <v>3214</v>
      </c>
      <c r="C5940" s="1">
        <v>46041</v>
      </c>
      <c r="J5940" s="71" t="s">
        <v>2045</v>
      </c>
      <c r="K5940" s="325">
        <v>817544.77</v>
      </c>
      <c r="L5940" s="432"/>
      <c r="M5940" s="136">
        <f t="shared" si="201"/>
        <v>808912.30710333411</v>
      </c>
    </row>
    <row r="5941" spans="1:13">
      <c r="A5941" s="137"/>
      <c r="B5941" t="s">
        <v>3214</v>
      </c>
      <c r="C5941" s="1">
        <v>46041</v>
      </c>
      <c r="J5941" s="71" t="s">
        <v>3332</v>
      </c>
      <c r="K5941" s="325">
        <v>510.12</v>
      </c>
      <c r="L5941" s="432"/>
      <c r="M5941" s="136">
        <f t="shared" si="201"/>
        <v>809422.42710333411</v>
      </c>
    </row>
    <row r="5942" spans="1:13">
      <c r="A5942" s="137"/>
      <c r="B5942" t="s">
        <v>3214</v>
      </c>
      <c r="C5942" s="1">
        <v>46041</v>
      </c>
      <c r="J5942" s="71" t="s">
        <v>3247</v>
      </c>
      <c r="L5942" s="433">
        <v>1263.75</v>
      </c>
      <c r="M5942" s="136">
        <f t="shared" si="201"/>
        <v>808158.67710333411</v>
      </c>
    </row>
    <row r="5943" spans="1:13">
      <c r="A5943" s="137"/>
      <c r="B5943" t="s">
        <v>3214</v>
      </c>
      <c r="C5943" s="1">
        <v>46041</v>
      </c>
      <c r="J5943" s="71" t="s">
        <v>3333</v>
      </c>
      <c r="K5943" s="325">
        <v>639.26</v>
      </c>
      <c r="L5943" s="432"/>
      <c r="M5943" s="136">
        <f t="shared" si="201"/>
        <v>808797.93710333412</v>
      </c>
    </row>
    <row r="5944" spans="1:13">
      <c r="A5944" s="137"/>
      <c r="B5944" t="s">
        <v>3214</v>
      </c>
      <c r="C5944" s="1">
        <v>46041</v>
      </c>
      <c r="J5944" s="71" t="s">
        <v>3249</v>
      </c>
      <c r="L5944" s="433">
        <v>1422.44</v>
      </c>
      <c r="M5944" s="136">
        <f t="shared" si="201"/>
        <v>807375.49710333417</v>
      </c>
    </row>
    <row r="5945" spans="1:13">
      <c r="A5945" s="54" t="str">
        <f>D5945&amp;E5945&amp;F5945</f>
        <v>FINANZASCOMISIONES BANCARIASTPV</v>
      </c>
      <c r="B5945" t="s">
        <v>3214</v>
      </c>
      <c r="C5945" s="1">
        <v>46041</v>
      </c>
      <c r="D5945" s="242" t="s">
        <v>23</v>
      </c>
      <c r="E5945" s="71" t="s">
        <v>48</v>
      </c>
      <c r="F5945" s="71" t="s">
        <v>50</v>
      </c>
      <c r="J5945" s="71" t="s">
        <v>217</v>
      </c>
      <c r="L5945" s="433">
        <f>1879.5+532.53+82.96+5.8+24.36+5378.78+1277.5+13010.82+16025.49+6037.25</f>
        <v>44254.99</v>
      </c>
      <c r="M5945" s="136">
        <f t="shared" si="201"/>
        <v>763120.50710333418</v>
      </c>
    </row>
    <row r="5946" spans="1:13">
      <c r="A5946" s="137" t="str">
        <f>D5946&amp;E5946&amp;F5946</f>
        <v/>
      </c>
      <c r="B5946" t="s">
        <v>3214</v>
      </c>
      <c r="C5946" s="1">
        <v>46041</v>
      </c>
      <c r="J5946" s="205" t="s">
        <v>1562</v>
      </c>
      <c r="K5946" s="205"/>
      <c r="L5946" s="428">
        <v>400000</v>
      </c>
      <c r="M5946" s="136">
        <f t="shared" si="201"/>
        <v>363120.50710333418</v>
      </c>
    </row>
    <row r="5947" spans="1:13">
      <c r="A5947" s="137" t="str">
        <f>D5947&amp;E5947&amp;F5947</f>
        <v/>
      </c>
      <c r="B5947" t="s">
        <v>3214</v>
      </c>
      <c r="C5947" s="1">
        <v>46041</v>
      </c>
      <c r="J5947" s="205" t="s">
        <v>222</v>
      </c>
      <c r="K5947" s="205"/>
      <c r="L5947" s="428"/>
      <c r="M5947" s="136">
        <f t="shared" si="201"/>
        <v>363120.50710333418</v>
      </c>
    </row>
    <row r="5948" spans="1:13">
      <c r="A5948" s="54" t="str">
        <f>D5948&amp;E5948&amp;F5948</f>
        <v>HRENERGIA ELECTRICAA10</v>
      </c>
      <c r="B5948" t="s">
        <v>3214</v>
      </c>
      <c r="C5948" s="1">
        <v>46041</v>
      </c>
      <c r="D5948" s="242" t="s">
        <v>29</v>
      </c>
      <c r="E5948" s="71" t="s">
        <v>87</v>
      </c>
      <c r="F5948" s="71" t="s">
        <v>96</v>
      </c>
      <c r="J5948" s="71" t="s">
        <v>3334</v>
      </c>
      <c r="L5948" s="433">
        <f>25432+4795</f>
        <v>30227</v>
      </c>
      <c r="M5948" s="136">
        <f t="shared" si="201"/>
        <v>332893.50710333418</v>
      </c>
    </row>
    <row r="5949" spans="1:13">
      <c r="A5949" s="54" t="str">
        <f>D5949&amp;E5949&amp;F5949</f>
        <v>HRENERGIA ELECTRICAA14</v>
      </c>
      <c r="B5949" t="s">
        <v>3214</v>
      </c>
      <c r="C5949" s="1">
        <v>46041</v>
      </c>
      <c r="D5949" s="242" t="s">
        <v>29</v>
      </c>
      <c r="E5949" s="71" t="s">
        <v>87</v>
      </c>
      <c r="F5949" s="71" t="s">
        <v>99</v>
      </c>
      <c r="J5949" s="71" t="s">
        <v>3335</v>
      </c>
      <c r="L5949" s="433">
        <v>6458</v>
      </c>
      <c r="M5949" s="136">
        <f t="shared" si="201"/>
        <v>326435.50710333418</v>
      </c>
    </row>
    <row r="5950" spans="1:13">
      <c r="A5950" s="54" t="str">
        <f>D5950&amp;E5950&amp;F5950</f>
        <v>CAPENERGIA ELECTRICAE1</v>
      </c>
      <c r="B5950" t="s">
        <v>3214</v>
      </c>
      <c r="C5950" s="1">
        <v>46041</v>
      </c>
      <c r="D5950" s="242" t="s">
        <v>31</v>
      </c>
      <c r="E5950" s="71" t="s">
        <v>87</v>
      </c>
      <c r="F5950" s="71" t="s">
        <v>107</v>
      </c>
      <c r="J5950" s="71" t="s">
        <v>3336</v>
      </c>
      <c r="L5950" s="433">
        <v>13187</v>
      </c>
      <c r="M5950" s="136">
        <f t="shared" si="201"/>
        <v>313248.50710333418</v>
      </c>
    </row>
    <row r="5951" spans="1:13">
      <c r="A5951" s="54" t="str">
        <f>D5951&amp;E5951&amp;F5951</f>
        <v>DEGDNCGDNC</v>
      </c>
      <c r="B5951" t="s">
        <v>3214</v>
      </c>
      <c r="C5951" s="1">
        <v>46041</v>
      </c>
      <c r="D5951" s="242" t="s">
        <v>41</v>
      </c>
      <c r="E5951" s="71" t="s">
        <v>123</v>
      </c>
      <c r="F5951" s="71" t="s">
        <v>123</v>
      </c>
      <c r="J5951" s="71" t="s">
        <v>123</v>
      </c>
      <c r="L5951" s="433">
        <v>5000</v>
      </c>
      <c r="M5951" s="136">
        <f t="shared" si="201"/>
        <v>308248.50710333418</v>
      </c>
    </row>
    <row r="5952" spans="1:13">
      <c r="A5952" s="54" t="str">
        <f>D5952&amp;E5952&amp;F5952</f>
        <v>HRFONDO Y REPOSICIONHR</v>
      </c>
      <c r="B5952" t="s">
        <v>3214</v>
      </c>
      <c r="C5952" s="1">
        <v>46041</v>
      </c>
      <c r="D5952" s="242" t="s">
        <v>29</v>
      </c>
      <c r="E5952" s="71" t="s">
        <v>120</v>
      </c>
      <c r="F5952" s="71" t="s">
        <v>29</v>
      </c>
      <c r="J5952" s="71" t="s">
        <v>3337</v>
      </c>
      <c r="L5952" s="433">
        <v>700</v>
      </c>
      <c r="M5952" s="136">
        <f t="shared" si="201"/>
        <v>307548.50710333418</v>
      </c>
    </row>
    <row r="5953" spans="1:13">
      <c r="A5953" s="54" t="str">
        <f>D5953&amp;E5953&amp;F5953</f>
        <v>SERVICIOSVIATICOSCEDIS</v>
      </c>
      <c r="B5953" t="s">
        <v>3214</v>
      </c>
      <c r="C5953" s="1">
        <v>46041</v>
      </c>
      <c r="D5953" s="242" t="s">
        <v>21</v>
      </c>
      <c r="E5953" s="71" t="s">
        <v>191</v>
      </c>
      <c r="F5953" s="71" t="s">
        <v>28</v>
      </c>
      <c r="J5953" s="71" t="s">
        <v>3083</v>
      </c>
      <c r="L5953" s="433">
        <v>3000</v>
      </c>
      <c r="M5953" s="136">
        <f t="shared" si="201"/>
        <v>304548.50710333418</v>
      </c>
    </row>
    <row r="5954" spans="1:13">
      <c r="A5954" s="54" t="str">
        <f>D5954&amp;E5954&amp;F5954</f>
        <v>MKTFONDO Y REPOSICIONMKT</v>
      </c>
      <c r="B5954" t="s">
        <v>3214</v>
      </c>
      <c r="C5954" s="1">
        <v>46041</v>
      </c>
      <c r="D5954" s="242" t="s">
        <v>19</v>
      </c>
      <c r="E5954" s="71" t="s">
        <v>120</v>
      </c>
      <c r="F5954" s="71" t="s">
        <v>19</v>
      </c>
      <c r="J5954" s="71" t="s">
        <v>2726</v>
      </c>
      <c r="L5954" s="433">
        <v>300</v>
      </c>
      <c r="M5954" s="136">
        <f t="shared" si="201"/>
        <v>304248.50710333418</v>
      </c>
    </row>
    <row r="5955" spans="1:13">
      <c r="A5955" s="54" t="str">
        <f>D5955&amp;E5955&amp;F5955</f>
        <v>SERVICIOSGASCEDIS</v>
      </c>
      <c r="B5955" t="s">
        <v>3214</v>
      </c>
      <c r="C5955" s="1">
        <v>46041</v>
      </c>
      <c r="D5955" s="242" t="s">
        <v>21</v>
      </c>
      <c r="E5955" s="71" t="s">
        <v>122</v>
      </c>
      <c r="F5955" s="71" t="s">
        <v>28</v>
      </c>
      <c r="J5955" s="71" t="s">
        <v>3338</v>
      </c>
      <c r="L5955" s="433">
        <v>300</v>
      </c>
      <c r="M5955" s="136">
        <f t="shared" si="201"/>
        <v>303948.50710333418</v>
      </c>
    </row>
    <row r="5956" spans="1:13">
      <c r="A5956" s="54" t="str">
        <f>D5956&amp;E5956&amp;F5956</f>
        <v>SERVICIOSVIATICOSCEDIS</v>
      </c>
      <c r="B5956" t="s">
        <v>3214</v>
      </c>
      <c r="C5956" s="1">
        <v>46041</v>
      </c>
      <c r="D5956" s="242" t="s">
        <v>21</v>
      </c>
      <c r="E5956" s="71" t="s">
        <v>191</v>
      </c>
      <c r="F5956" s="71" t="s">
        <v>28</v>
      </c>
      <c r="J5956" s="71" t="s">
        <v>2154</v>
      </c>
      <c r="L5956" s="433">
        <v>2450</v>
      </c>
      <c r="M5956" s="136">
        <f t="shared" si="201"/>
        <v>301498.50710333418</v>
      </c>
    </row>
    <row r="5957" spans="1:13">
      <c r="A5957" s="54" t="str">
        <f>D5957&amp;E5957&amp;F5957</f>
        <v>FINANZASINSUMOSFINANZAS</v>
      </c>
      <c r="B5957" t="s">
        <v>3214</v>
      </c>
      <c r="C5957" s="1">
        <v>46041</v>
      </c>
      <c r="D5957" s="242" t="s">
        <v>23</v>
      </c>
      <c r="E5957" s="71" t="s">
        <v>133</v>
      </c>
      <c r="F5957" s="71" t="s">
        <v>23</v>
      </c>
      <c r="J5957" s="71" t="s">
        <v>3339</v>
      </c>
      <c r="L5957" s="433">
        <v>1500</v>
      </c>
      <c r="M5957" s="136">
        <f t="shared" si="201"/>
        <v>299998.50710333418</v>
      </c>
    </row>
    <row r="5958" spans="1:13">
      <c r="A5958" s="54" t="str">
        <f>D5958&amp;E5958&amp;F5958</f>
        <v>FINANZASFONDO Y REPOSICIONFINANZAS</v>
      </c>
      <c r="B5958" t="s">
        <v>3214</v>
      </c>
      <c r="C5958" s="1">
        <v>46041</v>
      </c>
      <c r="D5958" s="242" t="s">
        <v>23</v>
      </c>
      <c r="E5958" s="71" t="s">
        <v>120</v>
      </c>
      <c r="F5958" s="71" t="s">
        <v>23</v>
      </c>
      <c r="J5958" s="71" t="s">
        <v>2007</v>
      </c>
      <c r="L5958" s="433">
        <v>2125</v>
      </c>
      <c r="M5958" s="136">
        <f t="shared" si="201"/>
        <v>297873.50710333418</v>
      </c>
    </row>
    <row r="5959" spans="1:13">
      <c r="A5959" s="54" t="str">
        <f>D5959&amp;E5959&amp;F5959</f>
        <v>FINANZASVIATICOSFINANZAS</v>
      </c>
      <c r="B5959" t="s">
        <v>3214</v>
      </c>
      <c r="C5959" s="1">
        <v>46041</v>
      </c>
      <c r="D5959" s="242" t="s">
        <v>23</v>
      </c>
      <c r="E5959" s="71" t="s">
        <v>191</v>
      </c>
      <c r="F5959" s="71" t="s">
        <v>23</v>
      </c>
      <c r="J5959" s="71" t="s">
        <v>3340</v>
      </c>
      <c r="L5959" s="433">
        <v>1200</v>
      </c>
      <c r="M5959" s="136">
        <f t="shared" si="201"/>
        <v>296673.50710333418</v>
      </c>
    </row>
    <row r="5960" spans="1:13">
      <c r="A5960" s="54" t="str">
        <f>D5960&amp;E5960&amp;F5960</f>
        <v>MKTINSUMOSINSUMOS</v>
      </c>
      <c r="B5960" t="s">
        <v>3214</v>
      </c>
      <c r="C5960" s="1">
        <v>46041</v>
      </c>
      <c r="D5960" s="242" t="s">
        <v>19</v>
      </c>
      <c r="E5960" s="71" t="s">
        <v>133</v>
      </c>
      <c r="F5960" s="242" t="s">
        <v>133</v>
      </c>
      <c r="J5960" s="71" t="s">
        <v>2207</v>
      </c>
      <c r="L5960" s="433">
        <v>1500</v>
      </c>
      <c r="M5960" s="136">
        <f t="shared" si="201"/>
        <v>295173.50710333418</v>
      </c>
    </row>
    <row r="5961" spans="1:13">
      <c r="A5961" s="137" t="str">
        <f>D5961&amp;E5961&amp;F5961</f>
        <v/>
      </c>
      <c r="B5961" t="s">
        <v>3214</v>
      </c>
      <c r="C5961" s="1">
        <v>46041</v>
      </c>
      <c r="J5961" s="71" t="s">
        <v>3341</v>
      </c>
      <c r="L5961" s="433">
        <v>1063</v>
      </c>
      <c r="M5961" s="136">
        <f t="shared" si="201"/>
        <v>294110.50710333418</v>
      </c>
    </row>
    <row r="5962" spans="1:13">
      <c r="A5962" s="54" t="str">
        <f>D5962&amp;E5962&amp;F5962</f>
        <v>FINANZASFONDO Y REPOSICIONFINANZAS</v>
      </c>
      <c r="B5962" t="s">
        <v>3214</v>
      </c>
      <c r="C5962" s="1">
        <v>46041</v>
      </c>
      <c r="D5962" s="242" t="s">
        <v>23</v>
      </c>
      <c r="E5962" s="71" t="s">
        <v>120</v>
      </c>
      <c r="F5962" s="71" t="s">
        <v>23</v>
      </c>
      <c r="J5962" s="71" t="s">
        <v>3342</v>
      </c>
      <c r="L5962" s="433">
        <v>380</v>
      </c>
      <c r="M5962" s="136">
        <f t="shared" si="201"/>
        <v>293730.50710333418</v>
      </c>
    </row>
    <row r="5963" spans="1:13">
      <c r="A5963" s="54" t="str">
        <f>D5963&amp;E5963&amp;F5963</f>
        <v>FINANZASFONDO Y REPOSICIONFINANZAS</v>
      </c>
      <c r="B5963" t="s">
        <v>3214</v>
      </c>
      <c r="C5963" s="1">
        <v>46041</v>
      </c>
      <c r="D5963" s="242" t="s">
        <v>23</v>
      </c>
      <c r="E5963" s="71" t="s">
        <v>120</v>
      </c>
      <c r="F5963" s="71" t="s">
        <v>23</v>
      </c>
      <c r="J5963" s="71" t="s">
        <v>3343</v>
      </c>
      <c r="L5963" s="433">
        <v>300</v>
      </c>
      <c r="M5963" s="136">
        <f t="shared" si="201"/>
        <v>293430.50710333418</v>
      </c>
    </row>
    <row r="5964" spans="1:13">
      <c r="A5964" s="137" t="str">
        <f>D5964&amp;E5964&amp;F5964</f>
        <v/>
      </c>
      <c r="B5964" t="s">
        <v>3214</v>
      </c>
      <c r="C5964" s="1">
        <v>46041</v>
      </c>
      <c r="J5964" s="71" t="s">
        <v>3344</v>
      </c>
      <c r="L5964" s="433">
        <v>3000</v>
      </c>
      <c r="M5964" s="136">
        <f t="shared" si="201"/>
        <v>290430.50710333418</v>
      </c>
    </row>
    <row r="5965" spans="1:13">
      <c r="A5965" s="54" t="str">
        <f>D5965&amp;E5965&amp;F5965</f>
        <v>MKTMKTINFLUENCERS</v>
      </c>
      <c r="B5965" t="s">
        <v>3214</v>
      </c>
      <c r="C5965" s="1">
        <v>46041</v>
      </c>
      <c r="D5965" s="242" t="s">
        <v>19</v>
      </c>
      <c r="E5965" s="71" t="s">
        <v>19</v>
      </c>
      <c r="F5965" s="71" t="s">
        <v>141</v>
      </c>
      <c r="J5965" s="71" t="s">
        <v>3345</v>
      </c>
      <c r="L5965" s="433">
        <v>950</v>
      </c>
      <c r="M5965" s="136">
        <f t="shared" si="201"/>
        <v>289480.50710333418</v>
      </c>
    </row>
    <row r="5966" spans="1:13">
      <c r="A5966" s="54" t="str">
        <f>D5966&amp;E5966&amp;F5966</f>
        <v>SERVICIOSVIATICOSMANTENIMIENTO</v>
      </c>
      <c r="B5966" t="s">
        <v>3214</v>
      </c>
      <c r="C5966" s="1">
        <v>46041</v>
      </c>
      <c r="D5966" s="242" t="s">
        <v>21</v>
      </c>
      <c r="E5966" s="71" t="s">
        <v>191</v>
      </c>
      <c r="F5966" s="71" t="s">
        <v>35</v>
      </c>
      <c r="J5966" s="71" t="s">
        <v>3346</v>
      </c>
      <c r="L5966" s="433">
        <v>300</v>
      </c>
      <c r="M5966" s="136">
        <f t="shared" si="201"/>
        <v>289180.50710333418</v>
      </c>
    </row>
    <row r="5967" spans="1:13">
      <c r="A5967" s="54" t="str">
        <f>D5967&amp;E5967&amp;F5967</f>
        <v>HRVIATICOSHR</v>
      </c>
      <c r="B5967" t="s">
        <v>3214</v>
      </c>
      <c r="C5967" s="1">
        <v>46041</v>
      </c>
      <c r="D5967" s="242" t="s">
        <v>29</v>
      </c>
      <c r="E5967" s="71" t="s">
        <v>191</v>
      </c>
      <c r="F5967" s="71" t="s">
        <v>29</v>
      </c>
      <c r="J5967" s="71" t="s">
        <v>3347</v>
      </c>
      <c r="L5967" s="433">
        <v>4600</v>
      </c>
      <c r="M5967" s="136">
        <f t="shared" si="201"/>
        <v>284580.50710333418</v>
      </c>
    </row>
    <row r="5968" spans="1:13">
      <c r="A5968" s="54" t="str">
        <f>D5968&amp;E5968&amp;F5968</f>
        <v>SERVICIOSINSUMOSCADENA DE SUMINISTROS</v>
      </c>
      <c r="B5968" t="s">
        <v>3214</v>
      </c>
      <c r="C5968" s="1">
        <v>46041</v>
      </c>
      <c r="D5968" s="242" t="s">
        <v>21</v>
      </c>
      <c r="E5968" s="71" t="s">
        <v>133</v>
      </c>
      <c r="F5968" s="71" t="s">
        <v>134</v>
      </c>
      <c r="J5968" s="71" t="s">
        <v>3348</v>
      </c>
      <c r="L5968" s="433">
        <v>4368.21</v>
      </c>
      <c r="M5968" s="136">
        <f t="shared" si="201"/>
        <v>280212.29710333416</v>
      </c>
    </row>
    <row r="5969" spans="1:13">
      <c r="A5969" s="54" t="str">
        <f>D5969&amp;E5969&amp;F5969</f>
        <v>SERVICIOSINSUMOSCADENA DE SUMINISTROS</v>
      </c>
      <c r="B5969" t="s">
        <v>3214</v>
      </c>
      <c r="C5969" s="1">
        <v>46041</v>
      </c>
      <c r="D5969" s="242" t="s">
        <v>21</v>
      </c>
      <c r="E5969" s="71" t="s">
        <v>133</v>
      </c>
      <c r="F5969" s="71" t="s">
        <v>134</v>
      </c>
      <c r="J5969" s="71" t="s">
        <v>538</v>
      </c>
      <c r="L5969" s="433">
        <v>6506.62</v>
      </c>
      <c r="M5969" s="136">
        <f t="shared" si="201"/>
        <v>273705.67710333416</v>
      </c>
    </row>
    <row r="5970" spans="1:13">
      <c r="A5970" s="137" t="str">
        <f>D5970&amp;E5970&amp;F5971</f>
        <v>FINANZASCOMBUSTIBLEFINANZAS</v>
      </c>
      <c r="B5970" t="s">
        <v>3214</v>
      </c>
      <c r="C5970" s="1">
        <v>46041</v>
      </c>
      <c r="D5970" s="242" t="s">
        <v>23</v>
      </c>
      <c r="E5970" s="71" t="s">
        <v>32</v>
      </c>
      <c r="J5970" s="71" t="s">
        <v>3349</v>
      </c>
      <c r="L5970" s="433">
        <v>15234.9</v>
      </c>
      <c r="M5970" s="136">
        <f t="shared" si="201"/>
        <v>258470.77710333417</v>
      </c>
    </row>
    <row r="5971" spans="1:13">
      <c r="A5971" s="54" t="str">
        <f>D5971&amp;E5971&amp;F5971</f>
        <v>FINANZASCOMBUSTIBLEFINANZAS</v>
      </c>
      <c r="B5971" t="s">
        <v>3214</v>
      </c>
      <c r="C5971" s="1">
        <v>46041</v>
      </c>
      <c r="D5971" s="242" t="s">
        <v>23</v>
      </c>
      <c r="E5971" s="71" t="s">
        <v>32</v>
      </c>
      <c r="F5971" s="71" t="s">
        <v>23</v>
      </c>
      <c r="J5971" s="71" t="s">
        <v>3350</v>
      </c>
      <c r="L5971" s="433">
        <v>1160</v>
      </c>
      <c r="M5971" s="136">
        <f t="shared" si="201"/>
        <v>257310.77710333417</v>
      </c>
    </row>
    <row r="5972" spans="1:13">
      <c r="A5972" s="54" t="str">
        <f>D5972&amp;E5972&amp;F5972</f>
        <v>HRJMASA4</v>
      </c>
      <c r="B5972" t="s">
        <v>3214</v>
      </c>
      <c r="C5972" s="1">
        <v>46041</v>
      </c>
      <c r="D5972" s="242" t="s">
        <v>29</v>
      </c>
      <c r="E5972" s="71" t="s">
        <v>137</v>
      </c>
      <c r="F5972" s="71" t="s">
        <v>91</v>
      </c>
      <c r="J5972" s="71" t="s">
        <v>2363</v>
      </c>
      <c r="L5972" s="208">
        <v>613</v>
      </c>
      <c r="M5972" s="136">
        <f t="shared" si="201"/>
        <v>256697.77710333417</v>
      </c>
    </row>
    <row r="5973" spans="1:13">
      <c r="A5973" s="54" t="str">
        <f>D5973&amp;E5973&amp;F5973</f>
        <v>HRUBERHR</v>
      </c>
      <c r="B5973" t="s">
        <v>3214</v>
      </c>
      <c r="C5973" s="1">
        <v>46041</v>
      </c>
      <c r="D5973" s="242" t="s">
        <v>29</v>
      </c>
      <c r="E5973" s="71" t="s">
        <v>189</v>
      </c>
      <c r="F5973" s="71" t="s">
        <v>29</v>
      </c>
      <c r="J5973" s="71" t="s">
        <v>3147</v>
      </c>
      <c r="L5973" s="208">
        <v>40</v>
      </c>
      <c r="M5973" s="136">
        <f t="shared" si="201"/>
        <v>256657.77710333417</v>
      </c>
    </row>
    <row r="5974" spans="1:13">
      <c r="A5974" s="54" t="str">
        <f>D5974&amp;E5974&amp;F5974</f>
        <v>SERVICIOSMTTO DE EDIFICIOMANTENIMIENTO</v>
      </c>
      <c r="B5974" t="s">
        <v>3214</v>
      </c>
      <c r="C5974" s="1">
        <v>46041</v>
      </c>
      <c r="D5974" s="242" t="s">
        <v>21</v>
      </c>
      <c r="E5974" s="71" t="s">
        <v>142</v>
      </c>
      <c r="F5974" s="71" t="s">
        <v>35</v>
      </c>
      <c r="J5974" s="71" t="s">
        <v>3351</v>
      </c>
      <c r="L5974" s="208">
        <v>200</v>
      </c>
      <c r="M5974" s="136">
        <f t="shared" si="201"/>
        <v>256457.77710333417</v>
      </c>
    </row>
    <row r="5975" spans="1:13">
      <c r="A5975" s="54" t="str">
        <f t="shared" ref="A5975:A5976" si="202">D5975&amp;E5975&amp;F5975</f>
        <v>HRUBERHR</v>
      </c>
      <c r="B5975" t="s">
        <v>3214</v>
      </c>
      <c r="C5975" s="1">
        <v>46041</v>
      </c>
      <c r="D5975" s="242" t="s">
        <v>29</v>
      </c>
      <c r="E5975" s="71" t="s">
        <v>189</v>
      </c>
      <c r="F5975" s="71" t="s">
        <v>29</v>
      </c>
      <c r="J5975" s="71" t="s">
        <v>3352</v>
      </c>
      <c r="L5975" s="208">
        <v>352</v>
      </c>
      <c r="M5975" s="136">
        <f t="shared" si="201"/>
        <v>256105.77710333417</v>
      </c>
    </row>
    <row r="5976" spans="1:13">
      <c r="A5976" s="54" t="str">
        <f t="shared" si="202"/>
        <v>CAPUBERCAP</v>
      </c>
      <c r="B5976" t="s">
        <v>3214</v>
      </c>
      <c r="C5976" s="1">
        <v>46041</v>
      </c>
      <c r="D5976" s="242" t="s">
        <v>31</v>
      </c>
      <c r="E5976" s="71" t="s">
        <v>189</v>
      </c>
      <c r="F5976" s="71" t="s">
        <v>31</v>
      </c>
      <c r="J5976" s="71" t="s">
        <v>2267</v>
      </c>
      <c r="L5976" s="433">
        <v>914</v>
      </c>
      <c r="M5976" s="136">
        <f t="shared" si="201"/>
        <v>255191.77710333417</v>
      </c>
    </row>
    <row r="5977" spans="1:13">
      <c r="A5977" s="54" t="str">
        <f>D5977&amp;E5977&amp;F5977</f>
        <v>CAPINSUMOSCAPRICHOS</v>
      </c>
      <c r="B5977" t="s">
        <v>3214</v>
      </c>
      <c r="C5977" s="1">
        <v>46041</v>
      </c>
      <c r="D5977" s="242" t="s">
        <v>31</v>
      </c>
      <c r="E5977" s="71" t="s">
        <v>133</v>
      </c>
      <c r="F5977" s="71" t="s">
        <v>33</v>
      </c>
      <c r="J5977" s="71" t="s">
        <v>2926</v>
      </c>
      <c r="L5977" s="433">
        <v>390</v>
      </c>
      <c r="M5977" s="136">
        <f t="shared" si="201"/>
        <v>254801.77710333417</v>
      </c>
    </row>
    <row r="5978" spans="1:13">
      <c r="A5978" s="54" t="str">
        <f>D5978&amp;E5978&amp;F5978</f>
        <v>CAPUBERCAP</v>
      </c>
      <c r="B5978" t="s">
        <v>3214</v>
      </c>
      <c r="C5978" s="1">
        <v>46041</v>
      </c>
      <c r="D5978" s="242" t="s">
        <v>31</v>
      </c>
      <c r="E5978" s="71" t="s">
        <v>189</v>
      </c>
      <c r="F5978" s="71" t="s">
        <v>31</v>
      </c>
      <c r="J5978" s="71" t="s">
        <v>2268</v>
      </c>
      <c r="L5978" s="433">
        <v>130</v>
      </c>
      <c r="M5978" s="136">
        <f t="shared" si="201"/>
        <v>254671.77710333417</v>
      </c>
    </row>
    <row r="5979" spans="1:13">
      <c r="A5979" s="54" t="str">
        <f>D5979&amp;E5979&amp;F5979</f>
        <v>CAPINSUMOSCAPRICHOS</v>
      </c>
      <c r="B5979" t="s">
        <v>3214</v>
      </c>
      <c r="C5979" s="1">
        <v>46041</v>
      </c>
      <c r="D5979" s="242" t="s">
        <v>31</v>
      </c>
      <c r="E5979" s="71" t="s">
        <v>133</v>
      </c>
      <c r="F5979" s="71" t="s">
        <v>33</v>
      </c>
      <c r="J5979" s="71" t="s">
        <v>3114</v>
      </c>
      <c r="L5979" s="433">
        <v>199</v>
      </c>
      <c r="M5979" s="136">
        <f t="shared" si="201"/>
        <v>254472.77710333417</v>
      </c>
    </row>
    <row r="5980" spans="1:13">
      <c r="A5980" s="54" t="str">
        <f>D5980&amp;E5980&amp;F5980</f>
        <v>SERVICIOSMTTO DE EDIFICIOMANTENIMIENTO</v>
      </c>
      <c r="B5980" t="s">
        <v>3214</v>
      </c>
      <c r="C5980" s="1">
        <v>46041</v>
      </c>
      <c r="D5980" s="242" t="s">
        <v>21</v>
      </c>
      <c r="E5980" s="71" t="s">
        <v>142</v>
      </c>
      <c r="F5980" s="71" t="s">
        <v>35</v>
      </c>
      <c r="J5980" s="71" t="s">
        <v>3353</v>
      </c>
      <c r="L5980" s="433">
        <v>1176</v>
      </c>
      <c r="M5980" s="136">
        <f t="shared" si="201"/>
        <v>253296.77710333417</v>
      </c>
    </row>
    <row r="5981" spans="1:13">
      <c r="A5981" s="54"/>
      <c r="B5981" t="s">
        <v>3214</v>
      </c>
      <c r="C5981" s="1">
        <v>46041</v>
      </c>
      <c r="J5981" s="71" t="s">
        <v>3354</v>
      </c>
      <c r="L5981" s="433">
        <v>2530</v>
      </c>
      <c r="M5981" s="136">
        <f t="shared" si="201"/>
        <v>250766.77710333417</v>
      </c>
    </row>
    <row r="5982" spans="1:13">
      <c r="A5982" s="54" t="str">
        <f>D5982&amp;E5982&amp;F5982</f>
        <v>CAPINSUMOSCAPRICHOS</v>
      </c>
      <c r="B5982" t="s">
        <v>3214</v>
      </c>
      <c r="C5982" s="1">
        <v>46041</v>
      </c>
      <c r="D5982" s="242" t="s">
        <v>31</v>
      </c>
      <c r="E5982" s="71" t="s">
        <v>133</v>
      </c>
      <c r="F5982" s="71" t="s">
        <v>33</v>
      </c>
      <c r="J5982" s="71" t="s">
        <v>3355</v>
      </c>
      <c r="L5982" s="433">
        <v>422</v>
      </c>
      <c r="M5982" s="136">
        <f t="shared" si="201"/>
        <v>250344.77710333417</v>
      </c>
    </row>
    <row r="5983" spans="1:13">
      <c r="A5983" s="54" t="str">
        <f>D5983&amp;E5983&amp;F5983</f>
        <v>CAPUBERCAP</v>
      </c>
      <c r="B5983" t="s">
        <v>3214</v>
      </c>
      <c r="C5983" s="1">
        <v>46041</v>
      </c>
      <c r="D5983" s="242" t="s">
        <v>31</v>
      </c>
      <c r="E5983" s="71" t="s">
        <v>189</v>
      </c>
      <c r="F5983" s="71" t="s">
        <v>31</v>
      </c>
      <c r="J5983" s="71" t="s">
        <v>3356</v>
      </c>
      <c r="L5983" s="208">
        <v>80</v>
      </c>
      <c r="M5983" s="136">
        <f t="shared" si="201"/>
        <v>250264.77710333417</v>
      </c>
    </row>
    <row r="5984" spans="1:13">
      <c r="A5984" s="137" t="str">
        <f>D5984&amp;E5984&amp;F5984</f>
        <v>CAPNOMINA SUCURSALE10</v>
      </c>
      <c r="B5984" t="s">
        <v>3214</v>
      </c>
      <c r="C5984" s="1">
        <v>46042</v>
      </c>
      <c r="D5984" s="242" t="s">
        <v>31</v>
      </c>
      <c r="E5984" s="71" t="s">
        <v>154</v>
      </c>
      <c r="F5984" s="71" t="s">
        <v>117</v>
      </c>
      <c r="J5984" s="71" t="s">
        <v>2045</v>
      </c>
      <c r="K5984" s="325">
        <v>176132.91</v>
      </c>
      <c r="L5984" s="432"/>
      <c r="M5984" s="136">
        <f t="shared" si="201"/>
        <v>426397.68710333417</v>
      </c>
    </row>
    <row r="5985" spans="1:13">
      <c r="A5985" s="137" t="str">
        <f>D5985&amp;E5985&amp;F5985</f>
        <v/>
      </c>
      <c r="B5985" t="s">
        <v>3214</v>
      </c>
      <c r="C5985" s="1">
        <v>46042</v>
      </c>
      <c r="J5985" s="71" t="s">
        <v>3357</v>
      </c>
      <c r="K5985" s="325">
        <v>1400000</v>
      </c>
      <c r="M5985" s="136">
        <f t="shared" si="201"/>
        <v>1826397.6871033341</v>
      </c>
    </row>
    <row r="5986" spans="1:13">
      <c r="A5986" s="54" t="str">
        <f>D5986&amp;E5986&amp;F5986</f>
        <v>FINANZASCOMISIONES BANCARIASTPV</v>
      </c>
      <c r="B5986" t="s">
        <v>3214</v>
      </c>
      <c r="C5986" s="1">
        <v>46042</v>
      </c>
      <c r="D5986" s="242" t="s">
        <v>23</v>
      </c>
      <c r="E5986" s="71" t="s">
        <v>48</v>
      </c>
      <c r="F5986" s="71" t="s">
        <v>50</v>
      </c>
      <c r="J5986" s="71" t="s">
        <v>517</v>
      </c>
      <c r="L5986" s="433">
        <f>21.03+14.65+117.02+20.88+39.16+333.59+191.89+1455.66+1251.28</f>
        <v>3445.16</v>
      </c>
      <c r="M5986" s="136">
        <f t="shared" si="201"/>
        <v>1822952.5271033342</v>
      </c>
    </row>
    <row r="5987" spans="1:13">
      <c r="A5987" s="137" t="str">
        <f>D5987&amp;E5987&amp;F5987</f>
        <v/>
      </c>
      <c r="B5987" t="s">
        <v>3214</v>
      </c>
      <c r="C5987" s="1">
        <v>46042</v>
      </c>
      <c r="J5987" s="205" t="s">
        <v>1562</v>
      </c>
      <c r="K5987" s="205"/>
      <c r="L5987" s="428">
        <v>400000</v>
      </c>
      <c r="M5987" s="136">
        <f t="shared" si="201"/>
        <v>1422952.5271033342</v>
      </c>
    </row>
    <row r="5988" spans="1:13">
      <c r="A5988" s="137" t="str">
        <f>D5988&amp;E5988&amp;F5988</f>
        <v/>
      </c>
      <c r="B5988" t="s">
        <v>3214</v>
      </c>
      <c r="C5988" s="1">
        <v>46042</v>
      </c>
      <c r="J5988" s="205" t="s">
        <v>222</v>
      </c>
      <c r="K5988" s="205"/>
      <c r="L5988" s="428"/>
      <c r="M5988" s="136">
        <f t="shared" si="201"/>
        <v>1422952.5271033342</v>
      </c>
    </row>
    <row r="5989" spans="1:13">
      <c r="A5989" s="137" t="str">
        <f>D5989&amp;E5989&amp;F5989</f>
        <v/>
      </c>
      <c r="B5989" t="s">
        <v>3214</v>
      </c>
      <c r="C5989" s="1">
        <v>46042</v>
      </c>
      <c r="J5989" s="205" t="s">
        <v>318</v>
      </c>
      <c r="K5989" s="205"/>
      <c r="L5989" s="428">
        <v>1427200</v>
      </c>
      <c r="M5989" s="136">
        <f t="shared" si="201"/>
        <v>-4247.4728966658004</v>
      </c>
    </row>
    <row r="5990" spans="1:13">
      <c r="A5990" s="54" t="str">
        <f>D5990&amp;E5990&amp;F5990</f>
        <v>FINANZASCUOTAS Y SUSCRIPCIONESTIMBRES P/FACTURACION</v>
      </c>
      <c r="B5990" t="s">
        <v>3214</v>
      </c>
      <c r="C5990" s="1">
        <v>46042</v>
      </c>
      <c r="D5990" s="242" t="s">
        <v>23</v>
      </c>
      <c r="E5990" s="71" t="s">
        <v>51</v>
      </c>
      <c r="F5990" s="71" t="s">
        <v>63</v>
      </c>
      <c r="G5990" s="71" t="s">
        <v>258</v>
      </c>
      <c r="J5990" s="71" t="s">
        <v>3358</v>
      </c>
      <c r="L5990" s="208">
        <v>2192.4</v>
      </c>
      <c r="M5990" s="136">
        <f t="shared" si="201"/>
        <v>-6439.8728966658</v>
      </c>
    </row>
    <row r="5991" spans="1:13">
      <c r="A5991" s="54" t="str">
        <f>D5991&amp;E5991&amp;F5991</f>
        <v>SERVICIOSPAQUETERIACEDIS (E6)</v>
      </c>
      <c r="B5991" t="s">
        <v>3214</v>
      </c>
      <c r="C5991" s="1">
        <v>46042</v>
      </c>
      <c r="D5991" s="242" t="s">
        <v>21</v>
      </c>
      <c r="E5991" s="71" t="s">
        <v>160</v>
      </c>
      <c r="F5991" s="71" t="s">
        <v>161</v>
      </c>
      <c r="J5991" s="71" t="s">
        <v>1159</v>
      </c>
      <c r="L5991" s="208">
        <v>4485.38</v>
      </c>
      <c r="M5991" s="136">
        <f t="shared" si="201"/>
        <v>-10925.252896665799</v>
      </c>
    </row>
    <row r="5992" spans="1:13">
      <c r="A5992" s="54" t="str">
        <f>D5992&amp;E5992&amp;F5992</f>
        <v>FINANZASCUOTAS Y SUSCRIPCIONESTIMBRES P/FACTURACION</v>
      </c>
      <c r="B5992" t="s">
        <v>3214</v>
      </c>
      <c r="C5992" s="1">
        <v>46042</v>
      </c>
      <c r="D5992" s="242" t="s">
        <v>23</v>
      </c>
      <c r="E5992" s="71" t="s">
        <v>51</v>
      </c>
      <c r="F5992" s="71" t="s">
        <v>63</v>
      </c>
      <c r="G5992" s="71" t="s">
        <v>258</v>
      </c>
      <c r="J5992" s="71" t="s">
        <v>3359</v>
      </c>
      <c r="L5992" s="433">
        <v>498.8</v>
      </c>
      <c r="M5992" s="136">
        <f t="shared" si="201"/>
        <v>-11424.052896665798</v>
      </c>
    </row>
    <row r="5993" spans="1:13">
      <c r="A5993" s="54" t="str">
        <f>D5993&amp;E5993&amp;F5993</f>
        <v>SERVICIOSMTTO DE EDIFICIOMANTENIMIENTO</v>
      </c>
      <c r="B5993" t="s">
        <v>3214</v>
      </c>
      <c r="C5993" s="1">
        <v>46042</v>
      </c>
      <c r="D5993" s="242" t="s">
        <v>21</v>
      </c>
      <c r="E5993" s="71" t="s">
        <v>142</v>
      </c>
      <c r="F5993" s="71" t="s">
        <v>35</v>
      </c>
      <c r="J5993" s="71" t="s">
        <v>3360</v>
      </c>
      <c r="L5993" s="433">
        <v>7500</v>
      </c>
      <c r="M5993" s="136">
        <f t="shared" si="201"/>
        <v>-18924.052896665798</v>
      </c>
    </row>
    <row r="5994" spans="1:13">
      <c r="A5994" s="137" t="str">
        <f>D5994&amp;E5994&amp;F5994</f>
        <v>HRPUBLICIDAD</v>
      </c>
      <c r="B5994" t="s">
        <v>3214</v>
      </c>
      <c r="C5994" s="1">
        <v>46042</v>
      </c>
      <c r="D5994" s="387" t="s">
        <v>29</v>
      </c>
      <c r="E5994" s="387" t="s">
        <v>164</v>
      </c>
      <c r="F5994" s="387"/>
      <c r="J5994" s="71" t="s">
        <v>3361</v>
      </c>
      <c r="L5994" s="433">
        <v>3480</v>
      </c>
      <c r="M5994" s="136">
        <f t="shared" si="201"/>
        <v>-22404.052896665798</v>
      </c>
    </row>
    <row r="5995" spans="1:13">
      <c r="A5995" s="54" t="str">
        <f>D5995&amp;E5995&amp;F5995</f>
        <v>FINANZASVIATICOSFINANZAS</v>
      </c>
      <c r="B5995" t="s">
        <v>3214</v>
      </c>
      <c r="C5995" s="1">
        <v>46042</v>
      </c>
      <c r="D5995" s="242" t="s">
        <v>23</v>
      </c>
      <c r="E5995" s="71" t="s">
        <v>191</v>
      </c>
      <c r="F5995" s="71" t="s">
        <v>23</v>
      </c>
      <c r="J5995" s="71" t="s">
        <v>3362</v>
      </c>
      <c r="L5995" s="433">
        <v>800</v>
      </c>
      <c r="M5995" s="136">
        <f t="shared" si="201"/>
        <v>-23204.052896665798</v>
      </c>
    </row>
    <row r="5996" spans="1:13">
      <c r="A5996" s="54" t="str">
        <f>D5996&amp;E5996&amp;F5996</f>
        <v>CAPFONDO Y REPOSICIONCAPRICHOS</v>
      </c>
      <c r="B5996" t="s">
        <v>3214</v>
      </c>
      <c r="C5996" s="1">
        <v>46042</v>
      </c>
      <c r="D5996" s="242" t="s">
        <v>31</v>
      </c>
      <c r="E5996" s="71" t="s">
        <v>120</v>
      </c>
      <c r="F5996" s="71" t="s">
        <v>33</v>
      </c>
      <c r="J5996" s="71" t="s">
        <v>3363</v>
      </c>
      <c r="L5996" s="433">
        <v>550</v>
      </c>
      <c r="M5996" s="136">
        <f t="shared" ref="M5996:M6016" si="203">M5995+K5996-L5996</f>
        <v>-23754.052896665798</v>
      </c>
    </row>
    <row r="5997" spans="1:13">
      <c r="A5997" s="54" t="str">
        <f>D5997&amp;E5997&amp;F5997</f>
        <v>HRFONDO Y REPOSICIONHR</v>
      </c>
      <c r="B5997" t="s">
        <v>3214</v>
      </c>
      <c r="C5997" s="1">
        <v>46042</v>
      </c>
      <c r="D5997" s="242" t="s">
        <v>29</v>
      </c>
      <c r="E5997" s="71" t="s">
        <v>120</v>
      </c>
      <c r="F5997" s="71" t="s">
        <v>29</v>
      </c>
      <c r="J5997" s="71" t="s">
        <v>1875</v>
      </c>
      <c r="L5997" s="433">
        <v>1000</v>
      </c>
      <c r="M5997" s="136">
        <f t="shared" si="203"/>
        <v>-24754.052896665798</v>
      </c>
    </row>
    <row r="5998" spans="1:13">
      <c r="A5998" s="54" t="str">
        <f>D5998&amp;E5998&amp;F5998</f>
        <v>FINANZASCOMBUSTIBLEFINANZAS</v>
      </c>
      <c r="B5998" t="s">
        <v>3214</v>
      </c>
      <c r="C5998" s="1">
        <v>46042</v>
      </c>
      <c r="D5998" s="242" t="s">
        <v>23</v>
      </c>
      <c r="E5998" s="71" t="s">
        <v>32</v>
      </c>
      <c r="F5998" s="71" t="s">
        <v>23</v>
      </c>
      <c r="J5998" s="71" t="s">
        <v>3166</v>
      </c>
      <c r="L5998" s="433">
        <v>1500</v>
      </c>
      <c r="M5998" s="136">
        <f t="shared" si="203"/>
        <v>-26254.052896665798</v>
      </c>
    </row>
    <row r="5999" spans="1:13">
      <c r="A5999" s="54" t="str">
        <f>D5999&amp;E5999&amp;F5999</f>
        <v>HRIMAGEN VISUALIMAGEN VISUAL HR</v>
      </c>
      <c r="B5999" t="s">
        <v>3214</v>
      </c>
      <c r="C5999" s="1">
        <v>46042</v>
      </c>
      <c r="D5999" s="242" t="s">
        <v>29</v>
      </c>
      <c r="E5999" s="71" t="s">
        <v>127</v>
      </c>
      <c r="F5999" s="71" t="s">
        <v>128</v>
      </c>
      <c r="J5999" s="71" t="s">
        <v>3364</v>
      </c>
      <c r="L5999" s="433">
        <v>2828</v>
      </c>
      <c r="M5999" s="136">
        <f t="shared" si="203"/>
        <v>-29082.052896665798</v>
      </c>
    </row>
    <row r="6000" spans="1:13">
      <c r="A6000" s="54" t="str">
        <f>D6000&amp;E6000&amp;F6000</f>
        <v>SERVICIOSVIATICOSCEDIS</v>
      </c>
      <c r="B6000" t="s">
        <v>3214</v>
      </c>
      <c r="C6000" s="1">
        <v>46042</v>
      </c>
      <c r="D6000" s="242" t="s">
        <v>21</v>
      </c>
      <c r="E6000" s="71" t="s">
        <v>191</v>
      </c>
      <c r="F6000" s="71" t="s">
        <v>28</v>
      </c>
      <c r="J6000" s="71" t="s">
        <v>3365</v>
      </c>
      <c r="L6000" s="433">
        <v>1100</v>
      </c>
      <c r="M6000" s="136">
        <f t="shared" si="203"/>
        <v>-30182.052896665798</v>
      </c>
    </row>
    <row r="6001" spans="1:13">
      <c r="A6001" s="54" t="str">
        <f>D6001&amp;E6001&amp;F6001</f>
        <v>SERVICIOSVIATICOSSISTEMAS</v>
      </c>
      <c r="B6001" t="s">
        <v>3214</v>
      </c>
      <c r="C6001" s="1">
        <v>46042</v>
      </c>
      <c r="D6001" s="242" t="s">
        <v>21</v>
      </c>
      <c r="E6001" s="71" t="s">
        <v>191</v>
      </c>
      <c r="F6001" s="71" t="s">
        <v>36</v>
      </c>
      <c r="J6001" s="71" t="s">
        <v>3366</v>
      </c>
      <c r="L6001" s="433">
        <v>300</v>
      </c>
      <c r="M6001" s="136">
        <f t="shared" si="203"/>
        <v>-30482.052896665798</v>
      </c>
    </row>
    <row r="6002" spans="1:13">
      <c r="A6002" s="54" t="str">
        <f>D6002&amp;E6002&amp;F6002</f>
        <v>SERVICIOSMTTO DE EDIFICIOMANTENIMIENTO</v>
      </c>
      <c r="B6002" t="s">
        <v>3214</v>
      </c>
      <c r="C6002" s="1">
        <v>46042</v>
      </c>
      <c r="D6002" s="242" t="s">
        <v>21</v>
      </c>
      <c r="E6002" s="71" t="s">
        <v>142</v>
      </c>
      <c r="F6002" s="71" t="s">
        <v>35</v>
      </c>
      <c r="J6002" s="71" t="s">
        <v>3130</v>
      </c>
      <c r="L6002" s="433">
        <v>65</v>
      </c>
      <c r="M6002" s="136">
        <f t="shared" si="203"/>
        <v>-30547.052896665798</v>
      </c>
    </row>
    <row r="6003" spans="1:13">
      <c r="A6003" s="54" t="str">
        <f>D6003&amp;E6003&amp;F6003</f>
        <v>HRNOMINA SUCURSALA10</v>
      </c>
      <c r="B6003" t="s">
        <v>3214</v>
      </c>
      <c r="C6003" s="1">
        <v>46042</v>
      </c>
      <c r="D6003" s="242" t="s">
        <v>29</v>
      </c>
      <c r="E6003" s="71" t="s">
        <v>154</v>
      </c>
      <c r="F6003" s="71" t="s">
        <v>96</v>
      </c>
      <c r="J6003" s="71" t="s">
        <v>2766</v>
      </c>
      <c r="L6003" s="433">
        <v>1710</v>
      </c>
      <c r="M6003" s="136">
        <f t="shared" si="203"/>
        <v>-32257.052896665798</v>
      </c>
    </row>
    <row r="6004" spans="1:13">
      <c r="A6004" s="54" t="str">
        <f>D6004&amp;E6004&amp;F6004</f>
        <v>FINANZASRECOLECCION DE BASURAHR</v>
      </c>
      <c r="B6004" t="s">
        <v>3214</v>
      </c>
      <c r="C6004" s="1">
        <v>46042</v>
      </c>
      <c r="D6004" s="242" t="s">
        <v>23</v>
      </c>
      <c r="E6004" s="71" t="s">
        <v>166</v>
      </c>
      <c r="F6004" s="71" t="s">
        <v>29</v>
      </c>
      <c r="J6004" s="71" t="s">
        <v>3367</v>
      </c>
      <c r="L6004" s="433">
        <v>510</v>
      </c>
      <c r="M6004" s="136">
        <f t="shared" si="203"/>
        <v>-32767.052896665798</v>
      </c>
    </row>
    <row r="6005" spans="1:13">
      <c r="A6005" s="54" t="str">
        <f>D6005&amp;E6005&amp;F6005</f>
        <v>HRNOMINA SUCURSALA23</v>
      </c>
      <c r="B6005" t="s">
        <v>3214</v>
      </c>
      <c r="C6005" s="1">
        <v>46042</v>
      </c>
      <c r="D6005" s="242" t="s">
        <v>29</v>
      </c>
      <c r="E6005" s="71" t="s">
        <v>154</v>
      </c>
      <c r="F6005" s="71" t="s">
        <v>105</v>
      </c>
      <c r="J6005" s="71" t="s">
        <v>3368</v>
      </c>
      <c r="L6005" s="433">
        <v>1600</v>
      </c>
      <c r="M6005" s="136">
        <f t="shared" si="203"/>
        <v>-34367.052896665802</v>
      </c>
    </row>
    <row r="6006" spans="1:13">
      <c r="A6006" s="54" t="str">
        <f>D6006&amp;E6006&amp;F6006</f>
        <v>CAPINSUMOSCAPRICHOS</v>
      </c>
      <c r="B6006" t="s">
        <v>3214</v>
      </c>
      <c r="C6006" s="1">
        <v>46042</v>
      </c>
      <c r="D6006" s="242" t="s">
        <v>31</v>
      </c>
      <c r="E6006" s="71" t="s">
        <v>133</v>
      </c>
      <c r="F6006" s="71" t="s">
        <v>33</v>
      </c>
      <c r="J6006" s="71" t="s">
        <v>2659</v>
      </c>
      <c r="L6006" s="433">
        <v>110</v>
      </c>
      <c r="M6006" s="136">
        <f t="shared" si="203"/>
        <v>-34477.052896665802</v>
      </c>
    </row>
    <row r="6007" spans="1:13">
      <c r="A6007" s="54" t="str">
        <f>D6007&amp;E6007&amp;F6007</f>
        <v>CAPNOMINA SUCURSALE2</v>
      </c>
      <c r="B6007" t="s">
        <v>3214</v>
      </c>
      <c r="C6007" s="1">
        <v>46042</v>
      </c>
      <c r="D6007" s="242" t="s">
        <v>31</v>
      </c>
      <c r="E6007" s="71" t="s">
        <v>154</v>
      </c>
      <c r="F6007" s="71" t="s">
        <v>108</v>
      </c>
      <c r="J6007" s="71" t="s">
        <v>3136</v>
      </c>
      <c r="L6007" s="433">
        <v>860</v>
      </c>
      <c r="M6007" s="136">
        <f t="shared" si="203"/>
        <v>-35337.052896665802</v>
      </c>
    </row>
    <row r="6008" spans="1:13">
      <c r="A6008" s="54" t="str">
        <f t="shared" ref="A6008:A6010" si="204">D6008&amp;E6008&amp;F6008</f>
        <v>CAPUBERCAP</v>
      </c>
      <c r="B6008" t="s">
        <v>3214</v>
      </c>
      <c r="C6008" s="1">
        <v>46042</v>
      </c>
      <c r="D6008" s="242" t="s">
        <v>31</v>
      </c>
      <c r="E6008" s="71" t="s">
        <v>189</v>
      </c>
      <c r="F6008" s="71" t="s">
        <v>31</v>
      </c>
      <c r="J6008" s="71" t="s">
        <v>2267</v>
      </c>
      <c r="L6008" s="433">
        <v>135</v>
      </c>
      <c r="M6008" s="136">
        <f t="shared" si="203"/>
        <v>-35472.052896665802</v>
      </c>
    </row>
    <row r="6009" spans="1:13">
      <c r="A6009" s="54" t="str">
        <f t="shared" si="204"/>
        <v>CAPUBERCAP</v>
      </c>
      <c r="B6009" t="s">
        <v>3214</v>
      </c>
      <c r="C6009" s="1">
        <v>46042</v>
      </c>
      <c r="D6009" s="242" t="s">
        <v>31</v>
      </c>
      <c r="E6009" s="71" t="s">
        <v>189</v>
      </c>
      <c r="F6009" s="71" t="s">
        <v>31</v>
      </c>
      <c r="J6009" s="71" t="s">
        <v>2537</v>
      </c>
      <c r="L6009" s="433">
        <v>200</v>
      </c>
      <c r="M6009" s="136">
        <f t="shared" si="203"/>
        <v>-35672.052896665802</v>
      </c>
    </row>
    <row r="6010" spans="1:13">
      <c r="A6010" s="54" t="str">
        <f t="shared" si="204"/>
        <v>CAPUBERCAP</v>
      </c>
      <c r="B6010" t="s">
        <v>3214</v>
      </c>
      <c r="C6010" s="1">
        <v>46042</v>
      </c>
      <c r="D6010" s="242" t="s">
        <v>31</v>
      </c>
      <c r="E6010" s="71" t="s">
        <v>189</v>
      </c>
      <c r="F6010" s="71" t="s">
        <v>31</v>
      </c>
      <c r="J6010" s="71" t="s">
        <v>3369</v>
      </c>
      <c r="L6010" s="433">
        <v>84</v>
      </c>
      <c r="M6010" s="136">
        <f t="shared" si="203"/>
        <v>-35756.052896665802</v>
      </c>
    </row>
    <row r="6011" spans="1:13">
      <c r="A6011" s="137" t="str">
        <f>D6011&amp;E6011&amp;F6011</f>
        <v/>
      </c>
      <c r="B6011" t="s">
        <v>3214</v>
      </c>
      <c r="C6011" s="1">
        <v>46043</v>
      </c>
      <c r="J6011" s="71" t="s">
        <v>2045</v>
      </c>
      <c r="K6011" s="325">
        <v>156456.22</v>
      </c>
      <c r="L6011" s="432"/>
      <c r="M6011" s="136">
        <f t="shared" si="203"/>
        <v>120700.1671033342</v>
      </c>
    </row>
    <row r="6012" spans="1:13">
      <c r="A6012" s="54" t="str">
        <f>D6012&amp;E6012&amp;F6012</f>
        <v>FINANZASCOMISIONES BANCARIASTPV</v>
      </c>
      <c r="B6012" t="s">
        <v>3214</v>
      </c>
      <c r="C6012" s="1">
        <v>46043</v>
      </c>
      <c r="D6012" s="242" t="s">
        <v>23</v>
      </c>
      <c r="E6012" s="71" t="s">
        <v>48</v>
      </c>
      <c r="F6012" s="71" t="s">
        <v>50</v>
      </c>
      <c r="J6012" s="71" t="s">
        <v>517</v>
      </c>
      <c r="L6012" s="433">
        <f>20.15+48.57+3.48+210.33+151.85+698+671.08+923.35</f>
        <v>2726.81</v>
      </c>
      <c r="M6012" s="136">
        <f t="shared" si="203"/>
        <v>117973.3571033342</v>
      </c>
    </row>
    <row r="6013" spans="1:13">
      <c r="A6013" s="137" t="str">
        <f>D6013&amp;E6013&amp;F6013</f>
        <v/>
      </c>
      <c r="B6013" t="s">
        <v>3214</v>
      </c>
      <c r="C6013" s="1">
        <v>46043</v>
      </c>
      <c r="J6013" s="205" t="s">
        <v>1562</v>
      </c>
      <c r="K6013" s="205"/>
      <c r="L6013" s="428">
        <v>100000</v>
      </c>
      <c r="M6013" s="136">
        <f t="shared" si="203"/>
        <v>17973.357103334201</v>
      </c>
    </row>
    <row r="6014" spans="1:13">
      <c r="A6014" s="137" t="str">
        <f>D6014&amp;E6014&amp;F6014</f>
        <v/>
      </c>
      <c r="B6014" t="s">
        <v>3214</v>
      </c>
      <c r="C6014" s="1">
        <v>46043</v>
      </c>
      <c r="J6014" s="205" t="s">
        <v>222</v>
      </c>
      <c r="K6014" s="205"/>
      <c r="L6014" s="428"/>
      <c r="M6014" s="136">
        <f t="shared" si="203"/>
        <v>17973.357103334201</v>
      </c>
    </row>
    <row r="6015" spans="1:13">
      <c r="A6015" s="54" t="str">
        <f>D6015&amp;E6015&amp;F6015</f>
        <v>SERVICIOSADQ DE EQ TECNOLOGICOADQ DE EQ TECNOLOGICO</v>
      </c>
      <c r="B6015" t="s">
        <v>3214</v>
      </c>
      <c r="C6015" s="1">
        <v>46043</v>
      </c>
      <c r="D6015" s="242" t="s">
        <v>21</v>
      </c>
      <c r="E6015" s="71" t="s">
        <v>22</v>
      </c>
      <c r="F6015" s="71" t="s">
        <v>22</v>
      </c>
      <c r="G6015" s="71" t="s">
        <v>258</v>
      </c>
      <c r="J6015" s="71" t="s">
        <v>3370</v>
      </c>
      <c r="L6015" s="433">
        <v>13800.01</v>
      </c>
      <c r="M6015" s="136">
        <f t="shared" si="203"/>
        <v>4173.3471033342012</v>
      </c>
    </row>
    <row r="6016" spans="1:13">
      <c r="A6016" s="54" t="str">
        <f>D6016&amp;E6016&amp;F6016</f>
        <v>SERVICIOSMTTO EQ DE TRANSPORTECEDIS</v>
      </c>
      <c r="B6016" t="s">
        <v>3214</v>
      </c>
      <c r="C6016" s="1">
        <v>46043</v>
      </c>
      <c r="D6016" s="242" t="s">
        <v>21</v>
      </c>
      <c r="E6016" s="71" t="s">
        <v>144</v>
      </c>
      <c r="F6016" s="71" t="s">
        <v>28</v>
      </c>
      <c r="J6016" s="71" t="s">
        <v>3371</v>
      </c>
      <c r="L6016" s="433">
        <v>4016.5</v>
      </c>
      <c r="M6016" s="136">
        <f t="shared" si="203"/>
        <v>156.84710333420117</v>
      </c>
    </row>
    <row r="6017" spans="1:13">
      <c r="A6017" s="54" t="str">
        <f>D6017&amp;E6017&amp;F6017</f>
        <v>SERVICIOSVIATICOSINVENTARIOS</v>
      </c>
      <c r="B6017" t="s">
        <v>3214</v>
      </c>
      <c r="C6017" s="1">
        <v>46043</v>
      </c>
      <c r="D6017" s="242" t="s">
        <v>21</v>
      </c>
      <c r="E6017" s="71" t="s">
        <v>191</v>
      </c>
      <c r="F6017" s="71" t="s">
        <v>34</v>
      </c>
      <c r="J6017" s="71" t="s">
        <v>2962</v>
      </c>
      <c r="L6017" s="433">
        <v>700</v>
      </c>
      <c r="M6017" s="136">
        <f>M6016+K6017-L6017</f>
        <v>-543.15289666579883</v>
      </c>
    </row>
    <row r="6018" spans="1:13">
      <c r="A6018" s="137" t="str">
        <f>D6018&amp;E6018&amp;F6018</f>
        <v>FINANZASCOMBUSTIBLE</v>
      </c>
      <c r="B6018" t="s">
        <v>3214</v>
      </c>
      <c r="C6018" s="1">
        <v>46043</v>
      </c>
      <c r="D6018" s="242" t="s">
        <v>23</v>
      </c>
      <c r="E6018" s="71" t="s">
        <v>32</v>
      </c>
      <c r="J6018" s="71" t="s">
        <v>3372</v>
      </c>
      <c r="L6018" s="433">
        <v>7149.41</v>
      </c>
      <c r="M6018" s="136">
        <f>M6017+K6018-L6018</f>
        <v>-7692.5628966657987</v>
      </c>
    </row>
    <row r="6019" spans="1:13">
      <c r="A6019" s="54" t="str">
        <f>D6019&amp;E6019&amp;F6019</f>
        <v>HRFONDO Y REPOSICIONHR</v>
      </c>
      <c r="B6019" t="s">
        <v>3214</v>
      </c>
      <c r="C6019" s="1">
        <v>46043</v>
      </c>
      <c r="D6019" s="242" t="s">
        <v>29</v>
      </c>
      <c r="E6019" s="71" t="s">
        <v>120</v>
      </c>
      <c r="F6019" s="71" t="s">
        <v>29</v>
      </c>
      <c r="J6019" s="71" t="s">
        <v>3373</v>
      </c>
      <c r="L6019" s="433">
        <v>1700</v>
      </c>
      <c r="M6019" s="136">
        <f>M6018+K6019-L6019</f>
        <v>-9392.5628966657987</v>
      </c>
    </row>
    <row r="6020" spans="1:13">
      <c r="A6020" s="54" t="str">
        <f>D6020&amp;E6020&amp;F6020</f>
        <v>MKTFONDO Y REPOSICIONMKT</v>
      </c>
      <c r="B6020" t="s">
        <v>3214</v>
      </c>
      <c r="C6020" s="1">
        <v>46043</v>
      </c>
      <c r="D6020" s="242" t="s">
        <v>19</v>
      </c>
      <c r="E6020" s="71" t="s">
        <v>120</v>
      </c>
      <c r="F6020" s="71" t="s">
        <v>19</v>
      </c>
      <c r="J6020" s="71" t="s">
        <v>2726</v>
      </c>
      <c r="L6020" s="433">
        <v>558</v>
      </c>
      <c r="M6020" s="136">
        <f t="shared" ref="M6020:M6072" si="205">M6019+K6020-L6020</f>
        <v>-9950.5628966657987</v>
      </c>
    </row>
    <row r="6021" spans="1:13">
      <c r="A6021" s="54" t="str">
        <f>D6021&amp;E6021&amp;F6021</f>
        <v>MKTINSUMOSINSUMOS</v>
      </c>
      <c r="B6021" t="s">
        <v>3214</v>
      </c>
      <c r="C6021" s="1">
        <v>46043</v>
      </c>
      <c r="D6021" s="242" t="s">
        <v>19</v>
      </c>
      <c r="E6021" s="71" t="s">
        <v>133</v>
      </c>
      <c r="F6021" s="242" t="s">
        <v>133</v>
      </c>
      <c r="J6021" s="71" t="s">
        <v>3374</v>
      </c>
      <c r="L6021" s="433">
        <v>1000</v>
      </c>
      <c r="M6021" s="136">
        <f t="shared" si="205"/>
        <v>-10950.562896665799</v>
      </c>
    </row>
    <row r="6022" spans="1:13">
      <c r="A6022" s="54" t="str">
        <f>D6022&amp;E6022&amp;F6022</f>
        <v>MKTINSUMOSINSUMOS</v>
      </c>
      <c r="B6022" t="s">
        <v>3214</v>
      </c>
      <c r="C6022" s="1">
        <v>46043</v>
      </c>
      <c r="D6022" s="242" t="s">
        <v>19</v>
      </c>
      <c r="E6022" s="71" t="s">
        <v>133</v>
      </c>
      <c r="F6022" s="242" t="s">
        <v>133</v>
      </c>
      <c r="J6022" s="71" t="s">
        <v>3375</v>
      </c>
      <c r="L6022" s="433">
        <v>2400</v>
      </c>
      <c r="M6022" s="136">
        <f t="shared" si="205"/>
        <v>-13350.562896665799</v>
      </c>
    </row>
    <row r="6023" spans="1:13">
      <c r="A6023" s="54" t="str">
        <f>D6023&amp;E6023&amp;F6023</f>
        <v>MKTINSUMOSINSUMOS</v>
      </c>
      <c r="B6023" t="s">
        <v>3214</v>
      </c>
      <c r="C6023" s="1">
        <v>46043</v>
      </c>
      <c r="D6023" s="242" t="s">
        <v>19</v>
      </c>
      <c r="E6023" s="71" t="s">
        <v>133</v>
      </c>
      <c r="F6023" s="242" t="s">
        <v>133</v>
      </c>
      <c r="J6023" s="71" t="s">
        <v>3376</v>
      </c>
      <c r="L6023" s="433">
        <v>500</v>
      </c>
      <c r="M6023" s="136">
        <f t="shared" si="205"/>
        <v>-13850.562896665799</v>
      </c>
    </row>
    <row r="6024" spans="1:13">
      <c r="A6024" s="54" t="str">
        <f>D6024&amp;E6024&amp;F6024</f>
        <v>HRFONDO Y REPOSICIONHR</v>
      </c>
      <c r="B6024" t="s">
        <v>3214</v>
      </c>
      <c r="C6024" s="1">
        <v>46043</v>
      </c>
      <c r="D6024" s="242" t="s">
        <v>29</v>
      </c>
      <c r="E6024" s="71" t="s">
        <v>120</v>
      </c>
      <c r="F6024" s="71" t="s">
        <v>29</v>
      </c>
      <c r="J6024" s="71" t="s">
        <v>3377</v>
      </c>
      <c r="L6024" s="433">
        <v>2000</v>
      </c>
      <c r="M6024" s="136">
        <f t="shared" si="205"/>
        <v>-15850.562896665799</v>
      </c>
    </row>
    <row r="6025" spans="1:13">
      <c r="A6025" s="54" t="str">
        <f>D6025&amp;E6025&amp;F6025</f>
        <v>HRJMASA17</v>
      </c>
      <c r="B6025" t="s">
        <v>3214</v>
      </c>
      <c r="C6025" s="1">
        <v>46043</v>
      </c>
      <c r="D6025" s="242" t="s">
        <v>29</v>
      </c>
      <c r="E6025" s="71" t="s">
        <v>137</v>
      </c>
      <c r="F6025" s="71" t="s">
        <v>102</v>
      </c>
      <c r="J6025" s="71" t="s">
        <v>2717</v>
      </c>
      <c r="L6025" s="433">
        <v>1752</v>
      </c>
      <c r="M6025" s="136">
        <f t="shared" si="205"/>
        <v>-17602.562896665797</v>
      </c>
    </row>
    <row r="6026" spans="1:13">
      <c r="A6026" s="54" t="str">
        <f t="shared" ref="A6026:A6028" si="206">D6026&amp;E6026&amp;F6026</f>
        <v>HRUBERHR</v>
      </c>
      <c r="B6026" t="s">
        <v>3214</v>
      </c>
      <c r="C6026" s="1">
        <v>46043</v>
      </c>
      <c r="D6026" s="242" t="s">
        <v>29</v>
      </c>
      <c r="E6026" s="71" t="s">
        <v>189</v>
      </c>
      <c r="F6026" s="71" t="s">
        <v>29</v>
      </c>
      <c r="J6026" s="71" t="s">
        <v>2536</v>
      </c>
      <c r="L6026" s="433">
        <v>515</v>
      </c>
      <c r="M6026" s="136">
        <f t="shared" si="205"/>
        <v>-18117.562896665797</v>
      </c>
    </row>
    <row r="6027" spans="1:13">
      <c r="A6027" s="54" t="str">
        <f t="shared" si="206"/>
        <v>CAPUBERCAP</v>
      </c>
      <c r="B6027" t="s">
        <v>3214</v>
      </c>
      <c r="C6027" s="1">
        <v>46043</v>
      </c>
      <c r="D6027" s="242" t="s">
        <v>31</v>
      </c>
      <c r="E6027" s="71" t="s">
        <v>189</v>
      </c>
      <c r="F6027" s="71" t="s">
        <v>31</v>
      </c>
      <c r="J6027" s="71" t="s">
        <v>2537</v>
      </c>
      <c r="L6027" s="433">
        <v>150</v>
      </c>
      <c r="M6027" s="136">
        <f t="shared" si="205"/>
        <v>-18267.562896665797</v>
      </c>
    </row>
    <row r="6028" spans="1:13">
      <c r="A6028" s="54" t="str">
        <f t="shared" si="206"/>
        <v>CAPUBERCAP</v>
      </c>
      <c r="B6028" t="s">
        <v>3214</v>
      </c>
      <c r="C6028" s="1">
        <v>46043</v>
      </c>
      <c r="D6028" s="242" t="s">
        <v>31</v>
      </c>
      <c r="E6028" s="71" t="s">
        <v>189</v>
      </c>
      <c r="F6028" s="71" t="s">
        <v>31</v>
      </c>
      <c r="J6028" s="71" t="s">
        <v>2268</v>
      </c>
      <c r="L6028" s="433">
        <v>256</v>
      </c>
      <c r="M6028" s="136">
        <f t="shared" si="205"/>
        <v>-18523.562896665797</v>
      </c>
    </row>
    <row r="6029" spans="1:13">
      <c r="A6029" s="54" t="str">
        <f>D6029&amp;E6029&amp;F6029</f>
        <v>CAPJMASE6</v>
      </c>
      <c r="B6029" t="s">
        <v>3214</v>
      </c>
      <c r="C6029" s="1">
        <v>46043</v>
      </c>
      <c r="D6029" s="242" t="s">
        <v>31</v>
      </c>
      <c r="E6029" s="71" t="s">
        <v>137</v>
      </c>
      <c r="F6029" s="71" t="s">
        <v>112</v>
      </c>
      <c r="J6029" s="71" t="s">
        <v>3080</v>
      </c>
      <c r="L6029" s="433">
        <v>100</v>
      </c>
      <c r="M6029" s="136">
        <f t="shared" si="205"/>
        <v>-18623.562896665797</v>
      </c>
    </row>
    <row r="6030" spans="1:13">
      <c r="A6030" s="54" t="str">
        <f>D6030&amp;E6030&amp;F6030</f>
        <v>CAPUBERCAP</v>
      </c>
      <c r="B6030" t="s">
        <v>3214</v>
      </c>
      <c r="C6030" s="1">
        <v>46043</v>
      </c>
      <c r="D6030" s="242" t="s">
        <v>31</v>
      </c>
      <c r="E6030" s="71" t="s">
        <v>189</v>
      </c>
      <c r="F6030" s="71" t="s">
        <v>31</v>
      </c>
      <c r="J6030" s="71" t="s">
        <v>3041</v>
      </c>
      <c r="L6030" s="433">
        <v>139</v>
      </c>
      <c r="M6030" s="136">
        <f t="shared" si="205"/>
        <v>-18762.562896665797</v>
      </c>
    </row>
    <row r="6031" spans="1:13">
      <c r="A6031" s="137" t="str">
        <f>D6031&amp;E6031&amp;F6031</f>
        <v/>
      </c>
      <c r="B6031" t="s">
        <v>3214</v>
      </c>
      <c r="C6031" s="1">
        <v>46043</v>
      </c>
      <c r="J6031" s="71" t="s">
        <v>3378</v>
      </c>
      <c r="L6031" s="432"/>
      <c r="M6031" s="136">
        <f t="shared" si="205"/>
        <v>-18762.562896665797</v>
      </c>
    </row>
    <row r="6032" spans="1:13">
      <c r="A6032" s="137" t="str">
        <f>D6032&amp;E6032&amp;F6032</f>
        <v/>
      </c>
      <c r="B6032" t="s">
        <v>3214</v>
      </c>
      <c r="C6032" s="1">
        <v>46044</v>
      </c>
      <c r="J6032" s="71" t="s">
        <v>2045</v>
      </c>
      <c r="K6032" s="325">
        <v>152215.71</v>
      </c>
      <c r="L6032" s="432"/>
      <c r="M6032" s="136">
        <f t="shared" si="205"/>
        <v>133453.14710333419</v>
      </c>
    </row>
    <row r="6033" spans="1:13">
      <c r="A6033" s="54" t="str">
        <f>D6033&amp;E6033&amp;F6033</f>
        <v>FINANZASCOMISIONES BANCARIASTPV</v>
      </c>
      <c r="B6033" t="s">
        <v>3214</v>
      </c>
      <c r="C6033" s="1">
        <v>46044</v>
      </c>
      <c r="D6033" s="242" t="s">
        <v>23</v>
      </c>
      <c r="E6033" s="71" t="s">
        <v>48</v>
      </c>
      <c r="F6033" s="71" t="s">
        <v>50</v>
      </c>
      <c r="J6033" s="71" t="s">
        <v>517</v>
      </c>
      <c r="L6033" s="433">
        <f>956.54+589.44+963.38+1143.46+118.48+38.28+259.55+127.16</f>
        <v>4196.2900000000009</v>
      </c>
      <c r="M6033" s="136">
        <f t="shared" si="205"/>
        <v>129256.85710333419</v>
      </c>
    </row>
    <row r="6034" spans="1:13">
      <c r="A6034" s="137" t="str">
        <f>D6034&amp;E6034&amp;F6034</f>
        <v/>
      </c>
      <c r="B6034" t="s">
        <v>3214</v>
      </c>
      <c r="C6034" s="1">
        <v>46044</v>
      </c>
      <c r="J6034" s="205" t="s">
        <v>1562</v>
      </c>
      <c r="K6034" s="205"/>
      <c r="L6034" s="428">
        <v>100000</v>
      </c>
      <c r="M6034" s="136">
        <f t="shared" si="205"/>
        <v>29256.857103334187</v>
      </c>
    </row>
    <row r="6035" spans="1:13">
      <c r="A6035" s="137" t="str">
        <f>D6035&amp;E6035&amp;F6035</f>
        <v/>
      </c>
      <c r="B6035" t="s">
        <v>3214</v>
      </c>
      <c r="C6035" s="1">
        <v>46044</v>
      </c>
      <c r="J6035" s="205" t="s">
        <v>222</v>
      </c>
      <c r="K6035" s="205"/>
      <c r="L6035" s="428"/>
      <c r="M6035" s="136">
        <f t="shared" si="205"/>
        <v>29256.857103334187</v>
      </c>
    </row>
    <row r="6036" spans="1:13">
      <c r="A6036" s="54" t="str">
        <f>D6036&amp;E6036&amp;F6036</f>
        <v>FINANZASENERGIA ELECTRICACEDIS</v>
      </c>
      <c r="B6036" t="s">
        <v>3214</v>
      </c>
      <c r="C6036" s="1">
        <v>46044</v>
      </c>
      <c r="D6036" s="242" t="s">
        <v>23</v>
      </c>
      <c r="E6036" s="71" t="s">
        <v>87</v>
      </c>
      <c r="F6036" s="71" t="s">
        <v>28</v>
      </c>
      <c r="J6036" s="71" t="s">
        <v>3379</v>
      </c>
      <c r="L6036" s="433">
        <v>636</v>
      </c>
      <c r="M6036" s="136">
        <f t="shared" si="205"/>
        <v>28620.857103334187</v>
      </c>
    </row>
    <row r="6037" spans="1:13">
      <c r="A6037" s="54" t="str">
        <f>D6037&amp;E6037&amp;F6037</f>
        <v>FINANZASFONDO Y REPOSICIONFINANZAS</v>
      </c>
      <c r="B6037" t="s">
        <v>3214</v>
      </c>
      <c r="C6037" s="1">
        <v>46044</v>
      </c>
      <c r="D6037" s="242" t="s">
        <v>23</v>
      </c>
      <c r="E6037" s="71" t="s">
        <v>120</v>
      </c>
      <c r="F6037" s="71" t="s">
        <v>23</v>
      </c>
      <c r="J6037" s="71" t="s">
        <v>3380</v>
      </c>
      <c r="L6037" s="433">
        <v>250</v>
      </c>
      <c r="M6037" s="136">
        <f t="shared" si="205"/>
        <v>28370.857103334187</v>
      </c>
    </row>
    <row r="6038" spans="1:13">
      <c r="A6038" s="54" t="str">
        <f>D6038&amp;E6038&amp;F6038</f>
        <v>HRFONDO Y REPOSICIONHR</v>
      </c>
      <c r="B6038" t="s">
        <v>3214</v>
      </c>
      <c r="C6038" s="1">
        <v>46044</v>
      </c>
      <c r="D6038" s="242" t="s">
        <v>29</v>
      </c>
      <c r="E6038" s="71" t="s">
        <v>120</v>
      </c>
      <c r="F6038" s="71" t="s">
        <v>29</v>
      </c>
      <c r="J6038" s="71" t="s">
        <v>830</v>
      </c>
      <c r="L6038" s="433">
        <v>2100</v>
      </c>
      <c r="M6038" s="136">
        <f t="shared" si="205"/>
        <v>26270.857103334187</v>
      </c>
    </row>
    <row r="6039" spans="1:13">
      <c r="A6039" s="54" t="str">
        <f>D6039&amp;E6039&amp;F6039</f>
        <v>MKTINSUMOSINSUMOS</v>
      </c>
      <c r="B6039" t="s">
        <v>3214</v>
      </c>
      <c r="C6039" s="1">
        <v>46044</v>
      </c>
      <c r="D6039" s="242" t="s">
        <v>19</v>
      </c>
      <c r="E6039" s="71" t="s">
        <v>133</v>
      </c>
      <c r="F6039" s="242" t="s">
        <v>133</v>
      </c>
      <c r="J6039" s="71" t="s">
        <v>3381</v>
      </c>
      <c r="L6039" s="433">
        <v>3000</v>
      </c>
      <c r="M6039" s="136">
        <f t="shared" si="205"/>
        <v>23270.857103334187</v>
      </c>
    </row>
    <row r="6040" spans="1:13">
      <c r="A6040" s="54" t="str">
        <f>D6040&amp;E6040&amp;F6040</f>
        <v>HRVIATICOSHR</v>
      </c>
      <c r="B6040" t="s">
        <v>3214</v>
      </c>
      <c r="C6040" s="1">
        <v>46044</v>
      </c>
      <c r="D6040" s="242" t="s">
        <v>29</v>
      </c>
      <c r="E6040" s="71" t="s">
        <v>191</v>
      </c>
      <c r="F6040" s="71" t="s">
        <v>29</v>
      </c>
      <c r="J6040" s="71" t="s">
        <v>284</v>
      </c>
      <c r="L6040" s="433">
        <v>2200</v>
      </c>
      <c r="M6040" s="136">
        <f t="shared" si="205"/>
        <v>21070.857103334187</v>
      </c>
    </row>
    <row r="6041" spans="1:13">
      <c r="A6041" s="54" t="str">
        <f>D6041&amp;E6041&amp;F6041</f>
        <v>SGEVIATICOSGESTION EMPRESARIAL</v>
      </c>
      <c r="B6041" t="s">
        <v>3214</v>
      </c>
      <c r="C6041" s="1">
        <v>46044</v>
      </c>
      <c r="D6041" s="242" t="s">
        <v>39</v>
      </c>
      <c r="E6041" s="71" t="s">
        <v>191</v>
      </c>
      <c r="F6041" s="71" t="s">
        <v>40</v>
      </c>
      <c r="J6041" s="71" t="s">
        <v>1030</v>
      </c>
      <c r="L6041" s="433">
        <v>1800</v>
      </c>
      <c r="M6041" s="136">
        <f t="shared" si="205"/>
        <v>19270.857103334187</v>
      </c>
    </row>
    <row r="6042" spans="1:13">
      <c r="A6042" s="137" t="str">
        <f>D6042&amp;E6042&amp;F6042</f>
        <v>MKT</v>
      </c>
      <c r="B6042" t="s">
        <v>3214</v>
      </c>
      <c r="C6042" s="1">
        <v>46044</v>
      </c>
      <c r="D6042" s="387" t="s">
        <v>19</v>
      </c>
      <c r="E6042" s="387"/>
      <c r="F6042" s="387"/>
      <c r="J6042" s="71" t="s">
        <v>3382</v>
      </c>
      <c r="L6042" s="433">
        <v>1500</v>
      </c>
      <c r="M6042" s="136">
        <f t="shared" si="205"/>
        <v>17770.857103334187</v>
      </c>
    </row>
    <row r="6043" spans="1:13">
      <c r="A6043" s="54" t="str">
        <f>D6043&amp;E6043&amp;F6043</f>
        <v>SERVICIOSMTTO EQ DE TRANSPORTECEDIS</v>
      </c>
      <c r="B6043" t="s">
        <v>3214</v>
      </c>
      <c r="C6043" s="1">
        <v>46044</v>
      </c>
      <c r="D6043" s="242" t="s">
        <v>21</v>
      </c>
      <c r="E6043" s="71" t="s">
        <v>144</v>
      </c>
      <c r="F6043" s="71" t="s">
        <v>28</v>
      </c>
      <c r="J6043" s="71" t="s">
        <v>3383</v>
      </c>
      <c r="L6043" s="433">
        <v>7110</v>
      </c>
      <c r="M6043" s="136">
        <f t="shared" si="205"/>
        <v>10660.857103334187</v>
      </c>
    </row>
    <row r="6044" spans="1:13">
      <c r="A6044" s="54" t="str">
        <f>D6044&amp;E6044&amp;F6044</f>
        <v>CAPVIATICOSCAPRICHOS</v>
      </c>
      <c r="B6044" t="s">
        <v>3214</v>
      </c>
      <c r="C6044" s="1">
        <v>46044</v>
      </c>
      <c r="D6044" s="242" t="s">
        <v>31</v>
      </c>
      <c r="E6044" s="71" t="s">
        <v>191</v>
      </c>
      <c r="F6044" s="71" t="s">
        <v>33</v>
      </c>
      <c r="J6044" s="71" t="s">
        <v>1132</v>
      </c>
      <c r="L6044" s="433">
        <v>1500</v>
      </c>
      <c r="M6044" s="136">
        <f t="shared" si="205"/>
        <v>9160.8571033341868</v>
      </c>
    </row>
    <row r="6045" spans="1:13">
      <c r="A6045" s="54" t="str">
        <f>D6045&amp;E6045&amp;F6045</f>
        <v>HRUBERHR</v>
      </c>
      <c r="B6045" t="s">
        <v>3214</v>
      </c>
      <c r="C6045" s="1">
        <v>46044</v>
      </c>
      <c r="D6045" s="242" t="s">
        <v>29</v>
      </c>
      <c r="E6045" s="71" t="s">
        <v>189</v>
      </c>
      <c r="F6045" s="71" t="s">
        <v>29</v>
      </c>
      <c r="J6045" s="76" t="s">
        <v>2536</v>
      </c>
      <c r="L6045" s="434">
        <v>350</v>
      </c>
      <c r="M6045" s="136">
        <f t="shared" si="205"/>
        <v>8810.8571033341868</v>
      </c>
    </row>
    <row r="6046" spans="1:13">
      <c r="A6046" s="54" t="str">
        <f>D6046&amp;E6046&amp;F6046</f>
        <v>SERVICIOSMTTO DE EDIFICIOMANTENIMIENTO</v>
      </c>
      <c r="B6046" t="s">
        <v>3214</v>
      </c>
      <c r="C6046" s="1">
        <v>46044</v>
      </c>
      <c r="D6046" s="242" t="s">
        <v>21</v>
      </c>
      <c r="E6046" s="71" t="s">
        <v>142</v>
      </c>
      <c r="F6046" s="71" t="s">
        <v>35</v>
      </c>
      <c r="J6046" s="76" t="s">
        <v>3351</v>
      </c>
      <c r="L6046" s="434">
        <v>200</v>
      </c>
      <c r="M6046" s="136">
        <f t="shared" si="205"/>
        <v>8610.8571033341868</v>
      </c>
    </row>
    <row r="6047" spans="1:13">
      <c r="A6047" s="54" t="str">
        <f t="shared" ref="A6047:A6048" si="207">D6047&amp;E6047&amp;F6047</f>
        <v>CAPUBERCAP</v>
      </c>
      <c r="B6047" t="s">
        <v>3214</v>
      </c>
      <c r="C6047" s="1">
        <v>46044</v>
      </c>
      <c r="D6047" s="242" t="s">
        <v>31</v>
      </c>
      <c r="E6047" s="71" t="s">
        <v>189</v>
      </c>
      <c r="F6047" s="71" t="s">
        <v>31</v>
      </c>
      <c r="J6047" s="76" t="s">
        <v>2267</v>
      </c>
      <c r="L6047" s="434">
        <v>382</v>
      </c>
      <c r="M6047" s="136">
        <f t="shared" si="205"/>
        <v>8228.8571033341868</v>
      </c>
    </row>
    <row r="6048" spans="1:13">
      <c r="A6048" s="54" t="str">
        <f t="shared" si="207"/>
        <v>CAPUBERCAP</v>
      </c>
      <c r="B6048" t="s">
        <v>3214</v>
      </c>
      <c r="C6048" s="1">
        <v>46044</v>
      </c>
      <c r="D6048" s="242" t="s">
        <v>31</v>
      </c>
      <c r="E6048" s="71" t="s">
        <v>189</v>
      </c>
      <c r="F6048" s="71" t="s">
        <v>31</v>
      </c>
      <c r="J6048" s="76" t="s">
        <v>2537</v>
      </c>
      <c r="L6048" s="434">
        <v>200</v>
      </c>
      <c r="M6048" s="136">
        <f t="shared" si="205"/>
        <v>8028.8571033341868</v>
      </c>
    </row>
    <row r="6049" spans="1:13">
      <c r="A6049" s="54" t="str">
        <f>D6049&amp;E6049&amp;F6049</f>
        <v>FINANZASCUOTAS Y SUSCRIPCIONESCANACO</v>
      </c>
      <c r="B6049" t="s">
        <v>3214</v>
      </c>
      <c r="C6049" s="1">
        <v>46044</v>
      </c>
      <c r="D6049" s="242" t="s">
        <v>23</v>
      </c>
      <c r="E6049" s="242" t="s">
        <v>51</v>
      </c>
      <c r="F6049" s="242" t="s">
        <v>67</v>
      </c>
      <c r="G6049" s="71" t="s">
        <v>258</v>
      </c>
      <c r="J6049" s="76" t="s">
        <v>3384</v>
      </c>
      <c r="L6049" s="434">
        <v>640</v>
      </c>
      <c r="M6049" s="136">
        <f t="shared" si="205"/>
        <v>7388.8571033341868</v>
      </c>
    </row>
    <row r="6050" spans="1:13">
      <c r="A6050" s="54" t="str">
        <f>D6050&amp;E6050&amp;F6050</f>
        <v>SERVICIOSMTTO DE EDIFICIOMANTENIMIENTO</v>
      </c>
      <c r="B6050" t="s">
        <v>3214</v>
      </c>
      <c r="C6050" s="1">
        <v>46044</v>
      </c>
      <c r="D6050" s="242" t="s">
        <v>21</v>
      </c>
      <c r="E6050" s="71" t="s">
        <v>142</v>
      </c>
      <c r="F6050" s="71" t="s">
        <v>35</v>
      </c>
      <c r="J6050" s="76" t="s">
        <v>3385</v>
      </c>
      <c r="L6050" s="434">
        <v>806</v>
      </c>
      <c r="M6050" s="136">
        <f t="shared" si="205"/>
        <v>6582.8571033341868</v>
      </c>
    </row>
    <row r="6051" spans="1:13">
      <c r="A6051" s="54" t="str">
        <f>D6051&amp;E6051&amp;F6051</f>
        <v>CAPUBERCAP</v>
      </c>
      <c r="B6051" t="s">
        <v>3214</v>
      </c>
      <c r="C6051" s="1">
        <v>46044</v>
      </c>
      <c r="D6051" s="242" t="s">
        <v>31</v>
      </c>
      <c r="E6051" s="71" t="s">
        <v>189</v>
      </c>
      <c r="F6051" s="71" t="s">
        <v>31</v>
      </c>
      <c r="J6051" s="76" t="s">
        <v>3386</v>
      </c>
      <c r="L6051" s="434">
        <v>100</v>
      </c>
      <c r="M6051" s="136">
        <f t="shared" si="205"/>
        <v>6482.8571033341868</v>
      </c>
    </row>
    <row r="6052" spans="1:13">
      <c r="A6052" s="137" t="str">
        <f>D6052&amp;E6052&amp;F6052</f>
        <v/>
      </c>
      <c r="B6052" t="s">
        <v>3214</v>
      </c>
      <c r="C6052" s="1">
        <v>46045</v>
      </c>
      <c r="J6052" s="71" t="s">
        <v>2045</v>
      </c>
      <c r="K6052" s="325">
        <v>166271.24</v>
      </c>
      <c r="L6052" s="432"/>
      <c r="M6052" s="136">
        <f t="shared" si="205"/>
        <v>172754.09710333418</v>
      </c>
    </row>
    <row r="6053" spans="1:13">
      <c r="A6053" s="137"/>
      <c r="B6053" t="s">
        <v>3214</v>
      </c>
      <c r="C6053" s="1">
        <v>46045</v>
      </c>
      <c r="J6053" s="71" t="s">
        <v>3387</v>
      </c>
      <c r="K6053" s="325">
        <v>119.16</v>
      </c>
      <c r="L6053" s="432"/>
      <c r="M6053" s="136">
        <f t="shared" si="205"/>
        <v>172873.25710333418</v>
      </c>
    </row>
    <row r="6054" spans="1:13">
      <c r="A6054" s="137"/>
      <c r="B6054" t="s">
        <v>3214</v>
      </c>
      <c r="C6054" s="1">
        <v>46045</v>
      </c>
      <c r="J6054" s="71" t="s">
        <v>3388</v>
      </c>
      <c r="L6054" s="433">
        <v>2377.34</v>
      </c>
      <c r="M6054" s="136">
        <f t="shared" si="205"/>
        <v>170495.91710333418</v>
      </c>
    </row>
    <row r="6055" spans="1:13">
      <c r="A6055" s="137"/>
      <c r="B6055" t="s">
        <v>3214</v>
      </c>
      <c r="C6055" s="1">
        <v>46045</v>
      </c>
      <c r="J6055" s="71" t="s">
        <v>3389</v>
      </c>
      <c r="K6055" s="325">
        <v>259.52999999999997</v>
      </c>
      <c r="L6055" s="432"/>
      <c r="M6055" s="136">
        <f t="shared" si="205"/>
        <v>170755.44710333418</v>
      </c>
    </row>
    <row r="6056" spans="1:13">
      <c r="A6056" s="137"/>
      <c r="B6056" t="s">
        <v>3214</v>
      </c>
      <c r="C6056" s="1">
        <v>46045</v>
      </c>
      <c r="J6056" s="71" t="s">
        <v>3390</v>
      </c>
      <c r="L6056" s="433">
        <v>1428.45</v>
      </c>
      <c r="M6056" s="136">
        <f t="shared" si="205"/>
        <v>169326.99710333417</v>
      </c>
    </row>
    <row r="6057" spans="1:13">
      <c r="A6057" s="54" t="str">
        <f>D6057&amp;E6057&amp;F6057</f>
        <v>FINANZASCOMISIONES BANCARIASTPV</v>
      </c>
      <c r="B6057" t="s">
        <v>3214</v>
      </c>
      <c r="C6057" s="1">
        <v>46045</v>
      </c>
      <c r="D6057" s="242" t="s">
        <v>23</v>
      </c>
      <c r="E6057" s="71" t="s">
        <v>48</v>
      </c>
      <c r="F6057" s="71" t="s">
        <v>50</v>
      </c>
      <c r="J6057" s="71" t="s">
        <v>517</v>
      </c>
      <c r="L6057" s="433">
        <f>9.7+158.13+5.8+5.8+6.96+220+830.39+880.64+924.78+182.03</f>
        <v>3224.23</v>
      </c>
      <c r="M6057" s="136">
        <f t="shared" si="205"/>
        <v>166102.76710333416</v>
      </c>
    </row>
    <row r="6058" spans="1:13">
      <c r="A6058" s="137" t="str">
        <f>D6058&amp;E6058&amp;F6058</f>
        <v/>
      </c>
      <c r="B6058" t="s">
        <v>3214</v>
      </c>
      <c r="C6058" s="1">
        <v>46045</v>
      </c>
      <c r="J6058" s="205" t="s">
        <v>1562</v>
      </c>
      <c r="K6058" s="205"/>
      <c r="L6058" s="428">
        <v>150000</v>
      </c>
      <c r="M6058" s="136">
        <f t="shared" si="205"/>
        <v>16102.767103334161</v>
      </c>
    </row>
    <row r="6059" spans="1:13">
      <c r="A6059" s="137" t="str">
        <f>D6059&amp;E6059&amp;F6059</f>
        <v/>
      </c>
      <c r="B6059" t="s">
        <v>3214</v>
      </c>
      <c r="C6059" s="1">
        <v>46045</v>
      </c>
      <c r="J6059" s="205" t="s">
        <v>222</v>
      </c>
      <c r="K6059" s="205"/>
      <c r="L6059" s="428"/>
      <c r="M6059" s="136">
        <f t="shared" si="205"/>
        <v>16102.767103334161</v>
      </c>
    </row>
    <row r="6060" spans="1:13">
      <c r="A6060" s="137" t="str">
        <f>D6061&amp;E6061&amp;F6061</f>
        <v>MKTINSUMOSINSUMOS</v>
      </c>
      <c r="B6060" t="s">
        <v>3214</v>
      </c>
      <c r="C6060" s="1">
        <v>46045</v>
      </c>
      <c r="J6060" s="71" t="s">
        <v>3391</v>
      </c>
      <c r="L6060" s="433">
        <v>3150</v>
      </c>
      <c r="M6060" s="136">
        <f t="shared" si="205"/>
        <v>12952.767103334161</v>
      </c>
    </row>
    <row r="6061" spans="1:13">
      <c r="A6061" s="137" t="str">
        <f>D6061&amp;E6061&amp;F6061</f>
        <v>MKTINSUMOSINSUMOS</v>
      </c>
      <c r="B6061" t="s">
        <v>3214</v>
      </c>
      <c r="C6061" s="1">
        <v>46045</v>
      </c>
      <c r="D6061" s="242" t="s">
        <v>19</v>
      </c>
      <c r="E6061" s="71" t="s">
        <v>133</v>
      </c>
      <c r="F6061" s="242" t="s">
        <v>133</v>
      </c>
      <c r="J6061" s="71" t="s">
        <v>3392</v>
      </c>
      <c r="L6061" s="433">
        <v>1800</v>
      </c>
      <c r="M6061" s="136">
        <f t="shared" si="205"/>
        <v>11152.767103334161</v>
      </c>
    </row>
    <row r="6062" spans="1:13">
      <c r="A6062" s="137" t="str">
        <f>D6062&amp;E6062&amp;F6062</f>
        <v>MKTVIATICOSMKT</v>
      </c>
      <c r="B6062" t="s">
        <v>3214</v>
      </c>
      <c r="C6062" s="1">
        <v>46045</v>
      </c>
      <c r="D6062" s="242" t="s">
        <v>19</v>
      </c>
      <c r="E6062" s="71" t="s">
        <v>191</v>
      </c>
      <c r="F6062" s="71" t="s">
        <v>19</v>
      </c>
      <c r="J6062" s="71" t="s">
        <v>3393</v>
      </c>
      <c r="L6062" s="433">
        <v>1900</v>
      </c>
      <c r="M6062" s="136">
        <f t="shared" si="205"/>
        <v>9252.7671033341612</v>
      </c>
    </row>
    <row r="6063" spans="1:13">
      <c r="A6063" s="137" t="str">
        <f>D6063&amp;E6063&amp;F6063</f>
        <v>MKTACTIVACIONMKT</v>
      </c>
      <c r="B6063" t="s">
        <v>3214</v>
      </c>
      <c r="C6063" s="1">
        <v>46045</v>
      </c>
      <c r="D6063" s="242" t="s">
        <v>19</v>
      </c>
      <c r="E6063" s="71" t="s">
        <v>2236</v>
      </c>
      <c r="F6063" s="71" t="s">
        <v>19</v>
      </c>
      <c r="J6063" s="71" t="s">
        <v>2362</v>
      </c>
      <c r="L6063" s="433">
        <v>3290</v>
      </c>
      <c r="M6063" s="136">
        <f t="shared" si="205"/>
        <v>5962.7671033341612</v>
      </c>
    </row>
    <row r="6064" spans="1:13">
      <c r="A6064" s="137" t="str">
        <f>D6064&amp;E6064&amp;F6064</f>
        <v>SERVICIOSVIATICOSCADENA DE SUMINISTROS</v>
      </c>
      <c r="B6064" t="s">
        <v>3214</v>
      </c>
      <c r="C6064" s="1">
        <v>46045</v>
      </c>
      <c r="D6064" s="242" t="s">
        <v>21</v>
      </c>
      <c r="E6064" s="71" t="s">
        <v>191</v>
      </c>
      <c r="F6064" s="71" t="s">
        <v>134</v>
      </c>
      <c r="J6064" s="71" t="s">
        <v>3394</v>
      </c>
      <c r="L6064" s="433">
        <v>2000</v>
      </c>
      <c r="M6064" s="136">
        <f t="shared" si="205"/>
        <v>3962.7671033341612</v>
      </c>
    </row>
    <row r="6065" spans="1:13">
      <c r="A6065" s="137" t="str">
        <f>D6065&amp;E6065&amp;F6065</f>
        <v>FINANZASVIATICOSFINANZAS</v>
      </c>
      <c r="B6065" t="s">
        <v>3214</v>
      </c>
      <c r="C6065" s="1">
        <v>46045</v>
      </c>
      <c r="D6065" s="242" t="s">
        <v>23</v>
      </c>
      <c r="E6065" s="71" t="s">
        <v>191</v>
      </c>
      <c r="F6065" s="71" t="s">
        <v>23</v>
      </c>
      <c r="J6065" s="71" t="s">
        <v>3091</v>
      </c>
      <c r="L6065" s="433">
        <v>490</v>
      </c>
      <c r="M6065" s="136">
        <f t="shared" si="205"/>
        <v>3472.7671033341612</v>
      </c>
    </row>
    <row r="6066" spans="1:13">
      <c r="A6066" s="137" t="str">
        <f>D6066&amp;E6066&amp;F6066</f>
        <v>SERVICIOSFONDO Y REPOSICIONSERVICIOS</v>
      </c>
      <c r="B6066" t="s">
        <v>3214</v>
      </c>
      <c r="C6066" s="1">
        <v>46045</v>
      </c>
      <c r="D6066" s="242" t="s">
        <v>21</v>
      </c>
      <c r="E6066" s="71" t="s">
        <v>120</v>
      </c>
      <c r="F6066" s="71" t="s">
        <v>21</v>
      </c>
      <c r="J6066" s="71" t="s">
        <v>900</v>
      </c>
      <c r="L6066" s="433">
        <v>2000</v>
      </c>
      <c r="M6066" s="136">
        <f t="shared" si="205"/>
        <v>1472.7671033341612</v>
      </c>
    </row>
    <row r="6067" spans="1:13">
      <c r="A6067" s="137" t="str">
        <f>D6067&amp;E6067&amp;F6067</f>
        <v>SERVICIOSINSUMOSCOFFE</v>
      </c>
      <c r="B6067" t="s">
        <v>3214</v>
      </c>
      <c r="C6067" s="1">
        <v>46045</v>
      </c>
      <c r="D6067" s="242" t="s">
        <v>21</v>
      </c>
      <c r="E6067" s="71" t="s">
        <v>133</v>
      </c>
      <c r="F6067" s="71" t="s">
        <v>135</v>
      </c>
      <c r="J6067" s="71" t="s">
        <v>1881</v>
      </c>
      <c r="L6067" s="433">
        <v>2000</v>
      </c>
      <c r="M6067" s="136">
        <f t="shared" si="205"/>
        <v>-527.23289666583878</v>
      </c>
    </row>
    <row r="6068" spans="1:13">
      <c r="A6068" s="137" t="str">
        <f>D6068&amp;E6068&amp;F6068</f>
        <v>MKTIMAGEN VISUAL</v>
      </c>
      <c r="B6068" t="s">
        <v>3214</v>
      </c>
      <c r="C6068" s="1">
        <v>46045</v>
      </c>
      <c r="D6068" s="387" t="s">
        <v>19</v>
      </c>
      <c r="E6068" s="387" t="s">
        <v>127</v>
      </c>
      <c r="F6068" s="387"/>
      <c r="J6068" s="71" t="s">
        <v>3395</v>
      </c>
      <c r="L6068" s="433">
        <v>908.51</v>
      </c>
      <c r="M6068" s="136">
        <f t="shared" si="205"/>
        <v>-1435.7428966658388</v>
      </c>
    </row>
    <row r="6069" spans="1:13">
      <c r="A6069" s="137" t="str">
        <f>D6069&amp;E6069&amp;F6069</f>
        <v>SERVICIOSVIATICOSASESORES</v>
      </c>
      <c r="B6069" t="s">
        <v>3214</v>
      </c>
      <c r="C6069" s="1">
        <v>46045</v>
      </c>
      <c r="D6069" s="242" t="s">
        <v>21</v>
      </c>
      <c r="E6069" s="71" t="s">
        <v>191</v>
      </c>
      <c r="F6069" t="s">
        <v>192</v>
      </c>
      <c r="J6069" s="71" t="s">
        <v>3396</v>
      </c>
      <c r="L6069" s="433">
        <v>5800</v>
      </c>
      <c r="M6069" s="136">
        <f t="shared" si="205"/>
        <v>-7235.742896665839</v>
      </c>
    </row>
    <row r="6070" spans="1:13">
      <c r="A6070" s="54" t="str">
        <f t="shared" ref="A6070:A6071" si="208">D6070&amp;E6070&amp;F6070</f>
        <v>CAPUBERCAP</v>
      </c>
      <c r="B6070" t="s">
        <v>3214</v>
      </c>
      <c r="C6070" s="1">
        <v>46045</v>
      </c>
      <c r="D6070" s="242" t="s">
        <v>31</v>
      </c>
      <c r="E6070" s="71" t="s">
        <v>189</v>
      </c>
      <c r="F6070" s="71" t="s">
        <v>31</v>
      </c>
      <c r="J6070" s="71" t="s">
        <v>2267</v>
      </c>
      <c r="L6070" s="433">
        <v>220</v>
      </c>
      <c r="M6070" s="136">
        <f t="shared" si="205"/>
        <v>-7455.742896665839</v>
      </c>
    </row>
    <row r="6071" spans="1:13">
      <c r="A6071" s="54" t="str">
        <f t="shared" si="208"/>
        <v>CAPUBERCAP</v>
      </c>
      <c r="B6071" t="s">
        <v>3214</v>
      </c>
      <c r="C6071" s="1">
        <v>46045</v>
      </c>
      <c r="D6071" s="242" t="s">
        <v>31</v>
      </c>
      <c r="E6071" s="71" t="s">
        <v>189</v>
      </c>
      <c r="F6071" s="71" t="s">
        <v>31</v>
      </c>
      <c r="J6071" s="71" t="s">
        <v>2537</v>
      </c>
      <c r="L6071" s="433">
        <v>200</v>
      </c>
      <c r="M6071" s="136">
        <f t="shared" si="205"/>
        <v>-7655.742896665839</v>
      </c>
    </row>
    <row r="6072" spans="1:13">
      <c r="A6072" s="137" t="str">
        <f>D6072&amp;E6072&amp;F6072</f>
        <v>CAPFONDO Y REPOSICIONCAPRICHOS</v>
      </c>
      <c r="B6072" t="s">
        <v>3214</v>
      </c>
      <c r="C6072" s="1">
        <v>46045</v>
      </c>
      <c r="D6072" s="242" t="s">
        <v>31</v>
      </c>
      <c r="E6072" s="71" t="s">
        <v>120</v>
      </c>
      <c r="F6072" s="71" t="s">
        <v>33</v>
      </c>
      <c r="J6072" s="71" t="s">
        <v>3397</v>
      </c>
      <c r="L6072" s="433">
        <v>130</v>
      </c>
      <c r="M6072" s="136">
        <f t="shared" si="205"/>
        <v>-7785.742896665839</v>
      </c>
    </row>
    <row r="6073" spans="1:13">
      <c r="A6073" s="137" t="str">
        <f>D6073&amp;E6073&amp;F6073</f>
        <v/>
      </c>
      <c r="B6073" t="s">
        <v>3214</v>
      </c>
      <c r="C6073" s="1">
        <v>46045</v>
      </c>
      <c r="J6073" s="71" t="s">
        <v>3398</v>
      </c>
      <c r="L6073" s="433">
        <v>337</v>
      </c>
      <c r="M6073" s="136">
        <f>M6072+K6073-L6073</f>
        <v>-8122.742896665839</v>
      </c>
    </row>
    <row r="6074" spans="1:13">
      <c r="A6074" s="54" t="str">
        <f>D6074&amp;E6074&amp;F6074</f>
        <v>CAPUBERCAP</v>
      </c>
      <c r="B6074" t="s">
        <v>3214</v>
      </c>
      <c r="C6074" s="1">
        <v>46045</v>
      </c>
      <c r="D6074" s="242" t="s">
        <v>31</v>
      </c>
      <c r="E6074" s="71" t="s">
        <v>189</v>
      </c>
      <c r="F6074" s="71" t="s">
        <v>31</v>
      </c>
      <c r="J6074" s="71" t="s">
        <v>3399</v>
      </c>
      <c r="L6074" s="433">
        <v>100</v>
      </c>
      <c r="M6074" s="136">
        <f>M6073+K6074-L6074</f>
        <v>-8222.742896665839</v>
      </c>
    </row>
    <row r="6075" spans="1:13">
      <c r="A6075" s="137" t="str">
        <f>D6075&amp;E6075&amp;F6075</f>
        <v>SERVICIOSMTTO DE EDIFICIOMANTENIMIENTO</v>
      </c>
      <c r="B6075" t="s">
        <v>3214</v>
      </c>
      <c r="C6075" s="1">
        <v>46045</v>
      </c>
      <c r="D6075" s="242" t="s">
        <v>21</v>
      </c>
      <c r="E6075" s="71" t="s">
        <v>142</v>
      </c>
      <c r="F6075" s="71" t="s">
        <v>35</v>
      </c>
      <c r="J6075" s="71" t="s">
        <v>3400</v>
      </c>
      <c r="L6075" s="433">
        <v>489</v>
      </c>
      <c r="M6075" s="136">
        <f>M6074+K6075-L6075</f>
        <v>-8711.742896665839</v>
      </c>
    </row>
    <row r="6076" spans="1:13">
      <c r="A6076" s="54" t="str">
        <f t="shared" ref="A6076:A6077" si="209">D6076&amp;E6076&amp;F6076</f>
        <v>CAPUBERCAP</v>
      </c>
      <c r="B6076" t="s">
        <v>3214</v>
      </c>
      <c r="C6076" s="1">
        <v>46045</v>
      </c>
      <c r="D6076" s="242" t="s">
        <v>31</v>
      </c>
      <c r="E6076" s="71" t="s">
        <v>189</v>
      </c>
      <c r="F6076" s="71" t="s">
        <v>31</v>
      </c>
      <c r="J6076" s="71" t="s">
        <v>3356</v>
      </c>
      <c r="L6076" s="433">
        <v>580</v>
      </c>
      <c r="M6076" s="136">
        <f>M6075+K6076-L6076</f>
        <v>-9291.742896665839</v>
      </c>
    </row>
    <row r="6077" spans="1:13">
      <c r="A6077" s="54" t="str">
        <f t="shared" si="209"/>
        <v>HRUBERHR</v>
      </c>
      <c r="B6077" t="s">
        <v>3214</v>
      </c>
      <c r="C6077" s="1">
        <v>46045</v>
      </c>
      <c r="D6077" s="242" t="s">
        <v>29</v>
      </c>
      <c r="E6077" s="71" t="s">
        <v>189</v>
      </c>
      <c r="F6077" s="71" t="s">
        <v>29</v>
      </c>
      <c r="J6077" s="71" t="s">
        <v>3281</v>
      </c>
      <c r="L6077" s="433">
        <v>450</v>
      </c>
      <c r="M6077" s="136">
        <f>M6076+K6077-L6077</f>
        <v>-9741.742896665839</v>
      </c>
    </row>
    <row r="6078" spans="1:13">
      <c r="A6078" s="137" t="str">
        <f>D6078&amp;E6078&amp;F6078</f>
        <v/>
      </c>
      <c r="B6078" t="s">
        <v>3214</v>
      </c>
      <c r="C6078" s="1">
        <v>46048</v>
      </c>
      <c r="J6078" s="71" t="s">
        <v>2045</v>
      </c>
      <c r="K6078" s="325">
        <v>684270.67</v>
      </c>
      <c r="L6078" s="432"/>
      <c r="M6078" s="136">
        <f>M6077+K6078-L6078</f>
        <v>674528.92710333422</v>
      </c>
    </row>
    <row r="6079" spans="1:13">
      <c r="A6079" s="137" t="str">
        <f>D6079&amp;E6079&amp;F6079</f>
        <v>FINANZASCOMISIONES BANCARIASTPV</v>
      </c>
      <c r="B6079" t="s">
        <v>3214</v>
      </c>
      <c r="C6079" s="1">
        <v>46048</v>
      </c>
      <c r="D6079" s="242" t="s">
        <v>23</v>
      </c>
      <c r="E6079" s="71" t="s">
        <v>48</v>
      </c>
      <c r="F6079" s="71" t="s">
        <v>50</v>
      </c>
      <c r="J6079" s="71" t="s">
        <v>517</v>
      </c>
      <c r="L6079" s="433">
        <f>605.54+149.26+770.43+20.88+1650.79+4798.79+2090.89+4497.19</f>
        <v>14583.77</v>
      </c>
      <c r="M6079" s="136">
        <f>M6078+K6079-L6079</f>
        <v>659945.1571033342</v>
      </c>
    </row>
    <row r="6080" spans="1:13">
      <c r="A6080" s="137" t="str">
        <f>D6080&amp;E6080&amp;F6080</f>
        <v/>
      </c>
      <c r="B6080" t="s">
        <v>3214</v>
      </c>
      <c r="C6080" s="1">
        <v>46048</v>
      </c>
      <c r="J6080" s="205" t="s">
        <v>1562</v>
      </c>
      <c r="K6080" s="205"/>
      <c r="L6080" s="428">
        <v>400000</v>
      </c>
      <c r="M6080" s="136">
        <f>M6079+K6080-L6080</f>
        <v>259945.1571033342</v>
      </c>
    </row>
    <row r="6081" spans="1:13">
      <c r="A6081" s="137" t="str">
        <f>D6081&amp;E6081&amp;F6081</f>
        <v/>
      </c>
      <c r="B6081" t="s">
        <v>3214</v>
      </c>
      <c r="C6081" s="1">
        <v>46048</v>
      </c>
      <c r="J6081" s="205" t="s">
        <v>222</v>
      </c>
      <c r="K6081" s="205"/>
      <c r="L6081" s="205"/>
      <c r="M6081" s="136">
        <f>M6080+K6081-L6081</f>
        <v>259945.1571033342</v>
      </c>
    </row>
    <row r="6082" spans="1:13">
      <c r="A6082" s="137" t="str">
        <f>D6082&amp;E6082&amp;F6082</f>
        <v>FINANZASRECOLECCION DE BASURAHR</v>
      </c>
      <c r="B6082" t="s">
        <v>3214</v>
      </c>
      <c r="C6082" s="1">
        <v>46048</v>
      </c>
      <c r="D6082" s="242" t="s">
        <v>23</v>
      </c>
      <c r="E6082" s="71" t="s">
        <v>166</v>
      </c>
      <c r="F6082" s="71" t="s">
        <v>29</v>
      </c>
      <c r="J6082" s="71" t="s">
        <v>3401</v>
      </c>
      <c r="L6082" s="433">
        <v>5261.67</v>
      </c>
      <c r="M6082" s="136">
        <f>M6081+K6082-L6082</f>
        <v>254683.48710333419</v>
      </c>
    </row>
    <row r="6083" spans="1:13">
      <c r="A6083" s="137" t="str">
        <f>D6083&amp;E6083&amp;F6083</f>
        <v/>
      </c>
      <c r="B6083" t="s">
        <v>3214</v>
      </c>
      <c r="C6083" s="1">
        <v>46048</v>
      </c>
      <c r="J6083" s="71" t="s">
        <v>3402</v>
      </c>
      <c r="L6083" s="433">
        <v>4078.88</v>
      </c>
      <c r="M6083" s="136">
        <f t="shared" ref="M6083:M6148" si="210">M6082+K6083-L6083</f>
        <v>250604.60710333419</v>
      </c>
    </row>
    <row r="6084" spans="1:13">
      <c r="A6084" s="137" t="str">
        <f>D6084&amp;E6084&amp;F6084</f>
        <v/>
      </c>
      <c r="B6084" t="s">
        <v>3214</v>
      </c>
      <c r="C6084" s="1">
        <v>46048</v>
      </c>
      <c r="J6084" s="71" t="s">
        <v>3403</v>
      </c>
      <c r="L6084" s="433">
        <v>30469.8</v>
      </c>
      <c r="M6084" s="136">
        <f t="shared" si="210"/>
        <v>220134.8071033342</v>
      </c>
    </row>
    <row r="6085" spans="1:13">
      <c r="A6085" s="137" t="str">
        <f>D6085&amp;E6085&amp;F6085</f>
        <v/>
      </c>
      <c r="B6085" t="s">
        <v>3214</v>
      </c>
      <c r="C6085" s="1">
        <v>46048</v>
      </c>
      <c r="J6085" s="71" t="s">
        <v>3404</v>
      </c>
      <c r="L6085" s="433">
        <v>124634.16000000003</v>
      </c>
      <c r="M6085" s="136">
        <f t="shared" si="210"/>
        <v>95500.647103334166</v>
      </c>
    </row>
    <row r="6086" spans="1:13">
      <c r="A6086" s="137" t="str">
        <f>D6086&amp;E6086&amp;F6086</f>
        <v>SERVICIOSGASCEDIS</v>
      </c>
      <c r="B6086" t="s">
        <v>3214</v>
      </c>
      <c r="C6086" s="1">
        <v>46048</v>
      </c>
      <c r="D6086" s="242" t="s">
        <v>21</v>
      </c>
      <c r="E6086" s="71" t="s">
        <v>122</v>
      </c>
      <c r="F6086" s="71" t="s">
        <v>28</v>
      </c>
      <c r="J6086" s="71" t="s">
        <v>1326</v>
      </c>
      <c r="L6086" s="433">
        <v>300</v>
      </c>
      <c r="M6086" s="136">
        <f t="shared" si="210"/>
        <v>95200.647103334166</v>
      </c>
    </row>
    <row r="6087" spans="1:13">
      <c r="A6087" s="137" t="str">
        <f>D6087&amp;E6087&amp;F6087</f>
        <v>SERVICIOSVIATICOSCEDIS</v>
      </c>
      <c r="B6087" t="s">
        <v>3214</v>
      </c>
      <c r="C6087" s="1">
        <v>46048</v>
      </c>
      <c r="D6087" s="242" t="s">
        <v>21</v>
      </c>
      <c r="E6087" s="71" t="s">
        <v>191</v>
      </c>
      <c r="F6087" s="71" t="s">
        <v>28</v>
      </c>
      <c r="J6087" s="71" t="s">
        <v>646</v>
      </c>
      <c r="L6087" s="433">
        <v>2450</v>
      </c>
      <c r="M6087" s="136">
        <f t="shared" si="210"/>
        <v>92750.647103334166</v>
      </c>
    </row>
    <row r="6088" spans="1:13">
      <c r="A6088" s="137" t="str">
        <f>D6088&amp;E6088&amp;F6088</f>
        <v>FINANZASFONDO Y REPOSICIONFINANZAS</v>
      </c>
      <c r="B6088" t="s">
        <v>3214</v>
      </c>
      <c r="C6088" s="1">
        <v>46048</v>
      </c>
      <c r="D6088" s="242" t="s">
        <v>23</v>
      </c>
      <c r="E6088" s="71" t="s">
        <v>120</v>
      </c>
      <c r="F6088" s="71" t="s">
        <v>23</v>
      </c>
      <c r="J6088" s="71" t="s">
        <v>3405</v>
      </c>
      <c r="L6088" s="433">
        <v>800</v>
      </c>
      <c r="M6088" s="136">
        <f t="shared" si="210"/>
        <v>91950.647103334166</v>
      </c>
    </row>
    <row r="6089" spans="1:13">
      <c r="A6089" s="137" t="str">
        <f>D6089&amp;E6089&amp;F6089</f>
        <v>FINANZASVIATICOSFINANZAS</v>
      </c>
      <c r="B6089" t="s">
        <v>3214</v>
      </c>
      <c r="C6089" s="1">
        <v>46048</v>
      </c>
      <c r="D6089" s="242" t="s">
        <v>23</v>
      </c>
      <c r="E6089" s="71" t="s">
        <v>191</v>
      </c>
      <c r="F6089" s="71" t="s">
        <v>23</v>
      </c>
      <c r="J6089" s="71" t="s">
        <v>3406</v>
      </c>
      <c r="L6089" s="433">
        <v>800</v>
      </c>
      <c r="M6089" s="136">
        <f t="shared" si="210"/>
        <v>91150.647103334166</v>
      </c>
    </row>
    <row r="6090" spans="1:13">
      <c r="A6090" s="137" t="str">
        <f>D6090&amp;E6090&amp;F6090</f>
        <v>DEVIATICOSDIRECCION</v>
      </c>
      <c r="B6090" t="s">
        <v>3214</v>
      </c>
      <c r="C6090" s="1">
        <v>46048</v>
      </c>
      <c r="D6090" s="242" t="s">
        <v>41</v>
      </c>
      <c r="E6090" s="71" t="s">
        <v>191</v>
      </c>
      <c r="F6090" s="71" t="s">
        <v>42</v>
      </c>
      <c r="J6090" s="71" t="s">
        <v>867</v>
      </c>
      <c r="L6090" s="433">
        <v>3000</v>
      </c>
      <c r="M6090" s="136">
        <f t="shared" si="210"/>
        <v>88150.647103334166</v>
      </c>
    </row>
    <row r="6091" spans="1:13">
      <c r="A6091" s="137" t="str">
        <f>D6091&amp;E6091&amp;F6091</f>
        <v>SERVICIOSMTTO DE EDIFICIOMANTENIMIENTO</v>
      </c>
      <c r="B6091" t="s">
        <v>3214</v>
      </c>
      <c r="C6091" s="1">
        <v>46048</v>
      </c>
      <c r="D6091" s="242" t="s">
        <v>21</v>
      </c>
      <c r="E6091" s="71" t="s">
        <v>142</v>
      </c>
      <c r="F6091" s="71" t="s">
        <v>35</v>
      </c>
      <c r="J6091" s="71" t="s">
        <v>3407</v>
      </c>
      <c r="L6091" s="433">
        <v>8000</v>
      </c>
      <c r="M6091" s="136">
        <f t="shared" si="210"/>
        <v>80150.647103334166</v>
      </c>
    </row>
    <row r="6092" spans="1:13">
      <c r="A6092" s="137" t="str">
        <f>D6092&amp;E6092&amp;F6092</f>
        <v>MKTACTIVACIONMKT</v>
      </c>
      <c r="B6092" t="s">
        <v>3214</v>
      </c>
      <c r="C6092" s="1">
        <v>46048</v>
      </c>
      <c r="D6092" s="242" t="s">
        <v>19</v>
      </c>
      <c r="E6092" s="71" t="s">
        <v>2236</v>
      </c>
      <c r="F6092" s="71" t="s">
        <v>19</v>
      </c>
      <c r="J6092" s="71" t="s">
        <v>3408</v>
      </c>
      <c r="L6092" s="433">
        <v>1150</v>
      </c>
      <c r="M6092" s="136">
        <f t="shared" si="210"/>
        <v>79000.647103334166</v>
      </c>
    </row>
    <row r="6093" spans="1:13">
      <c r="A6093" s="137" t="str">
        <f>D6093&amp;E6093&amp;F6093</f>
        <v>MKTINSUMOSINSUMOS</v>
      </c>
      <c r="B6093" t="s">
        <v>3214</v>
      </c>
      <c r="C6093" s="1">
        <v>46048</v>
      </c>
      <c r="D6093" s="242" t="s">
        <v>19</v>
      </c>
      <c r="E6093" s="71" t="s">
        <v>133</v>
      </c>
      <c r="F6093" s="71" t="s">
        <v>133</v>
      </c>
      <c r="J6093" s="71" t="s">
        <v>3409</v>
      </c>
      <c r="L6093" s="433">
        <v>900</v>
      </c>
      <c r="M6093" s="136">
        <f t="shared" si="210"/>
        <v>78100.647103334166</v>
      </c>
    </row>
    <row r="6094" spans="1:13">
      <c r="A6094" s="137" t="str">
        <f>D6094&amp;E6094&amp;F6094</f>
        <v>MKTINSUMOSINSUMOS</v>
      </c>
      <c r="B6094" t="s">
        <v>3214</v>
      </c>
      <c r="C6094" s="1">
        <v>46048</v>
      </c>
      <c r="D6094" s="242" t="s">
        <v>19</v>
      </c>
      <c r="E6094" s="71" t="s">
        <v>133</v>
      </c>
      <c r="F6094" s="71" t="s">
        <v>133</v>
      </c>
      <c r="J6094" s="71" t="s">
        <v>3410</v>
      </c>
      <c r="L6094" s="433">
        <v>2300</v>
      </c>
      <c r="M6094" s="136">
        <f t="shared" si="210"/>
        <v>75800.647103334166</v>
      </c>
    </row>
    <row r="6095" spans="1:13">
      <c r="A6095" s="137" t="str">
        <f>D6095&amp;E6095&amp;F6095</f>
        <v>FINANZASVIATICOSFINANZAS</v>
      </c>
      <c r="B6095" t="s">
        <v>3214</v>
      </c>
      <c r="C6095" s="1">
        <v>46048</v>
      </c>
      <c r="D6095" s="242" t="s">
        <v>23</v>
      </c>
      <c r="E6095" s="71" t="s">
        <v>191</v>
      </c>
      <c r="F6095" s="71" t="s">
        <v>23</v>
      </c>
      <c r="J6095" s="71" t="s">
        <v>3411</v>
      </c>
      <c r="L6095" s="433">
        <v>150</v>
      </c>
      <c r="M6095" s="136">
        <f t="shared" si="210"/>
        <v>75650.647103334166</v>
      </c>
    </row>
    <row r="6096" spans="1:13">
      <c r="A6096" s="137" t="str">
        <f>D6096&amp;E6096&amp;F6096</f>
        <v>SERVICIOSVIATICOSASESORES</v>
      </c>
      <c r="B6096" t="s">
        <v>3214</v>
      </c>
      <c r="C6096" s="1">
        <v>46048</v>
      </c>
      <c r="D6096" s="242" t="s">
        <v>21</v>
      </c>
      <c r="E6096" s="71" t="s">
        <v>191</v>
      </c>
      <c r="F6096" t="s">
        <v>192</v>
      </c>
      <c r="J6096" s="71" t="s">
        <v>2916</v>
      </c>
      <c r="L6096" s="433">
        <v>825</v>
      </c>
      <c r="M6096" s="136">
        <f t="shared" si="210"/>
        <v>74825.647103334166</v>
      </c>
    </row>
    <row r="6097" spans="1:13">
      <c r="A6097" s="137" t="str">
        <f>D6097&amp;E6097&amp;F6097</f>
        <v>CAPENERGIA ELECTRICAE6</v>
      </c>
      <c r="B6097" t="s">
        <v>3214</v>
      </c>
      <c r="C6097" s="1">
        <v>46048</v>
      </c>
      <c r="D6097" s="242" t="s">
        <v>31</v>
      </c>
      <c r="E6097" s="71" t="s">
        <v>87</v>
      </c>
      <c r="F6097" s="71" t="s">
        <v>112</v>
      </c>
      <c r="J6097" s="71" t="s">
        <v>3412</v>
      </c>
      <c r="L6097" s="433">
        <v>6362</v>
      </c>
      <c r="M6097" s="136">
        <f t="shared" si="210"/>
        <v>68463.647103334166</v>
      </c>
    </row>
    <row r="6098" spans="1:13">
      <c r="A6098" s="137" t="str">
        <f>D6098&amp;E6098&amp;F6098</f>
        <v>CAPENERGIA ELECTRICAE6</v>
      </c>
      <c r="B6098" t="s">
        <v>3214</v>
      </c>
      <c r="C6098" s="1">
        <v>46048</v>
      </c>
      <c r="D6098" s="242" t="s">
        <v>31</v>
      </c>
      <c r="E6098" s="71" t="s">
        <v>87</v>
      </c>
      <c r="F6098" s="71" t="s">
        <v>112</v>
      </c>
      <c r="J6098" s="71" t="s">
        <v>3413</v>
      </c>
      <c r="L6098" s="433">
        <v>425</v>
      </c>
      <c r="M6098" s="136">
        <f t="shared" si="210"/>
        <v>68038.647103334166</v>
      </c>
    </row>
    <row r="6099" spans="1:13">
      <c r="A6099" s="137" t="str">
        <f>D6099&amp;E6099&amp;F6099</f>
        <v>FINANZASFONDO Y REPOSICIONFINANZAS</v>
      </c>
      <c r="B6099" t="s">
        <v>3214</v>
      </c>
      <c r="C6099" s="1">
        <v>46048</v>
      </c>
      <c r="D6099" s="242" t="s">
        <v>23</v>
      </c>
      <c r="E6099" s="71" t="s">
        <v>120</v>
      </c>
      <c r="F6099" s="71" t="s">
        <v>23</v>
      </c>
      <c r="J6099" s="71" t="s">
        <v>3414</v>
      </c>
      <c r="L6099" s="433">
        <v>300</v>
      </c>
      <c r="M6099" s="136">
        <f t="shared" si="210"/>
        <v>67738.647103334166</v>
      </c>
    </row>
    <row r="6100" spans="1:13">
      <c r="A6100" s="137" t="str">
        <f>D6100&amp;E6100&amp;F6100</f>
        <v>FINANZASTELEPEAJEFINANZAS</v>
      </c>
      <c r="B6100" t="s">
        <v>3214</v>
      </c>
      <c r="C6100" s="1">
        <v>46048</v>
      </c>
      <c r="D6100" s="242" t="s">
        <v>23</v>
      </c>
      <c r="E6100" s="71" t="s">
        <v>186</v>
      </c>
      <c r="F6100" s="71" t="s">
        <v>23</v>
      </c>
      <c r="J6100" s="71" t="s">
        <v>3415</v>
      </c>
      <c r="L6100" s="433">
        <v>1165</v>
      </c>
      <c r="M6100" s="136">
        <f t="shared" si="210"/>
        <v>66573.647103334166</v>
      </c>
    </row>
    <row r="6101" spans="1:13">
      <c r="A6101" s="137" t="str">
        <f>D6101&amp;E6101&amp;F6101</f>
        <v>SERVICIOSTELEPEAJECEDIS</v>
      </c>
      <c r="B6101" t="s">
        <v>3214</v>
      </c>
      <c r="C6101" s="1">
        <v>46048</v>
      </c>
      <c r="D6101" s="242" t="s">
        <v>21</v>
      </c>
      <c r="E6101" s="71" t="s">
        <v>186</v>
      </c>
      <c r="F6101" s="71" t="s">
        <v>28</v>
      </c>
      <c r="J6101" s="71" t="s">
        <v>909</v>
      </c>
      <c r="L6101" s="433">
        <v>8041</v>
      </c>
      <c r="M6101" s="136">
        <f t="shared" si="210"/>
        <v>58532.647103334166</v>
      </c>
    </row>
    <row r="6102" spans="1:13">
      <c r="A6102" s="137" t="str">
        <f>D6102&amp;E6102&amp;F6102</f>
        <v>HRTELEPEAJEOP HR</v>
      </c>
      <c r="B6102" t="s">
        <v>3214</v>
      </c>
      <c r="C6102" s="1">
        <v>46048</v>
      </c>
      <c r="D6102" s="242" t="s">
        <v>29</v>
      </c>
      <c r="E6102" s="71" t="s">
        <v>186</v>
      </c>
      <c r="F6102" s="71" t="s">
        <v>187</v>
      </c>
      <c r="J6102" s="71" t="s">
        <v>2393</v>
      </c>
      <c r="L6102" s="433">
        <v>329</v>
      </c>
      <c r="M6102" s="136">
        <f t="shared" si="210"/>
        <v>58203.647103334166</v>
      </c>
    </row>
    <row r="6103" spans="1:13">
      <c r="A6103" s="137" t="str">
        <f>D6103&amp;E6103&amp;F6103</f>
        <v>HRTELEPEAJEOP HR</v>
      </c>
      <c r="B6103" t="s">
        <v>3214</v>
      </c>
      <c r="C6103" s="1">
        <v>46048</v>
      </c>
      <c r="D6103" s="242" t="s">
        <v>29</v>
      </c>
      <c r="E6103" s="71" t="s">
        <v>186</v>
      </c>
      <c r="F6103" s="71" t="s">
        <v>187</v>
      </c>
      <c r="J6103" s="71" t="s">
        <v>2393</v>
      </c>
      <c r="L6103" s="433">
        <v>588</v>
      </c>
      <c r="M6103" s="136">
        <f t="shared" si="210"/>
        <v>57615.647103334166</v>
      </c>
    </row>
    <row r="6104" spans="1:13">
      <c r="A6104" s="137" t="str">
        <f>D6104&amp;E6104&amp;F6104</f>
        <v>HRTELEPEAJEOP HR</v>
      </c>
      <c r="B6104" t="s">
        <v>3214</v>
      </c>
      <c r="C6104" s="1">
        <v>46048</v>
      </c>
      <c r="D6104" s="242" t="s">
        <v>29</v>
      </c>
      <c r="E6104" s="71" t="s">
        <v>186</v>
      </c>
      <c r="F6104" s="71" t="s">
        <v>187</v>
      </c>
      <c r="J6104" s="71" t="s">
        <v>2393</v>
      </c>
      <c r="L6104" s="433">
        <v>636</v>
      </c>
      <c r="M6104" s="136">
        <f t="shared" si="210"/>
        <v>56979.647103334166</v>
      </c>
    </row>
    <row r="6105" spans="1:13">
      <c r="A6105" s="137" t="str">
        <f>D6105&amp;E6105&amp;F6105</f>
        <v>HRTELEPEAJEOP HR</v>
      </c>
      <c r="B6105" t="s">
        <v>3214</v>
      </c>
      <c r="C6105" s="1">
        <v>46048</v>
      </c>
      <c r="D6105" s="242" t="s">
        <v>29</v>
      </c>
      <c r="E6105" s="71" t="s">
        <v>186</v>
      </c>
      <c r="F6105" s="71" t="s">
        <v>187</v>
      </c>
      <c r="J6105" s="71" t="s">
        <v>2393</v>
      </c>
      <c r="L6105" s="433">
        <v>89</v>
      </c>
      <c r="M6105" s="136">
        <f t="shared" si="210"/>
        <v>56890.647103334166</v>
      </c>
    </row>
    <row r="6106" spans="1:13">
      <c r="A6106" s="137" t="str">
        <f>D6106&amp;E6106&amp;F6106</f>
        <v>CAPTELEPEAJEOP CAPRICHOS</v>
      </c>
      <c r="B6106" t="s">
        <v>3214</v>
      </c>
      <c r="C6106" s="1">
        <v>46048</v>
      </c>
      <c r="D6106" s="242" t="s">
        <v>31</v>
      </c>
      <c r="E6106" s="71" t="s">
        <v>186</v>
      </c>
      <c r="F6106" s="71" t="s">
        <v>188</v>
      </c>
      <c r="J6106" s="71" t="s">
        <v>2817</v>
      </c>
      <c r="L6106" s="433">
        <v>329</v>
      </c>
      <c r="M6106" s="136">
        <f t="shared" si="210"/>
        <v>56561.647103334166</v>
      </c>
    </row>
    <row r="6107" spans="1:13">
      <c r="A6107" s="137" t="str">
        <f>D6107&amp;E6107&amp;F6107</f>
        <v>SERVICIOSTELEPEAJECEDIS</v>
      </c>
      <c r="B6107" t="s">
        <v>3214</v>
      </c>
      <c r="C6107" s="1">
        <v>46048</v>
      </c>
      <c r="D6107" s="242" t="s">
        <v>21</v>
      </c>
      <c r="E6107" s="71" t="s">
        <v>186</v>
      </c>
      <c r="F6107" s="71" t="s">
        <v>28</v>
      </c>
      <c r="J6107" s="71" t="s">
        <v>909</v>
      </c>
      <c r="L6107" s="433">
        <v>93</v>
      </c>
      <c r="M6107" s="136">
        <f t="shared" si="210"/>
        <v>56468.647103334166</v>
      </c>
    </row>
    <row r="6108" spans="1:13">
      <c r="A6108" s="54" t="str">
        <f t="shared" ref="A6108:A6110" si="211">D6108&amp;E6108&amp;F6108</f>
        <v>HRUBERHR</v>
      </c>
      <c r="B6108" t="s">
        <v>3214</v>
      </c>
      <c r="C6108" s="1">
        <v>46048</v>
      </c>
      <c r="D6108" s="242" t="s">
        <v>29</v>
      </c>
      <c r="E6108" s="71" t="s">
        <v>189</v>
      </c>
      <c r="F6108" s="71" t="s">
        <v>29</v>
      </c>
      <c r="J6108" s="71" t="s">
        <v>2526</v>
      </c>
      <c r="L6108" s="433">
        <v>200</v>
      </c>
      <c r="M6108" s="136">
        <f t="shared" si="210"/>
        <v>56268.647103334166</v>
      </c>
    </row>
    <row r="6109" spans="1:13">
      <c r="A6109" s="54" t="str">
        <f t="shared" si="211"/>
        <v>HRUBERHR</v>
      </c>
      <c r="B6109" t="s">
        <v>3214</v>
      </c>
      <c r="C6109" s="1">
        <v>46048</v>
      </c>
      <c r="D6109" s="242" t="s">
        <v>29</v>
      </c>
      <c r="E6109" s="71" t="s">
        <v>189</v>
      </c>
      <c r="F6109" s="71" t="s">
        <v>29</v>
      </c>
      <c r="J6109" s="71" t="s">
        <v>2364</v>
      </c>
      <c r="L6109" s="433">
        <v>200</v>
      </c>
      <c r="M6109" s="136">
        <f t="shared" si="210"/>
        <v>56068.647103334166</v>
      </c>
    </row>
    <row r="6110" spans="1:13">
      <c r="A6110" s="54" t="str">
        <f t="shared" si="211"/>
        <v>HRUBERHR</v>
      </c>
      <c r="B6110" t="s">
        <v>3214</v>
      </c>
      <c r="C6110" s="1">
        <v>46048</v>
      </c>
      <c r="D6110" s="242" t="s">
        <v>29</v>
      </c>
      <c r="E6110" s="71" t="s">
        <v>189</v>
      </c>
      <c r="F6110" s="71" t="s">
        <v>29</v>
      </c>
      <c r="J6110" s="71" t="s">
        <v>3067</v>
      </c>
      <c r="L6110" s="433">
        <v>116</v>
      </c>
      <c r="M6110" s="136">
        <f t="shared" si="210"/>
        <v>55952.647103334166</v>
      </c>
    </row>
    <row r="6111" spans="1:13">
      <c r="A6111" s="137" t="str">
        <f>D6111&amp;E6111&amp;F6111</f>
        <v>HRINSUMOSHR</v>
      </c>
      <c r="B6111" t="s">
        <v>3214</v>
      </c>
      <c r="C6111" s="1">
        <v>46048</v>
      </c>
      <c r="D6111" s="242" t="s">
        <v>29</v>
      </c>
      <c r="E6111" s="71" t="s">
        <v>133</v>
      </c>
      <c r="F6111" s="71" t="s">
        <v>29</v>
      </c>
      <c r="J6111" s="71" t="s">
        <v>2367</v>
      </c>
      <c r="L6111" s="433">
        <v>178</v>
      </c>
      <c r="M6111" s="136">
        <f t="shared" si="210"/>
        <v>55774.647103334166</v>
      </c>
    </row>
    <row r="6112" spans="1:13">
      <c r="A6112" s="137" t="str">
        <f>D6112&amp;E6112&amp;F6112</f>
        <v>HRJMASA23</v>
      </c>
      <c r="B6112" t="s">
        <v>3214</v>
      </c>
      <c r="C6112" s="1">
        <v>46048</v>
      </c>
      <c r="D6112" s="242" t="s">
        <v>29</v>
      </c>
      <c r="E6112" s="71" t="s">
        <v>137</v>
      </c>
      <c r="F6112" s="71" t="s">
        <v>105</v>
      </c>
      <c r="J6112" s="71" t="s">
        <v>3416</v>
      </c>
      <c r="L6112" s="433">
        <v>1046</v>
      </c>
      <c r="M6112" s="136">
        <f t="shared" si="210"/>
        <v>54728.647103334166</v>
      </c>
    </row>
    <row r="6113" spans="1:13">
      <c r="A6113" s="137" t="str">
        <f>D6113&amp;E6113&amp;F6113</f>
        <v>HRJMASA24</v>
      </c>
      <c r="B6113" t="s">
        <v>3214</v>
      </c>
      <c r="C6113" s="1">
        <v>46048</v>
      </c>
      <c r="D6113" s="242" t="s">
        <v>29</v>
      </c>
      <c r="E6113" s="71" t="s">
        <v>137</v>
      </c>
      <c r="F6113" s="71" t="s">
        <v>106</v>
      </c>
      <c r="J6113" s="71" t="s">
        <v>2712</v>
      </c>
      <c r="L6113" s="433">
        <v>578</v>
      </c>
      <c r="M6113" s="136">
        <f t="shared" si="210"/>
        <v>54150.647103334166</v>
      </c>
    </row>
    <row r="6114" spans="1:13">
      <c r="A6114" s="54" t="str">
        <f t="shared" ref="A6114:A6118" si="212">D6114&amp;E6114&amp;F6114</f>
        <v>CAPUBERCAP</v>
      </c>
      <c r="B6114" t="s">
        <v>3214</v>
      </c>
      <c r="C6114" s="1">
        <v>46048</v>
      </c>
      <c r="D6114" s="242" t="s">
        <v>31</v>
      </c>
      <c r="E6114" s="71" t="s">
        <v>189</v>
      </c>
      <c r="F6114" s="71" t="s">
        <v>31</v>
      </c>
      <c r="J6114" s="71" t="s">
        <v>2267</v>
      </c>
      <c r="L6114" s="433">
        <v>1160</v>
      </c>
      <c r="M6114" s="136">
        <f t="shared" si="210"/>
        <v>52990.647103334166</v>
      </c>
    </row>
    <row r="6115" spans="1:13">
      <c r="A6115" s="54" t="str">
        <f t="shared" si="212"/>
        <v>CAPUBERCAP</v>
      </c>
      <c r="B6115" t="s">
        <v>3214</v>
      </c>
      <c r="C6115" s="1">
        <v>46048</v>
      </c>
      <c r="D6115" s="242" t="s">
        <v>31</v>
      </c>
      <c r="E6115" s="71" t="s">
        <v>189</v>
      </c>
      <c r="F6115" s="71" t="s">
        <v>31</v>
      </c>
      <c r="J6115" s="71" t="s">
        <v>2537</v>
      </c>
      <c r="L6115" s="433">
        <v>200</v>
      </c>
      <c r="M6115" s="136">
        <f t="shared" si="210"/>
        <v>52790.647103334166</v>
      </c>
    </row>
    <row r="6116" spans="1:13">
      <c r="A6116" s="54" t="str">
        <f t="shared" si="212"/>
        <v>CAPUBERCAP</v>
      </c>
      <c r="B6116" t="s">
        <v>3214</v>
      </c>
      <c r="C6116" s="1">
        <v>46048</v>
      </c>
      <c r="D6116" s="242" t="s">
        <v>31</v>
      </c>
      <c r="E6116" s="71" t="s">
        <v>189</v>
      </c>
      <c r="F6116" s="71" t="s">
        <v>31</v>
      </c>
      <c r="J6116" s="71" t="s">
        <v>2268</v>
      </c>
      <c r="L6116" s="433">
        <v>140</v>
      </c>
      <c r="M6116" s="136">
        <f t="shared" si="210"/>
        <v>52650.647103334166</v>
      </c>
    </row>
    <row r="6117" spans="1:13">
      <c r="A6117" s="54" t="str">
        <f t="shared" si="212"/>
        <v>CAPUBERCAP</v>
      </c>
      <c r="B6117" t="s">
        <v>3214</v>
      </c>
      <c r="C6117" s="1">
        <v>46048</v>
      </c>
      <c r="D6117" s="242" t="s">
        <v>31</v>
      </c>
      <c r="E6117" s="71" t="s">
        <v>189</v>
      </c>
      <c r="F6117" s="71" t="s">
        <v>31</v>
      </c>
      <c r="J6117" s="71" t="s">
        <v>2842</v>
      </c>
      <c r="L6117" s="433">
        <v>232</v>
      </c>
      <c r="M6117" s="136">
        <f t="shared" si="210"/>
        <v>52418.647103334166</v>
      </c>
    </row>
    <row r="6118" spans="1:13">
      <c r="A6118" s="54" t="str">
        <f t="shared" si="212"/>
        <v>CAPUBERCAP</v>
      </c>
      <c r="B6118" t="s">
        <v>3214</v>
      </c>
      <c r="C6118" s="1">
        <v>46048</v>
      </c>
      <c r="D6118" s="242" t="s">
        <v>31</v>
      </c>
      <c r="E6118" s="71" t="s">
        <v>189</v>
      </c>
      <c r="F6118" s="71" t="s">
        <v>31</v>
      </c>
      <c r="J6118" s="71" t="s">
        <v>3356</v>
      </c>
      <c r="L6118" s="433">
        <v>200</v>
      </c>
      <c r="M6118" s="136">
        <f t="shared" si="210"/>
        <v>52218.647103334166</v>
      </c>
    </row>
    <row r="6119" spans="1:13">
      <c r="A6119" s="137" t="str">
        <f>D6119&amp;E6119&amp;F6119</f>
        <v>CAPINSUMOSCAPRICHOS</v>
      </c>
      <c r="B6119" t="s">
        <v>3214</v>
      </c>
      <c r="C6119" s="1">
        <v>46048</v>
      </c>
      <c r="D6119" s="242" t="s">
        <v>31</v>
      </c>
      <c r="E6119" s="71" t="s">
        <v>133</v>
      </c>
      <c r="F6119" s="71" t="s">
        <v>33</v>
      </c>
      <c r="J6119" s="71" t="s">
        <v>3417</v>
      </c>
      <c r="L6119" s="433">
        <v>25</v>
      </c>
      <c r="M6119" s="136">
        <f t="shared" si="210"/>
        <v>52193.647103334166</v>
      </c>
    </row>
    <row r="6120" spans="1:13">
      <c r="A6120" s="137" t="str">
        <f>D6120&amp;E6120&amp;F6120</f>
        <v>CAPNOMINA SUCURSALE10</v>
      </c>
      <c r="B6120" t="s">
        <v>3214</v>
      </c>
      <c r="C6120" s="1">
        <v>46048</v>
      </c>
      <c r="D6120" s="242" t="s">
        <v>31</v>
      </c>
      <c r="E6120" s="71" t="s">
        <v>154</v>
      </c>
      <c r="F6120" s="71" t="s">
        <v>117</v>
      </c>
      <c r="J6120" s="71" t="s">
        <v>3354</v>
      </c>
      <c r="L6120" s="433">
        <v>750</v>
      </c>
      <c r="M6120" s="136">
        <f t="shared" si="210"/>
        <v>51443.647103334166</v>
      </c>
    </row>
    <row r="6121" spans="1:13">
      <c r="A6121" s="137" t="str">
        <f>D6121&amp;E6121&amp;F6121</f>
        <v>CAPNOMINA SUCURSALE11</v>
      </c>
      <c r="B6121" t="s">
        <v>3214</v>
      </c>
      <c r="C6121" s="1">
        <v>46048</v>
      </c>
      <c r="D6121" s="242" t="s">
        <v>31</v>
      </c>
      <c r="E6121" s="71" t="s">
        <v>154</v>
      </c>
      <c r="F6121" s="71" t="s">
        <v>118</v>
      </c>
      <c r="J6121" s="71" t="s">
        <v>3117</v>
      </c>
      <c r="L6121" s="433">
        <v>165</v>
      </c>
      <c r="M6121" s="136">
        <f t="shared" si="210"/>
        <v>51278.647103334166</v>
      </c>
    </row>
    <row r="6122" spans="1:13">
      <c r="A6122" s="137" t="str">
        <f>D6122&amp;E6122&amp;F6122</f>
        <v/>
      </c>
      <c r="B6122" t="s">
        <v>3214</v>
      </c>
      <c r="C6122" s="1">
        <v>46049</v>
      </c>
      <c r="J6122" s="71" t="s">
        <v>2045</v>
      </c>
      <c r="K6122" s="325">
        <v>157624.97</v>
      </c>
      <c r="L6122" s="432"/>
      <c r="M6122" s="136">
        <f t="shared" si="210"/>
        <v>208903.61710333417</v>
      </c>
    </row>
    <row r="6123" spans="1:13">
      <c r="A6123" s="137" t="str">
        <f>D6123&amp;E6123&amp;F6123</f>
        <v>FINANZASCOMISIONES BANCARIASFINANZAS</v>
      </c>
      <c r="B6123" t="s">
        <v>3214</v>
      </c>
      <c r="C6123" s="1">
        <v>46049</v>
      </c>
      <c r="D6123" s="242" t="s">
        <v>23</v>
      </c>
      <c r="E6123" s="71" t="s">
        <v>48</v>
      </c>
      <c r="F6123" s="71" t="s">
        <v>23</v>
      </c>
      <c r="J6123" s="71" t="s">
        <v>517</v>
      </c>
      <c r="L6123" s="433">
        <f>19.5+36.19+23.39+5.8+373+437.77+1090.91+1041.08+1102.29</f>
        <v>4129.93</v>
      </c>
      <c r="M6123" s="136">
        <f t="shared" si="210"/>
        <v>204773.68710333417</v>
      </c>
    </row>
    <row r="6124" spans="1:13">
      <c r="A6124" s="137" t="str">
        <f>D6124&amp;E6124&amp;F6124</f>
        <v/>
      </c>
      <c r="B6124" t="s">
        <v>3214</v>
      </c>
      <c r="C6124" s="1">
        <v>46049</v>
      </c>
      <c r="J6124" s="205" t="s">
        <v>1562</v>
      </c>
      <c r="K6124" s="205"/>
      <c r="L6124" s="428">
        <v>180000</v>
      </c>
      <c r="M6124" s="136">
        <f t="shared" si="210"/>
        <v>24773.687103334174</v>
      </c>
    </row>
    <row r="6125" spans="1:13">
      <c r="A6125" s="137" t="str">
        <f>D6125&amp;E6125&amp;F6125</f>
        <v/>
      </c>
      <c r="B6125" t="s">
        <v>3214</v>
      </c>
      <c r="C6125" s="1">
        <v>46049</v>
      </c>
      <c r="J6125" s="205" t="s">
        <v>222</v>
      </c>
      <c r="K6125" s="205"/>
      <c r="L6125" s="205"/>
      <c r="M6125" s="136">
        <f t="shared" si="210"/>
        <v>24773.687103334174</v>
      </c>
    </row>
    <row r="6126" spans="1:13">
      <c r="A6126" s="137" t="str">
        <f>D6126&amp;E6126&amp;F6126</f>
        <v>SERVICIOSVIATICOSSISTEMAS</v>
      </c>
      <c r="B6126" t="s">
        <v>3214</v>
      </c>
      <c r="C6126" s="1">
        <v>46049</v>
      </c>
      <c r="D6126" s="242" t="s">
        <v>21</v>
      </c>
      <c r="E6126" s="71" t="s">
        <v>191</v>
      </c>
      <c r="F6126" s="71" t="s">
        <v>36</v>
      </c>
      <c r="J6126" s="71" t="s">
        <v>470</v>
      </c>
      <c r="L6126" s="433">
        <v>5000</v>
      </c>
      <c r="M6126" s="136">
        <f t="shared" si="210"/>
        <v>19773.687103334174</v>
      </c>
    </row>
    <row r="6127" spans="1:13">
      <c r="A6127" s="137" t="str">
        <f>D6127&amp;E6127&amp;F6127</f>
        <v>MKTINSUMOSMKT</v>
      </c>
      <c r="B6127" t="s">
        <v>3214</v>
      </c>
      <c r="C6127" s="1">
        <v>46049</v>
      </c>
      <c r="D6127" s="242" t="s">
        <v>19</v>
      </c>
      <c r="E6127" s="71" t="s">
        <v>133</v>
      </c>
      <c r="F6127" s="71" t="s">
        <v>19</v>
      </c>
      <c r="J6127" s="71" t="s">
        <v>2724</v>
      </c>
      <c r="L6127" s="433">
        <v>2500</v>
      </c>
      <c r="M6127" s="136">
        <f t="shared" si="210"/>
        <v>17273.687103334174</v>
      </c>
    </row>
    <row r="6128" spans="1:13">
      <c r="A6128" s="137" t="str">
        <f>D6128&amp;E6128&amp;F6128</f>
        <v>MKTINSUMOSMKT</v>
      </c>
      <c r="B6128" t="s">
        <v>3214</v>
      </c>
      <c r="C6128" s="1">
        <v>46049</v>
      </c>
      <c r="D6128" s="242" t="s">
        <v>19</v>
      </c>
      <c r="E6128" s="71" t="s">
        <v>133</v>
      </c>
      <c r="F6128" s="71" t="s">
        <v>19</v>
      </c>
      <c r="J6128" s="71" t="s">
        <v>3418</v>
      </c>
      <c r="L6128" s="433">
        <v>2876</v>
      </c>
      <c r="M6128" s="136">
        <f t="shared" si="210"/>
        <v>14397.687103334174</v>
      </c>
    </row>
    <row r="6129" spans="1:13">
      <c r="A6129" s="137" t="str">
        <f>D6129&amp;E6129&amp;F6129</f>
        <v>HRFONDO Y REPOSICIONHR</v>
      </c>
      <c r="B6129" t="s">
        <v>3214</v>
      </c>
      <c r="C6129" s="1">
        <v>46049</v>
      </c>
      <c r="D6129" s="242" t="s">
        <v>29</v>
      </c>
      <c r="E6129" s="71" t="s">
        <v>120</v>
      </c>
      <c r="F6129" s="71" t="s">
        <v>29</v>
      </c>
      <c r="J6129" s="71" t="s">
        <v>2932</v>
      </c>
      <c r="L6129" s="433">
        <v>2000</v>
      </c>
      <c r="M6129" s="136">
        <f t="shared" si="210"/>
        <v>12397.687103334174</v>
      </c>
    </row>
    <row r="6130" spans="1:13">
      <c r="A6130" s="137" t="str">
        <f>D6130&amp;E6130&amp;F6130</f>
        <v>HRFONDO Y REPOSICIONHR</v>
      </c>
      <c r="B6130" t="s">
        <v>3214</v>
      </c>
      <c r="C6130" s="1">
        <v>46049</v>
      </c>
      <c r="D6130" s="242" t="s">
        <v>29</v>
      </c>
      <c r="E6130" s="71" t="s">
        <v>120</v>
      </c>
      <c r="F6130" s="71" t="s">
        <v>29</v>
      </c>
      <c r="J6130" s="71" t="s">
        <v>553</v>
      </c>
      <c r="L6130" s="433">
        <v>2400</v>
      </c>
      <c r="M6130" s="136">
        <f t="shared" si="210"/>
        <v>9997.687103334174</v>
      </c>
    </row>
    <row r="6131" spans="1:13">
      <c r="A6131" s="137" t="str">
        <f>D6131&amp;E6131&amp;F6131</f>
        <v>ELIINSUMOSL1</v>
      </c>
      <c r="B6131" t="s">
        <v>3214</v>
      </c>
      <c r="C6131" s="1">
        <v>46049</v>
      </c>
      <c r="D6131" s="242" t="s">
        <v>130</v>
      </c>
      <c r="E6131" s="71" t="s">
        <v>133</v>
      </c>
      <c r="F6131" s="71" t="s">
        <v>136</v>
      </c>
      <c r="J6131" s="71" t="s">
        <v>3419</v>
      </c>
      <c r="L6131" s="433">
        <v>1564</v>
      </c>
      <c r="M6131" s="136">
        <f t="shared" si="210"/>
        <v>8433.687103334174</v>
      </c>
    </row>
    <row r="6132" spans="1:13">
      <c r="A6132" s="54" t="str">
        <f t="shared" ref="A6132:A6136" si="213">D6132&amp;E6132&amp;F6132</f>
        <v>HRUBERHR</v>
      </c>
      <c r="B6132" t="s">
        <v>3214</v>
      </c>
      <c r="C6132" s="1">
        <v>46049</v>
      </c>
      <c r="D6132" s="242" t="s">
        <v>29</v>
      </c>
      <c r="E6132" s="71" t="s">
        <v>189</v>
      </c>
      <c r="F6132" s="71" t="s">
        <v>29</v>
      </c>
      <c r="J6132" s="71" t="s">
        <v>2526</v>
      </c>
      <c r="L6132" s="433">
        <v>40</v>
      </c>
      <c r="M6132" s="136">
        <f t="shared" si="210"/>
        <v>8393.687103334174</v>
      </c>
    </row>
    <row r="6133" spans="1:13">
      <c r="A6133" s="54" t="str">
        <f t="shared" si="213"/>
        <v>HRUBERHR</v>
      </c>
      <c r="B6133" t="s">
        <v>3214</v>
      </c>
      <c r="C6133" s="1">
        <v>46049</v>
      </c>
      <c r="D6133" s="242" t="s">
        <v>29</v>
      </c>
      <c r="E6133" s="71" t="s">
        <v>189</v>
      </c>
      <c r="F6133" s="71" t="s">
        <v>29</v>
      </c>
      <c r="J6133" s="71" t="s">
        <v>2536</v>
      </c>
      <c r="L6133" s="433">
        <v>157</v>
      </c>
      <c r="M6133" s="136">
        <f t="shared" si="210"/>
        <v>8236.687103334174</v>
      </c>
    </row>
    <row r="6134" spans="1:13">
      <c r="A6134" s="54" t="str">
        <f t="shared" si="213"/>
        <v>HRUBERHR</v>
      </c>
      <c r="B6134" t="s">
        <v>3214</v>
      </c>
      <c r="C6134" s="1">
        <v>46049</v>
      </c>
      <c r="D6134" s="242" t="s">
        <v>29</v>
      </c>
      <c r="E6134" s="71" t="s">
        <v>189</v>
      </c>
      <c r="F6134" s="71" t="s">
        <v>29</v>
      </c>
      <c r="J6134" s="71" t="s">
        <v>2435</v>
      </c>
      <c r="L6134" s="433">
        <v>85</v>
      </c>
      <c r="M6134" s="136">
        <f t="shared" si="210"/>
        <v>8151.687103334174</v>
      </c>
    </row>
    <row r="6135" spans="1:13">
      <c r="A6135" s="54" t="str">
        <f t="shared" si="213"/>
        <v>CAPUBERCAP</v>
      </c>
      <c r="B6135" t="s">
        <v>3214</v>
      </c>
      <c r="C6135" s="1">
        <v>46049</v>
      </c>
      <c r="D6135" s="242" t="s">
        <v>31</v>
      </c>
      <c r="E6135" s="71" t="s">
        <v>189</v>
      </c>
      <c r="F6135" s="71" t="s">
        <v>31</v>
      </c>
      <c r="J6135" s="71" t="s">
        <v>3420</v>
      </c>
      <c r="L6135" s="433">
        <v>251</v>
      </c>
      <c r="M6135" s="136">
        <f t="shared" si="210"/>
        <v>7900.687103334174</v>
      </c>
    </row>
    <row r="6136" spans="1:13">
      <c r="A6136" s="54" t="str">
        <f t="shared" si="213"/>
        <v>CAPUBERCAP</v>
      </c>
      <c r="B6136" t="s">
        <v>3214</v>
      </c>
      <c r="C6136" s="1">
        <v>46049</v>
      </c>
      <c r="D6136" s="242" t="s">
        <v>31</v>
      </c>
      <c r="E6136" s="71" t="s">
        <v>189</v>
      </c>
      <c r="F6136" s="71" t="s">
        <v>31</v>
      </c>
      <c r="J6136" s="71" t="s">
        <v>2268</v>
      </c>
      <c r="L6136" s="433">
        <v>150</v>
      </c>
      <c r="M6136" s="136">
        <f t="shared" si="210"/>
        <v>7750.687103334174</v>
      </c>
    </row>
    <row r="6137" spans="1:13">
      <c r="A6137" s="137" t="str">
        <f>D6137&amp;E6137&amp;F6137</f>
        <v>CAPINSUMOSCAPRICHOS</v>
      </c>
      <c r="B6137" t="s">
        <v>3214</v>
      </c>
      <c r="C6137" s="1">
        <v>46049</v>
      </c>
      <c r="D6137" s="242" t="s">
        <v>31</v>
      </c>
      <c r="E6137" s="71" t="s">
        <v>133</v>
      </c>
      <c r="F6137" s="71" t="s">
        <v>33</v>
      </c>
      <c r="J6137" s="71" t="s">
        <v>2926</v>
      </c>
      <c r="L6137" s="433">
        <v>139</v>
      </c>
      <c r="M6137" s="136">
        <f t="shared" si="210"/>
        <v>7611.687103334174</v>
      </c>
    </row>
    <row r="6138" spans="1:13">
      <c r="A6138" s="137" t="str">
        <f>D6138&amp;E6138&amp;F6138</f>
        <v>CAPFONDO Y REPOSICIONCAPRICHOS</v>
      </c>
      <c r="B6138" t="s">
        <v>3214</v>
      </c>
      <c r="C6138" s="1">
        <v>46049</v>
      </c>
      <c r="D6138" s="242" t="s">
        <v>31</v>
      </c>
      <c r="E6138" s="71" t="s">
        <v>120</v>
      </c>
      <c r="F6138" s="71" t="s">
        <v>33</v>
      </c>
      <c r="J6138" s="71" t="s">
        <v>2778</v>
      </c>
      <c r="L6138" s="433">
        <v>130</v>
      </c>
      <c r="M6138" s="136">
        <f t="shared" si="210"/>
        <v>7481.687103334174</v>
      </c>
    </row>
    <row r="6139" spans="1:13">
      <c r="A6139" s="54" t="str">
        <f>D6139&amp;E6139&amp;F6139</f>
        <v>CAPUBERCAP</v>
      </c>
      <c r="B6139" t="s">
        <v>3214</v>
      </c>
      <c r="C6139" s="1">
        <v>46049</v>
      </c>
      <c r="D6139" s="242" t="s">
        <v>31</v>
      </c>
      <c r="E6139" s="71" t="s">
        <v>189</v>
      </c>
      <c r="F6139" s="71" t="s">
        <v>31</v>
      </c>
      <c r="J6139" s="71" t="s">
        <v>2842</v>
      </c>
      <c r="L6139" s="433">
        <v>59</v>
      </c>
      <c r="M6139" s="136">
        <f t="shared" si="210"/>
        <v>7422.687103334174</v>
      </c>
    </row>
    <row r="6140" spans="1:13">
      <c r="A6140" s="137" t="str">
        <f>D6140&amp;E6140&amp;F6140</f>
        <v>CAPNOMINA SUCURSALE10</v>
      </c>
      <c r="B6140" t="s">
        <v>3214</v>
      </c>
      <c r="C6140" s="1">
        <v>46049</v>
      </c>
      <c r="D6140" s="242" t="s">
        <v>31</v>
      </c>
      <c r="E6140" s="71" t="s">
        <v>154</v>
      </c>
      <c r="F6140" s="71" t="s">
        <v>117</v>
      </c>
      <c r="J6140" s="71" t="s">
        <v>3421</v>
      </c>
      <c r="L6140" s="433">
        <v>100</v>
      </c>
      <c r="M6140" s="136">
        <f t="shared" si="210"/>
        <v>7322.687103334174</v>
      </c>
    </row>
    <row r="6141" spans="1:13">
      <c r="A6141" s="137" t="str">
        <f>D6141&amp;E6141&amp;F6141</f>
        <v>CAPNOMINA SUCURSALE11</v>
      </c>
      <c r="B6141" t="s">
        <v>3214</v>
      </c>
      <c r="C6141" s="1">
        <v>46049</v>
      </c>
      <c r="D6141" s="242" t="s">
        <v>31</v>
      </c>
      <c r="E6141" s="71" t="s">
        <v>154</v>
      </c>
      <c r="F6141" s="71" t="s">
        <v>118</v>
      </c>
      <c r="J6141" s="71" t="s">
        <v>3117</v>
      </c>
      <c r="L6141" s="433">
        <v>2747</v>
      </c>
      <c r="M6141" s="136">
        <f t="shared" si="210"/>
        <v>4575.687103334174</v>
      </c>
    </row>
    <row r="6142" spans="1:13">
      <c r="A6142" s="137" t="str">
        <f>D6142&amp;E6142&amp;F6142</f>
        <v>ELIINSUMOSL1</v>
      </c>
      <c r="B6142" t="s">
        <v>3214</v>
      </c>
      <c r="C6142" s="1">
        <v>46049</v>
      </c>
      <c r="D6142" s="242" t="s">
        <v>130</v>
      </c>
      <c r="E6142" s="71" t="s">
        <v>133</v>
      </c>
      <c r="F6142" s="71" t="s">
        <v>136</v>
      </c>
      <c r="J6142" s="71" t="s">
        <v>3422</v>
      </c>
      <c r="L6142" s="433">
        <v>19</v>
      </c>
      <c r="M6142" s="136">
        <f t="shared" si="210"/>
        <v>4556.687103334174</v>
      </c>
    </row>
    <row r="6143" spans="1:13">
      <c r="A6143" s="137" t="str">
        <f>D6143&amp;E6143&amp;F6143</f>
        <v/>
      </c>
      <c r="B6143" t="s">
        <v>3214</v>
      </c>
      <c r="C6143" s="1">
        <v>46050</v>
      </c>
      <c r="J6143" s="71" t="s">
        <v>2045</v>
      </c>
      <c r="K6143" s="325">
        <v>146737.99</v>
      </c>
      <c r="L6143" s="432"/>
      <c r="M6143" s="136">
        <f t="shared" si="210"/>
        <v>151294.67710333416</v>
      </c>
    </row>
    <row r="6144" spans="1:13">
      <c r="A6144" s="137"/>
      <c r="B6144" t="s">
        <v>3214</v>
      </c>
      <c r="C6144" s="1">
        <v>46050</v>
      </c>
      <c r="J6144" t="s">
        <v>3423</v>
      </c>
      <c r="K6144" s="325">
        <v>488000</v>
      </c>
      <c r="L6144" s="432"/>
      <c r="M6144" s="136">
        <f t="shared" si="210"/>
        <v>639294.67710333411</v>
      </c>
    </row>
    <row r="6145" spans="1:13">
      <c r="A6145" s="137"/>
      <c r="B6145" t="s">
        <v>3214</v>
      </c>
      <c r="C6145" s="1">
        <v>46050</v>
      </c>
      <c r="J6145" t="s">
        <v>3424</v>
      </c>
      <c r="K6145" s="325">
        <v>1700000</v>
      </c>
      <c r="L6145" s="432"/>
      <c r="M6145" s="136">
        <f t="shared" si="210"/>
        <v>2339294.6771033341</v>
      </c>
    </row>
    <row r="6146" spans="1:13" ht="17.25" customHeight="1">
      <c r="A6146" s="137" t="str">
        <f>D6146&amp;E6146&amp;F6146</f>
        <v>FINANZASCOMISIONES BANCARIASTPV</v>
      </c>
      <c r="B6146" t="s">
        <v>3214</v>
      </c>
      <c r="C6146" s="1">
        <v>46050</v>
      </c>
      <c r="D6146" s="242" t="s">
        <v>23</v>
      </c>
      <c r="E6146" s="71" t="s">
        <v>48</v>
      </c>
      <c r="F6146" s="71" t="s">
        <v>50</v>
      </c>
      <c r="J6146" s="71" t="s">
        <v>517</v>
      </c>
      <c r="L6146" s="438">
        <f>61.59+46.42+6.96+344.6+347.41+852.56+950+1174.63</f>
        <v>3784.17</v>
      </c>
      <c r="M6146" s="136">
        <f t="shared" si="210"/>
        <v>2335510.5071033342</v>
      </c>
    </row>
    <row r="6147" spans="1:13">
      <c r="A6147" s="137" t="str">
        <f>D6147&amp;E6147&amp;F6147</f>
        <v/>
      </c>
      <c r="B6147" t="s">
        <v>3214</v>
      </c>
      <c r="C6147" s="1">
        <v>46050</v>
      </c>
      <c r="J6147" s="205" t="s">
        <v>1562</v>
      </c>
      <c r="K6147" s="205"/>
      <c r="L6147" s="428">
        <v>200000</v>
      </c>
      <c r="M6147" s="136">
        <f t="shared" si="210"/>
        <v>2135510.5071033342</v>
      </c>
    </row>
    <row r="6148" spans="1:13">
      <c r="A6148" s="137" t="str">
        <f>D6148&amp;E6148&amp;F6148</f>
        <v/>
      </c>
      <c r="B6148" t="s">
        <v>3214</v>
      </c>
      <c r="C6148" s="1">
        <v>46050</v>
      </c>
      <c r="J6148" s="205" t="s">
        <v>222</v>
      </c>
      <c r="K6148" s="205"/>
      <c r="L6148" s="428">
        <f>488000+1285000</f>
        <v>1773000</v>
      </c>
      <c r="M6148" s="136">
        <f t="shared" si="210"/>
        <v>362510.50710333418</v>
      </c>
    </row>
    <row r="6149" spans="1:13">
      <c r="A6149" s="137" t="str">
        <f>D6149&amp;E6149&amp;F6149</f>
        <v>DEDONATIVOSDONATIVOS</v>
      </c>
      <c r="B6149" t="s">
        <v>3214</v>
      </c>
      <c r="C6149" s="1">
        <v>46050</v>
      </c>
      <c r="D6149" s="242" t="s">
        <v>41</v>
      </c>
      <c r="E6149" s="71" t="s">
        <v>86</v>
      </c>
      <c r="F6149" s="71" t="s">
        <v>86</v>
      </c>
      <c r="J6149" s="71" t="s">
        <v>3425</v>
      </c>
      <c r="L6149" s="433">
        <v>6000</v>
      </c>
      <c r="M6149" s="136">
        <f t="shared" ref="M6149:M6204" si="214">M6148+K6149-L6149</f>
        <v>356510.50710333418</v>
      </c>
    </row>
    <row r="6150" spans="1:13">
      <c r="A6150" s="137" t="str">
        <f>D6150&amp;E6150&amp;F6150</f>
        <v>FINANZASTELEFONIATELCEL</v>
      </c>
      <c r="B6150" t="s">
        <v>3214</v>
      </c>
      <c r="C6150" s="1">
        <v>46050</v>
      </c>
      <c r="D6150" s="242" t="s">
        <v>23</v>
      </c>
      <c r="E6150" s="71" t="s">
        <v>181</v>
      </c>
      <c r="F6150" s="71" t="s">
        <v>183</v>
      </c>
      <c r="J6150" s="71" t="s">
        <v>3426</v>
      </c>
      <c r="L6150" s="433">
        <v>270</v>
      </c>
      <c r="M6150" s="136">
        <f t="shared" si="214"/>
        <v>356240.50710333418</v>
      </c>
    </row>
    <row r="6151" spans="1:13">
      <c r="A6151" s="137" t="str">
        <f>D6151&amp;E6151&amp;F6151</f>
        <v/>
      </c>
      <c r="B6151" t="s">
        <v>3214</v>
      </c>
      <c r="C6151" s="1">
        <v>46050</v>
      </c>
      <c r="J6151" s="71" t="s">
        <v>533</v>
      </c>
      <c r="L6151" s="433">
        <v>500</v>
      </c>
      <c r="M6151" s="136">
        <f t="shared" si="214"/>
        <v>355740.50710333418</v>
      </c>
    </row>
    <row r="6152" spans="1:13">
      <c r="A6152" s="137" t="str">
        <f>D6152&amp;E6152&amp;F6152</f>
        <v/>
      </c>
      <c r="B6152" t="s">
        <v>3214</v>
      </c>
      <c r="C6152" s="1">
        <v>46050</v>
      </c>
      <c r="J6152" s="71" t="s">
        <v>2135</v>
      </c>
      <c r="L6152" s="433">
        <v>1180</v>
      </c>
      <c r="M6152" s="136">
        <f t="shared" si="214"/>
        <v>354560.50710333418</v>
      </c>
    </row>
    <row r="6153" spans="1:13">
      <c r="A6153" s="137" t="str">
        <f>D6153&amp;E6153&amp;F6153</f>
        <v/>
      </c>
      <c r="B6153" t="s">
        <v>3214</v>
      </c>
      <c r="C6153" s="1">
        <v>46050</v>
      </c>
      <c r="J6153" s="71" t="s">
        <v>3427</v>
      </c>
      <c r="L6153" s="433">
        <v>139.19</v>
      </c>
      <c r="M6153" s="136">
        <f t="shared" si="214"/>
        <v>354421.31710333418</v>
      </c>
    </row>
    <row r="6154" spans="1:13">
      <c r="A6154" s="137" t="str">
        <f>D6154&amp;E6154&amp;F6154</f>
        <v/>
      </c>
      <c r="B6154" t="s">
        <v>3214</v>
      </c>
      <c r="C6154" s="1">
        <v>46050</v>
      </c>
      <c r="J6154" s="71" t="s">
        <v>3428</v>
      </c>
      <c r="L6154" s="433">
        <f>1509.07+1509.07</f>
        <v>3018.14</v>
      </c>
      <c r="M6154" s="136">
        <f t="shared" si="214"/>
        <v>351403.17710333416</v>
      </c>
    </row>
    <row r="6155" spans="1:13">
      <c r="A6155" s="137" t="str">
        <f>D6155&amp;E6155&amp;F6155</f>
        <v/>
      </c>
      <c r="B6155" t="s">
        <v>3214</v>
      </c>
      <c r="C6155" s="1">
        <v>46050</v>
      </c>
      <c r="J6155" s="71" t="s">
        <v>3429</v>
      </c>
      <c r="L6155" s="433">
        <v>84039.2</v>
      </c>
      <c r="M6155" s="136">
        <f t="shared" si="214"/>
        <v>267363.97710333415</v>
      </c>
    </row>
    <row r="6156" spans="1:13">
      <c r="A6156" s="54" t="str">
        <f t="shared" ref="A6156:A6157" si="215">D6156&amp;E6156&amp;F6156</f>
        <v>CAPUBERCAP</v>
      </c>
      <c r="B6156" t="s">
        <v>3214</v>
      </c>
      <c r="C6156" s="1">
        <v>46050</v>
      </c>
      <c r="D6156" s="242" t="s">
        <v>31</v>
      </c>
      <c r="E6156" s="71" t="s">
        <v>189</v>
      </c>
      <c r="F6156" s="71" t="s">
        <v>31</v>
      </c>
      <c r="J6156" s="71" t="s">
        <v>2267</v>
      </c>
      <c r="L6156" s="433">
        <v>395</v>
      </c>
      <c r="M6156" s="136">
        <f t="shared" si="214"/>
        <v>266968.97710333415</v>
      </c>
    </row>
    <row r="6157" spans="1:13">
      <c r="A6157" s="54" t="str">
        <f t="shared" si="215"/>
        <v>CAPUBERCAP</v>
      </c>
      <c r="B6157" t="s">
        <v>3214</v>
      </c>
      <c r="C6157" s="1">
        <v>46050</v>
      </c>
      <c r="D6157" s="242" t="s">
        <v>31</v>
      </c>
      <c r="E6157" s="71" t="s">
        <v>189</v>
      </c>
      <c r="F6157" s="71" t="s">
        <v>31</v>
      </c>
      <c r="J6157" s="71" t="s">
        <v>3430</v>
      </c>
      <c r="L6157" s="433">
        <v>130</v>
      </c>
      <c r="M6157" s="136">
        <f t="shared" si="214"/>
        <v>266838.97710333415</v>
      </c>
    </row>
    <row r="6158" spans="1:13">
      <c r="A6158" s="137" t="str">
        <f>D6158&amp;E6158&amp;F6158</f>
        <v>CAPINSUMOSCAPRICHOS</v>
      </c>
      <c r="B6158" t="s">
        <v>3214</v>
      </c>
      <c r="C6158" s="1">
        <v>46050</v>
      </c>
      <c r="D6158" s="242" t="s">
        <v>31</v>
      </c>
      <c r="E6158" s="71" t="s">
        <v>133</v>
      </c>
      <c r="F6158" s="71" t="s">
        <v>33</v>
      </c>
      <c r="J6158" s="71" t="s">
        <v>2525</v>
      </c>
      <c r="L6158" s="433">
        <v>50</v>
      </c>
      <c r="M6158" s="136">
        <f t="shared" si="214"/>
        <v>266788.97710333415</v>
      </c>
    </row>
    <row r="6159" spans="1:13">
      <c r="A6159" s="137" t="str">
        <f>D6159&amp;E6159&amp;F6159</f>
        <v>CAPINSUMOSCAPRICHOS</v>
      </c>
      <c r="B6159" t="s">
        <v>3214</v>
      </c>
      <c r="C6159" s="1">
        <v>46050</v>
      </c>
      <c r="D6159" s="242" t="s">
        <v>31</v>
      </c>
      <c r="E6159" s="71" t="s">
        <v>133</v>
      </c>
      <c r="F6159" s="71" t="s">
        <v>33</v>
      </c>
      <c r="J6159" s="71" t="s">
        <v>2618</v>
      </c>
      <c r="L6159" s="208">
        <v>90</v>
      </c>
      <c r="M6159" s="136">
        <f t="shared" si="214"/>
        <v>266698.97710333415</v>
      </c>
    </row>
    <row r="6160" spans="1:13">
      <c r="A6160" s="54" t="str">
        <f t="shared" ref="A6160:A6161" si="216">D6160&amp;E6160&amp;F6160</f>
        <v>HRUBERHR</v>
      </c>
      <c r="B6160" t="s">
        <v>3214</v>
      </c>
      <c r="C6160" s="1">
        <v>46050</v>
      </c>
      <c r="D6160" s="242" t="s">
        <v>29</v>
      </c>
      <c r="E6160" s="71" t="s">
        <v>189</v>
      </c>
      <c r="F6160" s="71" t="s">
        <v>29</v>
      </c>
      <c r="J6160" s="71" t="s">
        <v>2536</v>
      </c>
      <c r="L6160" s="208">
        <v>250</v>
      </c>
      <c r="M6160" s="136">
        <f t="shared" si="214"/>
        <v>266448.97710333415</v>
      </c>
    </row>
    <row r="6161" spans="1:13">
      <c r="A6161" s="54" t="str">
        <f t="shared" si="216"/>
        <v>HRUBERHR</v>
      </c>
      <c r="B6161" t="s">
        <v>3214</v>
      </c>
      <c r="C6161" s="1">
        <v>46050</v>
      </c>
      <c r="D6161" s="242" t="s">
        <v>29</v>
      </c>
      <c r="E6161" s="71" t="s">
        <v>189</v>
      </c>
      <c r="F6161" s="71" t="s">
        <v>29</v>
      </c>
      <c r="J6161" s="71" t="s">
        <v>2435</v>
      </c>
      <c r="L6161" s="208">
        <v>210</v>
      </c>
      <c r="M6161" s="136">
        <f t="shared" si="214"/>
        <v>266238.97710333415</v>
      </c>
    </row>
    <row r="6162" spans="1:13" ht="18.75" customHeight="1">
      <c r="A6162" s="137" t="str">
        <f>D6162&amp;E6162&amp;F6162</f>
        <v/>
      </c>
      <c r="B6162" t="s">
        <v>3214</v>
      </c>
      <c r="C6162" s="214">
        <v>46051</v>
      </c>
      <c r="J6162" s="71" t="s">
        <v>2045</v>
      </c>
      <c r="K6162" s="325">
        <v>156107.72</v>
      </c>
      <c r="L6162" s="432"/>
      <c r="M6162" s="136">
        <f t="shared" si="214"/>
        <v>422346.69710333413</v>
      </c>
    </row>
    <row r="6163" spans="1:13">
      <c r="A6163" s="137" t="str">
        <f>D6163&amp;E6163&amp;F6163</f>
        <v>FINANZASCOMISIONES BANCARIASTPV</v>
      </c>
      <c r="B6163" t="s">
        <v>3214</v>
      </c>
      <c r="C6163" s="214">
        <v>46051</v>
      </c>
      <c r="D6163" s="242" t="s">
        <v>23</v>
      </c>
      <c r="E6163" s="71" t="s">
        <v>48</v>
      </c>
      <c r="F6163" s="71" t="s">
        <v>50</v>
      </c>
      <c r="J6163" s="71" t="s">
        <v>517</v>
      </c>
      <c r="L6163" s="433">
        <f>17.56+54.28+20.88+474.12+452.37+792.39+1221.09+102.81</f>
        <v>3135.4999999999995</v>
      </c>
      <c r="M6163" s="136">
        <f t="shared" si="214"/>
        <v>419211.19710333413</v>
      </c>
    </row>
    <row r="6164" spans="1:13">
      <c r="A6164" s="137" t="str">
        <f>D6164&amp;E6164&amp;F6164</f>
        <v/>
      </c>
      <c r="B6164" t="s">
        <v>3214</v>
      </c>
      <c r="C6164" s="214">
        <v>46051</v>
      </c>
      <c r="J6164" s="205" t="s">
        <v>1562</v>
      </c>
      <c r="K6164" s="205"/>
      <c r="L6164" s="428">
        <v>150000</v>
      </c>
      <c r="M6164" s="136">
        <f t="shared" si="214"/>
        <v>269211.19710333413</v>
      </c>
    </row>
    <row r="6165" spans="1:13">
      <c r="A6165" s="137" t="str">
        <f>D6165&amp;E6165&amp;F6165</f>
        <v/>
      </c>
      <c r="B6165" t="s">
        <v>3214</v>
      </c>
      <c r="C6165" s="214">
        <v>46051</v>
      </c>
      <c r="J6165" s="205" t="s">
        <v>222</v>
      </c>
      <c r="K6165" s="205"/>
      <c r="L6165" s="428"/>
      <c r="M6165" s="136">
        <f t="shared" si="214"/>
        <v>269211.19710333413</v>
      </c>
    </row>
    <row r="6166" spans="1:13">
      <c r="A6166" s="137" t="str">
        <f>D6166&amp;E6166&amp;F6166</f>
        <v>FINANZASCUOTAS Y SUSCRIPCIONESTRAMITES</v>
      </c>
      <c r="B6166" t="s">
        <v>3214</v>
      </c>
      <c r="C6166" s="214">
        <v>46051</v>
      </c>
      <c r="D6166" s="242" t="s">
        <v>23</v>
      </c>
      <c r="E6166" s="71" t="s">
        <v>51</v>
      </c>
      <c r="F6166" s="71" t="s">
        <v>81</v>
      </c>
      <c r="J6166" s="71" t="s">
        <v>3431</v>
      </c>
      <c r="L6166" s="433">
        <v>223930</v>
      </c>
      <c r="M6166" s="136">
        <f t="shared" si="214"/>
        <v>45281.197103334125</v>
      </c>
    </row>
    <row r="6167" spans="1:13">
      <c r="A6167" s="137" t="str">
        <f>D6167&amp;E6167&amp;F6167</f>
        <v>HRJMASA8</v>
      </c>
      <c r="B6167" t="s">
        <v>3214</v>
      </c>
      <c r="C6167" s="214">
        <v>46051</v>
      </c>
      <c r="D6167" s="242" t="s">
        <v>29</v>
      </c>
      <c r="E6167" s="71" t="s">
        <v>137</v>
      </c>
      <c r="F6167" s="71" t="s">
        <v>94</v>
      </c>
      <c r="J6167" s="71" t="s">
        <v>3432</v>
      </c>
      <c r="L6167" s="433">
        <v>375.61</v>
      </c>
      <c r="M6167" s="136">
        <f t="shared" si="214"/>
        <v>44905.587103334125</v>
      </c>
    </row>
    <row r="6168" spans="1:13">
      <c r="A6168" s="137" t="str">
        <f>D6168&amp;E6168&amp;F6168</f>
        <v>FINANZASFONDO Y REPOSICIONFINANZAS</v>
      </c>
      <c r="B6168" t="s">
        <v>3214</v>
      </c>
      <c r="C6168" s="214">
        <v>46051</v>
      </c>
      <c r="D6168" s="242" t="s">
        <v>23</v>
      </c>
      <c r="E6168" s="71" t="s">
        <v>120</v>
      </c>
      <c r="F6168" s="71" t="s">
        <v>23</v>
      </c>
      <c r="J6168" s="71" t="s">
        <v>3433</v>
      </c>
      <c r="L6168" s="208">
        <v>1660</v>
      </c>
      <c r="M6168" s="136">
        <f t="shared" si="214"/>
        <v>43245.587103334125</v>
      </c>
    </row>
    <row r="6169" spans="1:13">
      <c r="A6169" s="137" t="str">
        <f>D6169&amp;E6169&amp;F6169</f>
        <v>FINANZASVIATICOSFINANZAS</v>
      </c>
      <c r="B6169" t="s">
        <v>3214</v>
      </c>
      <c r="C6169" s="214">
        <v>46051</v>
      </c>
      <c r="D6169" s="242" t="s">
        <v>23</v>
      </c>
      <c r="E6169" s="71" t="s">
        <v>191</v>
      </c>
      <c r="F6169" s="71" t="s">
        <v>23</v>
      </c>
      <c r="J6169" s="71" t="s">
        <v>2006</v>
      </c>
      <c r="L6169" s="208">
        <v>800</v>
      </c>
      <c r="M6169" s="136">
        <f t="shared" si="214"/>
        <v>42445.587103334125</v>
      </c>
    </row>
    <row r="6170" spans="1:13">
      <c r="A6170" s="137" t="str">
        <f>D6170&amp;E6170&amp;F6170</f>
        <v>SERVICIOSVIATICOSCEDIS</v>
      </c>
      <c r="B6170" t="s">
        <v>3214</v>
      </c>
      <c r="C6170" s="214">
        <v>46051</v>
      </c>
      <c r="D6170" s="242" t="s">
        <v>21</v>
      </c>
      <c r="E6170" s="71" t="s">
        <v>191</v>
      </c>
      <c r="F6170" s="71" t="s">
        <v>28</v>
      </c>
      <c r="J6170" s="71" t="s">
        <v>3434</v>
      </c>
      <c r="L6170" s="208">
        <v>2850</v>
      </c>
      <c r="M6170" s="136">
        <f t="shared" si="214"/>
        <v>39595.587103334125</v>
      </c>
    </row>
    <row r="6171" spans="1:13">
      <c r="A6171" s="137" t="str">
        <f>D6171&amp;E6171&amp;F6171</f>
        <v>SERVICIOSFONDO Y REPOSICIONCEDIS</v>
      </c>
      <c r="B6171" t="s">
        <v>3214</v>
      </c>
      <c r="C6171" s="214">
        <v>46051</v>
      </c>
      <c r="D6171" s="242" t="s">
        <v>21</v>
      </c>
      <c r="E6171" s="71" t="s">
        <v>120</v>
      </c>
      <c r="F6171" s="71" t="s">
        <v>28</v>
      </c>
      <c r="J6171" s="71" t="s">
        <v>3435</v>
      </c>
      <c r="L6171" s="208">
        <v>1043</v>
      </c>
      <c r="M6171" s="136">
        <f t="shared" si="214"/>
        <v>38552.587103334125</v>
      </c>
    </row>
    <row r="6172" spans="1:13">
      <c r="A6172" s="137" t="str">
        <f>D6172&amp;E6172&amp;F6172</f>
        <v>SERVICIOSFONDO Y REPOSICIONCEDIS</v>
      </c>
      <c r="B6172" t="s">
        <v>3214</v>
      </c>
      <c r="C6172" s="214">
        <v>46051</v>
      </c>
      <c r="D6172" s="242" t="s">
        <v>21</v>
      </c>
      <c r="E6172" s="71" t="s">
        <v>120</v>
      </c>
      <c r="F6172" s="71" t="s">
        <v>28</v>
      </c>
      <c r="J6172" s="71" t="s">
        <v>3436</v>
      </c>
      <c r="L6172" s="433">
        <v>455</v>
      </c>
      <c r="M6172" s="136">
        <f t="shared" si="214"/>
        <v>38097.587103334125</v>
      </c>
    </row>
    <row r="6173" spans="1:13">
      <c r="A6173" s="137" t="str">
        <f>D6173&amp;E6173&amp;F6173</f>
        <v>HRFONDO Y REPOSICIONHR</v>
      </c>
      <c r="B6173" t="s">
        <v>3214</v>
      </c>
      <c r="C6173" s="214">
        <v>46051</v>
      </c>
      <c r="D6173" s="242" t="s">
        <v>29</v>
      </c>
      <c r="E6173" s="71" t="s">
        <v>120</v>
      </c>
      <c r="F6173" s="71" t="s">
        <v>29</v>
      </c>
      <c r="J6173" s="71" t="s">
        <v>266</v>
      </c>
      <c r="L6173" s="433">
        <v>3000</v>
      </c>
      <c r="M6173" s="136">
        <f t="shared" si="214"/>
        <v>35097.587103334125</v>
      </c>
    </row>
    <row r="6174" spans="1:13">
      <c r="A6174" s="137" t="str">
        <f>D6174&amp;E6174&amp;F6174</f>
        <v>MKTINSUMOSMKT</v>
      </c>
      <c r="B6174" t="s">
        <v>3214</v>
      </c>
      <c r="C6174" s="214">
        <v>46051</v>
      </c>
      <c r="D6174" s="242" t="s">
        <v>19</v>
      </c>
      <c r="E6174" s="71" t="s">
        <v>133</v>
      </c>
      <c r="F6174" s="71" t="s">
        <v>19</v>
      </c>
      <c r="J6174" s="71" t="s">
        <v>3437</v>
      </c>
      <c r="L6174" s="433">
        <v>4900</v>
      </c>
      <c r="M6174" s="136">
        <f t="shared" si="214"/>
        <v>30197.587103334125</v>
      </c>
    </row>
    <row r="6175" spans="1:13">
      <c r="A6175" s="137" t="str">
        <f>D6175&amp;E6175&amp;F6175</f>
        <v>SGEVIATICOSGESTION EMPRESARIAL</v>
      </c>
      <c r="B6175" t="s">
        <v>3214</v>
      </c>
      <c r="C6175" s="214">
        <v>46051</v>
      </c>
      <c r="D6175" s="242" t="s">
        <v>39</v>
      </c>
      <c r="E6175" s="71" t="s">
        <v>191</v>
      </c>
      <c r="F6175" s="71" t="s">
        <v>40</v>
      </c>
      <c r="J6175" s="71" t="s">
        <v>2851</v>
      </c>
      <c r="L6175" s="433">
        <v>1200</v>
      </c>
      <c r="M6175" s="136">
        <f t="shared" si="214"/>
        <v>28997.587103334125</v>
      </c>
    </row>
    <row r="6176" spans="1:13">
      <c r="A6176" s="137" t="str">
        <f>D6176&amp;E6176&amp;F6176</f>
        <v>SERVICIOSENERGIA ELECTRICACEDIS</v>
      </c>
      <c r="B6176" t="s">
        <v>3214</v>
      </c>
      <c r="C6176" s="214">
        <v>46051</v>
      </c>
      <c r="D6176" s="242" t="s">
        <v>21</v>
      </c>
      <c r="E6176" s="71" t="s">
        <v>87</v>
      </c>
      <c r="F6176" s="71" t="s">
        <v>28</v>
      </c>
      <c r="J6176" s="71" t="s">
        <v>2243</v>
      </c>
      <c r="L6176" s="433">
        <v>281</v>
      </c>
      <c r="M6176" s="136">
        <f t="shared" si="214"/>
        <v>28716.587103334125</v>
      </c>
    </row>
    <row r="6177" spans="1:13">
      <c r="A6177" s="137" t="str">
        <f>D6177&amp;E6177&amp;F6177</f>
        <v>SERVICIOSENERGIA ELECTRICACEDIS</v>
      </c>
      <c r="B6177" t="s">
        <v>3214</v>
      </c>
      <c r="C6177" s="214">
        <v>46051</v>
      </c>
      <c r="D6177" s="242" t="s">
        <v>21</v>
      </c>
      <c r="E6177" s="71" t="s">
        <v>87</v>
      </c>
      <c r="F6177" s="71" t="s">
        <v>28</v>
      </c>
      <c r="J6177" s="71" t="s">
        <v>2244</v>
      </c>
      <c r="L6177" s="433">
        <v>9132</v>
      </c>
      <c r="M6177" s="136">
        <f t="shared" si="214"/>
        <v>19584.587103334125</v>
      </c>
    </row>
    <row r="6178" spans="1:13">
      <c r="A6178" s="137" t="str">
        <f>D6178&amp;E6178&amp;F6178</f>
        <v>SERVICIOSENERGIA ELECTRICACEDIS</v>
      </c>
      <c r="B6178" t="s">
        <v>3214</v>
      </c>
      <c r="C6178" s="214">
        <v>46051</v>
      </c>
      <c r="D6178" s="242" t="s">
        <v>21</v>
      </c>
      <c r="E6178" s="71" t="s">
        <v>87</v>
      </c>
      <c r="F6178" s="71" t="s">
        <v>28</v>
      </c>
      <c r="J6178" s="71" t="s">
        <v>3438</v>
      </c>
      <c r="L6178" s="433">
        <v>3650</v>
      </c>
      <c r="M6178" s="136">
        <f t="shared" si="214"/>
        <v>15934.587103334125</v>
      </c>
    </row>
    <row r="6179" spans="1:13">
      <c r="A6179" s="137" t="str">
        <f>D6179&amp;E6179&amp;F6179</f>
        <v>SERVICIOSENERGIA ELECTRICACEDIS</v>
      </c>
      <c r="B6179" t="s">
        <v>3214</v>
      </c>
      <c r="C6179" s="214">
        <v>46051</v>
      </c>
      <c r="D6179" s="242" t="s">
        <v>21</v>
      </c>
      <c r="E6179" s="71" t="s">
        <v>87</v>
      </c>
      <c r="F6179" s="71" t="s">
        <v>28</v>
      </c>
      <c r="J6179" s="71" t="s">
        <v>3439</v>
      </c>
      <c r="L6179" s="433">
        <v>281</v>
      </c>
      <c r="M6179" s="136">
        <f t="shared" si="214"/>
        <v>15653.587103334125</v>
      </c>
    </row>
    <row r="6180" spans="1:13">
      <c r="A6180" s="137" t="str">
        <f>D6180&amp;E6180&amp;F6180</f>
        <v>SERVICIOSENERGIA ELECTRICACEDIS</v>
      </c>
      <c r="B6180" t="s">
        <v>3214</v>
      </c>
      <c r="C6180" s="214">
        <v>46051</v>
      </c>
      <c r="D6180" s="242" t="s">
        <v>21</v>
      </c>
      <c r="E6180" s="71" t="s">
        <v>87</v>
      </c>
      <c r="F6180" s="71" t="s">
        <v>28</v>
      </c>
      <c r="J6180" s="71" t="s">
        <v>2242</v>
      </c>
      <c r="L6180" s="433">
        <v>281</v>
      </c>
      <c r="M6180" s="136">
        <f t="shared" si="214"/>
        <v>15372.587103334125</v>
      </c>
    </row>
    <row r="6181" spans="1:13">
      <c r="A6181" s="54" t="str">
        <f t="shared" ref="A6181:A6182" si="217">D6181&amp;E6181&amp;F6181</f>
        <v>CAPUBERCAP</v>
      </c>
      <c r="B6181" t="s">
        <v>3214</v>
      </c>
      <c r="C6181" s="214">
        <v>46051</v>
      </c>
      <c r="D6181" s="242" t="s">
        <v>31</v>
      </c>
      <c r="E6181" s="71" t="s">
        <v>189</v>
      </c>
      <c r="F6181" s="71" t="s">
        <v>31</v>
      </c>
      <c r="J6181" s="71" t="s">
        <v>2267</v>
      </c>
      <c r="L6181" s="433">
        <v>165</v>
      </c>
      <c r="M6181" s="136">
        <f t="shared" si="214"/>
        <v>15207.587103334125</v>
      </c>
    </row>
    <row r="6182" spans="1:13">
      <c r="A6182" s="54" t="str">
        <f t="shared" si="217"/>
        <v>CAPUBERCAP</v>
      </c>
      <c r="B6182" t="s">
        <v>3214</v>
      </c>
      <c r="C6182" s="214">
        <v>46051</v>
      </c>
      <c r="D6182" s="242" t="s">
        <v>31</v>
      </c>
      <c r="E6182" s="71" t="s">
        <v>189</v>
      </c>
      <c r="F6182" s="71" t="s">
        <v>31</v>
      </c>
      <c r="J6182" s="71" t="s">
        <v>3113</v>
      </c>
      <c r="L6182" s="433">
        <v>386</v>
      </c>
      <c r="M6182" s="136">
        <f t="shared" si="214"/>
        <v>14821.587103334125</v>
      </c>
    </row>
    <row r="6183" spans="1:13">
      <c r="A6183" s="137" t="str">
        <f>D6183&amp;E6183&amp;F6183</f>
        <v>CAPINSUMOSCAPRICHOS</v>
      </c>
      <c r="B6183" t="s">
        <v>3214</v>
      </c>
      <c r="C6183" s="214">
        <v>46051</v>
      </c>
      <c r="D6183" s="242" t="s">
        <v>31</v>
      </c>
      <c r="E6183" s="71" t="s">
        <v>133</v>
      </c>
      <c r="F6183" s="71" t="s">
        <v>33</v>
      </c>
      <c r="J6183" s="71" t="s">
        <v>2663</v>
      </c>
      <c r="L6183" s="433">
        <v>84</v>
      </c>
      <c r="M6183" s="136">
        <f t="shared" si="214"/>
        <v>14737.587103334125</v>
      </c>
    </row>
    <row r="6184" spans="1:13">
      <c r="A6184" s="137" t="str">
        <f>D6184&amp;E6184&amp;F6184</f>
        <v>SERVICIOSMTTO DE EDIFICIOMANTENIMIENTO</v>
      </c>
      <c r="B6184" t="s">
        <v>3214</v>
      </c>
      <c r="C6184" s="214">
        <v>46051</v>
      </c>
      <c r="D6184" s="242" t="s">
        <v>21</v>
      </c>
      <c r="E6184" s="71" t="s">
        <v>142</v>
      </c>
      <c r="F6184" s="71" t="s">
        <v>35</v>
      </c>
      <c r="J6184" s="71" t="s">
        <v>3385</v>
      </c>
      <c r="L6184" s="433">
        <v>216</v>
      </c>
      <c r="M6184" s="136">
        <f t="shared" si="214"/>
        <v>14521.587103334125</v>
      </c>
    </row>
    <row r="6185" spans="1:13">
      <c r="A6185" s="54" t="str">
        <f>D6185&amp;E6185&amp;F6185</f>
        <v>CAPUBERCAP</v>
      </c>
      <c r="B6185" t="s">
        <v>3214</v>
      </c>
      <c r="C6185" s="214">
        <v>46051</v>
      </c>
      <c r="D6185" s="242" t="s">
        <v>31</v>
      </c>
      <c r="E6185" s="71" t="s">
        <v>189</v>
      </c>
      <c r="F6185" s="71" t="s">
        <v>31</v>
      </c>
      <c r="J6185" s="71" t="s">
        <v>3356</v>
      </c>
      <c r="L6185" s="433">
        <v>100</v>
      </c>
      <c r="M6185" s="136">
        <f t="shared" si="214"/>
        <v>14421.587103334125</v>
      </c>
    </row>
    <row r="6186" spans="1:13">
      <c r="A6186" s="137" t="str">
        <f>D6186&amp;E6186&amp;F6186</f>
        <v>CAPINSUMOSCAP</v>
      </c>
      <c r="B6186" t="s">
        <v>3214</v>
      </c>
      <c r="C6186" s="214">
        <v>46051</v>
      </c>
      <c r="D6186" s="242" t="s">
        <v>31</v>
      </c>
      <c r="E6186" s="71" t="s">
        <v>133</v>
      </c>
      <c r="F6186" s="71" t="s">
        <v>31</v>
      </c>
      <c r="J6186" s="71" t="s">
        <v>3417</v>
      </c>
      <c r="L6186" s="433">
        <v>25</v>
      </c>
      <c r="M6186" s="136">
        <f t="shared" si="214"/>
        <v>14396.587103334125</v>
      </c>
    </row>
    <row r="6187" spans="1:13">
      <c r="A6187" s="137" t="str">
        <f t="shared" ref="A6187:A6188" si="218">D6187&amp;E6187&amp;F6187</f>
        <v>HRJMASA14</v>
      </c>
      <c r="B6187" t="s">
        <v>3214</v>
      </c>
      <c r="C6187" s="214">
        <v>46051</v>
      </c>
      <c r="D6187" s="242" t="s">
        <v>29</v>
      </c>
      <c r="E6187" s="71" t="s">
        <v>137</v>
      </c>
      <c r="F6187" s="71" t="s">
        <v>99</v>
      </c>
      <c r="J6187" s="71" t="s">
        <v>3440</v>
      </c>
      <c r="L6187" s="433">
        <v>1513</v>
      </c>
      <c r="M6187" s="136">
        <f t="shared" si="214"/>
        <v>12883.587103334125</v>
      </c>
    </row>
    <row r="6188" spans="1:13">
      <c r="A6188" s="137" t="str">
        <f t="shared" si="218"/>
        <v>HRUBERHR</v>
      </c>
      <c r="B6188" t="s">
        <v>3214</v>
      </c>
      <c r="C6188" s="214">
        <v>46051</v>
      </c>
      <c r="D6188" s="242" t="s">
        <v>29</v>
      </c>
      <c r="E6188" s="71" t="s">
        <v>189</v>
      </c>
      <c r="F6188" s="71" t="s">
        <v>29</v>
      </c>
      <c r="J6188" s="71" t="s">
        <v>2536</v>
      </c>
      <c r="L6188" s="433">
        <v>229</v>
      </c>
      <c r="M6188" s="136">
        <f t="shared" si="214"/>
        <v>12654.587103334125</v>
      </c>
    </row>
    <row r="6189" spans="1:13">
      <c r="A6189" s="137" t="str">
        <f>D6189&amp;E6189&amp;F6189</f>
        <v/>
      </c>
      <c r="B6189" t="s">
        <v>3214</v>
      </c>
      <c r="C6189" s="214">
        <v>46051</v>
      </c>
      <c r="J6189" s="71" t="s">
        <v>2045</v>
      </c>
      <c r="K6189" s="325">
        <v>167388.35</v>
      </c>
      <c r="L6189" s="432"/>
      <c r="M6189" s="136">
        <f t="shared" si="214"/>
        <v>180042.93710333412</v>
      </c>
    </row>
    <row r="6190" spans="1:13">
      <c r="A6190" s="137" t="str">
        <f>D6190&amp;E6190&amp;F6190</f>
        <v>FINANZASCOMISIONES BANCARIASTPV</v>
      </c>
      <c r="B6190" t="s">
        <v>3214</v>
      </c>
      <c r="C6190" s="214">
        <v>46051</v>
      </c>
      <c r="D6190" s="242" t="s">
        <v>23</v>
      </c>
      <c r="E6190" s="71" t="s">
        <v>48</v>
      </c>
      <c r="F6190" s="71" t="s">
        <v>50</v>
      </c>
      <c r="J6190" s="71" t="s">
        <v>517</v>
      </c>
      <c r="L6190" s="433">
        <f>56.65+5.8+5.8+140.73+5524.37+1044+313.97+1035.57+1601.73</f>
        <v>9728.619999999999</v>
      </c>
      <c r="M6190" s="136">
        <f t="shared" si="214"/>
        <v>170314.31710333412</v>
      </c>
    </row>
    <row r="6191" spans="1:13">
      <c r="A6191" s="137" t="str">
        <f>D6191&amp;E6191&amp;F6191</f>
        <v/>
      </c>
      <c r="B6191" t="s">
        <v>3214</v>
      </c>
      <c r="C6191" s="214">
        <v>46051</v>
      </c>
      <c r="J6191" s="205" t="s">
        <v>1562</v>
      </c>
      <c r="K6191" s="205"/>
      <c r="L6191" s="428"/>
      <c r="M6191" s="136">
        <f t="shared" si="214"/>
        <v>170314.31710333412</v>
      </c>
    </row>
    <row r="6192" spans="1:13">
      <c r="A6192" s="137" t="str">
        <f>D6192&amp;E6192&amp;F6192</f>
        <v/>
      </c>
      <c r="B6192" t="s">
        <v>3214</v>
      </c>
      <c r="C6192" s="214">
        <v>46051</v>
      </c>
      <c r="J6192" s="205" t="s">
        <v>222</v>
      </c>
      <c r="K6192" s="205"/>
      <c r="L6192" s="428"/>
      <c r="M6192" s="136">
        <f t="shared" si="214"/>
        <v>170314.31710333412</v>
      </c>
    </row>
    <row r="6193" spans="1:13">
      <c r="A6193" s="137" t="str">
        <f>D6193&amp;E6193&amp;F6193</f>
        <v/>
      </c>
      <c r="B6193" t="s">
        <v>3214</v>
      </c>
      <c r="C6193" s="214">
        <v>46051</v>
      </c>
      <c r="J6193" s="71" t="s">
        <v>3441</v>
      </c>
      <c r="L6193" s="433">
        <v>6118.32</v>
      </c>
      <c r="M6193" s="136">
        <f t="shared" si="214"/>
        <v>164195.99710333411</v>
      </c>
    </row>
    <row r="6194" spans="1:13">
      <c r="A6194" s="137" t="str">
        <f>D6194&amp;E6194&amp;F6194</f>
        <v/>
      </c>
      <c r="B6194" t="s">
        <v>3214</v>
      </c>
      <c r="C6194" s="214">
        <v>46051</v>
      </c>
      <c r="J6194" s="71" t="s">
        <v>3442</v>
      </c>
      <c r="L6194" s="433">
        <v>3364</v>
      </c>
      <c r="M6194" s="136">
        <f t="shared" si="214"/>
        <v>160831.99710333411</v>
      </c>
    </row>
    <row r="6195" spans="1:13">
      <c r="A6195" s="137" t="str">
        <f t="shared" ref="A6195:A6197" si="219">D6195&amp;E6195&amp;F6195</f>
        <v>SERVICIOSMTTO DE EDIFICIOMANTENIMIENTO</v>
      </c>
      <c r="B6195" t="s">
        <v>3214</v>
      </c>
      <c r="C6195" s="214">
        <v>46051</v>
      </c>
      <c r="D6195" s="242" t="s">
        <v>21</v>
      </c>
      <c r="E6195" s="71" t="s">
        <v>142</v>
      </c>
      <c r="F6195" s="71" t="s">
        <v>35</v>
      </c>
      <c r="J6195" s="71" t="s">
        <v>3443</v>
      </c>
      <c r="L6195" s="433">
        <v>7150</v>
      </c>
      <c r="M6195" s="136">
        <f t="shared" si="214"/>
        <v>153681.99710333411</v>
      </c>
    </row>
    <row r="6196" spans="1:13">
      <c r="A6196" s="137" t="str">
        <f t="shared" si="219"/>
        <v>SERVICIOSMTTO DE EDIFICIOMANTENIMIENTO</v>
      </c>
      <c r="B6196" t="s">
        <v>3214</v>
      </c>
      <c r="C6196" s="214">
        <v>46051</v>
      </c>
      <c r="D6196" s="242" t="s">
        <v>21</v>
      </c>
      <c r="E6196" s="71" t="s">
        <v>142</v>
      </c>
      <c r="F6196" s="71" t="s">
        <v>35</v>
      </c>
      <c r="J6196" s="71" t="s">
        <v>3444</v>
      </c>
      <c r="L6196" s="433">
        <v>29600</v>
      </c>
      <c r="M6196" s="136">
        <f t="shared" si="214"/>
        <v>124081.99710333411</v>
      </c>
    </row>
    <row r="6197" spans="1:13">
      <c r="A6197" s="137" t="str">
        <f t="shared" si="219"/>
        <v>HRVIATICOSSISTEMAS</v>
      </c>
      <c r="B6197" t="s">
        <v>3214</v>
      </c>
      <c r="C6197" s="214">
        <v>46051</v>
      </c>
      <c r="D6197" s="242" t="s">
        <v>29</v>
      </c>
      <c r="E6197" s="71" t="s">
        <v>191</v>
      </c>
      <c r="F6197" s="71" t="s">
        <v>36</v>
      </c>
      <c r="J6197" s="71" t="s">
        <v>2125</v>
      </c>
      <c r="L6197" s="433">
        <v>1200</v>
      </c>
      <c r="M6197" s="136">
        <f t="shared" si="214"/>
        <v>122881.99710333411</v>
      </c>
    </row>
    <row r="6198" spans="1:13">
      <c r="A6198" s="137" t="str">
        <f>D6198&amp;E6198&amp;F6198</f>
        <v/>
      </c>
      <c r="B6198" t="s">
        <v>3214</v>
      </c>
      <c r="C6198" s="214">
        <v>46051</v>
      </c>
      <c r="J6198" s="71" t="s">
        <v>3445</v>
      </c>
      <c r="L6198" s="433">
        <v>36563.760000000002</v>
      </c>
      <c r="M6198" s="136">
        <f t="shared" si="214"/>
        <v>86318.237103334104</v>
      </c>
    </row>
    <row r="6199" spans="1:13">
      <c r="A6199" s="137" t="str">
        <f>D6199&amp;E6199&amp;F6199</f>
        <v/>
      </c>
      <c r="B6199" t="s">
        <v>3214</v>
      </c>
      <c r="C6199" s="214">
        <v>46051</v>
      </c>
      <c r="J6199" s="71" t="s">
        <v>3446</v>
      </c>
      <c r="L6199" s="433">
        <v>10213.44</v>
      </c>
      <c r="M6199" s="136">
        <f t="shared" si="214"/>
        <v>76104.797103334102</v>
      </c>
    </row>
    <row r="6200" spans="1:13">
      <c r="A6200" s="137" t="str">
        <f t="shared" ref="A6200:A6212" si="220">D6200&amp;E6200&amp;F6200</f>
        <v>SERVICIOSADQ DE EQ TECNOLOGICOADQ DE EQ TECNOLOGICO</v>
      </c>
      <c r="B6200" t="s">
        <v>3214</v>
      </c>
      <c r="C6200" s="214">
        <v>46051</v>
      </c>
      <c r="D6200" s="242" t="s">
        <v>21</v>
      </c>
      <c r="E6200" s="71" t="s">
        <v>22</v>
      </c>
      <c r="F6200" s="71" t="s">
        <v>22</v>
      </c>
      <c r="J6200" s="71" t="s">
        <v>3447</v>
      </c>
      <c r="L6200" s="433">
        <v>15810.2</v>
      </c>
      <c r="M6200" s="136">
        <f t="shared" si="214"/>
        <v>60294.597103334105</v>
      </c>
    </row>
    <row r="6201" spans="1:13">
      <c r="A6201" s="137" t="str">
        <f t="shared" si="220"/>
        <v>FINANZASALARMASUCURSALES HR</v>
      </c>
      <c r="B6201" t="s">
        <v>3214</v>
      </c>
      <c r="C6201" s="214">
        <v>46051</v>
      </c>
      <c r="D6201" s="242" t="s">
        <v>23</v>
      </c>
      <c r="E6201" s="71" t="s">
        <v>25</v>
      </c>
      <c r="F6201" s="71" t="s">
        <v>26</v>
      </c>
      <c r="J6201" s="71" t="s">
        <v>2330</v>
      </c>
      <c r="L6201" s="433">
        <v>386.4</v>
      </c>
      <c r="M6201" s="136">
        <f t="shared" si="214"/>
        <v>59908.197103334103</v>
      </c>
    </row>
    <row r="6202" spans="1:13">
      <c r="A6202" s="137" t="str">
        <f t="shared" si="220"/>
        <v>MKTINSUMOSMKT</v>
      </c>
      <c r="B6202" t="s">
        <v>3214</v>
      </c>
      <c r="C6202" s="214">
        <v>46051</v>
      </c>
      <c r="D6202" s="242" t="s">
        <v>19</v>
      </c>
      <c r="E6202" s="71" t="s">
        <v>133</v>
      </c>
      <c r="F6202" s="71" t="s">
        <v>19</v>
      </c>
      <c r="J6202" s="71" t="s">
        <v>3437</v>
      </c>
      <c r="L6202" s="433">
        <v>11380</v>
      </c>
      <c r="M6202" s="136">
        <f>M6201+K6202-L6202</f>
        <v>48528.197103334103</v>
      </c>
    </row>
    <row r="6203" spans="1:13">
      <c r="A6203" s="137" t="str">
        <f t="shared" si="220"/>
        <v>MKTVIATICOSMKT</v>
      </c>
      <c r="B6203" t="s">
        <v>3214</v>
      </c>
      <c r="C6203" s="214">
        <v>46051</v>
      </c>
      <c r="D6203" s="242" t="s">
        <v>19</v>
      </c>
      <c r="E6203" s="71" t="s">
        <v>191</v>
      </c>
      <c r="F6203" s="71" t="s">
        <v>19</v>
      </c>
      <c r="J6203" s="71" t="s">
        <v>3448</v>
      </c>
      <c r="L6203" s="433">
        <v>1000</v>
      </c>
      <c r="M6203" s="136">
        <f>M6202+K6203-L6203</f>
        <v>47528.197103334103</v>
      </c>
    </row>
    <row r="6204" spans="1:13">
      <c r="A6204" s="137" t="str">
        <f t="shared" si="220"/>
        <v>MKTMKTINFLUENCERS</v>
      </c>
      <c r="B6204" t="s">
        <v>3214</v>
      </c>
      <c r="C6204" s="214">
        <v>46051</v>
      </c>
      <c r="D6204" s="242" t="s">
        <v>19</v>
      </c>
      <c r="E6204" s="71" t="s">
        <v>19</v>
      </c>
      <c r="F6204" s="71" t="s">
        <v>141</v>
      </c>
      <c r="J6204" s="71" t="s">
        <v>3449</v>
      </c>
      <c r="L6204" s="433">
        <v>9000</v>
      </c>
      <c r="M6204" s="136">
        <f>M6203+K6204-L6204</f>
        <v>38528.197103334103</v>
      </c>
    </row>
    <row r="6205" spans="1:13">
      <c r="A6205" s="137" t="str">
        <f t="shared" si="220"/>
        <v>CAPINSUMOSCAPRICHOS</v>
      </c>
      <c r="B6205" t="s">
        <v>3214</v>
      </c>
      <c r="C6205" s="214">
        <v>46051</v>
      </c>
      <c r="D6205" s="242" t="s">
        <v>31</v>
      </c>
      <c r="E6205" s="71" t="s">
        <v>133</v>
      </c>
      <c r="F6205" s="71" t="s">
        <v>33</v>
      </c>
      <c r="J6205" s="71" t="s">
        <v>2659</v>
      </c>
      <c r="L6205" s="433">
        <v>24</v>
      </c>
      <c r="M6205" s="136">
        <f>M6204+K6205-L6205</f>
        <v>38504.197103334103</v>
      </c>
    </row>
    <row r="6206" spans="1:13">
      <c r="A6206" s="137" t="str">
        <f t="shared" si="220"/>
        <v>CAPUBERCAP</v>
      </c>
      <c r="B6206" t="s">
        <v>3214</v>
      </c>
      <c r="C6206" s="214">
        <v>46051</v>
      </c>
      <c r="D6206" s="242" t="s">
        <v>31</v>
      </c>
      <c r="E6206" s="71" t="s">
        <v>189</v>
      </c>
      <c r="F6206" s="71" t="s">
        <v>31</v>
      </c>
      <c r="J6206" s="71" t="s">
        <v>2267</v>
      </c>
      <c r="L6206" s="433">
        <v>225</v>
      </c>
      <c r="M6206" s="136">
        <f>M6205+K6206-L6206</f>
        <v>38279.197103334103</v>
      </c>
    </row>
    <row r="6207" spans="1:13">
      <c r="A6207" s="137" t="str">
        <f t="shared" si="220"/>
        <v>CAPUBERCAP</v>
      </c>
      <c r="B6207" t="s">
        <v>3214</v>
      </c>
      <c r="C6207" s="214">
        <v>46051</v>
      </c>
      <c r="D6207" s="242" t="s">
        <v>31</v>
      </c>
      <c r="E6207" s="71" t="s">
        <v>189</v>
      </c>
      <c r="F6207" s="71" t="s">
        <v>31</v>
      </c>
      <c r="J6207" s="71" t="s">
        <v>2268</v>
      </c>
      <c r="L6207" s="433">
        <v>50</v>
      </c>
      <c r="M6207" s="136">
        <f>M6206+K6207-L6207</f>
        <v>38229.197103334103</v>
      </c>
    </row>
    <row r="6208" spans="1:13">
      <c r="A6208" s="137" t="str">
        <f t="shared" si="220"/>
        <v>CAPINSUMOSCAP</v>
      </c>
      <c r="B6208" t="s">
        <v>3214</v>
      </c>
      <c r="C6208" s="214">
        <v>46051</v>
      </c>
      <c r="D6208" s="242" t="s">
        <v>31</v>
      </c>
      <c r="E6208" s="71" t="s">
        <v>133</v>
      </c>
      <c r="F6208" s="71" t="s">
        <v>31</v>
      </c>
      <c r="J6208" s="71" t="s">
        <v>2525</v>
      </c>
      <c r="L6208" s="433">
        <v>52</v>
      </c>
      <c r="M6208" s="136">
        <f>M6207+K6208-L6208</f>
        <v>38177.197103334103</v>
      </c>
    </row>
    <row r="6209" spans="1:13">
      <c r="A6209" s="137" t="str">
        <f t="shared" si="220"/>
        <v>CAPUBERCAP</v>
      </c>
      <c r="B6209" t="s">
        <v>3214</v>
      </c>
      <c r="C6209" s="214">
        <v>46051</v>
      </c>
      <c r="D6209" s="242" t="s">
        <v>31</v>
      </c>
      <c r="E6209" s="71" t="s">
        <v>189</v>
      </c>
      <c r="F6209" s="71" t="s">
        <v>31</v>
      </c>
      <c r="J6209" s="71" t="s">
        <v>3356</v>
      </c>
      <c r="L6209" s="433">
        <v>150</v>
      </c>
      <c r="M6209" s="136">
        <f>M6208+K6209-L6209</f>
        <v>38027.197103334103</v>
      </c>
    </row>
    <row r="6210" spans="1:13">
      <c r="A6210" s="137" t="str">
        <f t="shared" si="220"/>
        <v>HRINSUMOSHR</v>
      </c>
      <c r="B6210" t="s">
        <v>3214</v>
      </c>
      <c r="C6210" s="214">
        <v>46051</v>
      </c>
      <c r="D6210" s="242" t="s">
        <v>29</v>
      </c>
      <c r="E6210" s="71" t="s">
        <v>133</v>
      </c>
      <c r="F6210" s="71" t="s">
        <v>29</v>
      </c>
      <c r="J6210" s="71" t="s">
        <v>2905</v>
      </c>
      <c r="L6210" s="433">
        <v>75</v>
      </c>
      <c r="M6210" s="136">
        <f>M6209+K6210-L6210</f>
        <v>37952.197103334103</v>
      </c>
    </row>
    <row r="6211" spans="1:13">
      <c r="A6211" s="137" t="str">
        <f t="shared" si="220"/>
        <v>HRUBERHR</v>
      </c>
      <c r="B6211" t="s">
        <v>3214</v>
      </c>
      <c r="C6211" s="214">
        <v>46051</v>
      </c>
      <c r="D6211" s="242" t="s">
        <v>29</v>
      </c>
      <c r="E6211" s="71" t="s">
        <v>189</v>
      </c>
      <c r="F6211" s="71" t="s">
        <v>29</v>
      </c>
      <c r="J6211" s="71" t="s">
        <v>2453</v>
      </c>
      <c r="L6211" s="433">
        <v>52</v>
      </c>
      <c r="M6211" s="136">
        <f>M6210+K6211-L6211</f>
        <v>37900.197103334103</v>
      </c>
    </row>
    <row r="6212" spans="1:13">
      <c r="A6212" s="137" t="str">
        <f t="shared" si="220"/>
        <v>HRUBERHR</v>
      </c>
      <c r="B6212" t="s">
        <v>3214</v>
      </c>
      <c r="C6212" s="214">
        <v>46051</v>
      </c>
      <c r="D6212" s="242" t="s">
        <v>29</v>
      </c>
      <c r="E6212" s="71" t="s">
        <v>189</v>
      </c>
      <c r="F6212" s="71" t="s">
        <v>29</v>
      </c>
      <c r="J6212" s="71" t="s">
        <v>2536</v>
      </c>
      <c r="L6212" s="433">
        <v>366</v>
      </c>
      <c r="M6212" s="136">
        <f>M6211+K6212-L6212</f>
        <v>37534.197103334103</v>
      </c>
    </row>
    <row r="6213" spans="1:13">
      <c r="A6213" s="137" t="str">
        <f>D6213&amp;E6213&amp;F6213</f>
        <v/>
      </c>
      <c r="B6213" t="s">
        <v>3214</v>
      </c>
      <c r="C6213" s="1"/>
      <c r="L6213" s="432"/>
    </row>
    <row r="6214" spans="1:13">
      <c r="A6214" s="137" t="str">
        <f>D6214&amp;E6214&amp;F6214</f>
        <v/>
      </c>
      <c r="B6214" t="s">
        <v>3214</v>
      </c>
      <c r="C6214" s="1"/>
      <c r="L6214" s="432"/>
    </row>
    <row r="6215" spans="1:13">
      <c r="A6215" s="137" t="str">
        <f>D6215&amp;E6215&amp;F6215</f>
        <v/>
      </c>
      <c r="C6215" s="1"/>
      <c r="L6215" s="432"/>
    </row>
    <row r="6216" spans="1:13">
      <c r="A6216" s="137" t="str">
        <f>D6216&amp;E6216&amp;F6216</f>
        <v/>
      </c>
      <c r="C6216" s="1"/>
      <c r="L6216" s="432"/>
    </row>
    <row r="6217" spans="1:13">
      <c r="A6217" s="137" t="str">
        <f>D6217&amp;E6217&amp;F6217</f>
        <v/>
      </c>
      <c r="C6217" s="1"/>
      <c r="L6217" s="432"/>
    </row>
    <row r="6218" spans="1:13">
      <c r="A6218" s="137" t="str">
        <f>D6218&amp;E6218&amp;F6218</f>
        <v/>
      </c>
      <c r="C6218" s="1"/>
      <c r="L6218" s="432"/>
    </row>
    <row r="6219" spans="1:13">
      <c r="A6219" s="137" t="str">
        <f>D6219&amp;E6219&amp;F6219</f>
        <v/>
      </c>
      <c r="C6219" s="1"/>
      <c r="L6219" s="432"/>
    </row>
    <row r="6220" spans="1:13">
      <c r="A6220" s="137" t="str">
        <f>D6220&amp;E6220&amp;F6220</f>
        <v/>
      </c>
      <c r="C6220" s="1"/>
      <c r="L6220" s="432"/>
    </row>
    <row r="6221" spans="1:13">
      <c r="A6221" s="137" t="str">
        <f>D6221&amp;E6221&amp;F6221</f>
        <v/>
      </c>
      <c r="C6221" s="1"/>
      <c r="L6221" s="432"/>
    </row>
    <row r="6222" spans="1:13">
      <c r="A6222" s="137" t="str">
        <f>D6222&amp;E6222&amp;F6222</f>
        <v/>
      </c>
      <c r="C6222" s="1"/>
      <c r="L6222" s="432"/>
    </row>
    <row r="6223" spans="1:13">
      <c r="A6223" s="137" t="str">
        <f>D6223&amp;E6223&amp;F6223</f>
        <v/>
      </c>
      <c r="C6223" s="1"/>
      <c r="L6223" s="432"/>
    </row>
    <row r="6224" spans="1:13">
      <c r="A6224" s="137" t="str">
        <f>D6224&amp;E6224&amp;F6224</f>
        <v/>
      </c>
      <c r="C6224" s="1"/>
      <c r="L6224" s="432"/>
    </row>
    <row r="6225" spans="1:12">
      <c r="A6225" s="137" t="str">
        <f>D6225&amp;E6225&amp;F6225</f>
        <v/>
      </c>
      <c r="C6225" s="1"/>
      <c r="L6225" s="432"/>
    </row>
    <row r="6226" spans="1:12">
      <c r="A6226" s="137" t="str">
        <f>D6226&amp;E6226&amp;F6226</f>
        <v/>
      </c>
      <c r="C6226" s="1"/>
      <c r="L6226" s="432"/>
    </row>
    <row r="6227" spans="1:12">
      <c r="A6227" s="137" t="str">
        <f>D6227&amp;E6227&amp;F6227</f>
        <v/>
      </c>
      <c r="C6227" s="1"/>
      <c r="L6227" s="432"/>
    </row>
    <row r="6228" spans="1:12">
      <c r="A6228" s="137" t="str">
        <f>D6228&amp;E6228&amp;F6228</f>
        <v/>
      </c>
      <c r="C6228" s="1"/>
      <c r="L6228" s="432"/>
    </row>
    <row r="6229" spans="1:12">
      <c r="A6229" s="137" t="str">
        <f>D6229&amp;E6229&amp;F6229</f>
        <v/>
      </c>
      <c r="C6229" s="1"/>
      <c r="L6229" s="432"/>
    </row>
    <row r="6230" spans="1:12">
      <c r="A6230" s="137" t="str">
        <f>D6230&amp;E6230&amp;F6230</f>
        <v/>
      </c>
      <c r="C6230" s="1"/>
      <c r="L6230" s="432"/>
    </row>
    <row r="6231" spans="1:12">
      <c r="A6231" s="137" t="str">
        <f>D6231&amp;E6231&amp;F6231</f>
        <v/>
      </c>
      <c r="C6231" s="1">
        <v>46038</v>
      </c>
      <c r="L6231" s="432"/>
    </row>
    <row r="6232" spans="1:12">
      <c r="A6232" s="137" t="str">
        <f>D6232&amp;E6232&amp;F6232</f>
        <v/>
      </c>
      <c r="C6232" s="1">
        <v>46038</v>
      </c>
      <c r="L6232" s="432"/>
    </row>
    <row r="6233" spans="1:12">
      <c r="A6233" s="137" t="str">
        <f>D6233&amp;E6233&amp;F6233</f>
        <v/>
      </c>
      <c r="C6233" s="1">
        <v>46038</v>
      </c>
      <c r="L6233" s="432"/>
    </row>
    <row r="6234" spans="1:12">
      <c r="A6234" s="137" t="str">
        <f>D6234&amp;E6234&amp;F6234</f>
        <v/>
      </c>
      <c r="C6234" s="1">
        <v>46038</v>
      </c>
      <c r="L6234" s="432"/>
    </row>
    <row r="6235" spans="1:12">
      <c r="A6235" s="137" t="str">
        <f>D6235&amp;E6235&amp;F6235</f>
        <v/>
      </c>
      <c r="C6235" s="1">
        <v>46038</v>
      </c>
      <c r="L6235" s="432"/>
    </row>
    <row r="6236" spans="1:12">
      <c r="A6236" s="137" t="str">
        <f>D6236&amp;E6236&amp;F6236</f>
        <v/>
      </c>
      <c r="C6236" s="1">
        <v>46038</v>
      </c>
      <c r="L6236" s="432"/>
    </row>
    <row r="6237" spans="1:12">
      <c r="A6237" s="137" t="str">
        <f>D6237&amp;E6237&amp;F6237</f>
        <v/>
      </c>
      <c r="C6237" s="1">
        <v>46038</v>
      </c>
      <c r="L6237" s="432"/>
    </row>
    <row r="6238" spans="1:12">
      <c r="A6238" s="137" t="str">
        <f>D6238&amp;E6238&amp;F6238</f>
        <v/>
      </c>
      <c r="C6238" s="1">
        <v>46038</v>
      </c>
      <c r="L6238" s="432"/>
    </row>
    <row r="6239" spans="1:12">
      <c r="A6239" s="137" t="str">
        <f>D6239&amp;E6239&amp;F6239</f>
        <v/>
      </c>
      <c r="C6239" s="1">
        <v>46038</v>
      </c>
      <c r="L6239" s="432"/>
    </row>
    <row r="6240" spans="1:12">
      <c r="A6240" s="137" t="str">
        <f>D6240&amp;E6240&amp;F6240</f>
        <v/>
      </c>
      <c r="C6240" s="1">
        <v>46038</v>
      </c>
      <c r="L6240" s="432"/>
    </row>
    <row r="6241" spans="1:12">
      <c r="A6241" s="137" t="str">
        <f>D6241&amp;E6241&amp;F6241</f>
        <v/>
      </c>
      <c r="C6241" s="1">
        <v>46038</v>
      </c>
      <c r="L6241" s="432"/>
    </row>
    <row r="6242" spans="1:12">
      <c r="A6242" s="137" t="str">
        <f>D6242&amp;E6242&amp;F6242</f>
        <v/>
      </c>
      <c r="C6242" s="1">
        <v>46038</v>
      </c>
      <c r="L6242" s="432"/>
    </row>
    <row r="6243" spans="1:12">
      <c r="A6243" s="137" t="str">
        <f>D6243&amp;E6243&amp;F6243</f>
        <v/>
      </c>
      <c r="C6243" s="1">
        <v>46038</v>
      </c>
      <c r="L6243" s="432"/>
    </row>
    <row r="6244" spans="1:12">
      <c r="A6244" s="137" t="str">
        <f>D6244&amp;E6244&amp;F6244</f>
        <v/>
      </c>
      <c r="C6244" s="1">
        <v>46038</v>
      </c>
      <c r="L6244" s="432"/>
    </row>
    <row r="6245" spans="1:12">
      <c r="A6245" s="137" t="str">
        <f>D6245&amp;E6245&amp;F6245</f>
        <v/>
      </c>
      <c r="C6245" s="1">
        <v>46038</v>
      </c>
      <c r="L6245" s="432"/>
    </row>
    <row r="6246" spans="1:12">
      <c r="A6246" s="137" t="str">
        <f>D6246&amp;E6246&amp;F6246</f>
        <v/>
      </c>
      <c r="C6246" s="1">
        <v>46038</v>
      </c>
      <c r="L6246" s="432"/>
    </row>
    <row r="6247" spans="1:12">
      <c r="A6247" s="137" t="str">
        <f>D6247&amp;E6247&amp;F6247</f>
        <v/>
      </c>
      <c r="C6247" s="1">
        <v>46038</v>
      </c>
      <c r="L6247" s="432"/>
    </row>
    <row r="6248" spans="1:12">
      <c r="A6248" s="137" t="str">
        <f>D6248&amp;E6248&amp;F6248</f>
        <v/>
      </c>
      <c r="C6248" s="1">
        <v>46038</v>
      </c>
      <c r="L6248" s="432"/>
    </row>
    <row r="6249" spans="1:12">
      <c r="A6249" s="137" t="str">
        <f>D6249&amp;E6249&amp;F6249</f>
        <v/>
      </c>
      <c r="C6249" s="1">
        <v>46038</v>
      </c>
      <c r="L6249" s="432"/>
    </row>
    <row r="6250" spans="1:12">
      <c r="A6250" s="137" t="str">
        <f>D6250&amp;E6250&amp;F6250</f>
        <v/>
      </c>
      <c r="C6250" s="1">
        <v>46038</v>
      </c>
      <c r="L6250" s="432"/>
    </row>
    <row r="6251" spans="1:12">
      <c r="A6251" s="137" t="str">
        <f>D6251&amp;E6251&amp;F6251</f>
        <v/>
      </c>
      <c r="C6251" s="1">
        <v>46038</v>
      </c>
      <c r="L6251" s="432"/>
    </row>
    <row r="6252" spans="1:12">
      <c r="A6252" s="137" t="str">
        <f>D6252&amp;E6252&amp;F6252</f>
        <v/>
      </c>
      <c r="C6252" s="1">
        <v>46038</v>
      </c>
      <c r="L6252" s="432"/>
    </row>
    <row r="6253" spans="1:12">
      <c r="A6253" s="137" t="str">
        <f>D6253&amp;E6253&amp;F6253</f>
        <v/>
      </c>
      <c r="C6253" s="1">
        <v>46038</v>
      </c>
      <c r="L6253" s="432"/>
    </row>
    <row r="6254" spans="1:12">
      <c r="A6254" s="137" t="str">
        <f>D6254&amp;E6254&amp;F6254</f>
        <v/>
      </c>
      <c r="C6254" s="1">
        <v>46038</v>
      </c>
      <c r="L6254" s="432"/>
    </row>
    <row r="6255" spans="1:12">
      <c r="A6255" s="137" t="str">
        <f>D6255&amp;E6255&amp;F6255</f>
        <v/>
      </c>
      <c r="C6255" s="1">
        <v>46038</v>
      </c>
      <c r="L6255" s="432"/>
    </row>
    <row r="6256" spans="1:12">
      <c r="A6256" s="137" t="str">
        <f>D6256&amp;E6256&amp;F6256</f>
        <v/>
      </c>
      <c r="C6256" s="1">
        <v>46038</v>
      </c>
      <c r="L6256" s="432"/>
    </row>
    <row r="6257" spans="1:12">
      <c r="A6257" s="137" t="str">
        <f>D6257&amp;E6257&amp;F6257</f>
        <v/>
      </c>
      <c r="C6257" s="1">
        <v>46038</v>
      </c>
      <c r="L6257" s="432"/>
    </row>
    <row r="6258" spans="1:12">
      <c r="A6258" s="137" t="str">
        <f>D6258&amp;E6258&amp;F6258</f>
        <v/>
      </c>
      <c r="C6258" s="1">
        <v>46038</v>
      </c>
      <c r="L6258" s="432"/>
    </row>
    <row r="6259" spans="1:12">
      <c r="A6259" s="137" t="str">
        <f>D6259&amp;E6259&amp;F6259</f>
        <v/>
      </c>
      <c r="C6259" s="1">
        <v>46038</v>
      </c>
      <c r="L6259" s="432"/>
    </row>
    <row r="6260" spans="1:12">
      <c r="A6260" s="137" t="str">
        <f>D6260&amp;E6260&amp;F6260</f>
        <v/>
      </c>
      <c r="C6260" s="1">
        <v>46038</v>
      </c>
      <c r="L6260" s="432"/>
    </row>
    <row r="6261" spans="1:12">
      <c r="A6261" s="137" t="str">
        <f>D6261&amp;E6261&amp;F6261</f>
        <v/>
      </c>
      <c r="C6261" s="1">
        <v>46038</v>
      </c>
      <c r="L6261" s="432"/>
    </row>
    <row r="6262" spans="1:12">
      <c r="A6262" s="137" t="str">
        <f>D6262&amp;E6262&amp;F6262</f>
        <v/>
      </c>
      <c r="C6262" s="1">
        <v>46038</v>
      </c>
      <c r="L6262" s="432"/>
    </row>
    <row r="6263" spans="1:12">
      <c r="A6263" s="137" t="str">
        <f>D6263&amp;E6263&amp;F6263</f>
        <v/>
      </c>
      <c r="C6263" s="1">
        <v>46038</v>
      </c>
      <c r="L6263" s="432"/>
    </row>
    <row r="6264" spans="1:12">
      <c r="A6264" s="137" t="str">
        <f>D6264&amp;E6264&amp;F6264</f>
        <v/>
      </c>
      <c r="C6264" s="1">
        <v>46038</v>
      </c>
      <c r="L6264" s="432"/>
    </row>
    <row r="6265" spans="1:12">
      <c r="A6265" s="137" t="str">
        <f>D6265&amp;E6265&amp;F6265</f>
        <v/>
      </c>
      <c r="C6265" s="1">
        <v>46038</v>
      </c>
      <c r="L6265" s="432"/>
    </row>
    <row r="6266" spans="1:12">
      <c r="A6266" s="137" t="str">
        <f>D6266&amp;E6266&amp;F6266</f>
        <v/>
      </c>
      <c r="C6266" s="1">
        <v>46038</v>
      </c>
      <c r="L6266" s="432"/>
    </row>
    <row r="6267" spans="1:12">
      <c r="A6267" s="137" t="str">
        <f>D6267&amp;E6267&amp;F6267</f>
        <v/>
      </c>
      <c r="C6267" s="1">
        <v>46038</v>
      </c>
      <c r="L6267" s="432"/>
    </row>
    <row r="6268" spans="1:12">
      <c r="A6268" s="137" t="str">
        <f>D6268&amp;E6268&amp;F6268</f>
        <v/>
      </c>
      <c r="C6268" s="1">
        <v>46038</v>
      </c>
      <c r="L6268" s="432"/>
    </row>
    <row r="6269" spans="1:12">
      <c r="A6269" s="137" t="str">
        <f>D6269&amp;E6269&amp;F6269</f>
        <v/>
      </c>
      <c r="C6269" s="1">
        <v>46038</v>
      </c>
      <c r="L6269" s="432"/>
    </row>
    <row r="6270" spans="1:12">
      <c r="A6270" s="137" t="str">
        <f>D6270&amp;E6270&amp;F6270</f>
        <v/>
      </c>
      <c r="C6270" s="1">
        <v>46038</v>
      </c>
      <c r="L6270" s="432"/>
    </row>
    <row r="6271" spans="1:12">
      <c r="A6271" s="137" t="str">
        <f>D6271&amp;E6271&amp;F6271</f>
        <v/>
      </c>
      <c r="C6271" s="1">
        <v>46038</v>
      </c>
      <c r="L6271" s="432"/>
    </row>
    <row r="6272" spans="1:12">
      <c r="A6272" s="137" t="str">
        <f>D6272&amp;E6272&amp;F6272</f>
        <v/>
      </c>
      <c r="C6272" s="1">
        <v>46038</v>
      </c>
      <c r="L6272" s="432"/>
    </row>
    <row r="6273" spans="1:12">
      <c r="A6273" s="137" t="str">
        <f>D6273&amp;E6273&amp;F6273</f>
        <v/>
      </c>
      <c r="C6273" s="1">
        <v>46038</v>
      </c>
      <c r="L6273" s="432"/>
    </row>
    <row r="6274" spans="1:12">
      <c r="A6274" s="137" t="str">
        <f>D6274&amp;E6274&amp;F6274</f>
        <v/>
      </c>
      <c r="C6274" s="1">
        <v>46038</v>
      </c>
      <c r="L6274" s="432"/>
    </row>
    <row r="6275" spans="1:12">
      <c r="A6275" s="137" t="str">
        <f>D6275&amp;E6275&amp;F6275</f>
        <v/>
      </c>
      <c r="C6275" s="1">
        <v>46038</v>
      </c>
      <c r="L6275" s="432"/>
    </row>
    <row r="6276" spans="1:12">
      <c r="A6276" s="137" t="str">
        <f>D6276&amp;E6276&amp;F6276</f>
        <v/>
      </c>
      <c r="C6276" s="1">
        <v>46038</v>
      </c>
      <c r="L6276" s="432"/>
    </row>
    <row r="6277" spans="1:12">
      <c r="A6277" s="137" t="str">
        <f>D6277&amp;E6277&amp;F6277</f>
        <v/>
      </c>
      <c r="C6277" s="1">
        <v>46038</v>
      </c>
      <c r="L6277" s="432"/>
    </row>
    <row r="6278" spans="1:12">
      <c r="A6278" s="137" t="str">
        <f>D6278&amp;E6278&amp;F6278</f>
        <v/>
      </c>
      <c r="C6278" s="1">
        <v>46038</v>
      </c>
      <c r="L6278" s="432"/>
    </row>
    <row r="6279" spans="1:12">
      <c r="A6279" s="137" t="str">
        <f>D6279&amp;E6279&amp;F6279</f>
        <v/>
      </c>
      <c r="C6279" s="1">
        <v>46038</v>
      </c>
      <c r="L6279" s="432"/>
    </row>
    <row r="6280" spans="1:12">
      <c r="A6280" s="137" t="str">
        <f>D6280&amp;E6280&amp;F6280</f>
        <v/>
      </c>
      <c r="C6280" s="1">
        <v>46038</v>
      </c>
      <c r="L6280" s="432"/>
    </row>
    <row r="6281" spans="1:12">
      <c r="A6281" s="137" t="str">
        <f>D6281&amp;E6281&amp;F6281</f>
        <v/>
      </c>
      <c r="C6281" s="1">
        <v>46038</v>
      </c>
      <c r="L6281" s="432"/>
    </row>
    <row r="6282" spans="1:12">
      <c r="A6282" s="137" t="str">
        <f>D6282&amp;E6282&amp;F6282</f>
        <v/>
      </c>
      <c r="C6282" s="1">
        <v>46038</v>
      </c>
      <c r="L6282" s="432"/>
    </row>
    <row r="6283" spans="1:12">
      <c r="A6283" s="137" t="str">
        <f>D6283&amp;E6283&amp;F6283</f>
        <v/>
      </c>
      <c r="C6283" s="1">
        <v>46038</v>
      </c>
      <c r="L6283" s="432"/>
    </row>
    <row r="6284" spans="1:12">
      <c r="A6284" s="137" t="str">
        <f>D6284&amp;E6284&amp;F6284</f>
        <v/>
      </c>
      <c r="C6284" s="1">
        <v>46038</v>
      </c>
      <c r="L6284" s="432"/>
    </row>
    <row r="6285" spans="1:12">
      <c r="A6285" s="137" t="str">
        <f>D6285&amp;E6285&amp;F6285</f>
        <v/>
      </c>
      <c r="C6285" s="1">
        <v>46038</v>
      </c>
      <c r="L6285" s="432"/>
    </row>
    <row r="6286" spans="1:12">
      <c r="A6286" s="137" t="str">
        <f>D6286&amp;E6286&amp;F6286</f>
        <v/>
      </c>
      <c r="C6286" s="1">
        <v>46038</v>
      </c>
      <c r="L6286" s="432"/>
    </row>
    <row r="6287" spans="1:12">
      <c r="A6287" s="137" t="str">
        <f>D6287&amp;E6287&amp;F6287</f>
        <v/>
      </c>
      <c r="C6287" s="1">
        <v>46038</v>
      </c>
      <c r="L6287" s="432"/>
    </row>
    <row r="6288" spans="1:12">
      <c r="A6288" s="137" t="str">
        <f>D6288&amp;E6288&amp;F6288</f>
        <v/>
      </c>
      <c r="C6288" s="1">
        <v>46038</v>
      </c>
      <c r="L6288" s="432"/>
    </row>
    <row r="6289" spans="1:12">
      <c r="A6289" s="137" t="str">
        <f>D6289&amp;E6289&amp;F6289</f>
        <v/>
      </c>
      <c r="C6289" s="1">
        <v>46038</v>
      </c>
      <c r="L6289" s="432"/>
    </row>
    <row r="6290" spans="1:12">
      <c r="A6290" s="137" t="str">
        <f>D6290&amp;E6290&amp;F6290</f>
        <v/>
      </c>
      <c r="C6290" s="1">
        <v>46038</v>
      </c>
      <c r="L6290" s="432"/>
    </row>
    <row r="6291" spans="1:12">
      <c r="A6291" s="137" t="str">
        <f>D6291&amp;E6291&amp;F6291</f>
        <v/>
      </c>
      <c r="C6291" s="1">
        <v>46038</v>
      </c>
      <c r="L6291" s="432"/>
    </row>
    <row r="6292" spans="1:12">
      <c r="A6292" s="137" t="str">
        <f>D6292&amp;E6292&amp;F6292</f>
        <v/>
      </c>
      <c r="C6292" s="1">
        <v>46038</v>
      </c>
      <c r="L6292" s="432"/>
    </row>
    <row r="6293" spans="1:12">
      <c r="A6293" s="137" t="str">
        <f>D6293&amp;E6293&amp;F6293</f>
        <v/>
      </c>
      <c r="C6293" s="1">
        <v>46038</v>
      </c>
      <c r="L6293" s="432"/>
    </row>
    <row r="6294" spans="1:12">
      <c r="A6294" s="137" t="str">
        <f>D6294&amp;E6294&amp;F6294</f>
        <v/>
      </c>
      <c r="C6294" s="1">
        <v>46038</v>
      </c>
      <c r="L6294" s="432"/>
    </row>
    <row r="6295" spans="1:12">
      <c r="A6295" s="137" t="str">
        <f>D6295&amp;E6295&amp;F6295</f>
        <v/>
      </c>
      <c r="C6295" s="1">
        <v>46038</v>
      </c>
      <c r="L6295" s="432"/>
    </row>
    <row r="6296" spans="1:12">
      <c r="A6296" s="137" t="str">
        <f>D6296&amp;E6296&amp;F6296</f>
        <v/>
      </c>
      <c r="C6296" s="1">
        <v>46038</v>
      </c>
      <c r="L6296" s="432"/>
    </row>
    <row r="6297" spans="1:12">
      <c r="A6297" s="137" t="str">
        <f>D6297&amp;E6297&amp;F6297</f>
        <v/>
      </c>
      <c r="C6297" s="1">
        <v>46038</v>
      </c>
      <c r="L6297" s="432"/>
    </row>
    <row r="6298" spans="1:12">
      <c r="A6298" s="137" t="str">
        <f>D6298&amp;E6298&amp;F6298</f>
        <v/>
      </c>
      <c r="C6298" s="1">
        <v>46038</v>
      </c>
      <c r="L6298" s="432"/>
    </row>
    <row r="6299" spans="1:12">
      <c r="A6299" s="137" t="str">
        <f>D6299&amp;E6299&amp;F6299</f>
        <v/>
      </c>
      <c r="C6299" s="1">
        <v>46038</v>
      </c>
      <c r="L6299" s="432"/>
    </row>
    <row r="6300" spans="1:12">
      <c r="A6300" s="137" t="str">
        <f>D6300&amp;E6300&amp;F6300</f>
        <v/>
      </c>
      <c r="C6300" s="1">
        <v>46038</v>
      </c>
      <c r="L6300" s="432"/>
    </row>
    <row r="6301" spans="1:12">
      <c r="A6301" s="137" t="str">
        <f>D6301&amp;E6301&amp;F6301</f>
        <v/>
      </c>
      <c r="C6301" s="1">
        <v>46038</v>
      </c>
      <c r="L6301" s="432"/>
    </row>
    <row r="6302" spans="1:12">
      <c r="A6302" s="137" t="str">
        <f>D6302&amp;E6302&amp;F6302</f>
        <v/>
      </c>
      <c r="C6302" s="1">
        <v>46038</v>
      </c>
      <c r="L6302" s="432"/>
    </row>
    <row r="6303" spans="1:12">
      <c r="A6303" s="137" t="str">
        <f>D6303&amp;E6303&amp;F6303</f>
        <v/>
      </c>
      <c r="C6303" s="1">
        <v>46038</v>
      </c>
      <c r="L6303" s="432"/>
    </row>
    <row r="6304" spans="1:12">
      <c r="A6304" s="137" t="str">
        <f>D6304&amp;E6304&amp;F6304</f>
        <v/>
      </c>
      <c r="C6304" s="1">
        <v>46038</v>
      </c>
      <c r="L6304" s="432"/>
    </row>
    <row r="6305" spans="1:12">
      <c r="A6305" s="137" t="str">
        <f>D6305&amp;E6305&amp;F6305</f>
        <v/>
      </c>
      <c r="C6305" s="1">
        <v>46038</v>
      </c>
      <c r="L6305" s="432"/>
    </row>
    <row r="6306" spans="1:12">
      <c r="A6306" s="137" t="str">
        <f>D6306&amp;E6306&amp;F6306</f>
        <v/>
      </c>
      <c r="C6306" s="1">
        <v>46038</v>
      </c>
      <c r="L6306" s="432"/>
    </row>
    <row r="6307" spans="1:12">
      <c r="A6307" s="137" t="str">
        <f>D6307&amp;E6307&amp;F6307</f>
        <v/>
      </c>
      <c r="C6307" s="1">
        <v>46038</v>
      </c>
      <c r="L6307" s="432"/>
    </row>
    <row r="6308" spans="1:12">
      <c r="A6308" s="137" t="str">
        <f>D6308&amp;E6308&amp;F6308</f>
        <v/>
      </c>
      <c r="C6308" s="1">
        <v>46038</v>
      </c>
      <c r="L6308" s="432"/>
    </row>
    <row r="6309" spans="1:12">
      <c r="A6309" s="137" t="str">
        <f>D6309&amp;E6309&amp;F6309</f>
        <v/>
      </c>
      <c r="C6309" s="1">
        <v>46038</v>
      </c>
      <c r="L6309" s="432"/>
    </row>
    <row r="6310" spans="1:12">
      <c r="A6310" s="137" t="str">
        <f>D6310&amp;E6310&amp;F6310</f>
        <v/>
      </c>
      <c r="C6310" s="1">
        <v>46038</v>
      </c>
      <c r="L6310" s="432"/>
    </row>
    <row r="6311" spans="1:12">
      <c r="A6311" s="137" t="str">
        <f>D6311&amp;E6311&amp;F6311</f>
        <v/>
      </c>
      <c r="C6311" s="1">
        <v>46038</v>
      </c>
      <c r="L6311" s="432"/>
    </row>
    <row r="6312" spans="1:12">
      <c r="A6312" s="137" t="str">
        <f>D6312&amp;E6312&amp;F6312</f>
        <v/>
      </c>
      <c r="C6312" s="1">
        <v>46038</v>
      </c>
      <c r="L6312" s="432"/>
    </row>
    <row r="6313" spans="1:12">
      <c r="A6313" s="137" t="str">
        <f>D6313&amp;E6313&amp;F6313</f>
        <v/>
      </c>
      <c r="C6313" s="1">
        <v>46038</v>
      </c>
      <c r="L6313" s="432"/>
    </row>
    <row r="6314" spans="1:12">
      <c r="A6314" s="137" t="str">
        <f>D6314&amp;E6314&amp;F6314</f>
        <v/>
      </c>
      <c r="C6314" s="1">
        <v>46038</v>
      </c>
      <c r="L6314" s="432"/>
    </row>
    <row r="6315" spans="1:12">
      <c r="A6315" s="137" t="str">
        <f>D6315&amp;E6315&amp;F6315</f>
        <v/>
      </c>
      <c r="C6315" s="1">
        <v>46038</v>
      </c>
      <c r="L6315" s="432"/>
    </row>
    <row r="6316" spans="1:12">
      <c r="A6316" s="137" t="str">
        <f>D6316&amp;E6316&amp;F6316</f>
        <v/>
      </c>
      <c r="C6316" s="1">
        <v>46038</v>
      </c>
      <c r="L6316" s="432"/>
    </row>
    <row r="6317" spans="1:12">
      <c r="A6317" s="137" t="str">
        <f>D6317&amp;E6317&amp;F6317</f>
        <v/>
      </c>
      <c r="C6317" s="1">
        <v>46038</v>
      </c>
      <c r="L6317" s="432"/>
    </row>
    <row r="6318" spans="1:12">
      <c r="A6318" s="137" t="str">
        <f>D6318&amp;E6318&amp;F6318</f>
        <v/>
      </c>
      <c r="C6318" s="1">
        <v>46038</v>
      </c>
      <c r="L6318" s="432"/>
    </row>
    <row r="6319" spans="1:12">
      <c r="A6319" s="137" t="str">
        <f>D6319&amp;E6319&amp;F6319</f>
        <v/>
      </c>
      <c r="C6319" s="1">
        <v>46038</v>
      </c>
      <c r="L6319" s="432"/>
    </row>
    <row r="6320" spans="1:12">
      <c r="A6320" s="137" t="str">
        <f>D6320&amp;E6320&amp;F6320</f>
        <v/>
      </c>
      <c r="C6320" s="1">
        <v>46038</v>
      </c>
      <c r="L6320" s="432"/>
    </row>
    <row r="6321" spans="1:12">
      <c r="A6321" s="137" t="str">
        <f>D6321&amp;E6321&amp;F6321</f>
        <v/>
      </c>
      <c r="C6321" s="1">
        <v>46038</v>
      </c>
      <c r="L6321" s="432"/>
    </row>
    <row r="6322" spans="1:12">
      <c r="A6322" s="137" t="str">
        <f>D6322&amp;E6322&amp;F6322</f>
        <v/>
      </c>
      <c r="C6322" s="1">
        <v>46038</v>
      </c>
      <c r="L6322" s="432"/>
    </row>
    <row r="6323" spans="1:12">
      <c r="A6323" s="137" t="str">
        <f>D6323&amp;E6323&amp;F6323</f>
        <v/>
      </c>
      <c r="C6323" s="1">
        <v>46038</v>
      </c>
      <c r="L6323" s="432"/>
    </row>
    <row r="6324" spans="1:12">
      <c r="A6324" s="137" t="str">
        <f>D6324&amp;E6324&amp;F6324</f>
        <v/>
      </c>
      <c r="C6324" s="1">
        <v>46038</v>
      </c>
      <c r="L6324" s="432"/>
    </row>
    <row r="6325" spans="1:12">
      <c r="A6325" s="137" t="str">
        <f>D6325&amp;E6325&amp;F6325</f>
        <v/>
      </c>
      <c r="C6325" s="1">
        <v>46038</v>
      </c>
      <c r="L6325" s="432"/>
    </row>
    <row r="6326" spans="1:12">
      <c r="A6326" s="137" t="str">
        <f>D6326&amp;E6326&amp;F6326</f>
        <v/>
      </c>
      <c r="C6326" s="1">
        <v>46038</v>
      </c>
      <c r="L6326" s="432"/>
    </row>
    <row r="6327" spans="1:12">
      <c r="A6327" s="137" t="str">
        <f>D6327&amp;E6327&amp;F6327</f>
        <v/>
      </c>
      <c r="C6327" s="1">
        <v>46038</v>
      </c>
      <c r="L6327" s="432"/>
    </row>
    <row r="6328" spans="1:12">
      <c r="A6328" s="137" t="str">
        <f>D6328&amp;E6328&amp;F6328</f>
        <v/>
      </c>
      <c r="C6328" s="1">
        <v>46038</v>
      </c>
      <c r="L6328" s="432"/>
    </row>
    <row r="6329" spans="1:12">
      <c r="A6329" s="137" t="str">
        <f>D6329&amp;E6329&amp;F6329</f>
        <v/>
      </c>
      <c r="C6329" s="1">
        <v>46038</v>
      </c>
      <c r="L6329" s="432"/>
    </row>
    <row r="6330" spans="1:12">
      <c r="A6330" s="137" t="str">
        <f>D6330&amp;E6330&amp;F6330</f>
        <v/>
      </c>
      <c r="C6330" s="1">
        <v>46038</v>
      </c>
      <c r="L6330" s="432"/>
    </row>
    <row r="6331" spans="1:12">
      <c r="A6331" s="137" t="str">
        <f>D6331&amp;E6331&amp;F6331</f>
        <v/>
      </c>
      <c r="C6331" s="1">
        <v>46038</v>
      </c>
      <c r="L6331" s="432"/>
    </row>
    <row r="6332" spans="1:12">
      <c r="A6332" s="137" t="str">
        <f>D6332&amp;E6332&amp;F6332</f>
        <v/>
      </c>
      <c r="C6332" s="1">
        <v>46038</v>
      </c>
      <c r="L6332" s="432"/>
    </row>
    <row r="6333" spans="1:12">
      <c r="A6333" s="137" t="str">
        <f>D6333&amp;E6333&amp;F6333</f>
        <v/>
      </c>
      <c r="C6333" s="1">
        <v>46038</v>
      </c>
      <c r="L6333" s="432"/>
    </row>
    <row r="6334" spans="1:12">
      <c r="A6334" s="137" t="str">
        <f>D6334&amp;E6334&amp;F6334</f>
        <v/>
      </c>
      <c r="C6334" s="1">
        <v>46038</v>
      </c>
      <c r="L6334" s="432"/>
    </row>
    <row r="6335" spans="1:12">
      <c r="A6335" s="137" t="str">
        <f>D6335&amp;E6335&amp;F6335</f>
        <v/>
      </c>
      <c r="C6335" s="1">
        <v>46038</v>
      </c>
      <c r="L6335" s="432"/>
    </row>
    <row r="6336" spans="1:12">
      <c r="A6336" s="137" t="str">
        <f>D6336&amp;E6336&amp;F6336</f>
        <v/>
      </c>
      <c r="C6336" s="1">
        <v>46038</v>
      </c>
      <c r="L6336" s="432"/>
    </row>
    <row r="6337" spans="1:12">
      <c r="A6337" s="137" t="str">
        <f>D6337&amp;E6337&amp;F6337</f>
        <v/>
      </c>
      <c r="C6337" s="1">
        <v>46038</v>
      </c>
      <c r="L6337" s="432"/>
    </row>
    <row r="6338" spans="1:12">
      <c r="A6338" s="137" t="str">
        <f>D6338&amp;E6338&amp;F6338</f>
        <v/>
      </c>
      <c r="C6338" s="1">
        <v>46038</v>
      </c>
      <c r="L6338" s="432"/>
    </row>
    <row r="6339" spans="1:12">
      <c r="A6339" s="137" t="str">
        <f>D6339&amp;E6339&amp;F6339</f>
        <v/>
      </c>
      <c r="C6339" s="1">
        <v>46038</v>
      </c>
      <c r="L6339" s="432"/>
    </row>
    <row r="6340" spans="1:12">
      <c r="A6340" s="137" t="str">
        <f>D6340&amp;E6340&amp;F6340</f>
        <v/>
      </c>
      <c r="C6340" s="1">
        <v>46038</v>
      </c>
      <c r="L6340" s="432"/>
    </row>
    <row r="6341" spans="1:12">
      <c r="A6341" s="137" t="str">
        <f>D6341&amp;E6341&amp;F6341</f>
        <v/>
      </c>
      <c r="C6341" s="1">
        <v>46038</v>
      </c>
      <c r="L6341" s="432"/>
    </row>
    <row r="6342" spans="1:12">
      <c r="A6342" s="137" t="str">
        <f>D6342&amp;E6342&amp;F6342</f>
        <v/>
      </c>
      <c r="C6342" s="1">
        <v>46038</v>
      </c>
      <c r="L6342" s="432"/>
    </row>
    <row r="6343" spans="1:12">
      <c r="A6343" s="137" t="str">
        <f>D6343&amp;E6343&amp;F6343</f>
        <v/>
      </c>
      <c r="C6343" s="1">
        <v>46038</v>
      </c>
      <c r="L6343" s="432"/>
    </row>
    <row r="6344" spans="1:12">
      <c r="A6344" s="137" t="str">
        <f>D6344&amp;E6344&amp;F6344</f>
        <v/>
      </c>
      <c r="C6344" s="1">
        <v>46038</v>
      </c>
      <c r="L6344" s="432"/>
    </row>
    <row r="6345" spans="1:12">
      <c r="A6345" s="137" t="str">
        <f>D6345&amp;E6345&amp;F6345</f>
        <v/>
      </c>
      <c r="C6345" s="1">
        <v>46038</v>
      </c>
      <c r="L6345" s="432"/>
    </row>
    <row r="6346" spans="1:12">
      <c r="A6346" s="137" t="str">
        <f>D6346&amp;E6346&amp;F6346</f>
        <v/>
      </c>
      <c r="C6346" s="1">
        <v>46038</v>
      </c>
      <c r="L6346" s="432"/>
    </row>
    <row r="6347" spans="1:12">
      <c r="A6347" s="137" t="str">
        <f>D6347&amp;E6347&amp;F6347</f>
        <v/>
      </c>
      <c r="C6347" s="1">
        <v>46038</v>
      </c>
      <c r="L6347" s="432"/>
    </row>
    <row r="6348" spans="1:12">
      <c r="A6348" s="137" t="str">
        <f>D6348&amp;E6348&amp;F6348</f>
        <v/>
      </c>
      <c r="C6348" s="1">
        <v>46038</v>
      </c>
      <c r="L6348" s="432"/>
    </row>
    <row r="6349" spans="1:12">
      <c r="A6349" s="137" t="str">
        <f>D6349&amp;E6349&amp;F6349</f>
        <v/>
      </c>
      <c r="C6349" s="1">
        <v>46038</v>
      </c>
      <c r="L6349" s="432"/>
    </row>
    <row r="6350" spans="1:12">
      <c r="A6350" s="137" t="str">
        <f>D6350&amp;E6350&amp;F6350</f>
        <v/>
      </c>
      <c r="C6350" s="1">
        <v>46038</v>
      </c>
      <c r="L6350" s="432"/>
    </row>
    <row r="6351" spans="1:12">
      <c r="A6351" s="137" t="str">
        <f>D6351&amp;E6351&amp;F6351</f>
        <v/>
      </c>
      <c r="C6351" s="1">
        <v>46038</v>
      </c>
      <c r="L6351" s="432"/>
    </row>
    <row r="6352" spans="1:12">
      <c r="A6352" s="137" t="str">
        <f>D6352&amp;E6352&amp;F6352</f>
        <v/>
      </c>
      <c r="C6352" s="1">
        <v>46038</v>
      </c>
      <c r="L6352" s="432"/>
    </row>
    <row r="6353" spans="1:12">
      <c r="A6353" s="137" t="str">
        <f>D6353&amp;E6353&amp;F6353</f>
        <v/>
      </c>
      <c r="C6353" s="1">
        <v>46038</v>
      </c>
      <c r="L6353" s="432"/>
    </row>
    <row r="6354" spans="1:12">
      <c r="A6354" s="137" t="str">
        <f>D6354&amp;E6354&amp;F6354</f>
        <v/>
      </c>
      <c r="C6354" s="1">
        <v>46038</v>
      </c>
      <c r="L6354" s="432"/>
    </row>
    <row r="6355" spans="1:12">
      <c r="A6355" s="137" t="str">
        <f>D6355&amp;E6355&amp;F6355</f>
        <v/>
      </c>
      <c r="C6355" s="1">
        <v>46038</v>
      </c>
      <c r="L6355" s="432"/>
    </row>
    <row r="6356" spans="1:12">
      <c r="A6356" s="137" t="str">
        <f>D6356&amp;E6356&amp;F6356</f>
        <v/>
      </c>
      <c r="C6356" s="1">
        <v>46038</v>
      </c>
      <c r="L6356" s="432"/>
    </row>
    <row r="6357" spans="1:12">
      <c r="A6357" s="137" t="str">
        <f>D6357&amp;E6357&amp;F6357</f>
        <v/>
      </c>
      <c r="C6357" s="1">
        <v>46038</v>
      </c>
      <c r="L6357" s="432"/>
    </row>
    <row r="6358" spans="1:12">
      <c r="A6358" s="137" t="str">
        <f>D6358&amp;E6358&amp;F6358</f>
        <v/>
      </c>
      <c r="C6358" s="1">
        <v>46038</v>
      </c>
      <c r="L6358" s="432"/>
    </row>
    <row r="6359" spans="1:12">
      <c r="A6359" s="137" t="str">
        <f>D6359&amp;E6359&amp;F6359</f>
        <v/>
      </c>
      <c r="C6359" s="1">
        <v>46038</v>
      </c>
      <c r="L6359" s="432"/>
    </row>
    <row r="6360" spans="1:12">
      <c r="A6360" s="137" t="str">
        <f>D6360&amp;E6360&amp;F6360</f>
        <v/>
      </c>
      <c r="C6360" s="1">
        <v>46038</v>
      </c>
      <c r="L6360" s="432"/>
    </row>
    <row r="6361" spans="1:12">
      <c r="A6361" s="137" t="str">
        <f>D6361&amp;E6361&amp;F6361</f>
        <v/>
      </c>
      <c r="C6361" s="1">
        <v>46038</v>
      </c>
      <c r="L6361" s="432"/>
    </row>
    <row r="6362" spans="1:12">
      <c r="A6362" s="137" t="str">
        <f>D6362&amp;E6362&amp;F6362</f>
        <v/>
      </c>
      <c r="C6362" s="1">
        <v>46038</v>
      </c>
      <c r="L6362" s="432"/>
    </row>
    <row r="6363" spans="1:12">
      <c r="A6363" s="137" t="str">
        <f>D6363&amp;E6363&amp;F6363</f>
        <v/>
      </c>
      <c r="C6363" s="1">
        <v>46038</v>
      </c>
      <c r="L6363" s="432"/>
    </row>
    <row r="6364" spans="1:12">
      <c r="A6364" s="137" t="str">
        <f>D6364&amp;E6364&amp;F6364</f>
        <v/>
      </c>
      <c r="C6364" s="1">
        <v>46038</v>
      </c>
      <c r="L6364" s="432"/>
    </row>
    <row r="6365" spans="1:12">
      <c r="A6365" s="137" t="str">
        <f>D6365&amp;E6365&amp;F6365</f>
        <v/>
      </c>
      <c r="C6365" s="1">
        <v>46038</v>
      </c>
      <c r="L6365" s="432"/>
    </row>
    <row r="6366" spans="1:12">
      <c r="A6366" s="137" t="str">
        <f>D6366&amp;E6366&amp;F6366</f>
        <v/>
      </c>
      <c r="C6366" s="1">
        <v>46038</v>
      </c>
      <c r="L6366" s="432"/>
    </row>
    <row r="6367" spans="1:12">
      <c r="A6367" s="137" t="str">
        <f>D6367&amp;E6367&amp;F6367</f>
        <v/>
      </c>
      <c r="C6367" s="1">
        <v>46038</v>
      </c>
      <c r="L6367" s="432"/>
    </row>
    <row r="6368" spans="1:12">
      <c r="A6368" s="137" t="str">
        <f>D6368&amp;E6368&amp;F6368</f>
        <v/>
      </c>
      <c r="C6368" s="1">
        <v>46038</v>
      </c>
      <c r="L6368" s="432"/>
    </row>
    <row r="6369" spans="1:12">
      <c r="A6369" s="137" t="str">
        <f>D6369&amp;E6369&amp;F6369</f>
        <v/>
      </c>
      <c r="C6369" s="1">
        <v>46038</v>
      </c>
      <c r="L6369" s="432"/>
    </row>
    <row r="6370" spans="1:12">
      <c r="A6370" s="137" t="str">
        <f>D6370&amp;E6370&amp;F6370</f>
        <v/>
      </c>
      <c r="C6370" s="1">
        <v>46038</v>
      </c>
      <c r="L6370" s="432"/>
    </row>
    <row r="6371" spans="1:12">
      <c r="A6371" s="137" t="str">
        <f>D6371&amp;E6371&amp;F6371</f>
        <v/>
      </c>
      <c r="C6371" s="1">
        <v>46038</v>
      </c>
      <c r="L6371" s="432"/>
    </row>
    <row r="6372" spans="1:12">
      <c r="A6372" s="137" t="str">
        <f>D6372&amp;E6372&amp;F6372</f>
        <v/>
      </c>
      <c r="C6372" s="1">
        <v>46038</v>
      </c>
      <c r="L6372" s="432"/>
    </row>
    <row r="6373" spans="1:12">
      <c r="A6373" s="137" t="str">
        <f>D6373&amp;E6373&amp;F6373</f>
        <v/>
      </c>
      <c r="C6373" s="1">
        <v>46038</v>
      </c>
      <c r="L6373" s="432"/>
    </row>
    <row r="6374" spans="1:12">
      <c r="A6374" s="137" t="str">
        <f>D6374&amp;E6374&amp;F6374</f>
        <v/>
      </c>
      <c r="C6374" s="1">
        <v>46038</v>
      </c>
      <c r="L6374" s="432"/>
    </row>
    <row r="6375" spans="1:12">
      <c r="A6375" s="137" t="str">
        <f>D6375&amp;E6375&amp;F6375</f>
        <v/>
      </c>
      <c r="C6375" s="1">
        <v>46038</v>
      </c>
      <c r="L6375" s="432"/>
    </row>
    <row r="6376" spans="1:12">
      <c r="A6376" s="137" t="str">
        <f>D6376&amp;E6376&amp;F6376</f>
        <v/>
      </c>
      <c r="C6376" s="1">
        <v>46038</v>
      </c>
      <c r="L6376" s="432"/>
    </row>
    <row r="6377" spans="1:12">
      <c r="A6377" s="137" t="str">
        <f>D6377&amp;E6377&amp;F6377</f>
        <v/>
      </c>
      <c r="C6377" s="1">
        <v>46038</v>
      </c>
      <c r="L6377" s="432"/>
    </row>
    <row r="6378" spans="1:12">
      <c r="A6378" s="137" t="str">
        <f>D6378&amp;E6378&amp;F6378</f>
        <v/>
      </c>
      <c r="C6378" s="1">
        <v>46038</v>
      </c>
      <c r="L6378" s="432"/>
    </row>
    <row r="6379" spans="1:12">
      <c r="A6379" s="137" t="str">
        <f>D6379&amp;E6379&amp;F6379</f>
        <v/>
      </c>
      <c r="C6379" s="1">
        <v>46038</v>
      </c>
      <c r="L6379" s="432"/>
    </row>
    <row r="6380" spans="1:12">
      <c r="A6380" s="137" t="str">
        <f>D6380&amp;E6380&amp;F6380</f>
        <v/>
      </c>
      <c r="C6380" s="1">
        <v>46038</v>
      </c>
      <c r="L6380" s="432"/>
    </row>
    <row r="6381" spans="1:12">
      <c r="A6381" s="137" t="str">
        <f>D6381&amp;E6381&amp;F6381</f>
        <v/>
      </c>
      <c r="C6381" s="1">
        <v>46038</v>
      </c>
      <c r="L6381" s="432"/>
    </row>
    <row r="6382" spans="1:12">
      <c r="A6382" s="137" t="str">
        <f>D6382&amp;E6382&amp;F6382</f>
        <v/>
      </c>
      <c r="C6382" s="1">
        <v>46038</v>
      </c>
      <c r="L6382" s="432"/>
    </row>
    <row r="6383" spans="1:12">
      <c r="A6383" s="137" t="str">
        <f>D6383&amp;E6383&amp;F6383</f>
        <v/>
      </c>
      <c r="C6383" s="1">
        <v>46038</v>
      </c>
      <c r="L6383" s="432"/>
    </row>
    <row r="6384" spans="1:12">
      <c r="A6384" s="137" t="str">
        <f>D6384&amp;E6384&amp;F6384</f>
        <v/>
      </c>
      <c r="C6384" s="1">
        <v>46038</v>
      </c>
      <c r="L6384" s="432"/>
    </row>
    <row r="6385" spans="1:12">
      <c r="A6385" s="137" t="str">
        <f>D6385&amp;E6385&amp;F6385</f>
        <v/>
      </c>
      <c r="C6385" s="1">
        <v>46038</v>
      </c>
      <c r="L6385" s="432"/>
    </row>
    <row r="6386" spans="1:12">
      <c r="A6386" s="137" t="str">
        <f>D6386&amp;E6386&amp;F6386</f>
        <v/>
      </c>
      <c r="C6386" s="1">
        <v>46038</v>
      </c>
      <c r="L6386" s="432"/>
    </row>
    <row r="6387" spans="1:12">
      <c r="A6387" s="137" t="str">
        <f>D6387&amp;E6387&amp;F6387</f>
        <v/>
      </c>
      <c r="C6387" s="1">
        <v>46038</v>
      </c>
      <c r="L6387" s="432"/>
    </row>
    <row r="6388" spans="1:12">
      <c r="A6388" s="137" t="str">
        <f>D6388&amp;E6388&amp;F6388</f>
        <v/>
      </c>
      <c r="C6388" s="1">
        <v>46038</v>
      </c>
      <c r="L6388" s="432"/>
    </row>
    <row r="6389" spans="1:12">
      <c r="A6389" s="137" t="str">
        <f>D6389&amp;E6389&amp;F6389</f>
        <v/>
      </c>
      <c r="C6389" s="1">
        <v>46038</v>
      </c>
      <c r="L6389" s="432"/>
    </row>
    <row r="6390" spans="1:12">
      <c r="A6390" s="137" t="str">
        <f>D6390&amp;E6390&amp;F6390</f>
        <v/>
      </c>
      <c r="C6390" s="1">
        <v>46038</v>
      </c>
      <c r="L6390" s="432"/>
    </row>
    <row r="6391" spans="1:12">
      <c r="A6391" s="137" t="str">
        <f>D6391&amp;E6391&amp;F6391</f>
        <v/>
      </c>
      <c r="C6391" s="1">
        <v>46038</v>
      </c>
      <c r="L6391" s="432"/>
    </row>
    <row r="6392" spans="1:12">
      <c r="A6392" s="137" t="str">
        <f>D6392&amp;E6392&amp;F6392</f>
        <v/>
      </c>
      <c r="C6392" s="1">
        <v>46038</v>
      </c>
      <c r="L6392" s="432"/>
    </row>
    <row r="6393" spans="1:12">
      <c r="A6393" s="137" t="str">
        <f>D6393&amp;E6393&amp;F6393</f>
        <v/>
      </c>
      <c r="C6393" s="1">
        <v>46038</v>
      </c>
      <c r="L6393" s="432"/>
    </row>
    <row r="6394" spans="1:12">
      <c r="A6394" s="137" t="str">
        <f>D6394&amp;E6394&amp;F6394</f>
        <v/>
      </c>
      <c r="C6394" s="1">
        <v>46038</v>
      </c>
      <c r="L6394" s="432"/>
    </row>
    <row r="6395" spans="1:12">
      <c r="A6395" s="137" t="str">
        <f>D6395&amp;E6395&amp;F6395</f>
        <v/>
      </c>
      <c r="C6395" s="1">
        <v>46038</v>
      </c>
      <c r="L6395" s="432"/>
    </row>
    <row r="6396" spans="1:12">
      <c r="A6396" s="137" t="str">
        <f>D6396&amp;E6396&amp;F6396</f>
        <v/>
      </c>
      <c r="C6396" s="1">
        <v>46038</v>
      </c>
      <c r="L6396" s="432"/>
    </row>
    <row r="6397" spans="1:12">
      <c r="A6397" s="137" t="str">
        <f>D6397&amp;E6397&amp;F6397</f>
        <v/>
      </c>
      <c r="C6397" s="1">
        <v>46038</v>
      </c>
      <c r="L6397" s="432"/>
    </row>
    <row r="6398" spans="1:12">
      <c r="A6398" s="137" t="str">
        <f>D6398&amp;E6398&amp;F6398</f>
        <v/>
      </c>
      <c r="C6398" s="1">
        <v>46038</v>
      </c>
      <c r="L6398" s="432"/>
    </row>
    <row r="6399" spans="1:12">
      <c r="A6399" s="137" t="str">
        <f>D6399&amp;E6399&amp;F6399</f>
        <v/>
      </c>
      <c r="C6399" s="1">
        <v>46038</v>
      </c>
      <c r="L6399" s="432"/>
    </row>
    <row r="6400" spans="1:12">
      <c r="A6400" s="137" t="str">
        <f>D6400&amp;E6400&amp;F6400</f>
        <v/>
      </c>
      <c r="C6400" s="1">
        <v>46038</v>
      </c>
      <c r="L6400" s="432"/>
    </row>
    <row r="6401" spans="1:12">
      <c r="A6401" s="137" t="str">
        <f>D6401&amp;E6401&amp;F6401</f>
        <v/>
      </c>
      <c r="C6401" s="1">
        <v>46038</v>
      </c>
      <c r="L6401" s="432"/>
    </row>
    <row r="6402" spans="1:12">
      <c r="A6402" s="137" t="str">
        <f>D6402&amp;E6402&amp;F6402</f>
        <v/>
      </c>
      <c r="C6402" s="1">
        <v>46038</v>
      </c>
      <c r="L6402" s="432"/>
    </row>
    <row r="6403" spans="1:12">
      <c r="A6403" s="137" t="str">
        <f>D6403&amp;E6403&amp;F6403</f>
        <v/>
      </c>
      <c r="C6403" s="1">
        <v>46038</v>
      </c>
      <c r="L6403" s="432"/>
    </row>
    <row r="6404" spans="1:12">
      <c r="A6404" s="137" t="str">
        <f>D6404&amp;E6404&amp;F6404</f>
        <v/>
      </c>
      <c r="C6404" s="1">
        <v>46038</v>
      </c>
      <c r="L6404" s="432"/>
    </row>
    <row r="6405" spans="1:12">
      <c r="A6405" s="137" t="str">
        <f>D6405&amp;E6405&amp;F6405</f>
        <v/>
      </c>
      <c r="C6405" s="1">
        <v>46038</v>
      </c>
      <c r="L6405" s="432"/>
    </row>
    <row r="6406" spans="1:12">
      <c r="A6406" s="137" t="str">
        <f>D6406&amp;E6406&amp;F6406</f>
        <v/>
      </c>
      <c r="C6406" s="1">
        <v>46038</v>
      </c>
      <c r="L6406" s="432"/>
    </row>
    <row r="6407" spans="1:12">
      <c r="A6407" s="137" t="str">
        <f>D6407&amp;E6407&amp;F6407</f>
        <v/>
      </c>
      <c r="C6407" s="1">
        <v>46038</v>
      </c>
      <c r="L6407" s="432"/>
    </row>
    <row r="6408" spans="1:12">
      <c r="A6408" s="137" t="str">
        <f>D6408&amp;E6408&amp;F6408</f>
        <v/>
      </c>
      <c r="C6408" s="1">
        <v>46038</v>
      </c>
      <c r="L6408" s="432"/>
    </row>
    <row r="6409" spans="1:12">
      <c r="A6409" s="137" t="str">
        <f>D6409&amp;E6409&amp;F6409</f>
        <v/>
      </c>
      <c r="C6409" s="1">
        <v>46038</v>
      </c>
      <c r="L6409" s="432"/>
    </row>
    <row r="6410" spans="1:12">
      <c r="A6410" s="137" t="str">
        <f>D6410&amp;E6410&amp;F6410</f>
        <v/>
      </c>
      <c r="C6410" s="1">
        <v>46038</v>
      </c>
      <c r="L6410" s="432"/>
    </row>
    <row r="6411" spans="1:12">
      <c r="A6411" s="137" t="str">
        <f>D6411&amp;E6411&amp;F6411</f>
        <v/>
      </c>
      <c r="C6411" s="1">
        <v>46038</v>
      </c>
      <c r="L6411" s="432"/>
    </row>
    <row r="6412" spans="1:12">
      <c r="A6412" s="137" t="str">
        <f>D6412&amp;E6412&amp;F6412</f>
        <v/>
      </c>
      <c r="C6412" s="1">
        <v>46038</v>
      </c>
      <c r="L6412" s="432"/>
    </row>
    <row r="6413" spans="1:12">
      <c r="A6413" s="137" t="str">
        <f>D6413&amp;E6413&amp;F6413</f>
        <v/>
      </c>
      <c r="C6413" s="1">
        <v>46038</v>
      </c>
      <c r="L6413" s="432"/>
    </row>
    <row r="6414" spans="1:12">
      <c r="A6414" s="137" t="str">
        <f>D6414&amp;E6414&amp;F6414</f>
        <v/>
      </c>
      <c r="C6414" s="1">
        <v>46038</v>
      </c>
      <c r="L6414" s="432"/>
    </row>
    <row r="6415" spans="1:12">
      <c r="A6415" s="137" t="str">
        <f>D6415&amp;E6415&amp;F6415</f>
        <v/>
      </c>
      <c r="C6415" s="1">
        <v>46038</v>
      </c>
      <c r="L6415" s="432"/>
    </row>
    <row r="6416" spans="1:12">
      <c r="A6416" s="137" t="str">
        <f>D6416&amp;E6416&amp;F6416</f>
        <v/>
      </c>
      <c r="C6416" s="1">
        <v>46038</v>
      </c>
      <c r="L6416" s="432"/>
    </row>
    <row r="6417" spans="1:12">
      <c r="A6417" s="137" t="str">
        <f>D6417&amp;E6417&amp;F6417</f>
        <v/>
      </c>
      <c r="C6417" s="1">
        <v>46038</v>
      </c>
      <c r="L6417" s="432"/>
    </row>
    <row r="6418" spans="1:12">
      <c r="A6418" s="137" t="str">
        <f>D6418&amp;E6418&amp;F6418</f>
        <v/>
      </c>
      <c r="C6418" s="1">
        <v>46038</v>
      </c>
      <c r="L6418" s="432"/>
    </row>
    <row r="6419" spans="1:12">
      <c r="A6419" s="137" t="str">
        <f>D6419&amp;E6419&amp;F6419</f>
        <v/>
      </c>
      <c r="C6419" s="1">
        <v>46038</v>
      </c>
      <c r="L6419" s="432"/>
    </row>
    <row r="6420" spans="1:12">
      <c r="A6420" s="137" t="str">
        <f>D6420&amp;E6420&amp;F6420</f>
        <v/>
      </c>
      <c r="C6420" s="1">
        <v>46038</v>
      </c>
      <c r="L6420" s="432"/>
    </row>
    <row r="6421" spans="1:12">
      <c r="A6421" s="137" t="str">
        <f>D6421&amp;E6421&amp;F6421</f>
        <v/>
      </c>
      <c r="C6421" s="1">
        <v>46038</v>
      </c>
      <c r="L6421" s="432"/>
    </row>
    <row r="6422" spans="1:12">
      <c r="A6422" s="137" t="str">
        <f>D6422&amp;E6422&amp;F6422</f>
        <v/>
      </c>
      <c r="C6422" s="1">
        <v>46038</v>
      </c>
      <c r="L6422" s="432"/>
    </row>
    <row r="6423" spans="1:12">
      <c r="A6423" s="137" t="str">
        <f>D6423&amp;E6423&amp;F6423</f>
        <v/>
      </c>
      <c r="C6423" s="1">
        <v>46038</v>
      </c>
      <c r="L6423" s="432"/>
    </row>
    <row r="6424" spans="1:12">
      <c r="A6424" s="137" t="str">
        <f>D6424&amp;E6424&amp;F6424</f>
        <v/>
      </c>
      <c r="C6424" s="1">
        <v>46038</v>
      </c>
      <c r="L6424" s="432"/>
    </row>
    <row r="6425" spans="1:12">
      <c r="A6425" s="137" t="str">
        <f>D6425&amp;E6425&amp;F6425</f>
        <v/>
      </c>
      <c r="C6425" s="1">
        <v>46038</v>
      </c>
      <c r="L6425" s="432"/>
    </row>
    <row r="6426" spans="1:12">
      <c r="A6426" s="137" t="str">
        <f>D6426&amp;E6426&amp;F6426</f>
        <v/>
      </c>
      <c r="C6426" s="1">
        <v>46038</v>
      </c>
      <c r="L6426" s="432"/>
    </row>
    <row r="6427" spans="1:12">
      <c r="A6427" s="137" t="str">
        <f>D6427&amp;E6427&amp;F6427</f>
        <v/>
      </c>
      <c r="C6427" s="1">
        <v>46038</v>
      </c>
      <c r="L6427" s="432"/>
    </row>
    <row r="6428" spans="1:12">
      <c r="A6428" s="137" t="str">
        <f>D6428&amp;E6428&amp;F6428</f>
        <v/>
      </c>
      <c r="C6428" s="1">
        <v>46038</v>
      </c>
      <c r="L6428" s="432"/>
    </row>
    <row r="6429" spans="1:12">
      <c r="A6429" s="137" t="str">
        <f>D6429&amp;E6429&amp;F6429</f>
        <v/>
      </c>
      <c r="C6429" s="1">
        <v>46038</v>
      </c>
      <c r="L6429" s="432"/>
    </row>
    <row r="6430" spans="1:12">
      <c r="A6430" s="137" t="str">
        <f>D6430&amp;E6430&amp;F6430</f>
        <v/>
      </c>
      <c r="C6430" s="1">
        <v>46038</v>
      </c>
      <c r="L6430" s="432"/>
    </row>
    <row r="6431" spans="1:12">
      <c r="A6431" s="137" t="str">
        <f>D6431&amp;E6431&amp;F6431</f>
        <v/>
      </c>
      <c r="C6431" s="1">
        <v>46038</v>
      </c>
      <c r="L6431" s="432"/>
    </row>
    <row r="6432" spans="1:12">
      <c r="A6432" s="137" t="str">
        <f>D6432&amp;E6432&amp;F6432</f>
        <v/>
      </c>
      <c r="C6432" s="1">
        <v>46038</v>
      </c>
      <c r="L6432" s="432"/>
    </row>
    <row r="6433" spans="1:12">
      <c r="A6433" s="137" t="str">
        <f>D6433&amp;E6433&amp;F6433</f>
        <v/>
      </c>
      <c r="C6433" s="1">
        <v>46038</v>
      </c>
      <c r="L6433" s="432"/>
    </row>
    <row r="6434" spans="1:12">
      <c r="A6434" s="137" t="str">
        <f>D6434&amp;E6434&amp;F6434</f>
        <v/>
      </c>
      <c r="C6434" s="1">
        <v>46038</v>
      </c>
      <c r="L6434" s="432"/>
    </row>
    <row r="6435" spans="1:12">
      <c r="A6435" s="137" t="str">
        <f>D6435&amp;E6435&amp;F6435</f>
        <v/>
      </c>
      <c r="C6435" s="1">
        <v>46038</v>
      </c>
      <c r="L6435" s="432"/>
    </row>
    <row r="6436" spans="1:12">
      <c r="A6436" s="137" t="str">
        <f>D6436&amp;E6436&amp;F6436</f>
        <v/>
      </c>
      <c r="C6436" s="1">
        <v>46038</v>
      </c>
      <c r="L6436" s="432"/>
    </row>
    <row r="6437" spans="1:12">
      <c r="A6437" s="137" t="str">
        <f>D6437&amp;E6437&amp;F6437</f>
        <v/>
      </c>
      <c r="C6437" s="1">
        <v>46038</v>
      </c>
      <c r="L6437" s="432"/>
    </row>
    <row r="6438" spans="1:12">
      <c r="A6438" s="137" t="str">
        <f>D6438&amp;E6438&amp;F6438</f>
        <v/>
      </c>
      <c r="C6438" s="1">
        <v>46038</v>
      </c>
      <c r="L6438" s="432"/>
    </row>
    <row r="6439" spans="1:12">
      <c r="A6439" s="137" t="str">
        <f>D6439&amp;E6439&amp;F6439</f>
        <v/>
      </c>
      <c r="C6439" s="1">
        <v>46038</v>
      </c>
      <c r="L6439" s="432"/>
    </row>
    <row r="6440" spans="1:12">
      <c r="A6440" s="137" t="str">
        <f>D6440&amp;E6440&amp;F6440</f>
        <v/>
      </c>
      <c r="C6440" s="1">
        <v>46038</v>
      </c>
      <c r="L6440" s="432"/>
    </row>
    <row r="6441" spans="1:12">
      <c r="A6441" s="137" t="str">
        <f>D6441&amp;E6441&amp;F6441</f>
        <v/>
      </c>
      <c r="C6441" s="1">
        <v>46038</v>
      </c>
      <c r="L6441" s="432"/>
    </row>
    <row r="6442" spans="1:12">
      <c r="A6442" s="137" t="str">
        <f>D6442&amp;E6442&amp;F6442</f>
        <v/>
      </c>
      <c r="C6442" s="1">
        <v>46038</v>
      </c>
      <c r="L6442" s="432"/>
    </row>
    <row r="6443" spans="1:12">
      <c r="A6443" s="137" t="str">
        <f>D6443&amp;E6443&amp;F6443</f>
        <v/>
      </c>
      <c r="C6443" s="1">
        <v>46038</v>
      </c>
      <c r="L6443" s="432"/>
    </row>
    <row r="6444" spans="1:12">
      <c r="A6444" s="137" t="str">
        <f>D6444&amp;E6444&amp;F6444</f>
        <v/>
      </c>
      <c r="C6444" s="1">
        <v>46038</v>
      </c>
      <c r="L6444" s="432"/>
    </row>
    <row r="6445" spans="1:12">
      <c r="A6445" s="137" t="str">
        <f>D6445&amp;E6445&amp;F6445</f>
        <v/>
      </c>
      <c r="C6445" s="1">
        <v>46038</v>
      </c>
      <c r="L6445" s="432"/>
    </row>
    <row r="6446" spans="1:12">
      <c r="A6446" s="137" t="str">
        <f>D6446&amp;E6446&amp;F6446</f>
        <v/>
      </c>
      <c r="C6446" s="1">
        <v>46038</v>
      </c>
      <c r="L6446" s="432"/>
    </row>
    <row r="6447" spans="1:12">
      <c r="A6447" s="137" t="str">
        <f>D6447&amp;E6447&amp;F6447</f>
        <v/>
      </c>
      <c r="C6447" s="1">
        <v>46038</v>
      </c>
      <c r="L6447" s="432"/>
    </row>
    <row r="6448" spans="1:12">
      <c r="A6448" s="137" t="str">
        <f>D6448&amp;E6448&amp;F6448</f>
        <v/>
      </c>
      <c r="C6448" s="1">
        <v>46038</v>
      </c>
      <c r="L6448" s="432"/>
    </row>
    <row r="6449" spans="1:12">
      <c r="A6449" s="137" t="str">
        <f>D6449&amp;E6449&amp;F6449</f>
        <v/>
      </c>
      <c r="C6449" s="1">
        <v>46038</v>
      </c>
      <c r="L6449" s="432"/>
    </row>
    <row r="6450" spans="1:12">
      <c r="A6450" s="137" t="str">
        <f>D6450&amp;E6450&amp;F6450</f>
        <v/>
      </c>
      <c r="C6450" s="1">
        <v>46038</v>
      </c>
      <c r="L6450" s="432"/>
    </row>
    <row r="6451" spans="1:12">
      <c r="A6451" s="137" t="str">
        <f>D6451&amp;E6451&amp;F6451</f>
        <v/>
      </c>
      <c r="C6451" s="1">
        <v>46038</v>
      </c>
      <c r="L6451" s="432"/>
    </row>
    <row r="6452" spans="1:12">
      <c r="A6452" s="137" t="str">
        <f>D6452&amp;E6452&amp;F6452</f>
        <v/>
      </c>
      <c r="C6452" s="1">
        <v>46038</v>
      </c>
      <c r="L6452" s="432"/>
    </row>
    <row r="6453" spans="1:12">
      <c r="A6453" s="137" t="str">
        <f>D6453&amp;E6453&amp;F6453</f>
        <v/>
      </c>
      <c r="C6453" s="1">
        <v>46038</v>
      </c>
      <c r="L6453" s="432"/>
    </row>
    <row r="6454" spans="1:12">
      <c r="A6454" s="137" t="str">
        <f>D6454&amp;E6454&amp;F6454</f>
        <v/>
      </c>
      <c r="C6454" s="1">
        <v>46038</v>
      </c>
      <c r="L6454" s="432"/>
    </row>
    <row r="6455" spans="1:12">
      <c r="A6455" s="137" t="str">
        <f>D6455&amp;E6455&amp;F6455</f>
        <v/>
      </c>
      <c r="C6455" s="1">
        <v>46038</v>
      </c>
      <c r="L6455" s="432"/>
    </row>
    <row r="6456" spans="1:12">
      <c r="A6456" s="137" t="str">
        <f>D6456&amp;E6456&amp;F6456</f>
        <v/>
      </c>
      <c r="C6456" s="1">
        <v>46038</v>
      </c>
      <c r="L6456" s="432"/>
    </row>
    <row r="6457" spans="1:12">
      <c r="A6457" s="137" t="str">
        <f>D6457&amp;E6457&amp;F6457</f>
        <v/>
      </c>
      <c r="C6457" s="1">
        <v>46038</v>
      </c>
      <c r="L6457" s="432"/>
    </row>
    <row r="6458" spans="1:12">
      <c r="A6458" s="137" t="str">
        <f>D6458&amp;E6458&amp;F6458</f>
        <v/>
      </c>
      <c r="C6458" s="1">
        <v>46038</v>
      </c>
      <c r="L6458" s="432"/>
    </row>
    <row r="6459" spans="1:12">
      <c r="A6459" s="137" t="str">
        <f>D6459&amp;E6459&amp;F6459</f>
        <v/>
      </c>
      <c r="C6459" s="1">
        <v>46038</v>
      </c>
      <c r="L6459" s="432"/>
    </row>
    <row r="6460" spans="1:12">
      <c r="A6460" s="137" t="str">
        <f>D6460&amp;E6460&amp;F6460</f>
        <v/>
      </c>
      <c r="C6460" s="1">
        <v>46038</v>
      </c>
      <c r="L6460" s="432"/>
    </row>
    <row r="6461" spans="1:12">
      <c r="A6461" s="137" t="str">
        <f>D6461&amp;E6461&amp;F6461</f>
        <v/>
      </c>
      <c r="C6461" s="1">
        <v>46038</v>
      </c>
      <c r="L6461" s="432"/>
    </row>
    <row r="6462" spans="1:12">
      <c r="A6462" s="137" t="str">
        <f>D6462&amp;E6462&amp;F6462</f>
        <v/>
      </c>
      <c r="C6462" s="1">
        <v>46038</v>
      </c>
      <c r="L6462" s="432"/>
    </row>
    <row r="6463" spans="1:12">
      <c r="A6463" s="137" t="str">
        <f>D6463&amp;E6463&amp;F6463</f>
        <v/>
      </c>
      <c r="C6463" s="1">
        <v>46038</v>
      </c>
      <c r="L6463" s="432"/>
    </row>
    <row r="6464" spans="1:12">
      <c r="A6464" s="137" t="str">
        <f>D6464&amp;E6464&amp;F6464</f>
        <v/>
      </c>
      <c r="C6464" s="1">
        <v>46038</v>
      </c>
      <c r="L6464" s="432"/>
    </row>
    <row r="6465" spans="1:12">
      <c r="A6465" s="137" t="str">
        <f>D6465&amp;E6465&amp;F6465</f>
        <v/>
      </c>
      <c r="C6465" s="1">
        <v>46038</v>
      </c>
      <c r="L6465" s="432"/>
    </row>
    <row r="6466" spans="1:12">
      <c r="A6466" s="137" t="str">
        <f>D6466&amp;E6466&amp;F6466</f>
        <v/>
      </c>
      <c r="C6466" s="1">
        <v>46038</v>
      </c>
      <c r="L6466" s="432"/>
    </row>
    <row r="6467" spans="1:12">
      <c r="A6467" s="137" t="str">
        <f>D6467&amp;E6467&amp;F6467</f>
        <v/>
      </c>
      <c r="C6467" s="1">
        <v>46038</v>
      </c>
      <c r="L6467" s="432"/>
    </row>
    <row r="6468" spans="1:12">
      <c r="A6468" s="137" t="str">
        <f>D6468&amp;E6468&amp;F6468</f>
        <v/>
      </c>
      <c r="C6468" s="1">
        <v>46038</v>
      </c>
      <c r="L6468" s="432"/>
    </row>
    <row r="6469" spans="1:12">
      <c r="A6469" s="137" t="str">
        <f>D6469&amp;E6469&amp;F6469</f>
        <v/>
      </c>
      <c r="C6469" s="1">
        <v>46038</v>
      </c>
      <c r="L6469" s="432"/>
    </row>
    <row r="6470" spans="1:12">
      <c r="A6470" s="137" t="str">
        <f>D6470&amp;E6470&amp;F6470</f>
        <v/>
      </c>
      <c r="C6470" s="1">
        <v>46038</v>
      </c>
      <c r="L6470" s="432"/>
    </row>
    <row r="6471" spans="1:12">
      <c r="A6471" s="137" t="str">
        <f>D6471&amp;E6471&amp;F6471</f>
        <v/>
      </c>
      <c r="C6471" s="1">
        <v>46038</v>
      </c>
      <c r="L6471" s="432"/>
    </row>
    <row r="6472" spans="1:12">
      <c r="A6472" s="137" t="str">
        <f>D6472&amp;E6472&amp;F6472</f>
        <v/>
      </c>
      <c r="C6472" s="1">
        <v>46038</v>
      </c>
      <c r="L6472" s="432"/>
    </row>
    <row r="6473" spans="1:12">
      <c r="A6473" s="137" t="str">
        <f>D6473&amp;E6473&amp;F6473</f>
        <v/>
      </c>
      <c r="C6473" s="1">
        <v>46038</v>
      </c>
      <c r="L6473" s="432"/>
    </row>
    <row r="6474" spans="1:12">
      <c r="A6474" s="137" t="str">
        <f>D6474&amp;E6474&amp;F6474</f>
        <v/>
      </c>
      <c r="C6474" s="1">
        <v>46038</v>
      </c>
      <c r="L6474" s="432"/>
    </row>
    <row r="6475" spans="1:12">
      <c r="A6475" s="137" t="str">
        <f>D6475&amp;E6475&amp;F6475</f>
        <v/>
      </c>
      <c r="C6475" s="1">
        <v>46038</v>
      </c>
      <c r="L6475" s="432"/>
    </row>
    <row r="6476" spans="1:12">
      <c r="A6476" s="137" t="str">
        <f>D6476&amp;E6476&amp;F6476</f>
        <v/>
      </c>
      <c r="C6476" s="1">
        <v>46038</v>
      </c>
      <c r="L6476" s="432"/>
    </row>
    <row r="6477" spans="1:12">
      <c r="A6477" s="137" t="str">
        <f>D6477&amp;E6477&amp;F6477</f>
        <v/>
      </c>
      <c r="C6477" s="1">
        <v>46038</v>
      </c>
      <c r="L6477" s="432"/>
    </row>
    <row r="6478" spans="1:12">
      <c r="A6478" s="137" t="str">
        <f>D6478&amp;E6478&amp;F6478</f>
        <v/>
      </c>
      <c r="C6478" s="1">
        <v>46038</v>
      </c>
      <c r="L6478" s="432"/>
    </row>
    <row r="6479" spans="1:12">
      <c r="A6479" s="137" t="str">
        <f>D6479&amp;E6479&amp;F6479</f>
        <v/>
      </c>
      <c r="C6479" s="1">
        <v>46038</v>
      </c>
      <c r="L6479" s="432"/>
    </row>
    <row r="6480" spans="1:12">
      <c r="A6480" s="137" t="str">
        <f>D6480&amp;E6480&amp;F6480</f>
        <v/>
      </c>
      <c r="C6480" s="1">
        <v>46038</v>
      </c>
      <c r="L6480" s="432"/>
    </row>
    <row r="6481" spans="1:12">
      <c r="A6481" s="137" t="str">
        <f>D6481&amp;E6481&amp;F6481</f>
        <v/>
      </c>
      <c r="C6481" s="1">
        <v>46038</v>
      </c>
      <c r="L6481" s="432"/>
    </row>
    <row r="6482" spans="1:12">
      <c r="A6482" s="137" t="str">
        <f>D6482&amp;E6482&amp;F6482</f>
        <v/>
      </c>
      <c r="C6482" s="1">
        <v>46038</v>
      </c>
      <c r="L6482" s="432"/>
    </row>
    <row r="6483" spans="1:12">
      <c r="A6483" s="137" t="str">
        <f>D6483&amp;E6483&amp;F6483</f>
        <v/>
      </c>
      <c r="C6483" s="1">
        <v>46038</v>
      </c>
      <c r="L6483" s="432"/>
    </row>
    <row r="6484" spans="1:12">
      <c r="A6484" s="137" t="str">
        <f>D6484&amp;E6484&amp;F6484</f>
        <v/>
      </c>
      <c r="C6484" s="1">
        <v>46038</v>
      </c>
      <c r="L6484" s="432"/>
    </row>
    <row r="6485" spans="1:12">
      <c r="A6485" s="137" t="str">
        <f>D6485&amp;E6485&amp;F6485</f>
        <v/>
      </c>
      <c r="C6485" s="1">
        <v>46038</v>
      </c>
      <c r="L6485" s="432"/>
    </row>
    <row r="6486" spans="1:12">
      <c r="A6486" s="137" t="str">
        <f>D6486&amp;E6486&amp;F6486</f>
        <v/>
      </c>
      <c r="C6486" s="1">
        <v>46038</v>
      </c>
      <c r="L6486" s="432"/>
    </row>
    <row r="6487" spans="1:12">
      <c r="A6487" s="137" t="str">
        <f>D6487&amp;E6487&amp;F6487</f>
        <v/>
      </c>
      <c r="C6487" s="1">
        <v>46038</v>
      </c>
      <c r="L6487" s="432"/>
    </row>
    <row r="6488" spans="1:12">
      <c r="A6488" s="137" t="str">
        <f>D6488&amp;E6488&amp;F6488</f>
        <v/>
      </c>
      <c r="C6488" s="1">
        <v>46038</v>
      </c>
      <c r="L6488" s="432"/>
    </row>
    <row r="6489" spans="1:12">
      <c r="A6489" s="137" t="str">
        <f>D6489&amp;E6489&amp;F6489</f>
        <v/>
      </c>
      <c r="C6489" s="1">
        <v>46038</v>
      </c>
      <c r="L6489" s="432"/>
    </row>
    <row r="6490" spans="1:12">
      <c r="A6490" s="137" t="str">
        <f>D6490&amp;E6490&amp;F6490</f>
        <v/>
      </c>
      <c r="C6490" s="1">
        <v>46038</v>
      </c>
      <c r="L6490" s="432"/>
    </row>
    <row r="6491" spans="1:12">
      <c r="A6491" s="137" t="str">
        <f>D6491&amp;E6491&amp;F6491</f>
        <v/>
      </c>
      <c r="C6491" s="1">
        <v>46038</v>
      </c>
      <c r="L6491" s="432"/>
    </row>
    <row r="6492" spans="1:12">
      <c r="A6492" s="137" t="str">
        <f>D6492&amp;E6492&amp;F6492</f>
        <v/>
      </c>
      <c r="C6492" s="1">
        <v>46038</v>
      </c>
      <c r="L6492" s="432"/>
    </row>
    <row r="6493" spans="1:12">
      <c r="A6493" s="137" t="str">
        <f>D6493&amp;E6493&amp;F6493</f>
        <v/>
      </c>
      <c r="C6493" s="1">
        <v>46038</v>
      </c>
      <c r="L6493" s="432"/>
    </row>
    <row r="6494" spans="1:12">
      <c r="A6494" s="137" t="str">
        <f>D6494&amp;E6494&amp;F6494</f>
        <v/>
      </c>
      <c r="C6494" s="1">
        <v>46038</v>
      </c>
      <c r="L6494" s="432"/>
    </row>
    <row r="6495" spans="1:12">
      <c r="A6495" s="137" t="str">
        <f>D6495&amp;E6495&amp;F6495</f>
        <v/>
      </c>
      <c r="C6495" s="1">
        <v>46038</v>
      </c>
      <c r="L6495" s="432"/>
    </row>
    <row r="6496" spans="1:12">
      <c r="A6496" s="137" t="str">
        <f>D6496&amp;E6496&amp;F6496</f>
        <v/>
      </c>
      <c r="C6496" s="1">
        <v>46038</v>
      </c>
      <c r="L6496" s="432"/>
    </row>
    <row r="6497" spans="1:12">
      <c r="A6497" s="137" t="str">
        <f>D6497&amp;E6497&amp;F6497</f>
        <v/>
      </c>
      <c r="C6497" s="1">
        <v>46038</v>
      </c>
      <c r="L6497" s="432"/>
    </row>
    <row r="6498" spans="1:12">
      <c r="A6498" s="137" t="str">
        <f>D6498&amp;E6498&amp;F6498</f>
        <v/>
      </c>
      <c r="C6498" s="1">
        <v>46038</v>
      </c>
      <c r="L6498" s="432"/>
    </row>
    <row r="6499" spans="1:12">
      <c r="A6499" s="137" t="str">
        <f>D6499&amp;E6499&amp;F6499</f>
        <v/>
      </c>
      <c r="C6499" s="1">
        <v>46038</v>
      </c>
      <c r="L6499" s="432"/>
    </row>
    <row r="6500" spans="1:12">
      <c r="A6500" s="137" t="str">
        <f>D6500&amp;E6500&amp;F6500</f>
        <v/>
      </c>
      <c r="C6500" s="1">
        <v>46038</v>
      </c>
      <c r="L6500" s="432"/>
    </row>
    <row r="6501" spans="1:12">
      <c r="A6501" s="137" t="str">
        <f>D6501&amp;E6501&amp;F6501</f>
        <v/>
      </c>
      <c r="C6501" s="1">
        <v>46038</v>
      </c>
      <c r="L6501" s="432"/>
    </row>
    <row r="6502" spans="1:12">
      <c r="A6502" s="137" t="str">
        <f>D6502&amp;E6502&amp;F6502</f>
        <v/>
      </c>
      <c r="C6502" s="1">
        <v>46038</v>
      </c>
      <c r="L6502" s="432"/>
    </row>
    <row r="6503" spans="1:12">
      <c r="A6503" s="137" t="str">
        <f>D6503&amp;E6503&amp;F6503</f>
        <v/>
      </c>
      <c r="C6503" s="1">
        <v>46038</v>
      </c>
      <c r="L6503" s="432"/>
    </row>
    <row r="6504" spans="1:12">
      <c r="A6504" s="137" t="str">
        <f>D6504&amp;E6504&amp;F6504</f>
        <v/>
      </c>
      <c r="C6504" s="1">
        <v>46038</v>
      </c>
      <c r="L6504" s="432"/>
    </row>
    <row r="6505" spans="1:12">
      <c r="A6505" s="137" t="str">
        <f>D6505&amp;E6505&amp;F6505</f>
        <v/>
      </c>
      <c r="C6505" s="1">
        <v>46038</v>
      </c>
      <c r="L6505" s="432"/>
    </row>
    <row r="6506" spans="1:12">
      <c r="A6506" s="137" t="str">
        <f>D6506&amp;E6506&amp;F6506</f>
        <v/>
      </c>
      <c r="C6506" s="1">
        <v>46038</v>
      </c>
      <c r="L6506" s="432"/>
    </row>
    <row r="6507" spans="1:12">
      <c r="A6507" s="137" t="str">
        <f>D6507&amp;E6507&amp;F6507</f>
        <v/>
      </c>
      <c r="C6507" s="1">
        <v>46038</v>
      </c>
      <c r="L6507" s="432"/>
    </row>
    <row r="6508" spans="1:12">
      <c r="A6508" s="137" t="str">
        <f>D6508&amp;E6508&amp;F6508</f>
        <v/>
      </c>
      <c r="C6508" s="1">
        <v>46038</v>
      </c>
      <c r="L6508" s="432"/>
    </row>
    <row r="6509" spans="1:12">
      <c r="A6509" s="137" t="str">
        <f>D6509&amp;E6509&amp;F6509</f>
        <v/>
      </c>
      <c r="C6509" s="1">
        <v>46038</v>
      </c>
      <c r="L6509" s="432"/>
    </row>
    <row r="6510" spans="1:12">
      <c r="A6510" s="137" t="str">
        <f>D6510&amp;E6510&amp;F6510</f>
        <v/>
      </c>
      <c r="C6510" s="1">
        <v>46038</v>
      </c>
      <c r="L6510" s="432"/>
    </row>
    <row r="6511" spans="1:12">
      <c r="A6511" s="137" t="str">
        <f>D6511&amp;E6511&amp;F6511</f>
        <v/>
      </c>
      <c r="C6511" s="1">
        <v>46038</v>
      </c>
      <c r="L6511" s="432"/>
    </row>
    <row r="6512" spans="1:12">
      <c r="A6512" s="137" t="str">
        <f>D6512&amp;E6512&amp;F6512</f>
        <v/>
      </c>
      <c r="C6512" s="1">
        <v>46038</v>
      </c>
      <c r="L6512" s="432"/>
    </row>
    <row r="6513" spans="1:13">
      <c r="A6513" s="137" t="str">
        <f>D6513&amp;E6513&amp;F6513</f>
        <v/>
      </c>
      <c r="C6513" s="1">
        <v>46038</v>
      </c>
      <c r="L6513" s="432"/>
    </row>
    <row r="6514" spans="1:13">
      <c r="A6514" s="137" t="str">
        <f>D6514&amp;E6514&amp;F6514</f>
        <v/>
      </c>
      <c r="C6514" s="1">
        <v>46038</v>
      </c>
      <c r="L6514" s="432"/>
    </row>
    <row r="6515" spans="1:13">
      <c r="A6515" s="137" t="str">
        <f>D6515&amp;E6515&amp;F6515</f>
        <v/>
      </c>
      <c r="C6515" s="1">
        <v>46038</v>
      </c>
      <c r="L6515" s="432"/>
    </row>
    <row r="6516" spans="1:13">
      <c r="C6516" s="1">
        <v>46038</v>
      </c>
      <c r="L6516" s="432"/>
      <c r="M6516" s="136">
        <f t="shared" ref="M6516:M6517" si="221">M6515+K6516-L6516</f>
        <v>0</v>
      </c>
    </row>
    <row r="6517" spans="1:13">
      <c r="C6517" s="1">
        <v>46038</v>
      </c>
      <c r="L6517" s="432"/>
      <c r="M6517" s="136">
        <f t="shared" si="221"/>
        <v>0</v>
      </c>
    </row>
    <row r="6518" spans="1:13">
      <c r="A6518" s="137" t="str">
        <f>D6518&amp;E6518&amp;F6518</f>
        <v/>
      </c>
      <c r="C6518" s="1">
        <v>46038</v>
      </c>
      <c r="L6518" s="432"/>
    </row>
    <row r="6519" spans="1:13">
      <c r="A6519" s="137" t="str">
        <f>D6519&amp;E6519&amp;F6519</f>
        <v/>
      </c>
      <c r="C6519" s="1">
        <v>46038</v>
      </c>
      <c r="L6519" s="432"/>
    </row>
    <row r="6520" spans="1:13">
      <c r="A6520" s="137" t="str">
        <f>D6520&amp;E6520&amp;F6520</f>
        <v/>
      </c>
      <c r="C6520" s="1">
        <v>46038</v>
      </c>
      <c r="L6520" s="432"/>
    </row>
    <row r="6521" spans="1:13">
      <c r="A6521" s="137" t="str">
        <f>D6521&amp;E6521&amp;F6521</f>
        <v/>
      </c>
      <c r="C6521" s="1">
        <v>46038</v>
      </c>
      <c r="L6521" s="432"/>
    </row>
    <row r="6522" spans="1:13">
      <c r="A6522" s="137" t="str">
        <f>D6522&amp;E6522&amp;F6522</f>
        <v/>
      </c>
      <c r="C6522" s="1">
        <v>46038</v>
      </c>
      <c r="L6522" s="432"/>
    </row>
    <row r="6523" spans="1:13">
      <c r="A6523" s="137" t="str">
        <f>D6523&amp;E6523&amp;F6523</f>
        <v/>
      </c>
      <c r="C6523" s="1">
        <v>46038</v>
      </c>
      <c r="L6523" s="432"/>
    </row>
    <row r="6524" spans="1:13">
      <c r="A6524" s="137" t="str">
        <f>D6524&amp;E6524&amp;F6524</f>
        <v/>
      </c>
      <c r="C6524" s="1">
        <v>46038</v>
      </c>
      <c r="L6524" s="432"/>
    </row>
    <row r="6525" spans="1:13">
      <c r="A6525" s="137" t="str">
        <f>D6525&amp;E6525&amp;F6525</f>
        <v/>
      </c>
      <c r="C6525" s="1">
        <v>46038</v>
      </c>
      <c r="L6525" s="432"/>
    </row>
    <row r="6526" spans="1:13">
      <c r="A6526" s="137" t="str">
        <f>D6526&amp;E6526&amp;F6526</f>
        <v/>
      </c>
      <c r="C6526" s="1">
        <v>46038</v>
      </c>
      <c r="L6526" s="432"/>
    </row>
    <row r="6527" spans="1:13">
      <c r="A6527" s="137" t="str">
        <f>D6527&amp;E6527&amp;F6527</f>
        <v/>
      </c>
      <c r="C6527" s="1">
        <v>46038</v>
      </c>
      <c r="L6527" s="432"/>
    </row>
    <row r="6528" spans="1:13">
      <c r="A6528" s="137" t="str">
        <f>D6528&amp;E6528&amp;F6528</f>
        <v/>
      </c>
      <c r="C6528" s="1">
        <v>46038</v>
      </c>
      <c r="L6528" s="432"/>
    </row>
    <row r="6529" spans="1:12">
      <c r="A6529" s="137" t="str">
        <f>D6529&amp;E6529&amp;F6529</f>
        <v/>
      </c>
      <c r="C6529" s="1">
        <v>46038</v>
      </c>
      <c r="L6529" s="432"/>
    </row>
    <row r="6530" spans="1:12">
      <c r="A6530" s="137" t="str">
        <f>D6530&amp;E6530&amp;F6530</f>
        <v/>
      </c>
      <c r="C6530" s="1">
        <v>46038</v>
      </c>
      <c r="L6530" s="432"/>
    </row>
    <row r="6531" spans="1:12">
      <c r="A6531" s="137" t="str">
        <f>D6531&amp;E6531&amp;F6531</f>
        <v/>
      </c>
      <c r="C6531" s="1">
        <v>46038</v>
      </c>
      <c r="L6531" s="432"/>
    </row>
    <row r="6532" spans="1:12">
      <c r="A6532" s="137" t="str">
        <f>D6532&amp;E6532&amp;F6532</f>
        <v/>
      </c>
      <c r="C6532" s="1">
        <v>46038</v>
      </c>
      <c r="L6532" s="432"/>
    </row>
    <row r="6533" spans="1:12">
      <c r="A6533" s="137" t="str">
        <f>D6533&amp;E6533&amp;F6533</f>
        <v/>
      </c>
      <c r="C6533" s="1">
        <v>46038</v>
      </c>
      <c r="L6533" s="432"/>
    </row>
    <row r="6534" spans="1:12">
      <c r="A6534" s="137" t="str">
        <f>D6534&amp;E6534&amp;F6534</f>
        <v/>
      </c>
      <c r="C6534" s="1">
        <v>46038</v>
      </c>
      <c r="L6534" s="432"/>
    </row>
    <row r="6535" spans="1:12">
      <c r="A6535" s="137" t="str">
        <f>D6535&amp;E6535&amp;F6535</f>
        <v/>
      </c>
      <c r="C6535" s="1">
        <v>46038</v>
      </c>
      <c r="L6535" s="432"/>
    </row>
    <row r="6536" spans="1:12">
      <c r="A6536" s="137" t="str">
        <f>D6536&amp;E6536&amp;F6536</f>
        <v/>
      </c>
      <c r="C6536" s="1">
        <v>46038</v>
      </c>
      <c r="L6536" s="432"/>
    </row>
    <row r="6537" spans="1:12">
      <c r="A6537" s="137" t="str">
        <f>D6537&amp;E6537&amp;F6537</f>
        <v/>
      </c>
      <c r="C6537" s="1">
        <v>46038</v>
      </c>
      <c r="L6537" s="432"/>
    </row>
    <row r="6538" spans="1:12">
      <c r="A6538" s="137" t="str">
        <f>D6538&amp;E6538&amp;F6538</f>
        <v/>
      </c>
      <c r="C6538" s="1">
        <v>46038</v>
      </c>
      <c r="L6538" s="432"/>
    </row>
    <row r="6539" spans="1:12">
      <c r="A6539" s="137" t="str">
        <f>D6539&amp;E6539&amp;F6539</f>
        <v/>
      </c>
      <c r="C6539" s="1">
        <v>46038</v>
      </c>
      <c r="L6539" s="432"/>
    </row>
    <row r="6540" spans="1:12">
      <c r="A6540" s="137" t="str">
        <f>D6540&amp;E6540&amp;F6540</f>
        <v/>
      </c>
      <c r="C6540" s="1">
        <v>46038</v>
      </c>
      <c r="L6540" s="432"/>
    </row>
    <row r="6541" spans="1:12">
      <c r="A6541" s="137" t="str">
        <f>D6541&amp;E6541&amp;F6541</f>
        <v/>
      </c>
      <c r="C6541" s="1">
        <v>46038</v>
      </c>
      <c r="L6541" s="432"/>
    </row>
    <row r="6542" spans="1:12">
      <c r="A6542" s="137" t="str">
        <f>D6542&amp;E6542&amp;F6542</f>
        <v/>
      </c>
      <c r="C6542" s="1">
        <v>46038</v>
      </c>
      <c r="L6542" s="432"/>
    </row>
    <row r="6543" spans="1:12">
      <c r="A6543" s="137" t="str">
        <f>D6543&amp;E6543&amp;F6543</f>
        <v/>
      </c>
      <c r="C6543" s="1">
        <v>46038</v>
      </c>
      <c r="L6543" s="432"/>
    </row>
    <row r="6544" spans="1:12">
      <c r="A6544" s="137" t="str">
        <f>D6544&amp;E6544&amp;F6544</f>
        <v/>
      </c>
      <c r="C6544" s="1">
        <v>46038</v>
      </c>
      <c r="L6544" s="432"/>
    </row>
    <row r="6545" spans="1:12">
      <c r="A6545" s="137" t="str">
        <f>D6545&amp;E6545&amp;F6545</f>
        <v/>
      </c>
      <c r="C6545" s="1">
        <v>46038</v>
      </c>
      <c r="L6545" s="432"/>
    </row>
    <row r="6546" spans="1:12">
      <c r="A6546" s="137" t="str">
        <f>D6546&amp;E6546&amp;F6546</f>
        <v/>
      </c>
      <c r="C6546" s="1">
        <v>46038</v>
      </c>
      <c r="L6546" s="432"/>
    </row>
    <row r="6547" spans="1:12">
      <c r="A6547" s="137" t="str">
        <f>D6547&amp;E6547&amp;F6547</f>
        <v/>
      </c>
      <c r="C6547" s="1">
        <v>46038</v>
      </c>
      <c r="L6547" s="432"/>
    </row>
    <row r="6548" spans="1:12">
      <c r="A6548" s="137" t="str">
        <f>D6548&amp;E6548&amp;F6548</f>
        <v/>
      </c>
      <c r="C6548" s="1">
        <v>46038</v>
      </c>
      <c r="L6548" s="432"/>
    </row>
    <row r="6549" spans="1:12">
      <c r="A6549" s="137" t="str">
        <f>D6549&amp;E6549&amp;F6549</f>
        <v/>
      </c>
      <c r="C6549" s="1">
        <v>46038</v>
      </c>
      <c r="L6549" s="432"/>
    </row>
    <row r="6550" spans="1:12">
      <c r="A6550" s="137" t="str">
        <f>D6550&amp;E6550&amp;F6550</f>
        <v/>
      </c>
      <c r="C6550" s="1">
        <v>46038</v>
      </c>
      <c r="L6550" s="432"/>
    </row>
    <row r="6551" spans="1:12">
      <c r="A6551" s="137" t="str">
        <f>D6551&amp;E6551&amp;F6551</f>
        <v/>
      </c>
      <c r="C6551" s="1">
        <v>46038</v>
      </c>
      <c r="L6551" s="432"/>
    </row>
    <row r="6552" spans="1:12">
      <c r="A6552" s="137" t="str">
        <f>D6552&amp;E6552&amp;F6552</f>
        <v/>
      </c>
      <c r="C6552" s="1">
        <v>46038</v>
      </c>
      <c r="L6552" s="432"/>
    </row>
    <row r="6553" spans="1:12">
      <c r="A6553" s="137" t="str">
        <f>D6553&amp;E6553&amp;F6553</f>
        <v/>
      </c>
      <c r="C6553" s="1">
        <v>46038</v>
      </c>
      <c r="L6553" s="432"/>
    </row>
    <row r="6554" spans="1:12">
      <c r="A6554" s="137" t="str">
        <f>D6554&amp;E6554&amp;F6554</f>
        <v/>
      </c>
      <c r="C6554" s="1">
        <v>46038</v>
      </c>
      <c r="L6554" s="432"/>
    </row>
    <row r="6555" spans="1:12">
      <c r="A6555" s="137" t="str">
        <f>D6555&amp;E6555&amp;F6555</f>
        <v/>
      </c>
      <c r="C6555" s="1">
        <v>46038</v>
      </c>
      <c r="L6555" s="432"/>
    </row>
    <row r="6556" spans="1:12">
      <c r="A6556" s="137" t="str">
        <f>D6556&amp;E6556&amp;F6556</f>
        <v/>
      </c>
      <c r="C6556" s="1">
        <v>46038</v>
      </c>
      <c r="L6556" s="432"/>
    </row>
    <row r="6557" spans="1:12">
      <c r="A6557" s="137" t="str">
        <f>D6557&amp;E6557&amp;F6557</f>
        <v/>
      </c>
      <c r="C6557" s="1">
        <v>46038</v>
      </c>
      <c r="L6557" s="432"/>
    </row>
    <row r="6558" spans="1:12">
      <c r="A6558" s="137" t="str">
        <f>D6558&amp;E6558&amp;F6558</f>
        <v/>
      </c>
      <c r="C6558" s="1">
        <v>46038</v>
      </c>
      <c r="L6558" s="432"/>
    </row>
    <row r="6559" spans="1:12">
      <c r="A6559" s="137" t="str">
        <f>D6559&amp;E6559&amp;F6559</f>
        <v/>
      </c>
      <c r="C6559" s="1">
        <v>46038</v>
      </c>
      <c r="L6559" s="432"/>
    </row>
    <row r="6560" spans="1:12">
      <c r="A6560" s="137" t="str">
        <f>D6560&amp;E6560&amp;F6560</f>
        <v/>
      </c>
      <c r="C6560" s="1">
        <v>46038</v>
      </c>
      <c r="L6560" s="432"/>
    </row>
    <row r="6561" spans="1:12">
      <c r="A6561" s="137" t="str">
        <f>D6561&amp;E6561&amp;F6561</f>
        <v/>
      </c>
      <c r="C6561" s="1">
        <v>46038</v>
      </c>
      <c r="L6561" s="432"/>
    </row>
    <row r="6562" spans="1:12">
      <c r="A6562" s="137" t="str">
        <f>D6562&amp;E6562&amp;F6562</f>
        <v/>
      </c>
      <c r="C6562" s="1">
        <v>46038</v>
      </c>
      <c r="L6562" s="432"/>
    </row>
    <row r="6563" spans="1:12">
      <c r="A6563" s="137" t="str">
        <f>D6563&amp;E6563&amp;F6563</f>
        <v/>
      </c>
      <c r="C6563" s="1">
        <v>46038</v>
      </c>
      <c r="L6563" s="432"/>
    </row>
    <row r="6564" spans="1:12">
      <c r="A6564" s="137" t="str">
        <f>D6564&amp;E6564&amp;F6564</f>
        <v/>
      </c>
      <c r="C6564" s="1">
        <v>46038</v>
      </c>
      <c r="L6564" s="432"/>
    </row>
    <row r="6565" spans="1:12">
      <c r="A6565" s="137" t="str">
        <f>D6565&amp;E6565&amp;F6565</f>
        <v/>
      </c>
      <c r="C6565" s="1">
        <v>46038</v>
      </c>
      <c r="L6565" s="432"/>
    </row>
    <row r="6566" spans="1:12">
      <c r="A6566" s="137" t="str">
        <f>D6566&amp;E6566&amp;F6566</f>
        <v/>
      </c>
      <c r="C6566" s="1">
        <v>46038</v>
      </c>
      <c r="L6566" s="432"/>
    </row>
    <row r="6567" spans="1:12">
      <c r="A6567" s="137" t="str">
        <f>D6567&amp;E6567&amp;F6567</f>
        <v/>
      </c>
      <c r="C6567" s="1">
        <v>46038</v>
      </c>
      <c r="L6567" s="432"/>
    </row>
    <row r="6568" spans="1:12">
      <c r="A6568" s="137" t="str">
        <f>D6568&amp;E6568&amp;F6568</f>
        <v/>
      </c>
      <c r="C6568" s="1">
        <v>46038</v>
      </c>
      <c r="L6568" s="432"/>
    </row>
    <row r="6569" spans="1:12">
      <c r="A6569" s="137" t="str">
        <f>D6569&amp;E6569&amp;F6569</f>
        <v/>
      </c>
      <c r="C6569" s="1">
        <v>46038</v>
      </c>
      <c r="L6569" s="432"/>
    </row>
    <row r="6570" spans="1:12">
      <c r="A6570" s="137" t="str">
        <f>D6570&amp;E6570&amp;F6570</f>
        <v/>
      </c>
      <c r="C6570" s="1">
        <v>46038</v>
      </c>
      <c r="L6570" s="432"/>
    </row>
    <row r="6571" spans="1:12">
      <c r="A6571" s="137" t="str">
        <f>D6571&amp;E6571&amp;F6571</f>
        <v/>
      </c>
      <c r="C6571" s="1">
        <v>46038</v>
      </c>
      <c r="L6571" s="432"/>
    </row>
    <row r="6572" spans="1:12">
      <c r="A6572" s="137" t="str">
        <f>D6572&amp;E6572&amp;F6572</f>
        <v/>
      </c>
      <c r="C6572" s="1">
        <v>46038</v>
      </c>
      <c r="L6572" s="432"/>
    </row>
    <row r="6573" spans="1:12">
      <c r="A6573" s="137" t="str">
        <f>D6573&amp;E6573&amp;F6573</f>
        <v/>
      </c>
      <c r="C6573" s="1">
        <v>46038</v>
      </c>
      <c r="L6573" s="432"/>
    </row>
    <row r="6574" spans="1:12">
      <c r="A6574" s="137" t="str">
        <f>D6574&amp;E6574&amp;F6574</f>
        <v/>
      </c>
      <c r="C6574" s="1">
        <v>46038</v>
      </c>
      <c r="L6574" s="432"/>
    </row>
    <row r="6575" spans="1:12">
      <c r="A6575" s="137" t="str">
        <f>D6575&amp;E6575&amp;F6575</f>
        <v/>
      </c>
      <c r="C6575" s="1">
        <v>46038</v>
      </c>
      <c r="L6575" s="432"/>
    </row>
    <row r="6576" spans="1:12">
      <c r="A6576" s="137" t="str">
        <f>D6576&amp;E6576&amp;F6576</f>
        <v/>
      </c>
      <c r="C6576" s="1">
        <v>46038</v>
      </c>
      <c r="L6576" s="432"/>
    </row>
    <row r="6577" spans="1:12">
      <c r="A6577" s="137" t="str">
        <f>D6577&amp;E6577&amp;F6577</f>
        <v/>
      </c>
      <c r="C6577" s="1">
        <v>46038</v>
      </c>
      <c r="L6577" s="432"/>
    </row>
    <row r="6578" spans="1:12">
      <c r="A6578" s="137" t="str">
        <f>D6578&amp;E6578&amp;F6578</f>
        <v/>
      </c>
      <c r="C6578" s="1">
        <v>46038</v>
      </c>
      <c r="L6578" s="432"/>
    </row>
    <row r="6579" spans="1:12">
      <c r="A6579" s="137" t="str">
        <f>D6579&amp;E6579&amp;F6579</f>
        <v/>
      </c>
      <c r="C6579" s="1">
        <v>46038</v>
      </c>
      <c r="L6579" s="432"/>
    </row>
    <row r="6580" spans="1:12">
      <c r="A6580" s="137" t="str">
        <f>D6580&amp;E6580&amp;F6580</f>
        <v/>
      </c>
      <c r="C6580" s="1">
        <v>46038</v>
      </c>
      <c r="L6580" s="432"/>
    </row>
    <row r="6581" spans="1:12">
      <c r="A6581" s="137" t="str">
        <f>D6581&amp;E6581&amp;F6581</f>
        <v/>
      </c>
      <c r="C6581" s="1">
        <v>46038</v>
      </c>
      <c r="L6581" s="432"/>
    </row>
    <row r="6582" spans="1:12">
      <c r="A6582" s="137" t="str">
        <f>D6582&amp;E6582&amp;F6582</f>
        <v/>
      </c>
      <c r="C6582" s="1">
        <v>46038</v>
      </c>
      <c r="L6582" s="432"/>
    </row>
    <row r="6583" spans="1:12">
      <c r="A6583" s="137" t="str">
        <f>D6583&amp;E6583&amp;F6583</f>
        <v/>
      </c>
      <c r="C6583" s="1">
        <v>46038</v>
      </c>
      <c r="L6583" s="432"/>
    </row>
    <row r="6584" spans="1:12">
      <c r="A6584" s="137" t="str">
        <f>D6584&amp;E6584&amp;F6584</f>
        <v/>
      </c>
      <c r="C6584" s="1">
        <v>46038</v>
      </c>
      <c r="L6584" s="432"/>
    </row>
    <row r="6585" spans="1:12">
      <c r="A6585" s="137" t="str">
        <f>D6585&amp;E6585&amp;F6585</f>
        <v/>
      </c>
      <c r="C6585" s="1">
        <v>46038</v>
      </c>
      <c r="L6585" s="432"/>
    </row>
    <row r="6586" spans="1:12">
      <c r="A6586" s="137" t="str">
        <f>D6586&amp;E6586&amp;F6586</f>
        <v/>
      </c>
      <c r="C6586" s="1">
        <v>46038</v>
      </c>
      <c r="L6586" s="432"/>
    </row>
    <row r="6587" spans="1:12">
      <c r="A6587" s="137" t="str">
        <f>D6587&amp;E6587&amp;F6587</f>
        <v/>
      </c>
      <c r="C6587" s="1">
        <v>46038</v>
      </c>
      <c r="L6587" s="432"/>
    </row>
    <row r="6588" spans="1:12">
      <c r="A6588" s="137" t="str">
        <f>D6588&amp;E6588&amp;F6588</f>
        <v/>
      </c>
      <c r="C6588" s="1">
        <v>46038</v>
      </c>
      <c r="L6588" s="432"/>
    </row>
    <row r="6589" spans="1:12">
      <c r="A6589" s="137" t="str">
        <f>D6589&amp;E6589&amp;F6589</f>
        <v/>
      </c>
      <c r="C6589" s="1">
        <v>46038</v>
      </c>
      <c r="L6589" s="432"/>
    </row>
    <row r="6590" spans="1:12">
      <c r="A6590" s="137" t="str">
        <f>D6590&amp;E6590&amp;F6590</f>
        <v/>
      </c>
      <c r="C6590" s="1">
        <v>46038</v>
      </c>
      <c r="L6590" s="432"/>
    </row>
    <row r="6591" spans="1:12">
      <c r="A6591" s="137" t="str">
        <f>D6591&amp;E6591&amp;F6591</f>
        <v/>
      </c>
      <c r="C6591" s="1">
        <v>46038</v>
      </c>
      <c r="L6591" s="432"/>
    </row>
    <row r="6592" spans="1:12">
      <c r="A6592" s="137" t="str">
        <f>D6592&amp;E6592&amp;F6592</f>
        <v/>
      </c>
      <c r="C6592" s="1">
        <v>46038</v>
      </c>
      <c r="L6592" s="432"/>
    </row>
    <row r="6593" spans="1:12">
      <c r="A6593" s="137" t="str">
        <f>D6593&amp;E6593&amp;F6593</f>
        <v/>
      </c>
      <c r="C6593" s="1">
        <v>46038</v>
      </c>
      <c r="L6593" s="432"/>
    </row>
    <row r="6594" spans="1:12">
      <c r="A6594" s="137" t="str">
        <f>D6594&amp;E6594&amp;F6594</f>
        <v/>
      </c>
      <c r="C6594" s="1">
        <v>46038</v>
      </c>
      <c r="L6594" s="432"/>
    </row>
    <row r="6595" spans="1:12">
      <c r="A6595" s="137" t="str">
        <f>D6595&amp;E6595&amp;F6595</f>
        <v/>
      </c>
      <c r="C6595" s="1">
        <v>46038</v>
      </c>
      <c r="L6595" s="432"/>
    </row>
    <row r="6596" spans="1:12">
      <c r="A6596" s="137" t="str">
        <f>D6596&amp;E6596&amp;F6596</f>
        <v/>
      </c>
      <c r="C6596" s="1">
        <v>46038</v>
      </c>
      <c r="L6596" s="432"/>
    </row>
    <row r="6597" spans="1:12">
      <c r="A6597" s="137" t="str">
        <f>D6597&amp;E6597&amp;F6597</f>
        <v/>
      </c>
      <c r="C6597" s="1">
        <v>46038</v>
      </c>
      <c r="L6597" s="432"/>
    </row>
    <row r="6598" spans="1:12">
      <c r="A6598" s="137" t="str">
        <f>D6598&amp;E6598&amp;F6598</f>
        <v/>
      </c>
      <c r="C6598" s="1">
        <v>46038</v>
      </c>
      <c r="L6598" s="432"/>
    </row>
    <row r="6599" spans="1:12">
      <c r="A6599" s="137" t="str">
        <f>D6599&amp;E6599&amp;F6599</f>
        <v/>
      </c>
      <c r="C6599" s="1">
        <v>46038</v>
      </c>
      <c r="L6599" s="432"/>
    </row>
    <row r="6600" spans="1:12">
      <c r="A6600" s="137" t="str">
        <f>D6600&amp;E6600&amp;F6600</f>
        <v/>
      </c>
      <c r="C6600" s="1">
        <v>46038</v>
      </c>
      <c r="L6600" s="432"/>
    </row>
    <row r="6601" spans="1:12">
      <c r="A6601" s="137" t="str">
        <f>D6601&amp;E6601&amp;F6601</f>
        <v/>
      </c>
      <c r="C6601" s="1">
        <v>46038</v>
      </c>
      <c r="L6601" s="432"/>
    </row>
    <row r="6602" spans="1:12">
      <c r="A6602" s="137" t="str">
        <f>D6602&amp;E6602&amp;F6602</f>
        <v/>
      </c>
      <c r="C6602" s="1">
        <v>46038</v>
      </c>
      <c r="L6602" s="432"/>
    </row>
    <row r="6603" spans="1:12">
      <c r="A6603" s="137" t="str">
        <f>D6603&amp;E6603&amp;F6603</f>
        <v/>
      </c>
      <c r="C6603" s="1">
        <v>46038</v>
      </c>
      <c r="L6603" s="432"/>
    </row>
    <row r="6604" spans="1:12">
      <c r="A6604" s="137" t="str">
        <f>D6604&amp;E6604&amp;F6604</f>
        <v/>
      </c>
      <c r="C6604" s="1">
        <v>46038</v>
      </c>
      <c r="L6604" s="432"/>
    </row>
    <row r="6605" spans="1:12">
      <c r="A6605" s="137" t="str">
        <f>D6605&amp;E6605&amp;F6605</f>
        <v/>
      </c>
      <c r="C6605" s="1">
        <v>46038</v>
      </c>
      <c r="L6605" s="432"/>
    </row>
    <row r="6606" spans="1:12">
      <c r="A6606" s="137" t="str">
        <f>D6606&amp;E6606&amp;F6606</f>
        <v/>
      </c>
      <c r="C6606" s="1">
        <v>46038</v>
      </c>
      <c r="L6606" s="432"/>
    </row>
    <row r="6607" spans="1:12">
      <c r="A6607" s="137" t="str">
        <f>D6607&amp;E6607&amp;F6607</f>
        <v/>
      </c>
      <c r="C6607" s="1">
        <v>46038</v>
      </c>
      <c r="L6607" s="432"/>
    </row>
    <row r="6608" spans="1:12">
      <c r="A6608" s="137" t="str">
        <f>D6608&amp;E6608&amp;F6608</f>
        <v/>
      </c>
      <c r="C6608" s="1">
        <v>46038</v>
      </c>
      <c r="L6608" s="432"/>
    </row>
    <row r="6609" spans="1:12">
      <c r="A6609" s="137" t="str">
        <f>D6609&amp;E6609&amp;F6609</f>
        <v/>
      </c>
      <c r="C6609" s="1">
        <v>46038</v>
      </c>
      <c r="L6609" s="432"/>
    </row>
    <row r="6610" spans="1:12">
      <c r="A6610" s="137" t="str">
        <f>D6610&amp;E6610&amp;F6610</f>
        <v/>
      </c>
      <c r="C6610" s="1">
        <v>46038</v>
      </c>
      <c r="L6610" s="432"/>
    </row>
    <row r="6611" spans="1:12">
      <c r="A6611" s="137" t="str">
        <f>D6611&amp;E6611&amp;F6611</f>
        <v/>
      </c>
      <c r="C6611" s="1">
        <v>46038</v>
      </c>
      <c r="L6611" s="432"/>
    </row>
    <row r="6612" spans="1:12">
      <c r="A6612" s="137" t="str">
        <f>D6612&amp;E6612&amp;F6612</f>
        <v/>
      </c>
      <c r="C6612" s="1">
        <v>46038</v>
      </c>
      <c r="L6612" s="432"/>
    </row>
    <row r="6613" spans="1:12">
      <c r="A6613" s="137" t="str">
        <f>D6613&amp;E6613&amp;F6613</f>
        <v/>
      </c>
      <c r="C6613" s="1">
        <v>46038</v>
      </c>
      <c r="L6613" s="432"/>
    </row>
    <row r="6614" spans="1:12">
      <c r="A6614" s="137" t="str">
        <f>D6614&amp;E6614&amp;F6614</f>
        <v/>
      </c>
      <c r="C6614" s="1">
        <v>46038</v>
      </c>
      <c r="L6614" s="432"/>
    </row>
    <row r="6615" spans="1:12">
      <c r="A6615" s="137" t="str">
        <f>D6615&amp;E6615&amp;F6615</f>
        <v/>
      </c>
      <c r="C6615" s="1">
        <v>46038</v>
      </c>
      <c r="L6615" s="432"/>
    </row>
    <row r="6616" spans="1:12">
      <c r="A6616" s="137" t="str">
        <f>D6616&amp;E6616&amp;F6616</f>
        <v/>
      </c>
      <c r="C6616" s="1">
        <v>46038</v>
      </c>
      <c r="L6616" s="432"/>
    </row>
    <row r="6617" spans="1:12">
      <c r="A6617" s="137" t="str">
        <f>D6617&amp;E6617&amp;F6617</f>
        <v/>
      </c>
      <c r="C6617" s="1">
        <v>46038</v>
      </c>
      <c r="L6617" s="432"/>
    </row>
    <row r="6618" spans="1:12">
      <c r="A6618" s="137" t="str">
        <f>D6618&amp;E6618&amp;F6618</f>
        <v/>
      </c>
      <c r="C6618" s="1">
        <v>46038</v>
      </c>
      <c r="L6618" s="432"/>
    </row>
    <row r="6619" spans="1:12">
      <c r="A6619" s="137" t="str">
        <f>D6619&amp;E6619&amp;F6619</f>
        <v/>
      </c>
      <c r="C6619" s="1">
        <v>46038</v>
      </c>
      <c r="L6619" s="432"/>
    </row>
    <row r="6620" spans="1:12">
      <c r="A6620" s="137" t="str">
        <f>D6620&amp;E6620&amp;F6620</f>
        <v/>
      </c>
      <c r="C6620" s="1">
        <v>46038</v>
      </c>
      <c r="L6620" s="432"/>
    </row>
    <row r="6621" spans="1:12">
      <c r="A6621" s="137" t="str">
        <f>D6621&amp;E6621&amp;F6621</f>
        <v/>
      </c>
      <c r="C6621" s="1">
        <v>46038</v>
      </c>
      <c r="L6621" s="432"/>
    </row>
    <row r="6622" spans="1:12">
      <c r="A6622" s="137" t="str">
        <f>D6622&amp;E6622&amp;F6622</f>
        <v/>
      </c>
      <c r="C6622" s="1">
        <v>46038</v>
      </c>
      <c r="L6622" s="432"/>
    </row>
    <row r="6623" spans="1:12">
      <c r="A6623" s="137" t="str">
        <f>D6623&amp;E6623&amp;F6623</f>
        <v/>
      </c>
      <c r="C6623" s="1">
        <v>46038</v>
      </c>
      <c r="L6623" s="432"/>
    </row>
    <row r="6624" spans="1:12">
      <c r="A6624" s="137" t="str">
        <f>D6624&amp;E6624&amp;F6624</f>
        <v/>
      </c>
      <c r="C6624" s="1">
        <v>46038</v>
      </c>
      <c r="L6624" s="432"/>
    </row>
    <row r="6625" spans="1:12">
      <c r="A6625" s="137" t="str">
        <f>D6625&amp;E6625&amp;F6625</f>
        <v/>
      </c>
      <c r="C6625" s="1">
        <v>46038</v>
      </c>
      <c r="L6625" s="432"/>
    </row>
    <row r="6626" spans="1:12">
      <c r="A6626" s="137" t="str">
        <f>D6626&amp;E6626&amp;F6626</f>
        <v/>
      </c>
      <c r="C6626" s="1">
        <v>46038</v>
      </c>
      <c r="L6626" s="432"/>
    </row>
    <row r="6627" spans="1:12">
      <c r="A6627" s="137" t="str">
        <f>D6627&amp;E6627&amp;F6627</f>
        <v/>
      </c>
      <c r="C6627" s="1">
        <v>46038</v>
      </c>
      <c r="L6627" s="432"/>
    </row>
    <row r="6628" spans="1:12">
      <c r="A6628" s="137" t="str">
        <f>D6628&amp;E6628&amp;F6628</f>
        <v/>
      </c>
      <c r="C6628" s="1">
        <v>46038</v>
      </c>
      <c r="L6628" s="432"/>
    </row>
    <row r="6629" spans="1:12">
      <c r="A6629" s="137" t="str">
        <f>D6629&amp;E6629&amp;F6629</f>
        <v/>
      </c>
      <c r="C6629" s="1">
        <v>46038</v>
      </c>
      <c r="L6629" s="432"/>
    </row>
    <row r="6630" spans="1:12">
      <c r="A6630" s="137" t="str">
        <f>D6630&amp;E6630&amp;F6630</f>
        <v/>
      </c>
      <c r="C6630" s="1">
        <v>46038</v>
      </c>
      <c r="L6630" s="432"/>
    </row>
    <row r="6631" spans="1:12">
      <c r="A6631" s="137" t="str">
        <f>D6631&amp;E6631&amp;F6631</f>
        <v/>
      </c>
      <c r="C6631" s="1">
        <v>46038</v>
      </c>
      <c r="L6631" s="432"/>
    </row>
    <row r="6632" spans="1:12">
      <c r="A6632" s="137" t="str">
        <f>D6632&amp;E6632&amp;F6632</f>
        <v/>
      </c>
      <c r="C6632" s="1">
        <v>46038</v>
      </c>
      <c r="L6632" s="432"/>
    </row>
    <row r="6633" spans="1:12">
      <c r="A6633" s="137" t="str">
        <f>D6633&amp;E6633&amp;F6633</f>
        <v/>
      </c>
      <c r="C6633" s="1">
        <v>46038</v>
      </c>
      <c r="L6633" s="432"/>
    </row>
    <row r="6634" spans="1:12">
      <c r="A6634" s="137" t="str">
        <f>D6634&amp;E6634&amp;F6634</f>
        <v/>
      </c>
      <c r="C6634" s="1">
        <v>46038</v>
      </c>
      <c r="L6634" s="432"/>
    </row>
    <row r="6635" spans="1:12">
      <c r="A6635" s="137" t="str">
        <f>D6635&amp;E6635&amp;F6635</f>
        <v/>
      </c>
      <c r="C6635" s="1">
        <v>46038</v>
      </c>
      <c r="L6635" s="432"/>
    </row>
    <row r="6636" spans="1:12">
      <c r="A6636" s="137" t="str">
        <f>D6636&amp;E6636&amp;F6636</f>
        <v/>
      </c>
      <c r="C6636" s="1">
        <v>46038</v>
      </c>
      <c r="L6636" s="432"/>
    </row>
    <row r="6637" spans="1:12">
      <c r="A6637" s="137" t="str">
        <f>D6637&amp;E6637&amp;F6637</f>
        <v/>
      </c>
      <c r="C6637" s="1">
        <v>46038</v>
      </c>
      <c r="L6637" s="432"/>
    </row>
    <row r="6638" spans="1:12">
      <c r="A6638" s="137" t="str">
        <f>D6638&amp;E6638&amp;F6638</f>
        <v/>
      </c>
      <c r="C6638" s="1">
        <v>46038</v>
      </c>
      <c r="L6638" s="432"/>
    </row>
    <row r="6639" spans="1:12">
      <c r="A6639" s="137" t="str">
        <f>D6639&amp;E6639&amp;F6639</f>
        <v/>
      </c>
      <c r="C6639" s="1">
        <v>46038</v>
      </c>
      <c r="L6639" s="432"/>
    </row>
    <row r="6640" spans="1:12">
      <c r="A6640" s="137" t="str">
        <f>D6640&amp;E6640&amp;F6640</f>
        <v/>
      </c>
      <c r="C6640" s="1">
        <v>46038</v>
      </c>
      <c r="L6640" s="432"/>
    </row>
    <row r="6641" spans="1:12">
      <c r="A6641" s="137" t="str">
        <f>D6641&amp;E6641&amp;F6641</f>
        <v/>
      </c>
      <c r="C6641" s="1">
        <v>46038</v>
      </c>
      <c r="L6641" s="432"/>
    </row>
    <row r="6642" spans="1:12">
      <c r="A6642" s="137" t="str">
        <f>D6642&amp;E6642&amp;F6642</f>
        <v/>
      </c>
      <c r="C6642" s="1">
        <v>46038</v>
      </c>
      <c r="L6642" s="432"/>
    </row>
    <row r="6643" spans="1:12">
      <c r="A6643" s="137" t="str">
        <f>D6643&amp;E6643&amp;F6643</f>
        <v/>
      </c>
      <c r="C6643" s="1">
        <v>46038</v>
      </c>
      <c r="L6643" s="432"/>
    </row>
    <row r="6644" spans="1:12">
      <c r="A6644" s="137" t="str">
        <f>D6644&amp;E6644&amp;F6644</f>
        <v/>
      </c>
      <c r="C6644" s="1">
        <v>46038</v>
      </c>
      <c r="L6644" s="432"/>
    </row>
    <row r="6645" spans="1:12">
      <c r="A6645" s="137" t="str">
        <f>D6645&amp;E6645&amp;F6645</f>
        <v/>
      </c>
      <c r="C6645" s="1">
        <v>46038</v>
      </c>
      <c r="L6645" s="432"/>
    </row>
    <row r="6646" spans="1:12">
      <c r="A6646" s="137" t="str">
        <f>D6646&amp;E6646&amp;F6646</f>
        <v/>
      </c>
      <c r="C6646" s="1">
        <v>46038</v>
      </c>
      <c r="L6646" s="432"/>
    </row>
    <row r="6647" spans="1:12">
      <c r="A6647" s="137" t="str">
        <f>D6647&amp;E6647&amp;F6647</f>
        <v/>
      </c>
      <c r="C6647" s="1">
        <v>46038</v>
      </c>
      <c r="L6647" s="432"/>
    </row>
    <row r="6648" spans="1:12">
      <c r="A6648" s="137" t="str">
        <f>D6648&amp;E6648&amp;F6648</f>
        <v/>
      </c>
      <c r="C6648" s="1">
        <v>46038</v>
      </c>
      <c r="L6648" s="432"/>
    </row>
    <row r="6649" spans="1:12">
      <c r="A6649" s="137" t="str">
        <f>D6649&amp;E6649&amp;F6649</f>
        <v/>
      </c>
      <c r="C6649" s="1">
        <v>46038</v>
      </c>
      <c r="L6649" s="432"/>
    </row>
    <row r="6650" spans="1:12">
      <c r="A6650" s="137" t="str">
        <f>D6650&amp;E6650&amp;F6650</f>
        <v/>
      </c>
      <c r="C6650" s="1">
        <v>46038</v>
      </c>
      <c r="L6650" s="432"/>
    </row>
    <row r="6651" spans="1:12">
      <c r="A6651" s="137" t="str">
        <f>D6651&amp;E6651&amp;F6651</f>
        <v/>
      </c>
      <c r="C6651" s="1">
        <v>46038</v>
      </c>
      <c r="L6651" s="432"/>
    </row>
    <row r="6652" spans="1:12">
      <c r="A6652" s="137" t="str">
        <f>D6652&amp;E6652&amp;F6652</f>
        <v/>
      </c>
      <c r="C6652" s="1">
        <v>46038</v>
      </c>
      <c r="L6652" s="432"/>
    </row>
    <row r="6653" spans="1:12">
      <c r="A6653" s="137" t="str">
        <f>D6653&amp;E6653&amp;F6653</f>
        <v/>
      </c>
      <c r="C6653" s="1">
        <v>46038</v>
      </c>
      <c r="L6653" s="432"/>
    </row>
    <row r="6654" spans="1:12">
      <c r="A6654" s="137" t="str">
        <f>D6654&amp;E6654&amp;F6654</f>
        <v/>
      </c>
      <c r="C6654" s="1">
        <v>46038</v>
      </c>
      <c r="L6654" s="432"/>
    </row>
    <row r="6655" spans="1:12">
      <c r="A6655" s="137" t="str">
        <f>D6655&amp;E6655&amp;F6655</f>
        <v/>
      </c>
      <c r="C6655" s="1">
        <v>46038</v>
      </c>
      <c r="L6655" s="432"/>
    </row>
    <row r="6656" spans="1:12">
      <c r="A6656" s="137" t="str">
        <f>D6656&amp;E6656&amp;F6656</f>
        <v/>
      </c>
      <c r="C6656" s="1">
        <v>46038</v>
      </c>
      <c r="L6656" s="432"/>
    </row>
    <row r="6657" spans="1:12">
      <c r="A6657" s="137" t="str">
        <f>D6657&amp;E6657&amp;F6657</f>
        <v/>
      </c>
      <c r="C6657" s="1">
        <v>46038</v>
      </c>
      <c r="L6657" s="432"/>
    </row>
    <row r="6658" spans="1:12">
      <c r="A6658" s="137" t="str">
        <f>D6658&amp;E6658&amp;F6658</f>
        <v/>
      </c>
      <c r="C6658" s="1">
        <v>46038</v>
      </c>
      <c r="L6658" s="432"/>
    </row>
    <row r="6659" spans="1:12">
      <c r="A6659" s="137" t="str">
        <f>D6659&amp;E6659&amp;F6659</f>
        <v/>
      </c>
      <c r="C6659" s="1">
        <v>46038</v>
      </c>
      <c r="L6659" s="432"/>
    </row>
    <row r="6660" spans="1:12">
      <c r="A6660" s="137" t="str">
        <f>D6660&amp;E6660&amp;F6660</f>
        <v/>
      </c>
      <c r="C6660" s="1">
        <v>46038</v>
      </c>
      <c r="L6660" s="432"/>
    </row>
    <row r="6661" spans="1:12">
      <c r="A6661" s="137" t="str">
        <f>D6661&amp;E6661&amp;F6661</f>
        <v/>
      </c>
      <c r="C6661" s="1">
        <v>46038</v>
      </c>
      <c r="L6661" s="432"/>
    </row>
    <row r="6662" spans="1:12">
      <c r="A6662" s="137" t="str">
        <f>D6662&amp;E6662&amp;F6662</f>
        <v/>
      </c>
      <c r="C6662" s="1">
        <v>46038</v>
      </c>
      <c r="L6662" s="432"/>
    </row>
    <row r="6663" spans="1:12">
      <c r="A6663" s="137" t="str">
        <f>D6663&amp;E6663&amp;F6663</f>
        <v/>
      </c>
      <c r="C6663" s="1">
        <v>46038</v>
      </c>
      <c r="L6663" s="432"/>
    </row>
    <row r="6664" spans="1:12">
      <c r="A6664" s="137" t="str">
        <f>D6664&amp;E6664&amp;F6664</f>
        <v/>
      </c>
      <c r="C6664" s="1">
        <v>46038</v>
      </c>
      <c r="L6664" s="432"/>
    </row>
    <row r="6665" spans="1:12">
      <c r="A6665" s="137" t="str">
        <f>D6665&amp;E6665&amp;F6665</f>
        <v/>
      </c>
      <c r="C6665" s="1">
        <v>46038</v>
      </c>
      <c r="L6665" s="432"/>
    </row>
    <row r="6666" spans="1:12">
      <c r="A6666" s="137" t="str">
        <f>D6666&amp;E6666&amp;F6666</f>
        <v/>
      </c>
      <c r="C6666" s="1">
        <v>46038</v>
      </c>
      <c r="L6666" s="432"/>
    </row>
    <row r="6667" spans="1:12">
      <c r="A6667" s="137" t="str">
        <f>D6667&amp;E6667&amp;F6667</f>
        <v/>
      </c>
      <c r="C6667" s="1">
        <v>46038</v>
      </c>
      <c r="L6667" s="432"/>
    </row>
    <row r="6668" spans="1:12">
      <c r="A6668" s="137" t="str">
        <f>D6668&amp;E6668&amp;F6668</f>
        <v/>
      </c>
      <c r="C6668" s="1">
        <v>46038</v>
      </c>
      <c r="L6668" s="432"/>
    </row>
    <row r="6669" spans="1:12">
      <c r="A6669" s="137" t="str">
        <f>D6669&amp;E6669&amp;F6669</f>
        <v/>
      </c>
      <c r="C6669" s="1">
        <v>46038</v>
      </c>
      <c r="L6669" s="432"/>
    </row>
    <row r="6670" spans="1:12">
      <c r="A6670" s="137" t="str">
        <f>D6670&amp;E6670&amp;F6670</f>
        <v/>
      </c>
      <c r="C6670" s="1">
        <v>46038</v>
      </c>
      <c r="L6670" s="432"/>
    </row>
    <row r="6671" spans="1:12">
      <c r="A6671" s="137" t="str">
        <f>D6671&amp;E6671&amp;F6671</f>
        <v/>
      </c>
      <c r="C6671" s="1">
        <v>46038</v>
      </c>
      <c r="L6671" s="432"/>
    </row>
    <row r="6672" spans="1:12">
      <c r="A6672" s="137" t="str">
        <f>D6672&amp;E6672&amp;F6672</f>
        <v/>
      </c>
      <c r="C6672" s="1">
        <v>46038</v>
      </c>
      <c r="L6672" s="432"/>
    </row>
    <row r="6673" spans="1:12">
      <c r="A6673" s="137" t="str">
        <f>D6673&amp;E6673&amp;F6673</f>
        <v/>
      </c>
      <c r="C6673" s="1">
        <v>46038</v>
      </c>
      <c r="L6673" s="432"/>
    </row>
    <row r="6674" spans="1:12">
      <c r="A6674" s="137" t="str">
        <f>D6674&amp;E6674&amp;F6674</f>
        <v/>
      </c>
      <c r="C6674" s="1">
        <v>46038</v>
      </c>
      <c r="L6674" s="432"/>
    </row>
    <row r="6675" spans="1:12">
      <c r="A6675" s="137" t="str">
        <f>D6675&amp;E6675&amp;F6675</f>
        <v/>
      </c>
      <c r="C6675" s="1">
        <v>46038</v>
      </c>
      <c r="L6675" s="432"/>
    </row>
    <row r="6676" spans="1:12">
      <c r="A6676" s="137" t="str">
        <f>D6676&amp;E6676&amp;F6676</f>
        <v/>
      </c>
      <c r="C6676" s="1">
        <v>46038</v>
      </c>
      <c r="L6676" s="432"/>
    </row>
    <row r="6677" spans="1:12">
      <c r="A6677" s="137" t="str">
        <f>D6677&amp;E6677&amp;F6677</f>
        <v/>
      </c>
      <c r="C6677" s="1">
        <v>46038</v>
      </c>
      <c r="L6677" s="432"/>
    </row>
    <row r="6678" spans="1:12">
      <c r="A6678" s="137" t="str">
        <f>D6678&amp;E6678&amp;F6678</f>
        <v/>
      </c>
      <c r="C6678" s="1">
        <v>46038</v>
      </c>
      <c r="L6678" s="432"/>
    </row>
    <row r="6679" spans="1:12">
      <c r="A6679" s="137" t="str">
        <f>D6679&amp;E6679&amp;F6679</f>
        <v/>
      </c>
      <c r="C6679" s="1">
        <v>46038</v>
      </c>
      <c r="L6679" s="432"/>
    </row>
    <row r="6680" spans="1:12">
      <c r="A6680" s="137" t="str">
        <f>D6680&amp;E6680&amp;F6680</f>
        <v/>
      </c>
      <c r="C6680" s="1">
        <v>46038</v>
      </c>
      <c r="L6680" s="432"/>
    </row>
    <row r="6681" spans="1:12">
      <c r="A6681" s="137" t="str">
        <f>D6681&amp;E6681&amp;F6681</f>
        <v/>
      </c>
      <c r="C6681" s="1">
        <v>46038</v>
      </c>
      <c r="L6681" s="432"/>
    </row>
    <row r="6682" spans="1:12">
      <c r="A6682" s="137" t="str">
        <f>D6682&amp;E6682&amp;F6682</f>
        <v/>
      </c>
      <c r="C6682" s="1">
        <v>46038</v>
      </c>
      <c r="L6682" s="432"/>
    </row>
    <row r="6683" spans="1:12">
      <c r="A6683" s="137" t="str">
        <f>D6683&amp;E6683&amp;F6683</f>
        <v/>
      </c>
      <c r="C6683" s="1">
        <v>46038</v>
      </c>
      <c r="L6683" s="432"/>
    </row>
    <row r="6684" spans="1:12">
      <c r="A6684" s="137" t="str">
        <f>D6684&amp;E6684&amp;F6684</f>
        <v/>
      </c>
      <c r="C6684" s="1">
        <v>46038</v>
      </c>
      <c r="L6684" s="432"/>
    </row>
    <row r="6685" spans="1:12">
      <c r="A6685" s="137" t="str">
        <f>D6685&amp;E6685&amp;F6685</f>
        <v/>
      </c>
      <c r="C6685" s="1">
        <v>46038</v>
      </c>
      <c r="L6685" s="432"/>
    </row>
    <row r="6686" spans="1:12">
      <c r="A6686" s="137" t="str">
        <f>D6686&amp;E6686&amp;F6686</f>
        <v/>
      </c>
      <c r="C6686" s="1">
        <v>46038</v>
      </c>
      <c r="L6686" s="432"/>
    </row>
    <row r="6687" spans="1:12">
      <c r="A6687" s="137" t="str">
        <f>D6687&amp;E6687&amp;F6687</f>
        <v/>
      </c>
      <c r="C6687" s="1">
        <v>46038</v>
      </c>
      <c r="L6687" s="432"/>
    </row>
    <row r="6688" spans="1:12">
      <c r="A6688" s="137" t="str">
        <f>D6688&amp;E6688&amp;F6688</f>
        <v/>
      </c>
      <c r="C6688" s="1">
        <v>46038</v>
      </c>
      <c r="L6688" s="432"/>
    </row>
    <row r="6689" spans="1:12">
      <c r="A6689" s="137" t="str">
        <f>D6689&amp;E6689&amp;F6689</f>
        <v/>
      </c>
      <c r="C6689" s="1">
        <v>46038</v>
      </c>
      <c r="L6689" s="432"/>
    </row>
    <row r="6690" spans="1:12">
      <c r="A6690" s="137" t="str">
        <f>D6690&amp;E6690&amp;F6690</f>
        <v/>
      </c>
      <c r="C6690" s="1">
        <v>46038</v>
      </c>
      <c r="L6690" s="432"/>
    </row>
    <row r="6691" spans="1:12">
      <c r="A6691" s="137" t="str">
        <f>D6691&amp;E6691&amp;F6691</f>
        <v/>
      </c>
      <c r="C6691" s="1">
        <v>46038</v>
      </c>
      <c r="L6691" s="432"/>
    </row>
    <row r="6692" spans="1:12">
      <c r="A6692" s="137" t="str">
        <f>D6692&amp;E6692&amp;F6692</f>
        <v/>
      </c>
      <c r="C6692" s="1">
        <v>46038</v>
      </c>
      <c r="L6692" s="432"/>
    </row>
    <row r="6693" spans="1:12">
      <c r="A6693" s="137" t="str">
        <f>D6693&amp;E6693&amp;F6693</f>
        <v/>
      </c>
      <c r="C6693" s="1">
        <v>46038</v>
      </c>
      <c r="L6693" s="432"/>
    </row>
    <row r="6694" spans="1:12">
      <c r="A6694" s="137" t="str">
        <f>D6694&amp;E6694&amp;F6694</f>
        <v/>
      </c>
      <c r="C6694" s="1">
        <v>46038</v>
      </c>
      <c r="L6694" s="432"/>
    </row>
    <row r="6695" spans="1:12">
      <c r="A6695" s="137" t="str">
        <f>D6695&amp;E6695&amp;F6695</f>
        <v/>
      </c>
      <c r="C6695" s="1">
        <v>46038</v>
      </c>
      <c r="L6695" s="432"/>
    </row>
    <row r="6696" spans="1:12">
      <c r="A6696" s="137" t="str">
        <f>D6696&amp;E6696&amp;F6696</f>
        <v/>
      </c>
      <c r="C6696" s="1">
        <v>46038</v>
      </c>
      <c r="L6696" s="432"/>
    </row>
    <row r="6697" spans="1:12">
      <c r="A6697" s="137" t="str">
        <f>D6697&amp;E6697&amp;F6697</f>
        <v/>
      </c>
      <c r="C6697" s="1">
        <v>46038</v>
      </c>
      <c r="L6697" s="432"/>
    </row>
    <row r="6698" spans="1:12">
      <c r="A6698" s="137" t="str">
        <f>D6698&amp;E6698&amp;F6698</f>
        <v/>
      </c>
      <c r="C6698" s="1">
        <v>46038</v>
      </c>
      <c r="L6698" s="432"/>
    </row>
    <row r="6699" spans="1:12">
      <c r="A6699" s="137" t="str">
        <f>D6699&amp;E6699&amp;F6699</f>
        <v/>
      </c>
      <c r="C6699" s="1">
        <v>46038</v>
      </c>
      <c r="L6699" s="432"/>
    </row>
    <row r="6700" spans="1:12">
      <c r="A6700" s="137" t="str">
        <f>D6700&amp;E6700&amp;F6700</f>
        <v/>
      </c>
      <c r="C6700" s="1">
        <v>46038</v>
      </c>
      <c r="L6700" s="432"/>
    </row>
    <row r="6701" spans="1:12">
      <c r="A6701" s="137" t="str">
        <f>D6701&amp;E6701&amp;F6701</f>
        <v/>
      </c>
      <c r="C6701" s="1">
        <v>46038</v>
      </c>
      <c r="L6701" s="432"/>
    </row>
    <row r="6702" spans="1:12">
      <c r="A6702" s="137" t="str">
        <f>D6702&amp;E6702&amp;F6702</f>
        <v/>
      </c>
      <c r="C6702" s="1">
        <v>46038</v>
      </c>
      <c r="L6702" s="432"/>
    </row>
    <row r="6703" spans="1:12">
      <c r="A6703" s="137" t="str">
        <f>D6703&amp;E6703&amp;F6703</f>
        <v/>
      </c>
      <c r="C6703" s="1">
        <v>46038</v>
      </c>
      <c r="L6703" s="432"/>
    </row>
    <row r="6704" spans="1:12">
      <c r="A6704" s="137" t="str">
        <f>D6704&amp;E6704&amp;F6704</f>
        <v/>
      </c>
      <c r="C6704" s="1">
        <v>46038</v>
      </c>
      <c r="L6704" s="432"/>
    </row>
    <row r="6705" spans="1:12">
      <c r="A6705" s="137" t="str">
        <f>D6705&amp;E6705&amp;F6705</f>
        <v/>
      </c>
      <c r="C6705" s="1">
        <v>46038</v>
      </c>
      <c r="L6705" s="432"/>
    </row>
    <row r="6706" spans="1:12">
      <c r="A6706" s="137" t="str">
        <f>D6706&amp;E6706&amp;F6706</f>
        <v/>
      </c>
      <c r="C6706" s="1">
        <v>46038</v>
      </c>
      <c r="L6706" s="432"/>
    </row>
    <row r="6707" spans="1:12">
      <c r="A6707" s="137" t="str">
        <f>D6707&amp;E6707&amp;F6707</f>
        <v/>
      </c>
      <c r="C6707" s="1">
        <v>46038</v>
      </c>
      <c r="L6707" s="432"/>
    </row>
    <row r="6708" spans="1:12">
      <c r="A6708" s="137" t="str">
        <f>D6708&amp;E6708&amp;F6708</f>
        <v/>
      </c>
      <c r="C6708" s="1">
        <v>46038</v>
      </c>
      <c r="L6708" s="432"/>
    </row>
    <row r="6709" spans="1:12">
      <c r="A6709" s="137" t="str">
        <f>D6709&amp;E6709&amp;F6709</f>
        <v/>
      </c>
      <c r="C6709" s="1">
        <v>46038</v>
      </c>
      <c r="L6709" s="432"/>
    </row>
    <row r="6710" spans="1:12">
      <c r="A6710" s="137" t="str">
        <f>D6710&amp;E6710&amp;F6710</f>
        <v/>
      </c>
      <c r="C6710" s="1">
        <v>46038</v>
      </c>
      <c r="L6710" s="432"/>
    </row>
    <row r="6711" spans="1:12">
      <c r="A6711" s="137" t="str">
        <f>D6711&amp;E6711&amp;F6711</f>
        <v/>
      </c>
      <c r="C6711" s="1">
        <v>46038</v>
      </c>
      <c r="L6711" s="432"/>
    </row>
    <row r="6712" spans="1:12">
      <c r="A6712" s="137" t="str">
        <f>D6712&amp;E6712&amp;F6712</f>
        <v/>
      </c>
      <c r="C6712" s="1">
        <v>46038</v>
      </c>
      <c r="L6712" s="432"/>
    </row>
    <row r="6713" spans="1:12">
      <c r="A6713" s="137" t="str">
        <f>D6713&amp;E6713&amp;F6713</f>
        <v/>
      </c>
      <c r="C6713" s="1">
        <v>46038</v>
      </c>
      <c r="L6713" s="432"/>
    </row>
    <row r="6714" spans="1:12">
      <c r="A6714" s="137" t="str">
        <f>D6714&amp;E6714&amp;F6714</f>
        <v/>
      </c>
      <c r="C6714" s="1">
        <v>46038</v>
      </c>
      <c r="L6714" s="432"/>
    </row>
    <row r="6715" spans="1:12">
      <c r="A6715" s="137" t="str">
        <f>D6715&amp;E6715&amp;F6715</f>
        <v/>
      </c>
      <c r="C6715" s="1">
        <v>46038</v>
      </c>
      <c r="L6715" s="432"/>
    </row>
    <row r="6716" spans="1:12">
      <c r="A6716" s="137" t="str">
        <f>D6716&amp;E6716&amp;F6716</f>
        <v/>
      </c>
      <c r="C6716" s="1">
        <v>46038</v>
      </c>
      <c r="L6716" s="432"/>
    </row>
    <row r="6717" spans="1:12">
      <c r="A6717" s="137" t="str">
        <f>D6717&amp;E6717&amp;F6717</f>
        <v/>
      </c>
      <c r="C6717" s="1">
        <v>46038</v>
      </c>
      <c r="L6717" s="432"/>
    </row>
    <row r="6718" spans="1:12">
      <c r="A6718" s="137" t="str">
        <f>D6718&amp;E6718&amp;F6718</f>
        <v/>
      </c>
      <c r="C6718" s="1">
        <v>46038</v>
      </c>
      <c r="L6718" s="432"/>
    </row>
    <row r="6719" spans="1:12">
      <c r="A6719" s="137" t="str">
        <f>D6719&amp;E6719&amp;F6719</f>
        <v/>
      </c>
      <c r="C6719" s="1">
        <v>46038</v>
      </c>
      <c r="L6719" s="432"/>
    </row>
    <row r="6720" spans="1:12">
      <c r="A6720" s="137" t="str">
        <f>D6720&amp;E6720&amp;F6720</f>
        <v/>
      </c>
      <c r="C6720" s="1">
        <v>46038</v>
      </c>
      <c r="L6720" s="432"/>
    </row>
    <row r="6721" spans="1:12">
      <c r="A6721" s="137" t="str">
        <f>D6721&amp;E6721&amp;F6721</f>
        <v/>
      </c>
      <c r="C6721" s="1">
        <v>46038</v>
      </c>
      <c r="L6721" s="432"/>
    </row>
    <row r="6722" spans="1:12">
      <c r="A6722" s="137" t="str">
        <f>D6722&amp;E6722&amp;F6722</f>
        <v/>
      </c>
      <c r="C6722" s="1">
        <v>46038</v>
      </c>
      <c r="L6722" s="432"/>
    </row>
    <row r="6723" spans="1:12">
      <c r="A6723" s="137" t="str">
        <f>D6723&amp;E6723&amp;F6723</f>
        <v/>
      </c>
      <c r="C6723" s="1">
        <v>46038</v>
      </c>
      <c r="L6723" s="432"/>
    </row>
    <row r="6724" spans="1:12">
      <c r="A6724" s="137" t="str">
        <f>D6724&amp;E6724&amp;F6724</f>
        <v/>
      </c>
      <c r="C6724" s="1">
        <v>46038</v>
      </c>
      <c r="L6724" s="432"/>
    </row>
    <row r="6725" spans="1:12">
      <c r="A6725" s="137" t="str">
        <f>D6725&amp;E6725&amp;F6725</f>
        <v/>
      </c>
      <c r="C6725" s="1">
        <v>46038</v>
      </c>
      <c r="L6725" s="432"/>
    </row>
    <row r="6726" spans="1:12">
      <c r="A6726" s="137" t="str">
        <f>D6726&amp;E6726&amp;F6726</f>
        <v/>
      </c>
      <c r="C6726" s="1">
        <v>46038</v>
      </c>
      <c r="L6726" s="432"/>
    </row>
    <row r="6727" spans="1:12">
      <c r="A6727" s="137" t="str">
        <f>D6727&amp;E6727&amp;F6727</f>
        <v/>
      </c>
      <c r="C6727" s="1">
        <v>46038</v>
      </c>
      <c r="L6727" s="432"/>
    </row>
    <row r="6728" spans="1:12">
      <c r="A6728" s="137" t="str">
        <f>D6728&amp;E6728&amp;F6728</f>
        <v/>
      </c>
      <c r="C6728" s="1">
        <v>46038</v>
      </c>
      <c r="L6728" s="432"/>
    </row>
    <row r="6729" spans="1:12">
      <c r="A6729" s="137" t="str">
        <f>D6729&amp;E6729&amp;F6729</f>
        <v/>
      </c>
      <c r="C6729" s="1">
        <v>46038</v>
      </c>
      <c r="L6729" s="432"/>
    </row>
    <row r="6730" spans="1:12">
      <c r="A6730" s="137" t="str">
        <f>D6730&amp;E6730&amp;F6730</f>
        <v/>
      </c>
      <c r="C6730" s="1">
        <v>46038</v>
      </c>
      <c r="L6730" s="432"/>
    </row>
    <row r="6731" spans="1:12">
      <c r="A6731" s="137" t="str">
        <f>D6731&amp;E6731&amp;F6731</f>
        <v/>
      </c>
      <c r="C6731" s="1">
        <v>46038</v>
      </c>
      <c r="L6731" s="432"/>
    </row>
    <row r="6732" spans="1:12">
      <c r="A6732" s="137" t="str">
        <f>D6732&amp;E6732&amp;F6732</f>
        <v/>
      </c>
      <c r="C6732" s="1">
        <v>46038</v>
      </c>
      <c r="L6732" s="432"/>
    </row>
    <row r="6733" spans="1:12">
      <c r="A6733" s="137" t="str">
        <f>D6733&amp;E6733&amp;F6733</f>
        <v/>
      </c>
      <c r="C6733" s="1">
        <v>46038</v>
      </c>
      <c r="L6733" s="432"/>
    </row>
    <row r="6734" spans="1:12">
      <c r="A6734" s="137" t="str">
        <f>D6734&amp;E6734&amp;F6734</f>
        <v/>
      </c>
      <c r="C6734" s="1">
        <v>46038</v>
      </c>
      <c r="L6734" s="432"/>
    </row>
    <row r="6735" spans="1:12">
      <c r="A6735" s="137" t="str">
        <f>D6735&amp;E6735&amp;F6735</f>
        <v/>
      </c>
      <c r="C6735" s="1">
        <v>46038</v>
      </c>
      <c r="L6735" s="432"/>
    </row>
    <row r="6736" spans="1:12">
      <c r="A6736" s="137" t="str">
        <f>D6736&amp;E6736&amp;F6736</f>
        <v/>
      </c>
      <c r="C6736" s="1">
        <v>46038</v>
      </c>
      <c r="L6736" s="432"/>
    </row>
    <row r="6737" spans="1:12">
      <c r="A6737" s="137" t="str">
        <f>D6737&amp;E6737&amp;F6737</f>
        <v/>
      </c>
      <c r="C6737" s="1">
        <v>46038</v>
      </c>
      <c r="L6737" s="432"/>
    </row>
    <row r="6738" spans="1:12">
      <c r="A6738" s="137" t="str">
        <f>D6738&amp;E6738&amp;F6738</f>
        <v/>
      </c>
      <c r="C6738" s="1">
        <v>46038</v>
      </c>
      <c r="L6738" s="432"/>
    </row>
    <row r="6739" spans="1:12">
      <c r="A6739" s="137" t="str">
        <f>D6739&amp;E6739&amp;F6739</f>
        <v/>
      </c>
      <c r="C6739" s="1">
        <v>46038</v>
      </c>
      <c r="L6739" s="432"/>
    </row>
    <row r="6740" spans="1:12">
      <c r="A6740" s="137" t="str">
        <f>D6740&amp;E6740&amp;F6740</f>
        <v/>
      </c>
      <c r="C6740" s="1">
        <v>46038</v>
      </c>
      <c r="L6740" s="432"/>
    </row>
    <row r="6741" spans="1:12">
      <c r="A6741" s="137" t="str">
        <f>D6741&amp;E6741&amp;F6741</f>
        <v/>
      </c>
      <c r="C6741" s="1">
        <v>46038</v>
      </c>
      <c r="L6741" s="432"/>
    </row>
    <row r="6742" spans="1:12">
      <c r="A6742" s="137" t="str">
        <f>D6742&amp;E6742&amp;F6742</f>
        <v/>
      </c>
      <c r="C6742" s="1">
        <v>46038</v>
      </c>
      <c r="L6742" s="432"/>
    </row>
    <row r="6743" spans="1:12">
      <c r="A6743" s="137" t="str">
        <f>D6743&amp;E6743&amp;F6743</f>
        <v/>
      </c>
      <c r="C6743" s="1">
        <v>46038</v>
      </c>
      <c r="L6743" s="432"/>
    </row>
    <row r="6744" spans="1:12">
      <c r="A6744" s="137" t="str">
        <f>D6744&amp;E6744&amp;F6744</f>
        <v/>
      </c>
      <c r="C6744" s="1">
        <v>46038</v>
      </c>
      <c r="L6744" s="432"/>
    </row>
    <row r="6745" spans="1:12">
      <c r="A6745" s="137" t="str">
        <f>D6745&amp;E6745&amp;F6745</f>
        <v/>
      </c>
      <c r="C6745" s="1">
        <v>46038</v>
      </c>
      <c r="L6745" s="432"/>
    </row>
    <row r="6746" spans="1:12">
      <c r="A6746" s="137" t="str">
        <f>D6746&amp;E6746&amp;F6746</f>
        <v/>
      </c>
      <c r="C6746" s="1">
        <v>46038</v>
      </c>
      <c r="L6746" s="432"/>
    </row>
    <row r="6747" spans="1:12">
      <c r="A6747" s="137" t="str">
        <f>D6747&amp;E6747&amp;F6747</f>
        <v/>
      </c>
      <c r="C6747" s="1">
        <v>46038</v>
      </c>
      <c r="L6747" s="432"/>
    </row>
    <row r="6748" spans="1:12">
      <c r="A6748" s="137" t="str">
        <f>D6748&amp;E6748&amp;F6748</f>
        <v/>
      </c>
      <c r="C6748" s="1">
        <v>46038</v>
      </c>
      <c r="L6748" s="432"/>
    </row>
    <row r="6749" spans="1:12">
      <c r="A6749" s="137" t="str">
        <f>D6749&amp;E6749&amp;F6749</f>
        <v/>
      </c>
      <c r="C6749" s="1">
        <v>46038</v>
      </c>
      <c r="L6749" s="432"/>
    </row>
    <row r="6750" spans="1:12">
      <c r="A6750" s="137" t="str">
        <f>D6750&amp;E6750&amp;F6750</f>
        <v/>
      </c>
      <c r="C6750" s="1">
        <v>46038</v>
      </c>
      <c r="L6750" s="432"/>
    </row>
    <row r="6751" spans="1:12">
      <c r="A6751" s="137" t="str">
        <f>D6751&amp;E6751&amp;F6751</f>
        <v/>
      </c>
      <c r="C6751" s="1">
        <v>46038</v>
      </c>
      <c r="L6751" s="432"/>
    </row>
    <row r="6752" spans="1:12">
      <c r="A6752" s="137" t="str">
        <f>D6752&amp;E6752&amp;F6752</f>
        <v/>
      </c>
      <c r="C6752" s="1">
        <v>46038</v>
      </c>
      <c r="L6752" s="432"/>
    </row>
    <row r="6753" spans="1:12">
      <c r="A6753" s="137" t="str">
        <f>D6753&amp;E6753&amp;F6753</f>
        <v/>
      </c>
      <c r="C6753" s="1">
        <v>46038</v>
      </c>
      <c r="L6753" s="432"/>
    </row>
    <row r="6754" spans="1:12">
      <c r="A6754" s="137" t="str">
        <f>D6754&amp;E6754&amp;F6754</f>
        <v/>
      </c>
      <c r="C6754" s="1">
        <v>46038</v>
      </c>
      <c r="L6754" s="432"/>
    </row>
    <row r="6755" spans="1:12">
      <c r="A6755" s="137" t="str">
        <f>D6755&amp;E6755&amp;F6755</f>
        <v/>
      </c>
      <c r="C6755" s="1">
        <v>46038</v>
      </c>
      <c r="L6755" s="432"/>
    </row>
    <row r="6756" spans="1:12">
      <c r="A6756" s="137" t="str">
        <f>D6756&amp;E6756&amp;F6756</f>
        <v/>
      </c>
      <c r="C6756" s="1">
        <v>46038</v>
      </c>
      <c r="L6756" s="432"/>
    </row>
    <row r="6757" spans="1:12">
      <c r="A6757" s="137" t="str">
        <f>D6757&amp;E6757&amp;F6757</f>
        <v/>
      </c>
      <c r="C6757" s="1">
        <v>46038</v>
      </c>
      <c r="L6757" s="432"/>
    </row>
    <row r="6758" spans="1:12">
      <c r="A6758" s="137" t="str">
        <f>D6758&amp;E6758&amp;F6758</f>
        <v/>
      </c>
      <c r="C6758" s="1">
        <v>46038</v>
      </c>
      <c r="L6758" s="432"/>
    </row>
    <row r="6759" spans="1:12">
      <c r="A6759" s="137" t="str">
        <f>D6759&amp;E6759&amp;F6759</f>
        <v/>
      </c>
      <c r="C6759" s="1">
        <v>46038</v>
      </c>
      <c r="L6759" s="432"/>
    </row>
    <row r="6760" spans="1:12">
      <c r="A6760" s="137" t="str">
        <f>D6760&amp;E6760&amp;F6760</f>
        <v/>
      </c>
      <c r="C6760" s="1">
        <v>46038</v>
      </c>
      <c r="L6760" s="432"/>
    </row>
    <row r="6761" spans="1:12">
      <c r="A6761" s="137" t="str">
        <f>D6761&amp;E6761&amp;F6761</f>
        <v/>
      </c>
      <c r="C6761" s="1">
        <v>46038</v>
      </c>
      <c r="L6761" s="432"/>
    </row>
    <row r="6762" spans="1:12">
      <c r="A6762" s="137" t="str">
        <f>D6762&amp;E6762&amp;F6762</f>
        <v/>
      </c>
      <c r="C6762" s="1">
        <v>46038</v>
      </c>
      <c r="L6762" s="432"/>
    </row>
    <row r="6763" spans="1:12">
      <c r="A6763" s="137" t="str">
        <f>D6763&amp;E6763&amp;F6763</f>
        <v/>
      </c>
      <c r="C6763" s="1">
        <v>46038</v>
      </c>
      <c r="L6763" s="432"/>
    </row>
    <row r="6764" spans="1:12">
      <c r="A6764" s="137" t="str">
        <f>D6764&amp;E6764&amp;F6764</f>
        <v/>
      </c>
      <c r="C6764" s="1">
        <v>46038</v>
      </c>
      <c r="L6764" s="432"/>
    </row>
    <row r="6765" spans="1:12">
      <c r="A6765" s="137" t="str">
        <f>D6765&amp;E6765&amp;F6765</f>
        <v/>
      </c>
      <c r="C6765" s="1">
        <v>46038</v>
      </c>
      <c r="L6765" s="432"/>
    </row>
    <row r="6766" spans="1:12">
      <c r="A6766" s="137" t="str">
        <f>D6766&amp;E6766&amp;F6766</f>
        <v/>
      </c>
      <c r="C6766" s="1">
        <v>46038</v>
      </c>
      <c r="L6766" s="432"/>
    </row>
    <row r="6767" spans="1:12">
      <c r="A6767" s="137" t="str">
        <f>D6767&amp;E6767&amp;F6767</f>
        <v/>
      </c>
      <c r="C6767" s="1">
        <v>46038</v>
      </c>
      <c r="L6767" s="432"/>
    </row>
    <row r="6768" spans="1:12">
      <c r="A6768" s="137" t="str">
        <f>D6768&amp;E6768&amp;F6768</f>
        <v/>
      </c>
      <c r="C6768" s="1">
        <v>46038</v>
      </c>
      <c r="L6768" s="432"/>
    </row>
    <row r="6769" spans="1:12">
      <c r="A6769" s="137" t="str">
        <f>D6769&amp;E6769&amp;F6769</f>
        <v/>
      </c>
      <c r="C6769" s="1">
        <v>46038</v>
      </c>
      <c r="L6769" s="432"/>
    </row>
    <row r="6770" spans="1:12">
      <c r="A6770" s="137" t="str">
        <f>D6770&amp;E6770&amp;F6770</f>
        <v/>
      </c>
      <c r="C6770" s="1">
        <v>46038</v>
      </c>
      <c r="L6770" s="432"/>
    </row>
    <row r="6771" spans="1:12">
      <c r="A6771" s="137" t="str">
        <f>D6771&amp;E6771&amp;F6771</f>
        <v/>
      </c>
      <c r="C6771" s="1">
        <v>46038</v>
      </c>
      <c r="L6771" s="432"/>
    </row>
    <row r="6772" spans="1:12">
      <c r="A6772" s="137" t="str">
        <f>D6772&amp;E6772&amp;F6772</f>
        <v/>
      </c>
      <c r="C6772" s="1">
        <v>46038</v>
      </c>
      <c r="L6772" s="432"/>
    </row>
    <row r="6773" spans="1:12">
      <c r="A6773" s="137" t="str">
        <f>D6773&amp;E6773&amp;F6773</f>
        <v/>
      </c>
      <c r="C6773" s="1">
        <v>46038</v>
      </c>
      <c r="L6773" s="432"/>
    </row>
    <row r="6774" spans="1:12">
      <c r="A6774" s="137" t="str">
        <f>D6774&amp;E6774&amp;F6774</f>
        <v/>
      </c>
      <c r="C6774" s="1">
        <v>46038</v>
      </c>
      <c r="L6774" s="432"/>
    </row>
    <row r="6775" spans="1:12">
      <c r="A6775" s="137" t="str">
        <f>D6775&amp;E6775&amp;F6775</f>
        <v/>
      </c>
      <c r="C6775" s="1">
        <v>46038</v>
      </c>
      <c r="L6775" s="432"/>
    </row>
    <row r="6776" spans="1:12">
      <c r="A6776" s="137" t="str">
        <f>D6776&amp;E6776&amp;F6776</f>
        <v/>
      </c>
      <c r="C6776" s="1">
        <v>46038</v>
      </c>
      <c r="L6776" s="432"/>
    </row>
    <row r="6777" spans="1:12">
      <c r="A6777" s="137" t="str">
        <f>D6777&amp;E6777&amp;F6777</f>
        <v/>
      </c>
      <c r="C6777" s="1">
        <v>46038</v>
      </c>
      <c r="L6777" s="432"/>
    </row>
    <row r="6778" spans="1:12">
      <c r="A6778" s="137" t="str">
        <f>D6778&amp;E6778&amp;F6778</f>
        <v/>
      </c>
      <c r="C6778" s="1">
        <v>46038</v>
      </c>
      <c r="L6778" s="432"/>
    </row>
    <row r="6779" spans="1:12">
      <c r="A6779" s="137" t="str">
        <f>D6779&amp;E6779&amp;F6779</f>
        <v/>
      </c>
      <c r="C6779" s="1">
        <v>46038</v>
      </c>
      <c r="L6779" s="432"/>
    </row>
    <row r="6780" spans="1:12">
      <c r="A6780" s="137" t="str">
        <f>D6780&amp;E6780&amp;F6780</f>
        <v/>
      </c>
      <c r="C6780" s="1">
        <v>46038</v>
      </c>
      <c r="L6780" s="432"/>
    </row>
    <row r="6781" spans="1:12">
      <c r="A6781" s="137" t="str">
        <f>D6781&amp;E6781&amp;F6781</f>
        <v/>
      </c>
      <c r="C6781" s="1">
        <v>46038</v>
      </c>
      <c r="L6781" s="432"/>
    </row>
    <row r="6782" spans="1:12">
      <c r="A6782" s="137" t="str">
        <f>D6782&amp;E6782&amp;F6782</f>
        <v/>
      </c>
      <c r="C6782" s="1">
        <v>46038</v>
      </c>
      <c r="L6782" s="432"/>
    </row>
    <row r="6783" spans="1:12">
      <c r="A6783" s="137" t="str">
        <f>D6783&amp;E6783&amp;F6783</f>
        <v/>
      </c>
      <c r="C6783" s="1">
        <v>46038</v>
      </c>
      <c r="L6783" s="432"/>
    </row>
    <row r="6784" spans="1:12">
      <c r="A6784" s="137" t="str">
        <f>D6784&amp;E6784&amp;F6784</f>
        <v/>
      </c>
      <c r="C6784" s="1">
        <v>46038</v>
      </c>
      <c r="L6784" s="432"/>
    </row>
    <row r="6785" spans="1:12">
      <c r="A6785" s="137" t="str">
        <f>D6785&amp;E6785&amp;F6785</f>
        <v/>
      </c>
      <c r="C6785" s="1">
        <v>46038</v>
      </c>
      <c r="L6785" s="432"/>
    </row>
    <row r="6786" spans="1:12">
      <c r="A6786" s="137" t="str">
        <f>D6786&amp;E6786&amp;F6786</f>
        <v/>
      </c>
      <c r="C6786" s="1">
        <v>46038</v>
      </c>
      <c r="L6786" s="432"/>
    </row>
    <row r="6787" spans="1:12">
      <c r="A6787" s="137" t="str">
        <f>D6787&amp;E6787&amp;F6787</f>
        <v/>
      </c>
      <c r="C6787" s="1">
        <v>46038</v>
      </c>
      <c r="L6787" s="432"/>
    </row>
    <row r="6788" spans="1:12">
      <c r="A6788" s="137" t="str">
        <f>D6788&amp;E6788&amp;F6788</f>
        <v/>
      </c>
      <c r="C6788" s="1">
        <v>46038</v>
      </c>
      <c r="L6788" s="432"/>
    </row>
    <row r="6789" spans="1:12">
      <c r="A6789" s="137" t="str">
        <f>D6789&amp;E6789&amp;F6789</f>
        <v/>
      </c>
      <c r="C6789" s="1">
        <v>46038</v>
      </c>
      <c r="L6789" s="432"/>
    </row>
    <row r="6790" spans="1:12">
      <c r="A6790" s="137" t="str">
        <f>D6790&amp;E6790&amp;F6790</f>
        <v/>
      </c>
      <c r="C6790" s="1">
        <v>46038</v>
      </c>
      <c r="L6790" s="432"/>
    </row>
    <row r="6791" spans="1:12">
      <c r="A6791" s="137" t="str">
        <f>D6791&amp;E6791&amp;F6791</f>
        <v/>
      </c>
      <c r="C6791" s="1">
        <v>46038</v>
      </c>
      <c r="L6791" s="432"/>
    </row>
    <row r="6792" spans="1:12">
      <c r="A6792" s="137" t="str">
        <f>D6792&amp;E6792&amp;F6792</f>
        <v/>
      </c>
      <c r="C6792" s="1">
        <v>46038</v>
      </c>
      <c r="L6792" s="432"/>
    </row>
    <row r="6793" spans="1:12">
      <c r="A6793" s="137" t="str">
        <f>D6793&amp;E6793&amp;F6793</f>
        <v/>
      </c>
      <c r="C6793" s="1">
        <v>46038</v>
      </c>
      <c r="L6793" s="432"/>
    </row>
    <row r="6794" spans="1:12">
      <c r="A6794" s="137" t="str">
        <f>D6794&amp;E6794&amp;F6794</f>
        <v/>
      </c>
      <c r="C6794" s="1">
        <v>46038</v>
      </c>
      <c r="L6794" s="432"/>
    </row>
    <row r="6795" spans="1:12">
      <c r="A6795" s="137" t="str">
        <f>D6795&amp;E6795&amp;F6795</f>
        <v/>
      </c>
      <c r="C6795" s="1">
        <v>46038</v>
      </c>
      <c r="L6795" s="432"/>
    </row>
    <row r="6796" spans="1:12">
      <c r="A6796" s="137" t="str">
        <f>D6796&amp;E6796&amp;F6796</f>
        <v/>
      </c>
      <c r="C6796" s="1">
        <v>46038</v>
      </c>
      <c r="L6796" s="432"/>
    </row>
    <row r="6797" spans="1:12">
      <c r="A6797" s="137" t="str">
        <f>D6797&amp;E6797&amp;F6797</f>
        <v/>
      </c>
      <c r="C6797" s="1">
        <v>46038</v>
      </c>
      <c r="L6797" s="432"/>
    </row>
    <row r="6798" spans="1:12">
      <c r="A6798" s="137" t="str">
        <f>D6798&amp;E6798&amp;F6798</f>
        <v/>
      </c>
      <c r="C6798" s="1">
        <v>46038</v>
      </c>
      <c r="L6798" s="432"/>
    </row>
    <row r="6799" spans="1:12">
      <c r="A6799" s="137" t="str">
        <f>D6799&amp;E6799&amp;F6799</f>
        <v/>
      </c>
      <c r="C6799" s="1">
        <v>46038</v>
      </c>
      <c r="L6799" s="432"/>
    </row>
    <row r="6800" spans="1:12">
      <c r="A6800" s="137" t="str">
        <f>D6800&amp;E6800&amp;F6800</f>
        <v/>
      </c>
      <c r="C6800" s="1">
        <v>46038</v>
      </c>
      <c r="L6800" s="432"/>
    </row>
    <row r="6801" spans="1:12">
      <c r="A6801" s="137" t="str">
        <f>D6801&amp;E6801&amp;F6801</f>
        <v/>
      </c>
      <c r="C6801" s="1">
        <v>46038</v>
      </c>
      <c r="L6801" s="432"/>
    </row>
    <row r="6802" spans="1:12">
      <c r="A6802" s="137" t="str">
        <f>D6802&amp;E6802&amp;F6802</f>
        <v/>
      </c>
      <c r="C6802" s="1">
        <v>46038</v>
      </c>
      <c r="L6802" s="432"/>
    </row>
    <row r="6803" spans="1:12">
      <c r="A6803" s="137" t="str">
        <f>D6803&amp;E6803&amp;F6803</f>
        <v/>
      </c>
      <c r="C6803" s="1">
        <v>46038</v>
      </c>
      <c r="L6803" s="432"/>
    </row>
    <row r="6804" spans="1:12">
      <c r="A6804" s="137" t="str">
        <f>D6804&amp;E6804&amp;F6804</f>
        <v/>
      </c>
      <c r="C6804" s="1">
        <v>46038</v>
      </c>
      <c r="L6804" s="432"/>
    </row>
    <row r="6805" spans="1:12">
      <c r="A6805" s="137" t="str">
        <f>D6805&amp;E6805&amp;F6805</f>
        <v/>
      </c>
      <c r="C6805" s="1">
        <v>46038</v>
      </c>
      <c r="L6805" s="432"/>
    </row>
    <row r="6806" spans="1:12">
      <c r="A6806" s="137" t="str">
        <f>D6806&amp;E6806&amp;F6806</f>
        <v/>
      </c>
      <c r="C6806" s="1">
        <v>46038</v>
      </c>
      <c r="L6806" s="432"/>
    </row>
    <row r="6807" spans="1:12">
      <c r="A6807" s="137" t="str">
        <f>D6807&amp;E6807&amp;F6807</f>
        <v/>
      </c>
      <c r="C6807" s="1">
        <v>46038</v>
      </c>
      <c r="L6807" s="432"/>
    </row>
    <row r="6808" spans="1:12">
      <c r="A6808" s="137" t="str">
        <f>D6808&amp;E6808&amp;F6808</f>
        <v/>
      </c>
      <c r="C6808" s="1">
        <v>46038</v>
      </c>
      <c r="L6808" s="432"/>
    </row>
    <row r="6809" spans="1:12">
      <c r="A6809" s="137" t="str">
        <f>D6809&amp;E6809&amp;F6809</f>
        <v/>
      </c>
      <c r="C6809" s="1">
        <v>46038</v>
      </c>
      <c r="L6809" s="432"/>
    </row>
    <row r="6810" spans="1:12">
      <c r="A6810" s="137" t="str">
        <f>D6810&amp;E6810&amp;F6810</f>
        <v/>
      </c>
      <c r="C6810" s="1">
        <v>46038</v>
      </c>
      <c r="L6810" s="432"/>
    </row>
    <row r="6811" spans="1:12">
      <c r="A6811" s="137" t="str">
        <f>D6811&amp;E6811&amp;F6811</f>
        <v/>
      </c>
      <c r="C6811" s="1">
        <v>46038</v>
      </c>
      <c r="L6811" s="432"/>
    </row>
    <row r="6812" spans="1:12">
      <c r="A6812" s="137" t="str">
        <f>D6812&amp;E6812&amp;F6812</f>
        <v/>
      </c>
      <c r="C6812" s="1">
        <v>46038</v>
      </c>
      <c r="L6812" s="432"/>
    </row>
    <row r="6813" spans="1:12">
      <c r="A6813" s="137" t="str">
        <f>D6813&amp;E6813&amp;F6813</f>
        <v/>
      </c>
      <c r="C6813" s="1">
        <v>46038</v>
      </c>
      <c r="L6813" s="432"/>
    </row>
    <row r="6814" spans="1:12">
      <c r="A6814" s="137" t="str">
        <f>D6814&amp;E6814&amp;F6814</f>
        <v/>
      </c>
      <c r="C6814" s="1">
        <v>46038</v>
      </c>
      <c r="L6814" s="432"/>
    </row>
    <row r="6815" spans="1:12">
      <c r="A6815" s="137" t="str">
        <f>D6815&amp;E6815&amp;F6815</f>
        <v/>
      </c>
      <c r="C6815" s="1">
        <v>46038</v>
      </c>
      <c r="L6815" s="432"/>
    </row>
    <row r="6816" spans="1:12">
      <c r="A6816" s="137" t="str">
        <f>D6816&amp;E6816&amp;F6816</f>
        <v/>
      </c>
      <c r="C6816" s="1">
        <v>46038</v>
      </c>
      <c r="L6816" s="432"/>
    </row>
    <row r="6817" spans="1:12">
      <c r="A6817" s="137" t="str">
        <f>D6817&amp;E6817&amp;F6817</f>
        <v/>
      </c>
      <c r="C6817" s="1">
        <v>46038</v>
      </c>
      <c r="L6817" s="432"/>
    </row>
    <row r="6818" spans="1:12">
      <c r="A6818" s="137" t="str">
        <f>D6818&amp;E6818&amp;F6818</f>
        <v/>
      </c>
      <c r="C6818" s="1">
        <v>46038</v>
      </c>
      <c r="L6818" s="432"/>
    </row>
    <row r="6819" spans="1:12">
      <c r="A6819" s="137" t="str">
        <f>D6819&amp;E6819&amp;F6819</f>
        <v/>
      </c>
      <c r="C6819" s="1">
        <v>46038</v>
      </c>
      <c r="L6819" s="432"/>
    </row>
    <row r="6820" spans="1:12">
      <c r="A6820" s="137" t="str">
        <f>D6820&amp;E6820&amp;F6820</f>
        <v/>
      </c>
      <c r="C6820" s="1">
        <v>46038</v>
      </c>
      <c r="L6820" s="432"/>
    </row>
    <row r="6821" spans="1:12">
      <c r="A6821" s="137" t="str">
        <f>D6821&amp;E6821&amp;F6821</f>
        <v/>
      </c>
      <c r="C6821" s="1">
        <v>46038</v>
      </c>
      <c r="L6821" s="432"/>
    </row>
    <row r="6822" spans="1:12">
      <c r="A6822" s="137" t="str">
        <f>D6822&amp;E6822&amp;F6822</f>
        <v/>
      </c>
      <c r="C6822" s="1">
        <v>46038</v>
      </c>
      <c r="L6822" s="432"/>
    </row>
    <row r="6823" spans="1:12">
      <c r="A6823" s="137" t="str">
        <f>D6823&amp;E6823&amp;F6823</f>
        <v/>
      </c>
      <c r="C6823" s="1">
        <v>46038</v>
      </c>
      <c r="F6823" s="70"/>
      <c r="L6823" s="432"/>
    </row>
    <row r="6824" spans="1:12">
      <c r="A6824" s="137" t="str">
        <f>D6824&amp;E6824&amp;F6824</f>
        <v/>
      </c>
      <c r="C6824" s="1">
        <v>46038</v>
      </c>
      <c r="F6824" s="70"/>
      <c r="L6824" s="432"/>
    </row>
    <row r="6825" spans="1:12">
      <c r="A6825" s="137" t="str">
        <f>D6825&amp;E6825&amp;F6825</f>
        <v/>
      </c>
      <c r="C6825" s="1">
        <v>46038</v>
      </c>
      <c r="F6825" s="70"/>
      <c r="L6825" s="432"/>
    </row>
    <row r="6826" spans="1:12">
      <c r="A6826" s="137" t="str">
        <f>D6826&amp;E6826&amp;F6826</f>
        <v/>
      </c>
      <c r="C6826" s="1">
        <v>46038</v>
      </c>
      <c r="F6826" s="70"/>
      <c r="L6826" s="432"/>
    </row>
    <row r="6827" spans="1:12">
      <c r="A6827" s="137" t="str">
        <f>D6827&amp;E6827&amp;F6827</f>
        <v/>
      </c>
      <c r="C6827" s="1">
        <v>46038</v>
      </c>
      <c r="F6827" s="70"/>
      <c r="L6827" s="432"/>
    </row>
    <row r="6828" spans="1:12">
      <c r="A6828" s="137" t="str">
        <f>D6828&amp;E6828&amp;F6828</f>
        <v/>
      </c>
      <c r="C6828" s="1">
        <v>46038</v>
      </c>
      <c r="F6828" s="70"/>
      <c r="L6828" s="432"/>
    </row>
    <row r="6829" spans="1:12">
      <c r="A6829" s="137" t="str">
        <f>D6829&amp;E6829&amp;F6829</f>
        <v/>
      </c>
      <c r="C6829" s="1">
        <v>46038</v>
      </c>
      <c r="F6829" s="70"/>
      <c r="L6829" s="432"/>
    </row>
    <row r="6830" spans="1:12">
      <c r="A6830" s="137" t="str">
        <f>D6830&amp;E6830&amp;F6830</f>
        <v/>
      </c>
      <c r="C6830" s="1">
        <v>46038</v>
      </c>
      <c r="F6830" s="70"/>
      <c r="L6830" s="432"/>
    </row>
    <row r="6831" spans="1:12">
      <c r="A6831" s="137" t="str">
        <f>D6831&amp;E6831&amp;F6831</f>
        <v/>
      </c>
      <c r="C6831" s="1">
        <v>46038</v>
      </c>
      <c r="F6831" s="70"/>
      <c r="L6831" s="432"/>
    </row>
    <row r="6832" spans="1:12">
      <c r="A6832" s="137" t="str">
        <f>D6832&amp;E6832&amp;F6832</f>
        <v/>
      </c>
      <c r="C6832" s="1">
        <v>46038</v>
      </c>
      <c r="F6832" s="70"/>
      <c r="L6832" s="432"/>
    </row>
    <row r="6833" spans="1:12">
      <c r="A6833" s="137" t="str">
        <f>D6833&amp;E6833&amp;F6833</f>
        <v/>
      </c>
      <c r="C6833" s="1">
        <v>46038</v>
      </c>
      <c r="F6833" s="70"/>
      <c r="L6833" s="432"/>
    </row>
    <row r="6834" spans="1:12">
      <c r="A6834" s="137" t="str">
        <f>D6834&amp;E6834&amp;F6834</f>
        <v/>
      </c>
      <c r="C6834" s="1">
        <v>46038</v>
      </c>
      <c r="F6834" s="70"/>
      <c r="L6834" s="432"/>
    </row>
    <row r="6835" spans="1:12">
      <c r="A6835" s="137" t="str">
        <f>D6835&amp;E6835&amp;F6835</f>
        <v/>
      </c>
      <c r="C6835" s="1">
        <v>46038</v>
      </c>
      <c r="F6835" s="70"/>
      <c r="L6835" s="432"/>
    </row>
    <row r="6836" spans="1:12">
      <c r="A6836" s="137" t="str">
        <f>D6836&amp;E6836&amp;F6836</f>
        <v/>
      </c>
      <c r="C6836" s="1">
        <v>46038</v>
      </c>
      <c r="F6836" s="70"/>
      <c r="L6836" s="432"/>
    </row>
    <row r="6837" spans="1:12">
      <c r="A6837" s="137" t="str">
        <f>D6837&amp;E6837&amp;F6837</f>
        <v/>
      </c>
      <c r="C6837" s="1">
        <v>46038</v>
      </c>
      <c r="F6837" s="70"/>
      <c r="L6837" s="432"/>
    </row>
    <row r="6838" spans="1:12">
      <c r="A6838" s="137" t="str">
        <f>D6838&amp;E6838&amp;F6838</f>
        <v/>
      </c>
      <c r="C6838" s="1">
        <v>46038</v>
      </c>
      <c r="F6838" s="70"/>
      <c r="L6838" s="432"/>
    </row>
    <row r="6839" spans="1:12">
      <c r="A6839" s="137" t="str">
        <f>D6839&amp;E6839&amp;F6839</f>
        <v/>
      </c>
      <c r="C6839" s="1">
        <v>46038</v>
      </c>
      <c r="F6839" s="70"/>
      <c r="L6839" s="432"/>
    </row>
    <row r="6840" spans="1:12">
      <c r="A6840" s="137" t="str">
        <f t="shared" ref="A6840:A6903" si="222">D6840&amp;E6840&amp;F6840</f>
        <v/>
      </c>
      <c r="C6840" s="1">
        <v>46038</v>
      </c>
      <c r="F6840" s="70"/>
    </row>
    <row r="6841" spans="1:12">
      <c r="A6841" s="137" t="str">
        <f t="shared" si="222"/>
        <v/>
      </c>
      <c r="C6841" s="1">
        <v>46038</v>
      </c>
      <c r="F6841" s="70"/>
    </row>
    <row r="6842" spans="1:12">
      <c r="A6842" s="137" t="str">
        <f t="shared" si="222"/>
        <v/>
      </c>
      <c r="C6842" s="1">
        <v>46038</v>
      </c>
      <c r="F6842" s="70"/>
    </row>
    <row r="6843" spans="1:12">
      <c r="A6843" s="137" t="str">
        <f t="shared" si="222"/>
        <v/>
      </c>
      <c r="C6843" s="1">
        <v>46038</v>
      </c>
      <c r="F6843" s="70"/>
    </row>
    <row r="6844" spans="1:12">
      <c r="A6844" s="137" t="str">
        <f t="shared" si="222"/>
        <v/>
      </c>
      <c r="C6844" s="1">
        <v>46038</v>
      </c>
      <c r="F6844" s="70"/>
    </row>
    <row r="6845" spans="1:12">
      <c r="A6845" s="137" t="str">
        <f t="shared" si="222"/>
        <v/>
      </c>
      <c r="C6845" s="1">
        <v>46038</v>
      </c>
      <c r="F6845" s="70"/>
    </row>
    <row r="6846" spans="1:12">
      <c r="A6846" s="137" t="str">
        <f t="shared" si="222"/>
        <v/>
      </c>
      <c r="C6846" s="1">
        <v>46038</v>
      </c>
      <c r="F6846" s="70"/>
    </row>
    <row r="6847" spans="1:12">
      <c r="A6847" s="137" t="str">
        <f t="shared" si="222"/>
        <v/>
      </c>
      <c r="C6847" s="1">
        <v>46038</v>
      </c>
      <c r="F6847" s="70"/>
    </row>
    <row r="6848" spans="1:12">
      <c r="A6848" s="137" t="str">
        <f t="shared" si="222"/>
        <v/>
      </c>
      <c r="C6848" s="1">
        <v>46038</v>
      </c>
      <c r="F6848" s="70"/>
    </row>
    <row r="6849" spans="1:6">
      <c r="A6849" s="137" t="str">
        <f t="shared" si="222"/>
        <v/>
      </c>
      <c r="C6849" s="1">
        <v>46038</v>
      </c>
      <c r="F6849" s="70"/>
    </row>
    <row r="6850" spans="1:6">
      <c r="A6850" s="137" t="str">
        <f t="shared" si="222"/>
        <v/>
      </c>
      <c r="C6850" s="1">
        <v>46038</v>
      </c>
      <c r="F6850" s="70"/>
    </row>
    <row r="6851" spans="1:6">
      <c r="A6851" s="137" t="str">
        <f t="shared" si="222"/>
        <v/>
      </c>
      <c r="C6851" s="1">
        <v>46038</v>
      </c>
      <c r="F6851" s="70"/>
    </row>
    <row r="6852" spans="1:6">
      <c r="A6852" s="137" t="str">
        <f t="shared" si="222"/>
        <v/>
      </c>
      <c r="C6852" s="1">
        <v>46038</v>
      </c>
      <c r="F6852" s="70"/>
    </row>
    <row r="6853" spans="1:6">
      <c r="A6853" s="137" t="str">
        <f t="shared" si="222"/>
        <v/>
      </c>
      <c r="C6853" s="1">
        <v>46038</v>
      </c>
      <c r="F6853" s="70"/>
    </row>
    <row r="6854" spans="1:6">
      <c r="A6854" s="137" t="str">
        <f t="shared" si="222"/>
        <v/>
      </c>
      <c r="C6854" s="1">
        <v>46038</v>
      </c>
      <c r="F6854" s="70"/>
    </row>
    <row r="6855" spans="1:6">
      <c r="A6855" s="137" t="str">
        <f t="shared" si="222"/>
        <v/>
      </c>
      <c r="C6855" s="1">
        <v>46038</v>
      </c>
      <c r="F6855" s="70"/>
    </row>
    <row r="6856" spans="1:6">
      <c r="A6856" s="137" t="str">
        <f t="shared" si="222"/>
        <v/>
      </c>
      <c r="C6856" s="1">
        <v>46038</v>
      </c>
      <c r="F6856" s="70"/>
    </row>
    <row r="6857" spans="1:6">
      <c r="A6857" s="137" t="str">
        <f t="shared" si="222"/>
        <v/>
      </c>
      <c r="C6857" s="1">
        <v>46038</v>
      </c>
      <c r="F6857" s="70"/>
    </row>
    <row r="6858" spans="1:6">
      <c r="A6858" s="137" t="str">
        <f t="shared" si="222"/>
        <v/>
      </c>
      <c r="C6858" s="1">
        <v>46038</v>
      </c>
      <c r="F6858" s="70"/>
    </row>
    <row r="6859" spans="1:6">
      <c r="A6859" s="137" t="str">
        <f t="shared" si="222"/>
        <v/>
      </c>
      <c r="C6859" s="1">
        <v>46038</v>
      </c>
      <c r="F6859" s="70"/>
    </row>
    <row r="6860" spans="1:6">
      <c r="A6860" s="137" t="str">
        <f t="shared" si="222"/>
        <v/>
      </c>
      <c r="C6860" s="1">
        <v>46038</v>
      </c>
      <c r="F6860" s="70"/>
    </row>
    <row r="6861" spans="1:6">
      <c r="A6861" s="137" t="str">
        <f t="shared" si="222"/>
        <v/>
      </c>
      <c r="C6861" s="1">
        <v>46038</v>
      </c>
      <c r="F6861" s="70"/>
    </row>
    <row r="6862" spans="1:6">
      <c r="A6862" s="137" t="str">
        <f t="shared" si="222"/>
        <v/>
      </c>
      <c r="C6862" s="1">
        <v>46038</v>
      </c>
      <c r="F6862" s="70"/>
    </row>
    <row r="6863" spans="1:6">
      <c r="A6863" s="137" t="str">
        <f t="shared" si="222"/>
        <v/>
      </c>
      <c r="C6863" s="1">
        <v>46038</v>
      </c>
      <c r="F6863" s="70"/>
    </row>
    <row r="6864" spans="1:6">
      <c r="A6864" s="137" t="str">
        <f t="shared" si="222"/>
        <v/>
      </c>
      <c r="C6864" s="1">
        <v>46038</v>
      </c>
      <c r="F6864" s="70"/>
    </row>
    <row r="6865" spans="1:6">
      <c r="A6865" s="137" t="str">
        <f t="shared" si="222"/>
        <v/>
      </c>
      <c r="C6865" s="1">
        <v>46038</v>
      </c>
      <c r="F6865" s="70"/>
    </row>
    <row r="6866" spans="1:6">
      <c r="A6866" s="137" t="str">
        <f t="shared" si="222"/>
        <v/>
      </c>
      <c r="C6866" s="1">
        <v>46038</v>
      </c>
      <c r="F6866" s="70"/>
    </row>
    <row r="6867" spans="1:6">
      <c r="A6867" s="137" t="str">
        <f t="shared" si="222"/>
        <v/>
      </c>
      <c r="C6867" s="1">
        <v>46038</v>
      </c>
      <c r="F6867" s="70"/>
    </row>
    <row r="6868" spans="1:6">
      <c r="A6868" s="137" t="str">
        <f t="shared" si="222"/>
        <v/>
      </c>
      <c r="C6868" s="1">
        <v>46038</v>
      </c>
      <c r="F6868" s="70"/>
    </row>
    <row r="6869" spans="1:6">
      <c r="A6869" s="137" t="str">
        <f t="shared" si="222"/>
        <v/>
      </c>
      <c r="C6869" s="1">
        <v>46038</v>
      </c>
      <c r="F6869" s="70"/>
    </row>
    <row r="6870" spans="1:6">
      <c r="A6870" s="137" t="str">
        <f t="shared" si="222"/>
        <v/>
      </c>
      <c r="C6870" s="1">
        <v>46038</v>
      </c>
      <c r="F6870" s="70"/>
    </row>
    <row r="6871" spans="1:6">
      <c r="A6871" s="137" t="str">
        <f t="shared" si="222"/>
        <v/>
      </c>
      <c r="C6871" s="1">
        <v>46038</v>
      </c>
      <c r="F6871" s="70"/>
    </row>
    <row r="6872" spans="1:6">
      <c r="A6872" s="137" t="str">
        <f t="shared" si="222"/>
        <v/>
      </c>
      <c r="C6872" s="1">
        <v>46038</v>
      </c>
      <c r="F6872" s="70"/>
    </row>
    <row r="6873" spans="1:6">
      <c r="A6873" s="137" t="str">
        <f t="shared" si="222"/>
        <v/>
      </c>
      <c r="C6873" s="1">
        <v>46038</v>
      </c>
      <c r="F6873" s="70"/>
    </row>
    <row r="6874" spans="1:6">
      <c r="A6874" s="137" t="str">
        <f t="shared" si="222"/>
        <v/>
      </c>
      <c r="C6874" s="1">
        <v>46038</v>
      </c>
      <c r="F6874" s="70"/>
    </row>
    <row r="6875" spans="1:6">
      <c r="A6875" s="137" t="str">
        <f t="shared" si="222"/>
        <v/>
      </c>
      <c r="C6875" s="1">
        <v>46038</v>
      </c>
      <c r="F6875" s="70"/>
    </row>
    <row r="6876" spans="1:6">
      <c r="A6876" s="137" t="str">
        <f t="shared" si="222"/>
        <v/>
      </c>
      <c r="C6876" s="1">
        <v>46038</v>
      </c>
      <c r="F6876" s="70"/>
    </row>
    <row r="6877" spans="1:6">
      <c r="A6877" s="137" t="str">
        <f t="shared" si="222"/>
        <v/>
      </c>
      <c r="C6877" s="1">
        <v>46038</v>
      </c>
      <c r="F6877" s="70"/>
    </row>
    <row r="6878" spans="1:6">
      <c r="A6878" s="137" t="str">
        <f t="shared" si="222"/>
        <v/>
      </c>
      <c r="C6878" s="1">
        <v>46038</v>
      </c>
      <c r="F6878" s="70"/>
    </row>
    <row r="6879" spans="1:6">
      <c r="A6879" s="137" t="str">
        <f t="shared" si="222"/>
        <v/>
      </c>
      <c r="C6879" s="1">
        <v>46038</v>
      </c>
      <c r="F6879" s="70"/>
    </row>
    <row r="6880" spans="1:6">
      <c r="A6880" s="137" t="str">
        <f t="shared" si="222"/>
        <v/>
      </c>
      <c r="C6880" s="1">
        <v>46038</v>
      </c>
      <c r="F6880" s="70"/>
    </row>
    <row r="6881" spans="1:6">
      <c r="A6881" s="137" t="str">
        <f t="shared" si="222"/>
        <v/>
      </c>
      <c r="C6881" s="1">
        <v>46038</v>
      </c>
      <c r="F6881" s="70"/>
    </row>
    <row r="6882" spans="1:6">
      <c r="A6882" s="137" t="str">
        <f t="shared" si="222"/>
        <v/>
      </c>
      <c r="C6882" s="1">
        <v>46038</v>
      </c>
      <c r="F6882" s="70"/>
    </row>
    <row r="6883" spans="1:6">
      <c r="A6883" s="137" t="str">
        <f t="shared" si="222"/>
        <v/>
      </c>
      <c r="C6883" s="1">
        <v>46038</v>
      </c>
      <c r="F6883" s="70"/>
    </row>
    <row r="6884" spans="1:6">
      <c r="A6884" s="137" t="str">
        <f t="shared" si="222"/>
        <v/>
      </c>
      <c r="C6884" s="1">
        <v>46038</v>
      </c>
      <c r="F6884" s="70"/>
    </row>
    <row r="6885" spans="1:6">
      <c r="A6885" s="137" t="str">
        <f t="shared" si="222"/>
        <v/>
      </c>
      <c r="C6885" s="1">
        <v>46038</v>
      </c>
      <c r="F6885" s="70"/>
    </row>
    <row r="6886" spans="1:6">
      <c r="A6886" s="137" t="str">
        <f t="shared" si="222"/>
        <v/>
      </c>
      <c r="C6886" s="1">
        <v>46038</v>
      </c>
      <c r="F6886" s="70"/>
    </row>
    <row r="6887" spans="1:6">
      <c r="A6887" s="137" t="str">
        <f t="shared" si="222"/>
        <v/>
      </c>
      <c r="C6887" s="1">
        <v>46038</v>
      </c>
      <c r="F6887" s="70"/>
    </row>
    <row r="6888" spans="1:6">
      <c r="A6888" s="137" t="str">
        <f t="shared" si="222"/>
        <v/>
      </c>
      <c r="C6888" s="1">
        <v>46038</v>
      </c>
      <c r="F6888" s="70"/>
    </row>
    <row r="6889" spans="1:6">
      <c r="A6889" s="137" t="str">
        <f t="shared" si="222"/>
        <v/>
      </c>
      <c r="C6889" s="1">
        <v>46038</v>
      </c>
      <c r="F6889" s="70"/>
    </row>
    <row r="6890" spans="1:6">
      <c r="A6890" s="137" t="str">
        <f t="shared" si="222"/>
        <v/>
      </c>
      <c r="C6890" s="1">
        <v>46038</v>
      </c>
      <c r="F6890" s="70"/>
    </row>
    <row r="6891" spans="1:6">
      <c r="A6891" s="137" t="str">
        <f t="shared" si="222"/>
        <v/>
      </c>
      <c r="C6891" s="1">
        <v>46038</v>
      </c>
      <c r="F6891" s="70"/>
    </row>
    <row r="6892" spans="1:6">
      <c r="A6892" s="137" t="str">
        <f t="shared" si="222"/>
        <v/>
      </c>
      <c r="C6892" s="1">
        <v>46038</v>
      </c>
      <c r="F6892" s="70"/>
    </row>
    <row r="6893" spans="1:6">
      <c r="A6893" s="137" t="str">
        <f t="shared" si="222"/>
        <v/>
      </c>
      <c r="C6893" s="1">
        <v>46038</v>
      </c>
      <c r="F6893" s="70"/>
    </row>
    <row r="6894" spans="1:6">
      <c r="A6894" s="137" t="str">
        <f t="shared" si="222"/>
        <v/>
      </c>
      <c r="C6894" s="1">
        <v>46038</v>
      </c>
      <c r="F6894" s="70"/>
    </row>
    <row r="6895" spans="1:6">
      <c r="A6895" s="137" t="str">
        <f t="shared" si="222"/>
        <v/>
      </c>
      <c r="C6895" s="1">
        <v>46038</v>
      </c>
      <c r="F6895" s="70"/>
    </row>
    <row r="6896" spans="1:6">
      <c r="A6896" s="137" t="str">
        <f t="shared" si="222"/>
        <v/>
      </c>
      <c r="C6896" s="1">
        <v>46038</v>
      </c>
      <c r="F6896" s="70"/>
    </row>
    <row r="6897" spans="1:6">
      <c r="A6897" s="137" t="str">
        <f t="shared" si="222"/>
        <v/>
      </c>
      <c r="C6897" s="1">
        <v>46038</v>
      </c>
      <c r="F6897" s="70"/>
    </row>
    <row r="6898" spans="1:6">
      <c r="A6898" s="137" t="str">
        <f t="shared" si="222"/>
        <v/>
      </c>
      <c r="C6898" s="1">
        <v>46038</v>
      </c>
      <c r="F6898" s="70"/>
    </row>
    <row r="6899" spans="1:6">
      <c r="A6899" s="137" t="str">
        <f t="shared" si="222"/>
        <v/>
      </c>
      <c r="C6899" s="1">
        <v>46038</v>
      </c>
      <c r="F6899" s="70"/>
    </row>
    <row r="6900" spans="1:6">
      <c r="A6900" s="137" t="str">
        <f t="shared" si="222"/>
        <v/>
      </c>
      <c r="C6900" s="1">
        <v>46038</v>
      </c>
      <c r="F6900" s="70"/>
    </row>
    <row r="6901" spans="1:6">
      <c r="A6901" s="137" t="str">
        <f t="shared" si="222"/>
        <v/>
      </c>
      <c r="C6901" s="1">
        <v>46038</v>
      </c>
      <c r="F6901" s="70"/>
    </row>
    <row r="6902" spans="1:6">
      <c r="A6902" s="137" t="str">
        <f t="shared" si="222"/>
        <v/>
      </c>
      <c r="C6902" s="1">
        <v>46038</v>
      </c>
      <c r="F6902" s="70"/>
    </row>
    <row r="6903" spans="1:6">
      <c r="A6903" s="137" t="str">
        <f t="shared" si="222"/>
        <v/>
      </c>
      <c r="C6903" s="1">
        <v>46038</v>
      </c>
      <c r="F6903" s="70"/>
    </row>
    <row r="6904" spans="1:6">
      <c r="A6904" s="137" t="str">
        <f t="shared" ref="A6904:A6967" si="223">D6904&amp;E6904&amp;F6904</f>
        <v/>
      </c>
      <c r="C6904" s="1">
        <v>46038</v>
      </c>
      <c r="F6904" s="70"/>
    </row>
    <row r="6905" spans="1:6">
      <c r="A6905" s="137" t="str">
        <f t="shared" si="223"/>
        <v/>
      </c>
      <c r="C6905" s="1">
        <v>46038</v>
      </c>
      <c r="F6905" s="70"/>
    </row>
    <row r="6906" spans="1:6">
      <c r="A6906" s="137" t="str">
        <f t="shared" si="223"/>
        <v/>
      </c>
      <c r="C6906" s="1">
        <v>46038</v>
      </c>
      <c r="F6906" s="70"/>
    </row>
    <row r="6907" spans="1:6">
      <c r="A6907" s="137" t="str">
        <f t="shared" si="223"/>
        <v/>
      </c>
      <c r="C6907" s="1">
        <v>46038</v>
      </c>
      <c r="F6907" s="70"/>
    </row>
    <row r="6908" spans="1:6">
      <c r="A6908" s="137" t="str">
        <f t="shared" si="223"/>
        <v/>
      </c>
      <c r="C6908" s="1">
        <v>46038</v>
      </c>
      <c r="F6908" s="70"/>
    </row>
    <row r="6909" spans="1:6">
      <c r="A6909" s="137" t="str">
        <f t="shared" si="223"/>
        <v/>
      </c>
      <c r="C6909" s="1">
        <v>46038</v>
      </c>
      <c r="F6909" s="70"/>
    </row>
    <row r="6910" spans="1:6">
      <c r="A6910" s="137" t="str">
        <f t="shared" si="223"/>
        <v/>
      </c>
      <c r="C6910" s="1">
        <v>46038</v>
      </c>
      <c r="F6910" s="70"/>
    </row>
    <row r="6911" spans="1:6">
      <c r="A6911" s="137" t="str">
        <f t="shared" si="223"/>
        <v/>
      </c>
      <c r="C6911" s="1">
        <v>46038</v>
      </c>
      <c r="F6911" s="70"/>
    </row>
    <row r="6912" spans="1:6">
      <c r="A6912" s="137" t="str">
        <f t="shared" si="223"/>
        <v/>
      </c>
      <c r="C6912" s="1">
        <v>46038</v>
      </c>
      <c r="F6912" s="70"/>
    </row>
    <row r="6913" spans="1:6">
      <c r="A6913" s="137" t="str">
        <f t="shared" si="223"/>
        <v/>
      </c>
      <c r="C6913" s="1">
        <v>46038</v>
      </c>
      <c r="F6913" s="70"/>
    </row>
    <row r="6914" spans="1:6">
      <c r="A6914" s="137" t="str">
        <f t="shared" si="223"/>
        <v/>
      </c>
      <c r="C6914" s="1">
        <v>46038</v>
      </c>
      <c r="F6914" s="70"/>
    </row>
    <row r="6915" spans="1:6">
      <c r="A6915" s="137" t="str">
        <f t="shared" si="223"/>
        <v/>
      </c>
      <c r="C6915" s="1">
        <v>46038</v>
      </c>
      <c r="F6915" s="70"/>
    </row>
    <row r="6916" spans="1:6">
      <c r="A6916" s="137" t="str">
        <f t="shared" si="223"/>
        <v/>
      </c>
      <c r="C6916" s="1">
        <v>46038</v>
      </c>
      <c r="F6916" s="70"/>
    </row>
    <row r="6917" spans="1:6">
      <c r="A6917" s="137" t="str">
        <f t="shared" si="223"/>
        <v/>
      </c>
      <c r="C6917" s="1">
        <v>46038</v>
      </c>
      <c r="F6917" s="70"/>
    </row>
    <row r="6918" spans="1:6">
      <c r="A6918" s="137" t="str">
        <f t="shared" si="223"/>
        <v/>
      </c>
      <c r="C6918" s="1">
        <v>46038</v>
      </c>
      <c r="F6918" s="70"/>
    </row>
    <row r="6919" spans="1:6">
      <c r="A6919" s="137" t="str">
        <f t="shared" si="223"/>
        <v/>
      </c>
      <c r="C6919" s="1">
        <v>46038</v>
      </c>
      <c r="F6919" s="70"/>
    </row>
    <row r="6920" spans="1:6">
      <c r="A6920" s="137" t="str">
        <f t="shared" si="223"/>
        <v/>
      </c>
      <c r="C6920" s="1">
        <v>46038</v>
      </c>
      <c r="F6920" s="70"/>
    </row>
    <row r="6921" spans="1:6">
      <c r="A6921" s="137" t="str">
        <f t="shared" si="223"/>
        <v/>
      </c>
      <c r="C6921" s="1">
        <v>46038</v>
      </c>
      <c r="F6921" s="70"/>
    </row>
    <row r="6922" spans="1:6">
      <c r="A6922" s="137" t="str">
        <f t="shared" si="223"/>
        <v/>
      </c>
      <c r="C6922" s="1">
        <v>46038</v>
      </c>
      <c r="F6922" s="70"/>
    </row>
    <row r="6923" spans="1:6">
      <c r="A6923" s="137" t="str">
        <f t="shared" si="223"/>
        <v/>
      </c>
      <c r="C6923" s="1">
        <v>46038</v>
      </c>
      <c r="F6923" s="70"/>
    </row>
    <row r="6924" spans="1:6">
      <c r="A6924" s="137" t="str">
        <f t="shared" si="223"/>
        <v/>
      </c>
      <c r="C6924" s="1">
        <v>46038</v>
      </c>
      <c r="F6924" s="70"/>
    </row>
    <row r="6925" spans="1:6">
      <c r="A6925" s="137" t="str">
        <f t="shared" si="223"/>
        <v/>
      </c>
      <c r="C6925" s="1">
        <v>46038</v>
      </c>
      <c r="F6925" s="70"/>
    </row>
    <row r="6926" spans="1:6">
      <c r="A6926" s="137" t="str">
        <f t="shared" si="223"/>
        <v/>
      </c>
      <c r="C6926" s="1">
        <v>46038</v>
      </c>
      <c r="F6926" s="70"/>
    </row>
    <row r="6927" spans="1:6">
      <c r="A6927" s="137" t="str">
        <f t="shared" si="223"/>
        <v/>
      </c>
      <c r="C6927" s="1">
        <v>46038</v>
      </c>
      <c r="F6927" s="70"/>
    </row>
    <row r="6928" spans="1:6">
      <c r="A6928" s="137" t="str">
        <f t="shared" si="223"/>
        <v/>
      </c>
      <c r="C6928" s="1">
        <v>46038</v>
      </c>
      <c r="F6928" s="70"/>
    </row>
    <row r="6929" spans="1:6">
      <c r="A6929" s="137" t="str">
        <f t="shared" si="223"/>
        <v/>
      </c>
      <c r="C6929" s="1">
        <v>46038</v>
      </c>
      <c r="F6929" s="70"/>
    </row>
    <row r="6930" spans="1:6">
      <c r="A6930" s="137" t="str">
        <f t="shared" si="223"/>
        <v/>
      </c>
      <c r="C6930" s="1">
        <v>46038</v>
      </c>
      <c r="F6930" s="70"/>
    </row>
    <row r="6931" spans="1:6">
      <c r="A6931" s="137" t="str">
        <f t="shared" si="223"/>
        <v/>
      </c>
      <c r="C6931" s="1">
        <v>46038</v>
      </c>
      <c r="F6931" s="70"/>
    </row>
    <row r="6932" spans="1:6">
      <c r="A6932" s="137" t="str">
        <f t="shared" si="223"/>
        <v/>
      </c>
      <c r="C6932" s="1">
        <v>46038</v>
      </c>
      <c r="F6932" s="70"/>
    </row>
    <row r="6933" spans="1:6">
      <c r="A6933" s="137" t="str">
        <f t="shared" si="223"/>
        <v/>
      </c>
      <c r="C6933" s="1">
        <v>46038</v>
      </c>
      <c r="F6933" s="70"/>
    </row>
    <row r="6934" spans="1:6">
      <c r="A6934" s="137" t="str">
        <f t="shared" si="223"/>
        <v/>
      </c>
      <c r="C6934" s="1">
        <v>46038</v>
      </c>
      <c r="F6934" s="70"/>
    </row>
    <row r="6935" spans="1:6">
      <c r="A6935" s="137" t="str">
        <f t="shared" si="223"/>
        <v/>
      </c>
      <c r="C6935" s="1">
        <v>46038</v>
      </c>
      <c r="F6935" s="70"/>
    </row>
    <row r="6936" spans="1:6">
      <c r="A6936" s="137" t="str">
        <f t="shared" si="223"/>
        <v/>
      </c>
      <c r="C6936" s="1">
        <v>46038</v>
      </c>
      <c r="F6936" s="70"/>
    </row>
    <row r="6937" spans="1:6">
      <c r="A6937" s="137" t="str">
        <f t="shared" si="223"/>
        <v/>
      </c>
      <c r="C6937" s="1">
        <v>46038</v>
      </c>
      <c r="F6937" s="70"/>
    </row>
    <row r="6938" spans="1:6">
      <c r="A6938" s="137" t="str">
        <f t="shared" si="223"/>
        <v/>
      </c>
      <c r="C6938" s="1">
        <v>46038</v>
      </c>
    </row>
    <row r="6939" spans="1:6">
      <c r="A6939" s="137" t="str">
        <f t="shared" si="223"/>
        <v/>
      </c>
      <c r="C6939" s="1">
        <v>46038</v>
      </c>
    </row>
    <row r="6940" spans="1:6">
      <c r="A6940" s="137" t="str">
        <f t="shared" si="223"/>
        <v/>
      </c>
      <c r="C6940" s="1">
        <v>46038</v>
      </c>
    </row>
    <row r="6941" spans="1:6">
      <c r="A6941" s="137" t="str">
        <f t="shared" si="223"/>
        <v/>
      </c>
      <c r="C6941" s="1">
        <v>46038</v>
      </c>
    </row>
    <row r="6942" spans="1:6">
      <c r="A6942" s="137" t="str">
        <f t="shared" si="223"/>
        <v/>
      </c>
      <c r="C6942" s="1">
        <v>46038</v>
      </c>
    </row>
    <row r="6943" spans="1:6">
      <c r="A6943" s="137" t="str">
        <f t="shared" si="223"/>
        <v/>
      </c>
      <c r="C6943" s="1">
        <v>46038</v>
      </c>
    </row>
    <row r="6944" spans="1:6">
      <c r="A6944" s="137" t="str">
        <f t="shared" si="223"/>
        <v/>
      </c>
      <c r="C6944" s="1">
        <v>46038</v>
      </c>
    </row>
    <row r="6945" spans="1:3">
      <c r="A6945" s="137" t="str">
        <f t="shared" si="223"/>
        <v/>
      </c>
      <c r="C6945" s="1">
        <v>46038</v>
      </c>
    </row>
    <row r="6946" spans="1:3">
      <c r="A6946" s="137" t="str">
        <f t="shared" si="223"/>
        <v/>
      </c>
      <c r="C6946" s="1">
        <v>46038</v>
      </c>
    </row>
    <row r="6947" spans="1:3">
      <c r="A6947" s="137" t="str">
        <f t="shared" si="223"/>
        <v/>
      </c>
      <c r="C6947" s="1">
        <v>46038</v>
      </c>
    </row>
    <row r="6948" spans="1:3">
      <c r="A6948" s="137" t="str">
        <f t="shared" si="223"/>
        <v/>
      </c>
      <c r="C6948" s="1">
        <v>46038</v>
      </c>
    </row>
    <row r="6949" spans="1:3">
      <c r="A6949" s="137" t="str">
        <f t="shared" si="223"/>
        <v/>
      </c>
      <c r="C6949" s="1">
        <v>46038</v>
      </c>
    </row>
    <row r="6950" spans="1:3">
      <c r="A6950" s="137" t="str">
        <f t="shared" si="223"/>
        <v/>
      </c>
      <c r="C6950" s="1">
        <v>46038</v>
      </c>
    </row>
    <row r="6951" spans="1:3">
      <c r="A6951" s="137" t="str">
        <f t="shared" si="223"/>
        <v/>
      </c>
      <c r="C6951" s="1">
        <v>46038</v>
      </c>
    </row>
    <row r="6952" spans="1:3">
      <c r="A6952" s="137" t="str">
        <f t="shared" si="223"/>
        <v/>
      </c>
      <c r="C6952" s="1">
        <v>46038</v>
      </c>
    </row>
    <row r="6953" spans="1:3">
      <c r="A6953" s="137" t="str">
        <f t="shared" si="223"/>
        <v/>
      </c>
      <c r="C6953" s="1">
        <v>46038</v>
      </c>
    </row>
    <row r="6954" spans="1:3">
      <c r="A6954" s="137" t="str">
        <f t="shared" si="223"/>
        <v/>
      </c>
      <c r="C6954" s="1">
        <v>46038</v>
      </c>
    </row>
    <row r="6955" spans="1:3">
      <c r="A6955" s="137" t="str">
        <f t="shared" si="223"/>
        <v/>
      </c>
      <c r="C6955" s="1">
        <v>46038</v>
      </c>
    </row>
    <row r="6956" spans="1:3">
      <c r="A6956" s="137" t="str">
        <f t="shared" si="223"/>
        <v/>
      </c>
      <c r="C6956" s="1">
        <v>46038</v>
      </c>
    </row>
    <row r="6957" spans="1:3">
      <c r="A6957" s="137" t="str">
        <f t="shared" si="223"/>
        <v/>
      </c>
      <c r="C6957" s="1">
        <v>46038</v>
      </c>
    </row>
    <row r="6958" spans="1:3">
      <c r="A6958" s="137" t="str">
        <f t="shared" si="223"/>
        <v/>
      </c>
      <c r="C6958" s="1">
        <v>46038</v>
      </c>
    </row>
    <row r="6959" spans="1:3">
      <c r="A6959" s="137" t="str">
        <f t="shared" si="223"/>
        <v/>
      </c>
      <c r="C6959" s="1">
        <v>46038</v>
      </c>
    </row>
    <row r="6960" spans="1:3">
      <c r="A6960" s="137" t="str">
        <f t="shared" si="223"/>
        <v/>
      </c>
      <c r="C6960" s="1">
        <v>46038</v>
      </c>
    </row>
    <row r="6961" spans="1:3">
      <c r="A6961" s="137" t="str">
        <f t="shared" si="223"/>
        <v/>
      </c>
      <c r="C6961" s="1">
        <v>46038</v>
      </c>
    </row>
    <row r="6962" spans="1:3">
      <c r="A6962" s="137" t="str">
        <f t="shared" si="223"/>
        <v/>
      </c>
      <c r="C6962" s="1">
        <v>46038</v>
      </c>
    </row>
    <row r="6963" spans="1:3">
      <c r="A6963" s="137" t="str">
        <f t="shared" si="223"/>
        <v/>
      </c>
      <c r="C6963" s="1">
        <v>46038</v>
      </c>
    </row>
    <row r="6964" spans="1:3">
      <c r="A6964" s="137" t="str">
        <f t="shared" si="223"/>
        <v/>
      </c>
      <c r="C6964" s="1">
        <v>46038</v>
      </c>
    </row>
    <row r="6965" spans="1:3">
      <c r="A6965" s="137" t="str">
        <f t="shared" si="223"/>
        <v/>
      </c>
      <c r="C6965" s="1">
        <v>46038</v>
      </c>
    </row>
    <row r="6966" spans="1:3">
      <c r="A6966" s="137" t="str">
        <f t="shared" si="223"/>
        <v/>
      </c>
      <c r="C6966" s="1">
        <v>46038</v>
      </c>
    </row>
    <row r="6967" spans="1:3">
      <c r="A6967" s="137" t="str">
        <f t="shared" si="223"/>
        <v/>
      </c>
      <c r="C6967" s="1">
        <v>46038</v>
      </c>
    </row>
    <row r="6968" spans="1:3">
      <c r="A6968" s="137" t="str">
        <f t="shared" ref="A6968:A7031" si="224">D6968&amp;E6968&amp;F6968</f>
        <v/>
      </c>
      <c r="C6968" s="1">
        <v>46038</v>
      </c>
    </row>
    <row r="6969" spans="1:3">
      <c r="A6969" s="137" t="str">
        <f t="shared" si="224"/>
        <v/>
      </c>
      <c r="C6969" s="1">
        <v>46038</v>
      </c>
    </row>
    <row r="6970" spans="1:3">
      <c r="A6970" s="137" t="str">
        <f t="shared" si="224"/>
        <v/>
      </c>
      <c r="C6970" s="1">
        <v>46038</v>
      </c>
    </row>
    <row r="6971" spans="1:3">
      <c r="A6971" s="137" t="str">
        <f t="shared" si="224"/>
        <v/>
      </c>
      <c r="C6971" s="1">
        <v>46038</v>
      </c>
    </row>
    <row r="6972" spans="1:3">
      <c r="A6972" s="137" t="str">
        <f t="shared" si="224"/>
        <v/>
      </c>
      <c r="C6972" s="1">
        <v>46038</v>
      </c>
    </row>
    <row r="6973" spans="1:3">
      <c r="A6973" s="137" t="str">
        <f t="shared" si="224"/>
        <v/>
      </c>
      <c r="C6973" s="1">
        <v>46038</v>
      </c>
    </row>
    <row r="6974" spans="1:3">
      <c r="A6974" s="137" t="str">
        <f t="shared" si="224"/>
        <v/>
      </c>
      <c r="C6974" s="1">
        <v>46038</v>
      </c>
    </row>
    <row r="6975" spans="1:3">
      <c r="A6975" s="137" t="str">
        <f t="shared" si="224"/>
        <v/>
      </c>
      <c r="C6975" s="1">
        <v>46038</v>
      </c>
    </row>
    <row r="6976" spans="1:3">
      <c r="A6976" s="137" t="str">
        <f t="shared" si="224"/>
        <v/>
      </c>
      <c r="C6976" s="1">
        <v>46038</v>
      </c>
    </row>
    <row r="6977" spans="1:3">
      <c r="A6977" s="137" t="str">
        <f t="shared" si="224"/>
        <v/>
      </c>
      <c r="C6977" s="1">
        <v>46038</v>
      </c>
    </row>
    <row r="6978" spans="1:3">
      <c r="A6978" s="137" t="str">
        <f t="shared" si="224"/>
        <v/>
      </c>
      <c r="C6978" s="1">
        <v>46038</v>
      </c>
    </row>
    <row r="6979" spans="1:3">
      <c r="A6979" s="137" t="str">
        <f t="shared" si="224"/>
        <v/>
      </c>
      <c r="C6979" s="1">
        <v>46038</v>
      </c>
    </row>
    <row r="6980" spans="1:3">
      <c r="A6980" s="137" t="str">
        <f t="shared" si="224"/>
        <v/>
      </c>
      <c r="C6980" s="1">
        <v>46038</v>
      </c>
    </row>
    <row r="6981" spans="1:3">
      <c r="A6981" s="137" t="str">
        <f t="shared" si="224"/>
        <v/>
      </c>
      <c r="C6981" s="1">
        <v>46038</v>
      </c>
    </row>
    <row r="6982" spans="1:3">
      <c r="A6982" s="137" t="str">
        <f t="shared" si="224"/>
        <v/>
      </c>
      <c r="C6982" s="1">
        <v>46038</v>
      </c>
    </row>
    <row r="6983" spans="1:3">
      <c r="A6983" s="137" t="str">
        <f t="shared" si="224"/>
        <v/>
      </c>
      <c r="C6983" s="1">
        <v>46038</v>
      </c>
    </row>
    <row r="6984" spans="1:3">
      <c r="A6984" s="137" t="str">
        <f t="shared" si="224"/>
        <v/>
      </c>
      <c r="C6984" s="1">
        <v>46038</v>
      </c>
    </row>
    <row r="6985" spans="1:3">
      <c r="A6985" s="137" t="str">
        <f t="shared" si="224"/>
        <v/>
      </c>
      <c r="C6985" s="1">
        <v>46038</v>
      </c>
    </row>
    <row r="6986" spans="1:3">
      <c r="A6986" s="137" t="str">
        <f t="shared" si="224"/>
        <v/>
      </c>
      <c r="C6986" s="1">
        <v>46038</v>
      </c>
    </row>
    <row r="6987" spans="1:3">
      <c r="A6987" s="137" t="str">
        <f t="shared" si="224"/>
        <v/>
      </c>
      <c r="C6987" s="1">
        <v>46038</v>
      </c>
    </row>
    <row r="6988" spans="1:3">
      <c r="A6988" s="137" t="str">
        <f t="shared" si="224"/>
        <v/>
      </c>
      <c r="C6988" s="1">
        <v>46038</v>
      </c>
    </row>
    <row r="6989" spans="1:3">
      <c r="A6989" s="137" t="str">
        <f t="shared" si="224"/>
        <v/>
      </c>
      <c r="C6989" s="1">
        <v>46038</v>
      </c>
    </row>
    <row r="6990" spans="1:3">
      <c r="A6990" s="137" t="str">
        <f t="shared" si="224"/>
        <v/>
      </c>
      <c r="C6990" s="1">
        <v>46038</v>
      </c>
    </row>
    <row r="6991" spans="1:3">
      <c r="A6991" s="137" t="str">
        <f t="shared" si="224"/>
        <v/>
      </c>
      <c r="C6991" s="1">
        <v>46038</v>
      </c>
    </row>
    <row r="6992" spans="1:3">
      <c r="A6992" s="137" t="str">
        <f t="shared" si="224"/>
        <v/>
      </c>
      <c r="C6992" s="1">
        <v>46038</v>
      </c>
    </row>
    <row r="6993" spans="1:3">
      <c r="A6993" s="137" t="str">
        <f t="shared" si="224"/>
        <v/>
      </c>
      <c r="C6993" s="1">
        <v>46038</v>
      </c>
    </row>
    <row r="6994" spans="1:3">
      <c r="A6994" s="137" t="str">
        <f t="shared" si="224"/>
        <v/>
      </c>
      <c r="C6994" s="1">
        <v>46038</v>
      </c>
    </row>
    <row r="6995" spans="1:3">
      <c r="A6995" s="137" t="str">
        <f t="shared" si="224"/>
        <v/>
      </c>
      <c r="C6995" s="1">
        <v>46038</v>
      </c>
    </row>
    <row r="6996" spans="1:3">
      <c r="A6996" s="137" t="str">
        <f t="shared" si="224"/>
        <v/>
      </c>
      <c r="C6996" s="1">
        <v>46038</v>
      </c>
    </row>
    <row r="6997" spans="1:3">
      <c r="A6997" s="137" t="str">
        <f t="shared" si="224"/>
        <v/>
      </c>
      <c r="C6997" s="1">
        <v>46038</v>
      </c>
    </row>
    <row r="6998" spans="1:3">
      <c r="A6998" s="137" t="str">
        <f t="shared" si="224"/>
        <v/>
      </c>
      <c r="C6998" s="1">
        <v>46038</v>
      </c>
    </row>
    <row r="6999" spans="1:3">
      <c r="A6999" s="137" t="str">
        <f t="shared" si="224"/>
        <v/>
      </c>
      <c r="C6999" s="1">
        <v>46038</v>
      </c>
    </row>
    <row r="7000" spans="1:3">
      <c r="A7000" s="137" t="str">
        <f t="shared" si="224"/>
        <v/>
      </c>
      <c r="C7000" s="1">
        <v>46038</v>
      </c>
    </row>
    <row r="7001" spans="1:3">
      <c r="A7001" s="137" t="str">
        <f t="shared" si="224"/>
        <v/>
      </c>
      <c r="C7001" s="1">
        <v>46038</v>
      </c>
    </row>
    <row r="7002" spans="1:3">
      <c r="A7002" s="137" t="str">
        <f t="shared" si="224"/>
        <v/>
      </c>
      <c r="C7002" s="1">
        <v>46038</v>
      </c>
    </row>
    <row r="7003" spans="1:3">
      <c r="A7003" s="137" t="str">
        <f t="shared" si="224"/>
        <v/>
      </c>
      <c r="C7003" s="1">
        <v>46038</v>
      </c>
    </row>
    <row r="7004" spans="1:3">
      <c r="A7004" s="137" t="str">
        <f t="shared" si="224"/>
        <v/>
      </c>
      <c r="C7004" s="1">
        <v>46038</v>
      </c>
    </row>
    <row r="7005" spans="1:3">
      <c r="A7005" s="137" t="str">
        <f t="shared" si="224"/>
        <v/>
      </c>
      <c r="C7005" s="1">
        <v>46038</v>
      </c>
    </row>
    <row r="7006" spans="1:3">
      <c r="A7006" s="137" t="str">
        <f t="shared" si="224"/>
        <v/>
      </c>
      <c r="C7006" s="1">
        <v>46038</v>
      </c>
    </row>
    <row r="7007" spans="1:3">
      <c r="A7007" s="137" t="str">
        <f t="shared" si="224"/>
        <v/>
      </c>
      <c r="C7007" s="1">
        <v>46038</v>
      </c>
    </row>
    <row r="7008" spans="1:3">
      <c r="A7008" s="137" t="str">
        <f t="shared" si="224"/>
        <v/>
      </c>
      <c r="C7008" s="1">
        <v>46038</v>
      </c>
    </row>
    <row r="7009" spans="1:3">
      <c r="A7009" s="137" t="str">
        <f t="shared" si="224"/>
        <v/>
      </c>
      <c r="C7009" s="1">
        <v>46038</v>
      </c>
    </row>
    <row r="7010" spans="1:3">
      <c r="A7010" s="137" t="str">
        <f t="shared" si="224"/>
        <v/>
      </c>
      <c r="C7010" s="1">
        <v>46038</v>
      </c>
    </row>
    <row r="7011" spans="1:3">
      <c r="A7011" s="137" t="str">
        <f t="shared" si="224"/>
        <v/>
      </c>
      <c r="C7011" s="1">
        <v>46038</v>
      </c>
    </row>
    <row r="7012" spans="1:3">
      <c r="A7012" s="137" t="str">
        <f t="shared" si="224"/>
        <v/>
      </c>
      <c r="C7012" s="1">
        <v>46038</v>
      </c>
    </row>
    <row r="7013" spans="1:3">
      <c r="A7013" s="137" t="str">
        <f t="shared" si="224"/>
        <v/>
      </c>
      <c r="C7013" s="1">
        <v>46038</v>
      </c>
    </row>
    <row r="7014" spans="1:3">
      <c r="A7014" s="137" t="str">
        <f t="shared" si="224"/>
        <v/>
      </c>
      <c r="C7014" s="1">
        <v>46038</v>
      </c>
    </row>
    <row r="7015" spans="1:3">
      <c r="A7015" s="137" t="str">
        <f t="shared" si="224"/>
        <v/>
      </c>
      <c r="C7015" s="1">
        <v>46038</v>
      </c>
    </row>
    <row r="7016" spans="1:3">
      <c r="A7016" s="137" t="str">
        <f t="shared" si="224"/>
        <v/>
      </c>
      <c r="C7016" s="1">
        <v>46038</v>
      </c>
    </row>
    <row r="7017" spans="1:3">
      <c r="A7017" s="137" t="str">
        <f t="shared" si="224"/>
        <v/>
      </c>
      <c r="C7017" s="1">
        <v>46038</v>
      </c>
    </row>
    <row r="7018" spans="1:3">
      <c r="A7018" s="137" t="str">
        <f t="shared" si="224"/>
        <v/>
      </c>
      <c r="C7018" s="1">
        <v>46038</v>
      </c>
    </row>
    <row r="7019" spans="1:3">
      <c r="A7019" s="137" t="str">
        <f t="shared" si="224"/>
        <v/>
      </c>
      <c r="C7019" s="1">
        <v>46038</v>
      </c>
    </row>
    <row r="7020" spans="1:3">
      <c r="A7020" s="137" t="str">
        <f t="shared" si="224"/>
        <v/>
      </c>
      <c r="C7020" s="1">
        <v>46038</v>
      </c>
    </row>
    <row r="7021" spans="1:3">
      <c r="A7021" s="137" t="str">
        <f t="shared" si="224"/>
        <v/>
      </c>
      <c r="C7021" s="1">
        <v>46038</v>
      </c>
    </row>
    <row r="7022" spans="1:3">
      <c r="A7022" s="137" t="str">
        <f t="shared" si="224"/>
        <v/>
      </c>
      <c r="C7022" s="1">
        <v>46038</v>
      </c>
    </row>
    <row r="7023" spans="1:3">
      <c r="A7023" s="137" t="str">
        <f t="shared" si="224"/>
        <v/>
      </c>
      <c r="C7023" s="1">
        <v>46038</v>
      </c>
    </row>
    <row r="7024" spans="1:3">
      <c r="A7024" s="137" t="str">
        <f t="shared" si="224"/>
        <v/>
      </c>
      <c r="C7024" s="1">
        <v>46038</v>
      </c>
    </row>
    <row r="7025" spans="1:13">
      <c r="A7025" s="137" t="str">
        <f t="shared" si="224"/>
        <v/>
      </c>
      <c r="C7025" s="1">
        <v>46038</v>
      </c>
    </row>
    <row r="7026" spans="1:13">
      <c r="A7026" s="137" t="str">
        <f t="shared" si="224"/>
        <v/>
      </c>
      <c r="C7026" s="1">
        <v>46038</v>
      </c>
    </row>
    <row r="7027" spans="1:13">
      <c r="A7027" s="137" t="str">
        <f t="shared" si="224"/>
        <v/>
      </c>
      <c r="C7027" s="1">
        <v>46038</v>
      </c>
    </row>
    <row r="7028" spans="1:13">
      <c r="A7028" s="137" t="str">
        <f t="shared" si="224"/>
        <v/>
      </c>
      <c r="C7028" s="1">
        <v>46038</v>
      </c>
    </row>
    <row r="7029" spans="1:13">
      <c r="A7029" s="137" t="str">
        <f t="shared" si="224"/>
        <v/>
      </c>
      <c r="C7029" s="1">
        <v>46038</v>
      </c>
    </row>
    <row r="7030" spans="1:13">
      <c r="A7030" s="137" t="str">
        <f t="shared" si="224"/>
        <v/>
      </c>
      <c r="C7030" s="1">
        <v>46038</v>
      </c>
    </row>
    <row r="7031" spans="1:13">
      <c r="A7031" s="137" t="str">
        <f t="shared" si="224"/>
        <v/>
      </c>
      <c r="C7031" s="1">
        <v>46038</v>
      </c>
    </row>
    <row r="7032" spans="1:13">
      <c r="A7032" s="137" t="str">
        <f>D7032&amp;E7032&amp;F7032</f>
        <v/>
      </c>
      <c r="C7032" s="1">
        <v>46038</v>
      </c>
    </row>
    <row r="7033" spans="1:13">
      <c r="A7033" s="137" t="str">
        <f>D7033&amp;E7033&amp;F7033</f>
        <v/>
      </c>
      <c r="C7033" s="1">
        <v>46038</v>
      </c>
    </row>
    <row r="7034" spans="1:13">
      <c r="A7034" s="137" t="str">
        <f>D7034&amp;E7034&amp;F7034</f>
        <v/>
      </c>
      <c r="C7034" s="1">
        <v>46038</v>
      </c>
    </row>
    <row r="7035" spans="1:13">
      <c r="A7035" s="137" t="str">
        <f>D7035&amp;E7035&amp;F7035</f>
        <v/>
      </c>
      <c r="C7035" s="1">
        <v>46038</v>
      </c>
    </row>
    <row r="7036" spans="1:13">
      <c r="A7036" s="137" t="str">
        <f>D7036&amp;E7036&amp;F7036</f>
        <v/>
      </c>
      <c r="C7036" s="1">
        <v>46038</v>
      </c>
    </row>
    <row r="7037" spans="1:13">
      <c r="A7037" s="137" t="str">
        <f>D7037&amp;E7037&amp;F7037</f>
        <v/>
      </c>
      <c r="C7037" s="1">
        <v>46038</v>
      </c>
      <c r="M7037" s="136">
        <f t="shared" ref="M7037:M7040" si="225">M7036+K7037-L7037</f>
        <v>0</v>
      </c>
    </row>
    <row r="7038" spans="1:13">
      <c r="A7038" s="137" t="str">
        <f>D7038&amp;E7038&amp;F7038</f>
        <v/>
      </c>
      <c r="C7038" s="1">
        <v>46038</v>
      </c>
      <c r="M7038" s="136">
        <f t="shared" si="225"/>
        <v>0</v>
      </c>
    </row>
    <row r="7039" spans="1:13">
      <c r="A7039" s="137" t="str">
        <f>D7039&amp;E7039&amp;F7039</f>
        <v/>
      </c>
      <c r="C7039" s="1">
        <v>46038</v>
      </c>
      <c r="M7039" s="136">
        <f t="shared" si="225"/>
        <v>0</v>
      </c>
    </row>
    <row r="7040" spans="1:13">
      <c r="A7040" s="137" t="str">
        <f>D7040&amp;E7040&amp;F7040</f>
        <v/>
      </c>
      <c r="C7040" s="1">
        <v>46038</v>
      </c>
      <c r="M7040" s="136">
        <f t="shared" si="225"/>
        <v>0</v>
      </c>
    </row>
    <row r="7041" spans="1:3">
      <c r="A7041" s="137" t="str">
        <f>D7041&amp;E7041&amp;F7041</f>
        <v/>
      </c>
      <c r="C7041" s="1">
        <v>46038</v>
      </c>
    </row>
    <row r="7042" spans="1:3">
      <c r="A7042" s="137" t="str">
        <f>D7042&amp;E7042&amp;F7042</f>
        <v/>
      </c>
      <c r="C7042" s="1">
        <v>46038</v>
      </c>
    </row>
    <row r="7043" spans="1:3">
      <c r="A7043" s="137" t="str">
        <f>D7043&amp;E7043&amp;F7043</f>
        <v/>
      </c>
      <c r="C7043" s="1">
        <v>46038</v>
      </c>
    </row>
    <row r="7044" spans="1:3">
      <c r="A7044" s="137" t="str">
        <f>D7044&amp;E7044&amp;F7044</f>
        <v/>
      </c>
      <c r="C7044" s="1">
        <v>46038</v>
      </c>
    </row>
    <row r="7045" spans="1:3">
      <c r="A7045" s="137" t="str">
        <f>D7045&amp;E7045&amp;F7045</f>
        <v/>
      </c>
      <c r="C7045" s="1">
        <v>46038</v>
      </c>
    </row>
    <row r="7046" spans="1:3">
      <c r="A7046" s="137" t="str">
        <f>D7046&amp;E7046&amp;F7046</f>
        <v/>
      </c>
      <c r="C7046" s="1">
        <v>46038</v>
      </c>
    </row>
    <row r="7047" spans="1:3">
      <c r="A7047" s="137" t="str">
        <f>D7047&amp;E7047&amp;F7047</f>
        <v/>
      </c>
      <c r="C7047" s="1">
        <v>46038</v>
      </c>
    </row>
    <row r="7048" spans="1:3">
      <c r="A7048" s="137" t="str">
        <f>D7048&amp;E7048&amp;F7048</f>
        <v/>
      </c>
      <c r="C7048" s="1">
        <v>46038</v>
      </c>
    </row>
    <row r="7049" spans="1:3">
      <c r="A7049" s="137" t="str">
        <f>D7049&amp;E7049&amp;F7049</f>
        <v/>
      </c>
      <c r="C7049" s="1">
        <v>46038</v>
      </c>
    </row>
    <row r="7050" spans="1:3">
      <c r="A7050" s="137" t="str">
        <f>D7050&amp;E7050&amp;F7050</f>
        <v/>
      </c>
      <c r="C7050" s="1">
        <v>46038</v>
      </c>
    </row>
    <row r="7051" spans="1:3">
      <c r="A7051" s="137" t="str">
        <f>D7051&amp;E7051&amp;F7051</f>
        <v/>
      </c>
      <c r="C7051" s="1">
        <v>46038</v>
      </c>
    </row>
    <row r="7052" spans="1:3">
      <c r="A7052" s="137" t="str">
        <f>D7052&amp;E7052&amp;F7052</f>
        <v/>
      </c>
      <c r="C7052" s="1">
        <v>46038</v>
      </c>
    </row>
    <row r="7053" spans="1:3">
      <c r="A7053" s="137" t="str">
        <f>D7053&amp;E7053&amp;F7053</f>
        <v/>
      </c>
      <c r="C7053" s="1">
        <v>46038</v>
      </c>
    </row>
    <row r="7054" spans="1:3">
      <c r="A7054" s="137" t="str">
        <f>D7054&amp;E7054&amp;F7054</f>
        <v/>
      </c>
      <c r="C7054" s="1">
        <v>46038</v>
      </c>
    </row>
    <row r="7055" spans="1:3">
      <c r="A7055" s="137" t="str">
        <f>D7055&amp;E7055&amp;F7055</f>
        <v/>
      </c>
      <c r="C7055" s="1">
        <v>46038</v>
      </c>
    </row>
    <row r="7056" spans="1:3">
      <c r="A7056" s="137" t="str">
        <f>D7056&amp;E7056&amp;F7056</f>
        <v/>
      </c>
      <c r="C7056" s="1">
        <v>46038</v>
      </c>
    </row>
    <row r="7057" spans="1:3">
      <c r="A7057" s="137" t="str">
        <f>D7057&amp;E7057&amp;F7057</f>
        <v/>
      </c>
      <c r="C7057" s="1">
        <v>46038</v>
      </c>
    </row>
    <row r="7058" spans="1:3">
      <c r="A7058" s="137" t="str">
        <f>D7058&amp;E7058&amp;F7058</f>
        <v/>
      </c>
      <c r="C7058" s="1">
        <v>46038</v>
      </c>
    </row>
    <row r="7059" spans="1:3">
      <c r="A7059" s="137" t="str">
        <f>D7059&amp;E7059&amp;F7059</f>
        <v/>
      </c>
      <c r="C7059" s="1">
        <v>46038</v>
      </c>
    </row>
    <row r="7060" spans="1:3">
      <c r="A7060" s="137" t="str">
        <f>D7060&amp;E7060&amp;F7060</f>
        <v/>
      </c>
      <c r="C7060" s="1">
        <v>46038</v>
      </c>
    </row>
    <row r="7061" spans="1:3">
      <c r="A7061" s="137" t="str">
        <f>D7061&amp;E7061&amp;F7061</f>
        <v/>
      </c>
      <c r="C7061" s="1">
        <v>46038</v>
      </c>
    </row>
    <row r="7062" spans="1:3">
      <c r="A7062" s="137" t="str">
        <f>D7062&amp;E7062&amp;F7062</f>
        <v/>
      </c>
      <c r="C7062" s="1">
        <v>46038</v>
      </c>
    </row>
    <row r="7063" spans="1:3">
      <c r="A7063" s="137" t="str">
        <f>D7063&amp;E7063&amp;F7063</f>
        <v/>
      </c>
      <c r="C7063" s="1">
        <v>46038</v>
      </c>
    </row>
    <row r="7064" spans="1:3">
      <c r="A7064" s="137" t="str">
        <f>D7064&amp;E7064&amp;F7064</f>
        <v/>
      </c>
      <c r="C7064" s="1">
        <v>46038</v>
      </c>
    </row>
    <row r="7065" spans="1:3">
      <c r="A7065" s="137" t="str">
        <f>D7065&amp;E7065&amp;F7065</f>
        <v/>
      </c>
      <c r="C7065" s="1">
        <v>46038</v>
      </c>
    </row>
    <row r="7066" spans="1:3">
      <c r="A7066" s="137" t="str">
        <f>D7066&amp;E7066&amp;F7066</f>
        <v/>
      </c>
      <c r="C7066" s="1">
        <v>46038</v>
      </c>
    </row>
    <row r="7067" spans="1:3">
      <c r="A7067" s="137" t="str">
        <f>D7067&amp;E7067&amp;F7067</f>
        <v/>
      </c>
      <c r="C7067" s="1">
        <v>46038</v>
      </c>
    </row>
    <row r="7068" spans="1:3">
      <c r="A7068" s="137" t="str">
        <f>D7068&amp;E7068&amp;F7068</f>
        <v/>
      </c>
      <c r="C7068" s="1">
        <v>46038</v>
      </c>
    </row>
    <row r="7069" spans="1:3">
      <c r="A7069" s="137" t="str">
        <f>D7069&amp;E7069&amp;F7069</f>
        <v/>
      </c>
      <c r="C7069" s="1">
        <v>46038</v>
      </c>
    </row>
    <row r="7070" spans="1:3">
      <c r="A7070" s="137" t="str">
        <f>D7070&amp;E7070&amp;F7070</f>
        <v/>
      </c>
      <c r="C7070" s="1">
        <v>46038</v>
      </c>
    </row>
    <row r="7071" spans="1:3">
      <c r="A7071" s="137" t="str">
        <f>D7071&amp;E7071&amp;F7071</f>
        <v/>
      </c>
      <c r="C7071" s="1">
        <v>46038</v>
      </c>
    </row>
    <row r="7072" spans="1:3">
      <c r="A7072" s="137" t="str">
        <f>D7072&amp;E7072&amp;F7072</f>
        <v/>
      </c>
      <c r="C7072" s="1">
        <v>46038</v>
      </c>
    </row>
    <row r="7073" spans="1:3">
      <c r="A7073" s="137" t="str">
        <f>D7073&amp;E7073&amp;F7073</f>
        <v/>
      </c>
      <c r="C7073" s="1">
        <v>46038</v>
      </c>
    </row>
    <row r="7074" spans="1:3">
      <c r="A7074" s="137" t="str">
        <f>D7074&amp;E7074&amp;F7074</f>
        <v/>
      </c>
      <c r="C7074" s="1">
        <v>46038</v>
      </c>
    </row>
    <row r="7075" spans="1:3">
      <c r="A7075" s="137" t="str">
        <f>D7075&amp;E7075&amp;F7075</f>
        <v/>
      </c>
      <c r="C7075" s="1">
        <v>46038</v>
      </c>
    </row>
    <row r="7076" spans="1:3">
      <c r="A7076" s="137" t="str">
        <f>D7076&amp;E7076&amp;F7076</f>
        <v/>
      </c>
      <c r="C7076" s="1">
        <v>46038</v>
      </c>
    </row>
    <row r="7077" spans="1:3">
      <c r="A7077" s="137" t="str">
        <f>D7077&amp;E7077&amp;F7077</f>
        <v/>
      </c>
      <c r="C7077" s="1">
        <v>46038</v>
      </c>
    </row>
    <row r="7078" spans="1:3">
      <c r="A7078" s="137" t="str">
        <f>D7078&amp;E7078&amp;F7078</f>
        <v/>
      </c>
      <c r="C7078" s="1">
        <v>46038</v>
      </c>
    </row>
    <row r="7079" spans="1:3">
      <c r="A7079" s="137" t="str">
        <f>D7079&amp;E7079&amp;F7079</f>
        <v/>
      </c>
      <c r="C7079" s="1">
        <v>46038</v>
      </c>
    </row>
    <row r="7080" spans="1:3">
      <c r="A7080" s="137" t="str">
        <f>D7080&amp;E7080&amp;F7080</f>
        <v/>
      </c>
      <c r="C7080" s="1">
        <v>46038</v>
      </c>
    </row>
    <row r="7081" spans="1:3">
      <c r="A7081" s="137" t="str">
        <f>D7081&amp;E7081&amp;F7081</f>
        <v/>
      </c>
      <c r="C7081" s="1">
        <v>46038</v>
      </c>
    </row>
    <row r="7082" spans="1:3">
      <c r="A7082" s="137" t="str">
        <f>D7082&amp;E7082&amp;F7082</f>
        <v/>
      </c>
      <c r="C7082" s="1">
        <v>46038</v>
      </c>
    </row>
    <row r="7083" spans="1:3">
      <c r="A7083" s="137" t="str">
        <f>D7083&amp;E7083&amp;F7083</f>
        <v/>
      </c>
      <c r="C7083" s="1">
        <v>46038</v>
      </c>
    </row>
    <row r="7084" spans="1:3">
      <c r="A7084" s="137" t="str">
        <f>D7084&amp;E7084&amp;F7084</f>
        <v/>
      </c>
      <c r="C7084" s="1">
        <v>46038</v>
      </c>
    </row>
    <row r="7085" spans="1:3">
      <c r="A7085" s="137" t="str">
        <f>D7085&amp;E7085&amp;F7085</f>
        <v/>
      </c>
      <c r="C7085" s="1">
        <v>46038</v>
      </c>
    </row>
    <row r="7086" spans="1:3">
      <c r="A7086" s="137" t="str">
        <f>D7086&amp;E7086&amp;F7086</f>
        <v/>
      </c>
      <c r="C7086" s="1">
        <v>46038</v>
      </c>
    </row>
    <row r="7087" spans="1:3">
      <c r="A7087" s="137" t="str">
        <f>D7087&amp;E7087&amp;F7087</f>
        <v/>
      </c>
      <c r="C7087" s="1">
        <v>46038</v>
      </c>
    </row>
    <row r="7088" spans="1:3">
      <c r="A7088" s="137" t="str">
        <f>D7088&amp;E7088&amp;F7088</f>
        <v/>
      </c>
      <c r="C7088" s="1">
        <v>46038</v>
      </c>
    </row>
    <row r="7089" spans="1:3">
      <c r="A7089" s="137" t="str">
        <f>D7089&amp;E7089&amp;F7089</f>
        <v/>
      </c>
      <c r="C7089" s="1">
        <v>46038</v>
      </c>
    </row>
    <row r="7090" spans="1:3">
      <c r="A7090" s="137" t="str">
        <f>D7090&amp;E7090&amp;F7090</f>
        <v/>
      </c>
      <c r="C7090" s="1">
        <v>46038</v>
      </c>
    </row>
    <row r="7091" spans="1:3">
      <c r="A7091" s="137" t="str">
        <f>D7091&amp;E7091&amp;F7091</f>
        <v/>
      </c>
      <c r="C7091" s="1">
        <v>46038</v>
      </c>
    </row>
    <row r="7092" spans="1:3">
      <c r="A7092" s="137" t="str">
        <f>D7092&amp;E7092&amp;F7092</f>
        <v/>
      </c>
      <c r="C7092" s="1">
        <v>46038</v>
      </c>
    </row>
    <row r="7093" spans="1:3">
      <c r="A7093" s="137" t="str">
        <f>D7093&amp;E7093&amp;F7093</f>
        <v/>
      </c>
      <c r="C7093" s="1">
        <v>46038</v>
      </c>
    </row>
    <row r="7094" spans="1:3">
      <c r="A7094" s="137" t="str">
        <f>D7094&amp;E7094&amp;F7094</f>
        <v/>
      </c>
      <c r="C7094" s="1">
        <v>46038</v>
      </c>
    </row>
    <row r="7095" spans="1:3">
      <c r="A7095" s="137" t="str">
        <f>D7095&amp;E7095&amp;F7095</f>
        <v/>
      </c>
      <c r="C7095" s="1">
        <v>46038</v>
      </c>
    </row>
    <row r="7096" spans="1:3">
      <c r="A7096" s="137" t="str">
        <f>D7096&amp;E7096&amp;F7096</f>
        <v/>
      </c>
      <c r="C7096" s="1">
        <v>46038</v>
      </c>
    </row>
    <row r="7097" spans="1:3">
      <c r="A7097" s="137" t="str">
        <f>D7097&amp;E7097&amp;F7097</f>
        <v/>
      </c>
      <c r="C7097" s="1">
        <v>46038</v>
      </c>
    </row>
    <row r="7098" spans="1:3">
      <c r="A7098" s="137" t="str">
        <f>D7098&amp;E7098&amp;F7098</f>
        <v/>
      </c>
      <c r="C7098" s="1">
        <v>46038</v>
      </c>
    </row>
    <row r="7099" spans="1:3">
      <c r="A7099" s="137" t="str">
        <f>D7099&amp;E7099&amp;F7099</f>
        <v/>
      </c>
      <c r="C7099" s="1">
        <v>46038</v>
      </c>
    </row>
    <row r="7100" spans="1:3">
      <c r="A7100" s="137" t="str">
        <f>D7100&amp;E7100&amp;F7100</f>
        <v/>
      </c>
      <c r="C7100" s="1">
        <v>46038</v>
      </c>
    </row>
    <row r="7101" spans="1:3">
      <c r="A7101" s="137" t="str">
        <f>D7101&amp;E7101&amp;F7101</f>
        <v/>
      </c>
      <c r="C7101" s="1">
        <v>46038</v>
      </c>
    </row>
    <row r="7102" spans="1:3">
      <c r="A7102" s="137" t="str">
        <f>D7102&amp;E7102&amp;F7102</f>
        <v/>
      </c>
      <c r="C7102" s="1">
        <v>46038</v>
      </c>
    </row>
    <row r="7103" spans="1:3">
      <c r="A7103" s="137" t="str">
        <f>D7103&amp;E7103&amp;F7103</f>
        <v/>
      </c>
      <c r="C7103" s="1">
        <v>46038</v>
      </c>
    </row>
    <row r="7104" spans="1:3">
      <c r="A7104" s="137" t="str">
        <f>D7104&amp;E7104&amp;F7104</f>
        <v/>
      </c>
      <c r="C7104" s="1">
        <v>46038</v>
      </c>
    </row>
    <row r="7105" spans="1:3">
      <c r="A7105" s="137" t="str">
        <f>D7105&amp;E7105&amp;F7105</f>
        <v/>
      </c>
      <c r="C7105" s="1">
        <v>46038</v>
      </c>
    </row>
    <row r="7106" spans="1:3">
      <c r="A7106" s="137" t="str">
        <f>D7106&amp;E7106&amp;F7106</f>
        <v/>
      </c>
      <c r="C7106" s="1">
        <v>46038</v>
      </c>
    </row>
    <row r="7107" spans="1:3">
      <c r="A7107" s="137" t="str">
        <f>D7107&amp;E7107&amp;F7107</f>
        <v/>
      </c>
      <c r="C7107" s="1">
        <v>46038</v>
      </c>
    </row>
    <row r="7108" spans="1:3">
      <c r="A7108" s="137" t="str">
        <f>D7108&amp;E7108&amp;F7108</f>
        <v/>
      </c>
      <c r="C7108" s="1">
        <v>46038</v>
      </c>
    </row>
    <row r="7109" spans="1:3">
      <c r="A7109" s="137" t="str">
        <f>D7109&amp;E7109&amp;F7109</f>
        <v/>
      </c>
      <c r="C7109" s="1">
        <v>46038</v>
      </c>
    </row>
    <row r="7110" spans="1:3">
      <c r="A7110" s="137" t="str">
        <f>D7110&amp;E7110&amp;F7110</f>
        <v/>
      </c>
      <c r="C7110" s="1">
        <v>46038</v>
      </c>
    </row>
    <row r="7111" spans="1:3">
      <c r="A7111" s="137" t="str">
        <f>D7111&amp;E7111&amp;F7111</f>
        <v/>
      </c>
      <c r="C7111" s="1">
        <v>46038</v>
      </c>
    </row>
    <row r="7112" spans="1:3">
      <c r="A7112" s="137" t="str">
        <f>D7112&amp;E7112&amp;F7112</f>
        <v/>
      </c>
      <c r="C7112" s="1">
        <v>46038</v>
      </c>
    </row>
    <row r="7113" spans="1:3">
      <c r="A7113" s="137" t="str">
        <f>D7113&amp;E7113&amp;F7113</f>
        <v/>
      </c>
      <c r="C7113" s="1">
        <v>46038</v>
      </c>
    </row>
    <row r="7114" spans="1:3">
      <c r="A7114" s="137" t="str">
        <f>D7114&amp;E7114&amp;F7114</f>
        <v/>
      </c>
      <c r="C7114" s="1">
        <v>46038</v>
      </c>
    </row>
    <row r="7115" spans="1:3">
      <c r="A7115" s="137" t="str">
        <f>D7115&amp;E7115&amp;F7115</f>
        <v/>
      </c>
      <c r="C7115" s="1">
        <v>46038</v>
      </c>
    </row>
    <row r="7116" spans="1:3">
      <c r="A7116" s="137" t="str">
        <f>D7116&amp;E7116&amp;F7116</f>
        <v/>
      </c>
      <c r="C7116" s="1">
        <v>46038</v>
      </c>
    </row>
    <row r="7117" spans="1:3">
      <c r="A7117" s="137" t="str">
        <f>D7117&amp;E7117&amp;F7117</f>
        <v/>
      </c>
      <c r="C7117" s="1">
        <v>46038</v>
      </c>
    </row>
    <row r="7118" spans="1:3">
      <c r="A7118" s="137" t="str">
        <f>D7118&amp;E7118&amp;F7118</f>
        <v/>
      </c>
      <c r="C7118" s="1">
        <v>46038</v>
      </c>
    </row>
    <row r="7119" spans="1:3">
      <c r="A7119" s="137" t="str">
        <f>D7119&amp;E7119&amp;F7119</f>
        <v/>
      </c>
      <c r="C7119" s="1">
        <v>46038</v>
      </c>
    </row>
    <row r="7120" spans="1:3">
      <c r="A7120" s="137" t="str">
        <f>D7120&amp;E7120&amp;F7120</f>
        <v/>
      </c>
      <c r="C7120" s="1">
        <v>46038</v>
      </c>
    </row>
    <row r="7121" spans="1:3">
      <c r="A7121" s="137" t="str">
        <f>D7121&amp;E7121&amp;F7121</f>
        <v/>
      </c>
      <c r="C7121" s="1">
        <v>46038</v>
      </c>
    </row>
    <row r="7122" spans="1:3">
      <c r="A7122" s="137" t="str">
        <f>D7122&amp;E7122&amp;F7122</f>
        <v/>
      </c>
      <c r="C7122" s="1">
        <v>46038</v>
      </c>
    </row>
    <row r="7123" spans="1:3">
      <c r="A7123" s="137" t="str">
        <f>D7123&amp;E7123&amp;F7123</f>
        <v/>
      </c>
      <c r="C7123" s="1">
        <v>46038</v>
      </c>
    </row>
    <row r="7124" spans="1:3">
      <c r="A7124" s="137" t="str">
        <f>D7124&amp;E7124&amp;F7124</f>
        <v/>
      </c>
      <c r="C7124" s="1">
        <v>46038</v>
      </c>
    </row>
    <row r="7125" spans="1:3">
      <c r="A7125" s="137" t="str">
        <f>D7125&amp;E7125&amp;F7125</f>
        <v/>
      </c>
      <c r="C7125" s="1">
        <v>46038</v>
      </c>
    </row>
    <row r="7126" spans="1:3">
      <c r="A7126" s="137" t="str">
        <f>D7126&amp;E7126&amp;F7126</f>
        <v/>
      </c>
      <c r="C7126" s="1">
        <v>46038</v>
      </c>
    </row>
    <row r="7127" spans="1:3">
      <c r="A7127" s="137" t="str">
        <f>D7127&amp;E7127&amp;F7127</f>
        <v/>
      </c>
      <c r="C7127" s="1">
        <v>46038</v>
      </c>
    </row>
    <row r="7128" spans="1:3">
      <c r="A7128" s="137" t="str">
        <f>D7128&amp;E7128&amp;F7128</f>
        <v/>
      </c>
      <c r="C7128" s="1">
        <v>46038</v>
      </c>
    </row>
    <row r="7129" spans="1:3">
      <c r="A7129" s="137" t="str">
        <f>D7129&amp;E7129&amp;F7129</f>
        <v/>
      </c>
      <c r="C7129" s="1">
        <v>46038</v>
      </c>
    </row>
    <row r="7130" spans="1:3">
      <c r="A7130" s="137" t="str">
        <f>D7130&amp;E7130&amp;F7130</f>
        <v/>
      </c>
      <c r="C7130" s="1">
        <v>46038</v>
      </c>
    </row>
    <row r="7131" spans="1:3">
      <c r="A7131" s="137" t="str">
        <f>D7131&amp;E7131&amp;F7131</f>
        <v/>
      </c>
      <c r="C7131" s="1">
        <v>46038</v>
      </c>
    </row>
    <row r="7132" spans="1:3">
      <c r="A7132" s="137" t="str">
        <f>D7132&amp;E7132&amp;F7132</f>
        <v/>
      </c>
      <c r="C7132" s="1">
        <v>46038</v>
      </c>
    </row>
    <row r="7133" spans="1:3">
      <c r="A7133" s="137" t="str">
        <f>D7133&amp;E7133&amp;F7133</f>
        <v/>
      </c>
      <c r="C7133" s="1">
        <v>46038</v>
      </c>
    </row>
    <row r="7134" spans="1:3">
      <c r="A7134" s="137" t="str">
        <f>D7134&amp;E7134&amp;F7134</f>
        <v/>
      </c>
      <c r="C7134" s="1">
        <v>46038</v>
      </c>
    </row>
    <row r="7135" spans="1:3">
      <c r="A7135" s="137" t="str">
        <f>D7135&amp;E7135&amp;F7135</f>
        <v/>
      </c>
      <c r="C7135" s="1">
        <v>46038</v>
      </c>
    </row>
    <row r="7136" spans="1:3">
      <c r="A7136" s="137" t="str">
        <f>D7136&amp;E7136&amp;F7136</f>
        <v/>
      </c>
      <c r="C7136" s="1">
        <v>46038</v>
      </c>
    </row>
    <row r="7137" spans="1:3">
      <c r="A7137" s="137" t="str">
        <f>D7137&amp;E7137&amp;F7137</f>
        <v/>
      </c>
      <c r="C7137" s="1">
        <v>46038</v>
      </c>
    </row>
    <row r="7138" spans="1:3">
      <c r="A7138" s="137" t="str">
        <f>D7138&amp;E7138&amp;F7138</f>
        <v/>
      </c>
      <c r="C7138" s="1">
        <v>46038</v>
      </c>
    </row>
    <row r="7139" spans="1:3">
      <c r="A7139" s="137" t="str">
        <f>D7139&amp;E7139&amp;F7139</f>
        <v/>
      </c>
      <c r="C7139" s="1">
        <v>46038</v>
      </c>
    </row>
    <row r="7140" spans="1:3">
      <c r="A7140" s="137" t="str">
        <f>D7140&amp;E7140&amp;F7140</f>
        <v/>
      </c>
      <c r="C7140" s="1">
        <v>46038</v>
      </c>
    </row>
    <row r="7141" spans="1:3">
      <c r="A7141" s="137" t="str">
        <f>D7141&amp;E7141&amp;F7141</f>
        <v/>
      </c>
      <c r="C7141" s="1">
        <v>46038</v>
      </c>
    </row>
    <row r="7142" spans="1:3">
      <c r="A7142" s="137" t="str">
        <f>D7142&amp;E7142&amp;F7142</f>
        <v/>
      </c>
      <c r="C7142" s="1">
        <v>46038</v>
      </c>
    </row>
    <row r="7143" spans="1:3">
      <c r="A7143" s="137" t="str">
        <f>D7143&amp;E7143&amp;F7143</f>
        <v/>
      </c>
      <c r="C7143" s="1">
        <v>46038</v>
      </c>
    </row>
    <row r="7144" spans="1:3">
      <c r="A7144" s="137" t="str">
        <f>D7144&amp;E7144&amp;F7144</f>
        <v/>
      </c>
      <c r="C7144" s="1">
        <v>46038</v>
      </c>
    </row>
    <row r="7145" spans="1:3">
      <c r="A7145" s="137" t="str">
        <f>D7145&amp;E7145&amp;F7145</f>
        <v/>
      </c>
      <c r="C7145" s="1">
        <v>46038</v>
      </c>
    </row>
    <row r="7146" spans="1:3">
      <c r="A7146" s="137" t="str">
        <f>D7146&amp;E7146&amp;F7146</f>
        <v/>
      </c>
      <c r="C7146" s="1">
        <v>46038</v>
      </c>
    </row>
    <row r="7147" spans="1:3">
      <c r="A7147" s="137" t="str">
        <f>D7147&amp;E7147&amp;F7147</f>
        <v/>
      </c>
      <c r="C7147" s="1">
        <v>46038</v>
      </c>
    </row>
    <row r="7148" spans="1:3">
      <c r="A7148" s="137" t="str">
        <f>D7148&amp;E7148&amp;F7148</f>
        <v/>
      </c>
      <c r="C7148" s="1">
        <v>46038</v>
      </c>
    </row>
    <row r="7149" spans="1:3">
      <c r="A7149" s="137" t="str">
        <f>D7149&amp;E7149&amp;F7149</f>
        <v/>
      </c>
      <c r="C7149" s="1">
        <v>46038</v>
      </c>
    </row>
    <row r="7150" spans="1:3">
      <c r="A7150" s="137" t="str">
        <f>D7150&amp;E7150&amp;F7150</f>
        <v/>
      </c>
      <c r="C7150" s="1">
        <v>46038</v>
      </c>
    </row>
    <row r="7151" spans="1:3">
      <c r="A7151" s="137" t="str">
        <f>D7151&amp;E7151&amp;F7151</f>
        <v/>
      </c>
      <c r="C7151" s="1">
        <v>46038</v>
      </c>
    </row>
    <row r="7152" spans="1:3">
      <c r="A7152" s="137" t="str">
        <f>D7152&amp;E7152&amp;F7152</f>
        <v/>
      </c>
      <c r="C7152" s="1">
        <v>46038</v>
      </c>
    </row>
    <row r="7153" spans="1:3">
      <c r="A7153" s="137" t="str">
        <f>D7153&amp;E7153&amp;F7153</f>
        <v/>
      </c>
      <c r="C7153" s="1">
        <v>46038</v>
      </c>
    </row>
    <row r="7154" spans="1:3">
      <c r="A7154" s="137" t="str">
        <f>D7154&amp;E7154&amp;F7154</f>
        <v/>
      </c>
      <c r="C7154" s="1">
        <v>46038</v>
      </c>
    </row>
    <row r="7155" spans="1:3">
      <c r="A7155" s="137" t="str">
        <f>D7155&amp;E7155&amp;F7155</f>
        <v/>
      </c>
      <c r="C7155" s="1">
        <v>46038</v>
      </c>
    </row>
    <row r="7156" spans="1:3">
      <c r="A7156" s="137" t="str">
        <f>D7156&amp;E7156&amp;F7156</f>
        <v/>
      </c>
      <c r="C7156" s="1">
        <v>46038</v>
      </c>
    </row>
    <row r="7157" spans="1:3">
      <c r="A7157" s="137" t="str">
        <f>D7157&amp;E7157&amp;F7157</f>
        <v/>
      </c>
      <c r="C7157" s="1">
        <v>46038</v>
      </c>
    </row>
    <row r="7158" spans="1:3">
      <c r="A7158" s="137" t="str">
        <f>D7158&amp;E7158&amp;F7158</f>
        <v/>
      </c>
      <c r="C7158" s="1">
        <v>46038</v>
      </c>
    </row>
    <row r="7159" spans="1:3">
      <c r="A7159" s="137" t="str">
        <f>D7159&amp;E7159&amp;F7159</f>
        <v/>
      </c>
      <c r="C7159" s="1">
        <v>46038</v>
      </c>
    </row>
    <row r="7160" spans="1:3">
      <c r="A7160" s="137" t="str">
        <f>D7160&amp;E7160&amp;F7160</f>
        <v/>
      </c>
      <c r="C7160" s="1">
        <v>46038</v>
      </c>
    </row>
    <row r="7161" spans="1:3">
      <c r="A7161" s="137" t="str">
        <f>D7161&amp;E7161&amp;F7161</f>
        <v/>
      </c>
      <c r="C7161" s="1">
        <v>46038</v>
      </c>
    </row>
    <row r="7162" spans="1:3">
      <c r="A7162" s="137" t="str">
        <f>D7162&amp;E7162&amp;F7162</f>
        <v/>
      </c>
      <c r="C7162" s="1">
        <v>46038</v>
      </c>
    </row>
    <row r="7163" spans="1:3">
      <c r="A7163" s="137" t="str">
        <f>D7163&amp;E7163&amp;F7163</f>
        <v/>
      </c>
      <c r="C7163" s="1">
        <v>46038</v>
      </c>
    </row>
    <row r="7164" spans="1:3">
      <c r="A7164" s="137" t="str">
        <f>D7164&amp;E7164&amp;F7164</f>
        <v/>
      </c>
      <c r="C7164" s="1">
        <v>46038</v>
      </c>
    </row>
    <row r="7165" spans="1:3">
      <c r="A7165" s="137" t="str">
        <f>D7165&amp;E7165&amp;F7165</f>
        <v/>
      </c>
      <c r="C7165" s="1">
        <v>46038</v>
      </c>
    </row>
    <row r="7166" spans="1:3">
      <c r="A7166" s="137" t="str">
        <f>D7166&amp;E7166&amp;F7166</f>
        <v/>
      </c>
      <c r="C7166" s="1">
        <v>46038</v>
      </c>
    </row>
    <row r="7167" spans="1:3">
      <c r="A7167" s="137" t="str">
        <f>D7167&amp;E7167&amp;F7167</f>
        <v/>
      </c>
      <c r="C7167" s="1">
        <v>46038</v>
      </c>
    </row>
    <row r="7168" spans="1:3">
      <c r="A7168" s="137" t="str">
        <f>D7168&amp;E7168&amp;F7168</f>
        <v/>
      </c>
      <c r="C7168" s="1">
        <v>46038</v>
      </c>
    </row>
    <row r="7169" spans="1:3">
      <c r="A7169" s="137" t="str">
        <f>D7169&amp;E7169&amp;F7169</f>
        <v/>
      </c>
      <c r="C7169" s="1">
        <v>46038</v>
      </c>
    </row>
    <row r="7170" spans="1:3">
      <c r="A7170" s="137" t="str">
        <f>D7170&amp;E7170&amp;F7170</f>
        <v/>
      </c>
      <c r="C7170" s="1">
        <v>46038</v>
      </c>
    </row>
    <row r="7171" spans="1:3">
      <c r="A7171" s="137" t="str">
        <f>D7171&amp;E7171&amp;F7171</f>
        <v/>
      </c>
      <c r="C7171" s="1">
        <v>46038</v>
      </c>
    </row>
    <row r="7172" spans="1:3">
      <c r="A7172" s="137" t="str">
        <f>D7172&amp;E7172&amp;F7172</f>
        <v/>
      </c>
      <c r="C7172" s="1">
        <v>46038</v>
      </c>
    </row>
    <row r="7173" spans="1:3">
      <c r="A7173" s="137" t="str">
        <f>D7173&amp;E7173&amp;F7173</f>
        <v/>
      </c>
      <c r="C7173" s="1">
        <v>46038</v>
      </c>
    </row>
    <row r="7174" spans="1:3">
      <c r="A7174" s="137" t="str">
        <f>D7174&amp;E7174&amp;F7174</f>
        <v/>
      </c>
      <c r="C7174" s="1">
        <v>46038</v>
      </c>
    </row>
    <row r="7175" spans="1:3">
      <c r="A7175" s="137" t="str">
        <f>D7175&amp;E7175&amp;F7175</f>
        <v/>
      </c>
      <c r="C7175" s="1">
        <v>46038</v>
      </c>
    </row>
    <row r="7176" spans="1:3">
      <c r="A7176" s="137" t="str">
        <f>D7176&amp;E7176&amp;F7176</f>
        <v/>
      </c>
      <c r="C7176" s="1">
        <v>46038</v>
      </c>
    </row>
    <row r="7177" spans="1:3">
      <c r="A7177" s="137" t="str">
        <f>D7177&amp;E7177&amp;F7177</f>
        <v/>
      </c>
      <c r="C7177" s="1">
        <v>46038</v>
      </c>
    </row>
    <row r="7178" spans="1:3">
      <c r="A7178" s="137" t="str">
        <f>D7178&amp;E7178&amp;F7178</f>
        <v/>
      </c>
      <c r="C7178" s="1">
        <v>46038</v>
      </c>
    </row>
    <row r="7179" spans="1:3">
      <c r="A7179" s="137" t="str">
        <f>D7179&amp;E7179&amp;F7179</f>
        <v/>
      </c>
      <c r="C7179" s="1">
        <v>46038</v>
      </c>
    </row>
    <row r="7180" spans="1:3">
      <c r="A7180" s="137" t="str">
        <f>D7180&amp;E7180&amp;F7180</f>
        <v/>
      </c>
      <c r="C7180" s="1">
        <v>46038</v>
      </c>
    </row>
    <row r="7181" spans="1:3">
      <c r="A7181" s="137" t="str">
        <f>D7181&amp;E7181&amp;F7181</f>
        <v/>
      </c>
      <c r="C7181" s="1">
        <v>46038</v>
      </c>
    </row>
    <row r="7182" spans="1:3">
      <c r="A7182" s="137" t="str">
        <f>D7182&amp;E7182&amp;F7182</f>
        <v/>
      </c>
      <c r="C7182" s="1">
        <v>46038</v>
      </c>
    </row>
    <row r="7183" spans="1:3">
      <c r="A7183" s="137" t="str">
        <f>D7183&amp;E7183&amp;F7183</f>
        <v/>
      </c>
      <c r="C7183" s="1">
        <v>46038</v>
      </c>
    </row>
    <row r="7184" spans="1:3">
      <c r="A7184" s="137" t="str">
        <f>D7184&amp;E7184&amp;F7184</f>
        <v/>
      </c>
      <c r="C7184" s="1">
        <v>46038</v>
      </c>
    </row>
    <row r="7185" spans="1:3">
      <c r="A7185" s="137" t="str">
        <f>D7185&amp;E7185&amp;F7185</f>
        <v/>
      </c>
      <c r="C7185" s="1">
        <v>46038</v>
      </c>
    </row>
    <row r="7186" spans="1:3">
      <c r="A7186" s="137" t="str">
        <f>D7186&amp;E7186&amp;F7186</f>
        <v/>
      </c>
      <c r="C7186" s="1">
        <v>46038</v>
      </c>
    </row>
    <row r="7187" spans="1:3">
      <c r="A7187" s="137" t="str">
        <f>D7187&amp;E7187&amp;F7187</f>
        <v/>
      </c>
      <c r="C7187" s="1">
        <v>46038</v>
      </c>
    </row>
    <row r="7188" spans="1:3">
      <c r="A7188" s="137" t="str">
        <f>D7188&amp;E7188&amp;F7188</f>
        <v/>
      </c>
      <c r="C7188" s="1">
        <v>46038</v>
      </c>
    </row>
    <row r="7189" spans="1:3">
      <c r="A7189" s="137" t="str">
        <f>D7189&amp;E7189&amp;F7189</f>
        <v/>
      </c>
      <c r="C7189" s="1">
        <v>46038</v>
      </c>
    </row>
    <row r="7190" spans="1:3">
      <c r="A7190" s="137" t="str">
        <f>D7190&amp;E7190&amp;F7190</f>
        <v/>
      </c>
      <c r="C7190" s="1">
        <v>46038</v>
      </c>
    </row>
    <row r="7191" spans="1:3">
      <c r="A7191" s="137" t="str">
        <f>D7191&amp;E7191&amp;F7191</f>
        <v/>
      </c>
      <c r="C7191" s="1">
        <v>46038</v>
      </c>
    </row>
    <row r="7192" spans="1:3">
      <c r="A7192" s="137" t="str">
        <f>D7192&amp;E7192&amp;F7192</f>
        <v/>
      </c>
      <c r="C7192" s="1">
        <v>46038</v>
      </c>
    </row>
    <row r="7193" spans="1:3">
      <c r="A7193" s="137" t="str">
        <f>D7193&amp;E7193&amp;F7193</f>
        <v/>
      </c>
      <c r="C7193" s="1">
        <v>46038</v>
      </c>
    </row>
    <row r="7194" spans="1:3">
      <c r="A7194" s="137" t="str">
        <f>D7194&amp;E7194&amp;F7194</f>
        <v/>
      </c>
      <c r="C7194" s="1">
        <v>46038</v>
      </c>
    </row>
    <row r="7195" spans="1:3">
      <c r="A7195" s="137" t="str">
        <f>D7195&amp;E7195&amp;F7195</f>
        <v/>
      </c>
      <c r="C7195" s="1">
        <v>46038</v>
      </c>
    </row>
    <row r="7196" spans="1:3">
      <c r="A7196" s="137" t="str">
        <f>D7196&amp;E7196&amp;F7196</f>
        <v/>
      </c>
      <c r="C7196" s="1">
        <v>46038</v>
      </c>
    </row>
    <row r="7197" spans="1:3">
      <c r="A7197" s="137" t="str">
        <f>D7197&amp;E7197&amp;F7197</f>
        <v/>
      </c>
      <c r="C7197" s="1">
        <v>46038</v>
      </c>
    </row>
    <row r="7198" spans="1:3">
      <c r="A7198" s="137" t="str">
        <f>D7198&amp;E7198&amp;F7198</f>
        <v/>
      </c>
      <c r="C7198" s="1">
        <v>46038</v>
      </c>
    </row>
    <row r="7199" spans="1:3">
      <c r="A7199" s="137" t="str">
        <f>D7199&amp;E7199&amp;F7199</f>
        <v/>
      </c>
      <c r="C7199" s="1">
        <v>46038</v>
      </c>
    </row>
    <row r="7200" spans="1:3">
      <c r="A7200" s="137" t="str">
        <f>D7200&amp;E7200&amp;F7200</f>
        <v/>
      </c>
      <c r="C7200" s="1">
        <v>46038</v>
      </c>
    </row>
    <row r="7201" spans="1:3">
      <c r="A7201" s="137" t="str">
        <f>D7201&amp;E7201&amp;F7201</f>
        <v/>
      </c>
      <c r="C7201" s="1">
        <v>46038</v>
      </c>
    </row>
    <row r="7202" spans="1:3">
      <c r="A7202" s="137" t="str">
        <f>D7202&amp;E7202&amp;F7202</f>
        <v/>
      </c>
      <c r="C7202" s="1">
        <v>46038</v>
      </c>
    </row>
    <row r="7203" spans="1:3">
      <c r="A7203" s="137" t="str">
        <f>D7203&amp;E7203&amp;F7203</f>
        <v/>
      </c>
      <c r="C7203" s="1">
        <v>46038</v>
      </c>
    </row>
    <row r="7204" spans="1:3">
      <c r="A7204" s="137" t="str">
        <f>D7204&amp;E7204&amp;F7204</f>
        <v/>
      </c>
      <c r="C7204" s="1">
        <v>46038</v>
      </c>
    </row>
    <row r="7205" spans="1:3">
      <c r="A7205" s="137" t="str">
        <f>D7205&amp;E7205&amp;F7205</f>
        <v/>
      </c>
      <c r="C7205" s="1">
        <v>46038</v>
      </c>
    </row>
    <row r="7206" spans="1:3">
      <c r="A7206" s="137" t="str">
        <f>D7206&amp;E7206&amp;F7206</f>
        <v/>
      </c>
      <c r="C7206" s="1">
        <v>46038</v>
      </c>
    </row>
    <row r="7207" spans="1:3">
      <c r="A7207" s="137" t="str">
        <f>D7207&amp;E7207&amp;F7207</f>
        <v/>
      </c>
      <c r="C7207" s="1">
        <v>46038</v>
      </c>
    </row>
    <row r="7208" spans="1:3">
      <c r="A7208" s="137" t="str">
        <f>D7208&amp;E7208&amp;F7208</f>
        <v/>
      </c>
      <c r="C7208" s="1">
        <v>46038</v>
      </c>
    </row>
    <row r="7209" spans="1:3">
      <c r="A7209" s="137" t="str">
        <f>D7209&amp;E7209&amp;F7209</f>
        <v/>
      </c>
      <c r="C7209" s="1">
        <v>46038</v>
      </c>
    </row>
    <row r="7210" spans="1:3">
      <c r="A7210" s="137" t="str">
        <f>D7210&amp;E7210&amp;F7210</f>
        <v/>
      </c>
      <c r="C7210" s="1">
        <v>46038</v>
      </c>
    </row>
    <row r="7211" spans="1:3">
      <c r="A7211" s="137" t="str">
        <f>D7211&amp;E7211&amp;F7211</f>
        <v/>
      </c>
      <c r="C7211" s="1">
        <v>46038</v>
      </c>
    </row>
    <row r="7212" spans="1:3">
      <c r="A7212" s="137" t="str">
        <f>D7212&amp;E7212&amp;F7212</f>
        <v/>
      </c>
      <c r="C7212" s="1">
        <v>46038</v>
      </c>
    </row>
    <row r="7213" spans="1:3">
      <c r="A7213" s="137" t="str">
        <f>D7213&amp;E7213&amp;F7213</f>
        <v/>
      </c>
      <c r="C7213" s="1">
        <v>46038</v>
      </c>
    </row>
    <row r="7214" spans="1:3">
      <c r="A7214" s="137" t="str">
        <f>D7214&amp;E7214&amp;F7214</f>
        <v/>
      </c>
      <c r="C7214" s="1">
        <v>46038</v>
      </c>
    </row>
    <row r="7215" spans="1:3">
      <c r="A7215" s="137" t="str">
        <f>D7215&amp;E7215&amp;F7215</f>
        <v/>
      </c>
      <c r="C7215" s="1">
        <v>46038</v>
      </c>
    </row>
    <row r="7216" spans="1:3">
      <c r="A7216" s="137" t="str">
        <f>D7216&amp;E7216&amp;F7216</f>
        <v/>
      </c>
      <c r="C7216" s="1">
        <v>46038</v>
      </c>
    </row>
    <row r="7217" spans="1:3">
      <c r="A7217" s="137" t="str">
        <f>D7217&amp;E7217&amp;F7217</f>
        <v/>
      </c>
      <c r="C7217" s="1">
        <v>46038</v>
      </c>
    </row>
    <row r="7218" spans="1:3">
      <c r="A7218" s="137" t="str">
        <f>D7218&amp;E7218&amp;F7218</f>
        <v/>
      </c>
      <c r="C7218" s="1">
        <v>46038</v>
      </c>
    </row>
    <row r="7219" spans="1:3">
      <c r="A7219" s="137" t="str">
        <f>D7219&amp;E7219&amp;F7219</f>
        <v/>
      </c>
      <c r="C7219" s="1">
        <v>46038</v>
      </c>
    </row>
    <row r="7220" spans="1:3">
      <c r="A7220" s="137" t="str">
        <f>D7220&amp;E7220&amp;F7220</f>
        <v/>
      </c>
      <c r="C7220" s="1">
        <v>46038</v>
      </c>
    </row>
    <row r="7221" spans="1:3">
      <c r="A7221" s="137" t="str">
        <f>D7221&amp;E7221&amp;F7221</f>
        <v/>
      </c>
      <c r="C7221" s="1">
        <v>46038</v>
      </c>
    </row>
    <row r="7222" spans="1:3">
      <c r="A7222" s="137" t="str">
        <f>D7222&amp;E7222&amp;F7222</f>
        <v/>
      </c>
      <c r="C7222" s="1">
        <v>46038</v>
      </c>
    </row>
    <row r="7223" spans="1:3">
      <c r="A7223" s="137" t="str">
        <f>D7223&amp;E7223&amp;F7223</f>
        <v/>
      </c>
      <c r="C7223" s="1">
        <v>46038</v>
      </c>
    </row>
    <row r="7224" spans="1:3">
      <c r="A7224" s="137" t="str">
        <f>D7224&amp;E7224&amp;F7224</f>
        <v/>
      </c>
      <c r="C7224" s="1">
        <v>46038</v>
      </c>
    </row>
    <row r="7225" spans="1:3">
      <c r="A7225" s="137" t="str">
        <f>D7225&amp;E7225&amp;F7225</f>
        <v/>
      </c>
      <c r="C7225" s="1">
        <v>46038</v>
      </c>
    </row>
    <row r="7226" spans="1:3">
      <c r="A7226" s="137" t="str">
        <f>D7226&amp;E7226&amp;F7226</f>
        <v/>
      </c>
      <c r="C7226" s="1">
        <v>46038</v>
      </c>
    </row>
    <row r="7227" spans="1:3">
      <c r="A7227" s="137" t="str">
        <f>D7227&amp;E7227&amp;F7227</f>
        <v/>
      </c>
      <c r="C7227" s="1">
        <v>46038</v>
      </c>
    </row>
    <row r="7228" spans="1:3">
      <c r="A7228" s="137" t="str">
        <f>D7228&amp;E7228&amp;F7228</f>
        <v/>
      </c>
      <c r="C7228" s="1">
        <v>46038</v>
      </c>
    </row>
    <row r="7229" spans="1:3">
      <c r="A7229" s="137" t="str">
        <f>D7229&amp;E7229&amp;F7229</f>
        <v/>
      </c>
      <c r="C7229" s="1">
        <v>46038</v>
      </c>
    </row>
    <row r="7230" spans="1:3">
      <c r="A7230" s="137" t="str">
        <f>D7230&amp;E7230&amp;F7230</f>
        <v/>
      </c>
      <c r="C7230" s="1">
        <v>46038</v>
      </c>
    </row>
    <row r="7231" spans="1:3">
      <c r="A7231" s="137" t="str">
        <f>D7231&amp;E7231&amp;F7231</f>
        <v/>
      </c>
      <c r="C7231" s="1">
        <v>46038</v>
      </c>
    </row>
    <row r="7232" spans="1:3">
      <c r="A7232" s="137" t="str">
        <f>D7232&amp;E7232&amp;F7232</f>
        <v/>
      </c>
      <c r="C7232" s="1">
        <v>46038</v>
      </c>
    </row>
    <row r="7233" spans="1:3">
      <c r="A7233" s="137" t="str">
        <f>D7233&amp;E7233&amp;F7233</f>
        <v/>
      </c>
      <c r="C7233" s="1">
        <v>46038</v>
      </c>
    </row>
    <row r="7234" spans="1:3">
      <c r="A7234" s="137" t="str">
        <f>D7234&amp;E7234&amp;F7234</f>
        <v/>
      </c>
      <c r="C7234" s="1">
        <v>46038</v>
      </c>
    </row>
    <row r="7235" spans="1:3">
      <c r="A7235" s="137" t="str">
        <f>D7235&amp;E7235&amp;F7235</f>
        <v/>
      </c>
      <c r="C7235" s="1">
        <v>46038</v>
      </c>
    </row>
    <row r="7236" spans="1:3">
      <c r="A7236" s="137" t="str">
        <f>D7236&amp;E7236&amp;F7236</f>
        <v/>
      </c>
      <c r="C7236" s="1">
        <v>46038</v>
      </c>
    </row>
    <row r="7237" spans="1:3">
      <c r="A7237" s="137" t="str">
        <f>D7237&amp;E7237&amp;F7237</f>
        <v/>
      </c>
      <c r="C7237" s="1">
        <v>46038</v>
      </c>
    </row>
    <row r="7238" spans="1:3">
      <c r="A7238" s="137" t="str">
        <f>D7238&amp;E7238&amp;F7238</f>
        <v/>
      </c>
      <c r="C7238" s="1">
        <v>46038</v>
      </c>
    </row>
    <row r="7239" spans="1:3">
      <c r="A7239" s="137" t="str">
        <f>D7239&amp;E7239&amp;F7239</f>
        <v/>
      </c>
      <c r="C7239" s="1">
        <v>46038</v>
      </c>
    </row>
    <row r="7240" spans="1:3">
      <c r="A7240" s="137" t="str">
        <f>D7240&amp;E7240&amp;F7240</f>
        <v/>
      </c>
      <c r="C7240" s="1">
        <v>46038</v>
      </c>
    </row>
    <row r="7241" spans="1:3">
      <c r="A7241" s="137" t="str">
        <f>D7241&amp;E7241&amp;F7241</f>
        <v/>
      </c>
      <c r="C7241" s="1">
        <v>46038</v>
      </c>
    </row>
    <row r="7242" spans="1:3">
      <c r="A7242" s="137" t="str">
        <f>D7242&amp;E7242&amp;F7242</f>
        <v/>
      </c>
      <c r="C7242" s="1">
        <v>46038</v>
      </c>
    </row>
    <row r="7243" spans="1:3">
      <c r="A7243" s="137" t="str">
        <f>D7243&amp;E7243&amp;F7243</f>
        <v/>
      </c>
      <c r="C7243" s="1">
        <v>46038</v>
      </c>
    </row>
    <row r="7244" spans="1:3">
      <c r="A7244" s="137" t="str">
        <f>D7244&amp;E7244&amp;F7244</f>
        <v/>
      </c>
      <c r="C7244" s="1">
        <v>46038</v>
      </c>
    </row>
    <row r="7245" spans="1:3">
      <c r="A7245" s="137" t="str">
        <f>D7245&amp;E7245&amp;F7245</f>
        <v/>
      </c>
      <c r="C7245" s="1">
        <v>46038</v>
      </c>
    </row>
    <row r="7246" spans="1:3">
      <c r="A7246" s="137" t="str">
        <f>D7246&amp;E7246&amp;F7246</f>
        <v/>
      </c>
      <c r="C7246" s="1">
        <v>46038</v>
      </c>
    </row>
    <row r="7247" spans="1:3">
      <c r="A7247" s="137" t="str">
        <f>D7247&amp;E7247&amp;F7247</f>
        <v/>
      </c>
      <c r="C7247" s="1">
        <v>46038</v>
      </c>
    </row>
    <row r="7248" spans="1:3">
      <c r="A7248" s="137" t="str">
        <f>D7248&amp;E7248&amp;F7248</f>
        <v/>
      </c>
      <c r="C7248" s="1">
        <v>46038</v>
      </c>
    </row>
    <row r="7249" spans="1:3">
      <c r="A7249" s="137" t="str">
        <f>D7249&amp;E7249&amp;F7249</f>
        <v/>
      </c>
      <c r="C7249" s="1">
        <v>46038</v>
      </c>
    </row>
    <row r="7250" spans="1:3">
      <c r="A7250" s="137" t="str">
        <f>D7250&amp;E7250&amp;F7250</f>
        <v/>
      </c>
      <c r="C7250" s="1">
        <v>46038</v>
      </c>
    </row>
    <row r="7251" spans="1:3">
      <c r="A7251" s="137" t="str">
        <f>D7251&amp;E7251&amp;F7251</f>
        <v/>
      </c>
      <c r="C7251" s="1">
        <v>46038</v>
      </c>
    </row>
    <row r="7252" spans="1:3">
      <c r="A7252" s="137" t="str">
        <f>D7252&amp;E7252&amp;F7252</f>
        <v/>
      </c>
      <c r="C7252" s="1">
        <v>46038</v>
      </c>
    </row>
    <row r="7253" spans="1:3">
      <c r="A7253" s="137" t="str">
        <f>D7253&amp;E7253&amp;F7253</f>
        <v/>
      </c>
      <c r="C7253" s="1">
        <v>46038</v>
      </c>
    </row>
    <row r="7254" spans="1:3">
      <c r="A7254" s="137" t="str">
        <f>D7254&amp;E7254&amp;F7254</f>
        <v/>
      </c>
      <c r="C7254" s="1">
        <v>46038</v>
      </c>
    </row>
    <row r="7255" spans="1:3">
      <c r="A7255" s="137" t="str">
        <f>D7255&amp;E7255&amp;F7255</f>
        <v/>
      </c>
      <c r="C7255" s="1">
        <v>46038</v>
      </c>
    </row>
    <row r="7256" spans="1:3">
      <c r="A7256" s="137" t="str">
        <f>D7256&amp;E7256&amp;F7256</f>
        <v/>
      </c>
      <c r="C7256" s="1">
        <v>46038</v>
      </c>
    </row>
    <row r="7257" spans="1:3">
      <c r="A7257" s="137" t="str">
        <f>D7257&amp;E7257&amp;F7257</f>
        <v/>
      </c>
      <c r="C7257" s="1">
        <v>46038</v>
      </c>
    </row>
    <row r="7258" spans="1:3">
      <c r="A7258" s="137" t="str">
        <f>D7258&amp;E7258&amp;F7258</f>
        <v/>
      </c>
      <c r="C7258" s="1">
        <v>46038</v>
      </c>
    </row>
    <row r="7259" spans="1:3">
      <c r="A7259" s="137" t="str">
        <f>D7259&amp;E7259&amp;F7259</f>
        <v/>
      </c>
      <c r="C7259" s="1">
        <v>46038</v>
      </c>
    </row>
    <row r="7260" spans="1:3">
      <c r="A7260" s="137" t="str">
        <f>D7260&amp;E7260&amp;F7260</f>
        <v/>
      </c>
      <c r="C7260" s="1">
        <v>46038</v>
      </c>
    </row>
    <row r="7261" spans="1:3">
      <c r="A7261" s="137" t="str">
        <f>D7261&amp;E7261&amp;F7261</f>
        <v/>
      </c>
      <c r="C7261" s="1">
        <v>46038</v>
      </c>
    </row>
    <row r="7262" spans="1:3">
      <c r="A7262" s="137" t="str">
        <f>D7262&amp;E7262&amp;F7262</f>
        <v/>
      </c>
      <c r="C7262" s="1">
        <v>46038</v>
      </c>
    </row>
    <row r="7263" spans="1:3">
      <c r="A7263" s="137" t="str">
        <f>D7263&amp;E7263&amp;F7263</f>
        <v/>
      </c>
      <c r="C7263" s="1">
        <v>46038</v>
      </c>
    </row>
    <row r="7264" spans="1:3">
      <c r="A7264" s="137" t="str">
        <f>D7264&amp;E7264&amp;F7264</f>
        <v/>
      </c>
      <c r="C7264" s="1">
        <v>46038</v>
      </c>
    </row>
    <row r="7265" spans="1:3">
      <c r="A7265" s="137" t="str">
        <f>D7265&amp;E7265&amp;F7265</f>
        <v/>
      </c>
      <c r="C7265" s="1">
        <v>46038</v>
      </c>
    </row>
    <row r="7266" spans="1:3">
      <c r="A7266" s="137" t="str">
        <f>D7266&amp;E7266&amp;F7266</f>
        <v/>
      </c>
      <c r="C7266" s="1">
        <v>46038</v>
      </c>
    </row>
    <row r="7267" spans="1:3">
      <c r="A7267" s="137" t="str">
        <f>D7267&amp;E7267&amp;F7267</f>
        <v/>
      </c>
      <c r="C7267" s="1">
        <v>46038</v>
      </c>
    </row>
    <row r="7268" spans="1:3">
      <c r="A7268" s="137" t="str">
        <f>D7268&amp;E7268&amp;F7268</f>
        <v/>
      </c>
      <c r="C7268" s="1">
        <v>46038</v>
      </c>
    </row>
    <row r="7269" spans="1:3">
      <c r="A7269" s="137" t="str">
        <f>D7269&amp;E7269&amp;F7269</f>
        <v/>
      </c>
      <c r="C7269" s="1">
        <v>46038</v>
      </c>
    </row>
    <row r="7270" spans="1:3">
      <c r="A7270" s="137" t="str">
        <f>D7270&amp;E7270&amp;F7270</f>
        <v/>
      </c>
      <c r="C7270" s="1">
        <v>46038</v>
      </c>
    </row>
    <row r="7271" spans="1:3">
      <c r="A7271" s="137" t="str">
        <f>D7271&amp;E7271&amp;F7271</f>
        <v/>
      </c>
      <c r="C7271" s="1">
        <v>46038</v>
      </c>
    </row>
    <row r="7272" spans="1:3">
      <c r="A7272" s="137" t="str">
        <f>D7272&amp;E7272&amp;F7272</f>
        <v/>
      </c>
      <c r="C7272" s="1">
        <v>46038</v>
      </c>
    </row>
    <row r="7273" spans="1:3">
      <c r="A7273" s="137" t="str">
        <f>D7273&amp;E7273&amp;F7273</f>
        <v/>
      </c>
      <c r="C7273" s="1">
        <v>46038</v>
      </c>
    </row>
    <row r="7274" spans="1:3">
      <c r="A7274" s="137" t="str">
        <f>D7274&amp;E7274&amp;F7274</f>
        <v/>
      </c>
      <c r="C7274" s="1">
        <v>46038</v>
      </c>
    </row>
    <row r="7275" spans="1:3">
      <c r="A7275" s="137" t="str">
        <f>D7275&amp;E7275&amp;F7275</f>
        <v/>
      </c>
      <c r="C7275" s="1">
        <v>46038</v>
      </c>
    </row>
    <row r="7276" spans="1:3">
      <c r="A7276" s="137" t="str">
        <f>D7276&amp;E7276&amp;F7276</f>
        <v/>
      </c>
      <c r="C7276" s="1">
        <v>46038</v>
      </c>
    </row>
    <row r="7277" spans="1:3">
      <c r="A7277" s="137" t="str">
        <f>D7277&amp;E7277&amp;F7277</f>
        <v/>
      </c>
      <c r="C7277" s="1">
        <v>46038</v>
      </c>
    </row>
    <row r="7278" spans="1:3">
      <c r="A7278" s="137" t="str">
        <f>D7278&amp;E7278&amp;F7278</f>
        <v/>
      </c>
      <c r="C7278" s="1">
        <v>46038</v>
      </c>
    </row>
    <row r="7279" spans="1:3">
      <c r="A7279" s="137" t="str">
        <f>D7279&amp;E7279&amp;F7279</f>
        <v/>
      </c>
      <c r="C7279" s="1">
        <v>46038</v>
      </c>
    </row>
    <row r="7280" spans="1:3">
      <c r="A7280" s="137" t="str">
        <f>D7280&amp;E7280&amp;F7280</f>
        <v/>
      </c>
      <c r="C7280" s="1">
        <v>46038</v>
      </c>
    </row>
    <row r="7281" spans="1:3">
      <c r="A7281" s="137" t="str">
        <f>D7281&amp;E7281&amp;F7281</f>
        <v/>
      </c>
      <c r="C7281" s="1">
        <v>46038</v>
      </c>
    </row>
    <row r="7282" spans="1:3">
      <c r="A7282" s="137" t="str">
        <f>D7282&amp;E7282&amp;F7282</f>
        <v/>
      </c>
      <c r="C7282" s="1">
        <v>46038</v>
      </c>
    </row>
    <row r="7283" spans="1:3">
      <c r="A7283" s="137" t="str">
        <f>D7283&amp;E7283&amp;F7283</f>
        <v/>
      </c>
      <c r="C7283" s="1">
        <v>46038</v>
      </c>
    </row>
    <row r="7284" spans="1:3">
      <c r="A7284" s="137" t="str">
        <f>D7284&amp;E7284&amp;F7284</f>
        <v/>
      </c>
      <c r="C7284" s="1">
        <v>46038</v>
      </c>
    </row>
    <row r="7285" spans="1:3">
      <c r="A7285" s="137" t="str">
        <f>D7285&amp;E7285&amp;F7285</f>
        <v/>
      </c>
      <c r="C7285" s="1">
        <v>46038</v>
      </c>
    </row>
    <row r="7286" spans="1:3">
      <c r="A7286" s="137" t="str">
        <f>D7286&amp;E7286&amp;F7286</f>
        <v/>
      </c>
      <c r="C7286" s="1">
        <v>46038</v>
      </c>
    </row>
    <row r="7287" spans="1:3">
      <c r="A7287" s="137" t="str">
        <f>D7287&amp;E7287&amp;F7287</f>
        <v/>
      </c>
      <c r="C7287" s="1">
        <v>46038</v>
      </c>
    </row>
    <row r="7288" spans="1:3">
      <c r="A7288" s="137" t="str">
        <f>D7288&amp;E7288&amp;F7288</f>
        <v/>
      </c>
      <c r="C7288" s="1">
        <v>46038</v>
      </c>
    </row>
    <row r="7289" spans="1:3">
      <c r="A7289" s="137" t="str">
        <f>D7289&amp;E7289&amp;F7289</f>
        <v/>
      </c>
      <c r="C7289" s="1">
        <v>46038</v>
      </c>
    </row>
    <row r="7290" spans="1:3">
      <c r="A7290" s="137" t="str">
        <f>D7290&amp;E7290&amp;F7290</f>
        <v/>
      </c>
      <c r="C7290" s="1">
        <v>46038</v>
      </c>
    </row>
    <row r="7291" spans="1:3">
      <c r="A7291" s="137" t="str">
        <f>D7291&amp;E7291&amp;F7291</f>
        <v/>
      </c>
      <c r="C7291" s="1">
        <v>46038</v>
      </c>
    </row>
    <row r="7292" spans="1:3">
      <c r="A7292" s="137" t="str">
        <f>D7292&amp;E7292&amp;F7292</f>
        <v/>
      </c>
      <c r="C7292" s="1">
        <v>46038</v>
      </c>
    </row>
    <row r="7293" spans="1:3">
      <c r="A7293" s="137" t="str">
        <f>D7293&amp;E7293&amp;F7293</f>
        <v/>
      </c>
      <c r="C7293" s="1">
        <v>46038</v>
      </c>
    </row>
    <row r="7294" spans="1:3">
      <c r="A7294" s="137" t="str">
        <f>D7294&amp;E7294&amp;F7294</f>
        <v/>
      </c>
      <c r="C7294" s="1">
        <v>46038</v>
      </c>
    </row>
    <row r="7295" spans="1:3">
      <c r="A7295" s="137" t="str">
        <f>D7295&amp;E7295&amp;F7295</f>
        <v/>
      </c>
      <c r="C7295" s="1">
        <v>46038</v>
      </c>
    </row>
    <row r="7296" spans="1:3">
      <c r="A7296" s="137" t="str">
        <f>D7296&amp;E7296&amp;F7296</f>
        <v/>
      </c>
      <c r="C7296" s="1">
        <v>46038</v>
      </c>
    </row>
    <row r="7297" spans="1:3">
      <c r="A7297" s="137" t="str">
        <f>D7297&amp;E7297&amp;F7297</f>
        <v/>
      </c>
      <c r="C7297" s="1">
        <v>46038</v>
      </c>
    </row>
    <row r="7298" spans="1:3">
      <c r="A7298" s="137" t="str">
        <f>D7298&amp;E7298&amp;F7298</f>
        <v/>
      </c>
      <c r="C7298" s="1">
        <v>46038</v>
      </c>
    </row>
    <row r="7299" spans="1:3">
      <c r="A7299" s="137" t="str">
        <f>D7299&amp;E7299&amp;F7299</f>
        <v/>
      </c>
      <c r="C7299" s="1">
        <v>46038</v>
      </c>
    </row>
    <row r="7300" spans="1:3">
      <c r="A7300" s="137" t="str">
        <f>D7300&amp;E7300&amp;F7300</f>
        <v/>
      </c>
      <c r="C7300" s="1">
        <v>46038</v>
      </c>
    </row>
    <row r="7301" spans="1:3">
      <c r="A7301" s="137" t="str">
        <f>D7301&amp;E7301&amp;F7301</f>
        <v/>
      </c>
      <c r="C7301" s="1">
        <v>46038</v>
      </c>
    </row>
    <row r="7302" spans="1:3">
      <c r="A7302" s="137" t="str">
        <f>D7302&amp;E7302&amp;F7302</f>
        <v/>
      </c>
      <c r="C7302" s="1">
        <v>46038</v>
      </c>
    </row>
    <row r="7303" spans="1:3">
      <c r="A7303" s="137" t="str">
        <f>D7303&amp;E7303&amp;F7303</f>
        <v/>
      </c>
      <c r="C7303" s="1">
        <v>46038</v>
      </c>
    </row>
    <row r="7304" spans="1:3">
      <c r="A7304" s="137" t="str">
        <f>D7304&amp;E7304&amp;F7304</f>
        <v/>
      </c>
      <c r="C7304" s="1">
        <v>46038</v>
      </c>
    </row>
    <row r="7305" spans="1:3">
      <c r="A7305" s="137" t="str">
        <f>D7305&amp;E7305&amp;F7305</f>
        <v/>
      </c>
      <c r="C7305" s="1">
        <v>46038</v>
      </c>
    </row>
    <row r="7306" spans="1:3">
      <c r="A7306" s="137" t="str">
        <f>D7306&amp;E7306&amp;F7306</f>
        <v/>
      </c>
      <c r="C7306" s="1">
        <v>46038</v>
      </c>
    </row>
    <row r="7307" spans="1:3">
      <c r="A7307" s="137" t="str">
        <f>D7307&amp;E7307&amp;F7307</f>
        <v/>
      </c>
      <c r="C7307" s="1">
        <v>46038</v>
      </c>
    </row>
    <row r="7308" spans="1:3">
      <c r="A7308" s="137" t="str">
        <f>D7308&amp;E7308&amp;F7308</f>
        <v/>
      </c>
      <c r="C7308" s="1">
        <v>46038</v>
      </c>
    </row>
    <row r="7309" spans="1:3">
      <c r="A7309" s="137" t="str">
        <f>D7309&amp;E7309&amp;F7309</f>
        <v/>
      </c>
      <c r="C7309" s="1">
        <v>46038</v>
      </c>
    </row>
    <row r="7310" spans="1:3">
      <c r="A7310" s="137" t="str">
        <f>D7310&amp;E7310&amp;F7310</f>
        <v/>
      </c>
      <c r="C7310" s="1">
        <v>46038</v>
      </c>
    </row>
    <row r="7311" spans="1:3">
      <c r="A7311" s="137" t="str">
        <f>D7311&amp;E7311&amp;F7311</f>
        <v/>
      </c>
      <c r="C7311" s="1">
        <v>46038</v>
      </c>
    </row>
    <row r="7312" spans="1:3">
      <c r="A7312" s="137" t="str">
        <f>D7312&amp;E7312&amp;F7312</f>
        <v/>
      </c>
      <c r="C7312" s="1">
        <v>46038</v>
      </c>
    </row>
    <row r="7313" spans="1:13">
      <c r="A7313" s="137" t="str">
        <f>D7313&amp;E7313&amp;F7313</f>
        <v/>
      </c>
      <c r="C7313" s="1">
        <v>46038</v>
      </c>
    </row>
    <row r="7314" spans="1:13">
      <c r="A7314" s="137" t="str">
        <f>D7314&amp;E7314&amp;F7314</f>
        <v/>
      </c>
      <c r="C7314" s="1">
        <v>46038</v>
      </c>
    </row>
    <row r="7315" spans="1:13">
      <c r="A7315" s="137" t="str">
        <f>D7315&amp;E7315&amp;F7315</f>
        <v/>
      </c>
      <c r="C7315" s="1">
        <v>46038</v>
      </c>
    </row>
    <row r="7316" spans="1:13">
      <c r="A7316" s="137" t="str">
        <f>D7316&amp;E7316&amp;F7316</f>
        <v/>
      </c>
      <c r="C7316" s="1">
        <v>46038</v>
      </c>
    </row>
    <row r="7317" spans="1:13">
      <c r="A7317" s="137" t="str">
        <f>D7317&amp;E7317&amp;F7317</f>
        <v/>
      </c>
      <c r="C7317" s="1">
        <v>46038</v>
      </c>
    </row>
    <row r="7318" spans="1:13">
      <c r="A7318" s="137" t="str">
        <f t="shared" ref="A7318:A7381" si="226">D7318&amp;E7318&amp;F7318</f>
        <v/>
      </c>
      <c r="C7318" s="1">
        <v>46038</v>
      </c>
      <c r="M7318" s="136">
        <f>M7317+K7318-L7318</f>
        <v>0</v>
      </c>
    </row>
    <row r="7319" spans="1:13">
      <c r="A7319" s="137" t="str">
        <f t="shared" si="226"/>
        <v/>
      </c>
      <c r="C7319" s="1">
        <v>46038</v>
      </c>
      <c r="M7319" s="136">
        <f>M7318+K7319-L7319</f>
        <v>0</v>
      </c>
    </row>
    <row r="7320" spans="1:13">
      <c r="A7320" s="137" t="str">
        <f t="shared" si="226"/>
        <v/>
      </c>
      <c r="C7320" s="1">
        <v>46038</v>
      </c>
      <c r="M7320" s="136">
        <f>M7319+K7320-L7320</f>
        <v>0</v>
      </c>
    </row>
    <row r="7321" spans="1:13">
      <c r="A7321" s="137" t="str">
        <f t="shared" si="226"/>
        <v/>
      </c>
      <c r="C7321" s="1">
        <v>46038</v>
      </c>
      <c r="M7321" s="136">
        <f>M7320+K7321-L7321</f>
        <v>0</v>
      </c>
    </row>
    <row r="7322" spans="1:13">
      <c r="A7322" s="137" t="str">
        <f t="shared" si="226"/>
        <v/>
      </c>
      <c r="C7322" s="1">
        <v>46038</v>
      </c>
      <c r="M7322" s="136">
        <f>M7321+K7322-L7322</f>
        <v>0</v>
      </c>
    </row>
    <row r="7323" spans="1:13">
      <c r="A7323" s="137" t="str">
        <f t="shared" si="226"/>
        <v/>
      </c>
      <c r="C7323" s="1">
        <v>46038</v>
      </c>
    </row>
    <row r="7324" spans="1:13">
      <c r="A7324" s="137" t="str">
        <f t="shared" si="226"/>
        <v/>
      </c>
      <c r="C7324" s="1">
        <v>46038</v>
      </c>
    </row>
    <row r="7325" spans="1:13">
      <c r="A7325" s="137" t="str">
        <f t="shared" si="226"/>
        <v/>
      </c>
      <c r="C7325" s="1">
        <v>46038</v>
      </c>
    </row>
    <row r="7326" spans="1:13">
      <c r="A7326" s="137" t="str">
        <f t="shared" si="226"/>
        <v/>
      </c>
      <c r="C7326" s="1">
        <v>46038</v>
      </c>
    </row>
    <row r="7327" spans="1:13">
      <c r="A7327" s="137" t="str">
        <f t="shared" si="226"/>
        <v/>
      </c>
      <c r="C7327" s="1">
        <v>46038</v>
      </c>
    </row>
    <row r="7328" spans="1:13">
      <c r="A7328" s="137" t="str">
        <f t="shared" si="226"/>
        <v/>
      </c>
      <c r="C7328" s="1">
        <v>46038</v>
      </c>
    </row>
    <row r="7329" spans="1:3">
      <c r="A7329" s="137" t="str">
        <f t="shared" si="226"/>
        <v/>
      </c>
      <c r="C7329" s="1">
        <v>46038</v>
      </c>
    </row>
    <row r="7330" spans="1:3">
      <c r="A7330" s="137" t="str">
        <f t="shared" si="226"/>
        <v/>
      </c>
      <c r="C7330" s="1">
        <v>46038</v>
      </c>
    </row>
    <row r="7331" spans="1:3">
      <c r="A7331" s="137" t="str">
        <f t="shared" si="226"/>
        <v/>
      </c>
      <c r="C7331" s="1">
        <v>46038</v>
      </c>
    </row>
    <row r="7332" spans="1:3">
      <c r="A7332" s="137" t="str">
        <f t="shared" si="226"/>
        <v/>
      </c>
      <c r="C7332" s="1">
        <v>46038</v>
      </c>
    </row>
    <row r="7333" spans="1:3">
      <c r="A7333" s="137" t="str">
        <f t="shared" si="226"/>
        <v/>
      </c>
      <c r="C7333" s="1">
        <v>46038</v>
      </c>
    </row>
    <row r="7334" spans="1:3">
      <c r="A7334" s="137" t="str">
        <f t="shared" si="226"/>
        <v/>
      </c>
      <c r="C7334" s="1">
        <v>46038</v>
      </c>
    </row>
    <row r="7335" spans="1:3">
      <c r="A7335" s="137" t="str">
        <f t="shared" si="226"/>
        <v/>
      </c>
      <c r="C7335" s="1">
        <v>46038</v>
      </c>
    </row>
    <row r="7336" spans="1:3">
      <c r="A7336" s="137" t="str">
        <f t="shared" si="226"/>
        <v/>
      </c>
      <c r="C7336" s="1">
        <v>46038</v>
      </c>
    </row>
    <row r="7337" spans="1:3">
      <c r="A7337" s="137" t="str">
        <f t="shared" si="226"/>
        <v/>
      </c>
      <c r="C7337" s="1">
        <v>46038</v>
      </c>
    </row>
    <row r="7338" spans="1:3">
      <c r="A7338" s="137" t="str">
        <f t="shared" si="226"/>
        <v/>
      </c>
      <c r="C7338" s="1">
        <v>46038</v>
      </c>
    </row>
    <row r="7339" spans="1:3">
      <c r="A7339" s="137" t="str">
        <f t="shared" si="226"/>
        <v/>
      </c>
      <c r="C7339" s="1">
        <v>46038</v>
      </c>
    </row>
    <row r="7340" spans="1:3">
      <c r="A7340" s="137" t="str">
        <f t="shared" si="226"/>
        <v/>
      </c>
      <c r="C7340" s="1">
        <v>46038</v>
      </c>
    </row>
    <row r="7341" spans="1:3">
      <c r="A7341" s="137" t="str">
        <f t="shared" si="226"/>
        <v/>
      </c>
      <c r="C7341" s="1">
        <v>46038</v>
      </c>
    </row>
    <row r="7342" spans="1:3">
      <c r="A7342" s="137" t="str">
        <f t="shared" si="226"/>
        <v/>
      </c>
      <c r="C7342" s="1">
        <v>46038</v>
      </c>
    </row>
    <row r="7343" spans="1:3">
      <c r="A7343" s="137" t="str">
        <f t="shared" si="226"/>
        <v/>
      </c>
      <c r="C7343" s="1">
        <v>46038</v>
      </c>
    </row>
    <row r="7344" spans="1:3">
      <c r="A7344" s="137" t="str">
        <f t="shared" si="226"/>
        <v/>
      </c>
      <c r="C7344" s="1">
        <v>46038</v>
      </c>
    </row>
    <row r="7345" spans="1:3">
      <c r="A7345" s="137" t="str">
        <f t="shared" si="226"/>
        <v/>
      </c>
      <c r="C7345" s="1">
        <v>46038</v>
      </c>
    </row>
    <row r="7346" spans="1:3">
      <c r="A7346" s="137" t="str">
        <f t="shared" si="226"/>
        <v/>
      </c>
      <c r="C7346" s="1">
        <v>46038</v>
      </c>
    </row>
    <row r="7347" spans="1:3">
      <c r="A7347" s="137" t="str">
        <f t="shared" si="226"/>
        <v/>
      </c>
      <c r="C7347" s="1">
        <v>46038</v>
      </c>
    </row>
    <row r="7348" spans="1:3">
      <c r="A7348" s="137" t="str">
        <f t="shared" si="226"/>
        <v/>
      </c>
      <c r="C7348" s="1">
        <v>46038</v>
      </c>
    </row>
    <row r="7349" spans="1:3">
      <c r="A7349" s="137" t="str">
        <f t="shared" si="226"/>
        <v/>
      </c>
      <c r="C7349" s="1">
        <v>46038</v>
      </c>
    </row>
    <row r="7350" spans="1:3">
      <c r="A7350" s="137" t="str">
        <f t="shared" si="226"/>
        <v/>
      </c>
      <c r="C7350" s="1">
        <v>46038</v>
      </c>
    </row>
    <row r="7351" spans="1:3">
      <c r="A7351" s="137" t="str">
        <f t="shared" si="226"/>
        <v/>
      </c>
      <c r="C7351" s="1">
        <v>46038</v>
      </c>
    </row>
    <row r="7352" spans="1:3">
      <c r="A7352" s="137" t="str">
        <f t="shared" si="226"/>
        <v/>
      </c>
      <c r="C7352" s="1">
        <v>46038</v>
      </c>
    </row>
    <row r="7353" spans="1:3">
      <c r="A7353" s="137" t="str">
        <f t="shared" si="226"/>
        <v/>
      </c>
      <c r="C7353" s="1">
        <v>46038</v>
      </c>
    </row>
    <row r="7354" spans="1:3">
      <c r="A7354" s="137" t="str">
        <f t="shared" si="226"/>
        <v/>
      </c>
      <c r="C7354" s="1">
        <v>46038</v>
      </c>
    </row>
    <row r="7355" spans="1:3">
      <c r="A7355" s="137" t="str">
        <f t="shared" si="226"/>
        <v/>
      </c>
      <c r="C7355" s="1">
        <v>46038</v>
      </c>
    </row>
    <row r="7356" spans="1:3">
      <c r="A7356" s="137" t="str">
        <f t="shared" si="226"/>
        <v/>
      </c>
      <c r="C7356" s="1">
        <v>46038</v>
      </c>
    </row>
    <row r="7357" spans="1:3">
      <c r="A7357" s="137" t="str">
        <f t="shared" si="226"/>
        <v/>
      </c>
      <c r="C7357" s="1">
        <v>46038</v>
      </c>
    </row>
    <row r="7358" spans="1:3">
      <c r="A7358" s="137" t="str">
        <f t="shared" si="226"/>
        <v/>
      </c>
      <c r="C7358" s="1">
        <v>46038</v>
      </c>
    </row>
    <row r="7359" spans="1:3">
      <c r="A7359" s="137" t="str">
        <f t="shared" si="226"/>
        <v/>
      </c>
      <c r="C7359" s="1">
        <v>46038</v>
      </c>
    </row>
    <row r="7360" spans="1:3">
      <c r="A7360" s="137" t="str">
        <f t="shared" si="226"/>
        <v/>
      </c>
      <c r="C7360" s="1">
        <v>46038</v>
      </c>
    </row>
    <row r="7361" spans="1:3">
      <c r="A7361" s="137" t="str">
        <f t="shared" si="226"/>
        <v/>
      </c>
      <c r="C7361" s="1">
        <v>46038</v>
      </c>
    </row>
    <row r="7362" spans="1:3">
      <c r="A7362" s="137" t="str">
        <f t="shared" si="226"/>
        <v/>
      </c>
      <c r="C7362" s="1">
        <v>46038</v>
      </c>
    </row>
    <row r="7363" spans="1:3">
      <c r="A7363" s="137" t="str">
        <f t="shared" si="226"/>
        <v/>
      </c>
      <c r="C7363" s="1">
        <v>46038</v>
      </c>
    </row>
    <row r="7364" spans="1:3">
      <c r="A7364" s="137" t="str">
        <f t="shared" si="226"/>
        <v/>
      </c>
      <c r="C7364" s="1">
        <v>46038</v>
      </c>
    </row>
    <row r="7365" spans="1:3">
      <c r="A7365" s="137" t="str">
        <f t="shared" si="226"/>
        <v/>
      </c>
      <c r="C7365" s="1">
        <v>46038</v>
      </c>
    </row>
    <row r="7366" spans="1:3">
      <c r="A7366" s="137" t="str">
        <f t="shared" si="226"/>
        <v/>
      </c>
      <c r="C7366" s="1">
        <v>46038</v>
      </c>
    </row>
    <row r="7367" spans="1:3">
      <c r="A7367" s="137" t="str">
        <f t="shared" si="226"/>
        <v/>
      </c>
      <c r="C7367" s="1">
        <v>46038</v>
      </c>
    </row>
    <row r="7368" spans="1:3">
      <c r="A7368" s="137" t="str">
        <f t="shared" si="226"/>
        <v/>
      </c>
      <c r="C7368" s="1">
        <v>46038</v>
      </c>
    </row>
    <row r="7369" spans="1:3">
      <c r="A7369" s="137" t="str">
        <f t="shared" si="226"/>
        <v/>
      </c>
      <c r="C7369" s="1">
        <v>46038</v>
      </c>
    </row>
    <row r="7370" spans="1:3">
      <c r="A7370" s="137" t="str">
        <f t="shared" si="226"/>
        <v/>
      </c>
      <c r="C7370" s="1">
        <v>46038</v>
      </c>
    </row>
    <row r="7371" spans="1:3">
      <c r="A7371" s="137" t="str">
        <f t="shared" si="226"/>
        <v/>
      </c>
      <c r="C7371" s="1">
        <v>46038</v>
      </c>
    </row>
    <row r="7372" spans="1:3">
      <c r="A7372" s="137" t="str">
        <f t="shared" si="226"/>
        <v/>
      </c>
      <c r="C7372" s="1">
        <v>46038</v>
      </c>
    </row>
    <row r="7373" spans="1:3">
      <c r="A7373" s="137" t="str">
        <f t="shared" si="226"/>
        <v/>
      </c>
      <c r="C7373" s="1">
        <v>46038</v>
      </c>
    </row>
    <row r="7374" spans="1:3">
      <c r="A7374" s="137" t="str">
        <f t="shared" si="226"/>
        <v/>
      </c>
      <c r="C7374" s="1">
        <v>46038</v>
      </c>
    </row>
    <row r="7375" spans="1:3">
      <c r="A7375" s="137" t="str">
        <f t="shared" si="226"/>
        <v/>
      </c>
      <c r="C7375" s="1">
        <v>46038</v>
      </c>
    </row>
    <row r="7376" spans="1:3">
      <c r="A7376" s="137" t="str">
        <f t="shared" si="226"/>
        <v/>
      </c>
      <c r="C7376" s="1">
        <v>46038</v>
      </c>
    </row>
    <row r="7377" spans="1:3">
      <c r="A7377" s="137" t="str">
        <f t="shared" si="226"/>
        <v/>
      </c>
      <c r="C7377" s="1">
        <v>46038</v>
      </c>
    </row>
    <row r="7378" spans="1:3">
      <c r="A7378" s="137" t="str">
        <f t="shared" si="226"/>
        <v/>
      </c>
      <c r="C7378" s="1">
        <v>46038</v>
      </c>
    </row>
    <row r="7379" spans="1:3">
      <c r="A7379" s="137" t="str">
        <f t="shared" si="226"/>
        <v/>
      </c>
      <c r="C7379" s="1">
        <v>46038</v>
      </c>
    </row>
    <row r="7380" spans="1:3">
      <c r="A7380" s="137" t="str">
        <f t="shared" si="226"/>
        <v/>
      </c>
      <c r="C7380" s="1">
        <v>46038</v>
      </c>
    </row>
    <row r="7381" spans="1:3">
      <c r="A7381" s="137" t="str">
        <f t="shared" si="226"/>
        <v/>
      </c>
      <c r="C7381" s="1">
        <v>46038</v>
      </c>
    </row>
    <row r="7382" spans="1:3">
      <c r="A7382" s="137" t="str">
        <f t="shared" ref="A7382:A7445" si="227">D7382&amp;E7382&amp;F7382</f>
        <v/>
      </c>
      <c r="C7382" s="1">
        <v>46038</v>
      </c>
    </row>
    <row r="7383" spans="1:3">
      <c r="A7383" s="137" t="str">
        <f t="shared" si="227"/>
        <v/>
      </c>
      <c r="C7383" s="1">
        <v>46038</v>
      </c>
    </row>
    <row r="7384" spans="1:3">
      <c r="A7384" s="137" t="str">
        <f t="shared" si="227"/>
        <v/>
      </c>
      <c r="C7384" s="1">
        <v>46038</v>
      </c>
    </row>
    <row r="7385" spans="1:3">
      <c r="A7385" s="137" t="str">
        <f t="shared" si="227"/>
        <v/>
      </c>
      <c r="C7385" s="1">
        <v>46038</v>
      </c>
    </row>
    <row r="7386" spans="1:3">
      <c r="A7386" s="137" t="str">
        <f t="shared" si="227"/>
        <v/>
      </c>
      <c r="C7386" s="1">
        <v>46038</v>
      </c>
    </row>
    <row r="7387" spans="1:3">
      <c r="A7387" s="137" t="str">
        <f t="shared" si="227"/>
        <v/>
      </c>
      <c r="C7387" s="1">
        <v>46038</v>
      </c>
    </row>
    <row r="7388" spans="1:3">
      <c r="A7388" s="137" t="str">
        <f t="shared" si="227"/>
        <v/>
      </c>
      <c r="C7388" s="1">
        <v>46038</v>
      </c>
    </row>
    <row r="7389" spans="1:3">
      <c r="A7389" s="137" t="str">
        <f t="shared" si="227"/>
        <v/>
      </c>
      <c r="C7389" s="1">
        <v>46038</v>
      </c>
    </row>
    <row r="7390" spans="1:3">
      <c r="A7390" s="137" t="str">
        <f t="shared" si="227"/>
        <v/>
      </c>
      <c r="C7390" s="1">
        <v>46038</v>
      </c>
    </row>
    <row r="7391" spans="1:3">
      <c r="A7391" s="137" t="str">
        <f t="shared" si="227"/>
        <v/>
      </c>
      <c r="C7391" s="1">
        <v>46038</v>
      </c>
    </row>
    <row r="7392" spans="1:3">
      <c r="A7392" s="137" t="str">
        <f t="shared" si="227"/>
        <v/>
      </c>
      <c r="C7392" s="1">
        <v>46038</v>
      </c>
    </row>
    <row r="7393" spans="1:3">
      <c r="A7393" s="137" t="str">
        <f t="shared" si="227"/>
        <v/>
      </c>
      <c r="C7393" s="1">
        <v>46038</v>
      </c>
    </row>
    <row r="7394" spans="1:3">
      <c r="A7394" s="137" t="str">
        <f t="shared" si="227"/>
        <v/>
      </c>
      <c r="C7394" s="1">
        <v>46038</v>
      </c>
    </row>
    <row r="7395" spans="1:3">
      <c r="A7395" s="137" t="str">
        <f t="shared" si="227"/>
        <v/>
      </c>
      <c r="C7395" s="1">
        <v>46038</v>
      </c>
    </row>
    <row r="7396" spans="1:3">
      <c r="A7396" s="137" t="str">
        <f t="shared" si="227"/>
        <v/>
      </c>
      <c r="C7396" s="1">
        <v>46038</v>
      </c>
    </row>
    <row r="7397" spans="1:3">
      <c r="A7397" s="137" t="str">
        <f t="shared" si="227"/>
        <v/>
      </c>
      <c r="C7397" s="1">
        <v>46038</v>
      </c>
    </row>
    <row r="7398" spans="1:3">
      <c r="A7398" s="137" t="str">
        <f t="shared" si="227"/>
        <v/>
      </c>
      <c r="C7398" s="1">
        <v>46038</v>
      </c>
    </row>
    <row r="7399" spans="1:3">
      <c r="A7399" s="137" t="str">
        <f t="shared" si="227"/>
        <v/>
      </c>
      <c r="C7399" s="1">
        <v>46038</v>
      </c>
    </row>
    <row r="7400" spans="1:3">
      <c r="A7400" s="137" t="str">
        <f t="shared" si="227"/>
        <v/>
      </c>
      <c r="C7400" s="1">
        <v>46038</v>
      </c>
    </row>
    <row r="7401" spans="1:3">
      <c r="A7401" s="137" t="str">
        <f t="shared" si="227"/>
        <v/>
      </c>
      <c r="C7401" s="1">
        <v>46038</v>
      </c>
    </row>
    <row r="7402" spans="1:3">
      <c r="A7402" s="137" t="str">
        <f t="shared" si="227"/>
        <v/>
      </c>
      <c r="C7402" s="1">
        <v>46038</v>
      </c>
    </row>
    <row r="7403" spans="1:3">
      <c r="A7403" s="137" t="str">
        <f t="shared" si="227"/>
        <v/>
      </c>
      <c r="C7403" s="1">
        <v>46038</v>
      </c>
    </row>
    <row r="7404" spans="1:3">
      <c r="A7404" s="137" t="str">
        <f t="shared" si="227"/>
        <v/>
      </c>
      <c r="C7404" s="1">
        <v>46038</v>
      </c>
    </row>
    <row r="7405" spans="1:3">
      <c r="A7405" s="137" t="str">
        <f t="shared" si="227"/>
        <v/>
      </c>
      <c r="C7405" s="1">
        <v>46038</v>
      </c>
    </row>
    <row r="7406" spans="1:3">
      <c r="A7406" s="137" t="str">
        <f t="shared" si="227"/>
        <v/>
      </c>
      <c r="C7406" s="1">
        <v>46038</v>
      </c>
    </row>
    <row r="7407" spans="1:3">
      <c r="A7407" s="137" t="str">
        <f t="shared" si="227"/>
        <v/>
      </c>
      <c r="C7407" s="1">
        <v>46038</v>
      </c>
    </row>
    <row r="7408" spans="1:3">
      <c r="A7408" s="137" t="str">
        <f t="shared" si="227"/>
        <v/>
      </c>
      <c r="C7408" s="1">
        <v>46038</v>
      </c>
    </row>
    <row r="7409" spans="1:3">
      <c r="A7409" s="137" t="str">
        <f t="shared" si="227"/>
        <v/>
      </c>
      <c r="C7409" s="1">
        <v>46038</v>
      </c>
    </row>
    <row r="7410" spans="1:3">
      <c r="A7410" s="137" t="str">
        <f t="shared" si="227"/>
        <v/>
      </c>
      <c r="C7410" s="1">
        <v>46038</v>
      </c>
    </row>
    <row r="7411" spans="1:3">
      <c r="A7411" s="137" t="str">
        <f t="shared" si="227"/>
        <v/>
      </c>
      <c r="C7411" s="1">
        <v>46038</v>
      </c>
    </row>
    <row r="7412" spans="1:3">
      <c r="A7412" s="137" t="str">
        <f t="shared" si="227"/>
        <v/>
      </c>
      <c r="C7412" s="1">
        <v>46038</v>
      </c>
    </row>
    <row r="7413" spans="1:3">
      <c r="A7413" s="137" t="str">
        <f t="shared" si="227"/>
        <v/>
      </c>
      <c r="C7413" s="1">
        <v>46038</v>
      </c>
    </row>
    <row r="7414" spans="1:3">
      <c r="A7414" s="137" t="str">
        <f t="shared" si="227"/>
        <v/>
      </c>
      <c r="C7414" s="1">
        <v>46038</v>
      </c>
    </row>
    <row r="7415" spans="1:3">
      <c r="A7415" s="137" t="str">
        <f t="shared" si="227"/>
        <v/>
      </c>
      <c r="C7415" s="1">
        <v>46038</v>
      </c>
    </row>
    <row r="7416" spans="1:3">
      <c r="A7416" s="137" t="str">
        <f t="shared" si="227"/>
        <v/>
      </c>
      <c r="C7416" s="1">
        <v>46038</v>
      </c>
    </row>
    <row r="7417" spans="1:3">
      <c r="A7417" s="137" t="str">
        <f t="shared" si="227"/>
        <v/>
      </c>
      <c r="C7417" s="1">
        <v>46038</v>
      </c>
    </row>
    <row r="7418" spans="1:3">
      <c r="A7418" s="137" t="str">
        <f t="shared" si="227"/>
        <v/>
      </c>
      <c r="C7418" s="1">
        <v>46038</v>
      </c>
    </row>
    <row r="7419" spans="1:3">
      <c r="A7419" s="137" t="str">
        <f t="shared" si="227"/>
        <v/>
      </c>
      <c r="C7419" s="1">
        <v>46038</v>
      </c>
    </row>
    <row r="7420" spans="1:3">
      <c r="A7420" s="137" t="str">
        <f t="shared" si="227"/>
        <v/>
      </c>
      <c r="C7420" s="1">
        <v>46038</v>
      </c>
    </row>
    <row r="7421" spans="1:3">
      <c r="A7421" s="137" t="str">
        <f t="shared" si="227"/>
        <v/>
      </c>
      <c r="C7421" s="1">
        <v>46038</v>
      </c>
    </row>
    <row r="7422" spans="1:3">
      <c r="A7422" s="137" t="str">
        <f t="shared" si="227"/>
        <v/>
      </c>
      <c r="C7422" s="1">
        <v>46038</v>
      </c>
    </row>
    <row r="7423" spans="1:3">
      <c r="A7423" s="137" t="str">
        <f t="shared" si="227"/>
        <v/>
      </c>
      <c r="C7423" s="1">
        <v>46038</v>
      </c>
    </row>
    <row r="7424" spans="1:3">
      <c r="A7424" s="137" t="str">
        <f t="shared" si="227"/>
        <v/>
      </c>
      <c r="C7424" s="1">
        <v>46038</v>
      </c>
    </row>
    <row r="7425" spans="1:3">
      <c r="A7425" s="137" t="str">
        <f t="shared" si="227"/>
        <v/>
      </c>
      <c r="C7425" s="1">
        <v>46038</v>
      </c>
    </row>
    <row r="7426" spans="1:3">
      <c r="A7426" s="137" t="str">
        <f t="shared" si="227"/>
        <v/>
      </c>
      <c r="C7426" s="1">
        <v>46038</v>
      </c>
    </row>
    <row r="7427" spans="1:3">
      <c r="A7427" s="137" t="str">
        <f t="shared" si="227"/>
        <v/>
      </c>
      <c r="C7427" s="1">
        <v>46038</v>
      </c>
    </row>
    <row r="7428" spans="1:3">
      <c r="A7428" s="137" t="str">
        <f t="shared" si="227"/>
        <v/>
      </c>
      <c r="C7428" s="1">
        <v>46038</v>
      </c>
    </row>
    <row r="7429" spans="1:3">
      <c r="A7429" s="137" t="str">
        <f t="shared" si="227"/>
        <v/>
      </c>
      <c r="C7429" s="1">
        <v>46038</v>
      </c>
    </row>
    <row r="7430" spans="1:3">
      <c r="A7430" s="137" t="str">
        <f t="shared" si="227"/>
        <v/>
      </c>
      <c r="C7430" s="1">
        <v>46038</v>
      </c>
    </row>
    <row r="7431" spans="1:3">
      <c r="A7431" s="137" t="str">
        <f t="shared" si="227"/>
        <v/>
      </c>
      <c r="C7431" s="1">
        <v>46038</v>
      </c>
    </row>
    <row r="7432" spans="1:3">
      <c r="A7432" s="137" t="str">
        <f t="shared" si="227"/>
        <v/>
      </c>
      <c r="C7432" s="1">
        <v>46038</v>
      </c>
    </row>
    <row r="7433" spans="1:3">
      <c r="A7433" s="137" t="str">
        <f t="shared" si="227"/>
        <v/>
      </c>
      <c r="C7433" s="1">
        <v>46038</v>
      </c>
    </row>
    <row r="7434" spans="1:3">
      <c r="A7434" s="137" t="str">
        <f t="shared" si="227"/>
        <v/>
      </c>
      <c r="C7434" s="1">
        <v>46038</v>
      </c>
    </row>
    <row r="7435" spans="1:3">
      <c r="A7435" s="137" t="str">
        <f t="shared" si="227"/>
        <v/>
      </c>
      <c r="C7435" s="1">
        <v>46038</v>
      </c>
    </row>
    <row r="7436" spans="1:3">
      <c r="A7436" s="137" t="str">
        <f t="shared" si="227"/>
        <v/>
      </c>
      <c r="C7436" s="1">
        <v>46038</v>
      </c>
    </row>
    <row r="7437" spans="1:3">
      <c r="A7437" s="137" t="str">
        <f t="shared" si="227"/>
        <v/>
      </c>
      <c r="C7437" s="1">
        <v>46038</v>
      </c>
    </row>
    <row r="7438" spans="1:3">
      <c r="A7438" s="137" t="str">
        <f t="shared" si="227"/>
        <v/>
      </c>
      <c r="C7438" s="1">
        <v>46038</v>
      </c>
    </row>
    <row r="7439" spans="1:3">
      <c r="A7439" s="137" t="str">
        <f t="shared" si="227"/>
        <v/>
      </c>
      <c r="C7439" s="1">
        <v>46038</v>
      </c>
    </row>
    <row r="7440" spans="1:3">
      <c r="A7440" s="137" t="str">
        <f t="shared" si="227"/>
        <v/>
      </c>
      <c r="C7440" s="1">
        <v>46038</v>
      </c>
    </row>
    <row r="7441" spans="1:3">
      <c r="A7441" s="137" t="str">
        <f t="shared" si="227"/>
        <v/>
      </c>
      <c r="C7441" s="1">
        <v>46038</v>
      </c>
    </row>
    <row r="7442" spans="1:3">
      <c r="A7442" s="137" t="str">
        <f t="shared" si="227"/>
        <v/>
      </c>
      <c r="C7442" s="1">
        <v>46038</v>
      </c>
    </row>
    <row r="7443" spans="1:3">
      <c r="A7443" s="137" t="str">
        <f t="shared" si="227"/>
        <v/>
      </c>
      <c r="C7443" s="1">
        <v>46038</v>
      </c>
    </row>
    <row r="7444" spans="1:3">
      <c r="A7444" s="137" t="str">
        <f t="shared" si="227"/>
        <v/>
      </c>
      <c r="C7444" s="1">
        <v>46038</v>
      </c>
    </row>
    <row r="7445" spans="1:3">
      <c r="A7445" s="137" t="str">
        <f t="shared" si="227"/>
        <v/>
      </c>
      <c r="C7445" s="1">
        <v>46038</v>
      </c>
    </row>
    <row r="7446" spans="1:3">
      <c r="A7446" s="137" t="str">
        <f t="shared" ref="A7446:A7509" si="228">D7446&amp;E7446&amp;F7446</f>
        <v/>
      </c>
      <c r="C7446" s="1">
        <v>46038</v>
      </c>
    </row>
    <row r="7447" spans="1:3">
      <c r="A7447" s="137" t="str">
        <f t="shared" si="228"/>
        <v/>
      </c>
      <c r="C7447" s="1">
        <v>46038</v>
      </c>
    </row>
    <row r="7448" spans="1:3">
      <c r="A7448" s="137" t="str">
        <f t="shared" si="228"/>
        <v/>
      </c>
      <c r="C7448" s="1">
        <v>46038</v>
      </c>
    </row>
    <row r="7449" spans="1:3">
      <c r="A7449" s="137" t="str">
        <f t="shared" si="228"/>
        <v/>
      </c>
      <c r="C7449" s="1">
        <v>46038</v>
      </c>
    </row>
    <row r="7450" spans="1:3">
      <c r="A7450" s="137" t="str">
        <f t="shared" si="228"/>
        <v/>
      </c>
      <c r="C7450" s="1">
        <v>46038</v>
      </c>
    </row>
    <row r="7451" spans="1:3">
      <c r="A7451" s="137" t="str">
        <f t="shared" si="228"/>
        <v/>
      </c>
      <c r="C7451" s="1">
        <v>46038</v>
      </c>
    </row>
    <row r="7452" spans="1:3">
      <c r="A7452" s="137" t="str">
        <f t="shared" si="228"/>
        <v/>
      </c>
      <c r="C7452" s="1">
        <v>46038</v>
      </c>
    </row>
    <row r="7453" spans="1:3">
      <c r="A7453" s="137" t="str">
        <f t="shared" si="228"/>
        <v/>
      </c>
      <c r="C7453" s="1">
        <v>46038</v>
      </c>
    </row>
    <row r="7454" spans="1:3">
      <c r="A7454" s="137" t="str">
        <f t="shared" si="228"/>
        <v/>
      </c>
      <c r="C7454" s="1">
        <v>46038</v>
      </c>
    </row>
    <row r="7455" spans="1:3">
      <c r="A7455" s="137" t="str">
        <f t="shared" si="228"/>
        <v/>
      </c>
      <c r="C7455" s="1">
        <v>46038</v>
      </c>
    </row>
    <row r="7456" spans="1:3">
      <c r="A7456" s="137" t="str">
        <f t="shared" si="228"/>
        <v/>
      </c>
      <c r="C7456" s="1">
        <v>46038</v>
      </c>
    </row>
    <row r="7457" spans="1:3">
      <c r="A7457" s="137" t="str">
        <f t="shared" si="228"/>
        <v/>
      </c>
      <c r="C7457" s="1">
        <v>46038</v>
      </c>
    </row>
    <row r="7458" spans="1:3">
      <c r="A7458" s="137" t="str">
        <f t="shared" si="228"/>
        <v/>
      </c>
      <c r="C7458" s="1">
        <v>46038</v>
      </c>
    </row>
    <row r="7459" spans="1:3">
      <c r="A7459" s="137" t="str">
        <f t="shared" si="228"/>
        <v/>
      </c>
      <c r="C7459" s="1">
        <v>46038</v>
      </c>
    </row>
    <row r="7460" spans="1:3">
      <c r="A7460" s="137" t="str">
        <f t="shared" si="228"/>
        <v/>
      </c>
      <c r="C7460" s="1">
        <v>46038</v>
      </c>
    </row>
    <row r="7461" spans="1:3">
      <c r="A7461" s="137" t="str">
        <f t="shared" si="228"/>
        <v/>
      </c>
      <c r="C7461" s="1">
        <v>46038</v>
      </c>
    </row>
    <row r="7462" spans="1:3">
      <c r="A7462" s="137" t="str">
        <f t="shared" si="228"/>
        <v/>
      </c>
      <c r="C7462" s="1">
        <v>46038</v>
      </c>
    </row>
    <row r="7463" spans="1:3">
      <c r="A7463" s="137" t="str">
        <f t="shared" si="228"/>
        <v/>
      </c>
      <c r="C7463" s="1">
        <v>46038</v>
      </c>
    </row>
    <row r="7464" spans="1:3">
      <c r="A7464" s="137" t="str">
        <f t="shared" si="228"/>
        <v/>
      </c>
      <c r="C7464" s="1">
        <v>46038</v>
      </c>
    </row>
    <row r="7465" spans="1:3">
      <c r="A7465" s="137" t="str">
        <f t="shared" si="228"/>
        <v/>
      </c>
      <c r="C7465" s="1">
        <v>46038</v>
      </c>
    </row>
    <row r="7466" spans="1:3">
      <c r="A7466" s="137" t="str">
        <f t="shared" si="228"/>
        <v/>
      </c>
      <c r="C7466" s="1">
        <v>46038</v>
      </c>
    </row>
    <row r="7467" spans="1:3">
      <c r="A7467" s="137" t="str">
        <f t="shared" si="228"/>
        <v/>
      </c>
      <c r="C7467" s="1">
        <v>46038</v>
      </c>
    </row>
    <row r="7468" spans="1:3">
      <c r="A7468" s="137" t="str">
        <f t="shared" si="228"/>
        <v/>
      </c>
      <c r="C7468" s="1">
        <v>46038</v>
      </c>
    </row>
    <row r="7469" spans="1:3">
      <c r="A7469" s="137" t="str">
        <f t="shared" si="228"/>
        <v/>
      </c>
      <c r="C7469" s="1">
        <v>46038</v>
      </c>
    </row>
    <row r="7470" spans="1:3">
      <c r="A7470" s="137" t="str">
        <f t="shared" si="228"/>
        <v/>
      </c>
      <c r="C7470" s="1">
        <v>46038</v>
      </c>
    </row>
    <row r="7471" spans="1:3">
      <c r="A7471" s="137" t="str">
        <f t="shared" si="228"/>
        <v/>
      </c>
      <c r="C7471" s="1">
        <v>46038</v>
      </c>
    </row>
    <row r="7472" spans="1:3">
      <c r="A7472" s="137" t="str">
        <f t="shared" si="228"/>
        <v/>
      </c>
      <c r="C7472" s="1">
        <v>46038</v>
      </c>
    </row>
    <row r="7473" spans="1:3">
      <c r="A7473" s="137" t="str">
        <f t="shared" si="228"/>
        <v/>
      </c>
      <c r="C7473" s="1">
        <v>46038</v>
      </c>
    </row>
    <row r="7474" spans="1:3">
      <c r="A7474" s="137" t="str">
        <f t="shared" si="228"/>
        <v/>
      </c>
      <c r="C7474" s="1">
        <v>46038</v>
      </c>
    </row>
    <row r="7475" spans="1:3">
      <c r="A7475" s="137" t="str">
        <f t="shared" si="228"/>
        <v/>
      </c>
      <c r="C7475" s="1">
        <v>46038</v>
      </c>
    </row>
    <row r="7476" spans="1:3">
      <c r="A7476" s="137" t="str">
        <f t="shared" si="228"/>
        <v/>
      </c>
      <c r="C7476" s="1">
        <v>46038</v>
      </c>
    </row>
    <row r="7477" spans="1:3">
      <c r="A7477" s="137" t="str">
        <f t="shared" si="228"/>
        <v/>
      </c>
      <c r="C7477" s="1">
        <v>46038</v>
      </c>
    </row>
    <row r="7478" spans="1:3">
      <c r="A7478" s="137" t="str">
        <f t="shared" si="228"/>
        <v/>
      </c>
      <c r="C7478" s="1">
        <v>46038</v>
      </c>
    </row>
    <row r="7479" spans="1:3">
      <c r="A7479" s="137" t="str">
        <f t="shared" si="228"/>
        <v/>
      </c>
      <c r="C7479" s="1">
        <v>46038</v>
      </c>
    </row>
    <row r="7480" spans="1:3">
      <c r="A7480" s="137" t="str">
        <f t="shared" si="228"/>
        <v/>
      </c>
      <c r="C7480" s="1">
        <v>46038</v>
      </c>
    </row>
    <row r="7481" spans="1:3">
      <c r="A7481" s="137" t="str">
        <f t="shared" si="228"/>
        <v/>
      </c>
      <c r="C7481" s="1">
        <v>46038</v>
      </c>
    </row>
    <row r="7482" spans="1:3">
      <c r="A7482" s="137" t="str">
        <f t="shared" si="228"/>
        <v/>
      </c>
      <c r="C7482" s="1">
        <v>46038</v>
      </c>
    </row>
    <row r="7483" spans="1:3">
      <c r="A7483" s="137" t="str">
        <f t="shared" si="228"/>
        <v/>
      </c>
      <c r="C7483" s="1">
        <v>46038</v>
      </c>
    </row>
    <row r="7484" spans="1:3">
      <c r="A7484" s="137" t="str">
        <f t="shared" si="228"/>
        <v/>
      </c>
      <c r="C7484" s="1">
        <v>46038</v>
      </c>
    </row>
    <row r="7485" spans="1:3">
      <c r="A7485" s="137" t="str">
        <f t="shared" si="228"/>
        <v/>
      </c>
      <c r="C7485" s="1">
        <v>46038</v>
      </c>
    </row>
    <row r="7486" spans="1:3">
      <c r="A7486" s="137" t="str">
        <f t="shared" si="228"/>
        <v/>
      </c>
      <c r="C7486" s="1">
        <v>46038</v>
      </c>
    </row>
    <row r="7487" spans="1:3">
      <c r="A7487" s="137" t="str">
        <f t="shared" si="228"/>
        <v/>
      </c>
      <c r="C7487" s="1">
        <v>46038</v>
      </c>
    </row>
    <row r="7488" spans="1:3">
      <c r="A7488" s="137" t="str">
        <f t="shared" si="228"/>
        <v/>
      </c>
      <c r="C7488" s="1">
        <v>46038</v>
      </c>
    </row>
    <row r="7489" spans="1:3">
      <c r="A7489" s="137" t="str">
        <f t="shared" si="228"/>
        <v/>
      </c>
      <c r="C7489" s="1">
        <v>46038</v>
      </c>
    </row>
    <row r="7490" spans="1:3">
      <c r="A7490" s="137" t="str">
        <f t="shared" si="228"/>
        <v/>
      </c>
      <c r="C7490" s="1">
        <v>46038</v>
      </c>
    </row>
    <row r="7491" spans="1:3">
      <c r="A7491" s="137" t="str">
        <f t="shared" si="228"/>
        <v/>
      </c>
      <c r="C7491" s="1">
        <v>46038</v>
      </c>
    </row>
    <row r="7492" spans="1:3">
      <c r="A7492" s="137" t="str">
        <f t="shared" si="228"/>
        <v/>
      </c>
      <c r="C7492" s="1">
        <v>46038</v>
      </c>
    </row>
    <row r="7493" spans="1:3">
      <c r="A7493" s="137" t="str">
        <f t="shared" si="228"/>
        <v/>
      </c>
      <c r="C7493" s="1">
        <v>46038</v>
      </c>
    </row>
    <row r="7494" spans="1:3">
      <c r="A7494" s="137" t="str">
        <f t="shared" si="228"/>
        <v/>
      </c>
      <c r="C7494" s="1">
        <v>46038</v>
      </c>
    </row>
    <row r="7495" spans="1:3">
      <c r="A7495" s="137" t="str">
        <f t="shared" si="228"/>
        <v/>
      </c>
      <c r="C7495" s="1">
        <v>46038</v>
      </c>
    </row>
    <row r="7496" spans="1:3">
      <c r="A7496" s="137" t="str">
        <f t="shared" si="228"/>
        <v/>
      </c>
      <c r="C7496" s="1">
        <v>46038</v>
      </c>
    </row>
    <row r="7497" spans="1:3">
      <c r="A7497" s="137" t="str">
        <f t="shared" si="228"/>
        <v/>
      </c>
      <c r="C7497" s="1">
        <v>46038</v>
      </c>
    </row>
    <row r="7498" spans="1:3">
      <c r="A7498" s="137" t="str">
        <f t="shared" si="228"/>
        <v/>
      </c>
      <c r="C7498" s="1">
        <v>46038</v>
      </c>
    </row>
    <row r="7499" spans="1:3">
      <c r="A7499" s="137" t="str">
        <f t="shared" si="228"/>
        <v/>
      </c>
      <c r="C7499" s="1">
        <v>46038</v>
      </c>
    </row>
    <row r="7500" spans="1:3">
      <c r="A7500" s="137" t="str">
        <f t="shared" si="228"/>
        <v/>
      </c>
      <c r="C7500" s="1">
        <v>46038</v>
      </c>
    </row>
    <row r="7501" spans="1:3">
      <c r="A7501" s="137" t="str">
        <f t="shared" si="228"/>
        <v/>
      </c>
      <c r="C7501" s="1">
        <v>46038</v>
      </c>
    </row>
    <row r="7502" spans="1:3">
      <c r="A7502" s="137" t="str">
        <f t="shared" si="228"/>
        <v/>
      </c>
      <c r="C7502" s="1">
        <v>46038</v>
      </c>
    </row>
    <row r="7503" spans="1:3">
      <c r="A7503" s="137" t="str">
        <f t="shared" si="228"/>
        <v/>
      </c>
      <c r="C7503" s="1">
        <v>46038</v>
      </c>
    </row>
    <row r="7504" spans="1:3">
      <c r="A7504" s="137" t="str">
        <f t="shared" si="228"/>
        <v/>
      </c>
      <c r="C7504" s="1">
        <v>46038</v>
      </c>
    </row>
    <row r="7505" spans="1:3">
      <c r="A7505" s="137" t="str">
        <f t="shared" si="228"/>
        <v/>
      </c>
      <c r="C7505" s="1">
        <v>46038</v>
      </c>
    </row>
    <row r="7506" spans="1:3">
      <c r="A7506" s="137" t="str">
        <f t="shared" si="228"/>
        <v/>
      </c>
      <c r="C7506" s="1">
        <v>46038</v>
      </c>
    </row>
    <row r="7507" spans="1:3">
      <c r="A7507" s="137" t="str">
        <f t="shared" si="228"/>
        <v/>
      </c>
      <c r="C7507" s="1">
        <v>46038</v>
      </c>
    </row>
    <row r="7508" spans="1:3">
      <c r="A7508" s="137" t="str">
        <f t="shared" si="228"/>
        <v/>
      </c>
      <c r="C7508" s="1">
        <v>46038</v>
      </c>
    </row>
    <row r="7509" spans="1:3">
      <c r="A7509" s="137" t="str">
        <f t="shared" si="228"/>
        <v/>
      </c>
      <c r="C7509" s="1">
        <v>46038</v>
      </c>
    </row>
    <row r="7510" spans="1:3">
      <c r="A7510" s="137" t="str">
        <f t="shared" ref="A7510:A7573" si="229">D7510&amp;E7510&amp;F7510</f>
        <v/>
      </c>
      <c r="C7510" s="1">
        <v>46038</v>
      </c>
    </row>
    <row r="7511" spans="1:3">
      <c r="A7511" s="137" t="str">
        <f t="shared" si="229"/>
        <v/>
      </c>
      <c r="C7511" s="1">
        <v>46038</v>
      </c>
    </row>
    <row r="7512" spans="1:3">
      <c r="A7512" s="137" t="str">
        <f t="shared" si="229"/>
        <v/>
      </c>
      <c r="C7512" s="1">
        <v>46038</v>
      </c>
    </row>
    <row r="7513" spans="1:3">
      <c r="A7513" s="137" t="str">
        <f t="shared" si="229"/>
        <v/>
      </c>
      <c r="C7513" s="1">
        <v>46038</v>
      </c>
    </row>
    <row r="7514" spans="1:3">
      <c r="A7514" s="137" t="str">
        <f t="shared" si="229"/>
        <v/>
      </c>
      <c r="C7514" s="1">
        <v>46038</v>
      </c>
    </row>
    <row r="7515" spans="1:3">
      <c r="A7515" s="137" t="str">
        <f t="shared" si="229"/>
        <v/>
      </c>
      <c r="C7515" s="1">
        <v>46038</v>
      </c>
    </row>
    <row r="7516" spans="1:3">
      <c r="A7516" s="137" t="str">
        <f t="shared" si="229"/>
        <v/>
      </c>
      <c r="C7516" s="1">
        <v>46038</v>
      </c>
    </row>
    <row r="7517" spans="1:3">
      <c r="A7517" s="137" t="str">
        <f t="shared" si="229"/>
        <v/>
      </c>
      <c r="C7517" s="1">
        <v>46038</v>
      </c>
    </row>
    <row r="7518" spans="1:3">
      <c r="A7518" s="137" t="str">
        <f t="shared" si="229"/>
        <v/>
      </c>
      <c r="C7518" s="1">
        <v>46038</v>
      </c>
    </row>
    <row r="7519" spans="1:3">
      <c r="A7519" s="137" t="str">
        <f t="shared" si="229"/>
        <v/>
      </c>
      <c r="C7519" s="1">
        <v>46038</v>
      </c>
    </row>
    <row r="7520" spans="1:3">
      <c r="A7520" s="137" t="str">
        <f t="shared" si="229"/>
        <v/>
      </c>
      <c r="C7520" s="1">
        <v>46038</v>
      </c>
    </row>
    <row r="7521" spans="1:3">
      <c r="A7521" s="137" t="str">
        <f t="shared" si="229"/>
        <v/>
      </c>
      <c r="C7521" s="1">
        <v>46038</v>
      </c>
    </row>
    <row r="7522" spans="1:3">
      <c r="A7522" s="137" t="str">
        <f t="shared" si="229"/>
        <v/>
      </c>
      <c r="C7522" s="1">
        <v>46038</v>
      </c>
    </row>
    <row r="7523" spans="1:3">
      <c r="A7523" s="137" t="str">
        <f t="shared" si="229"/>
        <v/>
      </c>
      <c r="C7523" s="1">
        <v>46038</v>
      </c>
    </row>
    <row r="7524" spans="1:3">
      <c r="A7524" s="137" t="str">
        <f t="shared" si="229"/>
        <v/>
      </c>
      <c r="C7524" s="1">
        <v>46038</v>
      </c>
    </row>
    <row r="7525" spans="1:3">
      <c r="A7525" s="137" t="str">
        <f t="shared" si="229"/>
        <v/>
      </c>
      <c r="C7525" s="1">
        <v>46038</v>
      </c>
    </row>
    <row r="7526" spans="1:3">
      <c r="A7526" s="137" t="str">
        <f t="shared" si="229"/>
        <v/>
      </c>
      <c r="C7526" s="1">
        <v>46038</v>
      </c>
    </row>
    <row r="7527" spans="1:3">
      <c r="A7527" s="137" t="str">
        <f t="shared" si="229"/>
        <v/>
      </c>
      <c r="C7527" s="1">
        <v>46038</v>
      </c>
    </row>
    <row r="7528" spans="1:3">
      <c r="A7528" s="137" t="str">
        <f t="shared" si="229"/>
        <v/>
      </c>
      <c r="C7528" s="1">
        <v>46038</v>
      </c>
    </row>
    <row r="7529" spans="1:3">
      <c r="A7529" s="137" t="str">
        <f t="shared" si="229"/>
        <v/>
      </c>
      <c r="C7529" s="1">
        <v>46038</v>
      </c>
    </row>
    <row r="7530" spans="1:3">
      <c r="A7530" s="137" t="str">
        <f t="shared" si="229"/>
        <v/>
      </c>
      <c r="C7530" s="1">
        <v>46038</v>
      </c>
    </row>
    <row r="7531" spans="1:3">
      <c r="A7531" s="137" t="str">
        <f t="shared" si="229"/>
        <v/>
      </c>
      <c r="C7531" s="1">
        <v>46038</v>
      </c>
    </row>
    <row r="7532" spans="1:3">
      <c r="A7532" s="137" t="str">
        <f t="shared" si="229"/>
        <v/>
      </c>
      <c r="C7532" s="1">
        <v>46038</v>
      </c>
    </row>
    <row r="7533" spans="1:3">
      <c r="A7533" s="137" t="str">
        <f t="shared" si="229"/>
        <v/>
      </c>
      <c r="C7533" s="1">
        <v>46038</v>
      </c>
    </row>
    <row r="7534" spans="1:3">
      <c r="A7534" s="137" t="str">
        <f t="shared" si="229"/>
        <v/>
      </c>
      <c r="C7534" s="1">
        <v>46038</v>
      </c>
    </row>
    <row r="7535" spans="1:3">
      <c r="A7535" s="137" t="str">
        <f t="shared" si="229"/>
        <v/>
      </c>
      <c r="C7535" s="1">
        <v>46038</v>
      </c>
    </row>
    <row r="7536" spans="1:3">
      <c r="A7536" s="137" t="str">
        <f t="shared" si="229"/>
        <v/>
      </c>
      <c r="C7536" s="1">
        <v>46038</v>
      </c>
    </row>
    <row r="7537" spans="1:3">
      <c r="A7537" s="137" t="str">
        <f t="shared" si="229"/>
        <v/>
      </c>
      <c r="C7537" s="1">
        <v>46038</v>
      </c>
    </row>
    <row r="7538" spans="1:3">
      <c r="A7538" s="137" t="str">
        <f t="shared" si="229"/>
        <v/>
      </c>
      <c r="C7538" s="1">
        <v>46038</v>
      </c>
    </row>
    <row r="7539" spans="1:3">
      <c r="A7539" s="137" t="str">
        <f t="shared" si="229"/>
        <v/>
      </c>
      <c r="C7539" s="1">
        <v>46038</v>
      </c>
    </row>
    <row r="7540" spans="1:3">
      <c r="A7540" s="137" t="str">
        <f t="shared" si="229"/>
        <v/>
      </c>
      <c r="C7540" s="1">
        <v>46038</v>
      </c>
    </row>
    <row r="7541" spans="1:3">
      <c r="A7541" s="137" t="str">
        <f t="shared" si="229"/>
        <v/>
      </c>
      <c r="C7541" s="1">
        <v>46038</v>
      </c>
    </row>
    <row r="7542" spans="1:3">
      <c r="A7542" s="137" t="str">
        <f t="shared" si="229"/>
        <v/>
      </c>
      <c r="C7542" s="1">
        <v>46038</v>
      </c>
    </row>
    <row r="7543" spans="1:3">
      <c r="A7543" s="137" t="str">
        <f t="shared" si="229"/>
        <v/>
      </c>
      <c r="C7543" s="1">
        <v>46038</v>
      </c>
    </row>
    <row r="7544" spans="1:3">
      <c r="A7544" s="137" t="str">
        <f t="shared" si="229"/>
        <v/>
      </c>
      <c r="C7544" s="1">
        <v>46038</v>
      </c>
    </row>
    <row r="7545" spans="1:3">
      <c r="A7545" s="137" t="str">
        <f t="shared" si="229"/>
        <v/>
      </c>
      <c r="C7545" s="1">
        <v>46038</v>
      </c>
    </row>
    <row r="7546" spans="1:3">
      <c r="A7546" s="137" t="str">
        <f t="shared" si="229"/>
        <v/>
      </c>
      <c r="C7546" s="1">
        <v>46038</v>
      </c>
    </row>
    <row r="7547" spans="1:3">
      <c r="A7547" s="137" t="str">
        <f t="shared" si="229"/>
        <v/>
      </c>
      <c r="C7547" s="1">
        <v>46038</v>
      </c>
    </row>
    <row r="7548" spans="1:3">
      <c r="A7548" s="137" t="str">
        <f t="shared" si="229"/>
        <v/>
      </c>
      <c r="C7548" s="1">
        <v>46038</v>
      </c>
    </row>
    <row r="7549" spans="1:3">
      <c r="A7549" s="137" t="str">
        <f t="shared" si="229"/>
        <v/>
      </c>
      <c r="C7549" s="1">
        <v>46038</v>
      </c>
    </row>
    <row r="7550" spans="1:3">
      <c r="A7550" s="137" t="str">
        <f t="shared" si="229"/>
        <v/>
      </c>
      <c r="C7550" s="1">
        <v>46038</v>
      </c>
    </row>
    <row r="7551" spans="1:3">
      <c r="A7551" s="137" t="str">
        <f t="shared" si="229"/>
        <v/>
      </c>
      <c r="C7551" s="1">
        <v>46038</v>
      </c>
    </row>
    <row r="7552" spans="1:3">
      <c r="A7552" s="137" t="str">
        <f t="shared" si="229"/>
        <v/>
      </c>
      <c r="C7552" s="1">
        <v>46038</v>
      </c>
    </row>
    <row r="7553" spans="1:3">
      <c r="A7553" s="137" t="str">
        <f t="shared" si="229"/>
        <v/>
      </c>
      <c r="C7553" s="1">
        <v>46038</v>
      </c>
    </row>
    <row r="7554" spans="1:3">
      <c r="A7554" s="137" t="str">
        <f t="shared" si="229"/>
        <v/>
      </c>
      <c r="C7554" s="1">
        <v>46038</v>
      </c>
    </row>
    <row r="7555" spans="1:3">
      <c r="A7555" s="137" t="str">
        <f t="shared" si="229"/>
        <v/>
      </c>
      <c r="C7555" s="1">
        <v>46038</v>
      </c>
    </row>
    <row r="7556" spans="1:3">
      <c r="A7556" s="137" t="str">
        <f t="shared" si="229"/>
        <v/>
      </c>
      <c r="C7556" s="1">
        <v>46038</v>
      </c>
    </row>
    <row r="7557" spans="1:3">
      <c r="A7557" s="137" t="str">
        <f t="shared" si="229"/>
        <v/>
      </c>
      <c r="C7557" s="1">
        <v>46038</v>
      </c>
    </row>
    <row r="7558" spans="1:3">
      <c r="A7558" s="137" t="str">
        <f t="shared" si="229"/>
        <v/>
      </c>
      <c r="C7558" s="1">
        <v>46038</v>
      </c>
    </row>
    <row r="7559" spans="1:3">
      <c r="A7559" s="137" t="str">
        <f t="shared" si="229"/>
        <v/>
      </c>
      <c r="C7559" s="1">
        <v>46038</v>
      </c>
    </row>
    <row r="7560" spans="1:3">
      <c r="A7560" s="137" t="str">
        <f t="shared" si="229"/>
        <v/>
      </c>
      <c r="C7560" s="1">
        <v>46038</v>
      </c>
    </row>
    <row r="7561" spans="1:3">
      <c r="A7561" s="137" t="str">
        <f t="shared" si="229"/>
        <v/>
      </c>
      <c r="C7561" s="1">
        <v>46038</v>
      </c>
    </row>
    <row r="7562" spans="1:3">
      <c r="A7562" s="137" t="str">
        <f t="shared" si="229"/>
        <v/>
      </c>
      <c r="C7562" s="1">
        <v>46038</v>
      </c>
    </row>
    <row r="7563" spans="1:3">
      <c r="A7563" s="137" t="str">
        <f t="shared" si="229"/>
        <v/>
      </c>
      <c r="C7563" s="1">
        <v>46038</v>
      </c>
    </row>
    <row r="7564" spans="1:3">
      <c r="A7564" s="137" t="str">
        <f t="shared" si="229"/>
        <v/>
      </c>
      <c r="C7564" s="1">
        <v>46038</v>
      </c>
    </row>
    <row r="7565" spans="1:3">
      <c r="A7565" s="137" t="str">
        <f t="shared" si="229"/>
        <v/>
      </c>
      <c r="C7565" s="1">
        <v>46038</v>
      </c>
    </row>
    <row r="7566" spans="1:3">
      <c r="A7566" s="137" t="str">
        <f t="shared" si="229"/>
        <v/>
      </c>
      <c r="C7566" s="1">
        <v>46038</v>
      </c>
    </row>
    <row r="7567" spans="1:3">
      <c r="A7567" s="137" t="str">
        <f t="shared" si="229"/>
        <v/>
      </c>
      <c r="C7567" s="1">
        <v>46038</v>
      </c>
    </row>
    <row r="7568" spans="1:3">
      <c r="A7568" s="137" t="str">
        <f t="shared" si="229"/>
        <v/>
      </c>
      <c r="C7568" s="1">
        <v>46038</v>
      </c>
    </row>
    <row r="7569" spans="1:3">
      <c r="A7569" s="137" t="str">
        <f t="shared" si="229"/>
        <v/>
      </c>
      <c r="C7569" s="1">
        <v>46038</v>
      </c>
    </row>
    <row r="7570" spans="1:3">
      <c r="A7570" s="137" t="str">
        <f t="shared" si="229"/>
        <v/>
      </c>
      <c r="C7570" s="1">
        <v>46038</v>
      </c>
    </row>
    <row r="7571" spans="1:3">
      <c r="A7571" s="137" t="str">
        <f t="shared" si="229"/>
        <v/>
      </c>
      <c r="C7571" s="1">
        <v>46038</v>
      </c>
    </row>
    <row r="7572" spans="1:3">
      <c r="A7572" s="137" t="str">
        <f t="shared" si="229"/>
        <v/>
      </c>
      <c r="C7572" s="1">
        <v>46038</v>
      </c>
    </row>
    <row r="7573" spans="1:3">
      <c r="A7573" s="137" t="str">
        <f t="shared" si="229"/>
        <v/>
      </c>
      <c r="C7573" s="1">
        <v>46038</v>
      </c>
    </row>
    <row r="7574" spans="1:3">
      <c r="A7574" s="137" t="str">
        <f t="shared" ref="A7574:A7637" si="230">D7574&amp;E7574&amp;F7574</f>
        <v/>
      </c>
      <c r="C7574" s="1">
        <v>46038</v>
      </c>
    </row>
    <row r="7575" spans="1:3">
      <c r="A7575" s="137" t="str">
        <f t="shared" si="230"/>
        <v/>
      </c>
      <c r="C7575" s="1">
        <v>46038</v>
      </c>
    </row>
    <row r="7576" spans="1:3">
      <c r="A7576" s="137" t="str">
        <f t="shared" si="230"/>
        <v/>
      </c>
      <c r="C7576" s="1">
        <v>46038</v>
      </c>
    </row>
    <row r="7577" spans="1:3">
      <c r="A7577" s="137" t="str">
        <f t="shared" si="230"/>
        <v/>
      </c>
      <c r="C7577" s="1">
        <v>46038</v>
      </c>
    </row>
    <row r="7578" spans="1:3">
      <c r="A7578" s="137" t="str">
        <f t="shared" si="230"/>
        <v/>
      </c>
      <c r="C7578" s="1">
        <v>46038</v>
      </c>
    </row>
    <row r="7579" spans="1:3">
      <c r="A7579" s="137" t="str">
        <f t="shared" si="230"/>
        <v/>
      </c>
      <c r="C7579" s="1">
        <v>46038</v>
      </c>
    </row>
    <row r="7580" spans="1:3">
      <c r="A7580" s="137" t="str">
        <f t="shared" si="230"/>
        <v/>
      </c>
      <c r="C7580" s="1">
        <v>46038</v>
      </c>
    </row>
    <row r="7581" spans="1:3">
      <c r="A7581" s="137" t="str">
        <f t="shared" si="230"/>
        <v/>
      </c>
      <c r="C7581" s="1">
        <v>46038</v>
      </c>
    </row>
    <row r="7582" spans="1:3">
      <c r="A7582" s="137" t="str">
        <f t="shared" si="230"/>
        <v/>
      </c>
      <c r="C7582" s="1">
        <v>46038</v>
      </c>
    </row>
    <row r="7583" spans="1:3">
      <c r="A7583" s="137" t="str">
        <f t="shared" si="230"/>
        <v/>
      </c>
      <c r="C7583" s="1">
        <v>46038</v>
      </c>
    </row>
    <row r="7584" spans="1:3">
      <c r="A7584" s="137" t="str">
        <f t="shared" si="230"/>
        <v/>
      </c>
      <c r="C7584" s="1">
        <v>46038</v>
      </c>
    </row>
    <row r="7585" spans="1:3">
      <c r="A7585" s="137" t="str">
        <f t="shared" si="230"/>
        <v/>
      </c>
      <c r="C7585" s="1">
        <v>46038</v>
      </c>
    </row>
    <row r="7586" spans="1:3">
      <c r="A7586" s="137" t="str">
        <f t="shared" si="230"/>
        <v/>
      </c>
      <c r="C7586" s="1">
        <v>46038</v>
      </c>
    </row>
    <row r="7587" spans="1:3">
      <c r="A7587" s="137" t="str">
        <f t="shared" si="230"/>
        <v/>
      </c>
      <c r="C7587" s="1">
        <v>46038</v>
      </c>
    </row>
    <row r="7588" spans="1:3">
      <c r="A7588" s="137" t="str">
        <f t="shared" si="230"/>
        <v/>
      </c>
      <c r="C7588" s="1">
        <v>46038</v>
      </c>
    </row>
    <row r="7589" spans="1:3">
      <c r="A7589" s="137" t="str">
        <f t="shared" si="230"/>
        <v/>
      </c>
      <c r="C7589" s="1">
        <v>46038</v>
      </c>
    </row>
    <row r="7590" spans="1:3">
      <c r="A7590" s="137" t="str">
        <f t="shared" si="230"/>
        <v/>
      </c>
      <c r="C7590" s="1">
        <v>46038</v>
      </c>
    </row>
    <row r="7591" spans="1:3">
      <c r="A7591" s="137" t="str">
        <f t="shared" si="230"/>
        <v/>
      </c>
      <c r="C7591" s="1">
        <v>46038</v>
      </c>
    </row>
    <row r="7592" spans="1:3">
      <c r="A7592" s="137" t="str">
        <f t="shared" si="230"/>
        <v/>
      </c>
      <c r="C7592" s="1">
        <v>46038</v>
      </c>
    </row>
    <row r="7593" spans="1:3">
      <c r="A7593" s="137" t="str">
        <f t="shared" si="230"/>
        <v/>
      </c>
      <c r="C7593" s="1">
        <v>46038</v>
      </c>
    </row>
    <row r="7594" spans="1:3">
      <c r="A7594" s="137" t="str">
        <f t="shared" si="230"/>
        <v/>
      </c>
      <c r="C7594" s="1">
        <v>46038</v>
      </c>
    </row>
    <row r="7595" spans="1:3">
      <c r="A7595" s="137" t="str">
        <f t="shared" si="230"/>
        <v/>
      </c>
      <c r="C7595" s="1">
        <v>46038</v>
      </c>
    </row>
    <row r="7596" spans="1:3">
      <c r="A7596" s="137" t="str">
        <f t="shared" si="230"/>
        <v/>
      </c>
      <c r="C7596" s="1">
        <v>46038</v>
      </c>
    </row>
    <row r="7597" spans="1:3">
      <c r="A7597" s="137" t="str">
        <f t="shared" si="230"/>
        <v/>
      </c>
      <c r="C7597" s="1">
        <v>46038</v>
      </c>
    </row>
    <row r="7598" spans="1:3">
      <c r="A7598" s="137" t="str">
        <f t="shared" si="230"/>
        <v/>
      </c>
      <c r="C7598" s="1">
        <v>46038</v>
      </c>
    </row>
    <row r="7599" spans="1:3">
      <c r="A7599" s="137" t="str">
        <f t="shared" si="230"/>
        <v/>
      </c>
      <c r="C7599" s="1">
        <v>46038</v>
      </c>
    </row>
    <row r="7600" spans="1:3">
      <c r="A7600" s="137" t="str">
        <f t="shared" si="230"/>
        <v/>
      </c>
      <c r="C7600" s="1">
        <v>46038</v>
      </c>
    </row>
    <row r="7601" spans="1:3">
      <c r="A7601" s="137" t="str">
        <f t="shared" si="230"/>
        <v/>
      </c>
      <c r="C7601" s="1">
        <v>46038</v>
      </c>
    </row>
    <row r="7602" spans="1:3">
      <c r="A7602" s="137" t="str">
        <f t="shared" si="230"/>
        <v/>
      </c>
      <c r="C7602" s="1">
        <v>46038</v>
      </c>
    </row>
    <row r="7603" spans="1:3">
      <c r="A7603" s="137" t="str">
        <f t="shared" si="230"/>
        <v/>
      </c>
      <c r="C7603" s="1">
        <v>46038</v>
      </c>
    </row>
    <row r="7604" spans="1:3">
      <c r="A7604" s="137" t="str">
        <f t="shared" si="230"/>
        <v/>
      </c>
      <c r="C7604" s="1">
        <v>46038</v>
      </c>
    </row>
    <row r="7605" spans="1:3">
      <c r="A7605" s="137" t="str">
        <f t="shared" si="230"/>
        <v/>
      </c>
      <c r="C7605" s="1">
        <v>46038</v>
      </c>
    </row>
    <row r="7606" spans="1:3">
      <c r="A7606" s="137" t="str">
        <f t="shared" si="230"/>
        <v/>
      </c>
      <c r="C7606" s="1">
        <v>46038</v>
      </c>
    </row>
    <row r="7607" spans="1:3">
      <c r="A7607" s="137" t="str">
        <f t="shared" si="230"/>
        <v/>
      </c>
      <c r="C7607" s="1">
        <v>46038</v>
      </c>
    </row>
    <row r="7608" spans="1:3">
      <c r="A7608" s="137" t="str">
        <f t="shared" si="230"/>
        <v/>
      </c>
      <c r="C7608" s="1">
        <v>46038</v>
      </c>
    </row>
    <row r="7609" spans="1:3">
      <c r="A7609" s="137" t="str">
        <f t="shared" si="230"/>
        <v/>
      </c>
      <c r="C7609" s="1">
        <v>46038</v>
      </c>
    </row>
    <row r="7610" spans="1:3">
      <c r="A7610" s="137" t="str">
        <f t="shared" si="230"/>
        <v/>
      </c>
      <c r="C7610" s="1">
        <v>46038</v>
      </c>
    </row>
    <row r="7611" spans="1:3">
      <c r="A7611" s="137" t="str">
        <f t="shared" si="230"/>
        <v/>
      </c>
      <c r="C7611" s="1">
        <v>46038</v>
      </c>
    </row>
    <row r="7612" spans="1:3">
      <c r="A7612" s="137" t="str">
        <f t="shared" si="230"/>
        <v/>
      </c>
      <c r="C7612" s="1">
        <v>46038</v>
      </c>
    </row>
    <row r="7613" spans="1:3">
      <c r="A7613" s="137" t="str">
        <f t="shared" si="230"/>
        <v/>
      </c>
      <c r="C7613" s="1">
        <v>46038</v>
      </c>
    </row>
    <row r="7614" spans="1:3">
      <c r="A7614" s="137" t="str">
        <f t="shared" si="230"/>
        <v/>
      </c>
      <c r="C7614" s="1">
        <v>46038</v>
      </c>
    </row>
    <row r="7615" spans="1:3">
      <c r="A7615" s="137" t="str">
        <f t="shared" si="230"/>
        <v/>
      </c>
      <c r="C7615" s="1">
        <v>46038</v>
      </c>
    </row>
    <row r="7616" spans="1:3">
      <c r="A7616" s="137" t="str">
        <f t="shared" si="230"/>
        <v/>
      </c>
      <c r="C7616" s="1">
        <v>46038</v>
      </c>
    </row>
    <row r="7617" spans="1:3">
      <c r="A7617" s="137" t="str">
        <f t="shared" si="230"/>
        <v/>
      </c>
      <c r="C7617" s="1">
        <v>46038</v>
      </c>
    </row>
    <row r="7618" spans="1:3">
      <c r="A7618" s="137" t="str">
        <f t="shared" si="230"/>
        <v/>
      </c>
      <c r="C7618" s="1">
        <v>46038</v>
      </c>
    </row>
    <row r="7619" spans="1:3">
      <c r="A7619" s="137" t="str">
        <f t="shared" si="230"/>
        <v/>
      </c>
      <c r="C7619" s="1">
        <v>46038</v>
      </c>
    </row>
    <row r="7620" spans="1:3">
      <c r="A7620" s="137" t="str">
        <f t="shared" si="230"/>
        <v/>
      </c>
      <c r="C7620" s="1">
        <v>46038</v>
      </c>
    </row>
    <row r="7621" spans="1:3">
      <c r="A7621" s="137" t="str">
        <f t="shared" si="230"/>
        <v/>
      </c>
      <c r="C7621" s="1">
        <v>46038</v>
      </c>
    </row>
    <row r="7622" spans="1:3">
      <c r="A7622" s="137" t="str">
        <f t="shared" si="230"/>
        <v/>
      </c>
      <c r="C7622" s="1">
        <v>46038</v>
      </c>
    </row>
    <row r="7623" spans="1:3">
      <c r="A7623" s="137" t="str">
        <f t="shared" si="230"/>
        <v/>
      </c>
      <c r="C7623" s="1">
        <v>46038</v>
      </c>
    </row>
    <row r="7624" spans="1:3">
      <c r="A7624" s="137" t="str">
        <f t="shared" si="230"/>
        <v/>
      </c>
      <c r="C7624" s="1">
        <v>46038</v>
      </c>
    </row>
    <row r="7625" spans="1:3">
      <c r="A7625" s="137" t="str">
        <f t="shared" si="230"/>
        <v/>
      </c>
      <c r="C7625" s="1">
        <v>46038</v>
      </c>
    </row>
    <row r="7626" spans="1:3">
      <c r="A7626" s="137" t="str">
        <f t="shared" si="230"/>
        <v/>
      </c>
      <c r="C7626" s="1">
        <v>46038</v>
      </c>
    </row>
    <row r="7627" spans="1:3">
      <c r="A7627" s="137" t="str">
        <f t="shared" si="230"/>
        <v/>
      </c>
      <c r="C7627" s="1">
        <v>46038</v>
      </c>
    </row>
    <row r="7628" spans="1:3">
      <c r="A7628" s="137" t="str">
        <f t="shared" si="230"/>
        <v/>
      </c>
      <c r="C7628" s="1">
        <v>46038</v>
      </c>
    </row>
    <row r="7629" spans="1:3">
      <c r="A7629" s="137" t="str">
        <f t="shared" si="230"/>
        <v/>
      </c>
      <c r="C7629" s="1">
        <v>46038</v>
      </c>
    </row>
    <row r="7630" spans="1:3">
      <c r="A7630" s="137" t="str">
        <f t="shared" si="230"/>
        <v/>
      </c>
      <c r="C7630" s="1">
        <v>46038</v>
      </c>
    </row>
    <row r="7631" spans="1:3">
      <c r="A7631" s="137" t="str">
        <f t="shared" si="230"/>
        <v/>
      </c>
      <c r="C7631" s="1">
        <v>46038</v>
      </c>
    </row>
    <row r="7632" spans="1:3">
      <c r="A7632" s="137" t="str">
        <f t="shared" si="230"/>
        <v/>
      </c>
      <c r="C7632" s="1">
        <v>46038</v>
      </c>
    </row>
    <row r="7633" spans="1:3">
      <c r="A7633" s="137" t="str">
        <f t="shared" si="230"/>
        <v/>
      </c>
      <c r="C7633" s="1">
        <v>46038</v>
      </c>
    </row>
    <row r="7634" spans="1:3">
      <c r="A7634" s="137" t="str">
        <f t="shared" si="230"/>
        <v/>
      </c>
      <c r="C7634" s="1">
        <v>46038</v>
      </c>
    </row>
    <row r="7635" spans="1:3">
      <c r="A7635" s="137" t="str">
        <f t="shared" si="230"/>
        <v/>
      </c>
      <c r="C7635" s="1">
        <v>46038</v>
      </c>
    </row>
    <row r="7636" spans="1:3">
      <c r="A7636" s="137" t="str">
        <f t="shared" si="230"/>
        <v/>
      </c>
      <c r="C7636" s="1">
        <v>46038</v>
      </c>
    </row>
    <row r="7637" spans="1:3">
      <c r="A7637" s="137" t="str">
        <f t="shared" si="230"/>
        <v/>
      </c>
      <c r="C7637" s="1">
        <v>46038</v>
      </c>
    </row>
    <row r="7638" spans="1:3">
      <c r="A7638" s="137" t="str">
        <f t="shared" ref="A7638:A7701" si="231">D7638&amp;E7638&amp;F7638</f>
        <v/>
      </c>
      <c r="C7638" s="1">
        <v>46038</v>
      </c>
    </row>
    <row r="7639" spans="1:3">
      <c r="A7639" s="137" t="str">
        <f t="shared" si="231"/>
        <v/>
      </c>
      <c r="C7639" s="1">
        <v>46038</v>
      </c>
    </row>
    <row r="7640" spans="1:3">
      <c r="A7640" s="137" t="str">
        <f t="shared" si="231"/>
        <v/>
      </c>
      <c r="C7640" s="1">
        <v>46038</v>
      </c>
    </row>
    <row r="7641" spans="1:3">
      <c r="A7641" s="137" t="str">
        <f t="shared" si="231"/>
        <v/>
      </c>
      <c r="C7641" s="1">
        <v>46038</v>
      </c>
    </row>
    <row r="7642" spans="1:3">
      <c r="A7642" s="137" t="str">
        <f t="shared" si="231"/>
        <v/>
      </c>
      <c r="C7642" s="1">
        <v>46038</v>
      </c>
    </row>
    <row r="7643" spans="1:3">
      <c r="A7643" s="137" t="str">
        <f t="shared" si="231"/>
        <v/>
      </c>
      <c r="C7643" s="1">
        <v>46038</v>
      </c>
    </row>
    <row r="7644" spans="1:3">
      <c r="A7644" s="137" t="str">
        <f t="shared" si="231"/>
        <v/>
      </c>
      <c r="C7644" s="1">
        <v>46038</v>
      </c>
    </row>
    <row r="7645" spans="1:3">
      <c r="A7645" s="137" t="str">
        <f t="shared" si="231"/>
        <v/>
      </c>
      <c r="C7645" s="1">
        <v>46038</v>
      </c>
    </row>
    <row r="7646" spans="1:3">
      <c r="A7646" s="137" t="str">
        <f t="shared" si="231"/>
        <v/>
      </c>
      <c r="C7646" s="1">
        <v>46038</v>
      </c>
    </row>
    <row r="7647" spans="1:3">
      <c r="A7647" s="137" t="str">
        <f t="shared" si="231"/>
        <v/>
      </c>
      <c r="C7647" s="1">
        <v>46038</v>
      </c>
    </row>
    <row r="7648" spans="1:3">
      <c r="A7648" s="137" t="str">
        <f t="shared" si="231"/>
        <v/>
      </c>
      <c r="C7648" s="1">
        <v>46038</v>
      </c>
    </row>
    <row r="7649" spans="1:3">
      <c r="A7649" s="137" t="str">
        <f t="shared" si="231"/>
        <v/>
      </c>
      <c r="C7649" s="1">
        <v>46038</v>
      </c>
    </row>
    <row r="7650" spans="1:3">
      <c r="A7650" s="137" t="str">
        <f t="shared" si="231"/>
        <v/>
      </c>
      <c r="C7650" s="1">
        <v>46038</v>
      </c>
    </row>
    <row r="7651" spans="1:3">
      <c r="A7651" s="137" t="str">
        <f t="shared" si="231"/>
        <v/>
      </c>
      <c r="C7651" s="1">
        <v>46038</v>
      </c>
    </row>
    <row r="7652" spans="1:3">
      <c r="A7652" s="137" t="str">
        <f t="shared" si="231"/>
        <v/>
      </c>
      <c r="C7652" s="1">
        <v>46038</v>
      </c>
    </row>
    <row r="7653" spans="1:3">
      <c r="A7653" s="137" t="str">
        <f t="shared" si="231"/>
        <v/>
      </c>
      <c r="C7653" s="1">
        <v>46038</v>
      </c>
    </row>
    <row r="7654" spans="1:3">
      <c r="A7654" s="137" t="str">
        <f t="shared" si="231"/>
        <v/>
      </c>
      <c r="C7654" s="1">
        <v>46038</v>
      </c>
    </row>
    <row r="7655" spans="1:3">
      <c r="A7655" s="137" t="str">
        <f t="shared" si="231"/>
        <v/>
      </c>
      <c r="C7655" s="1">
        <v>46038</v>
      </c>
    </row>
    <row r="7656" spans="1:3">
      <c r="A7656" s="137" t="str">
        <f t="shared" si="231"/>
        <v/>
      </c>
      <c r="C7656" s="1">
        <v>46038</v>
      </c>
    </row>
    <row r="7657" spans="1:3">
      <c r="A7657" s="137" t="str">
        <f t="shared" si="231"/>
        <v/>
      </c>
      <c r="C7657" s="1">
        <v>46038</v>
      </c>
    </row>
    <row r="7658" spans="1:3">
      <c r="A7658" s="137" t="str">
        <f t="shared" si="231"/>
        <v/>
      </c>
      <c r="C7658" s="1">
        <v>46038</v>
      </c>
    </row>
    <row r="7659" spans="1:3">
      <c r="A7659" s="137" t="str">
        <f t="shared" si="231"/>
        <v/>
      </c>
      <c r="C7659" s="1">
        <v>46038</v>
      </c>
    </row>
    <row r="7660" spans="1:3">
      <c r="A7660" s="137" t="str">
        <f t="shared" si="231"/>
        <v/>
      </c>
      <c r="C7660" s="1">
        <v>46038</v>
      </c>
    </row>
    <row r="7661" spans="1:3">
      <c r="A7661" s="137" t="str">
        <f t="shared" si="231"/>
        <v/>
      </c>
      <c r="C7661" s="1">
        <v>46038</v>
      </c>
    </row>
    <row r="7662" spans="1:3">
      <c r="A7662" s="137" t="str">
        <f t="shared" si="231"/>
        <v/>
      </c>
      <c r="C7662" s="1">
        <v>46038</v>
      </c>
    </row>
    <row r="7663" spans="1:3">
      <c r="A7663" s="137" t="str">
        <f t="shared" si="231"/>
        <v/>
      </c>
      <c r="C7663" s="1">
        <v>46038</v>
      </c>
    </row>
    <row r="7664" spans="1:3">
      <c r="A7664" s="137" t="str">
        <f t="shared" si="231"/>
        <v/>
      </c>
      <c r="C7664" s="1">
        <v>46038</v>
      </c>
    </row>
    <row r="7665" spans="1:3">
      <c r="A7665" s="137" t="str">
        <f t="shared" si="231"/>
        <v/>
      </c>
      <c r="C7665" s="1">
        <v>46038</v>
      </c>
    </row>
    <row r="7666" spans="1:3">
      <c r="A7666" s="137" t="str">
        <f t="shared" si="231"/>
        <v/>
      </c>
      <c r="C7666" s="1">
        <v>46038</v>
      </c>
    </row>
    <row r="7667" spans="1:3">
      <c r="A7667" s="137" t="str">
        <f t="shared" si="231"/>
        <v/>
      </c>
      <c r="C7667" s="1">
        <v>46038</v>
      </c>
    </row>
    <row r="7668" spans="1:3">
      <c r="A7668" s="137" t="str">
        <f t="shared" si="231"/>
        <v/>
      </c>
      <c r="C7668" s="1">
        <v>46038</v>
      </c>
    </row>
    <row r="7669" spans="1:3">
      <c r="A7669" s="137" t="str">
        <f t="shared" si="231"/>
        <v/>
      </c>
      <c r="C7669" s="1">
        <v>46038</v>
      </c>
    </row>
    <row r="7670" spans="1:3">
      <c r="A7670" s="137" t="str">
        <f t="shared" si="231"/>
        <v/>
      </c>
      <c r="C7670" s="1">
        <v>46038</v>
      </c>
    </row>
    <row r="7671" spans="1:3">
      <c r="A7671" s="137" t="str">
        <f t="shared" si="231"/>
        <v/>
      </c>
      <c r="C7671" s="1">
        <v>46038</v>
      </c>
    </row>
    <row r="7672" spans="1:3">
      <c r="A7672" s="137" t="str">
        <f t="shared" si="231"/>
        <v/>
      </c>
      <c r="C7672" s="1">
        <v>46038</v>
      </c>
    </row>
    <row r="7673" spans="1:3">
      <c r="A7673" s="137" t="str">
        <f t="shared" si="231"/>
        <v/>
      </c>
      <c r="C7673" s="1">
        <v>46038</v>
      </c>
    </row>
    <row r="7674" spans="1:3">
      <c r="A7674" s="137" t="str">
        <f t="shared" si="231"/>
        <v/>
      </c>
      <c r="C7674" s="1">
        <v>46038</v>
      </c>
    </row>
    <row r="7675" spans="1:3">
      <c r="A7675" s="137" t="str">
        <f t="shared" si="231"/>
        <v/>
      </c>
      <c r="C7675" s="1">
        <v>46038</v>
      </c>
    </row>
    <row r="7676" spans="1:3">
      <c r="A7676" s="137" t="str">
        <f t="shared" si="231"/>
        <v/>
      </c>
      <c r="C7676" s="1">
        <v>46038</v>
      </c>
    </row>
    <row r="7677" spans="1:3">
      <c r="A7677" s="137" t="str">
        <f t="shared" si="231"/>
        <v/>
      </c>
      <c r="C7677" s="1">
        <v>46038</v>
      </c>
    </row>
    <row r="7678" spans="1:3">
      <c r="A7678" s="137" t="str">
        <f t="shared" si="231"/>
        <v/>
      </c>
      <c r="C7678" s="1">
        <v>46038</v>
      </c>
    </row>
    <row r="7679" spans="1:3">
      <c r="A7679" s="137" t="str">
        <f t="shared" si="231"/>
        <v/>
      </c>
      <c r="C7679" s="1">
        <v>46038</v>
      </c>
    </row>
    <row r="7680" spans="1:3">
      <c r="A7680" s="137" t="str">
        <f t="shared" si="231"/>
        <v/>
      </c>
      <c r="C7680" s="1">
        <v>46038</v>
      </c>
    </row>
    <row r="7681" spans="1:3">
      <c r="A7681" s="137" t="str">
        <f t="shared" si="231"/>
        <v/>
      </c>
      <c r="C7681" s="1">
        <v>46038</v>
      </c>
    </row>
    <row r="7682" spans="1:3">
      <c r="A7682" s="137" t="str">
        <f t="shared" si="231"/>
        <v/>
      </c>
      <c r="C7682" s="1">
        <v>46038</v>
      </c>
    </row>
    <row r="7683" spans="1:3">
      <c r="A7683" s="137" t="str">
        <f t="shared" si="231"/>
        <v/>
      </c>
      <c r="C7683" s="1">
        <v>46038</v>
      </c>
    </row>
    <row r="7684" spans="1:3">
      <c r="A7684" s="137" t="str">
        <f t="shared" si="231"/>
        <v/>
      </c>
      <c r="C7684" s="1">
        <v>46038</v>
      </c>
    </row>
    <row r="7685" spans="1:3">
      <c r="A7685" s="137" t="str">
        <f t="shared" si="231"/>
        <v/>
      </c>
      <c r="C7685" s="1">
        <v>46038</v>
      </c>
    </row>
    <row r="7686" spans="1:3">
      <c r="A7686" s="137" t="str">
        <f t="shared" si="231"/>
        <v/>
      </c>
      <c r="C7686" s="1">
        <v>46038</v>
      </c>
    </row>
    <row r="7687" spans="1:3">
      <c r="A7687" s="137" t="str">
        <f t="shared" si="231"/>
        <v/>
      </c>
      <c r="C7687" s="1">
        <v>46038</v>
      </c>
    </row>
    <row r="7688" spans="1:3">
      <c r="A7688" s="137" t="str">
        <f t="shared" si="231"/>
        <v/>
      </c>
      <c r="C7688" s="1">
        <v>46038</v>
      </c>
    </row>
    <row r="7689" spans="1:3">
      <c r="A7689" s="137" t="str">
        <f t="shared" si="231"/>
        <v/>
      </c>
      <c r="C7689" s="1">
        <v>46038</v>
      </c>
    </row>
    <row r="7690" spans="1:3">
      <c r="A7690" s="137" t="str">
        <f t="shared" si="231"/>
        <v/>
      </c>
      <c r="C7690" s="1">
        <v>46038</v>
      </c>
    </row>
    <row r="7691" spans="1:3">
      <c r="A7691" s="137" t="str">
        <f t="shared" si="231"/>
        <v/>
      </c>
      <c r="C7691" s="1">
        <v>46038</v>
      </c>
    </row>
    <row r="7692" spans="1:3">
      <c r="A7692" s="137" t="str">
        <f t="shared" si="231"/>
        <v/>
      </c>
      <c r="C7692" s="1">
        <v>46038</v>
      </c>
    </row>
    <row r="7693" spans="1:3">
      <c r="A7693" s="137" t="str">
        <f t="shared" si="231"/>
        <v/>
      </c>
      <c r="C7693" s="1">
        <v>46038</v>
      </c>
    </row>
    <row r="7694" spans="1:3">
      <c r="A7694" s="137" t="str">
        <f t="shared" si="231"/>
        <v/>
      </c>
      <c r="C7694" s="1">
        <v>46038</v>
      </c>
    </row>
    <row r="7695" spans="1:3">
      <c r="A7695" s="137" t="str">
        <f t="shared" si="231"/>
        <v/>
      </c>
      <c r="C7695" s="1">
        <v>46038</v>
      </c>
    </row>
    <row r="7696" spans="1:3">
      <c r="A7696" s="137" t="str">
        <f t="shared" si="231"/>
        <v/>
      </c>
      <c r="C7696" s="1">
        <v>46038</v>
      </c>
    </row>
    <row r="7697" spans="1:3">
      <c r="A7697" s="137" t="str">
        <f t="shared" si="231"/>
        <v/>
      </c>
      <c r="C7697" s="1">
        <v>46038</v>
      </c>
    </row>
    <row r="7698" spans="1:3">
      <c r="A7698" s="137" t="str">
        <f t="shared" si="231"/>
        <v/>
      </c>
      <c r="C7698" s="1">
        <v>46038</v>
      </c>
    </row>
    <row r="7699" spans="1:3">
      <c r="A7699" s="137" t="str">
        <f t="shared" si="231"/>
        <v/>
      </c>
      <c r="C7699" s="1">
        <v>46038</v>
      </c>
    </row>
    <row r="7700" spans="1:3">
      <c r="A7700" s="137" t="str">
        <f t="shared" si="231"/>
        <v/>
      </c>
      <c r="C7700" s="1">
        <v>46038</v>
      </c>
    </row>
    <row r="7701" spans="1:3">
      <c r="A7701" s="137" t="str">
        <f t="shared" si="231"/>
        <v/>
      </c>
      <c r="C7701" s="1">
        <v>46038</v>
      </c>
    </row>
    <row r="7702" spans="1:3">
      <c r="A7702" s="137" t="str">
        <f t="shared" ref="A7702:A7765" si="232">D7702&amp;E7702&amp;F7702</f>
        <v/>
      </c>
      <c r="C7702" s="1">
        <v>46038</v>
      </c>
    </row>
    <row r="7703" spans="1:3">
      <c r="A7703" s="137" t="str">
        <f t="shared" si="232"/>
        <v/>
      </c>
      <c r="C7703" s="1">
        <v>46038</v>
      </c>
    </row>
    <row r="7704" spans="1:3">
      <c r="A7704" s="137" t="str">
        <f t="shared" si="232"/>
        <v/>
      </c>
      <c r="C7704" s="1">
        <v>46038</v>
      </c>
    </row>
    <row r="7705" spans="1:3">
      <c r="A7705" s="137" t="str">
        <f t="shared" si="232"/>
        <v/>
      </c>
      <c r="C7705" s="1">
        <v>46038</v>
      </c>
    </row>
    <row r="7706" spans="1:3">
      <c r="A7706" s="137" t="str">
        <f t="shared" si="232"/>
        <v/>
      </c>
      <c r="C7706" s="1">
        <v>46038</v>
      </c>
    </row>
    <row r="7707" spans="1:3">
      <c r="A7707" s="137" t="str">
        <f t="shared" si="232"/>
        <v/>
      </c>
      <c r="C7707" s="1">
        <v>46038</v>
      </c>
    </row>
    <row r="7708" spans="1:3">
      <c r="A7708" s="137" t="str">
        <f t="shared" si="232"/>
        <v/>
      </c>
      <c r="C7708" s="1">
        <v>46038</v>
      </c>
    </row>
    <row r="7709" spans="1:3">
      <c r="A7709" s="137" t="str">
        <f t="shared" si="232"/>
        <v/>
      </c>
      <c r="C7709" s="1">
        <v>46038</v>
      </c>
    </row>
    <row r="7710" spans="1:3">
      <c r="A7710" s="137" t="str">
        <f t="shared" si="232"/>
        <v/>
      </c>
      <c r="C7710" s="1">
        <v>46038</v>
      </c>
    </row>
    <row r="7711" spans="1:3">
      <c r="A7711" s="137" t="str">
        <f t="shared" si="232"/>
        <v/>
      </c>
      <c r="C7711" s="1">
        <v>46038</v>
      </c>
    </row>
    <row r="7712" spans="1:3">
      <c r="A7712" s="137" t="str">
        <f t="shared" si="232"/>
        <v/>
      </c>
      <c r="C7712" s="1">
        <v>46038</v>
      </c>
    </row>
    <row r="7713" spans="1:3">
      <c r="A7713" s="137" t="str">
        <f t="shared" si="232"/>
        <v/>
      </c>
      <c r="C7713" s="1">
        <v>46038</v>
      </c>
    </row>
    <row r="7714" spans="1:3">
      <c r="A7714" s="137" t="str">
        <f t="shared" si="232"/>
        <v/>
      </c>
      <c r="C7714" s="1">
        <v>46038</v>
      </c>
    </row>
    <row r="7715" spans="1:3">
      <c r="A7715" s="137" t="str">
        <f t="shared" si="232"/>
        <v/>
      </c>
      <c r="C7715" s="1">
        <v>46038</v>
      </c>
    </row>
    <row r="7716" spans="1:3">
      <c r="A7716" s="137" t="str">
        <f t="shared" si="232"/>
        <v/>
      </c>
      <c r="C7716" s="1">
        <v>46038</v>
      </c>
    </row>
    <row r="7717" spans="1:3">
      <c r="A7717" s="137" t="str">
        <f t="shared" si="232"/>
        <v/>
      </c>
      <c r="C7717" s="1">
        <v>46038</v>
      </c>
    </row>
    <row r="7718" spans="1:3">
      <c r="A7718" s="137" t="str">
        <f t="shared" si="232"/>
        <v/>
      </c>
      <c r="C7718" s="1">
        <v>46038</v>
      </c>
    </row>
    <row r="7719" spans="1:3">
      <c r="A7719" s="137" t="str">
        <f t="shared" si="232"/>
        <v/>
      </c>
      <c r="C7719" s="1">
        <v>46038</v>
      </c>
    </row>
    <row r="7720" spans="1:3">
      <c r="A7720" s="137" t="str">
        <f t="shared" si="232"/>
        <v/>
      </c>
      <c r="C7720" s="1">
        <v>46038</v>
      </c>
    </row>
    <row r="7721" spans="1:3">
      <c r="A7721" s="137" t="str">
        <f t="shared" si="232"/>
        <v/>
      </c>
      <c r="C7721" s="1">
        <v>46038</v>
      </c>
    </row>
    <row r="7722" spans="1:3">
      <c r="A7722" s="137" t="str">
        <f t="shared" si="232"/>
        <v/>
      </c>
      <c r="C7722" s="1">
        <v>46038</v>
      </c>
    </row>
    <row r="7723" spans="1:3">
      <c r="A7723" s="137" t="str">
        <f t="shared" si="232"/>
        <v/>
      </c>
      <c r="C7723" s="1">
        <v>46038</v>
      </c>
    </row>
    <row r="7724" spans="1:3">
      <c r="A7724" s="137" t="str">
        <f t="shared" si="232"/>
        <v/>
      </c>
      <c r="C7724" s="1">
        <v>46038</v>
      </c>
    </row>
    <row r="7725" spans="1:3">
      <c r="A7725" s="137" t="str">
        <f t="shared" si="232"/>
        <v/>
      </c>
      <c r="C7725" s="1">
        <v>46038</v>
      </c>
    </row>
    <row r="7726" spans="1:3">
      <c r="A7726" s="137" t="str">
        <f t="shared" si="232"/>
        <v/>
      </c>
      <c r="C7726" s="1">
        <v>46038</v>
      </c>
    </row>
    <row r="7727" spans="1:3">
      <c r="A7727" s="137" t="str">
        <f t="shared" si="232"/>
        <v/>
      </c>
      <c r="C7727" s="1">
        <v>46038</v>
      </c>
    </row>
    <row r="7728" spans="1:3">
      <c r="A7728" s="137" t="str">
        <f t="shared" si="232"/>
        <v/>
      </c>
      <c r="C7728" s="1">
        <v>46038</v>
      </c>
    </row>
    <row r="7729" spans="1:3">
      <c r="A7729" s="137" t="str">
        <f t="shared" si="232"/>
        <v/>
      </c>
      <c r="C7729" s="1">
        <v>46038</v>
      </c>
    </row>
    <row r="7730" spans="1:3">
      <c r="A7730" s="137" t="str">
        <f t="shared" si="232"/>
        <v/>
      </c>
      <c r="C7730" s="1">
        <v>46038</v>
      </c>
    </row>
    <row r="7731" spans="1:3">
      <c r="A7731" s="137" t="str">
        <f t="shared" si="232"/>
        <v/>
      </c>
      <c r="C7731" s="1">
        <v>46038</v>
      </c>
    </row>
    <row r="7732" spans="1:3">
      <c r="A7732" s="137" t="str">
        <f t="shared" si="232"/>
        <v/>
      </c>
      <c r="C7732" s="1">
        <v>46038</v>
      </c>
    </row>
    <row r="7733" spans="1:3">
      <c r="A7733" s="137" t="str">
        <f t="shared" si="232"/>
        <v/>
      </c>
      <c r="C7733" s="1">
        <v>46038</v>
      </c>
    </row>
    <row r="7734" spans="1:3">
      <c r="A7734" s="137" t="str">
        <f t="shared" si="232"/>
        <v/>
      </c>
      <c r="C7734" s="1">
        <v>46038</v>
      </c>
    </row>
    <row r="7735" spans="1:3">
      <c r="A7735" s="137" t="str">
        <f t="shared" si="232"/>
        <v/>
      </c>
      <c r="C7735" s="1">
        <v>46038</v>
      </c>
    </row>
    <row r="7736" spans="1:3">
      <c r="A7736" s="137" t="str">
        <f t="shared" si="232"/>
        <v/>
      </c>
      <c r="C7736" s="1">
        <v>46038</v>
      </c>
    </row>
    <row r="7737" spans="1:3">
      <c r="A7737" s="137" t="str">
        <f t="shared" si="232"/>
        <v/>
      </c>
      <c r="C7737" s="1">
        <v>46038</v>
      </c>
    </row>
    <row r="7738" spans="1:3">
      <c r="A7738" s="137" t="str">
        <f t="shared" si="232"/>
        <v/>
      </c>
      <c r="C7738" s="1">
        <v>46038</v>
      </c>
    </row>
    <row r="7739" spans="1:3">
      <c r="A7739" s="137" t="str">
        <f t="shared" si="232"/>
        <v/>
      </c>
      <c r="C7739" s="1">
        <v>46038</v>
      </c>
    </row>
    <row r="7740" spans="1:3">
      <c r="A7740" s="137" t="str">
        <f t="shared" si="232"/>
        <v/>
      </c>
      <c r="C7740" s="1">
        <v>46038</v>
      </c>
    </row>
    <row r="7741" spans="1:3">
      <c r="A7741" s="137" t="str">
        <f t="shared" si="232"/>
        <v/>
      </c>
      <c r="C7741" s="1">
        <v>46038</v>
      </c>
    </row>
    <row r="7742" spans="1:3">
      <c r="A7742" s="137" t="str">
        <f t="shared" si="232"/>
        <v/>
      </c>
      <c r="C7742" s="1">
        <v>46038</v>
      </c>
    </row>
    <row r="7743" spans="1:3">
      <c r="A7743" s="137" t="str">
        <f t="shared" si="232"/>
        <v/>
      </c>
      <c r="C7743" s="1">
        <v>46038</v>
      </c>
    </row>
    <row r="7744" spans="1:3">
      <c r="A7744" s="137" t="str">
        <f t="shared" si="232"/>
        <v/>
      </c>
      <c r="C7744" s="1">
        <v>46038</v>
      </c>
    </row>
    <row r="7745" spans="1:3">
      <c r="A7745" s="137" t="str">
        <f t="shared" si="232"/>
        <v/>
      </c>
      <c r="C7745" s="1">
        <v>46038</v>
      </c>
    </row>
    <row r="7746" spans="1:3">
      <c r="A7746" s="137" t="str">
        <f t="shared" si="232"/>
        <v/>
      </c>
      <c r="C7746" s="1">
        <v>46038</v>
      </c>
    </row>
    <row r="7747" spans="1:3">
      <c r="A7747" s="137" t="str">
        <f t="shared" si="232"/>
        <v/>
      </c>
      <c r="C7747" s="1">
        <v>46038</v>
      </c>
    </row>
    <row r="7748" spans="1:3">
      <c r="A7748" s="137" t="str">
        <f t="shared" si="232"/>
        <v/>
      </c>
      <c r="C7748" s="1">
        <v>46038</v>
      </c>
    </row>
    <row r="7749" spans="1:3">
      <c r="A7749" s="137" t="str">
        <f t="shared" si="232"/>
        <v/>
      </c>
      <c r="C7749" s="1">
        <v>46038</v>
      </c>
    </row>
    <row r="7750" spans="1:3">
      <c r="A7750" s="137" t="str">
        <f t="shared" si="232"/>
        <v/>
      </c>
      <c r="C7750" s="1">
        <v>46038</v>
      </c>
    </row>
    <row r="7751" spans="1:3">
      <c r="A7751" s="137" t="str">
        <f t="shared" si="232"/>
        <v/>
      </c>
      <c r="C7751" s="1">
        <v>46038</v>
      </c>
    </row>
    <row r="7752" spans="1:3">
      <c r="A7752" s="137" t="str">
        <f t="shared" si="232"/>
        <v/>
      </c>
      <c r="C7752" s="1">
        <v>46038</v>
      </c>
    </row>
    <row r="7753" spans="1:3">
      <c r="A7753" s="137" t="str">
        <f t="shared" si="232"/>
        <v/>
      </c>
      <c r="C7753" s="1">
        <v>46038</v>
      </c>
    </row>
    <row r="7754" spans="1:3">
      <c r="A7754" s="137" t="str">
        <f t="shared" si="232"/>
        <v/>
      </c>
      <c r="C7754" s="1">
        <v>46038</v>
      </c>
    </row>
    <row r="7755" spans="1:3">
      <c r="A7755" s="137" t="str">
        <f t="shared" si="232"/>
        <v/>
      </c>
      <c r="C7755" s="1">
        <v>46038</v>
      </c>
    </row>
    <row r="7756" spans="1:3">
      <c r="A7756" s="137" t="str">
        <f t="shared" si="232"/>
        <v/>
      </c>
      <c r="C7756" s="1">
        <v>46038</v>
      </c>
    </row>
    <row r="7757" spans="1:3">
      <c r="A7757" s="137" t="str">
        <f t="shared" si="232"/>
        <v/>
      </c>
      <c r="C7757" s="1">
        <v>46038</v>
      </c>
    </row>
    <row r="7758" spans="1:3">
      <c r="A7758" s="137" t="str">
        <f t="shared" si="232"/>
        <v/>
      </c>
      <c r="C7758" s="1">
        <v>46038</v>
      </c>
    </row>
    <row r="7759" spans="1:3">
      <c r="A7759" s="137" t="str">
        <f t="shared" si="232"/>
        <v/>
      </c>
      <c r="C7759" s="1">
        <v>46038</v>
      </c>
    </row>
    <row r="7760" spans="1:3">
      <c r="A7760" s="137" t="str">
        <f t="shared" si="232"/>
        <v/>
      </c>
      <c r="C7760" s="1">
        <v>46038</v>
      </c>
    </row>
    <row r="7761" spans="1:3">
      <c r="A7761" s="137" t="str">
        <f t="shared" si="232"/>
        <v/>
      </c>
      <c r="C7761" s="1">
        <v>46038</v>
      </c>
    </row>
    <row r="7762" spans="1:3">
      <c r="A7762" s="137" t="str">
        <f t="shared" si="232"/>
        <v/>
      </c>
      <c r="C7762" s="1">
        <v>46038</v>
      </c>
    </row>
    <row r="7763" spans="1:3">
      <c r="A7763" s="137" t="str">
        <f t="shared" si="232"/>
        <v/>
      </c>
      <c r="C7763" s="1">
        <v>46038</v>
      </c>
    </row>
    <row r="7764" spans="1:3">
      <c r="A7764" s="137" t="str">
        <f t="shared" si="232"/>
        <v/>
      </c>
      <c r="C7764" s="1">
        <v>46038</v>
      </c>
    </row>
    <row r="7765" spans="1:3">
      <c r="A7765" s="137" t="str">
        <f t="shared" si="232"/>
        <v/>
      </c>
      <c r="C7765" s="1">
        <v>46038</v>
      </c>
    </row>
    <row r="7766" spans="1:3">
      <c r="A7766" s="137" t="str">
        <f t="shared" ref="A7766:A7792" si="233">D7766&amp;E7766&amp;F7766</f>
        <v/>
      </c>
      <c r="C7766" s="1">
        <v>46038</v>
      </c>
    </row>
    <row r="7767" spans="1:3">
      <c r="A7767" s="137" t="str">
        <f t="shared" si="233"/>
        <v/>
      </c>
      <c r="C7767" s="1">
        <v>46038</v>
      </c>
    </row>
    <row r="7768" spans="1:3">
      <c r="A7768" s="137" t="str">
        <f t="shared" si="233"/>
        <v/>
      </c>
      <c r="C7768" s="1">
        <v>46038</v>
      </c>
    </row>
    <row r="7769" spans="1:3">
      <c r="A7769" s="137" t="str">
        <f t="shared" si="233"/>
        <v/>
      </c>
      <c r="C7769" s="1">
        <v>46038</v>
      </c>
    </row>
    <row r="7770" spans="1:3">
      <c r="A7770" s="137" t="str">
        <f t="shared" si="233"/>
        <v/>
      </c>
      <c r="C7770" s="1">
        <v>46038</v>
      </c>
    </row>
    <row r="7771" spans="1:3">
      <c r="A7771" s="137" t="str">
        <f t="shared" si="233"/>
        <v/>
      </c>
      <c r="C7771" s="1">
        <v>46038</v>
      </c>
    </row>
    <row r="7772" spans="1:3">
      <c r="A7772" s="137" t="str">
        <f t="shared" si="233"/>
        <v/>
      </c>
      <c r="C7772" s="1">
        <v>46038</v>
      </c>
    </row>
    <row r="7773" spans="1:3">
      <c r="A7773" s="137" t="str">
        <f t="shared" si="233"/>
        <v/>
      </c>
      <c r="C7773" s="1">
        <v>46038</v>
      </c>
    </row>
    <row r="7774" spans="1:3">
      <c r="A7774" s="137" t="str">
        <f t="shared" si="233"/>
        <v/>
      </c>
      <c r="C7774" s="1">
        <v>46038</v>
      </c>
    </row>
    <row r="7775" spans="1:3">
      <c r="A7775" s="137" t="str">
        <f t="shared" si="233"/>
        <v/>
      </c>
      <c r="C7775" s="1">
        <v>46038</v>
      </c>
    </row>
    <row r="7776" spans="1:3">
      <c r="A7776" s="137" t="str">
        <f t="shared" si="233"/>
        <v/>
      </c>
      <c r="C7776" s="1">
        <v>46038</v>
      </c>
    </row>
    <row r="7777" spans="1:3">
      <c r="A7777" s="137" t="str">
        <f t="shared" si="233"/>
        <v/>
      </c>
      <c r="C7777" s="1">
        <v>46038</v>
      </c>
    </row>
    <row r="7778" spans="1:3">
      <c r="A7778" s="137" t="str">
        <f t="shared" si="233"/>
        <v/>
      </c>
      <c r="C7778" s="1">
        <v>46038</v>
      </c>
    </row>
    <row r="7779" spans="1:3">
      <c r="A7779" s="137" t="str">
        <f t="shared" si="233"/>
        <v/>
      </c>
      <c r="C7779" s="1">
        <v>46038</v>
      </c>
    </row>
    <row r="7780" spans="1:3">
      <c r="A7780" s="137" t="str">
        <f t="shared" si="233"/>
        <v/>
      </c>
      <c r="C7780" s="1">
        <v>46038</v>
      </c>
    </row>
    <row r="7781" spans="1:3">
      <c r="A7781" s="137" t="str">
        <f t="shared" si="233"/>
        <v/>
      </c>
      <c r="C7781" s="1">
        <v>46038</v>
      </c>
    </row>
    <row r="7782" spans="1:3">
      <c r="A7782" s="137" t="str">
        <f t="shared" si="233"/>
        <v/>
      </c>
      <c r="C7782" s="1">
        <v>46038</v>
      </c>
    </row>
    <row r="7783" spans="1:3">
      <c r="A7783" s="137" t="str">
        <f t="shared" si="233"/>
        <v/>
      </c>
      <c r="C7783" s="1">
        <v>46038</v>
      </c>
    </row>
    <row r="7784" spans="1:3">
      <c r="A7784" s="137" t="str">
        <f t="shared" si="233"/>
        <v/>
      </c>
      <c r="C7784" s="1">
        <v>46038</v>
      </c>
    </row>
    <row r="7785" spans="1:3">
      <c r="A7785" s="137" t="str">
        <f t="shared" si="233"/>
        <v/>
      </c>
      <c r="C7785" s="1">
        <v>46038</v>
      </c>
    </row>
    <row r="7786" spans="1:3">
      <c r="A7786" s="137" t="str">
        <f t="shared" si="233"/>
        <v/>
      </c>
      <c r="C7786" s="1">
        <v>46038</v>
      </c>
    </row>
    <row r="7787" spans="1:3">
      <c r="A7787" s="137" t="str">
        <f t="shared" si="233"/>
        <v/>
      </c>
      <c r="C7787" s="1">
        <v>46038</v>
      </c>
    </row>
    <row r="7788" spans="1:3">
      <c r="A7788" s="137" t="str">
        <f t="shared" si="233"/>
        <v/>
      </c>
      <c r="C7788" s="1">
        <v>46038</v>
      </c>
    </row>
    <row r="7789" spans="1:3">
      <c r="A7789" s="137" t="str">
        <f t="shared" si="233"/>
        <v/>
      </c>
      <c r="C7789" s="1">
        <v>46038</v>
      </c>
    </row>
    <row r="7790" spans="1:3">
      <c r="A7790" s="137" t="str">
        <f t="shared" si="233"/>
        <v/>
      </c>
      <c r="C7790" s="1">
        <v>46038</v>
      </c>
    </row>
    <row r="7791" spans="1:3">
      <c r="A7791" s="137" t="str">
        <f t="shared" si="233"/>
        <v/>
      </c>
      <c r="C7791" s="1">
        <v>46038</v>
      </c>
    </row>
    <row r="7792" spans="1:3">
      <c r="A7792" s="137" t="str">
        <f t="shared" si="233"/>
        <v/>
      </c>
      <c r="C7792" s="1">
        <v>46038</v>
      </c>
    </row>
    <row r="7793" spans="1:3">
      <c r="A7793" s="137" t="str">
        <f>D7793&amp;E7793&amp;F7793</f>
        <v/>
      </c>
      <c r="C7793" s="1">
        <v>46038</v>
      </c>
    </row>
    <row r="7794" spans="1:3">
      <c r="A7794" s="137" t="str">
        <f>D7794&amp;E7794&amp;F7794</f>
        <v/>
      </c>
      <c r="C7794" s="1">
        <v>46038</v>
      </c>
    </row>
    <row r="7795" spans="1:3">
      <c r="A7795" s="137" t="str">
        <f>D7795&amp;E7795&amp;F7795</f>
        <v/>
      </c>
      <c r="C7795" s="1">
        <v>46038</v>
      </c>
    </row>
    <row r="7796" spans="1:3">
      <c r="A7796" s="137" t="str">
        <f>D7796&amp;E7796&amp;F7796</f>
        <v/>
      </c>
      <c r="C7796" s="1">
        <v>46038</v>
      </c>
    </row>
    <row r="7797" spans="1:3">
      <c r="A7797" s="137" t="str">
        <f>D7797&amp;E7797&amp;F7797</f>
        <v/>
      </c>
      <c r="C7797" s="1">
        <v>46038</v>
      </c>
    </row>
    <row r="7798" spans="1:3">
      <c r="A7798" s="137" t="str">
        <f>D7798&amp;E7798&amp;F7798</f>
        <v/>
      </c>
      <c r="C7798" s="1">
        <v>46038</v>
      </c>
    </row>
    <row r="7799" spans="1:3">
      <c r="A7799" s="137" t="str">
        <f>D7799&amp;E7799&amp;F7799</f>
        <v/>
      </c>
      <c r="C7799" s="1">
        <v>46038</v>
      </c>
    </row>
    <row r="7800" spans="1:3">
      <c r="A7800" s="137" t="str">
        <f>D7800&amp;E7800&amp;F7800</f>
        <v/>
      </c>
      <c r="C7800" s="1">
        <v>46038</v>
      </c>
    </row>
    <row r="7801" spans="1:3">
      <c r="A7801" s="137" t="str">
        <f>D7801&amp;E7801&amp;F7801</f>
        <v/>
      </c>
      <c r="C7801" s="1">
        <v>46038</v>
      </c>
    </row>
    <row r="7802" spans="1:3">
      <c r="A7802" s="137" t="str">
        <f>D7802&amp;E7802&amp;F7802</f>
        <v/>
      </c>
      <c r="C7802" s="1">
        <v>46038</v>
      </c>
    </row>
    <row r="7803" spans="1:3">
      <c r="A7803" s="137" t="str">
        <f>D7803&amp;E7803&amp;F7803</f>
        <v/>
      </c>
      <c r="C7803" s="1">
        <v>46038</v>
      </c>
    </row>
    <row r="7804" spans="1:3">
      <c r="A7804" s="137" t="str">
        <f>D7804&amp;E7804&amp;F7804</f>
        <v/>
      </c>
      <c r="C7804" s="1">
        <v>46038</v>
      </c>
    </row>
    <row r="7805" spans="1:3">
      <c r="A7805" s="137" t="str">
        <f>D7805&amp;E7805&amp;F7805</f>
        <v/>
      </c>
      <c r="C7805" s="1">
        <v>46038</v>
      </c>
    </row>
    <row r="7806" spans="1:3">
      <c r="A7806" s="137" t="str">
        <f>D7806&amp;E7806&amp;F7806</f>
        <v/>
      </c>
      <c r="C7806" s="1">
        <v>46038</v>
      </c>
    </row>
    <row r="7807" spans="1:3">
      <c r="A7807" s="137" t="str">
        <f>D7807&amp;E7807&amp;F7807</f>
        <v/>
      </c>
      <c r="C7807" s="1">
        <v>46038</v>
      </c>
    </row>
    <row r="7808" spans="1:3">
      <c r="A7808" s="137" t="str">
        <f>D7808&amp;E7808&amp;F7808</f>
        <v/>
      </c>
      <c r="C7808" s="1">
        <v>46038</v>
      </c>
    </row>
    <row r="7809" spans="1:3">
      <c r="A7809" s="137" t="str">
        <f>D7809&amp;E7809&amp;F7809</f>
        <v/>
      </c>
      <c r="C7809" s="1">
        <v>46038</v>
      </c>
    </row>
    <row r="7810" spans="1:3">
      <c r="A7810" s="137" t="str">
        <f>D7810&amp;E7810&amp;F7810</f>
        <v/>
      </c>
      <c r="C7810" s="1">
        <v>46038</v>
      </c>
    </row>
    <row r="7811" spans="1:3">
      <c r="A7811" s="137" t="str">
        <f>D7811&amp;E7811&amp;F7811</f>
        <v/>
      </c>
      <c r="C7811" s="1">
        <v>46038</v>
      </c>
    </row>
    <row r="7812" spans="1:3">
      <c r="A7812" s="137" t="str">
        <f>D7812&amp;E7812&amp;F7812</f>
        <v/>
      </c>
      <c r="C7812" s="1">
        <v>46038</v>
      </c>
    </row>
    <row r="7813" spans="1:3">
      <c r="A7813" s="137" t="str">
        <f>D7813&amp;E7813&amp;F7813</f>
        <v/>
      </c>
      <c r="C7813" s="1">
        <v>46038</v>
      </c>
    </row>
    <row r="7814" spans="1:3">
      <c r="A7814" s="137" t="str">
        <f>D7814&amp;E7814&amp;F7814</f>
        <v/>
      </c>
      <c r="C7814" s="1">
        <v>46038</v>
      </c>
    </row>
    <row r="7815" spans="1:3">
      <c r="A7815" s="137" t="str">
        <f>D7815&amp;E7815&amp;F7815</f>
        <v/>
      </c>
      <c r="C7815" s="1">
        <v>46038</v>
      </c>
    </row>
    <row r="7816" spans="1:3">
      <c r="A7816" s="137" t="str">
        <f>D7816&amp;E7816&amp;F7816</f>
        <v/>
      </c>
      <c r="C7816" s="1">
        <v>46038</v>
      </c>
    </row>
    <row r="7817" spans="1:3">
      <c r="A7817" s="137" t="str">
        <f>D7817&amp;E7817&amp;F7817</f>
        <v/>
      </c>
      <c r="C7817" s="1">
        <v>46038</v>
      </c>
    </row>
    <row r="7818" spans="1:3">
      <c r="A7818" s="137" t="str">
        <f>D7818&amp;E7818&amp;F7818</f>
        <v/>
      </c>
      <c r="C7818" s="1">
        <v>46038</v>
      </c>
    </row>
    <row r="7819" spans="1:3">
      <c r="A7819" s="137" t="str">
        <f>D7819&amp;E7819&amp;F7819</f>
        <v/>
      </c>
      <c r="C7819" s="1">
        <v>46038</v>
      </c>
    </row>
    <row r="7820" spans="1:3">
      <c r="A7820" s="137" t="str">
        <f>D7820&amp;E7820&amp;F7820</f>
        <v/>
      </c>
      <c r="C7820" s="1">
        <v>46038</v>
      </c>
    </row>
    <row r="7821" spans="1:3">
      <c r="A7821" s="137" t="str">
        <f>D7821&amp;E7821&amp;F7821</f>
        <v/>
      </c>
      <c r="C7821" s="1">
        <v>46038</v>
      </c>
    </row>
    <row r="7822" spans="1:3">
      <c r="A7822" s="137" t="str">
        <f>D7822&amp;E7822&amp;F7822</f>
        <v/>
      </c>
      <c r="C7822" s="1">
        <v>46038</v>
      </c>
    </row>
    <row r="7823" spans="1:3">
      <c r="A7823" s="137" t="str">
        <f>D7823&amp;E7823&amp;F7823</f>
        <v/>
      </c>
      <c r="C7823" s="1">
        <v>46038</v>
      </c>
    </row>
    <row r="7824" spans="1:3">
      <c r="A7824" s="137" t="str">
        <f>D7824&amp;E7824&amp;F7824</f>
        <v/>
      </c>
      <c r="C7824" s="1">
        <v>46038</v>
      </c>
    </row>
    <row r="7825" spans="1:3">
      <c r="A7825" s="137" t="str">
        <f>D7825&amp;E7825&amp;F7825</f>
        <v/>
      </c>
      <c r="C7825" s="1">
        <v>46038</v>
      </c>
    </row>
    <row r="7826" spans="1:3">
      <c r="A7826" s="137" t="str">
        <f>D7826&amp;E7826&amp;F7826</f>
        <v/>
      </c>
      <c r="C7826" s="1">
        <v>46038</v>
      </c>
    </row>
    <row r="7827" spans="1:3">
      <c r="A7827" s="137" t="str">
        <f>D7827&amp;E7827&amp;F7827</f>
        <v/>
      </c>
      <c r="C7827" s="1">
        <v>46038</v>
      </c>
    </row>
    <row r="7828" spans="1:3">
      <c r="A7828" s="137" t="str">
        <f>D7828&amp;E7828&amp;F7828</f>
        <v/>
      </c>
      <c r="C7828" s="1">
        <v>46038</v>
      </c>
    </row>
    <row r="7829" spans="1:3">
      <c r="A7829" s="137" t="str">
        <f>D7829&amp;E7829&amp;F7829</f>
        <v/>
      </c>
      <c r="C7829" s="1">
        <v>46038</v>
      </c>
    </row>
    <row r="7830" spans="1:3">
      <c r="A7830" s="137" t="str">
        <f>D7830&amp;E7830&amp;F7830</f>
        <v/>
      </c>
      <c r="C7830" s="1">
        <v>46038</v>
      </c>
    </row>
    <row r="7831" spans="1:3">
      <c r="A7831" s="137" t="str">
        <f>D7831&amp;E7831&amp;F7831</f>
        <v/>
      </c>
      <c r="C7831" s="1">
        <v>46038</v>
      </c>
    </row>
    <row r="7832" spans="1:3">
      <c r="A7832" s="137" t="str">
        <f>D7832&amp;E7832&amp;F7832</f>
        <v/>
      </c>
      <c r="C7832" s="1">
        <v>46038</v>
      </c>
    </row>
    <row r="7833" spans="1:3">
      <c r="A7833" s="137" t="str">
        <f>D7833&amp;E7833&amp;F7833</f>
        <v/>
      </c>
      <c r="C7833" s="1">
        <v>46038</v>
      </c>
    </row>
    <row r="7834" spans="1:3">
      <c r="A7834" s="137" t="str">
        <f>D7834&amp;E7834&amp;F7834</f>
        <v/>
      </c>
      <c r="C7834" s="1">
        <v>46038</v>
      </c>
    </row>
    <row r="7835" spans="1:3">
      <c r="A7835" s="137" t="str">
        <f>D7835&amp;E7835&amp;F7835</f>
        <v/>
      </c>
      <c r="C7835" s="1">
        <v>46038</v>
      </c>
    </row>
    <row r="7836" spans="1:3">
      <c r="A7836" s="137" t="str">
        <f>D7836&amp;E7836&amp;F7836</f>
        <v/>
      </c>
      <c r="C7836" s="1">
        <v>46038</v>
      </c>
    </row>
    <row r="7837" spans="1:3">
      <c r="A7837" s="137" t="str">
        <f>D7837&amp;E7837&amp;F7837</f>
        <v/>
      </c>
      <c r="C7837" s="1">
        <v>46038</v>
      </c>
    </row>
    <row r="7838" spans="1:3">
      <c r="A7838" s="137" t="str">
        <f>D7838&amp;E7838&amp;F7838</f>
        <v/>
      </c>
      <c r="C7838" s="1">
        <v>46038</v>
      </c>
    </row>
    <row r="7839" spans="1:3">
      <c r="A7839" s="137" t="str">
        <f>D7839&amp;E7839&amp;F7839</f>
        <v/>
      </c>
      <c r="C7839" s="1">
        <v>46038</v>
      </c>
    </row>
    <row r="7840" spans="1:3">
      <c r="A7840" s="137" t="str">
        <f>D7840&amp;E7840&amp;F7840</f>
        <v/>
      </c>
      <c r="C7840" s="1">
        <v>46038</v>
      </c>
    </row>
    <row r="7841" spans="1:3">
      <c r="A7841" s="137" t="str">
        <f>D7841&amp;E7841&amp;F7841</f>
        <v/>
      </c>
      <c r="C7841" s="1">
        <v>46038</v>
      </c>
    </row>
    <row r="7842" spans="1:3">
      <c r="A7842" s="137" t="str">
        <f>D7842&amp;E7842&amp;F7842</f>
        <v/>
      </c>
      <c r="C7842" s="1">
        <v>46038</v>
      </c>
    </row>
    <row r="7843" spans="1:3">
      <c r="A7843" s="137" t="str">
        <f>D7843&amp;E7843&amp;F7843</f>
        <v/>
      </c>
      <c r="C7843" s="1">
        <v>46038</v>
      </c>
    </row>
    <row r="7844" spans="1:3">
      <c r="A7844" s="137" t="str">
        <f>D7844&amp;E7844&amp;F7844</f>
        <v/>
      </c>
      <c r="C7844" s="1">
        <v>46038</v>
      </c>
    </row>
    <row r="7845" spans="1:3">
      <c r="A7845" s="137" t="str">
        <f>D7845&amp;E7845&amp;F7845</f>
        <v/>
      </c>
      <c r="C7845" s="1">
        <v>46038</v>
      </c>
    </row>
    <row r="7846" spans="1:3">
      <c r="A7846" s="137" t="str">
        <f>D7846&amp;E7846&amp;F7846</f>
        <v/>
      </c>
      <c r="C7846" s="1">
        <v>46038</v>
      </c>
    </row>
    <row r="7847" spans="1:3">
      <c r="A7847" s="137" t="str">
        <f>D7847&amp;E7847&amp;F7847</f>
        <v/>
      </c>
      <c r="C7847" s="1">
        <v>46038</v>
      </c>
    </row>
    <row r="7848" spans="1:3">
      <c r="A7848" s="137" t="str">
        <f>D7848&amp;E7848&amp;F7848</f>
        <v/>
      </c>
      <c r="C7848" s="1">
        <v>46038</v>
      </c>
    </row>
    <row r="7849" spans="1:3">
      <c r="A7849" s="137" t="str">
        <f>D7849&amp;E7849&amp;F7849</f>
        <v/>
      </c>
      <c r="C7849" s="1">
        <v>46038</v>
      </c>
    </row>
    <row r="7850" spans="1:3">
      <c r="A7850" s="137" t="str">
        <f>D7850&amp;E7850&amp;F7850</f>
        <v/>
      </c>
      <c r="C7850" s="1">
        <v>46038</v>
      </c>
    </row>
    <row r="7851" spans="1:3">
      <c r="A7851" s="137" t="str">
        <f>D7851&amp;E7851&amp;F7851</f>
        <v/>
      </c>
      <c r="C7851" s="1">
        <v>46038</v>
      </c>
    </row>
    <row r="7852" spans="1:3">
      <c r="A7852" s="137" t="str">
        <f>D7852&amp;E7852&amp;F7852</f>
        <v/>
      </c>
      <c r="C7852" s="1">
        <v>46038</v>
      </c>
    </row>
    <row r="7853" spans="1:3">
      <c r="A7853" s="137" t="str">
        <f>D7853&amp;E7853&amp;F7853</f>
        <v/>
      </c>
      <c r="C7853" s="1">
        <v>46038</v>
      </c>
    </row>
    <row r="7854" spans="1:3">
      <c r="A7854" s="137" t="str">
        <f>D7854&amp;E7854&amp;F7854</f>
        <v/>
      </c>
      <c r="C7854" s="1">
        <v>46038</v>
      </c>
    </row>
    <row r="7855" spans="1:3">
      <c r="A7855" s="137" t="str">
        <f>D7855&amp;E7855&amp;F7855</f>
        <v/>
      </c>
      <c r="C7855" s="1">
        <v>46038</v>
      </c>
    </row>
    <row r="7856" spans="1:3">
      <c r="A7856" s="137" t="str">
        <f>D7856&amp;E7856&amp;F7856</f>
        <v/>
      </c>
      <c r="C7856" s="1">
        <v>46038</v>
      </c>
    </row>
    <row r="7857" spans="1:3">
      <c r="A7857" s="137" t="str">
        <f>D7857&amp;E7857&amp;F7857</f>
        <v/>
      </c>
      <c r="C7857" s="1">
        <v>46038</v>
      </c>
    </row>
    <row r="7858" spans="1:3">
      <c r="A7858" s="137" t="str">
        <f>D7858&amp;E7858&amp;F7858</f>
        <v/>
      </c>
      <c r="C7858" s="1">
        <v>46038</v>
      </c>
    </row>
    <row r="7859" spans="1:3">
      <c r="A7859" s="137" t="str">
        <f>D7859&amp;E7859&amp;F7859</f>
        <v/>
      </c>
      <c r="C7859" s="1">
        <v>46038</v>
      </c>
    </row>
    <row r="7860" spans="1:3">
      <c r="A7860" s="137" t="str">
        <f>D7860&amp;E7860&amp;F7860</f>
        <v/>
      </c>
      <c r="C7860" s="1">
        <v>46038</v>
      </c>
    </row>
    <row r="7861" spans="1:3">
      <c r="A7861" s="137" t="str">
        <f>D7861&amp;E7861&amp;F7861</f>
        <v/>
      </c>
      <c r="C7861" s="1">
        <v>46038</v>
      </c>
    </row>
    <row r="7862" spans="1:3">
      <c r="A7862" s="137" t="str">
        <f>D7862&amp;E7862&amp;F7862</f>
        <v/>
      </c>
      <c r="C7862" s="1">
        <v>46038</v>
      </c>
    </row>
    <row r="7863" spans="1:3">
      <c r="A7863" s="137" t="str">
        <f>D7863&amp;E7863&amp;F7863</f>
        <v/>
      </c>
      <c r="C7863" s="1">
        <v>46038</v>
      </c>
    </row>
    <row r="7864" spans="1:3">
      <c r="A7864" s="137" t="str">
        <f>D7864&amp;E7864&amp;F7864</f>
        <v/>
      </c>
      <c r="C7864" s="1">
        <v>46038</v>
      </c>
    </row>
    <row r="7865" spans="1:3">
      <c r="A7865" s="137" t="str">
        <f>D7865&amp;E7865&amp;F7865</f>
        <v/>
      </c>
      <c r="C7865" s="1">
        <v>46038</v>
      </c>
    </row>
    <row r="7866" spans="1:3">
      <c r="A7866" s="137" t="str">
        <f>D7866&amp;E7866&amp;F7866</f>
        <v/>
      </c>
      <c r="C7866" s="1">
        <v>46038</v>
      </c>
    </row>
    <row r="7867" spans="1:3">
      <c r="A7867" s="137" t="str">
        <f>D7867&amp;E7867&amp;F7867</f>
        <v/>
      </c>
      <c r="C7867" s="1">
        <v>46038</v>
      </c>
    </row>
    <row r="7868" spans="1:3">
      <c r="A7868" s="137" t="str">
        <f>D7868&amp;E7868&amp;F7868</f>
        <v/>
      </c>
      <c r="C7868" s="1">
        <v>46038</v>
      </c>
    </row>
    <row r="7869" spans="1:3">
      <c r="A7869" s="137" t="str">
        <f>D7869&amp;E7869&amp;F7869</f>
        <v/>
      </c>
      <c r="C7869" s="1">
        <v>46038</v>
      </c>
    </row>
    <row r="7870" spans="1:3">
      <c r="A7870" s="137" t="str">
        <f>D7870&amp;E7870&amp;F7870</f>
        <v/>
      </c>
      <c r="C7870" s="1">
        <v>46038</v>
      </c>
    </row>
    <row r="7871" spans="1:3">
      <c r="A7871" s="137" t="str">
        <f>D7871&amp;E7871&amp;F7871</f>
        <v/>
      </c>
      <c r="C7871" s="1">
        <v>46038</v>
      </c>
    </row>
    <row r="7872" spans="1:3">
      <c r="A7872" s="137" t="str">
        <f>D7872&amp;E7872&amp;F7872</f>
        <v/>
      </c>
      <c r="C7872" s="1">
        <v>46038</v>
      </c>
    </row>
    <row r="7873" spans="1:3">
      <c r="A7873" s="137" t="str">
        <f>D7873&amp;E7873&amp;F7873</f>
        <v/>
      </c>
      <c r="C7873" s="1">
        <v>46038</v>
      </c>
    </row>
    <row r="7874" spans="1:3">
      <c r="A7874" s="137" t="str">
        <f>D7874&amp;E7874&amp;F7874</f>
        <v/>
      </c>
      <c r="C7874" s="1">
        <v>46038</v>
      </c>
    </row>
    <row r="7875" spans="1:3">
      <c r="A7875" s="137" t="str">
        <f>D7875&amp;E7875&amp;F7875</f>
        <v/>
      </c>
      <c r="C7875" s="1">
        <v>46038</v>
      </c>
    </row>
    <row r="7876" spans="1:3">
      <c r="A7876" s="137" t="str">
        <f>D7876&amp;E7876&amp;F7876</f>
        <v/>
      </c>
      <c r="C7876" s="1">
        <v>46038</v>
      </c>
    </row>
    <row r="7877" spans="1:3">
      <c r="A7877" s="137" t="str">
        <f>D7877&amp;E7877&amp;F7877</f>
        <v/>
      </c>
      <c r="C7877" s="1">
        <v>46038</v>
      </c>
    </row>
    <row r="7878" spans="1:3">
      <c r="A7878" s="137" t="str">
        <f>D7878&amp;E7878&amp;F7878</f>
        <v/>
      </c>
      <c r="C7878" s="1">
        <v>46038</v>
      </c>
    </row>
    <row r="7879" spans="1:3">
      <c r="A7879" s="137" t="str">
        <f>D7879&amp;E7879&amp;F7879</f>
        <v/>
      </c>
      <c r="C7879" s="1">
        <v>46038</v>
      </c>
    </row>
    <row r="7880" spans="1:3">
      <c r="A7880" s="137" t="str">
        <f>D7880&amp;E7880&amp;F7880</f>
        <v/>
      </c>
      <c r="C7880" s="1">
        <v>46038</v>
      </c>
    </row>
    <row r="7881" spans="1:3">
      <c r="A7881" s="137" t="str">
        <f>D7881&amp;E7881&amp;F7881</f>
        <v/>
      </c>
      <c r="C7881" s="1">
        <v>46038</v>
      </c>
    </row>
    <row r="7882" spans="1:3">
      <c r="A7882" s="137" t="str">
        <f>D7882&amp;E7882&amp;F7882</f>
        <v/>
      </c>
      <c r="C7882" s="1">
        <v>46038</v>
      </c>
    </row>
    <row r="7883" spans="1:3">
      <c r="A7883" s="137" t="str">
        <f>D7883&amp;E7883&amp;F7883</f>
        <v/>
      </c>
      <c r="C7883" s="1">
        <v>46038</v>
      </c>
    </row>
    <row r="7884" spans="1:3">
      <c r="A7884" s="137" t="str">
        <f>D7884&amp;E7884&amp;F7884</f>
        <v/>
      </c>
      <c r="C7884" s="1">
        <v>46038</v>
      </c>
    </row>
    <row r="7885" spans="1:3">
      <c r="A7885" s="137" t="str">
        <f>D7885&amp;E7885&amp;F7885</f>
        <v/>
      </c>
      <c r="C7885" s="1">
        <v>46038</v>
      </c>
    </row>
    <row r="7886" spans="1:3">
      <c r="A7886" s="137" t="str">
        <f>D7886&amp;E7886&amp;F7886</f>
        <v/>
      </c>
      <c r="C7886" s="1">
        <v>46038</v>
      </c>
    </row>
    <row r="7887" spans="1:3">
      <c r="A7887" s="137" t="str">
        <f>D7887&amp;E7887&amp;F7887</f>
        <v/>
      </c>
      <c r="C7887" s="1">
        <v>46038</v>
      </c>
    </row>
    <row r="7888" spans="1:3">
      <c r="A7888" s="137" t="str">
        <f>D7888&amp;E7888&amp;F7888</f>
        <v/>
      </c>
      <c r="C7888" s="1">
        <v>46038</v>
      </c>
    </row>
    <row r="7889" spans="1:3">
      <c r="A7889" s="137" t="str">
        <f>D7889&amp;E7889&amp;F7889</f>
        <v/>
      </c>
      <c r="C7889" s="1">
        <v>46038</v>
      </c>
    </row>
    <row r="7890" spans="1:3">
      <c r="A7890" s="137" t="str">
        <f>D7890&amp;E7890&amp;F7890</f>
        <v/>
      </c>
      <c r="C7890" s="1">
        <v>46038</v>
      </c>
    </row>
    <row r="7891" spans="1:3">
      <c r="A7891" s="137" t="str">
        <f>D7891&amp;E7891&amp;F7891</f>
        <v/>
      </c>
      <c r="C7891" s="1">
        <v>46038</v>
      </c>
    </row>
    <row r="7892" spans="1:3">
      <c r="A7892" s="137" t="str">
        <f>D7892&amp;E7892&amp;F7892</f>
        <v/>
      </c>
      <c r="C7892" s="1">
        <v>46038</v>
      </c>
    </row>
    <row r="7893" spans="1:3">
      <c r="A7893" s="137" t="str">
        <f>D7893&amp;E7893&amp;F7893</f>
        <v/>
      </c>
      <c r="C7893" s="1">
        <v>46038</v>
      </c>
    </row>
    <row r="7894" spans="1:3">
      <c r="A7894" s="137" t="str">
        <f>D7894&amp;E7894&amp;F7894</f>
        <v/>
      </c>
      <c r="C7894" s="1">
        <v>46038</v>
      </c>
    </row>
    <row r="7895" spans="1:3">
      <c r="A7895" s="137" t="str">
        <f>D7895&amp;E7895&amp;F7895</f>
        <v/>
      </c>
      <c r="C7895" s="1">
        <v>46038</v>
      </c>
    </row>
    <row r="7896" spans="1:3">
      <c r="A7896" s="137" t="str">
        <f>D7896&amp;E7896&amp;F7896</f>
        <v/>
      </c>
      <c r="C7896" s="1">
        <v>46038</v>
      </c>
    </row>
    <row r="7897" spans="1:3">
      <c r="A7897" s="137" t="str">
        <f>D7897&amp;E7897&amp;F7897</f>
        <v/>
      </c>
      <c r="C7897" s="1">
        <v>46038</v>
      </c>
    </row>
    <row r="7898" spans="1:3">
      <c r="A7898" s="137" t="str">
        <f>D7898&amp;E7898&amp;F7898</f>
        <v/>
      </c>
      <c r="C7898" s="1">
        <v>46038</v>
      </c>
    </row>
    <row r="7899" spans="1:3">
      <c r="A7899" s="137" t="str">
        <f>D7899&amp;E7899&amp;F7899</f>
        <v/>
      </c>
      <c r="C7899" s="1">
        <v>46038</v>
      </c>
    </row>
    <row r="7900" spans="1:3">
      <c r="A7900" s="137" t="str">
        <f>D7900&amp;E7900&amp;F7900</f>
        <v/>
      </c>
      <c r="C7900" s="1">
        <v>46038</v>
      </c>
    </row>
    <row r="7901" spans="1:3">
      <c r="A7901" s="137" t="str">
        <f>D7901&amp;E7901&amp;F7901</f>
        <v/>
      </c>
      <c r="C7901" s="1">
        <v>46038</v>
      </c>
    </row>
    <row r="7902" spans="1:3">
      <c r="A7902" s="137" t="str">
        <f>D7902&amp;E7902&amp;F7902</f>
        <v/>
      </c>
      <c r="C7902" s="1">
        <v>46038</v>
      </c>
    </row>
    <row r="7903" spans="1:3">
      <c r="A7903" s="137" t="str">
        <f>D7903&amp;E7903&amp;F7903</f>
        <v/>
      </c>
      <c r="C7903" s="1">
        <v>46038</v>
      </c>
    </row>
    <row r="7904" spans="1:3">
      <c r="A7904" s="137" t="str">
        <f>D7904&amp;E7904&amp;F7904</f>
        <v/>
      </c>
      <c r="C7904" s="1">
        <v>46038</v>
      </c>
    </row>
    <row r="7905" spans="1:3">
      <c r="A7905" s="137" t="str">
        <f>D7905&amp;E7905&amp;F7905</f>
        <v/>
      </c>
      <c r="C7905" s="1">
        <v>46038</v>
      </c>
    </row>
    <row r="7906" spans="1:3">
      <c r="A7906" s="137" t="str">
        <f>D7906&amp;E7906&amp;F7906</f>
        <v/>
      </c>
      <c r="C7906" s="1">
        <v>46038</v>
      </c>
    </row>
    <row r="7907" spans="1:3">
      <c r="A7907" s="137" t="str">
        <f>D7907&amp;E7907&amp;F7907</f>
        <v/>
      </c>
      <c r="C7907" s="1">
        <v>46038</v>
      </c>
    </row>
    <row r="7908" spans="1:3">
      <c r="A7908" s="137" t="str">
        <f>D7908&amp;E7908&amp;F7908</f>
        <v/>
      </c>
      <c r="C7908" s="1">
        <v>46038</v>
      </c>
    </row>
    <row r="7909" spans="1:3">
      <c r="A7909" s="137" t="str">
        <f>D7909&amp;E7909&amp;F7909</f>
        <v/>
      </c>
      <c r="C7909" s="1">
        <v>46038</v>
      </c>
    </row>
    <row r="7910" spans="1:3">
      <c r="A7910" s="137" t="str">
        <f>D7910&amp;E7910&amp;F7910</f>
        <v/>
      </c>
      <c r="C7910" s="1">
        <v>46038</v>
      </c>
    </row>
    <row r="7911" spans="1:3">
      <c r="A7911" s="137" t="str">
        <f>D7911&amp;E7911&amp;F7911</f>
        <v/>
      </c>
      <c r="C7911" s="1">
        <v>46038</v>
      </c>
    </row>
    <row r="7912" spans="1:3">
      <c r="A7912" s="137" t="str">
        <f>D7912&amp;E7912&amp;F7912</f>
        <v/>
      </c>
      <c r="C7912" s="1">
        <v>46038</v>
      </c>
    </row>
    <row r="7913" spans="1:3">
      <c r="A7913" s="137" t="str">
        <f>D7913&amp;E7913&amp;F7913</f>
        <v/>
      </c>
      <c r="C7913" s="1">
        <v>46038</v>
      </c>
    </row>
    <row r="7914" spans="1:3">
      <c r="A7914" s="137" t="str">
        <f>D7914&amp;E7914&amp;F7914</f>
        <v/>
      </c>
      <c r="C7914" s="1">
        <v>46038</v>
      </c>
    </row>
    <row r="7915" spans="1:3">
      <c r="A7915" s="137" t="str">
        <f>D7915&amp;E7915&amp;F7915</f>
        <v/>
      </c>
      <c r="C7915" s="1">
        <v>46038</v>
      </c>
    </row>
    <row r="7916" spans="1:3">
      <c r="A7916" s="137" t="str">
        <f>D7916&amp;E7916&amp;F7916</f>
        <v/>
      </c>
      <c r="C7916" s="1">
        <v>46038</v>
      </c>
    </row>
    <row r="7917" spans="1:3">
      <c r="A7917" s="137" t="str">
        <f>D7917&amp;E7917&amp;F7917</f>
        <v/>
      </c>
      <c r="C7917" s="1">
        <v>46038</v>
      </c>
    </row>
    <row r="7918" spans="1:3">
      <c r="A7918" s="137" t="str">
        <f>D7918&amp;E7918&amp;F7918</f>
        <v/>
      </c>
      <c r="C7918" s="1">
        <v>46038</v>
      </c>
    </row>
    <row r="7919" spans="1:3">
      <c r="A7919" s="137" t="str">
        <f>D7919&amp;E7919&amp;F7919</f>
        <v/>
      </c>
      <c r="C7919" s="1">
        <v>46038</v>
      </c>
    </row>
    <row r="7920" spans="1:3">
      <c r="A7920" s="137" t="str">
        <f>D7920&amp;E7920&amp;F7920</f>
        <v/>
      </c>
      <c r="C7920" s="1">
        <v>46038</v>
      </c>
    </row>
    <row r="7921" spans="1:3">
      <c r="A7921" s="137" t="str">
        <f>D7921&amp;E7921&amp;F7921</f>
        <v/>
      </c>
      <c r="C7921" s="1">
        <v>46038</v>
      </c>
    </row>
    <row r="7922" spans="1:3">
      <c r="A7922" s="137" t="str">
        <f>D7922&amp;E7922&amp;F7922</f>
        <v/>
      </c>
      <c r="C7922" s="1">
        <v>46038</v>
      </c>
    </row>
    <row r="7923" spans="1:3">
      <c r="A7923" s="137" t="str">
        <f>D7923&amp;E7923&amp;F7923</f>
        <v/>
      </c>
      <c r="C7923" s="1">
        <v>46038</v>
      </c>
    </row>
    <row r="7924" spans="1:3">
      <c r="A7924" s="137" t="str">
        <f>D7924&amp;E7924&amp;F7924</f>
        <v/>
      </c>
      <c r="C7924" s="1">
        <v>46038</v>
      </c>
    </row>
    <row r="7925" spans="1:3">
      <c r="A7925" s="137" t="str">
        <f>D7925&amp;E7925&amp;F7925</f>
        <v/>
      </c>
      <c r="C7925" s="1">
        <v>46038</v>
      </c>
    </row>
    <row r="7926" spans="1:3">
      <c r="A7926" s="137" t="str">
        <f>D7926&amp;E7926&amp;F7926</f>
        <v/>
      </c>
      <c r="C7926" s="1">
        <v>46038</v>
      </c>
    </row>
    <row r="7927" spans="1:3">
      <c r="A7927" s="137" t="str">
        <f>D7927&amp;E7927&amp;F7927</f>
        <v/>
      </c>
      <c r="C7927" s="1">
        <v>46038</v>
      </c>
    </row>
    <row r="7928" spans="1:3">
      <c r="A7928" s="137" t="str">
        <f>D7928&amp;E7928&amp;F7928</f>
        <v/>
      </c>
      <c r="C7928" s="1">
        <v>46038</v>
      </c>
    </row>
    <row r="7929" spans="1:3">
      <c r="A7929" s="137" t="str">
        <f>D7929&amp;E7929&amp;F7929</f>
        <v/>
      </c>
      <c r="C7929" s="1">
        <v>46038</v>
      </c>
    </row>
    <row r="7930" spans="1:3">
      <c r="A7930" s="137" t="str">
        <f>D7930&amp;E7930&amp;F7930</f>
        <v/>
      </c>
      <c r="C7930" s="1">
        <v>46038</v>
      </c>
    </row>
    <row r="7931" spans="1:3">
      <c r="A7931" s="137" t="str">
        <f>D7931&amp;E7931&amp;F7931</f>
        <v/>
      </c>
      <c r="C7931" s="1">
        <v>46038</v>
      </c>
    </row>
    <row r="7932" spans="1:3">
      <c r="A7932" s="137" t="str">
        <f>D7932&amp;E7932&amp;F7932</f>
        <v/>
      </c>
      <c r="C7932" s="1">
        <v>46038</v>
      </c>
    </row>
    <row r="7933" spans="1:3">
      <c r="A7933" s="137" t="str">
        <f>D7933&amp;E7933&amp;F7933</f>
        <v/>
      </c>
      <c r="C7933" s="1">
        <v>46038</v>
      </c>
    </row>
    <row r="7934" spans="1:3">
      <c r="A7934" s="137" t="str">
        <f>D7934&amp;E7934&amp;F7934</f>
        <v/>
      </c>
      <c r="C7934" s="1">
        <v>46038</v>
      </c>
    </row>
    <row r="7935" spans="1:3">
      <c r="A7935" s="137" t="str">
        <f>D7935&amp;E7935&amp;F7935</f>
        <v/>
      </c>
      <c r="C7935" s="1">
        <v>46038</v>
      </c>
    </row>
    <row r="7936" spans="1:3">
      <c r="A7936" s="137" t="str">
        <f>D7936&amp;E7936&amp;F7936</f>
        <v/>
      </c>
      <c r="C7936" s="1">
        <v>46038</v>
      </c>
    </row>
    <row r="7937" spans="1:3">
      <c r="A7937" s="137" t="str">
        <f>D7937&amp;E7937&amp;F7937</f>
        <v/>
      </c>
      <c r="C7937" s="1">
        <v>46038</v>
      </c>
    </row>
    <row r="7938" spans="1:3">
      <c r="A7938" s="137" t="str">
        <f>D7938&amp;E7938&amp;F7938</f>
        <v/>
      </c>
      <c r="C7938" s="1">
        <v>46038</v>
      </c>
    </row>
    <row r="7939" spans="1:3">
      <c r="A7939" s="137" t="str">
        <f>D7939&amp;E7939&amp;F7939</f>
        <v/>
      </c>
      <c r="C7939" s="1">
        <v>46038</v>
      </c>
    </row>
    <row r="7940" spans="1:3">
      <c r="A7940" s="137" t="str">
        <f>D7940&amp;E7940&amp;F7940</f>
        <v/>
      </c>
      <c r="C7940" s="1">
        <v>46038</v>
      </c>
    </row>
    <row r="7941" spans="1:3">
      <c r="A7941" s="137" t="str">
        <f>D7941&amp;E7941&amp;F7941</f>
        <v/>
      </c>
      <c r="C7941" s="1">
        <v>46038</v>
      </c>
    </row>
    <row r="7942" spans="1:3">
      <c r="A7942" s="137" t="str">
        <f>D7942&amp;E7942&amp;F7942</f>
        <v/>
      </c>
      <c r="C7942" s="1">
        <v>46038</v>
      </c>
    </row>
    <row r="7943" spans="1:3">
      <c r="A7943" s="137" t="str">
        <f>D7943&amp;E7943&amp;F7943</f>
        <v/>
      </c>
      <c r="C7943" s="1">
        <v>46038</v>
      </c>
    </row>
    <row r="7944" spans="1:3">
      <c r="A7944" s="137" t="str">
        <f>D7944&amp;E7944&amp;F7944</f>
        <v/>
      </c>
      <c r="C7944" s="1">
        <v>46038</v>
      </c>
    </row>
    <row r="7945" spans="1:3">
      <c r="A7945" s="137" t="str">
        <f>D7945&amp;E7945&amp;F7945</f>
        <v/>
      </c>
      <c r="C7945" s="1">
        <v>46038</v>
      </c>
    </row>
    <row r="7946" spans="1:3">
      <c r="A7946" s="137" t="str">
        <f>D7946&amp;E7946&amp;F7946</f>
        <v/>
      </c>
      <c r="C7946" s="1">
        <v>46038</v>
      </c>
    </row>
    <row r="7947" spans="1:3">
      <c r="A7947" s="137" t="str">
        <f>D7947&amp;E7947&amp;F7947</f>
        <v/>
      </c>
      <c r="C7947" s="1">
        <v>46038</v>
      </c>
    </row>
    <row r="7948" spans="1:3">
      <c r="A7948" s="137" t="str">
        <f>D7948&amp;E7948&amp;F7948</f>
        <v/>
      </c>
      <c r="C7948" s="1">
        <v>46038</v>
      </c>
    </row>
    <row r="7949" spans="1:3">
      <c r="A7949" s="137" t="str">
        <f>D7949&amp;E7949&amp;F7949</f>
        <v/>
      </c>
      <c r="C7949" s="1">
        <v>46038</v>
      </c>
    </row>
    <row r="7950" spans="1:3">
      <c r="A7950" s="137" t="str">
        <f>D7950&amp;E7950&amp;F7950</f>
        <v/>
      </c>
      <c r="C7950" s="1">
        <v>46038</v>
      </c>
    </row>
    <row r="7951" spans="1:3">
      <c r="A7951" s="137" t="str">
        <f>D7951&amp;E7951&amp;F7951</f>
        <v/>
      </c>
      <c r="C7951" s="1">
        <v>46038</v>
      </c>
    </row>
    <row r="7952" spans="1:3">
      <c r="A7952" s="137" t="str">
        <f>D7952&amp;E7952&amp;F7952</f>
        <v/>
      </c>
      <c r="C7952" s="1">
        <v>46038</v>
      </c>
    </row>
    <row r="7953" spans="1:13">
      <c r="A7953" s="137" t="str">
        <f>D7953&amp;E7953&amp;F7953</f>
        <v/>
      </c>
      <c r="C7953" s="1">
        <v>46038</v>
      </c>
    </row>
    <row r="7954" spans="1:13">
      <c r="A7954" s="137" t="str">
        <f>D7954&amp;E7954&amp;F7954</f>
        <v/>
      </c>
      <c r="C7954" s="1">
        <v>46038</v>
      </c>
    </row>
    <row r="7955" spans="1:13">
      <c r="A7955" s="137" t="str">
        <f>D7955&amp;E7955&amp;F7955</f>
        <v/>
      </c>
      <c r="C7955" s="1">
        <v>46038</v>
      </c>
    </row>
    <row r="7956" spans="1:13">
      <c r="A7956" s="137" t="str">
        <f>D7956&amp;E7956&amp;F7956</f>
        <v/>
      </c>
      <c r="C7956" s="1">
        <v>46038</v>
      </c>
    </row>
    <row r="7957" spans="1:13">
      <c r="A7957" s="137" t="str">
        <f>D7957&amp;E7957&amp;F7957</f>
        <v/>
      </c>
      <c r="C7957" s="1">
        <v>46038</v>
      </c>
    </row>
    <row r="7958" spans="1:13">
      <c r="A7958" s="137" t="str">
        <f>D7958&amp;E7958&amp;F7958</f>
        <v/>
      </c>
      <c r="C7958" s="1">
        <v>46038</v>
      </c>
    </row>
    <row r="7959" spans="1:13">
      <c r="A7959" s="137" t="str">
        <f>D7959&amp;E7959&amp;F7959</f>
        <v/>
      </c>
      <c r="C7959" s="1">
        <v>46038</v>
      </c>
    </row>
    <row r="7960" spans="1:13">
      <c r="A7960" s="137" t="str">
        <f>D7960&amp;E7960&amp;F7960</f>
        <v/>
      </c>
      <c r="C7960" s="1">
        <v>46038</v>
      </c>
    </row>
    <row r="7961" spans="1:13">
      <c r="A7961" s="137" t="str">
        <f>D7961&amp;E7961&amp;F7961</f>
        <v/>
      </c>
      <c r="C7961" s="1">
        <v>46038</v>
      </c>
    </row>
    <row r="7962" spans="1:13">
      <c r="A7962" s="137" t="str">
        <f>D7962&amp;E7962&amp;F7962</f>
        <v/>
      </c>
      <c r="C7962" s="1">
        <v>46038</v>
      </c>
    </row>
    <row r="7963" spans="1:13">
      <c r="A7963" s="137" t="str">
        <f>D7963&amp;E7963&amp;F7963</f>
        <v/>
      </c>
      <c r="C7963" s="1">
        <v>46038</v>
      </c>
    </row>
    <row r="7964" spans="1:13">
      <c r="A7964" s="137" t="str">
        <f>D7964&amp;E7964&amp;F7964</f>
        <v/>
      </c>
      <c r="C7964" s="1">
        <v>46038</v>
      </c>
    </row>
    <row r="7965" spans="1:13">
      <c r="A7965" s="137" t="str">
        <f>D7965&amp;E7965&amp;F7965</f>
        <v/>
      </c>
      <c r="C7965" s="1">
        <v>46038</v>
      </c>
    </row>
    <row r="7966" spans="1:13">
      <c r="A7966" s="137" t="str">
        <f>D7966&amp;E7966&amp;F7966</f>
        <v/>
      </c>
      <c r="C7966" s="1">
        <v>46038</v>
      </c>
    </row>
    <row r="7967" spans="1:13">
      <c r="A7967" s="137" t="str">
        <f>D7967&amp;E7967&amp;F7967</f>
        <v/>
      </c>
      <c r="C7967" s="1">
        <v>46038</v>
      </c>
    </row>
    <row r="7968" spans="1:13">
      <c r="A7968" s="54" t="str">
        <f t="shared" ref="A7968:A7979" si="234">D7968&amp;E7968&amp;F7968</f>
        <v/>
      </c>
      <c r="C7968" s="1">
        <v>46038</v>
      </c>
      <c r="M7968" s="136">
        <f t="shared" ref="M7968:M7972" si="235">M7967+K7968-L7968</f>
        <v>0</v>
      </c>
    </row>
    <row r="7969" spans="1:13">
      <c r="A7969" s="54" t="str">
        <f t="shared" si="234"/>
        <v/>
      </c>
      <c r="C7969" s="1">
        <v>46038</v>
      </c>
      <c r="M7969" s="136">
        <f t="shared" si="235"/>
        <v>0</v>
      </c>
    </row>
    <row r="7970" spans="1:13">
      <c r="A7970" s="54" t="str">
        <f t="shared" si="234"/>
        <v/>
      </c>
      <c r="C7970" s="1">
        <v>46038</v>
      </c>
      <c r="M7970" s="136">
        <f t="shared" si="235"/>
        <v>0</v>
      </c>
    </row>
    <row r="7971" spans="1:13">
      <c r="A7971" s="54" t="str">
        <f t="shared" si="234"/>
        <v/>
      </c>
      <c r="C7971" s="1">
        <v>46038</v>
      </c>
      <c r="M7971" s="136">
        <f t="shared" si="235"/>
        <v>0</v>
      </c>
    </row>
    <row r="7972" spans="1:13">
      <c r="A7972" s="54" t="str">
        <f t="shared" si="234"/>
        <v/>
      </c>
      <c r="C7972" s="1">
        <v>46038</v>
      </c>
      <c r="M7972" s="136">
        <f t="shared" si="235"/>
        <v>0</v>
      </c>
    </row>
    <row r="7973" spans="1:13">
      <c r="A7973" s="54" t="str">
        <f t="shared" si="234"/>
        <v/>
      </c>
      <c r="C7973" s="1">
        <v>46038</v>
      </c>
    </row>
    <row r="7974" spans="1:13">
      <c r="A7974" s="54" t="str">
        <f t="shared" si="234"/>
        <v/>
      </c>
      <c r="C7974" s="1">
        <v>46038</v>
      </c>
    </row>
    <row r="7975" spans="1:13">
      <c r="A7975" s="54" t="str">
        <f t="shared" si="234"/>
        <v/>
      </c>
      <c r="C7975" s="1">
        <v>46038</v>
      </c>
    </row>
    <row r="7976" spans="1:13">
      <c r="A7976" s="54" t="str">
        <f t="shared" si="234"/>
        <v/>
      </c>
      <c r="C7976" s="1">
        <v>46038</v>
      </c>
    </row>
    <row r="7977" spans="1:13">
      <c r="A7977" s="54" t="str">
        <f t="shared" si="234"/>
        <v/>
      </c>
      <c r="C7977" s="1">
        <v>46038</v>
      </c>
    </row>
    <row r="7978" spans="1:13">
      <c r="A7978" s="54" t="str">
        <f t="shared" si="234"/>
        <v/>
      </c>
      <c r="C7978" s="1">
        <v>46038</v>
      </c>
    </row>
    <row r="7979" spans="1:13">
      <c r="A7979" s="54" t="str">
        <f t="shared" si="234"/>
        <v/>
      </c>
      <c r="C7979" s="1">
        <v>46038</v>
      </c>
    </row>
    <row r="7980" spans="1:13">
      <c r="C7980" s="1"/>
    </row>
  </sheetData>
  <protectedRanges>
    <protectedRange sqref="D1674:E1674" name="Rango1"/>
    <protectedRange sqref="E1956:E1959" name="Rango1_1"/>
    <protectedRange sqref="D1996:E1997 D1999:E1999" name="Rango1_2"/>
    <protectedRange sqref="D2063:F2063" name="Rango1_3"/>
    <protectedRange sqref="F1915" name="Rango1_4"/>
    <protectedRange sqref="D2711:E2711" name="Rango1_5"/>
    <protectedRange sqref="D2712:E2713 D2715:E2715 D2739:E2739" name="Rango1_6"/>
    <protectedRange sqref="D2722:E2722" name="Rango1_7"/>
    <protectedRange sqref="D2724:E2724" name="Rango1_8"/>
    <protectedRange sqref="D2727:E2727" name="Rango1_9"/>
    <protectedRange sqref="D2726:F2726" name="Rango1_10"/>
    <protectedRange sqref="D2728:F2728" name="Rango1_11"/>
    <protectedRange sqref="D2730:F2730" name="Rango1_12"/>
    <protectedRange sqref="D2740:F2740" name="Rango1_13"/>
    <protectedRange sqref="D2743:F2743" name="Rango1_14"/>
    <protectedRange sqref="D2744:F2744" name="Rango1_15"/>
    <protectedRange sqref="D2749:F2751" name="Rango1_16"/>
    <protectedRange sqref="D2747:F2747" name="Rango1_17"/>
    <protectedRange sqref="D2748:F2748" name="Rango1_18"/>
    <protectedRange sqref="D2752:F2752" name="Rango1_19"/>
    <protectedRange sqref="D2755:F2755" name="Rango1_20"/>
    <protectedRange sqref="D2758:F2758" name="Rango1_21"/>
    <protectedRange sqref="D2759:F2759" name="Rango1_22"/>
    <protectedRange sqref="D2763:F2763" name="Rango1_23"/>
    <protectedRange sqref="D2757:F2757" name="Rango1_24"/>
    <protectedRange sqref="D2816:F2816" name="Rango1_25"/>
    <protectedRange sqref="D2866:F2866" name="Rango1_26"/>
    <protectedRange sqref="F2466:F2467 F2663" name="Rango1_27"/>
    <protectedRange sqref="F2833" name="Rango1_28"/>
    <protectedRange sqref="D2885:F2885" name="Rango1_29"/>
    <protectedRange sqref="D2908:F2908" name="Rango1_30"/>
    <protectedRange sqref="D2909:F2909" name="Rango1_31"/>
    <protectedRange sqref="D3027:F3027" name="Rango1_32"/>
    <protectedRange sqref="D3195:F3195" name="Rango1_33"/>
    <protectedRange sqref="D3207:F3207" name="Rango1_34"/>
    <protectedRange sqref="D3294:F3294" name="Rango1_35"/>
    <protectedRange sqref="D3899:F3899" name="Rango1_36"/>
    <protectedRange sqref="D3900:F3900 F4296" name="Rango1_37"/>
    <protectedRange sqref="F4051 F4047" name="Rango1_28_1"/>
    <protectedRange sqref="F3951" name="Rango1_28_2"/>
    <protectedRange sqref="F3964" name="Rango1_28_3"/>
    <protectedRange sqref="F3984" name="Rango1_28_4"/>
    <protectedRange sqref="D4256" name="Rango1_38"/>
    <protectedRange sqref="D4280:F4280" name="Rango1_39"/>
    <protectedRange sqref="D4190:F4190" name="Rango1_40"/>
    <protectedRange sqref="D4302:F4302" name="Rango1_41"/>
    <protectedRange sqref="D4333:F4333 D4377:F4377 D4400:F4400 D4421:F4421 D4445:F4445 D4470:F4470 D4513:F4513 D4536:F4536 D4560:F4560 D4575:F4575 D4604:F4604 D4650:F4650 D4676:F4676 D4690:F4690" name="Rango1_42"/>
    <protectedRange sqref="D4700:F4700" name="Rango1_56"/>
    <protectedRange sqref="D1322:F1322" name="Rango1_43"/>
    <protectedRange sqref="F2489" name="Rango1_44"/>
    <protectedRange sqref="D581:F581" name="Rango1_45"/>
    <protectedRange sqref="D651:F651 D1044:F1044 D1760:F1760 D2303:F2303" name="Rango1_46"/>
    <protectedRange sqref="D4744:F4744" name="Rango1_47"/>
    <protectedRange sqref="D4782:F4782" name="Rango1_48"/>
    <protectedRange sqref="D4783:F4783" name="Rango1_49"/>
    <protectedRange sqref="E4964" name="Rango1_50"/>
    <protectedRange sqref="F5803" name="Rango1_51"/>
  </protectedRanges>
  <autoFilter ref="B2:M7979" xr:uid="{DC8A8ECA-CE98-4705-9EC3-82D2785EEC96}"/>
  <dataValidations count="5">
    <dataValidation type="list" allowBlank="1" showInputMessage="1" showErrorMessage="1" sqref="F879:G879 G893:G894 G914:G920 E891:E908 E910:E943 E3:E334 E336:E394 E598:E713 G1376 G903:G904 G737:G739 G865:G880 E716:E889 G882:G885 G889:G890 G807:G826 G683:G691 G695:G717 G741:G744 G746 G748:G761 G726:G735 G779 G786:G796 G799 G768:G776 G828 G845:G854 G856 G858:G859 G835:G843 G781:G783 G801:G804 G721:G724 G763:G766 G830:G833 G861:G863 G942 G938:G940 F936:G936 G1635 G1644:G1658 G1796:G1809 E1161 G1628 G1494 G1469 G1414 E396:E503 E1044 E1760 E2303 E505:E596 G1660:G1794" xr:uid="{91C1EA5E-3154-4BA5-8C73-E88151B6CD13}">
      <formula1>PRESUPUESTO</formula1>
    </dataValidation>
    <dataValidation type="list" allowBlank="1" showInputMessage="1" showErrorMessage="1" sqref="G336:G394 G767 G905:G913 G886:G888 G941 G943 G725 G736 G684 G302:G334 G3:G300 G864 G740 G805:G806 G784:G785 G844 G921:G937 G834 G891:G892 G881 G686:G697 G718:G720 G745 G747 G762 G777:G778 G780 G797:G798 G800 G827 G829 G855 G857 G860 G895:G902 G1007 G970:G990 G396:G682" xr:uid="{3FF98EEE-1A46-4434-815A-B4D0812485C5}">
      <formula1>"SI,NO"</formula1>
    </dataValidation>
    <dataValidation type="list" allowBlank="1" showInputMessage="1" showErrorMessage="1" sqref="D714:D889 D910:D943 D891:D908 D3:D334 D336:D394 D396:D503 D1044 D1760 D2303 D505:D712" xr:uid="{CAF711DB-3AD1-4AAA-B9B0-4A084A4358D1}">
      <formula1>MARCA</formula1>
    </dataValidation>
    <dataValidation type="list" allowBlank="1" showInputMessage="1" showErrorMessage="1" sqref="F714:G889 F891:G908 F937:G943 F910:G935 F336:G394 E597 F3:G334 F2822 F2840 F3792 F2727 F2930 F3068:F3069 F3225 F3419 F3427:F3428 F3612:F3614 F3697:F3698 F3700 F3856:F3858 F4042:F4044 F4195:F4199 F1044 F1760 F2303 F396:G711 F1161" xr:uid="{AC844AA9-6486-4A65-8C0F-407D87D12077}">
      <formula1>CONCEPTO</formula1>
    </dataValidation>
    <dataValidation type="list" allowBlank="1" showInputMessage="1" showErrorMessage="1" sqref="H1402:H1421 H1423:H1433 H1435:H1443 H1446:H1464 H1467 H1579:H2219 H2222 H2245 H3:H1399 I3:I943" xr:uid="{F6ABD0F3-A42A-4D3A-8D22-06F0B3ED1C39}">
      <formula1>APARTADO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1EC3E4E1-731D-4C2F-B3F5-46A15BC19E4B}">
          <x14:formula1>
            <xm:f>CATALOGOS!$A$2:$A$11</xm:f>
          </x14:formula1>
          <xm:sqref>D1695:D1699 D1591:D1593 D1595:D1625 D1627:D1672 D1680:D1688 D2348:D2457 D1788:D1848 D1850:D2123 D2125:D2147 D1761:D1786 D2459:D2531 D2533:D2591 D2745:D2746 D2729 D2731:D2733 D2735 D2738:D2739 D2741:D2742 D2799:D2801 D2602:D2655 D2765 D2779 D2770:D2771 D2773:D2776 D2782 D2788 D2786 D2846 D2868 D2884 D2657:D2720 D1701:D1759 D2150:D2302 D2304:D2346</xm:sqref>
        </x14:dataValidation>
        <x14:dataValidation type="list" allowBlank="1" showInputMessage="1" showErrorMessage="1" xr:uid="{253DB3C5-791B-497B-A776-4C96631AF8A9}">
          <x14:formula1>
            <xm:f>CATALOGOS!$C$2:$C$45</xm:f>
          </x14:formula1>
          <xm:sqref>E1695:E1699 E1591:E1625 E1627:E1672 E1680:E1683 E1685 E1687 E2459:E2531 E1788:E1848 E1850:E2123 E1761:E1786 E2348:E2457 E2533:E2591 E2745:E2746 E2696:E2720 E2729 E2731:E2733 E2735 E2738:E2739 E2741:E2742 E2602:E2655 E2799:E2801 E2765 E2779 E2770:E2771 E2773:E2776 E2782 E2788 E2786 E2657:E2693 E1701:E1759 E2125:E2302 E2304:E2346</xm:sqref>
        </x14:dataValidation>
        <x14:dataValidation type="list" allowBlank="1" showInputMessage="1" showErrorMessage="1" xr:uid="{C81F0A6D-2AB5-4F6A-884C-01176FBC3236}">
          <x14:formula1>
            <xm:f>CATALOGOS!$E$4:$E$121</xm:f>
          </x14:formula1>
          <xm:sqref>F1695:G1699 F1591:G1596 F1598:G1625 F1627:G1672 F1680:G1683 F1685:G1685 F1687:G1687 F2617:G2626 F2037:G2037 F1850:G2035 F2040:G2123 F2125:G2147 F1761:F1848 F2348:G2353 F2150:G2254 F2355:G2457 F2664:G2681 F2533:G2576 F2529:G2531 F2578:G2590 F2659:G2662 F2459:G2527 G1701:G1848 F2614:G2614 F2628:G2630 F2698:F2699 F2635:G2636 F2745:F2746 F2650:G2650 G2602:G2611 G2653:G2657 F2653:F2655 F2657 F2632:G2632 F2805 F2707 F2663 F2304:F2346 F1701:F1759 G2258:G2346 F2258:F2302 F2604:F2611 F2602 F2638:G2648</xm:sqref>
        </x14:dataValidation>
        <x14:dataValidation type="list" allowBlank="1" showInputMessage="1" showErrorMessage="1" xr:uid="{EB413070-AA86-454C-AC35-876218938F14}">
          <x14:formula1>
            <xm:f>CATALOGOS!$E$4:$E$122</xm:f>
          </x14:formula1>
          <xm:sqref>F2354:G2354 F2255:G2257 F2708:F2710 F2658:G2658 F2683:G2683 F2689:G2693 F2696:F2697 F2701:G2701 G2712:G2719 F2841:F2875 F2758:F2760 F2747:F2756 F2765 F2779 F2770:F2771 F2773:F2776 F2782 F2788 F2786 G2663 G2696:G2699 F2799:F2804 G3187:G3386 F2704:F2706 G2905:G2909 G2915:G2916 F2877:F2909 F2915:F2923 G3388:G3395 G2918:G2953 G2955:G2984 G2986:G3080 G2867:G2902 G3591 G3513 G3483 G3581 G3586 G3397:G3414 G3496:G3497 G3422:G3434 G3417:G3420 F2806:F2817 G3084:G3185 F2819:F2821 F2823:F2839 F2712:F2726 F2728:F2744 G2704:G2710</xm:sqref>
        </x14:dataValidation>
        <x14:dataValidation type="list" allowBlank="1" showInputMessage="1" showErrorMessage="1" xr:uid="{2FC293A6-7492-4ECB-BA96-C6FEBE2EC22B}">
          <x14:formula1>
            <xm:f>CATALOGOS!$E$4:$E$123</xm:f>
          </x14:formula1>
          <xm:sqref>F2528:G2528 F2591:G2593 F2612:G2613 F2615:G2616 F2631:G2631 F2633:G2634 F2637:G2637 F2649:G2649 F2651:G2652 F2682:G2682 F2684:G2686 F2700:G2700 F2702:G2703 F2711:G2713 F2715:G2715 F2739</xm:sqref>
        </x14:dataValidation>
        <x14:dataValidation type="list" allowBlank="1" showInputMessage="1" showErrorMessage="1" xr:uid="{A3C7DDE8-6E14-48CD-BF1C-8007D7C68845}">
          <x14:formula1>
            <xm:f>CATALOGOS!$C$2:$C$46</xm:f>
          </x14:formula1>
          <xm:sqref>E2694:E2695 E2725:E2728 E2730 E2734 E2736:E2737 E2740 E2743:E2744 E2747:E2756 E2656 E2758:E2764 E2777:E2778 E2766:E2769 E2772 E2780:E2781 E2787 E2783:E2785 E2789:E2798 E2802:E2984 E3583:E3622 E4407:E4412 E3624:E3752 E4463:E4524 E4298:E4405 E3762:E4142 E4144:E4166 E4701 E4676 E4453:E4461 E4414:E4451 E4536:E4537 E4560 E4575 E4604 E4650 E4690 E3444:E3581 E4168:E4207 E3754:E3760 E4816 E4209:E4296 E2986:E3442</xm:sqref>
        </x14:dataValidation>
        <x14:dataValidation type="list" allowBlank="1" showInputMessage="1" showErrorMessage="1" xr:uid="{8F9A3D23-0247-4C2C-BE16-BB68FCB0F91B}">
          <x14:formula1>
            <xm:f>CATALOGOS!$E$4:$E$124</xm:f>
          </x14:formula1>
          <xm:sqref>F2694:G2695</xm:sqref>
        </x14:dataValidation>
        <x14:dataValidation type="list" allowBlank="1" showInputMessage="1" showErrorMessage="1" xr:uid="{E4E0091A-F588-49B7-A5DD-A0A46A4577E1}">
          <x14:formula1>
            <xm:f>CATALOGOS!$A$1:$A$11</xm:f>
          </x14:formula1>
          <xm:sqref>D2725:D2728 D2730 D2734 D2736:D2737 D2740 D2743:D2744 D2747:D2756 D2758:D2759 D2852 D3077:D3078 D2885:D2893 D2956:D2984 D2986:D3027 D2895:D2954 D2869:D2883</xm:sqref>
        </x14:dataValidation>
        <x14:dataValidation type="list" allowBlank="1" showInputMessage="1" showErrorMessage="1" xr:uid="{174EFBA3-04A8-4A8A-84EE-143A170D61DB}">
          <x14:formula1>
            <xm:f>CATALOGOS!$E$3:$E$122</xm:f>
          </x14:formula1>
          <xm:sqref>F2761:F2762 F2656</xm:sqref>
        </x14:dataValidation>
        <x14:dataValidation type="list" allowBlank="1" showInputMessage="1" showErrorMessage="1" xr:uid="{6832453F-1033-484B-A209-9D5FBA7A2BF3}">
          <x14:formula1>
            <xm:f>CATALOGOS!$A$1:$A$12</xm:f>
          </x14:formula1>
          <xm:sqref>D2656 D2761:D2764 D2777:D2778 D2766:D2769 D2772 D2780:D2781 D2787 D2783:D2785 D2789:D2798 D2894 D2853:D2867 G4420:G4422 D2802:D2845 D2955 D3028:D3076 D2847:D2851 D4407:D4461 D4676 D3583:D3752 D3754:D4166 G4374:G4381 G4341:G4357 G4438:G4441 G4424:G4432 G4399:G4402 G4404:G4405 D4584 G4383:G4397 G4410 G4359:G4372 G4412:G4418 G4435:G4436 G4408 D4623 D4701 D4463:D4549 D4560 D4575 D4604 D4650 D4690 D4707 D3444:D3581 D4168:D4296 D4298:D4405 D4816 D4747 D3079:D3442</xm:sqref>
        </x14:dataValidation>
        <x14:dataValidation type="list" allowBlank="1" showInputMessage="1" showErrorMessage="1" xr:uid="{560A1FBA-4AF1-4A88-87D3-865A700B89B1}">
          <x14:formula1>
            <xm:f>CATALOGOS!$E$4:$E$150</xm:f>
          </x14:formula1>
          <xm:sqref>F2910:F2914 E3761 F2818 F2876 F4407:F4461 F3429:F3442 F6823:F6937 F3802:F3855 F3952:F3963 F3965:F3983 F4161:F4166 F4048:F4050 F4657 F4052:F4159 E4413 F4676 F4641 F4660 F4666:F4667 F4717 F4709 F4654 F4701:F4705 F4615:F4619 F4707 F4832 F4650 F4690 F3444:F3581 F2931:F2984 F4045:F4046 F4168:F4194 F3701:F3752 F2924:F2929 F2986:F3067 F3070:F3224 F4463:F4613 F3420:F3426 F3583:F3611 F3615:F3696 F3699 F3335:F3418 F3985:F4041 F3859:F3950 F3754:F3791 F4816 F3793:F3800 F4298:F4348 F4350:F4405 F4200:F4296 F3226:F3333</xm:sqref>
        </x14:dataValidation>
        <x14:dataValidation type="list" allowBlank="1" showInputMessage="1" showErrorMessage="1" xr:uid="{D7BE25C0-A633-4D28-ABBE-85DF949BEEFE}">
          <x14:formula1>
            <xm:f>CATALOGOS!$C$2:$C$69</xm:f>
          </x14:formula1>
          <xm:sqref>F4051 F3951 F3964 F3984 F4047</xm:sqref>
        </x14:dataValidation>
        <x14:dataValidation type="list" allowBlank="1" showInputMessage="1" showErrorMessage="1" xr:uid="{CFD1FD1E-F156-4BBF-BBBF-0D7E93119E22}">
          <x14:formula1>
            <xm:f>CATALOGOS!$C$2:$C$50</xm:f>
          </x14:formula1>
          <xm:sqref>E4208</xm:sqref>
        </x14:dataValidation>
        <x14:dataValidation type="list" allowBlank="1" showInputMessage="1" showErrorMessage="1" xr:uid="{D4A2BC8C-DA8E-41E8-ACD4-D179B18B9027}">
          <x14:formula1>
            <xm:f>CATALOGOS!$C$2:$C$60</xm:f>
          </x14:formula1>
          <xm:sqref>E4452 E4549:E4559 E4561:E4574 E4605:E4649 E4651:E4675 E4677:E4689 E4702:E4706 E4691:E4700 E4406 E4708:E4781 E4783:E4815 E4576:E4603 E4817:E4977 E4979:E5755 E5757:E5908 E5910:E6059 E6061:E7071</xm:sqref>
        </x14:dataValidation>
        <x14:dataValidation type="list" allowBlank="1" showInputMessage="1" showErrorMessage="1" xr:uid="{92F2EA6F-D0A9-4B43-8C4E-B40A5CAD4C90}">
          <x14:formula1>
            <xm:f>CATALOGOS!$A$1:$A$15</xm:f>
          </x14:formula1>
          <xm:sqref>D6840:D6892 D4550:D4559 D4561:D4574 D4576:D4583</xm:sqref>
        </x14:dataValidation>
        <x14:dataValidation type="list" allowBlank="1" showInputMessage="1" showErrorMessage="1" xr:uid="{CE2D6BBF-5382-44ED-AAE1-5330DD23F387}">
          <x14:formula1>
            <xm:f>CATALOGOS!$A$2:$A$15</xm:f>
          </x14:formula1>
          <xm:sqref>D4656:D4675 D4677:D4689 D4702:D4706 D4691:D4700 D4406 D4708:D4746 D4748:D4815 D4817:D4977 D4979:D5755 D5757:D5908 D5910:D6059 D6061:D6230</xm:sqref>
        </x14:dataValidation>
        <x14:dataValidation type="list" allowBlank="1" showInputMessage="1" showErrorMessage="1" xr:uid="{57D29ED2-B668-413F-9FF1-09793EE5B911}">
          <x14:formula1>
            <xm:f>CATALOGOS!$E$2:$E$155</xm:f>
          </x14:formula1>
          <xm:sqref>F4661:F4665 F4691:F4700 F4614 F4668:F4675 F4710:F4716 F4708 F4677:F4689 F4706 F4406 F4783:F4815 F4817:F4831 F4718:F4781 F4833:F4977 F3334 F3801 F4349 F4655:F4656 F4658:F4659 F4979:F5755 F5910:F5969 F5757:F5908 F5971:F6059 F6061:F6230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ED3C-1967-42BB-ABA1-23A98E4AEDDB}">
  <sheetPr>
    <tabColor theme="1" tint="0.249977111117893"/>
  </sheetPr>
  <dimension ref="A1:Q1740"/>
  <sheetViews>
    <sheetView workbookViewId="0">
      <pane xSplit="3" ySplit="2" topLeftCell="D1074" activePane="bottomRight" state="frozen"/>
      <selection pane="bottomRight" activeCell="A908" sqref="A908:XFD910"/>
      <selection pane="bottomLeft" activeCell="I3" activeCellId="1" sqref="F11 I3"/>
      <selection pane="topRight"/>
    </sheetView>
  </sheetViews>
  <sheetFormatPr defaultColWidth="11.42578125" defaultRowHeight="14.25" outlineLevelCol="1"/>
  <cols>
    <col min="1" max="1" width="40.85546875" style="28" hidden="1" customWidth="1" outlineLevel="1"/>
    <col min="2" max="2" width="4.5703125" bestFit="1" customWidth="1" collapsed="1"/>
    <col min="3" max="3" width="11.42578125" customWidth="1"/>
    <col min="4" max="4" width="14.42578125" customWidth="1"/>
    <col min="5" max="5" width="27.140625" customWidth="1"/>
    <col min="6" max="6" width="27.28515625" customWidth="1"/>
    <col min="7" max="7" width="13.7109375" customWidth="1"/>
    <col min="8" max="8" width="53.42578125" customWidth="1"/>
    <col min="9" max="9" width="19.5703125" style="81" customWidth="1"/>
    <col min="10" max="10" width="17.5703125" style="81" customWidth="1"/>
    <col min="11" max="11" width="15" style="62" customWidth="1"/>
  </cols>
  <sheetData>
    <row r="1" spans="1:14" ht="26.25">
      <c r="C1" s="57" t="s">
        <v>3450</v>
      </c>
      <c r="I1" s="79">
        <f>SUM(I3:I1027)</f>
        <v>43873284.259999983</v>
      </c>
      <c r="J1" s="79">
        <f>SUM(J3:J1027)</f>
        <v>44199601.870000012</v>
      </c>
    </row>
    <row r="2" spans="1:14" s="52" customFormat="1" ht="15">
      <c r="A2" s="49" t="s">
        <v>203</v>
      </c>
      <c r="B2" s="49" t="s">
        <v>204</v>
      </c>
      <c r="C2" s="49" t="s">
        <v>205</v>
      </c>
      <c r="D2" s="53" t="s">
        <v>16</v>
      </c>
      <c r="E2" s="53" t="s">
        <v>17</v>
      </c>
      <c r="F2" s="53" t="s">
        <v>18</v>
      </c>
      <c r="G2" s="55" t="s">
        <v>206</v>
      </c>
      <c r="H2" s="50" t="s">
        <v>208</v>
      </c>
      <c r="I2" s="80" t="s">
        <v>209</v>
      </c>
      <c r="J2" s="80" t="s">
        <v>210</v>
      </c>
      <c r="K2" s="63" t="s">
        <v>211</v>
      </c>
      <c r="L2" s="51"/>
    </row>
    <row r="3" spans="1:14" ht="15">
      <c r="A3" s="54" t="str">
        <f>D3&amp;E3&amp;F3</f>
        <v/>
      </c>
      <c r="B3" t="s">
        <v>3451</v>
      </c>
      <c r="C3" s="1"/>
      <c r="D3" s="71"/>
      <c r="E3" s="71"/>
      <c r="F3" s="143"/>
      <c r="H3" s="143" t="s">
        <v>213</v>
      </c>
      <c r="I3" s="144">
        <v>-169215.19</v>
      </c>
      <c r="J3" s="144"/>
      <c r="K3" s="159">
        <f>I3-J3</f>
        <v>-169215.19</v>
      </c>
      <c r="N3" s="187"/>
    </row>
    <row r="4" spans="1:14" ht="15">
      <c r="A4" s="54"/>
      <c r="B4" t="s">
        <v>212</v>
      </c>
      <c r="C4" s="1">
        <v>45691</v>
      </c>
      <c r="D4" s="71"/>
      <c r="E4" s="71"/>
      <c r="F4" s="143"/>
      <c r="H4" t="s">
        <v>3452</v>
      </c>
      <c r="I4" s="144">
        <v>500000</v>
      </c>
      <c r="J4" s="144"/>
      <c r="K4" s="159">
        <f>K3+I4-J4</f>
        <v>330784.81</v>
      </c>
      <c r="N4" s="187"/>
    </row>
    <row r="5" spans="1:14" ht="15">
      <c r="A5" s="54" t="str">
        <f t="shared" ref="A5:A68" si="0">D5&amp;E5&amp;F5</f>
        <v>CAPVACACIONES/FINIQUITOSCAPRICHOS</v>
      </c>
      <c r="B5" t="s">
        <v>212</v>
      </c>
      <c r="C5" s="1">
        <v>45692</v>
      </c>
      <c r="D5" t="s">
        <v>31</v>
      </c>
      <c r="E5" t="s">
        <v>190</v>
      </c>
      <c r="F5" s="212" t="s">
        <v>33</v>
      </c>
      <c r="G5" s="213"/>
      <c r="H5" t="s">
        <v>3453</v>
      </c>
      <c r="J5" s="81">
        <v>1678</v>
      </c>
      <c r="K5" s="159">
        <f>K4+I5-J5</f>
        <v>329106.81</v>
      </c>
      <c r="N5" s="187"/>
    </row>
    <row r="6" spans="1:14" ht="15">
      <c r="A6" s="54" t="str">
        <f t="shared" si="0"/>
        <v>CAPVACACIONES/FINIQUITOSCAPRICHOS</v>
      </c>
      <c r="B6" t="s">
        <v>212</v>
      </c>
      <c r="C6" s="1">
        <v>45692</v>
      </c>
      <c r="D6" t="s">
        <v>31</v>
      </c>
      <c r="E6" t="s">
        <v>190</v>
      </c>
      <c r="F6" s="213" t="s">
        <v>33</v>
      </c>
      <c r="G6" s="213"/>
      <c r="H6" t="s">
        <v>3454</v>
      </c>
      <c r="J6" s="81">
        <v>2339</v>
      </c>
      <c r="K6" s="159">
        <f>K5+I6-J6</f>
        <v>326767.81</v>
      </c>
    </row>
    <row r="7" spans="1:14" ht="15">
      <c r="A7" s="54" t="str">
        <f t="shared" si="0"/>
        <v>CAPVACACIONES/FINIQUITOSCAPRICHOS</v>
      </c>
      <c r="B7" t="s">
        <v>212</v>
      </c>
      <c r="C7" s="1">
        <v>45692</v>
      </c>
      <c r="D7" t="s">
        <v>31</v>
      </c>
      <c r="E7" t="s">
        <v>190</v>
      </c>
      <c r="F7" s="213" t="s">
        <v>33</v>
      </c>
      <c r="G7" s="213"/>
      <c r="H7" t="s">
        <v>3455</v>
      </c>
      <c r="J7" s="81">
        <v>1715</v>
      </c>
      <c r="K7" s="159">
        <f>K6+I7-J7</f>
        <v>325052.81</v>
      </c>
    </row>
    <row r="8" spans="1:14" ht="15">
      <c r="A8" s="54" t="str">
        <f t="shared" si="0"/>
        <v>HRVACACIONES/FINIQUITOSHR</v>
      </c>
      <c r="B8" t="s">
        <v>212</v>
      </c>
      <c r="C8" s="1">
        <v>45692</v>
      </c>
      <c r="D8" t="s">
        <v>29</v>
      </c>
      <c r="E8" t="s">
        <v>190</v>
      </c>
      <c r="F8" s="213" t="s">
        <v>29</v>
      </c>
      <c r="G8" s="213"/>
      <c r="H8" t="s">
        <v>3456</v>
      </c>
      <c r="J8" s="81">
        <v>5705</v>
      </c>
      <c r="K8" s="159">
        <f>K7+I8-J8</f>
        <v>319347.81</v>
      </c>
    </row>
    <row r="9" spans="1:14" ht="15">
      <c r="A9" s="54" t="str">
        <f t="shared" si="0"/>
        <v>HRVACACIONES/FINIQUITOSHR</v>
      </c>
      <c r="B9" t="s">
        <v>212</v>
      </c>
      <c r="C9" s="1">
        <v>45692</v>
      </c>
      <c r="D9" t="s">
        <v>29</v>
      </c>
      <c r="E9" t="s">
        <v>190</v>
      </c>
      <c r="F9" s="213" t="s">
        <v>29</v>
      </c>
      <c r="G9" s="213"/>
      <c r="H9" t="s">
        <v>3457</v>
      </c>
      <c r="J9" s="81">
        <v>1363</v>
      </c>
      <c r="K9" s="159">
        <f>K8+I9-J9</f>
        <v>317984.81</v>
      </c>
    </row>
    <row r="10" spans="1:14" ht="15">
      <c r="A10" s="54" t="str">
        <f t="shared" si="0"/>
        <v>CAPVACACIONES/FINIQUITOSCAPRICHOS</v>
      </c>
      <c r="B10" t="s">
        <v>212</v>
      </c>
      <c r="C10" s="1">
        <v>45692</v>
      </c>
      <c r="D10" t="s">
        <v>31</v>
      </c>
      <c r="E10" t="s">
        <v>190</v>
      </c>
      <c r="F10" s="213" t="s">
        <v>33</v>
      </c>
      <c r="G10" s="213"/>
      <c r="H10" t="s">
        <v>3458</v>
      </c>
      <c r="J10" s="81">
        <v>2274</v>
      </c>
      <c r="K10" s="159">
        <f>K9+I10-J10</f>
        <v>315710.81</v>
      </c>
    </row>
    <row r="11" spans="1:14" ht="15">
      <c r="A11" s="54" t="str">
        <f t="shared" si="0"/>
        <v>ELIVACACIONES/FINIQUITOSL1</v>
      </c>
      <c r="B11" t="s">
        <v>212</v>
      </c>
      <c r="C11" s="1">
        <v>45692</v>
      </c>
      <c r="D11" t="s">
        <v>130</v>
      </c>
      <c r="E11" t="s">
        <v>190</v>
      </c>
      <c r="F11" s="213" t="s">
        <v>136</v>
      </c>
      <c r="G11" s="213"/>
      <c r="H11" t="s">
        <v>3459</v>
      </c>
      <c r="J11" s="81">
        <v>337</v>
      </c>
      <c r="K11" s="159">
        <f>K10+I11-J11</f>
        <v>315373.81</v>
      </c>
    </row>
    <row r="12" spans="1:14" ht="15">
      <c r="A12" s="54" t="str">
        <f t="shared" si="0"/>
        <v>HRVACACIONES/FINIQUITOSHR</v>
      </c>
      <c r="B12" t="s">
        <v>212</v>
      </c>
      <c r="C12" s="1">
        <v>45692</v>
      </c>
      <c r="D12" t="s">
        <v>29</v>
      </c>
      <c r="E12" t="s">
        <v>190</v>
      </c>
      <c r="F12" s="213" t="s">
        <v>29</v>
      </c>
      <c r="G12" s="213"/>
      <c r="H12" t="s">
        <v>3460</v>
      </c>
      <c r="J12" s="81">
        <v>259</v>
      </c>
      <c r="K12" s="159">
        <f>K11+I12-J12</f>
        <v>315114.81</v>
      </c>
    </row>
    <row r="13" spans="1:14" ht="15">
      <c r="A13" s="54" t="str">
        <f t="shared" si="0"/>
        <v>HRVACACIONES/FINIQUITOSHR</v>
      </c>
      <c r="B13" t="s">
        <v>212</v>
      </c>
      <c r="C13" s="1">
        <v>45692</v>
      </c>
      <c r="D13" t="s">
        <v>29</v>
      </c>
      <c r="E13" t="s">
        <v>190</v>
      </c>
      <c r="F13" s="213" t="s">
        <v>29</v>
      </c>
      <c r="G13" s="213"/>
      <c r="H13" t="s">
        <v>3461</v>
      </c>
      <c r="J13" s="81">
        <v>169</v>
      </c>
      <c r="K13" s="159">
        <f>K12+I13-J13</f>
        <v>314945.81</v>
      </c>
    </row>
    <row r="14" spans="1:14" ht="15">
      <c r="A14" s="54" t="str">
        <f t="shared" si="0"/>
        <v>HRVACACIONES/FINIQUITOSHR</v>
      </c>
      <c r="B14" t="s">
        <v>212</v>
      </c>
      <c r="C14" s="1">
        <v>45693</v>
      </c>
      <c r="D14" t="s">
        <v>29</v>
      </c>
      <c r="E14" t="s">
        <v>190</v>
      </c>
      <c r="F14" s="213" t="s">
        <v>29</v>
      </c>
      <c r="G14" s="213"/>
      <c r="H14" t="s">
        <v>3462</v>
      </c>
      <c r="J14" s="81">
        <v>618</v>
      </c>
      <c r="K14" s="159">
        <f>K13+I14-J14</f>
        <v>314327.81</v>
      </c>
    </row>
    <row r="15" spans="1:14" ht="15">
      <c r="A15" s="54" t="str">
        <f t="shared" si="0"/>
        <v>HRVACACIONES/FINIQUITOSHR</v>
      </c>
      <c r="B15" t="s">
        <v>212</v>
      </c>
      <c r="C15" s="1">
        <v>45693</v>
      </c>
      <c r="D15" t="s">
        <v>29</v>
      </c>
      <c r="E15" t="s">
        <v>190</v>
      </c>
      <c r="F15" s="213" t="s">
        <v>29</v>
      </c>
      <c r="G15" s="213"/>
      <c r="H15" t="s">
        <v>3463</v>
      </c>
      <c r="J15" s="81">
        <v>926</v>
      </c>
      <c r="K15" s="159">
        <f>K14+I15-J15</f>
        <v>313401.81</v>
      </c>
    </row>
    <row r="16" spans="1:14" ht="15">
      <c r="A16" s="54" t="str">
        <f t="shared" si="0"/>
        <v>HRVACACIONES/FINIQUITOSHR</v>
      </c>
      <c r="B16" t="s">
        <v>212</v>
      </c>
      <c r="C16" s="1">
        <v>45694</v>
      </c>
      <c r="D16" t="s">
        <v>29</v>
      </c>
      <c r="E16" t="s">
        <v>190</v>
      </c>
      <c r="F16" s="213" t="s">
        <v>29</v>
      </c>
      <c r="G16" s="213"/>
      <c r="H16" t="s">
        <v>3464</v>
      </c>
      <c r="J16" s="81">
        <v>2959</v>
      </c>
      <c r="K16" s="159">
        <f>K15+I16-J16</f>
        <v>310442.81</v>
      </c>
    </row>
    <row r="17" spans="1:11" ht="15">
      <c r="A17" s="54" t="str">
        <f t="shared" si="0"/>
        <v/>
      </c>
      <c r="B17" t="s">
        <v>212</v>
      </c>
      <c r="C17" s="1">
        <v>45694</v>
      </c>
      <c r="F17" s="213"/>
      <c r="G17" s="213"/>
      <c r="H17" t="s">
        <v>3465</v>
      </c>
      <c r="J17" s="81">
        <v>15000</v>
      </c>
      <c r="K17" s="159">
        <f>K16+I17-J17</f>
        <v>295442.81</v>
      </c>
    </row>
    <row r="18" spans="1:11" ht="15">
      <c r="A18" s="54" t="str">
        <f t="shared" si="0"/>
        <v/>
      </c>
      <c r="B18" t="s">
        <v>212</v>
      </c>
      <c r="C18" s="1">
        <v>45694</v>
      </c>
      <c r="F18" s="213"/>
      <c r="G18" s="213"/>
      <c r="H18" t="s">
        <v>3452</v>
      </c>
      <c r="I18" s="81">
        <v>200000</v>
      </c>
      <c r="K18" s="159">
        <f>K17+I18-J18</f>
        <v>495442.81</v>
      </c>
    </row>
    <row r="19" spans="1:11" ht="15">
      <c r="A19" s="54" t="str">
        <f t="shared" si="0"/>
        <v/>
      </c>
      <c r="B19" t="s">
        <v>212</v>
      </c>
      <c r="C19" s="1">
        <v>45694</v>
      </c>
      <c r="F19" s="213"/>
      <c r="G19" s="213"/>
      <c r="H19" t="s">
        <v>3466</v>
      </c>
      <c r="I19" s="81">
        <v>11113</v>
      </c>
      <c r="K19" s="159">
        <f>K18+I19-J19</f>
        <v>506555.81</v>
      </c>
    </row>
    <row r="20" spans="1:11" ht="15">
      <c r="A20" s="54" t="str">
        <f t="shared" si="0"/>
        <v/>
      </c>
      <c r="B20" t="s">
        <v>212</v>
      </c>
      <c r="C20" s="1">
        <v>45694</v>
      </c>
      <c r="F20" s="213"/>
      <c r="G20" s="213"/>
      <c r="H20" t="s">
        <v>3467</v>
      </c>
      <c r="I20" s="81">
        <v>6701</v>
      </c>
      <c r="K20" s="159">
        <f>K19+I20-J20</f>
        <v>513256.81</v>
      </c>
    </row>
    <row r="21" spans="1:11" ht="15">
      <c r="A21" s="54" t="str">
        <f t="shared" si="0"/>
        <v/>
      </c>
      <c r="B21" t="s">
        <v>212</v>
      </c>
      <c r="C21" s="1">
        <v>45694</v>
      </c>
      <c r="F21" s="213"/>
      <c r="G21" s="213"/>
      <c r="H21" t="s">
        <v>3468</v>
      </c>
      <c r="I21" s="81">
        <v>5497.31</v>
      </c>
      <c r="K21" s="159">
        <f>K20+I21-J21</f>
        <v>518754.12</v>
      </c>
    </row>
    <row r="22" spans="1:11" ht="15">
      <c r="A22" s="54" t="str">
        <f t="shared" si="0"/>
        <v/>
      </c>
      <c r="B22" t="s">
        <v>212</v>
      </c>
      <c r="C22" s="1">
        <v>45694</v>
      </c>
      <c r="F22" s="213"/>
      <c r="G22" s="213"/>
      <c r="H22" t="s">
        <v>3469</v>
      </c>
      <c r="J22" s="81">
        <v>274018.8</v>
      </c>
      <c r="K22" s="159">
        <f>K21+I22-J22</f>
        <v>244735.32</v>
      </c>
    </row>
    <row r="23" spans="1:11" ht="15">
      <c r="A23" s="54" t="str">
        <f t="shared" si="0"/>
        <v/>
      </c>
      <c r="B23" t="s">
        <v>212</v>
      </c>
      <c r="C23" s="1">
        <v>45694</v>
      </c>
      <c r="F23" s="213"/>
      <c r="G23" s="213"/>
      <c r="H23" t="s">
        <v>3470</v>
      </c>
      <c r="J23" s="81">
        <v>549501.6</v>
      </c>
      <c r="K23" s="159">
        <f>K22+I23-J23</f>
        <v>-304766.27999999997</v>
      </c>
    </row>
    <row r="24" spans="1:11" ht="15">
      <c r="A24" s="54" t="str">
        <f t="shared" si="0"/>
        <v/>
      </c>
      <c r="B24" t="s">
        <v>212</v>
      </c>
      <c r="C24" s="1">
        <v>45694</v>
      </c>
      <c r="F24" s="213"/>
      <c r="G24" s="213"/>
      <c r="H24" t="s">
        <v>3471</v>
      </c>
      <c r="J24" s="81">
        <v>61829</v>
      </c>
      <c r="K24" s="159">
        <f>K23+I24-J24</f>
        <v>-366595.27999999997</v>
      </c>
    </row>
    <row r="25" spans="1:11" ht="15">
      <c r="A25" s="54" t="str">
        <f t="shared" si="0"/>
        <v/>
      </c>
      <c r="B25" t="s">
        <v>212</v>
      </c>
      <c r="C25" s="1">
        <v>45694</v>
      </c>
      <c r="F25" s="213"/>
      <c r="G25" s="213"/>
      <c r="H25" t="s">
        <v>3472</v>
      </c>
      <c r="I25" s="81">
        <v>190000</v>
      </c>
      <c r="K25" s="159">
        <f>K24+I25-J25</f>
        <v>-176595.27999999997</v>
      </c>
    </row>
    <row r="26" spans="1:11" ht="15">
      <c r="A26" s="54" t="str">
        <f t="shared" si="0"/>
        <v/>
      </c>
      <c r="B26" t="s">
        <v>212</v>
      </c>
      <c r="C26" s="1">
        <v>45694</v>
      </c>
      <c r="F26" s="213"/>
      <c r="G26" s="213"/>
      <c r="H26" t="s">
        <v>3452</v>
      </c>
      <c r="I26" s="81">
        <v>476600</v>
      </c>
      <c r="K26" s="159">
        <f>K25+I26-J26</f>
        <v>300004.72000000003</v>
      </c>
    </row>
    <row r="27" spans="1:11" ht="15">
      <c r="A27" s="54" t="str">
        <f t="shared" si="0"/>
        <v>CAPVACACIONES/FINIQUITOSCAPRICHOS</v>
      </c>
      <c r="B27" t="s">
        <v>212</v>
      </c>
      <c r="C27" s="1">
        <v>45694</v>
      </c>
      <c r="D27" t="s">
        <v>31</v>
      </c>
      <c r="E27" t="s">
        <v>190</v>
      </c>
      <c r="F27" s="213" t="s">
        <v>33</v>
      </c>
      <c r="G27" s="213"/>
      <c r="H27" t="s">
        <v>3473</v>
      </c>
      <c r="J27" s="81">
        <v>3709</v>
      </c>
      <c r="K27" s="159">
        <f>K26+I27-J27</f>
        <v>296295.72000000003</v>
      </c>
    </row>
    <row r="28" spans="1:11" ht="15">
      <c r="A28" s="54" t="str">
        <f t="shared" si="0"/>
        <v>HRVACACIONES/FINIQUITOSHR</v>
      </c>
      <c r="B28" t="s">
        <v>212</v>
      </c>
      <c r="C28" s="1">
        <v>45694</v>
      </c>
      <c r="D28" t="s">
        <v>29</v>
      </c>
      <c r="E28" t="s">
        <v>190</v>
      </c>
      <c r="F28" s="213" t="s">
        <v>29</v>
      </c>
      <c r="G28" s="213"/>
      <c r="H28" t="s">
        <v>3474</v>
      </c>
      <c r="J28" s="81">
        <v>3121</v>
      </c>
      <c r="K28" s="159">
        <f>K27+I28-J28</f>
        <v>293174.72000000003</v>
      </c>
    </row>
    <row r="29" spans="1:11" ht="15">
      <c r="A29" s="54" t="str">
        <f t="shared" si="0"/>
        <v>HRVACACIONES/FINIQUITOSHR</v>
      </c>
      <c r="B29" t="s">
        <v>212</v>
      </c>
      <c r="C29" s="1">
        <v>45694</v>
      </c>
      <c r="D29" t="s">
        <v>29</v>
      </c>
      <c r="E29" t="s">
        <v>190</v>
      </c>
      <c r="F29" s="213" t="s">
        <v>29</v>
      </c>
      <c r="G29" s="213"/>
      <c r="H29" t="s">
        <v>3475</v>
      </c>
      <c r="J29" s="81">
        <v>1919</v>
      </c>
      <c r="K29" s="159">
        <f>K28+I29-J29</f>
        <v>291255.72000000003</v>
      </c>
    </row>
    <row r="30" spans="1:11" ht="15">
      <c r="A30" s="54" t="str">
        <f t="shared" si="0"/>
        <v>SERVICIOSVACACIONES/FINIQUITOSSERVICIOS</v>
      </c>
      <c r="B30" t="s">
        <v>212</v>
      </c>
      <c r="C30" s="1">
        <v>45694</v>
      </c>
      <c r="D30" t="s">
        <v>21</v>
      </c>
      <c r="E30" t="s">
        <v>190</v>
      </c>
      <c r="F30" s="213" t="s">
        <v>21</v>
      </c>
      <c r="G30" s="213"/>
      <c r="H30" t="s">
        <v>3476</v>
      </c>
      <c r="J30" s="81">
        <v>1172</v>
      </c>
      <c r="K30" s="159">
        <f>K29+I30-J30</f>
        <v>290083.72000000003</v>
      </c>
    </row>
    <row r="31" spans="1:11" ht="15">
      <c r="A31" s="54" t="str">
        <f t="shared" si="0"/>
        <v>CAPVACACIONES/FINIQUITOSCAPRICHOS</v>
      </c>
      <c r="B31" t="s">
        <v>212</v>
      </c>
      <c r="C31" s="1">
        <v>45694</v>
      </c>
      <c r="D31" t="s">
        <v>31</v>
      </c>
      <c r="E31" t="s">
        <v>190</v>
      </c>
      <c r="F31" s="213" t="s">
        <v>33</v>
      </c>
      <c r="G31" s="213"/>
      <c r="H31" t="s">
        <v>3477</v>
      </c>
      <c r="J31" s="81">
        <v>3305</v>
      </c>
      <c r="K31" s="159">
        <f>K30+I31-J31</f>
        <v>286778.72000000003</v>
      </c>
    </row>
    <row r="32" spans="1:11" ht="15">
      <c r="A32" s="54" t="str">
        <f t="shared" si="0"/>
        <v>HRVACACIONES/FINIQUITOSHR</v>
      </c>
      <c r="B32" t="s">
        <v>212</v>
      </c>
      <c r="C32" s="1">
        <v>45694</v>
      </c>
      <c r="D32" t="s">
        <v>29</v>
      </c>
      <c r="E32" t="s">
        <v>190</v>
      </c>
      <c r="F32" s="213" t="s">
        <v>29</v>
      </c>
      <c r="G32" s="213"/>
      <c r="H32" t="s">
        <v>3478</v>
      </c>
      <c r="J32" s="81">
        <v>863</v>
      </c>
      <c r="K32" s="159">
        <f>K31+I32-J32</f>
        <v>285915.72000000003</v>
      </c>
    </row>
    <row r="33" spans="1:11" ht="15">
      <c r="A33" s="54" t="str">
        <f t="shared" si="0"/>
        <v>HRVACACIONES/FINIQUITOSHR</v>
      </c>
      <c r="B33" t="s">
        <v>212</v>
      </c>
      <c r="C33" s="1">
        <v>45694</v>
      </c>
      <c r="D33" t="s">
        <v>29</v>
      </c>
      <c r="E33" t="s">
        <v>190</v>
      </c>
      <c r="F33" s="213" t="s">
        <v>29</v>
      </c>
      <c r="G33" s="213"/>
      <c r="H33" t="s">
        <v>3479</v>
      </c>
      <c r="J33" s="81">
        <v>838</v>
      </c>
      <c r="K33" s="159">
        <f>K32+I33-J33</f>
        <v>285077.72000000003</v>
      </c>
    </row>
    <row r="34" spans="1:11" ht="15">
      <c r="A34" s="54" t="str">
        <f t="shared" si="0"/>
        <v>HRVACACIONES/FINIQUITOSHR</v>
      </c>
      <c r="B34" t="s">
        <v>212</v>
      </c>
      <c r="C34" s="1">
        <v>45694</v>
      </c>
      <c r="D34" t="s">
        <v>29</v>
      </c>
      <c r="E34" t="s">
        <v>190</v>
      </c>
      <c r="F34" s="213" t="s">
        <v>29</v>
      </c>
      <c r="G34" s="213"/>
      <c r="H34" t="s">
        <v>3480</v>
      </c>
      <c r="J34" s="81">
        <v>476</v>
      </c>
      <c r="K34" s="159">
        <f>K33+I34-J34</f>
        <v>284601.72000000003</v>
      </c>
    </row>
    <row r="35" spans="1:11" ht="15">
      <c r="A35" s="54" t="str">
        <f t="shared" si="0"/>
        <v>HRVACACIONES/FINIQUITOSHR</v>
      </c>
      <c r="B35" t="s">
        <v>212</v>
      </c>
      <c r="C35" s="1">
        <v>45694</v>
      </c>
      <c r="D35" t="s">
        <v>29</v>
      </c>
      <c r="E35" t="s">
        <v>190</v>
      </c>
      <c r="F35" s="213" t="s">
        <v>29</v>
      </c>
      <c r="G35" s="213"/>
      <c r="H35" t="s">
        <v>3481</v>
      </c>
      <c r="J35" s="81">
        <v>1444</v>
      </c>
      <c r="K35" s="159">
        <f>K34+I35-J35</f>
        <v>283157.72000000003</v>
      </c>
    </row>
    <row r="36" spans="1:11" ht="15">
      <c r="A36" s="54" t="str">
        <f t="shared" si="0"/>
        <v/>
      </c>
      <c r="B36" t="s">
        <v>212</v>
      </c>
      <c r="C36" s="1">
        <v>45694</v>
      </c>
      <c r="F36" s="213"/>
      <c r="G36" s="213"/>
      <c r="H36" t="s">
        <v>3452</v>
      </c>
      <c r="I36" s="81">
        <v>150000</v>
      </c>
      <c r="K36" s="159">
        <f>K35+I36-J36</f>
        <v>433157.72000000003</v>
      </c>
    </row>
    <row r="37" spans="1:11" ht="15">
      <c r="A37" s="54" t="str">
        <f t="shared" si="0"/>
        <v/>
      </c>
      <c r="B37" t="s">
        <v>212</v>
      </c>
      <c r="C37" s="1">
        <v>45694</v>
      </c>
      <c r="F37" s="213"/>
      <c r="G37" s="213"/>
      <c r="H37" t="s">
        <v>3452</v>
      </c>
      <c r="I37" s="81">
        <v>230000</v>
      </c>
      <c r="K37" s="159">
        <f>K36+I37-J37</f>
        <v>663157.72</v>
      </c>
    </row>
    <row r="38" spans="1:11" ht="15">
      <c r="A38" s="54" t="str">
        <f t="shared" si="0"/>
        <v/>
      </c>
      <c r="B38" t="s">
        <v>212</v>
      </c>
      <c r="C38" s="1">
        <v>45694</v>
      </c>
      <c r="F38" s="213"/>
      <c r="G38" s="213"/>
      <c r="H38" t="s">
        <v>3466</v>
      </c>
      <c r="I38" s="81">
        <v>11113</v>
      </c>
      <c r="K38" s="159">
        <f>K37+I38-J38</f>
        <v>674270.71999999997</v>
      </c>
    </row>
    <row r="39" spans="1:11" ht="15">
      <c r="A39" s="54" t="str">
        <f t="shared" si="0"/>
        <v/>
      </c>
      <c r="B39" t="s">
        <v>212</v>
      </c>
      <c r="C39" s="1">
        <v>45704</v>
      </c>
      <c r="F39" s="213"/>
      <c r="G39" s="213"/>
      <c r="H39" t="s">
        <v>3467</v>
      </c>
      <c r="I39" s="81">
        <v>6601</v>
      </c>
      <c r="K39" s="159">
        <f>K38+I39-J39</f>
        <v>680871.72</v>
      </c>
    </row>
    <row r="40" spans="1:11" ht="15">
      <c r="A40" s="54" t="str">
        <f t="shared" si="0"/>
        <v/>
      </c>
      <c r="B40" t="s">
        <v>212</v>
      </c>
      <c r="C40" s="1">
        <v>45704</v>
      </c>
      <c r="F40" s="213"/>
      <c r="G40" s="213"/>
      <c r="H40" t="s">
        <v>3468</v>
      </c>
      <c r="I40" s="81">
        <v>5947.41</v>
      </c>
      <c r="K40" s="159">
        <f>K39+I40-J40</f>
        <v>686819.13</v>
      </c>
    </row>
    <row r="41" spans="1:11" ht="15">
      <c r="A41" s="54" t="str">
        <f t="shared" si="0"/>
        <v/>
      </c>
      <c r="B41" t="s">
        <v>212</v>
      </c>
      <c r="C41" s="1">
        <v>45704</v>
      </c>
      <c r="F41" s="213"/>
      <c r="G41" s="213"/>
      <c r="H41" t="s">
        <v>3469</v>
      </c>
      <c r="J41" s="81">
        <v>168384.6</v>
      </c>
      <c r="K41" s="159">
        <f>K40+I41-J41</f>
        <v>518434.53</v>
      </c>
    </row>
    <row r="42" spans="1:11" ht="15">
      <c r="A42" s="54" t="str">
        <f t="shared" si="0"/>
        <v/>
      </c>
      <c r="B42" t="s">
        <v>212</v>
      </c>
      <c r="C42" s="1">
        <v>45704</v>
      </c>
      <c r="F42" s="213"/>
      <c r="G42" s="213"/>
      <c r="H42" t="s">
        <v>3470</v>
      </c>
      <c r="J42" s="81">
        <v>530538</v>
      </c>
      <c r="K42" s="159">
        <f>K41+I42-J42</f>
        <v>-12103.469999999972</v>
      </c>
    </row>
    <row r="43" spans="1:11" ht="15">
      <c r="A43" s="54" t="str">
        <f t="shared" si="0"/>
        <v/>
      </c>
      <c r="B43" t="s">
        <v>212</v>
      </c>
      <c r="C43" s="1">
        <v>45704</v>
      </c>
      <c r="F43" s="213"/>
      <c r="G43" s="213"/>
      <c r="H43" t="s">
        <v>3471</v>
      </c>
      <c r="J43" s="81">
        <v>35400</v>
      </c>
      <c r="K43" s="159">
        <f>K42+I43-J43</f>
        <v>-47503.469999999972</v>
      </c>
    </row>
    <row r="44" spans="1:11" ht="15">
      <c r="A44" s="54" t="str">
        <f t="shared" si="0"/>
        <v/>
      </c>
      <c r="B44" t="s">
        <v>212</v>
      </c>
      <c r="C44" s="1">
        <v>45704</v>
      </c>
      <c r="F44" s="213"/>
      <c r="G44" s="213"/>
      <c r="H44" t="s">
        <v>3452</v>
      </c>
      <c r="I44" s="81">
        <v>50200</v>
      </c>
      <c r="K44" s="159">
        <f>K43+I44-J44</f>
        <v>2696.5300000000279</v>
      </c>
    </row>
    <row r="45" spans="1:11" ht="15">
      <c r="A45" s="54" t="str">
        <f t="shared" si="0"/>
        <v/>
      </c>
      <c r="B45" t="s">
        <v>212</v>
      </c>
      <c r="C45" s="1">
        <v>45705</v>
      </c>
      <c r="F45" s="213"/>
      <c r="G45" s="213"/>
      <c r="H45" t="s">
        <v>3452</v>
      </c>
      <c r="I45" s="81">
        <v>750000</v>
      </c>
      <c r="K45" s="159">
        <f>K44+I45-J45</f>
        <v>752696.53</v>
      </c>
    </row>
    <row r="46" spans="1:11" ht="15">
      <c r="A46" s="54" t="str">
        <f t="shared" si="0"/>
        <v>HRVACACIONES/FINIQUITOSHR</v>
      </c>
      <c r="B46" t="s">
        <v>212</v>
      </c>
      <c r="C46" s="1">
        <v>45705</v>
      </c>
      <c r="D46" t="s">
        <v>29</v>
      </c>
      <c r="E46" t="s">
        <v>190</v>
      </c>
      <c r="F46" s="213" t="s">
        <v>29</v>
      </c>
      <c r="G46" s="213"/>
      <c r="H46" t="s">
        <v>3482</v>
      </c>
      <c r="J46" s="81">
        <v>2039</v>
      </c>
      <c r="K46" s="159">
        <f>K45+I46-J46</f>
        <v>750657.53</v>
      </c>
    </row>
    <row r="47" spans="1:11" ht="15">
      <c r="A47" s="54" t="str">
        <f t="shared" si="0"/>
        <v>HRVACACIONES/FINIQUITOSHR</v>
      </c>
      <c r="B47" t="s">
        <v>212</v>
      </c>
      <c r="C47" s="1">
        <v>45705</v>
      </c>
      <c r="D47" t="s">
        <v>29</v>
      </c>
      <c r="E47" t="s">
        <v>190</v>
      </c>
      <c r="F47" s="213" t="s">
        <v>29</v>
      </c>
      <c r="G47" s="213"/>
      <c r="H47" t="s">
        <v>3483</v>
      </c>
      <c r="J47" s="81">
        <v>4449</v>
      </c>
      <c r="K47" s="159">
        <f>K46+I47-J47</f>
        <v>746208.53</v>
      </c>
    </row>
    <row r="48" spans="1:11" ht="15">
      <c r="A48" s="54" t="str">
        <f t="shared" si="0"/>
        <v>HRVACACIONES/FINIQUITOSHR</v>
      </c>
      <c r="B48" t="s">
        <v>212</v>
      </c>
      <c r="C48" s="1">
        <v>45705</v>
      </c>
      <c r="D48" t="s">
        <v>29</v>
      </c>
      <c r="E48" t="s">
        <v>190</v>
      </c>
      <c r="F48" s="213" t="s">
        <v>29</v>
      </c>
      <c r="G48" s="213"/>
      <c r="H48" t="s">
        <v>3484</v>
      </c>
      <c r="J48" s="81">
        <v>4087</v>
      </c>
      <c r="K48" s="159">
        <f>K47+I48-J48</f>
        <v>742121.53</v>
      </c>
    </row>
    <row r="49" spans="1:11" ht="15">
      <c r="A49" s="54" t="str">
        <f t="shared" si="0"/>
        <v>CAPVACACIONES/FINIQUITOSCAPRICHOS</v>
      </c>
      <c r="B49" t="s">
        <v>212</v>
      </c>
      <c r="C49" s="1">
        <v>45705</v>
      </c>
      <c r="D49" t="s">
        <v>31</v>
      </c>
      <c r="E49" t="s">
        <v>190</v>
      </c>
      <c r="F49" s="213" t="s">
        <v>33</v>
      </c>
      <c r="G49" s="213"/>
      <c r="H49" t="s">
        <v>3485</v>
      </c>
      <c r="J49" s="81">
        <v>1401</v>
      </c>
      <c r="K49" s="159">
        <f>K48+I49-J49</f>
        <v>740720.53</v>
      </c>
    </row>
    <row r="50" spans="1:11" ht="15">
      <c r="A50" s="54" t="str">
        <f t="shared" si="0"/>
        <v>HRVACACIONES/FINIQUITOSHR</v>
      </c>
      <c r="B50" t="s">
        <v>212</v>
      </c>
      <c r="C50" s="1">
        <v>45705</v>
      </c>
      <c r="D50" t="s">
        <v>29</v>
      </c>
      <c r="E50" t="s">
        <v>190</v>
      </c>
      <c r="F50" s="213" t="s">
        <v>29</v>
      </c>
      <c r="G50" s="213"/>
      <c r="H50" t="s">
        <v>3486</v>
      </c>
      <c r="J50" s="81">
        <v>2265</v>
      </c>
      <c r="K50" s="159">
        <f>K49+I50-J50</f>
        <v>738455.53</v>
      </c>
    </row>
    <row r="51" spans="1:11" ht="15">
      <c r="A51" s="54" t="str">
        <f t="shared" si="0"/>
        <v>HRVACACIONES/FINIQUITOSHR</v>
      </c>
      <c r="B51" t="s">
        <v>212</v>
      </c>
      <c r="C51" s="1">
        <v>45705</v>
      </c>
      <c r="D51" t="s">
        <v>29</v>
      </c>
      <c r="E51" t="s">
        <v>190</v>
      </c>
      <c r="F51" s="213" t="s">
        <v>29</v>
      </c>
      <c r="G51" s="213"/>
      <c r="H51" t="s">
        <v>3487</v>
      </c>
      <c r="J51" s="81">
        <v>813</v>
      </c>
      <c r="K51" s="159">
        <f>K50+I51-J51</f>
        <v>737642.53</v>
      </c>
    </row>
    <row r="52" spans="1:11" ht="15">
      <c r="A52" s="54" t="str">
        <f t="shared" si="0"/>
        <v/>
      </c>
      <c r="B52" t="s">
        <v>212</v>
      </c>
      <c r="C52" s="1">
        <v>45708</v>
      </c>
      <c r="F52" s="213"/>
      <c r="G52" s="213"/>
      <c r="H52" t="s">
        <v>3466</v>
      </c>
      <c r="I52" s="81">
        <v>13913.97</v>
      </c>
      <c r="K52" s="159">
        <f>K51+I52-J52</f>
        <v>751556.5</v>
      </c>
    </row>
    <row r="53" spans="1:11" ht="15">
      <c r="A53" s="54" t="str">
        <f t="shared" si="0"/>
        <v/>
      </c>
      <c r="B53" t="s">
        <v>212</v>
      </c>
      <c r="C53" s="1">
        <v>45708</v>
      </c>
      <c r="F53" s="213"/>
      <c r="G53" s="213"/>
      <c r="H53" t="s">
        <v>3467</v>
      </c>
      <c r="I53" s="81">
        <v>6551</v>
      </c>
      <c r="K53" s="159">
        <f>K52+I53-J53</f>
        <v>758107.5</v>
      </c>
    </row>
    <row r="54" spans="1:11" ht="15">
      <c r="A54" s="54" t="str">
        <f t="shared" si="0"/>
        <v/>
      </c>
      <c r="B54" t="s">
        <v>212</v>
      </c>
      <c r="C54" s="1">
        <v>45708</v>
      </c>
      <c r="F54" s="213"/>
      <c r="G54" s="213"/>
      <c r="H54" t="s">
        <v>3468</v>
      </c>
      <c r="I54" s="81">
        <v>5497.31</v>
      </c>
      <c r="K54" s="159">
        <f>K53+I54-J54</f>
        <v>763604.81</v>
      </c>
    </row>
    <row r="55" spans="1:11" ht="15">
      <c r="A55" s="54" t="str">
        <f t="shared" si="0"/>
        <v/>
      </c>
      <c r="B55" t="s">
        <v>212</v>
      </c>
      <c r="C55" s="1">
        <v>45708</v>
      </c>
      <c r="F55" s="213"/>
      <c r="G55" s="213"/>
      <c r="H55" t="s">
        <v>3469</v>
      </c>
      <c r="J55" s="81">
        <v>170809.4</v>
      </c>
      <c r="K55" s="159">
        <f>K54+I55-J55</f>
        <v>592795.41</v>
      </c>
    </row>
    <row r="56" spans="1:11" ht="15">
      <c r="A56" s="54" t="str">
        <f t="shared" si="0"/>
        <v/>
      </c>
      <c r="B56" t="s">
        <v>212</v>
      </c>
      <c r="C56" s="1">
        <v>45708</v>
      </c>
      <c r="F56" s="213"/>
      <c r="G56" s="213"/>
      <c r="H56" t="s">
        <v>3470</v>
      </c>
      <c r="J56" s="81">
        <v>538754.6</v>
      </c>
      <c r="K56" s="159">
        <f>K55+I56-J56</f>
        <v>54040.810000000056</v>
      </c>
    </row>
    <row r="57" spans="1:11" ht="15">
      <c r="A57" s="54" t="str">
        <f t="shared" si="0"/>
        <v/>
      </c>
      <c r="B57" t="s">
        <v>212</v>
      </c>
      <c r="C57" s="1">
        <v>45708</v>
      </c>
      <c r="F57" s="213"/>
      <c r="G57" s="213"/>
      <c r="H57" t="s">
        <v>3471</v>
      </c>
      <c r="J57" s="81">
        <v>35900</v>
      </c>
      <c r="K57" s="159">
        <f>K56+I57-J57</f>
        <v>18140.810000000056</v>
      </c>
    </row>
    <row r="58" spans="1:11" ht="15">
      <c r="A58" s="54" t="str">
        <f t="shared" si="0"/>
        <v>FINANZASNOMINA ADMONFINANZAS/LEGAL</v>
      </c>
      <c r="B58" t="s">
        <v>212</v>
      </c>
      <c r="C58" s="1">
        <v>45710</v>
      </c>
      <c r="D58" t="s">
        <v>23</v>
      </c>
      <c r="E58" t="s">
        <v>147</v>
      </c>
      <c r="F58" s="213" t="s">
        <v>149</v>
      </c>
      <c r="G58" s="213"/>
      <c r="H58" t="s">
        <v>3488</v>
      </c>
      <c r="J58" s="81">
        <v>3675</v>
      </c>
      <c r="K58" s="159">
        <f>K57+I58-J58</f>
        <v>14465.810000000056</v>
      </c>
    </row>
    <row r="59" spans="1:11" ht="15">
      <c r="A59" s="54" t="str">
        <f t="shared" si="0"/>
        <v>FINANZASVACACIONES/FINIQUITOSFINANZAS</v>
      </c>
      <c r="B59" t="s">
        <v>212</v>
      </c>
      <c r="C59" s="214">
        <v>45712</v>
      </c>
      <c r="D59" t="s">
        <v>23</v>
      </c>
      <c r="E59" t="s">
        <v>190</v>
      </c>
      <c r="F59" t="s">
        <v>23</v>
      </c>
      <c r="G59" s="213"/>
      <c r="H59" t="s">
        <v>3489</v>
      </c>
      <c r="J59" s="81">
        <v>2263</v>
      </c>
      <c r="K59" s="159">
        <f>K58+I59-J59</f>
        <v>12202.810000000056</v>
      </c>
    </row>
    <row r="60" spans="1:11" ht="15">
      <c r="A60" s="54" t="str">
        <f t="shared" si="0"/>
        <v>FINANZASVACACIONES/FINIQUITOSFINANZAS</v>
      </c>
      <c r="B60" t="s">
        <v>212</v>
      </c>
      <c r="C60" s="214">
        <v>45712</v>
      </c>
      <c r="D60" t="s">
        <v>23</v>
      </c>
      <c r="E60" t="s">
        <v>190</v>
      </c>
      <c r="F60" t="s">
        <v>23</v>
      </c>
      <c r="G60" s="213"/>
      <c r="H60" t="s">
        <v>3490</v>
      </c>
      <c r="J60" s="81">
        <v>576</v>
      </c>
      <c r="K60" s="159">
        <f>K59+I60-J60</f>
        <v>11626.810000000056</v>
      </c>
    </row>
    <row r="61" spans="1:11" ht="15">
      <c r="A61" s="54" t="str">
        <f t="shared" si="0"/>
        <v>FINANZASVACACIONES/FINIQUITOSFINANZAS</v>
      </c>
      <c r="B61" t="s">
        <v>212</v>
      </c>
      <c r="C61" s="214">
        <v>45712</v>
      </c>
      <c r="D61" t="s">
        <v>23</v>
      </c>
      <c r="E61" t="s">
        <v>190</v>
      </c>
      <c r="F61" t="s">
        <v>23</v>
      </c>
      <c r="G61" s="213"/>
      <c r="H61" t="s">
        <v>3491</v>
      </c>
      <c r="J61" s="81">
        <v>400</v>
      </c>
      <c r="K61" s="159">
        <f>K60+I61-J61</f>
        <v>11226.810000000056</v>
      </c>
    </row>
    <row r="62" spans="1:11" ht="15">
      <c r="A62" s="54" t="str">
        <f t="shared" si="0"/>
        <v>FINANZASVACACIONES/FINIQUITOSFINANZAS</v>
      </c>
      <c r="B62" t="s">
        <v>212</v>
      </c>
      <c r="C62" s="214">
        <v>45712</v>
      </c>
      <c r="D62" t="s">
        <v>23</v>
      </c>
      <c r="E62" t="s">
        <v>190</v>
      </c>
      <c r="F62" t="s">
        <v>23</v>
      </c>
      <c r="G62" s="213"/>
      <c r="H62" t="s">
        <v>3492</v>
      </c>
      <c r="J62" s="81">
        <v>4281</v>
      </c>
      <c r="K62" s="159">
        <f>K61+I62-J62</f>
        <v>6945.8100000000559</v>
      </c>
    </row>
    <row r="63" spans="1:11" ht="15">
      <c r="A63" s="54" t="str">
        <f t="shared" si="0"/>
        <v>FINANZASVACACIONES/FINIQUITOSFINANZAS</v>
      </c>
      <c r="B63" t="s">
        <v>212</v>
      </c>
      <c r="C63" s="214">
        <v>45712</v>
      </c>
      <c r="D63" t="s">
        <v>23</v>
      </c>
      <c r="E63" t="s">
        <v>190</v>
      </c>
      <c r="F63" t="s">
        <v>23</v>
      </c>
      <c r="G63" s="213"/>
      <c r="H63" t="s">
        <v>3493</v>
      </c>
      <c r="J63" s="81">
        <v>400</v>
      </c>
      <c r="K63" s="159">
        <f>K62+I63-J63</f>
        <v>6545.8100000000559</v>
      </c>
    </row>
    <row r="64" spans="1:11" ht="15">
      <c r="A64" s="54" t="str">
        <f t="shared" si="0"/>
        <v>FINANZASVACACIONES/FINIQUITOSFINANZAS</v>
      </c>
      <c r="B64" t="s">
        <v>212</v>
      </c>
      <c r="C64" s="214">
        <v>45712</v>
      </c>
      <c r="D64" t="s">
        <v>23</v>
      </c>
      <c r="E64" t="s">
        <v>190</v>
      </c>
      <c r="F64" t="s">
        <v>23</v>
      </c>
      <c r="G64" s="213"/>
      <c r="H64" t="s">
        <v>3494</v>
      </c>
      <c r="J64" s="81">
        <v>1538</v>
      </c>
      <c r="K64" s="159">
        <f>K63+I64-J64</f>
        <v>5007.8100000000559</v>
      </c>
    </row>
    <row r="65" spans="1:11" ht="15">
      <c r="A65" s="54" t="str">
        <f t="shared" si="0"/>
        <v/>
      </c>
      <c r="B65" t="s">
        <v>212</v>
      </c>
      <c r="C65" s="214">
        <v>45713</v>
      </c>
      <c r="F65" s="213"/>
      <c r="G65" s="213"/>
      <c r="H65" t="s">
        <v>3452</v>
      </c>
      <c r="I65" s="81">
        <v>750000</v>
      </c>
      <c r="K65" s="159">
        <f>K64+I65-J65</f>
        <v>755007.81</v>
      </c>
    </row>
    <row r="66" spans="1:11" s="89" customFormat="1" ht="15">
      <c r="A66" s="54" t="str">
        <f t="shared" si="0"/>
        <v>FINANZASVACACIONES/FINIQUITOSFINANZAS</v>
      </c>
      <c r="B66" s="89" t="s">
        <v>212</v>
      </c>
      <c r="C66" s="235">
        <v>45713</v>
      </c>
      <c r="D66" s="89" t="s">
        <v>23</v>
      </c>
      <c r="E66" s="89" t="s">
        <v>190</v>
      </c>
      <c r="F66" t="s">
        <v>23</v>
      </c>
      <c r="G66" s="236"/>
      <c r="H66" s="89" t="s">
        <v>3495</v>
      </c>
      <c r="I66" s="237"/>
      <c r="J66" s="208">
        <v>3753</v>
      </c>
      <c r="K66" s="238">
        <f>K65+I66-J66</f>
        <v>751254.81</v>
      </c>
    </row>
    <row r="67" spans="1:11" ht="15">
      <c r="A67" s="54" t="str">
        <f t="shared" si="0"/>
        <v>SERVICIOSVACACIONES/FINIQUITOSSERVICIOS</v>
      </c>
      <c r="B67" t="s">
        <v>212</v>
      </c>
      <c r="C67" s="1">
        <v>45714</v>
      </c>
      <c r="D67" t="s">
        <v>21</v>
      </c>
      <c r="E67" t="s">
        <v>190</v>
      </c>
      <c r="F67" s="146" t="s">
        <v>21</v>
      </c>
      <c r="G67" s="146" t="s">
        <v>258</v>
      </c>
      <c r="H67" t="s">
        <v>3496</v>
      </c>
      <c r="I67" s="144"/>
      <c r="J67" s="144">
        <v>10000</v>
      </c>
      <c r="K67" s="159">
        <f>K66+I67-J67</f>
        <v>741254.81</v>
      </c>
    </row>
    <row r="68" spans="1:11" ht="15">
      <c r="A68" s="54" t="str">
        <f t="shared" si="0"/>
        <v/>
      </c>
      <c r="B68" t="s">
        <v>212</v>
      </c>
      <c r="C68" s="1">
        <v>45715</v>
      </c>
      <c r="F68" s="146"/>
      <c r="G68" s="146"/>
      <c r="H68" t="s">
        <v>3466</v>
      </c>
      <c r="I68" s="144">
        <v>13914.17</v>
      </c>
      <c r="J68" s="144"/>
      <c r="K68" s="159">
        <f>K67+I68-J68</f>
        <v>755168.9800000001</v>
      </c>
    </row>
    <row r="69" spans="1:11" ht="15">
      <c r="A69" s="54" t="str">
        <f t="shared" ref="A69:A132" si="1">D69&amp;E69&amp;F69</f>
        <v/>
      </c>
      <c r="B69" t="s">
        <v>212</v>
      </c>
      <c r="C69" s="1">
        <v>45715</v>
      </c>
      <c r="F69" s="146"/>
      <c r="G69" s="146"/>
      <c r="H69" t="s">
        <v>3467</v>
      </c>
      <c r="I69" s="144">
        <v>6500.2</v>
      </c>
      <c r="J69" s="144"/>
      <c r="K69" s="159">
        <f>K68+I69-J69</f>
        <v>761669.18</v>
      </c>
    </row>
    <row r="70" spans="1:11" ht="15">
      <c r="A70" s="54" t="str">
        <f t="shared" si="1"/>
        <v/>
      </c>
      <c r="B70" t="s">
        <v>212</v>
      </c>
      <c r="C70" s="1">
        <v>45715</v>
      </c>
      <c r="F70" s="146"/>
      <c r="G70" s="146"/>
      <c r="H70" t="s">
        <v>3468</v>
      </c>
      <c r="I70" s="144">
        <v>5497.31</v>
      </c>
      <c r="J70" s="144"/>
      <c r="K70" s="159">
        <f>K69+I70-J70</f>
        <v>767166.49000000011</v>
      </c>
    </row>
    <row r="71" spans="1:11" ht="15">
      <c r="A71" s="54" t="str">
        <f t="shared" si="1"/>
        <v/>
      </c>
      <c r="B71" t="s">
        <v>212</v>
      </c>
      <c r="C71" s="1">
        <v>45715</v>
      </c>
      <c r="F71" s="146"/>
      <c r="G71" s="146"/>
      <c r="H71" t="s">
        <v>3469</v>
      </c>
      <c r="I71" s="144"/>
      <c r="J71" s="144">
        <v>155509.32</v>
      </c>
      <c r="K71" s="159">
        <f>K70+I71-J71</f>
        <v>611657.17000000016</v>
      </c>
    </row>
    <row r="72" spans="1:11" ht="15">
      <c r="A72" s="54" t="str">
        <f t="shared" si="1"/>
        <v/>
      </c>
      <c r="B72" t="s">
        <v>212</v>
      </c>
      <c r="C72" s="1">
        <v>45715</v>
      </c>
      <c r="F72" s="146"/>
      <c r="G72" s="146"/>
      <c r="H72" t="s">
        <v>3497</v>
      </c>
      <c r="I72" s="144"/>
      <c r="J72" s="144">
        <v>529846.99</v>
      </c>
      <c r="K72" s="159">
        <f>K71+I72-J72</f>
        <v>81810.180000000168</v>
      </c>
    </row>
    <row r="73" spans="1:11" ht="15">
      <c r="A73" s="54" t="str">
        <f t="shared" si="1"/>
        <v/>
      </c>
      <c r="B73" t="s">
        <v>212</v>
      </c>
      <c r="C73" s="1">
        <v>45716</v>
      </c>
      <c r="F73" s="146"/>
      <c r="G73" s="146"/>
      <c r="H73" t="s">
        <v>3471</v>
      </c>
      <c r="I73" s="144"/>
      <c r="J73" s="144">
        <v>35900</v>
      </c>
      <c r="K73" s="159">
        <f>K72+I73-J73</f>
        <v>45910.180000000168</v>
      </c>
    </row>
    <row r="74" spans="1:11" ht="15">
      <c r="A74" s="54" t="str">
        <f t="shared" si="1"/>
        <v/>
      </c>
      <c r="B74" t="s">
        <v>3498</v>
      </c>
      <c r="C74" s="1">
        <v>45719</v>
      </c>
      <c r="F74" s="146"/>
      <c r="G74" s="146"/>
      <c r="H74" t="s">
        <v>3452</v>
      </c>
      <c r="I74" s="144">
        <v>500000</v>
      </c>
      <c r="J74" s="144"/>
      <c r="K74" s="159">
        <f>K73+I74-J74</f>
        <v>545910.18000000017</v>
      </c>
    </row>
    <row r="75" spans="1:11" ht="15">
      <c r="A75" s="54" t="str">
        <f>D75&amp;E75&amp;F75</f>
        <v>HRVACACIONES/FINIQUITOSHR</v>
      </c>
      <c r="B75" t="s">
        <v>3498</v>
      </c>
      <c r="C75" s="1">
        <v>45719</v>
      </c>
      <c r="D75" t="s">
        <v>29</v>
      </c>
      <c r="E75" s="12" t="s">
        <v>190</v>
      </c>
      <c r="F75" s="12" t="s">
        <v>29</v>
      </c>
      <c r="G75" s="146"/>
      <c r="H75" t="s">
        <v>3499</v>
      </c>
      <c r="I75" s="144"/>
      <c r="J75" s="144">
        <v>850</v>
      </c>
      <c r="K75" s="159">
        <f>K74+I75-J75</f>
        <v>545060.18000000017</v>
      </c>
    </row>
    <row r="76" spans="1:11" ht="15">
      <c r="A76" s="54" t="str">
        <f t="shared" si="1"/>
        <v>CAPVACACIONES/FINIQUITOSCAPRICHOS</v>
      </c>
      <c r="B76" t="s">
        <v>3498</v>
      </c>
      <c r="C76" s="1">
        <v>45719</v>
      </c>
      <c r="D76" t="s">
        <v>31</v>
      </c>
      <c r="E76" t="s">
        <v>190</v>
      </c>
      <c r="F76" s="146" t="s">
        <v>33</v>
      </c>
      <c r="G76" s="146"/>
      <c r="H76" t="s">
        <v>3500</v>
      </c>
      <c r="I76" s="144"/>
      <c r="J76" s="144">
        <v>676</v>
      </c>
      <c r="K76" s="159">
        <f>K75+I76-J76</f>
        <v>544384.18000000017</v>
      </c>
    </row>
    <row r="77" spans="1:11" ht="15">
      <c r="A77" s="54" t="str">
        <f t="shared" si="1"/>
        <v>CAPVACACIONES/FINIQUITOSCAPRICHOS</v>
      </c>
      <c r="B77" t="s">
        <v>3498</v>
      </c>
      <c r="C77" s="1">
        <v>45719</v>
      </c>
      <c r="D77" t="s">
        <v>31</v>
      </c>
      <c r="E77" t="s">
        <v>190</v>
      </c>
      <c r="F77" s="146" t="s">
        <v>33</v>
      </c>
      <c r="G77" s="146"/>
      <c r="H77" t="s">
        <v>3501</v>
      </c>
      <c r="I77" s="144"/>
      <c r="J77" s="144">
        <v>5085</v>
      </c>
      <c r="K77" s="159">
        <f>K76+I77-J77</f>
        <v>539299.18000000017</v>
      </c>
    </row>
    <row r="78" spans="1:11" ht="15">
      <c r="A78" s="54" t="str">
        <f>D78&amp;E78&amp;F78</f>
        <v>HRVACACIONES/FINIQUITOSHR</v>
      </c>
      <c r="B78" t="s">
        <v>3498</v>
      </c>
      <c r="C78" s="1">
        <v>45719</v>
      </c>
      <c r="D78" t="s">
        <v>29</v>
      </c>
      <c r="E78" s="12" t="s">
        <v>190</v>
      </c>
      <c r="F78" s="12" t="s">
        <v>29</v>
      </c>
      <c r="G78" s="146"/>
      <c r="H78" t="s">
        <v>3502</v>
      </c>
      <c r="I78" s="144"/>
      <c r="J78" s="144">
        <v>863</v>
      </c>
      <c r="K78" s="159">
        <f>K77+I78-J78</f>
        <v>538436.18000000017</v>
      </c>
    </row>
    <row r="79" spans="1:11" ht="15">
      <c r="A79" s="54" t="str">
        <f>D79&amp;E79&amp;F79</f>
        <v>HRVACACIONES/FINIQUITOSHR</v>
      </c>
      <c r="B79" t="s">
        <v>3498</v>
      </c>
      <c r="C79" s="1">
        <v>45719</v>
      </c>
      <c r="D79" t="s">
        <v>29</v>
      </c>
      <c r="E79" s="12" t="s">
        <v>190</v>
      </c>
      <c r="F79" s="12" t="s">
        <v>29</v>
      </c>
      <c r="G79" s="146"/>
      <c r="H79" t="s">
        <v>3503</v>
      </c>
      <c r="I79" s="144"/>
      <c r="J79" s="78">
        <v>226</v>
      </c>
      <c r="K79" s="159">
        <f>K78+I79-J79</f>
        <v>538210.18000000017</v>
      </c>
    </row>
    <row r="80" spans="1:11" ht="15">
      <c r="A80" s="54" t="str">
        <f>D80&amp;E80&amp;F80</f>
        <v>HRVACACIONES/FINIQUITOSHR</v>
      </c>
      <c r="B80" t="s">
        <v>3498</v>
      </c>
      <c r="C80" s="1">
        <v>45719</v>
      </c>
      <c r="D80" t="s">
        <v>29</v>
      </c>
      <c r="E80" s="12" t="s">
        <v>190</v>
      </c>
      <c r="F80" s="12" t="s">
        <v>29</v>
      </c>
      <c r="G80" s="146"/>
      <c r="H80" t="s">
        <v>3504</v>
      </c>
      <c r="I80" s="144"/>
      <c r="J80" s="144">
        <v>1163</v>
      </c>
      <c r="K80" s="159">
        <f>K79+I80-J80</f>
        <v>537047.18000000017</v>
      </c>
    </row>
    <row r="81" spans="1:11" ht="15">
      <c r="A81" s="54" t="str">
        <f>D81&amp;E81&amp;F81</f>
        <v>HRVACACIONES/FINIQUITOSHR</v>
      </c>
      <c r="B81" t="s">
        <v>3498</v>
      </c>
      <c r="C81" s="1">
        <v>45719</v>
      </c>
      <c r="D81" t="s">
        <v>29</v>
      </c>
      <c r="E81" s="12" t="s">
        <v>190</v>
      </c>
      <c r="F81" s="12" t="s">
        <v>29</v>
      </c>
      <c r="G81" s="146"/>
      <c r="H81" t="s">
        <v>3505</v>
      </c>
      <c r="I81" s="144"/>
      <c r="J81" s="78">
        <v>651</v>
      </c>
      <c r="K81" s="159">
        <f>K80+I81-J81</f>
        <v>536396.18000000017</v>
      </c>
    </row>
    <row r="82" spans="1:11" ht="15">
      <c r="A82" s="54" t="str">
        <f t="shared" si="1"/>
        <v>DENOMINA ADMONDIRECCION</v>
      </c>
      <c r="B82" t="s">
        <v>3498</v>
      </c>
      <c r="C82" s="1">
        <v>45719</v>
      </c>
      <c r="D82" t="s">
        <v>41</v>
      </c>
      <c r="E82" t="s">
        <v>147</v>
      </c>
      <c r="F82" s="146" t="s">
        <v>42</v>
      </c>
      <c r="G82" s="146"/>
      <c r="H82" t="s">
        <v>3465</v>
      </c>
      <c r="I82" s="144"/>
      <c r="J82" s="144">
        <v>15000</v>
      </c>
      <c r="K82" s="159">
        <f>K81+I82-J82</f>
        <v>521396.18000000017</v>
      </c>
    </row>
    <row r="83" spans="1:11" ht="15">
      <c r="A83" s="54" t="str">
        <f>D83&amp;E83&amp;F83</f>
        <v>HRVACACIONES/FINIQUITOSHR</v>
      </c>
      <c r="B83" t="s">
        <v>3498</v>
      </c>
      <c r="C83" s="1">
        <v>45720</v>
      </c>
      <c r="D83" t="s">
        <v>29</v>
      </c>
      <c r="E83" s="12" t="s">
        <v>190</v>
      </c>
      <c r="F83" s="12" t="s">
        <v>29</v>
      </c>
      <c r="G83" s="146" t="s">
        <v>258</v>
      </c>
      <c r="H83" t="s">
        <v>3506</v>
      </c>
      <c r="I83" s="144"/>
      <c r="J83" s="144">
        <v>8000</v>
      </c>
      <c r="K83" s="159">
        <f>K82+I83-J83</f>
        <v>513396.18000000017</v>
      </c>
    </row>
    <row r="84" spans="1:11" ht="15">
      <c r="A84" s="54" t="str">
        <f t="shared" si="1"/>
        <v/>
      </c>
      <c r="B84" t="s">
        <v>3498</v>
      </c>
      <c r="C84" s="1">
        <v>45721</v>
      </c>
      <c r="F84" s="146"/>
      <c r="G84" s="146"/>
      <c r="H84" t="s">
        <v>3452</v>
      </c>
      <c r="I84" s="144">
        <v>100000</v>
      </c>
      <c r="J84" s="144"/>
      <c r="K84" s="159">
        <f>K83+I84-J84</f>
        <v>613396.18000000017</v>
      </c>
    </row>
    <row r="85" spans="1:11" ht="15">
      <c r="A85" s="54" t="str">
        <f t="shared" si="1"/>
        <v/>
      </c>
      <c r="B85" t="s">
        <v>3498</v>
      </c>
      <c r="C85" s="1">
        <v>45722</v>
      </c>
      <c r="F85" s="146"/>
      <c r="G85" s="146"/>
      <c r="H85" t="s">
        <v>3452</v>
      </c>
      <c r="I85" s="78">
        <v>100000</v>
      </c>
      <c r="J85" s="78"/>
      <c r="K85" s="159">
        <f>K84+I85-J85</f>
        <v>713396.18000000017</v>
      </c>
    </row>
    <row r="86" spans="1:11" ht="15">
      <c r="A86" s="54" t="str">
        <f t="shared" si="1"/>
        <v/>
      </c>
      <c r="B86" t="s">
        <v>3498</v>
      </c>
      <c r="C86" s="1">
        <v>45722</v>
      </c>
      <c r="F86" s="146"/>
      <c r="G86" s="146"/>
      <c r="H86" t="s">
        <v>3466</v>
      </c>
      <c r="I86" s="78">
        <v>13913.97</v>
      </c>
      <c r="J86" s="144"/>
      <c r="K86" s="159">
        <f>K85+I86-J86</f>
        <v>727310.15000000014</v>
      </c>
    </row>
    <row r="87" spans="1:11" ht="15">
      <c r="A87" s="54" t="str">
        <f t="shared" si="1"/>
        <v/>
      </c>
      <c r="B87" t="s">
        <v>3498</v>
      </c>
      <c r="C87" s="1">
        <v>45722</v>
      </c>
      <c r="F87" s="146"/>
      <c r="G87" s="146"/>
      <c r="H87" t="s">
        <v>3467</v>
      </c>
      <c r="I87" s="78">
        <v>8000.9</v>
      </c>
      <c r="J87" s="144"/>
      <c r="K87" s="159">
        <f>K86+I87-J87</f>
        <v>735311.05000000016</v>
      </c>
    </row>
    <row r="88" spans="1:11" ht="15">
      <c r="A88" s="54" t="str">
        <f t="shared" si="1"/>
        <v/>
      </c>
      <c r="B88" t="s">
        <v>3498</v>
      </c>
      <c r="C88" s="1">
        <v>45722</v>
      </c>
      <c r="F88" s="146"/>
      <c r="G88" s="146"/>
      <c r="H88" t="s">
        <v>3468</v>
      </c>
      <c r="I88" s="78">
        <v>4963</v>
      </c>
      <c r="J88" s="144"/>
      <c r="K88" s="159">
        <f>K87+I88-J88</f>
        <v>740274.05000000016</v>
      </c>
    </row>
    <row r="89" spans="1:11" ht="15">
      <c r="A89" s="54" t="str">
        <f t="shared" si="1"/>
        <v/>
      </c>
      <c r="B89" t="s">
        <v>3498</v>
      </c>
      <c r="C89" s="1">
        <v>45722</v>
      </c>
      <c r="F89" s="161"/>
      <c r="G89" s="146"/>
      <c r="H89" t="s">
        <v>3469</v>
      </c>
      <c r="I89" s="144"/>
      <c r="J89" s="144">
        <v>161455</v>
      </c>
      <c r="K89" s="159">
        <f>K88+I89-J89</f>
        <v>578819.05000000016</v>
      </c>
    </row>
    <row r="90" spans="1:11" ht="15">
      <c r="A90" s="54" t="str">
        <f t="shared" si="1"/>
        <v/>
      </c>
      <c r="B90" t="s">
        <v>3498</v>
      </c>
      <c r="C90" s="1">
        <v>45722</v>
      </c>
      <c r="F90" s="161"/>
      <c r="G90" s="146"/>
      <c r="H90" t="s">
        <v>3497</v>
      </c>
      <c r="I90" s="144"/>
      <c r="J90" s="144">
        <v>515118</v>
      </c>
      <c r="K90" s="159">
        <f>K89+I90-J90</f>
        <v>63701.050000000163</v>
      </c>
    </row>
    <row r="91" spans="1:11" ht="15">
      <c r="A91" s="54" t="str">
        <f t="shared" si="1"/>
        <v/>
      </c>
      <c r="B91" t="s">
        <v>3498</v>
      </c>
      <c r="C91" s="1">
        <v>45722</v>
      </c>
      <c r="F91" s="146"/>
      <c r="G91" s="146"/>
      <c r="H91" t="s">
        <v>3507</v>
      </c>
      <c r="I91" s="144"/>
      <c r="J91" s="144">
        <v>35400</v>
      </c>
      <c r="K91" s="159">
        <f>K90+I91-J91</f>
        <v>28301.050000000163</v>
      </c>
    </row>
    <row r="92" spans="1:11" ht="15">
      <c r="A92" s="54" t="str">
        <f t="shared" si="1"/>
        <v>FINANZASNOMINA ADMONTESORERIA</v>
      </c>
      <c r="B92" t="s">
        <v>3498</v>
      </c>
      <c r="C92" s="1">
        <v>45723</v>
      </c>
      <c r="D92" t="s">
        <v>23</v>
      </c>
      <c r="E92" t="s">
        <v>147</v>
      </c>
      <c r="F92" s="146" t="s">
        <v>38</v>
      </c>
      <c r="G92" s="146"/>
      <c r="H92" t="s">
        <v>3508</v>
      </c>
      <c r="I92" s="78"/>
      <c r="J92" s="78">
        <v>350</v>
      </c>
      <c r="K92" s="159">
        <f>K91+I92-J92</f>
        <v>27951.050000000163</v>
      </c>
    </row>
    <row r="93" spans="1:11" ht="15">
      <c r="A93" s="54" t="str">
        <f t="shared" si="1"/>
        <v>SERVICIOSNOMINA SUCURSALCEDIS</v>
      </c>
      <c r="B93" t="s">
        <v>3498</v>
      </c>
      <c r="C93" s="1">
        <v>45723</v>
      </c>
      <c r="D93" t="s">
        <v>21</v>
      </c>
      <c r="E93" t="s">
        <v>154</v>
      </c>
      <c r="F93" s="146" t="s">
        <v>28</v>
      </c>
      <c r="G93" s="146"/>
      <c r="H93" t="s">
        <v>3509</v>
      </c>
      <c r="I93" s="144"/>
      <c r="J93" s="144">
        <v>70</v>
      </c>
      <c r="K93" s="159">
        <f>K92+I93-J93</f>
        <v>27881.050000000163</v>
      </c>
    </row>
    <row r="94" spans="1:11" ht="15">
      <c r="A94" s="54" t="str">
        <f t="shared" si="1"/>
        <v>HRNOMINA ADMONHR</v>
      </c>
      <c r="B94" t="s">
        <v>3498</v>
      </c>
      <c r="C94" s="1">
        <v>45724</v>
      </c>
      <c r="D94" t="s">
        <v>29</v>
      </c>
      <c r="E94" t="s">
        <v>147</v>
      </c>
      <c r="F94" s="146" t="s">
        <v>29</v>
      </c>
      <c r="G94" s="146"/>
      <c r="H94" t="s">
        <v>3510</v>
      </c>
      <c r="I94" s="144"/>
      <c r="J94" s="78">
        <v>500</v>
      </c>
      <c r="K94" s="159">
        <f>K93+I94-J94</f>
        <v>27381.050000000163</v>
      </c>
    </row>
    <row r="95" spans="1:11" ht="15">
      <c r="A95" s="54" t="str">
        <f t="shared" si="1"/>
        <v/>
      </c>
      <c r="B95" t="s">
        <v>3498</v>
      </c>
      <c r="C95" s="1">
        <v>45726</v>
      </c>
      <c r="F95" s="146"/>
      <c r="G95" s="146"/>
      <c r="H95" t="s">
        <v>3472</v>
      </c>
      <c r="I95" s="144">
        <v>400000</v>
      </c>
      <c r="J95" s="144"/>
      <c r="K95" s="159">
        <f>K94+I95-J95</f>
        <v>427381.05000000016</v>
      </c>
    </row>
    <row r="96" spans="1:11" ht="15">
      <c r="A96" s="54" t="str">
        <f t="shared" si="1"/>
        <v>SERVICIOSVACACIONES/FINIQUITOSSERVICIOS</v>
      </c>
      <c r="B96" t="s">
        <v>3498</v>
      </c>
      <c r="C96" s="1">
        <v>45726</v>
      </c>
      <c r="D96" t="s">
        <v>21</v>
      </c>
      <c r="E96" t="s">
        <v>190</v>
      </c>
      <c r="F96" s="146" t="s">
        <v>21</v>
      </c>
      <c r="G96" s="146"/>
      <c r="H96" t="s">
        <v>3511</v>
      </c>
      <c r="I96" s="144"/>
      <c r="J96" s="144">
        <v>3723</v>
      </c>
      <c r="K96" s="159">
        <f>K95+I96-J96</f>
        <v>423658.05000000016</v>
      </c>
    </row>
    <row r="97" spans="1:11" ht="15">
      <c r="A97" s="54" t="str">
        <f t="shared" si="1"/>
        <v>CAPVACACIONES/FINIQUITOSCAPRICHOS</v>
      </c>
      <c r="B97" t="s">
        <v>3498</v>
      </c>
      <c r="C97" s="1">
        <v>45726</v>
      </c>
      <c r="D97" t="s">
        <v>31</v>
      </c>
      <c r="E97" t="s">
        <v>190</v>
      </c>
      <c r="F97" s="146" t="s">
        <v>33</v>
      </c>
      <c r="G97" s="146"/>
      <c r="H97" t="s">
        <v>3512</v>
      </c>
      <c r="I97" s="144"/>
      <c r="J97" s="144">
        <v>5211</v>
      </c>
      <c r="K97" s="159">
        <f>K96+I97-J97</f>
        <v>418447.05000000016</v>
      </c>
    </row>
    <row r="98" spans="1:11" ht="15">
      <c r="A98" s="54" t="str">
        <f t="shared" si="1"/>
        <v>ELIVACACIONES/FINIQUITOSL1</v>
      </c>
      <c r="B98" t="s">
        <v>3498</v>
      </c>
      <c r="C98" s="1">
        <v>45726</v>
      </c>
      <c r="D98" t="s">
        <v>130</v>
      </c>
      <c r="E98" t="s">
        <v>190</v>
      </c>
      <c r="F98" s="146" t="s">
        <v>136</v>
      </c>
      <c r="G98" s="146"/>
      <c r="H98" t="s">
        <v>3513</v>
      </c>
      <c r="I98" s="78"/>
      <c r="J98" s="78">
        <v>5517</v>
      </c>
      <c r="K98" s="159">
        <f>K97+I98-J98</f>
        <v>412930.05000000016</v>
      </c>
    </row>
    <row r="99" spans="1:11" ht="15">
      <c r="A99" s="54" t="str">
        <f>D99&amp;E99&amp;F99</f>
        <v>HRVACACIONES/FINIQUITOSHR</v>
      </c>
      <c r="B99" t="s">
        <v>3498</v>
      </c>
      <c r="C99" s="1">
        <v>45726</v>
      </c>
      <c r="D99" t="s">
        <v>29</v>
      </c>
      <c r="E99" s="12" t="s">
        <v>190</v>
      </c>
      <c r="F99" s="12" t="s">
        <v>29</v>
      </c>
      <c r="G99" s="146"/>
      <c r="H99" t="s">
        <v>3514</v>
      </c>
      <c r="I99" s="78"/>
      <c r="J99" s="78">
        <v>227</v>
      </c>
      <c r="K99" s="159">
        <f>K98+I99-J99</f>
        <v>412703.05000000016</v>
      </c>
    </row>
    <row r="100" spans="1:11" ht="15">
      <c r="A100" s="54" t="str">
        <f>D100&amp;E100&amp;F100</f>
        <v>HRVACACIONES/FINIQUITOSHR</v>
      </c>
      <c r="B100" t="s">
        <v>3498</v>
      </c>
      <c r="C100" s="1">
        <v>45726</v>
      </c>
      <c r="D100" t="s">
        <v>29</v>
      </c>
      <c r="E100" s="12" t="s">
        <v>190</v>
      </c>
      <c r="F100" s="12" t="s">
        <v>29</v>
      </c>
      <c r="G100" s="146"/>
      <c r="H100" t="s">
        <v>3515</v>
      </c>
      <c r="I100" s="78"/>
      <c r="J100" s="78">
        <v>2063</v>
      </c>
      <c r="K100" s="159">
        <f>K99+I100-J100</f>
        <v>410640.05000000016</v>
      </c>
    </row>
    <row r="101" spans="1:11" ht="15">
      <c r="A101" s="54" t="str">
        <f>D101&amp;E101&amp;F101</f>
        <v>HRVACACIONES/FINIQUITOSHR</v>
      </c>
      <c r="B101" t="s">
        <v>3498</v>
      </c>
      <c r="C101" s="1">
        <v>45726</v>
      </c>
      <c r="D101" t="s">
        <v>29</v>
      </c>
      <c r="E101" s="12" t="s">
        <v>190</v>
      </c>
      <c r="F101" s="12" t="s">
        <v>29</v>
      </c>
      <c r="G101" s="146"/>
      <c r="H101" t="s">
        <v>3516</v>
      </c>
      <c r="I101" s="78"/>
      <c r="J101" s="78">
        <v>1450</v>
      </c>
      <c r="K101" s="159">
        <f>K100+I101-J101</f>
        <v>409190.05000000016</v>
      </c>
    </row>
    <row r="102" spans="1:11" ht="15">
      <c r="A102" s="54" t="str">
        <f>D102&amp;E102&amp;F102</f>
        <v>HRVACACIONES/FINIQUITOSHR</v>
      </c>
      <c r="B102" t="s">
        <v>3498</v>
      </c>
      <c r="C102" s="1">
        <v>45726</v>
      </c>
      <c r="D102" t="s">
        <v>29</v>
      </c>
      <c r="E102" s="12" t="s">
        <v>190</v>
      </c>
      <c r="F102" s="12" t="s">
        <v>29</v>
      </c>
      <c r="G102" s="146"/>
      <c r="H102" t="s">
        <v>3517</v>
      </c>
      <c r="I102" s="78"/>
      <c r="J102" s="78">
        <v>4053</v>
      </c>
      <c r="K102" s="159">
        <f>K101+I102-J102</f>
        <v>405137.05000000016</v>
      </c>
    </row>
    <row r="103" spans="1:11" ht="15">
      <c r="A103" s="54" t="str">
        <f t="shared" si="1"/>
        <v>CAPVACACIONES/FINIQUITOSCAPRICHOS</v>
      </c>
      <c r="B103" t="s">
        <v>3498</v>
      </c>
      <c r="C103" s="1">
        <v>45726</v>
      </c>
      <c r="D103" t="s">
        <v>31</v>
      </c>
      <c r="E103" t="s">
        <v>190</v>
      </c>
      <c r="F103" s="146" t="s">
        <v>33</v>
      </c>
      <c r="G103" s="146"/>
      <c r="H103" t="s">
        <v>3518</v>
      </c>
      <c r="I103" s="78"/>
      <c r="J103" s="144">
        <v>5037</v>
      </c>
      <c r="K103" s="159">
        <f>K102+I103-J103</f>
        <v>400100.05000000016</v>
      </c>
    </row>
    <row r="104" spans="1:11" ht="15">
      <c r="A104" s="54" t="str">
        <f>D104&amp;E104&amp;F104</f>
        <v>HRVACACIONES/FINIQUITOSHR</v>
      </c>
      <c r="B104" t="s">
        <v>3498</v>
      </c>
      <c r="C104" s="1">
        <v>45726</v>
      </c>
      <c r="D104" t="s">
        <v>29</v>
      </c>
      <c r="E104" s="12" t="s">
        <v>190</v>
      </c>
      <c r="F104" s="12" t="s">
        <v>29</v>
      </c>
      <c r="G104" s="146"/>
      <c r="H104" t="s">
        <v>3519</v>
      </c>
      <c r="I104" s="78"/>
      <c r="J104" s="78">
        <v>2126</v>
      </c>
      <c r="K104" s="159">
        <f>K103+I104-J104</f>
        <v>397974.05000000016</v>
      </c>
    </row>
    <row r="105" spans="1:11" ht="15">
      <c r="A105" s="54" t="str">
        <f t="shared" si="1"/>
        <v>CAPVACACIONES/FINIQUITOSCAPRICHOS</v>
      </c>
      <c r="B105" t="s">
        <v>3498</v>
      </c>
      <c r="C105" s="1">
        <v>45726</v>
      </c>
      <c r="D105" t="s">
        <v>31</v>
      </c>
      <c r="E105" t="s">
        <v>190</v>
      </c>
      <c r="F105" s="146" t="s">
        <v>33</v>
      </c>
      <c r="G105" s="146"/>
      <c r="H105" t="s">
        <v>3520</v>
      </c>
      <c r="I105" s="78"/>
      <c r="J105" s="78">
        <v>826</v>
      </c>
      <c r="K105" s="159">
        <f>K104+I105-J105</f>
        <v>397148.05000000016</v>
      </c>
    </row>
    <row r="106" spans="1:11" ht="15">
      <c r="A106" s="54" t="str">
        <f t="shared" si="1"/>
        <v>CAPVACACIONES/FINIQUITOSCAPRICHOS</v>
      </c>
      <c r="B106" t="s">
        <v>3498</v>
      </c>
      <c r="C106" s="1">
        <v>45726</v>
      </c>
      <c r="D106" t="s">
        <v>31</v>
      </c>
      <c r="E106" t="s">
        <v>190</v>
      </c>
      <c r="F106" s="146" t="s">
        <v>33</v>
      </c>
      <c r="G106" s="146"/>
      <c r="H106" t="s">
        <v>3521</v>
      </c>
      <c r="I106" s="78"/>
      <c r="J106" s="78">
        <v>3056</v>
      </c>
      <c r="K106" s="159">
        <f>K105+I106-J106</f>
        <v>394092.05000000016</v>
      </c>
    </row>
    <row r="107" spans="1:11" ht="15">
      <c r="A107" s="54" t="str">
        <f t="shared" si="1"/>
        <v>CAPVACACIONES/FINIQUITOSCAPRICHOS</v>
      </c>
      <c r="B107" t="s">
        <v>3498</v>
      </c>
      <c r="C107" s="1">
        <v>45726</v>
      </c>
      <c r="D107" t="s">
        <v>31</v>
      </c>
      <c r="E107" t="s">
        <v>190</v>
      </c>
      <c r="F107" s="146" t="s">
        <v>33</v>
      </c>
      <c r="G107" s="146"/>
      <c r="H107" t="s">
        <v>3522</v>
      </c>
      <c r="I107" s="78"/>
      <c r="J107" s="78">
        <v>400</v>
      </c>
      <c r="K107" s="159">
        <f>K106+I107-J107</f>
        <v>393692.05000000016</v>
      </c>
    </row>
    <row r="108" spans="1:11" ht="14.25" customHeight="1">
      <c r="A108" s="54" t="str">
        <f t="shared" si="1"/>
        <v>SERVICIOSVACACIONES/FINIQUITOSSERVICIOS</v>
      </c>
      <c r="B108" t="s">
        <v>3498</v>
      </c>
      <c r="C108" s="1">
        <v>45726</v>
      </c>
      <c r="D108" t="s">
        <v>21</v>
      </c>
      <c r="E108" t="s">
        <v>190</v>
      </c>
      <c r="F108" s="146" t="s">
        <v>21</v>
      </c>
      <c r="G108" s="146"/>
      <c r="H108" t="s">
        <v>3523</v>
      </c>
      <c r="I108" s="78"/>
      <c r="J108" s="78">
        <v>3837</v>
      </c>
      <c r="K108" s="159">
        <f>K107+I108-J108</f>
        <v>389855.05000000016</v>
      </c>
    </row>
    <row r="109" spans="1:11" ht="15">
      <c r="A109" s="54" t="str">
        <f>D109&amp;E109&amp;F109</f>
        <v>HRVACACIONES/FINIQUITOSHR</v>
      </c>
      <c r="B109" t="s">
        <v>3498</v>
      </c>
      <c r="C109" s="1">
        <v>45726</v>
      </c>
      <c r="D109" t="s">
        <v>29</v>
      </c>
      <c r="E109" s="12" t="s">
        <v>190</v>
      </c>
      <c r="F109" s="12" t="s">
        <v>29</v>
      </c>
      <c r="G109" s="146"/>
      <c r="H109" t="s">
        <v>3524</v>
      </c>
      <c r="I109" s="78"/>
      <c r="J109" s="78">
        <v>726</v>
      </c>
      <c r="K109" s="159">
        <f>K108+I109-J109</f>
        <v>389129.05000000016</v>
      </c>
    </row>
    <row r="110" spans="1:11" ht="15">
      <c r="A110" s="54" t="str">
        <f t="shared" si="1"/>
        <v>CAPVACACIONES/FINIQUITOSCAPRICHOS</v>
      </c>
      <c r="B110" t="s">
        <v>3498</v>
      </c>
      <c r="C110" s="1">
        <v>45726</v>
      </c>
      <c r="D110" t="s">
        <v>31</v>
      </c>
      <c r="E110" t="s">
        <v>190</v>
      </c>
      <c r="F110" s="146" t="s">
        <v>33</v>
      </c>
      <c r="G110" s="146"/>
      <c r="H110" t="s">
        <v>3525</v>
      </c>
      <c r="I110" s="78"/>
      <c r="J110" s="78">
        <v>426</v>
      </c>
      <c r="K110" s="159">
        <f>K109+I110-J110</f>
        <v>388703.05000000016</v>
      </c>
    </row>
    <row r="111" spans="1:11" ht="15">
      <c r="A111" s="54" t="str">
        <f t="shared" si="1"/>
        <v/>
      </c>
      <c r="B111" t="s">
        <v>3498</v>
      </c>
      <c r="C111" s="1">
        <v>45727</v>
      </c>
      <c r="F111" s="146"/>
      <c r="G111" s="146"/>
      <c r="H111" t="s">
        <v>3472</v>
      </c>
      <c r="I111" s="144">
        <v>60000</v>
      </c>
      <c r="J111" s="78"/>
      <c r="K111" s="159">
        <f>K110+I111-J111</f>
        <v>448703.05000000016</v>
      </c>
    </row>
    <row r="112" spans="1:11" ht="15">
      <c r="A112" s="54" t="str">
        <f t="shared" si="1"/>
        <v/>
      </c>
      <c r="B112" t="s">
        <v>3498</v>
      </c>
      <c r="C112" s="1">
        <v>45728</v>
      </c>
      <c r="F112" s="146"/>
      <c r="G112" s="146"/>
      <c r="H112" t="s">
        <v>3472</v>
      </c>
      <c r="I112" s="144">
        <v>100000</v>
      </c>
      <c r="J112" s="78"/>
      <c r="K112" s="159">
        <f>K111+I112-J112</f>
        <v>548703.05000000016</v>
      </c>
    </row>
    <row r="113" spans="1:11" ht="15">
      <c r="A113" s="54" t="str">
        <f t="shared" si="1"/>
        <v/>
      </c>
      <c r="B113" t="s">
        <v>3498</v>
      </c>
      <c r="C113" s="1">
        <v>45729</v>
      </c>
      <c r="F113" s="146"/>
      <c r="G113" s="146"/>
      <c r="H113" t="s">
        <v>3472</v>
      </c>
      <c r="I113" s="144">
        <v>100000</v>
      </c>
      <c r="J113" s="78"/>
      <c r="K113" s="159">
        <f>K112+I113-J113</f>
        <v>648703.05000000016</v>
      </c>
    </row>
    <row r="114" spans="1:11" ht="15">
      <c r="A114" s="54" t="str">
        <f t="shared" si="1"/>
        <v/>
      </c>
      <c r="B114" t="s">
        <v>3498</v>
      </c>
      <c r="C114" s="1">
        <v>45729</v>
      </c>
      <c r="F114" s="146"/>
      <c r="G114" s="146"/>
      <c r="H114" t="s">
        <v>3466</v>
      </c>
      <c r="I114" s="78">
        <v>13913.97</v>
      </c>
      <c r="J114" s="78"/>
      <c r="K114" s="159">
        <f>K113+I114-J114</f>
        <v>662617.02000000014</v>
      </c>
    </row>
    <row r="115" spans="1:11" ht="15">
      <c r="A115" s="54" t="str">
        <f t="shared" si="1"/>
        <v/>
      </c>
      <c r="B115" t="s">
        <v>3498</v>
      </c>
      <c r="C115" s="1">
        <v>45729</v>
      </c>
      <c r="F115" s="146"/>
      <c r="G115" s="146"/>
      <c r="H115" t="s">
        <v>3467</v>
      </c>
      <c r="I115" s="78">
        <v>8001.14</v>
      </c>
      <c r="J115" s="78"/>
      <c r="K115" s="159">
        <f>K114+I115-J115</f>
        <v>670618.16000000015</v>
      </c>
    </row>
    <row r="116" spans="1:11" ht="15">
      <c r="A116" s="54" t="str">
        <f t="shared" si="1"/>
        <v/>
      </c>
      <c r="B116" t="s">
        <v>3498</v>
      </c>
      <c r="C116" s="1">
        <v>45729</v>
      </c>
      <c r="F116" s="146"/>
      <c r="G116" s="146"/>
      <c r="H116" t="s">
        <v>3468</v>
      </c>
      <c r="I116" s="78">
        <v>4963</v>
      </c>
      <c r="J116" s="78"/>
      <c r="K116" s="159">
        <f>K115+I116-J116</f>
        <v>675581.16000000015</v>
      </c>
    </row>
    <row r="117" spans="1:11" ht="15">
      <c r="A117" s="54" t="str">
        <f t="shared" si="1"/>
        <v/>
      </c>
      <c r="B117" t="s">
        <v>3498</v>
      </c>
      <c r="C117" s="1">
        <v>45729</v>
      </c>
      <c r="F117" s="146"/>
      <c r="G117" s="146"/>
      <c r="H117" t="s">
        <v>3526</v>
      </c>
      <c r="I117" s="78"/>
      <c r="J117" s="78">
        <v>171500.6</v>
      </c>
      <c r="K117" s="159">
        <f>K116+I117-J117</f>
        <v>504080.56000000017</v>
      </c>
    </row>
    <row r="118" spans="1:11" ht="15">
      <c r="A118" s="54" t="str">
        <f t="shared" si="1"/>
        <v/>
      </c>
      <c r="B118" t="s">
        <v>3498</v>
      </c>
      <c r="C118" s="1">
        <v>45729</v>
      </c>
      <c r="F118" s="146"/>
      <c r="G118" s="146"/>
      <c r="H118" t="s">
        <v>3527</v>
      </c>
      <c r="I118" s="78"/>
      <c r="J118" s="78">
        <f>511907.4-9749.8</f>
        <v>502157.60000000003</v>
      </c>
      <c r="K118" s="159">
        <f>K117+I118-J118</f>
        <v>1922.9600000001374</v>
      </c>
    </row>
    <row r="119" spans="1:11" ht="15">
      <c r="A119" s="54" t="str">
        <f t="shared" si="1"/>
        <v/>
      </c>
      <c r="B119" t="s">
        <v>3498</v>
      </c>
      <c r="C119" s="1">
        <v>45729</v>
      </c>
      <c r="F119" s="146"/>
      <c r="G119" s="146"/>
      <c r="H119" t="s">
        <v>3507</v>
      </c>
      <c r="I119" s="78"/>
      <c r="J119" s="78">
        <v>35400</v>
      </c>
      <c r="K119" s="159">
        <f>K118+I119-J119</f>
        <v>-33477.039999999863</v>
      </c>
    </row>
    <row r="120" spans="1:11" ht="15">
      <c r="A120" s="54" t="str">
        <f t="shared" si="1"/>
        <v>FINANZASOTROS GASTOSPRESTAMO</v>
      </c>
      <c r="B120" t="s">
        <v>3498</v>
      </c>
      <c r="C120" s="1">
        <v>45730</v>
      </c>
      <c r="D120" t="s">
        <v>23</v>
      </c>
      <c r="E120" t="s">
        <v>156</v>
      </c>
      <c r="F120" s="146" t="s">
        <v>157</v>
      </c>
      <c r="G120" s="146" t="s">
        <v>258</v>
      </c>
      <c r="H120" t="s">
        <v>3528</v>
      </c>
      <c r="I120" s="78"/>
      <c r="J120" s="78">
        <v>5000</v>
      </c>
      <c r="K120" s="159">
        <f>K119+I120-J120</f>
        <v>-38477.039999999863</v>
      </c>
    </row>
    <row r="121" spans="1:11" ht="15">
      <c r="A121" s="54" t="str">
        <f t="shared" si="1"/>
        <v/>
      </c>
      <c r="B121" t="s">
        <v>3498</v>
      </c>
      <c r="C121" s="1">
        <v>45730</v>
      </c>
      <c r="F121" s="146"/>
      <c r="G121" s="146"/>
      <c r="H121" t="s">
        <v>3529</v>
      </c>
      <c r="I121" s="78"/>
      <c r="J121" s="78">
        <v>9749.7999999999993</v>
      </c>
      <c r="K121" s="159">
        <f>K120+I121-J121</f>
        <v>-48226.839999999866</v>
      </c>
    </row>
    <row r="122" spans="1:11" ht="15">
      <c r="A122" s="54" t="str">
        <f t="shared" si="1"/>
        <v/>
      </c>
      <c r="B122" t="s">
        <v>3498</v>
      </c>
      <c r="C122" s="1">
        <v>45731</v>
      </c>
      <c r="F122" s="146"/>
      <c r="G122" s="146"/>
      <c r="H122" t="s">
        <v>3472</v>
      </c>
      <c r="I122" s="78">
        <v>50000</v>
      </c>
      <c r="J122" s="78"/>
      <c r="K122" s="159">
        <f>K121+I122-J122</f>
        <v>1773.1600000001345</v>
      </c>
    </row>
    <row r="123" spans="1:11" ht="15">
      <c r="A123" s="54" t="str">
        <f t="shared" si="1"/>
        <v/>
      </c>
      <c r="B123" t="s">
        <v>3498</v>
      </c>
      <c r="C123" s="1">
        <v>45734</v>
      </c>
      <c r="F123" s="146"/>
      <c r="G123" s="146"/>
      <c r="H123" t="s">
        <v>3472</v>
      </c>
      <c r="I123" s="78">
        <v>200000</v>
      </c>
      <c r="J123" s="78"/>
      <c r="K123" s="159">
        <f>K122+I123-J123</f>
        <v>201773.16000000015</v>
      </c>
    </row>
    <row r="124" spans="1:11" ht="15">
      <c r="A124" s="54" t="str">
        <f t="shared" si="1"/>
        <v>FINANZASOTROS GASTOSPRESTAMO</v>
      </c>
      <c r="B124" t="s">
        <v>3498</v>
      </c>
      <c r="C124" s="1">
        <v>45734</v>
      </c>
      <c r="D124" t="s">
        <v>23</v>
      </c>
      <c r="E124" t="s">
        <v>156</v>
      </c>
      <c r="F124" s="146" t="s">
        <v>157</v>
      </c>
      <c r="G124" s="146" t="s">
        <v>258</v>
      </c>
      <c r="H124" t="s">
        <v>3530</v>
      </c>
      <c r="I124" s="78"/>
      <c r="J124" s="78">
        <v>1355</v>
      </c>
      <c r="K124" s="159">
        <f>K123+I124-J124</f>
        <v>200418.16000000015</v>
      </c>
    </row>
    <row r="125" spans="1:11" ht="15">
      <c r="A125" s="54" t="str">
        <f>D125&amp;E125&amp;F125</f>
        <v>HRVACACIONES/FINIQUITOSHR</v>
      </c>
      <c r="B125" t="s">
        <v>3498</v>
      </c>
      <c r="C125" s="1">
        <v>45734</v>
      </c>
      <c r="D125" t="s">
        <v>29</v>
      </c>
      <c r="E125" s="12" t="s">
        <v>190</v>
      </c>
      <c r="F125" s="12" t="s">
        <v>29</v>
      </c>
      <c r="G125" s="146" t="s">
        <v>258</v>
      </c>
      <c r="H125" t="s">
        <v>3506</v>
      </c>
      <c r="I125" s="78"/>
      <c r="J125" s="78">
        <v>8000</v>
      </c>
      <c r="K125" s="159">
        <f>K124+I125-J125</f>
        <v>192418.16000000015</v>
      </c>
    </row>
    <row r="126" spans="1:11" ht="15">
      <c r="A126" s="54" t="str">
        <f>D126&amp;E126&amp;F126</f>
        <v>HRVACACIONES/FINIQUITOSHR</v>
      </c>
      <c r="B126" t="s">
        <v>3498</v>
      </c>
      <c r="C126" s="1">
        <v>45734</v>
      </c>
      <c r="D126" t="s">
        <v>29</v>
      </c>
      <c r="E126" s="12" t="s">
        <v>190</v>
      </c>
      <c r="F126" s="12" t="s">
        <v>29</v>
      </c>
      <c r="G126" s="146"/>
      <c r="H126" t="s">
        <v>3531</v>
      </c>
      <c r="I126" s="78"/>
      <c r="J126" s="78">
        <v>888</v>
      </c>
      <c r="K126" s="159">
        <f>K125+I126-J126</f>
        <v>191530.16000000015</v>
      </c>
    </row>
    <row r="127" spans="1:11" ht="15">
      <c r="A127" s="54" t="str">
        <f t="shared" si="1"/>
        <v>CAPVACACIONES/FINIQUITOSCAPRICHOS</v>
      </c>
      <c r="B127" t="s">
        <v>3498</v>
      </c>
      <c r="C127" s="1">
        <v>45734</v>
      </c>
      <c r="D127" t="s">
        <v>31</v>
      </c>
      <c r="E127" t="s">
        <v>190</v>
      </c>
      <c r="F127" s="146" t="s">
        <v>33</v>
      </c>
      <c r="G127" s="146"/>
      <c r="H127" t="s">
        <v>3532</v>
      </c>
      <c r="I127" s="78"/>
      <c r="J127" s="78">
        <v>2038</v>
      </c>
      <c r="K127" s="159">
        <f>K126+I127-J127</f>
        <v>189492.16000000015</v>
      </c>
    </row>
    <row r="128" spans="1:11" ht="15">
      <c r="A128" s="54" t="str">
        <f t="shared" si="1"/>
        <v>ELIVACACIONES/FINIQUITOSL1</v>
      </c>
      <c r="B128" t="s">
        <v>3498</v>
      </c>
      <c r="C128" s="1">
        <v>45734</v>
      </c>
      <c r="D128" t="s">
        <v>130</v>
      </c>
      <c r="E128" t="s">
        <v>190</v>
      </c>
      <c r="F128" s="146" t="s">
        <v>136</v>
      </c>
      <c r="G128" s="146"/>
      <c r="H128" t="s">
        <v>3533</v>
      </c>
      <c r="I128" s="78"/>
      <c r="J128" s="78">
        <v>1401</v>
      </c>
      <c r="K128" s="159">
        <f t="shared" ref="K128:K164" si="2">K127+I128-J128</f>
        <v>188091.16000000015</v>
      </c>
    </row>
    <row r="129" spans="1:11" ht="15">
      <c r="A129" s="54" t="str">
        <f t="shared" si="1"/>
        <v>CAPVACACIONES/FINIQUITOSCAPRICHOS</v>
      </c>
      <c r="B129" t="s">
        <v>3498</v>
      </c>
      <c r="C129" s="1">
        <v>45734</v>
      </c>
      <c r="D129" t="s">
        <v>31</v>
      </c>
      <c r="E129" t="s">
        <v>190</v>
      </c>
      <c r="F129" s="146" t="s">
        <v>33</v>
      </c>
      <c r="G129" s="146"/>
      <c r="H129" t="s">
        <v>3534</v>
      </c>
      <c r="I129" s="78"/>
      <c r="J129" s="78">
        <v>826</v>
      </c>
      <c r="K129" s="159">
        <f t="shared" si="2"/>
        <v>187265.16000000015</v>
      </c>
    </row>
    <row r="130" spans="1:11" ht="15">
      <c r="A130" s="54" t="str">
        <f>D130&amp;E130&amp;F130</f>
        <v>HRVACACIONES/FINIQUITOSHR</v>
      </c>
      <c r="B130" t="s">
        <v>3498</v>
      </c>
      <c r="C130" s="1">
        <v>45734</v>
      </c>
      <c r="D130" t="s">
        <v>29</v>
      </c>
      <c r="E130" s="12" t="s">
        <v>190</v>
      </c>
      <c r="F130" s="12" t="s">
        <v>29</v>
      </c>
      <c r="G130" s="146"/>
      <c r="H130" t="s">
        <v>3535</v>
      </c>
      <c r="I130" s="78"/>
      <c r="J130" s="78">
        <v>2625</v>
      </c>
      <c r="K130" s="159">
        <f t="shared" si="2"/>
        <v>184640.16000000015</v>
      </c>
    </row>
    <row r="131" spans="1:11" ht="15">
      <c r="A131" s="54" t="str">
        <f t="shared" si="1"/>
        <v/>
      </c>
      <c r="B131" t="s">
        <v>3498</v>
      </c>
      <c r="C131" s="1">
        <v>45735</v>
      </c>
      <c r="F131" s="146"/>
      <c r="G131" s="146"/>
      <c r="H131" t="s">
        <v>3472</v>
      </c>
      <c r="I131" s="78">
        <v>100000</v>
      </c>
      <c r="J131" s="78"/>
      <c r="K131" s="159">
        <f t="shared" si="2"/>
        <v>284640.16000000015</v>
      </c>
    </row>
    <row r="132" spans="1:11" ht="15">
      <c r="A132" s="54" t="str">
        <f t="shared" si="1"/>
        <v/>
      </c>
      <c r="B132" t="s">
        <v>3498</v>
      </c>
      <c r="C132" s="1">
        <v>45735</v>
      </c>
      <c r="F132" s="146"/>
      <c r="G132" s="146"/>
      <c r="H132" t="s">
        <v>3472</v>
      </c>
      <c r="I132" s="78">
        <v>150000</v>
      </c>
      <c r="J132" s="78"/>
      <c r="K132" s="159">
        <f t="shared" si="2"/>
        <v>434640.16000000015</v>
      </c>
    </row>
    <row r="133" spans="1:11" ht="15">
      <c r="A133" s="54" t="str">
        <f t="shared" ref="A133:A196" si="3">D133&amp;E133&amp;F133</f>
        <v/>
      </c>
      <c r="B133" t="s">
        <v>3498</v>
      </c>
      <c r="C133" s="1">
        <v>45735</v>
      </c>
      <c r="F133" s="146"/>
      <c r="G133" s="146"/>
      <c r="H133" t="s">
        <v>3466</v>
      </c>
      <c r="I133" s="78">
        <v>13913.97</v>
      </c>
      <c r="J133" s="78"/>
      <c r="K133" s="159">
        <f t="shared" si="2"/>
        <v>448554.13000000012</v>
      </c>
    </row>
    <row r="134" spans="1:11" ht="15">
      <c r="A134" s="54" t="str">
        <f t="shared" si="3"/>
        <v/>
      </c>
      <c r="B134" t="s">
        <v>3498</v>
      </c>
      <c r="C134" s="1">
        <v>45735</v>
      </c>
      <c r="F134" s="146"/>
      <c r="G134" s="146"/>
      <c r="H134" t="s">
        <v>3467</v>
      </c>
      <c r="I134" s="78">
        <v>8096</v>
      </c>
      <c r="J134" s="78"/>
      <c r="K134" s="159">
        <f t="shared" si="2"/>
        <v>456650.13000000012</v>
      </c>
    </row>
    <row r="135" spans="1:11" ht="15">
      <c r="A135" s="54" t="str">
        <f t="shared" si="3"/>
        <v/>
      </c>
      <c r="B135" t="s">
        <v>3498</v>
      </c>
      <c r="C135" s="1">
        <v>45735</v>
      </c>
      <c r="F135" s="146"/>
      <c r="G135" s="146"/>
      <c r="H135" t="s">
        <v>3468</v>
      </c>
      <c r="I135" s="78">
        <v>7874.94</v>
      </c>
      <c r="J135" s="78"/>
      <c r="K135" s="159">
        <f t="shared" si="2"/>
        <v>464525.07000000012</v>
      </c>
    </row>
    <row r="136" spans="1:11" ht="15">
      <c r="A136" s="54" t="str">
        <f t="shared" si="3"/>
        <v/>
      </c>
      <c r="B136" t="s">
        <v>3498</v>
      </c>
      <c r="C136" s="1">
        <v>45736</v>
      </c>
      <c r="F136" s="146"/>
      <c r="G136" s="146"/>
      <c r="H136" t="s">
        <v>3536</v>
      </c>
      <c r="I136" s="78"/>
      <c r="J136" s="78">
        <v>270459.40000000002</v>
      </c>
      <c r="K136" s="159">
        <f t="shared" si="2"/>
        <v>194065.6700000001</v>
      </c>
    </row>
    <row r="137" spans="1:11" ht="15">
      <c r="A137" s="54" t="str">
        <f t="shared" si="3"/>
        <v/>
      </c>
      <c r="B137" t="s">
        <v>3498</v>
      </c>
      <c r="C137" s="1">
        <v>45737</v>
      </c>
      <c r="F137" s="146"/>
      <c r="G137" s="146"/>
      <c r="H137" t="s">
        <v>3472</v>
      </c>
      <c r="I137" s="78">
        <v>397090</v>
      </c>
      <c r="J137" s="78"/>
      <c r="K137" s="159">
        <f t="shared" si="2"/>
        <v>591155.67000000016</v>
      </c>
    </row>
    <row r="138" spans="1:11" ht="15">
      <c r="A138" s="54" t="str">
        <f t="shared" si="3"/>
        <v/>
      </c>
      <c r="B138" t="s">
        <v>3498</v>
      </c>
      <c r="C138" s="1">
        <v>45737</v>
      </c>
      <c r="F138" s="146"/>
      <c r="G138" s="146"/>
      <c r="H138" t="s">
        <v>3527</v>
      </c>
      <c r="I138" s="78"/>
      <c r="J138" s="78">
        <v>545445.6</v>
      </c>
      <c r="K138" s="159">
        <f t="shared" si="2"/>
        <v>45710.070000000182</v>
      </c>
    </row>
    <row r="139" spans="1:11" ht="15">
      <c r="A139" s="54" t="str">
        <f t="shared" si="3"/>
        <v/>
      </c>
      <c r="B139" t="s">
        <v>3498</v>
      </c>
      <c r="C139" s="1">
        <v>45737</v>
      </c>
      <c r="F139" s="146"/>
      <c r="G139" s="146"/>
      <c r="H139" t="s">
        <v>3537</v>
      </c>
      <c r="I139" s="78"/>
      <c r="J139" s="78">
        <v>35400</v>
      </c>
      <c r="K139" s="159">
        <f t="shared" si="2"/>
        <v>10310.070000000182</v>
      </c>
    </row>
    <row r="140" spans="1:11" ht="15">
      <c r="A140" s="54" t="str">
        <f t="shared" si="3"/>
        <v/>
      </c>
      <c r="B140" t="s">
        <v>3498</v>
      </c>
      <c r="C140" s="1">
        <v>45737</v>
      </c>
      <c r="F140" s="146"/>
      <c r="G140" s="146"/>
      <c r="H140" t="s">
        <v>3538</v>
      </c>
      <c r="I140" s="78"/>
      <c r="J140" s="78">
        <v>1596</v>
      </c>
      <c r="K140" s="159">
        <f t="shared" si="2"/>
        <v>8714.0700000001816</v>
      </c>
    </row>
    <row r="141" spans="1:11" ht="15">
      <c r="A141" s="54" t="str">
        <f t="shared" si="3"/>
        <v>SERVICIOSNOMINA ADMONCADENA DE SUMINISTROS</v>
      </c>
      <c r="B141" t="s">
        <v>3498</v>
      </c>
      <c r="C141" s="1">
        <v>45737</v>
      </c>
      <c r="D141" t="s">
        <v>21</v>
      </c>
      <c r="E141" t="s">
        <v>147</v>
      </c>
      <c r="F141" s="146" t="s">
        <v>134</v>
      </c>
      <c r="G141" s="146"/>
      <c r="H141" t="s">
        <v>3539</v>
      </c>
      <c r="I141" s="78"/>
      <c r="J141" s="78">
        <v>2374</v>
      </c>
      <c r="K141" s="159">
        <f t="shared" si="2"/>
        <v>6340.0700000001816</v>
      </c>
    </row>
    <row r="142" spans="1:11" ht="15">
      <c r="A142" s="54" t="str">
        <f t="shared" si="3"/>
        <v>SERVICIOSNOMINA SUCURSALCEDIS</v>
      </c>
      <c r="B142" t="s">
        <v>3498</v>
      </c>
      <c r="C142" s="1">
        <v>45737</v>
      </c>
      <c r="D142" t="s">
        <v>21</v>
      </c>
      <c r="E142" t="s">
        <v>154</v>
      </c>
      <c r="F142" s="146" t="s">
        <v>28</v>
      </c>
      <c r="G142" s="146"/>
      <c r="H142" t="s">
        <v>3540</v>
      </c>
      <c r="I142" s="78"/>
      <c r="J142" s="78">
        <v>171</v>
      </c>
      <c r="K142" s="159">
        <f t="shared" si="2"/>
        <v>6169.0700000001816</v>
      </c>
    </row>
    <row r="143" spans="1:11" ht="15">
      <c r="A143" s="54" t="str">
        <f t="shared" si="3"/>
        <v>FINANZASVACACIONES/FINIQUITOSFINANZAS</v>
      </c>
      <c r="B143" t="s">
        <v>3498</v>
      </c>
      <c r="C143" s="1">
        <v>45737</v>
      </c>
      <c r="D143" t="s">
        <v>23</v>
      </c>
      <c r="E143" t="s">
        <v>190</v>
      </c>
      <c r="F143" s="146" t="s">
        <v>23</v>
      </c>
      <c r="G143" s="146"/>
      <c r="H143" t="s">
        <v>3541</v>
      </c>
      <c r="I143" s="78"/>
      <c r="J143" s="78">
        <v>5087.1400000000003</v>
      </c>
      <c r="K143" s="159">
        <f t="shared" si="2"/>
        <v>1081.9300000001813</v>
      </c>
    </row>
    <row r="144" spans="1:11" ht="15">
      <c r="A144" s="54" t="str">
        <f t="shared" si="3"/>
        <v>SERVICIOSNOMINA SUCURSALCEDIS</v>
      </c>
      <c r="B144" t="s">
        <v>3498</v>
      </c>
      <c r="C144" s="1">
        <v>45738</v>
      </c>
      <c r="D144" t="s">
        <v>21</v>
      </c>
      <c r="E144" t="s">
        <v>154</v>
      </c>
      <c r="F144" s="146" t="s">
        <v>28</v>
      </c>
      <c r="G144" s="146"/>
      <c r="H144" t="s">
        <v>3542</v>
      </c>
      <c r="I144" s="78"/>
      <c r="J144" s="78">
        <v>480</v>
      </c>
      <c r="K144" s="159">
        <f t="shared" si="2"/>
        <v>601.93000000018128</v>
      </c>
    </row>
    <row r="145" spans="1:11" ht="15">
      <c r="A145" s="54" t="str">
        <f t="shared" si="3"/>
        <v/>
      </c>
      <c r="B145" t="s">
        <v>3498</v>
      </c>
      <c r="C145" s="1">
        <v>45740</v>
      </c>
      <c r="F145" s="146"/>
      <c r="G145" s="146"/>
      <c r="H145" t="s">
        <v>3472</v>
      </c>
      <c r="I145" s="78">
        <v>400000</v>
      </c>
      <c r="J145" s="78"/>
      <c r="K145" s="159">
        <f t="shared" si="2"/>
        <v>400601.93000000017</v>
      </c>
    </row>
    <row r="146" spans="1:11" ht="15">
      <c r="A146" s="54" t="str">
        <f t="shared" si="3"/>
        <v/>
      </c>
      <c r="B146" t="s">
        <v>3498</v>
      </c>
      <c r="C146" s="1">
        <v>45741</v>
      </c>
      <c r="F146" s="146"/>
      <c r="G146" s="146"/>
      <c r="H146" t="s">
        <v>3472</v>
      </c>
      <c r="I146" s="78">
        <v>100000</v>
      </c>
      <c r="J146" s="78"/>
      <c r="K146" s="159">
        <f t="shared" si="2"/>
        <v>500601.93000000017</v>
      </c>
    </row>
    <row r="147" spans="1:11" ht="15">
      <c r="A147" s="54" t="str">
        <f t="shared" si="3"/>
        <v>DENOMINA ADMONDIRECCION</v>
      </c>
      <c r="B147" t="s">
        <v>3498</v>
      </c>
      <c r="C147" s="1">
        <v>45741</v>
      </c>
      <c r="D147" t="s">
        <v>41</v>
      </c>
      <c r="E147" t="s">
        <v>147</v>
      </c>
      <c r="F147" s="146" t="s">
        <v>42</v>
      </c>
      <c r="G147" s="146"/>
      <c r="H147" t="s">
        <v>3465</v>
      </c>
      <c r="I147" s="78"/>
      <c r="J147" s="78">
        <v>15000</v>
      </c>
      <c r="K147" s="159">
        <f t="shared" si="2"/>
        <v>485601.93000000017</v>
      </c>
    </row>
    <row r="148" spans="1:11" ht="15">
      <c r="A148" s="54" t="str">
        <f t="shared" si="3"/>
        <v>CAPVACACIONES/FINIQUITOSCAPRICHOS</v>
      </c>
      <c r="B148" t="s">
        <v>3498</v>
      </c>
      <c r="C148" s="1">
        <v>45741</v>
      </c>
      <c r="D148" t="s">
        <v>31</v>
      </c>
      <c r="E148" t="s">
        <v>190</v>
      </c>
      <c r="F148" s="146" t="s">
        <v>33</v>
      </c>
      <c r="G148" s="146"/>
      <c r="H148" t="s">
        <v>3543</v>
      </c>
      <c r="I148" s="78"/>
      <c r="J148" s="78">
        <v>2776</v>
      </c>
      <c r="K148" s="159">
        <f t="shared" si="2"/>
        <v>482825.93000000017</v>
      </c>
    </row>
    <row r="149" spans="1:11" ht="15">
      <c r="A149" s="54" t="str">
        <f>D149&amp;E149&amp;F149</f>
        <v>HRVACACIONES/FINIQUITOSHR</v>
      </c>
      <c r="B149" t="s">
        <v>3498</v>
      </c>
      <c r="C149" s="1">
        <v>45741</v>
      </c>
      <c r="D149" t="s">
        <v>29</v>
      </c>
      <c r="E149" s="12" t="s">
        <v>190</v>
      </c>
      <c r="F149" s="12" t="s">
        <v>29</v>
      </c>
      <c r="G149" s="146"/>
      <c r="H149" t="s">
        <v>3544</v>
      </c>
      <c r="I149" s="78"/>
      <c r="J149" s="78">
        <v>726</v>
      </c>
      <c r="K149" s="159">
        <f t="shared" si="2"/>
        <v>482099.93000000017</v>
      </c>
    </row>
    <row r="150" spans="1:11" ht="15">
      <c r="A150" s="54" t="str">
        <f>D150&amp;E150&amp;F150</f>
        <v>HRVACACIONES/FINIQUITOSHR</v>
      </c>
      <c r="B150" t="s">
        <v>3498</v>
      </c>
      <c r="C150" s="1">
        <v>45741</v>
      </c>
      <c r="D150" t="s">
        <v>29</v>
      </c>
      <c r="E150" s="12" t="s">
        <v>190</v>
      </c>
      <c r="F150" s="12" t="s">
        <v>29</v>
      </c>
      <c r="G150" s="146"/>
      <c r="H150" t="s">
        <v>3545</v>
      </c>
      <c r="I150" s="78"/>
      <c r="J150" s="78">
        <v>1063</v>
      </c>
      <c r="K150" s="159">
        <f t="shared" si="2"/>
        <v>481036.93000000017</v>
      </c>
    </row>
    <row r="151" spans="1:11" ht="15">
      <c r="A151" s="54" t="str">
        <f t="shared" si="3"/>
        <v/>
      </c>
      <c r="B151" t="s">
        <v>3498</v>
      </c>
      <c r="C151" s="1">
        <v>45742</v>
      </c>
      <c r="F151" s="146"/>
      <c r="G151" s="146"/>
      <c r="H151" t="s">
        <v>3472</v>
      </c>
      <c r="I151" s="78">
        <v>100000</v>
      </c>
      <c r="J151" s="78"/>
      <c r="K151" s="159">
        <f t="shared" si="2"/>
        <v>581036.93000000017</v>
      </c>
    </row>
    <row r="152" spans="1:11" ht="15">
      <c r="A152" s="54" t="str">
        <f t="shared" si="3"/>
        <v/>
      </c>
      <c r="B152" t="s">
        <v>3498</v>
      </c>
      <c r="C152" s="1">
        <v>45743</v>
      </c>
      <c r="F152" s="146"/>
      <c r="G152" s="146"/>
      <c r="H152" t="s">
        <v>3472</v>
      </c>
      <c r="I152" s="78">
        <v>100000</v>
      </c>
      <c r="J152" s="78"/>
      <c r="K152" s="159">
        <f t="shared" si="2"/>
        <v>681036.93000000017</v>
      </c>
    </row>
    <row r="153" spans="1:11" ht="15">
      <c r="A153" s="54" t="str">
        <f t="shared" si="3"/>
        <v/>
      </c>
      <c r="B153" t="s">
        <v>3498</v>
      </c>
      <c r="C153" s="1">
        <v>45743</v>
      </c>
      <c r="F153" s="146"/>
      <c r="G153" s="146"/>
      <c r="H153" t="s">
        <v>3466</v>
      </c>
      <c r="I153" s="78">
        <v>13618.2</v>
      </c>
      <c r="J153" s="78"/>
      <c r="K153" s="159">
        <f t="shared" si="2"/>
        <v>694655.13000000012</v>
      </c>
    </row>
    <row r="154" spans="1:11" ht="15">
      <c r="A154" s="54" t="str">
        <f t="shared" si="3"/>
        <v/>
      </c>
      <c r="B154" t="s">
        <v>3498</v>
      </c>
      <c r="C154" s="1">
        <v>45743</v>
      </c>
      <c r="F154" s="146"/>
      <c r="G154" s="146"/>
      <c r="H154" t="s">
        <v>3467</v>
      </c>
      <c r="I154" s="78">
        <v>7906.74</v>
      </c>
      <c r="J154" s="78"/>
      <c r="K154" s="159">
        <f t="shared" si="2"/>
        <v>702561.87000000011</v>
      </c>
    </row>
    <row r="155" spans="1:11" ht="15">
      <c r="A155" s="54" t="str">
        <f t="shared" si="3"/>
        <v/>
      </c>
      <c r="B155" t="s">
        <v>3498</v>
      </c>
      <c r="C155" s="1">
        <v>45743</v>
      </c>
      <c r="F155" s="146"/>
      <c r="G155" s="146"/>
      <c r="H155" t="s">
        <v>3468</v>
      </c>
      <c r="I155" s="78">
        <v>3734.4</v>
      </c>
      <c r="J155" s="78"/>
      <c r="K155" s="159">
        <f t="shared" si="2"/>
        <v>706296.27000000014</v>
      </c>
    </row>
    <row r="156" spans="1:11" ht="15">
      <c r="A156" s="54" t="str">
        <f t="shared" si="3"/>
        <v/>
      </c>
      <c r="B156" t="s">
        <v>3498</v>
      </c>
      <c r="C156" s="1">
        <v>45743</v>
      </c>
      <c r="F156" s="146"/>
      <c r="G156" s="146"/>
      <c r="H156" s="71" t="s">
        <v>3546</v>
      </c>
      <c r="I156" s="78"/>
      <c r="J156" s="78">
        <v>172471.6</v>
      </c>
      <c r="K156" s="159">
        <f t="shared" si="2"/>
        <v>533824.67000000016</v>
      </c>
    </row>
    <row r="157" spans="1:11" ht="15">
      <c r="A157" s="54" t="str">
        <f t="shared" si="3"/>
        <v/>
      </c>
      <c r="B157" t="s">
        <v>3498</v>
      </c>
      <c r="C157" s="1">
        <v>45743</v>
      </c>
      <c r="F157" s="146"/>
      <c r="G157" s="146"/>
      <c r="H157" s="71" t="s">
        <v>3547</v>
      </c>
      <c r="I157" s="78"/>
      <c r="J157" s="78">
        <v>538673.57999999996</v>
      </c>
      <c r="K157" s="159">
        <f t="shared" si="2"/>
        <v>-4848.9099999997998</v>
      </c>
    </row>
    <row r="158" spans="1:11" ht="15">
      <c r="A158" s="54" t="str">
        <f t="shared" si="3"/>
        <v/>
      </c>
      <c r="B158" t="s">
        <v>3498</v>
      </c>
      <c r="C158" s="1">
        <v>45743</v>
      </c>
      <c r="F158" s="146"/>
      <c r="G158" s="146"/>
      <c r="H158" t="s">
        <v>3548</v>
      </c>
      <c r="I158" s="78"/>
      <c r="J158" s="78">
        <v>35400</v>
      </c>
      <c r="K158" s="159">
        <f t="shared" si="2"/>
        <v>-40248.9099999998</v>
      </c>
    </row>
    <row r="159" spans="1:11" ht="15">
      <c r="A159" s="54" t="str">
        <f t="shared" si="3"/>
        <v/>
      </c>
      <c r="B159" t="s">
        <v>3498</v>
      </c>
      <c r="C159" s="1">
        <v>45744</v>
      </c>
      <c r="F159" s="146"/>
      <c r="G159" s="146"/>
      <c r="H159" t="s">
        <v>3472</v>
      </c>
      <c r="I159" s="78">
        <v>50000</v>
      </c>
      <c r="J159" s="78"/>
      <c r="K159" s="159">
        <f t="shared" si="2"/>
        <v>9751.0900000002002</v>
      </c>
    </row>
    <row r="160" spans="1:11" ht="15">
      <c r="A160" s="54" t="str">
        <f t="shared" si="3"/>
        <v>CAPVACACIONES/FINIQUITOSCAPRICHOS</v>
      </c>
      <c r="B160" t="s">
        <v>3498</v>
      </c>
      <c r="C160" s="1">
        <v>45744</v>
      </c>
      <c r="D160" t="s">
        <v>31</v>
      </c>
      <c r="E160" t="s">
        <v>190</v>
      </c>
      <c r="F160" s="146" t="s">
        <v>33</v>
      </c>
      <c r="G160" s="146"/>
      <c r="H160" t="s">
        <v>3549</v>
      </c>
      <c r="I160" s="78"/>
      <c r="J160" s="78">
        <v>1576</v>
      </c>
      <c r="K160" s="159">
        <f t="shared" si="2"/>
        <v>8175.0900000002002</v>
      </c>
    </row>
    <row r="161" spans="1:11" ht="15">
      <c r="A161" s="54" t="str">
        <f t="shared" si="3"/>
        <v>CAPVACACIONES/FINIQUITOSCAPRICHOS</v>
      </c>
      <c r="B161" t="s">
        <v>3498</v>
      </c>
      <c r="C161" s="1">
        <v>45744</v>
      </c>
      <c r="D161" t="s">
        <v>31</v>
      </c>
      <c r="E161" t="s">
        <v>190</v>
      </c>
      <c r="F161" s="146" t="s">
        <v>33</v>
      </c>
      <c r="G161" s="146"/>
      <c r="H161" t="s">
        <v>3550</v>
      </c>
      <c r="I161" s="78"/>
      <c r="J161" s="78">
        <v>3262</v>
      </c>
      <c r="K161" s="159">
        <f t="shared" si="2"/>
        <v>4913.0900000002002</v>
      </c>
    </row>
    <row r="162" spans="1:11" ht="15">
      <c r="A162" s="54" t="str">
        <f t="shared" si="3"/>
        <v>CAPVACACIONES/FINIQUITOSCAPRICHOS</v>
      </c>
      <c r="B162" t="s">
        <v>3498</v>
      </c>
      <c r="C162" s="1">
        <v>45744</v>
      </c>
      <c r="D162" t="s">
        <v>31</v>
      </c>
      <c r="E162" t="s">
        <v>190</v>
      </c>
      <c r="F162" s="146" t="s">
        <v>33</v>
      </c>
      <c r="G162" s="146"/>
      <c r="H162" t="s">
        <v>3551</v>
      </c>
      <c r="I162" s="78"/>
      <c r="J162" s="78">
        <v>1251</v>
      </c>
      <c r="K162" s="159">
        <f t="shared" si="2"/>
        <v>3662.0900000002002</v>
      </c>
    </row>
    <row r="163" spans="1:11" ht="15">
      <c r="A163" s="54" t="str">
        <f t="shared" si="3"/>
        <v>SERVICIOSNOMINA SUCURSALCEDIS</v>
      </c>
      <c r="B163" t="s">
        <v>3498</v>
      </c>
      <c r="C163" s="1">
        <v>45745</v>
      </c>
      <c r="D163" t="s">
        <v>21</v>
      </c>
      <c r="E163" s="12" t="s">
        <v>154</v>
      </c>
      <c r="F163" s="12" t="s">
        <v>28</v>
      </c>
      <c r="G163" s="146"/>
      <c r="H163" t="s">
        <v>3552</v>
      </c>
      <c r="I163" s="78"/>
      <c r="J163" s="78">
        <v>82</v>
      </c>
      <c r="K163" s="159">
        <f t="shared" si="2"/>
        <v>3580.0900000002002</v>
      </c>
    </row>
    <row r="164" spans="1:11" ht="15">
      <c r="A164" s="54" t="str">
        <f t="shared" si="3"/>
        <v>SERVICIOSNOMINA SUCURSALCEDIS</v>
      </c>
      <c r="B164" t="s">
        <v>3498</v>
      </c>
      <c r="C164" s="1">
        <v>45745</v>
      </c>
      <c r="D164" t="s">
        <v>21</v>
      </c>
      <c r="E164" s="12" t="s">
        <v>154</v>
      </c>
      <c r="F164" s="12" t="s">
        <v>28</v>
      </c>
      <c r="G164" s="146"/>
      <c r="H164" t="s">
        <v>3553</v>
      </c>
      <c r="I164" s="78"/>
      <c r="J164" s="78">
        <v>753</v>
      </c>
      <c r="K164" s="159">
        <f t="shared" si="2"/>
        <v>2827.0900000002002</v>
      </c>
    </row>
    <row r="165" spans="1:11" ht="15">
      <c r="A165" s="54" t="str">
        <f t="shared" si="3"/>
        <v>SERVICIOSNOMINA SUCURSALCEDIS</v>
      </c>
      <c r="B165" t="s">
        <v>3498</v>
      </c>
      <c r="C165" s="1">
        <v>45745</v>
      </c>
      <c r="D165" t="s">
        <v>21</v>
      </c>
      <c r="E165" s="12" t="s">
        <v>154</v>
      </c>
      <c r="F165" s="12" t="s">
        <v>28</v>
      </c>
      <c r="G165" s="146"/>
      <c r="H165" t="s">
        <v>3554</v>
      </c>
      <c r="I165" s="78"/>
      <c r="J165" s="78">
        <v>939</v>
      </c>
      <c r="K165" s="159">
        <f>K164+I165-J165</f>
        <v>1888.0900000002002</v>
      </c>
    </row>
    <row r="166" spans="1:11" ht="15">
      <c r="A166" s="54" t="str">
        <f t="shared" si="3"/>
        <v>SERVICIOSNOMINA SUCURSALCEDIS</v>
      </c>
      <c r="B166" t="s">
        <v>3498</v>
      </c>
      <c r="C166" s="1">
        <v>45745</v>
      </c>
      <c r="D166" t="s">
        <v>21</v>
      </c>
      <c r="E166" s="12" t="s">
        <v>154</v>
      </c>
      <c r="F166" s="12" t="s">
        <v>28</v>
      </c>
      <c r="G166" s="146"/>
      <c r="H166" t="s">
        <v>3555</v>
      </c>
      <c r="I166" s="78"/>
      <c r="J166" s="78">
        <v>1984</v>
      </c>
      <c r="K166" s="159">
        <f>K165+I166-J166</f>
        <v>-95.909999999799766</v>
      </c>
    </row>
    <row r="167" spans="1:11" ht="15">
      <c r="A167" s="54" t="str">
        <f t="shared" si="3"/>
        <v/>
      </c>
      <c r="B167" t="s">
        <v>3498</v>
      </c>
      <c r="C167" s="1">
        <v>45747</v>
      </c>
      <c r="F167" s="146"/>
      <c r="G167" s="146"/>
      <c r="H167" t="s">
        <v>3556</v>
      </c>
      <c r="I167" s="78">
        <v>355</v>
      </c>
      <c r="J167" s="78"/>
      <c r="K167" s="159">
        <f>K166+I167-J167</f>
        <v>259.09000000020023</v>
      </c>
    </row>
    <row r="168" spans="1:11" ht="15">
      <c r="A168" s="54" t="str">
        <f t="shared" si="3"/>
        <v/>
      </c>
      <c r="B168" t="s">
        <v>3498</v>
      </c>
      <c r="C168" s="1">
        <v>45747</v>
      </c>
      <c r="F168" s="146"/>
      <c r="G168" s="146"/>
      <c r="H168" t="s">
        <v>3472</v>
      </c>
      <c r="I168" s="78">
        <v>400000</v>
      </c>
      <c r="J168" s="78"/>
      <c r="K168" s="159">
        <f>K167+I168-J168</f>
        <v>400259.0900000002</v>
      </c>
    </row>
    <row r="169" spans="1:11" ht="15">
      <c r="A169" s="54" t="str">
        <f t="shared" si="3"/>
        <v/>
      </c>
      <c r="B169" t="s">
        <v>3498</v>
      </c>
      <c r="C169" s="1">
        <v>45748</v>
      </c>
      <c r="F169" s="146"/>
      <c r="G169" s="146"/>
      <c r="H169" t="s">
        <v>3472</v>
      </c>
      <c r="I169" s="78">
        <v>150000</v>
      </c>
      <c r="J169" s="78"/>
      <c r="K169" s="159">
        <f>K168+I169-J169</f>
        <v>550259.0900000002</v>
      </c>
    </row>
    <row r="170" spans="1:11" ht="15">
      <c r="A170" s="54" t="str">
        <f t="shared" si="3"/>
        <v/>
      </c>
      <c r="B170" t="s">
        <v>3498</v>
      </c>
      <c r="C170" s="1">
        <v>45748</v>
      </c>
      <c r="F170" s="146"/>
      <c r="G170" s="146"/>
      <c r="H170" t="s">
        <v>3556</v>
      </c>
      <c r="I170" s="78">
        <v>1772</v>
      </c>
      <c r="J170" s="78"/>
      <c r="K170" s="159">
        <f>K169+I170-J170</f>
        <v>552031.0900000002</v>
      </c>
    </row>
    <row r="171" spans="1:11" ht="15">
      <c r="A171" s="54" t="str">
        <f t="shared" si="3"/>
        <v/>
      </c>
      <c r="B171" t="s">
        <v>3498</v>
      </c>
      <c r="C171" s="1">
        <v>45749</v>
      </c>
      <c r="F171" s="146"/>
      <c r="G171" s="146"/>
      <c r="H171" t="s">
        <v>3472</v>
      </c>
      <c r="I171" s="78">
        <v>200000</v>
      </c>
      <c r="J171" s="78"/>
      <c r="K171" s="159">
        <f>K170+I171-J171</f>
        <v>752031.0900000002</v>
      </c>
    </row>
    <row r="172" spans="1:11" ht="15">
      <c r="A172" s="54" t="str">
        <f>D172&amp;E172&amp;F172</f>
        <v>HRVACACIONES/FINIQUITOSHR</v>
      </c>
      <c r="B172" t="s">
        <v>3498</v>
      </c>
      <c r="C172" s="1">
        <v>45749</v>
      </c>
      <c r="D172" t="s">
        <v>29</v>
      </c>
      <c r="E172" s="12" t="s">
        <v>190</v>
      </c>
      <c r="F172" s="12" t="s">
        <v>29</v>
      </c>
      <c r="G172" s="146"/>
      <c r="H172" t="s">
        <v>3557</v>
      </c>
      <c r="I172" s="78"/>
      <c r="J172" s="78">
        <v>6214</v>
      </c>
      <c r="K172" s="159">
        <f>K171+I172-J172</f>
        <v>745817.0900000002</v>
      </c>
    </row>
    <row r="173" spans="1:11" ht="15">
      <c r="A173" s="54" t="str">
        <f>D173&amp;E173&amp;F173</f>
        <v>HRVACACIONES/FINIQUITOSHR</v>
      </c>
      <c r="B173" t="s">
        <v>3498</v>
      </c>
      <c r="C173" s="1">
        <v>45749</v>
      </c>
      <c r="D173" t="s">
        <v>29</v>
      </c>
      <c r="E173" s="12" t="s">
        <v>190</v>
      </c>
      <c r="F173" s="12" t="s">
        <v>29</v>
      </c>
      <c r="G173" s="146"/>
      <c r="H173" t="s">
        <v>3558</v>
      </c>
      <c r="I173" s="78"/>
      <c r="J173" s="78">
        <v>2615</v>
      </c>
      <c r="K173" s="159">
        <f>K172+I173-J173</f>
        <v>743202.0900000002</v>
      </c>
    </row>
    <row r="174" spans="1:11" ht="15">
      <c r="A174" s="54" t="str">
        <f t="shared" si="3"/>
        <v/>
      </c>
      <c r="B174" t="s">
        <v>3498</v>
      </c>
      <c r="C174" s="1">
        <v>45750</v>
      </c>
      <c r="F174" s="146"/>
      <c r="G174" s="146"/>
      <c r="H174" t="s">
        <v>3466</v>
      </c>
      <c r="I174" s="78">
        <v>13918.4</v>
      </c>
      <c r="J174" s="78"/>
      <c r="K174" s="159">
        <f>K173+I174-J174</f>
        <v>757120.49000000022</v>
      </c>
    </row>
    <row r="175" spans="1:11" ht="15">
      <c r="A175" s="54" t="str">
        <f t="shared" si="3"/>
        <v/>
      </c>
      <c r="B175" t="s">
        <v>3498</v>
      </c>
      <c r="C175" s="1">
        <v>45750</v>
      </c>
      <c r="F175" s="146"/>
      <c r="G175" s="146"/>
      <c r="H175" t="s">
        <v>3467</v>
      </c>
      <c r="I175" s="78">
        <v>8007.4</v>
      </c>
      <c r="J175" s="78"/>
      <c r="K175" s="159">
        <f>K174+I175-J175</f>
        <v>765127.89000000025</v>
      </c>
    </row>
    <row r="176" spans="1:11" ht="15">
      <c r="A176" s="54" t="str">
        <f t="shared" si="3"/>
        <v/>
      </c>
      <c r="B176" t="s">
        <v>3498</v>
      </c>
      <c r="C176" s="1">
        <v>45750</v>
      </c>
      <c r="F176" s="146"/>
      <c r="G176" s="146"/>
      <c r="H176" t="s">
        <v>3468</v>
      </c>
      <c r="I176" s="78">
        <v>6001.14</v>
      </c>
      <c r="J176" s="78"/>
      <c r="K176" s="159">
        <f>K175+I176-J176</f>
        <v>771129.03000000026</v>
      </c>
    </row>
    <row r="177" spans="1:11" ht="15">
      <c r="A177" s="54" t="str">
        <f t="shared" si="3"/>
        <v/>
      </c>
      <c r="B177" t="s">
        <v>3498</v>
      </c>
      <c r="C177" s="1">
        <v>45750</v>
      </c>
      <c r="F177" s="146"/>
      <c r="G177" s="146"/>
      <c r="H177" t="s">
        <v>3472</v>
      </c>
      <c r="I177" s="78">
        <v>15500</v>
      </c>
      <c r="J177" s="78"/>
      <c r="K177" s="159">
        <f>K176+I177-J177</f>
        <v>786629.03000000026</v>
      </c>
    </row>
    <row r="178" spans="1:11" ht="15">
      <c r="A178" s="54" t="str">
        <f t="shared" si="3"/>
        <v/>
      </c>
      <c r="B178" t="s">
        <v>3498</v>
      </c>
      <c r="C178" s="1">
        <v>45750</v>
      </c>
      <c r="F178" s="146"/>
      <c r="G178" s="146"/>
      <c r="H178" s="71" t="s">
        <v>3497</v>
      </c>
      <c r="I178" s="78"/>
      <c r="J178" s="78">
        <v>554998.4</v>
      </c>
      <c r="K178" s="159">
        <f t="shared" ref="K178:K194" si="4">K177+I178-J178</f>
        <v>231630.63000000024</v>
      </c>
    </row>
    <row r="179" spans="1:11" ht="15">
      <c r="A179" s="54" t="str">
        <f t="shared" si="3"/>
        <v/>
      </c>
      <c r="B179" t="s">
        <v>3498</v>
      </c>
      <c r="C179" s="1">
        <v>45750</v>
      </c>
      <c r="F179" s="146"/>
      <c r="G179" s="146"/>
      <c r="H179" s="71" t="s">
        <v>3469</v>
      </c>
      <c r="I179" s="78"/>
      <c r="J179" s="78">
        <v>196168</v>
      </c>
      <c r="K179" s="159">
        <f t="shared" si="4"/>
        <v>35462.630000000237</v>
      </c>
    </row>
    <row r="180" spans="1:11" ht="15">
      <c r="A180" s="54" t="str">
        <f t="shared" si="3"/>
        <v/>
      </c>
      <c r="B180" t="s">
        <v>3498</v>
      </c>
      <c r="C180" s="1">
        <v>45750</v>
      </c>
      <c r="F180" s="146"/>
      <c r="G180" s="146"/>
      <c r="H180" s="71" t="s">
        <v>3507</v>
      </c>
      <c r="I180" s="78"/>
      <c r="J180" s="78">
        <v>35400</v>
      </c>
      <c r="K180" s="159">
        <f t="shared" si="4"/>
        <v>62.630000000237487</v>
      </c>
    </row>
    <row r="181" spans="1:11" ht="15">
      <c r="A181" s="54" t="str">
        <f t="shared" si="3"/>
        <v/>
      </c>
      <c r="B181" t="s">
        <v>3498</v>
      </c>
      <c r="C181" s="1">
        <v>45752</v>
      </c>
      <c r="F181" s="146"/>
      <c r="G181" s="146"/>
      <c r="H181" s="71" t="s">
        <v>3559</v>
      </c>
      <c r="I181" s="78"/>
      <c r="J181" s="78">
        <v>28000</v>
      </c>
      <c r="K181" s="159">
        <f t="shared" si="4"/>
        <v>-27937.369999999763</v>
      </c>
    </row>
    <row r="182" spans="1:11" ht="15">
      <c r="A182" s="54" t="str">
        <f t="shared" si="3"/>
        <v/>
      </c>
      <c r="B182" t="s">
        <v>814</v>
      </c>
      <c r="C182" s="1">
        <v>45754</v>
      </c>
      <c r="F182" s="146"/>
      <c r="G182" s="146"/>
      <c r="H182" t="s">
        <v>3452</v>
      </c>
      <c r="I182" s="81">
        <v>100000</v>
      </c>
      <c r="K182" s="159">
        <f t="shared" si="4"/>
        <v>72062.630000000237</v>
      </c>
    </row>
    <row r="183" spans="1:11" ht="15">
      <c r="A183" s="54" t="str">
        <f t="shared" si="3"/>
        <v>HRVACACIONES/FINIQUITOSHR</v>
      </c>
      <c r="B183" t="s">
        <v>814</v>
      </c>
      <c r="C183" s="1">
        <v>45754</v>
      </c>
      <c r="D183" t="s">
        <v>29</v>
      </c>
      <c r="E183" s="12" t="s">
        <v>190</v>
      </c>
      <c r="F183" s="213" t="s">
        <v>29</v>
      </c>
      <c r="G183" s="146"/>
      <c r="H183" t="s">
        <v>3560</v>
      </c>
      <c r="I183" s="161"/>
      <c r="J183" s="161">
        <v>5492</v>
      </c>
      <c r="K183" s="159">
        <f t="shared" si="4"/>
        <v>66570.630000000237</v>
      </c>
    </row>
    <row r="184" spans="1:11" ht="15">
      <c r="A184" s="54" t="str">
        <f t="shared" si="3"/>
        <v>HRVACACIONES/FINIQUITOSHR</v>
      </c>
      <c r="B184" t="s">
        <v>814</v>
      </c>
      <c r="C184" s="1">
        <v>45754</v>
      </c>
      <c r="D184" t="s">
        <v>29</v>
      </c>
      <c r="E184" s="12" t="s">
        <v>190</v>
      </c>
      <c r="F184" s="213" t="s">
        <v>29</v>
      </c>
      <c r="G184" s="146"/>
      <c r="H184" t="s">
        <v>3561</v>
      </c>
      <c r="I184" s="161"/>
      <c r="J184" s="161">
        <v>876</v>
      </c>
      <c r="K184" s="159">
        <f t="shared" si="4"/>
        <v>65694.630000000237</v>
      </c>
    </row>
    <row r="185" spans="1:11" ht="15">
      <c r="A185" s="54" t="str">
        <f t="shared" si="3"/>
        <v/>
      </c>
      <c r="B185" t="s">
        <v>814</v>
      </c>
      <c r="C185" s="1">
        <v>45755</v>
      </c>
      <c r="F185" s="146"/>
      <c r="G185" s="146"/>
      <c r="H185" t="s">
        <v>3452</v>
      </c>
      <c r="I185" s="81">
        <v>130000</v>
      </c>
      <c r="J185" s="161"/>
      <c r="K185" s="159">
        <f t="shared" si="4"/>
        <v>195694.63000000024</v>
      </c>
    </row>
    <row r="186" spans="1:11" ht="15">
      <c r="A186" s="54" t="str">
        <f t="shared" si="3"/>
        <v/>
      </c>
      <c r="B186" t="s">
        <v>814</v>
      </c>
      <c r="C186" s="1">
        <v>45756</v>
      </c>
      <c r="F186" s="146"/>
      <c r="G186" s="146"/>
      <c r="H186" t="s">
        <v>3452</v>
      </c>
      <c r="I186" s="161">
        <v>100000</v>
      </c>
      <c r="J186" s="161"/>
      <c r="K186" s="159">
        <f t="shared" si="4"/>
        <v>295694.63000000024</v>
      </c>
    </row>
    <row r="187" spans="1:11" ht="15">
      <c r="A187" s="54" t="str">
        <f t="shared" si="3"/>
        <v/>
      </c>
      <c r="B187" t="s">
        <v>814</v>
      </c>
      <c r="C187" s="1">
        <v>45757</v>
      </c>
      <c r="F187" s="146"/>
      <c r="G187" s="146"/>
      <c r="H187" t="s">
        <v>3452</v>
      </c>
      <c r="I187" s="161">
        <v>150000</v>
      </c>
      <c r="J187" s="161"/>
      <c r="K187" s="159">
        <f t="shared" si="4"/>
        <v>445694.63000000024</v>
      </c>
    </row>
    <row r="188" spans="1:11" ht="15">
      <c r="A188" s="54" t="str">
        <f t="shared" si="3"/>
        <v/>
      </c>
      <c r="B188" t="s">
        <v>814</v>
      </c>
      <c r="C188" s="1">
        <v>45757</v>
      </c>
      <c r="F188" s="146"/>
      <c r="G188" s="146"/>
      <c r="H188" t="s">
        <v>3466</v>
      </c>
      <c r="I188" s="78">
        <v>13918.2</v>
      </c>
      <c r="K188" s="159">
        <f t="shared" si="4"/>
        <v>459612.83000000025</v>
      </c>
    </row>
    <row r="189" spans="1:11" ht="15">
      <c r="A189" s="54" t="str">
        <f t="shared" si="3"/>
        <v/>
      </c>
      <c r="B189" t="s">
        <v>814</v>
      </c>
      <c r="C189" s="1">
        <v>45757</v>
      </c>
      <c r="F189" s="146"/>
      <c r="G189" s="146"/>
      <c r="H189" t="s">
        <v>3467</v>
      </c>
      <c r="I189" s="78">
        <v>8007.4</v>
      </c>
      <c r="K189" s="159">
        <f t="shared" si="4"/>
        <v>467620.23000000027</v>
      </c>
    </row>
    <row r="190" spans="1:11" ht="15">
      <c r="A190" s="54" t="str">
        <f t="shared" si="3"/>
        <v/>
      </c>
      <c r="B190" t="s">
        <v>814</v>
      </c>
      <c r="C190" s="1">
        <v>45757</v>
      </c>
      <c r="F190" s="146"/>
      <c r="G190" s="146"/>
      <c r="H190" t="s">
        <v>3468</v>
      </c>
      <c r="I190" s="78">
        <v>4228.8</v>
      </c>
      <c r="K190" s="159">
        <f t="shared" si="4"/>
        <v>471849.03000000026</v>
      </c>
    </row>
    <row r="191" spans="1:11" ht="15">
      <c r="A191" s="54" t="str">
        <f t="shared" si="3"/>
        <v/>
      </c>
      <c r="B191" t="s">
        <v>814</v>
      </c>
      <c r="C191" s="1">
        <v>45757</v>
      </c>
      <c r="F191" s="146"/>
      <c r="G191" s="146"/>
      <c r="H191" t="s">
        <v>3562</v>
      </c>
      <c r="I191" s="161"/>
      <c r="J191" s="161">
        <v>175209.4</v>
      </c>
      <c r="K191" s="159">
        <f t="shared" si="4"/>
        <v>296639.63000000024</v>
      </c>
    </row>
    <row r="192" spans="1:11" ht="15">
      <c r="A192" s="54" t="str">
        <f t="shared" si="3"/>
        <v/>
      </c>
      <c r="B192" t="s">
        <v>814</v>
      </c>
      <c r="C192" s="1">
        <v>45757</v>
      </c>
      <c r="F192" s="146"/>
      <c r="G192" s="146"/>
      <c r="H192" t="s">
        <v>3563</v>
      </c>
      <c r="I192" s="161"/>
      <c r="J192" s="161">
        <f>35400+14536+5000</f>
        <v>54936</v>
      </c>
      <c r="K192" s="159">
        <f t="shared" si="4"/>
        <v>241703.63000000024</v>
      </c>
    </row>
    <row r="193" spans="1:17" ht="15">
      <c r="A193" s="54" t="str">
        <f t="shared" si="3"/>
        <v/>
      </c>
      <c r="B193" t="s">
        <v>814</v>
      </c>
      <c r="C193" s="1">
        <v>45757</v>
      </c>
      <c r="F193" s="146"/>
      <c r="G193" s="146"/>
      <c r="H193" t="s">
        <v>3527</v>
      </c>
      <c r="I193" s="161"/>
      <c r="J193" s="161">
        <v>559597.6</v>
      </c>
      <c r="K193" s="159">
        <f t="shared" si="4"/>
        <v>-317893.96999999974</v>
      </c>
    </row>
    <row r="194" spans="1:17" ht="15">
      <c r="A194" s="54" t="str">
        <f t="shared" si="3"/>
        <v>HRVACACIONES/FINIQUITOSHR</v>
      </c>
      <c r="B194" t="s">
        <v>814</v>
      </c>
      <c r="C194" s="1">
        <v>45757</v>
      </c>
      <c r="D194" t="s">
        <v>29</v>
      </c>
      <c r="E194" s="12" t="s">
        <v>190</v>
      </c>
      <c r="F194" s="213" t="s">
        <v>29</v>
      </c>
      <c r="G194" s="146"/>
      <c r="H194" t="s">
        <v>3564</v>
      </c>
      <c r="I194" s="161"/>
      <c r="J194" s="81">
        <v>517</v>
      </c>
      <c r="K194" s="159">
        <f t="shared" si="4"/>
        <v>-318410.96999999974</v>
      </c>
    </row>
    <row r="195" spans="1:17" ht="15">
      <c r="A195" s="54" t="str">
        <f t="shared" si="3"/>
        <v>HRVACACIONES/FINIQUITOSHR</v>
      </c>
      <c r="B195" t="s">
        <v>814</v>
      </c>
      <c r="C195" s="1">
        <v>45757</v>
      </c>
      <c r="D195" t="s">
        <v>29</v>
      </c>
      <c r="E195" s="12" t="s">
        <v>190</v>
      </c>
      <c r="F195" s="213" t="s">
        <v>29</v>
      </c>
      <c r="G195" s="146"/>
      <c r="H195" t="s">
        <v>3565</v>
      </c>
      <c r="I195" s="161"/>
      <c r="J195" s="161">
        <v>647</v>
      </c>
      <c r="K195" s="159">
        <f>K194+I195-J195</f>
        <v>-319057.96999999974</v>
      </c>
    </row>
    <row r="196" spans="1:17" ht="15">
      <c r="A196" s="54" t="str">
        <f t="shared" si="3"/>
        <v/>
      </c>
      <c r="B196" t="s">
        <v>814</v>
      </c>
      <c r="C196" s="1">
        <v>45757</v>
      </c>
      <c r="F196" s="146"/>
      <c r="G196" s="146"/>
      <c r="H196" t="s">
        <v>3452</v>
      </c>
      <c r="I196" s="161">
        <v>200000</v>
      </c>
      <c r="J196" s="161"/>
      <c r="K196" s="159">
        <f>K195+I196-J196</f>
        <v>-119057.96999999974</v>
      </c>
    </row>
    <row r="197" spans="1:17" ht="15">
      <c r="A197" s="54" t="str">
        <f t="shared" ref="A197:A260" si="5">D197&amp;E197&amp;F197</f>
        <v>ELINOMINA SUCURSALL1</v>
      </c>
      <c r="B197" t="s">
        <v>814</v>
      </c>
      <c r="C197" s="1">
        <v>45758</v>
      </c>
      <c r="D197" t="s">
        <v>130</v>
      </c>
      <c r="E197" t="s">
        <v>154</v>
      </c>
      <c r="F197" s="146" t="s">
        <v>136</v>
      </c>
      <c r="G197" s="146"/>
      <c r="H197" t="s">
        <v>3566</v>
      </c>
      <c r="I197" s="161"/>
      <c r="J197" s="161">
        <v>1417</v>
      </c>
      <c r="K197" s="159">
        <f>K196+I197-J197</f>
        <v>-120474.96999999974</v>
      </c>
    </row>
    <row r="198" spans="1:17" ht="15">
      <c r="A198" s="54" t="str">
        <f t="shared" si="5"/>
        <v>HRNOMINA ADMONHR</v>
      </c>
      <c r="B198" t="s">
        <v>814</v>
      </c>
      <c r="C198" s="1">
        <v>45758</v>
      </c>
      <c r="D198" t="s">
        <v>29</v>
      </c>
      <c r="E198" t="s">
        <v>147</v>
      </c>
      <c r="F198" s="146" t="s">
        <v>29</v>
      </c>
      <c r="G198" s="146"/>
      <c r="H198" t="s">
        <v>3567</v>
      </c>
      <c r="I198" s="161"/>
      <c r="J198" s="161">
        <v>397</v>
      </c>
      <c r="K198" s="159">
        <f>K197+I198-J198</f>
        <v>-120871.96999999974</v>
      </c>
    </row>
    <row r="199" spans="1:17" ht="15">
      <c r="A199" s="54" t="str">
        <f t="shared" si="5"/>
        <v/>
      </c>
      <c r="B199" t="s">
        <v>814</v>
      </c>
      <c r="C199" s="1">
        <v>45761</v>
      </c>
      <c r="F199" s="146"/>
      <c r="G199" s="146"/>
      <c r="H199" t="s">
        <v>3568</v>
      </c>
      <c r="I199" s="161">
        <v>550000</v>
      </c>
      <c r="J199" s="161"/>
      <c r="K199" s="159">
        <f>K198+I199-J199</f>
        <v>429128.03000000026</v>
      </c>
    </row>
    <row r="200" spans="1:17" ht="15">
      <c r="A200" s="54" t="str">
        <f t="shared" si="5"/>
        <v>SERVICIOSVACACIONES/FINIQUITOSSERVICIOS</v>
      </c>
      <c r="B200" t="s">
        <v>814</v>
      </c>
      <c r="C200" s="1">
        <v>45761</v>
      </c>
      <c r="D200" t="s">
        <v>21</v>
      </c>
      <c r="E200" t="s">
        <v>190</v>
      </c>
      <c r="F200" s="146" t="s">
        <v>21</v>
      </c>
      <c r="G200" s="146"/>
      <c r="H200" t="s">
        <v>3569</v>
      </c>
      <c r="I200" s="161"/>
      <c r="J200" s="161">
        <v>3793</v>
      </c>
      <c r="K200" s="159">
        <f>K199+I200-J200</f>
        <v>425335.03000000026</v>
      </c>
    </row>
    <row r="201" spans="1:17" ht="15">
      <c r="A201" s="54" t="str">
        <f t="shared" si="5"/>
        <v>HRVACACIONES/FINIQUITOSHR</v>
      </c>
      <c r="B201" t="s">
        <v>814</v>
      </c>
      <c r="C201" s="1">
        <v>45761</v>
      </c>
      <c r="D201" t="s">
        <v>29</v>
      </c>
      <c r="E201" t="s">
        <v>190</v>
      </c>
      <c r="F201" s="213" t="s">
        <v>29</v>
      </c>
      <c r="G201" s="146"/>
      <c r="H201" t="s">
        <v>3570</v>
      </c>
      <c r="I201" s="161"/>
      <c r="J201" s="161">
        <v>326</v>
      </c>
      <c r="K201" s="159">
        <f>K200+I201-J201</f>
        <v>425009.03000000026</v>
      </c>
    </row>
    <row r="202" spans="1:17" ht="15">
      <c r="A202" s="54" t="str">
        <f t="shared" si="5"/>
        <v>CAPVACACIONES/FINIQUITOSCAPRICHOS</v>
      </c>
      <c r="B202" t="s">
        <v>814</v>
      </c>
      <c r="C202" s="1">
        <v>45761</v>
      </c>
      <c r="D202" t="s">
        <v>31</v>
      </c>
      <c r="E202" t="s">
        <v>190</v>
      </c>
      <c r="F202" s="146" t="s">
        <v>33</v>
      </c>
      <c r="G202" s="146"/>
      <c r="H202" t="s">
        <v>3571</v>
      </c>
      <c r="I202" s="161"/>
      <c r="J202" s="161">
        <v>400</v>
      </c>
      <c r="K202" s="159">
        <f>K201+I202-J202</f>
        <v>424609.03000000026</v>
      </c>
    </row>
    <row r="203" spans="1:17" ht="15">
      <c r="A203" s="54" t="str">
        <f t="shared" si="5"/>
        <v/>
      </c>
      <c r="B203" t="s">
        <v>814</v>
      </c>
      <c r="C203" s="1">
        <v>45762</v>
      </c>
      <c r="F203" s="146"/>
      <c r="G203" s="146"/>
      <c r="H203" t="s">
        <v>3452</v>
      </c>
      <c r="I203" s="161">
        <v>100000</v>
      </c>
      <c r="J203" s="161"/>
      <c r="K203" s="159">
        <f>K202+I203-J203</f>
        <v>524609.03000000026</v>
      </c>
    </row>
    <row r="204" spans="1:17" s="89" customFormat="1" ht="15">
      <c r="A204" s="54" t="str">
        <f t="shared" si="5"/>
        <v/>
      </c>
      <c r="B204" t="s">
        <v>814</v>
      </c>
      <c r="C204" s="1">
        <v>45763</v>
      </c>
      <c r="D204"/>
      <c r="E204"/>
      <c r="F204" s="146"/>
      <c r="G204" s="146"/>
      <c r="H204" t="s">
        <v>3452</v>
      </c>
      <c r="I204" s="161">
        <v>257000</v>
      </c>
      <c r="J204" s="161"/>
      <c r="K204" s="159">
        <f>K203+I204-J204</f>
        <v>781609.03000000026</v>
      </c>
      <c r="L204"/>
      <c r="M204"/>
      <c r="N204"/>
      <c r="O204"/>
      <c r="P204"/>
      <c r="Q204"/>
    </row>
    <row r="205" spans="1:17" ht="15">
      <c r="A205" s="54" t="str">
        <f t="shared" si="5"/>
        <v/>
      </c>
      <c r="B205" t="s">
        <v>814</v>
      </c>
      <c r="C205" s="1">
        <v>45763</v>
      </c>
      <c r="F205" s="146"/>
      <c r="G205" s="146"/>
      <c r="H205" t="s">
        <v>3466</v>
      </c>
      <c r="I205" s="78">
        <v>13918.2</v>
      </c>
      <c r="K205" s="159">
        <f>K204+I205-J205</f>
        <v>795527.23000000021</v>
      </c>
    </row>
    <row r="206" spans="1:17" ht="15">
      <c r="A206" s="54" t="str">
        <f t="shared" si="5"/>
        <v/>
      </c>
      <c r="B206" t="s">
        <v>814</v>
      </c>
      <c r="C206" s="1">
        <v>45763</v>
      </c>
      <c r="F206" s="146"/>
      <c r="G206" s="146"/>
      <c r="H206" t="s">
        <v>3467</v>
      </c>
      <c r="I206" s="78">
        <v>8007.4</v>
      </c>
      <c r="K206" s="159">
        <f>K205+I206-J206</f>
        <v>803534.63000000024</v>
      </c>
    </row>
    <row r="207" spans="1:17" ht="15">
      <c r="A207" s="54" t="str">
        <f t="shared" si="5"/>
        <v/>
      </c>
      <c r="B207" t="s">
        <v>814</v>
      </c>
      <c r="C207" s="1">
        <v>45763</v>
      </c>
      <c r="F207" s="146"/>
      <c r="G207" s="146"/>
      <c r="H207" t="s">
        <v>3468</v>
      </c>
      <c r="I207" s="78">
        <v>4228.8</v>
      </c>
      <c r="K207" s="159">
        <f>K206+I207-J207</f>
        <v>807763.43000000028</v>
      </c>
    </row>
    <row r="208" spans="1:17" ht="15">
      <c r="A208" s="54" t="str">
        <f t="shared" si="5"/>
        <v/>
      </c>
      <c r="B208" t="s">
        <v>814</v>
      </c>
      <c r="C208" s="1">
        <v>45763</v>
      </c>
      <c r="F208" s="146"/>
      <c r="G208" s="146"/>
      <c r="H208" t="s">
        <v>3547</v>
      </c>
      <c r="I208" s="161"/>
      <c r="J208" s="78">
        <v>564360.80000000005</v>
      </c>
      <c r="K208" s="159">
        <f>K207+I208-J208</f>
        <v>243402.63000000024</v>
      </c>
    </row>
    <row r="209" spans="1:11" ht="15">
      <c r="A209" s="54" t="str">
        <f t="shared" si="5"/>
        <v/>
      </c>
      <c r="B209" t="s">
        <v>814</v>
      </c>
      <c r="C209" s="1">
        <v>45763</v>
      </c>
      <c r="F209" s="146"/>
      <c r="G209" s="146"/>
      <c r="H209" t="s">
        <v>3572</v>
      </c>
      <c r="I209" s="161"/>
      <c r="J209" s="78">
        <v>197468.6</v>
      </c>
      <c r="K209" s="159">
        <f t="shared" ref="K209:K216" si="6">K208+I209-J209</f>
        <v>45934.030000000232</v>
      </c>
    </row>
    <row r="210" spans="1:11" ht="15">
      <c r="A210" s="54" t="str">
        <f t="shared" si="5"/>
        <v/>
      </c>
      <c r="B210" t="s">
        <v>814</v>
      </c>
      <c r="C210" s="1">
        <v>45763</v>
      </c>
      <c r="F210" s="146"/>
      <c r="G210" s="146"/>
      <c r="H210" t="s">
        <v>3573</v>
      </c>
      <c r="I210" s="161"/>
      <c r="J210" s="78">
        <v>35400</v>
      </c>
      <c r="K210" s="159">
        <f t="shared" si="6"/>
        <v>10534.030000000232</v>
      </c>
    </row>
    <row r="211" spans="1:11" ht="15">
      <c r="A211" s="54" t="str">
        <f t="shared" si="5"/>
        <v>CAPVACACIONES/FINIQUITOSCAPRICHOS</v>
      </c>
      <c r="B211" t="s">
        <v>814</v>
      </c>
      <c r="C211" s="1">
        <v>45763</v>
      </c>
      <c r="D211" t="s">
        <v>31</v>
      </c>
      <c r="E211" s="12" t="s">
        <v>190</v>
      </c>
      <c r="F211" s="12" t="s">
        <v>33</v>
      </c>
      <c r="G211" s="146"/>
      <c r="H211" t="s">
        <v>3574</v>
      </c>
      <c r="I211" s="161"/>
      <c r="J211" s="78">
        <v>6523</v>
      </c>
      <c r="K211" s="159">
        <f t="shared" si="6"/>
        <v>4011.0300000002317</v>
      </c>
    </row>
    <row r="212" spans="1:11" ht="15">
      <c r="A212" s="54" t="str">
        <f t="shared" si="5"/>
        <v>HRVACACIONES/FINIQUITOSHR</v>
      </c>
      <c r="B212" t="s">
        <v>814</v>
      </c>
      <c r="C212" s="1">
        <v>45763</v>
      </c>
      <c r="D212" t="s">
        <v>29</v>
      </c>
      <c r="E212" s="12" t="s">
        <v>190</v>
      </c>
      <c r="F212" s="213" t="s">
        <v>29</v>
      </c>
      <c r="G212" s="146"/>
      <c r="H212" t="s">
        <v>3574</v>
      </c>
      <c r="I212" s="161"/>
      <c r="J212" s="78">
        <v>3350</v>
      </c>
      <c r="K212" s="159">
        <f t="shared" si="6"/>
        <v>661.03000000023167</v>
      </c>
    </row>
    <row r="213" spans="1:11" ht="15">
      <c r="A213" s="54" t="str">
        <f t="shared" si="5"/>
        <v>ELINOMINA SUCURSALL1</v>
      </c>
      <c r="B213" t="s">
        <v>814</v>
      </c>
      <c r="C213" s="1">
        <v>45763</v>
      </c>
      <c r="D213" t="s">
        <v>130</v>
      </c>
      <c r="E213" t="s">
        <v>154</v>
      </c>
      <c r="F213" s="146" t="s">
        <v>136</v>
      </c>
      <c r="G213" s="146"/>
      <c r="H213" t="s">
        <v>3575</v>
      </c>
      <c r="I213" s="161"/>
      <c r="J213" s="161">
        <v>2128</v>
      </c>
      <c r="K213" s="159">
        <f t="shared" si="6"/>
        <v>-1466.9699999997683</v>
      </c>
    </row>
    <row r="214" spans="1:11" ht="15">
      <c r="A214" s="54" t="str">
        <f t="shared" si="5"/>
        <v>HRVACACIONES/FINIQUITOSHR</v>
      </c>
      <c r="B214" t="s">
        <v>814</v>
      </c>
      <c r="C214" s="1">
        <v>45764</v>
      </c>
      <c r="D214" t="s">
        <v>29</v>
      </c>
      <c r="E214" s="12" t="s">
        <v>190</v>
      </c>
      <c r="F214" s="213" t="s">
        <v>29</v>
      </c>
      <c r="G214" s="146"/>
      <c r="H214" t="s">
        <v>3576</v>
      </c>
      <c r="I214" s="161"/>
      <c r="J214" s="161">
        <v>3112</v>
      </c>
      <c r="K214" s="159">
        <f t="shared" si="6"/>
        <v>-4578.9699999997683</v>
      </c>
    </row>
    <row r="215" spans="1:11" ht="15">
      <c r="A215" s="54" t="str">
        <f t="shared" si="5"/>
        <v>HRVACACIONES/FINIQUITOSHR</v>
      </c>
      <c r="B215" t="s">
        <v>814</v>
      </c>
      <c r="C215" s="1">
        <v>45764</v>
      </c>
      <c r="D215" t="s">
        <v>29</v>
      </c>
      <c r="E215" s="12" t="s">
        <v>190</v>
      </c>
      <c r="F215" s="213" t="s">
        <v>29</v>
      </c>
      <c r="G215" s="146"/>
      <c r="H215" t="s">
        <v>3577</v>
      </c>
      <c r="I215" s="161"/>
      <c r="J215" s="161">
        <v>1850</v>
      </c>
      <c r="K215" s="159">
        <f t="shared" si="6"/>
        <v>-6428.9699999997683</v>
      </c>
    </row>
    <row r="216" spans="1:11" ht="15">
      <c r="A216" s="54" t="str">
        <f t="shared" si="5"/>
        <v>HRVACACIONES/FINIQUITOSHR</v>
      </c>
      <c r="B216" t="s">
        <v>814</v>
      </c>
      <c r="C216" s="1">
        <v>45764</v>
      </c>
      <c r="D216" t="s">
        <v>29</v>
      </c>
      <c r="E216" s="12" t="s">
        <v>190</v>
      </c>
      <c r="F216" s="213" t="s">
        <v>29</v>
      </c>
      <c r="G216" s="146"/>
      <c r="H216" t="s">
        <v>3578</v>
      </c>
      <c r="I216" s="161"/>
      <c r="J216" s="161">
        <v>2176</v>
      </c>
      <c r="K216" s="159">
        <f t="shared" si="6"/>
        <v>-8604.9699999997683</v>
      </c>
    </row>
    <row r="217" spans="1:11" ht="15">
      <c r="A217" s="54" t="str">
        <f t="shared" si="5"/>
        <v>HRVACACIONES/FINIQUITOSHR</v>
      </c>
      <c r="B217" t="s">
        <v>814</v>
      </c>
      <c r="C217" s="1">
        <v>45764</v>
      </c>
      <c r="D217" t="s">
        <v>29</v>
      </c>
      <c r="E217" s="12" t="s">
        <v>190</v>
      </c>
      <c r="F217" s="213" t="s">
        <v>29</v>
      </c>
      <c r="G217" s="146"/>
      <c r="H217" t="s">
        <v>3579</v>
      </c>
      <c r="I217" s="161"/>
      <c r="J217" s="161">
        <v>3760</v>
      </c>
      <c r="K217" s="159">
        <f>K216+I217-J217</f>
        <v>-12364.969999999768</v>
      </c>
    </row>
    <row r="218" spans="1:11" ht="15">
      <c r="A218" s="54" t="str">
        <f t="shared" si="5"/>
        <v/>
      </c>
      <c r="B218" t="s">
        <v>814</v>
      </c>
      <c r="C218" s="1">
        <v>45768</v>
      </c>
      <c r="F218" s="146"/>
      <c r="G218" s="146"/>
      <c r="H218" t="s">
        <v>3452</v>
      </c>
      <c r="I218" s="161">
        <v>450000</v>
      </c>
      <c r="J218" s="161"/>
      <c r="K218" s="159">
        <f>K217+I218-J218</f>
        <v>437635.03000000026</v>
      </c>
    </row>
    <row r="219" spans="1:11" ht="15">
      <c r="A219" s="54" t="str">
        <f t="shared" si="5"/>
        <v>SERVICIOSVACACIONES/FINIQUITOSSERVICIOS</v>
      </c>
      <c r="B219" t="s">
        <v>814</v>
      </c>
      <c r="C219" s="1">
        <v>45768</v>
      </c>
      <c r="D219" t="s">
        <v>21</v>
      </c>
      <c r="E219" s="12" t="s">
        <v>190</v>
      </c>
      <c r="F219" s="12" t="s">
        <v>21</v>
      </c>
      <c r="G219" s="146"/>
      <c r="H219" t="s">
        <v>3580</v>
      </c>
      <c r="I219" s="161"/>
      <c r="J219" s="161">
        <v>1088</v>
      </c>
      <c r="K219" s="159">
        <f>K218+I219-J219</f>
        <v>436547.03000000026</v>
      </c>
    </row>
    <row r="220" spans="1:11" ht="15">
      <c r="A220" s="54" t="str">
        <f t="shared" si="5"/>
        <v>CAPNOMINA SUCURSALE4</v>
      </c>
      <c r="B220" t="s">
        <v>814</v>
      </c>
      <c r="C220" s="1">
        <v>45768</v>
      </c>
      <c r="D220" t="s">
        <v>31</v>
      </c>
      <c r="E220" t="s">
        <v>154</v>
      </c>
      <c r="F220" s="146" t="s">
        <v>110</v>
      </c>
      <c r="G220" s="146"/>
      <c r="H220" t="s">
        <v>3581</v>
      </c>
      <c r="I220" s="161"/>
      <c r="J220" s="161">
        <v>1550</v>
      </c>
      <c r="K220" s="159">
        <f>K219+I220-J220</f>
        <v>434997.03000000026</v>
      </c>
    </row>
    <row r="221" spans="1:11" ht="15">
      <c r="A221" s="54" t="str">
        <f t="shared" si="5"/>
        <v/>
      </c>
      <c r="B221" t="s">
        <v>814</v>
      </c>
      <c r="C221" s="1">
        <v>45769</v>
      </c>
      <c r="F221" s="146"/>
      <c r="G221" s="146"/>
      <c r="H221" t="s">
        <v>3452</v>
      </c>
      <c r="I221" s="161">
        <v>100000</v>
      </c>
      <c r="J221" s="161"/>
      <c r="K221" s="159">
        <f t="shared" ref="K221:K240" si="7">K220+I221-J221</f>
        <v>534997.03000000026</v>
      </c>
    </row>
    <row r="222" spans="1:11" ht="15">
      <c r="A222" s="54" t="str">
        <f t="shared" si="5"/>
        <v/>
      </c>
      <c r="B222" t="s">
        <v>814</v>
      </c>
      <c r="C222" s="1">
        <v>45770</v>
      </c>
      <c r="F222" s="146"/>
      <c r="G222" s="146"/>
      <c r="H222" t="s">
        <v>3452</v>
      </c>
      <c r="I222" s="161">
        <v>150000</v>
      </c>
      <c r="J222" s="161"/>
      <c r="K222" s="159">
        <f t="shared" si="7"/>
        <v>684997.03000000026</v>
      </c>
    </row>
    <row r="223" spans="1:11" ht="15">
      <c r="A223" s="54" t="str">
        <f t="shared" si="5"/>
        <v/>
      </c>
      <c r="B223" t="s">
        <v>814</v>
      </c>
      <c r="C223" s="1">
        <v>45771</v>
      </c>
      <c r="F223" s="146"/>
      <c r="G223" s="146"/>
      <c r="H223" t="s">
        <v>3452</v>
      </c>
      <c r="I223" s="161">
        <v>50000</v>
      </c>
      <c r="J223" s="161"/>
      <c r="K223" s="159">
        <f t="shared" si="7"/>
        <v>734997.03000000026</v>
      </c>
    </row>
    <row r="224" spans="1:11" ht="15">
      <c r="A224" s="54" t="str">
        <f t="shared" si="5"/>
        <v/>
      </c>
      <c r="B224" t="s">
        <v>814</v>
      </c>
      <c r="C224" s="1">
        <v>45771</v>
      </c>
      <c r="F224" s="146"/>
      <c r="G224" s="146"/>
      <c r="H224" t="s">
        <v>3466</v>
      </c>
      <c r="I224" s="161">
        <v>17914</v>
      </c>
      <c r="J224" s="161"/>
      <c r="K224" s="159">
        <f t="shared" si="7"/>
        <v>752911.03000000026</v>
      </c>
    </row>
    <row r="225" spans="1:11" ht="15">
      <c r="A225" s="54" t="str">
        <f t="shared" si="5"/>
        <v/>
      </c>
      <c r="B225" t="s">
        <v>814</v>
      </c>
      <c r="C225" s="1">
        <v>45771</v>
      </c>
      <c r="F225" s="146"/>
      <c r="G225" s="146"/>
      <c r="H225" t="s">
        <v>3467</v>
      </c>
      <c r="I225" s="161">
        <v>4162.6000000000004</v>
      </c>
      <c r="J225" s="161"/>
      <c r="K225" s="159">
        <f t="shared" si="7"/>
        <v>757073.63000000024</v>
      </c>
    </row>
    <row r="226" spans="1:11" ht="15">
      <c r="A226" s="54" t="str">
        <f t="shared" si="5"/>
        <v/>
      </c>
      <c r="B226" t="s">
        <v>814</v>
      </c>
      <c r="C226" s="1">
        <v>45771</v>
      </c>
      <c r="F226" s="146"/>
      <c r="G226" s="146"/>
      <c r="H226" t="s">
        <v>3468</v>
      </c>
      <c r="I226" s="161">
        <v>8000.94</v>
      </c>
      <c r="J226" s="161"/>
      <c r="K226" s="159">
        <f t="shared" si="7"/>
        <v>765074.57000000018</v>
      </c>
    </row>
    <row r="227" spans="1:11" ht="15">
      <c r="A227" s="54" t="str">
        <f t="shared" si="5"/>
        <v/>
      </c>
      <c r="B227" t="s">
        <v>814</v>
      </c>
      <c r="C227" s="1">
        <v>45771</v>
      </c>
      <c r="F227" s="146"/>
      <c r="G227" s="146"/>
      <c r="H227" t="s">
        <v>3547</v>
      </c>
      <c r="I227" s="161"/>
      <c r="J227" s="161">
        <v>522169.59999999998</v>
      </c>
      <c r="K227" s="159">
        <f t="shared" si="7"/>
        <v>242904.9700000002</v>
      </c>
    </row>
    <row r="228" spans="1:11" ht="15">
      <c r="A228" s="54" t="str">
        <f t="shared" si="5"/>
        <v/>
      </c>
      <c r="B228" t="s">
        <v>814</v>
      </c>
      <c r="C228" s="1">
        <v>45771</v>
      </c>
      <c r="F228" s="146"/>
      <c r="G228" s="146"/>
      <c r="H228" t="s">
        <v>3572</v>
      </c>
      <c r="I228" s="161"/>
      <c r="J228" s="161">
        <v>161005.79999999999</v>
      </c>
      <c r="K228" s="159">
        <f t="shared" si="7"/>
        <v>81899.170000000217</v>
      </c>
    </row>
    <row r="229" spans="1:11" ht="15">
      <c r="A229" s="54" t="str">
        <f t="shared" si="5"/>
        <v/>
      </c>
      <c r="B229" t="s">
        <v>814</v>
      </c>
      <c r="C229" s="1">
        <v>45771</v>
      </c>
      <c r="F229" s="146"/>
      <c r="G229" s="146"/>
      <c r="H229" t="s">
        <v>3573</v>
      </c>
      <c r="I229" s="161"/>
      <c r="J229" s="161">
        <v>35400</v>
      </c>
      <c r="K229" s="159">
        <f t="shared" si="7"/>
        <v>46499.170000000217</v>
      </c>
    </row>
    <row r="230" spans="1:11" ht="15">
      <c r="A230" s="54" t="str">
        <f t="shared" si="5"/>
        <v>CAPVACACIONES/FINIQUITOSCAPRICHOS</v>
      </c>
      <c r="B230" t="s">
        <v>814</v>
      </c>
      <c r="C230" s="1">
        <v>45771</v>
      </c>
      <c r="D230" t="s">
        <v>31</v>
      </c>
      <c r="E230" t="s">
        <v>190</v>
      </c>
      <c r="F230" t="s">
        <v>33</v>
      </c>
      <c r="G230" s="146"/>
      <c r="H230" t="s">
        <v>3582</v>
      </c>
      <c r="I230" s="161"/>
      <c r="J230" s="161">
        <v>3100</v>
      </c>
      <c r="K230" s="159">
        <f t="shared" si="7"/>
        <v>43399.170000000217</v>
      </c>
    </row>
    <row r="231" spans="1:11" ht="15">
      <c r="A231" s="54" t="str">
        <f t="shared" si="5"/>
        <v/>
      </c>
      <c r="B231" t="s">
        <v>814</v>
      </c>
      <c r="C231" s="1">
        <v>45775</v>
      </c>
      <c r="G231" s="146"/>
      <c r="H231" t="s">
        <v>3452</v>
      </c>
      <c r="I231" s="161">
        <v>400000</v>
      </c>
      <c r="J231" s="161"/>
      <c r="K231" s="159">
        <f t="shared" si="7"/>
        <v>443399.17000000022</v>
      </c>
    </row>
    <row r="232" spans="1:11" ht="15">
      <c r="A232" s="54" t="str">
        <f t="shared" si="5"/>
        <v>HRVACACIONES/FINIQUITOSHR</v>
      </c>
      <c r="B232" t="s">
        <v>814</v>
      </c>
      <c r="C232" s="1">
        <v>45775</v>
      </c>
      <c r="D232" t="s">
        <v>29</v>
      </c>
      <c r="E232" s="12" t="s">
        <v>190</v>
      </c>
      <c r="F232" s="213" t="s">
        <v>29</v>
      </c>
      <c r="G232" s="146"/>
      <c r="H232" t="s">
        <v>3583</v>
      </c>
      <c r="I232" s="161"/>
      <c r="J232" s="161">
        <v>1643</v>
      </c>
      <c r="K232" s="159">
        <f t="shared" si="7"/>
        <v>441756.17000000022</v>
      </c>
    </row>
    <row r="233" spans="1:11" ht="15">
      <c r="A233" s="54" t="str">
        <f t="shared" si="5"/>
        <v>HRVACACIONES/FINIQUITOSHR</v>
      </c>
      <c r="B233" t="s">
        <v>814</v>
      </c>
      <c r="C233" s="1">
        <v>45775</v>
      </c>
      <c r="D233" t="s">
        <v>29</v>
      </c>
      <c r="E233" s="12" t="s">
        <v>190</v>
      </c>
      <c r="F233" s="213" t="s">
        <v>29</v>
      </c>
      <c r="G233" s="146"/>
      <c r="H233" t="s">
        <v>3584</v>
      </c>
      <c r="I233" s="161"/>
      <c r="J233" s="161">
        <v>2125</v>
      </c>
      <c r="K233" s="159">
        <f t="shared" si="7"/>
        <v>439631.17000000022</v>
      </c>
    </row>
    <row r="234" spans="1:11" ht="15">
      <c r="A234" s="54" t="str">
        <f t="shared" si="5"/>
        <v>HRVACACIONES/FINIQUITOSHR</v>
      </c>
      <c r="B234" t="s">
        <v>814</v>
      </c>
      <c r="C234" s="1">
        <v>45775</v>
      </c>
      <c r="D234" t="s">
        <v>29</v>
      </c>
      <c r="E234" s="12" t="s">
        <v>190</v>
      </c>
      <c r="F234" s="213" t="s">
        <v>29</v>
      </c>
      <c r="G234" s="146"/>
      <c r="H234" t="s">
        <v>3585</v>
      </c>
      <c r="I234" s="161"/>
      <c r="J234" s="161">
        <v>3495</v>
      </c>
      <c r="K234" s="159">
        <f t="shared" si="7"/>
        <v>436136.17000000022</v>
      </c>
    </row>
    <row r="235" spans="1:11" ht="15">
      <c r="A235" s="54" t="str">
        <f t="shared" si="5"/>
        <v>HRVACACIONES/FINIQUITOSHR</v>
      </c>
      <c r="B235" t="s">
        <v>814</v>
      </c>
      <c r="C235" s="1">
        <v>45775</v>
      </c>
      <c r="D235" t="s">
        <v>29</v>
      </c>
      <c r="E235" s="12" t="s">
        <v>190</v>
      </c>
      <c r="F235" s="213" t="s">
        <v>29</v>
      </c>
      <c r="G235" s="146"/>
      <c r="H235" t="s">
        <v>3586</v>
      </c>
      <c r="I235" s="158"/>
      <c r="J235" s="81">
        <v>2255</v>
      </c>
      <c r="K235" s="159">
        <f t="shared" si="7"/>
        <v>433881.17000000022</v>
      </c>
    </row>
    <row r="236" spans="1:11" ht="15">
      <c r="A236" s="54" t="str">
        <f t="shared" si="5"/>
        <v>HRVACACIONES/FINIQUITOSHR</v>
      </c>
      <c r="B236" t="s">
        <v>814</v>
      </c>
      <c r="C236" s="1">
        <v>45775</v>
      </c>
      <c r="D236" t="s">
        <v>29</v>
      </c>
      <c r="E236" s="12" t="s">
        <v>190</v>
      </c>
      <c r="F236" s="213" t="s">
        <v>29</v>
      </c>
      <c r="G236" s="146"/>
      <c r="H236" t="s">
        <v>3587</v>
      </c>
      <c r="I236" s="158"/>
      <c r="J236" s="81">
        <v>200</v>
      </c>
      <c r="K236" s="159">
        <f t="shared" si="7"/>
        <v>433681.17000000022</v>
      </c>
    </row>
    <row r="237" spans="1:11" ht="15">
      <c r="A237" s="54" t="str">
        <f t="shared" si="5"/>
        <v>HRVACACIONES/FINIQUITOSHR</v>
      </c>
      <c r="B237" t="s">
        <v>814</v>
      </c>
      <c r="C237" s="1">
        <v>45775</v>
      </c>
      <c r="D237" t="s">
        <v>29</v>
      </c>
      <c r="E237" s="12" t="s">
        <v>190</v>
      </c>
      <c r="F237" s="213" t="s">
        <v>29</v>
      </c>
      <c r="G237" s="146"/>
      <c r="H237" t="s">
        <v>3588</v>
      </c>
      <c r="I237" s="161"/>
      <c r="J237" s="161">
        <v>3213</v>
      </c>
      <c r="K237" s="159">
        <f t="shared" si="7"/>
        <v>430468.17000000022</v>
      </c>
    </row>
    <row r="238" spans="1:11" ht="15">
      <c r="A238" s="54" t="str">
        <f t="shared" si="5"/>
        <v>HRVACACIONES/FINIQUITOSHR</v>
      </c>
      <c r="B238" t="s">
        <v>814</v>
      </c>
      <c r="C238" s="1">
        <v>45775</v>
      </c>
      <c r="D238" t="s">
        <v>29</v>
      </c>
      <c r="E238" s="12" t="s">
        <v>190</v>
      </c>
      <c r="F238" s="213" t="s">
        <v>29</v>
      </c>
      <c r="G238" s="146"/>
      <c r="H238" t="s">
        <v>3589</v>
      </c>
      <c r="I238" s="161"/>
      <c r="J238" s="161">
        <v>4536</v>
      </c>
      <c r="K238" s="159">
        <f t="shared" si="7"/>
        <v>425932.17000000022</v>
      </c>
    </row>
    <row r="239" spans="1:11" ht="15">
      <c r="A239" s="54" t="str">
        <f t="shared" si="5"/>
        <v>DENOMINA ADMONDIRECCION</v>
      </c>
      <c r="B239" t="s">
        <v>814</v>
      </c>
      <c r="C239" s="1">
        <v>45775</v>
      </c>
      <c r="D239" t="s">
        <v>41</v>
      </c>
      <c r="E239" t="s">
        <v>147</v>
      </c>
      <c r="F239" s="146" t="s">
        <v>42</v>
      </c>
      <c r="G239" s="146"/>
      <c r="H239" t="s">
        <v>3590</v>
      </c>
      <c r="I239" s="161"/>
      <c r="J239" s="161">
        <v>15000</v>
      </c>
      <c r="K239" s="159">
        <f t="shared" si="7"/>
        <v>410932.17000000022</v>
      </c>
    </row>
    <row r="240" spans="1:11" ht="15">
      <c r="A240" s="54" t="str">
        <f t="shared" si="5"/>
        <v>ELIVACACIONES/FINIQUITOSL1</v>
      </c>
      <c r="B240" t="s">
        <v>814</v>
      </c>
      <c r="C240" s="1">
        <v>45775</v>
      </c>
      <c r="D240" t="s">
        <v>130</v>
      </c>
      <c r="E240" t="s">
        <v>190</v>
      </c>
      <c r="F240" s="146" t="s">
        <v>136</v>
      </c>
      <c r="G240" s="146" t="s">
        <v>258</v>
      </c>
      <c r="H240" t="s">
        <v>3591</v>
      </c>
      <c r="I240" s="161"/>
      <c r="J240" s="81">
        <v>15000</v>
      </c>
      <c r="K240" s="159">
        <f t="shared" si="7"/>
        <v>395932.17000000022</v>
      </c>
    </row>
    <row r="241" spans="1:11" ht="15">
      <c r="A241" s="54" t="str">
        <f t="shared" si="5"/>
        <v/>
      </c>
      <c r="B241" t="s">
        <v>814</v>
      </c>
      <c r="C241" s="1">
        <v>45776</v>
      </c>
      <c r="F241" s="146"/>
      <c r="G241" s="146"/>
      <c r="H241" t="s">
        <v>3452</v>
      </c>
      <c r="I241" s="161">
        <v>250000</v>
      </c>
      <c r="J241" s="161"/>
      <c r="K241" s="159">
        <f>K240+I241-J241</f>
        <v>645932.17000000016</v>
      </c>
    </row>
    <row r="242" spans="1:11" ht="15">
      <c r="A242" s="54" t="str">
        <f t="shared" si="5"/>
        <v/>
      </c>
      <c r="B242" t="s">
        <v>814</v>
      </c>
      <c r="C242" s="1">
        <v>45777</v>
      </c>
      <c r="F242" s="146"/>
      <c r="G242" s="146"/>
      <c r="H242" t="s">
        <v>3452</v>
      </c>
      <c r="I242" s="161">
        <v>150000</v>
      </c>
      <c r="J242" s="161"/>
      <c r="K242" s="159">
        <f>K241+I242-J242</f>
        <v>795932.17000000016</v>
      </c>
    </row>
    <row r="243" spans="1:11" ht="15">
      <c r="A243" s="54" t="str">
        <f t="shared" si="5"/>
        <v/>
      </c>
      <c r="B243" t="s">
        <v>814</v>
      </c>
      <c r="C243" s="1">
        <v>45779</v>
      </c>
      <c r="F243" s="146"/>
      <c r="G243" s="146"/>
      <c r="H243" t="s">
        <v>3466</v>
      </c>
      <c r="I243" s="161">
        <v>17914.599999999999</v>
      </c>
      <c r="K243" s="159">
        <f>K242+I243-J243</f>
        <v>813846.77000000014</v>
      </c>
    </row>
    <row r="244" spans="1:11" ht="15">
      <c r="A244" s="54" t="str">
        <f t="shared" si="5"/>
        <v/>
      </c>
      <c r="B244" t="s">
        <v>814</v>
      </c>
      <c r="C244" s="1">
        <v>45779</v>
      </c>
      <c r="F244" s="146"/>
      <c r="G244" s="146"/>
      <c r="H244" t="s">
        <v>3467</v>
      </c>
      <c r="I244" s="81">
        <v>8000.94</v>
      </c>
      <c r="K244" s="159">
        <f>K243+I244-J244</f>
        <v>821847.71000000008</v>
      </c>
    </row>
    <row r="245" spans="1:11" ht="15">
      <c r="A245" s="54" t="str">
        <f t="shared" si="5"/>
        <v/>
      </c>
      <c r="B245" t="s">
        <v>814</v>
      </c>
      <c r="C245" s="1">
        <v>45779</v>
      </c>
      <c r="F245" s="146"/>
      <c r="G245" s="146"/>
      <c r="H245" t="s">
        <v>3468</v>
      </c>
      <c r="I245" s="161">
        <v>4162.6000000000004</v>
      </c>
      <c r="K245" s="159">
        <f>K244+I245-J245</f>
        <v>826010.31</v>
      </c>
    </row>
    <row r="246" spans="1:11" ht="15">
      <c r="A246" s="54" t="str">
        <f t="shared" si="5"/>
        <v/>
      </c>
      <c r="B246" t="s">
        <v>814</v>
      </c>
      <c r="C246" s="1">
        <v>45779</v>
      </c>
      <c r="F246" s="146"/>
      <c r="G246" s="146"/>
      <c r="H246" t="s">
        <v>3562</v>
      </c>
      <c r="I246" s="161"/>
      <c r="J246" s="81">
        <v>532448</v>
      </c>
      <c r="K246" s="159">
        <f>K245+I246-J246</f>
        <v>293562.31000000006</v>
      </c>
    </row>
    <row r="247" spans="1:11" ht="15">
      <c r="A247" s="54" t="str">
        <f t="shared" si="5"/>
        <v/>
      </c>
      <c r="B247" t="s">
        <v>814</v>
      </c>
      <c r="C247" s="1">
        <v>45779</v>
      </c>
      <c r="F247" s="146"/>
      <c r="G247" s="146"/>
      <c r="H247" t="s">
        <v>3563</v>
      </c>
      <c r="I247" s="161"/>
      <c r="J247" s="161">
        <v>167643</v>
      </c>
      <c r="K247" s="159">
        <f t="shared" ref="K247:K258" si="8">K246+I247-J247</f>
        <v>125919.31000000006</v>
      </c>
    </row>
    <row r="248" spans="1:11" ht="15">
      <c r="A248" s="54" t="str">
        <f t="shared" si="5"/>
        <v/>
      </c>
      <c r="B248" t="s">
        <v>814</v>
      </c>
      <c r="C248" s="1">
        <v>45779</v>
      </c>
      <c r="F248" s="146"/>
      <c r="G248" s="146"/>
      <c r="H248" t="s">
        <v>3592</v>
      </c>
      <c r="I248" s="161"/>
      <c r="J248" s="161">
        <v>35400</v>
      </c>
      <c r="K248" s="159">
        <f t="shared" si="8"/>
        <v>90519.310000000056</v>
      </c>
    </row>
    <row r="249" spans="1:11" ht="15">
      <c r="A249" s="54" t="str">
        <f t="shared" si="5"/>
        <v/>
      </c>
      <c r="B249" t="s">
        <v>1049</v>
      </c>
      <c r="C249" s="1">
        <v>45782</v>
      </c>
      <c r="F249" s="146"/>
      <c r="G249" s="146"/>
      <c r="H249" t="s">
        <v>3452</v>
      </c>
      <c r="I249" s="161">
        <v>300000</v>
      </c>
      <c r="J249" s="161"/>
      <c r="K249" s="159">
        <f t="shared" si="8"/>
        <v>390519.31000000006</v>
      </c>
    </row>
    <row r="250" spans="1:11" ht="15">
      <c r="A250" s="54" t="str">
        <f t="shared" si="5"/>
        <v>CAPVACACIONES/FINIQUITOSCAPRICHOS</v>
      </c>
      <c r="B250" t="s">
        <v>1049</v>
      </c>
      <c r="C250" s="1">
        <v>45782</v>
      </c>
      <c r="D250" t="s">
        <v>31</v>
      </c>
      <c r="E250" t="s">
        <v>190</v>
      </c>
      <c r="F250" s="146" t="s">
        <v>33</v>
      </c>
      <c r="G250" s="146" t="s">
        <v>216</v>
      </c>
      <c r="H250" t="s">
        <v>3593</v>
      </c>
      <c r="I250" s="161"/>
      <c r="J250" s="161">
        <v>2171</v>
      </c>
      <c r="K250" s="159">
        <f t="shared" si="8"/>
        <v>388348.31000000006</v>
      </c>
    </row>
    <row r="251" spans="1:11" ht="15">
      <c r="A251" s="54" t="str">
        <f t="shared" si="5"/>
        <v>HRVACACIONES/FINIQUITOSHR</v>
      </c>
      <c r="B251" t="s">
        <v>1049</v>
      </c>
      <c r="C251" s="1">
        <v>45782</v>
      </c>
      <c r="D251" t="s">
        <v>29</v>
      </c>
      <c r="E251" t="s">
        <v>190</v>
      </c>
      <c r="F251" s="213" t="s">
        <v>29</v>
      </c>
      <c r="G251" s="146" t="s">
        <v>216</v>
      </c>
      <c r="H251" t="s">
        <v>3594</v>
      </c>
      <c r="I251" s="161"/>
      <c r="J251" s="161">
        <v>1676</v>
      </c>
      <c r="K251" s="159">
        <f t="shared" si="8"/>
        <v>386672.31000000006</v>
      </c>
    </row>
    <row r="252" spans="1:11" ht="15">
      <c r="A252" s="54" t="str">
        <f t="shared" si="5"/>
        <v>HRVACACIONES/FINIQUITOSHR</v>
      </c>
      <c r="B252" t="s">
        <v>1049</v>
      </c>
      <c r="C252" s="1">
        <v>45782</v>
      </c>
      <c r="D252" t="s">
        <v>29</v>
      </c>
      <c r="E252" t="s">
        <v>190</v>
      </c>
      <c r="F252" s="213" t="s">
        <v>29</v>
      </c>
      <c r="G252" s="146" t="s">
        <v>216</v>
      </c>
      <c r="H252" t="s">
        <v>3595</v>
      </c>
      <c r="I252" s="161"/>
      <c r="J252" s="161">
        <v>1525</v>
      </c>
      <c r="K252" s="159">
        <f t="shared" si="8"/>
        <v>385147.31000000006</v>
      </c>
    </row>
    <row r="253" spans="1:11" ht="15">
      <c r="A253" s="54" t="str">
        <f t="shared" si="5"/>
        <v>HRVACACIONES/FINIQUITOSHR</v>
      </c>
      <c r="B253" t="s">
        <v>1049</v>
      </c>
      <c r="C253" s="1">
        <v>45782</v>
      </c>
      <c r="D253" t="s">
        <v>29</v>
      </c>
      <c r="E253" t="s">
        <v>190</v>
      </c>
      <c r="F253" s="213" t="s">
        <v>29</v>
      </c>
      <c r="G253" s="146" t="s">
        <v>216</v>
      </c>
      <c r="H253" t="s">
        <v>3596</v>
      </c>
      <c r="I253" s="161"/>
      <c r="J253" s="161">
        <v>400</v>
      </c>
      <c r="K253" s="159">
        <f t="shared" si="8"/>
        <v>384747.31000000006</v>
      </c>
    </row>
    <row r="254" spans="1:11" ht="15">
      <c r="A254" s="54" t="str">
        <f t="shared" si="5"/>
        <v>HRVACACIONES/FINIQUITOSHR</v>
      </c>
      <c r="B254" t="s">
        <v>1049</v>
      </c>
      <c r="C254" s="1">
        <v>45782</v>
      </c>
      <c r="D254" t="s">
        <v>29</v>
      </c>
      <c r="E254" t="s">
        <v>190</v>
      </c>
      <c r="F254" s="213" t="s">
        <v>29</v>
      </c>
      <c r="G254" s="146" t="s">
        <v>216</v>
      </c>
      <c r="H254" t="s">
        <v>3597</v>
      </c>
      <c r="I254" s="161"/>
      <c r="J254" s="81">
        <v>3799</v>
      </c>
      <c r="K254" s="159">
        <f t="shared" si="8"/>
        <v>380948.31000000006</v>
      </c>
    </row>
    <row r="255" spans="1:11" ht="15">
      <c r="A255" s="54" t="str">
        <f t="shared" si="5"/>
        <v>CAPVACACIONES/FINIQUITOSCAPRICHOS</v>
      </c>
      <c r="B255" t="s">
        <v>1049</v>
      </c>
      <c r="C255" s="1">
        <v>45782</v>
      </c>
      <c r="D255" t="s">
        <v>31</v>
      </c>
      <c r="E255" t="s">
        <v>190</v>
      </c>
      <c r="F255" s="146" t="s">
        <v>33</v>
      </c>
      <c r="G255" s="146" t="s">
        <v>216</v>
      </c>
      <c r="H255" t="s">
        <v>3598</v>
      </c>
      <c r="I255" s="161"/>
      <c r="J255" s="161">
        <v>1580</v>
      </c>
      <c r="K255" s="159">
        <f t="shared" si="8"/>
        <v>379368.31000000006</v>
      </c>
    </row>
    <row r="256" spans="1:11" ht="15">
      <c r="A256" s="54" t="str">
        <f t="shared" si="5"/>
        <v>HRVACACIONES/FINIQUITOSHR</v>
      </c>
      <c r="B256" t="s">
        <v>1049</v>
      </c>
      <c r="C256" s="1">
        <v>45782</v>
      </c>
      <c r="D256" t="s">
        <v>29</v>
      </c>
      <c r="E256" t="s">
        <v>190</v>
      </c>
      <c r="F256" s="213" t="s">
        <v>29</v>
      </c>
      <c r="G256" s="146" t="s">
        <v>216</v>
      </c>
      <c r="H256" t="s">
        <v>3599</v>
      </c>
      <c r="I256" s="161"/>
      <c r="J256" s="161">
        <v>2088</v>
      </c>
      <c r="K256" s="159">
        <f t="shared" si="8"/>
        <v>377280.31000000006</v>
      </c>
    </row>
    <row r="257" spans="1:11" ht="15">
      <c r="A257" s="54" t="str">
        <f t="shared" si="5"/>
        <v>HRVACACIONES/FINIQUITOSHR</v>
      </c>
      <c r="B257" t="s">
        <v>1049</v>
      </c>
      <c r="C257" s="1">
        <v>45782</v>
      </c>
      <c r="D257" t="s">
        <v>29</v>
      </c>
      <c r="E257" t="s">
        <v>190</v>
      </c>
      <c r="F257" s="213" t="s">
        <v>29</v>
      </c>
      <c r="G257" s="146" t="s">
        <v>216</v>
      </c>
      <c r="H257" t="s">
        <v>3600</v>
      </c>
      <c r="I257" s="161"/>
      <c r="J257" s="161">
        <v>3418</v>
      </c>
      <c r="K257" s="159">
        <f t="shared" si="8"/>
        <v>373862.31000000006</v>
      </c>
    </row>
    <row r="258" spans="1:11" ht="15">
      <c r="A258" s="54" t="str">
        <f t="shared" si="5"/>
        <v>CAPVACACIONES/FINIQUITOSCAPRICHOS</v>
      </c>
      <c r="B258" t="s">
        <v>1049</v>
      </c>
      <c r="C258" s="1">
        <v>45782</v>
      </c>
      <c r="D258" t="s">
        <v>31</v>
      </c>
      <c r="E258" t="s">
        <v>190</v>
      </c>
      <c r="F258" s="146" t="s">
        <v>33</v>
      </c>
      <c r="G258" s="146" t="s">
        <v>216</v>
      </c>
      <c r="H258" t="s">
        <v>3601</v>
      </c>
      <c r="I258" s="161"/>
      <c r="J258" s="161">
        <v>4592</v>
      </c>
      <c r="K258" s="159">
        <f t="shared" si="8"/>
        <v>369270.31000000006</v>
      </c>
    </row>
    <row r="259" spans="1:11" ht="15">
      <c r="A259" s="54" t="str">
        <f t="shared" si="5"/>
        <v/>
      </c>
      <c r="B259" t="s">
        <v>1049</v>
      </c>
      <c r="C259" s="1">
        <v>45783</v>
      </c>
      <c r="F259" s="146"/>
      <c r="G259" s="146"/>
      <c r="H259" t="s">
        <v>3452</v>
      </c>
      <c r="I259" s="81">
        <v>150000</v>
      </c>
      <c r="K259" s="159">
        <f>K258+I259-J259</f>
        <v>519270.31000000006</v>
      </c>
    </row>
    <row r="260" spans="1:11" ht="15">
      <c r="A260" s="54" t="str">
        <f t="shared" si="5"/>
        <v/>
      </c>
      <c r="B260" t="s">
        <v>1049</v>
      </c>
      <c r="C260" s="1">
        <v>45784</v>
      </c>
      <c r="F260" s="146"/>
      <c r="G260" s="146"/>
      <c r="H260" t="s">
        <v>3452</v>
      </c>
      <c r="I260" s="81">
        <v>150000</v>
      </c>
      <c r="J260" s="161"/>
      <c r="K260" s="159">
        <f>K259+I260-J260</f>
        <v>669270.31000000006</v>
      </c>
    </row>
    <row r="261" spans="1:11" ht="15">
      <c r="A261" s="54" t="str">
        <f t="shared" ref="A261:A324" si="9">D261&amp;E261&amp;F261</f>
        <v/>
      </c>
      <c r="B261" t="s">
        <v>1049</v>
      </c>
      <c r="C261" s="1">
        <v>45784</v>
      </c>
      <c r="F261" s="146"/>
      <c r="G261" s="146"/>
      <c r="H261" t="s">
        <v>3602</v>
      </c>
      <c r="I261" s="134">
        <v>15000</v>
      </c>
      <c r="J261" s="161"/>
      <c r="K261" s="159">
        <f>K260+I261-J261</f>
        <v>684270.31</v>
      </c>
    </row>
    <row r="262" spans="1:11" ht="15">
      <c r="A262" s="54" t="str">
        <f t="shared" si="9"/>
        <v/>
      </c>
      <c r="B262" t="s">
        <v>1049</v>
      </c>
      <c r="C262" s="1">
        <v>45785</v>
      </c>
      <c r="F262" s="146"/>
      <c r="G262" s="146"/>
      <c r="H262" s="98" t="s">
        <v>3452</v>
      </c>
      <c r="I262" s="161">
        <v>100000</v>
      </c>
      <c r="J262" s="161"/>
      <c r="K262" s="159">
        <f t="shared" ref="K262:K291" si="10">K261+I262-J262</f>
        <v>784270.31</v>
      </c>
    </row>
    <row r="263" spans="1:11" ht="15">
      <c r="A263" s="54" t="str">
        <f t="shared" si="9"/>
        <v/>
      </c>
      <c r="B263" t="s">
        <v>1049</v>
      </c>
      <c r="C263" s="1">
        <v>45782</v>
      </c>
      <c r="H263" t="s">
        <v>3466</v>
      </c>
      <c r="I263" s="81">
        <v>17914.400000000001</v>
      </c>
      <c r="K263" s="159">
        <f t="shared" si="10"/>
        <v>802184.71000000008</v>
      </c>
    </row>
    <row r="264" spans="1:11" ht="15">
      <c r="A264" s="54" t="str">
        <f t="shared" si="9"/>
        <v/>
      </c>
      <c r="B264" t="s">
        <v>1049</v>
      </c>
      <c r="C264" s="1">
        <v>45785</v>
      </c>
      <c r="F264" s="146"/>
      <c r="G264" s="146"/>
      <c r="H264" t="s">
        <v>3467</v>
      </c>
      <c r="I264" s="161">
        <v>4747.8</v>
      </c>
      <c r="K264" s="159">
        <f t="shared" si="10"/>
        <v>806932.51000000013</v>
      </c>
    </row>
    <row r="265" spans="1:11" ht="15">
      <c r="A265" s="54" t="str">
        <f t="shared" si="9"/>
        <v/>
      </c>
      <c r="B265" t="s">
        <v>1049</v>
      </c>
      <c r="C265" s="1">
        <v>45785</v>
      </c>
      <c r="F265" s="146"/>
      <c r="G265" s="146"/>
      <c r="H265" t="s">
        <v>3468</v>
      </c>
      <c r="I265" s="161">
        <v>8001.34</v>
      </c>
      <c r="K265" s="159">
        <f t="shared" si="10"/>
        <v>814933.85000000009</v>
      </c>
    </row>
    <row r="266" spans="1:11" ht="15">
      <c r="A266" s="54" t="str">
        <f t="shared" si="9"/>
        <v/>
      </c>
      <c r="B266" t="s">
        <v>1049</v>
      </c>
      <c r="C266" s="1">
        <v>45785</v>
      </c>
      <c r="F266" s="146"/>
      <c r="G266" s="146"/>
      <c r="H266" s="98" t="s">
        <v>3603</v>
      </c>
      <c r="I266" s="161"/>
      <c r="J266" s="81">
        <v>148062.20000000001</v>
      </c>
      <c r="K266" s="159">
        <f t="shared" si="10"/>
        <v>666871.65000000014</v>
      </c>
    </row>
    <row r="267" spans="1:11" ht="15">
      <c r="A267" s="54" t="str">
        <f t="shared" si="9"/>
        <v/>
      </c>
      <c r="B267" t="s">
        <v>1049</v>
      </c>
      <c r="C267" s="1">
        <v>45785</v>
      </c>
      <c r="F267" s="146"/>
      <c r="G267" s="146"/>
      <c r="H267" t="s">
        <v>3547</v>
      </c>
      <c r="I267" s="161"/>
      <c r="J267" s="161">
        <v>534073.98</v>
      </c>
      <c r="K267" s="159">
        <f t="shared" si="10"/>
        <v>132797.67000000016</v>
      </c>
    </row>
    <row r="268" spans="1:11" ht="15">
      <c r="A268" s="54" t="str">
        <f t="shared" si="9"/>
        <v>FINANZASVACACIONES/FINIQUITOSFINANZAS</v>
      </c>
      <c r="B268" t="s">
        <v>1049</v>
      </c>
      <c r="C268" s="1">
        <v>45785</v>
      </c>
      <c r="D268" t="s">
        <v>23</v>
      </c>
      <c r="E268" t="s">
        <v>190</v>
      </c>
      <c r="F268" s="146" t="s">
        <v>23</v>
      </c>
      <c r="G268" s="146"/>
      <c r="H268" t="s">
        <v>3604</v>
      </c>
      <c r="I268" s="161"/>
      <c r="J268" s="81">
        <v>6943</v>
      </c>
      <c r="K268" s="159">
        <f t="shared" si="10"/>
        <v>125854.67000000016</v>
      </c>
    </row>
    <row r="269" spans="1:11" ht="15">
      <c r="A269" s="54" t="str">
        <f t="shared" si="9"/>
        <v>CAPVACACIONES/FINIQUITOSCAPRICHOS</v>
      </c>
      <c r="B269" t="s">
        <v>1049</v>
      </c>
      <c r="C269" s="1">
        <v>45785</v>
      </c>
      <c r="D269" t="s">
        <v>31</v>
      </c>
      <c r="E269" t="s">
        <v>190</v>
      </c>
      <c r="F269" s="146" t="s">
        <v>33</v>
      </c>
      <c r="G269" s="146" t="s">
        <v>216</v>
      </c>
      <c r="H269" t="s">
        <v>3605</v>
      </c>
      <c r="I269" s="161"/>
      <c r="J269" s="81">
        <v>3859</v>
      </c>
      <c r="K269" s="159">
        <f t="shared" si="10"/>
        <v>121995.67000000016</v>
      </c>
    </row>
    <row r="270" spans="1:11" ht="15">
      <c r="A270" s="54" t="str">
        <f t="shared" si="9"/>
        <v>HRVACACIONES/FINIQUITOSHR</v>
      </c>
      <c r="B270" t="s">
        <v>1049</v>
      </c>
      <c r="C270" s="1">
        <v>45785</v>
      </c>
      <c r="D270" t="s">
        <v>29</v>
      </c>
      <c r="E270" t="s">
        <v>190</v>
      </c>
      <c r="F270" s="213" t="s">
        <v>29</v>
      </c>
      <c r="G270" s="146" t="s">
        <v>216</v>
      </c>
      <c r="H270" t="s">
        <v>3606</v>
      </c>
      <c r="I270" s="161"/>
      <c r="J270" s="161">
        <v>3325</v>
      </c>
      <c r="K270" s="159">
        <f t="shared" si="10"/>
        <v>118670.67000000016</v>
      </c>
    </row>
    <row r="271" spans="1:11" ht="15">
      <c r="A271" s="54" t="str">
        <f t="shared" si="9"/>
        <v/>
      </c>
      <c r="B271" t="s">
        <v>1049</v>
      </c>
      <c r="C271" s="1">
        <v>45785</v>
      </c>
      <c r="F271" s="146"/>
      <c r="G271" s="146"/>
      <c r="H271" t="s">
        <v>3607</v>
      </c>
      <c r="I271" s="161"/>
      <c r="J271" s="161">
        <v>35400</v>
      </c>
      <c r="K271" s="159">
        <f t="shared" si="10"/>
        <v>83270.670000000158</v>
      </c>
    </row>
    <row r="272" spans="1:11" ht="15">
      <c r="A272" s="54" t="str">
        <f t="shared" si="9"/>
        <v>SERVICIOSVACACIONES/FINIQUITOSSERVICIOS</v>
      </c>
      <c r="B272" t="s">
        <v>1049</v>
      </c>
      <c r="C272" s="1">
        <v>45786</v>
      </c>
      <c r="D272" t="s">
        <v>21</v>
      </c>
      <c r="E272" t="s">
        <v>190</v>
      </c>
      <c r="F272" s="146" t="s">
        <v>21</v>
      </c>
      <c r="G272" s="146" t="s">
        <v>258</v>
      </c>
      <c r="H272" t="s">
        <v>3608</v>
      </c>
      <c r="I272" s="161"/>
      <c r="J272" s="237">
        <v>15000</v>
      </c>
      <c r="K272" s="159">
        <f t="shared" si="10"/>
        <v>68270.670000000158</v>
      </c>
    </row>
    <row r="273" spans="1:11" ht="15">
      <c r="A273" s="54" t="str">
        <f t="shared" si="9"/>
        <v>SERVICIOSVACACIONES/FINIQUITOSSERVICIOS</v>
      </c>
      <c r="B273" t="s">
        <v>1049</v>
      </c>
      <c r="C273" s="1">
        <v>45786</v>
      </c>
      <c r="D273" t="s">
        <v>21</v>
      </c>
      <c r="E273" t="s">
        <v>190</v>
      </c>
      <c r="F273" s="146" t="s">
        <v>21</v>
      </c>
      <c r="G273" s="146" t="s">
        <v>258</v>
      </c>
      <c r="H273" t="s">
        <v>3608</v>
      </c>
      <c r="I273" s="161"/>
      <c r="J273" s="237">
        <v>35000</v>
      </c>
      <c r="K273" s="159">
        <f t="shared" si="10"/>
        <v>33270.670000000158</v>
      </c>
    </row>
    <row r="274" spans="1:11" ht="15">
      <c r="A274" s="54" t="str">
        <f t="shared" si="9"/>
        <v>HRNOMINA ADMONHR</v>
      </c>
      <c r="B274" t="s">
        <v>1049</v>
      </c>
      <c r="C274" s="1">
        <v>45786</v>
      </c>
      <c r="D274" t="s">
        <v>29</v>
      </c>
      <c r="E274" t="s">
        <v>147</v>
      </c>
      <c r="F274" s="3" t="s">
        <v>29</v>
      </c>
      <c r="G274" s="146"/>
      <c r="H274" t="s">
        <v>3609</v>
      </c>
      <c r="I274" s="161"/>
      <c r="J274" s="161">
        <v>626</v>
      </c>
      <c r="K274" s="159">
        <f t="shared" si="10"/>
        <v>32644.670000000158</v>
      </c>
    </row>
    <row r="275" spans="1:11" ht="15">
      <c r="A275" s="54" t="str">
        <f t="shared" si="9"/>
        <v>HRNOMINA ADMONHR</v>
      </c>
      <c r="B275" t="s">
        <v>1049</v>
      </c>
      <c r="C275" s="1">
        <v>45786</v>
      </c>
      <c r="D275" t="s">
        <v>29</v>
      </c>
      <c r="E275" t="s">
        <v>147</v>
      </c>
      <c r="F275" s="3" t="s">
        <v>29</v>
      </c>
      <c r="G275" s="146"/>
      <c r="H275" t="s">
        <v>3610</v>
      </c>
      <c r="I275" s="161"/>
      <c r="J275" s="161">
        <v>1894</v>
      </c>
      <c r="K275" s="159">
        <f t="shared" si="10"/>
        <v>30750.670000000158</v>
      </c>
    </row>
    <row r="276" spans="1:11" ht="15">
      <c r="A276" s="54" t="str">
        <f t="shared" si="9"/>
        <v>HRNOMINA ADMONHR</v>
      </c>
      <c r="B276" t="s">
        <v>1049</v>
      </c>
      <c r="C276" s="1">
        <v>45786</v>
      </c>
      <c r="D276" t="s">
        <v>29</v>
      </c>
      <c r="E276" t="s">
        <v>147</v>
      </c>
      <c r="F276" s="3" t="s">
        <v>29</v>
      </c>
      <c r="G276" s="146"/>
      <c r="H276" t="s">
        <v>3611</v>
      </c>
      <c r="I276" s="161"/>
      <c r="J276" s="161">
        <v>500</v>
      </c>
      <c r="K276" s="159">
        <f t="shared" si="10"/>
        <v>30250.670000000158</v>
      </c>
    </row>
    <row r="277" spans="1:11" ht="15">
      <c r="A277" s="54" t="str">
        <f t="shared" si="9"/>
        <v>HRNOMINA ADMONHR</v>
      </c>
      <c r="B277" t="s">
        <v>1049</v>
      </c>
      <c r="C277" s="1">
        <v>45786</v>
      </c>
      <c r="D277" t="s">
        <v>29</v>
      </c>
      <c r="E277" t="s">
        <v>147</v>
      </c>
      <c r="F277" s="3" t="s">
        <v>29</v>
      </c>
      <c r="G277" s="146"/>
      <c r="H277" t="s">
        <v>3612</v>
      </c>
      <c r="I277" s="161"/>
      <c r="J277" s="161">
        <v>93</v>
      </c>
      <c r="K277" s="159">
        <f t="shared" si="10"/>
        <v>30157.670000000158</v>
      </c>
    </row>
    <row r="278" spans="1:11" ht="15">
      <c r="A278" s="54" t="str">
        <f t="shared" si="9"/>
        <v>HRNOMINA ADMONHR</v>
      </c>
      <c r="B278" t="s">
        <v>1049</v>
      </c>
      <c r="C278" s="1">
        <v>45786</v>
      </c>
      <c r="D278" t="s">
        <v>29</v>
      </c>
      <c r="E278" t="s">
        <v>147</v>
      </c>
      <c r="F278" s="3" t="s">
        <v>29</v>
      </c>
      <c r="G278" s="146"/>
      <c r="H278" t="s">
        <v>3613</v>
      </c>
      <c r="I278" s="161"/>
      <c r="J278" s="161">
        <v>93</v>
      </c>
      <c r="K278" s="159">
        <f t="shared" si="10"/>
        <v>30064.670000000158</v>
      </c>
    </row>
    <row r="279" spans="1:11" ht="15">
      <c r="A279" s="54" t="str">
        <f t="shared" si="9"/>
        <v/>
      </c>
      <c r="B279" t="s">
        <v>1049</v>
      </c>
      <c r="C279" s="1">
        <v>45786</v>
      </c>
      <c r="F279" s="146"/>
      <c r="G279" s="146"/>
      <c r="H279" t="s">
        <v>3614</v>
      </c>
      <c r="I279" s="161"/>
      <c r="J279" s="161">
        <v>77791</v>
      </c>
      <c r="K279" s="159">
        <f t="shared" si="10"/>
        <v>-47726.329999999842</v>
      </c>
    </row>
    <row r="280" spans="1:11" ht="15">
      <c r="A280" s="54" t="str">
        <f t="shared" si="9"/>
        <v>CAPVACACIONES/FINIQUITOSCAPRICHOS</v>
      </c>
      <c r="B280" t="s">
        <v>1049</v>
      </c>
      <c r="C280" s="1">
        <v>45786</v>
      </c>
      <c r="D280" t="s">
        <v>31</v>
      </c>
      <c r="E280" t="s">
        <v>190</v>
      </c>
      <c r="F280" t="s">
        <v>33</v>
      </c>
      <c r="G280" s="146" t="s">
        <v>216</v>
      </c>
      <c r="H280" t="s">
        <v>3615</v>
      </c>
      <c r="I280" s="161"/>
      <c r="J280" s="161">
        <v>3763</v>
      </c>
      <c r="K280" s="159">
        <f t="shared" si="10"/>
        <v>-51489.329999999842</v>
      </c>
    </row>
    <row r="281" spans="1:11" ht="15">
      <c r="A281" s="54" t="str">
        <f t="shared" si="9"/>
        <v>CAPVACACIONES/FINIQUITOSCAPRICHOS</v>
      </c>
      <c r="B281" t="s">
        <v>1049</v>
      </c>
      <c r="C281" s="1">
        <v>45786</v>
      </c>
      <c r="D281" t="s">
        <v>31</v>
      </c>
      <c r="E281" t="s">
        <v>190</v>
      </c>
      <c r="F281" t="s">
        <v>33</v>
      </c>
      <c r="G281" s="146" t="s">
        <v>216</v>
      </c>
      <c r="H281" t="s">
        <v>3616</v>
      </c>
      <c r="I281" s="161"/>
      <c r="J281" s="161">
        <v>4336</v>
      </c>
      <c r="K281" s="159">
        <f t="shared" si="10"/>
        <v>-55825.329999999842</v>
      </c>
    </row>
    <row r="282" spans="1:11" ht="15">
      <c r="A282" s="54" t="str">
        <f t="shared" si="9"/>
        <v>CAPVACACIONES/FINIQUITOSCAPRICHOS</v>
      </c>
      <c r="B282" t="s">
        <v>1049</v>
      </c>
      <c r="C282" s="1">
        <v>45786</v>
      </c>
      <c r="D282" t="s">
        <v>31</v>
      </c>
      <c r="E282" t="s">
        <v>190</v>
      </c>
      <c r="F282" t="s">
        <v>33</v>
      </c>
      <c r="G282" s="146" t="s">
        <v>216</v>
      </c>
      <c r="H282" t="s">
        <v>3617</v>
      </c>
      <c r="I282" s="161"/>
      <c r="J282" s="161">
        <v>3661</v>
      </c>
      <c r="K282" s="159">
        <f t="shared" si="10"/>
        <v>-59486.329999999842</v>
      </c>
    </row>
    <row r="283" spans="1:11" ht="15">
      <c r="A283" s="54" t="str">
        <f t="shared" si="9"/>
        <v/>
      </c>
      <c r="B283" t="s">
        <v>1049</v>
      </c>
      <c r="C283" s="1">
        <v>45789</v>
      </c>
      <c r="F283" s="146"/>
      <c r="G283" s="146"/>
      <c r="H283" s="98" t="s">
        <v>3452</v>
      </c>
      <c r="I283" s="161">
        <v>600000</v>
      </c>
      <c r="J283" s="161"/>
      <c r="K283" s="159">
        <f t="shared" si="10"/>
        <v>540513.67000000016</v>
      </c>
    </row>
    <row r="284" spans="1:11" ht="15">
      <c r="A284" s="54" t="str">
        <f t="shared" si="9"/>
        <v/>
      </c>
      <c r="B284" t="s">
        <v>1049</v>
      </c>
      <c r="C284" s="1">
        <v>45790</v>
      </c>
      <c r="F284" s="146"/>
      <c r="G284" s="146"/>
      <c r="H284" s="98" t="s">
        <v>3452</v>
      </c>
      <c r="I284" s="161">
        <v>100000</v>
      </c>
      <c r="J284" s="161"/>
      <c r="K284" s="159">
        <f t="shared" si="10"/>
        <v>640513.67000000016</v>
      </c>
    </row>
    <row r="285" spans="1:11" ht="15">
      <c r="A285" s="54" t="str">
        <f t="shared" si="9"/>
        <v/>
      </c>
      <c r="B285" t="s">
        <v>1049</v>
      </c>
      <c r="C285" s="1">
        <v>45791</v>
      </c>
      <c r="F285" s="146"/>
      <c r="G285" s="146"/>
      <c r="H285" s="98" t="s">
        <v>3452</v>
      </c>
      <c r="I285" s="161">
        <v>50000</v>
      </c>
      <c r="J285" s="161"/>
      <c r="K285" s="159">
        <f t="shared" si="10"/>
        <v>690513.67000000016</v>
      </c>
    </row>
    <row r="286" spans="1:11" ht="15">
      <c r="A286" s="54" t="str">
        <f t="shared" si="9"/>
        <v/>
      </c>
      <c r="B286" t="s">
        <v>1049</v>
      </c>
      <c r="C286" s="1">
        <v>45792</v>
      </c>
      <c r="F286" s="146"/>
      <c r="G286" s="146"/>
      <c r="H286" s="98" t="s">
        <v>3452</v>
      </c>
      <c r="I286" s="161">
        <v>50000</v>
      </c>
      <c r="J286" s="161"/>
      <c r="K286" s="159">
        <f t="shared" si="10"/>
        <v>740513.67000000016</v>
      </c>
    </row>
    <row r="287" spans="1:11" ht="15">
      <c r="A287" s="54" t="str">
        <f t="shared" si="9"/>
        <v/>
      </c>
      <c r="B287" t="s">
        <v>1049</v>
      </c>
      <c r="C287" s="1">
        <v>45792</v>
      </c>
      <c r="F287" s="146"/>
      <c r="G287" s="146"/>
      <c r="H287" t="s">
        <v>3466</v>
      </c>
      <c r="I287" s="161">
        <v>17914</v>
      </c>
      <c r="J287" s="161"/>
      <c r="K287" s="159">
        <f t="shared" si="10"/>
        <v>758427.67000000016</v>
      </c>
    </row>
    <row r="288" spans="1:11" ht="15">
      <c r="A288" s="54" t="str">
        <f t="shared" si="9"/>
        <v/>
      </c>
      <c r="B288" t="s">
        <v>1049</v>
      </c>
      <c r="C288" s="1">
        <v>45792</v>
      </c>
      <c r="F288" s="146"/>
      <c r="G288" s="146"/>
      <c r="H288" t="s">
        <v>3468</v>
      </c>
      <c r="I288" s="161">
        <v>4135</v>
      </c>
      <c r="J288" s="161"/>
      <c r="K288" s="159">
        <f t="shared" si="10"/>
        <v>762562.67000000016</v>
      </c>
    </row>
    <row r="289" spans="1:11" ht="15">
      <c r="A289" s="54" t="str">
        <f t="shared" si="9"/>
        <v/>
      </c>
      <c r="B289" t="s">
        <v>1049</v>
      </c>
      <c r="C289" s="1">
        <v>45792</v>
      </c>
      <c r="F289" s="146"/>
      <c r="G289" s="146"/>
      <c r="H289" t="s">
        <v>3467</v>
      </c>
      <c r="I289" s="161">
        <v>8000.94</v>
      </c>
      <c r="J289" s="161"/>
      <c r="K289" s="159">
        <f t="shared" si="10"/>
        <v>770563.6100000001</v>
      </c>
    </row>
    <row r="290" spans="1:11" ht="15">
      <c r="A290" s="54" t="str">
        <f t="shared" si="9"/>
        <v/>
      </c>
      <c r="B290" t="s">
        <v>1049</v>
      </c>
      <c r="C290" s="1">
        <v>45792</v>
      </c>
      <c r="F290" s="146"/>
      <c r="G290" s="146"/>
      <c r="H290" s="98" t="s">
        <v>3497</v>
      </c>
      <c r="I290" s="161"/>
      <c r="J290" s="161">
        <v>539482.02</v>
      </c>
      <c r="K290" s="159">
        <f t="shared" si="10"/>
        <v>231081.59000000008</v>
      </c>
    </row>
    <row r="291" spans="1:11" ht="15">
      <c r="A291" s="54" t="str">
        <f t="shared" si="9"/>
        <v/>
      </c>
      <c r="B291" t="s">
        <v>1049</v>
      </c>
      <c r="C291" s="1">
        <v>45792</v>
      </c>
      <c r="F291" s="146"/>
      <c r="G291" s="146"/>
      <c r="H291" t="s">
        <v>3618</v>
      </c>
      <c r="I291" s="161"/>
      <c r="J291" s="161">
        <v>168599</v>
      </c>
      <c r="K291" s="159">
        <f t="shared" si="10"/>
        <v>62482.590000000084</v>
      </c>
    </row>
    <row r="292" spans="1:11" ht="15">
      <c r="A292" s="54" t="str">
        <f t="shared" si="9"/>
        <v/>
      </c>
      <c r="B292" t="s">
        <v>1049</v>
      </c>
      <c r="C292" s="1">
        <v>45792</v>
      </c>
      <c r="F292" s="146"/>
      <c r="G292" s="146"/>
      <c r="H292" t="s">
        <v>3619</v>
      </c>
      <c r="I292" s="161"/>
      <c r="J292" s="161">
        <v>35400</v>
      </c>
      <c r="K292" s="159">
        <f>K291+I292-J292</f>
        <v>27082.590000000084</v>
      </c>
    </row>
    <row r="293" spans="1:11" ht="15">
      <c r="A293" s="54" t="str">
        <f t="shared" si="9"/>
        <v>ELIVACACIONES/FINIQUITOSL1</v>
      </c>
      <c r="B293" t="s">
        <v>1049</v>
      </c>
      <c r="C293" s="1">
        <v>45792</v>
      </c>
      <c r="D293" t="s">
        <v>130</v>
      </c>
      <c r="E293" t="s">
        <v>190</v>
      </c>
      <c r="F293" s="146" t="s">
        <v>136</v>
      </c>
      <c r="G293" s="146" t="s">
        <v>258</v>
      </c>
      <c r="H293" t="s">
        <v>3620</v>
      </c>
      <c r="I293" s="161"/>
      <c r="J293" s="237">
        <v>15000</v>
      </c>
      <c r="K293" s="159">
        <f t="shared" ref="K293:K305" si="11">K292+I293-J293</f>
        <v>12082.590000000084</v>
      </c>
    </row>
    <row r="294" spans="1:11" ht="15">
      <c r="A294" s="54" t="str">
        <f t="shared" si="9"/>
        <v>HRVACACIONES/FINIQUITOSHR</v>
      </c>
      <c r="B294" t="s">
        <v>1049</v>
      </c>
      <c r="C294" s="1">
        <v>45792</v>
      </c>
      <c r="D294" t="s">
        <v>29</v>
      </c>
      <c r="E294" t="s">
        <v>190</v>
      </c>
      <c r="F294" s="213" t="s">
        <v>29</v>
      </c>
      <c r="G294" s="146" t="s">
        <v>216</v>
      </c>
      <c r="H294" t="s">
        <v>3621</v>
      </c>
      <c r="I294" s="161"/>
      <c r="J294" s="161">
        <v>3924</v>
      </c>
      <c r="K294" s="159">
        <f t="shared" si="11"/>
        <v>8158.5900000000838</v>
      </c>
    </row>
    <row r="295" spans="1:11" ht="15">
      <c r="A295" s="54" t="str">
        <f t="shared" si="9"/>
        <v xml:space="preserve">CAPVACACIONES/FINIQUITOSCAPRICHOS </v>
      </c>
      <c r="B295" t="s">
        <v>1049</v>
      </c>
      <c r="C295" s="1">
        <v>45792</v>
      </c>
      <c r="D295" t="s">
        <v>31</v>
      </c>
      <c r="E295" t="s">
        <v>190</v>
      </c>
      <c r="F295" s="146" t="s">
        <v>3622</v>
      </c>
      <c r="G295" s="146" t="s">
        <v>216</v>
      </c>
      <c r="H295" t="s">
        <v>3623</v>
      </c>
      <c r="I295" s="161"/>
      <c r="J295" s="161">
        <v>2800</v>
      </c>
      <c r="K295" s="159">
        <f t="shared" si="11"/>
        <v>5358.5900000000838</v>
      </c>
    </row>
    <row r="296" spans="1:11" ht="15">
      <c r="A296" s="54" t="str">
        <f t="shared" si="9"/>
        <v/>
      </c>
      <c r="B296" t="s">
        <v>1049</v>
      </c>
      <c r="C296" s="1">
        <v>45796</v>
      </c>
      <c r="F296" s="146"/>
      <c r="G296" s="146"/>
      <c r="H296" s="98" t="s">
        <v>3452</v>
      </c>
      <c r="I296" s="161">
        <v>400000</v>
      </c>
      <c r="J296" s="161"/>
      <c r="K296" s="159">
        <f t="shared" si="11"/>
        <v>405358.59000000008</v>
      </c>
    </row>
    <row r="297" spans="1:11">
      <c r="A297" s="54" t="str">
        <f t="shared" si="9"/>
        <v/>
      </c>
      <c r="B297" t="s">
        <v>1049</v>
      </c>
      <c r="C297" s="1">
        <v>45797</v>
      </c>
      <c r="F297" s="146"/>
      <c r="G297" s="146"/>
      <c r="H297" s="98" t="s">
        <v>3452</v>
      </c>
      <c r="I297" s="161">
        <v>150000</v>
      </c>
      <c r="J297" s="161"/>
      <c r="K297" s="159">
        <f t="shared" si="11"/>
        <v>555358.59000000008</v>
      </c>
    </row>
    <row r="298" spans="1:11" s="89" customFormat="1">
      <c r="A298" s="54" t="str">
        <f t="shared" si="9"/>
        <v/>
      </c>
      <c r="B298" s="89" t="s">
        <v>1049</v>
      </c>
      <c r="C298" s="235">
        <v>45797</v>
      </c>
      <c r="F298" s="236"/>
      <c r="G298" s="236"/>
      <c r="H298" s="111" t="s">
        <v>3624</v>
      </c>
      <c r="I298" s="237"/>
      <c r="J298" s="237">
        <v>5000</v>
      </c>
      <c r="K298" s="238">
        <f t="shared" si="11"/>
        <v>550358.59000000008</v>
      </c>
    </row>
    <row r="299" spans="1:11" ht="15">
      <c r="A299" s="54" t="str">
        <f t="shared" si="9"/>
        <v>HRVACACIONES/FINIQUITOSHR</v>
      </c>
      <c r="B299" t="s">
        <v>1049</v>
      </c>
      <c r="C299" s="1">
        <v>45797</v>
      </c>
      <c r="D299" t="s">
        <v>29</v>
      </c>
      <c r="E299" t="s">
        <v>190</v>
      </c>
      <c r="F299" s="213" t="s">
        <v>29</v>
      </c>
      <c r="G299" s="146" t="s">
        <v>216</v>
      </c>
      <c r="H299" t="s">
        <v>3625</v>
      </c>
      <c r="I299" s="161"/>
      <c r="J299" s="161">
        <v>2625</v>
      </c>
      <c r="K299" s="159">
        <f t="shared" si="11"/>
        <v>547733.59000000008</v>
      </c>
    </row>
    <row r="300" spans="1:11">
      <c r="A300" s="54" t="str">
        <f t="shared" si="9"/>
        <v>CAPVACACIONES/FINIQUITOSCAPRICHOS</v>
      </c>
      <c r="B300" t="s">
        <v>1049</v>
      </c>
      <c r="C300" s="1">
        <v>45797</v>
      </c>
      <c r="D300" t="s">
        <v>31</v>
      </c>
      <c r="E300" t="s">
        <v>190</v>
      </c>
      <c r="F300" s="146" t="s">
        <v>33</v>
      </c>
      <c r="G300" s="146" t="s">
        <v>216</v>
      </c>
      <c r="H300" t="s">
        <v>3626</v>
      </c>
      <c r="I300" s="161"/>
      <c r="J300" s="161">
        <v>726</v>
      </c>
      <c r="K300" s="159">
        <f t="shared" si="11"/>
        <v>547007.59000000008</v>
      </c>
    </row>
    <row r="301" spans="1:11">
      <c r="A301" s="54" t="str">
        <f t="shared" si="9"/>
        <v>CAPVACACIONES/FINIQUITOSCAPRICHOS</v>
      </c>
      <c r="B301" t="s">
        <v>1049</v>
      </c>
      <c r="C301" s="1">
        <v>45797</v>
      </c>
      <c r="D301" t="s">
        <v>31</v>
      </c>
      <c r="E301" t="s">
        <v>190</v>
      </c>
      <c r="F301" s="146" t="s">
        <v>33</v>
      </c>
      <c r="G301" s="146" t="s">
        <v>216</v>
      </c>
      <c r="H301" t="s">
        <v>3627</v>
      </c>
      <c r="I301" s="161"/>
      <c r="J301" s="161">
        <v>430</v>
      </c>
      <c r="K301" s="159">
        <f t="shared" si="11"/>
        <v>546577.59000000008</v>
      </c>
    </row>
    <row r="302" spans="1:11">
      <c r="A302" s="54" t="str">
        <f t="shared" si="9"/>
        <v>SERVICIOSVACACIONES/FINIQUITOSSERVICIOS</v>
      </c>
      <c r="B302" t="s">
        <v>1049</v>
      </c>
      <c r="C302" s="1">
        <v>45797</v>
      </c>
      <c r="D302" t="s">
        <v>21</v>
      </c>
      <c r="E302" t="s">
        <v>190</v>
      </c>
      <c r="F302" s="146" t="s">
        <v>21</v>
      </c>
      <c r="G302" s="146" t="s">
        <v>216</v>
      </c>
      <c r="H302" t="s">
        <v>3628</v>
      </c>
      <c r="I302" s="161"/>
      <c r="J302" s="161">
        <v>3887</v>
      </c>
      <c r="K302" s="159">
        <f t="shared" si="11"/>
        <v>542690.59000000008</v>
      </c>
    </row>
    <row r="303" spans="1:11">
      <c r="A303" s="54" t="str">
        <f t="shared" si="9"/>
        <v/>
      </c>
      <c r="B303" t="s">
        <v>1049</v>
      </c>
      <c r="C303" s="1">
        <v>45797</v>
      </c>
      <c r="F303" s="146"/>
      <c r="G303" s="146"/>
      <c r="H303" t="s">
        <v>3452</v>
      </c>
      <c r="I303" s="81">
        <v>150000</v>
      </c>
      <c r="K303" s="159">
        <f>K302+I303-J303</f>
        <v>692690.59000000008</v>
      </c>
    </row>
    <row r="304" spans="1:11">
      <c r="A304" s="54" t="str">
        <f t="shared" si="9"/>
        <v>FINANZASOTROS GASTOSPRESTAMO</v>
      </c>
      <c r="B304" t="s">
        <v>1049</v>
      </c>
      <c r="C304" s="1">
        <v>45798</v>
      </c>
      <c r="D304" t="s">
        <v>23</v>
      </c>
      <c r="E304" t="s">
        <v>156</v>
      </c>
      <c r="F304" s="146" t="s">
        <v>157</v>
      </c>
      <c r="G304" s="146" t="s">
        <v>258</v>
      </c>
      <c r="H304" t="s">
        <v>3629</v>
      </c>
      <c r="I304" s="161"/>
      <c r="J304" s="161">
        <v>3000</v>
      </c>
      <c r="K304" s="159">
        <f>K303+I304-J304</f>
        <v>689690.59000000008</v>
      </c>
    </row>
    <row r="305" spans="1:11">
      <c r="A305" s="54" t="str">
        <f t="shared" si="9"/>
        <v/>
      </c>
      <c r="B305" t="s">
        <v>1049</v>
      </c>
      <c r="C305" s="1">
        <v>45799</v>
      </c>
      <c r="F305" s="146"/>
      <c r="G305" s="146"/>
      <c r="H305" t="s">
        <v>3452</v>
      </c>
      <c r="I305" s="161">
        <v>10000</v>
      </c>
      <c r="J305" s="161"/>
      <c r="K305" s="159">
        <f>K304+I305-J305</f>
        <v>699690.59000000008</v>
      </c>
    </row>
    <row r="306" spans="1:11" ht="15">
      <c r="A306" s="54" t="str">
        <f t="shared" si="9"/>
        <v/>
      </c>
      <c r="B306" t="s">
        <v>1049</v>
      </c>
      <c r="C306" s="1">
        <v>45799</v>
      </c>
      <c r="F306" s="146"/>
      <c r="G306" s="146"/>
      <c r="H306" t="s">
        <v>3466</v>
      </c>
      <c r="I306" s="161">
        <v>17914.599999999999</v>
      </c>
      <c r="J306" s="161"/>
      <c r="K306" s="159">
        <f>K305+I306-J306</f>
        <v>717605.19000000006</v>
      </c>
    </row>
    <row r="307" spans="1:11" ht="15">
      <c r="A307" s="54" t="str">
        <f t="shared" si="9"/>
        <v/>
      </c>
      <c r="B307" t="s">
        <v>1049</v>
      </c>
      <c r="C307" s="1">
        <v>45799</v>
      </c>
      <c r="F307" s="146"/>
      <c r="G307" s="146"/>
      <c r="H307" t="s">
        <v>3468</v>
      </c>
      <c r="I307" s="161">
        <v>4135</v>
      </c>
      <c r="J307" s="161"/>
      <c r="K307" s="159">
        <f>K306+I307-J307</f>
        <v>721740.19000000006</v>
      </c>
    </row>
    <row r="308" spans="1:11" ht="15">
      <c r="A308" s="54" t="str">
        <f t="shared" si="9"/>
        <v/>
      </c>
      <c r="B308" t="s">
        <v>1049</v>
      </c>
      <c r="C308" s="1">
        <v>45799</v>
      </c>
      <c r="F308" s="146"/>
      <c r="G308" s="146"/>
      <c r="H308" t="s">
        <v>3467</v>
      </c>
      <c r="I308" s="161">
        <v>8000.94</v>
      </c>
      <c r="J308" s="161"/>
      <c r="K308" s="159">
        <f>K307+I308-J308</f>
        <v>729741.13</v>
      </c>
    </row>
    <row r="309" spans="1:11" ht="15">
      <c r="A309" s="54" t="str">
        <f t="shared" si="9"/>
        <v/>
      </c>
      <c r="B309" t="s">
        <v>1049</v>
      </c>
      <c r="C309" s="1">
        <v>45799</v>
      </c>
      <c r="F309" s="146"/>
      <c r="G309" s="146"/>
      <c r="H309" t="s">
        <v>3630</v>
      </c>
      <c r="I309" s="161"/>
      <c r="J309" s="161">
        <v>523584.42</v>
      </c>
      <c r="K309" s="159">
        <f>K308+I309-J309</f>
        <v>206156.71000000002</v>
      </c>
    </row>
    <row r="310" spans="1:11" ht="15">
      <c r="A310" s="54" t="str">
        <f t="shared" si="9"/>
        <v/>
      </c>
      <c r="B310" t="s">
        <v>1049</v>
      </c>
      <c r="C310" s="1">
        <v>45799</v>
      </c>
      <c r="F310" s="146"/>
      <c r="G310" s="146"/>
      <c r="H310" t="s">
        <v>3631</v>
      </c>
      <c r="I310" s="161"/>
      <c r="J310" s="161">
        <v>146447</v>
      </c>
      <c r="K310" s="159">
        <f>K309+I310-J310</f>
        <v>59709.710000000021</v>
      </c>
    </row>
    <row r="311" spans="1:11" ht="15">
      <c r="A311" s="54" t="str">
        <f t="shared" si="9"/>
        <v/>
      </c>
      <c r="B311" t="s">
        <v>1049</v>
      </c>
      <c r="C311" s="1">
        <v>45799</v>
      </c>
      <c r="F311" s="146"/>
      <c r="G311" s="146"/>
      <c r="H311" t="s">
        <v>3632</v>
      </c>
      <c r="I311" s="161"/>
      <c r="J311" s="161">
        <v>35400</v>
      </c>
      <c r="K311" s="159">
        <f>K310+I311-J311</f>
        <v>24309.710000000021</v>
      </c>
    </row>
    <row r="312" spans="1:11" ht="15">
      <c r="A312" s="54" t="str">
        <f t="shared" si="9"/>
        <v>SERVICIOSVACACIONES/FINIQUITOSSERVICIOS</v>
      </c>
      <c r="B312" t="s">
        <v>1049</v>
      </c>
      <c r="C312" s="1">
        <v>45799</v>
      </c>
      <c r="D312" t="s">
        <v>21</v>
      </c>
      <c r="E312" t="s">
        <v>190</v>
      </c>
      <c r="F312" s="146" t="s">
        <v>21</v>
      </c>
      <c r="G312" s="146" t="s">
        <v>216</v>
      </c>
      <c r="H312" t="s">
        <v>3633</v>
      </c>
      <c r="I312" s="161"/>
      <c r="J312" s="161">
        <v>2370</v>
      </c>
      <c r="K312" s="159">
        <f>K311+I312-J312</f>
        <v>21939.710000000021</v>
      </c>
    </row>
    <row r="313" spans="1:11" ht="15">
      <c r="A313" s="54" t="str">
        <f t="shared" si="9"/>
        <v>SERVICIOSVACACIONES/FINIQUITOSSERVICIOS</v>
      </c>
      <c r="B313" t="s">
        <v>1049</v>
      </c>
      <c r="C313" s="1">
        <v>45799</v>
      </c>
      <c r="D313" t="s">
        <v>21</v>
      </c>
      <c r="E313" t="s">
        <v>190</v>
      </c>
      <c r="F313" s="146" t="s">
        <v>21</v>
      </c>
      <c r="G313" s="146" t="s">
        <v>216</v>
      </c>
      <c r="H313" t="s">
        <v>3634</v>
      </c>
      <c r="I313" s="161"/>
      <c r="J313" s="161">
        <v>3760</v>
      </c>
      <c r="K313" s="159">
        <f>K312+I313-J313</f>
        <v>18179.710000000021</v>
      </c>
    </row>
    <row r="314" spans="1:11" ht="15">
      <c r="A314" s="54" t="str">
        <f t="shared" si="9"/>
        <v>HRVACACIONES/FINIQUITOSHR</v>
      </c>
      <c r="B314" t="s">
        <v>1049</v>
      </c>
      <c r="C314" s="1">
        <v>45799</v>
      </c>
      <c r="D314" t="s">
        <v>29</v>
      </c>
      <c r="E314" t="s">
        <v>190</v>
      </c>
      <c r="F314" s="213" t="s">
        <v>29</v>
      </c>
      <c r="G314" s="146" t="s">
        <v>216</v>
      </c>
      <c r="H314" t="s">
        <v>3635</v>
      </c>
      <c r="I314" s="161"/>
      <c r="J314" s="161">
        <v>5270</v>
      </c>
      <c r="K314" s="159">
        <f t="shared" ref="K314:K330" si="12">K313+I314-J314</f>
        <v>12909.710000000021</v>
      </c>
    </row>
    <row r="315" spans="1:11" ht="15">
      <c r="A315" s="54" t="str">
        <f t="shared" si="9"/>
        <v>HRVACACIONES/FINIQUITOSHR</v>
      </c>
      <c r="B315" t="s">
        <v>1049</v>
      </c>
      <c r="C315" s="1">
        <v>45799</v>
      </c>
      <c r="D315" t="s">
        <v>29</v>
      </c>
      <c r="E315" t="s">
        <v>190</v>
      </c>
      <c r="F315" s="213" t="s">
        <v>29</v>
      </c>
      <c r="G315" s="146" t="s">
        <v>216</v>
      </c>
      <c r="H315" t="s">
        <v>3636</v>
      </c>
      <c r="I315" s="161"/>
      <c r="J315" s="161">
        <v>6821</v>
      </c>
      <c r="K315" s="159">
        <f t="shared" si="12"/>
        <v>6088.710000000021</v>
      </c>
    </row>
    <row r="316" spans="1:11" ht="15">
      <c r="A316" s="54" t="str">
        <f t="shared" si="9"/>
        <v>CAPVACACIONES/FINIQUITOSCAPRICHOS</v>
      </c>
      <c r="B316" t="s">
        <v>1049</v>
      </c>
      <c r="C316" s="1">
        <v>45799</v>
      </c>
      <c r="D316" t="s">
        <v>31</v>
      </c>
      <c r="E316" t="s">
        <v>190</v>
      </c>
      <c r="F316" s="146" t="s">
        <v>33</v>
      </c>
      <c r="G316" s="146" t="s">
        <v>216</v>
      </c>
      <c r="H316" t="s">
        <v>3637</v>
      </c>
      <c r="I316" s="161"/>
      <c r="J316" s="161">
        <v>4092</v>
      </c>
      <c r="K316" s="159">
        <f t="shared" si="12"/>
        <v>1996.710000000021</v>
      </c>
    </row>
    <row r="317" spans="1:11" ht="15">
      <c r="A317" s="54" t="str">
        <f t="shared" si="9"/>
        <v>FINANZASOTROS GASTOSPRESTAMO</v>
      </c>
      <c r="B317" t="s">
        <v>1049</v>
      </c>
      <c r="C317" s="1">
        <v>45803</v>
      </c>
      <c r="D317" t="s">
        <v>23</v>
      </c>
      <c r="E317" t="s">
        <v>156</v>
      </c>
      <c r="F317" s="146" t="s">
        <v>157</v>
      </c>
      <c r="G317" s="146" t="s">
        <v>258</v>
      </c>
      <c r="H317" t="s">
        <v>3638</v>
      </c>
      <c r="I317" s="161"/>
      <c r="J317" s="161">
        <v>1000</v>
      </c>
      <c r="K317" s="159">
        <f t="shared" si="12"/>
        <v>996.71000000002095</v>
      </c>
    </row>
    <row r="318" spans="1:11" ht="15">
      <c r="A318" s="54" t="str">
        <f t="shared" si="9"/>
        <v/>
      </c>
      <c r="B318" t="s">
        <v>1049</v>
      </c>
      <c r="C318" s="1">
        <v>45803</v>
      </c>
      <c r="F318" s="146"/>
      <c r="G318" s="146"/>
      <c r="H318" t="s">
        <v>3472</v>
      </c>
      <c r="I318" s="161">
        <v>700000</v>
      </c>
      <c r="J318" s="161"/>
      <c r="K318" s="159">
        <f t="shared" si="12"/>
        <v>700996.71</v>
      </c>
    </row>
    <row r="319" spans="1:11" ht="15">
      <c r="A319" s="54" t="str">
        <f t="shared" si="9"/>
        <v>FINANZASOTROS GASTOSPRESTAMO</v>
      </c>
      <c r="B319" t="s">
        <v>1049</v>
      </c>
      <c r="C319" s="1">
        <v>45804</v>
      </c>
      <c r="D319" t="s">
        <v>23</v>
      </c>
      <c r="E319" t="s">
        <v>156</v>
      </c>
      <c r="F319" s="146" t="s">
        <v>157</v>
      </c>
      <c r="G319" s="146" t="s">
        <v>258</v>
      </c>
      <c r="H319" t="s">
        <v>3639</v>
      </c>
      <c r="I319" s="161"/>
      <c r="J319" s="161">
        <v>20000</v>
      </c>
      <c r="K319" s="159">
        <f t="shared" si="12"/>
        <v>680996.71</v>
      </c>
    </row>
    <row r="320" spans="1:11" ht="15">
      <c r="A320" s="54" t="str">
        <f t="shared" si="9"/>
        <v>CAPVACACIONES/FINIQUITOSCAPRICHOS</v>
      </c>
      <c r="B320" t="s">
        <v>1049</v>
      </c>
      <c r="C320" s="1">
        <v>45804</v>
      </c>
      <c r="D320" t="s">
        <v>31</v>
      </c>
      <c r="E320" t="s">
        <v>190</v>
      </c>
      <c r="F320" s="146" t="s">
        <v>33</v>
      </c>
      <c r="G320" s="146" t="s">
        <v>216</v>
      </c>
      <c r="H320" t="s">
        <v>3640</v>
      </c>
      <c r="I320" s="161"/>
      <c r="J320" s="161">
        <v>9113</v>
      </c>
      <c r="K320" s="159">
        <f t="shared" si="12"/>
        <v>671883.71</v>
      </c>
    </row>
    <row r="321" spans="1:11" ht="15">
      <c r="A321" s="54" t="str">
        <f t="shared" si="9"/>
        <v>FINANZASVACACIONES/FINIQUITOSFINANZAS</v>
      </c>
      <c r="B321" t="s">
        <v>1049</v>
      </c>
      <c r="C321" s="1">
        <v>45804</v>
      </c>
      <c r="D321" t="s">
        <v>23</v>
      </c>
      <c r="E321" t="s">
        <v>190</v>
      </c>
      <c r="F321" s="146" t="s">
        <v>23</v>
      </c>
      <c r="G321" s="146"/>
      <c r="H321" t="s">
        <v>3641</v>
      </c>
      <c r="I321" s="161"/>
      <c r="J321" s="161">
        <v>6557</v>
      </c>
      <c r="K321" s="159">
        <f t="shared" si="12"/>
        <v>665326.71</v>
      </c>
    </row>
    <row r="322" spans="1:11" ht="15">
      <c r="A322" s="54" t="str">
        <f t="shared" si="9"/>
        <v>FINANZASOTROS GASTOSPRESTAMO</v>
      </c>
      <c r="B322" t="s">
        <v>1049</v>
      </c>
      <c r="C322" s="1">
        <v>45805</v>
      </c>
      <c r="D322" t="s">
        <v>23</v>
      </c>
      <c r="E322" t="s">
        <v>156</v>
      </c>
      <c r="F322" s="146" t="s">
        <v>157</v>
      </c>
      <c r="G322" s="146" t="s">
        <v>258</v>
      </c>
      <c r="H322" t="s">
        <v>3642</v>
      </c>
      <c r="I322" s="161"/>
      <c r="J322" s="161">
        <v>13000</v>
      </c>
      <c r="K322" s="159">
        <f t="shared" si="12"/>
        <v>652326.71</v>
      </c>
    </row>
    <row r="323" spans="1:11" ht="15">
      <c r="A323" s="54" t="str">
        <f t="shared" si="9"/>
        <v/>
      </c>
      <c r="B323" t="s">
        <v>1049</v>
      </c>
      <c r="C323" s="1">
        <v>45806</v>
      </c>
      <c r="F323" s="146"/>
      <c r="G323" s="146"/>
      <c r="H323" t="s">
        <v>3452</v>
      </c>
      <c r="I323" s="161">
        <v>20000</v>
      </c>
      <c r="J323" s="161"/>
      <c r="K323" s="159">
        <f t="shared" si="12"/>
        <v>672326.71</v>
      </c>
    </row>
    <row r="324" spans="1:11" ht="15">
      <c r="A324" s="54" t="str">
        <f t="shared" si="9"/>
        <v/>
      </c>
      <c r="B324" t="s">
        <v>1049</v>
      </c>
      <c r="C324" s="1">
        <v>45806</v>
      </c>
      <c r="F324" s="146"/>
      <c r="G324" s="146"/>
      <c r="H324" t="s">
        <v>3466</v>
      </c>
      <c r="I324" s="161">
        <v>17913.2</v>
      </c>
      <c r="J324" s="161"/>
      <c r="K324" s="159">
        <f t="shared" si="12"/>
        <v>690239.90999999992</v>
      </c>
    </row>
    <row r="325" spans="1:11" ht="15">
      <c r="A325" s="54" t="str">
        <f t="shared" ref="A325:A388" si="13">D325&amp;E325&amp;F325</f>
        <v/>
      </c>
      <c r="B325" t="s">
        <v>1049</v>
      </c>
      <c r="C325" s="1">
        <v>45806</v>
      </c>
      <c r="F325" s="146"/>
      <c r="G325" s="146"/>
      <c r="H325" t="s">
        <v>3468</v>
      </c>
      <c r="I325" s="161">
        <v>3000.4</v>
      </c>
      <c r="J325" s="161"/>
      <c r="K325" s="159">
        <f t="shared" si="12"/>
        <v>693240.30999999994</v>
      </c>
    </row>
    <row r="326" spans="1:11" ht="15">
      <c r="A326" s="54" t="str">
        <f t="shared" si="13"/>
        <v/>
      </c>
      <c r="B326" t="s">
        <v>1049</v>
      </c>
      <c r="C326" s="1">
        <v>45806</v>
      </c>
      <c r="F326" s="146"/>
      <c r="G326" s="146"/>
      <c r="H326" t="s">
        <v>3467</v>
      </c>
      <c r="I326" s="161">
        <v>7983.2</v>
      </c>
      <c r="J326" s="161"/>
      <c r="K326" s="159">
        <f t="shared" si="12"/>
        <v>701223.50999999989</v>
      </c>
    </row>
    <row r="327" spans="1:11" ht="15">
      <c r="A327" s="54" t="str">
        <f t="shared" si="13"/>
        <v/>
      </c>
      <c r="B327" t="s">
        <v>1049</v>
      </c>
      <c r="C327" s="1">
        <v>45806</v>
      </c>
      <c r="F327" s="146"/>
      <c r="G327" s="146"/>
      <c r="H327" t="s">
        <v>3497</v>
      </c>
      <c r="I327" s="161"/>
      <c r="J327" s="161">
        <v>498833.6</v>
      </c>
      <c r="K327" s="159">
        <f t="shared" si="12"/>
        <v>202389.90999999992</v>
      </c>
    </row>
    <row r="328" spans="1:11" ht="15">
      <c r="A328" s="54" t="str">
        <f t="shared" si="13"/>
        <v/>
      </c>
      <c r="B328" t="s">
        <v>1049</v>
      </c>
      <c r="C328" s="1">
        <v>45806</v>
      </c>
      <c r="F328" s="146"/>
      <c r="G328" s="146"/>
      <c r="H328" t="s">
        <v>3563</v>
      </c>
      <c r="I328" s="161"/>
      <c r="J328" s="161">
        <v>159790</v>
      </c>
      <c r="K328" s="159">
        <f t="shared" si="12"/>
        <v>42599.909999999916</v>
      </c>
    </row>
    <row r="329" spans="1:11" ht="15">
      <c r="A329" s="54" t="str">
        <f t="shared" si="13"/>
        <v/>
      </c>
      <c r="B329" t="s">
        <v>1049</v>
      </c>
      <c r="C329" s="1">
        <v>45806</v>
      </c>
      <c r="F329" s="146"/>
      <c r="G329" s="146"/>
      <c r="H329" t="s">
        <v>3537</v>
      </c>
      <c r="I329" s="161"/>
      <c r="J329" s="161">
        <v>35400</v>
      </c>
      <c r="K329" s="159">
        <f>K328+I329-J329</f>
        <v>7199.9099999999162</v>
      </c>
    </row>
    <row r="330" spans="1:11" ht="15">
      <c r="A330" s="54" t="str">
        <f t="shared" si="13"/>
        <v>FINANZASOTROS GASTOSPRESTAMO</v>
      </c>
      <c r="B330" t="s">
        <v>1049</v>
      </c>
      <c r="C330" s="1">
        <v>45807</v>
      </c>
      <c r="D330" t="s">
        <v>23</v>
      </c>
      <c r="E330" t="s">
        <v>156</v>
      </c>
      <c r="F330" s="146" t="s">
        <v>157</v>
      </c>
      <c r="G330" s="146" t="s">
        <v>258</v>
      </c>
      <c r="H330" t="s">
        <v>3643</v>
      </c>
      <c r="I330" s="161"/>
      <c r="J330" s="161">
        <v>3000</v>
      </c>
      <c r="K330" s="159">
        <f>K329+I330-J330</f>
        <v>4199.9099999999162</v>
      </c>
    </row>
    <row r="331" spans="1:11" ht="15">
      <c r="A331" s="54" t="str">
        <f t="shared" si="13"/>
        <v/>
      </c>
      <c r="B331" t="s">
        <v>1049</v>
      </c>
      <c r="C331" s="1">
        <v>45807</v>
      </c>
      <c r="F331" s="146"/>
      <c r="G331" s="146"/>
      <c r="H331" t="s">
        <v>3452</v>
      </c>
      <c r="I331" s="161">
        <v>27600</v>
      </c>
      <c r="J331" s="161"/>
      <c r="K331" s="159">
        <f>K330+I331-J331</f>
        <v>31799.909999999916</v>
      </c>
    </row>
    <row r="332" spans="1:11" ht="15">
      <c r="A332" s="54" t="str">
        <f t="shared" si="13"/>
        <v>SERVICIOSNOMINA ADMONCOMPRAS</v>
      </c>
      <c r="B332" t="s">
        <v>1049</v>
      </c>
      <c r="C332" s="1">
        <v>45807</v>
      </c>
      <c r="D332" t="s">
        <v>21</v>
      </c>
      <c r="E332" t="s">
        <v>147</v>
      </c>
      <c r="F332" s="146" t="s">
        <v>148</v>
      </c>
      <c r="G332" s="146"/>
      <c r="H332" t="s">
        <v>3644</v>
      </c>
      <c r="I332" s="161"/>
      <c r="J332" s="161">
        <v>20500</v>
      </c>
      <c r="K332" s="159">
        <f>K331+I332-J332</f>
        <v>11299.909999999916</v>
      </c>
    </row>
    <row r="333" spans="1:11" ht="15">
      <c r="A333" s="54" t="str">
        <f t="shared" si="13"/>
        <v>SERVICIOSNOMINA ADMONSISTEMAS</v>
      </c>
      <c r="B333" t="s">
        <v>1049</v>
      </c>
      <c r="C333" s="1">
        <v>45807</v>
      </c>
      <c r="D333" t="s">
        <v>21</v>
      </c>
      <c r="E333" t="s">
        <v>147</v>
      </c>
      <c r="F333" s="146" t="s">
        <v>36</v>
      </c>
      <c r="G333" s="146"/>
      <c r="H333" t="s">
        <v>3645</v>
      </c>
      <c r="I333" s="161"/>
      <c r="J333" s="161">
        <v>356</v>
      </c>
      <c r="K333" s="159">
        <f>K332+I333-J333</f>
        <v>10943.909999999916</v>
      </c>
    </row>
    <row r="334" spans="1:11" ht="15">
      <c r="A334" s="54" t="str">
        <f t="shared" si="13"/>
        <v>SERVICIOSNOMINA SUCURSALCEDIS</v>
      </c>
      <c r="B334" t="s">
        <v>1049</v>
      </c>
      <c r="C334" s="1">
        <v>45807</v>
      </c>
      <c r="D334" t="s">
        <v>21</v>
      </c>
      <c r="E334" t="s">
        <v>154</v>
      </c>
      <c r="F334" s="146" t="s">
        <v>28</v>
      </c>
      <c r="G334" s="146"/>
      <c r="H334" t="s">
        <v>3646</v>
      </c>
      <c r="I334" s="161"/>
      <c r="J334" s="161">
        <v>1726</v>
      </c>
      <c r="K334" s="159">
        <f>K333+I334-J334</f>
        <v>9217.9099999999162</v>
      </c>
    </row>
    <row r="335" spans="1:11" ht="15">
      <c r="A335" s="54" t="str">
        <f t="shared" si="13"/>
        <v>CAPVACACIONES/FINIQUITOSCAPRICHOS</v>
      </c>
      <c r="B335" t="s">
        <v>1049</v>
      </c>
      <c r="C335" s="1">
        <v>45807</v>
      </c>
      <c r="D335" t="s">
        <v>31</v>
      </c>
      <c r="E335" t="s">
        <v>190</v>
      </c>
      <c r="F335" s="146" t="s">
        <v>33</v>
      </c>
      <c r="G335" s="146"/>
      <c r="H335" t="s">
        <v>3647</v>
      </c>
      <c r="I335" s="161"/>
      <c r="J335" s="161">
        <v>5786</v>
      </c>
      <c r="K335" s="159">
        <f>K334+I335-J335</f>
        <v>3431.9099999999162</v>
      </c>
    </row>
    <row r="336" spans="1:11" ht="15">
      <c r="A336" s="54" t="str">
        <f t="shared" si="13"/>
        <v>HRVACACIONES/FINIQUITOSHR</v>
      </c>
      <c r="B336" t="s">
        <v>1049</v>
      </c>
      <c r="C336" s="1">
        <v>45807</v>
      </c>
      <c r="D336" t="s">
        <v>29</v>
      </c>
      <c r="E336" t="s">
        <v>190</v>
      </c>
      <c r="F336" s="213" t="s">
        <v>29</v>
      </c>
      <c r="G336" s="146"/>
      <c r="H336" t="s">
        <v>3648</v>
      </c>
      <c r="I336" s="161"/>
      <c r="J336" s="161">
        <v>3425</v>
      </c>
      <c r="K336" s="159">
        <f t="shared" ref="K336:K343" si="14">K335+I336-J336</f>
        <v>6.909999999916181</v>
      </c>
    </row>
    <row r="337" spans="1:11" ht="15">
      <c r="A337" s="54" t="str">
        <f t="shared" si="13"/>
        <v>HRNOMINA SUCURSALA15</v>
      </c>
      <c r="B337" t="s">
        <v>1049</v>
      </c>
      <c r="C337" s="1">
        <v>45807</v>
      </c>
      <c r="D337" t="s">
        <v>29</v>
      </c>
      <c r="E337" t="s">
        <v>154</v>
      </c>
      <c r="F337" s="146" t="s">
        <v>100</v>
      </c>
      <c r="G337" s="146"/>
      <c r="H337" t="s">
        <v>3649</v>
      </c>
      <c r="I337" s="161"/>
      <c r="J337" s="161">
        <v>2070</v>
      </c>
      <c r="K337" s="159">
        <f t="shared" si="14"/>
        <v>-2063.0900000000838</v>
      </c>
    </row>
    <row r="338" spans="1:11" ht="15">
      <c r="A338" s="54" t="str">
        <f t="shared" si="13"/>
        <v/>
      </c>
      <c r="B338" t="s">
        <v>1277</v>
      </c>
      <c r="C338" s="1">
        <v>45810</v>
      </c>
      <c r="F338" s="146"/>
      <c r="G338" s="146"/>
      <c r="H338" t="s">
        <v>3472</v>
      </c>
      <c r="I338" s="161">
        <v>350000</v>
      </c>
      <c r="J338" s="161"/>
      <c r="K338" s="159">
        <f t="shared" si="14"/>
        <v>347936.90999999992</v>
      </c>
    </row>
    <row r="339" spans="1:11" ht="15">
      <c r="A339" s="54" t="str">
        <f t="shared" si="13"/>
        <v>CAPVACACIONES/FINIQUITOSCAPRICHOS</v>
      </c>
      <c r="B339" t="s">
        <v>1277</v>
      </c>
      <c r="C339" s="1">
        <v>45810</v>
      </c>
      <c r="D339" t="s">
        <v>31</v>
      </c>
      <c r="E339" t="s">
        <v>190</v>
      </c>
      <c r="F339" s="146" t="s">
        <v>33</v>
      </c>
      <c r="G339" s="146"/>
      <c r="H339" t="s">
        <v>3650</v>
      </c>
      <c r="I339" s="161"/>
      <c r="J339" s="161">
        <v>400</v>
      </c>
      <c r="K339" s="159">
        <f t="shared" si="14"/>
        <v>347536.90999999992</v>
      </c>
    </row>
    <row r="340" spans="1:11" ht="15">
      <c r="A340" s="54" t="str">
        <f t="shared" si="13"/>
        <v>HRVACACIONES/FINIQUITOSHR</v>
      </c>
      <c r="B340" t="s">
        <v>1277</v>
      </c>
      <c r="C340" s="1">
        <v>45810</v>
      </c>
      <c r="D340" t="s">
        <v>29</v>
      </c>
      <c r="E340" t="s">
        <v>190</v>
      </c>
      <c r="F340" s="213" t="s">
        <v>29</v>
      </c>
      <c r="G340" s="146"/>
      <c r="H340" t="s">
        <v>3651</v>
      </c>
      <c r="I340" s="161"/>
      <c r="J340" s="161">
        <v>1505</v>
      </c>
      <c r="K340" s="159">
        <f t="shared" si="14"/>
        <v>346031.90999999992</v>
      </c>
    </row>
    <row r="341" spans="1:11" ht="15">
      <c r="A341" s="54" t="str">
        <f t="shared" si="13"/>
        <v>FINANZASOTROS GASTOSPRESTAMO</v>
      </c>
      <c r="B341" t="s">
        <v>1277</v>
      </c>
      <c r="C341" s="1">
        <v>45810</v>
      </c>
      <c r="D341" t="s">
        <v>23</v>
      </c>
      <c r="E341" t="s">
        <v>156</v>
      </c>
      <c r="F341" t="s">
        <v>157</v>
      </c>
      <c r="G341" s="146" t="s">
        <v>258</v>
      </c>
      <c r="H341" t="s">
        <v>3652</v>
      </c>
      <c r="I341" s="161"/>
      <c r="J341" s="161">
        <v>5000</v>
      </c>
      <c r="K341" s="159">
        <f>K340+I341-J341</f>
        <v>341031.90999999992</v>
      </c>
    </row>
    <row r="342" spans="1:11" ht="15">
      <c r="A342" s="54" t="str">
        <f t="shared" si="13"/>
        <v/>
      </c>
      <c r="B342" t="s">
        <v>1277</v>
      </c>
      <c r="C342" s="1">
        <v>45811</v>
      </c>
      <c r="F342" s="146"/>
      <c r="G342" s="146"/>
      <c r="H342" t="s">
        <v>3472</v>
      </c>
      <c r="I342" s="161">
        <v>200000</v>
      </c>
      <c r="J342" s="161"/>
      <c r="K342" s="159">
        <f>K341+I342-J342</f>
        <v>541031.90999999992</v>
      </c>
    </row>
    <row r="343" spans="1:11" ht="15">
      <c r="A343" s="54" t="str">
        <f t="shared" si="13"/>
        <v>CAPVACACIONES/FINIQUITOSCAPRICHOS</v>
      </c>
      <c r="B343" t="s">
        <v>1277</v>
      </c>
      <c r="C343" s="1">
        <v>45811</v>
      </c>
      <c r="D343" t="s">
        <v>31</v>
      </c>
      <c r="E343" t="s">
        <v>190</v>
      </c>
      <c r="F343" s="146" t="s">
        <v>33</v>
      </c>
      <c r="G343" s="146"/>
      <c r="H343" t="s">
        <v>3653</v>
      </c>
      <c r="I343" s="161"/>
      <c r="J343" s="161">
        <v>730</v>
      </c>
      <c r="K343" s="159">
        <f>K342+I343-J343</f>
        <v>540301.90999999992</v>
      </c>
    </row>
    <row r="344" spans="1:11" ht="15">
      <c r="A344" s="54" t="str">
        <f t="shared" si="13"/>
        <v>HRVACACIONES/FINIQUITOSHR</v>
      </c>
      <c r="B344" t="s">
        <v>1277</v>
      </c>
      <c r="C344" s="1">
        <v>45811</v>
      </c>
      <c r="D344" t="s">
        <v>29</v>
      </c>
      <c r="E344" t="s">
        <v>190</v>
      </c>
      <c r="F344" s="213" t="s">
        <v>29</v>
      </c>
      <c r="G344" s="146"/>
      <c r="H344" t="s">
        <v>3654</v>
      </c>
      <c r="I344" s="161"/>
      <c r="J344" s="161">
        <v>6738</v>
      </c>
      <c r="K344" s="159">
        <f>K343+I344-J344</f>
        <v>533563.90999999992</v>
      </c>
    </row>
    <row r="345" spans="1:11" ht="15">
      <c r="A345" s="54" t="str">
        <f t="shared" si="13"/>
        <v>HRVACACIONES/FINIQUITOSHR</v>
      </c>
      <c r="B345" t="s">
        <v>1277</v>
      </c>
      <c r="C345" s="1">
        <v>45811</v>
      </c>
      <c r="D345" t="s">
        <v>29</v>
      </c>
      <c r="E345" t="s">
        <v>190</v>
      </c>
      <c r="F345" s="213" t="s">
        <v>29</v>
      </c>
      <c r="G345" s="146"/>
      <c r="H345" t="s">
        <v>3655</v>
      </c>
      <c r="I345" s="161"/>
      <c r="J345" s="161">
        <v>1440</v>
      </c>
      <c r="K345" s="159">
        <f>K344+I345-J345</f>
        <v>532123.90999999992</v>
      </c>
    </row>
    <row r="346" spans="1:11" ht="15">
      <c r="A346" s="54" t="str">
        <f t="shared" si="13"/>
        <v>SERVICIOSVACACIONES/FINIQUITOSSERVICIOS</v>
      </c>
      <c r="B346" t="s">
        <v>1277</v>
      </c>
      <c r="C346" s="1">
        <v>45811</v>
      </c>
      <c r="D346" t="s">
        <v>21</v>
      </c>
      <c r="E346" t="s">
        <v>190</v>
      </c>
      <c r="F346" s="146" t="s">
        <v>21</v>
      </c>
      <c r="G346" s="146"/>
      <c r="H346" t="s">
        <v>3656</v>
      </c>
      <c r="I346" s="161"/>
      <c r="J346" s="161">
        <v>7573</v>
      </c>
      <c r="K346" s="159">
        <f t="shared" ref="K346:K381" si="15">K345+I346-J346</f>
        <v>524550.90999999992</v>
      </c>
    </row>
    <row r="347" spans="1:11" ht="15">
      <c r="A347" s="54" t="str">
        <f t="shared" si="13"/>
        <v>SERVICIOSVACACIONES/FINIQUITOSSERVICIOS</v>
      </c>
      <c r="B347" t="s">
        <v>1277</v>
      </c>
      <c r="C347" s="1">
        <v>45811</v>
      </c>
      <c r="D347" t="s">
        <v>21</v>
      </c>
      <c r="E347" t="s">
        <v>190</v>
      </c>
      <c r="F347" s="146" t="s">
        <v>21</v>
      </c>
      <c r="G347" s="146"/>
      <c r="H347" t="s">
        <v>3657</v>
      </c>
      <c r="I347" s="161"/>
      <c r="J347" s="161">
        <v>4649</v>
      </c>
      <c r="K347" s="159">
        <f t="shared" si="15"/>
        <v>519901.90999999992</v>
      </c>
    </row>
    <row r="348" spans="1:11" ht="15">
      <c r="A348" s="54" t="str">
        <f t="shared" si="13"/>
        <v/>
      </c>
      <c r="B348" t="s">
        <v>1277</v>
      </c>
      <c r="C348" s="1">
        <v>45812</v>
      </c>
      <c r="F348" s="146"/>
      <c r="G348" s="146"/>
      <c r="H348" t="s">
        <v>3472</v>
      </c>
      <c r="I348" s="161">
        <v>200000</v>
      </c>
      <c r="J348" s="161"/>
      <c r="K348" s="159">
        <f t="shared" si="15"/>
        <v>719901.90999999992</v>
      </c>
    </row>
    <row r="349" spans="1:11" s="89" customFormat="1" ht="15">
      <c r="A349" s="54" t="str">
        <f t="shared" si="13"/>
        <v>HRVACACIONES/FINIQUITOSHR</v>
      </c>
      <c r="B349" s="89" t="s">
        <v>1277</v>
      </c>
      <c r="C349" s="1">
        <v>45812</v>
      </c>
      <c r="D349" s="89" t="s">
        <v>29</v>
      </c>
      <c r="E349" s="89" t="s">
        <v>190</v>
      </c>
      <c r="F349" s="236" t="s">
        <v>29</v>
      </c>
      <c r="G349" s="236"/>
      <c r="H349" s="89" t="s">
        <v>3658</v>
      </c>
      <c r="I349" s="237"/>
      <c r="J349" s="237">
        <v>400</v>
      </c>
      <c r="K349" s="238">
        <f t="shared" si="15"/>
        <v>719501.90999999992</v>
      </c>
    </row>
    <row r="350" spans="1:11" s="89" customFormat="1" ht="15">
      <c r="A350" s="54" t="str">
        <f t="shared" si="13"/>
        <v>HRVACACIONES/FINIQUITOSHR</v>
      </c>
      <c r="B350" s="89" t="s">
        <v>1277</v>
      </c>
      <c r="C350" s="1">
        <v>45812</v>
      </c>
      <c r="D350" s="89" t="s">
        <v>29</v>
      </c>
      <c r="E350" s="89" t="s">
        <v>190</v>
      </c>
      <c r="F350" s="236" t="s">
        <v>29</v>
      </c>
      <c r="G350" s="236"/>
      <c r="H350" s="89" t="s">
        <v>3659</v>
      </c>
      <c r="I350" s="237"/>
      <c r="J350" s="237">
        <v>350</v>
      </c>
      <c r="K350" s="238">
        <f t="shared" si="15"/>
        <v>719151.90999999992</v>
      </c>
    </row>
    <row r="351" spans="1:11" s="89" customFormat="1" ht="15">
      <c r="A351" s="54" t="str">
        <f t="shared" si="13"/>
        <v>HRVACACIONES/FINIQUITOSHR</v>
      </c>
      <c r="B351" s="89" t="s">
        <v>1277</v>
      </c>
      <c r="C351" s="1">
        <v>45812</v>
      </c>
      <c r="D351" s="89" t="s">
        <v>29</v>
      </c>
      <c r="E351" s="89" t="s">
        <v>190</v>
      </c>
      <c r="F351" s="236" t="s">
        <v>29</v>
      </c>
      <c r="G351" s="236"/>
      <c r="H351" s="89" t="s">
        <v>3660</v>
      </c>
      <c r="I351" s="237"/>
      <c r="J351" s="237">
        <v>38</v>
      </c>
      <c r="K351" s="238">
        <f t="shared" si="15"/>
        <v>719113.90999999992</v>
      </c>
    </row>
    <row r="352" spans="1:11" ht="15">
      <c r="A352" s="54" t="str">
        <f t="shared" si="13"/>
        <v>CAPVACACIONES/FINIQUITOSCAPRICHOS</v>
      </c>
      <c r="B352" t="s">
        <v>1277</v>
      </c>
      <c r="C352" s="1">
        <v>45812</v>
      </c>
      <c r="D352" t="s">
        <v>31</v>
      </c>
      <c r="E352" t="s">
        <v>190</v>
      </c>
      <c r="F352" s="146" t="s">
        <v>33</v>
      </c>
      <c r="G352" s="146"/>
      <c r="H352" t="s">
        <v>3661</v>
      </c>
      <c r="I352" s="161"/>
      <c r="J352" s="161">
        <v>1000</v>
      </c>
      <c r="K352" s="159">
        <f t="shared" si="15"/>
        <v>718113.90999999992</v>
      </c>
    </row>
    <row r="353" spans="1:11" ht="15">
      <c r="A353" s="54" t="str">
        <f t="shared" si="13"/>
        <v/>
      </c>
      <c r="B353" t="s">
        <v>1277</v>
      </c>
      <c r="C353" s="1">
        <v>45812</v>
      </c>
      <c r="F353" s="146"/>
      <c r="G353" s="146"/>
      <c r="H353" t="s">
        <v>3472</v>
      </c>
      <c r="I353" s="161"/>
      <c r="J353" s="161"/>
      <c r="K353" s="159">
        <f t="shared" si="15"/>
        <v>718113.90999999992</v>
      </c>
    </row>
    <row r="354" spans="1:11" ht="15">
      <c r="A354" s="54" t="str">
        <f t="shared" si="13"/>
        <v/>
      </c>
      <c r="B354" t="s">
        <v>1277</v>
      </c>
      <c r="C354" s="1">
        <v>45813</v>
      </c>
      <c r="F354" s="146"/>
      <c r="G354" s="146"/>
      <c r="H354" t="s">
        <v>3466</v>
      </c>
      <c r="I354" s="161">
        <v>17914.599999999999</v>
      </c>
      <c r="J354" s="161"/>
      <c r="K354" s="159">
        <f t="shared" si="15"/>
        <v>736028.50999999989</v>
      </c>
    </row>
    <row r="355" spans="1:11" ht="15">
      <c r="A355" s="54" t="str">
        <f t="shared" si="13"/>
        <v/>
      </c>
      <c r="B355" t="s">
        <v>1277</v>
      </c>
      <c r="C355" s="1">
        <v>45813</v>
      </c>
      <c r="F355" s="146"/>
      <c r="G355" s="146"/>
      <c r="H355" t="s">
        <v>3468</v>
      </c>
      <c r="I355" s="161">
        <v>4318.2</v>
      </c>
      <c r="J355" s="161"/>
      <c r="K355" s="159">
        <f t="shared" si="15"/>
        <v>740346.70999999985</v>
      </c>
    </row>
    <row r="356" spans="1:11" ht="15">
      <c r="A356" s="54" t="str">
        <f t="shared" si="13"/>
        <v/>
      </c>
      <c r="B356" t="s">
        <v>1277</v>
      </c>
      <c r="C356" s="1">
        <v>45813</v>
      </c>
      <c r="F356" s="146"/>
      <c r="G356" s="146"/>
      <c r="H356" t="s">
        <v>3467</v>
      </c>
      <c r="I356" s="161">
        <v>8000.94</v>
      </c>
      <c r="J356" s="161"/>
      <c r="K356" s="159">
        <f t="shared" si="15"/>
        <v>748347.64999999979</v>
      </c>
    </row>
    <row r="357" spans="1:11" ht="15">
      <c r="A357" s="54" t="str">
        <f t="shared" si="13"/>
        <v/>
      </c>
      <c r="B357" t="s">
        <v>1277</v>
      </c>
      <c r="C357" s="1">
        <v>45813</v>
      </c>
      <c r="F357" s="146"/>
      <c r="G357" s="146"/>
      <c r="H357" t="s">
        <v>3662</v>
      </c>
      <c r="I357" s="161"/>
      <c r="J357" s="161">
        <v>524537.80000000005</v>
      </c>
      <c r="K357" s="159">
        <f t="shared" si="15"/>
        <v>223809.84999999974</v>
      </c>
    </row>
    <row r="358" spans="1:11" ht="15">
      <c r="A358" s="54" t="str">
        <f t="shared" si="13"/>
        <v/>
      </c>
      <c r="B358" t="s">
        <v>1277</v>
      </c>
      <c r="C358" s="1">
        <v>45813</v>
      </c>
      <c r="F358" s="146"/>
      <c r="G358" s="146"/>
      <c r="H358" t="s">
        <v>3663</v>
      </c>
      <c r="I358" s="161"/>
      <c r="J358" s="161">
        <v>151120</v>
      </c>
      <c r="K358" s="159">
        <f t="shared" si="15"/>
        <v>72689.849999999744</v>
      </c>
    </row>
    <row r="359" spans="1:11" ht="15">
      <c r="A359" s="54" t="str">
        <f t="shared" si="13"/>
        <v/>
      </c>
      <c r="B359" t="s">
        <v>1277</v>
      </c>
      <c r="C359" s="1">
        <v>45813</v>
      </c>
      <c r="F359" s="146"/>
      <c r="G359" s="146"/>
      <c r="H359" t="s">
        <v>3664</v>
      </c>
      <c r="I359" s="161"/>
      <c r="J359" s="161">
        <v>50615</v>
      </c>
      <c r="K359" s="159">
        <f t="shared" si="15"/>
        <v>22074.849999999744</v>
      </c>
    </row>
    <row r="360" spans="1:11" ht="15">
      <c r="A360" s="54" t="str">
        <f t="shared" si="13"/>
        <v>FINANZASOTROS GASTOSPRESTAMO</v>
      </c>
      <c r="B360" t="s">
        <v>1277</v>
      </c>
      <c r="C360" s="1">
        <v>45813</v>
      </c>
      <c r="D360" t="s">
        <v>23</v>
      </c>
      <c r="E360" t="s">
        <v>156</v>
      </c>
      <c r="F360" t="s">
        <v>157</v>
      </c>
      <c r="G360" s="146" t="s">
        <v>258</v>
      </c>
      <c r="H360" t="s">
        <v>3665</v>
      </c>
      <c r="I360" s="161"/>
      <c r="J360" s="161">
        <v>2000</v>
      </c>
      <c r="K360" s="159">
        <f t="shared" si="15"/>
        <v>20074.849999999744</v>
      </c>
    </row>
    <row r="361" spans="1:11" ht="15">
      <c r="A361" s="54" t="str">
        <f t="shared" si="13"/>
        <v>HRVACACIONES/FINIQUITOSHR</v>
      </c>
      <c r="B361" t="s">
        <v>1277</v>
      </c>
      <c r="C361" s="1">
        <v>45814</v>
      </c>
      <c r="D361" t="s">
        <v>29</v>
      </c>
      <c r="E361" t="s">
        <v>190</v>
      </c>
      <c r="F361" s="213" t="s">
        <v>29</v>
      </c>
      <c r="G361" s="146"/>
      <c r="H361" t="s">
        <v>3666</v>
      </c>
      <c r="I361" s="161"/>
      <c r="J361" s="161">
        <v>1825</v>
      </c>
      <c r="K361" s="159">
        <f t="shared" si="15"/>
        <v>18249.849999999744</v>
      </c>
    </row>
    <row r="362" spans="1:11" ht="15">
      <c r="A362" s="54" t="str">
        <f t="shared" si="13"/>
        <v>SERVICIOSVACACIONES/FINIQUITOSSERVICIOS</v>
      </c>
      <c r="B362" t="s">
        <v>1277</v>
      </c>
      <c r="C362" s="1">
        <v>45814</v>
      </c>
      <c r="D362" t="s">
        <v>21</v>
      </c>
      <c r="E362" t="s">
        <v>190</v>
      </c>
      <c r="F362" s="146" t="s">
        <v>21</v>
      </c>
      <c r="G362" s="146" t="s">
        <v>258</v>
      </c>
      <c r="H362" t="s">
        <v>3667</v>
      </c>
      <c r="I362" s="161"/>
      <c r="J362" s="161">
        <v>4729</v>
      </c>
      <c r="K362" s="159">
        <f t="shared" si="15"/>
        <v>13520.849999999744</v>
      </c>
    </row>
    <row r="363" spans="1:11" ht="15">
      <c r="A363" s="54" t="str">
        <f t="shared" si="13"/>
        <v>FINANZASNOMINA ADMONTESORERIA</v>
      </c>
      <c r="B363" t="s">
        <v>1277</v>
      </c>
      <c r="C363" s="1">
        <v>45814</v>
      </c>
      <c r="D363" t="s">
        <v>23</v>
      </c>
      <c r="E363" t="s">
        <v>147</v>
      </c>
      <c r="F363" s="146" t="s">
        <v>38</v>
      </c>
      <c r="G363" s="146"/>
      <c r="H363" t="s">
        <v>3668</v>
      </c>
      <c r="I363" s="161"/>
      <c r="J363" s="161">
        <v>160</v>
      </c>
      <c r="K363" s="159">
        <f t="shared" si="15"/>
        <v>13360.849999999744</v>
      </c>
    </row>
    <row r="364" spans="1:11" ht="15">
      <c r="A364" s="54" t="str">
        <f t="shared" si="13"/>
        <v/>
      </c>
      <c r="B364" t="s">
        <v>1277</v>
      </c>
      <c r="C364" s="1">
        <v>45814</v>
      </c>
      <c r="F364" s="146"/>
      <c r="G364" s="146"/>
      <c r="H364" t="s">
        <v>3472</v>
      </c>
      <c r="I364" s="158">
        <v>400000</v>
      </c>
      <c r="J364" s="158"/>
      <c r="K364" s="159">
        <f t="shared" si="15"/>
        <v>413360.84999999974</v>
      </c>
    </row>
    <row r="365" spans="1:11" ht="15">
      <c r="A365" s="54" t="str">
        <f t="shared" si="13"/>
        <v>SGEVACACIONES/FINIQUITOSGESTION EMPRESARIAL</v>
      </c>
      <c r="B365" t="s">
        <v>1277</v>
      </c>
      <c r="C365" s="1">
        <v>45814</v>
      </c>
      <c r="D365" t="s">
        <v>39</v>
      </c>
      <c r="E365" t="s">
        <v>190</v>
      </c>
      <c r="F365" s="146" t="s">
        <v>40</v>
      </c>
      <c r="G365" s="146" t="s">
        <v>258</v>
      </c>
      <c r="H365" t="s">
        <v>3669</v>
      </c>
      <c r="I365" s="158"/>
      <c r="J365" s="161">
        <v>3724</v>
      </c>
      <c r="K365" s="159">
        <f t="shared" si="15"/>
        <v>409636.84999999974</v>
      </c>
    </row>
    <row r="366" spans="1:11" ht="15">
      <c r="A366" s="54" t="str">
        <f t="shared" si="13"/>
        <v>CAPVACACIONES/FINIQUITOSCAPRICHOS</v>
      </c>
      <c r="B366" t="s">
        <v>1277</v>
      </c>
      <c r="C366" s="1">
        <v>45814</v>
      </c>
      <c r="D366" t="s">
        <v>31</v>
      </c>
      <c r="E366" t="s">
        <v>190</v>
      </c>
      <c r="F366" s="146" t="s">
        <v>33</v>
      </c>
      <c r="G366" s="146"/>
      <c r="H366" t="s">
        <v>3670</v>
      </c>
      <c r="I366" s="158"/>
      <c r="J366" s="161">
        <v>1626</v>
      </c>
      <c r="K366" s="159">
        <f t="shared" si="15"/>
        <v>408010.84999999974</v>
      </c>
    </row>
    <row r="367" spans="1:11" ht="15">
      <c r="A367" s="54" t="str">
        <f t="shared" si="13"/>
        <v>HRVACACIONES/FINIQUITOSHR</v>
      </c>
      <c r="B367" t="s">
        <v>1277</v>
      </c>
      <c r="C367" s="1">
        <v>45814</v>
      </c>
      <c r="D367" t="s">
        <v>29</v>
      </c>
      <c r="E367" t="s">
        <v>190</v>
      </c>
      <c r="F367" s="213" t="s">
        <v>29</v>
      </c>
      <c r="G367" s="146"/>
      <c r="H367" t="s">
        <v>3671</v>
      </c>
      <c r="I367" s="158"/>
      <c r="J367" s="161">
        <v>726</v>
      </c>
      <c r="K367" s="159">
        <f t="shared" si="15"/>
        <v>407284.84999999974</v>
      </c>
    </row>
    <row r="368" spans="1:11" ht="15">
      <c r="A368" s="54" t="str">
        <f t="shared" si="13"/>
        <v>SERVICIOSNOMINA SUCURSALCEDIS</v>
      </c>
      <c r="B368" t="s">
        <v>1277</v>
      </c>
      <c r="C368" s="1">
        <v>45814</v>
      </c>
      <c r="D368" t="s">
        <v>21</v>
      </c>
      <c r="E368" t="s">
        <v>154</v>
      </c>
      <c r="F368" s="146" t="s">
        <v>28</v>
      </c>
      <c r="G368" s="146"/>
      <c r="H368" t="s">
        <v>3672</v>
      </c>
      <c r="I368" s="161"/>
      <c r="J368" s="161">
        <v>400</v>
      </c>
      <c r="K368" s="159">
        <f t="shared" si="15"/>
        <v>406884.84999999974</v>
      </c>
    </row>
    <row r="369" spans="1:12" ht="15">
      <c r="A369" s="54" t="str">
        <f t="shared" si="13"/>
        <v/>
      </c>
      <c r="B369" t="s">
        <v>1277</v>
      </c>
      <c r="C369" s="1">
        <v>45818</v>
      </c>
      <c r="F369" s="146"/>
      <c r="G369" s="146"/>
      <c r="H369" t="s">
        <v>3472</v>
      </c>
      <c r="I369" s="161">
        <v>200000</v>
      </c>
      <c r="J369" s="161"/>
      <c r="K369" s="159">
        <f t="shared" si="15"/>
        <v>606884.84999999974</v>
      </c>
    </row>
    <row r="370" spans="1:12" ht="15">
      <c r="A370" s="54" t="str">
        <f t="shared" si="13"/>
        <v/>
      </c>
      <c r="B370" t="s">
        <v>1277</v>
      </c>
      <c r="C370" s="1">
        <v>45819</v>
      </c>
      <c r="F370" s="146"/>
      <c r="G370" s="146"/>
      <c r="H370" t="s">
        <v>3472</v>
      </c>
      <c r="I370" s="161">
        <v>100000</v>
      </c>
      <c r="J370" s="161"/>
      <c r="K370" s="159">
        <f t="shared" si="15"/>
        <v>706884.84999999974</v>
      </c>
    </row>
    <row r="371" spans="1:12" ht="15">
      <c r="A371" s="54" t="str">
        <f t="shared" si="13"/>
        <v/>
      </c>
      <c r="B371" t="s">
        <v>1277</v>
      </c>
      <c r="C371" s="1">
        <v>45820</v>
      </c>
      <c r="F371" s="146"/>
      <c r="G371" s="146"/>
      <c r="H371" t="s">
        <v>3466</v>
      </c>
      <c r="I371" s="161">
        <v>17914.400000000001</v>
      </c>
      <c r="J371" s="161"/>
      <c r="K371" s="159">
        <f t="shared" si="15"/>
        <v>724799.24999999977</v>
      </c>
    </row>
    <row r="372" spans="1:12" ht="15">
      <c r="A372" s="54" t="str">
        <f t="shared" si="13"/>
        <v/>
      </c>
      <c r="B372" t="s">
        <v>1277</v>
      </c>
      <c r="C372" s="1">
        <v>45820</v>
      </c>
      <c r="F372" s="146"/>
      <c r="G372" s="146"/>
      <c r="H372" t="s">
        <v>3468</v>
      </c>
      <c r="I372" s="161">
        <v>2911.8</v>
      </c>
      <c r="J372" s="161"/>
      <c r="K372" s="159">
        <f t="shared" si="15"/>
        <v>727711.04999999981</v>
      </c>
    </row>
    <row r="373" spans="1:12" ht="15">
      <c r="A373" s="54" t="str">
        <f t="shared" si="13"/>
        <v/>
      </c>
      <c r="B373" t="s">
        <v>1277</v>
      </c>
      <c r="C373" s="1">
        <v>45820</v>
      </c>
      <c r="F373" s="146"/>
      <c r="G373" s="146"/>
      <c r="H373" t="s">
        <v>3467</v>
      </c>
      <c r="I373" s="161">
        <v>8000.94</v>
      </c>
      <c r="J373" s="161"/>
      <c r="K373" s="159">
        <f t="shared" si="15"/>
        <v>735711.98999999976</v>
      </c>
    </row>
    <row r="374" spans="1:12" ht="15">
      <c r="A374" s="54" t="str">
        <f t="shared" si="13"/>
        <v/>
      </c>
      <c r="B374" t="s">
        <v>1277</v>
      </c>
      <c r="C374" s="1">
        <v>45821</v>
      </c>
      <c r="F374" s="146"/>
      <c r="G374" s="146"/>
      <c r="H374" t="s">
        <v>3662</v>
      </c>
      <c r="I374" s="161"/>
      <c r="J374" s="161">
        <v>531727.4</v>
      </c>
      <c r="K374" s="159">
        <f t="shared" si="15"/>
        <v>203984.58999999973</v>
      </c>
    </row>
    <row r="375" spans="1:12" ht="15">
      <c r="A375" s="54" t="str">
        <f t="shared" si="13"/>
        <v/>
      </c>
      <c r="B375" t="s">
        <v>1277</v>
      </c>
      <c r="C375" s="1">
        <v>45821</v>
      </c>
      <c r="F375" s="146"/>
      <c r="G375" s="146"/>
      <c r="H375" t="s">
        <v>3663</v>
      </c>
      <c r="I375" s="161"/>
      <c r="J375" s="161">
        <v>155908</v>
      </c>
      <c r="K375" s="159">
        <f t="shared" si="15"/>
        <v>48076.589999999735</v>
      </c>
      <c r="L375" s="159"/>
    </row>
    <row r="376" spans="1:12" ht="15">
      <c r="A376" s="54" t="str">
        <f t="shared" si="13"/>
        <v/>
      </c>
      <c r="B376" t="s">
        <v>1277</v>
      </c>
      <c r="C376" s="1">
        <v>45821</v>
      </c>
      <c r="F376" s="146"/>
      <c r="G376" s="146"/>
      <c r="H376" t="s">
        <v>3664</v>
      </c>
      <c r="I376" s="161"/>
      <c r="J376" s="161">
        <v>35400</v>
      </c>
      <c r="K376" s="159">
        <f>K375+I376-J376</f>
        <v>12676.589999999735</v>
      </c>
      <c r="L376" s="159"/>
    </row>
    <row r="377" spans="1:12" ht="15">
      <c r="A377" s="54" t="str">
        <f t="shared" si="13"/>
        <v>CAPVACACIONES/FINIQUITOSCAPRICHOS</v>
      </c>
      <c r="B377" t="s">
        <v>1277</v>
      </c>
      <c r="C377" s="1">
        <v>45821</v>
      </c>
      <c r="D377" t="s">
        <v>31</v>
      </c>
      <c r="E377" t="s">
        <v>190</v>
      </c>
      <c r="F377" s="146" t="s">
        <v>33</v>
      </c>
      <c r="G377" s="146" t="s">
        <v>258</v>
      </c>
      <c r="H377" t="s">
        <v>3673</v>
      </c>
      <c r="I377" s="161"/>
      <c r="J377" s="161">
        <v>7499</v>
      </c>
      <c r="K377" s="159">
        <f>K376+I377-J377</f>
        <v>5177.5899999997346</v>
      </c>
      <c r="L377" s="159"/>
    </row>
    <row r="378" spans="1:12" ht="15">
      <c r="A378" s="54" t="str">
        <f t="shared" si="13"/>
        <v>CAPVACACIONES/FINIQUITOSCAPRICHOS</v>
      </c>
      <c r="B378" t="s">
        <v>1277</v>
      </c>
      <c r="C378" s="1">
        <v>45821</v>
      </c>
      <c r="D378" t="s">
        <v>31</v>
      </c>
      <c r="E378" t="s">
        <v>190</v>
      </c>
      <c r="F378" s="146" t="s">
        <v>33</v>
      </c>
      <c r="G378" s="146"/>
      <c r="H378" t="s">
        <v>3674</v>
      </c>
      <c r="I378" s="161"/>
      <c r="J378" s="161">
        <v>1726</v>
      </c>
      <c r="K378" s="159">
        <f t="shared" ref="K378:K401" si="16">K377+I378-J378</f>
        <v>3451.5899999997346</v>
      </c>
      <c r="L378" s="159"/>
    </row>
    <row r="379" spans="1:12" ht="15">
      <c r="A379" s="54" t="str">
        <f t="shared" si="13"/>
        <v>CAPNOMINA SUCURSALE8</v>
      </c>
      <c r="B379" t="s">
        <v>1277</v>
      </c>
      <c r="C379" s="1">
        <v>45821</v>
      </c>
      <c r="D379" t="s">
        <v>31</v>
      </c>
      <c r="E379" t="s">
        <v>154</v>
      </c>
      <c r="F379" s="146" t="s">
        <v>114</v>
      </c>
      <c r="G379" s="146"/>
      <c r="H379" t="s">
        <v>3675</v>
      </c>
      <c r="I379" s="161"/>
      <c r="J379" s="161">
        <v>3000</v>
      </c>
      <c r="K379" s="159">
        <f t="shared" si="16"/>
        <v>451.58999999973457</v>
      </c>
    </row>
    <row r="380" spans="1:12" ht="15">
      <c r="A380" s="54" t="str">
        <f t="shared" si="13"/>
        <v>SERVICIOSNOMINA ADMONMANTENIMIENTO</v>
      </c>
      <c r="B380" t="s">
        <v>1277</v>
      </c>
      <c r="C380" s="1">
        <v>45822</v>
      </c>
      <c r="D380" t="s">
        <v>21</v>
      </c>
      <c r="E380" t="s">
        <v>147</v>
      </c>
      <c r="F380" s="146" t="s">
        <v>35</v>
      </c>
      <c r="G380" s="146"/>
      <c r="H380" t="s">
        <v>3676</v>
      </c>
      <c r="I380" s="161"/>
      <c r="J380" s="161">
        <v>2100</v>
      </c>
      <c r="K380" s="159">
        <f t="shared" si="16"/>
        <v>-1648.4100000002654</v>
      </c>
    </row>
    <row r="381" spans="1:12" ht="15">
      <c r="A381" s="54" t="str">
        <f t="shared" si="13"/>
        <v/>
      </c>
      <c r="B381" t="s">
        <v>1277</v>
      </c>
      <c r="C381" s="1">
        <v>45824</v>
      </c>
      <c r="F381" s="146"/>
      <c r="G381" s="146"/>
      <c r="H381" t="s">
        <v>3472</v>
      </c>
      <c r="I381" s="161">
        <v>400000</v>
      </c>
      <c r="J381" s="161"/>
      <c r="K381" s="159">
        <f t="shared" si="16"/>
        <v>398351.58999999973</v>
      </c>
    </row>
    <row r="382" spans="1:12" ht="15">
      <c r="A382" s="54" t="str">
        <f t="shared" si="13"/>
        <v>CAPVACACIONES/FINIQUITOSCAPRICHOS</v>
      </c>
      <c r="B382" t="s">
        <v>1277</v>
      </c>
      <c r="C382" s="1">
        <v>45824</v>
      </c>
      <c r="D382" t="s">
        <v>31</v>
      </c>
      <c r="E382" t="s">
        <v>190</v>
      </c>
      <c r="F382" s="146" t="s">
        <v>33</v>
      </c>
      <c r="G382" s="146"/>
      <c r="H382" t="s">
        <v>3677</v>
      </c>
      <c r="I382" s="161"/>
      <c r="J382" s="161">
        <v>583</v>
      </c>
      <c r="K382" s="159">
        <f t="shared" si="16"/>
        <v>397768.58999999973</v>
      </c>
    </row>
    <row r="383" spans="1:12" ht="15">
      <c r="A383" s="54" t="str">
        <f t="shared" si="13"/>
        <v>CAPVACACIONES/FINIQUITOSCAPRICHOS</v>
      </c>
      <c r="B383" t="s">
        <v>1277</v>
      </c>
      <c r="C383" s="1">
        <v>45824</v>
      </c>
      <c r="D383" t="s">
        <v>31</v>
      </c>
      <c r="E383" t="s">
        <v>190</v>
      </c>
      <c r="F383" s="146" t="s">
        <v>33</v>
      </c>
      <c r="G383" s="146"/>
      <c r="H383" t="s">
        <v>3678</v>
      </c>
      <c r="I383" s="161"/>
      <c r="J383" s="161">
        <v>750</v>
      </c>
      <c r="K383" s="159">
        <f t="shared" si="16"/>
        <v>397018.58999999973</v>
      </c>
    </row>
    <row r="384" spans="1:12" ht="15">
      <c r="A384" s="54" t="str">
        <f t="shared" si="13"/>
        <v>HRVACACIONES/FINIQUITOSHR</v>
      </c>
      <c r="B384" t="s">
        <v>1277</v>
      </c>
      <c r="C384" s="1">
        <v>45824</v>
      </c>
      <c r="D384" t="s">
        <v>29</v>
      </c>
      <c r="E384" t="s">
        <v>190</v>
      </c>
      <c r="F384" s="213" t="s">
        <v>29</v>
      </c>
      <c r="G384" s="146"/>
      <c r="H384" t="s">
        <v>3679</v>
      </c>
      <c r="I384" s="161"/>
      <c r="J384" s="161">
        <v>5361</v>
      </c>
      <c r="K384" s="159">
        <f t="shared" si="16"/>
        <v>391657.58999999973</v>
      </c>
    </row>
    <row r="385" spans="1:11" ht="15">
      <c r="A385" s="54" t="str">
        <f t="shared" si="13"/>
        <v/>
      </c>
      <c r="B385" t="s">
        <v>1277</v>
      </c>
      <c r="C385" s="1">
        <v>45825</v>
      </c>
      <c r="F385" s="146"/>
      <c r="G385" s="146"/>
      <c r="H385" t="s">
        <v>3472</v>
      </c>
      <c r="I385" s="161">
        <v>100000</v>
      </c>
      <c r="J385" s="161"/>
      <c r="K385" s="159">
        <f t="shared" si="16"/>
        <v>491657.58999999973</v>
      </c>
    </row>
    <row r="386" spans="1:11" ht="15">
      <c r="A386" s="54" t="str">
        <f t="shared" si="13"/>
        <v/>
      </c>
      <c r="B386" t="s">
        <v>1277</v>
      </c>
      <c r="C386" s="1">
        <v>45826</v>
      </c>
      <c r="F386" s="146"/>
      <c r="G386" s="146"/>
      <c r="H386" t="s">
        <v>3472</v>
      </c>
      <c r="I386" s="161">
        <v>150000</v>
      </c>
      <c r="J386" s="161"/>
      <c r="K386" s="159">
        <f t="shared" si="16"/>
        <v>641657.58999999973</v>
      </c>
    </row>
    <row r="387" spans="1:11" ht="15">
      <c r="A387" s="54" t="str">
        <f t="shared" si="13"/>
        <v/>
      </c>
      <c r="B387" t="s">
        <v>1277</v>
      </c>
      <c r="C387" s="1">
        <v>45827</v>
      </c>
      <c r="F387" s="146"/>
      <c r="G387" s="146"/>
      <c r="H387" t="s">
        <v>3472</v>
      </c>
      <c r="I387" s="161">
        <v>80000</v>
      </c>
      <c r="J387" s="161"/>
      <c r="K387" s="159">
        <f t="shared" si="16"/>
        <v>721657.58999999973</v>
      </c>
    </row>
    <row r="388" spans="1:11" ht="15">
      <c r="A388" s="54" t="str">
        <f t="shared" si="13"/>
        <v/>
      </c>
      <c r="B388" t="s">
        <v>1277</v>
      </c>
      <c r="C388" s="1">
        <v>45827</v>
      </c>
      <c r="F388" s="146"/>
      <c r="G388" s="146"/>
      <c r="H388" t="s">
        <v>3466</v>
      </c>
      <c r="I388" s="161">
        <v>17914.400000000001</v>
      </c>
      <c r="J388" s="161"/>
      <c r="K388" s="159">
        <f t="shared" si="16"/>
        <v>739571.98999999976</v>
      </c>
    </row>
    <row r="389" spans="1:11" ht="15">
      <c r="A389" s="54" t="str">
        <f t="shared" ref="A389:A452" si="17">D389&amp;E389&amp;F389</f>
        <v/>
      </c>
      <c r="B389" t="s">
        <v>1277</v>
      </c>
      <c r="C389" s="1">
        <v>45827</v>
      </c>
      <c r="F389" s="146"/>
      <c r="G389" s="146"/>
      <c r="H389" t="s">
        <v>3468</v>
      </c>
      <c r="I389" s="161">
        <v>2764.4</v>
      </c>
      <c r="J389" s="161"/>
      <c r="K389" s="159">
        <f t="shared" si="16"/>
        <v>742336.38999999978</v>
      </c>
    </row>
    <row r="390" spans="1:11" ht="15">
      <c r="A390" s="54" t="str">
        <f t="shared" si="17"/>
        <v/>
      </c>
      <c r="B390" t="s">
        <v>1277</v>
      </c>
      <c r="C390" s="1">
        <v>45827</v>
      </c>
      <c r="F390" s="146"/>
      <c r="G390" s="146"/>
      <c r="H390" t="s">
        <v>3467</v>
      </c>
      <c r="I390" s="161">
        <v>8001.14</v>
      </c>
      <c r="J390" s="161"/>
      <c r="K390" s="159">
        <f t="shared" si="16"/>
        <v>750337.5299999998</v>
      </c>
    </row>
    <row r="391" spans="1:11" ht="15">
      <c r="A391" s="54" t="str">
        <f t="shared" si="17"/>
        <v/>
      </c>
      <c r="B391" t="s">
        <v>1277</v>
      </c>
      <c r="C391" s="1">
        <v>45827</v>
      </c>
      <c r="F391" s="146"/>
      <c r="G391" s="146"/>
      <c r="H391" t="s">
        <v>3662</v>
      </c>
      <c r="I391" s="161"/>
      <c r="J391" s="161">
        <v>537256.6</v>
      </c>
      <c r="K391" s="159">
        <f t="shared" si="16"/>
        <v>213080.92999999982</v>
      </c>
    </row>
    <row r="392" spans="1:11" ht="15">
      <c r="A392" s="54" t="str">
        <f t="shared" si="17"/>
        <v/>
      </c>
      <c r="B392" t="s">
        <v>1277</v>
      </c>
      <c r="C392" s="1">
        <v>45827</v>
      </c>
      <c r="F392" s="146"/>
      <c r="G392" s="146"/>
      <c r="H392" t="s">
        <v>3663</v>
      </c>
      <c r="I392" s="161"/>
      <c r="J392" s="161">
        <v>165138.79999999999</v>
      </c>
      <c r="K392" s="159">
        <f t="shared" si="16"/>
        <v>47942.12999999983</v>
      </c>
    </row>
    <row r="393" spans="1:11" ht="15">
      <c r="A393" s="54" t="str">
        <f t="shared" si="17"/>
        <v/>
      </c>
      <c r="B393" t="s">
        <v>1277</v>
      </c>
      <c r="C393" s="1">
        <v>45827</v>
      </c>
      <c r="F393" s="146"/>
      <c r="G393" s="146"/>
      <c r="H393" t="s">
        <v>3664</v>
      </c>
      <c r="I393" s="161"/>
      <c r="J393" s="161">
        <v>35400</v>
      </c>
      <c r="K393" s="159">
        <f t="shared" si="16"/>
        <v>12542.12999999983</v>
      </c>
    </row>
    <row r="394" spans="1:11" ht="15">
      <c r="A394" s="54" t="str">
        <f t="shared" si="17"/>
        <v>HRVACACIONES/FINIQUITOSHR</v>
      </c>
      <c r="B394" t="s">
        <v>1277</v>
      </c>
      <c r="C394" s="1">
        <v>45827</v>
      </c>
      <c r="D394" t="s">
        <v>29</v>
      </c>
      <c r="E394" t="s">
        <v>190</v>
      </c>
      <c r="F394" s="213" t="s">
        <v>29</v>
      </c>
      <c r="G394" s="146" t="s">
        <v>258</v>
      </c>
      <c r="H394" t="s">
        <v>3680</v>
      </c>
      <c r="I394" s="161"/>
      <c r="J394" s="161">
        <v>6183</v>
      </c>
      <c r="K394" s="159">
        <f t="shared" si="16"/>
        <v>6359.12999999983</v>
      </c>
    </row>
    <row r="395" spans="1:11" ht="15">
      <c r="A395" s="54" t="str">
        <f t="shared" si="17"/>
        <v>HRVACACIONES/FINIQUITOSHR</v>
      </c>
      <c r="B395" t="s">
        <v>1277</v>
      </c>
      <c r="C395" s="1">
        <v>45827</v>
      </c>
      <c r="D395" t="s">
        <v>29</v>
      </c>
      <c r="E395" t="s">
        <v>190</v>
      </c>
      <c r="F395" s="213" t="s">
        <v>29</v>
      </c>
      <c r="G395" s="146" t="s">
        <v>258</v>
      </c>
      <c r="H395" t="s">
        <v>3681</v>
      </c>
      <c r="I395" s="161"/>
      <c r="J395" s="161">
        <v>5375</v>
      </c>
      <c r="K395" s="159">
        <f>K394+I395-J395</f>
        <v>984.12999999983003</v>
      </c>
    </row>
    <row r="396" spans="1:11" ht="15">
      <c r="A396" s="54" t="str">
        <f t="shared" si="17"/>
        <v>FINANZASNOMINA ADMONTESORERIA</v>
      </c>
      <c r="B396" t="s">
        <v>1277</v>
      </c>
      <c r="C396" s="1">
        <v>45828</v>
      </c>
      <c r="D396" t="s">
        <v>23</v>
      </c>
      <c r="E396" t="s">
        <v>147</v>
      </c>
      <c r="F396" s="146" t="s">
        <v>38</v>
      </c>
      <c r="G396" s="146"/>
      <c r="H396" t="s">
        <v>3682</v>
      </c>
      <c r="I396" s="161"/>
      <c r="J396" s="161">
        <v>126</v>
      </c>
      <c r="K396" s="159">
        <f>K395+I396-J396</f>
        <v>858.12999999983003</v>
      </c>
    </row>
    <row r="397" spans="1:11" ht="15">
      <c r="A397" s="54" t="str">
        <f t="shared" si="17"/>
        <v>FINANZASNOMINA ADMONTESORERIA</v>
      </c>
      <c r="B397" t="s">
        <v>1277</v>
      </c>
      <c r="C397" s="1">
        <v>45829</v>
      </c>
      <c r="D397" t="s">
        <v>23</v>
      </c>
      <c r="E397" t="s">
        <v>147</v>
      </c>
      <c r="F397" s="146" t="s">
        <v>38</v>
      </c>
      <c r="G397" s="146" t="s">
        <v>258</v>
      </c>
      <c r="H397" t="s">
        <v>3683</v>
      </c>
      <c r="I397" s="161"/>
      <c r="J397" s="161">
        <v>316</v>
      </c>
      <c r="K397" s="159">
        <f>K396+I397-J397</f>
        <v>542.12999999983003</v>
      </c>
    </row>
    <row r="398" spans="1:11" ht="15">
      <c r="A398" s="54" t="str">
        <f t="shared" si="17"/>
        <v>SERVICIOSNOMINA SUCURSALCEDIS</v>
      </c>
      <c r="B398" t="s">
        <v>1277</v>
      </c>
      <c r="C398" s="1">
        <v>45829</v>
      </c>
      <c r="D398" t="s">
        <v>21</v>
      </c>
      <c r="E398" t="s">
        <v>154</v>
      </c>
      <c r="F398" s="146" t="s">
        <v>28</v>
      </c>
      <c r="G398" s="146"/>
      <c r="H398" t="s">
        <v>3684</v>
      </c>
      <c r="I398" s="161"/>
      <c r="J398" s="161">
        <v>1770</v>
      </c>
      <c r="K398" s="159">
        <f>K397+I398-J398</f>
        <v>-1227.87000000017</v>
      </c>
    </row>
    <row r="399" spans="1:11" ht="15">
      <c r="A399" s="54" t="str">
        <f t="shared" si="17"/>
        <v/>
      </c>
      <c r="B399" t="s">
        <v>1277</v>
      </c>
      <c r="C399" s="1">
        <v>45831</v>
      </c>
      <c r="F399" s="146"/>
      <c r="G399" s="146"/>
      <c r="H399" t="s">
        <v>3472</v>
      </c>
      <c r="I399" s="161">
        <v>300000</v>
      </c>
      <c r="J399" s="161"/>
      <c r="K399" s="159">
        <f>K398+I399-J399</f>
        <v>298772.12999999983</v>
      </c>
    </row>
    <row r="400" spans="1:11" ht="15">
      <c r="A400" s="54" t="str">
        <f t="shared" si="17"/>
        <v>HRVACACIONES/FINIQUITOSHR</v>
      </c>
      <c r="B400" t="s">
        <v>1277</v>
      </c>
      <c r="C400" s="1">
        <v>45831</v>
      </c>
      <c r="D400" t="s">
        <v>29</v>
      </c>
      <c r="E400" t="s">
        <v>190</v>
      </c>
      <c r="F400" s="213" t="s">
        <v>29</v>
      </c>
      <c r="G400" s="146"/>
      <c r="H400" t="s">
        <v>3685</v>
      </c>
      <c r="I400" s="161"/>
      <c r="J400" s="161">
        <v>2188</v>
      </c>
      <c r="K400" s="159">
        <f>K399+I400-J400</f>
        <v>296584.12999999983</v>
      </c>
    </row>
    <row r="401" spans="1:11" ht="15">
      <c r="A401" s="54" t="str">
        <f t="shared" si="17"/>
        <v/>
      </c>
      <c r="B401" t="s">
        <v>1277</v>
      </c>
      <c r="C401" s="1">
        <v>45832</v>
      </c>
      <c r="F401" s="146"/>
      <c r="G401" s="146"/>
      <c r="H401" t="s">
        <v>3472</v>
      </c>
      <c r="I401" s="161">
        <v>200000</v>
      </c>
      <c r="J401" s="161"/>
      <c r="K401" s="159">
        <f>K400+I401-J401</f>
        <v>496584.12999999983</v>
      </c>
    </row>
    <row r="402" spans="1:11" ht="15">
      <c r="A402" s="54" t="str">
        <f t="shared" si="17"/>
        <v/>
      </c>
      <c r="B402" t="s">
        <v>1277</v>
      </c>
      <c r="C402" s="1">
        <v>45833</v>
      </c>
      <c r="F402" s="146"/>
      <c r="G402" s="146"/>
      <c r="H402" t="s">
        <v>3472</v>
      </c>
      <c r="I402" s="161">
        <v>200000</v>
      </c>
      <c r="J402" s="161"/>
      <c r="K402" s="159">
        <f>K401+I402-J402</f>
        <v>696584.12999999989</v>
      </c>
    </row>
    <row r="403" spans="1:11" ht="15">
      <c r="A403" s="54" t="str">
        <f t="shared" si="17"/>
        <v/>
      </c>
      <c r="B403" t="s">
        <v>1277</v>
      </c>
      <c r="C403" s="1">
        <v>45834</v>
      </c>
      <c r="F403" s="146"/>
      <c r="G403" s="146"/>
      <c r="H403" t="s">
        <v>3472</v>
      </c>
      <c r="I403" s="161">
        <v>50000</v>
      </c>
      <c r="J403" s="161"/>
      <c r="K403" s="159">
        <f>K402+I403-J403</f>
        <v>746584.12999999989</v>
      </c>
    </row>
    <row r="404" spans="1:11" ht="15">
      <c r="A404" s="54" t="str">
        <f t="shared" si="17"/>
        <v/>
      </c>
      <c r="B404" t="s">
        <v>1277</v>
      </c>
      <c r="C404" s="1">
        <v>45834</v>
      </c>
      <c r="F404" s="146"/>
      <c r="G404" s="146"/>
      <c r="H404" t="s">
        <v>3466</v>
      </c>
      <c r="I404" s="161">
        <v>17914.400000000001</v>
      </c>
      <c r="J404" s="161"/>
      <c r="K404" s="159">
        <f>K403+I404-J404</f>
        <v>764498.52999999991</v>
      </c>
    </row>
    <row r="405" spans="1:11" ht="15">
      <c r="A405" s="54" t="str">
        <f t="shared" si="17"/>
        <v/>
      </c>
      <c r="B405" t="s">
        <v>1277</v>
      </c>
      <c r="C405" s="1">
        <v>45834</v>
      </c>
      <c r="F405" s="146"/>
      <c r="G405" s="146"/>
      <c r="H405" t="s">
        <v>3468</v>
      </c>
      <c r="I405" s="161">
        <v>4400.8</v>
      </c>
      <c r="J405" s="161"/>
      <c r="K405" s="159">
        <f>K404+I405-J405</f>
        <v>768899.33</v>
      </c>
    </row>
    <row r="406" spans="1:11" ht="15">
      <c r="A406" s="54" t="str">
        <f t="shared" si="17"/>
        <v/>
      </c>
      <c r="B406" t="s">
        <v>1277</v>
      </c>
      <c r="C406" s="1">
        <v>45834</v>
      </c>
      <c r="F406" s="146"/>
      <c r="G406" s="146"/>
      <c r="H406" t="s">
        <v>3467</v>
      </c>
      <c r="I406" s="161">
        <v>8000.94</v>
      </c>
      <c r="J406" s="161"/>
      <c r="K406" s="159">
        <f>K405+I406-J406</f>
        <v>776900.2699999999</v>
      </c>
    </row>
    <row r="407" spans="1:11" ht="15">
      <c r="A407" s="54" t="str">
        <f t="shared" si="17"/>
        <v/>
      </c>
      <c r="B407" t="s">
        <v>1277</v>
      </c>
      <c r="C407" s="1">
        <v>45834</v>
      </c>
      <c r="F407" s="146"/>
      <c r="G407" s="146"/>
      <c r="H407" t="s">
        <v>3662</v>
      </c>
      <c r="I407" s="161"/>
      <c r="J407" s="161">
        <v>559867.80000000005</v>
      </c>
      <c r="K407" s="159">
        <f t="shared" ref="K407:K415" si="18">K406+I407-J407</f>
        <v>217032.46999999986</v>
      </c>
    </row>
    <row r="408" spans="1:11" ht="15">
      <c r="A408" s="54" t="str">
        <f t="shared" si="17"/>
        <v/>
      </c>
      <c r="B408" t="s">
        <v>1277</v>
      </c>
      <c r="C408" s="1">
        <v>45834</v>
      </c>
      <c r="F408" s="146"/>
      <c r="G408" s="146"/>
      <c r="H408" t="s">
        <v>3663</v>
      </c>
      <c r="I408" s="161"/>
      <c r="J408" s="161">
        <v>172656.4</v>
      </c>
      <c r="K408" s="159">
        <f t="shared" si="18"/>
        <v>44376.069999999861</v>
      </c>
    </row>
    <row r="409" spans="1:11" ht="15">
      <c r="A409" s="54" t="str">
        <f t="shared" si="17"/>
        <v/>
      </c>
      <c r="B409" t="s">
        <v>1277</v>
      </c>
      <c r="C409" s="1">
        <v>45834</v>
      </c>
      <c r="F409" s="146"/>
      <c r="G409" s="146"/>
      <c r="H409" t="s">
        <v>3664</v>
      </c>
      <c r="I409" s="161"/>
      <c r="J409" s="161">
        <v>51258</v>
      </c>
      <c r="K409" s="159">
        <f t="shared" si="18"/>
        <v>-6881.9300000001385</v>
      </c>
    </row>
    <row r="410" spans="1:11" ht="15">
      <c r="A410" s="54" t="str">
        <f t="shared" si="17"/>
        <v>FINANZASOTROS GASTOSPRESTAMO</v>
      </c>
      <c r="B410" t="s">
        <v>1277</v>
      </c>
      <c r="C410" s="1">
        <v>45834</v>
      </c>
      <c r="D410" t="s">
        <v>23</v>
      </c>
      <c r="E410" t="s">
        <v>156</v>
      </c>
      <c r="F410" s="146" t="s">
        <v>157</v>
      </c>
      <c r="G410" s="146" t="s">
        <v>258</v>
      </c>
      <c r="H410" t="s">
        <v>3686</v>
      </c>
      <c r="I410" s="161"/>
      <c r="J410" s="161">
        <v>5000</v>
      </c>
      <c r="K410" s="159">
        <f t="shared" si="18"/>
        <v>-11881.930000000139</v>
      </c>
    </row>
    <row r="411" spans="1:11" ht="15">
      <c r="A411" s="54" t="str">
        <f t="shared" si="17"/>
        <v>SERVICIOSNOMINA SUCURSALCEDIS</v>
      </c>
      <c r="B411" t="s">
        <v>1277</v>
      </c>
      <c r="C411" s="1">
        <v>45834</v>
      </c>
      <c r="D411" t="s">
        <v>21</v>
      </c>
      <c r="E411" t="s">
        <v>154</v>
      </c>
      <c r="F411" s="146" t="s">
        <v>28</v>
      </c>
      <c r="G411" s="146"/>
      <c r="H411" t="s">
        <v>3687</v>
      </c>
      <c r="I411" s="161"/>
      <c r="J411" s="161">
        <v>1415</v>
      </c>
      <c r="K411" s="159">
        <f t="shared" si="18"/>
        <v>-13296.930000000139</v>
      </c>
    </row>
    <row r="412" spans="1:11" ht="15">
      <c r="A412" s="54" t="str">
        <f t="shared" si="17"/>
        <v/>
      </c>
      <c r="B412" t="s">
        <v>1277</v>
      </c>
      <c r="C412" s="1">
        <v>45835</v>
      </c>
      <c r="H412" t="s">
        <v>3472</v>
      </c>
      <c r="I412" s="81">
        <v>23900</v>
      </c>
      <c r="K412" s="159">
        <f t="shared" si="18"/>
        <v>10603.069999999861</v>
      </c>
    </row>
    <row r="413" spans="1:11" ht="15">
      <c r="A413" s="54" t="str">
        <f t="shared" si="17"/>
        <v>HRVACACIONES/FINIQUITOSHR</v>
      </c>
      <c r="B413" t="s">
        <v>1277</v>
      </c>
      <c r="C413" s="1">
        <v>45835</v>
      </c>
      <c r="D413" t="s">
        <v>29</v>
      </c>
      <c r="E413" t="s">
        <v>190</v>
      </c>
      <c r="F413" s="213" t="s">
        <v>29</v>
      </c>
      <c r="G413" s="146" t="s">
        <v>258</v>
      </c>
      <c r="H413" t="s">
        <v>3688</v>
      </c>
      <c r="I413" s="161"/>
      <c r="J413" s="161">
        <v>1676</v>
      </c>
      <c r="K413" s="159">
        <f t="shared" si="18"/>
        <v>8927.0699999998615</v>
      </c>
    </row>
    <row r="414" spans="1:11" ht="15">
      <c r="A414" s="54" t="str">
        <f t="shared" si="17"/>
        <v>CAPVACACIONES/FINIQUITOSCAPRICHOS</v>
      </c>
      <c r="B414" t="s">
        <v>1277</v>
      </c>
      <c r="C414" s="1">
        <v>45835</v>
      </c>
      <c r="D414" t="s">
        <v>31</v>
      </c>
      <c r="E414" t="s">
        <v>190</v>
      </c>
      <c r="F414" s="146" t="s">
        <v>33</v>
      </c>
      <c r="G414" s="146" t="s">
        <v>258</v>
      </c>
      <c r="H414" t="s">
        <v>3689</v>
      </c>
      <c r="I414" s="161"/>
      <c r="J414" s="161">
        <v>3150</v>
      </c>
      <c r="K414" s="159">
        <f t="shared" si="18"/>
        <v>5777.0699999998615</v>
      </c>
    </row>
    <row r="415" spans="1:11" ht="15">
      <c r="A415" s="54" t="str">
        <f t="shared" si="17"/>
        <v>HRVACACIONES/FINIQUITOSHR</v>
      </c>
      <c r="B415" t="s">
        <v>1277</v>
      </c>
      <c r="C415" s="1">
        <v>45835</v>
      </c>
      <c r="D415" t="s">
        <v>29</v>
      </c>
      <c r="E415" t="s">
        <v>190</v>
      </c>
      <c r="F415" s="213" t="s">
        <v>29</v>
      </c>
      <c r="G415" s="146" t="s">
        <v>258</v>
      </c>
      <c r="H415" t="s">
        <v>3690</v>
      </c>
      <c r="I415" s="161"/>
      <c r="J415" s="161">
        <v>2000</v>
      </c>
      <c r="K415" s="159">
        <f t="shared" si="18"/>
        <v>3777.0699999998615</v>
      </c>
    </row>
    <row r="416" spans="1:11" ht="15">
      <c r="A416" s="54" t="str">
        <f t="shared" si="17"/>
        <v>SERVICIOSVACACIONES/FINIQUITOSSERVICIOS</v>
      </c>
      <c r="B416" t="s">
        <v>1277</v>
      </c>
      <c r="C416" s="1">
        <v>45835</v>
      </c>
      <c r="D416" t="s">
        <v>21</v>
      </c>
      <c r="E416" t="s">
        <v>190</v>
      </c>
      <c r="F416" s="146" t="s">
        <v>21</v>
      </c>
      <c r="G416" s="146" t="s">
        <v>258</v>
      </c>
      <c r="H416" t="s">
        <v>3691</v>
      </c>
      <c r="I416" s="161"/>
      <c r="J416" s="161">
        <v>5142</v>
      </c>
      <c r="K416" s="159">
        <f t="shared" ref="K416:K444" si="19">K415+I416-J416</f>
        <v>-1364.9300000001385</v>
      </c>
    </row>
    <row r="417" spans="1:11" ht="15">
      <c r="A417" s="54" t="str">
        <f t="shared" si="17"/>
        <v/>
      </c>
      <c r="B417" t="s">
        <v>1277</v>
      </c>
      <c r="C417" s="1">
        <v>45838</v>
      </c>
      <c r="F417" s="146"/>
      <c r="G417" s="146"/>
      <c r="H417" t="s">
        <v>3472</v>
      </c>
      <c r="I417" s="161">
        <v>200000</v>
      </c>
      <c r="J417" s="161"/>
      <c r="K417" s="159">
        <f t="shared" si="19"/>
        <v>198635.06999999986</v>
      </c>
    </row>
    <row r="418" spans="1:11" ht="15">
      <c r="A418" s="54" t="str">
        <f t="shared" si="17"/>
        <v/>
      </c>
      <c r="B418" t="s">
        <v>1277</v>
      </c>
      <c r="C418" s="1">
        <v>45839</v>
      </c>
      <c r="F418" s="146"/>
      <c r="G418" s="146"/>
      <c r="H418" t="s">
        <v>3472</v>
      </c>
      <c r="I418" s="161">
        <v>200000</v>
      </c>
      <c r="J418" s="161"/>
      <c r="K418" s="159">
        <f t="shared" si="19"/>
        <v>398635.06999999983</v>
      </c>
    </row>
    <row r="419" spans="1:11" ht="15">
      <c r="A419" s="54" t="str">
        <f t="shared" si="17"/>
        <v>HRVACACIONES/FINIQUITOSHR</v>
      </c>
      <c r="B419" t="s">
        <v>1277</v>
      </c>
      <c r="C419" s="1">
        <v>45839</v>
      </c>
      <c r="D419" t="s">
        <v>29</v>
      </c>
      <c r="E419" t="s">
        <v>190</v>
      </c>
      <c r="F419" s="213" t="s">
        <v>29</v>
      </c>
      <c r="G419" s="146" t="s">
        <v>258</v>
      </c>
      <c r="H419" t="s">
        <v>3692</v>
      </c>
      <c r="I419" s="161"/>
      <c r="J419" s="161">
        <v>5211</v>
      </c>
      <c r="K419" s="159">
        <f t="shared" si="19"/>
        <v>393424.06999999983</v>
      </c>
    </row>
    <row r="420" spans="1:11" ht="15">
      <c r="A420" s="54" t="str">
        <f t="shared" si="17"/>
        <v>HRVACACIONES/FINIQUITOSHR</v>
      </c>
      <c r="B420" t="s">
        <v>1277</v>
      </c>
      <c r="C420" s="1">
        <v>45839</v>
      </c>
      <c r="D420" t="s">
        <v>29</v>
      </c>
      <c r="E420" t="s">
        <v>190</v>
      </c>
      <c r="F420" s="213" t="s">
        <v>29</v>
      </c>
      <c r="G420" s="146" t="s">
        <v>258</v>
      </c>
      <c r="H420" t="s">
        <v>3693</v>
      </c>
      <c r="I420" s="161"/>
      <c r="J420" s="161">
        <v>10434</v>
      </c>
      <c r="K420" s="159">
        <f t="shared" si="19"/>
        <v>382990.06999999983</v>
      </c>
    </row>
    <row r="421" spans="1:11" ht="15">
      <c r="A421" s="54" t="str">
        <f t="shared" si="17"/>
        <v>SERVICIOSVACACIONES/FINIQUITOSSERVICIOS</v>
      </c>
      <c r="B421" t="s">
        <v>1277</v>
      </c>
      <c r="C421" s="1">
        <v>45839</v>
      </c>
      <c r="D421" t="s">
        <v>21</v>
      </c>
      <c r="E421" t="s">
        <v>190</v>
      </c>
      <c r="F421" s="146" t="s">
        <v>21</v>
      </c>
      <c r="G421" s="146" t="s">
        <v>258</v>
      </c>
      <c r="H421" t="s">
        <v>3694</v>
      </c>
      <c r="I421" s="161"/>
      <c r="J421" s="161">
        <v>755</v>
      </c>
      <c r="K421" s="159">
        <f t="shared" si="19"/>
        <v>382235.06999999983</v>
      </c>
    </row>
    <row r="422" spans="1:11" ht="15">
      <c r="A422" s="54" t="str">
        <f t="shared" si="17"/>
        <v/>
      </c>
      <c r="B422" t="s">
        <v>1277</v>
      </c>
      <c r="C422" s="1">
        <v>45840</v>
      </c>
      <c r="F422" s="146"/>
      <c r="G422" s="146"/>
      <c r="H422" t="s">
        <v>3472</v>
      </c>
      <c r="I422" s="161">
        <v>200000</v>
      </c>
      <c r="J422" s="161"/>
      <c r="K422" s="159">
        <f t="shared" si="19"/>
        <v>582235.06999999983</v>
      </c>
    </row>
    <row r="423" spans="1:11" ht="15">
      <c r="A423" s="54" t="str">
        <f t="shared" si="17"/>
        <v>HRVACACIONES/FINIQUITOSHR</v>
      </c>
      <c r="B423" t="s">
        <v>1277</v>
      </c>
      <c r="C423" s="1">
        <v>45840</v>
      </c>
      <c r="D423" t="s">
        <v>29</v>
      </c>
      <c r="E423" t="s">
        <v>190</v>
      </c>
      <c r="F423" s="213" t="s">
        <v>29</v>
      </c>
      <c r="G423" s="146" t="s">
        <v>258</v>
      </c>
      <c r="H423" t="s">
        <v>3695</v>
      </c>
      <c r="I423" s="161"/>
      <c r="J423" s="161">
        <v>9057</v>
      </c>
      <c r="K423" s="159">
        <f t="shared" si="19"/>
        <v>573178.06999999983</v>
      </c>
    </row>
    <row r="424" spans="1:11" ht="15">
      <c r="A424" s="54" t="str">
        <f t="shared" si="17"/>
        <v>CAPVACACIONES/FINIQUITOSCAPRICHOS</v>
      </c>
      <c r="B424" t="s">
        <v>1277</v>
      </c>
      <c r="C424" s="1">
        <v>45840</v>
      </c>
      <c r="D424" t="s">
        <v>31</v>
      </c>
      <c r="E424" t="s">
        <v>190</v>
      </c>
      <c r="F424" s="146" t="s">
        <v>33</v>
      </c>
      <c r="G424" s="146"/>
      <c r="H424" t="s">
        <v>3696</v>
      </c>
      <c r="I424" s="161"/>
      <c r="J424" s="161">
        <v>476</v>
      </c>
      <c r="K424" s="159">
        <f t="shared" si="19"/>
        <v>572702.06999999983</v>
      </c>
    </row>
    <row r="425" spans="1:11" ht="15">
      <c r="A425" s="54" t="str">
        <f t="shared" si="17"/>
        <v>HRVACACIONES/FINIQUITOSHR</v>
      </c>
      <c r="B425" t="s">
        <v>1277</v>
      </c>
      <c r="C425" s="1">
        <v>45840</v>
      </c>
      <c r="D425" t="s">
        <v>29</v>
      </c>
      <c r="E425" t="s">
        <v>190</v>
      </c>
      <c r="F425" s="213" t="s">
        <v>29</v>
      </c>
      <c r="G425" s="146" t="s">
        <v>258</v>
      </c>
      <c r="H425" t="s">
        <v>3697</v>
      </c>
      <c r="I425" s="161"/>
      <c r="J425" s="161">
        <v>3075</v>
      </c>
      <c r="K425" s="159">
        <f t="shared" si="19"/>
        <v>569627.06999999983</v>
      </c>
    </row>
    <row r="426" spans="1:11" ht="15">
      <c r="A426" s="54" t="str">
        <f t="shared" si="17"/>
        <v>CAPVACACIONES/FINIQUITOSCAPRICHOS</v>
      </c>
      <c r="B426" t="s">
        <v>1277</v>
      </c>
      <c r="C426" s="1">
        <v>45840</v>
      </c>
      <c r="D426" t="s">
        <v>31</v>
      </c>
      <c r="E426" t="s">
        <v>190</v>
      </c>
      <c r="F426" s="146" t="s">
        <v>33</v>
      </c>
      <c r="G426" s="146" t="s">
        <v>258</v>
      </c>
      <c r="H426" t="s">
        <v>3698</v>
      </c>
      <c r="I426" s="161"/>
      <c r="J426" s="161">
        <v>563</v>
      </c>
      <c r="K426" s="159">
        <f t="shared" si="19"/>
        <v>569064.06999999983</v>
      </c>
    </row>
    <row r="427" spans="1:11" ht="15">
      <c r="A427" s="54" t="str">
        <f t="shared" si="17"/>
        <v>CAPVACACIONES/FINIQUITOSCAPRICHOS</v>
      </c>
      <c r="B427" t="s">
        <v>1277</v>
      </c>
      <c r="C427" s="1">
        <v>45840</v>
      </c>
      <c r="D427" t="s">
        <v>31</v>
      </c>
      <c r="E427" t="s">
        <v>190</v>
      </c>
      <c r="F427" s="146" t="s">
        <v>33</v>
      </c>
      <c r="G427" s="146" t="s">
        <v>258</v>
      </c>
      <c r="H427" t="s">
        <v>3699</v>
      </c>
      <c r="I427" s="161"/>
      <c r="J427" s="161">
        <v>528</v>
      </c>
      <c r="K427" s="159">
        <f t="shared" si="19"/>
        <v>568536.06999999983</v>
      </c>
    </row>
    <row r="428" spans="1:11" ht="15">
      <c r="A428" s="54" t="str">
        <f t="shared" si="17"/>
        <v/>
      </c>
      <c r="B428" t="s">
        <v>1277</v>
      </c>
      <c r="C428" s="1">
        <v>45841</v>
      </c>
      <c r="F428" s="146"/>
      <c r="G428" s="146"/>
      <c r="H428" t="s">
        <v>3472</v>
      </c>
      <c r="I428" s="161">
        <v>151000</v>
      </c>
      <c r="J428" s="161"/>
      <c r="K428" s="159">
        <f t="shared" si="19"/>
        <v>719536.06999999983</v>
      </c>
    </row>
    <row r="429" spans="1:11" ht="15">
      <c r="A429" s="54" t="str">
        <f t="shared" si="17"/>
        <v/>
      </c>
      <c r="B429" t="s">
        <v>1277</v>
      </c>
      <c r="C429" s="1">
        <v>45841</v>
      </c>
      <c r="F429" s="146"/>
      <c r="G429" s="146"/>
      <c r="H429" t="s">
        <v>3466</v>
      </c>
      <c r="I429" s="161">
        <v>17914.599999999999</v>
      </c>
      <c r="J429" s="161"/>
      <c r="K429" s="159">
        <f t="shared" si="19"/>
        <v>737450.66999999981</v>
      </c>
    </row>
    <row r="430" spans="1:11" ht="15">
      <c r="A430" s="54" t="str">
        <f t="shared" si="17"/>
        <v/>
      </c>
      <c r="B430" t="s">
        <v>1277</v>
      </c>
      <c r="C430" s="1">
        <v>45841</v>
      </c>
      <c r="F430" s="146"/>
      <c r="G430" s="146"/>
      <c r="H430" t="s">
        <v>3468</v>
      </c>
      <c r="I430" s="161">
        <v>4128.2</v>
      </c>
      <c r="J430" s="161"/>
      <c r="K430" s="159">
        <f t="shared" si="19"/>
        <v>741578.86999999976</v>
      </c>
    </row>
    <row r="431" spans="1:11" ht="15">
      <c r="A431" s="54" t="str">
        <f t="shared" si="17"/>
        <v/>
      </c>
      <c r="B431" t="s">
        <v>1277</v>
      </c>
      <c r="C431" s="1">
        <v>45841</v>
      </c>
      <c r="F431" s="146"/>
      <c r="G431" s="146"/>
      <c r="H431" t="s">
        <v>3467</v>
      </c>
      <c r="I431" s="161">
        <v>8002.74</v>
      </c>
      <c r="J431" s="161"/>
      <c r="K431" s="159">
        <f t="shared" si="19"/>
        <v>749581.60999999975</v>
      </c>
    </row>
    <row r="432" spans="1:11" ht="15">
      <c r="A432" s="54" t="str">
        <f t="shared" si="17"/>
        <v/>
      </c>
      <c r="B432" t="s">
        <v>1277</v>
      </c>
      <c r="C432" s="1">
        <v>45841</v>
      </c>
      <c r="F432" s="146"/>
      <c r="G432" s="146"/>
      <c r="H432" t="s">
        <v>3662</v>
      </c>
      <c r="I432" s="161"/>
      <c r="J432" s="161">
        <v>553633.6</v>
      </c>
      <c r="K432" s="159">
        <f t="shared" si="19"/>
        <v>195948.00999999978</v>
      </c>
    </row>
    <row r="433" spans="1:11" ht="15">
      <c r="A433" s="54" t="str">
        <f t="shared" si="17"/>
        <v/>
      </c>
      <c r="B433" t="s">
        <v>1277</v>
      </c>
      <c r="C433" s="1">
        <v>45841</v>
      </c>
      <c r="F433" s="146"/>
      <c r="G433" s="146"/>
      <c r="H433" t="s">
        <v>3663</v>
      </c>
      <c r="I433" s="161"/>
      <c r="J433" s="161">
        <v>155700</v>
      </c>
      <c r="K433" s="159">
        <f t="shared" si="19"/>
        <v>40248.009999999776</v>
      </c>
    </row>
    <row r="434" spans="1:11" ht="15">
      <c r="A434" s="54" t="str">
        <f t="shared" si="17"/>
        <v/>
      </c>
      <c r="B434" t="s">
        <v>1277</v>
      </c>
      <c r="C434" s="1">
        <v>45841</v>
      </c>
      <c r="F434" s="146"/>
      <c r="G434" s="146"/>
      <c r="H434" t="s">
        <v>3664</v>
      </c>
      <c r="I434" s="161"/>
      <c r="J434" s="161">
        <v>50700</v>
      </c>
      <c r="K434" s="159">
        <f t="shared" si="19"/>
        <v>-10451.990000000224</v>
      </c>
    </row>
    <row r="435" spans="1:11" ht="15">
      <c r="A435" s="54" t="str">
        <f t="shared" si="17"/>
        <v>SERVICIOSNOMINA ADMONCEDIS</v>
      </c>
      <c r="B435" t="s">
        <v>1277</v>
      </c>
      <c r="C435" s="1">
        <v>45841</v>
      </c>
      <c r="D435" t="s">
        <v>21</v>
      </c>
      <c r="E435" t="s">
        <v>147</v>
      </c>
      <c r="F435" s="146" t="s">
        <v>28</v>
      </c>
      <c r="G435" s="146"/>
      <c r="H435" t="s">
        <v>3687</v>
      </c>
      <c r="I435" s="161"/>
      <c r="J435" s="161">
        <v>2128</v>
      </c>
      <c r="K435" s="159">
        <f>K434+I435-J435</f>
        <v>-12579.990000000224</v>
      </c>
    </row>
    <row r="436" spans="1:11" ht="15">
      <c r="A436" s="54" t="str">
        <f t="shared" si="17"/>
        <v>SERVICIOSNOMINA ADMONCEDIS</v>
      </c>
      <c r="B436" t="s">
        <v>1277</v>
      </c>
      <c r="C436" s="1">
        <v>45841</v>
      </c>
      <c r="D436" t="s">
        <v>21</v>
      </c>
      <c r="E436" t="s">
        <v>147</v>
      </c>
      <c r="F436" s="146" t="s">
        <v>28</v>
      </c>
      <c r="G436" s="146"/>
      <c r="H436" t="s">
        <v>3700</v>
      </c>
      <c r="I436" s="161"/>
      <c r="J436" s="161">
        <v>708</v>
      </c>
      <c r="K436" s="159">
        <f t="shared" ref="K436:K463" si="20">K435+I436-J436</f>
        <v>-13287.990000000224</v>
      </c>
    </row>
    <row r="437" spans="1:11" ht="15">
      <c r="A437" s="54" t="str">
        <f t="shared" si="17"/>
        <v>SERVICIOSNOMINA ADMONSERVICIOS</v>
      </c>
      <c r="B437" t="s">
        <v>1277</v>
      </c>
      <c r="C437" s="1">
        <v>45841</v>
      </c>
      <c r="D437" t="s">
        <v>21</v>
      </c>
      <c r="E437" t="s">
        <v>147</v>
      </c>
      <c r="F437" s="146" t="s">
        <v>21</v>
      </c>
      <c r="G437" s="146"/>
      <c r="H437" t="s">
        <v>3701</v>
      </c>
      <c r="I437" s="161"/>
      <c r="J437" s="161">
        <v>1464</v>
      </c>
      <c r="K437" s="159">
        <f t="shared" si="20"/>
        <v>-14751.990000000224</v>
      </c>
    </row>
    <row r="438" spans="1:11" ht="15">
      <c r="A438" s="54" t="str">
        <f t="shared" si="17"/>
        <v>SERVICIOSNOMINA ADMONCADENA DE SUMINISTROS</v>
      </c>
      <c r="B438" t="s">
        <v>1277</v>
      </c>
      <c r="C438" s="1">
        <v>45843</v>
      </c>
      <c r="D438" t="s">
        <v>21</v>
      </c>
      <c r="E438" t="s">
        <v>147</v>
      </c>
      <c r="F438" s="146" t="s">
        <v>134</v>
      </c>
      <c r="G438" s="146"/>
      <c r="H438" t="s">
        <v>3702</v>
      </c>
      <c r="I438" s="161"/>
      <c r="J438" s="161">
        <v>74</v>
      </c>
      <c r="K438" s="159">
        <f t="shared" si="20"/>
        <v>-14825.990000000224</v>
      </c>
    </row>
    <row r="439" spans="1:11" ht="15">
      <c r="A439" s="54" t="str">
        <f t="shared" si="17"/>
        <v>SERVICIOSVACACIONES/FINIQUITOSSERVICIOS</v>
      </c>
      <c r="B439" t="s">
        <v>1277</v>
      </c>
      <c r="C439" s="1">
        <v>45843</v>
      </c>
      <c r="D439" t="s">
        <v>21</v>
      </c>
      <c r="E439" t="s">
        <v>190</v>
      </c>
      <c r="F439" s="146" t="s">
        <v>21</v>
      </c>
      <c r="G439" s="146"/>
      <c r="H439" t="s">
        <v>3703</v>
      </c>
      <c r="I439" s="161"/>
      <c r="J439" s="161">
        <v>2249</v>
      </c>
      <c r="K439" s="159">
        <f t="shared" si="20"/>
        <v>-17074.990000000224</v>
      </c>
    </row>
    <row r="440" spans="1:11" ht="15">
      <c r="A440" s="54" t="str">
        <f t="shared" si="17"/>
        <v/>
      </c>
      <c r="B440" t="s">
        <v>1560</v>
      </c>
      <c r="C440" s="1">
        <v>45845</v>
      </c>
      <c r="F440" s="146"/>
      <c r="G440" s="146"/>
      <c r="H440" t="s">
        <v>3472</v>
      </c>
      <c r="I440" s="161">
        <v>400000</v>
      </c>
      <c r="J440" s="161"/>
      <c r="K440" s="159">
        <f t="shared" si="20"/>
        <v>382925.00999999978</v>
      </c>
    </row>
    <row r="441" spans="1:11" ht="15">
      <c r="A441" s="54" t="str">
        <f t="shared" si="17"/>
        <v>HRVACACIONES/FINIQUITOSHR</v>
      </c>
      <c r="B441" t="s">
        <v>1560</v>
      </c>
      <c r="C441" s="1">
        <v>45845</v>
      </c>
      <c r="D441" t="s">
        <v>29</v>
      </c>
      <c r="E441" t="s">
        <v>190</v>
      </c>
      <c r="F441" s="213" t="s">
        <v>29</v>
      </c>
      <c r="G441" s="146"/>
      <c r="H441" t="s">
        <v>3704</v>
      </c>
      <c r="J441" s="81">
        <v>400</v>
      </c>
      <c r="K441" s="159">
        <f t="shared" si="20"/>
        <v>382525.00999999978</v>
      </c>
    </row>
    <row r="442" spans="1:11" ht="15">
      <c r="A442" s="54" t="str">
        <f t="shared" si="17"/>
        <v/>
      </c>
      <c r="B442" t="s">
        <v>1560</v>
      </c>
      <c r="C442" s="1">
        <v>45846</v>
      </c>
      <c r="F442" s="146"/>
      <c r="G442" s="146"/>
      <c r="H442" t="s">
        <v>3472</v>
      </c>
      <c r="I442" s="161">
        <v>200000</v>
      </c>
      <c r="J442" s="161"/>
      <c r="K442" s="159">
        <f t="shared" si="20"/>
        <v>582525.00999999978</v>
      </c>
    </row>
    <row r="443" spans="1:11" ht="15">
      <c r="A443" s="54" t="str">
        <f t="shared" si="17"/>
        <v>CAPVACACIONES/FINIQUITOSCAPRICHOS</v>
      </c>
      <c r="B443" t="s">
        <v>1560</v>
      </c>
      <c r="C443" s="1">
        <v>45846</v>
      </c>
      <c r="D443" t="s">
        <v>31</v>
      </c>
      <c r="E443" t="s">
        <v>190</v>
      </c>
      <c r="F443" s="146" t="s">
        <v>33</v>
      </c>
      <c r="G443" s="146"/>
      <c r="H443" t="s">
        <v>3705</v>
      </c>
      <c r="I443" s="161"/>
      <c r="J443" s="161">
        <v>4125</v>
      </c>
      <c r="K443" s="159">
        <f t="shared" si="20"/>
        <v>578400.00999999978</v>
      </c>
    </row>
    <row r="444" spans="1:11" ht="15">
      <c r="A444" s="54" t="str">
        <f t="shared" si="17"/>
        <v>HRVACACIONES/FINIQUITOSHR</v>
      </c>
      <c r="B444" t="s">
        <v>1560</v>
      </c>
      <c r="C444" s="1">
        <v>45846</v>
      </c>
      <c r="D444" t="s">
        <v>29</v>
      </c>
      <c r="E444" t="s">
        <v>190</v>
      </c>
      <c r="F444" s="213" t="s">
        <v>29</v>
      </c>
      <c r="G444" s="146"/>
      <c r="H444" t="s">
        <v>3706</v>
      </c>
      <c r="I444" s="161"/>
      <c r="J444" s="161">
        <v>6145</v>
      </c>
      <c r="K444" s="159">
        <f t="shared" si="20"/>
        <v>572255.00999999978</v>
      </c>
    </row>
    <row r="445" spans="1:11" ht="15">
      <c r="A445" s="54" t="str">
        <f t="shared" si="17"/>
        <v>CAPVACACIONES/FINIQUITOSCAPRICHOS</v>
      </c>
      <c r="B445" t="s">
        <v>1560</v>
      </c>
      <c r="C445" s="1">
        <v>45846</v>
      </c>
      <c r="D445" t="s">
        <v>31</v>
      </c>
      <c r="E445" t="s">
        <v>190</v>
      </c>
      <c r="F445" s="146" t="s">
        <v>33</v>
      </c>
      <c r="G445" s="146"/>
      <c r="H445" t="s">
        <v>3707</v>
      </c>
      <c r="I445" s="161"/>
      <c r="J445" s="161">
        <v>15000</v>
      </c>
      <c r="K445" s="159">
        <f t="shared" si="20"/>
        <v>557255.00999999978</v>
      </c>
    </row>
    <row r="446" spans="1:11" ht="15">
      <c r="A446" s="54" t="str">
        <f t="shared" si="17"/>
        <v>HRVACACIONES/FINIQUITOSHR</v>
      </c>
      <c r="B446" t="s">
        <v>1560</v>
      </c>
      <c r="C446" s="1">
        <v>45847</v>
      </c>
      <c r="D446" t="s">
        <v>29</v>
      </c>
      <c r="E446" t="s">
        <v>190</v>
      </c>
      <c r="F446" s="213" t="s">
        <v>29</v>
      </c>
      <c r="G446" s="146"/>
      <c r="H446" t="s">
        <v>3708</v>
      </c>
      <c r="I446" s="161"/>
      <c r="J446" s="161">
        <v>5440</v>
      </c>
      <c r="K446" s="159">
        <f t="shared" si="20"/>
        <v>551815.00999999978</v>
      </c>
    </row>
    <row r="447" spans="1:11" ht="15">
      <c r="A447" s="54" t="str">
        <f t="shared" si="17"/>
        <v>HRNOMINA ADMONHR</v>
      </c>
      <c r="B447" t="s">
        <v>1560</v>
      </c>
      <c r="C447" s="1">
        <v>45847</v>
      </c>
      <c r="D447" t="s">
        <v>29</v>
      </c>
      <c r="E447" t="s">
        <v>147</v>
      </c>
      <c r="F447" s="146" t="s">
        <v>29</v>
      </c>
      <c r="G447" s="146"/>
      <c r="H447" t="s">
        <v>3709</v>
      </c>
      <c r="I447" s="161"/>
      <c r="J447" s="161">
        <v>350</v>
      </c>
      <c r="K447" s="159">
        <f t="shared" si="20"/>
        <v>551465.00999999978</v>
      </c>
    </row>
    <row r="448" spans="1:11" ht="15">
      <c r="A448" s="54" t="str">
        <f t="shared" si="17"/>
        <v/>
      </c>
      <c r="B448" t="s">
        <v>1560</v>
      </c>
      <c r="C448" s="1">
        <v>45848</v>
      </c>
      <c r="F448" s="146"/>
      <c r="G448" s="146"/>
      <c r="H448" t="s">
        <v>3472</v>
      </c>
      <c r="I448" s="81">
        <v>205800</v>
      </c>
      <c r="K448" s="159">
        <f t="shared" si="20"/>
        <v>757265.00999999978</v>
      </c>
    </row>
    <row r="449" spans="1:11" ht="15">
      <c r="A449" s="54" t="str">
        <f t="shared" si="17"/>
        <v/>
      </c>
      <c r="B449" t="s">
        <v>1560</v>
      </c>
      <c r="C449" s="1">
        <v>45848</v>
      </c>
      <c r="F449" s="146"/>
      <c r="G449" s="146"/>
      <c r="H449" t="s">
        <v>3466</v>
      </c>
      <c r="I449" s="161">
        <v>17914.599999999999</v>
      </c>
      <c r="J449" s="161"/>
      <c r="K449" s="159">
        <f t="shared" si="20"/>
        <v>775179.60999999975</v>
      </c>
    </row>
    <row r="450" spans="1:11" ht="15">
      <c r="A450" s="54" t="str">
        <f t="shared" si="17"/>
        <v/>
      </c>
      <c r="B450" t="s">
        <v>1560</v>
      </c>
      <c r="C450" s="1">
        <v>45848</v>
      </c>
      <c r="F450" s="146"/>
      <c r="G450" s="146"/>
      <c r="H450" t="s">
        <v>3468</v>
      </c>
      <c r="I450" s="161">
        <v>4127.3999999999996</v>
      </c>
      <c r="J450" s="161"/>
      <c r="K450" s="159">
        <f t="shared" si="20"/>
        <v>779307.00999999978</v>
      </c>
    </row>
    <row r="451" spans="1:11" ht="15">
      <c r="A451" s="54" t="str">
        <f t="shared" si="17"/>
        <v/>
      </c>
      <c r="B451" t="s">
        <v>1560</v>
      </c>
      <c r="C451" s="1">
        <v>45848</v>
      </c>
      <c r="F451" s="146"/>
      <c r="G451" s="146"/>
      <c r="H451" t="s">
        <v>3467</v>
      </c>
      <c r="I451" s="161">
        <v>5002.74</v>
      </c>
      <c r="J451" s="161"/>
      <c r="K451" s="159">
        <f t="shared" si="20"/>
        <v>784309.74999999977</v>
      </c>
    </row>
    <row r="452" spans="1:11" ht="15">
      <c r="A452" s="54" t="str">
        <f t="shared" si="17"/>
        <v/>
      </c>
      <c r="B452" t="s">
        <v>1560</v>
      </c>
      <c r="C452" s="1">
        <v>45848</v>
      </c>
      <c r="F452" s="146"/>
      <c r="G452" s="146"/>
      <c r="H452" t="s">
        <v>3662</v>
      </c>
      <c r="I452" s="161"/>
      <c r="J452" s="161">
        <v>584398.80000000005</v>
      </c>
      <c r="K452" s="159">
        <f t="shared" si="20"/>
        <v>199910.94999999972</v>
      </c>
    </row>
    <row r="453" spans="1:11" ht="15">
      <c r="A453" s="54" t="str">
        <f t="shared" ref="A453:A516" si="21">D453&amp;E453&amp;F453</f>
        <v/>
      </c>
      <c r="B453" t="s">
        <v>1560</v>
      </c>
      <c r="C453" s="1">
        <v>45848</v>
      </c>
      <c r="F453" s="146"/>
      <c r="G453" s="146"/>
      <c r="H453" t="s">
        <v>3663</v>
      </c>
      <c r="I453" s="161"/>
      <c r="J453" s="161">
        <v>156573</v>
      </c>
      <c r="K453" s="159">
        <f t="shared" si="20"/>
        <v>43337.949999999721</v>
      </c>
    </row>
    <row r="454" spans="1:11" ht="15">
      <c r="A454" s="54" t="str">
        <f t="shared" si="21"/>
        <v/>
      </c>
      <c r="B454" t="s">
        <v>1560</v>
      </c>
      <c r="C454" s="1">
        <v>45848</v>
      </c>
      <c r="F454" s="146"/>
      <c r="G454" s="146"/>
      <c r="H454" t="s">
        <v>3507</v>
      </c>
      <c r="I454" s="161"/>
      <c r="J454" s="161">
        <v>35400</v>
      </c>
      <c r="K454" s="159">
        <f t="shared" si="20"/>
        <v>7937.9499999997206</v>
      </c>
    </row>
    <row r="455" spans="1:11" ht="15">
      <c r="A455" s="54" t="str">
        <f t="shared" si="21"/>
        <v>SERVICIOSNOMINA ADMONCADENA DE SUMINISTROS</v>
      </c>
      <c r="B455" t="s">
        <v>1560</v>
      </c>
      <c r="C455" s="1">
        <v>45848</v>
      </c>
      <c r="D455" t="s">
        <v>21</v>
      </c>
      <c r="E455" t="s">
        <v>147</v>
      </c>
      <c r="F455" s="146" t="s">
        <v>134</v>
      </c>
      <c r="G455" s="146"/>
      <c r="H455" t="s">
        <v>3710</v>
      </c>
      <c r="I455" s="161"/>
      <c r="J455" s="161">
        <v>1100</v>
      </c>
      <c r="K455" s="159">
        <f t="shared" si="20"/>
        <v>6837.9499999997206</v>
      </c>
    </row>
    <row r="456" spans="1:11" ht="15">
      <c r="A456" s="54" t="str">
        <f t="shared" si="21"/>
        <v>SERVICIOSNOMINA ADMONCADENA DE SUMINISTROS</v>
      </c>
      <c r="B456" t="s">
        <v>1560</v>
      </c>
      <c r="C456" s="1">
        <v>45848</v>
      </c>
      <c r="D456" t="s">
        <v>21</v>
      </c>
      <c r="E456" t="s">
        <v>147</v>
      </c>
      <c r="F456" s="146" t="s">
        <v>134</v>
      </c>
      <c r="G456" s="146"/>
      <c r="H456" t="s">
        <v>3711</v>
      </c>
      <c r="I456" s="161"/>
      <c r="J456" s="161">
        <v>2200</v>
      </c>
      <c r="K456" s="159">
        <f t="shared" si="20"/>
        <v>4637.9499999997206</v>
      </c>
    </row>
    <row r="457" spans="1:11" ht="15">
      <c r="A457" s="54" t="str">
        <f t="shared" si="21"/>
        <v>SERVICIOSNOMINA SUCURSALCEDIS</v>
      </c>
      <c r="B457" t="s">
        <v>1560</v>
      </c>
      <c r="C457" s="1">
        <v>45848</v>
      </c>
      <c r="D457" t="s">
        <v>21</v>
      </c>
      <c r="E457" t="s">
        <v>154</v>
      </c>
      <c r="F457" s="146" t="s">
        <v>28</v>
      </c>
      <c r="G457" s="146"/>
      <c r="H457" t="s">
        <v>3712</v>
      </c>
      <c r="I457" s="161"/>
      <c r="J457" s="161">
        <v>2158</v>
      </c>
      <c r="K457" s="159">
        <f t="shared" si="20"/>
        <v>2479.9499999997206</v>
      </c>
    </row>
    <row r="458" spans="1:11" ht="15">
      <c r="A458" s="54" t="str">
        <f t="shared" si="21"/>
        <v>SERVICIOSNOMINA ADMONCADENA DE SUMINISTROS</v>
      </c>
      <c r="B458" t="s">
        <v>1560</v>
      </c>
      <c r="C458" s="1">
        <v>45848</v>
      </c>
      <c r="D458" t="s">
        <v>21</v>
      </c>
      <c r="E458" t="s">
        <v>147</v>
      </c>
      <c r="F458" s="146" t="s">
        <v>134</v>
      </c>
      <c r="G458" s="146"/>
      <c r="H458" t="s">
        <v>3713</v>
      </c>
      <c r="I458" s="161"/>
      <c r="J458" s="161">
        <v>2400</v>
      </c>
      <c r="K458" s="159">
        <f t="shared" si="20"/>
        <v>79.949999999720603</v>
      </c>
    </row>
    <row r="459" spans="1:11" ht="15">
      <c r="A459" s="54" t="str">
        <f t="shared" si="21"/>
        <v>HRVACACIONES/FINIQUITOSHR</v>
      </c>
      <c r="B459" t="s">
        <v>1560</v>
      </c>
      <c r="C459" s="1">
        <v>45848</v>
      </c>
      <c r="D459" t="s">
        <v>29</v>
      </c>
      <c r="E459" t="s">
        <v>190</v>
      </c>
      <c r="F459" s="213" t="s">
        <v>29</v>
      </c>
      <c r="G459" s="146"/>
      <c r="H459" t="s">
        <v>3714</v>
      </c>
      <c r="I459" s="161"/>
      <c r="J459" s="161">
        <v>902</v>
      </c>
      <c r="K459" s="159">
        <f t="shared" si="20"/>
        <v>-822.0500000002794</v>
      </c>
    </row>
    <row r="460" spans="1:11" ht="15">
      <c r="A460" s="54" t="str">
        <f t="shared" si="21"/>
        <v>FINANZASNOMINA ADMONCONTABILIDAD</v>
      </c>
      <c r="B460" t="s">
        <v>1560</v>
      </c>
      <c r="C460" s="1">
        <v>45848</v>
      </c>
      <c r="D460" t="s">
        <v>23</v>
      </c>
      <c r="E460" t="s">
        <v>147</v>
      </c>
      <c r="F460" s="146" t="s">
        <v>37</v>
      </c>
      <c r="G460" s="146"/>
      <c r="H460" t="s">
        <v>3715</v>
      </c>
      <c r="I460" s="161"/>
      <c r="J460" s="161">
        <v>658</v>
      </c>
      <c r="K460" s="159">
        <f t="shared" si="20"/>
        <v>-1480.0500000002794</v>
      </c>
    </row>
    <row r="461" spans="1:11" ht="15">
      <c r="A461" s="54" t="str">
        <f t="shared" si="21"/>
        <v>CAPVACACIONES/FINIQUITOSCAPRICHOS</v>
      </c>
      <c r="B461" t="s">
        <v>1560</v>
      </c>
      <c r="C461" s="1">
        <v>45848</v>
      </c>
      <c r="D461" t="s">
        <v>31</v>
      </c>
      <c r="E461" t="s">
        <v>190</v>
      </c>
      <c r="F461" s="146" t="s">
        <v>33</v>
      </c>
      <c r="G461" s="146"/>
      <c r="H461" t="s">
        <v>3716</v>
      </c>
      <c r="I461" s="161"/>
      <c r="J461" s="161">
        <v>178</v>
      </c>
      <c r="K461" s="159">
        <f>K460+I461-J461</f>
        <v>-1658.0500000002794</v>
      </c>
    </row>
    <row r="462" spans="1:11" ht="15">
      <c r="A462" s="54" t="str">
        <f t="shared" si="21"/>
        <v>HRVACACIONES/FINIQUITOSHR</v>
      </c>
      <c r="B462" t="s">
        <v>1560</v>
      </c>
      <c r="C462" s="1">
        <v>45848</v>
      </c>
      <c r="D462" t="s">
        <v>29</v>
      </c>
      <c r="E462" t="s">
        <v>190</v>
      </c>
      <c r="F462" s="213" t="s">
        <v>29</v>
      </c>
      <c r="G462" s="146"/>
      <c r="H462" t="s">
        <v>3717</v>
      </c>
      <c r="I462" s="161"/>
      <c r="J462" s="161">
        <v>11648</v>
      </c>
      <c r="K462" s="159">
        <f>K461+I462-J462</f>
        <v>-13306.050000000279</v>
      </c>
    </row>
    <row r="463" spans="1:11" ht="15">
      <c r="A463" s="54" t="str">
        <f t="shared" si="21"/>
        <v>CAPNOMINA SUCURSALE1</v>
      </c>
      <c r="B463" t="s">
        <v>1560</v>
      </c>
      <c r="C463" s="1">
        <v>45849</v>
      </c>
      <c r="D463" t="s">
        <v>31</v>
      </c>
      <c r="E463" t="s">
        <v>154</v>
      </c>
      <c r="F463" s="146" t="s">
        <v>107</v>
      </c>
      <c r="G463" s="146"/>
      <c r="H463" t="s">
        <v>3718</v>
      </c>
      <c r="I463" s="161"/>
      <c r="J463" s="161">
        <v>1172</v>
      </c>
      <c r="K463" s="159">
        <f>K462+I463-J463</f>
        <v>-14478.050000000279</v>
      </c>
    </row>
    <row r="464" spans="1:11" ht="15">
      <c r="A464" s="54" t="str">
        <f t="shared" si="21"/>
        <v>SERVICIOSNOMINA ADMONCADENA DE SUMINISTROS</v>
      </c>
      <c r="B464" t="s">
        <v>1560</v>
      </c>
      <c r="C464" s="1">
        <v>45849</v>
      </c>
      <c r="D464" t="s">
        <v>21</v>
      </c>
      <c r="E464" t="s">
        <v>147</v>
      </c>
      <c r="F464" s="146" t="s">
        <v>134</v>
      </c>
      <c r="G464" s="146"/>
      <c r="H464" t="s">
        <v>3719</v>
      </c>
      <c r="I464" s="161"/>
      <c r="J464" s="161">
        <v>2374</v>
      </c>
      <c r="K464" s="159">
        <f>K463+I464-J464</f>
        <v>-16852.050000000279</v>
      </c>
    </row>
    <row r="465" spans="1:11" ht="15">
      <c r="A465" s="54" t="str">
        <f t="shared" si="21"/>
        <v>HRNOMINA ADMONHR</v>
      </c>
      <c r="B465" t="s">
        <v>1560</v>
      </c>
      <c r="C465" s="1">
        <v>45849</v>
      </c>
      <c r="D465" t="s">
        <v>29</v>
      </c>
      <c r="E465" t="s">
        <v>147</v>
      </c>
      <c r="F465" s="146" t="s">
        <v>29</v>
      </c>
      <c r="G465" s="146"/>
      <c r="H465" t="s">
        <v>3720</v>
      </c>
      <c r="I465" s="161"/>
      <c r="J465" s="161">
        <v>250</v>
      </c>
      <c r="K465" s="159">
        <f>K464+I465-J465</f>
        <v>-17102.050000000279</v>
      </c>
    </row>
    <row r="466" spans="1:11" ht="15">
      <c r="A466" s="54" t="str">
        <f t="shared" si="21"/>
        <v>HRVACACIONES/FINIQUITOSHR</v>
      </c>
      <c r="B466" t="s">
        <v>1560</v>
      </c>
      <c r="C466" s="1">
        <v>45852</v>
      </c>
      <c r="D466" t="s">
        <v>29</v>
      </c>
      <c r="E466" t="s">
        <v>190</v>
      </c>
      <c r="F466" s="213" t="s">
        <v>29</v>
      </c>
      <c r="G466" s="146" t="s">
        <v>258</v>
      </c>
      <c r="H466" t="s">
        <v>3721</v>
      </c>
      <c r="I466" s="161"/>
      <c r="J466" s="161">
        <f>10000-1320</f>
        <v>8680</v>
      </c>
      <c r="K466" s="159">
        <f t="shared" ref="K466:K515" si="22">K465+I466-J466</f>
        <v>-25782.050000000279</v>
      </c>
    </row>
    <row r="467" spans="1:11" ht="15">
      <c r="A467" s="54" t="str">
        <f t="shared" si="21"/>
        <v>HRVACACIONES/FINIQUITOSHR</v>
      </c>
      <c r="B467" t="s">
        <v>1560</v>
      </c>
      <c r="C467" s="1">
        <v>45852</v>
      </c>
      <c r="D467" t="s">
        <v>29</v>
      </c>
      <c r="E467" t="s">
        <v>190</v>
      </c>
      <c r="F467" s="213" t="s">
        <v>29</v>
      </c>
      <c r="G467" s="146"/>
      <c r="H467" t="s">
        <v>3722</v>
      </c>
      <c r="I467" s="161"/>
      <c r="J467" s="161">
        <v>176</v>
      </c>
      <c r="K467" s="159">
        <f t="shared" si="22"/>
        <v>-25958.050000000279</v>
      </c>
    </row>
    <row r="468" spans="1:11" ht="15">
      <c r="A468" s="54" t="str">
        <f t="shared" si="21"/>
        <v>CAPVACACIONES/FINIQUITOSCAPRICHOS</v>
      </c>
      <c r="B468" t="s">
        <v>1560</v>
      </c>
      <c r="C468" s="1">
        <v>45852</v>
      </c>
      <c r="D468" t="s">
        <v>31</v>
      </c>
      <c r="E468" t="s">
        <v>190</v>
      </c>
      <c r="F468" s="146" t="s">
        <v>33</v>
      </c>
      <c r="G468" s="146"/>
      <c r="H468" t="s">
        <v>3723</v>
      </c>
      <c r="I468" s="161"/>
      <c r="J468" s="161">
        <v>1820</v>
      </c>
      <c r="K468" s="159">
        <f t="shared" si="22"/>
        <v>-27778.050000000279</v>
      </c>
    </row>
    <row r="469" spans="1:11" ht="15">
      <c r="A469" s="54" t="str">
        <f t="shared" si="21"/>
        <v>FINANZASOTROS GASTOSPRESTAMO</v>
      </c>
      <c r="B469" t="s">
        <v>1560</v>
      </c>
      <c r="C469" s="1">
        <v>45852</v>
      </c>
      <c r="D469" t="s">
        <v>23</v>
      </c>
      <c r="E469" t="s">
        <v>156</v>
      </c>
      <c r="F469" s="146" t="s">
        <v>157</v>
      </c>
      <c r="G469" s="146" t="s">
        <v>258</v>
      </c>
      <c r="H469" t="s">
        <v>3724</v>
      </c>
      <c r="I469" s="161"/>
      <c r="J469" s="161">
        <v>10000</v>
      </c>
      <c r="K469" s="159">
        <f t="shared" si="22"/>
        <v>-37778.050000000279</v>
      </c>
    </row>
    <row r="470" spans="1:11" ht="15">
      <c r="A470" s="54" t="str">
        <f t="shared" si="21"/>
        <v/>
      </c>
      <c r="B470" t="s">
        <v>1560</v>
      </c>
      <c r="C470" s="1">
        <v>45852</v>
      </c>
      <c r="F470" s="146"/>
      <c r="G470" s="146"/>
      <c r="H470" t="s">
        <v>3472</v>
      </c>
      <c r="I470" s="161">
        <v>200000</v>
      </c>
      <c r="J470" s="161"/>
      <c r="K470" s="159">
        <f t="shared" si="22"/>
        <v>162221.94999999972</v>
      </c>
    </row>
    <row r="471" spans="1:11" ht="15">
      <c r="A471" s="54" t="str">
        <f t="shared" si="21"/>
        <v/>
      </c>
      <c r="B471" t="s">
        <v>1560</v>
      </c>
      <c r="C471" s="1">
        <v>45853</v>
      </c>
      <c r="F471" s="146"/>
      <c r="G471" s="146"/>
      <c r="H471" t="s">
        <v>3472</v>
      </c>
      <c r="I471" s="161">
        <v>100000</v>
      </c>
      <c r="K471" s="159">
        <f t="shared" si="22"/>
        <v>262221.94999999972</v>
      </c>
    </row>
    <row r="472" spans="1:11" ht="15">
      <c r="A472" s="54" t="str">
        <f t="shared" si="21"/>
        <v>FINANZASOTROS GASTOSPRESTAMO</v>
      </c>
      <c r="B472" t="s">
        <v>1560</v>
      </c>
      <c r="C472" s="1">
        <v>45853</v>
      </c>
      <c r="D472" t="s">
        <v>23</v>
      </c>
      <c r="E472" t="s">
        <v>156</v>
      </c>
      <c r="F472" s="146" t="s">
        <v>157</v>
      </c>
      <c r="G472" s="146" t="s">
        <v>258</v>
      </c>
      <c r="H472" t="s">
        <v>3725</v>
      </c>
      <c r="I472" s="161"/>
      <c r="J472" s="161">
        <v>5000</v>
      </c>
      <c r="K472" s="159">
        <f t="shared" si="22"/>
        <v>257221.94999999972</v>
      </c>
    </row>
    <row r="473" spans="1:11" ht="15">
      <c r="A473" s="54" t="str">
        <f t="shared" si="21"/>
        <v>HRVACACIONES/FINIQUITOSHR</v>
      </c>
      <c r="B473" t="s">
        <v>1560</v>
      </c>
      <c r="C473" s="1">
        <v>45853</v>
      </c>
      <c r="D473" t="s">
        <v>29</v>
      </c>
      <c r="E473" t="s">
        <v>190</v>
      </c>
      <c r="F473" s="213" t="s">
        <v>29</v>
      </c>
      <c r="G473" s="146"/>
      <c r="H473" t="s">
        <v>3726</v>
      </c>
      <c r="I473" s="161"/>
      <c r="J473" s="161">
        <v>3454</v>
      </c>
      <c r="K473" s="159">
        <f t="shared" si="22"/>
        <v>253767.94999999972</v>
      </c>
    </row>
    <row r="474" spans="1:11" ht="15">
      <c r="A474" s="54" t="str">
        <f t="shared" si="21"/>
        <v>HRVACACIONES/FINIQUITOSHR</v>
      </c>
      <c r="B474" t="s">
        <v>1560</v>
      </c>
      <c r="C474" s="1">
        <v>45854</v>
      </c>
      <c r="D474" t="s">
        <v>29</v>
      </c>
      <c r="E474" t="s">
        <v>190</v>
      </c>
      <c r="F474" s="213" t="s">
        <v>29</v>
      </c>
      <c r="G474" s="146"/>
      <c r="H474" t="s">
        <v>3727</v>
      </c>
      <c r="I474" s="161"/>
      <c r="J474" s="161">
        <v>1776</v>
      </c>
      <c r="K474" s="159">
        <f t="shared" si="22"/>
        <v>251991.94999999972</v>
      </c>
    </row>
    <row r="475" spans="1:11" ht="15">
      <c r="A475" s="54" t="str">
        <f t="shared" si="21"/>
        <v>HRVACACIONES/FINIQUITOSHR</v>
      </c>
      <c r="B475" t="s">
        <v>1560</v>
      </c>
      <c r="C475" s="1">
        <v>45854</v>
      </c>
      <c r="D475" t="s">
        <v>29</v>
      </c>
      <c r="E475" t="s">
        <v>190</v>
      </c>
      <c r="F475" s="213" t="s">
        <v>29</v>
      </c>
      <c r="G475" s="146"/>
      <c r="H475" t="s">
        <v>3707</v>
      </c>
      <c r="I475" s="161"/>
      <c r="J475" s="161">
        <v>15000</v>
      </c>
      <c r="K475" s="159">
        <f t="shared" si="22"/>
        <v>236991.94999999972</v>
      </c>
    </row>
    <row r="476" spans="1:11" ht="15">
      <c r="A476" s="54" t="str">
        <f t="shared" si="21"/>
        <v/>
      </c>
      <c r="B476" t="s">
        <v>1560</v>
      </c>
      <c r="C476" s="1">
        <v>45854</v>
      </c>
      <c r="F476" s="146"/>
      <c r="G476" s="146"/>
      <c r="H476" t="s">
        <v>3472</v>
      </c>
      <c r="I476" s="161">
        <v>150000</v>
      </c>
      <c r="J476" s="161"/>
      <c r="K476" s="159">
        <f t="shared" si="22"/>
        <v>386991.94999999972</v>
      </c>
    </row>
    <row r="477" spans="1:11" ht="15">
      <c r="A477" s="54" t="str">
        <f t="shared" si="21"/>
        <v/>
      </c>
      <c r="B477" t="s">
        <v>1560</v>
      </c>
      <c r="C477" s="1">
        <v>45855</v>
      </c>
      <c r="F477" s="146"/>
      <c r="G477" s="146"/>
      <c r="H477" t="s">
        <v>3472</v>
      </c>
      <c r="I477" s="161">
        <v>200000</v>
      </c>
      <c r="J477" s="161"/>
      <c r="K477" s="159">
        <f t="shared" si="22"/>
        <v>586991.94999999972</v>
      </c>
    </row>
    <row r="478" spans="1:11" ht="15">
      <c r="A478" s="54" t="str">
        <f t="shared" si="21"/>
        <v/>
      </c>
      <c r="B478" t="s">
        <v>1560</v>
      </c>
      <c r="C478" s="1">
        <v>45855</v>
      </c>
      <c r="F478" s="146"/>
      <c r="G478" s="146"/>
      <c r="H478" t="s">
        <v>3472</v>
      </c>
      <c r="I478" s="161">
        <v>176500</v>
      </c>
      <c r="J478" s="161"/>
      <c r="K478" s="159">
        <f t="shared" si="22"/>
        <v>763491.94999999972</v>
      </c>
    </row>
    <row r="479" spans="1:11" ht="15">
      <c r="A479" s="54" t="str">
        <f t="shared" si="21"/>
        <v/>
      </c>
      <c r="B479" t="s">
        <v>1560</v>
      </c>
      <c r="C479" s="1">
        <v>45855</v>
      </c>
      <c r="F479" s="146"/>
      <c r="G479" s="146"/>
      <c r="H479" t="s">
        <v>3466</v>
      </c>
      <c r="I479" s="161">
        <v>17914.400000000001</v>
      </c>
      <c r="J479" s="161"/>
      <c r="K479" s="159">
        <f t="shared" si="22"/>
        <v>781406.34999999974</v>
      </c>
    </row>
    <row r="480" spans="1:11" ht="15">
      <c r="A480" s="54" t="str">
        <f t="shared" si="21"/>
        <v/>
      </c>
      <c r="B480" t="s">
        <v>1560</v>
      </c>
      <c r="C480" s="1">
        <v>45855</v>
      </c>
      <c r="F480" s="146"/>
      <c r="G480" s="146"/>
      <c r="H480" t="s">
        <v>3468</v>
      </c>
      <c r="I480" s="161">
        <v>4128</v>
      </c>
      <c r="J480" s="161"/>
      <c r="K480" s="159">
        <f t="shared" si="22"/>
        <v>785534.34999999974</v>
      </c>
    </row>
    <row r="481" spans="1:11" ht="15">
      <c r="A481" s="54" t="str">
        <f t="shared" si="21"/>
        <v/>
      </c>
      <c r="B481" t="s">
        <v>1560</v>
      </c>
      <c r="C481" s="1">
        <v>45855</v>
      </c>
      <c r="F481" s="146"/>
      <c r="G481" s="146"/>
      <c r="H481" t="s">
        <v>3467</v>
      </c>
      <c r="I481" s="161">
        <v>5502.54</v>
      </c>
      <c r="J481" s="161"/>
      <c r="K481" s="159">
        <f t="shared" si="22"/>
        <v>791036.88999999978</v>
      </c>
    </row>
    <row r="482" spans="1:11" ht="15">
      <c r="A482" s="54" t="str">
        <f t="shared" si="21"/>
        <v/>
      </c>
      <c r="B482" t="s">
        <v>1560</v>
      </c>
      <c r="C482" s="1">
        <v>45855</v>
      </c>
      <c r="F482" s="146"/>
      <c r="G482" s="146"/>
      <c r="H482" t="s">
        <v>3662</v>
      </c>
      <c r="I482" s="161"/>
      <c r="J482" s="161">
        <v>584788.1</v>
      </c>
      <c r="K482" s="159">
        <f t="shared" si="22"/>
        <v>206248.7899999998</v>
      </c>
    </row>
    <row r="483" spans="1:11" ht="15">
      <c r="A483" s="54" t="str">
        <f t="shared" si="21"/>
        <v/>
      </c>
      <c r="B483" t="s">
        <v>1560</v>
      </c>
      <c r="C483" s="1">
        <v>45855</v>
      </c>
      <c r="F483" s="146"/>
      <c r="G483" s="146"/>
      <c r="H483" t="s">
        <v>3663</v>
      </c>
      <c r="I483" s="161"/>
      <c r="J483" s="161">
        <v>150828.4</v>
      </c>
      <c r="K483" s="159">
        <f t="shared" si="22"/>
        <v>55420.38999999981</v>
      </c>
    </row>
    <row r="484" spans="1:11" ht="15">
      <c r="A484" s="54" t="str">
        <f t="shared" si="21"/>
        <v/>
      </c>
      <c r="B484" t="s">
        <v>1560</v>
      </c>
      <c r="C484" s="1">
        <v>45855</v>
      </c>
      <c r="F484" s="146"/>
      <c r="G484" s="146"/>
      <c r="H484" t="s">
        <v>3507</v>
      </c>
      <c r="I484" s="161"/>
      <c r="J484" s="161">
        <v>37275</v>
      </c>
      <c r="K484" s="159">
        <f t="shared" si="22"/>
        <v>18145.38999999981</v>
      </c>
    </row>
    <row r="485" spans="1:11" ht="15">
      <c r="A485" s="54" t="str">
        <f t="shared" si="21"/>
        <v>HRVACACIONES/FINIQUITOSHR</v>
      </c>
      <c r="B485" t="s">
        <v>1560</v>
      </c>
      <c r="C485" s="1">
        <v>45856</v>
      </c>
      <c r="D485" t="s">
        <v>29</v>
      </c>
      <c r="E485" t="s">
        <v>190</v>
      </c>
      <c r="F485" s="213" t="s">
        <v>29</v>
      </c>
      <c r="G485" s="146"/>
      <c r="H485" t="s">
        <v>3728</v>
      </c>
      <c r="I485" s="161"/>
      <c r="J485" s="161">
        <v>776</v>
      </c>
      <c r="K485" s="159">
        <f t="shared" si="22"/>
        <v>17369.38999999981</v>
      </c>
    </row>
    <row r="486" spans="1:11" ht="15">
      <c r="A486" s="54" t="str">
        <f t="shared" si="21"/>
        <v>SERVICIOSVACACIONES/FINIQUITOSSERVICIOS</v>
      </c>
      <c r="B486" t="s">
        <v>1560</v>
      </c>
      <c r="C486" s="1">
        <v>45856</v>
      </c>
      <c r="D486" t="s">
        <v>21</v>
      </c>
      <c r="E486" t="s">
        <v>190</v>
      </c>
      <c r="F486" s="146" t="s">
        <v>21</v>
      </c>
      <c r="G486" s="146"/>
      <c r="H486" t="s">
        <v>3729</v>
      </c>
      <c r="I486" s="161"/>
      <c r="J486" s="161">
        <v>3355</v>
      </c>
      <c r="K486" s="159">
        <f t="shared" si="22"/>
        <v>14014.38999999981</v>
      </c>
    </row>
    <row r="487" spans="1:11" ht="15">
      <c r="A487" s="54" t="str">
        <f t="shared" si="21"/>
        <v>SERVICIOSNOMINA ADMONCADENA DE SUMINISTROS</v>
      </c>
      <c r="B487" t="s">
        <v>1560</v>
      </c>
      <c r="C487" s="1">
        <v>45856</v>
      </c>
      <c r="D487" t="s">
        <v>21</v>
      </c>
      <c r="E487" t="s">
        <v>147</v>
      </c>
      <c r="F487" s="146" t="s">
        <v>134</v>
      </c>
      <c r="G487" s="146"/>
      <c r="H487" t="s">
        <v>3730</v>
      </c>
      <c r="I487" s="161"/>
      <c r="J487" s="161">
        <v>2200</v>
      </c>
      <c r="K487" s="159">
        <f t="shared" si="22"/>
        <v>11814.38999999981</v>
      </c>
    </row>
    <row r="488" spans="1:11" ht="15">
      <c r="A488" s="54" t="str">
        <f t="shared" si="21"/>
        <v>CAPNOMINA SUCURSALE4</v>
      </c>
      <c r="B488" t="s">
        <v>1560</v>
      </c>
      <c r="C488" s="1">
        <v>45856</v>
      </c>
      <c r="D488" t="s">
        <v>31</v>
      </c>
      <c r="E488" t="s">
        <v>154</v>
      </c>
      <c r="F488" s="146" t="s">
        <v>110</v>
      </c>
      <c r="G488" s="146"/>
      <c r="H488" t="s">
        <v>3731</v>
      </c>
      <c r="I488" s="161"/>
      <c r="J488" s="161">
        <v>1773</v>
      </c>
      <c r="K488" s="159">
        <f t="shared" si="22"/>
        <v>10041.38999999981</v>
      </c>
    </row>
    <row r="489" spans="1:11" ht="15">
      <c r="A489" s="54" t="str">
        <f t="shared" si="21"/>
        <v>HRNOMINA SUCURSALA4</v>
      </c>
      <c r="B489" t="s">
        <v>1560</v>
      </c>
      <c r="C489" s="1">
        <v>45856</v>
      </c>
      <c r="D489" t="s">
        <v>29</v>
      </c>
      <c r="E489" t="s">
        <v>154</v>
      </c>
      <c r="F489" t="s">
        <v>91</v>
      </c>
      <c r="G489" s="146"/>
      <c r="H489" t="s">
        <v>3732</v>
      </c>
      <c r="I489" s="161"/>
      <c r="J489" s="161">
        <v>2128</v>
      </c>
      <c r="K489" s="159">
        <f t="shared" si="22"/>
        <v>7913.3899999998102</v>
      </c>
    </row>
    <row r="490" spans="1:11" ht="15">
      <c r="A490" s="54" t="str">
        <f t="shared" si="21"/>
        <v>SERVICIOSNOMINA ADMONCEDIS</v>
      </c>
      <c r="B490" t="s">
        <v>1560</v>
      </c>
      <c r="C490" s="1">
        <v>45856</v>
      </c>
      <c r="D490" t="s">
        <v>21</v>
      </c>
      <c r="E490" t="s">
        <v>147</v>
      </c>
      <c r="F490" s="146" t="s">
        <v>28</v>
      </c>
      <c r="G490" s="146"/>
      <c r="H490" t="s">
        <v>3733</v>
      </c>
      <c r="I490" s="161"/>
      <c r="J490" s="161">
        <v>2474</v>
      </c>
      <c r="K490" s="159">
        <f t="shared" si="22"/>
        <v>5439.3899999998102</v>
      </c>
    </row>
    <row r="491" spans="1:11" ht="21" customHeight="1">
      <c r="A491" s="54" t="str">
        <f t="shared" si="21"/>
        <v>SERVICIOSNOMINA ADMONCADENA DE SUMINISTROS</v>
      </c>
      <c r="B491" t="s">
        <v>1560</v>
      </c>
      <c r="C491" s="1">
        <v>45856</v>
      </c>
      <c r="D491" t="s">
        <v>21</v>
      </c>
      <c r="E491" s="12" t="s">
        <v>147</v>
      </c>
      <c r="F491" s="12" t="s">
        <v>134</v>
      </c>
      <c r="G491" s="146"/>
      <c r="H491" t="s">
        <v>3734</v>
      </c>
      <c r="I491" s="161"/>
      <c r="J491" s="161">
        <v>2200</v>
      </c>
      <c r="K491" s="159">
        <f t="shared" si="22"/>
        <v>3239.3899999998102</v>
      </c>
    </row>
    <row r="492" spans="1:11" ht="15">
      <c r="A492" s="54" t="str">
        <f t="shared" si="21"/>
        <v>SERVICIOSNOMINA SUCURSALCEDIS</v>
      </c>
      <c r="B492" t="s">
        <v>1560</v>
      </c>
      <c r="C492" s="1">
        <v>45856</v>
      </c>
      <c r="D492" t="s">
        <v>21</v>
      </c>
      <c r="E492" t="s">
        <v>154</v>
      </c>
      <c r="F492" s="146" t="s">
        <v>28</v>
      </c>
      <c r="G492" s="146"/>
      <c r="H492" t="s">
        <v>3735</v>
      </c>
      <c r="I492" s="161"/>
      <c r="J492" s="161">
        <v>1100</v>
      </c>
      <c r="K492" s="159">
        <f t="shared" si="22"/>
        <v>2139.3899999998102</v>
      </c>
    </row>
    <row r="493" spans="1:11" ht="15">
      <c r="A493" s="54" t="str">
        <f t="shared" si="21"/>
        <v>SERVICIOSNOMINA SUCURSALCEDIS</v>
      </c>
      <c r="B493" t="s">
        <v>1560</v>
      </c>
      <c r="C493" s="1">
        <v>45856</v>
      </c>
      <c r="D493" t="s">
        <v>21</v>
      </c>
      <c r="E493" t="s">
        <v>154</v>
      </c>
      <c r="F493" s="146" t="s">
        <v>28</v>
      </c>
      <c r="G493" s="146"/>
      <c r="H493" t="s">
        <v>3736</v>
      </c>
      <c r="I493" s="161"/>
      <c r="J493" s="161">
        <v>2128</v>
      </c>
      <c r="K493" s="159">
        <f t="shared" si="22"/>
        <v>11.389999999810243</v>
      </c>
    </row>
    <row r="494" spans="1:11" ht="15">
      <c r="A494" s="54" t="str">
        <f t="shared" si="21"/>
        <v>SERVICIOSNOMINA ADMONMANTENIMIENTO</v>
      </c>
      <c r="B494" t="s">
        <v>1560</v>
      </c>
      <c r="C494" s="1">
        <v>45857</v>
      </c>
      <c r="D494" t="s">
        <v>21</v>
      </c>
      <c r="E494" t="s">
        <v>147</v>
      </c>
      <c r="F494" s="146" t="s">
        <v>35</v>
      </c>
      <c r="G494" s="146"/>
      <c r="H494" t="s">
        <v>3737</v>
      </c>
      <c r="J494" s="81">
        <v>424</v>
      </c>
      <c r="K494" s="159">
        <f t="shared" si="22"/>
        <v>-412.61000000018976</v>
      </c>
    </row>
    <row r="495" spans="1:11" ht="15">
      <c r="A495" s="54" t="str">
        <f t="shared" si="21"/>
        <v/>
      </c>
      <c r="B495" t="s">
        <v>1560</v>
      </c>
      <c r="C495" s="1">
        <v>45859</v>
      </c>
      <c r="F495" s="146"/>
      <c r="G495" s="146"/>
      <c r="H495" t="s">
        <v>3472</v>
      </c>
      <c r="I495" s="81">
        <v>200000</v>
      </c>
      <c r="K495" s="159">
        <f t="shared" si="22"/>
        <v>199587.38999999981</v>
      </c>
    </row>
    <row r="496" spans="1:11" ht="15">
      <c r="A496" s="54" t="str">
        <f t="shared" si="21"/>
        <v>FINANZASVACACIONES/FINIQUITOSFINANZAS</v>
      </c>
      <c r="B496" t="s">
        <v>1560</v>
      </c>
      <c r="C496" s="1">
        <v>45859</v>
      </c>
      <c r="D496" t="s">
        <v>23</v>
      </c>
      <c r="E496" t="s">
        <v>190</v>
      </c>
      <c r="F496" s="146" t="s">
        <v>23</v>
      </c>
      <c r="G496" s="146"/>
      <c r="H496" t="s">
        <v>3738</v>
      </c>
      <c r="I496" s="161"/>
      <c r="J496" s="161">
        <v>6460</v>
      </c>
      <c r="K496" s="159">
        <f t="shared" si="22"/>
        <v>193127.38999999981</v>
      </c>
    </row>
    <row r="497" spans="1:11" ht="15">
      <c r="A497" s="54" t="str">
        <f t="shared" si="21"/>
        <v>HRVACACIONES/FINIQUITOSHR</v>
      </c>
      <c r="B497" t="s">
        <v>1560</v>
      </c>
      <c r="C497" s="1">
        <v>45859</v>
      </c>
      <c r="D497" t="s">
        <v>29</v>
      </c>
      <c r="E497" t="s">
        <v>190</v>
      </c>
      <c r="F497" s="213" t="s">
        <v>29</v>
      </c>
      <c r="G497" s="146"/>
      <c r="H497" t="s">
        <v>3739</v>
      </c>
      <c r="I497" s="161"/>
      <c r="J497" s="161">
        <v>3975</v>
      </c>
      <c r="K497" s="159">
        <f t="shared" si="22"/>
        <v>189152.38999999981</v>
      </c>
    </row>
    <row r="498" spans="1:11" ht="15">
      <c r="A498" s="54" t="str">
        <f t="shared" si="21"/>
        <v/>
      </c>
      <c r="B498" t="s">
        <v>1560</v>
      </c>
      <c r="C498" s="1">
        <v>45859</v>
      </c>
      <c r="F498" s="146"/>
      <c r="G498" s="146"/>
      <c r="H498" t="s">
        <v>3573</v>
      </c>
      <c r="I498" s="161"/>
      <c r="J498" s="161">
        <v>35400</v>
      </c>
      <c r="K498" s="159">
        <f t="shared" si="22"/>
        <v>153752.38999999981</v>
      </c>
    </row>
    <row r="499" spans="1:11" ht="15">
      <c r="A499" s="54" t="str">
        <f t="shared" si="21"/>
        <v/>
      </c>
      <c r="B499" t="s">
        <v>1560</v>
      </c>
      <c r="C499" s="1">
        <v>45860</v>
      </c>
      <c r="F499" s="146"/>
      <c r="G499" s="146"/>
      <c r="H499" t="s">
        <v>3472</v>
      </c>
      <c r="I499" s="161">
        <v>150000</v>
      </c>
      <c r="J499" s="161"/>
      <c r="K499" s="159">
        <f t="shared" si="22"/>
        <v>303752.38999999978</v>
      </c>
    </row>
    <row r="500" spans="1:11" ht="15">
      <c r="A500" s="54" t="str">
        <f t="shared" si="21"/>
        <v/>
      </c>
      <c r="B500" t="s">
        <v>1560</v>
      </c>
      <c r="C500" s="1">
        <v>45861</v>
      </c>
      <c r="F500" s="146"/>
      <c r="G500" s="146"/>
      <c r="H500" t="s">
        <v>3472</v>
      </c>
      <c r="I500" s="161">
        <v>200000</v>
      </c>
      <c r="J500" s="161"/>
      <c r="K500" s="159">
        <f t="shared" si="22"/>
        <v>503752.38999999978</v>
      </c>
    </row>
    <row r="501" spans="1:11" ht="15">
      <c r="A501" s="54" t="str">
        <f t="shared" si="21"/>
        <v>SERVICIOSVACACIONES/FINIQUITOSSERVICIOS</v>
      </c>
      <c r="B501" t="s">
        <v>1560</v>
      </c>
      <c r="C501" s="1">
        <v>45861</v>
      </c>
      <c r="D501" t="s">
        <v>21</v>
      </c>
      <c r="E501" t="s">
        <v>190</v>
      </c>
      <c r="F501" s="146" t="s">
        <v>21</v>
      </c>
      <c r="G501" s="146"/>
      <c r="H501" t="s">
        <v>3740</v>
      </c>
      <c r="I501" s="161"/>
      <c r="J501" s="161">
        <v>6098</v>
      </c>
      <c r="K501" s="159">
        <f t="shared" si="22"/>
        <v>497654.38999999978</v>
      </c>
    </row>
    <row r="502" spans="1:11" ht="15">
      <c r="A502" s="54" t="str">
        <f t="shared" si="21"/>
        <v/>
      </c>
      <c r="B502" t="s">
        <v>1560</v>
      </c>
      <c r="C502" s="1">
        <v>45862</v>
      </c>
      <c r="F502" s="146"/>
      <c r="G502" s="146"/>
      <c r="H502" t="s">
        <v>3472</v>
      </c>
      <c r="I502" s="161">
        <v>200000</v>
      </c>
      <c r="J502" s="161"/>
      <c r="K502" s="159">
        <f t="shared" si="22"/>
        <v>697654.38999999978</v>
      </c>
    </row>
    <row r="503" spans="1:11" ht="15">
      <c r="A503" s="54" t="str">
        <f t="shared" si="21"/>
        <v/>
      </c>
      <c r="B503" t="s">
        <v>1560</v>
      </c>
      <c r="C503" s="1">
        <v>45862</v>
      </c>
      <c r="F503" s="146"/>
      <c r="G503" s="146"/>
      <c r="H503" t="s">
        <v>3466</v>
      </c>
      <c r="I503" s="161">
        <v>17914.400000000001</v>
      </c>
      <c r="J503" s="161"/>
      <c r="K503" s="159">
        <f t="shared" si="22"/>
        <v>715568.7899999998</v>
      </c>
    </row>
    <row r="504" spans="1:11" ht="15">
      <c r="A504" s="54" t="str">
        <f t="shared" si="21"/>
        <v/>
      </c>
      <c r="B504" t="s">
        <v>1560</v>
      </c>
      <c r="C504" s="1">
        <v>45862</v>
      </c>
      <c r="F504" s="146"/>
      <c r="G504" s="146"/>
      <c r="H504" t="s">
        <v>3468</v>
      </c>
      <c r="I504" s="161">
        <v>4128.2</v>
      </c>
      <c r="J504" s="161"/>
      <c r="K504" s="159">
        <f t="shared" si="22"/>
        <v>719696.98999999976</v>
      </c>
    </row>
    <row r="505" spans="1:11" ht="15">
      <c r="A505" s="54" t="str">
        <f t="shared" si="21"/>
        <v/>
      </c>
      <c r="B505" t="s">
        <v>1560</v>
      </c>
      <c r="C505" s="1">
        <v>45862</v>
      </c>
      <c r="F505" s="146"/>
      <c r="G505" s="146"/>
      <c r="H505" t="s">
        <v>3467</v>
      </c>
      <c r="I505" s="161">
        <f>3895.74+2000</f>
        <v>5895.74</v>
      </c>
      <c r="J505" s="161"/>
      <c r="K505" s="159">
        <f t="shared" si="22"/>
        <v>725592.72999999975</v>
      </c>
    </row>
    <row r="506" spans="1:11" ht="15">
      <c r="A506" s="54" t="str">
        <f t="shared" si="21"/>
        <v/>
      </c>
      <c r="B506" t="s">
        <v>1560</v>
      </c>
      <c r="C506" s="1">
        <v>45862</v>
      </c>
      <c r="F506" s="146"/>
      <c r="G506" s="146"/>
      <c r="H506" t="s">
        <v>3662</v>
      </c>
      <c r="I506" s="161"/>
      <c r="J506" s="161">
        <v>555641.21</v>
      </c>
      <c r="K506" s="159">
        <f t="shared" si="22"/>
        <v>169951.51999999979</v>
      </c>
    </row>
    <row r="507" spans="1:11" ht="15">
      <c r="A507" s="54" t="str">
        <f t="shared" si="21"/>
        <v/>
      </c>
      <c r="B507" t="s">
        <v>1560</v>
      </c>
      <c r="C507" s="1">
        <v>45862</v>
      </c>
      <c r="F507" s="146"/>
      <c r="G507" s="146"/>
      <c r="H507" t="s">
        <v>3663</v>
      </c>
      <c r="I507" s="161"/>
      <c r="J507" s="161">
        <v>161360</v>
      </c>
      <c r="K507" s="159">
        <f t="shared" si="22"/>
        <v>8591.5199999997858</v>
      </c>
    </row>
    <row r="508" spans="1:11" ht="15">
      <c r="A508" s="54" t="str">
        <f t="shared" si="21"/>
        <v/>
      </c>
      <c r="B508" t="s">
        <v>1560</v>
      </c>
      <c r="C508" s="1">
        <v>45863</v>
      </c>
      <c r="F508" s="146"/>
      <c r="G508" s="146"/>
      <c r="H508" t="s">
        <v>3472</v>
      </c>
      <c r="I508" s="161">
        <v>5000</v>
      </c>
      <c r="J508" s="161"/>
      <c r="K508" s="159">
        <f t="shared" si="22"/>
        <v>13591.519999999786</v>
      </c>
    </row>
    <row r="509" spans="1:11" ht="15">
      <c r="A509" s="54" t="str">
        <f t="shared" si="21"/>
        <v>SERVICIOSNOMINA SUCURSALCEDIS</v>
      </c>
      <c r="B509" t="s">
        <v>1560</v>
      </c>
      <c r="C509" s="1">
        <v>45863</v>
      </c>
      <c r="D509" t="s">
        <v>21</v>
      </c>
      <c r="E509" t="s">
        <v>154</v>
      </c>
      <c r="F509" s="146" t="s">
        <v>28</v>
      </c>
      <c r="G509" s="146"/>
      <c r="H509" t="s">
        <v>3741</v>
      </c>
      <c r="I509" s="161"/>
      <c r="J509" s="161">
        <v>2474</v>
      </c>
      <c r="K509" s="159">
        <f t="shared" si="22"/>
        <v>11117.519999999786</v>
      </c>
    </row>
    <row r="510" spans="1:11" ht="15">
      <c r="A510" s="54" t="str">
        <f t="shared" si="21"/>
        <v>SERVICIOSNOMINA SUCURSALCEDIS</v>
      </c>
      <c r="B510" t="s">
        <v>1560</v>
      </c>
      <c r="C510" s="1">
        <v>45863</v>
      </c>
      <c r="D510" t="s">
        <v>21</v>
      </c>
      <c r="E510" t="s">
        <v>154</v>
      </c>
      <c r="F510" s="146" t="s">
        <v>28</v>
      </c>
      <c r="G510" s="146"/>
      <c r="H510" t="s">
        <v>3736</v>
      </c>
      <c r="I510" s="161"/>
      <c r="J510" s="161">
        <v>2126</v>
      </c>
      <c r="K510" s="159">
        <f t="shared" si="22"/>
        <v>8991.5199999997858</v>
      </c>
    </row>
    <row r="511" spans="1:11" ht="15">
      <c r="A511" s="54" t="str">
        <f t="shared" si="21"/>
        <v>SERVICIOSNOMINA ADMONCADENA DE SUMINISTROS</v>
      </c>
      <c r="B511" t="s">
        <v>1560</v>
      </c>
      <c r="C511" s="1">
        <v>45863</v>
      </c>
      <c r="D511" t="s">
        <v>21</v>
      </c>
      <c r="E511" t="s">
        <v>147</v>
      </c>
      <c r="F511" s="379" t="s">
        <v>134</v>
      </c>
      <c r="G511" s="146"/>
      <c r="H511" t="s">
        <v>3734</v>
      </c>
      <c r="I511" s="161"/>
      <c r="J511" s="161">
        <v>2200</v>
      </c>
      <c r="K511" s="159">
        <f t="shared" si="22"/>
        <v>6791.5199999997858</v>
      </c>
    </row>
    <row r="512" spans="1:11" ht="15">
      <c r="A512" s="54" t="str">
        <f t="shared" si="21"/>
        <v>SERVICIOSNOMINA SUCURSALCEDIS</v>
      </c>
      <c r="B512" t="s">
        <v>1560</v>
      </c>
      <c r="C512" s="1">
        <v>45863</v>
      </c>
      <c r="D512" t="s">
        <v>21</v>
      </c>
      <c r="E512" t="s">
        <v>154</v>
      </c>
      <c r="F512" s="146" t="s">
        <v>28</v>
      </c>
      <c r="G512" s="146"/>
      <c r="H512" t="s">
        <v>3742</v>
      </c>
      <c r="I512" s="161"/>
      <c r="J512" s="161">
        <v>1062</v>
      </c>
      <c r="K512" s="159">
        <f t="shared" si="22"/>
        <v>5729.5199999997858</v>
      </c>
    </row>
    <row r="513" spans="1:11" ht="15">
      <c r="A513" s="54" t="str">
        <f t="shared" si="21"/>
        <v>SERVICIOSNOMINA SUCURSALCEDIS</v>
      </c>
      <c r="B513" t="s">
        <v>1560</v>
      </c>
      <c r="C513" s="1">
        <v>45863</v>
      </c>
      <c r="D513" t="s">
        <v>21</v>
      </c>
      <c r="E513" t="s">
        <v>154</v>
      </c>
      <c r="F513" s="146" t="s">
        <v>28</v>
      </c>
      <c r="G513" s="146"/>
      <c r="H513" t="s">
        <v>3743</v>
      </c>
      <c r="I513" s="161"/>
      <c r="J513" s="161">
        <v>770</v>
      </c>
      <c r="K513" s="159">
        <f t="shared" si="22"/>
        <v>4959.5199999997858</v>
      </c>
    </row>
    <row r="514" spans="1:11" ht="15">
      <c r="A514" s="54" t="str">
        <f t="shared" si="21"/>
        <v>CAPNOMINA SUCURSALE8</v>
      </c>
      <c r="B514" t="s">
        <v>1560</v>
      </c>
      <c r="C514" s="1">
        <v>45863</v>
      </c>
      <c r="D514" t="s">
        <v>31</v>
      </c>
      <c r="E514" t="s">
        <v>154</v>
      </c>
      <c r="F514" s="146" t="s">
        <v>114</v>
      </c>
      <c r="G514" s="146"/>
      <c r="H514" t="s">
        <v>3744</v>
      </c>
      <c r="I514" s="161"/>
      <c r="J514" s="161">
        <v>2490</v>
      </c>
      <c r="K514" s="159">
        <f t="shared" si="22"/>
        <v>2469.5199999997858</v>
      </c>
    </row>
    <row r="515" spans="1:11" ht="15">
      <c r="A515" s="54" t="str">
        <f t="shared" si="21"/>
        <v>HRNOMINA SUCURSALA4</v>
      </c>
      <c r="B515" t="s">
        <v>1560</v>
      </c>
      <c r="C515" s="1">
        <v>45863</v>
      </c>
      <c r="D515" t="s">
        <v>29</v>
      </c>
      <c r="E515" t="s">
        <v>154</v>
      </c>
      <c r="F515" s="146" t="s">
        <v>91</v>
      </c>
      <c r="G515" s="146"/>
      <c r="H515" t="s">
        <v>3745</v>
      </c>
      <c r="I515" s="161"/>
      <c r="J515" s="161">
        <v>2128</v>
      </c>
      <c r="K515" s="159">
        <f>K514+I515-J515</f>
        <v>341.5199999997858</v>
      </c>
    </row>
    <row r="516" spans="1:11" ht="15">
      <c r="A516" s="54" t="str">
        <f t="shared" si="21"/>
        <v/>
      </c>
      <c r="B516" t="s">
        <v>1560</v>
      </c>
      <c r="C516" s="1">
        <v>45866</v>
      </c>
      <c r="F516" s="146"/>
      <c r="G516" s="146"/>
      <c r="H516" t="s">
        <v>3472</v>
      </c>
      <c r="I516" s="161">
        <v>250000</v>
      </c>
      <c r="J516" s="161"/>
      <c r="K516" s="159">
        <f>K515+I516-J516</f>
        <v>250341.51999999979</v>
      </c>
    </row>
    <row r="517" spans="1:11" ht="15">
      <c r="A517" s="54" t="str">
        <f t="shared" ref="A517:A580" si="23">D517&amp;E517&amp;F517</f>
        <v>HRVACACIONES/FINIQUITOSHR</v>
      </c>
      <c r="B517" t="s">
        <v>1560</v>
      </c>
      <c r="C517" s="1">
        <v>45866</v>
      </c>
      <c r="D517" t="s">
        <v>29</v>
      </c>
      <c r="E517" t="s">
        <v>190</v>
      </c>
      <c r="F517" s="213" t="s">
        <v>29</v>
      </c>
      <c r="G517" s="146"/>
      <c r="H517" t="s">
        <v>3746</v>
      </c>
      <c r="I517" s="161"/>
      <c r="J517" s="161">
        <v>2350</v>
      </c>
      <c r="K517" s="159">
        <f>K516+I517-J517</f>
        <v>247991.51999999979</v>
      </c>
    </row>
    <row r="518" spans="1:11" ht="15">
      <c r="A518" s="54" t="str">
        <f t="shared" si="23"/>
        <v>HRVACACIONES/FINIQUITOSHR</v>
      </c>
      <c r="B518" t="s">
        <v>1560</v>
      </c>
      <c r="C518" s="1">
        <v>45866</v>
      </c>
      <c r="D518" t="s">
        <v>29</v>
      </c>
      <c r="E518" t="s">
        <v>190</v>
      </c>
      <c r="F518" s="213" t="s">
        <v>29</v>
      </c>
      <c r="G518" s="146"/>
      <c r="H518" t="s">
        <v>3747</v>
      </c>
      <c r="I518" s="378"/>
      <c r="J518" s="161">
        <v>776</v>
      </c>
      <c r="K518" s="159">
        <f>K517+I518-J518</f>
        <v>247215.51999999979</v>
      </c>
    </row>
    <row r="519" spans="1:11" ht="15">
      <c r="A519" s="54" t="str">
        <f t="shared" si="23"/>
        <v>HRVACACIONES/FINIQUITOSHR</v>
      </c>
      <c r="B519" t="s">
        <v>1560</v>
      </c>
      <c r="C519" s="1">
        <v>45866</v>
      </c>
      <c r="D519" t="s">
        <v>29</v>
      </c>
      <c r="E519" t="s">
        <v>190</v>
      </c>
      <c r="F519" s="213" t="s">
        <v>29</v>
      </c>
      <c r="G519" s="146"/>
      <c r="H519" t="s">
        <v>3748</v>
      </c>
      <c r="I519" s="378"/>
      <c r="J519" s="161">
        <v>400</v>
      </c>
      <c r="K519" s="159">
        <f>K518+I519-J519</f>
        <v>246815.51999999979</v>
      </c>
    </row>
    <row r="520" spans="1:11" ht="15">
      <c r="A520" s="54" t="str">
        <f t="shared" si="23"/>
        <v>CAPVACACIONES/FINIQUITOSCAPRICHOS</v>
      </c>
      <c r="B520" t="s">
        <v>1560</v>
      </c>
      <c r="C520" s="1">
        <v>45866</v>
      </c>
      <c r="D520" t="s">
        <v>31</v>
      </c>
      <c r="E520" t="s">
        <v>190</v>
      </c>
      <c r="F520" s="146" t="s">
        <v>33</v>
      </c>
      <c r="G520" s="146"/>
      <c r="H520" s="176" t="s">
        <v>3749</v>
      </c>
      <c r="I520" s="378"/>
      <c r="J520" s="161">
        <v>3375</v>
      </c>
      <c r="K520" s="159">
        <f>K519+I520-J520</f>
        <v>243440.51999999979</v>
      </c>
    </row>
    <row r="521" spans="1:11" ht="15">
      <c r="A521" s="54" t="str">
        <f t="shared" si="23"/>
        <v/>
      </c>
      <c r="B521" t="s">
        <v>1560</v>
      </c>
      <c r="C521" s="1">
        <v>45867</v>
      </c>
      <c r="F521" s="146"/>
      <c r="G521" s="146"/>
      <c r="H521" t="s">
        <v>3472</v>
      </c>
      <c r="I521" s="378">
        <v>160000</v>
      </c>
      <c r="J521" s="161"/>
      <c r="K521" s="159">
        <f>K520+I521-J521</f>
        <v>403440.51999999979</v>
      </c>
    </row>
    <row r="522" spans="1:11" ht="15">
      <c r="A522" s="54" t="str">
        <f t="shared" si="23"/>
        <v>FINANZASOTROS GASTOSPRESTAMO</v>
      </c>
      <c r="B522" t="s">
        <v>1560</v>
      </c>
      <c r="C522" s="1">
        <v>45868</v>
      </c>
      <c r="D522" t="s">
        <v>23</v>
      </c>
      <c r="E522" t="s">
        <v>156</v>
      </c>
      <c r="F522" s="146" t="s">
        <v>157</v>
      </c>
      <c r="G522" s="146" t="s">
        <v>258</v>
      </c>
      <c r="H522" t="s">
        <v>3750</v>
      </c>
      <c r="I522" s="378"/>
      <c r="J522" s="161">
        <v>25000</v>
      </c>
      <c r="K522" s="159">
        <f>K521+I522-J522</f>
        <v>378440.51999999979</v>
      </c>
    </row>
    <row r="523" spans="1:11" ht="15">
      <c r="A523" s="54" t="str">
        <f t="shared" si="23"/>
        <v/>
      </c>
      <c r="B523" t="s">
        <v>1560</v>
      </c>
      <c r="C523" s="1">
        <v>45868</v>
      </c>
      <c r="F523" s="146"/>
      <c r="G523" s="146"/>
      <c r="H523" t="s">
        <v>3472</v>
      </c>
      <c r="I523" s="378">
        <v>150000</v>
      </c>
      <c r="J523" s="161"/>
      <c r="K523" s="159">
        <f>K522+I523-J523</f>
        <v>528440.51999999979</v>
      </c>
    </row>
    <row r="524" spans="1:11" ht="15">
      <c r="A524" s="54" t="str">
        <f t="shared" si="23"/>
        <v/>
      </c>
      <c r="B524" t="s">
        <v>1560</v>
      </c>
      <c r="C524" s="1">
        <v>45869</v>
      </c>
      <c r="F524" s="146"/>
      <c r="G524" s="146"/>
      <c r="H524" t="s">
        <v>3472</v>
      </c>
      <c r="I524" s="378">
        <v>150000</v>
      </c>
      <c r="J524" s="161"/>
      <c r="K524" s="159">
        <f>K523+I524-J524</f>
        <v>678440.51999999979</v>
      </c>
    </row>
    <row r="525" spans="1:11" ht="15">
      <c r="A525" s="54" t="str">
        <f t="shared" si="23"/>
        <v/>
      </c>
      <c r="B525" t="s">
        <v>1560</v>
      </c>
      <c r="C525" s="1">
        <v>45870</v>
      </c>
      <c r="F525" s="146"/>
      <c r="G525" s="146"/>
      <c r="H525" t="s">
        <v>3472</v>
      </c>
      <c r="I525" s="161">
        <v>75000</v>
      </c>
      <c r="J525" s="161"/>
      <c r="K525" s="159">
        <f>K524+I525-J525</f>
        <v>753440.51999999979</v>
      </c>
    </row>
    <row r="526" spans="1:11" ht="15">
      <c r="A526" s="54" t="str">
        <f t="shared" si="23"/>
        <v/>
      </c>
      <c r="B526" t="s">
        <v>1560</v>
      </c>
      <c r="C526" s="1">
        <v>45870</v>
      </c>
      <c r="F526" s="146"/>
      <c r="G526" s="146"/>
      <c r="H526" t="s">
        <v>3466</v>
      </c>
      <c r="I526" s="161">
        <v>17914.599999999999</v>
      </c>
      <c r="J526" s="161"/>
      <c r="K526" s="159">
        <f>K525+I526-J526</f>
        <v>771355.11999999976</v>
      </c>
    </row>
    <row r="527" spans="1:11" ht="15">
      <c r="A527" s="54" t="str">
        <f t="shared" si="23"/>
        <v/>
      </c>
      <c r="B527" t="s">
        <v>1560</v>
      </c>
      <c r="C527" s="1">
        <v>45870</v>
      </c>
      <c r="F527" s="146"/>
      <c r="G527" s="146"/>
      <c r="H527" t="s">
        <v>3468</v>
      </c>
      <c r="I527" s="161">
        <v>4127.8</v>
      </c>
      <c r="J527" s="161"/>
      <c r="K527" s="159">
        <f>K526+I527-J527</f>
        <v>775482.91999999981</v>
      </c>
    </row>
    <row r="528" spans="1:11" ht="15">
      <c r="A528" s="54" t="str">
        <f t="shared" si="23"/>
        <v/>
      </c>
      <c r="B528" t="s">
        <v>1560</v>
      </c>
      <c r="C528" s="1">
        <v>45870</v>
      </c>
      <c r="F528" s="146"/>
      <c r="G528" s="146"/>
      <c r="H528" t="s">
        <v>3467</v>
      </c>
      <c r="I528" s="161">
        <v>7876.54</v>
      </c>
      <c r="J528" s="161"/>
      <c r="K528" s="159">
        <f>K527+I528-J528</f>
        <v>783359.45999999985</v>
      </c>
    </row>
    <row r="529" spans="1:11" ht="15">
      <c r="A529" s="54" t="str">
        <f t="shared" si="23"/>
        <v/>
      </c>
      <c r="B529" t="s">
        <v>1560</v>
      </c>
      <c r="C529" s="1">
        <v>45870</v>
      </c>
      <c r="F529" s="146"/>
      <c r="G529" s="146"/>
      <c r="H529" t="s">
        <v>3662</v>
      </c>
      <c r="I529" s="161"/>
      <c r="J529" s="161">
        <v>568793.21</v>
      </c>
      <c r="K529" s="159">
        <f>K528+I529-J529</f>
        <v>214566.24999999988</v>
      </c>
    </row>
    <row r="530" spans="1:11" ht="15">
      <c r="A530" s="54" t="str">
        <f t="shared" si="23"/>
        <v/>
      </c>
      <c r="B530" t="s">
        <v>1560</v>
      </c>
      <c r="C530" s="1">
        <v>45870</v>
      </c>
      <c r="F530" s="146"/>
      <c r="G530" s="146"/>
      <c r="H530" t="s">
        <v>3663</v>
      </c>
      <c r="I530" s="161"/>
      <c r="J530" s="161">
        <v>159654.20000000001</v>
      </c>
      <c r="K530" s="159">
        <f>K529+I530-J530</f>
        <v>54912.049999999872</v>
      </c>
    </row>
    <row r="531" spans="1:11" ht="15">
      <c r="A531" s="54" t="str">
        <f t="shared" si="23"/>
        <v/>
      </c>
      <c r="B531" t="s">
        <v>1560</v>
      </c>
      <c r="C531" s="1">
        <v>45870</v>
      </c>
      <c r="F531" s="146"/>
      <c r="G531" s="146"/>
      <c r="H531" t="s">
        <v>3592</v>
      </c>
      <c r="I531" s="161"/>
      <c r="J531" s="161">
        <v>35400</v>
      </c>
      <c r="K531" s="159">
        <f>K530+I531-J531</f>
        <v>19512.049999999872</v>
      </c>
    </row>
    <row r="532" spans="1:11" ht="15">
      <c r="A532" s="54" t="str">
        <f t="shared" si="23"/>
        <v>SERVICIOSVACACIONES/FINIQUITOSSERVICIOS</v>
      </c>
      <c r="B532" t="s">
        <v>1560</v>
      </c>
      <c r="C532" s="1">
        <v>45870</v>
      </c>
      <c r="D532" t="s">
        <v>21</v>
      </c>
      <c r="E532" s="12" t="s">
        <v>190</v>
      </c>
      <c r="F532" s="12" t="s">
        <v>21</v>
      </c>
      <c r="G532" s="146"/>
      <c r="H532" t="s">
        <v>3751</v>
      </c>
      <c r="I532" s="161"/>
      <c r="J532" s="161">
        <v>1240</v>
      </c>
      <c r="K532" s="159">
        <f>K531+I532-J532</f>
        <v>18272.049999999872</v>
      </c>
    </row>
    <row r="533" spans="1:11" ht="15">
      <c r="A533" s="54" t="str">
        <f t="shared" si="23"/>
        <v>CAPVACACIONES/FINIQUITOSCAPRICHOS</v>
      </c>
      <c r="B533" t="s">
        <v>1560</v>
      </c>
      <c r="C533" s="1">
        <v>45870</v>
      </c>
      <c r="D533" t="s">
        <v>31</v>
      </c>
      <c r="E533" t="s">
        <v>190</v>
      </c>
      <c r="F533" s="146" t="s">
        <v>33</v>
      </c>
      <c r="G533" s="146"/>
      <c r="H533" t="s">
        <v>3752</v>
      </c>
      <c r="I533" s="161"/>
      <c r="J533" s="161">
        <v>1446</v>
      </c>
      <c r="K533" s="159">
        <f>K532+I533-J533</f>
        <v>16826.049999999872</v>
      </c>
    </row>
    <row r="534" spans="1:11" ht="15">
      <c r="A534" s="54" t="str">
        <f t="shared" si="23"/>
        <v>HRVACACIONES/FINIQUITOSHR</v>
      </c>
      <c r="B534" t="s">
        <v>1560</v>
      </c>
      <c r="C534" s="1">
        <v>45870</v>
      </c>
      <c r="D534" t="s">
        <v>29</v>
      </c>
      <c r="E534" t="s">
        <v>190</v>
      </c>
      <c r="F534" s="213" t="s">
        <v>29</v>
      </c>
      <c r="G534" s="146"/>
      <c r="H534" t="s">
        <v>3753</v>
      </c>
      <c r="I534" s="161"/>
      <c r="J534" s="161">
        <v>1400</v>
      </c>
      <c r="K534" s="159">
        <f>K533+I534-J534</f>
        <v>15426.049999999872</v>
      </c>
    </row>
    <row r="535" spans="1:11" ht="15">
      <c r="A535" s="54" t="str">
        <f t="shared" si="23"/>
        <v>HRVACACIONES/FINIQUITOSHR</v>
      </c>
      <c r="B535" t="s">
        <v>1560</v>
      </c>
      <c r="C535" s="1">
        <v>45870</v>
      </c>
      <c r="D535" t="s">
        <v>29</v>
      </c>
      <c r="E535" t="s">
        <v>190</v>
      </c>
      <c r="F535" s="213" t="s">
        <v>29</v>
      </c>
      <c r="G535" s="146"/>
      <c r="H535" t="s">
        <v>3754</v>
      </c>
      <c r="I535" s="161"/>
      <c r="J535" s="161">
        <v>5586</v>
      </c>
      <c r="K535" s="159">
        <f>K534+I535-J535</f>
        <v>9840.0499999998719</v>
      </c>
    </row>
    <row r="536" spans="1:11" ht="15">
      <c r="A536" s="54" t="str">
        <f t="shared" si="23"/>
        <v>CAPVACACIONES/FINIQUITOSCAPRICHOS</v>
      </c>
      <c r="B536" t="s">
        <v>1560</v>
      </c>
      <c r="C536" s="1">
        <v>45870</v>
      </c>
      <c r="D536" t="s">
        <v>31</v>
      </c>
      <c r="E536" t="s">
        <v>190</v>
      </c>
      <c r="F536" s="146" t="s">
        <v>33</v>
      </c>
      <c r="G536" s="146"/>
      <c r="H536" t="s">
        <v>3755</v>
      </c>
      <c r="I536" s="161"/>
      <c r="J536" s="161">
        <v>776</v>
      </c>
      <c r="K536" s="159">
        <f>K535+I536-J536</f>
        <v>9064.0499999998719</v>
      </c>
    </row>
    <row r="537" spans="1:11" ht="15">
      <c r="A537" s="54" t="str">
        <f t="shared" si="23"/>
        <v>HRVACACIONES/FINIQUITOSHR</v>
      </c>
      <c r="B537" t="s">
        <v>1560</v>
      </c>
      <c r="C537" s="1">
        <v>45870</v>
      </c>
      <c r="D537" t="s">
        <v>29</v>
      </c>
      <c r="E537" t="s">
        <v>190</v>
      </c>
      <c r="F537" s="213" t="s">
        <v>29</v>
      </c>
      <c r="G537" s="146"/>
      <c r="H537" t="s">
        <v>3756</v>
      </c>
      <c r="I537" s="161"/>
      <c r="J537" s="161">
        <v>1726</v>
      </c>
      <c r="K537" s="159">
        <f>K536+I537-J537</f>
        <v>7338.0499999998719</v>
      </c>
    </row>
    <row r="538" spans="1:11" ht="18" customHeight="1">
      <c r="A538" s="54" t="str">
        <f t="shared" si="23"/>
        <v>SGEVACACIONES/FINIQUITOSGESTION EMPRESARIAL</v>
      </c>
      <c r="B538" t="s">
        <v>1560</v>
      </c>
      <c r="C538" s="1">
        <v>45871</v>
      </c>
      <c r="D538" t="s">
        <v>39</v>
      </c>
      <c r="E538" t="s">
        <v>190</v>
      </c>
      <c r="F538" s="379" t="s">
        <v>40</v>
      </c>
      <c r="G538" s="146"/>
      <c r="H538" t="s">
        <v>3757</v>
      </c>
      <c r="I538" s="161"/>
      <c r="J538" s="161">
        <v>5756</v>
      </c>
      <c r="K538" s="159">
        <f>K537+I538-J538</f>
        <v>1582.0499999998719</v>
      </c>
    </row>
    <row r="539" spans="1:11" ht="15">
      <c r="A539" s="54" t="str">
        <f t="shared" si="23"/>
        <v/>
      </c>
      <c r="B539" t="s">
        <v>1560</v>
      </c>
      <c r="C539" s="1">
        <v>45871</v>
      </c>
      <c r="F539" s="146"/>
      <c r="G539" s="146"/>
      <c r="H539" t="s">
        <v>3758</v>
      </c>
      <c r="I539" s="161"/>
      <c r="J539" s="161">
        <v>1000</v>
      </c>
      <c r="K539" s="159">
        <f>K538+I539-J539</f>
        <v>582.04999999987194</v>
      </c>
    </row>
    <row r="540" spans="1:11" ht="15">
      <c r="A540" s="54" t="str">
        <f t="shared" si="23"/>
        <v/>
      </c>
      <c r="B540" t="s">
        <v>1807</v>
      </c>
      <c r="C540" s="1">
        <v>45873</v>
      </c>
      <c r="F540" s="146"/>
      <c r="G540" s="146"/>
      <c r="H540" t="s">
        <v>3472</v>
      </c>
      <c r="I540" s="161">
        <v>150000</v>
      </c>
      <c r="J540" s="161"/>
      <c r="K540" s="159">
        <f>K539+I540-J540</f>
        <v>150582.04999999987</v>
      </c>
    </row>
    <row r="541" spans="1:11" ht="15">
      <c r="A541" s="54" t="str">
        <f t="shared" si="23"/>
        <v/>
      </c>
      <c r="B541" t="s">
        <v>1807</v>
      </c>
      <c r="C541" s="1">
        <v>45874</v>
      </c>
      <c r="F541" s="146"/>
      <c r="G541" s="146"/>
      <c r="H541" t="s">
        <v>3472</v>
      </c>
      <c r="I541" s="161">
        <v>200000</v>
      </c>
      <c r="J541" s="161"/>
      <c r="K541" s="159">
        <f>K540+I541-J541</f>
        <v>350582.04999999987</v>
      </c>
    </row>
    <row r="542" spans="1:11" ht="15">
      <c r="A542" s="54" t="str">
        <f t="shared" si="23"/>
        <v>FINANZASOTROS GASTOSPRESTAMO</v>
      </c>
      <c r="B542" t="s">
        <v>1807</v>
      </c>
      <c r="C542" s="1">
        <v>45874</v>
      </c>
      <c r="D542" t="s">
        <v>23</v>
      </c>
      <c r="E542" t="s">
        <v>156</v>
      </c>
      <c r="F542" s="146" t="s">
        <v>157</v>
      </c>
      <c r="G542" s="146" t="s">
        <v>258</v>
      </c>
      <c r="H542" t="s">
        <v>3759</v>
      </c>
      <c r="I542" s="161"/>
      <c r="J542" s="161">
        <v>1200</v>
      </c>
      <c r="K542" s="159">
        <f>K541+I542-J542</f>
        <v>349382.04999999987</v>
      </c>
    </row>
    <row r="543" spans="1:11" ht="15">
      <c r="A543" s="54" t="str">
        <f>D543&amp;E543&amp;F543</f>
        <v>MKTNOMINA ADMONMKT</v>
      </c>
      <c r="B543" t="s">
        <v>1807</v>
      </c>
      <c r="C543" s="1">
        <v>45875</v>
      </c>
      <c r="D543" t="s">
        <v>19</v>
      </c>
      <c r="E543" s="12" t="s">
        <v>147</v>
      </c>
      <c r="F543" t="s">
        <v>19</v>
      </c>
      <c r="G543" s="146"/>
      <c r="H543" t="s">
        <v>3760</v>
      </c>
      <c r="I543" s="161"/>
      <c r="J543" s="161">
        <v>2000</v>
      </c>
      <c r="K543" s="159">
        <f>K542+I543-J543</f>
        <v>347382.04999999987</v>
      </c>
    </row>
    <row r="544" spans="1:11" ht="15">
      <c r="A544" s="54" t="str">
        <f>D544&amp;E544&amp;F544</f>
        <v>CAPVACACIONES/FINIQUITOSCAPRICHOS</v>
      </c>
      <c r="B544" t="s">
        <v>1807</v>
      </c>
      <c r="C544" s="1">
        <v>45875</v>
      </c>
      <c r="D544" t="s">
        <v>31</v>
      </c>
      <c r="E544" t="s">
        <v>190</v>
      </c>
      <c r="F544" s="146" t="s">
        <v>33</v>
      </c>
      <c r="G544" s="146"/>
      <c r="H544" t="s">
        <v>3761</v>
      </c>
      <c r="I544" s="161"/>
      <c r="J544" s="161">
        <v>876</v>
      </c>
      <c r="K544" s="159">
        <f>K543+I544-J544</f>
        <v>346506.04999999987</v>
      </c>
    </row>
    <row r="545" spans="1:11" ht="15">
      <c r="A545" s="54" t="str">
        <f>D545&amp;E545&amp;F545</f>
        <v>CAPVACACIONES/FINIQUITOSCAPRICHOS</v>
      </c>
      <c r="B545" t="s">
        <v>1807</v>
      </c>
      <c r="C545" s="1">
        <v>45875</v>
      </c>
      <c r="D545" t="s">
        <v>31</v>
      </c>
      <c r="E545" t="s">
        <v>190</v>
      </c>
      <c r="F545" s="146" t="s">
        <v>33</v>
      </c>
      <c r="G545" s="146"/>
      <c r="H545" t="s">
        <v>3762</v>
      </c>
      <c r="I545" s="161"/>
      <c r="J545" s="161">
        <v>4275</v>
      </c>
      <c r="K545" s="159">
        <f>K544+I545-J545</f>
        <v>342231.04999999987</v>
      </c>
    </row>
    <row r="546" spans="1:11" ht="15">
      <c r="A546" s="54" t="str">
        <f>D546&amp;E546&amp;F546</f>
        <v>CAPVACACIONES/FINIQUITOSCAPRICHOS</v>
      </c>
      <c r="B546" t="s">
        <v>1807</v>
      </c>
      <c r="C546" s="1">
        <v>45875</v>
      </c>
      <c r="D546" t="s">
        <v>31</v>
      </c>
      <c r="E546" t="s">
        <v>190</v>
      </c>
      <c r="F546" s="146" t="s">
        <v>33</v>
      </c>
      <c r="G546" s="146"/>
      <c r="H546" t="s">
        <v>3763</v>
      </c>
      <c r="I546" s="161"/>
      <c r="J546" s="161">
        <v>750</v>
      </c>
      <c r="K546" s="159">
        <f>K545+I546-J546</f>
        <v>341481.04999999987</v>
      </c>
    </row>
    <row r="547" spans="1:11" ht="15">
      <c r="A547" s="54" t="str">
        <f>D547&amp;E547&amp;F547</f>
        <v>DENOMINA ADMONDIRECCION</v>
      </c>
      <c r="B547" t="s">
        <v>1807</v>
      </c>
      <c r="C547" s="1">
        <v>45875</v>
      </c>
      <c r="D547" t="s">
        <v>41</v>
      </c>
      <c r="E547" s="12" t="s">
        <v>147</v>
      </c>
      <c r="F547" s="12" t="s">
        <v>42</v>
      </c>
      <c r="G547" s="146"/>
      <c r="H547" t="s">
        <v>3764</v>
      </c>
      <c r="I547" s="161"/>
      <c r="J547" s="161">
        <v>15000</v>
      </c>
      <c r="K547" s="159">
        <f>K546+I547-J547</f>
        <v>326481.04999999987</v>
      </c>
    </row>
    <row r="548" spans="1:11" ht="15">
      <c r="A548" s="54" t="str">
        <f t="shared" si="23"/>
        <v/>
      </c>
      <c r="B548" t="s">
        <v>1807</v>
      </c>
      <c r="C548" s="1">
        <v>45875</v>
      </c>
      <c r="F548" s="146"/>
      <c r="G548" s="146"/>
      <c r="H548" t="s">
        <v>3472</v>
      </c>
      <c r="I548" s="161">
        <v>200000</v>
      </c>
      <c r="J548" s="161"/>
      <c r="K548" s="159">
        <f>K547+I548-J548</f>
        <v>526481.04999999981</v>
      </c>
    </row>
    <row r="549" spans="1:11" ht="15">
      <c r="A549" s="54" t="str">
        <f t="shared" si="23"/>
        <v/>
      </c>
      <c r="B549" t="s">
        <v>1807</v>
      </c>
      <c r="C549" s="1">
        <v>45876</v>
      </c>
      <c r="F549" s="146"/>
      <c r="G549" s="146"/>
      <c r="H549" t="s">
        <v>3472</v>
      </c>
      <c r="I549" s="161">
        <v>150000</v>
      </c>
      <c r="J549" s="161"/>
      <c r="K549" s="159">
        <f>K548+I549-J549</f>
        <v>676481.04999999981</v>
      </c>
    </row>
    <row r="550" spans="1:11" ht="15">
      <c r="A550" s="54" t="str">
        <f t="shared" si="23"/>
        <v/>
      </c>
      <c r="B550" t="s">
        <v>1807</v>
      </c>
      <c r="C550" s="1">
        <v>45876</v>
      </c>
      <c r="F550" s="146"/>
      <c r="G550" s="146"/>
      <c r="H550" t="s">
        <v>3466</v>
      </c>
      <c r="I550" s="161">
        <v>17914.400000000001</v>
      </c>
      <c r="J550" s="161"/>
      <c r="K550" s="159">
        <f>K549+I550-J550</f>
        <v>694395.44999999984</v>
      </c>
    </row>
    <row r="551" spans="1:11" ht="15">
      <c r="A551" s="54" t="str">
        <f t="shared" si="23"/>
        <v/>
      </c>
      <c r="B551" t="s">
        <v>1807</v>
      </c>
      <c r="C551" s="1">
        <v>45876</v>
      </c>
      <c r="F551" s="146"/>
      <c r="G551" s="146"/>
      <c r="H551" t="s">
        <v>3468</v>
      </c>
      <c r="I551" s="161">
        <v>4128.2</v>
      </c>
      <c r="J551" s="161"/>
      <c r="K551" s="159">
        <f>K550+I551-J551</f>
        <v>698523.64999999979</v>
      </c>
    </row>
    <row r="552" spans="1:11" ht="15">
      <c r="A552" s="54" t="str">
        <f t="shared" si="23"/>
        <v/>
      </c>
      <c r="B552" t="s">
        <v>1807</v>
      </c>
      <c r="C552" s="1">
        <v>45876</v>
      </c>
      <c r="F552" s="146"/>
      <c r="G552" s="146"/>
      <c r="H552" t="s">
        <v>3467</v>
      </c>
      <c r="I552" s="161">
        <v>7876.74</v>
      </c>
      <c r="J552" s="161"/>
      <c r="K552" s="159">
        <f>K551+I552-J552</f>
        <v>706400.38999999978</v>
      </c>
    </row>
    <row r="553" spans="1:11" ht="15">
      <c r="A553" s="54" t="str">
        <f t="shared" si="23"/>
        <v/>
      </c>
      <c r="B553" t="s">
        <v>1807</v>
      </c>
      <c r="C553" s="1">
        <v>45876</v>
      </c>
      <c r="F553" s="146"/>
      <c r="G553" s="146"/>
      <c r="H553" t="s">
        <v>3765</v>
      </c>
      <c r="I553" s="161"/>
      <c r="J553" s="426">
        <v>556503.79</v>
      </c>
      <c r="K553" s="159">
        <f>K552+I553-J553</f>
        <v>149896.59999999974</v>
      </c>
    </row>
    <row r="554" spans="1:11" ht="15">
      <c r="A554" s="54" t="str">
        <f t="shared" si="23"/>
        <v/>
      </c>
      <c r="B554" t="s">
        <v>1807</v>
      </c>
      <c r="C554" s="1">
        <v>45876</v>
      </c>
      <c r="F554" s="146"/>
      <c r="G554" s="146"/>
      <c r="H554" t="s">
        <v>3663</v>
      </c>
      <c r="I554" s="161"/>
      <c r="J554" s="426">
        <v>182584.2</v>
      </c>
      <c r="K554" s="159">
        <f>K553+I554-J554</f>
        <v>-32687.600000000268</v>
      </c>
    </row>
    <row r="555" spans="1:11" ht="15">
      <c r="A555" s="54" t="str">
        <f t="shared" si="23"/>
        <v/>
      </c>
      <c r="B555" t="s">
        <v>1807</v>
      </c>
      <c r="C555" s="1">
        <v>45876</v>
      </c>
      <c r="F555" s="146"/>
      <c r="G555" s="146"/>
      <c r="H555" t="s">
        <v>3573</v>
      </c>
      <c r="I555" s="161"/>
      <c r="J555" s="425">
        <v>34900</v>
      </c>
      <c r="K555" s="159">
        <f>K554+I555-J555</f>
        <v>-67587.600000000268</v>
      </c>
    </row>
    <row r="556" spans="1:11" ht="15">
      <c r="A556" s="54" t="str">
        <f>D556&amp;E556&amp;F556</f>
        <v>SERVICIOSVACACIONES/FINIQUITOSSERVICIOS</v>
      </c>
      <c r="B556" t="s">
        <v>1807</v>
      </c>
      <c r="C556" s="1">
        <v>45876</v>
      </c>
      <c r="D556" t="s">
        <v>21</v>
      </c>
      <c r="E556" t="s">
        <v>190</v>
      </c>
      <c r="F556" s="146" t="s">
        <v>21</v>
      </c>
      <c r="G556" s="146"/>
      <c r="H556" t="s">
        <v>3766</v>
      </c>
      <c r="I556" s="161"/>
      <c r="J556" s="161">
        <v>4144</v>
      </c>
      <c r="K556" s="159">
        <f>K555+I556-J556</f>
        <v>-71731.600000000268</v>
      </c>
    </row>
    <row r="557" spans="1:11" ht="15">
      <c r="A557" s="54" t="str">
        <f>D557&amp;E557&amp;F557</f>
        <v>HRVACACIONES/FINIQUITOSHR</v>
      </c>
      <c r="B557" t="s">
        <v>1807</v>
      </c>
      <c r="C557" s="1">
        <v>45876</v>
      </c>
      <c r="D557" t="s">
        <v>29</v>
      </c>
      <c r="E557" t="s">
        <v>190</v>
      </c>
      <c r="F557" s="213" t="s">
        <v>29</v>
      </c>
      <c r="G557" s="146"/>
      <c r="H557" t="s">
        <v>3767</v>
      </c>
      <c r="J557" s="81">
        <v>580</v>
      </c>
      <c r="K557" s="159">
        <f>K556+I557-J557</f>
        <v>-72311.600000000268</v>
      </c>
    </row>
    <row r="558" spans="1:11" ht="15">
      <c r="A558" s="54" t="str">
        <f t="shared" si="23"/>
        <v/>
      </c>
      <c r="B558" t="s">
        <v>1807</v>
      </c>
      <c r="C558" s="1">
        <v>45876</v>
      </c>
      <c r="F558" s="146"/>
      <c r="G558" s="146"/>
      <c r="H558" t="s">
        <v>3472</v>
      </c>
      <c r="I558" s="161">
        <v>100000</v>
      </c>
      <c r="J558" s="161"/>
      <c r="K558" s="159">
        <f>K557+I558-J558</f>
        <v>27688.399999999732</v>
      </c>
    </row>
    <row r="559" spans="1:11" ht="15">
      <c r="A559" s="54" t="str">
        <f>D559&amp;E559&amp;F559</f>
        <v>FINANZASNOMINA ADMONTESORERIA</v>
      </c>
      <c r="B559" t="s">
        <v>1807</v>
      </c>
      <c r="C559" s="1">
        <v>45877</v>
      </c>
      <c r="D559" t="s">
        <v>23</v>
      </c>
      <c r="E559" t="s">
        <v>147</v>
      </c>
      <c r="F559" t="s">
        <v>38</v>
      </c>
      <c r="G559" s="146"/>
      <c r="H559" t="s">
        <v>3768</v>
      </c>
      <c r="I559" s="161"/>
      <c r="J559" s="161">
        <v>160</v>
      </c>
      <c r="K559" s="159">
        <f>K558+I559-J559</f>
        <v>27528.399999999732</v>
      </c>
    </row>
    <row r="560" spans="1:11" ht="15">
      <c r="A560" s="54" t="str">
        <f>D560&amp;E560&amp;F560</f>
        <v>HRNOMINA SUCURSALA5</v>
      </c>
      <c r="B560" t="s">
        <v>1807</v>
      </c>
      <c r="C560" s="1">
        <v>45877</v>
      </c>
      <c r="D560" t="s">
        <v>29</v>
      </c>
      <c r="E560" t="s">
        <v>154</v>
      </c>
      <c r="F560" s="146" t="s">
        <v>92</v>
      </c>
      <c r="G560" s="146"/>
      <c r="H560" t="s">
        <v>3769</v>
      </c>
      <c r="I560" s="161"/>
      <c r="J560" s="161">
        <v>2800</v>
      </c>
      <c r="K560" s="159">
        <f>K559+I560-J560</f>
        <v>24728.399999999732</v>
      </c>
    </row>
    <row r="561" spans="1:11" ht="15">
      <c r="A561" s="54" t="str">
        <f>D561&amp;E561&amp;F561</f>
        <v>HRNOMINA SUCURSALA3</v>
      </c>
      <c r="B561" t="s">
        <v>1807</v>
      </c>
      <c r="C561" s="1">
        <v>45877</v>
      </c>
      <c r="D561" t="s">
        <v>29</v>
      </c>
      <c r="E561" t="s">
        <v>154</v>
      </c>
      <c r="F561" s="146" t="s">
        <v>90</v>
      </c>
      <c r="G561" s="146"/>
      <c r="H561" t="s">
        <v>3770</v>
      </c>
      <c r="I561" s="161"/>
      <c r="J561" s="161">
        <v>1776</v>
      </c>
      <c r="K561" s="159">
        <f>K560+I561-J561</f>
        <v>22952.399999999732</v>
      </c>
    </row>
    <row r="562" spans="1:11" ht="15">
      <c r="A562" s="54" t="str">
        <f>D562&amp;E562&amp;F562</f>
        <v>SERVICIOSNOMINA SUCURSALCEDIS</v>
      </c>
      <c r="B562" t="s">
        <v>1807</v>
      </c>
      <c r="C562" s="1">
        <v>45878</v>
      </c>
      <c r="D562" t="s">
        <v>21</v>
      </c>
      <c r="E562" t="s">
        <v>154</v>
      </c>
      <c r="F562" s="146" t="s">
        <v>28</v>
      </c>
      <c r="G562" s="146"/>
      <c r="H562" t="s">
        <v>3771</v>
      </c>
      <c r="I562" s="161"/>
      <c r="J562" s="161">
        <v>380</v>
      </c>
      <c r="K562" s="159">
        <f>K561+I562-J562</f>
        <v>22572.399999999732</v>
      </c>
    </row>
    <row r="563" spans="1:11" ht="15">
      <c r="A563" s="54" t="str">
        <f t="shared" si="23"/>
        <v/>
      </c>
      <c r="B563" t="s">
        <v>1807</v>
      </c>
      <c r="C563" s="1">
        <v>45880</v>
      </c>
      <c r="F563" s="146"/>
      <c r="G563" s="146"/>
      <c r="H563" t="s">
        <v>3472</v>
      </c>
      <c r="I563" s="161">
        <v>200000</v>
      </c>
      <c r="J563" s="161"/>
      <c r="K563" s="159">
        <f>K562+I563-J563</f>
        <v>222572.39999999973</v>
      </c>
    </row>
    <row r="564" spans="1:11" ht="15">
      <c r="A564" s="54" t="str">
        <f>D564&amp;E564&amp;F564</f>
        <v>CAPVACACIONES/FINIQUITOSCAPRICHOS</v>
      </c>
      <c r="B564" t="s">
        <v>1807</v>
      </c>
      <c r="C564" s="1">
        <v>45880</v>
      </c>
      <c r="D564" t="s">
        <v>31</v>
      </c>
      <c r="E564" t="s">
        <v>190</v>
      </c>
      <c r="F564" s="146" t="s">
        <v>33</v>
      </c>
      <c r="G564" s="146"/>
      <c r="H564" t="s">
        <v>3772</v>
      </c>
      <c r="I564" s="161"/>
      <c r="J564" s="161">
        <v>9843</v>
      </c>
      <c r="K564" s="159">
        <f>K563+I564-J564</f>
        <v>212729.39999999973</v>
      </c>
    </row>
    <row r="565" spans="1:11" ht="15">
      <c r="A565" s="54" t="str">
        <f>D565&amp;E565&amp;F565</f>
        <v>CAPVACACIONES/FINIQUITOSCAPRICHOS</v>
      </c>
      <c r="B565" t="s">
        <v>1807</v>
      </c>
      <c r="C565" s="1">
        <v>45880</v>
      </c>
      <c r="D565" t="s">
        <v>31</v>
      </c>
      <c r="E565" t="s">
        <v>190</v>
      </c>
      <c r="F565" s="146" t="s">
        <v>33</v>
      </c>
      <c r="G565" s="146"/>
      <c r="H565" t="s">
        <v>3773</v>
      </c>
      <c r="I565" s="161"/>
      <c r="J565" s="161">
        <v>876</v>
      </c>
      <c r="K565" s="159">
        <f>K564+I565-J565</f>
        <v>211853.39999999973</v>
      </c>
    </row>
    <row r="566" spans="1:11" ht="15">
      <c r="A566" s="54" t="str">
        <f>D566&amp;E566&amp;F566</f>
        <v>CAPVACACIONES/FINIQUITOSCAPRICHOS</v>
      </c>
      <c r="B566" t="s">
        <v>1807</v>
      </c>
      <c r="C566" s="1">
        <v>45880</v>
      </c>
      <c r="D566" t="s">
        <v>31</v>
      </c>
      <c r="E566" t="s">
        <v>190</v>
      </c>
      <c r="F566" s="146" t="s">
        <v>33</v>
      </c>
      <c r="G566" s="146"/>
      <c r="H566" t="s">
        <v>3774</v>
      </c>
      <c r="I566" s="161"/>
      <c r="J566" s="161">
        <v>1576</v>
      </c>
      <c r="K566" s="159">
        <f>K565+I566-J566</f>
        <v>210277.39999999973</v>
      </c>
    </row>
    <row r="567" spans="1:11" ht="15">
      <c r="A567" s="54" t="str">
        <f>D567&amp;E567&amp;F567</f>
        <v>HRVACACIONES/FINIQUITOSHR</v>
      </c>
      <c r="B567" t="s">
        <v>1807</v>
      </c>
      <c r="C567" s="1">
        <v>45880</v>
      </c>
      <c r="D567" t="s">
        <v>29</v>
      </c>
      <c r="E567" t="s">
        <v>190</v>
      </c>
      <c r="F567" s="213" t="s">
        <v>29</v>
      </c>
      <c r="G567" s="146"/>
      <c r="H567" t="s">
        <v>3775</v>
      </c>
      <c r="I567" s="161"/>
      <c r="J567" s="161">
        <v>900</v>
      </c>
      <c r="K567" s="159">
        <f>K566+I567-J567</f>
        <v>209377.39999999973</v>
      </c>
    </row>
    <row r="568" spans="1:11" ht="15">
      <c r="A568" s="54" t="str">
        <f>D568&amp;E568&amp;F568</f>
        <v>HRVACACIONES/FINIQUITOSHR</v>
      </c>
      <c r="B568" t="s">
        <v>1807</v>
      </c>
      <c r="C568" s="1">
        <v>45880</v>
      </c>
      <c r="D568" t="s">
        <v>29</v>
      </c>
      <c r="E568" t="s">
        <v>190</v>
      </c>
      <c r="F568" s="213" t="s">
        <v>29</v>
      </c>
      <c r="G568" s="146"/>
      <c r="H568" t="s">
        <v>3776</v>
      </c>
      <c r="I568" s="161"/>
      <c r="J568" s="161">
        <v>776</v>
      </c>
      <c r="K568" s="159">
        <f>K567+I568-J568</f>
        <v>208601.39999999973</v>
      </c>
    </row>
    <row r="569" spans="1:11" ht="15">
      <c r="A569" s="54" t="str">
        <f>D569&amp;E569&amp;F569</f>
        <v>CAPVACACIONES/FINIQUITOSCAPRICHOS</v>
      </c>
      <c r="B569" t="s">
        <v>1807</v>
      </c>
      <c r="C569" s="1">
        <v>45880</v>
      </c>
      <c r="D569" t="s">
        <v>31</v>
      </c>
      <c r="E569" t="s">
        <v>190</v>
      </c>
      <c r="F569" s="146" t="s">
        <v>33</v>
      </c>
      <c r="G569" s="146"/>
      <c r="H569" t="s">
        <v>3777</v>
      </c>
      <c r="I569" s="161"/>
      <c r="J569" s="161">
        <v>1733</v>
      </c>
      <c r="K569" s="159">
        <f>K568+I569-J569</f>
        <v>206868.39999999973</v>
      </c>
    </row>
    <row r="570" spans="1:11" ht="15">
      <c r="A570" s="54" t="str">
        <f>D570&amp;E570&amp;F570</f>
        <v>CAPVACACIONES/FINIQUITOSCAPRICHOS</v>
      </c>
      <c r="B570" t="s">
        <v>1807</v>
      </c>
      <c r="C570" s="1">
        <v>45880</v>
      </c>
      <c r="D570" t="s">
        <v>31</v>
      </c>
      <c r="E570" t="s">
        <v>190</v>
      </c>
      <c r="F570" s="146" t="s">
        <v>33</v>
      </c>
      <c r="G570" s="146"/>
      <c r="H570" t="s">
        <v>3778</v>
      </c>
      <c r="I570" s="161"/>
      <c r="J570" s="161">
        <v>826</v>
      </c>
      <c r="K570" s="159">
        <f>K569+I570-J570</f>
        <v>206042.39999999973</v>
      </c>
    </row>
    <row r="571" spans="1:11" ht="15">
      <c r="A571" s="54" t="str">
        <f t="shared" si="23"/>
        <v/>
      </c>
      <c r="B571" t="s">
        <v>1807</v>
      </c>
      <c r="C571" s="1">
        <v>45881</v>
      </c>
      <c r="F571" s="146"/>
      <c r="G571" s="146"/>
      <c r="H571" t="s">
        <v>3472</v>
      </c>
      <c r="I571" s="161">
        <v>150000</v>
      </c>
      <c r="J571" s="161"/>
      <c r="K571" s="159">
        <f>K570+I571-J571</f>
        <v>356042.39999999973</v>
      </c>
    </row>
    <row r="572" spans="1:11" ht="15">
      <c r="A572" s="54" t="str">
        <f t="shared" si="23"/>
        <v/>
      </c>
      <c r="B572" t="s">
        <v>1807</v>
      </c>
      <c r="C572" s="1">
        <v>45882</v>
      </c>
      <c r="F572" s="146"/>
      <c r="G572" s="146"/>
      <c r="H572" t="s">
        <v>3472</v>
      </c>
      <c r="I572" s="161">
        <v>150000</v>
      </c>
      <c r="J572" s="161"/>
      <c r="K572" s="159">
        <f>K571+I572-J572</f>
        <v>506042.39999999973</v>
      </c>
    </row>
    <row r="573" spans="1:11" ht="15">
      <c r="A573" s="54" t="str">
        <f>D573&amp;E573&amp;F573</f>
        <v>MKTVACACIONES/FINIQUITOSHR</v>
      </c>
      <c r="B573" t="s">
        <v>1807</v>
      </c>
      <c r="C573" s="1">
        <v>45882</v>
      </c>
      <c r="D573" t="s">
        <v>19</v>
      </c>
      <c r="E573" t="s">
        <v>190</v>
      </c>
      <c r="F573" s="146" t="s">
        <v>29</v>
      </c>
      <c r="G573" s="146"/>
      <c r="H573" t="s">
        <v>3779</v>
      </c>
      <c r="I573" s="161"/>
      <c r="J573" s="161">
        <v>6659</v>
      </c>
      <c r="K573" s="159">
        <f>K572+I573-J573</f>
        <v>499383.39999999973</v>
      </c>
    </row>
    <row r="574" spans="1:11" ht="15">
      <c r="A574" s="54" t="str">
        <f>D574&amp;E574&amp;F574</f>
        <v>CAPVACACIONES/FINIQUITOSCAPRICHOS</v>
      </c>
      <c r="B574" t="s">
        <v>1807</v>
      </c>
      <c r="C574" s="1">
        <v>45882</v>
      </c>
      <c r="D574" t="s">
        <v>31</v>
      </c>
      <c r="E574" t="s">
        <v>190</v>
      </c>
      <c r="F574" s="146" t="s">
        <v>33</v>
      </c>
      <c r="G574" s="146"/>
      <c r="H574" t="s">
        <v>3780</v>
      </c>
      <c r="I574" s="161"/>
      <c r="J574" s="161">
        <v>176</v>
      </c>
      <c r="K574" s="159">
        <f>K573+I574-J574</f>
        <v>499207.39999999973</v>
      </c>
    </row>
    <row r="575" spans="1:11" ht="15">
      <c r="A575" s="54" t="str">
        <f>D575&amp;E575&amp;F575</f>
        <v>HRVACACIONES/FINIQUITOSHR</v>
      </c>
      <c r="B575" t="s">
        <v>1807</v>
      </c>
      <c r="C575" s="1">
        <v>45882</v>
      </c>
      <c r="D575" t="s">
        <v>29</v>
      </c>
      <c r="E575" t="s">
        <v>190</v>
      </c>
      <c r="F575" s="213" t="s">
        <v>29</v>
      </c>
      <c r="G575" s="146"/>
      <c r="H575" t="s">
        <v>3781</v>
      </c>
      <c r="I575" s="161"/>
      <c r="J575" s="161">
        <v>1904</v>
      </c>
      <c r="K575" s="159">
        <f>K574+I575-J575</f>
        <v>497303.39999999973</v>
      </c>
    </row>
    <row r="576" spans="1:11" ht="15">
      <c r="A576" s="54" t="str">
        <f>D576&amp;E576&amp;F576</f>
        <v>HRVACACIONES/FINIQUITOSHR</v>
      </c>
      <c r="B576" t="s">
        <v>1807</v>
      </c>
      <c r="C576" s="1">
        <v>45882</v>
      </c>
      <c r="D576" t="s">
        <v>29</v>
      </c>
      <c r="E576" t="s">
        <v>190</v>
      </c>
      <c r="F576" s="213" t="s">
        <v>29</v>
      </c>
      <c r="G576" s="146"/>
      <c r="H576" t="s">
        <v>3782</v>
      </c>
      <c r="I576" s="161"/>
      <c r="J576" s="161">
        <v>6261</v>
      </c>
      <c r="K576" s="159">
        <f>K575+I576-J576</f>
        <v>491042.39999999973</v>
      </c>
    </row>
    <row r="577" spans="1:11" ht="15">
      <c r="A577" s="54" t="str">
        <f>D577&amp;E577&amp;F577</f>
        <v>CAPVACACIONES/FINIQUITOSCAPRICHOS</v>
      </c>
      <c r="B577" t="s">
        <v>1807</v>
      </c>
      <c r="C577" s="1">
        <v>45882</v>
      </c>
      <c r="D577" t="s">
        <v>31</v>
      </c>
      <c r="E577" t="s">
        <v>190</v>
      </c>
      <c r="F577" s="146" t="s">
        <v>33</v>
      </c>
      <c r="G577" s="146"/>
      <c r="H577" t="s">
        <v>3783</v>
      </c>
      <c r="I577" s="161"/>
      <c r="J577" s="161">
        <v>3018</v>
      </c>
      <c r="K577" s="159">
        <f>K576+I577-J577</f>
        <v>488024.39999999973</v>
      </c>
    </row>
    <row r="578" spans="1:11" ht="15">
      <c r="A578" s="54" t="str">
        <f>D578&amp;E578&amp;F578</f>
        <v>SERVICIOSVACACIONES/FINIQUITOSSERVICIOS</v>
      </c>
      <c r="B578" t="s">
        <v>1807</v>
      </c>
      <c r="C578" s="1">
        <v>45882</v>
      </c>
      <c r="D578" t="s">
        <v>21</v>
      </c>
      <c r="E578" t="s">
        <v>190</v>
      </c>
      <c r="F578" s="146" t="s">
        <v>21</v>
      </c>
      <c r="G578" s="146"/>
      <c r="H578" t="s">
        <v>3784</v>
      </c>
      <c r="I578" s="161"/>
      <c r="J578" s="161">
        <v>5714</v>
      </c>
      <c r="K578" s="159">
        <f>K577+I578-J578</f>
        <v>482310.39999999973</v>
      </c>
    </row>
    <row r="579" spans="1:11" ht="15">
      <c r="A579" s="54" t="str">
        <f>D579&amp;E579&amp;F579</f>
        <v>HRVACACIONES/FINIQUITOSHR</v>
      </c>
      <c r="B579" t="s">
        <v>1807</v>
      </c>
      <c r="C579" s="1">
        <v>45882</v>
      </c>
      <c r="D579" t="s">
        <v>29</v>
      </c>
      <c r="E579" t="s">
        <v>190</v>
      </c>
      <c r="F579" s="213" t="s">
        <v>29</v>
      </c>
      <c r="G579" s="146"/>
      <c r="H579" t="s">
        <v>3785</v>
      </c>
      <c r="I579" s="161"/>
      <c r="J579" s="161">
        <v>600</v>
      </c>
      <c r="K579" s="159">
        <f>K578+I579-J579</f>
        <v>481710.39999999973</v>
      </c>
    </row>
    <row r="580" spans="1:11" ht="15">
      <c r="A580" s="54" t="str">
        <f t="shared" si="23"/>
        <v/>
      </c>
      <c r="B580" t="s">
        <v>1807</v>
      </c>
      <c r="C580" s="1">
        <v>45883</v>
      </c>
      <c r="F580" s="146"/>
      <c r="G580" s="146"/>
      <c r="H580" t="s">
        <v>3472</v>
      </c>
      <c r="I580" s="161">
        <v>200000</v>
      </c>
      <c r="J580" s="161"/>
      <c r="K580" s="159">
        <f>K579+I580-J580</f>
        <v>681710.39999999967</v>
      </c>
    </row>
    <row r="581" spans="1:11" ht="15">
      <c r="A581" s="54" t="str">
        <f t="shared" ref="A581:A644" si="24">D581&amp;E581&amp;F581</f>
        <v/>
      </c>
      <c r="B581" t="s">
        <v>1807</v>
      </c>
      <c r="C581" s="1">
        <v>45883</v>
      </c>
      <c r="F581" s="146"/>
      <c r="G581" s="146"/>
      <c r="H581" t="s">
        <v>3466</v>
      </c>
      <c r="I581" s="161">
        <v>17914</v>
      </c>
      <c r="J581" s="161"/>
      <c r="K581" s="159">
        <f>K580+I581-J581</f>
        <v>699624.39999999967</v>
      </c>
    </row>
    <row r="582" spans="1:11" ht="15">
      <c r="A582" s="54" t="str">
        <f t="shared" si="24"/>
        <v/>
      </c>
      <c r="B582" t="s">
        <v>1807</v>
      </c>
      <c r="C582" s="1">
        <v>45883</v>
      </c>
      <c r="F582" s="146"/>
      <c r="G582" s="146"/>
      <c r="H582" t="s">
        <v>3468</v>
      </c>
      <c r="I582" s="161">
        <v>4128</v>
      </c>
      <c r="J582" s="161"/>
      <c r="K582" s="159">
        <f>K581+I582-J582</f>
        <v>703752.39999999967</v>
      </c>
    </row>
    <row r="583" spans="1:11" ht="15">
      <c r="A583" s="54" t="str">
        <f t="shared" si="24"/>
        <v/>
      </c>
      <c r="B583" t="s">
        <v>1807</v>
      </c>
      <c r="C583" s="1">
        <v>45883</v>
      </c>
      <c r="F583" s="146"/>
      <c r="G583" s="146"/>
      <c r="H583" t="s">
        <v>3467</v>
      </c>
      <c r="I583" s="161">
        <v>7876.94</v>
      </c>
      <c r="J583" s="161"/>
      <c r="K583" s="159">
        <f>K582+I583-J583</f>
        <v>711629.33999999962</v>
      </c>
    </row>
    <row r="584" spans="1:11" ht="15">
      <c r="A584" s="54" t="str">
        <f t="shared" si="24"/>
        <v/>
      </c>
      <c r="B584" t="s">
        <v>1807</v>
      </c>
      <c r="C584" s="1">
        <v>45883</v>
      </c>
      <c r="F584" s="146"/>
      <c r="G584" s="146"/>
      <c r="H584" t="s">
        <v>3663</v>
      </c>
      <c r="I584" s="161"/>
      <c r="J584" s="426">
        <v>180304</v>
      </c>
      <c r="K584" s="159">
        <f>K583+I584-J584</f>
        <v>531325.33999999962</v>
      </c>
    </row>
    <row r="585" spans="1:11" ht="15">
      <c r="A585" s="54" t="str">
        <f t="shared" si="24"/>
        <v/>
      </c>
      <c r="B585" t="s">
        <v>1807</v>
      </c>
      <c r="C585" s="1">
        <v>45883</v>
      </c>
      <c r="F585" s="146"/>
      <c r="G585" s="146"/>
      <c r="H585" t="s">
        <v>3786</v>
      </c>
      <c r="I585" s="161"/>
      <c r="J585" s="426">
        <v>559931.42000000004</v>
      </c>
      <c r="K585" s="159">
        <f>K584+I585-J585</f>
        <v>-28606.080000000424</v>
      </c>
    </row>
    <row r="586" spans="1:11" ht="15">
      <c r="A586" s="54" t="str">
        <f t="shared" si="24"/>
        <v/>
      </c>
      <c r="B586" t="s">
        <v>1807</v>
      </c>
      <c r="C586" s="1">
        <v>45883</v>
      </c>
      <c r="F586" s="146"/>
      <c r="G586" s="146"/>
      <c r="H586" t="s">
        <v>3573</v>
      </c>
      <c r="I586" s="161"/>
      <c r="J586" s="425">
        <v>34900</v>
      </c>
      <c r="K586" s="159">
        <f>K585+I586-J586</f>
        <v>-63506.080000000424</v>
      </c>
    </row>
    <row r="587" spans="1:11" ht="15">
      <c r="A587" s="54" t="str">
        <f t="shared" si="24"/>
        <v/>
      </c>
      <c r="B587" t="s">
        <v>1807</v>
      </c>
      <c r="C587" s="1">
        <v>45883</v>
      </c>
      <c r="F587" s="146"/>
      <c r="G587" s="146"/>
      <c r="H587" t="s">
        <v>3472</v>
      </c>
      <c r="I587" s="81">
        <v>65000</v>
      </c>
      <c r="K587" s="159">
        <f>K586+I587-J587</f>
        <v>1493.9199999995762</v>
      </c>
    </row>
    <row r="588" spans="1:11" ht="15">
      <c r="A588" s="54" t="str">
        <f>D588&amp;E588&amp;F588</f>
        <v>SERVICIOSNOMINA ADMONSISTEMAS</v>
      </c>
      <c r="B588" t="s">
        <v>1807</v>
      </c>
      <c r="C588" s="1">
        <v>45884</v>
      </c>
      <c r="D588" t="s">
        <v>21</v>
      </c>
      <c r="E588" t="s">
        <v>147</v>
      </c>
      <c r="F588" s="146" t="s">
        <v>36</v>
      </c>
      <c r="G588" s="146" t="s">
        <v>258</v>
      </c>
      <c r="H588" t="s">
        <v>3787</v>
      </c>
      <c r="I588" s="161"/>
      <c r="J588" s="161">
        <v>800</v>
      </c>
      <c r="K588" s="159">
        <f>K587+I588-J588</f>
        <v>693.91999999957625</v>
      </c>
    </row>
    <row r="589" spans="1:11" ht="15">
      <c r="A589" s="54" t="str">
        <f>D589&amp;E589&amp;F589</f>
        <v>SERVICIOSNOMINA ADMONSISTEMAS</v>
      </c>
      <c r="B589" t="s">
        <v>1807</v>
      </c>
      <c r="C589" s="1">
        <v>45884</v>
      </c>
      <c r="D589" t="s">
        <v>21</v>
      </c>
      <c r="E589" t="s">
        <v>147</v>
      </c>
      <c r="F589" s="146" t="s">
        <v>36</v>
      </c>
      <c r="G589" s="146" t="s">
        <v>258</v>
      </c>
      <c r="H589" t="s">
        <v>3788</v>
      </c>
      <c r="I589" s="161"/>
      <c r="J589" s="161">
        <v>630</v>
      </c>
      <c r="K589" s="159">
        <f>K588+I589-J589</f>
        <v>63.919999999576248</v>
      </c>
    </row>
    <row r="590" spans="1:11" ht="15">
      <c r="A590" s="54" t="str">
        <f t="shared" si="24"/>
        <v/>
      </c>
      <c r="B590" t="s">
        <v>1807</v>
      </c>
      <c r="C590" s="1">
        <v>45887</v>
      </c>
      <c r="F590" s="146"/>
      <c r="G590" s="146"/>
      <c r="H590" t="s">
        <v>3472</v>
      </c>
      <c r="I590" s="161">
        <v>200000</v>
      </c>
      <c r="J590" s="161"/>
      <c r="K590" s="159">
        <f>K589+I590-J590</f>
        <v>200063.91999999958</v>
      </c>
    </row>
    <row r="591" spans="1:11" ht="15">
      <c r="A591" s="54" t="str">
        <f t="shared" si="24"/>
        <v/>
      </c>
      <c r="B591" t="s">
        <v>1807</v>
      </c>
      <c r="C591" s="1">
        <v>45887</v>
      </c>
      <c r="D591" s="89"/>
      <c r="E591" s="89"/>
      <c r="F591" s="236"/>
      <c r="G591" s="236"/>
      <c r="H591" s="89" t="s">
        <v>3789</v>
      </c>
      <c r="I591" s="161"/>
      <c r="J591" s="161"/>
      <c r="K591" s="159">
        <f>K590+I591-J591</f>
        <v>200063.91999999958</v>
      </c>
    </row>
    <row r="592" spans="1:11" ht="15">
      <c r="A592" s="54" t="str">
        <f>D592&amp;E592&amp;F592</f>
        <v>CAPVACACIONES/FINIQUITOSCAPRICHOS</v>
      </c>
      <c r="B592" t="s">
        <v>1807</v>
      </c>
      <c r="C592" s="1">
        <v>45887</v>
      </c>
      <c r="D592" t="s">
        <v>31</v>
      </c>
      <c r="E592" t="s">
        <v>190</v>
      </c>
      <c r="F592" s="146" t="s">
        <v>33</v>
      </c>
      <c r="G592" s="146"/>
      <c r="H592" t="s">
        <v>3790</v>
      </c>
      <c r="I592" s="161"/>
      <c r="J592" s="161">
        <v>11885</v>
      </c>
      <c r="K592" s="159">
        <f>K591+I592-J592</f>
        <v>188178.91999999958</v>
      </c>
    </row>
    <row r="593" spans="1:11" ht="15">
      <c r="A593" s="54" t="str">
        <f>D593&amp;E593&amp;F593</f>
        <v>HRVACACIONES/FINIQUITOSHR</v>
      </c>
      <c r="B593" t="s">
        <v>1807</v>
      </c>
      <c r="C593" s="1">
        <v>45887</v>
      </c>
      <c r="D593" t="s">
        <v>29</v>
      </c>
      <c r="E593" t="s">
        <v>190</v>
      </c>
      <c r="F593" s="213" t="s">
        <v>29</v>
      </c>
      <c r="G593" s="146"/>
      <c r="H593" t="s">
        <v>3791</v>
      </c>
      <c r="I593" s="161"/>
      <c r="J593" s="161">
        <v>1000</v>
      </c>
      <c r="K593" s="159">
        <f>K592+I593-J593</f>
        <v>187178.91999999958</v>
      </c>
    </row>
    <row r="594" spans="1:11" ht="15">
      <c r="A594" s="54" t="str">
        <f>D594&amp;E594&amp;F594</f>
        <v>HRVACACIONES/FINIQUITOSHR</v>
      </c>
      <c r="B594" t="s">
        <v>1807</v>
      </c>
      <c r="C594" s="1">
        <v>45887</v>
      </c>
      <c r="D594" t="s">
        <v>29</v>
      </c>
      <c r="E594" t="s">
        <v>190</v>
      </c>
      <c r="F594" s="213" t="s">
        <v>29</v>
      </c>
      <c r="G594" s="146"/>
      <c r="H594" t="s">
        <v>3792</v>
      </c>
      <c r="I594" s="161"/>
      <c r="J594" s="161">
        <v>875</v>
      </c>
      <c r="K594" s="159">
        <f>K593+I594-J594</f>
        <v>186303.91999999958</v>
      </c>
    </row>
    <row r="595" spans="1:11" ht="15">
      <c r="A595" s="54" t="str">
        <f>D595&amp;E595&amp;F595</f>
        <v>SERVICIOSNOMINA SUCURSALCEDIS</v>
      </c>
      <c r="B595" t="s">
        <v>1807</v>
      </c>
      <c r="C595" s="1">
        <v>45887</v>
      </c>
      <c r="D595" t="s">
        <v>21</v>
      </c>
      <c r="E595" t="s">
        <v>154</v>
      </c>
      <c r="F595" s="146" t="s">
        <v>28</v>
      </c>
      <c r="G595" s="146" t="s">
        <v>258</v>
      </c>
      <c r="H595" t="s">
        <v>3793</v>
      </c>
      <c r="I595" s="161"/>
      <c r="J595" s="161">
        <v>270</v>
      </c>
      <c r="K595" s="159">
        <f>K594+I595-J595</f>
        <v>186033.91999999958</v>
      </c>
    </row>
    <row r="596" spans="1:11" ht="15">
      <c r="A596" s="54" t="str">
        <f t="shared" si="24"/>
        <v/>
      </c>
      <c r="B596" t="s">
        <v>1807</v>
      </c>
      <c r="C596" s="1">
        <v>45888</v>
      </c>
      <c r="F596" s="146"/>
      <c r="G596" s="146"/>
      <c r="H596" t="s">
        <v>3472</v>
      </c>
      <c r="I596" s="161">
        <v>150000</v>
      </c>
      <c r="J596" s="161"/>
      <c r="K596" s="159">
        <f>K595+I596-J596</f>
        <v>336033.91999999958</v>
      </c>
    </row>
    <row r="597" spans="1:11" ht="15">
      <c r="A597" s="54" t="str">
        <f t="shared" si="24"/>
        <v/>
      </c>
      <c r="B597" t="s">
        <v>1807</v>
      </c>
      <c r="C597" s="1">
        <v>45889</v>
      </c>
      <c r="F597" s="146"/>
      <c r="G597" s="146"/>
      <c r="H597" t="s">
        <v>3472</v>
      </c>
      <c r="I597" s="161">
        <v>150000</v>
      </c>
      <c r="J597" s="161"/>
      <c r="K597" s="159">
        <f>K596+I597-J597</f>
        <v>486033.91999999958</v>
      </c>
    </row>
    <row r="598" spans="1:11" ht="15">
      <c r="A598" s="54" t="str">
        <f>D598&amp;E598&amp;F598</f>
        <v>SERVICIOSNOMINA SUCURSALCEDIS</v>
      </c>
      <c r="B598" t="s">
        <v>1807</v>
      </c>
      <c r="C598" s="1">
        <v>45889</v>
      </c>
      <c r="D598" t="s">
        <v>21</v>
      </c>
      <c r="E598" t="s">
        <v>154</v>
      </c>
      <c r="F598" s="146" t="s">
        <v>28</v>
      </c>
      <c r="G598" s="146" t="s">
        <v>258</v>
      </c>
      <c r="H598" t="s">
        <v>3794</v>
      </c>
      <c r="I598" s="161"/>
      <c r="J598" s="161">
        <v>218</v>
      </c>
      <c r="K598" s="159">
        <f>K597+I598-J598</f>
        <v>485815.91999999958</v>
      </c>
    </row>
    <row r="599" spans="1:11" ht="15">
      <c r="A599" s="54" t="str">
        <f t="shared" si="24"/>
        <v/>
      </c>
      <c r="B599" t="s">
        <v>1807</v>
      </c>
      <c r="C599" s="1">
        <v>45890</v>
      </c>
      <c r="F599" s="146"/>
      <c r="G599" s="146"/>
      <c r="H599" t="s">
        <v>3472</v>
      </c>
      <c r="I599" s="161">
        <v>150000</v>
      </c>
      <c r="J599" s="161"/>
      <c r="K599" s="159">
        <f>K598+I599-J599</f>
        <v>635815.91999999958</v>
      </c>
    </row>
    <row r="600" spans="1:11" ht="15">
      <c r="A600" s="54" t="str">
        <f t="shared" si="24"/>
        <v/>
      </c>
      <c r="B600" t="s">
        <v>1807</v>
      </c>
      <c r="C600" s="1">
        <v>45890</v>
      </c>
      <c r="F600" s="146"/>
      <c r="G600" s="146"/>
      <c r="H600" t="s">
        <v>3466</v>
      </c>
      <c r="I600" s="161">
        <v>17914.400000000001</v>
      </c>
      <c r="J600" s="161"/>
      <c r="K600" s="159">
        <f>K599+I600-J600</f>
        <v>653730.3199999996</v>
      </c>
    </row>
    <row r="601" spans="1:11" ht="15">
      <c r="A601" s="54" t="str">
        <f t="shared" si="24"/>
        <v/>
      </c>
      <c r="B601" t="s">
        <v>1807</v>
      </c>
      <c r="C601" s="1">
        <v>45890</v>
      </c>
      <c r="F601" s="146"/>
      <c r="G601" s="146"/>
      <c r="H601" t="s">
        <v>3468</v>
      </c>
      <c r="I601" s="161">
        <v>4224.8</v>
      </c>
      <c r="J601" s="161"/>
      <c r="K601" s="159">
        <f>K600+I601-J601</f>
        <v>657955.11999999965</v>
      </c>
    </row>
    <row r="602" spans="1:11" ht="15">
      <c r="A602" s="54" t="str">
        <f t="shared" si="24"/>
        <v/>
      </c>
      <c r="B602" t="s">
        <v>1807</v>
      </c>
      <c r="C602" s="1">
        <v>45890</v>
      </c>
      <c r="F602" s="146"/>
      <c r="G602" s="146"/>
      <c r="H602" t="s">
        <v>3467</v>
      </c>
      <c r="I602" s="161">
        <v>7876.74</v>
      </c>
      <c r="J602" s="161"/>
      <c r="K602" s="159">
        <f>K601+I602-J602</f>
        <v>665831.85999999964</v>
      </c>
    </row>
    <row r="603" spans="1:11" ht="15">
      <c r="A603" s="54" t="str">
        <f t="shared" si="24"/>
        <v/>
      </c>
      <c r="B603" t="s">
        <v>1807</v>
      </c>
      <c r="C603" s="1">
        <v>45890</v>
      </c>
      <c r="F603" s="146"/>
      <c r="G603" s="146"/>
      <c r="H603" t="s">
        <v>3663</v>
      </c>
      <c r="I603" s="161"/>
      <c r="J603" s="426">
        <v>174751.4</v>
      </c>
      <c r="K603" s="159">
        <f>K602+I603-J603</f>
        <v>491080.45999999961</v>
      </c>
    </row>
    <row r="604" spans="1:11" ht="15">
      <c r="A604" s="54" t="str">
        <f t="shared" si="24"/>
        <v/>
      </c>
      <c r="B604" t="s">
        <v>1807</v>
      </c>
      <c r="C604" s="1">
        <v>45890</v>
      </c>
      <c r="F604" s="146"/>
      <c r="G604" s="146"/>
      <c r="H604" t="s">
        <v>3765</v>
      </c>
      <c r="I604" s="161"/>
      <c r="J604" s="426">
        <v>570115</v>
      </c>
      <c r="K604" s="159">
        <f>K603+I604-J604</f>
        <v>-79034.540000000386</v>
      </c>
    </row>
    <row r="605" spans="1:11" ht="15">
      <c r="A605" s="54" t="str">
        <f t="shared" si="24"/>
        <v/>
      </c>
      <c r="B605" t="s">
        <v>1807</v>
      </c>
      <c r="C605" s="1">
        <v>45890</v>
      </c>
      <c r="F605" s="146"/>
      <c r="G605" s="146"/>
      <c r="H605" t="s">
        <v>3573</v>
      </c>
      <c r="I605" s="161"/>
      <c r="J605" s="425">
        <v>35400</v>
      </c>
      <c r="K605" s="159">
        <f>K604+I605-J605</f>
        <v>-114434.54000000039</v>
      </c>
    </row>
    <row r="606" spans="1:11" s="229" customFormat="1" ht="15">
      <c r="A606" s="54" t="str">
        <f>D606&amp;E606&amp;F606</f>
        <v>SERVICIOSVACACIONES/FINIQUITOSSERVICIOS</v>
      </c>
      <c r="B606" s="229" t="s">
        <v>1807</v>
      </c>
      <c r="C606" s="244">
        <v>45890</v>
      </c>
      <c r="D606" s="229" t="s">
        <v>21</v>
      </c>
      <c r="E606" s="229" t="s">
        <v>190</v>
      </c>
      <c r="F606" s="146" t="s">
        <v>21</v>
      </c>
      <c r="G606" s="146" t="s">
        <v>258</v>
      </c>
      <c r="H606" s="229" t="s">
        <v>3795</v>
      </c>
      <c r="I606" s="161"/>
      <c r="J606" s="161">
        <v>10000</v>
      </c>
      <c r="K606" s="159">
        <f>K605+I606-J606</f>
        <v>-124434.54000000039</v>
      </c>
    </row>
    <row r="607" spans="1:11" ht="15">
      <c r="A607" s="54" t="str">
        <f t="shared" si="24"/>
        <v/>
      </c>
      <c r="B607" t="s">
        <v>1807</v>
      </c>
      <c r="C607" s="1">
        <v>45891</v>
      </c>
      <c r="F607" s="146"/>
      <c r="G607" s="146"/>
      <c r="H607" t="s">
        <v>3472</v>
      </c>
      <c r="I607" s="161">
        <v>150000</v>
      </c>
      <c r="J607" s="161"/>
      <c r="K607" s="159">
        <f>K606+I607-J607</f>
        <v>25565.459999999614</v>
      </c>
    </row>
    <row r="608" spans="1:11" ht="15">
      <c r="A608" s="54" t="str">
        <f>D608&amp;E608&amp;F608</f>
        <v>HRVACACIONES/FINIQUITOSHR</v>
      </c>
      <c r="B608" t="s">
        <v>1807</v>
      </c>
      <c r="C608" s="1">
        <v>45891</v>
      </c>
      <c r="D608" t="s">
        <v>29</v>
      </c>
      <c r="E608" t="s">
        <v>190</v>
      </c>
      <c r="F608" s="213" t="s">
        <v>29</v>
      </c>
      <c r="G608" s="146"/>
      <c r="H608" t="s">
        <v>3796</v>
      </c>
      <c r="I608" s="161"/>
      <c r="J608" s="161">
        <v>10518</v>
      </c>
      <c r="K608" s="159">
        <f>K607+I608-J608</f>
        <v>15047.459999999614</v>
      </c>
    </row>
    <row r="609" spans="1:11" ht="15">
      <c r="A609" s="54" t="str">
        <f>D609&amp;E609&amp;F609</f>
        <v>HRVACACIONES/FINIQUITOSHR</v>
      </c>
      <c r="B609" t="s">
        <v>1807</v>
      </c>
      <c r="C609" s="1">
        <v>45891</v>
      </c>
      <c r="D609" t="s">
        <v>29</v>
      </c>
      <c r="E609" t="s">
        <v>190</v>
      </c>
      <c r="F609" s="213" t="s">
        <v>29</v>
      </c>
      <c r="G609" s="146"/>
      <c r="H609" t="s">
        <v>3797</v>
      </c>
      <c r="I609" s="161"/>
      <c r="J609" s="161">
        <v>1026</v>
      </c>
      <c r="K609" s="159">
        <f>K608+I609-J609</f>
        <v>14021.459999999614</v>
      </c>
    </row>
    <row r="610" spans="1:11" ht="15">
      <c r="A610" s="54" t="str">
        <f>D610&amp;E610&amp;F610</f>
        <v>HRVACACIONES/FINIQUITOSHR</v>
      </c>
      <c r="B610" t="s">
        <v>1807</v>
      </c>
      <c r="C610" s="1">
        <v>45891</v>
      </c>
      <c r="D610" t="s">
        <v>29</v>
      </c>
      <c r="E610" t="s">
        <v>190</v>
      </c>
      <c r="F610" s="213" t="s">
        <v>29</v>
      </c>
      <c r="G610" s="146"/>
      <c r="H610" t="s">
        <v>3798</v>
      </c>
      <c r="I610" s="161"/>
      <c r="J610" s="161">
        <v>600</v>
      </c>
      <c r="K610" s="159">
        <f>K609+I610-J610</f>
        <v>13421.459999999614</v>
      </c>
    </row>
    <row r="611" spans="1:11" ht="15">
      <c r="A611" s="54" t="str">
        <f>D611&amp;E611&amp;F611</f>
        <v>CAPVACACIONES/FINIQUITOSCAPRICHOS</v>
      </c>
      <c r="B611" t="s">
        <v>1807</v>
      </c>
      <c r="C611" s="1">
        <v>45891</v>
      </c>
      <c r="D611" t="s">
        <v>31</v>
      </c>
      <c r="E611" t="s">
        <v>190</v>
      </c>
      <c r="F611" s="146" t="s">
        <v>33</v>
      </c>
      <c r="G611" s="146"/>
      <c r="H611" t="s">
        <v>3799</v>
      </c>
      <c r="I611" s="161"/>
      <c r="J611" s="161">
        <v>1140</v>
      </c>
      <c r="K611" s="159">
        <f>K610+I611-J611</f>
        <v>12281.459999999614</v>
      </c>
    </row>
    <row r="612" spans="1:11" ht="15">
      <c r="A612" s="54" t="str">
        <f>D612&amp;E612&amp;F612</f>
        <v>HRVACACIONES/FINIQUITOSHR</v>
      </c>
      <c r="B612" t="s">
        <v>1807</v>
      </c>
      <c r="C612" s="1">
        <v>45891</v>
      </c>
      <c r="D612" t="s">
        <v>29</v>
      </c>
      <c r="E612" t="s">
        <v>190</v>
      </c>
      <c r="F612" s="213" t="s">
        <v>29</v>
      </c>
      <c r="G612" s="146"/>
      <c r="H612" t="s">
        <v>3800</v>
      </c>
      <c r="I612" s="161"/>
      <c r="J612" s="161">
        <v>7348</v>
      </c>
      <c r="K612" s="159">
        <f>K611+I612-J612</f>
        <v>4933.4599999996135</v>
      </c>
    </row>
    <row r="613" spans="1:11" ht="15">
      <c r="A613" s="54" t="str">
        <f>D613&amp;E613&amp;F613</f>
        <v>HRVACACIONES/FINIQUITOSHR</v>
      </c>
      <c r="B613" t="s">
        <v>1807</v>
      </c>
      <c r="C613" s="1">
        <v>45891</v>
      </c>
      <c r="D613" t="s">
        <v>29</v>
      </c>
      <c r="E613" t="s">
        <v>190</v>
      </c>
      <c r="F613" s="213" t="s">
        <v>29</v>
      </c>
      <c r="G613" s="146"/>
      <c r="H613" t="s">
        <v>3801</v>
      </c>
      <c r="I613" s="161"/>
      <c r="J613" s="161">
        <v>1400</v>
      </c>
      <c r="K613" s="159">
        <f>K612+I613-J613</f>
        <v>3533.4599999996135</v>
      </c>
    </row>
    <row r="614" spans="1:11" ht="15">
      <c r="A614" s="54" t="str">
        <f>D614&amp;E614&amp;F614</f>
        <v>SERVICIOSNOMINA ADMONMANTENIMIENTO</v>
      </c>
      <c r="B614" t="s">
        <v>1807</v>
      </c>
      <c r="C614" s="1">
        <v>45891</v>
      </c>
      <c r="D614" t="s">
        <v>21</v>
      </c>
      <c r="E614" t="s">
        <v>147</v>
      </c>
      <c r="F614" s="146" t="s">
        <v>35</v>
      </c>
      <c r="G614" s="146"/>
      <c r="H614" t="s">
        <v>3802</v>
      </c>
      <c r="I614" s="161"/>
      <c r="J614" s="161">
        <v>1750</v>
      </c>
      <c r="K614" s="159">
        <f>K613+I614-J614</f>
        <v>1783.4599999996135</v>
      </c>
    </row>
    <row r="615" spans="1:11" ht="15">
      <c r="A615" s="54" t="str">
        <f>D615&amp;E615&amp;F615</f>
        <v>SERVICIOSNOMINA SUCURSALCEDIS</v>
      </c>
      <c r="B615" t="s">
        <v>1807</v>
      </c>
      <c r="C615" s="1">
        <v>45891</v>
      </c>
      <c r="D615" t="s">
        <v>21</v>
      </c>
      <c r="E615" t="s">
        <v>154</v>
      </c>
      <c r="F615" s="146" t="s">
        <v>28</v>
      </c>
      <c r="G615" s="146"/>
      <c r="H615" t="s">
        <v>3803</v>
      </c>
      <c r="I615" s="161"/>
      <c r="J615" s="161">
        <v>1000</v>
      </c>
      <c r="K615" s="159">
        <f>K614+I615-J615</f>
        <v>783.4599999996135</v>
      </c>
    </row>
    <row r="616" spans="1:11" ht="15">
      <c r="A616" s="54" t="str">
        <f t="shared" si="24"/>
        <v/>
      </c>
      <c r="B616" t="s">
        <v>1807</v>
      </c>
      <c r="C616" s="1">
        <v>45894</v>
      </c>
      <c r="F616" s="146"/>
      <c r="G616" s="146"/>
      <c r="H616" t="s">
        <v>3472</v>
      </c>
      <c r="I616" s="161">
        <v>300000</v>
      </c>
      <c r="J616" s="161"/>
      <c r="K616" s="159">
        <f>K615+I616-J616</f>
        <v>300783.45999999961</v>
      </c>
    </row>
    <row r="617" spans="1:11" ht="15">
      <c r="A617" s="54" t="str">
        <f>D617&amp;E617&amp;F617</f>
        <v>SERVICIOSNOMINA SUCURSALCEDIS</v>
      </c>
      <c r="B617" t="s">
        <v>1807</v>
      </c>
      <c r="C617" s="1">
        <v>45894</v>
      </c>
      <c r="D617" t="s">
        <v>21</v>
      </c>
      <c r="E617" t="s">
        <v>154</v>
      </c>
      <c r="F617" s="146" t="s">
        <v>28</v>
      </c>
      <c r="G617" s="146"/>
      <c r="H617" t="s">
        <v>3804</v>
      </c>
      <c r="I617" s="161"/>
      <c r="J617" s="161">
        <v>1980</v>
      </c>
      <c r="K617" s="159">
        <f>K616+I617-J617</f>
        <v>298803.45999999961</v>
      </c>
    </row>
    <row r="618" spans="1:11" ht="15">
      <c r="A618" s="54" t="str">
        <f>D618&amp;E618&amp;F618</f>
        <v>SERVICIOSNOMINA ADMONMANTENIMIENTO</v>
      </c>
      <c r="B618" t="s">
        <v>1807</v>
      </c>
      <c r="C618" s="1">
        <v>45894</v>
      </c>
      <c r="D618" t="s">
        <v>21</v>
      </c>
      <c r="E618" t="s">
        <v>147</v>
      </c>
      <c r="F618" s="146" t="s">
        <v>35</v>
      </c>
      <c r="G618" s="146"/>
      <c r="H618" t="s">
        <v>3805</v>
      </c>
      <c r="I618" s="161"/>
      <c r="J618" s="161">
        <v>500</v>
      </c>
      <c r="K618" s="159">
        <f>K617+I618-J618</f>
        <v>298303.45999999961</v>
      </c>
    </row>
    <row r="619" spans="1:11" ht="15">
      <c r="A619" s="54" t="str">
        <f>D619&amp;E619&amp;F619</f>
        <v>SGEVACACIONES/FINIQUITOSGESTION EMPRESARIAL</v>
      </c>
      <c r="B619" t="s">
        <v>1807</v>
      </c>
      <c r="C619" s="1">
        <v>45894</v>
      </c>
      <c r="D619" t="s">
        <v>39</v>
      </c>
      <c r="E619" t="s">
        <v>190</v>
      </c>
      <c r="F619" s="146" t="s">
        <v>40</v>
      </c>
      <c r="G619" s="146"/>
      <c r="H619" t="s">
        <v>3806</v>
      </c>
      <c r="I619" s="161"/>
      <c r="J619" s="161">
        <v>6285</v>
      </c>
      <c r="K619" s="159">
        <f>K618+I619-J619</f>
        <v>292018.45999999961</v>
      </c>
    </row>
    <row r="620" spans="1:11" ht="15">
      <c r="A620" s="54" t="str">
        <f>D620&amp;E620&amp;F620</f>
        <v>SERVICIOSVACACIONES/FINIQUITOSSERVICIOS</v>
      </c>
      <c r="B620" t="s">
        <v>1807</v>
      </c>
      <c r="C620" s="1">
        <v>45894</v>
      </c>
      <c r="D620" t="s">
        <v>21</v>
      </c>
      <c r="E620" t="s">
        <v>190</v>
      </c>
      <c r="F620" s="146" t="s">
        <v>21</v>
      </c>
      <c r="G620" s="146"/>
      <c r="H620" t="s">
        <v>3807</v>
      </c>
      <c r="I620" s="161"/>
      <c r="J620" s="161">
        <v>600</v>
      </c>
      <c r="K620" s="159">
        <f>K619+I620-J620</f>
        <v>291418.45999999961</v>
      </c>
    </row>
    <row r="621" spans="1:11" ht="15">
      <c r="A621" s="54" t="str">
        <f>D621&amp;E621&amp;F621</f>
        <v>CAPVACACIONES/FINIQUITOSCAPRICHOS</v>
      </c>
      <c r="B621" t="s">
        <v>1807</v>
      </c>
      <c r="C621" s="1">
        <v>45894</v>
      </c>
      <c r="D621" t="s">
        <v>31</v>
      </c>
      <c r="E621" t="s">
        <v>190</v>
      </c>
      <c r="F621" s="146" t="s">
        <v>33</v>
      </c>
      <c r="G621" s="146"/>
      <c r="H621" t="s">
        <v>3808</v>
      </c>
      <c r="I621" s="161"/>
      <c r="J621" s="161">
        <v>7898</v>
      </c>
      <c r="K621" s="159">
        <f>K620+I621-J621</f>
        <v>283520.45999999961</v>
      </c>
    </row>
    <row r="622" spans="1:11" ht="15">
      <c r="A622" s="54" t="str">
        <f>D622&amp;E622&amp;F622</f>
        <v>CAPVACACIONES/FINIQUITOSCAPRICHOS</v>
      </c>
      <c r="B622" t="s">
        <v>1807</v>
      </c>
      <c r="C622" s="1">
        <v>45894</v>
      </c>
      <c r="D622" t="s">
        <v>31</v>
      </c>
      <c r="E622" t="s">
        <v>190</v>
      </c>
      <c r="F622" s="146" t="s">
        <v>33</v>
      </c>
      <c r="G622" s="146"/>
      <c r="H622" t="s">
        <v>3809</v>
      </c>
      <c r="I622" s="161"/>
      <c r="J622" s="161">
        <v>1276</v>
      </c>
      <c r="K622" s="159">
        <f>K621+I622-J622</f>
        <v>282244.45999999961</v>
      </c>
    </row>
    <row r="623" spans="1:11" ht="15">
      <c r="A623" s="54" t="str">
        <f>D623&amp;E623&amp;F623</f>
        <v>HRVACACIONES/FINIQUITOSHR</v>
      </c>
      <c r="B623" t="s">
        <v>1807</v>
      </c>
      <c r="C623" s="1">
        <v>45894</v>
      </c>
      <c r="D623" t="s">
        <v>29</v>
      </c>
      <c r="E623" t="s">
        <v>190</v>
      </c>
      <c r="F623" s="213" t="s">
        <v>29</v>
      </c>
      <c r="G623" s="146"/>
      <c r="H623" t="s">
        <v>3810</v>
      </c>
      <c r="I623" s="161"/>
      <c r="J623" s="161">
        <v>700</v>
      </c>
      <c r="K623" s="159">
        <f>K622+I623-J623</f>
        <v>281544.45999999961</v>
      </c>
    </row>
    <row r="624" spans="1:11" ht="15">
      <c r="A624" s="54" t="str">
        <f>D624&amp;E624&amp;F624</f>
        <v>HRVACACIONES/FINIQUITOSHR</v>
      </c>
      <c r="B624" t="s">
        <v>1807</v>
      </c>
      <c r="C624" s="1">
        <v>45895</v>
      </c>
      <c r="D624" t="s">
        <v>29</v>
      </c>
      <c r="E624" t="s">
        <v>190</v>
      </c>
      <c r="F624" s="213" t="s">
        <v>29</v>
      </c>
      <c r="G624" s="146"/>
      <c r="H624" t="s">
        <v>3811</v>
      </c>
      <c r="I624" s="161"/>
      <c r="J624" s="161">
        <v>626</v>
      </c>
      <c r="K624" s="159">
        <f>K623+I624-J624</f>
        <v>280918.45999999961</v>
      </c>
    </row>
    <row r="625" spans="1:11" ht="15">
      <c r="A625" s="54" t="str">
        <f t="shared" si="24"/>
        <v/>
      </c>
      <c r="B625" t="s">
        <v>1807</v>
      </c>
      <c r="C625" s="1">
        <v>45895</v>
      </c>
      <c r="F625" s="146"/>
      <c r="G625" s="146"/>
      <c r="H625" t="s">
        <v>3472</v>
      </c>
      <c r="I625" s="161">
        <v>100000</v>
      </c>
      <c r="J625" s="161"/>
      <c r="K625" s="159">
        <f>K624+I625-J625</f>
        <v>380918.45999999961</v>
      </c>
    </row>
    <row r="626" spans="1:11" ht="15">
      <c r="A626" s="54" t="str">
        <f t="shared" si="24"/>
        <v/>
      </c>
      <c r="B626" t="s">
        <v>1807</v>
      </c>
      <c r="C626" s="1">
        <v>45896</v>
      </c>
      <c r="F626" s="146"/>
      <c r="G626" s="146"/>
      <c r="H626" t="s">
        <v>3472</v>
      </c>
      <c r="I626" s="161">
        <v>100000</v>
      </c>
      <c r="J626" s="161"/>
      <c r="K626" s="159">
        <f>K625+I626-J626</f>
        <v>480918.45999999961</v>
      </c>
    </row>
    <row r="627" spans="1:11" s="229" customFormat="1" ht="15">
      <c r="A627" s="54" t="str">
        <f>D627&amp;E627&amp;F627</f>
        <v>SERVICIOSVACACIONES/FINIQUITOSSERVICIOS</v>
      </c>
      <c r="B627" s="229" t="s">
        <v>1807</v>
      </c>
      <c r="C627" s="244">
        <v>45896</v>
      </c>
      <c r="D627" s="229" t="s">
        <v>21</v>
      </c>
      <c r="E627" s="229" t="s">
        <v>190</v>
      </c>
      <c r="F627" s="158" t="s">
        <v>21</v>
      </c>
      <c r="G627" s="146"/>
      <c r="H627" s="229" t="s">
        <v>3795</v>
      </c>
      <c r="I627" s="161"/>
      <c r="J627" s="161">
        <v>10000</v>
      </c>
      <c r="K627" s="159">
        <f>K626+I627-J627</f>
        <v>470918.45999999961</v>
      </c>
    </row>
    <row r="628" spans="1:11" ht="15">
      <c r="A628" s="54" t="str">
        <f t="shared" si="24"/>
        <v/>
      </c>
      <c r="B628" t="s">
        <v>1807</v>
      </c>
      <c r="C628" s="1">
        <v>45897</v>
      </c>
      <c r="F628" s="146"/>
      <c r="G628" s="146"/>
      <c r="H628" t="s">
        <v>3472</v>
      </c>
      <c r="I628" s="161">
        <v>150000</v>
      </c>
      <c r="J628" s="161"/>
      <c r="K628" s="159">
        <f>K627+I628-J628</f>
        <v>620918.45999999961</v>
      </c>
    </row>
    <row r="629" spans="1:11" ht="15">
      <c r="A629" s="54" t="str">
        <f t="shared" si="24"/>
        <v/>
      </c>
      <c r="B629" t="s">
        <v>1807</v>
      </c>
      <c r="C629" s="1">
        <v>45897</v>
      </c>
      <c r="F629" s="146"/>
      <c r="G629" s="146"/>
      <c r="H629" t="s">
        <v>3466</v>
      </c>
      <c r="I629" s="161">
        <v>17913.400000000001</v>
      </c>
      <c r="J629" s="161"/>
      <c r="K629" s="159">
        <f>K628+I629-J629</f>
        <v>638831.85999999964</v>
      </c>
    </row>
    <row r="630" spans="1:11" ht="15">
      <c r="A630" s="54" t="str">
        <f t="shared" si="24"/>
        <v/>
      </c>
      <c r="B630" t="s">
        <v>1807</v>
      </c>
      <c r="C630" s="1">
        <v>45897</v>
      </c>
      <c r="F630" s="146"/>
      <c r="G630" s="146"/>
      <c r="H630" t="s">
        <v>3468</v>
      </c>
      <c r="I630" s="161">
        <v>4604</v>
      </c>
      <c r="J630" s="161"/>
      <c r="K630" s="159">
        <f>K629+I630-J630</f>
        <v>643435.85999999964</v>
      </c>
    </row>
    <row r="631" spans="1:11" ht="15">
      <c r="A631" s="54" t="str">
        <f t="shared" si="24"/>
        <v/>
      </c>
      <c r="B631" t="s">
        <v>1807</v>
      </c>
      <c r="C631" s="1">
        <v>45897</v>
      </c>
      <c r="F631" s="146"/>
      <c r="G631" s="146"/>
      <c r="H631" t="s">
        <v>3467</v>
      </c>
      <c r="I631" s="161">
        <f>10335+1285.68</f>
        <v>11620.68</v>
      </c>
      <c r="J631" s="161"/>
      <c r="K631" s="159">
        <f>K630+I631-J631</f>
        <v>655056.53999999969</v>
      </c>
    </row>
    <row r="632" spans="1:11" ht="15">
      <c r="A632" s="54" t="str">
        <f t="shared" si="24"/>
        <v/>
      </c>
      <c r="B632" t="s">
        <v>1807</v>
      </c>
      <c r="C632" s="1">
        <v>45897</v>
      </c>
      <c r="F632" s="146"/>
      <c r="G632" s="146"/>
      <c r="H632" t="s">
        <v>3812</v>
      </c>
      <c r="I632" s="161"/>
      <c r="J632" s="426">
        <v>188217</v>
      </c>
      <c r="K632" s="159">
        <f>K631+I632-J632</f>
        <v>466839.53999999969</v>
      </c>
    </row>
    <row r="633" spans="1:11" ht="15">
      <c r="A633" s="54" t="str">
        <f t="shared" si="24"/>
        <v/>
      </c>
      <c r="B633" t="s">
        <v>1807</v>
      </c>
      <c r="C633" s="1">
        <v>45897</v>
      </c>
      <c r="F633" s="146"/>
      <c r="G633" s="146"/>
      <c r="H633" t="s">
        <v>3547</v>
      </c>
      <c r="I633" s="161"/>
      <c r="J633" s="426">
        <v>547948.42000000004</v>
      </c>
      <c r="K633" s="159">
        <f>K632+I633-J633</f>
        <v>-81108.880000000354</v>
      </c>
    </row>
    <row r="634" spans="1:11" ht="15">
      <c r="A634" s="54" t="str">
        <f t="shared" si="24"/>
        <v/>
      </c>
      <c r="B634" t="s">
        <v>1807</v>
      </c>
      <c r="C634" s="1">
        <v>45897</v>
      </c>
      <c r="F634" s="146"/>
      <c r="G634" s="146"/>
      <c r="H634" t="s">
        <v>3507</v>
      </c>
      <c r="I634" s="161"/>
      <c r="J634" s="425">
        <v>56007.08</v>
      </c>
      <c r="K634" s="159">
        <f>K633+I634-J634</f>
        <v>-137115.96000000037</v>
      </c>
    </row>
    <row r="635" spans="1:11" s="229" customFormat="1" ht="15">
      <c r="A635" s="54" t="str">
        <f>D635&amp;E635&amp;F635</f>
        <v>HRVACACIONES/FINIQUITOSHR</v>
      </c>
      <c r="B635" s="229" t="s">
        <v>1807</v>
      </c>
      <c r="C635" s="244">
        <v>45897</v>
      </c>
      <c r="D635" s="229" t="s">
        <v>29</v>
      </c>
      <c r="E635" s="229" t="s">
        <v>190</v>
      </c>
      <c r="F635" s="213" t="s">
        <v>29</v>
      </c>
      <c r="G635" s="146"/>
      <c r="H635" s="229" t="s">
        <v>3813</v>
      </c>
      <c r="I635" s="161"/>
      <c r="J635" s="161">
        <v>6000</v>
      </c>
      <c r="K635" s="159">
        <f>K634+I635-J635</f>
        <v>-143115.96000000037</v>
      </c>
    </row>
    <row r="636" spans="1:11" s="229" customFormat="1" ht="15">
      <c r="A636" s="54" t="str">
        <f>D636&amp;E636&amp;F636</f>
        <v>CAPVACACIONES/FINIQUITOSCAPRICHOS</v>
      </c>
      <c r="B636" s="229" t="s">
        <v>1807</v>
      </c>
      <c r="C636" s="244">
        <v>45897</v>
      </c>
      <c r="D636" s="229" t="s">
        <v>31</v>
      </c>
      <c r="E636" s="229" t="s">
        <v>190</v>
      </c>
      <c r="F636" s="146" t="s">
        <v>33</v>
      </c>
      <c r="G636" s="146"/>
      <c r="H636" s="229" t="s">
        <v>3814</v>
      </c>
      <c r="I636" s="161"/>
      <c r="J636" s="161">
        <v>604</v>
      </c>
      <c r="K636" s="159">
        <f>K635+I636-J636</f>
        <v>-143719.96000000037</v>
      </c>
    </row>
    <row r="637" spans="1:11" s="229" customFormat="1" ht="15">
      <c r="A637" s="54" t="str">
        <f>D637&amp;E637&amp;F637</f>
        <v>ELIVACACIONES/FINIQUITOSL1</v>
      </c>
      <c r="B637" s="229" t="s">
        <v>1807</v>
      </c>
      <c r="C637" s="244">
        <v>45897</v>
      </c>
      <c r="D637" s="229" t="s">
        <v>130</v>
      </c>
      <c r="E637" s="229" t="s">
        <v>190</v>
      </c>
      <c r="F637" s="146" t="s">
        <v>136</v>
      </c>
      <c r="G637" s="146"/>
      <c r="H637" s="229" t="s">
        <v>3815</v>
      </c>
      <c r="I637" s="161"/>
      <c r="J637" s="161">
        <v>5227</v>
      </c>
      <c r="K637" s="159">
        <f>K636+I637-J637</f>
        <v>-148946.96000000037</v>
      </c>
    </row>
    <row r="638" spans="1:11" ht="15">
      <c r="A638" s="54" t="str">
        <f t="shared" si="24"/>
        <v/>
      </c>
      <c r="B638" t="s">
        <v>1807</v>
      </c>
      <c r="C638" s="1">
        <v>45898</v>
      </c>
      <c r="F638" s="146"/>
      <c r="G638" s="146"/>
      <c r="H638" t="s">
        <v>3472</v>
      </c>
      <c r="I638" s="161">
        <v>160000</v>
      </c>
      <c r="J638" s="161"/>
      <c r="K638" s="159">
        <f>K637+I638-J638</f>
        <v>11053.03999999963</v>
      </c>
    </row>
    <row r="639" spans="1:11" s="229" customFormat="1" ht="15">
      <c r="A639" s="54" t="str">
        <f>D639&amp;E639&amp;F639</f>
        <v>FINANZASNOMINA ADMONHBG FINANZAS</v>
      </c>
      <c r="B639" s="229" t="s">
        <v>1807</v>
      </c>
      <c r="C639" s="244">
        <v>45898</v>
      </c>
      <c r="D639" s="229" t="s">
        <v>23</v>
      </c>
      <c r="E639" s="229" t="s">
        <v>147</v>
      </c>
      <c r="F639" s="12" t="s">
        <v>150</v>
      </c>
      <c r="G639" s="146"/>
      <c r="H639" s="229" t="s">
        <v>3816</v>
      </c>
      <c r="I639" s="161"/>
      <c r="J639" s="161">
        <v>5000</v>
      </c>
      <c r="K639" s="159">
        <f>K638+I639-J639</f>
        <v>6053.0399999996298</v>
      </c>
    </row>
    <row r="640" spans="1:11" s="229" customFormat="1" ht="15">
      <c r="A640" s="54" t="str">
        <f>D640&amp;E640&amp;F640</f>
        <v>CAPVACACIONES/FINIQUITOSCAPRICHOS</v>
      </c>
      <c r="B640" s="229" t="s">
        <v>1807</v>
      </c>
      <c r="C640" s="244">
        <v>45898</v>
      </c>
      <c r="D640" s="229" t="s">
        <v>31</v>
      </c>
      <c r="E640" s="229" t="s">
        <v>190</v>
      </c>
      <c r="F640" s="146" t="s">
        <v>33</v>
      </c>
      <c r="G640" s="146"/>
      <c r="H640" s="229" t="s">
        <v>3817</v>
      </c>
      <c r="I640" s="161"/>
      <c r="J640" s="161">
        <v>633</v>
      </c>
      <c r="K640" s="159">
        <f>K639+I640-J640</f>
        <v>5420.0399999996298</v>
      </c>
    </row>
    <row r="641" spans="1:11" s="229" customFormat="1" ht="15">
      <c r="A641" s="54" t="str">
        <f>D641&amp;E641&amp;F641</f>
        <v>SERVICIOSVACACIONES/FINIQUITOSSERVICIOS</v>
      </c>
      <c r="B641" s="229" t="s">
        <v>1807</v>
      </c>
      <c r="C641" s="244">
        <v>45898</v>
      </c>
      <c r="D641" s="229" t="s">
        <v>21</v>
      </c>
      <c r="E641" s="229" t="s">
        <v>190</v>
      </c>
      <c r="F641" s="146" t="s">
        <v>21</v>
      </c>
      <c r="G641" s="146"/>
      <c r="H641" s="229" t="s">
        <v>3818</v>
      </c>
      <c r="I641" s="161"/>
      <c r="J641" s="161">
        <v>763</v>
      </c>
      <c r="K641" s="159">
        <f>K640+I641-J641</f>
        <v>4657.0399999996298</v>
      </c>
    </row>
    <row r="642" spans="1:11" s="229" customFormat="1" ht="15">
      <c r="A642" s="54" t="str">
        <f>D642&amp;E642&amp;F642</f>
        <v>HRVACACIONES/FINIQUITOSHR</v>
      </c>
      <c r="B642" s="229" t="s">
        <v>1807</v>
      </c>
      <c r="C642" s="244">
        <v>45898</v>
      </c>
      <c r="D642" s="229" t="s">
        <v>29</v>
      </c>
      <c r="E642" s="229" t="s">
        <v>190</v>
      </c>
      <c r="F642" s="213" t="s">
        <v>29</v>
      </c>
      <c r="G642" s="146"/>
      <c r="H642" s="229" t="s">
        <v>3819</v>
      </c>
      <c r="I642" s="161"/>
      <c r="J642" s="161">
        <v>1500</v>
      </c>
      <c r="K642" s="159">
        <f>K641+I642-J642</f>
        <v>3157.0399999996298</v>
      </c>
    </row>
    <row r="643" spans="1:11" ht="15">
      <c r="A643" s="54" t="str">
        <f t="shared" si="24"/>
        <v/>
      </c>
      <c r="B643" t="s">
        <v>2028</v>
      </c>
      <c r="C643" s="1">
        <v>45901</v>
      </c>
      <c r="F643" s="146"/>
      <c r="G643" s="146"/>
      <c r="H643" t="s">
        <v>3472</v>
      </c>
      <c r="I643" s="161">
        <v>300000</v>
      </c>
      <c r="J643" s="161"/>
      <c r="K643" s="159">
        <f>K642+I643-J643</f>
        <v>303157.03999999963</v>
      </c>
    </row>
    <row r="644" spans="1:11" ht="15">
      <c r="A644" s="54" t="str">
        <f t="shared" si="24"/>
        <v>HRVACACIONES/FINIQUITOSHR</v>
      </c>
      <c r="B644" t="s">
        <v>2028</v>
      </c>
      <c r="C644" s="1">
        <v>45901</v>
      </c>
      <c r="D644" t="s">
        <v>29</v>
      </c>
      <c r="E644" t="s">
        <v>190</v>
      </c>
      <c r="F644" s="213" t="s">
        <v>29</v>
      </c>
      <c r="G644" s="146"/>
      <c r="H644" t="s">
        <v>3820</v>
      </c>
      <c r="I644" s="161"/>
      <c r="J644" s="161">
        <v>1505</v>
      </c>
      <c r="K644" s="159">
        <f>K643+I644-J644</f>
        <v>301652.03999999963</v>
      </c>
    </row>
    <row r="645" spans="1:11" ht="15">
      <c r="A645" s="54" t="str">
        <f t="shared" ref="A645:A708" si="25">D645&amp;E645&amp;F645</f>
        <v/>
      </c>
      <c r="B645" t="s">
        <v>2028</v>
      </c>
      <c r="C645" s="1">
        <v>45902</v>
      </c>
      <c r="F645" s="146"/>
      <c r="G645" s="146"/>
      <c r="H645" t="s">
        <v>3472</v>
      </c>
      <c r="I645" s="161">
        <v>100000</v>
      </c>
      <c r="J645" s="161"/>
      <c r="K645" s="159">
        <f>K644+I645-J645</f>
        <v>401652.03999999963</v>
      </c>
    </row>
    <row r="646" spans="1:11" ht="15">
      <c r="A646" s="54" t="str">
        <f t="shared" si="25"/>
        <v/>
      </c>
      <c r="B646" t="s">
        <v>2028</v>
      </c>
      <c r="C646" s="1">
        <v>45903</v>
      </c>
      <c r="F646" s="146"/>
      <c r="G646" s="146"/>
      <c r="H646" t="s">
        <v>3472</v>
      </c>
      <c r="I646" s="161">
        <v>150000</v>
      </c>
      <c r="J646" s="161"/>
      <c r="K646" s="159">
        <f>K645+I646-J646</f>
        <v>551652.03999999957</v>
      </c>
    </row>
    <row r="647" spans="1:11" ht="15">
      <c r="A647" s="54" t="str">
        <f t="shared" si="25"/>
        <v/>
      </c>
      <c r="B647" t="s">
        <v>2028</v>
      </c>
      <c r="C647" s="1">
        <v>45904</v>
      </c>
      <c r="F647" s="146"/>
      <c r="G647" s="146"/>
      <c r="H647" t="s">
        <v>3472</v>
      </c>
      <c r="I647" s="161">
        <v>100000</v>
      </c>
      <c r="J647" s="161"/>
      <c r="K647" s="159">
        <f>K646+I647-J647</f>
        <v>651652.03999999957</v>
      </c>
    </row>
    <row r="648" spans="1:11" ht="15">
      <c r="A648" s="54" t="str">
        <f t="shared" si="25"/>
        <v/>
      </c>
      <c r="B648" t="s">
        <v>2028</v>
      </c>
      <c r="C648" s="1">
        <v>45904</v>
      </c>
      <c r="F648" s="146"/>
      <c r="G648" s="146"/>
      <c r="H648" t="s">
        <v>3466</v>
      </c>
      <c r="I648" s="161">
        <v>17914.400000000001</v>
      </c>
      <c r="J648" s="161"/>
      <c r="K648" s="159">
        <f>K647+I648-J648</f>
        <v>669566.43999999959</v>
      </c>
    </row>
    <row r="649" spans="1:11" ht="15">
      <c r="A649" s="54" t="str">
        <f t="shared" si="25"/>
        <v/>
      </c>
      <c r="B649" t="s">
        <v>2028</v>
      </c>
      <c r="C649" s="1">
        <v>45904</v>
      </c>
      <c r="F649" s="146"/>
      <c r="G649" s="146"/>
      <c r="H649" t="s">
        <v>3468</v>
      </c>
      <c r="I649" s="161">
        <v>4190.6000000000004</v>
      </c>
      <c r="K649" s="159">
        <f>K648+I649-J649</f>
        <v>673757.03999999957</v>
      </c>
    </row>
    <row r="650" spans="1:11" ht="15">
      <c r="A650" s="54" t="str">
        <f t="shared" si="25"/>
        <v/>
      </c>
      <c r="B650" t="s">
        <v>2028</v>
      </c>
      <c r="C650" s="1">
        <v>45904</v>
      </c>
      <c r="F650" s="146"/>
      <c r="G650" s="146"/>
      <c r="H650" t="s">
        <v>3467</v>
      </c>
      <c r="I650" s="161">
        <v>8002.54</v>
      </c>
      <c r="K650" s="159">
        <f>K649+I650-J650</f>
        <v>681759.57999999961</v>
      </c>
    </row>
    <row r="651" spans="1:11" ht="15">
      <c r="A651" s="54" t="str">
        <f t="shared" si="25"/>
        <v/>
      </c>
      <c r="B651" t="s">
        <v>2028</v>
      </c>
      <c r="C651" s="1">
        <v>45904</v>
      </c>
      <c r="F651" s="146"/>
      <c r="G651" s="146"/>
      <c r="H651" t="s">
        <v>3821</v>
      </c>
      <c r="I651" s="161"/>
      <c r="J651" s="161">
        <v>543549.19999999995</v>
      </c>
      <c r="K651" s="159">
        <f>K650+I651-J651</f>
        <v>138210.37999999966</v>
      </c>
    </row>
    <row r="652" spans="1:11" ht="15">
      <c r="A652" s="54" t="str">
        <f t="shared" si="25"/>
        <v/>
      </c>
      <c r="B652" t="s">
        <v>2028</v>
      </c>
      <c r="C652" s="1">
        <v>45904</v>
      </c>
      <c r="F652" s="146"/>
      <c r="G652" s="146"/>
      <c r="H652" t="s">
        <v>3822</v>
      </c>
      <c r="I652" s="161"/>
      <c r="J652" s="161">
        <v>191886</v>
      </c>
      <c r="K652" s="159">
        <f>K651+I652-J652</f>
        <v>-53675.620000000345</v>
      </c>
    </row>
    <row r="653" spans="1:11" ht="15">
      <c r="A653" s="54" t="str">
        <f t="shared" si="25"/>
        <v/>
      </c>
      <c r="B653" t="s">
        <v>2028</v>
      </c>
      <c r="C653" s="1">
        <v>45905</v>
      </c>
      <c r="F653" s="146"/>
      <c r="G653" s="146"/>
      <c r="H653" t="s">
        <v>3823</v>
      </c>
      <c r="I653" s="161"/>
      <c r="J653" s="161">
        <v>35400</v>
      </c>
      <c r="K653" s="159">
        <f>K652+I653-J653</f>
        <v>-89075.620000000345</v>
      </c>
    </row>
    <row r="654" spans="1:11" ht="15">
      <c r="A654" s="54" t="str">
        <f t="shared" si="25"/>
        <v/>
      </c>
      <c r="B654" t="s">
        <v>2028</v>
      </c>
      <c r="C654" s="1">
        <v>45905</v>
      </c>
      <c r="F654" s="146"/>
      <c r="G654" s="146"/>
      <c r="H654" t="s">
        <v>3472</v>
      </c>
      <c r="I654" s="161">
        <v>122500</v>
      </c>
      <c r="J654" s="161"/>
      <c r="K654" s="159">
        <f>K653+I654-J654</f>
        <v>33424.379999999655</v>
      </c>
    </row>
    <row r="655" spans="1:11" ht="15">
      <c r="A655" s="54" t="str">
        <f t="shared" si="25"/>
        <v>CAPVACACIONES/FINIQUITOSCAPRICHOS</v>
      </c>
      <c r="B655" t="s">
        <v>2028</v>
      </c>
      <c r="C655" s="1">
        <v>45905</v>
      </c>
      <c r="D655" s="229" t="s">
        <v>31</v>
      </c>
      <c r="E655" s="229" t="s">
        <v>190</v>
      </c>
      <c r="F655" s="146" t="s">
        <v>33</v>
      </c>
      <c r="G655" s="146" t="s">
        <v>258</v>
      </c>
      <c r="H655" t="s">
        <v>3824</v>
      </c>
      <c r="I655" s="161"/>
      <c r="J655" s="161">
        <v>25000</v>
      </c>
      <c r="K655" s="159">
        <f>K654+I655-J655</f>
        <v>8424.3799999996554</v>
      </c>
    </row>
    <row r="656" spans="1:11" ht="15">
      <c r="A656" s="54" t="str">
        <f t="shared" si="25"/>
        <v>HRVACACIONES/FINIQUITOSHR</v>
      </c>
      <c r="B656" t="s">
        <v>2028</v>
      </c>
      <c r="C656" s="1">
        <v>45905</v>
      </c>
      <c r="D656" t="s">
        <v>29</v>
      </c>
      <c r="E656" t="s">
        <v>190</v>
      </c>
      <c r="F656" s="213" t="s">
        <v>29</v>
      </c>
      <c r="G656" s="146"/>
      <c r="H656" t="s">
        <v>3825</v>
      </c>
      <c r="I656" s="161"/>
      <c r="J656" s="81">
        <v>250</v>
      </c>
      <c r="K656" s="159">
        <f>K655+I656-J656</f>
        <v>8174.3799999996554</v>
      </c>
    </row>
    <row r="657" spans="1:11" ht="15">
      <c r="A657" s="54" t="str">
        <f t="shared" si="25"/>
        <v>CAPVACACIONES/FINIQUITOSCAPRICHOS</v>
      </c>
      <c r="B657" t="s">
        <v>2028</v>
      </c>
      <c r="C657" s="1">
        <v>45905</v>
      </c>
      <c r="D657" t="s">
        <v>31</v>
      </c>
      <c r="E657" t="s">
        <v>190</v>
      </c>
      <c r="F657" s="146" t="s">
        <v>33</v>
      </c>
      <c r="G657" s="146"/>
      <c r="H657" t="s">
        <v>3826</v>
      </c>
      <c r="I657" s="161"/>
      <c r="J657" s="81">
        <v>6535</v>
      </c>
      <c r="K657" s="159">
        <f>K656+I657-J657</f>
        <v>1639.3799999996554</v>
      </c>
    </row>
    <row r="658" spans="1:11" ht="15">
      <c r="A658" s="54" t="str">
        <f t="shared" si="25"/>
        <v>ELIVACACIONES/FINIQUITOSL1</v>
      </c>
      <c r="B658" t="s">
        <v>2028</v>
      </c>
      <c r="C658" s="1">
        <v>45905</v>
      </c>
      <c r="D658" t="s">
        <v>130</v>
      </c>
      <c r="E658" t="s">
        <v>190</v>
      </c>
      <c r="F658" s="146" t="s">
        <v>136</v>
      </c>
      <c r="G658" s="146"/>
      <c r="H658" t="s">
        <v>3827</v>
      </c>
      <c r="I658" s="161"/>
      <c r="J658" s="81">
        <v>1936</v>
      </c>
      <c r="K658" s="159">
        <f>K657+I658-J658</f>
        <v>-296.62000000034459</v>
      </c>
    </row>
    <row r="659" spans="1:11" ht="15">
      <c r="A659" s="54" t="str">
        <f t="shared" si="25"/>
        <v>SERVICIOSNOMINA ADMONCEDIS</v>
      </c>
      <c r="B659" t="s">
        <v>2028</v>
      </c>
      <c r="C659" s="1">
        <v>45905</v>
      </c>
      <c r="D659" t="s">
        <v>21</v>
      </c>
      <c r="E659" t="s">
        <v>147</v>
      </c>
      <c r="F659" s="146" t="s">
        <v>28</v>
      </c>
      <c r="G659" s="146" t="s">
        <v>258</v>
      </c>
      <c r="H659" t="s">
        <v>3828</v>
      </c>
      <c r="I659" s="161"/>
      <c r="J659" s="161">
        <v>580</v>
      </c>
      <c r="K659" s="159">
        <f>K658+I659-J659</f>
        <v>-876.62000000034459</v>
      </c>
    </row>
    <row r="660" spans="1:11" ht="15">
      <c r="A660" s="54" t="str">
        <f t="shared" si="25"/>
        <v>SERVICIOSNOMINA ADMONCEDIS</v>
      </c>
      <c r="B660" t="s">
        <v>2028</v>
      </c>
      <c r="C660" s="1">
        <v>45905</v>
      </c>
      <c r="D660" t="s">
        <v>21</v>
      </c>
      <c r="E660" t="s">
        <v>147</v>
      </c>
      <c r="F660" s="146" t="s">
        <v>28</v>
      </c>
      <c r="G660" s="146" t="s">
        <v>258</v>
      </c>
      <c r="H660" t="s">
        <v>3829</v>
      </c>
      <c r="I660" s="161"/>
      <c r="J660" s="161">
        <v>450</v>
      </c>
      <c r="K660" s="159">
        <f>K659+I660-J660</f>
        <v>-1326.6200000003446</v>
      </c>
    </row>
    <row r="661" spans="1:11" ht="15">
      <c r="A661" s="54" t="str">
        <f t="shared" si="25"/>
        <v>CAPVACACIONES/FINIQUITOSCAPRICHOS</v>
      </c>
      <c r="B661" t="s">
        <v>2028</v>
      </c>
      <c r="C661" s="1">
        <v>45906</v>
      </c>
      <c r="D661" t="s">
        <v>31</v>
      </c>
      <c r="E661" t="s">
        <v>190</v>
      </c>
      <c r="F661" s="146" t="s">
        <v>33</v>
      </c>
      <c r="G661" s="146"/>
      <c r="H661" t="s">
        <v>3830</v>
      </c>
      <c r="I661" s="161"/>
      <c r="J661" s="161">
        <v>1310</v>
      </c>
      <c r="K661" s="159">
        <f>K660+I661-J661</f>
        <v>-2636.6200000003446</v>
      </c>
    </row>
    <row r="662" spans="1:11" ht="15">
      <c r="A662" s="54" t="str">
        <f t="shared" si="25"/>
        <v/>
      </c>
      <c r="B662" t="s">
        <v>2028</v>
      </c>
      <c r="C662" s="1">
        <v>45908</v>
      </c>
      <c r="F662" s="146"/>
      <c r="G662" s="146"/>
      <c r="H662" t="s">
        <v>3472</v>
      </c>
      <c r="I662" s="161">
        <v>200000</v>
      </c>
      <c r="J662" s="161"/>
      <c r="K662" s="159">
        <f>K661+I662-J662</f>
        <v>197363.37999999966</v>
      </c>
    </row>
    <row r="663" spans="1:11" ht="15">
      <c r="A663" s="54" t="str">
        <f t="shared" si="25"/>
        <v>HRVACACIONES/FINIQUITOSHR</v>
      </c>
      <c r="B663" t="s">
        <v>2028</v>
      </c>
      <c r="C663" s="1">
        <v>45908</v>
      </c>
      <c r="D663" t="s">
        <v>29</v>
      </c>
      <c r="E663" t="s">
        <v>190</v>
      </c>
      <c r="F663" s="213" t="s">
        <v>29</v>
      </c>
      <c r="G663" s="146"/>
      <c r="H663" t="s">
        <v>3831</v>
      </c>
      <c r="I663" s="161"/>
      <c r="J663" s="161">
        <v>1776</v>
      </c>
      <c r="K663" s="159">
        <f>K662+I663-J663</f>
        <v>195587.37999999966</v>
      </c>
    </row>
    <row r="664" spans="1:11" ht="15">
      <c r="A664" s="54" t="str">
        <f t="shared" si="25"/>
        <v>CAPVACACIONES/FINIQUITOSCAPRICHOS</v>
      </c>
      <c r="B664" t="s">
        <v>2028</v>
      </c>
      <c r="C664" s="1">
        <v>45908</v>
      </c>
      <c r="D664" t="s">
        <v>31</v>
      </c>
      <c r="E664" t="s">
        <v>190</v>
      </c>
      <c r="F664" s="146" t="s">
        <v>33</v>
      </c>
      <c r="G664" s="146"/>
      <c r="H664" t="s">
        <v>3832</v>
      </c>
      <c r="I664" s="161"/>
      <c r="J664" s="161">
        <v>3895</v>
      </c>
      <c r="K664" s="159">
        <f>K663+I664-J664</f>
        <v>191692.37999999966</v>
      </c>
    </row>
    <row r="665" spans="1:11" ht="15">
      <c r="A665" s="54" t="str">
        <f t="shared" si="25"/>
        <v>CAPNOMINA ADMONCAPRICHOS</v>
      </c>
      <c r="B665" t="s">
        <v>2028</v>
      </c>
      <c r="C665" s="1">
        <v>45908</v>
      </c>
      <c r="D665" s="89" t="s">
        <v>31</v>
      </c>
      <c r="E665" s="14" t="s">
        <v>147</v>
      </c>
      <c r="F665" s="14" t="s">
        <v>33</v>
      </c>
      <c r="G665" s="236"/>
      <c r="H665" s="89" t="s">
        <v>3833</v>
      </c>
      <c r="I665" s="161"/>
      <c r="J665" s="161">
        <v>2128</v>
      </c>
      <c r="K665" s="159">
        <f>K664+I665-J665</f>
        <v>189564.37999999966</v>
      </c>
    </row>
    <row r="666" spans="1:11" ht="15">
      <c r="A666" s="54" t="str">
        <f t="shared" si="25"/>
        <v>SERVICIOSVACACIONES/FINIQUITOSSERVICIOS</v>
      </c>
      <c r="B666" t="s">
        <v>2028</v>
      </c>
      <c r="C666" s="1">
        <v>45908</v>
      </c>
      <c r="D666" t="s">
        <v>21</v>
      </c>
      <c r="E666" t="s">
        <v>190</v>
      </c>
      <c r="F666" s="146" t="s">
        <v>21</v>
      </c>
      <c r="G666" s="146"/>
      <c r="H666" t="s">
        <v>3834</v>
      </c>
      <c r="I666" s="161"/>
      <c r="J666" s="161">
        <v>3243</v>
      </c>
      <c r="K666" s="159">
        <f>K665+I666-J666</f>
        <v>186321.37999999966</v>
      </c>
    </row>
    <row r="667" spans="1:11" ht="15">
      <c r="A667" s="54" t="str">
        <f t="shared" si="25"/>
        <v/>
      </c>
      <c r="B667" t="s">
        <v>2028</v>
      </c>
      <c r="C667" s="1">
        <v>45909</v>
      </c>
      <c r="F667" s="146"/>
      <c r="G667" s="146"/>
      <c r="H667" t="s">
        <v>3472</v>
      </c>
      <c r="I667" s="161">
        <v>150000</v>
      </c>
      <c r="J667" s="161"/>
      <c r="K667" s="159">
        <f>K666+I667-J667</f>
        <v>336321.37999999966</v>
      </c>
    </row>
    <row r="668" spans="1:11" ht="15">
      <c r="A668" s="54" t="str">
        <f t="shared" si="25"/>
        <v>HRVACACIONES/FINIQUITOSHR</v>
      </c>
      <c r="B668" t="s">
        <v>2028</v>
      </c>
      <c r="C668" s="1">
        <v>45909</v>
      </c>
      <c r="D668" t="s">
        <v>29</v>
      </c>
      <c r="E668" t="s">
        <v>190</v>
      </c>
      <c r="F668" s="213" t="s">
        <v>29</v>
      </c>
      <c r="G668" s="146"/>
      <c r="H668" t="s">
        <v>3835</v>
      </c>
      <c r="I668" s="161"/>
      <c r="J668" s="161">
        <v>3360</v>
      </c>
      <c r="K668" s="159">
        <f>K667+I668-J668</f>
        <v>332961.37999999966</v>
      </c>
    </row>
    <row r="669" spans="1:11" ht="15">
      <c r="A669" s="54" t="str">
        <f t="shared" si="25"/>
        <v>CAPVACACIONES/FINIQUITOSCAPRICHOS</v>
      </c>
      <c r="B669" t="s">
        <v>2028</v>
      </c>
      <c r="C669" s="1">
        <v>45909</v>
      </c>
      <c r="D669" t="s">
        <v>31</v>
      </c>
      <c r="E669" t="s">
        <v>190</v>
      </c>
      <c r="F669" s="146" t="s">
        <v>33</v>
      </c>
      <c r="G669" s="146"/>
      <c r="H669" t="s">
        <v>3836</v>
      </c>
      <c r="I669" s="161"/>
      <c r="J669" s="161">
        <v>976</v>
      </c>
      <c r="K669" s="159">
        <f>K668+I669-J669</f>
        <v>331985.37999999966</v>
      </c>
    </row>
    <row r="670" spans="1:11" ht="15">
      <c r="A670" s="54" t="str">
        <f t="shared" si="25"/>
        <v/>
      </c>
      <c r="B670" t="s">
        <v>2028</v>
      </c>
      <c r="C670" s="1">
        <v>45910</v>
      </c>
      <c r="F670" s="146"/>
      <c r="G670" s="146"/>
      <c r="H670" t="s">
        <v>3472</v>
      </c>
      <c r="I670" s="81">
        <v>100000</v>
      </c>
      <c r="K670" s="159">
        <f>K669+I670-J670</f>
        <v>431985.37999999966</v>
      </c>
    </row>
    <row r="671" spans="1:11" ht="15">
      <c r="A671" s="54" t="str">
        <f t="shared" si="25"/>
        <v>CAPVACACIONES/FINIQUITOSCAPRICHOS</v>
      </c>
      <c r="B671" t="s">
        <v>2028</v>
      </c>
      <c r="C671" s="1">
        <v>45910</v>
      </c>
      <c r="D671" t="s">
        <v>31</v>
      </c>
      <c r="E671" t="s">
        <v>190</v>
      </c>
      <c r="F671" s="146" t="s">
        <v>33</v>
      </c>
      <c r="G671" s="146"/>
      <c r="H671" t="s">
        <v>3837</v>
      </c>
      <c r="I671" s="161"/>
      <c r="J671" s="161">
        <v>850</v>
      </c>
      <c r="K671" s="159">
        <f>K670+I671-J671</f>
        <v>431135.37999999966</v>
      </c>
    </row>
    <row r="672" spans="1:11" ht="15">
      <c r="A672" s="54" t="str">
        <f t="shared" si="25"/>
        <v/>
      </c>
      <c r="B672" t="s">
        <v>2028</v>
      </c>
      <c r="C672" s="1">
        <v>45911</v>
      </c>
      <c r="F672" s="146"/>
      <c r="G672" s="146"/>
      <c r="H672" t="s">
        <v>3472</v>
      </c>
      <c r="I672" s="81">
        <v>150000</v>
      </c>
      <c r="K672" s="159">
        <f>K671+I672-J672</f>
        <v>581135.37999999966</v>
      </c>
    </row>
    <row r="673" spans="1:11" ht="15">
      <c r="A673" s="54" t="str">
        <f t="shared" si="25"/>
        <v/>
      </c>
      <c r="B673" t="s">
        <v>2028</v>
      </c>
      <c r="C673" s="1">
        <v>45911</v>
      </c>
      <c r="F673" s="146"/>
      <c r="G673" s="146"/>
      <c r="H673" t="s">
        <v>3466</v>
      </c>
      <c r="I673" s="161">
        <v>21415.4</v>
      </c>
      <c r="J673" s="161"/>
      <c r="K673" s="159">
        <f>K672+I673-J673</f>
        <v>602550.77999999968</v>
      </c>
    </row>
    <row r="674" spans="1:11" ht="15">
      <c r="A674" s="54" t="str">
        <f t="shared" si="25"/>
        <v/>
      </c>
      <c r="B674" t="s">
        <v>2028</v>
      </c>
      <c r="C674" s="1">
        <v>45911</v>
      </c>
      <c r="F674" s="146"/>
      <c r="G674" s="146"/>
      <c r="H674" t="s">
        <v>3468</v>
      </c>
      <c r="I674" s="161">
        <v>4255.6000000000004</v>
      </c>
      <c r="J674" s="161"/>
      <c r="K674" s="159">
        <f>K673+I674-J674</f>
        <v>606806.37999999966</v>
      </c>
    </row>
    <row r="675" spans="1:11" ht="15">
      <c r="A675" s="54" t="str">
        <f t="shared" si="25"/>
        <v/>
      </c>
      <c r="B675" t="s">
        <v>2028</v>
      </c>
      <c r="C675" s="1">
        <v>45911</v>
      </c>
      <c r="F675" s="146"/>
      <c r="G675" s="146"/>
      <c r="H675" t="s">
        <v>3467</v>
      </c>
      <c r="I675" s="161">
        <v>7874</v>
      </c>
      <c r="J675" s="161"/>
      <c r="K675" s="159">
        <f>K674+I675-J675</f>
        <v>614680.37999999966</v>
      </c>
    </row>
    <row r="676" spans="1:11" ht="15">
      <c r="A676" s="54" t="str">
        <f t="shared" si="25"/>
        <v/>
      </c>
      <c r="B676" t="s">
        <v>2028</v>
      </c>
      <c r="C676" s="1">
        <v>45911</v>
      </c>
      <c r="F676" s="146"/>
      <c r="G676" s="146"/>
      <c r="H676" t="s">
        <v>3603</v>
      </c>
      <c r="I676" s="161"/>
      <c r="J676" s="161">
        <v>171950</v>
      </c>
      <c r="K676" s="159">
        <f>K675+I676-J676</f>
        <v>442730.37999999966</v>
      </c>
    </row>
    <row r="677" spans="1:11" ht="15">
      <c r="A677" s="54" t="str">
        <f t="shared" si="25"/>
        <v/>
      </c>
      <c r="B677" t="s">
        <v>2028</v>
      </c>
      <c r="C677" s="1">
        <v>45911</v>
      </c>
      <c r="F677" s="146"/>
      <c r="G677" s="146"/>
      <c r="H677" t="s">
        <v>3547</v>
      </c>
      <c r="I677" s="161"/>
      <c r="J677" s="161">
        <v>557753.57999999996</v>
      </c>
      <c r="K677" s="159">
        <f>K676+I677-J677</f>
        <v>-115023.2000000003</v>
      </c>
    </row>
    <row r="678" spans="1:11" ht="15">
      <c r="A678" s="54" t="str">
        <f t="shared" si="25"/>
        <v/>
      </c>
      <c r="B678" t="s">
        <v>2028</v>
      </c>
      <c r="C678" s="1">
        <v>45911</v>
      </c>
      <c r="F678" s="146"/>
      <c r="G678" s="146"/>
      <c r="H678" t="s">
        <v>3537</v>
      </c>
      <c r="I678" s="161"/>
      <c r="J678" s="161">
        <v>50400</v>
      </c>
      <c r="K678" s="159">
        <f>K677+I678-J678</f>
        <v>-165423.2000000003</v>
      </c>
    </row>
    <row r="679" spans="1:11" ht="15">
      <c r="A679" s="54" t="str">
        <f t="shared" si="25"/>
        <v>CAPVACACIONES/FINIQUITOSCAPRICHOS</v>
      </c>
      <c r="B679" t="s">
        <v>2028</v>
      </c>
      <c r="C679" s="1">
        <v>45911</v>
      </c>
      <c r="D679" t="s">
        <v>31</v>
      </c>
      <c r="E679" t="s">
        <v>190</v>
      </c>
      <c r="F679" s="146" t="s">
        <v>33</v>
      </c>
      <c r="G679" s="146"/>
      <c r="H679" t="s">
        <v>3838</v>
      </c>
      <c r="I679" s="161"/>
      <c r="J679" s="161">
        <v>9000</v>
      </c>
      <c r="K679" s="159">
        <f>K678+I679-J679</f>
        <v>-174423.2000000003</v>
      </c>
    </row>
    <row r="680" spans="1:11" ht="15">
      <c r="A680" s="54" t="str">
        <f t="shared" si="25"/>
        <v/>
      </c>
      <c r="B680" t="s">
        <v>2028</v>
      </c>
      <c r="C680" s="1">
        <v>45912</v>
      </c>
      <c r="F680" s="146"/>
      <c r="G680" s="146"/>
      <c r="H680" t="s">
        <v>3472</v>
      </c>
      <c r="I680" s="161">
        <v>172000</v>
      </c>
      <c r="J680" s="161"/>
      <c r="K680" s="159">
        <f>K679+I680-J680</f>
        <v>-2423.2000000003027</v>
      </c>
    </row>
    <row r="681" spans="1:11" ht="15">
      <c r="A681" s="54" t="str">
        <f t="shared" si="25"/>
        <v>ELIVACACIONES/FINIQUITOSL1</v>
      </c>
      <c r="B681" t="s">
        <v>2028</v>
      </c>
      <c r="C681" s="1">
        <v>45912</v>
      </c>
      <c r="D681" t="s">
        <v>130</v>
      </c>
      <c r="E681" t="s">
        <v>190</v>
      </c>
      <c r="F681" s="146" t="s">
        <v>136</v>
      </c>
      <c r="G681" s="146"/>
      <c r="H681" t="s">
        <v>3839</v>
      </c>
      <c r="I681" s="161"/>
      <c r="J681" s="161">
        <v>400</v>
      </c>
      <c r="K681" s="159">
        <f>K680+I681-J681</f>
        <v>-2823.2000000003027</v>
      </c>
    </row>
    <row r="682" spans="1:11" ht="15">
      <c r="A682" s="54" t="str">
        <f t="shared" si="25"/>
        <v>ELINOMINA SUCURSALL1</v>
      </c>
      <c r="B682" t="s">
        <v>2028</v>
      </c>
      <c r="C682" s="1">
        <v>45912</v>
      </c>
      <c r="D682" t="s">
        <v>130</v>
      </c>
      <c r="E682" t="s">
        <v>154</v>
      </c>
      <c r="F682" s="146" t="s">
        <v>136</v>
      </c>
      <c r="G682" s="146"/>
      <c r="H682" t="s">
        <v>3840</v>
      </c>
      <c r="I682" s="161"/>
      <c r="J682" s="161">
        <v>200</v>
      </c>
      <c r="K682" s="159">
        <f>K681+I682-J682</f>
        <v>-3023.2000000003027</v>
      </c>
    </row>
    <row r="683" spans="1:11" ht="15">
      <c r="A683" s="54" t="str">
        <f t="shared" si="25"/>
        <v>CAPVACACIONES/FINIQUITOSCAPRICHOS</v>
      </c>
      <c r="B683" t="s">
        <v>2028</v>
      </c>
      <c r="C683" s="1">
        <v>45912</v>
      </c>
      <c r="D683" t="s">
        <v>31</v>
      </c>
      <c r="E683" t="s">
        <v>190</v>
      </c>
      <c r="F683" s="146" t="s">
        <v>33</v>
      </c>
      <c r="G683" s="146"/>
      <c r="H683" t="s">
        <v>3841</v>
      </c>
      <c r="I683" s="161"/>
      <c r="J683" s="161">
        <v>1356</v>
      </c>
      <c r="K683" s="159">
        <f>K682+I683-J683</f>
        <v>-4379.2000000003027</v>
      </c>
    </row>
    <row r="684" spans="1:11" ht="15">
      <c r="A684" s="54" t="str">
        <f t="shared" si="25"/>
        <v/>
      </c>
      <c r="B684" t="s">
        <v>2028</v>
      </c>
      <c r="C684" s="1">
        <v>45912</v>
      </c>
      <c r="F684" s="146"/>
      <c r="G684" s="146"/>
      <c r="H684" t="s">
        <v>3472</v>
      </c>
      <c r="I684" s="161">
        <v>200000</v>
      </c>
      <c r="J684" s="161"/>
      <c r="K684" s="159">
        <f>K683+I684-J684</f>
        <v>195620.7999999997</v>
      </c>
    </row>
    <row r="685" spans="1:11" ht="15">
      <c r="A685" s="54" t="str">
        <f t="shared" si="25"/>
        <v>CAPVACACIONES/FINIQUITOSCAPRICHOS</v>
      </c>
      <c r="B685" t="s">
        <v>2028</v>
      </c>
      <c r="C685" s="1">
        <v>45915</v>
      </c>
      <c r="D685" t="s">
        <v>31</v>
      </c>
      <c r="E685" t="s">
        <v>190</v>
      </c>
      <c r="F685" s="146" t="s">
        <v>33</v>
      </c>
      <c r="G685" s="146"/>
      <c r="H685" t="s">
        <v>3842</v>
      </c>
      <c r="I685" s="161"/>
      <c r="J685" s="161">
        <v>1856</v>
      </c>
      <c r="K685" s="159">
        <f>K684+I685-J685</f>
        <v>193764.7999999997</v>
      </c>
    </row>
    <row r="686" spans="1:11" ht="15">
      <c r="A686" s="54" t="str">
        <f t="shared" si="25"/>
        <v>CAPVACACIONES/FINIQUITOSCAPRICHOS</v>
      </c>
      <c r="B686" t="s">
        <v>2028</v>
      </c>
      <c r="C686" s="1">
        <v>45915</v>
      </c>
      <c r="D686" t="s">
        <v>31</v>
      </c>
      <c r="E686" t="s">
        <v>190</v>
      </c>
      <c r="F686" s="146" t="s">
        <v>33</v>
      </c>
      <c r="G686" s="146"/>
      <c r="H686" t="s">
        <v>3843</v>
      </c>
      <c r="I686" s="161"/>
      <c r="J686" s="161">
        <v>776</v>
      </c>
      <c r="K686" s="159">
        <f>K685+I686-J686</f>
        <v>192988.7999999997</v>
      </c>
    </row>
    <row r="687" spans="1:11" ht="15">
      <c r="A687" s="54" t="str">
        <f t="shared" si="25"/>
        <v>HRVACACIONES/FINIQUITOSHR</v>
      </c>
      <c r="B687" t="s">
        <v>2028</v>
      </c>
      <c r="C687" s="1">
        <v>45915</v>
      </c>
      <c r="D687" t="s">
        <v>29</v>
      </c>
      <c r="E687" t="s">
        <v>190</v>
      </c>
      <c r="F687" s="213" t="s">
        <v>29</v>
      </c>
      <c r="G687" s="146"/>
      <c r="H687" t="s">
        <v>3844</v>
      </c>
      <c r="I687" s="161"/>
      <c r="J687" s="161">
        <v>900</v>
      </c>
      <c r="K687" s="159">
        <f>K686+I687-J687</f>
        <v>192088.7999999997</v>
      </c>
    </row>
    <row r="688" spans="1:11" ht="15">
      <c r="A688" s="54" t="str">
        <f t="shared" si="25"/>
        <v>HRVACACIONES/FINIQUITOSHR</v>
      </c>
      <c r="B688" t="s">
        <v>2028</v>
      </c>
      <c r="C688" s="1">
        <v>45915</v>
      </c>
      <c r="D688" t="s">
        <v>29</v>
      </c>
      <c r="E688" t="s">
        <v>190</v>
      </c>
      <c r="F688" s="213" t="s">
        <v>29</v>
      </c>
      <c r="G688" s="146"/>
      <c r="H688" t="s">
        <v>3845</v>
      </c>
      <c r="I688" s="161"/>
      <c r="J688" s="161">
        <v>2527</v>
      </c>
      <c r="K688" s="159">
        <f>K687+I688-J688</f>
        <v>189561.7999999997</v>
      </c>
    </row>
    <row r="689" spans="1:11" ht="15">
      <c r="A689" s="54" t="str">
        <f t="shared" si="25"/>
        <v>SERVICIOSNOMINA SUCURSALCEDIS</v>
      </c>
      <c r="B689" t="s">
        <v>2028</v>
      </c>
      <c r="C689" s="1">
        <v>45915</v>
      </c>
      <c r="D689" t="s">
        <v>21</v>
      </c>
      <c r="E689" t="s">
        <v>154</v>
      </c>
      <c r="F689" s="146" t="s">
        <v>28</v>
      </c>
      <c r="G689" s="146"/>
      <c r="H689" t="s">
        <v>3846</v>
      </c>
      <c r="I689" s="161"/>
      <c r="J689" s="161">
        <v>400</v>
      </c>
      <c r="K689" s="159">
        <f>K688+I689-J689</f>
        <v>189161.7999999997</v>
      </c>
    </row>
    <row r="690" spans="1:11" ht="15">
      <c r="A690" s="54" t="str">
        <f t="shared" si="25"/>
        <v>FINANZASOTROS GASTOSPRESTAMO</v>
      </c>
      <c r="B690" t="s">
        <v>2028</v>
      </c>
      <c r="C690" s="1">
        <v>45915</v>
      </c>
      <c r="D690" t="s">
        <v>23</v>
      </c>
      <c r="E690" t="s">
        <v>156</v>
      </c>
      <c r="F690" s="146" t="s">
        <v>157</v>
      </c>
      <c r="G690" s="146"/>
      <c r="H690" t="s">
        <v>3847</v>
      </c>
      <c r="I690" s="161"/>
      <c r="J690" s="161">
        <v>2500</v>
      </c>
      <c r="K690" s="159">
        <f>K689+I690-J690</f>
        <v>186661.7999999997</v>
      </c>
    </row>
    <row r="691" spans="1:11" ht="15">
      <c r="A691" s="54" t="str">
        <f t="shared" si="25"/>
        <v/>
      </c>
      <c r="B691" t="s">
        <v>2028</v>
      </c>
      <c r="C691" s="1">
        <v>45917</v>
      </c>
      <c r="F691" s="146"/>
      <c r="G691" s="146"/>
      <c r="H691" t="s">
        <v>3472</v>
      </c>
      <c r="I691" s="161">
        <v>200000</v>
      </c>
      <c r="J691" s="161"/>
      <c r="K691" s="159">
        <f>K690+I691-J691</f>
        <v>386661.7999999997</v>
      </c>
    </row>
    <row r="692" spans="1:11" ht="15">
      <c r="A692" s="54" t="str">
        <f t="shared" si="25"/>
        <v/>
      </c>
      <c r="B692" t="s">
        <v>2028</v>
      </c>
      <c r="C692" s="1">
        <v>45918</v>
      </c>
      <c r="F692" s="146"/>
      <c r="G692" s="146"/>
      <c r="H692" t="s">
        <v>3472</v>
      </c>
      <c r="I692" s="161">
        <v>150000</v>
      </c>
      <c r="J692" s="161"/>
      <c r="K692" s="159">
        <f>K691+I692-J692</f>
        <v>536661.7999999997</v>
      </c>
    </row>
    <row r="693" spans="1:11" ht="15">
      <c r="A693" s="54" t="str">
        <f t="shared" si="25"/>
        <v>HRVACACIONES/FINIQUITOSHR</v>
      </c>
      <c r="B693" t="s">
        <v>2028</v>
      </c>
      <c r="C693" s="1">
        <v>45918</v>
      </c>
      <c r="D693" t="s">
        <v>29</v>
      </c>
      <c r="E693" t="s">
        <v>190</v>
      </c>
      <c r="F693" s="213" t="s">
        <v>29</v>
      </c>
      <c r="G693" s="146"/>
      <c r="H693" t="s">
        <v>3848</v>
      </c>
      <c r="I693" s="161"/>
      <c r="J693" s="161">
        <v>726</v>
      </c>
      <c r="K693" s="159">
        <f>K692+I693-J693</f>
        <v>535935.7999999997</v>
      </c>
    </row>
    <row r="694" spans="1:11" ht="15">
      <c r="A694" s="54" t="str">
        <f t="shared" si="25"/>
        <v>SERVICIOSVACACIONES/FINIQUITOSSERVICIOS</v>
      </c>
      <c r="B694" t="s">
        <v>2028</v>
      </c>
      <c r="C694" s="1">
        <v>45918</v>
      </c>
      <c r="D694" t="s">
        <v>21</v>
      </c>
      <c r="E694" t="s">
        <v>190</v>
      </c>
      <c r="F694" s="146" t="s">
        <v>21</v>
      </c>
      <c r="G694" s="146"/>
      <c r="H694" t="s">
        <v>3849</v>
      </c>
      <c r="I694" s="161"/>
      <c r="J694" s="161">
        <v>857</v>
      </c>
      <c r="K694" s="159">
        <f>K693+I694-J694</f>
        <v>535078.7999999997</v>
      </c>
    </row>
    <row r="695" spans="1:11" ht="15">
      <c r="A695" s="54" t="str">
        <f t="shared" si="25"/>
        <v>HRVACACIONES/FINIQUITOSHR</v>
      </c>
      <c r="B695" t="s">
        <v>2028</v>
      </c>
      <c r="C695" s="1">
        <v>45918</v>
      </c>
      <c r="D695" t="s">
        <v>29</v>
      </c>
      <c r="E695" t="s">
        <v>190</v>
      </c>
      <c r="F695" s="213" t="s">
        <v>29</v>
      </c>
      <c r="G695" s="146"/>
      <c r="H695" t="s">
        <v>3850</v>
      </c>
      <c r="I695" s="161"/>
      <c r="J695" s="161">
        <v>1700</v>
      </c>
      <c r="K695" s="159">
        <f>K694+I695-J695</f>
        <v>533378.7999999997</v>
      </c>
    </row>
    <row r="696" spans="1:11" ht="15">
      <c r="A696" s="54" t="str">
        <f t="shared" si="25"/>
        <v/>
      </c>
      <c r="B696" t="s">
        <v>2028</v>
      </c>
      <c r="C696" s="1">
        <v>45919</v>
      </c>
      <c r="F696" s="146"/>
      <c r="G696" s="146"/>
      <c r="H696" t="s">
        <v>3472</v>
      </c>
      <c r="I696" s="161">
        <v>200000</v>
      </c>
      <c r="J696" s="161"/>
      <c r="K696" s="159">
        <f>K695+I696-J696</f>
        <v>733378.7999999997</v>
      </c>
    </row>
    <row r="697" spans="1:11" ht="15">
      <c r="A697" s="54" t="str">
        <f t="shared" si="25"/>
        <v/>
      </c>
      <c r="B697" t="s">
        <v>2028</v>
      </c>
      <c r="C697" s="1">
        <v>45919</v>
      </c>
      <c r="F697" s="146"/>
      <c r="G697" s="146"/>
      <c r="H697" t="s">
        <v>3466</v>
      </c>
      <c r="I697" s="161">
        <v>21710.97</v>
      </c>
      <c r="J697" s="161"/>
      <c r="K697" s="159">
        <f>K696+I697-J697</f>
        <v>755089.76999999967</v>
      </c>
    </row>
    <row r="698" spans="1:11" ht="15">
      <c r="A698" s="54" t="str">
        <f t="shared" si="25"/>
        <v/>
      </c>
      <c r="B698" t="s">
        <v>2028</v>
      </c>
      <c r="C698" s="1">
        <v>45919</v>
      </c>
      <c r="F698" s="146"/>
      <c r="G698" s="146"/>
      <c r="H698" t="s">
        <v>3468</v>
      </c>
      <c r="I698" s="161">
        <v>3769.2</v>
      </c>
      <c r="J698" s="161"/>
      <c r="K698" s="159">
        <f>K697+I698-J698</f>
        <v>758858.96999999962</v>
      </c>
    </row>
    <row r="699" spans="1:11" ht="15">
      <c r="A699" s="54" t="str">
        <f t="shared" si="25"/>
        <v/>
      </c>
      <c r="B699" t="s">
        <v>2028</v>
      </c>
      <c r="C699" s="1">
        <v>45919</v>
      </c>
      <c r="F699" s="146"/>
      <c r="G699" s="146"/>
      <c r="H699" t="s">
        <v>3467</v>
      </c>
      <c r="I699" s="161">
        <v>7874.94</v>
      </c>
      <c r="J699" s="161"/>
      <c r="K699" s="159">
        <f>K698+I699-J699</f>
        <v>766733.90999999957</v>
      </c>
    </row>
    <row r="700" spans="1:11" ht="15">
      <c r="A700" s="54" t="str">
        <f t="shared" si="25"/>
        <v/>
      </c>
      <c r="B700" t="s">
        <v>2028</v>
      </c>
      <c r="C700" s="1">
        <v>45919</v>
      </c>
      <c r="F700" s="146"/>
      <c r="G700" s="146"/>
      <c r="H700" t="s">
        <v>3547</v>
      </c>
      <c r="I700" s="161"/>
      <c r="J700" s="161">
        <v>573864.4</v>
      </c>
      <c r="K700" s="159">
        <f>K699+I700-J700</f>
        <v>192869.50999999954</v>
      </c>
    </row>
    <row r="701" spans="1:11" ht="15">
      <c r="A701" s="54" t="str">
        <f t="shared" si="25"/>
        <v/>
      </c>
      <c r="B701" t="s">
        <v>2028</v>
      </c>
      <c r="C701" s="1">
        <v>45919</v>
      </c>
      <c r="F701" s="146"/>
      <c r="G701" s="146"/>
      <c r="H701" t="s">
        <v>3812</v>
      </c>
      <c r="I701" s="161"/>
      <c r="J701" s="161">
        <v>180000</v>
      </c>
      <c r="K701" s="159">
        <f>K700+I701-J701</f>
        <v>12869.509999999544</v>
      </c>
    </row>
    <row r="702" spans="1:11" ht="15">
      <c r="A702" s="54" t="str">
        <f t="shared" si="25"/>
        <v/>
      </c>
      <c r="B702" t="s">
        <v>2028</v>
      </c>
      <c r="C702" s="1">
        <v>45919</v>
      </c>
      <c r="F702" s="146"/>
      <c r="G702" s="146"/>
      <c r="H702" t="s">
        <v>3851</v>
      </c>
      <c r="I702" s="161"/>
      <c r="J702" s="161">
        <v>37365</v>
      </c>
      <c r="K702" s="159">
        <f>K701+I702-J702</f>
        <v>-24495.490000000456</v>
      </c>
    </row>
    <row r="703" spans="1:11" ht="15">
      <c r="A703" s="54" t="str">
        <f t="shared" si="25"/>
        <v>HRVACACIONES/FINIQUITOSHR</v>
      </c>
      <c r="B703" t="s">
        <v>2028</v>
      </c>
      <c r="C703" s="1">
        <v>45919</v>
      </c>
      <c r="D703" t="s">
        <v>29</v>
      </c>
      <c r="E703" t="s">
        <v>190</v>
      </c>
      <c r="F703" s="213" t="s">
        <v>29</v>
      </c>
      <c r="G703" s="146"/>
      <c r="H703" t="s">
        <v>3852</v>
      </c>
      <c r="I703" s="161"/>
      <c r="J703" s="161">
        <v>5039</v>
      </c>
      <c r="K703" s="159">
        <f>K702+I703-J703</f>
        <v>-29534.490000000456</v>
      </c>
    </row>
    <row r="704" spans="1:11" ht="15">
      <c r="A704" s="54" t="str">
        <f t="shared" si="25"/>
        <v>CAPVACACIONES/FINIQUITOSCAPRICHOS</v>
      </c>
      <c r="B704" t="s">
        <v>2028</v>
      </c>
      <c r="C704" s="1">
        <v>45919</v>
      </c>
      <c r="D704" t="s">
        <v>31</v>
      </c>
      <c r="E704" t="s">
        <v>190</v>
      </c>
      <c r="F704" s="146" t="s">
        <v>33</v>
      </c>
      <c r="G704" s="146"/>
      <c r="H704" t="s">
        <v>3853</v>
      </c>
      <c r="I704" s="161"/>
      <c r="J704" s="161">
        <v>3649</v>
      </c>
      <c r="K704" s="159">
        <f>K703+I704-J704</f>
        <v>-33183.490000000456</v>
      </c>
    </row>
    <row r="705" spans="1:11" ht="15">
      <c r="A705" s="54" t="str">
        <f t="shared" si="25"/>
        <v>HRVACACIONES/FINIQUITOSHR</v>
      </c>
      <c r="B705" t="s">
        <v>2028</v>
      </c>
      <c r="C705" s="1">
        <v>45919</v>
      </c>
      <c r="D705" t="s">
        <v>29</v>
      </c>
      <c r="E705" t="s">
        <v>190</v>
      </c>
      <c r="F705" s="213" t="s">
        <v>29</v>
      </c>
      <c r="G705" s="146"/>
      <c r="H705" t="s">
        <v>3854</v>
      </c>
      <c r="I705" s="161"/>
      <c r="J705" s="161">
        <v>3850</v>
      </c>
      <c r="K705" s="159">
        <f>K704+I705-J705</f>
        <v>-37033.490000000456</v>
      </c>
    </row>
    <row r="706" spans="1:11" ht="15">
      <c r="A706" s="54" t="str">
        <f t="shared" si="25"/>
        <v>HRVACACIONES/FINIQUITOSHR</v>
      </c>
      <c r="B706" t="s">
        <v>2028</v>
      </c>
      <c r="C706" s="1">
        <v>45919</v>
      </c>
      <c r="D706" t="s">
        <v>29</v>
      </c>
      <c r="E706" t="s">
        <v>190</v>
      </c>
      <c r="F706" s="213" t="s">
        <v>29</v>
      </c>
      <c r="G706" s="146"/>
      <c r="H706" t="s">
        <v>3855</v>
      </c>
      <c r="I706" s="161"/>
      <c r="J706" s="161">
        <v>2275</v>
      </c>
      <c r="K706" s="159">
        <f>K705+I706-J706</f>
        <v>-39308.490000000456</v>
      </c>
    </row>
    <row r="707" spans="1:11" ht="15">
      <c r="A707" s="54" t="str">
        <f t="shared" si="25"/>
        <v>HRVACACIONES/FINIQUITOSHR</v>
      </c>
      <c r="B707" t="s">
        <v>2028</v>
      </c>
      <c r="C707" s="1">
        <v>45919</v>
      </c>
      <c r="D707" t="s">
        <v>29</v>
      </c>
      <c r="E707" t="s">
        <v>190</v>
      </c>
      <c r="F707" s="213" t="s">
        <v>29</v>
      </c>
      <c r="G707" s="146"/>
      <c r="H707" t="s">
        <v>3856</v>
      </c>
      <c r="I707" s="161"/>
      <c r="J707" s="161">
        <v>1400</v>
      </c>
      <c r="K707" s="159">
        <f>K706+I707-J707</f>
        <v>-40708.490000000456</v>
      </c>
    </row>
    <row r="708" spans="1:11" ht="15">
      <c r="A708" s="54" t="str">
        <f t="shared" si="25"/>
        <v>SERVICIOSNOMINA SUCURSALCEDIS</v>
      </c>
      <c r="B708" t="s">
        <v>2028</v>
      </c>
      <c r="C708" s="1">
        <v>45919</v>
      </c>
      <c r="D708" s="229" t="s">
        <v>21</v>
      </c>
      <c r="E708" s="229" t="s">
        <v>154</v>
      </c>
      <c r="F708" s="146" t="s">
        <v>28</v>
      </c>
      <c r="G708" s="146"/>
      <c r="H708" s="229" t="s">
        <v>3857</v>
      </c>
      <c r="I708" s="161"/>
      <c r="J708" s="161">
        <v>400</v>
      </c>
      <c r="K708" s="159">
        <f>K707+I708-J708</f>
        <v>-41108.490000000456</v>
      </c>
    </row>
    <row r="709" spans="1:11" ht="15">
      <c r="A709" s="54" t="str">
        <f t="shared" ref="A709:A772" si="26">D709&amp;E709&amp;F709</f>
        <v>HRNOMINA SUCURSALA11</v>
      </c>
      <c r="B709" t="s">
        <v>2028</v>
      </c>
      <c r="C709" s="1">
        <v>45920</v>
      </c>
      <c r="D709" s="229" t="s">
        <v>29</v>
      </c>
      <c r="E709" s="229" t="s">
        <v>154</v>
      </c>
      <c r="F709" s="146" t="s">
        <v>97</v>
      </c>
      <c r="G709" s="146"/>
      <c r="H709" s="229" t="s">
        <v>3858</v>
      </c>
      <c r="I709" s="161"/>
      <c r="J709" s="161">
        <v>1115</v>
      </c>
      <c r="K709" s="159">
        <f>K708+I709-J709</f>
        <v>-42223.490000000456</v>
      </c>
    </row>
    <row r="710" spans="1:11" ht="15">
      <c r="A710" s="54" t="str">
        <f t="shared" si="26"/>
        <v/>
      </c>
      <c r="B710" t="s">
        <v>2028</v>
      </c>
      <c r="C710" s="1">
        <v>45922</v>
      </c>
      <c r="F710" s="146"/>
      <c r="G710" s="146"/>
      <c r="H710" t="s">
        <v>3472</v>
      </c>
      <c r="I710" s="81">
        <v>200000</v>
      </c>
      <c r="K710" s="159">
        <f>K709+I710-J710</f>
        <v>157776.50999999954</v>
      </c>
    </row>
    <row r="711" spans="1:11" ht="15">
      <c r="A711" s="54" t="str">
        <f t="shared" si="26"/>
        <v>SERVICIOSVACACIONES/FINIQUITOSSERVICIOS</v>
      </c>
      <c r="B711" t="s">
        <v>2028</v>
      </c>
      <c r="C711" s="1">
        <v>45922</v>
      </c>
      <c r="D711" s="229" t="s">
        <v>21</v>
      </c>
      <c r="E711" s="229" t="s">
        <v>190</v>
      </c>
      <c r="F711" s="146" t="s">
        <v>21</v>
      </c>
      <c r="G711" s="146"/>
      <c r="H711" s="229" t="s">
        <v>3859</v>
      </c>
      <c r="I711" s="161"/>
      <c r="J711" s="161">
        <v>3937</v>
      </c>
      <c r="K711" s="159">
        <f>K710+I711-J711</f>
        <v>153839.50999999954</v>
      </c>
    </row>
    <row r="712" spans="1:11" ht="15">
      <c r="A712" s="54" t="str">
        <f t="shared" si="26"/>
        <v/>
      </c>
      <c r="B712" t="s">
        <v>2028</v>
      </c>
      <c r="C712" s="1">
        <v>45923</v>
      </c>
      <c r="F712" s="146"/>
      <c r="G712" s="146"/>
      <c r="H712" t="s">
        <v>3472</v>
      </c>
      <c r="I712" s="161">
        <v>150000</v>
      </c>
      <c r="J712" s="161"/>
      <c r="K712" s="159">
        <f>K711+I712-J712</f>
        <v>303839.50999999954</v>
      </c>
    </row>
    <row r="713" spans="1:11" ht="15">
      <c r="A713" s="54" t="str">
        <f t="shared" si="26"/>
        <v>CAPVACACIONES/FINIQUITOSCAPRICHOS</v>
      </c>
      <c r="B713" t="s">
        <v>2028</v>
      </c>
      <c r="C713" s="1">
        <v>45923</v>
      </c>
      <c r="D713" s="229" t="s">
        <v>31</v>
      </c>
      <c r="E713" s="229" t="s">
        <v>190</v>
      </c>
      <c r="F713" s="146" t="s">
        <v>33</v>
      </c>
      <c r="G713" s="146"/>
      <c r="H713" s="229" t="s">
        <v>3860</v>
      </c>
      <c r="I713" s="161"/>
      <c r="J713" s="161">
        <v>7973</v>
      </c>
      <c r="K713" s="159">
        <f>K712+I713-J713</f>
        <v>295866.50999999954</v>
      </c>
    </row>
    <row r="714" spans="1:11" ht="15">
      <c r="A714" s="54" t="str">
        <f t="shared" si="26"/>
        <v/>
      </c>
      <c r="B714" t="s">
        <v>2028</v>
      </c>
      <c r="C714" s="1">
        <v>45924</v>
      </c>
      <c r="F714" s="146"/>
      <c r="G714" s="146"/>
      <c r="H714" t="s">
        <v>3472</v>
      </c>
      <c r="I714" s="161">
        <v>120000</v>
      </c>
      <c r="J714" s="161"/>
      <c r="K714" s="159">
        <f>K713+I714-J714</f>
        <v>415866.50999999954</v>
      </c>
    </row>
    <row r="715" spans="1:11" ht="15">
      <c r="A715" s="54" t="str">
        <f t="shared" si="26"/>
        <v/>
      </c>
      <c r="B715" t="s">
        <v>2028</v>
      </c>
      <c r="C715" s="1">
        <v>45925</v>
      </c>
      <c r="F715" s="146"/>
      <c r="G715" s="146"/>
      <c r="H715" t="s">
        <v>3472</v>
      </c>
      <c r="I715" s="161">
        <v>150000</v>
      </c>
      <c r="J715" s="161"/>
      <c r="K715" s="159">
        <f>K714+I715-J715</f>
        <v>565866.50999999954</v>
      </c>
    </row>
    <row r="716" spans="1:11" ht="15">
      <c r="A716" s="54" t="str">
        <f t="shared" si="26"/>
        <v/>
      </c>
      <c r="B716" t="s">
        <v>2028</v>
      </c>
      <c r="C716" s="1">
        <v>45925</v>
      </c>
      <c r="F716" s="146"/>
      <c r="G716" s="146"/>
      <c r="H716" t="s">
        <v>3466</v>
      </c>
      <c r="I716" s="161">
        <v>21415.200000000001</v>
      </c>
      <c r="J716" s="161"/>
      <c r="K716" s="159">
        <f>K715+I716-J716</f>
        <v>587281.7099999995</v>
      </c>
    </row>
    <row r="717" spans="1:11" ht="15">
      <c r="A717" s="54" t="str">
        <f t="shared" si="26"/>
        <v/>
      </c>
      <c r="B717" t="s">
        <v>2028</v>
      </c>
      <c r="C717" s="1">
        <v>45925</v>
      </c>
      <c r="F717" s="146"/>
      <c r="G717" s="146"/>
      <c r="H717" t="s">
        <v>3468</v>
      </c>
      <c r="I717" s="161">
        <v>2578</v>
      </c>
      <c r="J717" s="161"/>
      <c r="K717" s="159">
        <f>K716+I717-J717</f>
        <v>589859.7099999995</v>
      </c>
    </row>
    <row r="718" spans="1:11" ht="15">
      <c r="A718" s="54" t="str">
        <f t="shared" si="26"/>
        <v/>
      </c>
      <c r="B718" t="s">
        <v>2028</v>
      </c>
      <c r="C718" s="1">
        <v>45925</v>
      </c>
      <c r="F718" s="146"/>
      <c r="G718" s="146"/>
      <c r="H718" t="s">
        <v>3467</v>
      </c>
      <c r="I718" s="161">
        <v>7874.94</v>
      </c>
      <c r="J718" s="161"/>
      <c r="K718" s="159">
        <f>K717+I718-J718</f>
        <v>597734.64999999944</v>
      </c>
    </row>
    <row r="719" spans="1:11" ht="15">
      <c r="A719" s="54" t="str">
        <f t="shared" si="26"/>
        <v/>
      </c>
      <c r="B719" t="s">
        <v>2028</v>
      </c>
      <c r="C719" s="1">
        <v>45925</v>
      </c>
      <c r="F719" s="146"/>
      <c r="G719" s="146"/>
      <c r="H719" t="s">
        <v>3603</v>
      </c>
      <c r="I719" s="161"/>
      <c r="J719" s="161">
        <v>264650.40000000002</v>
      </c>
      <c r="K719" s="159">
        <f>K718+I719-J719</f>
        <v>333084.24999999942</v>
      </c>
    </row>
    <row r="720" spans="1:11" ht="15">
      <c r="A720" s="54" t="str">
        <f t="shared" si="26"/>
        <v/>
      </c>
      <c r="B720" t="s">
        <v>2028</v>
      </c>
      <c r="C720" s="1">
        <v>45925</v>
      </c>
      <c r="F720" s="146"/>
      <c r="G720" s="146"/>
      <c r="H720" t="s">
        <v>3547</v>
      </c>
      <c r="I720" s="161"/>
      <c r="J720" s="161">
        <v>569197</v>
      </c>
      <c r="K720" s="159">
        <f>K719+I720-J720</f>
        <v>-236112.75000000058</v>
      </c>
    </row>
    <row r="721" spans="1:11" ht="15">
      <c r="A721" s="54" t="str">
        <f t="shared" si="26"/>
        <v/>
      </c>
      <c r="B721" t="s">
        <v>2028</v>
      </c>
      <c r="C721" s="1">
        <v>45925</v>
      </c>
      <c r="F721" s="146"/>
      <c r="G721" s="146"/>
      <c r="H721" t="s">
        <v>3664</v>
      </c>
      <c r="I721" s="161"/>
      <c r="J721" s="161">
        <v>37560</v>
      </c>
      <c r="K721" s="159">
        <f>K720+I721-J721</f>
        <v>-273672.75000000058</v>
      </c>
    </row>
    <row r="722" spans="1:11" s="229" customFormat="1" ht="15">
      <c r="A722" s="54" t="str">
        <f t="shared" si="26"/>
        <v>CAPVACACIONES/FINIQUITOSCAPRICHOS</v>
      </c>
      <c r="B722" s="229" t="s">
        <v>2028</v>
      </c>
      <c r="C722" s="244">
        <v>45925</v>
      </c>
      <c r="D722" s="229" t="s">
        <v>31</v>
      </c>
      <c r="E722" s="229" t="s">
        <v>190</v>
      </c>
      <c r="F722" s="146" t="s">
        <v>33</v>
      </c>
      <c r="G722" s="146"/>
      <c r="H722" s="229" t="s">
        <v>3861</v>
      </c>
      <c r="I722" s="161"/>
      <c r="J722" s="161">
        <v>6356</v>
      </c>
      <c r="K722" s="159">
        <f>K721+I722-J722</f>
        <v>-280028.75000000058</v>
      </c>
    </row>
    <row r="723" spans="1:11" s="229" customFormat="1" ht="15">
      <c r="A723" s="54" t="str">
        <f t="shared" si="26"/>
        <v>HRVACACIONES/FINIQUITOSHR</v>
      </c>
      <c r="B723" s="229" t="s">
        <v>2028</v>
      </c>
      <c r="C723" s="244">
        <v>45925</v>
      </c>
      <c r="D723" s="229" t="s">
        <v>29</v>
      </c>
      <c r="E723" s="229" t="s">
        <v>190</v>
      </c>
      <c r="F723" s="213" t="s">
        <v>29</v>
      </c>
      <c r="G723" s="146"/>
      <c r="H723" s="229" t="s">
        <v>3862</v>
      </c>
      <c r="I723" s="161"/>
      <c r="J723" s="161">
        <v>1150</v>
      </c>
      <c r="K723" s="159">
        <f>K722+I723-J723</f>
        <v>-281178.75000000058</v>
      </c>
    </row>
    <row r="724" spans="1:11" ht="15">
      <c r="A724" s="54" t="str">
        <f t="shared" si="26"/>
        <v/>
      </c>
      <c r="B724" t="s">
        <v>2028</v>
      </c>
      <c r="C724" s="1">
        <v>45926</v>
      </c>
      <c r="F724" s="146"/>
      <c r="G724" s="146"/>
      <c r="H724" t="s">
        <v>3472</v>
      </c>
      <c r="I724" s="161">
        <v>279200</v>
      </c>
      <c r="J724" s="161"/>
      <c r="K724" s="159">
        <f>K723+I724-J724</f>
        <v>-1978.7500000005821</v>
      </c>
    </row>
    <row r="725" spans="1:11" ht="15">
      <c r="A725" s="54" t="str">
        <f t="shared" si="26"/>
        <v>FINANZASOTROS GASTOSPRESTAMO</v>
      </c>
      <c r="B725" t="s">
        <v>2028</v>
      </c>
      <c r="C725" s="1">
        <v>45926</v>
      </c>
      <c r="D725" s="89" t="s">
        <v>23</v>
      </c>
      <c r="E725" s="89" t="s">
        <v>156</v>
      </c>
      <c r="F725" s="236" t="s">
        <v>157</v>
      </c>
      <c r="G725" s="236"/>
      <c r="H725" s="89" t="s">
        <v>3863</v>
      </c>
      <c r="I725" s="161"/>
      <c r="J725" s="161">
        <v>1500</v>
      </c>
      <c r="K725" s="159">
        <f>K724+I725-J725</f>
        <v>-3478.7500000005821</v>
      </c>
    </row>
    <row r="726" spans="1:11" ht="15">
      <c r="A726" s="54" t="str">
        <f t="shared" si="26"/>
        <v/>
      </c>
      <c r="B726" t="s">
        <v>2028</v>
      </c>
      <c r="C726" s="1">
        <v>45929</v>
      </c>
      <c r="F726" s="146"/>
      <c r="G726" s="146"/>
      <c r="H726" t="s">
        <v>3472</v>
      </c>
      <c r="I726" s="161">
        <v>150000</v>
      </c>
      <c r="J726" s="161"/>
      <c r="K726" s="159">
        <f>K725+I726-J726</f>
        <v>146521.24999999942</v>
      </c>
    </row>
    <row r="727" spans="1:11" ht="15">
      <c r="A727" s="54" t="str">
        <f t="shared" si="26"/>
        <v>CAPVACACIONES/FINIQUITOSCAPRICHOS</v>
      </c>
      <c r="B727" t="s">
        <v>2028</v>
      </c>
      <c r="C727" s="1">
        <v>45929</v>
      </c>
      <c r="D727" t="s">
        <v>31</v>
      </c>
      <c r="E727" t="s">
        <v>190</v>
      </c>
      <c r="F727" s="146" t="s">
        <v>33</v>
      </c>
      <c r="G727" s="146"/>
      <c r="H727" t="s">
        <v>3864</v>
      </c>
      <c r="I727" s="161"/>
      <c r="J727" s="161">
        <v>3895</v>
      </c>
      <c r="K727" s="159">
        <f>K726+I727-J727</f>
        <v>142626.24999999942</v>
      </c>
    </row>
    <row r="728" spans="1:11" ht="15">
      <c r="A728" s="54" t="str">
        <f t="shared" si="26"/>
        <v>CAPVACACIONES/FINIQUITOSCAPRICHOS</v>
      </c>
      <c r="B728" t="s">
        <v>2028</v>
      </c>
      <c r="C728" s="1">
        <v>45929</v>
      </c>
      <c r="D728" t="s">
        <v>31</v>
      </c>
      <c r="E728" t="s">
        <v>190</v>
      </c>
      <c r="F728" s="146" t="s">
        <v>33</v>
      </c>
      <c r="G728" s="146"/>
      <c r="H728" t="s">
        <v>3865</v>
      </c>
      <c r="I728" s="161"/>
      <c r="J728" s="161">
        <v>1195</v>
      </c>
      <c r="K728" s="159">
        <f>K727+I728-J728</f>
        <v>141431.24999999942</v>
      </c>
    </row>
    <row r="729" spans="1:11" ht="15">
      <c r="A729" s="54" t="str">
        <f t="shared" si="26"/>
        <v>HRVACACIONES/FINIQUITOSHR</v>
      </c>
      <c r="B729" t="s">
        <v>2028</v>
      </c>
      <c r="C729" s="1">
        <v>45929</v>
      </c>
      <c r="D729" t="s">
        <v>29</v>
      </c>
      <c r="E729" t="s">
        <v>190</v>
      </c>
      <c r="F729" s="213" t="s">
        <v>29</v>
      </c>
      <c r="G729" s="146"/>
      <c r="H729" t="s">
        <v>3866</v>
      </c>
      <c r="I729" s="161"/>
      <c r="J729" s="161">
        <v>576</v>
      </c>
      <c r="K729" s="159">
        <f>K728+I729-J729</f>
        <v>140855.24999999942</v>
      </c>
    </row>
    <row r="730" spans="1:11" ht="15">
      <c r="A730" s="54" t="str">
        <f t="shared" si="26"/>
        <v>CAPVACACIONES/FINIQUITOSCAPRICHOS</v>
      </c>
      <c r="B730" t="s">
        <v>2028</v>
      </c>
      <c r="C730" s="1">
        <v>45929</v>
      </c>
      <c r="D730" t="s">
        <v>31</v>
      </c>
      <c r="E730" t="s">
        <v>190</v>
      </c>
      <c r="F730" s="146" t="s">
        <v>33</v>
      </c>
      <c r="G730" s="146"/>
      <c r="H730" t="s">
        <v>3867</v>
      </c>
      <c r="I730" s="161"/>
      <c r="J730" s="161">
        <v>1350</v>
      </c>
      <c r="K730" s="159">
        <f>K729+I730-J730</f>
        <v>139505.24999999942</v>
      </c>
    </row>
    <row r="731" spans="1:11" ht="15">
      <c r="A731" s="54" t="str">
        <f t="shared" si="26"/>
        <v>CAPVACACIONES/FINIQUITOSCAPRICHOS</v>
      </c>
      <c r="B731" t="s">
        <v>2028</v>
      </c>
      <c r="C731" s="1">
        <v>45929</v>
      </c>
      <c r="D731" t="s">
        <v>31</v>
      </c>
      <c r="E731" t="s">
        <v>190</v>
      </c>
      <c r="F731" s="146" t="s">
        <v>33</v>
      </c>
      <c r="G731" s="146"/>
      <c r="H731" t="s">
        <v>3868</v>
      </c>
      <c r="I731" s="161"/>
      <c r="J731" s="161">
        <v>936</v>
      </c>
      <c r="K731" s="159">
        <f>K730+I731-J731</f>
        <v>138569.24999999942</v>
      </c>
    </row>
    <row r="732" spans="1:11" ht="15">
      <c r="A732" s="54" t="str">
        <f t="shared" si="26"/>
        <v>HRVACACIONES/FINIQUITOSHR</v>
      </c>
      <c r="B732" t="s">
        <v>2028</v>
      </c>
      <c r="C732" s="1">
        <v>45929</v>
      </c>
      <c r="D732" t="s">
        <v>29</v>
      </c>
      <c r="E732" t="s">
        <v>190</v>
      </c>
      <c r="F732" s="213" t="s">
        <v>29</v>
      </c>
      <c r="G732" s="146" t="s">
        <v>258</v>
      </c>
      <c r="H732" t="s">
        <v>3869</v>
      </c>
      <c r="I732" s="161"/>
      <c r="J732" s="161">
        <v>7360</v>
      </c>
      <c r="K732" s="159">
        <f>K731+I732-J732</f>
        <v>131209.24999999942</v>
      </c>
    </row>
    <row r="733" spans="1:11" ht="15">
      <c r="A733" s="54" t="str">
        <f t="shared" si="26"/>
        <v/>
      </c>
      <c r="B733" t="s">
        <v>2028</v>
      </c>
      <c r="C733" s="1">
        <v>45930</v>
      </c>
      <c r="F733" s="146"/>
      <c r="G733" s="146"/>
      <c r="H733" t="s">
        <v>3472</v>
      </c>
      <c r="I733" s="161">
        <v>80000</v>
      </c>
      <c r="J733" s="161"/>
      <c r="K733" s="159">
        <f>K732+I733-J733</f>
        <v>211209.24999999942</v>
      </c>
    </row>
    <row r="734" spans="1:11" ht="15">
      <c r="A734" s="54" t="str">
        <f t="shared" si="26"/>
        <v/>
      </c>
      <c r="B734" t="s">
        <v>2028</v>
      </c>
      <c r="C734" s="1">
        <v>45931</v>
      </c>
      <c r="F734" s="146"/>
      <c r="G734" s="146"/>
      <c r="H734" t="s">
        <v>3472</v>
      </c>
      <c r="I734" s="161">
        <v>120000</v>
      </c>
      <c r="J734" s="161"/>
      <c r="K734" s="159">
        <f>K733+I734-J734</f>
        <v>331209.24999999942</v>
      </c>
    </row>
    <row r="735" spans="1:11" ht="15">
      <c r="A735" s="54" t="str">
        <f t="shared" si="26"/>
        <v>CAPVACACIONES/FINIQUITOSCAPRICHOS</v>
      </c>
      <c r="B735" t="s">
        <v>2028</v>
      </c>
      <c r="C735" s="1">
        <v>45931</v>
      </c>
      <c r="D735" t="s">
        <v>31</v>
      </c>
      <c r="E735" t="s">
        <v>190</v>
      </c>
      <c r="F735" s="146" t="s">
        <v>33</v>
      </c>
      <c r="G735" s="146"/>
      <c r="H735" t="s">
        <v>3870</v>
      </c>
      <c r="I735" s="161"/>
      <c r="J735" s="161">
        <v>5780</v>
      </c>
      <c r="K735" s="159">
        <f>K734+I735-J735</f>
        <v>325429.24999999942</v>
      </c>
    </row>
    <row r="736" spans="1:11" ht="15">
      <c r="A736" s="54" t="str">
        <f t="shared" si="26"/>
        <v>HRVACACIONES/FINIQUITOSHR</v>
      </c>
      <c r="B736" t="s">
        <v>2028</v>
      </c>
      <c r="C736" s="1">
        <v>45931</v>
      </c>
      <c r="D736" t="s">
        <v>29</v>
      </c>
      <c r="E736" t="s">
        <v>190</v>
      </c>
      <c r="F736" s="213" t="s">
        <v>29</v>
      </c>
      <c r="G736" s="146"/>
      <c r="H736" t="s">
        <v>3871</v>
      </c>
      <c r="I736" s="161"/>
      <c r="J736" s="161">
        <v>1476</v>
      </c>
      <c r="K736" s="159">
        <f>K735+I736-J736</f>
        <v>323953.24999999942</v>
      </c>
    </row>
    <row r="737" spans="1:11" ht="15">
      <c r="A737" s="54" t="str">
        <f t="shared" si="26"/>
        <v>CAPVACACIONES/FINIQUITOSCAPRICHOS</v>
      </c>
      <c r="B737" t="s">
        <v>2028</v>
      </c>
      <c r="C737" s="1">
        <v>45931</v>
      </c>
      <c r="D737" t="s">
        <v>31</v>
      </c>
      <c r="E737" t="s">
        <v>190</v>
      </c>
      <c r="F737" s="146" t="s">
        <v>33</v>
      </c>
      <c r="G737" s="146"/>
      <c r="H737" t="s">
        <v>3872</v>
      </c>
      <c r="I737" s="161"/>
      <c r="J737" s="161">
        <v>250</v>
      </c>
      <c r="K737" s="159">
        <f>K736+I737-J737</f>
        <v>323703.24999999942</v>
      </c>
    </row>
    <row r="738" spans="1:11" ht="15">
      <c r="A738" s="54" t="str">
        <f t="shared" si="26"/>
        <v/>
      </c>
      <c r="B738" t="s">
        <v>2028</v>
      </c>
      <c r="C738" s="1">
        <v>45932</v>
      </c>
      <c r="F738" s="146"/>
      <c r="G738" s="146"/>
      <c r="H738" t="s">
        <v>3472</v>
      </c>
      <c r="I738" s="161">
        <v>100000</v>
      </c>
      <c r="J738" s="161"/>
      <c r="K738" s="159">
        <f>K737+I738-J738</f>
        <v>423703.24999999942</v>
      </c>
    </row>
    <row r="739" spans="1:11" ht="15">
      <c r="A739" s="54" t="str">
        <f t="shared" si="26"/>
        <v/>
      </c>
      <c r="B739" t="s">
        <v>2028</v>
      </c>
      <c r="C739" s="1">
        <v>45932</v>
      </c>
      <c r="F739" s="146"/>
      <c r="G739" s="146"/>
      <c r="H739" t="s">
        <v>3466</v>
      </c>
      <c r="I739" s="161">
        <v>21710.97</v>
      </c>
      <c r="J739" s="161"/>
      <c r="K739" s="159">
        <f>K738+I739-J739</f>
        <v>445414.21999999939</v>
      </c>
    </row>
    <row r="740" spans="1:11" ht="15">
      <c r="A740" s="54" t="str">
        <f t="shared" si="26"/>
        <v/>
      </c>
      <c r="B740" t="s">
        <v>2028</v>
      </c>
      <c r="C740" s="1">
        <v>45932</v>
      </c>
      <c r="F740" s="146"/>
      <c r="G740" s="146"/>
      <c r="H740" t="s">
        <v>3468</v>
      </c>
      <c r="I740" s="161">
        <v>3020.8</v>
      </c>
      <c r="J740" s="161"/>
      <c r="K740" s="159">
        <f>K739+I740-J740</f>
        <v>448435.01999999938</v>
      </c>
    </row>
    <row r="741" spans="1:11" ht="15">
      <c r="A741" s="54" t="str">
        <f t="shared" si="26"/>
        <v/>
      </c>
      <c r="B741" t="s">
        <v>2028</v>
      </c>
      <c r="C741" s="1">
        <v>45932</v>
      </c>
      <c r="F741" s="146"/>
      <c r="G741" s="146"/>
      <c r="H741" t="s">
        <v>3467</v>
      </c>
      <c r="I741" s="161">
        <v>7875.14</v>
      </c>
      <c r="J741" s="161"/>
      <c r="K741" s="159">
        <f>K740+I741-J741</f>
        <v>456310.15999999939</v>
      </c>
    </row>
    <row r="742" spans="1:11" ht="15">
      <c r="A742" s="54" t="str">
        <f t="shared" si="26"/>
        <v/>
      </c>
      <c r="B742" t="s">
        <v>2028</v>
      </c>
      <c r="C742" s="1">
        <v>45932</v>
      </c>
      <c r="F742" s="146"/>
      <c r="G742" s="146"/>
      <c r="H742" t="s">
        <v>3812</v>
      </c>
      <c r="I742" s="161"/>
      <c r="J742" s="161">
        <v>180900</v>
      </c>
      <c r="K742" s="159">
        <f>K741+I742-J742</f>
        <v>275410.15999999939</v>
      </c>
    </row>
    <row r="743" spans="1:11" ht="15">
      <c r="A743" s="54" t="str">
        <f t="shared" si="26"/>
        <v/>
      </c>
      <c r="B743" t="s">
        <v>2028</v>
      </c>
      <c r="C743" s="1">
        <v>45932</v>
      </c>
      <c r="F743" s="146"/>
      <c r="G743" s="146"/>
      <c r="H743" t="s">
        <v>3547</v>
      </c>
      <c r="I743" s="161"/>
      <c r="J743" s="161">
        <v>564875.6</v>
      </c>
      <c r="K743" s="159">
        <f>K742+I743-J743</f>
        <v>-289465.44000000058</v>
      </c>
    </row>
    <row r="744" spans="1:11" ht="15">
      <c r="A744" s="54" t="str">
        <f t="shared" si="26"/>
        <v/>
      </c>
      <c r="B744" t="s">
        <v>2028</v>
      </c>
      <c r="C744" s="1">
        <v>45932</v>
      </c>
      <c r="F744" s="146"/>
      <c r="G744" s="146"/>
      <c r="H744" t="s">
        <v>3664</v>
      </c>
      <c r="I744" s="161"/>
      <c r="J744" s="161">
        <v>35400</v>
      </c>
      <c r="K744" s="159">
        <f>K743+I744-J744</f>
        <v>-324865.44000000058</v>
      </c>
    </row>
    <row r="745" spans="1:11" ht="15">
      <c r="A745" s="54" t="str">
        <f t="shared" si="26"/>
        <v>FINANZASOTROS GASTOSPRESTAMO</v>
      </c>
      <c r="B745" t="s">
        <v>2028</v>
      </c>
      <c r="C745" s="1">
        <v>45932</v>
      </c>
      <c r="D745" s="89" t="s">
        <v>23</v>
      </c>
      <c r="E745" s="89" t="s">
        <v>156</v>
      </c>
      <c r="F745" s="236" t="s">
        <v>157</v>
      </c>
      <c r="G745" s="236"/>
      <c r="H745" s="89" t="s">
        <v>3873</v>
      </c>
      <c r="I745" s="161"/>
      <c r="J745" s="161">
        <v>12000</v>
      </c>
      <c r="K745" s="159">
        <f>K744+I745-J745</f>
        <v>-336865.44000000058</v>
      </c>
    </row>
    <row r="746" spans="1:11" ht="15">
      <c r="A746" s="54" t="str">
        <f t="shared" si="26"/>
        <v/>
      </c>
      <c r="B746" t="s">
        <v>2028</v>
      </c>
      <c r="C746" s="1">
        <v>45933</v>
      </c>
      <c r="F746" s="146"/>
      <c r="G746" s="146"/>
      <c r="H746" t="s">
        <v>3472</v>
      </c>
      <c r="I746" s="428">
        <v>339500</v>
      </c>
      <c r="J746" s="161"/>
      <c r="K746" s="159">
        <f>K745+I746-J746</f>
        <v>2634.5599999994156</v>
      </c>
    </row>
    <row r="747" spans="1:11" ht="15">
      <c r="A747" s="54" t="str">
        <f t="shared" si="26"/>
        <v>HRVACACIONES/FINIQUITOSHR</v>
      </c>
      <c r="B747" t="s">
        <v>2028</v>
      </c>
      <c r="C747" s="1">
        <v>45933</v>
      </c>
      <c r="D747" t="s">
        <v>29</v>
      </c>
      <c r="E747" t="s">
        <v>190</v>
      </c>
      <c r="F747" s="213" t="s">
        <v>29</v>
      </c>
      <c r="G747" s="146"/>
      <c r="H747" t="s">
        <v>3874</v>
      </c>
      <c r="I747" s="161"/>
      <c r="J747" s="161">
        <v>2550</v>
      </c>
      <c r="K747" s="159">
        <f>K746+I747-J747</f>
        <v>84.559999999415595</v>
      </c>
    </row>
    <row r="748" spans="1:11" ht="15">
      <c r="A748" s="54" t="str">
        <f t="shared" si="26"/>
        <v>HRVACACIONES/FINIQUITOSHR</v>
      </c>
      <c r="B748" t="s">
        <v>2028</v>
      </c>
      <c r="C748" s="1">
        <v>45933</v>
      </c>
      <c r="D748" t="s">
        <v>29</v>
      </c>
      <c r="E748" t="s">
        <v>190</v>
      </c>
      <c r="F748" s="213" t="s">
        <v>29</v>
      </c>
      <c r="G748" s="146"/>
      <c r="H748" t="s">
        <v>3875</v>
      </c>
      <c r="I748" s="161"/>
      <c r="J748" s="161">
        <v>1150</v>
      </c>
      <c r="K748" s="159">
        <f>K747+I748-J748</f>
        <v>-1065.4400000005844</v>
      </c>
    </row>
    <row r="749" spans="1:11" ht="15">
      <c r="A749" s="54" t="str">
        <f t="shared" si="26"/>
        <v/>
      </c>
      <c r="B749" t="s">
        <v>2281</v>
      </c>
      <c r="C749" s="1">
        <v>45936</v>
      </c>
      <c r="F749" s="146"/>
      <c r="G749" s="146"/>
      <c r="H749" t="s">
        <v>3452</v>
      </c>
      <c r="I749" s="161">
        <v>200000</v>
      </c>
      <c r="J749" s="161"/>
      <c r="K749" s="159">
        <f>K748+I749-J749</f>
        <v>198934.55999999942</v>
      </c>
    </row>
    <row r="750" spans="1:11" ht="15">
      <c r="A750" s="54" t="str">
        <f t="shared" si="26"/>
        <v>FINANZASOTROS GASTOSPRESTAMO</v>
      </c>
      <c r="B750" t="s">
        <v>2281</v>
      </c>
      <c r="C750" s="1">
        <v>45936</v>
      </c>
      <c r="D750" t="s">
        <v>23</v>
      </c>
      <c r="E750" t="s">
        <v>156</v>
      </c>
      <c r="F750" s="146" t="s">
        <v>157</v>
      </c>
      <c r="G750" s="146"/>
      <c r="H750" t="s">
        <v>3876</v>
      </c>
      <c r="J750" s="81">
        <v>10000</v>
      </c>
      <c r="K750" s="159">
        <f>K749+I750-J750</f>
        <v>188934.55999999942</v>
      </c>
    </row>
    <row r="751" spans="1:11" ht="15">
      <c r="A751" s="54" t="str">
        <f t="shared" si="26"/>
        <v>HRVACACIONES/FINIQUITOSHR</v>
      </c>
      <c r="B751" t="s">
        <v>2281</v>
      </c>
      <c r="C751" s="1">
        <v>45936</v>
      </c>
      <c r="D751" t="s">
        <v>29</v>
      </c>
      <c r="E751" t="s">
        <v>190</v>
      </c>
      <c r="F751" s="213" t="s">
        <v>29</v>
      </c>
      <c r="G751" s="146"/>
      <c r="H751" t="s">
        <v>3877</v>
      </c>
      <c r="I751" s="161"/>
      <c r="J751" s="161">
        <v>2480</v>
      </c>
      <c r="K751" s="159">
        <f>K750+I751-J751</f>
        <v>186454.55999999942</v>
      </c>
    </row>
    <row r="752" spans="1:11" ht="15">
      <c r="A752" s="54" t="str">
        <f t="shared" si="26"/>
        <v>CAPVACACIONES/FINIQUITOSCAPRICHOS</v>
      </c>
      <c r="B752" t="s">
        <v>2281</v>
      </c>
      <c r="C752" s="1">
        <v>45936</v>
      </c>
      <c r="D752" t="s">
        <v>31</v>
      </c>
      <c r="E752" t="s">
        <v>190</v>
      </c>
      <c r="F752" s="146" t="s">
        <v>33</v>
      </c>
      <c r="G752" s="146"/>
      <c r="H752" t="s">
        <v>3878</v>
      </c>
      <c r="I752" s="161"/>
      <c r="J752" s="161">
        <v>750</v>
      </c>
      <c r="K752" s="159">
        <f>K751+I752-J752</f>
        <v>185704.55999999942</v>
      </c>
    </row>
    <row r="753" spans="1:11" ht="15">
      <c r="A753" s="54" t="str">
        <f t="shared" si="26"/>
        <v>HRVACACIONES/FINIQUITOSHR</v>
      </c>
      <c r="B753" t="s">
        <v>2281</v>
      </c>
      <c r="C753" s="1">
        <v>45936</v>
      </c>
      <c r="D753" t="s">
        <v>29</v>
      </c>
      <c r="E753" t="s">
        <v>190</v>
      </c>
      <c r="F753" s="213" t="s">
        <v>29</v>
      </c>
      <c r="G753" s="146"/>
      <c r="H753" t="s">
        <v>3879</v>
      </c>
      <c r="I753" s="161"/>
      <c r="J753" s="161">
        <v>4199</v>
      </c>
      <c r="K753" s="159">
        <f>K752+I753-J753</f>
        <v>181505.55999999942</v>
      </c>
    </row>
    <row r="754" spans="1:11" ht="15">
      <c r="A754" s="54" t="str">
        <f t="shared" si="26"/>
        <v>FINANZASVACACIONES/FINIQUITOSFINANZAS</v>
      </c>
      <c r="B754" t="s">
        <v>2281</v>
      </c>
      <c r="C754" s="1">
        <v>45937</v>
      </c>
      <c r="D754" t="s">
        <v>23</v>
      </c>
      <c r="E754" t="s">
        <v>190</v>
      </c>
      <c r="F754" s="146" t="s">
        <v>23</v>
      </c>
      <c r="G754" s="146"/>
      <c r="H754" t="s">
        <v>3880</v>
      </c>
      <c r="I754" s="161"/>
      <c r="J754" s="81">
        <v>9358</v>
      </c>
      <c r="K754" s="159">
        <f>K753+I754-J754</f>
        <v>172147.55999999942</v>
      </c>
    </row>
    <row r="755" spans="1:11" ht="15">
      <c r="A755" s="54" t="str">
        <f t="shared" si="26"/>
        <v>CAPVACACIONES/FINIQUITOSCAPRICHOS</v>
      </c>
      <c r="B755" t="s">
        <v>2281</v>
      </c>
      <c r="C755" s="1">
        <v>45936</v>
      </c>
      <c r="D755" t="s">
        <v>31</v>
      </c>
      <c r="E755" t="s">
        <v>190</v>
      </c>
      <c r="F755" s="146" t="s">
        <v>33</v>
      </c>
      <c r="G755" s="146"/>
      <c r="H755" t="s">
        <v>3881</v>
      </c>
      <c r="I755" s="161"/>
      <c r="J755" s="161">
        <v>10000</v>
      </c>
      <c r="K755" s="159">
        <f>K754+I755-J755</f>
        <v>162147.55999999942</v>
      </c>
    </row>
    <row r="756" spans="1:11" ht="15">
      <c r="A756" s="54" t="str">
        <f t="shared" si="26"/>
        <v/>
      </c>
      <c r="B756" t="s">
        <v>2281</v>
      </c>
      <c r="C756" s="1">
        <v>45936</v>
      </c>
      <c r="F756" s="146"/>
      <c r="G756" s="146"/>
      <c r="H756" t="s">
        <v>3882</v>
      </c>
      <c r="I756" s="161">
        <v>1729</v>
      </c>
      <c r="J756" s="161"/>
      <c r="K756" s="159">
        <f>K755+I756-J756</f>
        <v>163876.55999999942</v>
      </c>
    </row>
    <row r="757" spans="1:11" ht="15">
      <c r="A757" s="54" t="str">
        <f t="shared" si="26"/>
        <v/>
      </c>
      <c r="B757" t="s">
        <v>2281</v>
      </c>
      <c r="C757" s="1">
        <v>45937</v>
      </c>
      <c r="F757" s="146"/>
      <c r="G757" s="146"/>
      <c r="H757" t="s">
        <v>3452</v>
      </c>
      <c r="I757" s="161">
        <v>100000</v>
      </c>
      <c r="J757" s="161"/>
      <c r="K757" s="159">
        <f>K756+I757-J757</f>
        <v>263876.55999999942</v>
      </c>
    </row>
    <row r="758" spans="1:11" ht="15">
      <c r="A758" s="54" t="str">
        <f t="shared" si="26"/>
        <v>FINANZASVACACIONES/FINIQUITOSFINANZAS</v>
      </c>
      <c r="B758" t="s">
        <v>2281</v>
      </c>
      <c r="C758" s="1">
        <v>45938</v>
      </c>
      <c r="D758" t="s">
        <v>23</v>
      </c>
      <c r="E758" t="s">
        <v>190</v>
      </c>
      <c r="F758" s="146" t="s">
        <v>23</v>
      </c>
      <c r="G758" s="146"/>
      <c r="H758" t="s">
        <v>3883</v>
      </c>
      <c r="I758" s="161"/>
      <c r="J758" s="161">
        <v>5297</v>
      </c>
      <c r="K758" s="159">
        <f>K757+I758-J758</f>
        <v>258579.55999999942</v>
      </c>
    </row>
    <row r="759" spans="1:11" ht="15">
      <c r="A759" s="54" t="str">
        <f t="shared" si="26"/>
        <v/>
      </c>
      <c r="B759" t="s">
        <v>2281</v>
      </c>
      <c r="C759" s="1">
        <v>45938</v>
      </c>
      <c r="F759" s="146"/>
      <c r="G759" s="146"/>
      <c r="H759" t="s">
        <v>3452</v>
      </c>
      <c r="I759" s="161">
        <v>150000</v>
      </c>
      <c r="J759" s="161"/>
      <c r="K759" s="159">
        <f>K758+I759-J759</f>
        <v>408579.55999999942</v>
      </c>
    </row>
    <row r="760" spans="1:11" ht="15">
      <c r="A760" s="54" t="str">
        <f t="shared" si="26"/>
        <v/>
      </c>
      <c r="B760" t="s">
        <v>2281</v>
      </c>
      <c r="C760" s="1">
        <v>45939</v>
      </c>
      <c r="F760" s="146"/>
      <c r="G760" s="146"/>
      <c r="H760" t="s">
        <v>3452</v>
      </c>
      <c r="I760" s="161">
        <v>100000</v>
      </c>
      <c r="J760" s="161"/>
      <c r="K760" s="159">
        <f>K759+I760-J760</f>
        <v>508579.55999999942</v>
      </c>
    </row>
    <row r="761" spans="1:11" ht="15">
      <c r="A761" s="54" t="str">
        <f t="shared" si="26"/>
        <v/>
      </c>
      <c r="B761" t="s">
        <v>2281</v>
      </c>
      <c r="C761" s="1">
        <v>45939</v>
      </c>
      <c r="F761" s="146"/>
      <c r="G761" s="146"/>
      <c r="H761" t="s">
        <v>3466</v>
      </c>
      <c r="I761" s="161">
        <v>21711.17</v>
      </c>
      <c r="J761" s="161"/>
      <c r="K761" s="159">
        <f>K760+I761-J761</f>
        <v>530290.7299999994</v>
      </c>
    </row>
    <row r="762" spans="1:11" ht="15">
      <c r="A762" s="54" t="str">
        <f t="shared" si="26"/>
        <v/>
      </c>
      <c r="B762" t="s">
        <v>2281</v>
      </c>
      <c r="C762" s="1">
        <v>45939</v>
      </c>
      <c r="F762" s="146"/>
      <c r="G762" s="146"/>
      <c r="H762" t="s">
        <v>3468</v>
      </c>
      <c r="I762" s="161">
        <v>4253</v>
      </c>
      <c r="J762" s="161"/>
      <c r="K762" s="159">
        <f>K761+I762-J762</f>
        <v>534543.7299999994</v>
      </c>
    </row>
    <row r="763" spans="1:11" ht="15">
      <c r="A763" s="54" t="str">
        <f t="shared" si="26"/>
        <v/>
      </c>
      <c r="B763" t="s">
        <v>2281</v>
      </c>
      <c r="C763" s="1">
        <v>45939</v>
      </c>
      <c r="F763" s="146"/>
      <c r="G763" s="146"/>
      <c r="H763" t="s">
        <v>3467</v>
      </c>
      <c r="I763" s="161">
        <v>10755</v>
      </c>
      <c r="J763" s="161"/>
      <c r="K763" s="159">
        <f>K762+I763-J763</f>
        <v>545298.7299999994</v>
      </c>
    </row>
    <row r="764" spans="1:11" ht="15">
      <c r="A764" s="54" t="str">
        <f t="shared" si="26"/>
        <v/>
      </c>
      <c r="B764" t="s">
        <v>2281</v>
      </c>
      <c r="C764" s="1">
        <v>45939</v>
      </c>
      <c r="F764" s="146"/>
      <c r="G764" s="146"/>
      <c r="H764" t="s">
        <v>3884</v>
      </c>
      <c r="I764" s="161"/>
      <c r="J764" s="161">
        <v>562010.80000000005</v>
      </c>
      <c r="K764" s="159">
        <f>K763+I764-J764</f>
        <v>-16712.070000000647</v>
      </c>
    </row>
    <row r="765" spans="1:11" ht="15">
      <c r="A765" s="54" t="str">
        <f t="shared" si="26"/>
        <v/>
      </c>
      <c r="B765" t="s">
        <v>2281</v>
      </c>
      <c r="C765" s="1">
        <v>45939</v>
      </c>
      <c r="F765" s="146"/>
      <c r="G765" s="146"/>
      <c r="H765" t="s">
        <v>3469</v>
      </c>
      <c r="I765" s="161"/>
      <c r="J765" s="161">
        <v>170458</v>
      </c>
      <c r="K765" s="159">
        <f>K764+I765-J765</f>
        <v>-187170.07000000065</v>
      </c>
    </row>
    <row r="766" spans="1:11" ht="15">
      <c r="A766" s="54" t="str">
        <f t="shared" si="26"/>
        <v/>
      </c>
      <c r="B766" t="s">
        <v>2281</v>
      </c>
      <c r="C766" s="1">
        <v>45939</v>
      </c>
      <c r="F766" s="146"/>
      <c r="G766" s="146"/>
      <c r="H766" t="s">
        <v>3507</v>
      </c>
      <c r="I766" s="161"/>
      <c r="J766" s="161">
        <v>35400</v>
      </c>
      <c r="K766" s="159">
        <f>K765+I766-J766</f>
        <v>-222570.07000000065</v>
      </c>
    </row>
    <row r="767" spans="1:11" ht="15">
      <c r="A767" s="54" t="str">
        <f t="shared" si="26"/>
        <v>FINANZASNOMINA ADMONTESORERIA</v>
      </c>
      <c r="B767" t="s">
        <v>2281</v>
      </c>
      <c r="C767" s="1">
        <v>45939</v>
      </c>
      <c r="D767" t="s">
        <v>23</v>
      </c>
      <c r="E767" t="s">
        <v>147</v>
      </c>
      <c r="F767" s="146" t="s">
        <v>38</v>
      </c>
      <c r="G767" s="146"/>
      <c r="H767" s="89" t="s">
        <v>3885</v>
      </c>
      <c r="I767" s="161"/>
      <c r="J767" s="161">
        <v>467</v>
      </c>
      <c r="K767" s="159">
        <f>K766+I767-J767</f>
        <v>-223037.07000000065</v>
      </c>
    </row>
    <row r="768" spans="1:11" ht="15">
      <c r="A768" s="54" t="str">
        <f t="shared" si="26"/>
        <v/>
      </c>
      <c r="B768" t="s">
        <v>2281</v>
      </c>
      <c r="C768" s="1">
        <v>45943</v>
      </c>
      <c r="F768" s="146"/>
      <c r="G768" s="146"/>
      <c r="H768" t="s">
        <v>3452</v>
      </c>
      <c r="I768" s="161">
        <v>223000</v>
      </c>
      <c r="J768" s="161"/>
      <c r="K768" s="159">
        <f>K767+I768-J768</f>
        <v>-37.070000000647269</v>
      </c>
    </row>
    <row r="769" spans="1:11" ht="15">
      <c r="A769" s="54" t="str">
        <f t="shared" si="26"/>
        <v>SERVICIOSNOMINA SUCURSALCEDIS</v>
      </c>
      <c r="B769" t="s">
        <v>2281</v>
      </c>
      <c r="C769" s="1">
        <v>45943</v>
      </c>
      <c r="D769" t="s">
        <v>21</v>
      </c>
      <c r="E769" t="s">
        <v>154</v>
      </c>
      <c r="F769" s="146" t="s">
        <v>28</v>
      </c>
      <c r="G769" s="146"/>
      <c r="H769" s="89" t="s">
        <v>3886</v>
      </c>
      <c r="I769" s="161"/>
      <c r="J769" s="161">
        <v>475</v>
      </c>
      <c r="K769" s="159">
        <f>K768+I769-J769</f>
        <v>-512.07000000064727</v>
      </c>
    </row>
    <row r="770" spans="1:11" ht="15">
      <c r="A770" s="54" t="str">
        <f t="shared" si="26"/>
        <v>SERVICIOSNOMINA SUCURSALCEDIS</v>
      </c>
      <c r="B770" t="s">
        <v>2281</v>
      </c>
      <c r="C770" s="1">
        <v>45943</v>
      </c>
      <c r="D770" t="s">
        <v>21</v>
      </c>
      <c r="E770" t="s">
        <v>154</v>
      </c>
      <c r="F770" s="146" t="s">
        <v>28</v>
      </c>
      <c r="G770" s="146"/>
      <c r="H770" s="89" t="s">
        <v>3887</v>
      </c>
      <c r="I770" s="161"/>
      <c r="J770" s="161">
        <v>366</v>
      </c>
      <c r="K770" s="159">
        <f>K769+I770-J770</f>
        <v>-878.07000000064727</v>
      </c>
    </row>
    <row r="771" spans="1:11" ht="15">
      <c r="A771" s="54" t="str">
        <f t="shared" si="26"/>
        <v>SERVICIOSNOMINA SUCURSALCEDIS</v>
      </c>
      <c r="B771" t="s">
        <v>2281</v>
      </c>
      <c r="C771" s="1">
        <v>45943</v>
      </c>
      <c r="D771" t="s">
        <v>21</v>
      </c>
      <c r="E771" t="s">
        <v>154</v>
      </c>
      <c r="F771" s="146" t="s">
        <v>28</v>
      </c>
      <c r="G771" s="146"/>
      <c r="H771" s="89" t="s">
        <v>3888</v>
      </c>
      <c r="I771" s="161"/>
      <c r="J771" s="161">
        <v>320</v>
      </c>
      <c r="K771" s="159">
        <f>K770+I771-J771</f>
        <v>-1198.0700000006473</v>
      </c>
    </row>
    <row r="772" spans="1:11" ht="15">
      <c r="A772" s="54" t="str">
        <f t="shared" si="26"/>
        <v/>
      </c>
      <c r="B772" t="s">
        <v>2281</v>
      </c>
      <c r="C772" s="1">
        <v>45943</v>
      </c>
      <c r="F772" s="146"/>
      <c r="G772" s="146"/>
      <c r="H772" t="s">
        <v>3452</v>
      </c>
      <c r="I772" s="161">
        <v>150000</v>
      </c>
      <c r="J772" s="161"/>
      <c r="K772" s="159">
        <f>K771+I772-J772</f>
        <v>148801.92999999935</v>
      </c>
    </row>
    <row r="773" spans="1:11" ht="15">
      <c r="A773" s="54" t="str">
        <f t="shared" ref="A773:A836" si="27">D773&amp;E773&amp;F773</f>
        <v>SERVICIOSVACACIONES/FINIQUITOSSERVICIOS</v>
      </c>
      <c r="B773" t="s">
        <v>2281</v>
      </c>
      <c r="C773" s="1">
        <v>45943</v>
      </c>
      <c r="D773" t="s">
        <v>21</v>
      </c>
      <c r="E773" t="s">
        <v>190</v>
      </c>
      <c r="F773" s="146" t="s">
        <v>21</v>
      </c>
      <c r="G773" s="146"/>
      <c r="H773" t="s">
        <v>3889</v>
      </c>
      <c r="I773" s="161"/>
      <c r="J773" s="161">
        <v>7345</v>
      </c>
      <c r="K773" s="159">
        <f>K772+I773-J773</f>
        <v>141456.92999999935</v>
      </c>
    </row>
    <row r="774" spans="1:11" ht="15">
      <c r="A774" s="54" t="str">
        <f t="shared" si="27"/>
        <v>HRVACACIONES/FINIQUITOSHR</v>
      </c>
      <c r="B774" t="s">
        <v>2281</v>
      </c>
      <c r="C774" s="1">
        <v>45943</v>
      </c>
      <c r="D774" t="s">
        <v>29</v>
      </c>
      <c r="E774" t="s">
        <v>190</v>
      </c>
      <c r="F774" s="213" t="s">
        <v>29</v>
      </c>
      <c r="G774" s="146"/>
      <c r="H774" t="s">
        <v>3890</v>
      </c>
      <c r="I774" s="161"/>
      <c r="J774" s="161">
        <v>4993</v>
      </c>
      <c r="K774" s="159">
        <f>K773+I774-J774</f>
        <v>136463.92999999935</v>
      </c>
    </row>
    <row r="775" spans="1:11" ht="15">
      <c r="A775" s="54" t="str">
        <f t="shared" si="27"/>
        <v/>
      </c>
      <c r="B775" t="s">
        <v>2281</v>
      </c>
      <c r="C775" s="1">
        <v>45943</v>
      </c>
      <c r="F775" s="146"/>
      <c r="G775" s="146"/>
      <c r="H775" t="s">
        <v>3452</v>
      </c>
      <c r="I775" s="161"/>
      <c r="K775" s="159">
        <f>K774+I775-J775</f>
        <v>136463.92999999935</v>
      </c>
    </row>
    <row r="776" spans="1:11" ht="15">
      <c r="A776" s="54" t="str">
        <f t="shared" si="27"/>
        <v>CAPVACACIONES/FINIQUITOSCAPRICHOS</v>
      </c>
      <c r="B776" t="s">
        <v>2281</v>
      </c>
      <c r="C776" s="1">
        <v>45944</v>
      </c>
      <c r="D776" t="s">
        <v>31</v>
      </c>
      <c r="E776" t="s">
        <v>190</v>
      </c>
      <c r="F776" s="146" t="s">
        <v>33</v>
      </c>
      <c r="G776" s="146"/>
      <c r="H776" t="s">
        <v>3891</v>
      </c>
      <c r="I776" s="161"/>
      <c r="J776" s="161">
        <v>526</v>
      </c>
      <c r="K776" s="159">
        <f>K775+I776-J776</f>
        <v>135937.92999999935</v>
      </c>
    </row>
    <row r="777" spans="1:11" ht="15">
      <c r="A777" s="54" t="str">
        <f t="shared" si="27"/>
        <v/>
      </c>
      <c r="B777" t="s">
        <v>2281</v>
      </c>
      <c r="C777" s="214">
        <v>45945</v>
      </c>
      <c r="F777" s="146"/>
      <c r="G777" s="146"/>
      <c r="H777" t="s">
        <v>3452</v>
      </c>
      <c r="I777" s="161">
        <v>170000</v>
      </c>
      <c r="J777" s="161"/>
      <c r="K777" s="159">
        <f>K776+I777-J777</f>
        <v>305937.92999999935</v>
      </c>
    </row>
    <row r="778" spans="1:11" ht="15">
      <c r="A778" s="54" t="str">
        <f t="shared" si="27"/>
        <v/>
      </c>
      <c r="B778" t="s">
        <v>2281</v>
      </c>
      <c r="C778" s="1">
        <v>45946</v>
      </c>
      <c r="F778" s="146"/>
      <c r="G778" s="146"/>
      <c r="H778" s="89" t="s">
        <v>3452</v>
      </c>
      <c r="I778" s="237">
        <v>150000</v>
      </c>
      <c r="K778" s="159">
        <f>K777+I778-J778</f>
        <v>455937.92999999935</v>
      </c>
    </row>
    <row r="779" spans="1:11" ht="15">
      <c r="A779" s="54" t="str">
        <f t="shared" si="27"/>
        <v/>
      </c>
      <c r="B779" t="s">
        <v>2281</v>
      </c>
      <c r="C779" s="1">
        <v>45946</v>
      </c>
      <c r="F779" s="146"/>
      <c r="G779" s="146"/>
      <c r="H779" t="s">
        <v>3466</v>
      </c>
      <c r="I779" s="161">
        <v>21710</v>
      </c>
      <c r="K779" s="159">
        <f>K778+I779-J779</f>
        <v>477647.92999999935</v>
      </c>
    </row>
    <row r="780" spans="1:11" ht="15">
      <c r="A780" s="54" t="str">
        <f t="shared" si="27"/>
        <v/>
      </c>
      <c r="B780" t="s">
        <v>2281</v>
      </c>
      <c r="C780" s="1">
        <v>45946</v>
      </c>
      <c r="F780" s="146"/>
      <c r="G780" s="146"/>
      <c r="H780" t="s">
        <v>3468</v>
      </c>
      <c r="I780" s="161">
        <v>4549</v>
      </c>
      <c r="J780" s="161"/>
      <c r="K780" s="159">
        <f>K779+I780-J780</f>
        <v>482196.92999999935</v>
      </c>
    </row>
    <row r="781" spans="1:11" ht="15">
      <c r="A781" s="54" t="str">
        <f t="shared" si="27"/>
        <v/>
      </c>
      <c r="B781" t="s">
        <v>2281</v>
      </c>
      <c r="C781" s="1">
        <v>45946</v>
      </c>
      <c r="F781" s="146"/>
      <c r="G781" s="146"/>
      <c r="H781" t="s">
        <v>3467</v>
      </c>
      <c r="I781" s="161">
        <v>10435</v>
      </c>
      <c r="J781" s="161"/>
      <c r="K781" s="159">
        <f>K780+I781-J781</f>
        <v>492631.92999999935</v>
      </c>
    </row>
    <row r="782" spans="1:11" ht="15">
      <c r="A782" s="54" t="str">
        <f t="shared" si="27"/>
        <v/>
      </c>
      <c r="B782" t="s">
        <v>2281</v>
      </c>
      <c r="C782" s="1">
        <v>45946</v>
      </c>
      <c r="F782" s="146"/>
      <c r="G782" s="146"/>
      <c r="H782" t="s">
        <v>3452</v>
      </c>
      <c r="I782" s="161">
        <v>200000</v>
      </c>
      <c r="J782" s="161"/>
      <c r="K782" s="159">
        <f>K781+I782-J782</f>
        <v>692631.92999999935</v>
      </c>
    </row>
    <row r="783" spans="1:11" ht="15">
      <c r="A783" s="54" t="str">
        <f t="shared" si="27"/>
        <v/>
      </c>
      <c r="B783" t="s">
        <v>2281</v>
      </c>
      <c r="C783" s="1">
        <v>45946</v>
      </c>
      <c r="F783" s="146"/>
      <c r="G783" s="146"/>
      <c r="H783" t="s">
        <v>3547</v>
      </c>
      <c r="I783" s="161"/>
      <c r="J783" s="161">
        <v>557698.6</v>
      </c>
      <c r="K783" s="159">
        <f>K782+I783-J783</f>
        <v>134933.32999999938</v>
      </c>
    </row>
    <row r="784" spans="1:11" ht="15">
      <c r="A784" s="54" t="str">
        <f t="shared" si="27"/>
        <v/>
      </c>
      <c r="B784" t="s">
        <v>2281</v>
      </c>
      <c r="C784" s="1">
        <v>45946</v>
      </c>
      <c r="F784" s="146"/>
      <c r="G784" s="146"/>
      <c r="H784" t="s">
        <v>3812</v>
      </c>
      <c r="I784" s="161"/>
      <c r="J784" s="161">
        <v>192786</v>
      </c>
      <c r="K784" s="159">
        <f>K783+I784-J784</f>
        <v>-57852.670000000624</v>
      </c>
    </row>
    <row r="785" spans="1:11" ht="15">
      <c r="A785" s="54" t="str">
        <f t="shared" si="27"/>
        <v/>
      </c>
      <c r="B785" t="s">
        <v>2281</v>
      </c>
      <c r="C785" s="1">
        <v>45946</v>
      </c>
      <c r="F785" s="146"/>
      <c r="G785" s="146"/>
      <c r="H785" t="s">
        <v>3507</v>
      </c>
      <c r="I785" s="161"/>
      <c r="J785" s="161">
        <v>50400</v>
      </c>
      <c r="K785" s="159">
        <f>K784+I785-J785</f>
        <v>-108252.67000000062</v>
      </c>
    </row>
    <row r="786" spans="1:11" ht="15">
      <c r="A786" s="54" t="str">
        <f t="shared" si="27"/>
        <v>CAPVACACIONES/FINIQUITOSCAPRICHOS</v>
      </c>
      <c r="B786" t="s">
        <v>2281</v>
      </c>
      <c r="C786" s="1">
        <v>45946</v>
      </c>
      <c r="D786" t="s">
        <v>31</v>
      </c>
      <c r="E786" t="s">
        <v>190</v>
      </c>
      <c r="F786" s="146" t="s">
        <v>33</v>
      </c>
      <c r="G786" s="146"/>
      <c r="H786" t="s">
        <v>3892</v>
      </c>
      <c r="I786" s="161"/>
      <c r="J786" s="161">
        <v>1836</v>
      </c>
      <c r="K786" s="159">
        <f>K785+I786-J786</f>
        <v>-110088.67000000062</v>
      </c>
    </row>
    <row r="787" spans="1:11" ht="15">
      <c r="A787" s="54" t="str">
        <f t="shared" si="27"/>
        <v>CAPVACACIONES/FINIQUITOSCAPRICHOS</v>
      </c>
      <c r="B787" t="s">
        <v>2281</v>
      </c>
      <c r="C787" s="1">
        <v>45946</v>
      </c>
      <c r="D787" t="s">
        <v>31</v>
      </c>
      <c r="E787" t="s">
        <v>190</v>
      </c>
      <c r="F787" s="146" t="s">
        <v>33</v>
      </c>
      <c r="G787" s="146"/>
      <c r="H787" t="s">
        <v>3893</v>
      </c>
      <c r="I787" s="161"/>
      <c r="J787" s="161">
        <v>2636</v>
      </c>
      <c r="K787" s="159">
        <f>K786+I787-J787</f>
        <v>-112724.67000000062</v>
      </c>
    </row>
    <row r="788" spans="1:11" ht="15">
      <c r="A788" s="54" t="str">
        <f t="shared" si="27"/>
        <v>SERVICIOSVACACIONES/FINIQUITOSSERVICIOS</v>
      </c>
      <c r="B788" t="s">
        <v>2281</v>
      </c>
      <c r="C788" s="1">
        <v>45947</v>
      </c>
      <c r="D788" t="s">
        <v>21</v>
      </c>
      <c r="E788" t="s">
        <v>190</v>
      </c>
      <c r="F788" s="146" t="s">
        <v>21</v>
      </c>
      <c r="G788" s="146"/>
      <c r="H788" t="s">
        <v>3894</v>
      </c>
      <c r="I788" s="161"/>
      <c r="J788" s="161">
        <v>4700</v>
      </c>
      <c r="K788" s="159">
        <f>K787+I788-J788</f>
        <v>-117424.67000000062</v>
      </c>
    </row>
    <row r="789" spans="1:11" ht="15">
      <c r="A789" s="54" t="str">
        <f t="shared" si="27"/>
        <v>SERVICIOSNOMINA ADMONMANTENIMIENTO</v>
      </c>
      <c r="B789" t="s">
        <v>2281</v>
      </c>
      <c r="C789" s="1">
        <v>45947</v>
      </c>
      <c r="D789" t="s">
        <v>21</v>
      </c>
      <c r="E789" t="s">
        <v>147</v>
      </c>
      <c r="F789" s="146" t="s">
        <v>35</v>
      </c>
      <c r="G789" s="146"/>
      <c r="H789" t="s">
        <v>3895</v>
      </c>
      <c r="I789" s="161"/>
      <c r="J789" s="161">
        <v>1200</v>
      </c>
      <c r="K789" s="159">
        <f>K788+I789-J789</f>
        <v>-118624.67000000062</v>
      </c>
    </row>
    <row r="790" spans="1:11" ht="15">
      <c r="A790" s="54" t="str">
        <f t="shared" si="27"/>
        <v>HRVACACIONES/FINIQUITOSHR</v>
      </c>
      <c r="B790" t="s">
        <v>2281</v>
      </c>
      <c r="C790" s="1">
        <v>45947</v>
      </c>
      <c r="D790" t="s">
        <v>29</v>
      </c>
      <c r="E790" t="s">
        <v>190</v>
      </c>
      <c r="F790" s="213" t="s">
        <v>29</v>
      </c>
      <c r="G790" s="146"/>
      <c r="H790" t="s">
        <v>3896</v>
      </c>
      <c r="I790" s="161"/>
      <c r="J790" s="161">
        <v>2800</v>
      </c>
      <c r="K790" s="159">
        <f>K789+I790-J790</f>
        <v>-121424.67000000062</v>
      </c>
    </row>
    <row r="791" spans="1:11" ht="15">
      <c r="A791" s="54" t="str">
        <f t="shared" si="27"/>
        <v/>
      </c>
      <c r="B791" t="s">
        <v>2281</v>
      </c>
      <c r="C791" s="1">
        <v>45947</v>
      </c>
      <c r="F791" s="146"/>
      <c r="G791" s="146"/>
      <c r="H791" t="s">
        <v>3452</v>
      </c>
      <c r="I791" s="161">
        <v>122000</v>
      </c>
      <c r="J791" s="161"/>
      <c r="K791" s="159">
        <f>K790+I791-J791</f>
        <v>575.32999999937601</v>
      </c>
    </row>
    <row r="792" spans="1:11" ht="15">
      <c r="A792" s="54" t="str">
        <f t="shared" si="27"/>
        <v>SERVICIOSNOMINA SUCURSALCEDIS</v>
      </c>
      <c r="B792" t="s">
        <v>2281</v>
      </c>
      <c r="C792" s="1">
        <v>45948</v>
      </c>
      <c r="D792" t="s">
        <v>21</v>
      </c>
      <c r="E792" t="s">
        <v>154</v>
      </c>
      <c r="F792" s="146" t="s">
        <v>28</v>
      </c>
      <c r="G792" s="146"/>
      <c r="H792" t="s">
        <v>3897</v>
      </c>
      <c r="I792" s="161"/>
      <c r="J792" s="161">
        <v>185</v>
      </c>
      <c r="K792" s="159">
        <f>K791+I792-J792</f>
        <v>390.32999999937601</v>
      </c>
    </row>
    <row r="793" spans="1:11" ht="15">
      <c r="A793" s="54" t="str">
        <f t="shared" si="27"/>
        <v>SERVICIOSNOMINA SUCURSALCEDIS</v>
      </c>
      <c r="B793" t="s">
        <v>2281</v>
      </c>
      <c r="C793" s="1">
        <v>45948</v>
      </c>
      <c r="D793" t="s">
        <v>21</v>
      </c>
      <c r="E793" t="s">
        <v>154</v>
      </c>
      <c r="F793" s="146" t="s">
        <v>28</v>
      </c>
      <c r="G793" s="146"/>
      <c r="H793" t="s">
        <v>3897</v>
      </c>
      <c r="I793" s="161"/>
      <c r="J793" s="161">
        <v>185</v>
      </c>
      <c r="K793" s="159">
        <f>K792+I793-J793</f>
        <v>205.32999999937601</v>
      </c>
    </row>
    <row r="794" spans="1:11" ht="15">
      <c r="A794" s="54" t="str">
        <f t="shared" si="27"/>
        <v/>
      </c>
      <c r="B794" t="s">
        <v>2281</v>
      </c>
      <c r="C794" s="1">
        <v>45950</v>
      </c>
      <c r="G794" s="146"/>
      <c r="H794" t="s">
        <v>3452</v>
      </c>
      <c r="I794" s="161">
        <v>150000</v>
      </c>
      <c r="J794" s="161"/>
      <c r="K794" s="159">
        <f>K793+I794-J794</f>
        <v>150205.32999999938</v>
      </c>
    </row>
    <row r="795" spans="1:11" ht="15">
      <c r="A795" s="54" t="str">
        <f t="shared" si="27"/>
        <v>FINANZASOTROS GASTOSPRESTAMO</v>
      </c>
      <c r="B795" t="s">
        <v>2281</v>
      </c>
      <c r="C795" s="1">
        <v>45950</v>
      </c>
      <c r="D795" t="s">
        <v>23</v>
      </c>
      <c r="E795" t="s">
        <v>156</v>
      </c>
      <c r="F795" s="146" t="s">
        <v>157</v>
      </c>
      <c r="G795" s="146"/>
      <c r="H795" t="s">
        <v>3898</v>
      </c>
      <c r="I795" s="161"/>
      <c r="J795" s="161">
        <v>5000</v>
      </c>
      <c r="K795" s="159">
        <f>K794+I795-J795</f>
        <v>145205.32999999938</v>
      </c>
    </row>
    <row r="796" spans="1:11" ht="15">
      <c r="A796" s="54" t="str">
        <f t="shared" si="27"/>
        <v>FINANZASOTROS GASTOSPRESTAMO</v>
      </c>
      <c r="B796" t="s">
        <v>2281</v>
      </c>
      <c r="C796" s="1">
        <v>45951</v>
      </c>
      <c r="D796" t="s">
        <v>23</v>
      </c>
      <c r="E796" t="s">
        <v>156</v>
      </c>
      <c r="F796" s="146" t="s">
        <v>157</v>
      </c>
      <c r="G796" s="146"/>
      <c r="H796" t="s">
        <v>3899</v>
      </c>
      <c r="I796" s="161"/>
      <c r="J796" s="161">
        <v>3000</v>
      </c>
      <c r="K796" s="159">
        <f>K795+I796-J796</f>
        <v>142205.32999999938</v>
      </c>
    </row>
    <row r="797" spans="1:11" ht="15">
      <c r="A797" s="54" t="str">
        <f t="shared" si="27"/>
        <v/>
      </c>
      <c r="B797" t="s">
        <v>2281</v>
      </c>
      <c r="C797" s="1">
        <v>45951</v>
      </c>
      <c r="F797" s="146"/>
      <c r="G797" s="146"/>
      <c r="H797" t="s">
        <v>3452</v>
      </c>
      <c r="I797" s="161">
        <v>150000</v>
      </c>
      <c r="J797" s="161"/>
      <c r="K797" s="159">
        <f>K796+I797-J797</f>
        <v>292205.32999999938</v>
      </c>
    </row>
    <row r="798" spans="1:11" ht="15">
      <c r="A798" s="54" t="str">
        <f t="shared" si="27"/>
        <v/>
      </c>
      <c r="B798" t="s">
        <v>2281</v>
      </c>
      <c r="C798" s="1">
        <v>45952</v>
      </c>
      <c r="F798" s="146"/>
      <c r="G798" s="146"/>
      <c r="H798" t="s">
        <v>3452</v>
      </c>
      <c r="I798" s="161">
        <v>150000</v>
      </c>
      <c r="J798" s="161"/>
      <c r="K798" s="159">
        <f>K797+I798-J798</f>
        <v>442205.32999999938</v>
      </c>
    </row>
    <row r="799" spans="1:11" ht="15">
      <c r="A799" s="54" t="str">
        <f t="shared" si="27"/>
        <v>CAPVACACIONES/FINIQUITOSCAPRICHOS</v>
      </c>
      <c r="B799" t="s">
        <v>2281</v>
      </c>
      <c r="C799" s="1">
        <v>45952</v>
      </c>
      <c r="D799" t="s">
        <v>31</v>
      </c>
      <c r="E799" t="s">
        <v>190</v>
      </c>
      <c r="F799" s="146" t="s">
        <v>33</v>
      </c>
      <c r="G799" s="146"/>
      <c r="H799" t="s">
        <v>3900</v>
      </c>
      <c r="I799" s="161"/>
      <c r="J799" s="161">
        <v>469</v>
      </c>
      <c r="K799" s="159">
        <f>K798+I799-J799</f>
        <v>441736.32999999938</v>
      </c>
    </row>
    <row r="800" spans="1:11" ht="15">
      <c r="A800" s="54" t="str">
        <f t="shared" si="27"/>
        <v>HRVACACIONES/FINIQUITOSHR</v>
      </c>
      <c r="B800" t="s">
        <v>2281</v>
      </c>
      <c r="C800" s="1">
        <v>45952</v>
      </c>
      <c r="D800" t="s">
        <v>29</v>
      </c>
      <c r="E800" t="s">
        <v>190</v>
      </c>
      <c r="F800" s="213" t="s">
        <v>29</v>
      </c>
      <c r="G800" s="146"/>
      <c r="H800" t="s">
        <v>3901</v>
      </c>
      <c r="I800" s="161"/>
      <c r="J800" s="161">
        <v>1293</v>
      </c>
      <c r="K800" s="159">
        <f>K799+I800-J800</f>
        <v>440443.32999999938</v>
      </c>
    </row>
    <row r="801" spans="1:11" ht="15">
      <c r="A801" s="54" t="str">
        <f t="shared" si="27"/>
        <v>HRVACACIONES/FINIQUITOSHR</v>
      </c>
      <c r="B801" t="s">
        <v>2281</v>
      </c>
      <c r="C801" s="1">
        <v>45952</v>
      </c>
      <c r="D801" t="s">
        <v>29</v>
      </c>
      <c r="E801" t="s">
        <v>190</v>
      </c>
      <c r="F801" s="213" t="s">
        <v>29</v>
      </c>
      <c r="G801" s="146"/>
      <c r="H801" t="s">
        <v>3902</v>
      </c>
      <c r="I801" s="161"/>
      <c r="J801" s="161">
        <v>500</v>
      </c>
      <c r="K801" s="159">
        <f>K800+I801-J801</f>
        <v>439943.32999999938</v>
      </c>
    </row>
    <row r="802" spans="1:11" ht="15">
      <c r="A802" s="54" t="str">
        <f t="shared" si="27"/>
        <v/>
      </c>
      <c r="B802" t="s">
        <v>2281</v>
      </c>
      <c r="C802" s="1">
        <v>45953</v>
      </c>
      <c r="F802" s="146"/>
      <c r="G802" s="146"/>
      <c r="H802" t="s">
        <v>3452</v>
      </c>
      <c r="I802" s="161">
        <v>200000</v>
      </c>
      <c r="J802" s="161"/>
      <c r="K802" s="159">
        <f>K801+I802-J802</f>
        <v>639943.32999999938</v>
      </c>
    </row>
    <row r="803" spans="1:11" ht="15">
      <c r="A803" s="54" t="str">
        <f t="shared" si="27"/>
        <v/>
      </c>
      <c r="B803" t="s">
        <v>2281</v>
      </c>
      <c r="C803" s="1">
        <v>45954</v>
      </c>
      <c r="F803" s="146"/>
      <c r="G803" s="146"/>
      <c r="H803" t="s">
        <v>3452</v>
      </c>
      <c r="I803" s="81">
        <v>150000</v>
      </c>
      <c r="J803" s="161"/>
      <c r="K803" s="159">
        <f>K802+I803-J803</f>
        <v>789943.32999999938</v>
      </c>
    </row>
    <row r="804" spans="1:11" ht="15">
      <c r="A804" s="54" t="str">
        <f t="shared" si="27"/>
        <v/>
      </c>
      <c r="B804" t="s">
        <v>2281</v>
      </c>
      <c r="C804" s="1">
        <v>45954</v>
      </c>
      <c r="F804" s="146"/>
      <c r="G804" s="146"/>
      <c r="H804" t="s">
        <v>3466</v>
      </c>
      <c r="I804" s="161">
        <v>21710</v>
      </c>
      <c r="J804" s="161"/>
      <c r="K804" s="159">
        <f>K803+I804-J804</f>
        <v>811653.32999999938</v>
      </c>
    </row>
    <row r="805" spans="1:11" ht="15">
      <c r="A805" s="54" t="str">
        <f t="shared" si="27"/>
        <v/>
      </c>
      <c r="B805" t="s">
        <v>2281</v>
      </c>
      <c r="C805" s="1">
        <v>45954</v>
      </c>
      <c r="F805" s="146"/>
      <c r="G805" s="146"/>
      <c r="H805" t="s">
        <v>3468</v>
      </c>
      <c r="I805" s="161">
        <v>5431.57</v>
      </c>
      <c r="J805" s="161"/>
      <c r="K805" s="159">
        <f>K804+I805-J805</f>
        <v>817084.89999999932</v>
      </c>
    </row>
    <row r="806" spans="1:11" ht="15">
      <c r="A806" s="54" t="str">
        <f t="shared" si="27"/>
        <v/>
      </c>
      <c r="B806" t="s">
        <v>2281</v>
      </c>
      <c r="C806" s="1">
        <v>45954</v>
      </c>
      <c r="F806" s="146"/>
      <c r="G806" s="146"/>
      <c r="H806" t="s">
        <v>3467</v>
      </c>
      <c r="I806" s="161">
        <v>10094</v>
      </c>
      <c r="J806" s="161"/>
      <c r="K806" s="159">
        <f>K805+I806-J806</f>
        <v>827178.89999999932</v>
      </c>
    </row>
    <row r="807" spans="1:11" ht="15">
      <c r="A807" s="54" t="str">
        <f t="shared" si="27"/>
        <v/>
      </c>
      <c r="B807" t="s">
        <v>2281</v>
      </c>
      <c r="C807" s="1">
        <v>45954</v>
      </c>
      <c r="F807" s="146"/>
      <c r="G807" s="146"/>
      <c r="H807" t="s">
        <v>3547</v>
      </c>
      <c r="I807" s="161"/>
      <c r="J807" s="161">
        <v>585749.4</v>
      </c>
      <c r="K807" s="159">
        <f>K806+I807-J807</f>
        <v>241429.4999999993</v>
      </c>
    </row>
    <row r="808" spans="1:11" ht="15">
      <c r="A808" s="54" t="str">
        <f t="shared" si="27"/>
        <v/>
      </c>
      <c r="B808" t="s">
        <v>2281</v>
      </c>
      <c r="C808" s="1">
        <v>45954</v>
      </c>
      <c r="F808" s="146"/>
      <c r="G808" s="146"/>
      <c r="H808" t="s">
        <v>3903</v>
      </c>
      <c r="I808" s="161"/>
      <c r="J808" s="161">
        <v>188116.2</v>
      </c>
      <c r="K808" s="159">
        <f>K807+I808-J808</f>
        <v>53313.29999999929</v>
      </c>
    </row>
    <row r="809" spans="1:11" ht="15">
      <c r="A809" s="54" t="str">
        <f t="shared" si="27"/>
        <v/>
      </c>
      <c r="B809" t="s">
        <v>2281</v>
      </c>
      <c r="C809" s="1">
        <v>45954</v>
      </c>
      <c r="F809" s="146"/>
      <c r="G809" s="146"/>
      <c r="H809" t="s">
        <v>3851</v>
      </c>
      <c r="I809" s="161"/>
      <c r="J809" s="161">
        <v>35400</v>
      </c>
      <c r="K809" s="159">
        <f>K808+I809-J809</f>
        <v>17913.29999999929</v>
      </c>
    </row>
    <row r="810" spans="1:11" ht="15">
      <c r="A810" s="54" t="str">
        <f t="shared" si="27"/>
        <v>CAPVACACIONES/FINIQUITOSCAPRICHOS</v>
      </c>
      <c r="B810" t="s">
        <v>2281</v>
      </c>
      <c r="C810" s="1">
        <v>45954</v>
      </c>
      <c r="D810" t="s">
        <v>31</v>
      </c>
      <c r="E810" t="s">
        <v>190</v>
      </c>
      <c r="F810" s="146" t="s">
        <v>33</v>
      </c>
      <c r="G810" s="146"/>
      <c r="H810" t="s">
        <v>3904</v>
      </c>
      <c r="I810" s="161"/>
      <c r="J810" s="161">
        <v>900</v>
      </c>
      <c r="K810" s="159">
        <f>K809+I810-J810</f>
        <v>17013.29999999929</v>
      </c>
    </row>
    <row r="811" spans="1:11" ht="15">
      <c r="A811" s="54" t="str">
        <f t="shared" si="27"/>
        <v>HRVACACIONES/FINIQUITOSHR</v>
      </c>
      <c r="B811" t="s">
        <v>2281</v>
      </c>
      <c r="C811" s="1">
        <v>45954</v>
      </c>
      <c r="D811" t="s">
        <v>29</v>
      </c>
      <c r="E811" t="s">
        <v>190</v>
      </c>
      <c r="F811" s="213" t="s">
        <v>29</v>
      </c>
      <c r="G811" s="146"/>
      <c r="H811" t="s">
        <v>3905</v>
      </c>
      <c r="I811" s="161"/>
      <c r="J811" s="161">
        <v>1250</v>
      </c>
      <c r="K811" s="159">
        <f>K810+I811-J811</f>
        <v>15763.29999999929</v>
      </c>
    </row>
    <row r="812" spans="1:11" ht="15">
      <c r="A812" s="54" t="str">
        <f t="shared" si="27"/>
        <v>CAPVACACIONES/FINIQUITOSCAPRICHOS</v>
      </c>
      <c r="B812" t="s">
        <v>2281</v>
      </c>
      <c r="C812" s="1">
        <v>45954</v>
      </c>
      <c r="D812" t="s">
        <v>31</v>
      </c>
      <c r="E812" t="s">
        <v>190</v>
      </c>
      <c r="F812" s="146" t="s">
        <v>33</v>
      </c>
      <c r="G812" s="146"/>
      <c r="H812" t="s">
        <v>3906</v>
      </c>
      <c r="I812" s="161"/>
      <c r="J812" s="161">
        <v>948</v>
      </c>
      <c r="K812" s="159">
        <f>K811+I812-J812</f>
        <v>14815.29999999929</v>
      </c>
    </row>
    <row r="813" spans="1:11" ht="15">
      <c r="A813" s="54" t="str">
        <f t="shared" si="27"/>
        <v>CAPVACACIONES/FINIQUITOSCAPRICHOS</v>
      </c>
      <c r="B813" t="s">
        <v>2281</v>
      </c>
      <c r="C813" s="1">
        <v>45954</v>
      </c>
      <c r="D813" t="s">
        <v>31</v>
      </c>
      <c r="E813" t="s">
        <v>190</v>
      </c>
      <c r="F813" s="146" t="s">
        <v>33</v>
      </c>
      <c r="G813" s="146"/>
      <c r="H813" t="s">
        <v>3907</v>
      </c>
      <c r="I813" s="161"/>
      <c r="J813" s="161">
        <v>2948</v>
      </c>
      <c r="K813" s="159">
        <f>K812+I813-J813</f>
        <v>11867.29999999929</v>
      </c>
    </row>
    <row r="814" spans="1:11" ht="15">
      <c r="A814" s="54" t="str">
        <f t="shared" si="27"/>
        <v>CAPVACACIONES/FINIQUITOSCAPRICHOS</v>
      </c>
      <c r="B814" t="s">
        <v>2281</v>
      </c>
      <c r="C814" s="1">
        <v>45954</v>
      </c>
      <c r="D814" t="s">
        <v>31</v>
      </c>
      <c r="E814" t="s">
        <v>190</v>
      </c>
      <c r="F814" s="146" t="s">
        <v>33</v>
      </c>
      <c r="G814" s="146"/>
      <c r="H814" t="s">
        <v>3908</v>
      </c>
      <c r="I814" s="161"/>
      <c r="J814" s="161">
        <v>1450</v>
      </c>
      <c r="K814" s="159">
        <f>K813+I814-J814</f>
        <v>10417.29999999929</v>
      </c>
    </row>
    <row r="815" spans="1:11" ht="15">
      <c r="A815" s="54" t="str">
        <f t="shared" si="27"/>
        <v>HRVACACIONES/FINIQUITOSHR</v>
      </c>
      <c r="B815" t="s">
        <v>2281</v>
      </c>
      <c r="C815" s="1">
        <v>45954</v>
      </c>
      <c r="D815" t="s">
        <v>29</v>
      </c>
      <c r="E815" t="s">
        <v>190</v>
      </c>
      <c r="F815" s="213" t="s">
        <v>29</v>
      </c>
      <c r="G815" s="146"/>
      <c r="H815" t="s">
        <v>3909</v>
      </c>
      <c r="I815" s="161"/>
      <c r="J815" s="161">
        <v>3540</v>
      </c>
      <c r="K815" s="159">
        <f>K814+I815-J815</f>
        <v>6877.2999999992899</v>
      </c>
    </row>
    <row r="816" spans="1:11" ht="15">
      <c r="A816" s="54" t="str">
        <f t="shared" si="27"/>
        <v>MKTNOMINA ADMONMKT</v>
      </c>
      <c r="B816" t="s">
        <v>2281</v>
      </c>
      <c r="C816" s="1">
        <v>45955</v>
      </c>
      <c r="D816" t="s">
        <v>19</v>
      </c>
      <c r="E816" t="s">
        <v>147</v>
      </c>
      <c r="F816" s="146" t="s">
        <v>19</v>
      </c>
      <c r="G816" s="146"/>
      <c r="H816" t="s">
        <v>3910</v>
      </c>
      <c r="I816" s="161"/>
      <c r="J816" s="161">
        <f>1035+415</f>
        <v>1450</v>
      </c>
      <c r="K816" s="159">
        <f>K815+I816-J816</f>
        <v>5427.2999999992899</v>
      </c>
    </row>
    <row r="817" spans="1:11" ht="15">
      <c r="A817" s="54" t="str">
        <f t="shared" si="27"/>
        <v/>
      </c>
      <c r="B817" t="s">
        <v>2281</v>
      </c>
      <c r="C817" s="1">
        <v>45957</v>
      </c>
      <c r="F817" s="146"/>
      <c r="G817" s="146"/>
      <c r="H817" t="s">
        <v>3452</v>
      </c>
      <c r="I817" s="161">
        <v>300000</v>
      </c>
      <c r="J817" s="161"/>
      <c r="K817" s="159">
        <f>K816+I817-J817</f>
        <v>305427.29999999929</v>
      </c>
    </row>
    <row r="818" spans="1:11" ht="15">
      <c r="A818" s="54" t="str">
        <f t="shared" si="27"/>
        <v>CAPVACACIONES/FINIQUITOSCAPRICHOS</v>
      </c>
      <c r="B818" t="s">
        <v>2281</v>
      </c>
      <c r="C818" s="1">
        <v>45957</v>
      </c>
      <c r="D818" t="s">
        <v>31</v>
      </c>
      <c r="E818" t="s">
        <v>190</v>
      </c>
      <c r="F818" s="146" t="s">
        <v>33</v>
      </c>
      <c r="G818" s="146"/>
      <c r="H818" t="s">
        <v>3911</v>
      </c>
      <c r="I818" s="161"/>
      <c r="J818" s="161">
        <v>3866</v>
      </c>
      <c r="K818" s="159">
        <f>K817+I818-J818</f>
        <v>301561.29999999929</v>
      </c>
    </row>
    <row r="819" spans="1:11" ht="15">
      <c r="A819" s="54" t="str">
        <f t="shared" si="27"/>
        <v>CAPVACACIONES/FINIQUITOSCAPRICHOS</v>
      </c>
      <c r="B819" t="s">
        <v>2281</v>
      </c>
      <c r="C819" s="1">
        <v>45957</v>
      </c>
      <c r="D819" t="s">
        <v>31</v>
      </c>
      <c r="E819" t="s">
        <v>190</v>
      </c>
      <c r="F819" s="146" t="s">
        <v>33</v>
      </c>
      <c r="G819" s="146"/>
      <c r="H819" t="s">
        <v>3912</v>
      </c>
      <c r="I819" s="161"/>
      <c r="J819" s="161">
        <v>1000</v>
      </c>
      <c r="K819" s="159">
        <f>K818+I819-J819</f>
        <v>300561.29999999929</v>
      </c>
    </row>
    <row r="820" spans="1:11" ht="15">
      <c r="A820" s="54" t="str">
        <f t="shared" si="27"/>
        <v/>
      </c>
      <c r="B820" t="s">
        <v>2281</v>
      </c>
      <c r="C820" s="1">
        <v>45958</v>
      </c>
      <c r="F820" s="146"/>
      <c r="G820" s="146"/>
      <c r="H820" t="s">
        <v>3452</v>
      </c>
      <c r="I820" s="161">
        <v>200000</v>
      </c>
      <c r="J820" s="161"/>
      <c r="K820" s="159">
        <f>K819+I820-J820</f>
        <v>500561.29999999929</v>
      </c>
    </row>
    <row r="821" spans="1:11" ht="15">
      <c r="A821" s="54" t="str">
        <f t="shared" si="27"/>
        <v>CAPVACACIONES/FINIQUITOSCAPRICHOS</v>
      </c>
      <c r="B821" t="s">
        <v>2281</v>
      </c>
      <c r="C821" s="1">
        <v>45958</v>
      </c>
      <c r="D821" t="s">
        <v>31</v>
      </c>
      <c r="E821" t="s">
        <v>190</v>
      </c>
      <c r="F821" s="146" t="s">
        <v>33</v>
      </c>
      <c r="G821" s="146"/>
      <c r="H821" t="s">
        <v>3913</v>
      </c>
      <c r="I821" s="161"/>
      <c r="J821" s="161">
        <v>906</v>
      </c>
      <c r="K821" s="159">
        <f>K820+I821-J821</f>
        <v>499655.29999999929</v>
      </c>
    </row>
    <row r="822" spans="1:11" ht="15">
      <c r="A822" s="54" t="str">
        <f t="shared" si="27"/>
        <v/>
      </c>
      <c r="B822" t="s">
        <v>2281</v>
      </c>
      <c r="C822" s="1">
        <v>45960</v>
      </c>
      <c r="F822" s="146"/>
      <c r="G822" s="146"/>
      <c r="H822" t="s">
        <v>3452</v>
      </c>
      <c r="I822" s="161">
        <v>300000</v>
      </c>
      <c r="J822" s="161"/>
      <c r="K822" s="159">
        <f>K821+I822-J822</f>
        <v>799655.29999999935</v>
      </c>
    </row>
    <row r="823" spans="1:11" ht="15">
      <c r="A823" s="54" t="str">
        <f t="shared" si="27"/>
        <v/>
      </c>
      <c r="B823" t="s">
        <v>2281</v>
      </c>
      <c r="C823" s="1">
        <v>45960</v>
      </c>
      <c r="F823" s="146"/>
      <c r="G823" s="146"/>
      <c r="H823" t="s">
        <v>3466</v>
      </c>
      <c r="I823" s="161">
        <v>21708.77</v>
      </c>
      <c r="J823" s="161"/>
      <c r="K823" s="159">
        <f>K822+I823-J823</f>
        <v>821364.06999999937</v>
      </c>
    </row>
    <row r="824" spans="1:11" ht="15">
      <c r="A824" s="54" t="str">
        <f t="shared" si="27"/>
        <v/>
      </c>
      <c r="B824" t="s">
        <v>2281</v>
      </c>
      <c r="C824" s="1">
        <v>45960</v>
      </c>
      <c r="F824" s="146"/>
      <c r="G824" s="146"/>
      <c r="H824" t="s">
        <v>3468</v>
      </c>
      <c r="I824" s="161">
        <v>4252.8</v>
      </c>
      <c r="J824" s="161"/>
      <c r="K824" s="159">
        <f>K823+I824-J824</f>
        <v>825616.86999999941</v>
      </c>
    </row>
    <row r="825" spans="1:11" ht="15">
      <c r="A825" s="54" t="str">
        <f t="shared" si="27"/>
        <v/>
      </c>
      <c r="B825" t="s">
        <v>2281</v>
      </c>
      <c r="C825" s="1">
        <v>45960</v>
      </c>
      <c r="F825" s="146"/>
      <c r="G825" s="146"/>
      <c r="H825" t="s">
        <v>3467</v>
      </c>
      <c r="I825" s="161">
        <v>10514.94</v>
      </c>
      <c r="J825" s="161"/>
      <c r="K825" s="159">
        <f>K824+I825-J825</f>
        <v>836131.80999999936</v>
      </c>
    </row>
    <row r="826" spans="1:11" ht="15">
      <c r="A826" s="54" t="str">
        <f t="shared" si="27"/>
        <v/>
      </c>
      <c r="B826" t="s">
        <v>2281</v>
      </c>
      <c r="C826" s="1">
        <v>45960</v>
      </c>
      <c r="F826" s="146"/>
      <c r="G826" s="146"/>
      <c r="H826" t="s">
        <v>3914</v>
      </c>
      <c r="I826" s="161"/>
      <c r="J826" s="161">
        <v>564508.19999999995</v>
      </c>
      <c r="K826" s="159">
        <f>K825+I826-J826</f>
        <v>271623.6099999994</v>
      </c>
    </row>
    <row r="827" spans="1:11" ht="15">
      <c r="A827" s="54" t="str">
        <f t="shared" si="27"/>
        <v/>
      </c>
      <c r="B827" t="s">
        <v>2281</v>
      </c>
      <c r="C827" s="1">
        <v>45960</v>
      </c>
      <c r="F827" s="146"/>
      <c r="G827" s="146"/>
      <c r="H827" t="s">
        <v>3915</v>
      </c>
      <c r="I827" s="161"/>
      <c r="J827" s="161">
        <v>212459.4</v>
      </c>
      <c r="K827" s="159">
        <f>K826+I827-J827</f>
        <v>59164.20999999941</v>
      </c>
    </row>
    <row r="828" spans="1:11" ht="15">
      <c r="A828" s="54" t="str">
        <f t="shared" si="27"/>
        <v/>
      </c>
      <c r="B828" t="s">
        <v>2281</v>
      </c>
      <c r="C828" s="1">
        <v>45960</v>
      </c>
      <c r="F828" s="146"/>
      <c r="G828" s="146"/>
      <c r="H828" t="s">
        <v>3916</v>
      </c>
      <c r="I828" s="161"/>
      <c r="J828" s="161">
        <v>35400</v>
      </c>
      <c r="K828" s="159">
        <f>K827+I828-J828</f>
        <v>23764.20999999941</v>
      </c>
    </row>
    <row r="829" spans="1:11" ht="15">
      <c r="A829" s="54" t="str">
        <f t="shared" si="27"/>
        <v>FINANZASNOMINA ADMONTESORERIA</v>
      </c>
      <c r="B829" t="s">
        <v>2281</v>
      </c>
      <c r="C829" s="1">
        <v>45961</v>
      </c>
      <c r="D829" t="s">
        <v>23</v>
      </c>
      <c r="E829" t="s">
        <v>147</v>
      </c>
      <c r="F829" s="146" t="s">
        <v>38</v>
      </c>
      <c r="G829" s="146"/>
      <c r="H829" t="s">
        <v>3917</v>
      </c>
      <c r="I829" s="161"/>
      <c r="J829" s="161">
        <v>600</v>
      </c>
      <c r="K829" s="159">
        <f>K828+I829-J829</f>
        <v>23164.20999999941</v>
      </c>
    </row>
    <row r="830" spans="1:11" ht="15">
      <c r="A830" s="54" t="str">
        <f t="shared" si="27"/>
        <v>SERVICIOSNOMINA SUCURSALCEDIS</v>
      </c>
      <c r="B830" t="s">
        <v>2281</v>
      </c>
      <c r="C830" s="1">
        <v>45962</v>
      </c>
      <c r="D830" t="s">
        <v>21</v>
      </c>
      <c r="E830" t="s">
        <v>154</v>
      </c>
      <c r="F830" s="146" t="s">
        <v>28</v>
      </c>
      <c r="G830" s="146"/>
      <c r="H830" t="s">
        <v>3918</v>
      </c>
      <c r="I830" s="161"/>
      <c r="J830" s="161">
        <v>150</v>
      </c>
      <c r="K830" s="159">
        <f>K829+I830-J830</f>
        <v>23014.20999999941</v>
      </c>
    </row>
    <row r="831" spans="1:11" ht="15">
      <c r="A831" s="54" t="str">
        <f t="shared" si="27"/>
        <v>MELNOMINA ADMONMELISSA</v>
      </c>
      <c r="B831" t="s">
        <v>2281</v>
      </c>
      <c r="C831" s="1">
        <v>45962</v>
      </c>
      <c r="D831" t="s">
        <v>43</v>
      </c>
      <c r="E831" s="12" t="s">
        <v>147</v>
      </c>
      <c r="F831" s="12" t="s">
        <v>44</v>
      </c>
      <c r="G831" s="146"/>
      <c r="H831" t="s">
        <v>3919</v>
      </c>
      <c r="I831" s="161"/>
      <c r="J831" s="161">
        <v>150</v>
      </c>
      <c r="K831" s="159">
        <f>K830+I831-J831</f>
        <v>22864.20999999941</v>
      </c>
    </row>
    <row r="832" spans="1:11" ht="15">
      <c r="A832" s="54" t="str">
        <f t="shared" si="27"/>
        <v/>
      </c>
      <c r="B832" t="s">
        <v>2565</v>
      </c>
      <c r="C832" s="1">
        <v>45964</v>
      </c>
      <c r="F832" s="146"/>
      <c r="G832" s="146"/>
      <c r="H832" t="s">
        <v>3920</v>
      </c>
      <c r="I832" s="81">
        <v>150</v>
      </c>
      <c r="J832" s="161"/>
      <c r="K832" s="159">
        <f>K831+I832-J832</f>
        <v>23014.20999999941</v>
      </c>
    </row>
    <row r="833" spans="1:11" ht="15">
      <c r="A833" s="54" t="str">
        <f t="shared" si="27"/>
        <v/>
      </c>
      <c r="B833" t="s">
        <v>2565</v>
      </c>
      <c r="C833" s="1">
        <v>45964</v>
      </c>
      <c r="F833" s="146"/>
      <c r="G833" s="146"/>
      <c r="H833" t="s">
        <v>3921</v>
      </c>
      <c r="I833" s="161">
        <v>400000</v>
      </c>
      <c r="J833" s="161"/>
      <c r="K833" s="159">
        <f>K832+I833-J833</f>
        <v>423014.20999999938</v>
      </c>
    </row>
    <row r="834" spans="1:11" ht="15">
      <c r="A834" s="54" t="str">
        <f t="shared" si="27"/>
        <v>CAPVACACIONES/FINIQUITOSCAPRICHOS</v>
      </c>
      <c r="B834" t="s">
        <v>2565</v>
      </c>
      <c r="C834" s="1">
        <v>45965</v>
      </c>
      <c r="D834" t="s">
        <v>31</v>
      </c>
      <c r="E834" t="s">
        <v>190</v>
      </c>
      <c r="F834" s="146" t="s">
        <v>33</v>
      </c>
      <c r="G834" s="146"/>
      <c r="H834" t="s">
        <v>3922</v>
      </c>
      <c r="I834" s="161"/>
      <c r="J834" s="161">
        <v>550</v>
      </c>
      <c r="K834" s="159">
        <f>K833+I834-J834</f>
        <v>422464.20999999938</v>
      </c>
    </row>
    <row r="835" spans="1:11" ht="15">
      <c r="A835" s="54" t="str">
        <f>D835&amp;E835&amp;F835</f>
        <v>CAPVACACIONES/FINIQUITOSCAPRICHOS</v>
      </c>
      <c r="B835" t="s">
        <v>2565</v>
      </c>
      <c r="C835" s="1">
        <v>45965</v>
      </c>
      <c r="D835" t="s">
        <v>31</v>
      </c>
      <c r="E835" t="s">
        <v>190</v>
      </c>
      <c r="F835" s="146" t="s">
        <v>33</v>
      </c>
      <c r="G835" s="146"/>
      <c r="H835" t="s">
        <v>3923</v>
      </c>
      <c r="I835" s="161"/>
      <c r="J835" s="161">
        <v>3029</v>
      </c>
      <c r="K835" s="159">
        <f>K834+I835-J835</f>
        <v>419435.20999999938</v>
      </c>
    </row>
    <row r="836" spans="1:11" ht="15">
      <c r="A836" s="54" t="str">
        <f>D836&amp;E836&amp;F836</f>
        <v>HRVACACIONES/FINIQUITOSHR</v>
      </c>
      <c r="B836" t="s">
        <v>2565</v>
      </c>
      <c r="C836" s="1">
        <v>45965</v>
      </c>
      <c r="D836" t="s">
        <v>29</v>
      </c>
      <c r="E836" t="s">
        <v>190</v>
      </c>
      <c r="F836" s="213" t="s">
        <v>29</v>
      </c>
      <c r="G836" s="146"/>
      <c r="H836" t="s">
        <v>3924</v>
      </c>
      <c r="I836" s="161"/>
      <c r="J836" s="161">
        <v>5032</v>
      </c>
      <c r="K836" s="159">
        <f>K835+I836-J836</f>
        <v>414403.20999999938</v>
      </c>
    </row>
    <row r="837" spans="1:11" ht="15">
      <c r="A837" s="54" t="str">
        <f>D837&amp;E837&amp;F837</f>
        <v/>
      </c>
      <c r="B837" t="s">
        <v>2565</v>
      </c>
      <c r="C837" s="1">
        <v>45965</v>
      </c>
      <c r="F837" s="146"/>
      <c r="G837" s="146"/>
      <c r="H837" t="s">
        <v>3921</v>
      </c>
      <c r="I837" s="161">
        <v>150000</v>
      </c>
      <c r="J837" s="161"/>
      <c r="K837" s="159">
        <f>K836+I837-J837</f>
        <v>564403.20999999938</v>
      </c>
    </row>
    <row r="838" spans="1:11" ht="15">
      <c r="A838" s="54" t="str">
        <f>D838&amp;E838&amp;F838</f>
        <v/>
      </c>
      <c r="B838" t="s">
        <v>2565</v>
      </c>
      <c r="C838" s="1">
        <v>45966</v>
      </c>
      <c r="G838" s="146"/>
      <c r="H838" t="s">
        <v>3921</v>
      </c>
      <c r="I838" s="161">
        <v>100000</v>
      </c>
      <c r="J838" s="161"/>
      <c r="K838" s="159">
        <f>K837+I838-J838</f>
        <v>664403.20999999938</v>
      </c>
    </row>
    <row r="839" spans="1:11" ht="15">
      <c r="A839" s="54" t="str">
        <f>D839&amp;E839&amp;F839</f>
        <v>CAPVACACIONES/FINIQUITOSCAPRICHOS</v>
      </c>
      <c r="B839" t="s">
        <v>2565</v>
      </c>
      <c r="C839" s="1">
        <v>45967</v>
      </c>
      <c r="D839" t="s">
        <v>31</v>
      </c>
      <c r="E839" t="s">
        <v>190</v>
      </c>
      <c r="F839" s="146" t="s">
        <v>33</v>
      </c>
      <c r="G839" s="146"/>
      <c r="H839" t="s">
        <v>3925</v>
      </c>
      <c r="I839" s="161"/>
      <c r="J839" s="161">
        <v>1276</v>
      </c>
      <c r="K839" s="159">
        <f>K838+I839-J839</f>
        <v>663127.20999999938</v>
      </c>
    </row>
    <row r="840" spans="1:11" ht="15">
      <c r="A840" s="54" t="str">
        <f>D840&amp;E840&amp;F840</f>
        <v>HRVACACIONES/FINIQUITOSHR</v>
      </c>
      <c r="B840" t="s">
        <v>2565</v>
      </c>
      <c r="C840" s="1">
        <v>45967</v>
      </c>
      <c r="D840" t="s">
        <v>29</v>
      </c>
      <c r="E840" t="s">
        <v>190</v>
      </c>
      <c r="F840" s="213" t="s">
        <v>29</v>
      </c>
      <c r="G840" s="146"/>
      <c r="H840" t="s">
        <v>3926</v>
      </c>
      <c r="I840" s="161"/>
      <c r="J840" s="161">
        <v>426</v>
      </c>
      <c r="K840" s="159">
        <f>K839+I840-J840</f>
        <v>662701.20999999938</v>
      </c>
    </row>
    <row r="841" spans="1:11" ht="15">
      <c r="A841" s="54" t="str">
        <f>D841&amp;E841&amp;F841</f>
        <v/>
      </c>
      <c r="B841" t="s">
        <v>2565</v>
      </c>
      <c r="C841" s="1">
        <v>45968</v>
      </c>
      <c r="F841" s="146"/>
      <c r="G841" s="146"/>
      <c r="H841" t="s">
        <v>3921</v>
      </c>
      <c r="I841" s="161">
        <v>185000</v>
      </c>
      <c r="J841" s="161"/>
      <c r="K841" s="159">
        <f>K840+I841-J841</f>
        <v>847701.20999999938</v>
      </c>
    </row>
    <row r="842" spans="1:11" ht="15">
      <c r="A842" s="54" t="str">
        <f>D842&amp;E842&amp;F842</f>
        <v/>
      </c>
      <c r="B842" t="s">
        <v>2565</v>
      </c>
      <c r="C842" s="1">
        <v>45968</v>
      </c>
      <c r="F842" s="146"/>
      <c r="G842" s="146"/>
      <c r="H842" t="s">
        <v>3466</v>
      </c>
      <c r="I842" s="161">
        <v>21711.17</v>
      </c>
      <c r="J842" s="161"/>
      <c r="K842" s="159">
        <f>K841+I842-J842</f>
        <v>869412.37999999942</v>
      </c>
    </row>
    <row r="843" spans="1:11" ht="15">
      <c r="A843" s="54" t="str">
        <f>D843&amp;E843&amp;F843</f>
        <v/>
      </c>
      <c r="B843" t="s">
        <v>2565</v>
      </c>
      <c r="C843" s="1">
        <v>45968</v>
      </c>
      <c r="F843" s="146"/>
      <c r="G843" s="146"/>
      <c r="H843" t="s">
        <v>3468</v>
      </c>
      <c r="I843" s="161">
        <v>5900.4</v>
      </c>
      <c r="J843" s="161"/>
      <c r="K843" s="159">
        <f>K842+I843-J843</f>
        <v>875312.77999999945</v>
      </c>
    </row>
    <row r="844" spans="1:11" ht="15">
      <c r="A844" s="54" t="str">
        <f>D844&amp;E844&amp;F844</f>
        <v/>
      </c>
      <c r="B844" t="s">
        <v>2565</v>
      </c>
      <c r="C844" s="1">
        <v>45968</v>
      </c>
      <c r="F844" s="146"/>
      <c r="G844" s="146"/>
      <c r="H844" t="s">
        <v>3467</v>
      </c>
      <c r="I844" s="161">
        <v>10274.94</v>
      </c>
      <c r="J844" s="161"/>
      <c r="K844" s="159">
        <f>K843+I844-J844</f>
        <v>885587.71999999939</v>
      </c>
    </row>
    <row r="845" spans="1:11" ht="15">
      <c r="A845" s="54" t="str">
        <f>D845&amp;E845&amp;F845</f>
        <v/>
      </c>
      <c r="B845" t="s">
        <v>2565</v>
      </c>
      <c r="C845" s="1">
        <v>45968</v>
      </c>
      <c r="F845" s="146"/>
      <c r="G845" s="146"/>
      <c r="H845" t="s">
        <v>3547</v>
      </c>
      <c r="I845" s="161"/>
      <c r="J845" s="161">
        <v>626017.4</v>
      </c>
      <c r="K845" s="159">
        <f>K844+I845-J845</f>
        <v>259570.31999999937</v>
      </c>
    </row>
    <row r="846" spans="1:11" ht="15">
      <c r="A846" s="54" t="str">
        <f>D846&amp;E846&amp;F846</f>
        <v/>
      </c>
      <c r="B846" t="s">
        <v>2565</v>
      </c>
      <c r="C846" s="1">
        <v>45968</v>
      </c>
      <c r="F846" s="146"/>
      <c r="G846" s="146"/>
      <c r="H846" t="s">
        <v>3812</v>
      </c>
      <c r="I846" s="161"/>
      <c r="J846" s="161">
        <v>221744</v>
      </c>
      <c r="K846" s="159">
        <f>K845+I846-J846</f>
        <v>37826.319999999367</v>
      </c>
    </row>
    <row r="847" spans="1:11" ht="15">
      <c r="A847" s="54" t="str">
        <f>D847&amp;E847&amp;F847</f>
        <v/>
      </c>
      <c r="B847" t="s">
        <v>2565</v>
      </c>
      <c r="C847" s="1">
        <v>45968</v>
      </c>
      <c r="F847" s="146"/>
      <c r="G847" s="146"/>
      <c r="H847" t="s">
        <v>3507</v>
      </c>
      <c r="I847" s="161"/>
      <c r="J847" s="161">
        <v>35400</v>
      </c>
      <c r="K847" s="159">
        <f>K846+I847-J847</f>
        <v>2426.3199999993667</v>
      </c>
    </row>
    <row r="848" spans="1:11" ht="15">
      <c r="A848" s="54" t="str">
        <f>D848&amp;E848&amp;F848</f>
        <v/>
      </c>
      <c r="B848" t="s">
        <v>2565</v>
      </c>
      <c r="C848" s="1">
        <v>45971</v>
      </c>
      <c r="F848" s="146"/>
      <c r="G848" s="146"/>
      <c r="H848" t="s">
        <v>3452</v>
      </c>
      <c r="I848" s="161">
        <v>300000</v>
      </c>
      <c r="J848" s="161"/>
      <c r="K848" s="159">
        <f>K847+I848-J848</f>
        <v>302426.31999999937</v>
      </c>
    </row>
    <row r="849" spans="1:11" ht="15">
      <c r="A849" s="54" t="str">
        <f>D849&amp;E849&amp;F849</f>
        <v>SERVICIOSVACACIONES/FINIQUITOSSERVICIOS</v>
      </c>
      <c r="B849" t="s">
        <v>2565</v>
      </c>
      <c r="C849" s="1">
        <v>45972</v>
      </c>
      <c r="D849" t="s">
        <v>21</v>
      </c>
      <c r="E849" t="s">
        <v>190</v>
      </c>
      <c r="F849" s="146" t="s">
        <v>21</v>
      </c>
      <c r="G849" s="146"/>
      <c r="H849" t="s">
        <v>3927</v>
      </c>
      <c r="I849" s="161"/>
      <c r="J849" s="161">
        <v>2566</v>
      </c>
      <c r="K849" s="159">
        <f>K848+I849-J849</f>
        <v>299860.31999999937</v>
      </c>
    </row>
    <row r="850" spans="1:11" ht="15">
      <c r="A850" s="54" t="str">
        <f>D850&amp;E850&amp;F850</f>
        <v/>
      </c>
      <c r="B850" t="s">
        <v>2565</v>
      </c>
      <c r="C850" s="1">
        <v>45973</v>
      </c>
      <c r="F850" s="146"/>
      <c r="G850" s="146"/>
      <c r="H850" t="s">
        <v>3452</v>
      </c>
      <c r="I850" s="161">
        <v>100000</v>
      </c>
      <c r="J850" s="161"/>
      <c r="K850" s="159">
        <f>K849+I850-J850</f>
        <v>399860.31999999937</v>
      </c>
    </row>
    <row r="851" spans="1:11" ht="15">
      <c r="A851" s="54" t="str">
        <f>D851&amp;E851&amp;F851</f>
        <v/>
      </c>
      <c r="B851" t="s">
        <v>2565</v>
      </c>
      <c r="C851" s="1">
        <v>45974</v>
      </c>
      <c r="F851" s="146"/>
      <c r="G851" s="146"/>
      <c r="H851" t="s">
        <v>3452</v>
      </c>
      <c r="I851" s="161">
        <v>190000</v>
      </c>
      <c r="J851" s="161"/>
      <c r="K851" s="159">
        <f>K850+I851-J851</f>
        <v>589860.31999999937</v>
      </c>
    </row>
    <row r="852" spans="1:11" ht="15">
      <c r="A852" s="54" t="str">
        <f>D852&amp;E852&amp;F852</f>
        <v/>
      </c>
      <c r="B852" t="s">
        <v>2565</v>
      </c>
      <c r="C852" s="1">
        <v>45974</v>
      </c>
      <c r="F852" s="146"/>
      <c r="G852" s="146"/>
      <c r="H852" t="s">
        <v>3466</v>
      </c>
      <c r="I852" s="161">
        <v>21710.97</v>
      </c>
      <c r="J852" s="161"/>
      <c r="K852" s="159">
        <f>K851+I852-J852</f>
        <v>611571.28999999934</v>
      </c>
    </row>
    <row r="853" spans="1:11" ht="15">
      <c r="A853" s="54" t="str">
        <f>D853&amp;E853&amp;F853</f>
        <v/>
      </c>
      <c r="B853" t="s">
        <v>2565</v>
      </c>
      <c r="C853" s="1">
        <v>45974</v>
      </c>
      <c r="F853" s="146"/>
      <c r="G853" s="146"/>
      <c r="H853" t="s">
        <v>3468</v>
      </c>
      <c r="I853" s="161">
        <v>5702.4</v>
      </c>
      <c r="J853" s="161"/>
      <c r="K853" s="159">
        <f>K852+I853-J853</f>
        <v>617273.68999999936</v>
      </c>
    </row>
    <row r="854" spans="1:11" ht="15">
      <c r="A854" s="54" t="str">
        <f>D854&amp;E854&amp;F854</f>
        <v/>
      </c>
      <c r="B854" t="s">
        <v>2565</v>
      </c>
      <c r="C854" s="1">
        <v>45974</v>
      </c>
      <c r="F854" s="146"/>
      <c r="G854" s="146"/>
      <c r="H854" t="s">
        <v>3467</v>
      </c>
      <c r="I854" s="161">
        <v>10274.94</v>
      </c>
      <c r="J854" s="161"/>
      <c r="K854" s="159">
        <f>K853+I854-J854</f>
        <v>627548.62999999931</v>
      </c>
    </row>
    <row r="855" spans="1:11" ht="15">
      <c r="A855" s="54" t="str">
        <f>D855&amp;E855&amp;F855</f>
        <v/>
      </c>
      <c r="B855" t="s">
        <v>2565</v>
      </c>
      <c r="C855" s="1">
        <v>45974</v>
      </c>
      <c r="F855" s="146"/>
      <c r="G855" s="146"/>
      <c r="H855" t="s">
        <v>3928</v>
      </c>
      <c r="I855" s="161"/>
      <c r="J855" s="161">
        <v>608163</v>
      </c>
      <c r="K855" s="159">
        <f>K854+I855-J855</f>
        <v>19385.629999999306</v>
      </c>
    </row>
    <row r="856" spans="1:11" ht="15">
      <c r="A856" s="54" t="str">
        <f>D856&amp;E856&amp;F856</f>
        <v/>
      </c>
      <c r="B856" t="s">
        <v>2565</v>
      </c>
      <c r="C856" s="1">
        <v>45974</v>
      </c>
      <c r="F856" s="146"/>
      <c r="G856" s="146"/>
      <c r="H856" t="s">
        <v>3929</v>
      </c>
      <c r="I856" s="161"/>
      <c r="J856" s="161">
        <v>196859</v>
      </c>
      <c r="K856" s="159">
        <f>K855+I856-J856</f>
        <v>-177473.37000000069</v>
      </c>
    </row>
    <row r="857" spans="1:11" ht="15">
      <c r="A857" s="54" t="str">
        <f>D857&amp;E857&amp;F857</f>
        <v/>
      </c>
      <c r="B857" t="s">
        <v>2565</v>
      </c>
      <c r="C857" s="1">
        <v>45974</v>
      </c>
      <c r="F857" s="146"/>
      <c r="G857" s="146"/>
      <c r="H857" t="s">
        <v>3632</v>
      </c>
      <c r="I857" s="161"/>
      <c r="J857" s="161">
        <v>41149</v>
      </c>
      <c r="K857" s="159">
        <f>K856+I857-J857</f>
        <v>-218622.37000000069</v>
      </c>
    </row>
    <row r="858" spans="1:11" ht="15">
      <c r="A858" s="54" t="str">
        <f>D858&amp;E858&amp;F858</f>
        <v>CAPVACACIONES/FINIQUITOSCAPRICHOS</v>
      </c>
      <c r="B858" t="s">
        <v>2565</v>
      </c>
      <c r="C858" s="1">
        <v>45975</v>
      </c>
      <c r="D858" t="s">
        <v>31</v>
      </c>
      <c r="E858" t="s">
        <v>190</v>
      </c>
      <c r="F858" s="146" t="s">
        <v>33</v>
      </c>
      <c r="G858" s="146"/>
      <c r="H858" t="s">
        <v>3930</v>
      </c>
      <c r="I858" s="161"/>
      <c r="J858" s="161">
        <v>12304</v>
      </c>
      <c r="K858" s="159">
        <f>K857+I858-J858</f>
        <v>-230926.37000000069</v>
      </c>
    </row>
    <row r="859" spans="1:11" ht="15">
      <c r="A859" s="54" t="str">
        <f>D859&amp;E859&amp;F859</f>
        <v>CAPVACACIONES/FINIQUITOSCAPRICHOS</v>
      </c>
      <c r="B859" t="s">
        <v>2565</v>
      </c>
      <c r="C859" s="1">
        <v>45975</v>
      </c>
      <c r="D859" t="s">
        <v>31</v>
      </c>
      <c r="E859" t="s">
        <v>190</v>
      </c>
      <c r="F859" s="146" t="s">
        <v>33</v>
      </c>
      <c r="G859" s="146"/>
      <c r="H859" t="s">
        <v>3931</v>
      </c>
      <c r="I859" s="161"/>
      <c r="J859" s="161">
        <v>2636</v>
      </c>
      <c r="K859" s="159">
        <f>K858+I859-J859</f>
        <v>-233562.37000000069</v>
      </c>
    </row>
    <row r="860" spans="1:11" ht="15">
      <c r="A860" s="54" t="str">
        <f>D860&amp;E860&amp;F860</f>
        <v>SERVICIOS</v>
      </c>
      <c r="B860" t="s">
        <v>2565</v>
      </c>
      <c r="C860" s="1">
        <v>45975</v>
      </c>
      <c r="D860" t="s">
        <v>21</v>
      </c>
      <c r="F860" s="146"/>
      <c r="G860" s="146"/>
      <c r="H860" t="s">
        <v>3932</v>
      </c>
      <c r="I860" s="161"/>
      <c r="J860" s="161">
        <v>16000</v>
      </c>
      <c r="K860" s="159">
        <f>K859+I860-J860</f>
        <v>-249562.37000000069</v>
      </c>
    </row>
    <row r="861" spans="1:11" ht="15">
      <c r="A861" s="54" t="str">
        <f>D861&amp;E861&amp;F861</f>
        <v/>
      </c>
      <c r="B861" t="s">
        <v>2565</v>
      </c>
      <c r="C861" s="1">
        <v>45975</v>
      </c>
      <c r="F861" s="146"/>
      <c r="G861" s="146"/>
      <c r="H861" t="s">
        <v>3933</v>
      </c>
      <c r="I861" s="161">
        <v>150000</v>
      </c>
      <c r="J861" s="161"/>
      <c r="K861" s="159">
        <f>K860+I861-J861</f>
        <v>-99562.370000000694</v>
      </c>
    </row>
    <row r="862" spans="1:11" ht="15">
      <c r="A862" s="54" t="str">
        <f>D862&amp;E862&amp;F862</f>
        <v>HRVACACIONES/FINIQUITOSHR</v>
      </c>
      <c r="B862" t="s">
        <v>2565</v>
      </c>
      <c r="C862" s="1">
        <v>45975</v>
      </c>
      <c r="D862" t="s">
        <v>29</v>
      </c>
      <c r="E862" t="s">
        <v>190</v>
      </c>
      <c r="F862" s="213" t="s">
        <v>29</v>
      </c>
      <c r="G862" s="146"/>
      <c r="H862" t="s">
        <v>3934</v>
      </c>
      <c r="I862" s="161"/>
      <c r="J862" s="161">
        <v>150</v>
      </c>
      <c r="K862" s="159">
        <f>K861+I862-J862</f>
        <v>-99712.370000000694</v>
      </c>
    </row>
    <row r="863" spans="1:11" ht="15">
      <c r="A863" s="54" t="str">
        <f>D863&amp;E863&amp;F863</f>
        <v>HRVACACIONES/FINIQUITOSHR</v>
      </c>
      <c r="B863" t="s">
        <v>2565</v>
      </c>
      <c r="C863" s="1">
        <v>45975</v>
      </c>
      <c r="D863" t="s">
        <v>29</v>
      </c>
      <c r="E863" t="s">
        <v>190</v>
      </c>
      <c r="F863" s="213" t="s">
        <v>29</v>
      </c>
      <c r="G863" s="146"/>
      <c r="H863" t="s">
        <v>3935</v>
      </c>
      <c r="I863" s="161"/>
      <c r="J863" s="161">
        <v>576</v>
      </c>
      <c r="K863" s="159">
        <f>K862+I863-J863</f>
        <v>-100288.37000000069</v>
      </c>
    </row>
    <row r="864" spans="1:11" ht="15">
      <c r="A864" s="54" t="str">
        <f>D864&amp;E864&amp;F864</f>
        <v>HRVACACIONES/FINIQUITOSHR</v>
      </c>
      <c r="B864" t="s">
        <v>2565</v>
      </c>
      <c r="C864" s="1">
        <v>45975</v>
      </c>
      <c r="D864" t="s">
        <v>29</v>
      </c>
      <c r="E864" t="s">
        <v>190</v>
      </c>
      <c r="F864" s="213" t="s">
        <v>29</v>
      </c>
      <c r="G864" s="146"/>
      <c r="H864" t="s">
        <v>3936</v>
      </c>
      <c r="I864" s="161"/>
      <c r="J864" s="161">
        <v>600</v>
      </c>
      <c r="K864" s="159">
        <f>K863+I864-J864</f>
        <v>-100888.37000000069</v>
      </c>
    </row>
    <row r="865" spans="1:11" ht="15">
      <c r="A865" s="54" t="str">
        <f>D865&amp;E865&amp;F865</f>
        <v/>
      </c>
      <c r="B865" t="s">
        <v>2565</v>
      </c>
      <c r="C865" s="1">
        <v>45979</v>
      </c>
      <c r="F865" s="146"/>
      <c r="G865" s="146"/>
      <c r="H865" t="s">
        <v>3472</v>
      </c>
      <c r="I865" s="161">
        <v>500000</v>
      </c>
      <c r="J865" s="161"/>
      <c r="K865" s="159">
        <f>K864+I865-J865</f>
        <v>399111.62999999931</v>
      </c>
    </row>
    <row r="866" spans="1:11" s="229" customFormat="1" ht="15">
      <c r="A866" s="54" t="str">
        <f>D866&amp;E866&amp;F866</f>
        <v>SERVICIOSVACACIONES/FINIQUITOSSERVICIOS</v>
      </c>
      <c r="B866" s="229" t="s">
        <v>2565</v>
      </c>
      <c r="C866" s="244">
        <v>45979</v>
      </c>
      <c r="D866" s="229" t="s">
        <v>21</v>
      </c>
      <c r="E866" s="229" t="s">
        <v>190</v>
      </c>
      <c r="F866" s="146" t="s">
        <v>21</v>
      </c>
      <c r="G866" s="146"/>
      <c r="H866" s="229" t="s">
        <v>3859</v>
      </c>
      <c r="I866" s="161"/>
      <c r="J866" s="161">
        <v>20000</v>
      </c>
      <c r="K866" s="159">
        <f>K865+I866-J866</f>
        <v>379111.62999999931</v>
      </c>
    </row>
    <row r="867" spans="1:11" ht="15">
      <c r="A867" s="54" t="str">
        <f>D867&amp;E867&amp;F867</f>
        <v>HRVACACIONES/FINIQUITOSHR</v>
      </c>
      <c r="B867" t="s">
        <v>2565</v>
      </c>
      <c r="C867" s="1">
        <v>45980</v>
      </c>
      <c r="D867" t="s">
        <v>29</v>
      </c>
      <c r="E867" t="s">
        <v>190</v>
      </c>
      <c r="F867" s="213" t="s">
        <v>29</v>
      </c>
      <c r="G867" s="146"/>
      <c r="H867" t="s">
        <v>3937</v>
      </c>
      <c r="I867" s="161"/>
      <c r="J867" s="161">
        <v>2450</v>
      </c>
      <c r="K867" s="159">
        <f>K866+I867-J867</f>
        <v>376661.62999999931</v>
      </c>
    </row>
    <row r="868" spans="1:11" ht="15">
      <c r="A868" s="54" t="str">
        <f>D868&amp;E868&amp;F868</f>
        <v>CAPVACACIONES/FINIQUITOSCAPRICHOS</v>
      </c>
      <c r="B868" t="s">
        <v>2565</v>
      </c>
      <c r="C868" s="1">
        <v>45979</v>
      </c>
      <c r="D868" t="s">
        <v>31</v>
      </c>
      <c r="E868" t="s">
        <v>190</v>
      </c>
      <c r="F868" s="146" t="s">
        <v>33</v>
      </c>
      <c r="G868" s="146"/>
      <c r="H868" t="s">
        <v>3938</v>
      </c>
      <c r="I868" s="161"/>
      <c r="J868" s="161">
        <v>250</v>
      </c>
      <c r="K868" s="159">
        <f>K867+I868-J868</f>
        <v>376411.62999999931</v>
      </c>
    </row>
    <row r="869" spans="1:11" ht="15">
      <c r="A869" s="54" t="str">
        <f>D869&amp;E869&amp;F869</f>
        <v/>
      </c>
      <c r="B869" t="s">
        <v>2565</v>
      </c>
      <c r="C869" s="1">
        <v>45980</v>
      </c>
      <c r="F869" s="146"/>
      <c r="G869" s="146"/>
      <c r="H869" t="s">
        <v>3472</v>
      </c>
      <c r="I869" s="161">
        <v>200000</v>
      </c>
      <c r="J869" s="161"/>
      <c r="K869" s="159">
        <f>K868+I869-J869</f>
        <v>576411.62999999931</v>
      </c>
    </row>
    <row r="870" spans="1:11" ht="15">
      <c r="A870" s="54" t="str">
        <f>D870&amp;E870&amp;F870</f>
        <v/>
      </c>
      <c r="B870" t="s">
        <v>2565</v>
      </c>
      <c r="C870" s="1">
        <v>45981</v>
      </c>
      <c r="F870" s="146"/>
      <c r="G870" s="146"/>
      <c r="H870" t="s">
        <v>3472</v>
      </c>
      <c r="I870" s="161">
        <v>100000</v>
      </c>
      <c r="J870" s="161"/>
      <c r="K870" s="159">
        <f>K869+I870-J870</f>
        <v>676411.62999999931</v>
      </c>
    </row>
    <row r="871" spans="1:11" ht="15">
      <c r="A871" s="54" t="str">
        <f>D871&amp;E871&amp;F871</f>
        <v>HRVACACIONES/FINIQUITOSHR</v>
      </c>
      <c r="B871" t="s">
        <v>2565</v>
      </c>
      <c r="C871" s="1">
        <v>45981</v>
      </c>
      <c r="D871" t="s">
        <v>29</v>
      </c>
      <c r="E871" t="s">
        <v>190</v>
      </c>
      <c r="F871" s="213" t="s">
        <v>29</v>
      </c>
      <c r="G871" s="146"/>
      <c r="H871" t="s">
        <v>3939</v>
      </c>
      <c r="I871" s="161"/>
      <c r="J871" s="161">
        <v>15407</v>
      </c>
      <c r="K871" s="159">
        <f>K870+I871-J871</f>
        <v>661004.62999999931</v>
      </c>
    </row>
    <row r="872" spans="1:11" ht="15">
      <c r="A872" s="54" t="str">
        <f>D872&amp;E872&amp;F872</f>
        <v/>
      </c>
      <c r="B872" t="s">
        <v>2565</v>
      </c>
      <c r="C872" s="1">
        <v>45982</v>
      </c>
      <c r="F872" s="146"/>
      <c r="G872" s="146"/>
      <c r="H872" t="s">
        <v>3452</v>
      </c>
      <c r="I872" s="161">
        <v>200000</v>
      </c>
      <c r="J872" s="161"/>
      <c r="K872" s="159">
        <f>K871+I872-J872</f>
        <v>861004.62999999931</v>
      </c>
    </row>
    <row r="873" spans="1:11" ht="15">
      <c r="A873" s="54" t="str">
        <f>D873&amp;E873&amp;F873</f>
        <v/>
      </c>
      <c r="B873" t="s">
        <v>2565</v>
      </c>
      <c r="C873" s="1">
        <v>45982</v>
      </c>
      <c r="F873" s="146"/>
      <c r="G873" s="146"/>
      <c r="H873" t="s">
        <v>3466</v>
      </c>
      <c r="I873" s="161">
        <v>21710.97</v>
      </c>
      <c r="J873" s="161"/>
      <c r="K873" s="159">
        <f>K872+I873-J873</f>
        <v>882715.59999999928</v>
      </c>
    </row>
    <row r="874" spans="1:11" ht="15">
      <c r="A874" s="54" t="str">
        <f>D874&amp;E874&amp;F874</f>
        <v/>
      </c>
      <c r="B874" t="s">
        <v>2565</v>
      </c>
      <c r="C874" s="1">
        <v>45982</v>
      </c>
      <c r="F874" s="146"/>
      <c r="G874" s="146"/>
      <c r="H874" t="s">
        <v>3468</v>
      </c>
      <c r="I874" s="161">
        <v>6903.8</v>
      </c>
      <c r="J874" s="161"/>
      <c r="K874" s="159">
        <f>K873+I874-J874</f>
        <v>889619.39999999932</v>
      </c>
    </row>
    <row r="875" spans="1:11" ht="15">
      <c r="A875" s="54" t="str">
        <f>D875&amp;E875&amp;F875</f>
        <v/>
      </c>
      <c r="B875" t="s">
        <v>2565</v>
      </c>
      <c r="C875" s="1">
        <v>45982</v>
      </c>
      <c r="F875" s="146"/>
      <c r="G875" s="146"/>
      <c r="H875" t="s">
        <v>3467</v>
      </c>
      <c r="I875" s="161">
        <v>10735.14</v>
      </c>
      <c r="J875" s="161"/>
      <c r="K875" s="159">
        <f>K874+I875-J875</f>
        <v>900354.53999999934</v>
      </c>
    </row>
    <row r="876" spans="1:11" ht="15">
      <c r="A876" s="54" t="str">
        <f>D876&amp;E876&amp;F876</f>
        <v/>
      </c>
      <c r="B876" t="s">
        <v>2565</v>
      </c>
      <c r="C876" s="1">
        <v>45982</v>
      </c>
      <c r="F876" s="146"/>
      <c r="G876" s="146"/>
      <c r="H876" t="s">
        <v>3940</v>
      </c>
      <c r="I876" s="161"/>
      <c r="J876" s="161">
        <v>613432.4</v>
      </c>
      <c r="K876" s="159">
        <f>K875+I876-J876</f>
        <v>286922.13999999932</v>
      </c>
    </row>
    <row r="877" spans="1:11" ht="15">
      <c r="A877" s="54" t="str">
        <f>D877&amp;E877&amp;F877</f>
        <v/>
      </c>
      <c r="B877" t="s">
        <v>2565</v>
      </c>
      <c r="C877" s="1">
        <v>45982</v>
      </c>
      <c r="F877" s="146"/>
      <c r="G877" s="146"/>
      <c r="H877" t="s">
        <v>3941</v>
      </c>
      <c r="I877" s="161"/>
      <c r="J877" s="161">
        <v>316449.8</v>
      </c>
      <c r="K877" s="159">
        <f>K876+I877-J877</f>
        <v>-29527.660000000673</v>
      </c>
    </row>
    <row r="878" spans="1:11" ht="15">
      <c r="A878" s="54" t="str">
        <f>D878&amp;E878&amp;F878</f>
        <v/>
      </c>
      <c r="B878" t="s">
        <v>2565</v>
      </c>
      <c r="C878" s="1">
        <v>45982</v>
      </c>
      <c r="F878" s="146"/>
      <c r="G878" s="146"/>
      <c r="H878" t="s">
        <v>3942</v>
      </c>
      <c r="I878" s="161"/>
      <c r="J878" s="161">
        <v>35400</v>
      </c>
      <c r="K878" s="159">
        <f>K877+I878-J878</f>
        <v>-64927.660000000673</v>
      </c>
    </row>
    <row r="879" spans="1:11" ht="15">
      <c r="A879" s="54" t="str">
        <f>D879&amp;E879&amp;F879</f>
        <v/>
      </c>
      <c r="B879" t="s">
        <v>2565</v>
      </c>
      <c r="C879" s="1">
        <v>45985</v>
      </c>
      <c r="F879" s="146"/>
      <c r="G879" s="146"/>
      <c r="H879" t="s">
        <v>3472</v>
      </c>
      <c r="I879" s="161">
        <v>500000</v>
      </c>
      <c r="J879" s="161"/>
      <c r="K879" s="159">
        <f>K878+I879-J879</f>
        <v>435072.33999999933</v>
      </c>
    </row>
    <row r="880" spans="1:11" s="229" customFormat="1" ht="15">
      <c r="A880" s="54" t="str">
        <f>D880&amp;E880&amp;F880</f>
        <v>CAPVACACIONES/FINIQUITOSCAPRICHOS</v>
      </c>
      <c r="B880" s="229" t="s">
        <v>2565</v>
      </c>
      <c r="C880" s="244">
        <v>45985</v>
      </c>
      <c r="D880" s="229" t="s">
        <v>31</v>
      </c>
      <c r="E880" s="229" t="s">
        <v>190</v>
      </c>
      <c r="F880" s="146" t="s">
        <v>33</v>
      </c>
      <c r="G880" s="146"/>
      <c r="H880" s="229" t="s">
        <v>3943</v>
      </c>
      <c r="I880" s="161"/>
      <c r="J880" s="161">
        <v>226</v>
      </c>
      <c r="K880" s="159">
        <f>K879+I880-J880</f>
        <v>434846.33999999933</v>
      </c>
    </row>
    <row r="881" spans="1:11" s="229" customFormat="1" ht="15">
      <c r="A881" s="54" t="str">
        <f>D881&amp;E881&amp;F881</f>
        <v>CAPVACACIONES/FINIQUITOSCAPRICHOS</v>
      </c>
      <c r="B881" s="229" t="s">
        <v>2565</v>
      </c>
      <c r="C881" s="244">
        <v>45985</v>
      </c>
      <c r="D881" s="229" t="s">
        <v>31</v>
      </c>
      <c r="E881" s="229" t="s">
        <v>190</v>
      </c>
      <c r="F881" s="146" t="s">
        <v>33</v>
      </c>
      <c r="G881" s="146"/>
      <c r="H881" s="229" t="s">
        <v>3944</v>
      </c>
      <c r="I881" s="161"/>
      <c r="J881" s="161">
        <v>3551</v>
      </c>
      <c r="K881" s="159">
        <f>K880+I881-J881</f>
        <v>431295.33999999933</v>
      </c>
    </row>
    <row r="882" spans="1:11" s="229" customFormat="1" ht="15">
      <c r="A882" s="54" t="str">
        <f>D882&amp;E882&amp;F882</f>
        <v>SERVICIOSVACACIONES/FINIQUITOSSERVICIOS</v>
      </c>
      <c r="B882" s="229" t="s">
        <v>2565</v>
      </c>
      <c r="C882" s="244">
        <v>45985</v>
      </c>
      <c r="D882" s="229" t="s">
        <v>21</v>
      </c>
      <c r="E882" s="229" t="s">
        <v>190</v>
      </c>
      <c r="F882" s="146" t="s">
        <v>21</v>
      </c>
      <c r="G882" s="146"/>
      <c r="H882" s="229" t="s">
        <v>3945</v>
      </c>
      <c r="I882" s="161"/>
      <c r="J882" s="161">
        <v>2510</v>
      </c>
      <c r="K882" s="159">
        <f>K881+I882-J882</f>
        <v>428785.33999999933</v>
      </c>
    </row>
    <row r="883" spans="1:11" ht="15">
      <c r="A883" s="54" t="str">
        <f>D883&amp;E883&amp;F883</f>
        <v/>
      </c>
      <c r="B883" t="s">
        <v>2565</v>
      </c>
      <c r="C883" s="1">
        <v>45986</v>
      </c>
      <c r="F883" s="146"/>
      <c r="G883" s="146"/>
      <c r="H883" t="s">
        <v>3946</v>
      </c>
      <c r="I883" s="161"/>
      <c r="J883" s="161">
        <v>25000</v>
      </c>
      <c r="K883" s="159">
        <f>K882+I883-J883</f>
        <v>403785.33999999933</v>
      </c>
    </row>
    <row r="884" spans="1:11" ht="14.25" customHeight="1">
      <c r="A884" s="54" t="str">
        <f>D884&amp;E884&amp;F884</f>
        <v/>
      </c>
      <c r="B884" t="s">
        <v>2565</v>
      </c>
      <c r="C884" s="1">
        <v>45987</v>
      </c>
      <c r="F884" s="146"/>
      <c r="G884" s="146"/>
      <c r="H884" t="s">
        <v>3472</v>
      </c>
      <c r="I884" s="161">
        <v>100000</v>
      </c>
      <c r="J884" s="161"/>
      <c r="K884" s="159">
        <f>K883+I884-J884</f>
        <v>503785.33999999933</v>
      </c>
    </row>
    <row r="885" spans="1:11" ht="14.25" customHeight="1">
      <c r="A885" s="54" t="str">
        <f>D885&amp;E885&amp;F885</f>
        <v/>
      </c>
      <c r="B885" t="s">
        <v>2565</v>
      </c>
      <c r="C885" s="1">
        <v>45987</v>
      </c>
      <c r="F885" s="146"/>
      <c r="G885" s="146"/>
      <c r="H885" t="s">
        <v>3947</v>
      </c>
      <c r="I885" s="161"/>
      <c r="J885" s="161">
        <v>3000</v>
      </c>
      <c r="K885" s="159">
        <f>K884+I885-J885</f>
        <v>500785.33999999933</v>
      </c>
    </row>
    <row r="886" spans="1:11" ht="15">
      <c r="A886" s="54" t="str">
        <f>D886&amp;E886&amp;F886</f>
        <v/>
      </c>
      <c r="B886" t="s">
        <v>2565</v>
      </c>
      <c r="C886" s="1">
        <v>45988</v>
      </c>
      <c r="F886" s="146"/>
      <c r="G886" s="146"/>
      <c r="H886" t="s">
        <v>3452</v>
      </c>
      <c r="I886" s="161">
        <v>250000</v>
      </c>
      <c r="K886" s="159">
        <f>K885+I886-J886</f>
        <v>750785.33999999939</v>
      </c>
    </row>
    <row r="887" spans="1:11" ht="15">
      <c r="A887" s="54" t="str">
        <f>D887&amp;E887&amp;F887</f>
        <v/>
      </c>
      <c r="B887" t="s">
        <v>2565</v>
      </c>
      <c r="C887" s="1">
        <v>45988</v>
      </c>
      <c r="F887" s="146"/>
      <c r="G887" s="146"/>
      <c r="H887" t="s">
        <v>3466</v>
      </c>
      <c r="I887" s="161">
        <v>21711.17</v>
      </c>
      <c r="K887" s="159">
        <f>K886+I887-J887</f>
        <v>772496.50999999943</v>
      </c>
    </row>
    <row r="888" spans="1:11" ht="15">
      <c r="A888" s="54" t="str">
        <f>D888&amp;E888&amp;F888</f>
        <v/>
      </c>
      <c r="B888" t="s">
        <v>2565</v>
      </c>
      <c r="C888" s="1">
        <v>45988</v>
      </c>
      <c r="F888" s="146"/>
      <c r="G888" s="146"/>
      <c r="H888" t="s">
        <v>3468</v>
      </c>
      <c r="I888" s="161">
        <v>5702.8</v>
      </c>
      <c r="K888" s="159">
        <f>K887+I888-J888</f>
        <v>778199.30999999947</v>
      </c>
    </row>
    <row r="889" spans="1:11" ht="15">
      <c r="A889" s="54" t="str">
        <f>D889&amp;E889&amp;F889</f>
        <v/>
      </c>
      <c r="B889" t="s">
        <v>2565</v>
      </c>
      <c r="C889" s="1">
        <v>45988</v>
      </c>
      <c r="F889" s="146"/>
      <c r="G889" s="146"/>
      <c r="H889" t="s">
        <v>3467</v>
      </c>
      <c r="I889" s="161">
        <v>12774.14</v>
      </c>
      <c r="J889" s="161"/>
      <c r="K889" s="159">
        <f>K888+I889-J889</f>
        <v>790973.44999999949</v>
      </c>
    </row>
    <row r="890" spans="1:11" ht="15">
      <c r="A890" s="54" t="str">
        <f>D890&amp;E890&amp;F890</f>
        <v/>
      </c>
      <c r="B890" t="s">
        <v>2565</v>
      </c>
      <c r="C890" s="1">
        <v>45988</v>
      </c>
      <c r="F890" s="146"/>
      <c r="G890" s="146"/>
      <c r="H890" t="s">
        <v>3929</v>
      </c>
      <c r="I890" s="161"/>
      <c r="J890" s="161">
        <v>216304.6</v>
      </c>
      <c r="K890" s="159">
        <f>K889+I890-J890</f>
        <v>574668.84999999951</v>
      </c>
    </row>
    <row r="891" spans="1:11" ht="15">
      <c r="A891" s="54" t="str">
        <f>D891&amp;E891&amp;F891</f>
        <v/>
      </c>
      <c r="B891" t="s">
        <v>2565</v>
      </c>
      <c r="C891" s="1">
        <v>45988</v>
      </c>
      <c r="F891" s="146"/>
      <c r="G891" s="146"/>
      <c r="H891" t="s">
        <v>3547</v>
      </c>
      <c r="I891" s="161"/>
      <c r="J891" s="161">
        <v>612735.6</v>
      </c>
      <c r="K891" s="159">
        <f>K890+I891-J891</f>
        <v>-38066.750000000466</v>
      </c>
    </row>
    <row r="892" spans="1:11" ht="15">
      <c r="A892" s="54" t="str">
        <f>D892&amp;E892&amp;F892</f>
        <v/>
      </c>
      <c r="B892" t="s">
        <v>2565</v>
      </c>
      <c r="C892" s="1">
        <v>45988</v>
      </c>
      <c r="F892" s="146"/>
      <c r="G892" s="146"/>
      <c r="H892" t="s">
        <v>3948</v>
      </c>
      <c r="I892" s="161"/>
      <c r="J892" s="161">
        <v>50400</v>
      </c>
      <c r="K892" s="159">
        <f>K891+I892-J892</f>
        <v>-88466.750000000466</v>
      </c>
    </row>
    <row r="893" spans="1:11" ht="15">
      <c r="A893" s="54" t="str">
        <f>D893&amp;E893&amp;F893</f>
        <v/>
      </c>
      <c r="B893" t="s">
        <v>2565</v>
      </c>
      <c r="C893" s="1">
        <v>45989</v>
      </c>
      <c r="F893" s="146"/>
      <c r="G893" s="146"/>
      <c r="H893" t="s">
        <v>3472</v>
      </c>
      <c r="I893" s="161">
        <v>90550</v>
      </c>
      <c r="J893" s="161"/>
      <c r="K893" s="159">
        <f>K892+I893-J893</f>
        <v>2083.2499999995343</v>
      </c>
    </row>
    <row r="894" spans="1:11" ht="15">
      <c r="A894" s="54" t="str">
        <f>D894&amp;E894&amp;F894</f>
        <v/>
      </c>
      <c r="B894" t="s">
        <v>2565</v>
      </c>
      <c r="C894" s="1">
        <v>45989</v>
      </c>
      <c r="F894" s="146"/>
      <c r="G894" s="146"/>
      <c r="H894" t="s">
        <v>3949</v>
      </c>
      <c r="I894" s="161"/>
      <c r="J894" s="161">
        <v>626</v>
      </c>
      <c r="K894" s="159">
        <f>K893+I894-J894</f>
        <v>1457.2499999995343</v>
      </c>
    </row>
    <row r="895" spans="1:11" ht="15">
      <c r="A895" s="54" t="str">
        <f>D895&amp;E895&amp;F895</f>
        <v/>
      </c>
      <c r="B895" t="s">
        <v>2565</v>
      </c>
      <c r="C895" s="1">
        <v>45989</v>
      </c>
      <c r="F895" s="146"/>
      <c r="G895" s="146"/>
      <c r="H895" t="s">
        <v>3950</v>
      </c>
      <c r="I895" s="161"/>
      <c r="J895" s="161">
        <v>1150</v>
      </c>
      <c r="K895" s="159">
        <f>K894+I895-J895</f>
        <v>307.24999999953434</v>
      </c>
    </row>
    <row r="896" spans="1:11" ht="15">
      <c r="A896" s="54" t="str">
        <f>D896&amp;E896&amp;F896</f>
        <v/>
      </c>
      <c r="B896" t="s">
        <v>2565</v>
      </c>
      <c r="C896" s="1">
        <v>45989</v>
      </c>
      <c r="F896" s="146"/>
      <c r="G896" s="146"/>
      <c r="H896" t="s">
        <v>3951</v>
      </c>
      <c r="I896" s="161"/>
      <c r="J896" s="161">
        <v>286</v>
      </c>
      <c r="K896" s="159">
        <f>K895+I896-J896</f>
        <v>21.249999999534339</v>
      </c>
    </row>
    <row r="897" spans="1:11" ht="15">
      <c r="A897" s="54" t="str">
        <f>D897&amp;E897&amp;F897</f>
        <v>SERVICIOSNOMINA ADMONMANTENIMIENTO</v>
      </c>
      <c r="B897" t="s">
        <v>2565</v>
      </c>
      <c r="C897" s="1">
        <v>45990</v>
      </c>
      <c r="D897" t="s">
        <v>21</v>
      </c>
      <c r="E897" s="12" t="s">
        <v>147</v>
      </c>
      <c r="F897" s="12" t="s">
        <v>35</v>
      </c>
      <c r="G897" s="146"/>
      <c r="H897" t="s">
        <v>3952</v>
      </c>
      <c r="I897" s="161"/>
      <c r="J897" s="161">
        <v>580</v>
      </c>
      <c r="K897" s="159">
        <f>K896+I897-J897</f>
        <v>-558.75000000046566</v>
      </c>
    </row>
    <row r="898" spans="1:11" ht="15">
      <c r="A898" s="54" t="str">
        <f>D898&amp;E898&amp;F898</f>
        <v>HONORARIOS</v>
      </c>
      <c r="B898" t="s">
        <v>2565</v>
      </c>
      <c r="C898" s="1">
        <v>45990</v>
      </c>
      <c r="E898" t="s">
        <v>124</v>
      </c>
      <c r="F898" s="146"/>
      <c r="G898" s="146"/>
      <c r="H898" t="s">
        <v>3953</v>
      </c>
      <c r="I898" s="161"/>
      <c r="J898" s="161">
        <v>5000</v>
      </c>
      <c r="K898" s="159">
        <f>K897+I898-J898</f>
        <v>-5558.7500000004657</v>
      </c>
    </row>
    <row r="899" spans="1:11" ht="15">
      <c r="A899" s="54" t="str">
        <f>D899&amp;E899&amp;F899</f>
        <v/>
      </c>
      <c r="B899" t="s">
        <v>2821</v>
      </c>
      <c r="C899" s="1">
        <v>45992</v>
      </c>
      <c r="F899" s="146"/>
      <c r="G899" s="146"/>
      <c r="H899" t="s">
        <v>3472</v>
      </c>
      <c r="I899" s="161">
        <v>1200000</v>
      </c>
      <c r="J899" s="161"/>
      <c r="K899" s="159">
        <f>K898+I899-J899</f>
        <v>1194441.2499999995</v>
      </c>
    </row>
    <row r="900" spans="1:11" ht="15">
      <c r="A900" s="54" t="str">
        <f>D900&amp;E900&amp;F900</f>
        <v>CAPVACACIONES/FINIQUITOSCAPRICHOS</v>
      </c>
      <c r="B900" t="s">
        <v>2821</v>
      </c>
      <c r="C900" s="1">
        <v>45992</v>
      </c>
      <c r="D900" s="89" t="s">
        <v>31</v>
      </c>
      <c r="E900" t="s">
        <v>190</v>
      </c>
      <c r="F900" s="146" t="s">
        <v>33</v>
      </c>
      <c r="G900" s="146"/>
      <c r="H900" t="s">
        <v>3954</v>
      </c>
      <c r="I900" s="161"/>
      <c r="J900" s="161">
        <v>913</v>
      </c>
      <c r="K900" s="159">
        <f>K899+I900-J900</f>
        <v>1193528.2499999995</v>
      </c>
    </row>
    <row r="901" spans="1:11" ht="15">
      <c r="A901" s="54" t="str">
        <f>D901&amp;E901&amp;F901</f>
        <v>FINANZASOTROS GASTOSPRESTAMO</v>
      </c>
      <c r="B901" t="s">
        <v>2821</v>
      </c>
      <c r="C901" s="1">
        <v>45993</v>
      </c>
      <c r="D901" s="89" t="s">
        <v>23</v>
      </c>
      <c r="E901" t="s">
        <v>156</v>
      </c>
      <c r="F901" s="146" t="s">
        <v>157</v>
      </c>
      <c r="G901" s="146"/>
      <c r="H901" t="s">
        <v>3955</v>
      </c>
      <c r="I901" s="161"/>
      <c r="J901" s="161">
        <v>8000</v>
      </c>
      <c r="K901" s="159">
        <f>K900+I901-J901</f>
        <v>1185528.2499999995</v>
      </c>
    </row>
    <row r="902" spans="1:11" ht="15">
      <c r="A902" s="54" t="str">
        <f>D902&amp;E902&amp;F902</f>
        <v/>
      </c>
      <c r="B902" t="s">
        <v>2821</v>
      </c>
      <c r="C902" s="1">
        <v>45993</v>
      </c>
      <c r="F902" s="146"/>
      <c r="G902" s="146"/>
      <c r="H902" t="s">
        <v>3472</v>
      </c>
      <c r="I902" s="161">
        <v>250000</v>
      </c>
      <c r="J902" s="161"/>
      <c r="K902" s="159">
        <f>K901+I902-J902</f>
        <v>1435528.2499999995</v>
      </c>
    </row>
    <row r="903" spans="1:11" ht="15">
      <c r="A903" s="54" t="str">
        <f>D903&amp;E903&amp;F903</f>
        <v/>
      </c>
      <c r="B903" t="s">
        <v>2821</v>
      </c>
      <c r="C903" s="1">
        <v>45993</v>
      </c>
      <c r="F903" s="146"/>
      <c r="G903" s="146"/>
      <c r="H903" t="s">
        <v>3472</v>
      </c>
      <c r="I903" s="161">
        <v>300000</v>
      </c>
      <c r="J903" s="161"/>
      <c r="K903" s="159">
        <f>K902+I903-J903</f>
        <v>1735528.2499999995</v>
      </c>
    </row>
    <row r="904" spans="1:11" ht="15">
      <c r="A904" s="54" t="str">
        <f>D904&amp;E904&amp;F904</f>
        <v/>
      </c>
      <c r="B904" t="s">
        <v>2821</v>
      </c>
      <c r="C904" s="1">
        <v>45994</v>
      </c>
      <c r="F904" s="146"/>
      <c r="G904" s="146"/>
      <c r="H904" t="s">
        <v>3472</v>
      </c>
      <c r="I904" s="161"/>
      <c r="J904" s="161"/>
      <c r="K904" s="159">
        <f>K903+I904-J904</f>
        <v>1735528.2499999995</v>
      </c>
    </row>
    <row r="905" spans="1:11" ht="15">
      <c r="A905" s="54" t="str">
        <f>D905&amp;E905&amp;F905</f>
        <v/>
      </c>
      <c r="B905" t="s">
        <v>2821</v>
      </c>
      <c r="C905" s="1">
        <v>45995</v>
      </c>
      <c r="F905" s="146"/>
      <c r="G905" s="146"/>
      <c r="H905" t="s">
        <v>3466</v>
      </c>
      <c r="I905" s="161">
        <v>16956.43</v>
      </c>
      <c r="J905" s="161"/>
      <c r="K905" s="159">
        <f>K904+I905-J905</f>
        <v>1752484.6799999995</v>
      </c>
    </row>
    <row r="906" spans="1:11" ht="15">
      <c r="A906" s="54" t="str">
        <f>D906&amp;E906&amp;F906</f>
        <v/>
      </c>
      <c r="B906" t="s">
        <v>2821</v>
      </c>
      <c r="C906" s="1">
        <v>45995</v>
      </c>
      <c r="F906" s="146"/>
      <c r="G906" s="146"/>
      <c r="H906" t="s">
        <v>3468</v>
      </c>
      <c r="I906" s="161">
        <v>2808.61</v>
      </c>
      <c r="J906" s="161"/>
      <c r="K906" s="159">
        <f>K905+I906-J906</f>
        <v>1755293.2899999996</v>
      </c>
    </row>
    <row r="907" spans="1:11" ht="15">
      <c r="A907" s="54" t="str">
        <f>D907&amp;E907&amp;F907</f>
        <v/>
      </c>
      <c r="B907" t="s">
        <v>2821</v>
      </c>
      <c r="C907" s="1">
        <v>45995</v>
      </c>
      <c r="F907" s="146"/>
      <c r="G907" s="146"/>
      <c r="H907" t="s">
        <v>3467</v>
      </c>
      <c r="I907" s="161">
        <v>20667.36</v>
      </c>
      <c r="J907" s="161"/>
      <c r="K907" s="159">
        <f>K906+I907-J907</f>
        <v>1775960.6499999997</v>
      </c>
    </row>
    <row r="908" spans="1:11" ht="15">
      <c r="A908" s="54" t="str">
        <f t="shared" ref="A908:A910" si="28">D908&amp;E908&amp;F908</f>
        <v>FINANZASAGUINALDOAGUINALDO</v>
      </c>
      <c r="B908" t="s">
        <v>2821</v>
      </c>
      <c r="C908" s="1">
        <v>45995</v>
      </c>
      <c r="D908" t="s">
        <v>23</v>
      </c>
      <c r="E908" s="12" t="s">
        <v>24</v>
      </c>
      <c r="F908" s="12" t="s">
        <v>24</v>
      </c>
      <c r="G908" s="146"/>
      <c r="H908" t="s">
        <v>3956</v>
      </c>
      <c r="I908" s="161"/>
      <c r="J908" s="161">
        <v>848132</v>
      </c>
      <c r="K908" s="159">
        <f>K907+I908-J908</f>
        <v>927828.64999999967</v>
      </c>
    </row>
    <row r="909" spans="1:11" ht="15">
      <c r="A909" s="54" t="str">
        <f t="shared" si="28"/>
        <v>FINANZASAGUINALDOAGUINALDO</v>
      </c>
      <c r="B909" t="s">
        <v>2821</v>
      </c>
      <c r="C909" s="1">
        <v>45995</v>
      </c>
      <c r="D909" t="s">
        <v>23</v>
      </c>
      <c r="E909" s="12" t="s">
        <v>24</v>
      </c>
      <c r="F909" s="12" t="s">
        <v>24</v>
      </c>
      <c r="G909" s="146"/>
      <c r="H909" t="s">
        <v>3957</v>
      </c>
      <c r="I909" s="161"/>
      <c r="J909" s="161">
        <v>343231.2</v>
      </c>
      <c r="K909" s="159">
        <f>K908+I909-J909</f>
        <v>584597.44999999972</v>
      </c>
    </row>
    <row r="910" spans="1:11" ht="15">
      <c r="A910" s="54" t="str">
        <f t="shared" si="28"/>
        <v>FINANZASAGUINALDOAGUINALDO</v>
      </c>
      <c r="B910" t="s">
        <v>2821</v>
      </c>
      <c r="C910" s="1">
        <v>45995</v>
      </c>
      <c r="D910" t="s">
        <v>23</v>
      </c>
      <c r="E910" s="12" t="s">
        <v>24</v>
      </c>
      <c r="F910" s="12" t="s">
        <v>24</v>
      </c>
      <c r="G910" s="146"/>
      <c r="H910" t="s">
        <v>3958</v>
      </c>
      <c r="I910" s="161"/>
      <c r="J910" s="161">
        <v>83897</v>
      </c>
      <c r="K910" s="159">
        <f>K909+I910-J910</f>
        <v>500700.44999999972</v>
      </c>
    </row>
    <row r="911" spans="1:11" ht="15">
      <c r="A911" s="54" t="str">
        <f>D911&amp;E911&amp;F911</f>
        <v/>
      </c>
      <c r="B911" t="s">
        <v>2821</v>
      </c>
      <c r="C911" s="1">
        <v>45995</v>
      </c>
      <c r="F911" s="146"/>
      <c r="G911" s="146"/>
      <c r="H911" t="s">
        <v>3959</v>
      </c>
      <c r="I911" s="161">
        <v>300000</v>
      </c>
      <c r="J911" s="161"/>
      <c r="K911" s="159">
        <f>K910+I911-J911</f>
        <v>800700.44999999972</v>
      </c>
    </row>
    <row r="912" spans="1:11" ht="15">
      <c r="A912" s="54" t="str">
        <f>D912&amp;E912&amp;F912</f>
        <v/>
      </c>
      <c r="B912" t="s">
        <v>2821</v>
      </c>
      <c r="C912" s="1">
        <v>45996</v>
      </c>
      <c r="F912" s="146"/>
      <c r="G912" s="146"/>
      <c r="H912" t="s">
        <v>3959</v>
      </c>
      <c r="I912" s="161">
        <v>81000</v>
      </c>
      <c r="J912" s="161"/>
      <c r="K912" s="159">
        <f>K911+I912-J912</f>
        <v>881700.44999999972</v>
      </c>
    </row>
    <row r="913" spans="1:11" ht="15">
      <c r="A913" s="54" t="str">
        <f>D913&amp;E913&amp;F913</f>
        <v/>
      </c>
      <c r="B913" t="s">
        <v>2821</v>
      </c>
      <c r="C913" s="1">
        <v>45996</v>
      </c>
      <c r="F913" s="146"/>
      <c r="G913" s="146"/>
      <c r="H913" t="s">
        <v>3466</v>
      </c>
      <c r="I913" s="161">
        <v>21710.97</v>
      </c>
      <c r="K913" s="159">
        <f>K912+I913-J913</f>
        <v>903411.41999999969</v>
      </c>
    </row>
    <row r="914" spans="1:11" ht="15">
      <c r="A914" s="54" t="str">
        <f>D914&amp;E914&amp;F914</f>
        <v/>
      </c>
      <c r="B914" t="s">
        <v>2821</v>
      </c>
      <c r="C914" s="1">
        <v>45996</v>
      </c>
      <c r="F914" s="146"/>
      <c r="G914" s="146"/>
      <c r="H914" t="s">
        <v>3468</v>
      </c>
      <c r="I914" s="161">
        <v>5702</v>
      </c>
      <c r="K914" s="159">
        <f>K913+I914-J914</f>
        <v>909113.41999999969</v>
      </c>
    </row>
    <row r="915" spans="1:11" ht="15">
      <c r="A915" s="54" t="str">
        <f>D915&amp;E915&amp;F915</f>
        <v/>
      </c>
      <c r="B915" t="s">
        <v>2821</v>
      </c>
      <c r="C915" s="1">
        <v>45996</v>
      </c>
      <c r="F915" s="146"/>
      <c r="G915" s="146"/>
      <c r="H915" t="s">
        <v>3467</v>
      </c>
      <c r="I915" s="161">
        <v>12775.14</v>
      </c>
      <c r="J915" s="161"/>
      <c r="K915" s="159">
        <f>K914+I915-J915</f>
        <v>921888.55999999971</v>
      </c>
    </row>
    <row r="916" spans="1:11" ht="15">
      <c r="A916" s="54" t="str">
        <f>D916&amp;E916&amp;F916</f>
        <v/>
      </c>
      <c r="B916" t="s">
        <v>2821</v>
      </c>
      <c r="C916" s="1">
        <v>45996</v>
      </c>
      <c r="F916" s="146"/>
      <c r="G916" s="146"/>
      <c r="H916" t="s">
        <v>3960</v>
      </c>
      <c r="I916" s="161"/>
      <c r="J916" s="161">
        <v>875966.2</v>
      </c>
      <c r="K916" s="159">
        <f>K915+I916-J916</f>
        <v>45922.359999999753</v>
      </c>
    </row>
    <row r="917" spans="1:11" ht="15">
      <c r="A917" s="54" t="str">
        <f>D917&amp;E917&amp;F917</f>
        <v/>
      </c>
      <c r="B917" t="s">
        <v>2821</v>
      </c>
      <c r="C917" s="1">
        <v>45996</v>
      </c>
      <c r="F917" s="146"/>
      <c r="G917" s="146"/>
      <c r="H917" t="s">
        <v>3851</v>
      </c>
      <c r="I917" s="161"/>
      <c r="J917" s="161">
        <v>35400</v>
      </c>
      <c r="K917" s="159">
        <f>K916+I917-J917</f>
        <v>10522.359999999753</v>
      </c>
    </row>
    <row r="918" spans="1:11" ht="15">
      <c r="A918" s="54" t="str">
        <f>D918&amp;E918&amp;F918</f>
        <v>FINANZASOTROS GASTOSPRESTAMO</v>
      </c>
      <c r="B918" t="s">
        <v>2821</v>
      </c>
      <c r="C918" s="1">
        <v>45996</v>
      </c>
      <c r="D918" s="89" t="s">
        <v>23</v>
      </c>
      <c r="E918" t="s">
        <v>156</v>
      </c>
      <c r="F918" s="146" t="s">
        <v>157</v>
      </c>
      <c r="G918" s="146"/>
      <c r="H918" t="s">
        <v>3961</v>
      </c>
      <c r="I918" s="161"/>
      <c r="J918" s="161">
        <v>2000</v>
      </c>
      <c r="K918" s="159">
        <f>K917+I918-J918</f>
        <v>8522.3599999997532</v>
      </c>
    </row>
    <row r="919" spans="1:11" ht="15">
      <c r="A919" s="54" t="str">
        <f>D919&amp;E919&amp;F919</f>
        <v/>
      </c>
      <c r="B919" t="s">
        <v>2821</v>
      </c>
      <c r="C919" s="1">
        <v>45996</v>
      </c>
      <c r="D919" s="89"/>
      <c r="F919" s="146"/>
      <c r="G919" s="146"/>
      <c r="H919" t="s">
        <v>3953</v>
      </c>
      <c r="I919" s="161"/>
      <c r="J919" s="81">
        <v>5000</v>
      </c>
      <c r="K919" s="159">
        <f>K918+I919-J919</f>
        <v>3522.3599999997532</v>
      </c>
    </row>
    <row r="920" spans="1:11" ht="15">
      <c r="A920" s="54" t="str">
        <f t="shared" ref="A920:A922" si="29">D920&amp;E920&amp;F920</f>
        <v>CAPNOMINA ADMONCAPRICHOS</v>
      </c>
      <c r="B920" t="s">
        <v>2821</v>
      </c>
      <c r="C920" s="1">
        <v>45996</v>
      </c>
      <c r="D920" s="89" t="s">
        <v>31</v>
      </c>
      <c r="E920" t="s">
        <v>147</v>
      </c>
      <c r="F920" t="s">
        <v>33</v>
      </c>
      <c r="G920" s="146"/>
      <c r="H920" t="s">
        <v>3962</v>
      </c>
      <c r="I920" s="161"/>
      <c r="J920" s="81">
        <v>241</v>
      </c>
      <c r="K920" s="159">
        <f>K919+I920-J920</f>
        <v>3281.3599999997532</v>
      </c>
    </row>
    <row r="921" spans="1:11" ht="15">
      <c r="A921" s="54" t="str">
        <f t="shared" si="29"/>
        <v>SERVICIOSNOMINA ADMONSERVICIOS</v>
      </c>
      <c r="B921" t="s">
        <v>2821</v>
      </c>
      <c r="C921" s="1">
        <v>45996</v>
      </c>
      <c r="D921" s="89" t="s">
        <v>21</v>
      </c>
      <c r="E921" t="s">
        <v>147</v>
      </c>
      <c r="F921" s="146" t="s">
        <v>21</v>
      </c>
      <c r="G921" s="146"/>
      <c r="H921" t="s">
        <v>3963</v>
      </c>
      <c r="I921" s="161"/>
      <c r="J921" s="161">
        <v>300</v>
      </c>
      <c r="K921" s="159">
        <f>K920+I921-J921</f>
        <v>2981.3599999997532</v>
      </c>
    </row>
    <row r="922" spans="1:11" ht="15">
      <c r="A922" s="54" t="str">
        <f t="shared" si="29"/>
        <v>SERVICIOSNOMINA ADMONSERVICIOS</v>
      </c>
      <c r="B922" t="s">
        <v>2821</v>
      </c>
      <c r="C922" s="1">
        <v>45997</v>
      </c>
      <c r="D922" s="89" t="s">
        <v>21</v>
      </c>
      <c r="E922" t="s">
        <v>147</v>
      </c>
      <c r="F922" s="146" t="s">
        <v>21</v>
      </c>
      <c r="G922" s="146"/>
      <c r="H922" t="s">
        <v>3964</v>
      </c>
      <c r="J922" s="81">
        <v>875</v>
      </c>
      <c r="K922" s="159">
        <f>K921+I922-J922</f>
        <v>2106.3599999997532</v>
      </c>
    </row>
    <row r="923" spans="1:11" ht="15">
      <c r="A923" s="54" t="str">
        <f>D923&amp;E923&amp;F923</f>
        <v/>
      </c>
      <c r="B923" t="s">
        <v>2821</v>
      </c>
      <c r="C923" s="1">
        <v>45997</v>
      </c>
      <c r="D923" s="89"/>
      <c r="F923" s="146"/>
      <c r="G923" s="146"/>
      <c r="H923" t="s">
        <v>3965</v>
      </c>
      <c r="I923" s="161"/>
      <c r="J923" s="161">
        <v>5000</v>
      </c>
      <c r="K923" s="159">
        <f>K922+I923-J923</f>
        <v>-2893.6400000002468</v>
      </c>
    </row>
    <row r="924" spans="1:11" ht="15">
      <c r="A924" s="54" t="str">
        <f>D924&amp;E924&amp;F924</f>
        <v/>
      </c>
      <c r="B924" t="s">
        <v>2821</v>
      </c>
      <c r="C924" s="1">
        <v>45997</v>
      </c>
      <c r="F924" s="146"/>
      <c r="G924" s="146"/>
      <c r="H924" t="s">
        <v>3966</v>
      </c>
      <c r="I924" s="161">
        <v>450000</v>
      </c>
      <c r="J924" s="161"/>
      <c r="K924" s="159">
        <f>K923+I924-J924</f>
        <v>447106.35999999975</v>
      </c>
    </row>
    <row r="925" spans="1:11" ht="15">
      <c r="A925" s="54" t="str">
        <f>D925&amp;E925&amp;F925</f>
        <v>SERVICIOSNOMINA ADMONSERVICIOS</v>
      </c>
      <c r="B925" t="s">
        <v>2821</v>
      </c>
      <c r="C925" s="1">
        <v>45997</v>
      </c>
      <c r="D925" s="89" t="s">
        <v>21</v>
      </c>
      <c r="E925" t="s">
        <v>147</v>
      </c>
      <c r="F925" s="146" t="s">
        <v>21</v>
      </c>
      <c r="G925" s="146"/>
      <c r="H925" t="s">
        <v>3967</v>
      </c>
      <c r="I925" s="161"/>
      <c r="J925" s="161">
        <v>2223</v>
      </c>
      <c r="K925" s="159">
        <f>K924+I925-J925</f>
        <v>444883.35999999975</v>
      </c>
    </row>
    <row r="926" spans="1:11" ht="15">
      <c r="A926" s="54" t="str">
        <f>D926&amp;E926&amp;F926</f>
        <v/>
      </c>
      <c r="B926" t="s">
        <v>2821</v>
      </c>
      <c r="C926" s="1">
        <v>45997</v>
      </c>
      <c r="D926" s="89"/>
      <c r="F926" s="146"/>
      <c r="G926" s="146"/>
      <c r="H926" t="s">
        <v>3968</v>
      </c>
      <c r="I926" s="161"/>
      <c r="J926" s="161">
        <v>2240</v>
      </c>
      <c r="K926" s="159">
        <f>K925+I926-J926</f>
        <v>442643.35999999975</v>
      </c>
    </row>
    <row r="927" spans="1:11" ht="15">
      <c r="A927" s="54" t="str">
        <f t="shared" ref="A927:A934" si="30">D927&amp;E927&amp;F927</f>
        <v>HRVACACIONES/FINIQUITOSHR</v>
      </c>
      <c r="B927" t="s">
        <v>2821</v>
      </c>
      <c r="C927" s="1">
        <v>45997</v>
      </c>
      <c r="D927" s="89" t="s">
        <v>29</v>
      </c>
      <c r="E927" t="s">
        <v>190</v>
      </c>
      <c r="F927" s="146" t="s">
        <v>29</v>
      </c>
      <c r="G927" s="146"/>
      <c r="H927" t="s">
        <v>3969</v>
      </c>
      <c r="I927" s="161"/>
      <c r="J927" s="161">
        <v>1102</v>
      </c>
      <c r="K927" s="159">
        <f>K926+I927-J927</f>
        <v>441541.35999999975</v>
      </c>
    </row>
    <row r="928" spans="1:11" ht="15">
      <c r="A928" s="54" t="str">
        <f t="shared" si="30"/>
        <v>MELVACACIONES/FINIQUITOSMELISSA</v>
      </c>
      <c r="B928" t="s">
        <v>2821</v>
      </c>
      <c r="C928" s="1">
        <v>45997</v>
      </c>
      <c r="D928" s="89" t="s">
        <v>43</v>
      </c>
      <c r="E928" t="s">
        <v>190</v>
      </c>
      <c r="F928" s="146" t="s">
        <v>44</v>
      </c>
      <c r="G928" s="146"/>
      <c r="H928" t="s">
        <v>3970</v>
      </c>
      <c r="I928" s="161"/>
      <c r="J928" s="161">
        <v>520</v>
      </c>
      <c r="K928" s="159">
        <f>K927+I928-J928</f>
        <v>441021.35999999975</v>
      </c>
    </row>
    <row r="929" spans="1:11" ht="15">
      <c r="A929" s="54" t="str">
        <f t="shared" si="30"/>
        <v>HRVACACIONES/FINIQUITOSHR</v>
      </c>
      <c r="B929" t="s">
        <v>2821</v>
      </c>
      <c r="C929" s="1">
        <v>45997</v>
      </c>
      <c r="D929" s="89" t="s">
        <v>29</v>
      </c>
      <c r="E929" t="s">
        <v>190</v>
      </c>
      <c r="F929" s="146" t="s">
        <v>29</v>
      </c>
      <c r="G929" s="146"/>
      <c r="H929" t="s">
        <v>3971</v>
      </c>
      <c r="I929" s="161"/>
      <c r="J929" s="161">
        <v>10463</v>
      </c>
      <c r="K929" s="159">
        <f>K928+I929-J929</f>
        <v>430558.35999999975</v>
      </c>
    </row>
    <row r="930" spans="1:11" ht="15">
      <c r="A930" s="54" t="str">
        <f t="shared" si="30"/>
        <v>HRVACACIONES/FINIQUITOSHR</v>
      </c>
      <c r="B930" t="s">
        <v>2821</v>
      </c>
      <c r="C930" s="1">
        <v>45997</v>
      </c>
      <c r="D930" s="89" t="s">
        <v>29</v>
      </c>
      <c r="E930" t="s">
        <v>190</v>
      </c>
      <c r="F930" s="146" t="s">
        <v>29</v>
      </c>
      <c r="G930" s="146"/>
      <c r="H930" t="s">
        <v>3972</v>
      </c>
      <c r="I930" s="161"/>
      <c r="J930" s="161">
        <v>950</v>
      </c>
      <c r="K930" s="159">
        <f>K929+I930-J930</f>
        <v>429608.35999999975</v>
      </c>
    </row>
    <row r="931" spans="1:11" ht="15">
      <c r="A931" s="54" t="str">
        <f t="shared" si="30"/>
        <v>HRVACACIONES/FINIQUITOSHR</v>
      </c>
      <c r="B931" t="s">
        <v>2821</v>
      </c>
      <c r="C931" s="1">
        <v>45997</v>
      </c>
      <c r="D931" s="89" t="s">
        <v>29</v>
      </c>
      <c r="E931" t="s">
        <v>190</v>
      </c>
      <c r="F931" s="146" t="s">
        <v>29</v>
      </c>
      <c r="G931" s="146"/>
      <c r="H931" t="s">
        <v>3973</v>
      </c>
      <c r="I931" s="161"/>
      <c r="J931" s="161">
        <v>588</v>
      </c>
      <c r="K931" s="159">
        <f>K930+I931-J931</f>
        <v>429020.35999999975</v>
      </c>
    </row>
    <row r="932" spans="1:11" ht="15">
      <c r="A932" s="54" t="str">
        <f t="shared" si="30"/>
        <v>CAPVACACIONES/FINIQUITOSCAPRICHOS</v>
      </c>
      <c r="B932" t="s">
        <v>2821</v>
      </c>
      <c r="C932" s="1">
        <v>45997</v>
      </c>
      <c r="D932" s="89" t="s">
        <v>31</v>
      </c>
      <c r="E932" t="s">
        <v>190</v>
      </c>
      <c r="F932" s="146" t="s">
        <v>33</v>
      </c>
      <c r="G932" s="146"/>
      <c r="H932" t="s">
        <v>3974</v>
      </c>
      <c r="I932" s="161"/>
      <c r="J932" s="161">
        <v>235</v>
      </c>
      <c r="K932" s="159">
        <f>K931+I932-J932</f>
        <v>428785.35999999975</v>
      </c>
    </row>
    <row r="933" spans="1:11" ht="15">
      <c r="A933" s="54" t="str">
        <f t="shared" si="30"/>
        <v>HRVACACIONES/FINIQUITOSHR</v>
      </c>
      <c r="B933" t="s">
        <v>2821</v>
      </c>
      <c r="C933" s="1">
        <v>45997</v>
      </c>
      <c r="D933" t="s">
        <v>29</v>
      </c>
      <c r="E933" t="s">
        <v>190</v>
      </c>
      <c r="F933" s="146" t="s">
        <v>29</v>
      </c>
      <c r="G933" s="146"/>
      <c r="H933" t="s">
        <v>3975</v>
      </c>
      <c r="I933" s="161"/>
      <c r="J933" s="161">
        <v>13850</v>
      </c>
      <c r="K933" s="159">
        <f>K932+I933-J933</f>
        <v>414935.35999999975</v>
      </c>
    </row>
    <row r="934" spans="1:11" ht="15">
      <c r="A934" s="54" t="str">
        <f t="shared" si="30"/>
        <v>CAPVACACIONES/FINIQUITOSCAPRICHOS</v>
      </c>
      <c r="B934" t="s">
        <v>2821</v>
      </c>
      <c r="C934" s="1">
        <v>45997</v>
      </c>
      <c r="D934" t="s">
        <v>31</v>
      </c>
      <c r="E934" t="s">
        <v>190</v>
      </c>
      <c r="F934" s="146" t="s">
        <v>33</v>
      </c>
      <c r="G934" s="146"/>
      <c r="H934" t="s">
        <v>3976</v>
      </c>
      <c r="I934" s="161"/>
      <c r="J934" s="161">
        <v>725</v>
      </c>
      <c r="K934" s="159">
        <f>K933+I934-J934</f>
        <v>414210.35999999975</v>
      </c>
    </row>
    <row r="935" spans="1:11" ht="15">
      <c r="A935" s="137" t="str">
        <f>D935&amp;E935&amp;F935</f>
        <v/>
      </c>
      <c r="B935" t="s">
        <v>2821</v>
      </c>
      <c r="C935" s="1">
        <v>46000</v>
      </c>
      <c r="F935" s="146"/>
      <c r="G935" s="146"/>
      <c r="H935" t="s">
        <v>3472</v>
      </c>
      <c r="I935" s="161">
        <v>50000</v>
      </c>
      <c r="J935" s="161"/>
      <c r="K935" s="159">
        <f>K934+I935-J935</f>
        <v>464210.35999999975</v>
      </c>
    </row>
    <row r="936" spans="1:11" ht="15">
      <c r="A936" s="137" t="str">
        <f>D936&amp;E936&amp;F936</f>
        <v/>
      </c>
      <c r="B936" t="s">
        <v>2821</v>
      </c>
      <c r="C936" s="1">
        <v>46001</v>
      </c>
      <c r="F936" s="146"/>
      <c r="G936" s="146"/>
      <c r="H936" t="s">
        <v>3472</v>
      </c>
      <c r="I936" s="161">
        <v>200000</v>
      </c>
      <c r="J936" s="161"/>
      <c r="K936" s="159">
        <f>K935+I936-J936</f>
        <v>664210.35999999975</v>
      </c>
    </row>
    <row r="937" spans="1:11" ht="15">
      <c r="A937" s="137" t="str">
        <f>D937&amp;E937&amp;F937</f>
        <v/>
      </c>
      <c r="B937" t="s">
        <v>2821</v>
      </c>
      <c r="C937" s="1">
        <v>46001</v>
      </c>
      <c r="F937" s="146"/>
      <c r="G937" s="146"/>
      <c r="H937" t="s">
        <v>3977</v>
      </c>
      <c r="I937" s="161"/>
      <c r="J937" s="161">
        <v>13000</v>
      </c>
      <c r="K937" s="159">
        <f>K936+I937-J937</f>
        <v>651210.35999999975</v>
      </c>
    </row>
    <row r="938" spans="1:11" ht="15">
      <c r="A938" s="137" t="str">
        <f>D938&amp;E938&amp;F938</f>
        <v/>
      </c>
      <c r="B938" t="s">
        <v>2821</v>
      </c>
      <c r="C938" s="1">
        <v>46002</v>
      </c>
      <c r="F938" s="146"/>
      <c r="G938" s="146"/>
      <c r="H938" t="s">
        <v>3472</v>
      </c>
      <c r="I938" s="161">
        <v>200000</v>
      </c>
      <c r="J938" s="161"/>
      <c r="K938" s="159">
        <f>K937+I938-J938</f>
        <v>851210.35999999975</v>
      </c>
    </row>
    <row r="939" spans="1:11" ht="15">
      <c r="A939" s="137" t="str">
        <f>D939&amp;E939&amp;F939</f>
        <v/>
      </c>
      <c r="B939" t="s">
        <v>2821</v>
      </c>
      <c r="C939" s="1">
        <v>46002</v>
      </c>
      <c r="F939" s="146"/>
      <c r="G939" s="146"/>
      <c r="H939" t="s">
        <v>3466</v>
      </c>
      <c r="I939" s="161">
        <v>21710.97</v>
      </c>
      <c r="J939" s="161"/>
      <c r="K939" s="159">
        <f>K938+I939-J939</f>
        <v>872921.32999999973</v>
      </c>
    </row>
    <row r="940" spans="1:11" ht="15">
      <c r="A940" s="137" t="str">
        <f>D940&amp;E940&amp;F940</f>
        <v/>
      </c>
      <c r="B940" t="s">
        <v>2821</v>
      </c>
      <c r="C940" s="1">
        <v>46002</v>
      </c>
      <c r="F940" s="146"/>
      <c r="G940" s="146"/>
      <c r="H940" t="s">
        <v>3468</v>
      </c>
      <c r="I940" s="161">
        <v>5702</v>
      </c>
      <c r="J940" s="161"/>
      <c r="K940" s="159">
        <f>K939+I940-J940</f>
        <v>878623.32999999973</v>
      </c>
    </row>
    <row r="941" spans="1:11" ht="15">
      <c r="A941" s="137" t="str">
        <f>D941&amp;E941&amp;F941</f>
        <v/>
      </c>
      <c r="B941" t="s">
        <v>2821</v>
      </c>
      <c r="C941" s="1">
        <v>46002</v>
      </c>
      <c r="F941" s="146"/>
      <c r="G941" s="146"/>
      <c r="H941" t="s">
        <v>3467</v>
      </c>
      <c r="I941" s="134">
        <v>14775.14</v>
      </c>
      <c r="J941" s="161"/>
      <c r="K941" s="159">
        <f>K940+I941-J941</f>
        <v>893398.46999999974</v>
      </c>
    </row>
    <row r="942" spans="1:11" ht="15">
      <c r="A942" s="137" t="str">
        <f>D942&amp;E942&amp;F942</f>
        <v/>
      </c>
      <c r="B942" t="s">
        <v>2821</v>
      </c>
      <c r="C942" s="1">
        <v>46002</v>
      </c>
      <c r="F942" s="146"/>
      <c r="G942" s="146"/>
      <c r="H942" t="s">
        <v>3960</v>
      </c>
      <c r="I942" s="161"/>
      <c r="J942" s="161">
        <v>653857.4</v>
      </c>
      <c r="K942" s="159">
        <f>K941+I942-J942</f>
        <v>239541.06999999972</v>
      </c>
    </row>
    <row r="943" spans="1:11" ht="15">
      <c r="A943" s="137" t="str">
        <f>D943&amp;E943&amp;F943</f>
        <v/>
      </c>
      <c r="B943" t="s">
        <v>2821</v>
      </c>
      <c r="C943" s="1">
        <v>46002</v>
      </c>
      <c r="F943" s="146"/>
      <c r="G943" s="146"/>
      <c r="H943" t="s">
        <v>3812</v>
      </c>
      <c r="I943" s="161"/>
      <c r="J943" s="161">
        <v>334372.2</v>
      </c>
      <c r="K943" s="159">
        <f>K942+I943-J943</f>
        <v>-94831.130000000296</v>
      </c>
    </row>
    <row r="944" spans="1:11" ht="15">
      <c r="A944" s="137" t="str">
        <f>D944&amp;E944&amp;F944</f>
        <v/>
      </c>
      <c r="B944" t="s">
        <v>2821</v>
      </c>
      <c r="C944" s="1">
        <v>46002</v>
      </c>
      <c r="F944" s="146"/>
      <c r="G944" s="146"/>
      <c r="H944" t="s">
        <v>3664</v>
      </c>
      <c r="I944" s="161"/>
      <c r="J944" s="161">
        <v>35400</v>
      </c>
      <c r="K944" s="159">
        <f>K943+I944-J944</f>
        <v>-130231.1300000003</v>
      </c>
    </row>
    <row r="945" spans="1:11" ht="15">
      <c r="A945" s="137" t="str">
        <f>D945&amp;E945&amp;F945</f>
        <v/>
      </c>
      <c r="B945" t="s">
        <v>2821</v>
      </c>
      <c r="C945" s="1">
        <v>46003</v>
      </c>
      <c r="F945" s="146"/>
      <c r="G945" s="146"/>
      <c r="H945" t="s">
        <v>3472</v>
      </c>
      <c r="I945" s="161">
        <v>135000</v>
      </c>
      <c r="J945" s="161"/>
      <c r="K945" s="159">
        <f>K944+I945-J945</f>
        <v>4768.8699999997043</v>
      </c>
    </row>
    <row r="946" spans="1:11" ht="15">
      <c r="A946" s="54" t="str">
        <f t="shared" ref="A946:A948" si="31">D946&amp;E946&amp;F946</f>
        <v>SERVICIOSNOMINA SUCURSALCEDIS</v>
      </c>
      <c r="B946" t="s">
        <v>2821</v>
      </c>
      <c r="C946" s="1">
        <v>46003</v>
      </c>
      <c r="D946" t="s">
        <v>21</v>
      </c>
      <c r="E946" t="s">
        <v>154</v>
      </c>
      <c r="F946" s="146" t="s">
        <v>28</v>
      </c>
      <c r="G946" s="146"/>
      <c r="H946" t="s">
        <v>3978</v>
      </c>
      <c r="I946" s="161"/>
      <c r="J946" s="161">
        <v>1490</v>
      </c>
      <c r="K946" s="159">
        <f>K945+I946-J946</f>
        <v>3278.8699999997043</v>
      </c>
    </row>
    <row r="947" spans="1:11" ht="15">
      <c r="A947" s="54" t="str">
        <f t="shared" si="31"/>
        <v>SERVICIOSNOMINA SUCURSALCEDIS</v>
      </c>
      <c r="B947" t="s">
        <v>2821</v>
      </c>
      <c r="C947" s="1">
        <v>46003</v>
      </c>
      <c r="D947" t="s">
        <v>21</v>
      </c>
      <c r="E947" t="s">
        <v>154</v>
      </c>
      <c r="F947" s="146" t="s">
        <v>28</v>
      </c>
      <c r="G947" s="146"/>
      <c r="H947" t="s">
        <v>3978</v>
      </c>
      <c r="I947" s="161"/>
      <c r="J947" s="161">
        <v>1490</v>
      </c>
      <c r="K947" s="159">
        <f>K946+I947-J947</f>
        <v>1788.8699999997043</v>
      </c>
    </row>
    <row r="948" spans="1:11" ht="15">
      <c r="A948" s="54" t="str">
        <f t="shared" si="31"/>
        <v>SERVICIOSNOMINA SUCURSALCEDIS</v>
      </c>
      <c r="B948" t="s">
        <v>2821</v>
      </c>
      <c r="C948" s="1">
        <v>46003</v>
      </c>
      <c r="D948" t="s">
        <v>21</v>
      </c>
      <c r="E948" t="s">
        <v>154</v>
      </c>
      <c r="F948" s="146" t="s">
        <v>28</v>
      </c>
      <c r="G948" s="146"/>
      <c r="H948" t="s">
        <v>3978</v>
      </c>
      <c r="I948" s="161"/>
      <c r="J948" s="161">
        <v>250</v>
      </c>
      <c r="K948" s="159">
        <f>K947+I948-J948</f>
        <v>1538.8699999997043</v>
      </c>
    </row>
    <row r="949" spans="1:11" ht="15">
      <c r="A949" s="137" t="str">
        <f>D949&amp;E949&amp;F949</f>
        <v/>
      </c>
      <c r="B949" t="s">
        <v>2821</v>
      </c>
      <c r="C949" s="1">
        <v>46004</v>
      </c>
      <c r="F949" s="146"/>
      <c r="G949" s="146"/>
      <c r="H949" t="s">
        <v>3965</v>
      </c>
      <c r="I949" s="161"/>
      <c r="J949" s="161">
        <v>5000</v>
      </c>
      <c r="K949" s="159">
        <f>K948+I949-J949</f>
        <v>-3461.1300000002957</v>
      </c>
    </row>
    <row r="950" spans="1:11" ht="15">
      <c r="A950" s="137" t="str">
        <f>D950&amp;E950&amp;F950</f>
        <v/>
      </c>
      <c r="B950" t="s">
        <v>2821</v>
      </c>
      <c r="C950" s="1">
        <v>46006</v>
      </c>
      <c r="F950" s="146"/>
      <c r="G950" s="146"/>
      <c r="H950" t="s">
        <v>3472</v>
      </c>
      <c r="I950" s="161">
        <v>450000</v>
      </c>
      <c r="J950" s="161"/>
      <c r="K950" s="159">
        <f>K949+I950-J950</f>
        <v>446538.8699999997</v>
      </c>
    </row>
    <row r="951" spans="1:11" ht="15">
      <c r="A951" s="54" t="str">
        <f t="shared" ref="A951:A952" si="32">D951&amp;E951&amp;F951</f>
        <v>HRVACACIONES/FINIQUITOSHR</v>
      </c>
      <c r="B951" t="s">
        <v>2821</v>
      </c>
      <c r="C951" s="1">
        <v>46006</v>
      </c>
      <c r="D951" t="s">
        <v>29</v>
      </c>
      <c r="E951" t="s">
        <v>190</v>
      </c>
      <c r="F951" s="146" t="s">
        <v>29</v>
      </c>
      <c r="G951" s="146"/>
      <c r="H951" t="s">
        <v>3979</v>
      </c>
      <c r="I951" s="161"/>
      <c r="J951" s="161">
        <v>5045</v>
      </c>
      <c r="K951" s="159">
        <f>K950+I951-J951</f>
        <v>441493.8699999997</v>
      </c>
    </row>
    <row r="952" spans="1:11" ht="15">
      <c r="A952" s="54" t="str">
        <f t="shared" si="32"/>
        <v>CAPVACACIONES/FINIQUITOSCAPRICHOS</v>
      </c>
      <c r="B952" s="229" t="s">
        <v>2821</v>
      </c>
      <c r="C952" s="244">
        <v>46006</v>
      </c>
      <c r="D952" t="s">
        <v>31</v>
      </c>
      <c r="E952" t="s">
        <v>190</v>
      </c>
      <c r="F952" s="146" t="s">
        <v>33</v>
      </c>
      <c r="G952" s="146"/>
      <c r="H952" t="s">
        <v>3980</v>
      </c>
      <c r="I952" s="161"/>
      <c r="J952" s="161">
        <v>470</v>
      </c>
      <c r="K952" s="159">
        <f>K951+I952-J952</f>
        <v>441023.8699999997</v>
      </c>
    </row>
    <row r="953" spans="1:11" ht="15">
      <c r="A953" s="137" t="str">
        <f>D953&amp;E953&amp;F953</f>
        <v/>
      </c>
      <c r="B953" t="s">
        <v>2821</v>
      </c>
      <c r="C953" s="1">
        <v>46010</v>
      </c>
      <c r="F953" s="146"/>
      <c r="G953" s="146"/>
      <c r="H953" t="s">
        <v>3472</v>
      </c>
      <c r="I953" s="161">
        <v>300000</v>
      </c>
      <c r="J953" s="161"/>
      <c r="K953" s="159">
        <f>K952+I953-J953</f>
        <v>741023.86999999965</v>
      </c>
    </row>
    <row r="954" spans="1:11" ht="15">
      <c r="A954" s="137" t="str">
        <f>D954&amp;E954&amp;F954</f>
        <v/>
      </c>
      <c r="B954" t="s">
        <v>2821</v>
      </c>
      <c r="C954" s="1">
        <v>46010</v>
      </c>
      <c r="F954" s="146"/>
      <c r="G954" s="146"/>
      <c r="H954" t="s">
        <v>3472</v>
      </c>
      <c r="I954" s="161">
        <v>200000</v>
      </c>
      <c r="J954" s="161"/>
      <c r="K954" s="159">
        <f>K953+I954-J954</f>
        <v>941023.86999999965</v>
      </c>
    </row>
    <row r="955" spans="1:11" ht="15">
      <c r="A955" s="137"/>
      <c r="B955" t="s">
        <v>2821</v>
      </c>
      <c r="C955" s="1">
        <v>46010</v>
      </c>
      <c r="F955" s="146"/>
      <c r="G955" s="146"/>
      <c r="H955" t="s">
        <v>3472</v>
      </c>
      <c r="I955" s="161">
        <v>260000</v>
      </c>
      <c r="J955" s="161"/>
      <c r="K955" s="159">
        <f>K954+I955-J955</f>
        <v>1201023.8699999996</v>
      </c>
    </row>
    <row r="956" spans="1:11" ht="15">
      <c r="A956" s="137" t="str">
        <f>D956&amp;E956&amp;F956</f>
        <v/>
      </c>
      <c r="B956" t="s">
        <v>2821</v>
      </c>
      <c r="C956" s="1">
        <v>46010</v>
      </c>
      <c r="F956" s="146"/>
      <c r="G956" s="146"/>
      <c r="H956" t="s">
        <v>3466</v>
      </c>
      <c r="I956" s="161">
        <v>21306.17</v>
      </c>
      <c r="J956" s="161"/>
      <c r="K956" s="159">
        <f>K955+I956-J956</f>
        <v>1222330.0399999996</v>
      </c>
    </row>
    <row r="957" spans="1:11" ht="15">
      <c r="A957" s="137" t="str">
        <f>D957&amp;E957&amp;F957</f>
        <v/>
      </c>
      <c r="B957" t="s">
        <v>2821</v>
      </c>
      <c r="C957" s="1">
        <v>46010</v>
      </c>
      <c r="F957" s="146"/>
      <c r="G957" s="146"/>
      <c r="H957" t="s">
        <v>3468</v>
      </c>
      <c r="I957" s="161">
        <v>5800.2</v>
      </c>
      <c r="J957" s="161"/>
      <c r="K957" s="159">
        <f>K956+I957-J957</f>
        <v>1228130.2399999995</v>
      </c>
    </row>
    <row r="958" spans="1:11" ht="15">
      <c r="A958" s="137" t="str">
        <f>D958&amp;E958&amp;F958</f>
        <v/>
      </c>
      <c r="B958" t="s">
        <v>2821</v>
      </c>
      <c r="C958" s="1">
        <v>46010</v>
      </c>
      <c r="F958" s="146"/>
      <c r="G958" s="146"/>
      <c r="H958" t="s">
        <v>3467</v>
      </c>
      <c r="I958" s="161">
        <v>14632.6</v>
      </c>
      <c r="J958" s="161"/>
      <c r="K958" s="159">
        <f>K957+I958-J958</f>
        <v>1242762.8399999996</v>
      </c>
    </row>
    <row r="959" spans="1:11" ht="15">
      <c r="A959" s="137" t="str">
        <f>D959&amp;E959&amp;F959</f>
        <v/>
      </c>
      <c r="B959" t="s">
        <v>2821</v>
      </c>
      <c r="C959" s="1">
        <v>46010</v>
      </c>
      <c r="F959" s="146"/>
      <c r="G959" s="146"/>
      <c r="H959" t="s">
        <v>3603</v>
      </c>
      <c r="I959" s="161"/>
      <c r="J959" s="161">
        <v>476856.8</v>
      </c>
      <c r="K959" s="159">
        <f>K958+I959-J959</f>
        <v>765906.03999999957</v>
      </c>
    </row>
    <row r="960" spans="1:11" ht="15">
      <c r="A960" s="137" t="str">
        <f>D960&amp;E960&amp;F960</f>
        <v/>
      </c>
      <c r="B960" t="s">
        <v>2821</v>
      </c>
      <c r="C960" s="1">
        <v>46010</v>
      </c>
      <c r="F960" s="146"/>
      <c r="G960" s="146"/>
      <c r="H960" t="s">
        <v>3765</v>
      </c>
      <c r="I960" s="161"/>
      <c r="J960" s="161">
        <v>703870.2</v>
      </c>
      <c r="K960" s="159">
        <f>K959+I960-J960</f>
        <v>62035.839999999618</v>
      </c>
    </row>
    <row r="961" spans="1:11" ht="15">
      <c r="A961" s="137" t="str">
        <f>D961&amp;E961&amp;F961</f>
        <v/>
      </c>
      <c r="B961" t="s">
        <v>2821</v>
      </c>
      <c r="C961" s="1">
        <v>46010</v>
      </c>
      <c r="F961" s="146"/>
      <c r="G961" s="146"/>
      <c r="H961" t="s">
        <v>3664</v>
      </c>
      <c r="I961" s="161"/>
      <c r="J961" s="161">
        <v>35400</v>
      </c>
      <c r="K961" s="159">
        <f>K960+I961-J961</f>
        <v>26635.839999999618</v>
      </c>
    </row>
    <row r="962" spans="1:11" ht="15">
      <c r="A962" s="137" t="str">
        <f>D962&amp;E962&amp;F962</f>
        <v/>
      </c>
      <c r="B962" t="s">
        <v>2821</v>
      </c>
      <c r="C962" s="1">
        <v>46010</v>
      </c>
      <c r="F962" s="146"/>
      <c r="G962" s="146"/>
      <c r="H962" t="s">
        <v>3981</v>
      </c>
      <c r="I962" s="161"/>
      <c r="J962" s="161">
        <v>15000</v>
      </c>
      <c r="K962" s="159">
        <f>K961+I962-J962</f>
        <v>11635.839999999618</v>
      </c>
    </row>
    <row r="963" spans="1:11" ht="15">
      <c r="A963" s="137" t="str">
        <f>D963&amp;E963&amp;F963</f>
        <v/>
      </c>
      <c r="B963" t="s">
        <v>2821</v>
      </c>
      <c r="C963" s="1">
        <v>46010</v>
      </c>
      <c r="F963" s="146"/>
      <c r="G963" s="146"/>
      <c r="H963" t="s">
        <v>3982</v>
      </c>
      <c r="I963" s="161"/>
      <c r="J963" s="161">
        <v>8750</v>
      </c>
      <c r="K963" s="159">
        <f>K962+I963-J963</f>
        <v>2885.8399999996182</v>
      </c>
    </row>
    <row r="964" spans="1:11" ht="15">
      <c r="A964" s="54" t="str">
        <f t="shared" ref="A964:A965" si="33">D964&amp;E964&amp;F964</f>
        <v>SERVICIOSNOMINA ADMONSERVICIOS</v>
      </c>
      <c r="B964" t="s">
        <v>2821</v>
      </c>
      <c r="C964" s="1">
        <v>46010</v>
      </c>
      <c r="D964" t="s">
        <v>21</v>
      </c>
      <c r="E964" s="229" t="s">
        <v>147</v>
      </c>
      <c r="F964" s="146" t="s">
        <v>21</v>
      </c>
      <c r="G964" s="146"/>
      <c r="H964" t="s">
        <v>3983</v>
      </c>
      <c r="I964" s="161"/>
      <c r="J964" s="161">
        <v>500</v>
      </c>
      <c r="K964" s="159">
        <f>K963+I964-J964</f>
        <v>2385.8399999996182</v>
      </c>
    </row>
    <row r="965" spans="1:11" ht="15">
      <c r="A965" s="54" t="str">
        <f t="shared" si="33"/>
        <v>SERVICIOSNOMINA ADMONSERVICIOS</v>
      </c>
      <c r="B965" t="s">
        <v>2821</v>
      </c>
      <c r="C965" s="1">
        <v>46010</v>
      </c>
      <c r="D965" t="s">
        <v>21</v>
      </c>
      <c r="E965" s="229" t="s">
        <v>147</v>
      </c>
      <c r="F965" s="146" t="s">
        <v>21</v>
      </c>
      <c r="G965" s="146"/>
      <c r="H965" t="s">
        <v>3984</v>
      </c>
      <c r="I965" s="161"/>
      <c r="J965" s="161">
        <v>1050</v>
      </c>
      <c r="K965" s="159">
        <f>K964+I965-J965</f>
        <v>1335.8399999996182</v>
      </c>
    </row>
    <row r="966" spans="1:11" ht="15">
      <c r="A966" s="137" t="str">
        <f>D966&amp;E966&amp;F966</f>
        <v/>
      </c>
      <c r="B966" t="s">
        <v>2821</v>
      </c>
      <c r="C966" s="1">
        <v>46010</v>
      </c>
      <c r="E966" s="229"/>
      <c r="F966" s="146"/>
      <c r="G966" s="146"/>
      <c r="H966" t="s">
        <v>3985</v>
      </c>
      <c r="I966" s="161"/>
      <c r="J966" s="161">
        <v>245</v>
      </c>
      <c r="K966" s="159">
        <f>K965+I966-J966</f>
        <v>1090.8399999996182</v>
      </c>
    </row>
    <row r="967" spans="1:11" ht="15">
      <c r="A967" s="137" t="str">
        <f>D967&amp;E967&amp;F967</f>
        <v/>
      </c>
      <c r="B967" t="s">
        <v>2821</v>
      </c>
      <c r="C967" s="1">
        <v>46013</v>
      </c>
      <c r="F967" s="146"/>
      <c r="G967" s="146"/>
      <c r="H967" t="s">
        <v>3452</v>
      </c>
      <c r="I967" s="161">
        <v>100000</v>
      </c>
      <c r="J967" s="161"/>
      <c r="K967" s="159">
        <f>K966+I967-J967</f>
        <v>101090.83999999962</v>
      </c>
    </row>
    <row r="968" spans="1:11" ht="15">
      <c r="A968" s="54" t="str">
        <f t="shared" ref="A968:A975" si="34">D968&amp;E968&amp;F968</f>
        <v>HRVACACIONES/FINIQUITOSHR</v>
      </c>
      <c r="B968" t="s">
        <v>2821</v>
      </c>
      <c r="C968" s="1">
        <v>46013</v>
      </c>
      <c r="D968" t="s">
        <v>29</v>
      </c>
      <c r="E968" s="229" t="s">
        <v>190</v>
      </c>
      <c r="F968" s="146" t="s">
        <v>29</v>
      </c>
      <c r="G968" s="146"/>
      <c r="H968" t="s">
        <v>3986</v>
      </c>
      <c r="I968"/>
      <c r="J968" s="161">
        <v>376</v>
      </c>
      <c r="K968" s="159">
        <f>K967+I968-J968</f>
        <v>100714.83999999962</v>
      </c>
    </row>
    <row r="969" spans="1:11" ht="15">
      <c r="A969" s="54" t="str">
        <f t="shared" si="34"/>
        <v>HRVACACIONES/FINIQUITOSHR</v>
      </c>
      <c r="B969" t="s">
        <v>2821</v>
      </c>
      <c r="C969" s="1">
        <v>46013</v>
      </c>
      <c r="D969" t="s">
        <v>29</v>
      </c>
      <c r="E969" s="229" t="s">
        <v>190</v>
      </c>
      <c r="F969" s="146" t="s">
        <v>29</v>
      </c>
      <c r="G969" s="146"/>
      <c r="H969" t="s">
        <v>3987</v>
      </c>
      <c r="I969" s="161"/>
      <c r="J969" s="161">
        <v>688</v>
      </c>
      <c r="K969" s="159">
        <f>K968+I969-J969</f>
        <v>100026.83999999962</v>
      </c>
    </row>
    <row r="970" spans="1:11" ht="15">
      <c r="A970" s="54" t="str">
        <f t="shared" si="34"/>
        <v>HRVACACIONES/FINIQUITOSHR</v>
      </c>
      <c r="B970" t="s">
        <v>2821</v>
      </c>
      <c r="C970" s="1">
        <v>46013</v>
      </c>
      <c r="D970" t="s">
        <v>29</v>
      </c>
      <c r="E970" s="229" t="s">
        <v>190</v>
      </c>
      <c r="F970" s="146" t="s">
        <v>29</v>
      </c>
      <c r="G970" s="146"/>
      <c r="H970" t="s">
        <v>3988</v>
      </c>
      <c r="I970" s="161"/>
      <c r="J970" s="161">
        <v>575</v>
      </c>
      <c r="K970" s="159">
        <f>K969+I970-J970</f>
        <v>99451.839999999618</v>
      </c>
    </row>
    <row r="971" spans="1:11" ht="15">
      <c r="A971" s="54" t="str">
        <f t="shared" si="34"/>
        <v>SERVICIOSVACACIONES/FINIQUITOSSERVICIOS</v>
      </c>
      <c r="B971" t="s">
        <v>2821</v>
      </c>
      <c r="C971" s="1">
        <v>46013</v>
      </c>
      <c r="D971" t="s">
        <v>21</v>
      </c>
      <c r="E971" t="s">
        <v>190</v>
      </c>
      <c r="F971" s="146" t="s">
        <v>21</v>
      </c>
      <c r="G971" s="146"/>
      <c r="H971" t="s">
        <v>3989</v>
      </c>
      <c r="I971" s="161"/>
      <c r="J971" s="161">
        <v>1185</v>
      </c>
      <c r="K971" s="159">
        <f>K970+I971-J971</f>
        <v>98266.839999999618</v>
      </c>
    </row>
    <row r="972" spans="1:11" ht="15">
      <c r="A972" s="54" t="str">
        <f t="shared" si="34"/>
        <v>FINANZASVACACIONES/FINIQUITOSFINANZAS</v>
      </c>
      <c r="B972" t="s">
        <v>2821</v>
      </c>
      <c r="C972" s="1">
        <v>46013</v>
      </c>
      <c r="D972" t="s">
        <v>23</v>
      </c>
      <c r="E972" t="s">
        <v>190</v>
      </c>
      <c r="F972" s="146" t="s">
        <v>23</v>
      </c>
      <c r="G972" s="146"/>
      <c r="H972" t="s">
        <v>3990</v>
      </c>
      <c r="I972" s="161"/>
      <c r="J972" s="161">
        <v>7285</v>
      </c>
      <c r="K972" s="159">
        <f>K971+I972-J972</f>
        <v>90981.839999999618</v>
      </c>
    </row>
    <row r="973" spans="1:11" ht="15">
      <c r="A973" s="54" t="str">
        <f t="shared" si="34"/>
        <v>SERVICIOSVACACIONES/FINIQUITOSSERVICIOS</v>
      </c>
      <c r="B973" t="s">
        <v>2821</v>
      </c>
      <c r="C973" s="1">
        <v>46013</v>
      </c>
      <c r="D973" t="s">
        <v>21</v>
      </c>
      <c r="E973" t="s">
        <v>190</v>
      </c>
      <c r="F973" s="146" t="s">
        <v>21</v>
      </c>
      <c r="G973" s="146"/>
      <c r="H973" t="s">
        <v>3991</v>
      </c>
      <c r="I973" s="161"/>
      <c r="J973" s="161">
        <v>1733</v>
      </c>
      <c r="K973" s="159">
        <f>K972+I973-J973</f>
        <v>89248.839999999618</v>
      </c>
    </row>
    <row r="974" spans="1:11" ht="15">
      <c r="A974" s="54" t="str">
        <f t="shared" si="34"/>
        <v>SERVICIOSVACACIONES/FINIQUITOSSERVICIOS</v>
      </c>
      <c r="B974" t="s">
        <v>2821</v>
      </c>
      <c r="C974" s="1">
        <v>46013</v>
      </c>
      <c r="D974" t="s">
        <v>21</v>
      </c>
      <c r="E974" t="s">
        <v>190</v>
      </c>
      <c r="F974" s="146" t="s">
        <v>21</v>
      </c>
      <c r="G974" s="146"/>
      <c r="H974" t="s">
        <v>3992</v>
      </c>
      <c r="I974" s="161"/>
      <c r="J974" s="161">
        <v>6080</v>
      </c>
      <c r="K974" s="159">
        <f>K973+I974-J974</f>
        <v>83168.839999999618</v>
      </c>
    </row>
    <row r="975" spans="1:11" ht="15">
      <c r="A975" s="54" t="str">
        <f t="shared" si="34"/>
        <v>MELVACACIONES/FINIQUITOSMELISSA</v>
      </c>
      <c r="B975" s="502" t="s">
        <v>2821</v>
      </c>
      <c r="C975" s="503">
        <v>46013</v>
      </c>
      <c r="D975" t="s">
        <v>43</v>
      </c>
      <c r="E975" t="s">
        <v>190</v>
      </c>
      <c r="F975" s="146" t="s">
        <v>44</v>
      </c>
      <c r="G975" s="146"/>
      <c r="H975" t="s">
        <v>3993</v>
      </c>
      <c r="I975" s="161"/>
      <c r="J975" s="161">
        <v>1102</v>
      </c>
      <c r="K975" s="159">
        <f>K974+I975-J975</f>
        <v>82066.839999999618</v>
      </c>
    </row>
    <row r="976" spans="1:11" ht="15">
      <c r="A976" s="137" t="str">
        <f>D976&amp;E976&amp;F976</f>
        <v/>
      </c>
      <c r="B976" t="s">
        <v>2821</v>
      </c>
      <c r="C976" s="1">
        <v>46015</v>
      </c>
      <c r="F976" s="146"/>
      <c r="G976" s="146"/>
      <c r="H976" t="s">
        <v>3452</v>
      </c>
      <c r="I976" s="161">
        <v>1000000</v>
      </c>
      <c r="J976" s="161"/>
      <c r="K976" s="159">
        <f>K975+I976-J976</f>
        <v>1082066.8399999996</v>
      </c>
    </row>
    <row r="977" spans="1:11" ht="15">
      <c r="A977" s="137" t="str">
        <f>D977&amp;E977&amp;F977</f>
        <v/>
      </c>
      <c r="B977" t="s">
        <v>2821</v>
      </c>
      <c r="C977" s="1">
        <v>46017</v>
      </c>
      <c r="F977" s="146"/>
      <c r="G977" s="146"/>
      <c r="H977" t="s">
        <v>3452</v>
      </c>
      <c r="I977" s="161">
        <v>330000</v>
      </c>
      <c r="J977" s="161"/>
      <c r="K977" s="159">
        <f>K976+I977-J977</f>
        <v>1412066.8399999996</v>
      </c>
    </row>
    <row r="978" spans="1:11" ht="15">
      <c r="A978" s="137" t="str">
        <f>D978&amp;E978&amp;F978</f>
        <v/>
      </c>
      <c r="B978" t="s">
        <v>2821</v>
      </c>
      <c r="C978" s="1">
        <v>46017</v>
      </c>
      <c r="F978" s="146"/>
      <c r="G978" s="146"/>
      <c r="H978" t="s">
        <v>3466</v>
      </c>
      <c r="I978" s="161">
        <v>21710.97</v>
      </c>
      <c r="J978" s="161"/>
      <c r="K978" s="159">
        <f>K977+I978-J978</f>
        <v>1433777.8099999996</v>
      </c>
    </row>
    <row r="979" spans="1:11" ht="15">
      <c r="A979" s="137" t="str">
        <f>D979&amp;E979&amp;F979</f>
        <v/>
      </c>
      <c r="B979" t="s">
        <v>2821</v>
      </c>
      <c r="C979" s="1">
        <v>46017</v>
      </c>
      <c r="F979" s="146"/>
      <c r="G979" s="146"/>
      <c r="H979" t="s">
        <v>3468</v>
      </c>
      <c r="I979" s="161">
        <v>5500.4</v>
      </c>
      <c r="J979" s="161"/>
      <c r="K979" s="159">
        <f>K978+I979-J979</f>
        <v>1439278.2099999995</v>
      </c>
    </row>
    <row r="980" spans="1:11" ht="15">
      <c r="A980" s="137" t="str">
        <f>D980&amp;E980&amp;F980</f>
        <v/>
      </c>
      <c r="B980" t="s">
        <v>2821</v>
      </c>
      <c r="C980" s="1">
        <v>46017</v>
      </c>
      <c r="F980" s="146"/>
      <c r="G980" s="146"/>
      <c r="H980" t="s">
        <v>3467</v>
      </c>
      <c r="I980" s="161">
        <v>12276.4</v>
      </c>
      <c r="J980" s="161"/>
      <c r="K980" s="159">
        <f>K979+I980-J980</f>
        <v>1451554.6099999994</v>
      </c>
    </row>
    <row r="981" spans="1:11" ht="15">
      <c r="A981" s="137" t="str">
        <f>D981&amp;E981&amp;F981</f>
        <v/>
      </c>
      <c r="B981" t="s">
        <v>2821</v>
      </c>
      <c r="C981" s="1">
        <v>46017</v>
      </c>
      <c r="F981" s="146"/>
      <c r="G981" s="146"/>
      <c r="H981" t="s">
        <v>3994</v>
      </c>
      <c r="I981" s="161"/>
      <c r="J981" s="161">
        <v>713557</v>
      </c>
      <c r="K981" s="159">
        <f>K980+I981-J981</f>
        <v>737997.6099999994</v>
      </c>
    </row>
    <row r="982" spans="1:11" ht="15">
      <c r="A982" s="137" t="str">
        <f>D982&amp;E982&amp;F982</f>
        <v/>
      </c>
      <c r="B982" t="s">
        <v>2821</v>
      </c>
      <c r="C982" s="1">
        <v>46017</v>
      </c>
      <c r="F982" s="146"/>
      <c r="G982" s="146"/>
      <c r="H982" t="s">
        <v>3812</v>
      </c>
      <c r="I982" s="161"/>
      <c r="J982" s="161">
        <v>699074</v>
      </c>
      <c r="K982" s="159">
        <f>K981+I982-J982</f>
        <v>38923.609999999404</v>
      </c>
    </row>
    <row r="983" spans="1:11" ht="15">
      <c r="A983" s="137" t="str">
        <f>D983&amp;E983&amp;F983</f>
        <v/>
      </c>
      <c r="B983" t="s">
        <v>2821</v>
      </c>
      <c r="C983" s="1">
        <v>46017</v>
      </c>
      <c r="F983" s="146"/>
      <c r="G983" s="146"/>
      <c r="H983" t="s">
        <v>3851</v>
      </c>
      <c r="I983" s="161"/>
      <c r="J983" s="161">
        <v>39132</v>
      </c>
      <c r="K983" s="159">
        <f>K982+I983-J983</f>
        <v>-208.39000000059605</v>
      </c>
    </row>
    <row r="984" spans="1:11" ht="15">
      <c r="A984" s="137" t="str">
        <f>D984&amp;E984&amp;F984</f>
        <v/>
      </c>
      <c r="B984" t="s">
        <v>2821</v>
      </c>
      <c r="C984" s="1">
        <v>46017</v>
      </c>
      <c r="F984" s="146"/>
      <c r="G984" s="146"/>
      <c r="H984" t="s">
        <v>3982</v>
      </c>
      <c r="J984" s="161">
        <v>8750</v>
      </c>
      <c r="K984" s="159">
        <f>K983+I984-J984</f>
        <v>-8958.390000000596</v>
      </c>
    </row>
    <row r="985" spans="1:11" ht="15">
      <c r="A985" s="137" t="str">
        <f>D985&amp;E985&amp;F985</f>
        <v/>
      </c>
      <c r="B985" t="s">
        <v>2821</v>
      </c>
      <c r="C985" s="1">
        <v>46017</v>
      </c>
      <c r="F985" s="146"/>
      <c r="G985" s="146"/>
      <c r="H985" t="s">
        <v>3452</v>
      </c>
      <c r="I985" s="161">
        <v>1100000</v>
      </c>
      <c r="J985" s="161"/>
      <c r="K985" s="159">
        <f>K984+I985-J985</f>
        <v>1091041.6099999994</v>
      </c>
    </row>
    <row r="986" spans="1:11" ht="15">
      <c r="A986" s="137" t="str">
        <f>D986&amp;E986&amp;F986</f>
        <v/>
      </c>
      <c r="B986" t="s">
        <v>2821</v>
      </c>
      <c r="C986" s="1">
        <v>46021</v>
      </c>
      <c r="F986" s="146"/>
      <c r="G986" s="146"/>
      <c r="H986" t="s">
        <v>3995</v>
      </c>
      <c r="I986" s="161"/>
      <c r="J986" s="161">
        <v>12000</v>
      </c>
      <c r="K986" s="159">
        <f>K985+I986-J986</f>
        <v>1079041.6099999994</v>
      </c>
    </row>
    <row r="987" spans="1:11" ht="15">
      <c r="A987" s="137" t="str">
        <f>D987&amp;E987&amp;F987</f>
        <v/>
      </c>
      <c r="B987" t="s">
        <v>2821</v>
      </c>
      <c r="C987" s="1">
        <v>46021</v>
      </c>
      <c r="F987" s="146"/>
      <c r="G987" s="146"/>
      <c r="H987" t="s">
        <v>3472</v>
      </c>
      <c r="I987" s="161">
        <v>5000</v>
      </c>
      <c r="J987" s="161"/>
      <c r="K987" s="159">
        <f>K986+I987-J987</f>
        <v>1084041.6099999994</v>
      </c>
    </row>
    <row r="988" spans="1:11" ht="15">
      <c r="A988" s="137" t="str">
        <f>D988&amp;E988&amp;F988</f>
        <v/>
      </c>
      <c r="B988" t="s">
        <v>2821</v>
      </c>
      <c r="C988" s="1">
        <v>46022</v>
      </c>
      <c r="F988" s="146"/>
      <c r="G988" s="146"/>
      <c r="H988" t="s">
        <v>3466</v>
      </c>
      <c r="I988" s="161">
        <v>20640.97</v>
      </c>
      <c r="K988" s="159">
        <f>K987+I988-J988</f>
        <v>1104682.5799999994</v>
      </c>
    </row>
    <row r="989" spans="1:11" ht="15">
      <c r="A989" s="137" t="str">
        <f>D989&amp;E989&amp;F989</f>
        <v/>
      </c>
      <c r="B989" t="s">
        <v>2821</v>
      </c>
      <c r="C989" s="1">
        <v>46022</v>
      </c>
      <c r="F989" s="146"/>
      <c r="G989" s="146"/>
      <c r="H989" t="s">
        <v>3468</v>
      </c>
      <c r="I989" s="161">
        <v>5622.4</v>
      </c>
      <c r="K989" s="159">
        <f>K988+I989-J989</f>
        <v>1110304.9799999993</v>
      </c>
    </row>
    <row r="990" spans="1:11" ht="15">
      <c r="A990" s="137" t="str">
        <f>D990&amp;E990&amp;F990</f>
        <v/>
      </c>
      <c r="B990" t="s">
        <v>2821</v>
      </c>
      <c r="C990" s="1">
        <v>46022</v>
      </c>
      <c r="F990" s="146"/>
      <c r="G990" s="146"/>
      <c r="H990" t="s">
        <v>3467</v>
      </c>
      <c r="I990" s="161">
        <v>12316.4</v>
      </c>
      <c r="K990" s="159">
        <f>K989+I990-J990</f>
        <v>1122621.3799999992</v>
      </c>
    </row>
    <row r="991" spans="1:11" ht="15">
      <c r="A991" s="137" t="str">
        <f>D991&amp;E991&amp;F991</f>
        <v/>
      </c>
      <c r="B991" t="s">
        <v>2821</v>
      </c>
      <c r="C991" s="1">
        <v>46022</v>
      </c>
      <c r="F991" s="146"/>
      <c r="G991" s="146"/>
      <c r="H991" t="s">
        <v>3996</v>
      </c>
      <c r="I991" s="161"/>
      <c r="J991" s="161">
        <v>35400</v>
      </c>
      <c r="K991" s="159">
        <f>K990+I991-J991</f>
        <v>1087221.3799999992</v>
      </c>
    </row>
    <row r="992" spans="1:11" ht="15">
      <c r="A992" s="137" t="str">
        <f>D992&amp;E992&amp;F992</f>
        <v/>
      </c>
      <c r="B992" t="s">
        <v>2821</v>
      </c>
      <c r="C992" s="1">
        <v>46022</v>
      </c>
      <c r="F992" s="146"/>
      <c r="G992" s="146"/>
      <c r="H992" t="s">
        <v>3997</v>
      </c>
      <c r="I992" s="161"/>
      <c r="J992" s="161">
        <v>518361.2</v>
      </c>
      <c r="K992" s="159">
        <f>K991+I992-J992</f>
        <v>568860.17999999924</v>
      </c>
    </row>
    <row r="993" spans="1:11" ht="15">
      <c r="A993" s="137" t="str">
        <f>D993&amp;E993&amp;F993</f>
        <v/>
      </c>
      <c r="B993" t="s">
        <v>2821</v>
      </c>
      <c r="C993" s="1">
        <v>46022</v>
      </c>
      <c r="F993" s="146"/>
      <c r="G993" s="146"/>
      <c r="H993" t="s">
        <v>3998</v>
      </c>
      <c r="I993" s="161"/>
      <c r="J993" s="161">
        <v>566796.6</v>
      </c>
      <c r="K993" s="159">
        <f>K992+I993-J993</f>
        <v>2063.5799999992596</v>
      </c>
    </row>
    <row r="994" spans="1:11" ht="15">
      <c r="A994" s="137" t="str">
        <f>D994&amp;E994&amp;F994</f>
        <v/>
      </c>
      <c r="B994" t="s">
        <v>2821</v>
      </c>
      <c r="C994" s="1">
        <v>46022</v>
      </c>
      <c r="F994" s="146"/>
      <c r="G994" s="146"/>
      <c r="H994" t="s">
        <v>3452</v>
      </c>
      <c r="I994" s="161">
        <v>300000</v>
      </c>
      <c r="K994" s="159">
        <f>K993+I994-J994</f>
        <v>302063.57999999926</v>
      </c>
    </row>
    <row r="995" spans="1:11" ht="15">
      <c r="A995" s="137" t="str">
        <f>D995&amp;E995&amp;F995</f>
        <v/>
      </c>
      <c r="B995" t="s">
        <v>3214</v>
      </c>
      <c r="C995" s="1">
        <v>46027</v>
      </c>
      <c r="F995" s="146"/>
      <c r="G995" s="146"/>
      <c r="H995" t="s">
        <v>3452</v>
      </c>
      <c r="I995" s="161">
        <v>150000</v>
      </c>
      <c r="K995" s="159">
        <f>K994+I995-J995</f>
        <v>452063.57999999926</v>
      </c>
    </row>
    <row r="996" spans="1:11" ht="15">
      <c r="A996" s="137" t="str">
        <f>D996&amp;E996&amp;F996</f>
        <v>HRVACACIONES/FINIQUITOSHR</v>
      </c>
      <c r="B996" t="s">
        <v>3214</v>
      </c>
      <c r="C996" s="1">
        <v>46028</v>
      </c>
      <c r="D996" t="s">
        <v>29</v>
      </c>
      <c r="E996" t="s">
        <v>190</v>
      </c>
      <c r="F996" s="146" t="s">
        <v>29</v>
      </c>
      <c r="G996" s="146"/>
      <c r="H996" t="s">
        <v>3999</v>
      </c>
      <c r="J996" s="161">
        <v>5387</v>
      </c>
      <c r="K996" s="159">
        <f>K995+I996-J996</f>
        <v>446676.57999999926</v>
      </c>
    </row>
    <row r="997" spans="1:11" ht="15">
      <c r="A997" s="137" t="str">
        <f>D997&amp;E997&amp;F997</f>
        <v>HRVACACIONES/FINIQUITOSHR</v>
      </c>
      <c r="B997" t="s">
        <v>3214</v>
      </c>
      <c r="C997" s="1">
        <v>46028</v>
      </c>
      <c r="D997" t="s">
        <v>29</v>
      </c>
      <c r="E997" t="s">
        <v>190</v>
      </c>
      <c r="F997" s="146" t="s">
        <v>29</v>
      </c>
      <c r="G997" s="146"/>
      <c r="H997" t="s">
        <v>4000</v>
      </c>
      <c r="J997" s="161">
        <v>5500</v>
      </c>
      <c r="K997" s="159">
        <f>K996+I997-J997</f>
        <v>441176.57999999926</v>
      </c>
    </row>
    <row r="998" spans="1:11" ht="15">
      <c r="A998" s="137" t="str">
        <f>D998&amp;E998&amp;F998</f>
        <v/>
      </c>
      <c r="B998" t="s">
        <v>3214</v>
      </c>
      <c r="C998" s="1">
        <v>46029</v>
      </c>
      <c r="F998" s="146"/>
      <c r="G998" s="146"/>
      <c r="H998" t="s">
        <v>3452</v>
      </c>
      <c r="I998" s="161">
        <v>200000</v>
      </c>
      <c r="J998" s="161"/>
      <c r="K998" s="159">
        <f>K997+I998-J998</f>
        <v>641176.57999999926</v>
      </c>
    </row>
    <row r="999" spans="1:11" ht="15">
      <c r="A999" s="137" t="str">
        <f>D999&amp;E999&amp;F999</f>
        <v/>
      </c>
      <c r="B999" t="s">
        <v>3214</v>
      </c>
      <c r="C999" s="1">
        <v>46029</v>
      </c>
      <c r="F999" s="146"/>
      <c r="G999" s="146"/>
      <c r="H999" t="s">
        <v>4001</v>
      </c>
      <c r="I999" s="161"/>
      <c r="J999" s="161">
        <v>30000</v>
      </c>
      <c r="K999" s="159">
        <f>K998+I999-J999</f>
        <v>611176.57999999926</v>
      </c>
    </row>
    <row r="1000" spans="1:11" ht="15">
      <c r="A1000" s="137" t="str">
        <f t="shared" ref="A1000:A1005" si="35">D1000&amp;E1000&amp;F1000</f>
        <v>HRVACACIONES/FINIQUITOSHR</v>
      </c>
      <c r="B1000" t="s">
        <v>3214</v>
      </c>
      <c r="C1000" s="1">
        <v>46029</v>
      </c>
      <c r="D1000" t="s">
        <v>29</v>
      </c>
      <c r="E1000" t="s">
        <v>190</v>
      </c>
      <c r="F1000" s="146" t="s">
        <v>29</v>
      </c>
      <c r="G1000" s="146"/>
      <c r="H1000" t="s">
        <v>4002</v>
      </c>
      <c r="I1000" s="161"/>
      <c r="J1000" s="81">
        <v>910</v>
      </c>
      <c r="K1000" s="159">
        <f>K999+I1000-J1000</f>
        <v>610266.57999999926</v>
      </c>
    </row>
    <row r="1001" spans="1:11" ht="15">
      <c r="A1001" s="137" t="str">
        <f t="shared" si="35"/>
        <v>CAPVACACIONES/FINIQUITOSCAPRICHOS</v>
      </c>
      <c r="B1001" t="s">
        <v>3214</v>
      </c>
      <c r="C1001" s="1">
        <v>46029</v>
      </c>
      <c r="D1001" t="s">
        <v>31</v>
      </c>
      <c r="E1001" t="s">
        <v>190</v>
      </c>
      <c r="F1001" s="146" t="s">
        <v>33</v>
      </c>
      <c r="G1001" s="146"/>
      <c r="H1001" t="s">
        <v>4003</v>
      </c>
      <c r="I1001" s="161"/>
      <c r="J1001" s="81">
        <v>714</v>
      </c>
      <c r="K1001" s="159">
        <f>K1000+I1001-J1001</f>
        <v>609552.57999999926</v>
      </c>
    </row>
    <row r="1002" spans="1:11" ht="15">
      <c r="A1002" s="137" t="str">
        <f t="shared" si="35"/>
        <v>CAPVACACIONES/FINIQUITOSCAPRICHOS</v>
      </c>
      <c r="B1002" t="s">
        <v>3214</v>
      </c>
      <c r="C1002" s="1">
        <v>46029</v>
      </c>
      <c r="D1002" t="s">
        <v>31</v>
      </c>
      <c r="E1002" t="s">
        <v>190</v>
      </c>
      <c r="F1002" s="146" t="s">
        <v>33</v>
      </c>
      <c r="G1002" s="146"/>
      <c r="H1002" t="s">
        <v>4004</v>
      </c>
      <c r="I1002" s="161"/>
      <c r="J1002" s="81">
        <v>1070</v>
      </c>
      <c r="K1002" s="159">
        <f>K1001+I1002-J1002</f>
        <v>608482.57999999926</v>
      </c>
    </row>
    <row r="1003" spans="1:11" ht="15">
      <c r="A1003" s="137" t="str">
        <f t="shared" si="35"/>
        <v>CAPVACACIONES/FINIQUITOSCAPRICHOS</v>
      </c>
      <c r="B1003" t="s">
        <v>3214</v>
      </c>
      <c r="C1003" s="1">
        <v>46029</v>
      </c>
      <c r="D1003" t="s">
        <v>31</v>
      </c>
      <c r="E1003" t="s">
        <v>190</v>
      </c>
      <c r="F1003" s="146" t="s">
        <v>33</v>
      </c>
      <c r="G1003" s="146"/>
      <c r="H1003" t="s">
        <v>4005</v>
      </c>
      <c r="I1003" s="161"/>
      <c r="J1003" s="161">
        <v>1070</v>
      </c>
      <c r="K1003" s="159">
        <f>K1002+I1003-J1003</f>
        <v>607412.57999999926</v>
      </c>
    </row>
    <row r="1004" spans="1:11" ht="15">
      <c r="A1004" s="137" t="str">
        <f t="shared" si="35"/>
        <v>HRVACACIONES/FINIQUITOSHR</v>
      </c>
      <c r="B1004" t="s">
        <v>3214</v>
      </c>
      <c r="C1004" s="1">
        <v>46029</v>
      </c>
      <c r="D1004" t="s">
        <v>29</v>
      </c>
      <c r="E1004" t="s">
        <v>190</v>
      </c>
      <c r="F1004" s="146" t="s">
        <v>29</v>
      </c>
      <c r="G1004" s="146"/>
      <c r="H1004" t="s">
        <v>4006</v>
      </c>
      <c r="I1004" s="161"/>
      <c r="J1004" s="161">
        <v>10200</v>
      </c>
      <c r="K1004" s="159">
        <f>K1003+I1004-J1004</f>
        <v>597212.57999999926</v>
      </c>
    </row>
    <row r="1005" spans="1:11" ht="15">
      <c r="A1005" s="137" t="str">
        <f t="shared" si="35"/>
        <v>CAPVACACIONES/FINIQUITOSCAPRICHOS</v>
      </c>
      <c r="B1005" t="s">
        <v>3214</v>
      </c>
      <c r="C1005" s="1">
        <v>46029</v>
      </c>
      <c r="D1005" t="s">
        <v>31</v>
      </c>
      <c r="E1005" t="s">
        <v>190</v>
      </c>
      <c r="F1005" s="146" t="s">
        <v>33</v>
      </c>
      <c r="G1005" s="146"/>
      <c r="H1005" t="s">
        <v>4007</v>
      </c>
      <c r="I1005" s="161"/>
      <c r="J1005" s="161">
        <v>776</v>
      </c>
      <c r="K1005" s="159">
        <f>K1004+I1005-J1005</f>
        <v>596436.57999999926</v>
      </c>
    </row>
    <row r="1006" spans="1:11" ht="15">
      <c r="A1006" s="137" t="str">
        <f>D1006&amp;E1006&amp;F1006</f>
        <v/>
      </c>
      <c r="B1006" t="s">
        <v>3214</v>
      </c>
      <c r="C1006" s="1">
        <v>46030</v>
      </c>
      <c r="F1006" s="146"/>
      <c r="G1006" s="146"/>
      <c r="H1006" t="s">
        <v>3472</v>
      </c>
      <c r="I1006" s="161">
        <v>200000</v>
      </c>
      <c r="J1006" s="161"/>
      <c r="K1006" s="159">
        <f>K1005+I1006-J1006</f>
        <v>796436.57999999926</v>
      </c>
    </row>
    <row r="1007" spans="1:11" ht="15">
      <c r="A1007" s="137" t="str">
        <f>D1007&amp;E1007&amp;F1007</f>
        <v/>
      </c>
      <c r="B1007" t="s">
        <v>3214</v>
      </c>
      <c r="C1007" s="1">
        <v>46030</v>
      </c>
      <c r="F1007" s="146"/>
      <c r="G1007" s="146"/>
      <c r="H1007" t="s">
        <v>3466</v>
      </c>
      <c r="I1007" s="161">
        <v>21886.37</v>
      </c>
      <c r="J1007" s="161"/>
      <c r="K1007" s="159">
        <f>K1006+I1007-J1007</f>
        <v>818322.94999999925</v>
      </c>
    </row>
    <row r="1008" spans="1:11" ht="15">
      <c r="A1008" s="137" t="str">
        <f>D1008&amp;E1008&amp;F1008</f>
        <v/>
      </c>
      <c r="B1008" t="s">
        <v>3214</v>
      </c>
      <c r="C1008" s="1">
        <v>46030</v>
      </c>
      <c r="F1008" s="146"/>
      <c r="G1008" s="146"/>
      <c r="H1008" t="s">
        <v>3468</v>
      </c>
      <c r="I1008" s="161">
        <v>5801</v>
      </c>
      <c r="J1008" s="161"/>
      <c r="K1008" s="159">
        <f>K1007+I1008-J1008</f>
        <v>824123.94999999925</v>
      </c>
    </row>
    <row r="1009" spans="1:11" ht="15">
      <c r="A1009" s="137" t="str">
        <f>D1009&amp;E1009&amp;F1009</f>
        <v/>
      </c>
      <c r="B1009" t="s">
        <v>3214</v>
      </c>
      <c r="C1009" s="1">
        <v>46030</v>
      </c>
      <c r="F1009" s="146"/>
      <c r="G1009" s="146"/>
      <c r="H1009" t="s">
        <v>3467</v>
      </c>
      <c r="I1009" s="161">
        <v>14941.14</v>
      </c>
      <c r="J1009" s="161"/>
      <c r="K1009" s="159">
        <f>K1008+I1009-J1009</f>
        <v>839065.08999999927</v>
      </c>
    </row>
    <row r="1010" spans="1:11" ht="15">
      <c r="A1010" s="137" t="str">
        <f>D1010&amp;E1010&amp;F1010</f>
        <v/>
      </c>
      <c r="B1010" t="s">
        <v>3214</v>
      </c>
      <c r="C1010" s="1">
        <v>46030</v>
      </c>
      <c r="F1010" s="146"/>
      <c r="G1010" s="146"/>
      <c r="H1010" t="s">
        <v>3547</v>
      </c>
      <c r="I1010" s="161"/>
      <c r="J1010" s="81">
        <f>510243.81-13677.6-202062.6</f>
        <v>294503.61</v>
      </c>
      <c r="K1010" s="159">
        <f>K1009+I1010-J1010</f>
        <v>544561.47999999928</v>
      </c>
    </row>
    <row r="1011" spans="1:11" ht="15">
      <c r="A1011" s="137" t="str">
        <f>D1011&amp;E1011&amp;F1011</f>
        <v/>
      </c>
      <c r="B1011" t="s">
        <v>3214</v>
      </c>
      <c r="C1011" s="1">
        <v>46030</v>
      </c>
      <c r="F1011" s="146"/>
      <c r="G1011" s="146"/>
      <c r="H1011" t="s">
        <v>3812</v>
      </c>
      <c r="I1011" s="161"/>
      <c r="J1011" s="161">
        <v>417048.6</v>
      </c>
      <c r="K1011" s="159">
        <f>K1010+I1011-J1011</f>
        <v>127512.87999999931</v>
      </c>
    </row>
    <row r="1012" spans="1:11" ht="15">
      <c r="A1012" s="137" t="str">
        <f>D1012&amp;E1012&amp;F1012</f>
        <v/>
      </c>
      <c r="B1012" t="s">
        <v>3214</v>
      </c>
      <c r="C1012" s="1">
        <v>46030</v>
      </c>
      <c r="F1012" s="146"/>
      <c r="G1012" s="146"/>
      <c r="H1012" t="s">
        <v>3851</v>
      </c>
      <c r="I1012" s="161"/>
      <c r="J1012" s="161">
        <v>50400</v>
      </c>
      <c r="K1012" s="159">
        <f>K1011+I1012-J1012</f>
        <v>77112.879999999306</v>
      </c>
    </row>
    <row r="1013" spans="1:11" ht="15">
      <c r="A1013" s="137" t="str">
        <f>D1013&amp;E1013&amp;F1013</f>
        <v/>
      </c>
      <c r="B1013" t="s">
        <v>3214</v>
      </c>
      <c r="C1013" s="1">
        <v>46031</v>
      </c>
      <c r="F1013" s="146"/>
      <c r="G1013" s="146"/>
      <c r="H1013" t="s">
        <v>3472</v>
      </c>
      <c r="I1013" s="161">
        <v>140000</v>
      </c>
      <c r="J1013" s="161"/>
      <c r="K1013" s="159">
        <f>K1012+I1013-J1013</f>
        <v>217112.87999999931</v>
      </c>
    </row>
    <row r="1014" spans="1:11" ht="15">
      <c r="A1014" s="137" t="str">
        <f>D1014&amp;E1014&amp;F1014</f>
        <v/>
      </c>
      <c r="B1014" t="s">
        <v>3214</v>
      </c>
      <c r="C1014" s="1">
        <v>46031</v>
      </c>
      <c r="F1014" s="146"/>
      <c r="G1014" s="146"/>
      <c r="H1014" t="s">
        <v>4008</v>
      </c>
      <c r="I1014" s="161"/>
      <c r="J1014" s="81">
        <f>13677.6+202062.6</f>
        <v>215740.2</v>
      </c>
      <c r="K1014" s="159">
        <f>K1013+I1014-J1014</f>
        <v>1372.6799999992945</v>
      </c>
    </row>
    <row r="1015" spans="1:11" ht="15">
      <c r="A1015" s="137" t="str">
        <f>D1015&amp;E1015&amp;F1015</f>
        <v/>
      </c>
      <c r="B1015" t="s">
        <v>3214</v>
      </c>
      <c r="C1015" s="1">
        <v>46034</v>
      </c>
      <c r="F1015" s="146"/>
      <c r="G1015" s="146"/>
      <c r="H1015" t="s">
        <v>3452</v>
      </c>
      <c r="I1015" s="161">
        <v>150000</v>
      </c>
      <c r="J1015" s="161"/>
      <c r="K1015" s="159">
        <f>K1014+I1015-J1015</f>
        <v>151372.67999999929</v>
      </c>
    </row>
    <row r="1016" spans="1:11" ht="15">
      <c r="A1016" s="137" t="str">
        <f>D1016&amp;E1016&amp;F1016</f>
        <v/>
      </c>
      <c r="B1016" t="s">
        <v>3214</v>
      </c>
      <c r="C1016" s="1">
        <v>46034</v>
      </c>
      <c r="F1016" s="146"/>
      <c r="G1016" s="146"/>
      <c r="H1016" t="s">
        <v>4009</v>
      </c>
      <c r="I1016" s="161"/>
      <c r="J1016" s="161">
        <v>2000</v>
      </c>
      <c r="K1016" s="159">
        <f>K1015+I1016-J1016</f>
        <v>149372.67999999929</v>
      </c>
    </row>
    <row r="1017" spans="1:11" ht="15">
      <c r="A1017" s="137" t="str">
        <f>D1017&amp;E1017&amp;F1017</f>
        <v/>
      </c>
      <c r="B1017" t="s">
        <v>3214</v>
      </c>
      <c r="C1017" s="1">
        <v>46035</v>
      </c>
      <c r="F1017" s="146"/>
      <c r="G1017" s="146"/>
      <c r="H1017" t="s">
        <v>3472</v>
      </c>
      <c r="I1017" s="161">
        <v>50000</v>
      </c>
      <c r="J1017" s="161"/>
      <c r="K1017" s="159">
        <f>K1016+I1017-J1017</f>
        <v>199372.67999999929</v>
      </c>
    </row>
    <row r="1018" spans="1:11" ht="15">
      <c r="A1018" s="137" t="str">
        <f>D1018&amp;E1018&amp;F1018</f>
        <v/>
      </c>
      <c r="B1018" t="s">
        <v>3214</v>
      </c>
      <c r="C1018" s="1">
        <v>46036</v>
      </c>
      <c r="F1018" s="146"/>
      <c r="G1018" s="146"/>
      <c r="H1018" t="s">
        <v>3472</v>
      </c>
      <c r="I1018" s="161">
        <v>150000</v>
      </c>
      <c r="J1018" s="161"/>
      <c r="K1018" s="159">
        <f>K1017+I1018-J1018</f>
        <v>349372.67999999929</v>
      </c>
    </row>
    <row r="1019" spans="1:11" ht="15">
      <c r="A1019" s="137" t="str">
        <f>D1019&amp;E1019&amp;F1019</f>
        <v/>
      </c>
      <c r="B1019" t="s">
        <v>3214</v>
      </c>
      <c r="C1019" s="1">
        <v>46037</v>
      </c>
      <c r="F1019" s="146"/>
      <c r="G1019" s="146"/>
      <c r="H1019" t="s">
        <v>3472</v>
      </c>
      <c r="I1019" s="161">
        <v>100000</v>
      </c>
      <c r="J1019" s="161"/>
      <c r="K1019" s="159">
        <f>K1018+I1019-J1019</f>
        <v>449372.67999999929</v>
      </c>
    </row>
    <row r="1020" spans="1:11" ht="15">
      <c r="A1020" s="137" t="str">
        <f>D1020&amp;E1020&amp;F1020</f>
        <v/>
      </c>
      <c r="B1020" t="s">
        <v>3214</v>
      </c>
      <c r="C1020" s="1">
        <v>46038</v>
      </c>
      <c r="F1020" s="146"/>
      <c r="G1020" s="146"/>
      <c r="H1020" t="s">
        <v>3472</v>
      </c>
      <c r="I1020" s="161">
        <v>148000</v>
      </c>
      <c r="J1020" s="161"/>
      <c r="K1020" s="159">
        <f>K1019+I1020-J1020</f>
        <v>597372.67999999924</v>
      </c>
    </row>
    <row r="1021" spans="1:11" ht="15">
      <c r="A1021" s="137" t="str">
        <f>D1021&amp;E1021&amp;F1021</f>
        <v/>
      </c>
      <c r="B1021" t="s">
        <v>3214</v>
      </c>
      <c r="C1021" s="1">
        <v>46038</v>
      </c>
      <c r="F1021" s="146"/>
      <c r="G1021" s="146"/>
      <c r="H1021" t="s">
        <v>3466</v>
      </c>
      <c r="I1021" s="161">
        <v>21886.57</v>
      </c>
      <c r="J1021" s="161"/>
      <c r="K1021" s="159">
        <f>K1020+I1021-J1021</f>
        <v>619259.24999999919</v>
      </c>
    </row>
    <row r="1022" spans="1:11" ht="15">
      <c r="A1022" s="137" t="str">
        <f>D1022&amp;E1022&amp;F1022</f>
        <v/>
      </c>
      <c r="B1022" t="s">
        <v>3214</v>
      </c>
      <c r="C1022" s="1">
        <v>46038</v>
      </c>
      <c r="F1022" s="146"/>
      <c r="G1022" s="146"/>
      <c r="H1022" t="s">
        <v>3468</v>
      </c>
      <c r="I1022" s="161">
        <v>5801</v>
      </c>
      <c r="J1022" s="161"/>
      <c r="K1022" s="159">
        <f>K1021+I1022-J1022</f>
        <v>625060.24999999919</v>
      </c>
    </row>
    <row r="1023" spans="1:11" ht="15">
      <c r="A1023" s="137" t="str">
        <f>D1023&amp;E1023&amp;F1023</f>
        <v/>
      </c>
      <c r="B1023" t="s">
        <v>3214</v>
      </c>
      <c r="C1023" s="1">
        <v>46038</v>
      </c>
      <c r="F1023" s="146"/>
      <c r="G1023" s="146"/>
      <c r="H1023" t="s">
        <v>3467</v>
      </c>
      <c r="I1023" s="161">
        <v>15560.54</v>
      </c>
      <c r="J1023" s="161"/>
      <c r="K1023" s="159">
        <f>K1022+I1023-J1023</f>
        <v>640620.78999999922</v>
      </c>
    </row>
    <row r="1024" spans="1:11" ht="15">
      <c r="A1024" s="137" t="str">
        <f>D1024&amp;E1024&amp;F1024</f>
        <v/>
      </c>
      <c r="B1024" t="s">
        <v>3214</v>
      </c>
      <c r="C1024" s="1">
        <v>46038</v>
      </c>
      <c r="F1024" s="146"/>
      <c r="G1024" s="146"/>
      <c r="H1024" t="s">
        <v>3786</v>
      </c>
      <c r="I1024" s="161"/>
      <c r="J1024" s="161">
        <v>457250.4</v>
      </c>
      <c r="K1024" s="159">
        <f>K1023+I1024-J1024</f>
        <v>183370.3899999992</v>
      </c>
    </row>
    <row r="1025" spans="1:11" ht="15">
      <c r="A1025" s="137" t="str">
        <f>D1025&amp;E1025&amp;F1025</f>
        <v/>
      </c>
      <c r="B1025" t="s">
        <v>3214</v>
      </c>
      <c r="C1025" s="1">
        <v>46038</v>
      </c>
      <c r="F1025" s="146"/>
      <c r="G1025" s="146"/>
      <c r="H1025" t="s">
        <v>3663</v>
      </c>
      <c r="I1025" s="161"/>
      <c r="J1025" s="161">
        <v>464288</v>
      </c>
      <c r="K1025" s="159">
        <f>K1024+I1025-J1025</f>
        <v>-280917.6100000008</v>
      </c>
    </row>
    <row r="1026" spans="1:11" ht="15">
      <c r="A1026" s="137" t="str">
        <f>D1026&amp;E1026&amp;F1026</f>
        <v/>
      </c>
      <c r="B1026" t="s">
        <v>3214</v>
      </c>
      <c r="C1026" s="1">
        <v>46038</v>
      </c>
      <c r="F1026" s="146"/>
      <c r="G1026" s="146"/>
      <c r="H1026" t="s">
        <v>3573</v>
      </c>
      <c r="I1026" s="161"/>
      <c r="J1026" s="161">
        <v>35400</v>
      </c>
      <c r="K1026" s="159">
        <f>K1025+I1026-J1026</f>
        <v>-316317.6100000008</v>
      </c>
    </row>
    <row r="1027" spans="1:11" ht="15">
      <c r="A1027" s="137" t="str">
        <f t="shared" ref="A1027:A1035" si="36">D1027&amp;E1027&amp;F1027</f>
        <v>FINANZASOTROS GASTOSPRESTAMO</v>
      </c>
      <c r="B1027" t="s">
        <v>3214</v>
      </c>
      <c r="C1027" s="1">
        <v>46038</v>
      </c>
      <c r="D1027" t="s">
        <v>23</v>
      </c>
      <c r="E1027" t="s">
        <v>156</v>
      </c>
      <c r="F1027" s="146" t="s">
        <v>157</v>
      </c>
      <c r="G1027" s="146"/>
      <c r="H1027" t="s">
        <v>4010</v>
      </c>
      <c r="I1027" s="161"/>
      <c r="J1027" s="161">
        <v>10000</v>
      </c>
      <c r="K1027" s="159">
        <f>K1026+I1027-J1027</f>
        <v>-326317.6100000008</v>
      </c>
    </row>
    <row r="1028" spans="1:11" ht="15">
      <c r="A1028" s="137" t="str">
        <f t="shared" si="36"/>
        <v>CAPVACACIONES/FINIQUITOSCAPRICHOS</v>
      </c>
      <c r="B1028" t="s">
        <v>3214</v>
      </c>
      <c r="C1028" s="1">
        <v>46038</v>
      </c>
      <c r="D1028" t="s">
        <v>31</v>
      </c>
      <c r="E1028" t="s">
        <v>190</v>
      </c>
      <c r="F1028" s="146" t="s">
        <v>33</v>
      </c>
      <c r="G1028" s="146"/>
      <c r="H1028" t="s">
        <v>4011</v>
      </c>
      <c r="I1028" s="158"/>
      <c r="J1028" s="158">
        <v>1140</v>
      </c>
      <c r="K1028" s="159">
        <f>K1027+I1028-J1028</f>
        <v>-327457.6100000008</v>
      </c>
    </row>
    <row r="1029" spans="1:11" ht="15">
      <c r="A1029" s="137" t="str">
        <f t="shared" si="36"/>
        <v>CAPVACACIONES/FINIQUITOSCAPRICHOS</v>
      </c>
      <c r="B1029" t="s">
        <v>3214</v>
      </c>
      <c r="C1029" s="1">
        <v>46038</v>
      </c>
      <c r="D1029" t="s">
        <v>31</v>
      </c>
      <c r="E1029" t="s">
        <v>190</v>
      </c>
      <c r="F1029" s="146" t="s">
        <v>33</v>
      </c>
      <c r="H1029" t="s">
        <v>4012</v>
      </c>
      <c r="I1029" s="158"/>
      <c r="J1029" s="158">
        <v>1043</v>
      </c>
      <c r="K1029" s="159">
        <f>K1028+I1029-J1029</f>
        <v>-328500.6100000008</v>
      </c>
    </row>
    <row r="1030" spans="1:11" ht="15">
      <c r="A1030" s="137" t="str">
        <f t="shared" si="36"/>
        <v>CAPVACACIONES/FINIQUITOSCAPRICHOS</v>
      </c>
      <c r="B1030" t="s">
        <v>3214</v>
      </c>
      <c r="C1030" s="1">
        <v>46038</v>
      </c>
      <c r="D1030" t="s">
        <v>31</v>
      </c>
      <c r="E1030" t="s">
        <v>190</v>
      </c>
      <c r="F1030" s="146" t="s">
        <v>33</v>
      </c>
      <c r="H1030" t="s">
        <v>4013</v>
      </c>
      <c r="I1030" s="161"/>
      <c r="J1030" s="161">
        <v>879</v>
      </c>
      <c r="K1030" s="159">
        <f>K1029+I1030-J1030</f>
        <v>-329379.6100000008</v>
      </c>
    </row>
    <row r="1031" spans="1:11" ht="15">
      <c r="A1031" s="137" t="str">
        <f t="shared" si="36"/>
        <v>CAPVACACIONES/FINIQUITOSCAPRICHOS</v>
      </c>
      <c r="B1031" t="s">
        <v>3214</v>
      </c>
      <c r="C1031" s="1">
        <v>46038</v>
      </c>
      <c r="D1031" t="s">
        <v>31</v>
      </c>
      <c r="E1031" t="s">
        <v>190</v>
      </c>
      <c r="F1031" s="146" t="s">
        <v>33</v>
      </c>
      <c r="H1031" t="s">
        <v>4014</v>
      </c>
      <c r="I1031" s="161"/>
      <c r="J1031" s="161">
        <v>470</v>
      </c>
      <c r="K1031" s="159">
        <f>K1030+I1031-J1031</f>
        <v>-329849.6100000008</v>
      </c>
    </row>
    <row r="1032" spans="1:11" ht="15">
      <c r="A1032" s="137" t="str">
        <f t="shared" si="36"/>
        <v>HRVACACIONES/FINIQUITOSHR</v>
      </c>
      <c r="B1032" t="s">
        <v>3214</v>
      </c>
      <c r="C1032" s="1">
        <v>46038</v>
      </c>
      <c r="D1032" t="s">
        <v>29</v>
      </c>
      <c r="E1032" t="s">
        <v>190</v>
      </c>
      <c r="F1032" t="s">
        <v>29</v>
      </c>
      <c r="H1032" t="s">
        <v>4015</v>
      </c>
      <c r="I1032" s="161"/>
      <c r="J1032" s="161">
        <v>1888</v>
      </c>
      <c r="K1032" s="159">
        <f>K1031+I1032-J1032</f>
        <v>-331737.6100000008</v>
      </c>
    </row>
    <row r="1033" spans="1:11" ht="15">
      <c r="A1033" s="137" t="str">
        <f t="shared" si="36"/>
        <v>HRVACACIONES/FINIQUITOSHR</v>
      </c>
      <c r="B1033" t="s">
        <v>3214</v>
      </c>
      <c r="C1033" s="1">
        <v>46038</v>
      </c>
      <c r="D1033" t="s">
        <v>29</v>
      </c>
      <c r="E1033" t="s">
        <v>190</v>
      </c>
      <c r="F1033" t="s">
        <v>29</v>
      </c>
      <c r="H1033" t="s">
        <v>4016</v>
      </c>
      <c r="I1033" s="161"/>
      <c r="J1033" s="161">
        <v>662</v>
      </c>
      <c r="K1033" s="159">
        <f>K1032+I1033-J1033</f>
        <v>-332399.6100000008</v>
      </c>
    </row>
    <row r="1034" spans="1:11" ht="15">
      <c r="A1034" s="137" t="str">
        <f t="shared" si="36"/>
        <v>HRVACACIONES/FINIQUITOSHR</v>
      </c>
      <c r="B1034" t="s">
        <v>3214</v>
      </c>
      <c r="C1034" s="1">
        <v>46038</v>
      </c>
      <c r="D1034" t="s">
        <v>29</v>
      </c>
      <c r="E1034" t="s">
        <v>190</v>
      </c>
      <c r="F1034" t="s">
        <v>29</v>
      </c>
      <c r="H1034" t="s">
        <v>4017</v>
      </c>
      <c r="I1034" s="161"/>
      <c r="J1034" s="161">
        <v>5327</v>
      </c>
      <c r="K1034" s="159">
        <f>K1033+I1034-J1034</f>
        <v>-337726.6100000008</v>
      </c>
    </row>
    <row r="1035" spans="1:11" ht="15">
      <c r="A1035" s="137" t="str">
        <f t="shared" si="36"/>
        <v>SERVICIOSVACACIONES/FINIQUITOSSERVICIOS</v>
      </c>
      <c r="B1035" t="s">
        <v>3214</v>
      </c>
      <c r="C1035" s="1">
        <v>46038</v>
      </c>
      <c r="D1035" t="s">
        <v>21</v>
      </c>
      <c r="E1035" t="s">
        <v>190</v>
      </c>
      <c r="F1035" t="s">
        <v>21</v>
      </c>
      <c r="H1035" t="s">
        <v>4018</v>
      </c>
      <c r="I1035" s="161"/>
      <c r="J1035" s="161">
        <v>1387</v>
      </c>
      <c r="K1035" s="159">
        <f>K1034+I1035-J1035</f>
        <v>-339113.6100000008</v>
      </c>
    </row>
    <row r="1036" spans="1:11" ht="15">
      <c r="A1036" s="137" t="str">
        <f>D1036&amp;E1036&amp;F1036</f>
        <v/>
      </c>
      <c r="B1036" t="s">
        <v>3214</v>
      </c>
      <c r="C1036" s="1">
        <v>46041</v>
      </c>
      <c r="H1036" t="s">
        <v>3452</v>
      </c>
      <c r="I1036" s="161">
        <v>400000</v>
      </c>
      <c r="J1036" s="161"/>
      <c r="K1036" s="159">
        <f>K1035+I1036-J1036</f>
        <v>60886.389999999199</v>
      </c>
    </row>
    <row r="1037" spans="1:11" ht="15">
      <c r="A1037" s="137" t="str">
        <f t="shared" ref="A1037:A1044" si="37">D1037&amp;E1037&amp;F1037</f>
        <v>HRVACACIONES/FINIQUITOSHR</v>
      </c>
      <c r="B1037" t="s">
        <v>3214</v>
      </c>
      <c r="C1037" s="1">
        <v>46041</v>
      </c>
      <c r="D1037" t="s">
        <v>29</v>
      </c>
      <c r="E1037" t="s">
        <v>190</v>
      </c>
      <c r="F1037" t="s">
        <v>29</v>
      </c>
      <c r="H1037" t="s">
        <v>4019</v>
      </c>
      <c r="I1037" s="161"/>
      <c r="J1037" s="161">
        <v>1322</v>
      </c>
      <c r="K1037" s="159">
        <f>K1036+I1037-J1037</f>
        <v>59564.389999999199</v>
      </c>
    </row>
    <row r="1038" spans="1:11" ht="15">
      <c r="A1038" s="137" t="str">
        <f t="shared" si="37"/>
        <v>HRVACACIONES/FINIQUITOSHR</v>
      </c>
      <c r="B1038" t="s">
        <v>3214</v>
      </c>
      <c r="C1038" s="1">
        <v>46041</v>
      </c>
      <c r="D1038" t="s">
        <v>29</v>
      </c>
      <c r="E1038" t="s">
        <v>190</v>
      </c>
      <c r="F1038" t="s">
        <v>29</v>
      </c>
      <c r="H1038" t="s">
        <v>4020</v>
      </c>
      <c r="I1038" s="161"/>
      <c r="J1038" s="161">
        <v>4275</v>
      </c>
      <c r="K1038" s="159">
        <f>K1037+I1038-J1038</f>
        <v>55289.389999999199</v>
      </c>
    </row>
    <row r="1039" spans="1:11" ht="15">
      <c r="A1039" s="137" t="str">
        <f t="shared" si="37"/>
        <v>HRVACACIONES/FINIQUITOSHR</v>
      </c>
      <c r="B1039" t="s">
        <v>3214</v>
      </c>
      <c r="C1039" s="1">
        <v>46041</v>
      </c>
      <c r="D1039" t="s">
        <v>29</v>
      </c>
      <c r="E1039" t="s">
        <v>190</v>
      </c>
      <c r="F1039" t="s">
        <v>29</v>
      </c>
      <c r="H1039" t="s">
        <v>4021</v>
      </c>
      <c r="I1039" s="161"/>
      <c r="J1039" s="161">
        <v>3023</v>
      </c>
      <c r="K1039" s="159">
        <f>K1038+I1039-J1039</f>
        <v>52266.389999999199</v>
      </c>
    </row>
    <row r="1040" spans="1:11" ht="15">
      <c r="A1040" s="137" t="str">
        <f t="shared" si="37"/>
        <v>HRVACACIONES/FINIQUITOSHR</v>
      </c>
      <c r="B1040" t="s">
        <v>3214</v>
      </c>
      <c r="C1040" s="1">
        <v>46041</v>
      </c>
      <c r="D1040" t="s">
        <v>29</v>
      </c>
      <c r="E1040" t="s">
        <v>190</v>
      </c>
      <c r="F1040" t="s">
        <v>29</v>
      </c>
      <c r="H1040" t="s">
        <v>4022</v>
      </c>
      <c r="I1040" s="161"/>
      <c r="J1040" s="161">
        <v>5488</v>
      </c>
      <c r="K1040" s="159">
        <f>K1039+I1040-J1040</f>
        <v>46778.389999999199</v>
      </c>
    </row>
    <row r="1041" spans="1:11" ht="15">
      <c r="A1041" s="137" t="str">
        <f t="shared" si="37"/>
        <v>SERVICIOSNOMINA ADMONSERVICIOS</v>
      </c>
      <c r="B1041" t="s">
        <v>3214</v>
      </c>
      <c r="C1041" s="1">
        <v>46041</v>
      </c>
      <c r="D1041" t="s">
        <v>21</v>
      </c>
      <c r="E1041" t="s">
        <v>147</v>
      </c>
      <c r="F1041" t="s">
        <v>21</v>
      </c>
      <c r="H1041" t="s">
        <v>4023</v>
      </c>
      <c r="J1041" s="161">
        <v>200</v>
      </c>
      <c r="K1041" s="159">
        <f>K1040+I1041-J1041</f>
        <v>46578.389999999199</v>
      </c>
    </row>
    <row r="1042" spans="1:11" ht="15">
      <c r="A1042" s="137" t="str">
        <f t="shared" si="37"/>
        <v>SERVICIOSNOMINA ADMONSERVICIOS</v>
      </c>
      <c r="B1042" t="s">
        <v>3214</v>
      </c>
      <c r="C1042" s="1">
        <v>46041</v>
      </c>
      <c r="D1042" t="s">
        <v>21</v>
      </c>
      <c r="E1042" t="s">
        <v>147</v>
      </c>
      <c r="F1042" t="s">
        <v>21</v>
      </c>
      <c r="H1042" t="s">
        <v>4024</v>
      </c>
      <c r="J1042" s="161">
        <v>250</v>
      </c>
      <c r="K1042" s="159">
        <f>K1041+I1042-J1042</f>
        <v>46328.389999999199</v>
      </c>
    </row>
    <row r="1043" spans="1:11" ht="15">
      <c r="A1043" s="137" t="str">
        <f t="shared" si="37"/>
        <v>SERVICIOSNOMINA ADMONSERVICIOS</v>
      </c>
      <c r="B1043" t="s">
        <v>3214</v>
      </c>
      <c r="C1043" s="1">
        <v>46041</v>
      </c>
      <c r="D1043" t="s">
        <v>21</v>
      </c>
      <c r="E1043" t="s">
        <v>147</v>
      </c>
      <c r="F1043" t="s">
        <v>21</v>
      </c>
      <c r="H1043" t="s">
        <v>4025</v>
      </c>
      <c r="J1043" s="81">
        <v>250</v>
      </c>
      <c r="K1043" s="159">
        <f>K1042+I1043-J1043</f>
        <v>46078.389999999199</v>
      </c>
    </row>
    <row r="1044" spans="1:11" ht="15">
      <c r="A1044" s="137" t="str">
        <f t="shared" si="37"/>
        <v>SERVICIOSNOMINA ADMONSERVICIOS</v>
      </c>
      <c r="B1044" t="s">
        <v>3214</v>
      </c>
      <c r="C1044" s="1">
        <v>46041</v>
      </c>
      <c r="D1044" t="s">
        <v>21</v>
      </c>
      <c r="E1044" t="s">
        <v>147</v>
      </c>
      <c r="F1044" t="s">
        <v>21</v>
      </c>
      <c r="H1044" t="s">
        <v>4026</v>
      </c>
      <c r="J1044" s="81">
        <v>400</v>
      </c>
      <c r="K1044" s="159">
        <f>K1043+I1044-J1044</f>
        <v>45678.389999999199</v>
      </c>
    </row>
    <row r="1045" spans="1:11" ht="15">
      <c r="A1045" s="137" t="str">
        <f>D1045&amp;E1045&amp;F1045</f>
        <v/>
      </c>
      <c r="B1045" t="s">
        <v>3214</v>
      </c>
      <c r="C1045" s="1">
        <v>46042</v>
      </c>
      <c r="H1045" t="s">
        <v>3452</v>
      </c>
      <c r="I1045" s="81">
        <v>400000</v>
      </c>
      <c r="K1045" s="159">
        <f>K1044+I1045-J1045</f>
        <v>445678.3899999992</v>
      </c>
    </row>
    <row r="1046" spans="1:11" ht="15">
      <c r="A1046" s="137" t="str">
        <f>D1046&amp;E1046&amp;F1046</f>
        <v/>
      </c>
      <c r="B1046" t="s">
        <v>3214</v>
      </c>
      <c r="C1046" s="1">
        <v>46043</v>
      </c>
      <c r="H1046" t="s">
        <v>3452</v>
      </c>
      <c r="I1046" s="81">
        <v>100000</v>
      </c>
      <c r="K1046" s="159">
        <f t="shared" ref="K1046:K1073" si="38">K1045+I1046-J1046</f>
        <v>545678.3899999992</v>
      </c>
    </row>
    <row r="1047" spans="1:11" ht="15">
      <c r="A1047" s="137"/>
      <c r="B1047" t="s">
        <v>3214</v>
      </c>
      <c r="C1047" s="1">
        <v>46044</v>
      </c>
      <c r="H1047" t="s">
        <v>3452</v>
      </c>
      <c r="I1047" s="81">
        <v>100000</v>
      </c>
      <c r="K1047" s="159">
        <f t="shared" si="38"/>
        <v>645678.3899999992</v>
      </c>
    </row>
    <row r="1048" spans="1:11" ht="15">
      <c r="A1048" s="137" t="str">
        <f>D1048&amp;E1048&amp;F1048</f>
        <v/>
      </c>
      <c r="B1048" t="s">
        <v>3214</v>
      </c>
      <c r="C1048" s="1">
        <v>46045</v>
      </c>
      <c r="H1048" t="s">
        <v>3472</v>
      </c>
      <c r="I1048" s="81">
        <v>150000</v>
      </c>
      <c r="K1048" s="159">
        <f t="shared" si="38"/>
        <v>795678.3899999992</v>
      </c>
    </row>
    <row r="1049" spans="1:11" ht="15">
      <c r="A1049" s="137" t="str">
        <f>D1049&amp;E1049&amp;F1049</f>
        <v/>
      </c>
      <c r="B1049" t="s">
        <v>3214</v>
      </c>
      <c r="C1049" s="1">
        <v>46045</v>
      </c>
      <c r="H1049" t="s">
        <v>3466</v>
      </c>
      <c r="I1049" s="81">
        <v>21413.37</v>
      </c>
      <c r="K1049" s="159">
        <f t="shared" si="38"/>
        <v>817091.75999999919</v>
      </c>
    </row>
    <row r="1050" spans="1:11" ht="15">
      <c r="A1050" s="137" t="str">
        <f>D1050&amp;E1050&amp;F1050</f>
        <v/>
      </c>
      <c r="B1050" t="s">
        <v>3214</v>
      </c>
      <c r="C1050" s="1">
        <v>46045</v>
      </c>
      <c r="H1050" t="s">
        <v>3468</v>
      </c>
      <c r="I1050" s="81">
        <v>5807.8</v>
      </c>
      <c r="K1050" s="159">
        <f t="shared" si="38"/>
        <v>822899.55999999924</v>
      </c>
    </row>
    <row r="1051" spans="1:11" ht="15">
      <c r="A1051" s="137" t="str">
        <f>D1051&amp;E1051&amp;F1051</f>
        <v/>
      </c>
      <c r="B1051" t="s">
        <v>3214</v>
      </c>
      <c r="C1051" s="1">
        <v>46045</v>
      </c>
      <c r="H1051" t="s">
        <v>3467</v>
      </c>
      <c r="I1051" s="81">
        <v>15771</v>
      </c>
      <c r="K1051" s="159">
        <f t="shared" si="38"/>
        <v>838670.55999999924</v>
      </c>
    </row>
    <row r="1052" spans="1:11" ht="15">
      <c r="A1052" s="137" t="str">
        <f>D1052&amp;E1052&amp;F1052</f>
        <v/>
      </c>
      <c r="B1052" t="s">
        <v>3214</v>
      </c>
      <c r="C1052" s="1">
        <v>46045</v>
      </c>
      <c r="H1052" t="s">
        <v>3884</v>
      </c>
      <c r="J1052" s="546">
        <v>344049.47</v>
      </c>
      <c r="K1052" s="159">
        <f t="shared" si="38"/>
        <v>494621.08999999927</v>
      </c>
    </row>
    <row r="1053" spans="1:11" ht="15">
      <c r="A1053" s="137" t="str">
        <f>D1053&amp;E1053&amp;F1053</f>
        <v/>
      </c>
      <c r="B1053" t="s">
        <v>3214</v>
      </c>
      <c r="C1053" s="1">
        <v>46045</v>
      </c>
      <c r="H1053" t="s">
        <v>4027</v>
      </c>
      <c r="J1053" s="546">
        <v>616595.6</v>
      </c>
      <c r="K1053" s="159">
        <f t="shared" si="38"/>
        <v>-121974.51000000071</v>
      </c>
    </row>
    <row r="1054" spans="1:11" ht="15">
      <c r="A1054" s="137" t="str">
        <f>D1054&amp;E1054&amp;F1054</f>
        <v/>
      </c>
      <c r="B1054" t="s">
        <v>3214</v>
      </c>
      <c r="C1054" s="1">
        <v>46045</v>
      </c>
      <c r="H1054" t="s">
        <v>3537</v>
      </c>
      <c r="J1054" s="546">
        <v>35400</v>
      </c>
      <c r="K1054" s="159">
        <f t="shared" si="38"/>
        <v>-157374.51000000071</v>
      </c>
    </row>
    <row r="1055" spans="1:11" ht="15">
      <c r="A1055" s="137" t="str">
        <f>D1055&amp;E1055&amp;F1055</f>
        <v>CAPVACACIONES/FINIQUITOSE10</v>
      </c>
      <c r="B1055" t="s">
        <v>3214</v>
      </c>
      <c r="C1055" s="1">
        <v>46045</v>
      </c>
      <c r="D1055" t="s">
        <v>31</v>
      </c>
      <c r="E1055" t="s">
        <v>190</v>
      </c>
      <c r="F1055" t="s">
        <v>117</v>
      </c>
      <c r="H1055" t="s">
        <v>4028</v>
      </c>
      <c r="J1055" s="546">
        <v>30000</v>
      </c>
      <c r="K1055" s="159">
        <f>K1054+I1055-J1055</f>
        <v>-187374.51000000071</v>
      </c>
    </row>
    <row r="1056" spans="1:11" ht="15">
      <c r="A1056" s="137" t="str">
        <f>D1056&amp;E1056&amp;F1056</f>
        <v/>
      </c>
      <c r="B1056" t="s">
        <v>3214</v>
      </c>
      <c r="C1056" s="1">
        <v>46048</v>
      </c>
      <c r="H1056" t="s">
        <v>3452</v>
      </c>
      <c r="I1056" s="81">
        <v>400000</v>
      </c>
      <c r="K1056" s="159">
        <f>K1055+I1056-J1056</f>
        <v>212625.48999999929</v>
      </c>
    </row>
    <row r="1057" spans="1:11" ht="15">
      <c r="A1057" s="137" t="str">
        <f>D1057&amp;E1057&amp;F1057</f>
        <v>CAPVACACIONES/FINIQUITOSE10</v>
      </c>
      <c r="B1057" t="s">
        <v>3214</v>
      </c>
      <c r="C1057" s="1">
        <v>46048</v>
      </c>
      <c r="D1057" t="s">
        <v>31</v>
      </c>
      <c r="E1057" t="s">
        <v>190</v>
      </c>
      <c r="F1057" t="s">
        <v>117</v>
      </c>
      <c r="H1057" t="s">
        <v>4029</v>
      </c>
      <c r="J1057" s="81">
        <v>20000</v>
      </c>
      <c r="K1057" s="159">
        <f>K1056+I1057-J1057</f>
        <v>192625.48999999929</v>
      </c>
    </row>
    <row r="1058" spans="1:11" ht="15">
      <c r="A1058" s="137" t="str">
        <f>D1058&amp;E1058&amp;F1058</f>
        <v>SERVCIOS NOMINA ADMONCEDIS</v>
      </c>
      <c r="B1058" t="s">
        <v>3214</v>
      </c>
      <c r="C1058" s="1">
        <v>46048</v>
      </c>
      <c r="D1058" t="s">
        <v>4030</v>
      </c>
      <c r="E1058" t="s">
        <v>147</v>
      </c>
      <c r="F1058" t="s">
        <v>28</v>
      </c>
      <c r="H1058" t="s">
        <v>4031</v>
      </c>
      <c r="J1058" s="81">
        <v>260</v>
      </c>
      <c r="K1058" s="159">
        <f>K1057+I1058-J1058</f>
        <v>192365.48999999929</v>
      </c>
    </row>
    <row r="1059" spans="1:11" ht="15">
      <c r="A1059" s="137" t="str">
        <f>D1059&amp;E1059&amp;F1059</f>
        <v/>
      </c>
      <c r="B1059" t="s">
        <v>3214</v>
      </c>
      <c r="C1059" s="1">
        <v>46049</v>
      </c>
      <c r="H1059" t="s">
        <v>3452</v>
      </c>
      <c r="I1059" s="81">
        <v>180000</v>
      </c>
      <c r="K1059" s="159">
        <f>K1058+I1059-J1059</f>
        <v>372365.48999999929</v>
      </c>
    </row>
    <row r="1060" spans="1:11" ht="15">
      <c r="A1060" s="137" t="str">
        <f>D1060&amp;E1060&amp;F1060</f>
        <v/>
      </c>
      <c r="B1060" t="s">
        <v>3214</v>
      </c>
      <c r="C1060" s="1">
        <v>46050</v>
      </c>
      <c r="H1060" t="s">
        <v>3932</v>
      </c>
      <c r="J1060" s="81">
        <v>18000</v>
      </c>
      <c r="K1060" s="159">
        <f>K1059+I1060-J1060</f>
        <v>354365.48999999929</v>
      </c>
    </row>
    <row r="1061" spans="1:11" ht="15">
      <c r="A1061" s="137" t="str">
        <f>D1061&amp;E1061&amp;F1061</f>
        <v/>
      </c>
      <c r="B1061" t="s">
        <v>3214</v>
      </c>
      <c r="C1061" s="1">
        <v>46050</v>
      </c>
      <c r="H1061" t="s">
        <v>3452</v>
      </c>
      <c r="I1061" s="81">
        <v>200000</v>
      </c>
      <c r="K1061" s="159">
        <f>K1060+I1061-J1061</f>
        <v>554365.48999999929</v>
      </c>
    </row>
    <row r="1062" spans="1:11" ht="15">
      <c r="A1062" s="137" t="str">
        <f>D1062&amp;E1062&amp;F1062</f>
        <v/>
      </c>
      <c r="B1062" t="s">
        <v>3214</v>
      </c>
      <c r="C1062" s="1">
        <v>46051</v>
      </c>
      <c r="H1062" t="s">
        <v>3452</v>
      </c>
      <c r="I1062" s="81">
        <v>150000</v>
      </c>
      <c r="K1062" s="159">
        <f>K1061+I1062-J1062</f>
        <v>704365.48999999929</v>
      </c>
    </row>
    <row r="1063" spans="1:11" ht="15">
      <c r="A1063" s="137" t="str">
        <f>D1063&amp;E1063&amp;F1063</f>
        <v>SERVCIOS NOMINA ADMONCEDIS</v>
      </c>
      <c r="B1063" t="s">
        <v>3214</v>
      </c>
      <c r="C1063" s="1">
        <v>46052</v>
      </c>
      <c r="D1063" t="s">
        <v>4030</v>
      </c>
      <c r="E1063" t="s">
        <v>147</v>
      </c>
      <c r="F1063" t="s">
        <v>28</v>
      </c>
      <c r="H1063" t="s">
        <v>4032</v>
      </c>
      <c r="J1063" s="81">
        <v>920</v>
      </c>
      <c r="K1063" s="159">
        <f>K1062+I1063-J1063</f>
        <v>703445.48999999929</v>
      </c>
    </row>
    <row r="1064" spans="1:11" ht="15">
      <c r="A1064" s="137" t="str">
        <f>D1064&amp;E1064&amp;F1064</f>
        <v/>
      </c>
      <c r="B1064" t="s">
        <v>3214</v>
      </c>
      <c r="C1064" s="1">
        <v>46052</v>
      </c>
      <c r="H1064" t="s">
        <v>3472</v>
      </c>
      <c r="K1064" s="159">
        <f>K1063+I1064-J1064</f>
        <v>703445.48999999929</v>
      </c>
    </row>
    <row r="1065" spans="1:11" ht="15">
      <c r="A1065" s="137" t="str">
        <f>D1065&amp;E1065&amp;F1065</f>
        <v/>
      </c>
      <c r="B1065" t="s">
        <v>3214</v>
      </c>
      <c r="C1065" s="1">
        <v>46052</v>
      </c>
      <c r="H1065" t="s">
        <v>3466</v>
      </c>
      <c r="I1065" s="81">
        <v>21413.17</v>
      </c>
      <c r="K1065" s="69">
        <f>K1064+I1065-J1065</f>
        <v>724858.65999999933</v>
      </c>
    </row>
    <row r="1066" spans="1:11" ht="15">
      <c r="A1066" s="137" t="str">
        <f>D1066&amp;E1066&amp;F1066</f>
        <v/>
      </c>
      <c r="B1066" t="s">
        <v>3214</v>
      </c>
      <c r="C1066" s="1">
        <v>46052</v>
      </c>
      <c r="H1066" t="s">
        <v>3468</v>
      </c>
      <c r="I1066" s="81">
        <v>6325</v>
      </c>
      <c r="K1066" s="69">
        <f>K1065+I1066-J1066</f>
        <v>731183.65999999933</v>
      </c>
    </row>
    <row r="1067" spans="1:11" ht="15">
      <c r="A1067" s="137" t="str">
        <f>D1067&amp;E1067&amp;F1067</f>
        <v/>
      </c>
      <c r="B1067" t="s">
        <v>3214</v>
      </c>
      <c r="C1067" s="1">
        <v>46052</v>
      </c>
      <c r="H1067" t="s">
        <v>3467</v>
      </c>
      <c r="I1067" s="81">
        <v>15645.54</v>
      </c>
      <c r="K1067" s="69">
        <f>K1066+I1067-J1067</f>
        <v>746829.19999999937</v>
      </c>
    </row>
    <row r="1068" spans="1:11" ht="15">
      <c r="A1068" s="137" t="str">
        <f>D1068&amp;E1068&amp;F1068</f>
        <v/>
      </c>
      <c r="B1068" t="s">
        <v>3214</v>
      </c>
      <c r="C1068" s="1">
        <v>46052</v>
      </c>
      <c r="H1068" t="s">
        <v>3928</v>
      </c>
      <c r="J1068" s="81">
        <v>333639.89</v>
      </c>
      <c r="K1068" s="69">
        <f>K1067+I1068-J1068</f>
        <v>413189.30999999936</v>
      </c>
    </row>
    <row r="1069" spans="1:11" ht="15">
      <c r="A1069" s="137" t="str">
        <f>D1069&amp;E1069&amp;F1069</f>
        <v/>
      </c>
      <c r="B1069" t="s">
        <v>3214</v>
      </c>
      <c r="C1069" s="1">
        <v>46052</v>
      </c>
      <c r="H1069" t="s">
        <v>4033</v>
      </c>
      <c r="J1069" s="81">
        <v>585146</v>
      </c>
      <c r="K1069" s="69">
        <f>K1068+I1069-J1069</f>
        <v>-171956.69000000064</v>
      </c>
    </row>
    <row r="1070" spans="1:11" ht="15">
      <c r="A1070" s="137" t="str">
        <f>D1070&amp;E1070&amp;F1070</f>
        <v/>
      </c>
      <c r="B1070" t="s">
        <v>3214</v>
      </c>
      <c r="C1070" s="1">
        <v>46052</v>
      </c>
      <c r="H1070" t="s">
        <v>4034</v>
      </c>
      <c r="J1070" s="81">
        <v>50400</v>
      </c>
      <c r="K1070" s="69">
        <f>K1069+I1070-J1070</f>
        <v>-222356.69000000064</v>
      </c>
    </row>
    <row r="1071" spans="1:11" ht="15">
      <c r="A1071" s="137" t="str">
        <f>D1071&amp;E1071&amp;F1071</f>
        <v/>
      </c>
      <c r="B1071" t="s">
        <v>3214</v>
      </c>
      <c r="C1071" s="1">
        <v>46052</v>
      </c>
      <c r="H1071" t="s">
        <v>4035</v>
      </c>
      <c r="J1071" s="81">
        <v>5000</v>
      </c>
      <c r="K1071" s="69">
        <f>K1070+I1071-J1071</f>
        <v>-227356.69000000064</v>
      </c>
    </row>
    <row r="1072" spans="1:11" ht="15">
      <c r="A1072" s="137" t="str">
        <f>D1072&amp;E1072&amp;F1072</f>
        <v/>
      </c>
      <c r="B1072" t="s">
        <v>3214</v>
      </c>
      <c r="C1072" s="1">
        <v>46052</v>
      </c>
      <c r="H1072" t="s">
        <v>4036</v>
      </c>
      <c r="J1072" s="81">
        <v>1000</v>
      </c>
      <c r="K1072" s="69">
        <f>K1071+I1072-J1072</f>
        <v>-228356.69000000064</v>
      </c>
    </row>
    <row r="1073" spans="1:11" ht="15">
      <c r="A1073" s="137" t="str">
        <f>D1073&amp;E1073&amp;F1073</f>
        <v/>
      </c>
      <c r="B1073" t="s">
        <v>3214</v>
      </c>
      <c r="C1073" s="1">
        <v>46052</v>
      </c>
      <c r="H1073" t="s">
        <v>4037</v>
      </c>
      <c r="J1073" s="81">
        <v>260</v>
      </c>
      <c r="K1073" s="69">
        <f>K1072+I1073-J1073</f>
        <v>-228616.69000000064</v>
      </c>
    </row>
    <row r="1074" spans="1:11" ht="15">
      <c r="A1074" s="137" t="str">
        <f>D1074&amp;E1074&amp;F1074</f>
        <v>CAPVACACIONES/FINIQUITOSCAP</v>
      </c>
      <c r="B1074" t="s">
        <v>3214</v>
      </c>
      <c r="C1074" s="1">
        <v>46052</v>
      </c>
      <c r="D1074" t="s">
        <v>31</v>
      </c>
      <c r="E1074" t="s">
        <v>190</v>
      </c>
      <c r="F1074" t="s">
        <v>31</v>
      </c>
      <c r="H1074" t="s">
        <v>4038</v>
      </c>
      <c r="J1074" s="81">
        <v>807</v>
      </c>
      <c r="K1074" s="69">
        <f>K1073+I1074-J1074</f>
        <v>-229423.69000000064</v>
      </c>
    </row>
    <row r="1075" spans="1:11" ht="15">
      <c r="A1075" s="137" t="str">
        <f>D1075&amp;E1075&amp;F1075</f>
        <v>CAPVACACIONES/FINIQUITOSCAP</v>
      </c>
      <c r="B1075" t="s">
        <v>3214</v>
      </c>
      <c r="C1075" s="1">
        <v>46052</v>
      </c>
      <c r="D1075" t="s">
        <v>31</v>
      </c>
      <c r="E1075" t="s">
        <v>190</v>
      </c>
      <c r="F1075" t="s">
        <v>31</v>
      </c>
      <c r="H1075" t="s">
        <v>4039</v>
      </c>
      <c r="J1075" s="81">
        <v>1795</v>
      </c>
      <c r="K1075" s="69">
        <f>K1074+I1075-J1075</f>
        <v>-231218.69000000064</v>
      </c>
    </row>
    <row r="1076" spans="1:11" ht="15">
      <c r="A1076" s="137" t="str">
        <f>D1076&amp;E1076&amp;F1076</f>
        <v>CAPVACACIONES/FINIQUITOSCAP</v>
      </c>
      <c r="B1076" t="s">
        <v>3214</v>
      </c>
      <c r="C1076" s="1">
        <v>46052</v>
      </c>
      <c r="D1076" t="s">
        <v>31</v>
      </c>
      <c r="E1076" t="s">
        <v>190</v>
      </c>
      <c r="F1076" t="s">
        <v>31</v>
      </c>
      <c r="H1076" t="s">
        <v>4040</v>
      </c>
      <c r="J1076" s="81">
        <v>710</v>
      </c>
      <c r="K1076" s="69">
        <f>K1075+I1076-J1076</f>
        <v>-231928.69000000064</v>
      </c>
    </row>
    <row r="1077" spans="1:11" ht="15">
      <c r="A1077" s="137" t="str">
        <f>D1077&amp;E1077&amp;F1077</f>
        <v>CAPVACACIONES/FINIQUITOSCAP</v>
      </c>
      <c r="B1077" t="s">
        <v>3214</v>
      </c>
      <c r="C1077" s="1">
        <v>46052</v>
      </c>
      <c r="D1077" t="s">
        <v>31</v>
      </c>
      <c r="E1077" t="s">
        <v>190</v>
      </c>
      <c r="F1077" t="s">
        <v>31</v>
      </c>
      <c r="H1077" t="s">
        <v>4041</v>
      </c>
      <c r="J1077" s="81">
        <v>1695</v>
      </c>
      <c r="K1077" s="69">
        <f>K1076+I1077-J1077</f>
        <v>-233623.69000000064</v>
      </c>
    </row>
    <row r="1078" spans="1:11" ht="15">
      <c r="A1078" s="137" t="str">
        <f>D1078&amp;E1078&amp;F1078</f>
        <v>CAPVACACIONES/FINIQUITOSCAP</v>
      </c>
      <c r="B1078" t="s">
        <v>3214</v>
      </c>
      <c r="C1078" s="1">
        <v>46052</v>
      </c>
      <c r="D1078" t="s">
        <v>31</v>
      </c>
      <c r="E1078" t="s">
        <v>190</v>
      </c>
      <c r="F1078" t="s">
        <v>31</v>
      </c>
      <c r="H1078" t="s">
        <v>4042</v>
      </c>
      <c r="J1078" s="81">
        <v>18977</v>
      </c>
      <c r="K1078" s="69">
        <f>K1077+I1078-J1078</f>
        <v>-252600.69000000064</v>
      </c>
    </row>
    <row r="1079" spans="1:11" ht="15">
      <c r="A1079" s="137" t="str">
        <f>D1079&amp;E1079&amp;F1079</f>
        <v>HRVACACIONES/FINIQUITOSHR</v>
      </c>
      <c r="B1079" t="s">
        <v>3214</v>
      </c>
      <c r="C1079" s="1">
        <v>46052</v>
      </c>
      <c r="D1079" t="s">
        <v>29</v>
      </c>
      <c r="E1079" t="s">
        <v>190</v>
      </c>
      <c r="F1079" t="s">
        <v>29</v>
      </c>
      <c r="H1079" t="s">
        <v>4043</v>
      </c>
      <c r="J1079" s="81">
        <v>2452</v>
      </c>
      <c r="K1079" s="69">
        <f>K1078+I1079-J1079</f>
        <v>-255052.69000000064</v>
      </c>
    </row>
    <row r="1080" spans="1:11" ht="15">
      <c r="A1080" s="137" t="str">
        <f>D1080&amp;E1080&amp;F1080</f>
        <v>HRVACACIONES/FINIQUITOSHR</v>
      </c>
      <c r="B1080" t="s">
        <v>3214</v>
      </c>
      <c r="C1080" s="1">
        <v>46052</v>
      </c>
      <c r="D1080" t="s">
        <v>29</v>
      </c>
      <c r="E1080" t="s">
        <v>190</v>
      </c>
      <c r="F1080" t="s">
        <v>29</v>
      </c>
      <c r="H1080" t="s">
        <v>4044</v>
      </c>
      <c r="J1080" s="81">
        <v>1309</v>
      </c>
      <c r="K1080" s="69">
        <f>K1079+I1080-J1080</f>
        <v>-256361.69000000064</v>
      </c>
    </row>
    <row r="1081" spans="1:11" ht="15">
      <c r="A1081" s="137" t="str">
        <f>D1081&amp;E1081&amp;F1081</f>
        <v>HRVACACIONES/FINIQUITOSHR</v>
      </c>
      <c r="B1081" t="s">
        <v>3214</v>
      </c>
      <c r="C1081" s="1">
        <v>46052</v>
      </c>
      <c r="D1081" t="s">
        <v>29</v>
      </c>
      <c r="E1081" t="s">
        <v>190</v>
      </c>
      <c r="F1081" t="s">
        <v>29</v>
      </c>
      <c r="H1081" t="s">
        <v>4045</v>
      </c>
      <c r="J1081" s="81">
        <v>1205</v>
      </c>
      <c r="K1081" s="69">
        <f>K1080+I1081-J1081</f>
        <v>-257566.69000000064</v>
      </c>
    </row>
    <row r="1082" spans="1:11" ht="15">
      <c r="A1082" s="137" t="str">
        <f>D1082&amp;E1082&amp;F1082</f>
        <v>HRVACACIONES/FINIQUITOSHR</v>
      </c>
      <c r="B1082" t="s">
        <v>3214</v>
      </c>
      <c r="C1082" s="1">
        <v>46052</v>
      </c>
      <c r="D1082" t="s">
        <v>29</v>
      </c>
      <c r="E1082" t="s">
        <v>190</v>
      </c>
      <c r="F1082" t="s">
        <v>29</v>
      </c>
      <c r="H1082" t="s">
        <v>4046</v>
      </c>
      <c r="J1082" s="81">
        <v>1088</v>
      </c>
      <c r="K1082" s="69">
        <f>K1081+I1082-J1082</f>
        <v>-258654.69000000064</v>
      </c>
    </row>
    <row r="1083" spans="1:11" ht="15">
      <c r="A1083" s="137" t="str">
        <f>D1083&amp;E1083&amp;F1083</f>
        <v>HRVACACIONES/FINIQUITOSHR</v>
      </c>
      <c r="B1083" t="s">
        <v>3214</v>
      </c>
      <c r="C1083" s="1">
        <v>46052</v>
      </c>
      <c r="D1083" t="s">
        <v>29</v>
      </c>
      <c r="E1083" t="s">
        <v>190</v>
      </c>
      <c r="F1083" t="s">
        <v>29</v>
      </c>
      <c r="H1083" t="s">
        <v>4047</v>
      </c>
      <c r="J1083" s="81">
        <v>1616</v>
      </c>
      <c r="K1083" s="69">
        <f>K1082+I1083-J1083</f>
        <v>-260270.69000000064</v>
      </c>
    </row>
    <row r="1084" spans="1:11" ht="15">
      <c r="A1084" s="137" t="str">
        <f>D1084&amp;E1084&amp;F1084</f>
        <v>HRVACACIONES/FINIQUITOSHR</v>
      </c>
      <c r="B1084" t="s">
        <v>3214</v>
      </c>
      <c r="C1084" s="1">
        <v>46052</v>
      </c>
      <c r="D1084" t="s">
        <v>29</v>
      </c>
      <c r="E1084" t="s">
        <v>190</v>
      </c>
      <c r="F1084" t="s">
        <v>29</v>
      </c>
      <c r="H1084" t="s">
        <v>4048</v>
      </c>
      <c r="J1084" s="81">
        <v>2558</v>
      </c>
      <c r="K1084" s="69">
        <f>K1083+I1084-J1084</f>
        <v>-262828.69000000064</v>
      </c>
    </row>
    <row r="1085" spans="1:11" ht="15">
      <c r="A1085" s="137" t="str">
        <f>D1085&amp;E1085&amp;F1085</f>
        <v>HRVACACIONES/FINIQUITOSHR</v>
      </c>
      <c r="B1085" t="s">
        <v>3214</v>
      </c>
      <c r="C1085" s="1">
        <v>46052</v>
      </c>
      <c r="D1085" t="s">
        <v>29</v>
      </c>
      <c r="E1085" t="s">
        <v>190</v>
      </c>
      <c r="F1085" t="s">
        <v>29</v>
      </c>
      <c r="H1085" t="s">
        <v>4049</v>
      </c>
      <c r="J1085" s="81">
        <v>1146</v>
      </c>
      <c r="K1085" s="69">
        <f>K1084+I1085-J1085</f>
        <v>-263974.69000000064</v>
      </c>
    </row>
    <row r="1086" spans="1:11" ht="15">
      <c r="A1086" s="137" t="str">
        <f>D1086&amp;E1086&amp;F1086</f>
        <v>HRVACACIONES/FINIQUITOSHR</v>
      </c>
      <c r="B1086" t="s">
        <v>3214</v>
      </c>
      <c r="C1086" s="1">
        <v>46052</v>
      </c>
      <c r="D1086" t="s">
        <v>29</v>
      </c>
      <c r="E1086" t="s">
        <v>190</v>
      </c>
      <c r="F1086" t="s">
        <v>29</v>
      </c>
      <c r="H1086" t="s">
        <v>4050</v>
      </c>
      <c r="J1086" s="81">
        <v>896</v>
      </c>
      <c r="K1086" s="69">
        <f>K1085+I1086-J1086</f>
        <v>-264870.69000000064</v>
      </c>
    </row>
    <row r="1087" spans="1:11" ht="15">
      <c r="A1087" s="137" t="str">
        <f>D1087&amp;E1087&amp;F1087</f>
        <v/>
      </c>
      <c r="B1087" t="s">
        <v>3214</v>
      </c>
      <c r="C1087" s="1">
        <v>46052</v>
      </c>
    </row>
    <row r="1088" spans="1:11" ht="15">
      <c r="A1088" s="137" t="str">
        <f>D1088&amp;E1088&amp;F1088</f>
        <v/>
      </c>
      <c r="B1088" t="s">
        <v>3214</v>
      </c>
      <c r="C1088" s="1">
        <v>46052</v>
      </c>
    </row>
    <row r="1089" spans="1:2" ht="15">
      <c r="A1089" s="137" t="str">
        <f>D1089&amp;E1089&amp;F1089</f>
        <v/>
      </c>
      <c r="B1089" t="s">
        <v>3214</v>
      </c>
    </row>
    <row r="1090" spans="1:2" ht="15">
      <c r="A1090" s="137" t="str">
        <f>D1090&amp;E1090&amp;F1090</f>
        <v/>
      </c>
      <c r="B1090" t="s">
        <v>3214</v>
      </c>
    </row>
    <row r="1091" spans="1:2" ht="15">
      <c r="A1091" s="137" t="str">
        <f>D1091&amp;E1091&amp;F1091</f>
        <v/>
      </c>
      <c r="B1091" t="s">
        <v>3214</v>
      </c>
    </row>
    <row r="1092" spans="1:2" ht="15">
      <c r="A1092" s="137" t="str">
        <f>D1092&amp;E1092&amp;F1092</f>
        <v/>
      </c>
      <c r="B1092" t="s">
        <v>3214</v>
      </c>
    </row>
    <row r="1093" spans="1:2" ht="15">
      <c r="A1093" s="137" t="str">
        <f>D1093&amp;E1093&amp;F1093</f>
        <v/>
      </c>
      <c r="B1093" t="s">
        <v>3214</v>
      </c>
    </row>
    <row r="1094" spans="1:2" ht="15">
      <c r="A1094" s="137" t="str">
        <f>D1094&amp;E1094&amp;F1094</f>
        <v/>
      </c>
      <c r="B1094" t="s">
        <v>3214</v>
      </c>
    </row>
    <row r="1095" spans="1:2" ht="15">
      <c r="A1095" s="137" t="str">
        <f>D1095&amp;E1095&amp;F1095</f>
        <v/>
      </c>
      <c r="B1095" t="s">
        <v>3214</v>
      </c>
    </row>
    <row r="1096" spans="1:2" ht="15">
      <c r="A1096" s="137" t="str">
        <f>D1096&amp;E1096&amp;F1096</f>
        <v/>
      </c>
    </row>
    <row r="1097" spans="1:2" ht="15">
      <c r="A1097" s="137" t="str">
        <f>D1097&amp;E1097&amp;F1097</f>
        <v/>
      </c>
    </row>
    <row r="1098" spans="1:2" ht="15">
      <c r="A1098" s="137" t="str">
        <f>D1098&amp;E1098&amp;F1098</f>
        <v/>
      </c>
    </row>
    <row r="1099" spans="1:2" ht="15">
      <c r="A1099" s="137" t="str">
        <f>D1099&amp;E1099&amp;F1099</f>
        <v/>
      </c>
    </row>
    <row r="1100" spans="1:2" ht="15">
      <c r="A1100" s="137" t="str">
        <f>D1100&amp;E1100&amp;F1100</f>
        <v/>
      </c>
    </row>
    <row r="1101" spans="1:2" ht="15">
      <c r="A1101" s="137" t="str">
        <f>D1101&amp;E1101&amp;F1101</f>
        <v/>
      </c>
    </row>
    <row r="1102" spans="1:2" ht="15">
      <c r="A1102" s="137" t="str">
        <f>D1102&amp;E1102&amp;F1102</f>
        <v/>
      </c>
    </row>
    <row r="1103" spans="1:2" ht="15">
      <c r="A1103" s="137" t="str">
        <f>D1103&amp;E1103&amp;F1103</f>
        <v/>
      </c>
    </row>
    <row r="1104" spans="1:2" ht="15">
      <c r="A1104" s="137" t="str">
        <f>D1104&amp;E1104&amp;F1104</f>
        <v/>
      </c>
    </row>
    <row r="1105" spans="1:1" ht="15">
      <c r="A1105" s="137" t="str">
        <f>D1105&amp;E1105&amp;F1105</f>
        <v/>
      </c>
    </row>
    <row r="1106" spans="1:1" ht="15">
      <c r="A1106" s="137" t="str">
        <f>D1106&amp;E1106&amp;F1106</f>
        <v/>
      </c>
    </row>
    <row r="1107" spans="1:1" ht="15">
      <c r="A1107" s="137" t="str">
        <f>D1107&amp;E1107&amp;F1107</f>
        <v/>
      </c>
    </row>
    <row r="1108" spans="1:1" ht="15">
      <c r="A1108" s="137" t="str">
        <f>D1108&amp;E1108&amp;F1108</f>
        <v/>
      </c>
    </row>
    <row r="1109" spans="1:1" ht="15">
      <c r="A1109" s="137" t="str">
        <f>D1109&amp;E1109&amp;F1109</f>
        <v/>
      </c>
    </row>
    <row r="1110" spans="1:1" ht="15">
      <c r="A1110" s="137" t="str">
        <f>D1110&amp;E1110&amp;F1110</f>
        <v/>
      </c>
    </row>
    <row r="1111" spans="1:1" ht="15">
      <c r="A1111" s="137" t="str">
        <f>D1111&amp;E1111&amp;F1111</f>
        <v/>
      </c>
    </row>
    <row r="1112" spans="1:1" ht="15">
      <c r="A1112" s="137" t="str">
        <f>D1112&amp;E1112&amp;F1112</f>
        <v/>
      </c>
    </row>
    <row r="1113" spans="1:1" ht="15">
      <c r="A1113" s="137" t="str">
        <f>D1113&amp;E1113&amp;F1113</f>
        <v/>
      </c>
    </row>
    <row r="1114" spans="1:1" ht="15">
      <c r="A1114" s="137" t="str">
        <f>D1114&amp;E1114&amp;F1114</f>
        <v/>
      </c>
    </row>
    <row r="1115" spans="1:1" ht="15">
      <c r="A1115" s="137" t="str">
        <f>D1115&amp;E1115&amp;F1115</f>
        <v/>
      </c>
    </row>
    <row r="1116" spans="1:1" ht="15">
      <c r="A1116" s="137" t="str">
        <f>D1116&amp;E1116&amp;F1116</f>
        <v/>
      </c>
    </row>
    <row r="1117" spans="1:1" ht="15">
      <c r="A1117" s="137" t="str">
        <f>D1117&amp;E1117&amp;F1117</f>
        <v/>
      </c>
    </row>
    <row r="1118" spans="1:1" ht="15">
      <c r="A1118" s="137" t="str">
        <f>D1118&amp;E1118&amp;F1118</f>
        <v/>
      </c>
    </row>
    <row r="1119" spans="1:1" ht="15">
      <c r="A1119" s="137" t="str">
        <f>D1119&amp;E1119&amp;F1119</f>
        <v/>
      </c>
    </row>
    <row r="1120" spans="1:1" ht="15">
      <c r="A1120" s="137" t="str">
        <f>D1120&amp;E1120&amp;F1120</f>
        <v/>
      </c>
    </row>
    <row r="1121" spans="1:1" ht="15">
      <c r="A1121" s="137" t="str">
        <f>D1121&amp;E1121&amp;F1121</f>
        <v/>
      </c>
    </row>
    <row r="1122" spans="1:1" ht="15">
      <c r="A1122" s="137" t="str">
        <f>D1122&amp;E1122&amp;F1122</f>
        <v/>
      </c>
    </row>
    <row r="1123" spans="1:1" ht="15">
      <c r="A1123" s="137" t="str">
        <f>D1123&amp;E1123&amp;F1123</f>
        <v/>
      </c>
    </row>
    <row r="1124" spans="1:1" ht="15">
      <c r="A1124" s="137" t="str">
        <f>D1124&amp;E1124&amp;F1124</f>
        <v/>
      </c>
    </row>
    <row r="1125" spans="1:1" ht="15">
      <c r="A1125" s="137" t="str">
        <f>D1125&amp;E1125&amp;F1125</f>
        <v/>
      </c>
    </row>
    <row r="1126" spans="1:1" ht="15">
      <c r="A1126" s="137" t="str">
        <f>D1126&amp;E1126&amp;F1126</f>
        <v/>
      </c>
    </row>
    <row r="1127" spans="1:1" ht="15">
      <c r="A1127" s="137" t="str">
        <f>D1127&amp;E1127&amp;F1127</f>
        <v/>
      </c>
    </row>
    <row r="1128" spans="1:1" ht="15">
      <c r="A1128" s="137" t="str">
        <f>D1128&amp;E1128&amp;F1128</f>
        <v/>
      </c>
    </row>
    <row r="1129" spans="1:1" ht="15">
      <c r="A1129" s="137" t="str">
        <f>D1129&amp;E1129&amp;F1129</f>
        <v/>
      </c>
    </row>
    <row r="1130" spans="1:1" ht="15">
      <c r="A1130" s="137" t="str">
        <f>D1130&amp;E1130&amp;F1130</f>
        <v/>
      </c>
    </row>
    <row r="1131" spans="1:1" ht="15">
      <c r="A1131" s="137" t="str">
        <f>D1131&amp;E1131&amp;F1131</f>
        <v/>
      </c>
    </row>
    <row r="1132" spans="1:1" ht="15">
      <c r="A1132" s="137" t="str">
        <f>D1132&amp;E1132&amp;F1132</f>
        <v/>
      </c>
    </row>
    <row r="1133" spans="1:1" ht="15">
      <c r="A1133" s="137" t="str">
        <f>D1133&amp;E1133&amp;F1133</f>
        <v/>
      </c>
    </row>
    <row r="1134" spans="1:1" ht="15">
      <c r="A1134" s="137" t="str">
        <f>D1134&amp;E1134&amp;F1134</f>
        <v/>
      </c>
    </row>
    <row r="1135" spans="1:1" ht="15">
      <c r="A1135" s="137" t="str">
        <f>D1135&amp;E1135&amp;F1135</f>
        <v/>
      </c>
    </row>
    <row r="1136" spans="1:1" ht="15">
      <c r="A1136" s="137" t="str">
        <f>D1136&amp;E1136&amp;F1136</f>
        <v/>
      </c>
    </row>
    <row r="1137" spans="1:1" ht="15">
      <c r="A1137" s="137" t="str">
        <f>D1137&amp;E1137&amp;F1137</f>
        <v/>
      </c>
    </row>
    <row r="1138" spans="1:1" ht="15">
      <c r="A1138" s="137" t="str">
        <f>D1138&amp;E1138&amp;F1138</f>
        <v/>
      </c>
    </row>
    <row r="1139" spans="1:1" ht="15">
      <c r="A1139" s="137" t="str">
        <f>D1139&amp;E1139&amp;F1139</f>
        <v/>
      </c>
    </row>
    <row r="1140" spans="1:1" ht="15">
      <c r="A1140" s="137" t="str">
        <f>D1140&amp;E1140&amp;F1140</f>
        <v/>
      </c>
    </row>
    <row r="1141" spans="1:1" ht="15">
      <c r="A1141" s="137" t="str">
        <f>D1141&amp;E1141&amp;F1141</f>
        <v/>
      </c>
    </row>
    <row r="1142" spans="1:1" ht="15">
      <c r="A1142" s="137" t="str">
        <f>D1142&amp;E1142&amp;F1142</f>
        <v/>
      </c>
    </row>
    <row r="1143" spans="1:1" ht="15">
      <c r="A1143" s="137" t="str">
        <f>D1143&amp;E1143&amp;F1143</f>
        <v/>
      </c>
    </row>
    <row r="1144" spans="1:1" ht="15">
      <c r="A1144" s="137" t="str">
        <f>D1144&amp;E1144&amp;F1144</f>
        <v/>
      </c>
    </row>
    <row r="1145" spans="1:1" ht="15">
      <c r="A1145" s="137" t="str">
        <f>D1145&amp;E1145&amp;F1145</f>
        <v/>
      </c>
    </row>
    <row r="1146" spans="1:1" ht="15">
      <c r="A1146" s="137" t="str">
        <f>D1146&amp;E1146&amp;F1146</f>
        <v/>
      </c>
    </row>
    <row r="1147" spans="1:1" ht="15">
      <c r="A1147" s="137" t="str">
        <f>D1147&amp;E1147&amp;F1147</f>
        <v/>
      </c>
    </row>
    <row r="1148" spans="1:1" ht="15">
      <c r="A1148" s="137" t="str">
        <f>D1148&amp;E1148&amp;F1148</f>
        <v/>
      </c>
    </row>
    <row r="1149" spans="1:1" ht="15">
      <c r="A1149" s="137" t="str">
        <f>D1149&amp;E1149&amp;F1149</f>
        <v/>
      </c>
    </row>
    <row r="1150" spans="1:1" ht="15">
      <c r="A1150" s="137" t="str">
        <f>D1150&amp;E1150&amp;F1150</f>
        <v/>
      </c>
    </row>
    <row r="1151" spans="1:1" ht="15">
      <c r="A1151" s="137" t="str">
        <f>D1151&amp;E1151&amp;F1151</f>
        <v/>
      </c>
    </row>
    <row r="1152" spans="1:1" ht="15">
      <c r="A1152" s="137" t="str">
        <f>D1152&amp;E1152&amp;F1152</f>
        <v/>
      </c>
    </row>
    <row r="1153" spans="1:1" ht="15">
      <c r="A1153" s="137" t="str">
        <f>D1153&amp;E1153&amp;F1153</f>
        <v/>
      </c>
    </row>
    <row r="1154" spans="1:1" ht="15">
      <c r="A1154" s="137" t="str">
        <f>D1154&amp;E1154&amp;F1154</f>
        <v/>
      </c>
    </row>
    <row r="1155" spans="1:1" ht="15">
      <c r="A1155" s="137" t="str">
        <f>D1155&amp;E1155&amp;F1155</f>
        <v/>
      </c>
    </row>
    <row r="1156" spans="1:1" ht="15">
      <c r="A1156" s="137" t="str">
        <f>D1156&amp;E1156&amp;F1156</f>
        <v/>
      </c>
    </row>
    <row r="1157" spans="1:1" ht="15">
      <c r="A1157" s="137" t="str">
        <f>D1157&amp;E1157&amp;F1157</f>
        <v/>
      </c>
    </row>
    <row r="1158" spans="1:1" ht="15">
      <c r="A1158" s="137" t="str">
        <f>D1158&amp;E1158&amp;F1158</f>
        <v/>
      </c>
    </row>
    <row r="1159" spans="1:1" ht="15">
      <c r="A1159" s="137" t="str">
        <f>D1159&amp;E1159&amp;F1159</f>
        <v/>
      </c>
    </row>
    <row r="1160" spans="1:1" ht="15">
      <c r="A1160" s="137" t="str">
        <f>D1160&amp;E1160&amp;F1160</f>
        <v/>
      </c>
    </row>
    <row r="1161" spans="1:1" ht="15">
      <c r="A1161" s="137" t="str">
        <f>D1161&amp;E1161&amp;F1161</f>
        <v/>
      </c>
    </row>
    <row r="1162" spans="1:1" ht="15">
      <c r="A1162" s="137" t="str">
        <f>D1162&amp;E1162&amp;F1162</f>
        <v/>
      </c>
    </row>
    <row r="1163" spans="1:1" ht="15">
      <c r="A1163" s="137" t="str">
        <f>D1163&amp;E1163&amp;F1163</f>
        <v/>
      </c>
    </row>
    <row r="1164" spans="1:1" ht="15">
      <c r="A1164" s="137" t="str">
        <f>D1164&amp;E1164&amp;F1164</f>
        <v/>
      </c>
    </row>
    <row r="1165" spans="1:1" ht="15">
      <c r="A1165" s="137" t="str">
        <f>D1165&amp;E1165&amp;F1165</f>
        <v/>
      </c>
    </row>
    <row r="1166" spans="1:1" ht="15">
      <c r="A1166" s="137" t="str">
        <f>D1166&amp;E1166&amp;F1166</f>
        <v/>
      </c>
    </row>
    <row r="1167" spans="1:1" ht="15">
      <c r="A1167" s="137" t="str">
        <f>D1167&amp;E1167&amp;F1167</f>
        <v/>
      </c>
    </row>
    <row r="1168" spans="1:1" ht="15">
      <c r="A1168" s="137" t="str">
        <f>D1168&amp;E1168&amp;F1168</f>
        <v/>
      </c>
    </row>
    <row r="1169" spans="1:1" ht="15">
      <c r="A1169" s="137" t="str">
        <f>D1169&amp;E1169&amp;F1169</f>
        <v/>
      </c>
    </row>
    <row r="1170" spans="1:1" ht="15">
      <c r="A1170" s="137" t="str">
        <f>D1170&amp;E1170&amp;F1170</f>
        <v/>
      </c>
    </row>
    <row r="1171" spans="1:1" ht="15">
      <c r="A1171" s="137" t="str">
        <f>D1171&amp;E1171&amp;F1171</f>
        <v/>
      </c>
    </row>
    <row r="1172" spans="1:1" ht="15">
      <c r="A1172" s="137" t="str">
        <f>D1172&amp;E1172&amp;F1172</f>
        <v/>
      </c>
    </row>
    <row r="1173" spans="1:1" ht="15">
      <c r="A1173" s="137" t="str">
        <f>D1173&amp;E1173&amp;F1173</f>
        <v/>
      </c>
    </row>
    <row r="1174" spans="1:1" ht="15">
      <c r="A1174" s="137" t="str">
        <f>D1174&amp;E1174&amp;F1174</f>
        <v/>
      </c>
    </row>
    <row r="1175" spans="1:1" ht="15">
      <c r="A1175" s="137" t="str">
        <f>D1175&amp;E1175&amp;F1175</f>
        <v/>
      </c>
    </row>
    <row r="1176" spans="1:1" ht="15">
      <c r="A1176" s="137" t="str">
        <f>D1176&amp;E1176&amp;F1176</f>
        <v/>
      </c>
    </row>
    <row r="1177" spans="1:1" ht="15">
      <c r="A1177" s="137" t="str">
        <f>D1177&amp;E1177&amp;F1177</f>
        <v/>
      </c>
    </row>
    <row r="1178" spans="1:1" ht="15">
      <c r="A1178" s="137" t="str">
        <f>D1178&amp;E1178&amp;F1178</f>
        <v/>
      </c>
    </row>
    <row r="1179" spans="1:1" ht="15">
      <c r="A1179" s="137" t="str">
        <f>D1179&amp;E1179&amp;F1179</f>
        <v/>
      </c>
    </row>
    <row r="1180" spans="1:1" ht="15">
      <c r="A1180" s="137" t="str">
        <f>D1180&amp;E1180&amp;F1180</f>
        <v/>
      </c>
    </row>
    <row r="1181" spans="1:1" ht="15">
      <c r="A1181" s="137" t="str">
        <f>D1181&amp;E1181&amp;F1181</f>
        <v/>
      </c>
    </row>
    <row r="1182" spans="1:1" ht="15">
      <c r="A1182" s="137" t="str">
        <f>D1182&amp;E1182&amp;F1182</f>
        <v/>
      </c>
    </row>
    <row r="1183" spans="1:1" ht="15">
      <c r="A1183" s="137" t="str">
        <f>D1183&amp;E1183&amp;F1183</f>
        <v/>
      </c>
    </row>
    <row r="1184" spans="1:1" ht="15">
      <c r="A1184" s="137" t="str">
        <f>D1184&amp;E1184&amp;F1184</f>
        <v/>
      </c>
    </row>
    <row r="1185" spans="1:1" ht="15">
      <c r="A1185" s="137" t="str">
        <f>D1185&amp;E1185&amp;F1185</f>
        <v/>
      </c>
    </row>
    <row r="1186" spans="1:1" ht="15">
      <c r="A1186" s="137" t="str">
        <f>D1186&amp;E1186&amp;F1186</f>
        <v/>
      </c>
    </row>
    <row r="1187" spans="1:1" ht="15">
      <c r="A1187" s="137" t="str">
        <f>D1187&amp;E1187&amp;F1187</f>
        <v/>
      </c>
    </row>
    <row r="1188" spans="1:1" ht="15">
      <c r="A1188" s="137" t="str">
        <f>D1188&amp;E1188&amp;F1188</f>
        <v/>
      </c>
    </row>
    <row r="1189" spans="1:1" ht="15">
      <c r="A1189" s="137" t="str">
        <f>D1189&amp;E1189&amp;F1189</f>
        <v/>
      </c>
    </row>
    <row r="1190" spans="1:1" ht="15">
      <c r="A1190" s="137" t="str">
        <f>D1190&amp;E1190&amp;F1190</f>
        <v/>
      </c>
    </row>
    <row r="1191" spans="1:1" ht="15">
      <c r="A1191" s="137" t="str">
        <f>D1191&amp;E1191&amp;F1191</f>
        <v/>
      </c>
    </row>
    <row r="1192" spans="1:1" ht="15">
      <c r="A1192" s="137" t="str">
        <f>D1192&amp;E1192&amp;F1192</f>
        <v/>
      </c>
    </row>
    <row r="1193" spans="1:1" ht="15">
      <c r="A1193" s="137" t="str">
        <f>D1193&amp;E1193&amp;F1193</f>
        <v/>
      </c>
    </row>
    <row r="1194" spans="1:1" ht="15">
      <c r="A1194" s="137" t="str">
        <f>D1194&amp;E1194&amp;F1194</f>
        <v/>
      </c>
    </row>
    <row r="1195" spans="1:1" ht="15">
      <c r="A1195" s="137" t="str">
        <f>D1195&amp;E1195&amp;F1195</f>
        <v/>
      </c>
    </row>
    <row r="1196" spans="1:1" ht="15">
      <c r="A1196" s="137" t="str">
        <f>D1196&amp;E1196&amp;F1196</f>
        <v/>
      </c>
    </row>
    <row r="1197" spans="1:1" ht="15">
      <c r="A1197" s="137" t="str">
        <f>D1197&amp;E1197&amp;F1197</f>
        <v/>
      </c>
    </row>
    <row r="1198" spans="1:1" ht="15">
      <c r="A1198" s="137" t="str">
        <f>D1198&amp;E1198&amp;F1198</f>
        <v/>
      </c>
    </row>
    <row r="1199" spans="1:1" ht="15">
      <c r="A1199" s="137" t="str">
        <f>D1199&amp;E1199&amp;F1199</f>
        <v/>
      </c>
    </row>
    <row r="1200" spans="1:1" ht="15">
      <c r="A1200" s="137" t="str">
        <f>D1200&amp;E1200&amp;F1200</f>
        <v/>
      </c>
    </row>
    <row r="1201" spans="1:1" ht="15">
      <c r="A1201" s="137" t="str">
        <f>D1201&amp;E1201&amp;F1201</f>
        <v/>
      </c>
    </row>
    <row r="1202" spans="1:1" ht="15">
      <c r="A1202" s="137" t="str">
        <f>D1202&amp;E1202&amp;F1202</f>
        <v/>
      </c>
    </row>
    <row r="1203" spans="1:1" ht="15">
      <c r="A1203" s="137" t="str">
        <f>D1203&amp;E1203&amp;F1203</f>
        <v/>
      </c>
    </row>
    <row r="1204" spans="1:1" ht="15">
      <c r="A1204" s="137" t="str">
        <f>D1204&amp;E1204&amp;F1204</f>
        <v/>
      </c>
    </row>
    <row r="1205" spans="1:1" ht="15">
      <c r="A1205" s="137" t="str">
        <f>D1205&amp;E1205&amp;F1205</f>
        <v/>
      </c>
    </row>
    <row r="1206" spans="1:1" ht="15">
      <c r="A1206" s="137" t="str">
        <f>D1206&amp;E1206&amp;F1206</f>
        <v/>
      </c>
    </row>
    <row r="1207" spans="1:1" ht="15">
      <c r="A1207" s="137" t="str">
        <f>D1207&amp;E1207&amp;F1207</f>
        <v/>
      </c>
    </row>
    <row r="1208" spans="1:1" ht="15">
      <c r="A1208" s="137" t="str">
        <f>D1208&amp;E1208&amp;F1208</f>
        <v/>
      </c>
    </row>
    <row r="1209" spans="1:1" ht="15">
      <c r="A1209" s="137" t="str">
        <f>D1209&amp;E1209&amp;F1209</f>
        <v/>
      </c>
    </row>
    <row r="1210" spans="1:1" ht="15">
      <c r="A1210" s="137" t="str">
        <f>D1210&amp;E1210&amp;F1210</f>
        <v/>
      </c>
    </row>
    <row r="1211" spans="1:1" ht="15">
      <c r="A1211" s="137" t="str">
        <f>D1211&amp;E1211&amp;F1211</f>
        <v/>
      </c>
    </row>
    <row r="1212" spans="1:1" ht="15">
      <c r="A1212" s="137" t="str">
        <f>D1212&amp;E1212&amp;F1212</f>
        <v/>
      </c>
    </row>
    <row r="1213" spans="1:1" ht="15">
      <c r="A1213" s="137" t="str">
        <f>D1213&amp;E1213&amp;F1213</f>
        <v/>
      </c>
    </row>
    <row r="1214" spans="1:1" ht="15">
      <c r="A1214" s="137" t="str">
        <f>D1214&amp;E1214&amp;F1214</f>
        <v/>
      </c>
    </row>
    <row r="1215" spans="1:1" ht="15">
      <c r="A1215" s="137" t="str">
        <f>D1215&amp;E1215&amp;F1215</f>
        <v/>
      </c>
    </row>
    <row r="1216" spans="1:1" ht="15">
      <c r="A1216" s="137" t="str">
        <f>D1216&amp;E1216&amp;F1216</f>
        <v/>
      </c>
    </row>
    <row r="1217" spans="1:1" ht="15">
      <c r="A1217" s="137" t="str">
        <f>D1217&amp;E1217&amp;F1217</f>
        <v/>
      </c>
    </row>
    <row r="1218" spans="1:1" ht="15">
      <c r="A1218" s="137" t="str">
        <f>D1218&amp;E1218&amp;F1218</f>
        <v/>
      </c>
    </row>
    <row r="1219" spans="1:1" ht="15">
      <c r="A1219" s="137" t="str">
        <f>D1219&amp;E1219&amp;F1219</f>
        <v/>
      </c>
    </row>
    <row r="1220" spans="1:1" ht="15">
      <c r="A1220" s="137" t="str">
        <f>D1220&amp;E1220&amp;F1220</f>
        <v/>
      </c>
    </row>
    <row r="1221" spans="1:1" ht="15">
      <c r="A1221" s="137" t="str">
        <f>D1221&amp;E1221&amp;F1221</f>
        <v/>
      </c>
    </row>
    <row r="1222" spans="1:1" ht="15">
      <c r="A1222" s="137" t="str">
        <f>D1222&amp;E1222&amp;F1222</f>
        <v/>
      </c>
    </row>
    <row r="1223" spans="1:1" ht="15">
      <c r="A1223" s="137" t="str">
        <f>D1223&amp;E1223&amp;F1223</f>
        <v/>
      </c>
    </row>
    <row r="1224" spans="1:1" ht="15">
      <c r="A1224" s="137" t="str">
        <f>D1224&amp;E1224&amp;F1224</f>
        <v/>
      </c>
    </row>
    <row r="1225" spans="1:1" ht="15">
      <c r="A1225" s="137" t="str">
        <f>D1225&amp;E1225&amp;F1225</f>
        <v/>
      </c>
    </row>
    <row r="1226" spans="1:1" ht="15">
      <c r="A1226" s="137" t="str">
        <f>D1226&amp;E1226&amp;F1226</f>
        <v/>
      </c>
    </row>
    <row r="1227" spans="1:1" ht="15">
      <c r="A1227" s="137" t="str">
        <f>D1227&amp;E1227&amp;F1227</f>
        <v/>
      </c>
    </row>
    <row r="1228" spans="1:1" ht="15">
      <c r="A1228" s="137" t="str">
        <f>D1228&amp;E1228&amp;F1228</f>
        <v/>
      </c>
    </row>
    <row r="1229" spans="1:1" ht="15">
      <c r="A1229" s="137" t="str">
        <f>D1229&amp;E1229&amp;F1229</f>
        <v/>
      </c>
    </row>
    <row r="1230" spans="1:1" ht="15">
      <c r="A1230" s="137" t="str">
        <f>D1230&amp;E1230&amp;F1230</f>
        <v/>
      </c>
    </row>
    <row r="1231" spans="1:1" ht="15">
      <c r="A1231" s="137" t="str">
        <f>D1231&amp;E1231&amp;F1231</f>
        <v/>
      </c>
    </row>
    <row r="1232" spans="1:1" ht="15">
      <c r="A1232" s="137" t="str">
        <f>D1232&amp;E1232&amp;F1232</f>
        <v/>
      </c>
    </row>
    <row r="1233" spans="1:1" ht="15">
      <c r="A1233" s="137" t="str">
        <f>D1233&amp;E1233&amp;F1233</f>
        <v/>
      </c>
    </row>
    <row r="1234" spans="1:1" ht="15">
      <c r="A1234" s="137" t="str">
        <f>D1234&amp;E1234&amp;F1234</f>
        <v/>
      </c>
    </row>
    <row r="1235" spans="1:1" ht="15">
      <c r="A1235" s="137" t="str">
        <f>D1235&amp;E1235&amp;F1235</f>
        <v/>
      </c>
    </row>
    <row r="1236" spans="1:1" ht="15">
      <c r="A1236" s="137" t="str">
        <f>D1236&amp;E1236&amp;F1236</f>
        <v/>
      </c>
    </row>
    <row r="1237" spans="1:1" ht="15">
      <c r="A1237" s="137" t="str">
        <f>D1237&amp;E1237&amp;F1237</f>
        <v/>
      </c>
    </row>
    <row r="1238" spans="1:1" ht="15">
      <c r="A1238" s="137" t="str">
        <f>D1238&amp;E1238&amp;F1238</f>
        <v/>
      </c>
    </row>
    <row r="1239" spans="1:1" ht="15">
      <c r="A1239" s="137" t="str">
        <f>D1239&amp;E1239&amp;F1239</f>
        <v/>
      </c>
    </row>
    <row r="1240" spans="1:1" ht="15">
      <c r="A1240" s="137" t="str">
        <f>D1240&amp;E1240&amp;F1240</f>
        <v/>
      </c>
    </row>
    <row r="1241" spans="1:1" ht="15">
      <c r="A1241" s="137" t="str">
        <f>D1241&amp;E1241&amp;F1241</f>
        <v/>
      </c>
    </row>
    <row r="1242" spans="1:1" ht="15">
      <c r="A1242" s="137" t="str">
        <f>D1242&amp;E1242&amp;F1242</f>
        <v/>
      </c>
    </row>
    <row r="1243" spans="1:1" ht="15">
      <c r="A1243" s="137" t="str">
        <f>D1243&amp;E1243&amp;F1243</f>
        <v/>
      </c>
    </row>
    <row r="1244" spans="1:1" ht="15">
      <c r="A1244" s="137" t="str">
        <f>D1244&amp;E1244&amp;F1244</f>
        <v/>
      </c>
    </row>
    <row r="1245" spans="1:1" ht="15">
      <c r="A1245" s="137" t="str">
        <f>D1245&amp;E1245&amp;F1245</f>
        <v/>
      </c>
    </row>
    <row r="1246" spans="1:1" ht="15">
      <c r="A1246" s="137" t="str">
        <f>D1246&amp;E1246&amp;F1246</f>
        <v/>
      </c>
    </row>
    <row r="1247" spans="1:1" ht="15">
      <c r="A1247" s="137" t="str">
        <f>D1247&amp;E1247&amp;F1247</f>
        <v/>
      </c>
    </row>
    <row r="1248" spans="1:1" ht="15">
      <c r="A1248" s="137" t="str">
        <f>D1248&amp;E1248&amp;F1248</f>
        <v/>
      </c>
    </row>
    <row r="1249" spans="1:1" ht="15">
      <c r="A1249" s="137" t="str">
        <f>D1249&amp;E1249&amp;F1249</f>
        <v/>
      </c>
    </row>
    <row r="1250" spans="1:1" ht="15">
      <c r="A1250" s="137" t="str">
        <f>D1250&amp;E1250&amp;F1250</f>
        <v/>
      </c>
    </row>
    <row r="1251" spans="1:1" ht="15">
      <c r="A1251" s="137" t="str">
        <f>D1251&amp;E1251&amp;F1251</f>
        <v/>
      </c>
    </row>
    <row r="1252" spans="1:1" ht="15">
      <c r="A1252" s="137" t="str">
        <f>D1252&amp;E1252&amp;F1252</f>
        <v/>
      </c>
    </row>
    <row r="1253" spans="1:1" ht="15">
      <c r="A1253" s="137" t="str">
        <f>D1253&amp;E1253&amp;F1253</f>
        <v/>
      </c>
    </row>
    <row r="1254" spans="1:1" ht="15">
      <c r="A1254" s="137" t="str">
        <f>D1254&amp;E1254&amp;F1254</f>
        <v/>
      </c>
    </row>
    <row r="1255" spans="1:1" ht="15">
      <c r="A1255" s="137" t="str">
        <f>D1255&amp;E1255&amp;F1255</f>
        <v/>
      </c>
    </row>
    <row r="1256" spans="1:1" ht="15">
      <c r="A1256" s="137" t="str">
        <f>D1256&amp;E1256&amp;F1256</f>
        <v/>
      </c>
    </row>
    <row r="1257" spans="1:1" ht="15">
      <c r="A1257" s="137" t="str">
        <f>D1257&amp;E1257&amp;F1257</f>
        <v/>
      </c>
    </row>
    <row r="1258" spans="1:1" ht="15">
      <c r="A1258" s="137" t="str">
        <f>D1258&amp;E1258&amp;F1258</f>
        <v/>
      </c>
    </row>
    <row r="1259" spans="1:1" ht="15">
      <c r="A1259" s="137" t="str">
        <f>D1259&amp;E1259&amp;F1259</f>
        <v/>
      </c>
    </row>
    <row r="1260" spans="1:1" ht="15">
      <c r="A1260" s="137" t="str">
        <f>D1260&amp;E1260&amp;F1260</f>
        <v/>
      </c>
    </row>
    <row r="1261" spans="1:1" ht="15">
      <c r="A1261" s="137" t="str">
        <f>D1261&amp;E1261&amp;F1261</f>
        <v/>
      </c>
    </row>
    <row r="1262" spans="1:1" ht="15">
      <c r="A1262" s="137" t="str">
        <f>D1262&amp;E1262&amp;F1262</f>
        <v/>
      </c>
    </row>
    <row r="1263" spans="1:1" ht="15">
      <c r="A1263" s="137" t="str">
        <f>D1263&amp;E1263&amp;F1263</f>
        <v/>
      </c>
    </row>
    <row r="1264" spans="1:1" ht="15">
      <c r="A1264" s="137" t="str">
        <f>D1264&amp;E1264&amp;F1264</f>
        <v/>
      </c>
    </row>
    <row r="1265" spans="1:11" ht="15">
      <c r="A1265" s="137" t="str">
        <f>D1265&amp;E1265&amp;F1265</f>
        <v/>
      </c>
    </row>
    <row r="1266" spans="1:11" ht="15">
      <c r="A1266" s="137" t="str">
        <f>D1266&amp;E1266&amp;F1266</f>
        <v/>
      </c>
    </row>
    <row r="1267" spans="1:11" ht="15">
      <c r="A1267" s="137" t="str">
        <f>D1267&amp;E1267&amp;F1267</f>
        <v/>
      </c>
    </row>
    <row r="1268" spans="1:11" ht="15">
      <c r="A1268" s="137" t="str">
        <f>D1268&amp;E1268&amp;F1268</f>
        <v/>
      </c>
    </row>
    <row r="1269" spans="1:11" ht="15">
      <c r="A1269" s="137" t="str">
        <f>D1269&amp;E1269&amp;F1269</f>
        <v/>
      </c>
    </row>
    <row r="1270" spans="1:11" ht="15">
      <c r="A1270" s="137" t="str">
        <f>D1270&amp;E1270&amp;F1270</f>
        <v/>
      </c>
    </row>
    <row r="1271" spans="1:11" ht="15">
      <c r="A1271" s="137" t="str">
        <f>D1271&amp;E1271&amp;F1271</f>
        <v/>
      </c>
    </row>
    <row r="1272" spans="1:11" ht="15">
      <c r="A1272" s="137" t="str">
        <f>D1272&amp;E1272&amp;F1272</f>
        <v/>
      </c>
    </row>
    <row r="1273" spans="1:11" ht="15">
      <c r="A1273" s="137" t="str">
        <f>D1273&amp;E1273&amp;F1273</f>
        <v/>
      </c>
    </row>
    <row r="1274" spans="1:11" ht="15">
      <c r="A1274" s="137" t="str">
        <f>D1274&amp;E1274&amp;F1274</f>
        <v/>
      </c>
    </row>
    <row r="1275" spans="1:11" ht="15">
      <c r="A1275" s="137" t="str">
        <f>D1275&amp;E1275&amp;F1275</f>
        <v/>
      </c>
    </row>
    <row r="1276" spans="1:11" ht="15">
      <c r="A1276" s="137" t="str">
        <f>D1276&amp;E1276&amp;F1276</f>
        <v/>
      </c>
    </row>
    <row r="1277" spans="1:11" ht="15">
      <c r="A1277" s="137" t="str">
        <f>D1277&amp;E1277&amp;F1277</f>
        <v/>
      </c>
    </row>
    <row r="1278" spans="1:11" ht="15">
      <c r="A1278" s="137" t="str">
        <f>D1278&amp;E1278&amp;F1278</f>
        <v/>
      </c>
    </row>
    <row r="1279" spans="1:11" ht="15">
      <c r="A1279" s="137" t="str">
        <f>D1279&amp;E1279&amp;F1279</f>
        <v/>
      </c>
    </row>
    <row r="1280" spans="1:11" ht="15">
      <c r="A1280" s="137" t="str">
        <f>D1280&amp;E1280&amp;F1280</f>
        <v/>
      </c>
      <c r="K1280" s="159"/>
    </row>
    <row r="1281" spans="1:11" ht="15">
      <c r="A1281" s="137" t="str">
        <f>D1281&amp;E1281&amp;F1281</f>
        <v/>
      </c>
      <c r="K1281" s="159"/>
    </row>
    <row r="1282" spans="1:11" ht="15">
      <c r="A1282" s="137" t="str">
        <f>D1282&amp;E1282&amp;F1282</f>
        <v/>
      </c>
    </row>
    <row r="1283" spans="1:11" ht="15">
      <c r="A1283" s="137" t="str">
        <f>D1283&amp;E1283&amp;F1283</f>
        <v/>
      </c>
    </row>
    <row r="1284" spans="1:11" ht="15">
      <c r="A1284" s="137" t="str">
        <f>D1284&amp;E1284&amp;F1284</f>
        <v/>
      </c>
    </row>
    <row r="1285" spans="1:11" ht="15">
      <c r="A1285" s="137" t="str">
        <f>D1285&amp;E1285&amp;F1285</f>
        <v/>
      </c>
    </row>
    <row r="1286" spans="1:11" ht="15">
      <c r="A1286" s="137" t="str">
        <f>D1286&amp;E1286&amp;F1286</f>
        <v/>
      </c>
    </row>
    <row r="1287" spans="1:11" ht="15">
      <c r="A1287" s="137" t="str">
        <f>D1287&amp;E1287&amp;F1287</f>
        <v/>
      </c>
    </row>
    <row r="1288" spans="1:11" ht="15">
      <c r="A1288" s="137" t="str">
        <f>D1288&amp;E1288&amp;F1288</f>
        <v/>
      </c>
    </row>
    <row r="1289" spans="1:11" ht="15">
      <c r="A1289" s="137" t="str">
        <f>D1289&amp;E1289&amp;F1289</f>
        <v/>
      </c>
    </row>
    <row r="1290" spans="1:11" ht="15">
      <c r="A1290" s="137" t="str">
        <f>D1290&amp;E1290&amp;F1290</f>
        <v/>
      </c>
    </row>
    <row r="1291" spans="1:11" ht="15">
      <c r="A1291" s="137" t="str">
        <f>D1291&amp;E1291&amp;F1291</f>
        <v/>
      </c>
    </row>
    <row r="1292" spans="1:11" ht="15">
      <c r="A1292" s="137" t="str">
        <f>D1292&amp;E1292&amp;F1292</f>
        <v/>
      </c>
    </row>
    <row r="1293" spans="1:11" ht="15">
      <c r="A1293" s="137" t="str">
        <f>D1293&amp;E1293&amp;F1293</f>
        <v/>
      </c>
    </row>
    <row r="1294" spans="1:11" ht="15">
      <c r="A1294" s="137" t="str">
        <f>D1294&amp;E1294&amp;F1294</f>
        <v/>
      </c>
    </row>
    <row r="1295" spans="1:11" ht="15">
      <c r="A1295" s="137" t="str">
        <f>D1295&amp;E1295&amp;F1295</f>
        <v/>
      </c>
    </row>
    <row r="1296" spans="1:11" ht="15">
      <c r="A1296" s="137" t="str">
        <f>D1296&amp;E1296&amp;F1296</f>
        <v/>
      </c>
    </row>
    <row r="1297" spans="1:1" ht="15">
      <c r="A1297" s="137" t="str">
        <f>D1297&amp;E1297&amp;F1297</f>
        <v/>
      </c>
    </row>
    <row r="1298" spans="1:1" ht="15">
      <c r="A1298" s="137" t="str">
        <f>D1298&amp;E1298&amp;F1298</f>
        <v/>
      </c>
    </row>
    <row r="1299" spans="1:1" ht="15">
      <c r="A1299" s="137" t="str">
        <f>D1299&amp;E1299&amp;F1299</f>
        <v/>
      </c>
    </row>
    <row r="1300" spans="1:1" ht="15">
      <c r="A1300" s="137" t="str">
        <f>D1300&amp;E1300&amp;F1300</f>
        <v/>
      </c>
    </row>
    <row r="1301" spans="1:1" ht="15">
      <c r="A1301" s="137" t="str">
        <f>D1301&amp;E1301&amp;F1301</f>
        <v/>
      </c>
    </row>
    <row r="1302" spans="1:1" ht="15">
      <c r="A1302" s="137" t="str">
        <f>D1302&amp;E1302&amp;F1302</f>
        <v/>
      </c>
    </row>
    <row r="1303" spans="1:1" ht="15">
      <c r="A1303" s="137" t="str">
        <f>D1303&amp;E1303&amp;F1303</f>
        <v/>
      </c>
    </row>
    <row r="1304" spans="1:1" ht="15">
      <c r="A1304" s="137" t="str">
        <f>D1304&amp;E1304&amp;F1304</f>
        <v/>
      </c>
    </row>
    <row r="1305" spans="1:1" ht="15">
      <c r="A1305" s="137" t="str">
        <f>D1305&amp;E1305&amp;F1305</f>
        <v/>
      </c>
    </row>
    <row r="1306" spans="1:1" ht="15">
      <c r="A1306" s="137" t="str">
        <f>D1306&amp;E1306&amp;F1306</f>
        <v/>
      </c>
    </row>
    <row r="1307" spans="1:1" ht="15">
      <c r="A1307" s="137" t="str">
        <f>D1307&amp;E1307&amp;F1307</f>
        <v/>
      </c>
    </row>
    <row r="1308" spans="1:1" ht="15">
      <c r="A1308" s="137" t="str">
        <f>D1308&amp;E1308&amp;F1308</f>
        <v/>
      </c>
    </row>
    <row r="1309" spans="1:1" ht="15">
      <c r="A1309" s="137" t="str">
        <f>D1309&amp;E1309&amp;F1309</f>
        <v/>
      </c>
    </row>
    <row r="1310" spans="1:1" ht="15">
      <c r="A1310" s="137" t="str">
        <f>D1310&amp;E1310&amp;F1310</f>
        <v/>
      </c>
    </row>
    <row r="1311" spans="1:1" ht="15">
      <c r="A1311" s="137" t="str">
        <f>D1311&amp;E1311&amp;F1311</f>
        <v/>
      </c>
    </row>
    <row r="1312" spans="1:1" ht="15">
      <c r="A1312" s="137" t="str">
        <f>D1312&amp;E1312&amp;F1312</f>
        <v/>
      </c>
    </row>
    <row r="1313" spans="1:11" ht="15">
      <c r="A1313" s="137" t="str">
        <f>D1313&amp;E1313&amp;F1313</f>
        <v/>
      </c>
    </row>
    <row r="1314" spans="1:11" ht="15">
      <c r="A1314" s="137" t="str">
        <f>D1314&amp;E1314&amp;F1314</f>
        <v/>
      </c>
    </row>
    <row r="1315" spans="1:11" ht="15">
      <c r="A1315" s="137" t="str">
        <f>D1315&amp;E1315&amp;F1315</f>
        <v/>
      </c>
    </row>
    <row r="1316" spans="1:11" ht="15">
      <c r="A1316" s="137" t="str">
        <f>D1316&amp;E1316&amp;F1316</f>
        <v/>
      </c>
    </row>
    <row r="1317" spans="1:11" ht="15">
      <c r="A1317" s="137" t="str">
        <f>D1317&amp;E1317&amp;F1317</f>
        <v/>
      </c>
    </row>
    <row r="1318" spans="1:11" ht="15">
      <c r="A1318" s="137" t="str">
        <f t="shared" ref="A1266:A1327" si="39">D1318&amp;E1318&amp;F1318</f>
        <v/>
      </c>
    </row>
    <row r="1319" spans="1:11" ht="15">
      <c r="A1319" s="137" t="str">
        <f t="shared" si="39"/>
        <v/>
      </c>
    </row>
    <row r="1320" spans="1:11" ht="15">
      <c r="A1320" s="137" t="str">
        <f t="shared" si="39"/>
        <v/>
      </c>
    </row>
    <row r="1321" spans="1:11" ht="15">
      <c r="A1321" s="137" t="str">
        <f t="shared" si="39"/>
        <v/>
      </c>
    </row>
    <row r="1322" spans="1:11" ht="15">
      <c r="A1322" s="137" t="str">
        <f t="shared" si="39"/>
        <v/>
      </c>
    </row>
    <row r="1323" spans="1:11" ht="15">
      <c r="A1323" s="137" t="str">
        <f t="shared" si="39"/>
        <v/>
      </c>
    </row>
    <row r="1324" spans="1:11" ht="15">
      <c r="A1324" s="137" t="str">
        <f t="shared" si="39"/>
        <v/>
      </c>
    </row>
    <row r="1325" spans="1:11" ht="15">
      <c r="A1325" s="137" t="str">
        <f t="shared" si="39"/>
        <v/>
      </c>
    </row>
    <row r="1326" spans="1:11" ht="15">
      <c r="A1326" s="137" t="str">
        <f t="shared" si="39"/>
        <v/>
      </c>
    </row>
    <row r="1327" spans="1:11" ht="15">
      <c r="A1327" s="137" t="str">
        <f t="shared" si="39"/>
        <v/>
      </c>
    </row>
    <row r="1328" spans="1:11" ht="15">
      <c r="A1328" s="137" t="str">
        <f>D1328&amp;E1328&amp;F1328</f>
        <v/>
      </c>
      <c r="K1328" s="69"/>
    </row>
    <row r="1329" spans="1:1" ht="15">
      <c r="A1329" s="137" t="str">
        <f>D1329&amp;E1329&amp;F1329</f>
        <v/>
      </c>
    </row>
    <row r="1330" spans="1:1" ht="15">
      <c r="A1330" s="137" t="str">
        <f>D1330&amp;E1330&amp;F1330</f>
        <v/>
      </c>
    </row>
    <row r="1331" spans="1:1" ht="15">
      <c r="A1331" s="137" t="str">
        <f>D1331&amp;E1331&amp;F1331</f>
        <v/>
      </c>
    </row>
    <row r="1332" spans="1:1" ht="15">
      <c r="A1332" s="137" t="str">
        <f>D1332&amp;E1332&amp;F1332</f>
        <v/>
      </c>
    </row>
    <row r="1333" spans="1:1" ht="15">
      <c r="A1333" s="137" t="str">
        <f>D1333&amp;E1333&amp;F1333</f>
        <v/>
      </c>
    </row>
    <row r="1334" spans="1:1" ht="15">
      <c r="A1334" s="137" t="str">
        <f>D1334&amp;E1334&amp;F1334</f>
        <v/>
      </c>
    </row>
    <row r="1335" spans="1:1" ht="15">
      <c r="A1335" s="137" t="str">
        <f>D1335&amp;E1335&amp;F1335</f>
        <v/>
      </c>
    </row>
    <row r="1336" spans="1:1" ht="15">
      <c r="A1336" s="137" t="str">
        <f>D1336&amp;E1336&amp;F1336</f>
        <v/>
      </c>
    </row>
    <row r="1337" spans="1:1" ht="15">
      <c r="A1337" s="137" t="str">
        <f>D1337&amp;E1337&amp;F1337</f>
        <v/>
      </c>
    </row>
    <row r="1338" spans="1:1" ht="15">
      <c r="A1338" s="137" t="str">
        <f>D1338&amp;E1338&amp;F1338</f>
        <v/>
      </c>
    </row>
    <row r="1339" spans="1:1" ht="15">
      <c r="A1339" s="137" t="str">
        <f>D1339&amp;E1339&amp;F1339</f>
        <v/>
      </c>
    </row>
    <row r="1340" spans="1:1" ht="15">
      <c r="A1340" s="137" t="str">
        <f>D1340&amp;E1340&amp;F1340</f>
        <v/>
      </c>
    </row>
    <row r="1341" spans="1:1" ht="15">
      <c r="A1341" s="137" t="str">
        <f>D1341&amp;E1341&amp;F1341</f>
        <v/>
      </c>
    </row>
    <row r="1342" spans="1:1" ht="15">
      <c r="A1342" s="137" t="str">
        <f>D1342&amp;E1342&amp;F1342</f>
        <v/>
      </c>
    </row>
    <row r="1343" spans="1:1" ht="15">
      <c r="A1343" s="137" t="str">
        <f>D1343&amp;E1343&amp;F1343</f>
        <v/>
      </c>
    </row>
    <row r="1344" spans="1:1" ht="15">
      <c r="A1344" s="137" t="str">
        <f>D1344&amp;E1344&amp;F1344</f>
        <v/>
      </c>
    </row>
    <row r="1345" spans="1:1" ht="15">
      <c r="A1345" s="137" t="str">
        <f>D1345&amp;E1345&amp;F1345</f>
        <v/>
      </c>
    </row>
    <row r="1346" spans="1:1" ht="15">
      <c r="A1346" s="137" t="str">
        <f>D1346&amp;E1346&amp;F1346</f>
        <v/>
      </c>
    </row>
    <row r="1347" spans="1:1" ht="15">
      <c r="A1347" s="137" t="str">
        <f>D1347&amp;E1347&amp;F1347</f>
        <v/>
      </c>
    </row>
    <row r="1348" spans="1:1" ht="15">
      <c r="A1348" s="137" t="str">
        <f>D1348&amp;E1348&amp;F1348</f>
        <v/>
      </c>
    </row>
    <row r="1349" spans="1:1" ht="15">
      <c r="A1349" s="137" t="str">
        <f>D1349&amp;E1349&amp;F1349</f>
        <v/>
      </c>
    </row>
    <row r="1350" spans="1:1" ht="15">
      <c r="A1350" s="137" t="str">
        <f>D1350&amp;E1350&amp;F1350</f>
        <v/>
      </c>
    </row>
    <row r="1351" spans="1:1" ht="15">
      <c r="A1351" s="137" t="str">
        <f>D1351&amp;E1351&amp;F1351</f>
        <v/>
      </c>
    </row>
    <row r="1352" spans="1:1" ht="15">
      <c r="A1352" s="137" t="str">
        <f>D1352&amp;E1352&amp;F1352</f>
        <v/>
      </c>
    </row>
    <row r="1353" spans="1:1" ht="15">
      <c r="A1353" s="137" t="str">
        <f>D1353&amp;E1353&amp;F1353</f>
        <v/>
      </c>
    </row>
    <row r="1354" spans="1:1" ht="15">
      <c r="A1354" s="137" t="str">
        <f>D1354&amp;E1354&amp;F1354</f>
        <v/>
      </c>
    </row>
    <row r="1355" spans="1:1" ht="15">
      <c r="A1355" s="137" t="str">
        <f>D1355&amp;E1355&amp;F1355</f>
        <v/>
      </c>
    </row>
    <row r="1356" spans="1:1" ht="15">
      <c r="A1356" s="137" t="str">
        <f>D1356&amp;E1356&amp;F1356</f>
        <v/>
      </c>
    </row>
    <row r="1357" spans="1:1" ht="15">
      <c r="A1357" s="137" t="str">
        <f>D1357&amp;E1357&amp;F1357</f>
        <v/>
      </c>
    </row>
    <row r="1358" spans="1:1" ht="15">
      <c r="A1358" s="137" t="str">
        <f>D1358&amp;E1358&amp;F1358</f>
        <v/>
      </c>
    </row>
    <row r="1359" spans="1:1" ht="15">
      <c r="A1359" s="137" t="str">
        <f>D1359&amp;E1359&amp;F1359</f>
        <v/>
      </c>
    </row>
    <row r="1360" spans="1:1" ht="15">
      <c r="A1360" s="137" t="str">
        <f>D1360&amp;E1360&amp;F1360</f>
        <v/>
      </c>
    </row>
    <row r="1361" spans="1:1" ht="15">
      <c r="A1361" s="137" t="str">
        <f>D1361&amp;E1361&amp;F1361</f>
        <v/>
      </c>
    </row>
    <row r="1362" spans="1:1" ht="15">
      <c r="A1362" s="137" t="str">
        <f>D1362&amp;E1362&amp;F1362</f>
        <v/>
      </c>
    </row>
    <row r="1363" spans="1:1" ht="15">
      <c r="A1363" s="137" t="str">
        <f>D1363&amp;E1363&amp;F1363</f>
        <v/>
      </c>
    </row>
    <row r="1364" spans="1:1" ht="15">
      <c r="A1364" s="137" t="str">
        <f>D1364&amp;E1364&amp;F1364</f>
        <v/>
      </c>
    </row>
    <row r="1365" spans="1:1" ht="15">
      <c r="A1365" s="137" t="str">
        <f>D1365&amp;E1365&amp;F1365</f>
        <v/>
      </c>
    </row>
    <row r="1366" spans="1:1" ht="15">
      <c r="A1366" s="137" t="str">
        <f>D1366&amp;E1366&amp;F1366</f>
        <v/>
      </c>
    </row>
    <row r="1367" spans="1:1" ht="15">
      <c r="A1367" s="137" t="str">
        <f>D1367&amp;E1367&amp;F1367</f>
        <v/>
      </c>
    </row>
    <row r="1368" spans="1:1" ht="15">
      <c r="A1368" s="137" t="str">
        <f>D1368&amp;E1368&amp;F1368</f>
        <v/>
      </c>
    </row>
    <row r="1369" spans="1:1" ht="15">
      <c r="A1369" s="137" t="str">
        <f>D1369&amp;E1369&amp;F1369</f>
        <v/>
      </c>
    </row>
    <row r="1370" spans="1:1" ht="15">
      <c r="A1370" s="137" t="str">
        <f>D1370&amp;E1370&amp;F1370</f>
        <v/>
      </c>
    </row>
    <row r="1371" spans="1:1" ht="15">
      <c r="A1371" s="137" t="str">
        <f>D1371&amp;E1371&amp;F1371</f>
        <v/>
      </c>
    </row>
    <row r="1372" spans="1:1" ht="15">
      <c r="A1372" s="137" t="str">
        <f>D1372&amp;E1372&amp;F1372</f>
        <v/>
      </c>
    </row>
    <row r="1373" spans="1:1" ht="15">
      <c r="A1373" s="137" t="str">
        <f>D1373&amp;E1373&amp;F1373</f>
        <v/>
      </c>
    </row>
    <row r="1374" spans="1:1" ht="15">
      <c r="A1374" s="137" t="str">
        <f>D1374&amp;E1374&amp;F1374</f>
        <v/>
      </c>
    </row>
    <row r="1375" spans="1:1" ht="15">
      <c r="A1375" s="137" t="str">
        <f>D1375&amp;E1375&amp;F1375</f>
        <v/>
      </c>
    </row>
    <row r="1376" spans="1:1" ht="15">
      <c r="A1376" s="137" t="str">
        <f>D1376&amp;E1376&amp;F1376</f>
        <v/>
      </c>
    </row>
    <row r="1377" spans="1:1" ht="15">
      <c r="A1377" s="137" t="str">
        <f>D1377&amp;E1377&amp;F1377</f>
        <v/>
      </c>
    </row>
    <row r="1378" spans="1:1" ht="15">
      <c r="A1378" s="137" t="str">
        <f>D1378&amp;E1378&amp;F1378</f>
        <v/>
      </c>
    </row>
    <row r="1379" spans="1:1" ht="15">
      <c r="A1379" s="137" t="str">
        <f>D1379&amp;E1379&amp;F1379</f>
        <v/>
      </c>
    </row>
    <row r="1380" spans="1:1" ht="15">
      <c r="A1380" s="137" t="str">
        <f>D1380&amp;E1380&amp;F1380</f>
        <v/>
      </c>
    </row>
    <row r="1381" spans="1:1" ht="15">
      <c r="A1381" s="137" t="str">
        <f>D1381&amp;E1381&amp;F1381</f>
        <v/>
      </c>
    </row>
    <row r="1382" spans="1:1" ht="15">
      <c r="A1382" s="137" t="str">
        <f>D1382&amp;E1382&amp;F1382</f>
        <v/>
      </c>
    </row>
    <row r="1383" spans="1:1" ht="15">
      <c r="A1383" s="137" t="str">
        <f>D1383&amp;E1383&amp;F1383</f>
        <v/>
      </c>
    </row>
    <row r="1384" spans="1:1" ht="15">
      <c r="A1384" s="137" t="str">
        <f>D1384&amp;E1384&amp;F1384</f>
        <v/>
      </c>
    </row>
    <row r="1385" spans="1:1" ht="15">
      <c r="A1385" s="137" t="str">
        <f>D1385&amp;E1385&amp;F1385</f>
        <v/>
      </c>
    </row>
    <row r="1386" spans="1:1" ht="15">
      <c r="A1386" s="137" t="str">
        <f>D1386&amp;E1386&amp;F1386</f>
        <v/>
      </c>
    </row>
    <row r="1387" spans="1:1" ht="15">
      <c r="A1387" s="137" t="str">
        <f>D1387&amp;E1387&amp;F1387</f>
        <v/>
      </c>
    </row>
    <row r="1388" spans="1:1" ht="15">
      <c r="A1388" s="137" t="str">
        <f>D1388&amp;E1388&amp;F1388</f>
        <v/>
      </c>
    </row>
    <row r="1389" spans="1:1" ht="15">
      <c r="A1389" s="137" t="str">
        <f>D1389&amp;E1389&amp;F1389</f>
        <v/>
      </c>
    </row>
    <row r="1390" spans="1:1" ht="15">
      <c r="A1390" s="137" t="str">
        <f>D1390&amp;E1390&amp;F1390</f>
        <v/>
      </c>
    </row>
    <row r="1391" spans="1:1" ht="15">
      <c r="A1391" s="137" t="str">
        <f>D1391&amp;E1391&amp;F1391</f>
        <v/>
      </c>
    </row>
    <row r="1392" spans="1:1" ht="15">
      <c r="A1392" s="137" t="str">
        <f>D1392&amp;E1392&amp;F1392</f>
        <v/>
      </c>
    </row>
    <row r="1393" spans="1:1" ht="15">
      <c r="A1393" s="137" t="str">
        <f>D1393&amp;E1393&amp;F1393</f>
        <v/>
      </c>
    </row>
    <row r="1394" spans="1:1" ht="15">
      <c r="A1394" s="137" t="str">
        <f>D1394&amp;E1394&amp;F1394</f>
        <v/>
      </c>
    </row>
    <row r="1395" spans="1:1" ht="15">
      <c r="A1395" s="137" t="str">
        <f>D1395&amp;E1395&amp;F1395</f>
        <v/>
      </c>
    </row>
    <row r="1396" spans="1:1" ht="15">
      <c r="A1396" s="137" t="str">
        <f>D1396&amp;E1396&amp;F1396</f>
        <v/>
      </c>
    </row>
    <row r="1397" spans="1:1" ht="15">
      <c r="A1397" s="137" t="str">
        <f>D1397&amp;E1397&amp;F1397</f>
        <v/>
      </c>
    </row>
    <row r="1398" spans="1:1" ht="15">
      <c r="A1398" s="137" t="str">
        <f>D1398&amp;E1398&amp;F1398</f>
        <v/>
      </c>
    </row>
    <row r="1399" spans="1:1" ht="15">
      <c r="A1399" s="137" t="str">
        <f>D1399&amp;E1399&amp;F1399</f>
        <v/>
      </c>
    </row>
    <row r="1400" spans="1:1" ht="15">
      <c r="A1400" s="137" t="str">
        <f>D1400&amp;E1400&amp;F1400</f>
        <v/>
      </c>
    </row>
    <row r="1401" spans="1:1" ht="15">
      <c r="A1401" s="137" t="str">
        <f>D1401&amp;E1401&amp;F1401</f>
        <v/>
      </c>
    </row>
    <row r="1402" spans="1:1" ht="15">
      <c r="A1402" s="137" t="str">
        <f>D1402&amp;E1402&amp;F1402</f>
        <v/>
      </c>
    </row>
    <row r="1403" spans="1:1" ht="15">
      <c r="A1403" s="137" t="str">
        <f>D1403&amp;E1403&amp;F1403</f>
        <v/>
      </c>
    </row>
    <row r="1404" spans="1:1" ht="15">
      <c r="A1404" s="137" t="str">
        <f>D1404&amp;E1404&amp;F1404</f>
        <v/>
      </c>
    </row>
    <row r="1405" spans="1:1" ht="15">
      <c r="A1405" s="137" t="str">
        <f>D1405&amp;E1405&amp;F1405</f>
        <v/>
      </c>
    </row>
    <row r="1406" spans="1:1" ht="15">
      <c r="A1406" s="137" t="str">
        <f>D1406&amp;E1406&amp;F1406</f>
        <v/>
      </c>
    </row>
    <row r="1407" spans="1:1" ht="15">
      <c r="A1407" s="137" t="str">
        <f>D1407&amp;E1407&amp;F1407</f>
        <v/>
      </c>
    </row>
    <row r="1408" spans="1:1" ht="15">
      <c r="A1408" s="137" t="str">
        <f>D1408&amp;E1408&amp;F1408</f>
        <v/>
      </c>
    </row>
    <row r="1409" spans="1:1" ht="15">
      <c r="A1409" s="137" t="str">
        <f>D1409&amp;E1409&amp;F1409</f>
        <v/>
      </c>
    </row>
    <row r="1410" spans="1:1" ht="15">
      <c r="A1410" s="137" t="str">
        <f>D1410&amp;E1410&amp;F1410</f>
        <v/>
      </c>
    </row>
    <row r="1411" spans="1:1" ht="15">
      <c r="A1411" s="137" t="str">
        <f>D1411&amp;E1411&amp;F1411</f>
        <v/>
      </c>
    </row>
    <row r="1412" spans="1:1" ht="15">
      <c r="A1412" s="137" t="str">
        <f>D1412&amp;E1412&amp;F1412</f>
        <v/>
      </c>
    </row>
    <row r="1413" spans="1:1" ht="15">
      <c r="A1413" s="137" t="str">
        <f>D1413&amp;E1413&amp;F1413</f>
        <v/>
      </c>
    </row>
    <row r="1414" spans="1:1" ht="15">
      <c r="A1414" s="137" t="str">
        <f>D1414&amp;E1414&amp;F1414</f>
        <v/>
      </c>
    </row>
    <row r="1415" spans="1:1" ht="15">
      <c r="A1415" s="137" t="str">
        <f>D1415&amp;E1415&amp;F1415</f>
        <v/>
      </c>
    </row>
    <row r="1416" spans="1:1" ht="15">
      <c r="A1416" s="137" t="str">
        <f>D1416&amp;E1416&amp;F1416</f>
        <v/>
      </c>
    </row>
    <row r="1417" spans="1:1" ht="15">
      <c r="A1417" s="137" t="str">
        <f>D1417&amp;E1417&amp;F1417</f>
        <v/>
      </c>
    </row>
    <row r="1418" spans="1:1" ht="15">
      <c r="A1418" s="137" t="str">
        <f>D1418&amp;E1418&amp;F1418</f>
        <v/>
      </c>
    </row>
    <row r="1419" spans="1:1" ht="15">
      <c r="A1419" s="137" t="str">
        <f>D1419&amp;E1419&amp;F1419</f>
        <v/>
      </c>
    </row>
    <row r="1420" spans="1:1" ht="15">
      <c r="A1420" s="137" t="str">
        <f>D1420&amp;E1420&amp;F1420</f>
        <v/>
      </c>
    </row>
    <row r="1421" spans="1:1" ht="15">
      <c r="A1421" s="137" t="str">
        <f>D1421&amp;E1421&amp;F1421</f>
        <v/>
      </c>
    </row>
    <row r="1422" spans="1:1" ht="15">
      <c r="A1422" s="137" t="str">
        <f>D1422&amp;E1422&amp;F1422</f>
        <v/>
      </c>
    </row>
    <row r="1423" spans="1:1" ht="15">
      <c r="A1423" s="137" t="str">
        <f>D1423&amp;E1423&amp;F1423</f>
        <v/>
      </c>
    </row>
    <row r="1424" spans="1:1" ht="15">
      <c r="A1424" s="137" t="str">
        <f>D1424&amp;E1424&amp;F1424</f>
        <v/>
      </c>
    </row>
    <row r="1425" spans="1:1" ht="15">
      <c r="A1425" s="137" t="str">
        <f>D1425&amp;E1425&amp;F1425</f>
        <v/>
      </c>
    </row>
    <row r="1426" spans="1:1" ht="15">
      <c r="A1426" s="137" t="str">
        <f>D1426&amp;E1426&amp;F1426</f>
        <v/>
      </c>
    </row>
    <row r="1427" spans="1:1" ht="15">
      <c r="A1427" s="137" t="str">
        <f>D1427&amp;E1427&amp;F1427</f>
        <v/>
      </c>
    </row>
    <row r="1428" spans="1:1" ht="15">
      <c r="A1428" s="137" t="str">
        <f>D1428&amp;E1428&amp;F1428</f>
        <v/>
      </c>
    </row>
    <row r="1429" spans="1:1" ht="15">
      <c r="A1429" s="137" t="str">
        <f>D1429&amp;E1429&amp;F1429</f>
        <v/>
      </c>
    </row>
    <row r="1430" spans="1:1" ht="15">
      <c r="A1430" s="137" t="str">
        <f>D1430&amp;E1430&amp;F1430</f>
        <v/>
      </c>
    </row>
    <row r="1431" spans="1:1" ht="15">
      <c r="A1431" s="137" t="str">
        <f>D1431&amp;E1431&amp;F1431</f>
        <v/>
      </c>
    </row>
    <row r="1432" spans="1:1" ht="15">
      <c r="A1432" s="137" t="str">
        <f>D1432&amp;E1432&amp;F1432</f>
        <v/>
      </c>
    </row>
    <row r="1433" spans="1:1" ht="15">
      <c r="A1433" s="137" t="str">
        <f>D1433&amp;E1433&amp;F1433</f>
        <v/>
      </c>
    </row>
    <row r="1434" spans="1:1" ht="15">
      <c r="A1434" s="137" t="str">
        <f>D1434&amp;E1434&amp;F1434</f>
        <v/>
      </c>
    </row>
    <row r="1435" spans="1:1" ht="15">
      <c r="A1435" s="137" t="str">
        <f>D1435&amp;E1435&amp;F1435</f>
        <v/>
      </c>
    </row>
    <row r="1436" spans="1:1" ht="15">
      <c r="A1436" s="137" t="str">
        <f>D1436&amp;E1436&amp;F1436</f>
        <v/>
      </c>
    </row>
    <row r="1437" spans="1:1" ht="15">
      <c r="A1437" s="137" t="str">
        <f>D1437&amp;E1437&amp;F1437</f>
        <v/>
      </c>
    </row>
    <row r="1438" spans="1:1" ht="15">
      <c r="A1438" s="137" t="str">
        <f>D1438&amp;E1438&amp;F1438</f>
        <v/>
      </c>
    </row>
    <row r="1439" spans="1:1" ht="15">
      <c r="A1439" s="137" t="str">
        <f>D1439&amp;E1439&amp;F1439</f>
        <v/>
      </c>
    </row>
    <row r="1440" spans="1:1" ht="15">
      <c r="A1440" s="137" t="str">
        <f>D1440&amp;E1440&amp;F1440</f>
        <v/>
      </c>
    </row>
    <row r="1441" spans="1:1" ht="15">
      <c r="A1441" s="137" t="str">
        <f>D1441&amp;E1441&amp;F1441</f>
        <v/>
      </c>
    </row>
    <row r="1442" spans="1:1" ht="15">
      <c r="A1442" s="137" t="str">
        <f>D1442&amp;E1442&amp;F1442</f>
        <v/>
      </c>
    </row>
    <row r="1443" spans="1:1" ht="15">
      <c r="A1443" s="137" t="str">
        <f>D1443&amp;E1443&amp;F1443</f>
        <v/>
      </c>
    </row>
    <row r="1444" spans="1:1" ht="15">
      <c r="A1444" s="137" t="str">
        <f>D1444&amp;E1444&amp;F1444</f>
        <v/>
      </c>
    </row>
    <row r="1445" spans="1:1" ht="15">
      <c r="A1445" s="137" t="str">
        <f>D1445&amp;E1445&amp;F1445</f>
        <v/>
      </c>
    </row>
    <row r="1446" spans="1:1" ht="15">
      <c r="A1446" s="137" t="str">
        <f>D1446&amp;E1446&amp;F1446</f>
        <v/>
      </c>
    </row>
    <row r="1447" spans="1:1" ht="15">
      <c r="A1447" s="137" t="str">
        <f>D1447&amp;E1447&amp;F1447</f>
        <v/>
      </c>
    </row>
    <row r="1448" spans="1:1" ht="15">
      <c r="A1448" s="137" t="str">
        <f>D1448&amp;E1448&amp;F1448</f>
        <v/>
      </c>
    </row>
    <row r="1449" spans="1:1" ht="15">
      <c r="A1449" s="137" t="str">
        <f>D1449&amp;E1449&amp;F1449</f>
        <v/>
      </c>
    </row>
    <row r="1450" spans="1:1" ht="15">
      <c r="A1450" s="137" t="str">
        <f>D1450&amp;E1450&amp;F1450</f>
        <v/>
      </c>
    </row>
    <row r="1451" spans="1:1" ht="15">
      <c r="A1451" s="137" t="str">
        <f>D1451&amp;E1451&amp;F1451</f>
        <v/>
      </c>
    </row>
    <row r="1452" spans="1:1" ht="15">
      <c r="A1452" s="137" t="str">
        <f>D1452&amp;E1452&amp;F1452</f>
        <v/>
      </c>
    </row>
    <row r="1453" spans="1:1" ht="15">
      <c r="A1453" s="137" t="str">
        <f>D1453&amp;E1453&amp;F1453</f>
        <v/>
      </c>
    </row>
    <row r="1454" spans="1:1" ht="15">
      <c r="A1454" s="137" t="str">
        <f>D1454&amp;E1454&amp;F1454</f>
        <v/>
      </c>
    </row>
    <row r="1455" spans="1:1" ht="15">
      <c r="A1455" s="137" t="str">
        <f>D1455&amp;E1455&amp;F1455</f>
        <v/>
      </c>
    </row>
    <row r="1456" spans="1:1" ht="15">
      <c r="A1456" s="137" t="str">
        <f>D1456&amp;E1456&amp;F1456</f>
        <v/>
      </c>
    </row>
    <row r="1457" spans="1:1" ht="15">
      <c r="A1457" s="137" t="str">
        <f>D1457&amp;E1457&amp;F1457</f>
        <v/>
      </c>
    </row>
    <row r="1458" spans="1:1" ht="15">
      <c r="A1458" s="137" t="str">
        <f>D1458&amp;E1458&amp;F1458</f>
        <v/>
      </c>
    </row>
    <row r="1459" spans="1:1" ht="15">
      <c r="A1459" s="137" t="str">
        <f>D1459&amp;E1459&amp;F1459</f>
        <v/>
      </c>
    </row>
    <row r="1460" spans="1:1" ht="15">
      <c r="A1460" s="137" t="str">
        <f>D1460&amp;E1460&amp;F1460</f>
        <v/>
      </c>
    </row>
    <row r="1461" spans="1:1" ht="15">
      <c r="A1461" s="137" t="str">
        <f>D1461&amp;E1461&amp;F1461</f>
        <v/>
      </c>
    </row>
    <row r="1462" spans="1:1" ht="15">
      <c r="A1462" s="137" t="str">
        <f>D1462&amp;E1462&amp;F1462</f>
        <v/>
      </c>
    </row>
    <row r="1463" spans="1:1" ht="15">
      <c r="A1463" s="137" t="str">
        <f>D1463&amp;E1463&amp;F1463</f>
        <v/>
      </c>
    </row>
    <row r="1464" spans="1:1" ht="15">
      <c r="A1464" s="137" t="str">
        <f>D1464&amp;E1464&amp;F1464</f>
        <v/>
      </c>
    </row>
    <row r="1465" spans="1:1" ht="15">
      <c r="A1465" s="137" t="str">
        <f>D1465&amp;E1465&amp;F1465</f>
        <v/>
      </c>
    </row>
    <row r="1466" spans="1:1" ht="15">
      <c r="A1466" s="137" t="str">
        <f>D1466&amp;E1466&amp;F1466</f>
        <v/>
      </c>
    </row>
    <row r="1467" spans="1:1" ht="15">
      <c r="A1467" s="137" t="str">
        <f>D1467&amp;E1467&amp;F1467</f>
        <v/>
      </c>
    </row>
    <row r="1468" spans="1:1" ht="15">
      <c r="A1468" s="137" t="str">
        <f>D1468&amp;E1468&amp;F1468</f>
        <v/>
      </c>
    </row>
    <row r="1469" spans="1:1" ht="15">
      <c r="A1469" s="137" t="str">
        <f>D1469&amp;E1469&amp;F1469</f>
        <v/>
      </c>
    </row>
    <row r="1470" spans="1:1" ht="15">
      <c r="A1470" s="137" t="str">
        <f>D1470&amp;E1470&amp;F1470</f>
        <v/>
      </c>
    </row>
    <row r="1471" spans="1:1" ht="15">
      <c r="A1471" s="137" t="str">
        <f>D1471&amp;E1471&amp;F1471</f>
        <v/>
      </c>
    </row>
    <row r="1472" spans="1:1" ht="15">
      <c r="A1472" s="137" t="str">
        <f>D1472&amp;E1472&amp;F1472</f>
        <v/>
      </c>
    </row>
    <row r="1473" spans="1:1" ht="15">
      <c r="A1473" s="137" t="str">
        <f>D1473&amp;E1473&amp;F1473</f>
        <v/>
      </c>
    </row>
    <row r="1474" spans="1:1" ht="15">
      <c r="A1474" s="137" t="str">
        <f>D1474&amp;E1474&amp;F1474</f>
        <v/>
      </c>
    </row>
    <row r="1475" spans="1:1" ht="15">
      <c r="A1475" s="137" t="str">
        <f>D1475&amp;E1475&amp;F1475</f>
        <v/>
      </c>
    </row>
    <row r="1476" spans="1:1" ht="15">
      <c r="A1476" s="137" t="str">
        <f>D1476&amp;E1476&amp;F1476</f>
        <v/>
      </c>
    </row>
    <row r="1477" spans="1:1" ht="15">
      <c r="A1477" s="137" t="str">
        <f>D1477&amp;E1477&amp;F1477</f>
        <v/>
      </c>
    </row>
    <row r="1478" spans="1:1" ht="15">
      <c r="A1478" s="137" t="str">
        <f>D1478&amp;E1478&amp;F1478</f>
        <v/>
      </c>
    </row>
    <row r="1479" spans="1:1" ht="15">
      <c r="A1479" s="137" t="str">
        <f>D1479&amp;E1479&amp;F1479</f>
        <v/>
      </c>
    </row>
    <row r="1480" spans="1:1" ht="15">
      <c r="A1480" s="137" t="str">
        <f>D1480&amp;E1480&amp;F1480</f>
        <v/>
      </c>
    </row>
    <row r="1481" spans="1:1" ht="15">
      <c r="A1481" s="137" t="str">
        <f>D1481&amp;E1481&amp;F1481</f>
        <v/>
      </c>
    </row>
    <row r="1482" spans="1:1" ht="15">
      <c r="A1482" s="137" t="str">
        <f>D1482&amp;E1482&amp;F1482</f>
        <v/>
      </c>
    </row>
    <row r="1483" spans="1:1" ht="15">
      <c r="A1483" s="137" t="str">
        <f>D1483&amp;E1483&amp;F1483</f>
        <v/>
      </c>
    </row>
    <row r="1484" spans="1:1" ht="15">
      <c r="A1484" s="137" t="str">
        <f>D1484&amp;E1484&amp;F1484</f>
        <v/>
      </c>
    </row>
    <row r="1485" spans="1:1" ht="15">
      <c r="A1485" s="137" t="str">
        <f>D1485&amp;E1485&amp;F1485</f>
        <v/>
      </c>
    </row>
    <row r="1486" spans="1:1" ht="15">
      <c r="A1486" s="137" t="str">
        <f>D1486&amp;E1486&amp;F1486</f>
        <v/>
      </c>
    </row>
    <row r="1487" spans="1:1" ht="15">
      <c r="A1487" s="137" t="str">
        <f>D1487&amp;E1487&amp;F1487</f>
        <v/>
      </c>
    </row>
    <row r="1488" spans="1:1" ht="15">
      <c r="A1488" s="137" t="str">
        <f>D1488&amp;E1488&amp;F1488</f>
        <v/>
      </c>
    </row>
    <row r="1489" spans="1:1" ht="15">
      <c r="A1489" s="137" t="str">
        <f>D1489&amp;E1489&amp;F1489</f>
        <v/>
      </c>
    </row>
    <row r="1490" spans="1:1" ht="15">
      <c r="A1490" s="137" t="str">
        <f>D1490&amp;E1490&amp;F1490</f>
        <v/>
      </c>
    </row>
    <row r="1491" spans="1:1" ht="15">
      <c r="A1491" s="137" t="str">
        <f>D1491&amp;E1491&amp;F1491</f>
        <v/>
      </c>
    </row>
    <row r="1492" spans="1:1" ht="15">
      <c r="A1492" s="137" t="str">
        <f>D1492&amp;E1492&amp;F1492</f>
        <v/>
      </c>
    </row>
    <row r="1493" spans="1:1" ht="15">
      <c r="A1493" s="137" t="str">
        <f>D1493&amp;E1493&amp;F1493</f>
        <v/>
      </c>
    </row>
    <row r="1494" spans="1:1" ht="15">
      <c r="A1494" s="137" t="str">
        <f>D1494&amp;E1494&amp;F1494</f>
        <v/>
      </c>
    </row>
    <row r="1495" spans="1:1" ht="15">
      <c r="A1495" s="137" t="str">
        <f>D1495&amp;E1495&amp;F1495</f>
        <v/>
      </c>
    </row>
    <row r="1496" spans="1:1" ht="15">
      <c r="A1496" s="137" t="str">
        <f>D1496&amp;E1496&amp;F1496</f>
        <v/>
      </c>
    </row>
    <row r="1497" spans="1:1" ht="15">
      <c r="A1497" s="137" t="str">
        <f>D1497&amp;E1497&amp;F1497</f>
        <v/>
      </c>
    </row>
    <row r="1498" spans="1:1" ht="15">
      <c r="A1498" s="137" t="str">
        <f>D1498&amp;E1498&amp;F1498</f>
        <v/>
      </c>
    </row>
    <row r="1499" spans="1:1" ht="15">
      <c r="A1499" s="137" t="str">
        <f>D1499&amp;E1499&amp;F1499</f>
        <v/>
      </c>
    </row>
    <row r="1500" spans="1:1" ht="15">
      <c r="A1500" s="137" t="str">
        <f>D1500&amp;E1500&amp;F1500</f>
        <v/>
      </c>
    </row>
    <row r="1501" spans="1:1" ht="15">
      <c r="A1501" s="137" t="str">
        <f>D1501&amp;E1501&amp;F1501</f>
        <v/>
      </c>
    </row>
    <row r="1502" spans="1:1" ht="15">
      <c r="A1502" s="137" t="str">
        <f>D1502&amp;E1502&amp;F1502</f>
        <v/>
      </c>
    </row>
    <row r="1503" spans="1:1" ht="15">
      <c r="A1503" s="137" t="str">
        <f>D1503&amp;E1503&amp;F1503</f>
        <v/>
      </c>
    </row>
    <row r="1504" spans="1:1" ht="15">
      <c r="A1504" s="137" t="str">
        <f>D1504&amp;E1504&amp;F1504</f>
        <v/>
      </c>
    </row>
    <row r="1505" spans="1:1" ht="15">
      <c r="A1505" s="137" t="str">
        <f>D1505&amp;E1505&amp;F1505</f>
        <v/>
      </c>
    </row>
    <row r="1506" spans="1:1" ht="15">
      <c r="A1506" s="137" t="str">
        <f>D1506&amp;E1506&amp;F1506</f>
        <v/>
      </c>
    </row>
    <row r="1507" spans="1:1" ht="15">
      <c r="A1507" s="137" t="str">
        <f>D1507&amp;E1507&amp;F1507</f>
        <v/>
      </c>
    </row>
    <row r="1508" spans="1:1" ht="15">
      <c r="A1508" s="137" t="str">
        <f>D1508&amp;E1508&amp;F1508</f>
        <v/>
      </c>
    </row>
    <row r="1509" spans="1:1" ht="15">
      <c r="A1509" s="137" t="str">
        <f>D1509&amp;E1509&amp;F1509</f>
        <v/>
      </c>
    </row>
    <row r="1510" spans="1:1" ht="15">
      <c r="A1510" s="137" t="str">
        <f>D1510&amp;E1510&amp;F1510</f>
        <v/>
      </c>
    </row>
    <row r="1511" spans="1:1" ht="15">
      <c r="A1511" s="137" t="str">
        <f>D1511&amp;E1511&amp;F1511</f>
        <v/>
      </c>
    </row>
    <row r="1512" spans="1:1" ht="15">
      <c r="A1512" s="137" t="str">
        <f>D1512&amp;E1512&amp;F1512</f>
        <v/>
      </c>
    </row>
    <row r="1513" spans="1:1" ht="15">
      <c r="A1513" s="137" t="str">
        <f>D1513&amp;E1513&amp;F1513</f>
        <v/>
      </c>
    </row>
    <row r="1514" spans="1:1" ht="15">
      <c r="A1514" s="137" t="str">
        <f>D1514&amp;E1514&amp;F1514</f>
        <v/>
      </c>
    </row>
    <row r="1515" spans="1:1" ht="15">
      <c r="A1515" s="137" t="str">
        <f>D1515&amp;E1515&amp;F1515</f>
        <v/>
      </c>
    </row>
    <row r="1516" spans="1:1" ht="15">
      <c r="A1516" s="137" t="str">
        <f>D1516&amp;E1516&amp;F1516</f>
        <v/>
      </c>
    </row>
    <row r="1517" spans="1:1" ht="15">
      <c r="A1517" s="137" t="str">
        <f>D1517&amp;E1517&amp;F1517</f>
        <v/>
      </c>
    </row>
    <row r="1518" spans="1:1" ht="15">
      <c r="A1518" s="137" t="str">
        <f>D1518&amp;E1518&amp;F1518</f>
        <v/>
      </c>
    </row>
    <row r="1519" spans="1:1" ht="15">
      <c r="A1519" s="137" t="str">
        <f>D1519&amp;E1519&amp;F1519</f>
        <v/>
      </c>
    </row>
    <row r="1520" spans="1:1" ht="15">
      <c r="A1520" s="137" t="str">
        <f>D1520&amp;E1520&amp;F1520</f>
        <v/>
      </c>
    </row>
    <row r="1521" spans="1:1" ht="15">
      <c r="A1521" s="137" t="str">
        <f>D1521&amp;E1521&amp;F1521</f>
        <v/>
      </c>
    </row>
    <row r="1522" spans="1:1" ht="15">
      <c r="A1522" s="137" t="str">
        <f>D1522&amp;E1522&amp;F1522</f>
        <v/>
      </c>
    </row>
    <row r="1523" spans="1:1" ht="15">
      <c r="A1523" s="137" t="str">
        <f>D1523&amp;E1523&amp;F1523</f>
        <v/>
      </c>
    </row>
    <row r="1524" spans="1:1" ht="15">
      <c r="A1524" s="137" t="str">
        <f>D1524&amp;E1524&amp;F1524</f>
        <v/>
      </c>
    </row>
    <row r="1525" spans="1:1" ht="15">
      <c r="A1525" s="137" t="str">
        <f>D1525&amp;E1525&amp;F1525</f>
        <v/>
      </c>
    </row>
    <row r="1526" spans="1:1" ht="15">
      <c r="A1526" s="137" t="str">
        <f>D1526&amp;E1526&amp;F1526</f>
        <v/>
      </c>
    </row>
    <row r="1527" spans="1:1" ht="15">
      <c r="A1527" s="137" t="str">
        <f>D1527&amp;E1527&amp;F1527</f>
        <v/>
      </c>
    </row>
    <row r="1528" spans="1:1" ht="15">
      <c r="A1528" s="137" t="str">
        <f>D1528&amp;E1528&amp;F1528</f>
        <v/>
      </c>
    </row>
    <row r="1529" spans="1:1" ht="15">
      <c r="A1529" s="137" t="str">
        <f>D1529&amp;E1529&amp;F1529</f>
        <v/>
      </c>
    </row>
    <row r="1530" spans="1:1" ht="15">
      <c r="A1530" s="137" t="str">
        <f>D1530&amp;E1530&amp;F1530</f>
        <v/>
      </c>
    </row>
    <row r="1531" spans="1:1" ht="15">
      <c r="A1531" s="137" t="str">
        <f>D1531&amp;E1531&amp;F1531</f>
        <v/>
      </c>
    </row>
    <row r="1532" spans="1:1" ht="15">
      <c r="A1532" s="137" t="str">
        <f>D1532&amp;E1532&amp;F1532</f>
        <v/>
      </c>
    </row>
    <row r="1533" spans="1:1" ht="15">
      <c r="A1533" s="137" t="str">
        <f>D1533&amp;E1533&amp;F1533</f>
        <v/>
      </c>
    </row>
    <row r="1534" spans="1:1" ht="15">
      <c r="A1534" s="137" t="str">
        <f>D1534&amp;E1534&amp;F1534</f>
        <v/>
      </c>
    </row>
    <row r="1535" spans="1:1" ht="15">
      <c r="A1535" s="137" t="str">
        <f>D1535&amp;E1535&amp;F1535</f>
        <v/>
      </c>
    </row>
    <row r="1536" spans="1:1" ht="15">
      <c r="A1536" s="137" t="str">
        <f>D1536&amp;E1536&amp;F1536</f>
        <v/>
      </c>
    </row>
    <row r="1537" spans="1:1" ht="15">
      <c r="A1537" s="137" t="str">
        <f>D1537&amp;E1537&amp;F1537</f>
        <v/>
      </c>
    </row>
    <row r="1538" spans="1:1" ht="15">
      <c r="A1538" s="137" t="str">
        <f>D1538&amp;E1538&amp;F1538</f>
        <v/>
      </c>
    </row>
    <row r="1539" spans="1:1" ht="15">
      <c r="A1539" s="137" t="str">
        <f>D1539&amp;E1539&amp;F1539</f>
        <v/>
      </c>
    </row>
    <row r="1540" spans="1:1" ht="15">
      <c r="A1540" s="137" t="str">
        <f>D1540&amp;E1540&amp;F1540</f>
        <v/>
      </c>
    </row>
    <row r="1541" spans="1:1" ht="15">
      <c r="A1541" s="137" t="str">
        <f>D1541&amp;E1541&amp;F1541</f>
        <v/>
      </c>
    </row>
    <row r="1542" spans="1:1" ht="15">
      <c r="A1542" s="137" t="str">
        <f>D1542&amp;E1542&amp;F1542</f>
        <v/>
      </c>
    </row>
    <row r="1543" spans="1:1" ht="15">
      <c r="A1543" s="137" t="str">
        <f>D1543&amp;E1543&amp;F1543</f>
        <v/>
      </c>
    </row>
    <row r="1544" spans="1:1" ht="15">
      <c r="A1544" s="137" t="str">
        <f>D1544&amp;E1544&amp;F1544</f>
        <v/>
      </c>
    </row>
    <row r="1545" spans="1:1" ht="15">
      <c r="A1545" s="137" t="str">
        <f>D1545&amp;E1545&amp;F1545</f>
        <v/>
      </c>
    </row>
    <row r="1546" spans="1:1" ht="15">
      <c r="A1546" s="137" t="str">
        <f>D1546&amp;E1546&amp;F1546</f>
        <v/>
      </c>
    </row>
    <row r="1547" spans="1:1" ht="15">
      <c r="A1547" s="137" t="str">
        <f>D1547&amp;E1547&amp;F1547</f>
        <v/>
      </c>
    </row>
    <row r="1548" spans="1:1" ht="15">
      <c r="A1548" s="137" t="str">
        <f>D1548&amp;E1548&amp;F1548</f>
        <v/>
      </c>
    </row>
    <row r="1549" spans="1:1" ht="15">
      <c r="A1549" s="137" t="str">
        <f>D1549&amp;E1549&amp;F1549</f>
        <v/>
      </c>
    </row>
    <row r="1550" spans="1:1" ht="15">
      <c r="A1550" s="137" t="str">
        <f>D1550&amp;E1550&amp;F1550</f>
        <v/>
      </c>
    </row>
    <row r="1551" spans="1:1" ht="15">
      <c r="A1551" s="137" t="str">
        <f>D1551&amp;E1551&amp;F1551</f>
        <v/>
      </c>
    </row>
    <row r="1552" spans="1:1" ht="15">
      <c r="A1552" s="137" t="str">
        <f>D1552&amp;E1552&amp;F1552</f>
        <v/>
      </c>
    </row>
    <row r="1553" spans="1:1" ht="15">
      <c r="A1553" s="137" t="str">
        <f>D1553&amp;E1553&amp;F1553</f>
        <v/>
      </c>
    </row>
    <row r="1554" spans="1:1" ht="15">
      <c r="A1554" s="137" t="str">
        <f>D1554&amp;E1554&amp;F1554</f>
        <v/>
      </c>
    </row>
    <row r="1555" spans="1:1" ht="15">
      <c r="A1555" s="137" t="str">
        <f>D1555&amp;E1555&amp;F1555</f>
        <v/>
      </c>
    </row>
    <row r="1556" spans="1:1" ht="15">
      <c r="A1556" s="137" t="str">
        <f>D1556&amp;E1556&amp;F1556</f>
        <v/>
      </c>
    </row>
    <row r="1557" spans="1:1" ht="15">
      <c r="A1557" s="137" t="str">
        <f>D1557&amp;E1557&amp;F1557</f>
        <v/>
      </c>
    </row>
    <row r="1558" spans="1:1" ht="15">
      <c r="A1558" s="137" t="str">
        <f>D1558&amp;E1558&amp;F1558</f>
        <v/>
      </c>
    </row>
    <row r="1559" spans="1:1" ht="15">
      <c r="A1559" s="137" t="str">
        <f>D1559&amp;E1559&amp;F1559</f>
        <v/>
      </c>
    </row>
    <row r="1560" spans="1:1" ht="15">
      <c r="A1560" s="137" t="str">
        <f>D1560&amp;E1560&amp;F1560</f>
        <v/>
      </c>
    </row>
    <row r="1561" spans="1:1" ht="15">
      <c r="A1561" s="137" t="str">
        <f>D1561&amp;E1561&amp;F1561</f>
        <v/>
      </c>
    </row>
    <row r="1562" spans="1:1" ht="15">
      <c r="A1562" s="137" t="str">
        <f>D1562&amp;E1562&amp;F1562</f>
        <v/>
      </c>
    </row>
    <row r="1563" spans="1:1" ht="15">
      <c r="A1563" s="137" t="str">
        <f>D1563&amp;E1563&amp;F1563</f>
        <v/>
      </c>
    </row>
    <row r="1564" spans="1:1" ht="15">
      <c r="A1564" s="137" t="str">
        <f>D1564&amp;E1564&amp;F1564</f>
        <v/>
      </c>
    </row>
    <row r="1565" spans="1:1" ht="15">
      <c r="A1565" s="137" t="str">
        <f>D1565&amp;E1565&amp;F1565</f>
        <v/>
      </c>
    </row>
    <row r="1566" spans="1:1" ht="15">
      <c r="A1566" s="137" t="str">
        <f>D1566&amp;E1566&amp;F1566</f>
        <v/>
      </c>
    </row>
    <row r="1567" spans="1:1" ht="15">
      <c r="A1567" s="137" t="str">
        <f>D1567&amp;E1567&amp;F1567</f>
        <v/>
      </c>
    </row>
    <row r="1568" spans="1:1" ht="15">
      <c r="A1568" s="137" t="str">
        <f>D1568&amp;E1568&amp;F1568</f>
        <v/>
      </c>
    </row>
    <row r="1569" spans="1:1" ht="15">
      <c r="A1569" s="137" t="str">
        <f>D1569&amp;E1569&amp;F1569</f>
        <v/>
      </c>
    </row>
    <row r="1570" spans="1:1" ht="15">
      <c r="A1570" s="137" t="str">
        <f>D1570&amp;E1570&amp;F1570</f>
        <v/>
      </c>
    </row>
    <row r="1571" spans="1:1" ht="15">
      <c r="A1571" s="137" t="str">
        <f>D1571&amp;E1571&amp;F1571</f>
        <v/>
      </c>
    </row>
    <row r="1572" spans="1:1" ht="15">
      <c r="A1572" s="137" t="str">
        <f>D1572&amp;E1572&amp;F1572</f>
        <v/>
      </c>
    </row>
    <row r="1573" spans="1:1" ht="15">
      <c r="A1573" s="137" t="str">
        <f>D1573&amp;E1573&amp;F1573</f>
        <v/>
      </c>
    </row>
    <row r="1574" spans="1:1" ht="15">
      <c r="A1574" s="137" t="str">
        <f>D1574&amp;E1574&amp;F1574</f>
        <v/>
      </c>
    </row>
    <row r="1575" spans="1:1" ht="15">
      <c r="A1575" s="137" t="str">
        <f>D1575&amp;E1575&amp;F1575</f>
        <v/>
      </c>
    </row>
    <row r="1576" spans="1:1" ht="15">
      <c r="A1576" s="137" t="str">
        <f>D1576&amp;E1576&amp;F1576</f>
        <v/>
      </c>
    </row>
    <row r="1577" spans="1:1" ht="15">
      <c r="A1577" s="137" t="str">
        <f>D1577&amp;E1577&amp;F1577</f>
        <v/>
      </c>
    </row>
    <row r="1578" spans="1:1" ht="15">
      <c r="A1578" s="137" t="str">
        <f>D1578&amp;E1578&amp;F1578</f>
        <v/>
      </c>
    </row>
    <row r="1579" spans="1:1" ht="15">
      <c r="A1579" s="137" t="str">
        <f>D1579&amp;E1579&amp;F1579</f>
        <v/>
      </c>
    </row>
    <row r="1580" spans="1:1" ht="15">
      <c r="A1580" s="137" t="str">
        <f>D1580&amp;E1580&amp;F1580</f>
        <v/>
      </c>
    </row>
    <row r="1581" spans="1:1" ht="15">
      <c r="A1581" s="137" t="str">
        <f>D1581&amp;E1581&amp;F1581</f>
        <v/>
      </c>
    </row>
    <row r="1582" spans="1:1" ht="15">
      <c r="A1582" s="137" t="str">
        <f>D1582&amp;E1582&amp;F1582</f>
        <v/>
      </c>
    </row>
    <row r="1583" spans="1:1" ht="15">
      <c r="A1583" s="137" t="str">
        <f>D1583&amp;E1583&amp;F1583</f>
        <v/>
      </c>
    </row>
    <row r="1584" spans="1:1" ht="15">
      <c r="A1584" s="137" t="str">
        <f>D1584&amp;E1584&amp;F1584</f>
        <v/>
      </c>
    </row>
    <row r="1585" spans="1:1" ht="15">
      <c r="A1585" s="137" t="str">
        <f>D1585&amp;E1585&amp;F1585</f>
        <v/>
      </c>
    </row>
    <row r="1586" spans="1:1" ht="15">
      <c r="A1586" s="137" t="str">
        <f>D1586&amp;E1586&amp;F1586</f>
        <v/>
      </c>
    </row>
    <row r="1587" spans="1:1" ht="15">
      <c r="A1587" s="137" t="str">
        <f>D1587&amp;E1587&amp;F1587</f>
        <v/>
      </c>
    </row>
    <row r="1588" spans="1:1" ht="15">
      <c r="A1588" s="137" t="str">
        <f>D1588&amp;E1588&amp;F1588</f>
        <v/>
      </c>
    </row>
    <row r="1589" spans="1:1" ht="15">
      <c r="A1589" s="137" t="str">
        <f>D1589&amp;E1589&amp;F1589</f>
        <v/>
      </c>
    </row>
    <row r="1590" spans="1:1" ht="15">
      <c r="A1590" s="137" t="str">
        <f>D1590&amp;E1590&amp;F1590</f>
        <v/>
      </c>
    </row>
    <row r="1591" spans="1:1" ht="15">
      <c r="A1591" s="137" t="str">
        <f>D1591&amp;E1591&amp;F1591</f>
        <v/>
      </c>
    </row>
    <row r="1592" spans="1:1" ht="15">
      <c r="A1592" s="137" t="str">
        <f>D1592&amp;E1592&amp;F1592</f>
        <v/>
      </c>
    </row>
    <row r="1593" spans="1:1" ht="15">
      <c r="A1593" s="137" t="str">
        <f>D1593&amp;E1593&amp;F1593</f>
        <v/>
      </c>
    </row>
    <row r="1594" spans="1:1" ht="15">
      <c r="A1594" s="137" t="str">
        <f>D1594&amp;E1594&amp;F1594</f>
        <v/>
      </c>
    </row>
    <row r="1595" spans="1:1" ht="15">
      <c r="A1595" s="137" t="str">
        <f>D1595&amp;E1595&amp;F1595</f>
        <v/>
      </c>
    </row>
    <row r="1596" spans="1:1" ht="15">
      <c r="A1596" s="137" t="str">
        <f>D1596&amp;E1596&amp;F1596</f>
        <v/>
      </c>
    </row>
    <row r="1597" spans="1:1" ht="15">
      <c r="A1597" s="137" t="str">
        <f>D1597&amp;E1597&amp;F1597</f>
        <v/>
      </c>
    </row>
    <row r="1598" spans="1:1" ht="15">
      <c r="A1598" s="137" t="str">
        <f>D1598&amp;E1598&amp;F1598</f>
        <v/>
      </c>
    </row>
    <row r="1599" spans="1:1" ht="15">
      <c r="A1599" s="137" t="str">
        <f>D1599&amp;E1599&amp;F1599</f>
        <v/>
      </c>
    </row>
    <row r="1600" spans="1:1" ht="15">
      <c r="A1600" s="137" t="str">
        <f>D1600&amp;E1600&amp;F1600</f>
        <v/>
      </c>
    </row>
    <row r="1601" spans="1:1" ht="15">
      <c r="A1601" s="137" t="str">
        <f>D1601&amp;E1601&amp;F1601</f>
        <v/>
      </c>
    </row>
    <row r="1602" spans="1:1" ht="15">
      <c r="A1602" s="137" t="str">
        <f>D1602&amp;E1602&amp;F1602</f>
        <v/>
      </c>
    </row>
    <row r="1603" spans="1:1" ht="15">
      <c r="A1603" s="137" t="str">
        <f>D1603&amp;E1603&amp;F1603</f>
        <v/>
      </c>
    </row>
    <row r="1604" spans="1:1" ht="15">
      <c r="A1604" s="137" t="str">
        <f>D1604&amp;E1604&amp;F1604</f>
        <v/>
      </c>
    </row>
    <row r="1605" spans="1:1" ht="15">
      <c r="A1605" s="137" t="str">
        <f>D1605&amp;E1605&amp;F1605</f>
        <v/>
      </c>
    </row>
    <row r="1606" spans="1:1" ht="15">
      <c r="A1606" s="137" t="str">
        <f>D1606&amp;E1606&amp;F1606</f>
        <v/>
      </c>
    </row>
    <row r="1607" spans="1:1" ht="15">
      <c r="A1607" s="137" t="str">
        <f>D1607&amp;E1607&amp;F1607</f>
        <v/>
      </c>
    </row>
    <row r="1608" spans="1:1" ht="15">
      <c r="A1608" s="137" t="str">
        <f>D1608&amp;E1608&amp;F1608</f>
        <v/>
      </c>
    </row>
    <row r="1609" spans="1:1" ht="15">
      <c r="A1609" s="137" t="str">
        <f>D1609&amp;E1609&amp;F1609</f>
        <v/>
      </c>
    </row>
    <row r="1610" spans="1:1" ht="15">
      <c r="A1610" s="137" t="str">
        <f>D1610&amp;E1610&amp;F1610</f>
        <v/>
      </c>
    </row>
    <row r="1611" spans="1:1" ht="15">
      <c r="A1611" s="137" t="str">
        <f>D1611&amp;E1611&amp;F1611</f>
        <v/>
      </c>
    </row>
    <row r="1612" spans="1:1" ht="15">
      <c r="A1612" s="137" t="str">
        <f>D1612&amp;E1612&amp;F1612</f>
        <v/>
      </c>
    </row>
    <row r="1613" spans="1:1" ht="15">
      <c r="A1613" s="137" t="str">
        <f>D1613&amp;E1613&amp;F1613</f>
        <v/>
      </c>
    </row>
    <row r="1614" spans="1:1" ht="15">
      <c r="A1614" s="137" t="str">
        <f>D1614&amp;E1614&amp;F1614</f>
        <v/>
      </c>
    </row>
    <row r="1615" spans="1:1" ht="15">
      <c r="A1615" s="137" t="str">
        <f>D1615&amp;E1615&amp;F1615</f>
        <v/>
      </c>
    </row>
    <row r="1616" spans="1:1" ht="15">
      <c r="A1616" s="137" t="str">
        <f>D1616&amp;E1616&amp;F1616</f>
        <v/>
      </c>
    </row>
    <row r="1617" spans="1:1" ht="15">
      <c r="A1617" s="137" t="str">
        <f>D1617&amp;E1617&amp;F1617</f>
        <v/>
      </c>
    </row>
    <row r="1618" spans="1:1" ht="15">
      <c r="A1618" s="137" t="str">
        <f>D1618&amp;E1618&amp;F1618</f>
        <v/>
      </c>
    </row>
    <row r="1619" spans="1:1" ht="15">
      <c r="A1619" s="137" t="str">
        <f>D1619&amp;E1619&amp;F1619</f>
        <v/>
      </c>
    </row>
    <row r="1620" spans="1:1" ht="15">
      <c r="A1620" s="137" t="str">
        <f t="shared" ref="A1620:A1683" si="40">D1620&amp;E1620&amp;F1620</f>
        <v/>
      </c>
    </row>
    <row r="1621" spans="1:1" ht="15">
      <c r="A1621" s="137" t="str">
        <f t="shared" si="40"/>
        <v/>
      </c>
    </row>
    <row r="1622" spans="1:1" ht="15">
      <c r="A1622" s="137" t="str">
        <f t="shared" si="40"/>
        <v/>
      </c>
    </row>
    <row r="1623" spans="1:1" ht="15">
      <c r="A1623" s="137" t="str">
        <f t="shared" si="40"/>
        <v/>
      </c>
    </row>
    <row r="1624" spans="1:1" ht="15">
      <c r="A1624" s="137" t="str">
        <f t="shared" si="40"/>
        <v/>
      </c>
    </row>
    <row r="1625" spans="1:1" ht="15">
      <c r="A1625" s="137" t="str">
        <f t="shared" si="40"/>
        <v/>
      </c>
    </row>
    <row r="1626" spans="1:1" ht="15">
      <c r="A1626" s="137" t="str">
        <f t="shared" si="40"/>
        <v/>
      </c>
    </row>
    <row r="1627" spans="1:1" ht="15">
      <c r="A1627" s="137" t="str">
        <f t="shared" si="40"/>
        <v/>
      </c>
    </row>
    <row r="1628" spans="1:1" ht="15">
      <c r="A1628" s="137" t="str">
        <f t="shared" si="40"/>
        <v/>
      </c>
    </row>
    <row r="1629" spans="1:1" ht="15">
      <c r="A1629" s="137" t="str">
        <f t="shared" si="40"/>
        <v/>
      </c>
    </row>
    <row r="1630" spans="1:1" ht="15">
      <c r="A1630" s="137" t="str">
        <f t="shared" si="40"/>
        <v/>
      </c>
    </row>
    <row r="1631" spans="1:1" ht="15">
      <c r="A1631" s="137" t="str">
        <f t="shared" si="40"/>
        <v/>
      </c>
    </row>
    <row r="1632" spans="1:1" ht="15">
      <c r="A1632" s="137" t="str">
        <f t="shared" si="40"/>
        <v/>
      </c>
    </row>
    <row r="1633" spans="1:1" ht="15">
      <c r="A1633" s="137" t="str">
        <f t="shared" si="40"/>
        <v/>
      </c>
    </row>
    <row r="1634" spans="1:1" ht="15">
      <c r="A1634" s="137" t="str">
        <f t="shared" si="40"/>
        <v/>
      </c>
    </row>
    <row r="1635" spans="1:1" ht="15">
      <c r="A1635" s="137" t="str">
        <f t="shared" si="40"/>
        <v/>
      </c>
    </row>
    <row r="1636" spans="1:1" ht="15">
      <c r="A1636" s="137" t="str">
        <f t="shared" si="40"/>
        <v/>
      </c>
    </row>
    <row r="1637" spans="1:1" ht="15">
      <c r="A1637" s="137" t="str">
        <f t="shared" si="40"/>
        <v/>
      </c>
    </row>
    <row r="1638" spans="1:1" ht="15">
      <c r="A1638" s="137" t="str">
        <f t="shared" si="40"/>
        <v/>
      </c>
    </row>
    <row r="1639" spans="1:1" ht="15">
      <c r="A1639" s="137" t="str">
        <f t="shared" si="40"/>
        <v/>
      </c>
    </row>
    <row r="1640" spans="1:1" ht="15">
      <c r="A1640" s="137" t="str">
        <f t="shared" si="40"/>
        <v/>
      </c>
    </row>
    <row r="1641" spans="1:1" ht="15">
      <c r="A1641" s="137" t="str">
        <f t="shared" si="40"/>
        <v/>
      </c>
    </row>
    <row r="1642" spans="1:1" ht="15">
      <c r="A1642" s="137" t="str">
        <f t="shared" si="40"/>
        <v/>
      </c>
    </row>
    <row r="1643" spans="1:1" ht="15">
      <c r="A1643" s="137" t="str">
        <f t="shared" si="40"/>
        <v/>
      </c>
    </row>
    <row r="1644" spans="1:1" ht="15">
      <c r="A1644" s="137" t="str">
        <f t="shared" si="40"/>
        <v/>
      </c>
    </row>
    <row r="1645" spans="1:1" ht="15">
      <c r="A1645" s="137" t="str">
        <f t="shared" si="40"/>
        <v/>
      </c>
    </row>
    <row r="1646" spans="1:1" ht="15">
      <c r="A1646" s="137" t="str">
        <f t="shared" si="40"/>
        <v/>
      </c>
    </row>
    <row r="1647" spans="1:1" ht="15">
      <c r="A1647" s="137" t="str">
        <f t="shared" si="40"/>
        <v/>
      </c>
    </row>
    <row r="1648" spans="1:1" ht="15">
      <c r="A1648" s="137" t="str">
        <f t="shared" si="40"/>
        <v/>
      </c>
    </row>
    <row r="1649" spans="1:1" ht="15">
      <c r="A1649" s="137" t="str">
        <f t="shared" si="40"/>
        <v/>
      </c>
    </row>
    <row r="1650" spans="1:1" ht="15">
      <c r="A1650" s="137" t="str">
        <f t="shared" si="40"/>
        <v/>
      </c>
    </row>
    <row r="1651" spans="1:1" ht="15">
      <c r="A1651" s="137" t="str">
        <f t="shared" si="40"/>
        <v/>
      </c>
    </row>
    <row r="1652" spans="1:1" ht="15">
      <c r="A1652" s="137" t="str">
        <f t="shared" si="40"/>
        <v/>
      </c>
    </row>
    <row r="1653" spans="1:1" ht="15">
      <c r="A1653" s="137" t="str">
        <f t="shared" si="40"/>
        <v/>
      </c>
    </row>
    <row r="1654" spans="1:1" ht="15">
      <c r="A1654" s="137" t="str">
        <f t="shared" si="40"/>
        <v/>
      </c>
    </row>
    <row r="1655" spans="1:1" ht="15">
      <c r="A1655" s="137" t="str">
        <f t="shared" si="40"/>
        <v/>
      </c>
    </row>
    <row r="1656" spans="1:1" ht="15">
      <c r="A1656" s="137" t="str">
        <f t="shared" si="40"/>
        <v/>
      </c>
    </row>
    <row r="1657" spans="1:1" ht="15">
      <c r="A1657" s="137" t="str">
        <f t="shared" si="40"/>
        <v/>
      </c>
    </row>
    <row r="1658" spans="1:1" ht="15">
      <c r="A1658" s="137" t="str">
        <f t="shared" si="40"/>
        <v/>
      </c>
    </row>
    <row r="1659" spans="1:1" ht="15">
      <c r="A1659" s="137" t="str">
        <f t="shared" si="40"/>
        <v/>
      </c>
    </row>
    <row r="1660" spans="1:1" ht="15">
      <c r="A1660" s="137" t="str">
        <f t="shared" si="40"/>
        <v/>
      </c>
    </row>
    <row r="1661" spans="1:1" ht="15">
      <c r="A1661" s="137" t="str">
        <f t="shared" si="40"/>
        <v/>
      </c>
    </row>
    <row r="1662" spans="1:1" ht="15">
      <c r="A1662" s="137" t="str">
        <f t="shared" si="40"/>
        <v/>
      </c>
    </row>
    <row r="1663" spans="1:1" ht="15">
      <c r="A1663" s="137" t="str">
        <f t="shared" si="40"/>
        <v/>
      </c>
    </row>
    <row r="1664" spans="1:1" ht="15">
      <c r="A1664" s="137" t="str">
        <f t="shared" si="40"/>
        <v/>
      </c>
    </row>
    <row r="1665" spans="1:1" ht="15">
      <c r="A1665" s="137" t="str">
        <f t="shared" si="40"/>
        <v/>
      </c>
    </row>
    <row r="1666" spans="1:1" ht="15">
      <c r="A1666" s="137" t="str">
        <f t="shared" si="40"/>
        <v/>
      </c>
    </row>
    <row r="1667" spans="1:1" ht="15">
      <c r="A1667" s="137" t="str">
        <f t="shared" si="40"/>
        <v/>
      </c>
    </row>
    <row r="1668" spans="1:1" ht="15">
      <c r="A1668" s="137" t="str">
        <f t="shared" si="40"/>
        <v/>
      </c>
    </row>
    <row r="1669" spans="1:1" ht="15">
      <c r="A1669" s="137" t="str">
        <f t="shared" si="40"/>
        <v/>
      </c>
    </row>
    <row r="1670" spans="1:1" ht="15">
      <c r="A1670" s="137" t="str">
        <f t="shared" si="40"/>
        <v/>
      </c>
    </row>
    <row r="1671" spans="1:1" ht="15">
      <c r="A1671" s="137" t="str">
        <f t="shared" si="40"/>
        <v/>
      </c>
    </row>
    <row r="1672" spans="1:1" ht="15">
      <c r="A1672" s="137" t="str">
        <f t="shared" si="40"/>
        <v/>
      </c>
    </row>
    <row r="1673" spans="1:1" ht="15">
      <c r="A1673" s="137" t="str">
        <f t="shared" si="40"/>
        <v/>
      </c>
    </row>
    <row r="1674" spans="1:1" ht="15">
      <c r="A1674" s="137" t="str">
        <f t="shared" si="40"/>
        <v/>
      </c>
    </row>
    <row r="1675" spans="1:1" ht="15">
      <c r="A1675" s="137" t="str">
        <f t="shared" si="40"/>
        <v/>
      </c>
    </row>
    <row r="1676" spans="1:1" ht="15">
      <c r="A1676" s="137" t="str">
        <f t="shared" si="40"/>
        <v/>
      </c>
    </row>
    <row r="1677" spans="1:1" ht="15">
      <c r="A1677" s="137" t="str">
        <f t="shared" si="40"/>
        <v/>
      </c>
    </row>
    <row r="1678" spans="1:1" ht="15">
      <c r="A1678" s="137" t="str">
        <f t="shared" si="40"/>
        <v/>
      </c>
    </row>
    <row r="1679" spans="1:1" ht="15">
      <c r="A1679" s="137" t="str">
        <f t="shared" si="40"/>
        <v/>
      </c>
    </row>
    <row r="1680" spans="1:1" ht="15">
      <c r="A1680" s="137" t="str">
        <f t="shared" si="40"/>
        <v/>
      </c>
    </row>
    <row r="1681" spans="1:1" ht="15">
      <c r="A1681" s="137" t="str">
        <f t="shared" si="40"/>
        <v/>
      </c>
    </row>
    <row r="1682" spans="1:1" ht="15">
      <c r="A1682" s="137" t="str">
        <f t="shared" si="40"/>
        <v/>
      </c>
    </row>
    <row r="1683" spans="1:1" ht="15">
      <c r="A1683" s="137" t="str">
        <f t="shared" si="40"/>
        <v/>
      </c>
    </row>
    <row r="1684" spans="1:1" ht="15">
      <c r="A1684" s="137" t="str">
        <f t="shared" ref="A1684:A1723" si="41">D1684&amp;E1684&amp;F1684</f>
        <v/>
      </c>
    </row>
    <row r="1685" spans="1:1" ht="15">
      <c r="A1685" s="137" t="str">
        <f t="shared" si="41"/>
        <v/>
      </c>
    </row>
    <row r="1686" spans="1:1" ht="15">
      <c r="A1686" s="137" t="str">
        <f t="shared" si="41"/>
        <v/>
      </c>
    </row>
    <row r="1687" spans="1:1" ht="15">
      <c r="A1687" s="137" t="str">
        <f t="shared" si="41"/>
        <v/>
      </c>
    </row>
    <row r="1688" spans="1:1" ht="15">
      <c r="A1688" s="137" t="str">
        <f t="shared" si="41"/>
        <v/>
      </c>
    </row>
    <row r="1689" spans="1:1" ht="15">
      <c r="A1689" s="137" t="str">
        <f t="shared" si="41"/>
        <v/>
      </c>
    </row>
    <row r="1690" spans="1:1" ht="15">
      <c r="A1690" s="137" t="str">
        <f t="shared" si="41"/>
        <v/>
      </c>
    </row>
    <row r="1691" spans="1:1" ht="15">
      <c r="A1691" s="137" t="str">
        <f t="shared" si="41"/>
        <v/>
      </c>
    </row>
    <row r="1692" spans="1:1" ht="15">
      <c r="A1692" s="137" t="str">
        <f t="shared" si="41"/>
        <v/>
      </c>
    </row>
    <row r="1693" spans="1:1" ht="15">
      <c r="A1693" s="137" t="str">
        <f t="shared" si="41"/>
        <v/>
      </c>
    </row>
    <row r="1694" spans="1:1" ht="15">
      <c r="A1694" s="137" t="str">
        <f t="shared" si="41"/>
        <v/>
      </c>
    </row>
    <row r="1695" spans="1:1" ht="15">
      <c r="A1695" s="137" t="str">
        <f t="shared" si="41"/>
        <v/>
      </c>
    </row>
    <row r="1696" spans="1:1" ht="15">
      <c r="A1696" s="137" t="str">
        <f t="shared" si="41"/>
        <v/>
      </c>
    </row>
    <row r="1697" spans="1:1" ht="15">
      <c r="A1697" s="137" t="str">
        <f t="shared" si="41"/>
        <v/>
      </c>
    </row>
    <row r="1698" spans="1:1" ht="15">
      <c r="A1698" s="137" t="str">
        <f t="shared" si="41"/>
        <v/>
      </c>
    </row>
    <row r="1699" spans="1:1" ht="15">
      <c r="A1699" s="137" t="str">
        <f t="shared" si="41"/>
        <v/>
      </c>
    </row>
    <row r="1700" spans="1:1" ht="15">
      <c r="A1700" s="137" t="str">
        <f t="shared" si="41"/>
        <v/>
      </c>
    </row>
    <row r="1701" spans="1:1" ht="15">
      <c r="A1701" s="137" t="str">
        <f t="shared" si="41"/>
        <v/>
      </c>
    </row>
    <row r="1702" spans="1:1" ht="15">
      <c r="A1702" s="137" t="str">
        <f t="shared" si="41"/>
        <v/>
      </c>
    </row>
    <row r="1703" spans="1:1" ht="15">
      <c r="A1703" s="137" t="str">
        <f t="shared" si="41"/>
        <v/>
      </c>
    </row>
    <row r="1704" spans="1:1" ht="15">
      <c r="A1704" s="137" t="str">
        <f t="shared" si="41"/>
        <v/>
      </c>
    </row>
    <row r="1705" spans="1:1" ht="15">
      <c r="A1705" s="137" t="str">
        <f t="shared" si="41"/>
        <v/>
      </c>
    </row>
    <row r="1706" spans="1:1" ht="15">
      <c r="A1706" s="137" t="str">
        <f t="shared" si="41"/>
        <v/>
      </c>
    </row>
    <row r="1707" spans="1:1" ht="15">
      <c r="A1707" s="137" t="str">
        <f t="shared" si="41"/>
        <v/>
      </c>
    </row>
    <row r="1708" spans="1:1" ht="15">
      <c r="A1708" s="137" t="str">
        <f t="shared" si="41"/>
        <v/>
      </c>
    </row>
    <row r="1709" spans="1:1" ht="15">
      <c r="A1709" s="137" t="str">
        <f t="shared" si="41"/>
        <v/>
      </c>
    </row>
    <row r="1710" spans="1:1" ht="15">
      <c r="A1710" s="137" t="str">
        <f t="shared" si="41"/>
        <v/>
      </c>
    </row>
    <row r="1711" spans="1:1" ht="15">
      <c r="A1711" s="137" t="str">
        <f t="shared" si="41"/>
        <v/>
      </c>
    </row>
    <row r="1712" spans="1:1" ht="15">
      <c r="A1712" s="137" t="str">
        <f t="shared" si="41"/>
        <v/>
      </c>
    </row>
    <row r="1713" spans="1:1" ht="15">
      <c r="A1713" s="137" t="str">
        <f t="shared" si="41"/>
        <v/>
      </c>
    </row>
    <row r="1714" spans="1:1" ht="15">
      <c r="A1714" s="137" t="str">
        <f t="shared" si="41"/>
        <v/>
      </c>
    </row>
    <row r="1715" spans="1:1" ht="15">
      <c r="A1715" s="137" t="str">
        <f t="shared" si="41"/>
        <v/>
      </c>
    </row>
    <row r="1716" spans="1:1" ht="15">
      <c r="A1716" s="137" t="str">
        <f t="shared" si="41"/>
        <v/>
      </c>
    </row>
    <row r="1717" spans="1:1" ht="15">
      <c r="A1717" s="137" t="str">
        <f t="shared" si="41"/>
        <v/>
      </c>
    </row>
    <row r="1718" spans="1:1" ht="15">
      <c r="A1718" s="137" t="str">
        <f t="shared" si="41"/>
        <v/>
      </c>
    </row>
    <row r="1719" spans="1:1" ht="15">
      <c r="A1719" s="137" t="str">
        <f t="shared" si="41"/>
        <v/>
      </c>
    </row>
    <row r="1720" spans="1:1" ht="15">
      <c r="A1720" s="137" t="str">
        <f t="shared" si="41"/>
        <v/>
      </c>
    </row>
    <row r="1721" spans="1:1" ht="15">
      <c r="A1721" s="137" t="str">
        <f t="shared" si="41"/>
        <v/>
      </c>
    </row>
    <row r="1722" spans="1:1" ht="15">
      <c r="A1722" s="137" t="str">
        <f t="shared" si="41"/>
        <v/>
      </c>
    </row>
    <row r="1723" spans="1:1" ht="15">
      <c r="A1723" s="137" t="str">
        <f t="shared" si="41"/>
        <v/>
      </c>
    </row>
    <row r="1724" spans="1:1" ht="15">
      <c r="A1724" s="137" t="str">
        <f>D1724&amp;E1724&amp;F1724</f>
        <v/>
      </c>
    </row>
    <row r="1725" spans="1:1" ht="15">
      <c r="A1725" s="137" t="str">
        <f>D1725&amp;E1725&amp;F1725</f>
        <v/>
      </c>
    </row>
    <row r="1726" spans="1:1" ht="15">
      <c r="A1726" s="137" t="str">
        <f>D1726&amp;E1726&amp;F1726</f>
        <v/>
      </c>
    </row>
    <row r="1727" spans="1:1" ht="15">
      <c r="A1727" s="137" t="str">
        <f>D1727&amp;E1727&amp;F1727</f>
        <v/>
      </c>
    </row>
    <row r="1728" spans="1:1" ht="15">
      <c r="A1728" s="137" t="str">
        <f>D1728&amp;E1728&amp;F1728</f>
        <v/>
      </c>
    </row>
    <row r="1729" spans="1:1" ht="15">
      <c r="A1729" s="137" t="str">
        <f>D1729&amp;E1729&amp;F1729</f>
        <v/>
      </c>
    </row>
    <row r="1730" spans="1:1" ht="15">
      <c r="A1730" s="137" t="str">
        <f>D1730&amp;E1730&amp;F1730</f>
        <v/>
      </c>
    </row>
    <row r="1731" spans="1:1" ht="15">
      <c r="A1731" s="137" t="str">
        <f>D1731&amp;E1731&amp;F1731</f>
        <v/>
      </c>
    </row>
    <row r="1732" spans="1:1" ht="15">
      <c r="A1732" s="137" t="str">
        <f>D1732&amp;E1732&amp;F1732</f>
        <v/>
      </c>
    </row>
    <row r="1733" spans="1:1" ht="15">
      <c r="A1733" s="137" t="str">
        <f>D1733&amp;E1733&amp;F1733</f>
        <v/>
      </c>
    </row>
    <row r="1734" spans="1:1" ht="15">
      <c r="A1734" s="54" t="str">
        <f t="shared" ref="A1734:A1739" si="42">D1734&amp;E1734&amp;F1734</f>
        <v/>
      </c>
    </row>
    <row r="1735" spans="1:1" ht="15">
      <c r="A1735" s="54" t="str">
        <f t="shared" si="42"/>
        <v/>
      </c>
    </row>
    <row r="1736" spans="1:1" ht="15">
      <c r="A1736" s="54" t="str">
        <f t="shared" si="42"/>
        <v/>
      </c>
    </row>
    <row r="1737" spans="1:1" ht="15">
      <c r="A1737" s="54" t="str">
        <f t="shared" si="42"/>
        <v/>
      </c>
    </row>
    <row r="1738" spans="1:1" ht="15">
      <c r="A1738" s="54" t="str">
        <f t="shared" si="42"/>
        <v/>
      </c>
    </row>
    <row r="1739" spans="1:1" ht="15">
      <c r="A1739" s="54" t="str">
        <f t="shared" si="42"/>
        <v/>
      </c>
    </row>
    <row r="1740" spans="1:1" ht="15"/>
  </sheetData>
  <protectedRanges>
    <protectedRange sqref="D360:F360 D341:F341" name="Rango1"/>
    <protectedRange sqref="D532:F532" name="Rango1_1"/>
    <protectedRange sqref="E543" name="Rango1_1_1"/>
    <protectedRange sqref="D547:F547" name="Rango1_2"/>
    <protectedRange sqref="D665:F665" name="Rango1_3"/>
    <protectedRange sqref="D491:F491" name="Rango1_4"/>
    <protectedRange sqref="F639" name="Rango1_5"/>
    <protectedRange sqref="D897:F897" name="Rango1_6"/>
    <protectedRange sqref="D908:F910" name="Rango1_7"/>
  </protectedRanges>
  <autoFilter ref="B2:N1739" xr:uid="{1E23ED3C-1967-42BB-ABA1-23A98E4AEDDB}"/>
  <dataValidations count="4">
    <dataValidation type="list" allowBlank="1" showInputMessage="1" showErrorMessage="1" sqref="F232:F262 I261 F3:F58 F67:F229 F795:F837 F65 F264:F279 F283:F411 F413:F488 F560:F793 F490:F558 F839:F919 F921:F1031" xr:uid="{3A7D573F-0A96-42F5-9FF1-873E9FC5FD30}">
      <formula1>CONCEPTO</formula1>
    </dataValidation>
    <dataValidation type="list" allowBlank="1" showInputMessage="1" showErrorMessage="1" sqref="H92:H93 E3:E88 E91:E229 E264:E279 E259:E262 E233:E249 E283:E336 E338:E411 E413:E558 E560:E793 E795:E837 E839:E919 E921:E1035 E1037:E1045 E1055 E1057" xr:uid="{87CA3B18-FFC4-4A0C-9D2A-A3E87D4FE8EE}">
      <formula1>PRESUPUESTO</formula1>
    </dataValidation>
    <dataValidation type="list" allowBlank="1" showInputMessage="1" showErrorMessage="1" sqref="D3:D229 H261 F66 D233:D262 D264:D279 F59:F64 D283:D336 D338:D411 D413:D488 D490:D558 D560:D793 D795:D837 D839:D919 D921:D1031 D1055 D1057" xr:uid="{5CA0133C-2365-4EB0-A5B1-5FA119D0C6BE}">
      <formula1>MARCA</formula1>
    </dataValidation>
    <dataValidation type="list" allowBlank="1" showInputMessage="1" showErrorMessage="1" sqref="G5:G262 H261 G264:G411 G413:G1028" xr:uid="{C534CC9B-92B1-4163-8894-0C635D4BFDB4}">
      <formula1>APARTADO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EFAC97D-54BD-4E30-AB2E-8AB87C3FD401}">
          <x14:formula1>
            <xm:f>CATALOGOS!$A$2:$A$12</xm:f>
          </x14:formula1>
          <xm:sqref>D1064:D1094</xm:sqref>
        </x14:dataValidation>
        <x14:dataValidation type="list" allowBlank="1" showInputMessage="1" showErrorMessage="1" xr:uid="{B0CAA26D-F511-4639-9772-C074B44EFC8C}">
          <x14:formula1>
            <xm:f>CATALOGOS!$C$2:$C$48</xm:f>
          </x14:formula1>
          <xm:sqref>E1064:E1088</xm:sqref>
        </x14:dataValidation>
        <x14:dataValidation type="list" allowBlank="1" showInputMessage="1" showErrorMessage="1" xr:uid="{71BC55CC-4221-4EBA-9AC8-16BE13A9DE00}">
          <x14:formula1>
            <xm:f>CATALOGOS!$E$2:$E$138</xm:f>
          </x14:formula1>
          <xm:sqref>F1064:F1113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DA6C5-224D-48DC-BF6E-C63C897A27F6}">
  <sheetPr filterMode="1">
    <tabColor theme="1" tint="0.249977111117893"/>
  </sheetPr>
  <dimension ref="A1:N1399"/>
  <sheetViews>
    <sheetView tabSelected="1" workbookViewId="0">
      <pane xSplit="3" ySplit="2" topLeftCell="D3" activePane="bottomRight" state="frozen"/>
      <selection pane="bottomRight" activeCell="H8" sqref="H8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13.7109375" style="28" hidden="1" customWidth="1" outlineLevel="1"/>
    <col min="2" max="2" width="5" customWidth="1" collapsed="1"/>
    <col min="3" max="3" width="17.140625" customWidth="1"/>
    <col min="5" max="5" width="27.5703125" customWidth="1"/>
    <col min="6" max="6" width="16.5703125" customWidth="1"/>
    <col min="7" max="7" width="13.7109375" customWidth="1"/>
    <col min="8" max="8" width="56.85546875" customWidth="1"/>
    <col min="9" max="9" width="15.42578125" style="3" customWidth="1"/>
    <col min="10" max="10" width="14.7109375" style="3" customWidth="1"/>
    <col min="11" max="11" width="17.28515625" style="160" customWidth="1"/>
  </cols>
  <sheetData>
    <row r="1" spans="1:14" ht="26.25">
      <c r="C1" s="57" t="s">
        <v>4051</v>
      </c>
      <c r="I1" s="4">
        <f>SUM(I3:I969)</f>
        <v>24483522.440000001</v>
      </c>
      <c r="J1" s="4">
        <f>SUM(J3:J969)</f>
        <v>24571261.634999972</v>
      </c>
    </row>
    <row r="2" spans="1:14" s="52" customFormat="1" ht="15">
      <c r="A2" s="49" t="s">
        <v>203</v>
      </c>
      <c r="B2" s="49" t="s">
        <v>204</v>
      </c>
      <c r="C2" s="49" t="s">
        <v>205</v>
      </c>
      <c r="D2" s="53" t="s">
        <v>16</v>
      </c>
      <c r="E2" s="53" t="s">
        <v>17</v>
      </c>
      <c r="F2" s="53" t="s">
        <v>18</v>
      </c>
      <c r="G2" s="55" t="s">
        <v>207</v>
      </c>
      <c r="H2" s="50" t="s">
        <v>208</v>
      </c>
      <c r="I2" s="51" t="s">
        <v>209</v>
      </c>
      <c r="J2" s="51" t="s">
        <v>210</v>
      </c>
      <c r="K2" s="486" t="s">
        <v>211</v>
      </c>
      <c r="L2" s="51"/>
    </row>
    <row r="3" spans="1:14" ht="15" hidden="1">
      <c r="A3" s="54" t="str">
        <f>D3&amp;E3&amp;F3&amp;G3</f>
        <v/>
      </c>
      <c r="B3" t="s">
        <v>3451</v>
      </c>
      <c r="C3" s="1">
        <v>45692</v>
      </c>
      <c r="D3" s="71"/>
      <c r="E3" s="71"/>
      <c r="F3" s="143"/>
      <c r="G3" s="146"/>
      <c r="H3" s="146" t="s">
        <v>4052</v>
      </c>
      <c r="I3" s="160">
        <v>-3484.1800000001676</v>
      </c>
      <c r="J3" s="158"/>
      <c r="K3" s="160">
        <f>I3-J3</f>
        <v>-3484.1800000001676</v>
      </c>
      <c r="N3" s="187"/>
    </row>
    <row r="4" spans="1:14" ht="15" hidden="1">
      <c r="A4" s="54" t="str">
        <f>D4&amp;E4&amp;F4&amp;G4</f>
        <v/>
      </c>
      <c r="B4" t="s">
        <v>3451</v>
      </c>
      <c r="C4" s="1">
        <v>45692</v>
      </c>
      <c r="F4" s="213"/>
      <c r="G4" s="213"/>
      <c r="H4" t="s">
        <v>3472</v>
      </c>
      <c r="I4" s="3">
        <v>250000</v>
      </c>
      <c r="K4" s="72">
        <f>K3+I4-J4</f>
        <v>246515.81999999983</v>
      </c>
    </row>
    <row r="5" spans="1:14" ht="15" hidden="1">
      <c r="A5" s="54" t="str">
        <f>D5&amp;E5&amp;F5</f>
        <v>FINANZASRENTASA10</v>
      </c>
      <c r="B5" t="s">
        <v>3451</v>
      </c>
      <c r="C5" s="1">
        <v>45693</v>
      </c>
      <c r="D5" t="s">
        <v>23</v>
      </c>
      <c r="E5" t="s">
        <v>169</v>
      </c>
      <c r="F5" s="213" t="s">
        <v>96</v>
      </c>
      <c r="G5" s="213"/>
      <c r="H5" t="s">
        <v>4053</v>
      </c>
      <c r="J5" s="3">
        <v>31000</v>
      </c>
      <c r="K5" s="72">
        <f t="shared" ref="K5:K52" si="0">K4+I5-J5</f>
        <v>215515.81999999983</v>
      </c>
    </row>
    <row r="6" spans="1:14" ht="15" hidden="1">
      <c r="A6" s="54" t="str">
        <f>D6&amp;E6&amp;F6</f>
        <v>FINANZASRENTASE2</v>
      </c>
      <c r="B6" t="s">
        <v>3451</v>
      </c>
      <c r="C6" s="1">
        <v>45693</v>
      </c>
      <c r="D6" t="s">
        <v>23</v>
      </c>
      <c r="E6" t="s">
        <v>169</v>
      </c>
      <c r="F6" s="213" t="s">
        <v>108</v>
      </c>
      <c r="G6" s="213"/>
      <c r="H6" t="s">
        <v>4054</v>
      </c>
      <c r="J6" s="3">
        <v>138305.91</v>
      </c>
      <c r="K6" s="72">
        <f t="shared" si="0"/>
        <v>77209.909999999829</v>
      </c>
    </row>
    <row r="7" spans="1:14" ht="15" hidden="1">
      <c r="A7" s="54" t="str">
        <f>D7&amp;E7&amp;F7</f>
        <v>FINANZASRENTASE1</v>
      </c>
      <c r="B7" t="s">
        <v>3451</v>
      </c>
      <c r="C7" s="1">
        <v>45695</v>
      </c>
      <c r="D7" t="s">
        <v>23</v>
      </c>
      <c r="E7" t="s">
        <v>169</v>
      </c>
      <c r="F7" s="213" t="s">
        <v>107</v>
      </c>
      <c r="G7" s="213"/>
      <c r="H7" t="s">
        <v>4055</v>
      </c>
      <c r="J7" s="3">
        <v>52914.79</v>
      </c>
      <c r="K7" s="72">
        <f t="shared" si="0"/>
        <v>24295.119999999828</v>
      </c>
    </row>
    <row r="8" spans="1:14" ht="15" hidden="1">
      <c r="A8" s="54" t="str">
        <f>D8&amp;E8&amp;F8</f>
        <v>FINANZASRENTASE6</v>
      </c>
      <c r="B8" t="s">
        <v>3451</v>
      </c>
      <c r="C8" s="1">
        <v>45695</v>
      </c>
      <c r="D8" t="s">
        <v>23</v>
      </c>
      <c r="E8" t="s">
        <v>169</v>
      </c>
      <c r="F8" s="213" t="s">
        <v>112</v>
      </c>
      <c r="G8" s="213"/>
      <c r="H8" t="s">
        <v>4056</v>
      </c>
      <c r="J8" s="3">
        <v>6500</v>
      </c>
      <c r="K8" s="72">
        <f t="shared" si="0"/>
        <v>17795.119999999828</v>
      </c>
    </row>
    <row r="9" spans="1:14" ht="15" hidden="1">
      <c r="A9" s="54" t="str">
        <f>D9&amp;E9&amp;F9</f>
        <v/>
      </c>
      <c r="B9" t="s">
        <v>3451</v>
      </c>
      <c r="C9" s="1">
        <v>45699</v>
      </c>
      <c r="F9" s="213"/>
      <c r="G9" s="213"/>
      <c r="H9" t="s">
        <v>3472</v>
      </c>
      <c r="I9" s="3">
        <v>207000</v>
      </c>
      <c r="K9" s="72">
        <f t="shared" si="0"/>
        <v>224795.11999999982</v>
      </c>
    </row>
    <row r="10" spans="1:14" ht="15" hidden="1">
      <c r="A10" s="54" t="str">
        <f>D10&amp;E10&amp;F10</f>
        <v>FINANZASRENTASA12</v>
      </c>
      <c r="B10" t="s">
        <v>3451</v>
      </c>
      <c r="C10" s="1">
        <v>45699</v>
      </c>
      <c r="D10" t="s">
        <v>23</v>
      </c>
      <c r="E10" t="s">
        <v>169</v>
      </c>
      <c r="F10" s="213" t="s">
        <v>98</v>
      </c>
      <c r="G10" s="213"/>
      <c r="H10" t="s">
        <v>4057</v>
      </c>
      <c r="J10" s="3">
        <v>136560.29</v>
      </c>
      <c r="K10" s="72">
        <f t="shared" si="0"/>
        <v>88234.829999999813</v>
      </c>
    </row>
    <row r="11" spans="1:14" ht="15" hidden="1">
      <c r="A11" s="54" t="str">
        <f>D11&amp;E11&amp;F11</f>
        <v>FINANZASRENTASA8</v>
      </c>
      <c r="B11" t="s">
        <v>3451</v>
      </c>
      <c r="C11" s="1">
        <v>45699</v>
      </c>
      <c r="D11" t="s">
        <v>23</v>
      </c>
      <c r="E11" t="s">
        <v>169</v>
      </c>
      <c r="F11" s="213" t="s">
        <v>94</v>
      </c>
      <c r="G11" s="213"/>
      <c r="H11" t="s">
        <v>4058</v>
      </c>
      <c r="J11" s="3">
        <v>88160</v>
      </c>
      <c r="K11" s="72">
        <f t="shared" si="0"/>
        <v>74.829999999812571</v>
      </c>
    </row>
    <row r="12" spans="1:14" ht="15" hidden="1">
      <c r="A12" s="54" t="str">
        <f>D12&amp;E12&amp;F12</f>
        <v/>
      </c>
      <c r="B12" t="s">
        <v>3451</v>
      </c>
      <c r="C12" s="1">
        <v>45702</v>
      </c>
      <c r="F12" s="213"/>
      <c r="G12" s="213"/>
      <c r="H12" t="s">
        <v>3472</v>
      </c>
      <c r="I12" s="3">
        <v>136000</v>
      </c>
      <c r="K12" s="72">
        <f t="shared" si="0"/>
        <v>136074.82999999981</v>
      </c>
    </row>
    <row r="13" spans="1:14" ht="15" hidden="1">
      <c r="A13" s="54" t="str">
        <f>D13&amp;E13&amp;F13</f>
        <v>FINANZASRENTASE8</v>
      </c>
      <c r="B13" t="s">
        <v>3451</v>
      </c>
      <c r="C13" s="1">
        <v>45702</v>
      </c>
      <c r="D13" t="s">
        <v>23</v>
      </c>
      <c r="E13" t="s">
        <v>169</v>
      </c>
      <c r="F13" s="213" t="s">
        <v>114</v>
      </c>
      <c r="G13" s="213"/>
      <c r="H13" t="s">
        <v>4059</v>
      </c>
      <c r="J13" s="3">
        <v>6329.6</v>
      </c>
      <c r="K13" s="72">
        <f t="shared" si="0"/>
        <v>129745.22999999981</v>
      </c>
    </row>
    <row r="14" spans="1:14" ht="15" hidden="1">
      <c r="A14" s="54" t="str">
        <f>D14&amp;E14&amp;F14</f>
        <v>FINANZASRENTASE8</v>
      </c>
      <c r="B14" t="s">
        <v>3451</v>
      </c>
      <c r="C14" s="1">
        <v>45702</v>
      </c>
      <c r="D14" t="s">
        <v>23</v>
      </c>
      <c r="E14" t="s">
        <v>169</v>
      </c>
      <c r="F14" s="213" t="s">
        <v>114</v>
      </c>
      <c r="G14" s="213"/>
      <c r="H14" t="s">
        <v>4060</v>
      </c>
      <c r="J14" s="3">
        <v>42197.33</v>
      </c>
      <c r="K14" s="72">
        <f t="shared" si="0"/>
        <v>87547.899999999805</v>
      </c>
    </row>
    <row r="15" spans="1:14" ht="15" hidden="1">
      <c r="A15" s="54" t="str">
        <f>D15&amp;E15&amp;F15</f>
        <v/>
      </c>
      <c r="B15" t="s">
        <v>3451</v>
      </c>
      <c r="C15" s="1">
        <v>45706</v>
      </c>
      <c r="F15" s="213"/>
      <c r="G15" s="213"/>
      <c r="H15" t="s">
        <v>3472</v>
      </c>
      <c r="I15" s="3">
        <v>200000</v>
      </c>
      <c r="K15" s="72">
        <f t="shared" si="0"/>
        <v>287547.89999999979</v>
      </c>
    </row>
    <row r="16" spans="1:14" ht="15" hidden="1">
      <c r="A16" s="54" t="str">
        <f>D16&amp;E16&amp;F16</f>
        <v>FINANZASRENTASA11</v>
      </c>
      <c r="B16" t="s">
        <v>3451</v>
      </c>
      <c r="C16" s="1">
        <v>45706</v>
      </c>
      <c r="D16" t="s">
        <v>23</v>
      </c>
      <c r="E16" t="s">
        <v>169</v>
      </c>
      <c r="F16" s="213" t="s">
        <v>97</v>
      </c>
      <c r="G16" s="213"/>
      <c r="H16" t="s">
        <v>4061</v>
      </c>
      <c r="J16" s="3">
        <v>23746.7</v>
      </c>
      <c r="K16" s="72">
        <f t="shared" si="0"/>
        <v>263801.19999999978</v>
      </c>
    </row>
    <row r="17" spans="1:11" ht="15" hidden="1">
      <c r="A17" s="54" t="str">
        <f>D17&amp;E17&amp;F17</f>
        <v>FINANZASRENTASA14</v>
      </c>
      <c r="B17" t="s">
        <v>3451</v>
      </c>
      <c r="C17" s="1">
        <v>45706</v>
      </c>
      <c r="D17" t="s">
        <v>23</v>
      </c>
      <c r="E17" t="s">
        <v>169</v>
      </c>
      <c r="F17" s="213" t="s">
        <v>99</v>
      </c>
      <c r="G17" s="213"/>
      <c r="H17" t="s">
        <v>4062</v>
      </c>
      <c r="J17" s="3">
        <v>54288</v>
      </c>
      <c r="K17" s="72">
        <f t="shared" si="0"/>
        <v>209513.19999999978</v>
      </c>
    </row>
    <row r="18" spans="1:11" ht="15" hidden="1">
      <c r="A18" s="54" t="str">
        <f>D18&amp;E18&amp;F18</f>
        <v>FINANZASRENTASA18</v>
      </c>
      <c r="B18" t="s">
        <v>3451</v>
      </c>
      <c r="C18" s="1">
        <v>45706</v>
      </c>
      <c r="D18" t="s">
        <v>23</v>
      </c>
      <c r="E18" t="s">
        <v>169</v>
      </c>
      <c r="F18" s="213" t="s">
        <v>103</v>
      </c>
      <c r="G18" s="213"/>
      <c r="H18" t="s">
        <v>4063</v>
      </c>
      <c r="J18" s="3">
        <v>2042.32</v>
      </c>
      <c r="K18" s="72">
        <f t="shared" si="0"/>
        <v>207470.87999999977</v>
      </c>
    </row>
    <row r="19" spans="1:11" ht="15" hidden="1">
      <c r="A19" s="54" t="str">
        <f>D19&amp;E19&amp;F19</f>
        <v>FINANZASRENTASA23</v>
      </c>
      <c r="B19" t="s">
        <v>3451</v>
      </c>
      <c r="C19" s="1">
        <v>45706</v>
      </c>
      <c r="D19" t="s">
        <v>23</v>
      </c>
      <c r="E19" t="s">
        <v>169</v>
      </c>
      <c r="F19" s="213" t="s">
        <v>105</v>
      </c>
      <c r="G19" s="213"/>
      <c r="H19" t="s">
        <v>4064</v>
      </c>
      <c r="J19" s="3">
        <v>9120.3799999999992</v>
      </c>
      <c r="K19" s="72">
        <f t="shared" si="0"/>
        <v>198350.49999999977</v>
      </c>
    </row>
    <row r="20" spans="1:11" ht="15" hidden="1">
      <c r="A20" s="54" t="str">
        <f>D20&amp;E20&amp;F20</f>
        <v>FINANZASRENTASE6</v>
      </c>
      <c r="B20" t="s">
        <v>3451</v>
      </c>
      <c r="C20" s="1">
        <v>45706</v>
      </c>
      <c r="D20" t="s">
        <v>23</v>
      </c>
      <c r="E20" t="s">
        <v>169</v>
      </c>
      <c r="F20" s="213" t="s">
        <v>112</v>
      </c>
      <c r="G20" s="213"/>
      <c r="H20" t="s">
        <v>4065</v>
      </c>
      <c r="J20" s="3">
        <v>35388</v>
      </c>
      <c r="K20" s="72">
        <f t="shared" si="0"/>
        <v>162962.49999999977</v>
      </c>
    </row>
    <row r="21" spans="1:11" ht="15" hidden="1">
      <c r="A21" s="54" t="str">
        <f>D21&amp;E21&amp;F21</f>
        <v>FINANZASRENTASE8</v>
      </c>
      <c r="B21" t="s">
        <v>3451</v>
      </c>
      <c r="C21" s="1">
        <v>45706</v>
      </c>
      <c r="D21" t="s">
        <v>23</v>
      </c>
      <c r="E21" t="s">
        <v>169</v>
      </c>
      <c r="F21" s="213" t="s">
        <v>114</v>
      </c>
      <c r="G21" s="213"/>
      <c r="H21" t="s">
        <v>4066</v>
      </c>
      <c r="J21" s="3">
        <v>37619.519999999997</v>
      </c>
      <c r="K21" s="72">
        <f t="shared" si="0"/>
        <v>125342.97999999978</v>
      </c>
    </row>
    <row r="22" spans="1:11" ht="15" hidden="1">
      <c r="A22" s="54" t="str">
        <f>D22&amp;E22&amp;F22</f>
        <v>FINANZASRENTASA10</v>
      </c>
      <c r="B22" t="s">
        <v>3451</v>
      </c>
      <c r="C22" s="1">
        <v>45709</v>
      </c>
      <c r="D22" t="s">
        <v>23</v>
      </c>
      <c r="E22" t="s">
        <v>169</v>
      </c>
      <c r="F22" s="213" t="s">
        <v>96</v>
      </c>
      <c r="G22" s="213"/>
      <c r="H22" t="s">
        <v>4067</v>
      </c>
      <c r="J22" s="3">
        <v>31225</v>
      </c>
      <c r="K22" s="72">
        <f t="shared" si="0"/>
        <v>94117.979999999778</v>
      </c>
    </row>
    <row r="23" spans="1:11" ht="15" hidden="1">
      <c r="A23" s="54" t="str">
        <f>D23&amp;E23&amp;F23</f>
        <v>FINANZASRENTASA24</v>
      </c>
      <c r="B23" t="s">
        <v>3451</v>
      </c>
      <c r="C23" s="1">
        <v>45709</v>
      </c>
      <c r="D23" t="s">
        <v>23</v>
      </c>
      <c r="E23" t="s">
        <v>169</v>
      </c>
      <c r="F23" s="213" t="s">
        <v>106</v>
      </c>
      <c r="G23" s="213"/>
      <c r="H23" t="s">
        <v>4068</v>
      </c>
      <c r="J23" s="3">
        <v>24000</v>
      </c>
      <c r="K23" s="72">
        <f t="shared" si="0"/>
        <v>70117.979999999778</v>
      </c>
    </row>
    <row r="24" spans="1:11" ht="15" hidden="1">
      <c r="A24" s="54" t="str">
        <f>D24&amp;E24&amp;F24</f>
        <v/>
      </c>
      <c r="B24" t="s">
        <v>3451</v>
      </c>
      <c r="C24" s="1">
        <v>45713</v>
      </c>
      <c r="F24" s="213"/>
      <c r="G24" s="213"/>
      <c r="H24" t="s">
        <v>3472</v>
      </c>
      <c r="I24" s="3">
        <v>200000</v>
      </c>
      <c r="K24" s="72">
        <f t="shared" si="0"/>
        <v>270117.97999999975</v>
      </c>
    </row>
    <row r="25" spans="1:11" ht="15" hidden="1">
      <c r="A25" s="54" t="str">
        <f>D25&amp;E25&amp;F25</f>
        <v/>
      </c>
      <c r="B25" t="s">
        <v>3451</v>
      </c>
      <c r="C25" s="1">
        <v>45715</v>
      </c>
      <c r="F25" s="213"/>
      <c r="G25" s="213"/>
      <c r="H25" t="s">
        <v>3472</v>
      </c>
      <c r="I25" s="3">
        <v>400000</v>
      </c>
      <c r="K25" s="72">
        <f t="shared" si="0"/>
        <v>670117.97999999975</v>
      </c>
    </row>
    <row r="26" spans="1:11" ht="15" hidden="1">
      <c r="A26" s="54" t="str">
        <f>D26&amp;E26&amp;F26</f>
        <v>FINANZASRENTASA24</v>
      </c>
      <c r="B26" t="s">
        <v>3451</v>
      </c>
      <c r="C26" s="1">
        <v>45715</v>
      </c>
      <c r="D26" t="s">
        <v>23</v>
      </c>
      <c r="E26" t="s">
        <v>169</v>
      </c>
      <c r="F26" s="213" t="s">
        <v>106</v>
      </c>
      <c r="G26" s="213"/>
      <c r="H26" t="s">
        <v>4069</v>
      </c>
      <c r="J26" s="3">
        <v>81331.3</v>
      </c>
      <c r="K26" s="72">
        <f t="shared" si="0"/>
        <v>588786.6799999997</v>
      </c>
    </row>
    <row r="27" spans="1:11" ht="15" hidden="1">
      <c r="A27" s="54" t="str">
        <f>D27&amp;E27&amp;F27</f>
        <v>FINANZASRENTASA17</v>
      </c>
      <c r="B27" t="s">
        <v>3451</v>
      </c>
      <c r="C27" s="1">
        <v>45715</v>
      </c>
      <c r="D27" t="s">
        <v>23</v>
      </c>
      <c r="E27" t="s">
        <v>169</v>
      </c>
      <c r="F27" s="213" t="s">
        <v>102</v>
      </c>
      <c r="G27" s="213"/>
      <c r="H27" t="s">
        <v>4070</v>
      </c>
      <c r="J27" s="3">
        <v>76326.960000000006</v>
      </c>
      <c r="K27" s="72">
        <f t="shared" si="0"/>
        <v>512459.71999999968</v>
      </c>
    </row>
    <row r="28" spans="1:11" ht="15" hidden="1">
      <c r="A28" s="54" t="str">
        <f>D28&amp;E28&amp;F28</f>
        <v>FINANZASRENTASA4</v>
      </c>
      <c r="B28" t="s">
        <v>3451</v>
      </c>
      <c r="C28" s="1">
        <v>45715</v>
      </c>
      <c r="D28" t="s">
        <v>23</v>
      </c>
      <c r="E28" t="s">
        <v>169</v>
      </c>
      <c r="F28" s="213" t="s">
        <v>91</v>
      </c>
      <c r="G28" s="213"/>
      <c r="H28" t="s">
        <v>4071</v>
      </c>
      <c r="J28" s="3">
        <v>32800</v>
      </c>
      <c r="K28" s="72">
        <f t="shared" si="0"/>
        <v>479659.71999999968</v>
      </c>
    </row>
    <row r="29" spans="1:11" ht="15" hidden="1">
      <c r="A29" s="54" t="str">
        <f>D29&amp;E29&amp;F29</f>
        <v>FINANZASRENTASE5</v>
      </c>
      <c r="B29" t="s">
        <v>3451</v>
      </c>
      <c r="C29" s="1">
        <v>45715</v>
      </c>
      <c r="D29" t="s">
        <v>23</v>
      </c>
      <c r="E29" t="s">
        <v>169</v>
      </c>
      <c r="F29" s="213" t="s">
        <v>111</v>
      </c>
      <c r="G29" s="213"/>
      <c r="H29" t="s">
        <v>4072</v>
      </c>
      <c r="J29" s="3">
        <v>41223.25</v>
      </c>
      <c r="K29" s="72">
        <f t="shared" si="0"/>
        <v>438436.46999999968</v>
      </c>
    </row>
    <row r="30" spans="1:11" ht="15" hidden="1">
      <c r="A30" s="54" t="str">
        <f>D30&amp;E30&amp;F30</f>
        <v>FINANZASRENTASE4</v>
      </c>
      <c r="B30" t="s">
        <v>3451</v>
      </c>
      <c r="C30" s="1">
        <v>45715</v>
      </c>
      <c r="D30" t="s">
        <v>23</v>
      </c>
      <c r="E30" t="s">
        <v>169</v>
      </c>
      <c r="F30" s="213" t="s">
        <v>110</v>
      </c>
      <c r="G30" s="213"/>
      <c r="H30" t="s">
        <v>4073</v>
      </c>
      <c r="J30" s="3">
        <v>77390</v>
      </c>
      <c r="K30" s="72">
        <f t="shared" si="0"/>
        <v>361046.46999999968</v>
      </c>
    </row>
    <row r="31" spans="1:11" ht="15" hidden="1">
      <c r="A31" s="54" t="str">
        <f>D31&amp;E31&amp;F31</f>
        <v>FINANZASRENTASE4</v>
      </c>
      <c r="B31" t="s">
        <v>3451</v>
      </c>
      <c r="C31" s="1">
        <v>45715</v>
      </c>
      <c r="D31" t="s">
        <v>23</v>
      </c>
      <c r="E31" t="s">
        <v>169</v>
      </c>
      <c r="F31" s="213" t="s">
        <v>110</v>
      </c>
      <c r="G31" s="213"/>
      <c r="H31" t="s">
        <v>4074</v>
      </c>
      <c r="J31" s="3">
        <v>24650.58</v>
      </c>
      <c r="K31" s="72">
        <f t="shared" si="0"/>
        <v>336395.88999999966</v>
      </c>
    </row>
    <row r="32" spans="1:11" ht="15" hidden="1">
      <c r="A32" s="54" t="str">
        <f>D32&amp;E32&amp;F32</f>
        <v>FINANZASRENTASA8</v>
      </c>
      <c r="B32" t="s">
        <v>3451</v>
      </c>
      <c r="C32" s="1">
        <v>45715</v>
      </c>
      <c r="D32" t="s">
        <v>23</v>
      </c>
      <c r="E32" t="s">
        <v>169</v>
      </c>
      <c r="F32" s="213" t="s">
        <v>94</v>
      </c>
      <c r="G32" s="213"/>
      <c r="H32" t="s">
        <v>4075</v>
      </c>
      <c r="J32" s="3">
        <v>78230.009999999995</v>
      </c>
      <c r="K32" s="72">
        <f t="shared" si="0"/>
        <v>258165.87999999966</v>
      </c>
    </row>
    <row r="33" spans="1:11" ht="15" hidden="1">
      <c r="A33" s="54" t="str">
        <f>D33&amp;E33&amp;F33</f>
        <v>FINANZASRENTASA9</v>
      </c>
      <c r="B33" t="s">
        <v>3451</v>
      </c>
      <c r="C33" s="1">
        <v>45715</v>
      </c>
      <c r="D33" t="s">
        <v>23</v>
      </c>
      <c r="E33" t="s">
        <v>169</v>
      </c>
      <c r="F33" s="213" t="s">
        <v>95</v>
      </c>
      <c r="G33" s="213"/>
      <c r="H33" t="s">
        <v>4076</v>
      </c>
      <c r="J33" s="3">
        <v>44119.93</v>
      </c>
      <c r="K33" s="72">
        <f t="shared" si="0"/>
        <v>214045.94999999966</v>
      </c>
    </row>
    <row r="34" spans="1:11" ht="15" hidden="1">
      <c r="A34" s="54" t="str">
        <f>D34&amp;E34&amp;F34</f>
        <v>FINANZASRENTASA10</v>
      </c>
      <c r="B34" t="s">
        <v>3451</v>
      </c>
      <c r="C34" s="1">
        <v>45715</v>
      </c>
      <c r="D34" t="s">
        <v>23</v>
      </c>
      <c r="E34" t="s">
        <v>169</v>
      </c>
      <c r="F34" s="213" t="s">
        <v>96</v>
      </c>
      <c r="G34" s="213"/>
      <c r="H34" t="s">
        <v>4053</v>
      </c>
      <c r="J34" s="3">
        <v>43715.99</v>
      </c>
      <c r="K34" s="72">
        <f t="shared" si="0"/>
        <v>170329.95999999967</v>
      </c>
    </row>
    <row r="35" spans="1:11" ht="15" hidden="1">
      <c r="A35" s="54" t="str">
        <f>D35&amp;E35&amp;F35</f>
        <v>FINANZASRENTASA22</v>
      </c>
      <c r="B35" t="s">
        <v>3451</v>
      </c>
      <c r="C35" s="1">
        <v>45715</v>
      </c>
      <c r="D35" t="s">
        <v>23</v>
      </c>
      <c r="E35" t="s">
        <v>169</v>
      </c>
      <c r="F35" s="213" t="s">
        <v>104</v>
      </c>
      <c r="G35" s="213"/>
      <c r="H35" t="s">
        <v>4077</v>
      </c>
      <c r="J35" s="3">
        <v>44544.58</v>
      </c>
      <c r="K35" s="72">
        <f t="shared" si="0"/>
        <v>125785.37999999967</v>
      </c>
    </row>
    <row r="36" spans="1:11" ht="15" hidden="1">
      <c r="A36" s="54" t="str">
        <f>D36&amp;E36&amp;F36</f>
        <v/>
      </c>
      <c r="B36" t="s">
        <v>3451</v>
      </c>
      <c r="C36" s="1">
        <v>45715</v>
      </c>
      <c r="F36" s="213"/>
      <c r="G36" s="213"/>
      <c r="H36" t="s">
        <v>3472</v>
      </c>
      <c r="I36" s="3">
        <v>155000</v>
      </c>
      <c r="K36" s="72">
        <f t="shared" si="0"/>
        <v>280785.37999999966</v>
      </c>
    </row>
    <row r="37" spans="1:11" ht="15" hidden="1">
      <c r="A37" s="54" t="str">
        <f>D37&amp;E37&amp;F37</f>
        <v>FINANZASRENTASA12</v>
      </c>
      <c r="B37" t="s">
        <v>3451</v>
      </c>
      <c r="C37" s="1">
        <v>45716</v>
      </c>
      <c r="D37" t="s">
        <v>23</v>
      </c>
      <c r="E37" t="s">
        <v>169</v>
      </c>
      <c r="F37" s="213" t="s">
        <v>98</v>
      </c>
      <c r="G37" s="213"/>
      <c r="H37" t="s">
        <v>4078</v>
      </c>
      <c r="J37" s="3">
        <v>49286.080000000002</v>
      </c>
      <c r="K37" s="72">
        <f t="shared" si="0"/>
        <v>231499.29999999964</v>
      </c>
    </row>
    <row r="38" spans="1:11" ht="15" hidden="1">
      <c r="A38" s="54" t="str">
        <f>D38&amp;E38&amp;F38</f>
        <v>FINANZASRENTASA15</v>
      </c>
      <c r="B38" t="s">
        <v>3451</v>
      </c>
      <c r="C38" s="1">
        <v>45716</v>
      </c>
      <c r="D38" t="s">
        <v>23</v>
      </c>
      <c r="E38" t="s">
        <v>169</v>
      </c>
      <c r="F38" s="146" t="s">
        <v>100</v>
      </c>
      <c r="G38" s="146"/>
      <c r="H38" t="s">
        <v>4079</v>
      </c>
      <c r="J38" s="3">
        <v>3240.3</v>
      </c>
      <c r="K38" s="72">
        <f t="shared" si="0"/>
        <v>228258.99999999965</v>
      </c>
    </row>
    <row r="39" spans="1:11" ht="15" hidden="1">
      <c r="A39" s="54" t="str">
        <f>D39&amp;E39&amp;F39</f>
        <v>FINANZASRENTASA3</v>
      </c>
      <c r="B39" t="s">
        <v>3451</v>
      </c>
      <c r="C39" s="1">
        <v>45716</v>
      </c>
      <c r="D39" t="s">
        <v>23</v>
      </c>
      <c r="E39" t="s">
        <v>169</v>
      </c>
      <c r="F39" s="146" t="s">
        <v>90</v>
      </c>
      <c r="G39" s="146"/>
      <c r="H39" t="s">
        <v>4080</v>
      </c>
      <c r="J39" s="3">
        <v>51622.42</v>
      </c>
      <c r="K39" s="72">
        <f t="shared" si="0"/>
        <v>176636.57999999967</v>
      </c>
    </row>
    <row r="40" spans="1:11" ht="15" hidden="1">
      <c r="A40" s="54" t="str">
        <f>D40&amp;E40&amp;F40</f>
        <v>FINANZASRENTASA17</v>
      </c>
      <c r="B40" t="s">
        <v>3451</v>
      </c>
      <c r="C40" s="1">
        <v>45716</v>
      </c>
      <c r="D40" t="s">
        <v>23</v>
      </c>
      <c r="E40" t="s">
        <v>169</v>
      </c>
      <c r="F40" s="146" t="s">
        <v>102</v>
      </c>
      <c r="G40" s="146"/>
      <c r="H40" t="s">
        <v>4081</v>
      </c>
      <c r="J40" s="3">
        <v>5000</v>
      </c>
      <c r="K40" s="72">
        <f t="shared" si="0"/>
        <v>171636.57999999967</v>
      </c>
    </row>
    <row r="41" spans="1:11" ht="15" hidden="1">
      <c r="A41" s="54" t="str">
        <f>D41&amp;E41&amp;F41</f>
        <v>FINANZASRENTASA3</v>
      </c>
      <c r="B41" t="s">
        <v>3451</v>
      </c>
      <c r="C41" s="1">
        <v>45716</v>
      </c>
      <c r="D41" t="s">
        <v>23</v>
      </c>
      <c r="E41" t="s">
        <v>169</v>
      </c>
      <c r="F41" s="146" t="s">
        <v>90</v>
      </c>
      <c r="G41" s="146"/>
      <c r="H41" t="s">
        <v>4082</v>
      </c>
      <c r="J41" s="3">
        <v>7500</v>
      </c>
      <c r="K41" s="72">
        <f t="shared" si="0"/>
        <v>164136.57999999967</v>
      </c>
    </row>
    <row r="42" spans="1:11" ht="15" hidden="1">
      <c r="A42" s="54" t="str">
        <f>D42&amp;E42&amp;F42</f>
        <v>FINANZASCUOTAS Y SUSCRIPCIONESREVALIDACION</v>
      </c>
      <c r="B42" t="s">
        <v>3451</v>
      </c>
      <c r="C42" s="1">
        <v>45716</v>
      </c>
      <c r="D42" t="s">
        <v>23</v>
      </c>
      <c r="E42" t="s">
        <v>51</v>
      </c>
      <c r="F42" s="146" t="s">
        <v>64</v>
      </c>
      <c r="G42" s="146"/>
      <c r="H42" s="146" t="s">
        <v>4083</v>
      </c>
      <c r="I42" s="158"/>
      <c r="J42" s="158">
        <v>4141</v>
      </c>
      <c r="K42" s="72">
        <f t="shared" si="0"/>
        <v>159995.57999999967</v>
      </c>
    </row>
    <row r="43" spans="1:11" ht="15" hidden="1">
      <c r="A43" s="54" t="str">
        <f>D43&amp;E43&amp;F43</f>
        <v>FINANZASRENTASA22</v>
      </c>
      <c r="B43" t="s">
        <v>3451</v>
      </c>
      <c r="C43" s="1">
        <v>45716</v>
      </c>
      <c r="D43" t="s">
        <v>23</v>
      </c>
      <c r="E43" t="s">
        <v>169</v>
      </c>
      <c r="F43" s="146" t="s">
        <v>104</v>
      </c>
      <c r="G43" s="146"/>
      <c r="H43" s="146" t="s">
        <v>4084</v>
      </c>
      <c r="I43" s="158"/>
      <c r="J43" s="158">
        <v>45000</v>
      </c>
      <c r="K43" s="72">
        <f t="shared" si="0"/>
        <v>114995.57999999967</v>
      </c>
    </row>
    <row r="44" spans="1:11" ht="15" hidden="1">
      <c r="A44" s="54" t="str">
        <f>D44&amp;E44&amp;F44</f>
        <v>FINANZASRENTASA15</v>
      </c>
      <c r="B44" t="s">
        <v>3451</v>
      </c>
      <c r="C44" s="1">
        <v>45716</v>
      </c>
      <c r="D44" t="s">
        <v>23</v>
      </c>
      <c r="E44" t="s">
        <v>169</v>
      </c>
      <c r="F44" s="146" t="s">
        <v>100</v>
      </c>
      <c r="G44" s="146"/>
      <c r="H44" s="146" t="s">
        <v>4085</v>
      </c>
      <c r="I44" s="158"/>
      <c r="J44" s="158">
        <v>21354</v>
      </c>
      <c r="K44" s="72">
        <f t="shared" si="0"/>
        <v>93641.579999999667</v>
      </c>
    </row>
    <row r="45" spans="1:11" ht="15" hidden="1">
      <c r="A45" s="54" t="str">
        <f>D45&amp;E45&amp;F45</f>
        <v>FINANZASRENTASA16</v>
      </c>
      <c r="B45" t="s">
        <v>3451</v>
      </c>
      <c r="C45" s="1">
        <v>45716</v>
      </c>
      <c r="D45" t="s">
        <v>23</v>
      </c>
      <c r="E45" t="s">
        <v>169</v>
      </c>
      <c r="F45" s="146" t="s">
        <v>101</v>
      </c>
      <c r="G45" s="146"/>
      <c r="H45" s="146" t="s">
        <v>4086</v>
      </c>
      <c r="I45" s="158"/>
      <c r="J45" s="158">
        <v>18000</v>
      </c>
      <c r="K45" s="72">
        <f t="shared" si="0"/>
        <v>75641.579999999667</v>
      </c>
    </row>
    <row r="46" spans="1:11" ht="15" hidden="1">
      <c r="A46" s="54" t="str">
        <f>D46&amp;E46&amp;F46</f>
        <v>FINANZASRENTASA4</v>
      </c>
      <c r="B46" t="s">
        <v>3451</v>
      </c>
      <c r="C46" s="1">
        <v>45716</v>
      </c>
      <c r="D46" t="s">
        <v>23</v>
      </c>
      <c r="E46" t="s">
        <v>169</v>
      </c>
      <c r="F46" s="146" t="s">
        <v>91</v>
      </c>
      <c r="G46" s="146"/>
      <c r="H46" s="146" t="s">
        <v>4071</v>
      </c>
      <c r="I46" s="158"/>
      <c r="J46" s="158">
        <v>20432</v>
      </c>
      <c r="K46" s="72">
        <f t="shared" si="0"/>
        <v>55209.579999999667</v>
      </c>
    </row>
    <row r="47" spans="1:11" ht="15" hidden="1">
      <c r="A47" s="54" t="str">
        <f>D47&amp;E47&amp;F47</f>
        <v>FINANZASRENTASA8</v>
      </c>
      <c r="B47" t="s">
        <v>3451</v>
      </c>
      <c r="C47" s="1">
        <v>45716</v>
      </c>
      <c r="D47" t="s">
        <v>23</v>
      </c>
      <c r="E47" t="s">
        <v>169</v>
      </c>
      <c r="F47" s="146" t="s">
        <v>94</v>
      </c>
      <c r="G47" s="146"/>
      <c r="H47" t="s">
        <v>4087</v>
      </c>
      <c r="I47" s="158"/>
      <c r="J47" s="158">
        <v>15000</v>
      </c>
      <c r="K47" s="72">
        <f t="shared" si="0"/>
        <v>40209.579999999667</v>
      </c>
    </row>
    <row r="48" spans="1:11" ht="15" hidden="1">
      <c r="A48" s="54" t="str">
        <f>D48&amp;E48&amp;F48</f>
        <v>FINANZASRENTASA22</v>
      </c>
      <c r="B48" t="s">
        <v>3451</v>
      </c>
      <c r="C48" s="1">
        <v>45716</v>
      </c>
      <c r="D48" t="s">
        <v>23</v>
      </c>
      <c r="E48" t="s">
        <v>169</v>
      </c>
      <c r="F48" s="146" t="s">
        <v>104</v>
      </c>
      <c r="G48" s="146"/>
      <c r="H48" s="146" t="s">
        <v>4088</v>
      </c>
      <c r="I48" s="158"/>
      <c r="J48" s="158">
        <v>5000</v>
      </c>
      <c r="K48" s="72">
        <f t="shared" si="0"/>
        <v>35209.579999999667</v>
      </c>
    </row>
    <row r="49" spans="1:11" ht="15" hidden="1">
      <c r="A49" s="54" t="str">
        <f>D49&amp;E49&amp;F49</f>
        <v>FINANZASRENTASA4</v>
      </c>
      <c r="B49" t="s">
        <v>3451</v>
      </c>
      <c r="C49" s="1">
        <v>45716</v>
      </c>
      <c r="D49" t="s">
        <v>23</v>
      </c>
      <c r="E49" t="s">
        <v>169</v>
      </c>
      <c r="F49" s="146" t="s">
        <v>91</v>
      </c>
      <c r="G49" s="146"/>
      <c r="H49" s="146" t="s">
        <v>4071</v>
      </c>
      <c r="I49" s="158"/>
      <c r="J49" s="158">
        <v>5000</v>
      </c>
      <c r="K49" s="72">
        <f t="shared" si="0"/>
        <v>30209.579999999667</v>
      </c>
    </row>
    <row r="50" spans="1:11" ht="15" hidden="1">
      <c r="A50" s="54" t="str">
        <f>D50&amp;E50&amp;F50</f>
        <v/>
      </c>
      <c r="B50" s="85" t="s">
        <v>3498</v>
      </c>
      <c r="C50" s="1">
        <v>45719</v>
      </c>
      <c r="F50" s="146"/>
      <c r="G50" s="146"/>
      <c r="H50" t="s">
        <v>3472</v>
      </c>
      <c r="I50" s="158">
        <v>300000</v>
      </c>
      <c r="J50" s="158"/>
      <c r="K50" s="72">
        <f t="shared" si="0"/>
        <v>330209.57999999967</v>
      </c>
    </row>
    <row r="51" spans="1:11" ht="15" hidden="1">
      <c r="A51" s="54" t="str">
        <f>D51&amp;E51&amp;F51</f>
        <v>FINANZASRENTASA2</v>
      </c>
      <c r="B51" s="85" t="s">
        <v>3498</v>
      </c>
      <c r="C51" s="1">
        <v>45721</v>
      </c>
      <c r="D51" t="s">
        <v>23</v>
      </c>
      <c r="E51" t="s">
        <v>169</v>
      </c>
      <c r="F51" s="146" t="s">
        <v>89</v>
      </c>
      <c r="G51" s="146"/>
      <c r="H51" t="s">
        <v>4089</v>
      </c>
      <c r="J51" s="3">
        <v>26459</v>
      </c>
      <c r="K51" s="72">
        <f t="shared" si="0"/>
        <v>303750.57999999967</v>
      </c>
    </row>
    <row r="52" spans="1:11" ht="15" hidden="1">
      <c r="A52" s="54" t="str">
        <f>D52&amp;E52&amp;F52</f>
        <v>FINANZASRENTASA9</v>
      </c>
      <c r="B52" s="85" t="s">
        <v>3498</v>
      </c>
      <c r="C52" s="1">
        <v>45721</v>
      </c>
      <c r="D52" t="s">
        <v>23</v>
      </c>
      <c r="E52" t="s">
        <v>169</v>
      </c>
      <c r="F52" s="146" t="s">
        <v>95</v>
      </c>
      <c r="G52" s="146"/>
      <c r="H52" s="146" t="s">
        <v>4090</v>
      </c>
      <c r="I52" s="158"/>
      <c r="J52" s="3">
        <v>23193.68</v>
      </c>
      <c r="K52" s="72">
        <f t="shared" si="0"/>
        <v>280556.89999999967</v>
      </c>
    </row>
    <row r="53" spans="1:11" ht="15" hidden="1">
      <c r="A53" s="54" t="str">
        <f>D53&amp;E53&amp;F53</f>
        <v>FINANZASRENTASA1</v>
      </c>
      <c r="B53" s="85" t="s">
        <v>3498</v>
      </c>
      <c r="C53" s="1">
        <v>45721</v>
      </c>
      <c r="D53" t="s">
        <v>23</v>
      </c>
      <c r="E53" t="s">
        <v>169</v>
      </c>
      <c r="F53" s="146" t="s">
        <v>88</v>
      </c>
      <c r="G53" s="146"/>
      <c r="H53" s="146" t="s">
        <v>4091</v>
      </c>
      <c r="I53" s="72"/>
      <c r="J53" s="3">
        <v>34789.440000000002</v>
      </c>
      <c r="K53" s="72">
        <f>K52+I53-J53</f>
        <v>245767.45999999967</v>
      </c>
    </row>
    <row r="54" spans="1:11" ht="15" hidden="1">
      <c r="A54" s="54" t="str">
        <f>D54&amp;E54&amp;F54</f>
        <v>FINANZASRENTASA5</v>
      </c>
      <c r="B54" s="85" t="s">
        <v>3498</v>
      </c>
      <c r="C54" s="1">
        <v>45721</v>
      </c>
      <c r="D54" t="s">
        <v>23</v>
      </c>
      <c r="E54" t="s">
        <v>169</v>
      </c>
      <c r="F54" s="146" t="s">
        <v>92</v>
      </c>
      <c r="G54" s="146"/>
      <c r="H54" t="s">
        <v>4092</v>
      </c>
      <c r="J54" s="3">
        <v>52184.160000000003</v>
      </c>
      <c r="K54" s="72">
        <f>K53+I54-J54</f>
        <v>193583.29999999967</v>
      </c>
    </row>
    <row r="55" spans="1:11" ht="15" hidden="1">
      <c r="A55" s="54" t="str">
        <f>D55&amp;E55&amp;F55</f>
        <v>FINANZASRENTASA10</v>
      </c>
      <c r="B55" s="85" t="s">
        <v>3498</v>
      </c>
      <c r="C55" s="1">
        <v>45721</v>
      </c>
      <c r="D55" t="s">
        <v>23</v>
      </c>
      <c r="E55" t="s">
        <v>169</v>
      </c>
      <c r="F55" s="146" t="s">
        <v>96</v>
      </c>
      <c r="G55" s="146"/>
      <c r="H55" t="s">
        <v>4053</v>
      </c>
      <c r="J55" s="158">
        <v>31000</v>
      </c>
      <c r="K55" s="72">
        <f>K54+I55-J55</f>
        <v>162583.29999999967</v>
      </c>
    </row>
    <row r="56" spans="1:11" ht="15" hidden="1">
      <c r="A56" s="54" t="str">
        <f>D56&amp;E56&amp;F56</f>
        <v/>
      </c>
      <c r="B56" s="85" t="s">
        <v>3498</v>
      </c>
      <c r="C56" s="1">
        <v>45722</v>
      </c>
      <c r="F56" s="146"/>
      <c r="G56" s="146"/>
      <c r="H56" s="146" t="s">
        <v>4093</v>
      </c>
      <c r="I56" s="158">
        <v>60000</v>
      </c>
      <c r="J56" s="158"/>
      <c r="K56" s="72">
        <f>K55+I56-J56</f>
        <v>222583.29999999967</v>
      </c>
    </row>
    <row r="57" spans="1:11" ht="15" hidden="1">
      <c r="A57" s="54" t="str">
        <f>D57&amp;E57&amp;F57</f>
        <v>FINANZASRENTASE1</v>
      </c>
      <c r="B57" s="85" t="s">
        <v>3498</v>
      </c>
      <c r="C57" s="1">
        <v>45722</v>
      </c>
      <c r="D57" t="s">
        <v>23</v>
      </c>
      <c r="E57" t="s">
        <v>169</v>
      </c>
      <c r="F57" s="146" t="s">
        <v>107</v>
      </c>
      <c r="G57" s="146"/>
      <c r="H57" s="146" t="s">
        <v>4094</v>
      </c>
      <c r="I57" s="158"/>
      <c r="J57" s="158">
        <v>52914.79</v>
      </c>
      <c r="K57" s="72">
        <f t="shared" ref="K57:K79" si="1">K56+I57-J57</f>
        <v>169668.50999999966</v>
      </c>
    </row>
    <row r="58" spans="1:11" ht="15" hidden="1">
      <c r="A58" s="54" t="str">
        <f>D58&amp;E58&amp;F58</f>
        <v>FINANZASRENTASE6</v>
      </c>
      <c r="B58" s="85" t="s">
        <v>3498</v>
      </c>
      <c r="C58" s="1">
        <v>45722</v>
      </c>
      <c r="D58" t="s">
        <v>23</v>
      </c>
      <c r="E58" t="s">
        <v>169</v>
      </c>
      <c r="F58" s="146" t="s">
        <v>112</v>
      </c>
      <c r="G58" s="146"/>
      <c r="H58" s="146" t="s">
        <v>4095</v>
      </c>
      <c r="I58" s="158"/>
      <c r="J58" s="158">
        <v>6500</v>
      </c>
      <c r="K58" s="72">
        <f t="shared" si="1"/>
        <v>163168.50999999966</v>
      </c>
    </row>
    <row r="59" spans="1:11" ht="15" hidden="1">
      <c r="A59" s="54" t="str">
        <f>D59&amp;E59&amp;F59</f>
        <v/>
      </c>
      <c r="B59" s="85" t="s">
        <v>3498</v>
      </c>
      <c r="C59" s="1">
        <v>45723</v>
      </c>
      <c r="F59" s="146"/>
      <c r="G59" s="146"/>
      <c r="H59" s="146" t="s">
        <v>4093</v>
      </c>
      <c r="I59" s="3">
        <v>200000</v>
      </c>
      <c r="K59" s="72">
        <f t="shared" si="1"/>
        <v>363168.50999999966</v>
      </c>
    </row>
    <row r="60" spans="1:11" ht="15" hidden="1">
      <c r="A60" s="54" t="str">
        <f>D60&amp;E60&amp;F60</f>
        <v>FINANZASRENTASE2</v>
      </c>
      <c r="B60" s="85" t="s">
        <v>3498</v>
      </c>
      <c r="C60" s="1">
        <v>45727</v>
      </c>
      <c r="D60" t="s">
        <v>23</v>
      </c>
      <c r="E60" t="s">
        <v>169</v>
      </c>
      <c r="F60" s="146" t="s">
        <v>108</v>
      </c>
      <c r="G60" s="146"/>
      <c r="H60" t="s">
        <v>4096</v>
      </c>
      <c r="J60" s="3">
        <v>129257.86</v>
      </c>
      <c r="K60" s="72">
        <f t="shared" si="1"/>
        <v>233910.64999999967</v>
      </c>
    </row>
    <row r="61" spans="1:11" ht="15" hidden="1">
      <c r="A61" s="54" t="str">
        <f>D61&amp;E61&amp;F61</f>
        <v>FINANZASRENTASA18</v>
      </c>
      <c r="B61" s="85" t="s">
        <v>3498</v>
      </c>
      <c r="C61" s="1">
        <v>45727</v>
      </c>
      <c r="D61" t="s">
        <v>23</v>
      </c>
      <c r="E61" t="s">
        <v>169</v>
      </c>
      <c r="F61" s="146" t="s">
        <v>103</v>
      </c>
      <c r="G61" s="146"/>
      <c r="H61" t="s">
        <v>4097</v>
      </c>
      <c r="J61" s="3">
        <v>88160</v>
      </c>
      <c r="K61" s="72">
        <f t="shared" si="1"/>
        <v>145750.64999999967</v>
      </c>
    </row>
    <row r="62" spans="1:11" ht="15" hidden="1">
      <c r="A62" s="54" t="str">
        <f>D62&amp;E62&amp;F62</f>
        <v>FINANZASRENTASA12</v>
      </c>
      <c r="B62" s="85" t="s">
        <v>3498</v>
      </c>
      <c r="C62" s="1">
        <v>45727</v>
      </c>
      <c r="D62" t="s">
        <v>23</v>
      </c>
      <c r="E62" t="s">
        <v>169</v>
      </c>
      <c r="F62" s="146" t="s">
        <v>98</v>
      </c>
      <c r="G62" s="146"/>
      <c r="H62" t="s">
        <v>4098</v>
      </c>
      <c r="I62" s="158"/>
      <c r="J62" s="158">
        <v>137560.29</v>
      </c>
      <c r="K62" s="72">
        <f t="shared" si="1"/>
        <v>8190.3599999996659</v>
      </c>
    </row>
    <row r="63" spans="1:11" ht="15" hidden="1">
      <c r="A63" s="54" t="str">
        <f>D63&amp;E63&amp;F63</f>
        <v>FINANZASRENTASA10</v>
      </c>
      <c r="B63" s="85" t="s">
        <v>3498</v>
      </c>
      <c r="C63" s="1">
        <v>45728</v>
      </c>
      <c r="D63" t="s">
        <v>23</v>
      </c>
      <c r="E63" t="s">
        <v>169</v>
      </c>
      <c r="F63" s="146" t="s">
        <v>96</v>
      </c>
      <c r="G63" s="146"/>
      <c r="H63" s="146" t="s">
        <v>4099</v>
      </c>
      <c r="I63" s="158"/>
      <c r="J63" s="3">
        <v>31225</v>
      </c>
      <c r="K63" s="72">
        <f t="shared" si="1"/>
        <v>-23034.640000000334</v>
      </c>
    </row>
    <row r="64" spans="1:11" ht="15" hidden="1">
      <c r="A64" s="54" t="str">
        <f>D64&amp;E64&amp;F64</f>
        <v/>
      </c>
      <c r="B64" s="85" t="s">
        <v>3498</v>
      </c>
      <c r="C64" s="1">
        <v>45730</v>
      </c>
      <c r="F64" s="146"/>
      <c r="G64" s="146"/>
      <c r="H64" s="146" t="s">
        <v>3472</v>
      </c>
      <c r="I64" s="158">
        <v>100000</v>
      </c>
      <c r="J64" s="158"/>
      <c r="K64" s="72">
        <f t="shared" si="1"/>
        <v>76965.359999999666</v>
      </c>
    </row>
    <row r="65" spans="1:11" ht="15" hidden="1">
      <c r="A65" s="54" t="str">
        <f>D65&amp;E65&amp;F65</f>
        <v/>
      </c>
      <c r="B65" s="85" t="s">
        <v>3498</v>
      </c>
      <c r="C65" s="1">
        <v>45735</v>
      </c>
      <c r="F65" s="146"/>
      <c r="G65" s="146"/>
      <c r="H65" s="146" t="s">
        <v>3472</v>
      </c>
      <c r="I65" s="158">
        <v>150000</v>
      </c>
      <c r="K65" s="72">
        <f t="shared" si="1"/>
        <v>226965.35999999967</v>
      </c>
    </row>
    <row r="66" spans="1:11" ht="15" hidden="1">
      <c r="A66" s="54" t="str">
        <f>D66&amp;E66&amp;F66</f>
        <v>FINANZASRENTASA22</v>
      </c>
      <c r="B66" s="85" t="s">
        <v>3498</v>
      </c>
      <c r="C66" s="1">
        <v>45735</v>
      </c>
      <c r="D66" t="s">
        <v>23</v>
      </c>
      <c r="E66" t="s">
        <v>169</v>
      </c>
      <c r="F66" s="146" t="s">
        <v>104</v>
      </c>
      <c r="G66" s="146"/>
      <c r="H66" t="s">
        <v>4100</v>
      </c>
      <c r="I66" s="161"/>
      <c r="J66" s="161">
        <v>50000</v>
      </c>
      <c r="K66" s="72">
        <f t="shared" si="1"/>
        <v>176965.35999999967</v>
      </c>
    </row>
    <row r="67" spans="1:11" ht="15" hidden="1">
      <c r="A67" s="54" t="str">
        <f>D67&amp;E67&amp;F67</f>
        <v>FINANZASRENTASE8</v>
      </c>
      <c r="B67" s="85" t="s">
        <v>3498</v>
      </c>
      <c r="C67" s="1">
        <v>45735</v>
      </c>
      <c r="D67" t="s">
        <v>23</v>
      </c>
      <c r="E67" t="s">
        <v>169</v>
      </c>
      <c r="F67" s="146" t="s">
        <v>114</v>
      </c>
      <c r="G67" s="146"/>
      <c r="H67" s="146" t="s">
        <v>4101</v>
      </c>
      <c r="I67" s="158"/>
      <c r="J67" s="158">
        <v>42136.47</v>
      </c>
      <c r="K67" s="72">
        <f t="shared" si="1"/>
        <v>134828.88999999966</v>
      </c>
    </row>
    <row r="68" spans="1:11" ht="15" hidden="1">
      <c r="A68" s="54" t="str">
        <f>D68&amp;E68&amp;F68</f>
        <v>FINANZASRENTASE8</v>
      </c>
      <c r="B68" s="85" t="s">
        <v>3498</v>
      </c>
      <c r="C68" s="1">
        <v>45735</v>
      </c>
      <c r="D68" t="s">
        <v>23</v>
      </c>
      <c r="E68" t="s">
        <v>169</v>
      </c>
      <c r="F68" s="146" t="s">
        <v>114</v>
      </c>
      <c r="G68" s="146"/>
      <c r="H68" s="146" t="s">
        <v>4102</v>
      </c>
      <c r="I68" s="158"/>
      <c r="J68" s="158">
        <v>6329.59</v>
      </c>
      <c r="K68" s="72">
        <f t="shared" si="1"/>
        <v>128499.29999999967</v>
      </c>
    </row>
    <row r="69" spans="1:11" ht="15" hidden="1">
      <c r="A69" s="54" t="str">
        <f>D69&amp;E69&amp;F69</f>
        <v>FINANZASRENTASE3</v>
      </c>
      <c r="B69" s="85" t="s">
        <v>3498</v>
      </c>
      <c r="C69" s="1">
        <v>45735</v>
      </c>
      <c r="D69" t="s">
        <v>23</v>
      </c>
      <c r="E69" t="s">
        <v>169</v>
      </c>
      <c r="F69" s="146" t="s">
        <v>109</v>
      </c>
      <c r="G69" s="146"/>
      <c r="H69" s="146" t="s">
        <v>4103</v>
      </c>
      <c r="I69" s="158"/>
      <c r="J69" s="158">
        <v>43326.12</v>
      </c>
      <c r="K69" s="72">
        <f t="shared" si="1"/>
        <v>85173.179999999673</v>
      </c>
    </row>
    <row r="70" spans="1:11" ht="15" hidden="1">
      <c r="A70" s="54" t="str">
        <f>D70&amp;E70&amp;F70</f>
        <v>FINANZASRENTASA18</v>
      </c>
      <c r="B70" s="85" t="s">
        <v>3498</v>
      </c>
      <c r="C70" s="1">
        <v>45735</v>
      </c>
      <c r="D70" t="s">
        <v>23</v>
      </c>
      <c r="E70" t="s">
        <v>169</v>
      </c>
      <c r="F70" s="146" t="s">
        <v>103</v>
      </c>
      <c r="G70" s="146"/>
      <c r="H70" s="146" t="s">
        <v>4104</v>
      </c>
      <c r="I70" s="158"/>
      <c r="J70" s="158">
        <v>2042.32</v>
      </c>
      <c r="K70" s="72">
        <f t="shared" si="1"/>
        <v>83130.859999999666</v>
      </c>
    </row>
    <row r="71" spans="1:11" ht="15" hidden="1">
      <c r="A71" s="54" t="str">
        <f>D71&amp;E71&amp;F71</f>
        <v>FINANZASRENTASA23</v>
      </c>
      <c r="B71" s="85" t="s">
        <v>3498</v>
      </c>
      <c r="C71" s="1">
        <v>45735</v>
      </c>
      <c r="D71" t="s">
        <v>23</v>
      </c>
      <c r="E71" t="s">
        <v>169</v>
      </c>
      <c r="F71" s="146" t="s">
        <v>105</v>
      </c>
      <c r="G71" s="146"/>
      <c r="H71" s="146" t="s">
        <v>4105</v>
      </c>
      <c r="I71" s="158"/>
      <c r="J71" s="158">
        <v>9120.3799999999992</v>
      </c>
      <c r="K71" s="72">
        <f t="shared" si="1"/>
        <v>74010.479999999661</v>
      </c>
    </row>
    <row r="72" spans="1:11" ht="15" hidden="1">
      <c r="A72" s="54" t="str">
        <f>D72&amp;E72&amp;F72</f>
        <v>FINANZASRENTASA6</v>
      </c>
      <c r="B72" s="85" t="s">
        <v>3498</v>
      </c>
      <c r="C72" s="1">
        <v>45735</v>
      </c>
      <c r="D72" t="s">
        <v>23</v>
      </c>
      <c r="E72" t="s">
        <v>169</v>
      </c>
      <c r="F72" s="146" t="s">
        <v>93</v>
      </c>
      <c r="G72" s="146"/>
      <c r="H72" s="146" t="s">
        <v>4106</v>
      </c>
      <c r="I72" s="158"/>
      <c r="J72" s="158">
        <v>24000</v>
      </c>
      <c r="K72" s="72">
        <f t="shared" si="1"/>
        <v>50010.479999999661</v>
      </c>
    </row>
    <row r="73" spans="1:11" ht="15" hidden="1">
      <c r="A73" s="54" t="str">
        <f>D73&amp;E73&amp;F73</f>
        <v>FINANZASRENTASA14</v>
      </c>
      <c r="B73" s="85" t="s">
        <v>3498</v>
      </c>
      <c r="C73" s="1">
        <v>45735</v>
      </c>
      <c r="D73" t="s">
        <v>23</v>
      </c>
      <c r="E73" t="s">
        <v>169</v>
      </c>
      <c r="F73" s="146" t="s">
        <v>99</v>
      </c>
      <c r="G73" s="146"/>
      <c r="H73" s="146" t="s">
        <v>4107</v>
      </c>
      <c r="I73" s="158"/>
      <c r="J73" s="158">
        <v>54288</v>
      </c>
      <c r="K73" s="72">
        <f t="shared" si="1"/>
        <v>-4277.5200000003388</v>
      </c>
    </row>
    <row r="74" spans="1:11" ht="15" hidden="1">
      <c r="A74" s="54" t="str">
        <f>D74&amp;E74&amp;F74</f>
        <v/>
      </c>
      <c r="B74" s="85" t="s">
        <v>3498</v>
      </c>
      <c r="C74" s="1">
        <v>45737</v>
      </c>
      <c r="F74" s="146"/>
      <c r="G74" s="146"/>
      <c r="H74" s="146" t="s">
        <v>3472</v>
      </c>
      <c r="I74" s="158">
        <v>100000</v>
      </c>
      <c r="J74" s="158"/>
      <c r="K74" s="72">
        <f t="shared" si="1"/>
        <v>95722.479999999661</v>
      </c>
    </row>
    <row r="75" spans="1:11" ht="15" hidden="1">
      <c r="A75" s="54" t="str">
        <f>D75&amp;E75&amp;F75</f>
        <v>FINANZASRENTASA22</v>
      </c>
      <c r="B75" s="85" t="s">
        <v>3498</v>
      </c>
      <c r="C75" s="1">
        <v>45737</v>
      </c>
      <c r="D75" t="s">
        <v>23</v>
      </c>
      <c r="E75" t="s">
        <v>169</v>
      </c>
      <c r="F75" s="146" t="s">
        <v>104</v>
      </c>
      <c r="G75" s="146"/>
      <c r="H75" s="146" t="s">
        <v>4100</v>
      </c>
      <c r="I75" s="158"/>
      <c r="J75" s="158">
        <v>44544.58</v>
      </c>
      <c r="K75" s="72">
        <f t="shared" si="1"/>
        <v>51177.899999999659</v>
      </c>
    </row>
    <row r="76" spans="1:11" ht="15" hidden="1">
      <c r="A76" s="54" t="str">
        <f>D76&amp;E76&amp;F76</f>
        <v>FINANZASRENTASE9</v>
      </c>
      <c r="B76" s="85" t="s">
        <v>3498</v>
      </c>
      <c r="C76" s="1">
        <v>45737</v>
      </c>
      <c r="D76" t="s">
        <v>23</v>
      </c>
      <c r="E76" t="s">
        <v>169</v>
      </c>
      <c r="F76" s="146" t="s">
        <v>116</v>
      </c>
      <c r="G76" s="146"/>
      <c r="H76" s="146" t="s">
        <v>4108</v>
      </c>
      <c r="I76" s="158"/>
      <c r="J76" s="158">
        <v>14658.76</v>
      </c>
      <c r="K76" s="72">
        <f t="shared" si="1"/>
        <v>36519.139999999657</v>
      </c>
    </row>
    <row r="77" spans="1:11" ht="15" hidden="1">
      <c r="A77" s="54" t="str">
        <f>D77&amp;E77&amp;F77</f>
        <v>FINANZASRENTASE9</v>
      </c>
      <c r="B77" s="85" t="s">
        <v>3498</v>
      </c>
      <c r="C77" s="1">
        <v>45737</v>
      </c>
      <c r="D77" t="s">
        <v>23</v>
      </c>
      <c r="E77" t="s">
        <v>169</v>
      </c>
      <c r="F77" s="146" t="s">
        <v>116</v>
      </c>
      <c r="G77" s="146"/>
      <c r="H77" s="146" t="s">
        <v>4108</v>
      </c>
      <c r="I77" s="158"/>
      <c r="J77" s="158">
        <v>17845.439999999999</v>
      </c>
      <c r="K77" s="72">
        <f t="shared" si="1"/>
        <v>18673.699999999659</v>
      </c>
    </row>
    <row r="78" spans="1:11" ht="15" hidden="1">
      <c r="A78" s="54" t="str">
        <f>D78&amp;E78&amp;F78</f>
        <v/>
      </c>
      <c r="B78" s="85" t="s">
        <v>3498</v>
      </c>
      <c r="C78" s="1">
        <v>45740</v>
      </c>
      <c r="F78" s="146"/>
      <c r="G78" s="146"/>
      <c r="H78" s="146" t="s">
        <v>3472</v>
      </c>
      <c r="I78" s="158">
        <v>300000</v>
      </c>
      <c r="J78" s="158"/>
      <c r="K78" s="72">
        <f t="shared" si="1"/>
        <v>318673.69999999966</v>
      </c>
    </row>
    <row r="79" spans="1:11" ht="15" hidden="1">
      <c r="A79" s="54" t="str">
        <f>D79&amp;E79&amp;F79</f>
        <v>FINANZASRENTASA11</v>
      </c>
      <c r="B79" s="85" t="s">
        <v>3498</v>
      </c>
      <c r="C79" s="1">
        <v>45741</v>
      </c>
      <c r="D79" t="s">
        <v>23</v>
      </c>
      <c r="E79" t="s">
        <v>169</v>
      </c>
      <c r="F79" s="146" t="s">
        <v>97</v>
      </c>
      <c r="G79" s="146"/>
      <c r="H79" s="146" t="s">
        <v>4109</v>
      </c>
      <c r="I79" s="158"/>
      <c r="J79" s="158">
        <v>23746.7</v>
      </c>
      <c r="K79" s="72">
        <f t="shared" si="1"/>
        <v>294926.99999999965</v>
      </c>
    </row>
    <row r="80" spans="1:11" ht="15" hidden="1">
      <c r="A80" s="54" t="str">
        <f>D80&amp;E80&amp;F80</f>
        <v>FINANZASRENTASA17</v>
      </c>
      <c r="B80" s="85" t="s">
        <v>3498</v>
      </c>
      <c r="C80" s="1">
        <v>45741</v>
      </c>
      <c r="D80" t="s">
        <v>23</v>
      </c>
      <c r="E80" t="s">
        <v>169</v>
      </c>
      <c r="F80" s="146" t="s">
        <v>102</v>
      </c>
      <c r="G80" s="146"/>
      <c r="H80" s="146" t="s">
        <v>4110</v>
      </c>
      <c r="I80" s="158"/>
      <c r="J80" s="3">
        <v>76326.960000000006</v>
      </c>
      <c r="K80" s="72">
        <f>K79+I80-J80</f>
        <v>218600.03999999963</v>
      </c>
    </row>
    <row r="81" spans="1:11" ht="15" hidden="1">
      <c r="A81" s="54" t="str">
        <f>D81&amp;E81&amp;F81</f>
        <v>FINANZASRENTASA24</v>
      </c>
      <c r="B81" s="85" t="s">
        <v>3498</v>
      </c>
      <c r="C81" s="1">
        <v>45741</v>
      </c>
      <c r="D81" t="s">
        <v>23</v>
      </c>
      <c r="E81" t="s">
        <v>169</v>
      </c>
      <c r="F81" s="146" t="s">
        <v>106</v>
      </c>
      <c r="G81" s="146"/>
      <c r="H81" s="146" t="s">
        <v>4111</v>
      </c>
      <c r="I81" s="158"/>
      <c r="J81" s="158">
        <v>81331.3</v>
      </c>
      <c r="K81" s="72">
        <f>K80+I81-J81</f>
        <v>137268.73999999964</v>
      </c>
    </row>
    <row r="82" spans="1:11" ht="15" hidden="1">
      <c r="A82" s="54" t="str">
        <f>D82&amp;E82&amp;F82</f>
        <v>FINANZASRENTASE6</v>
      </c>
      <c r="B82" s="85" t="s">
        <v>3498</v>
      </c>
      <c r="C82" s="1">
        <v>45741</v>
      </c>
      <c r="D82" t="s">
        <v>23</v>
      </c>
      <c r="E82" t="s">
        <v>169</v>
      </c>
      <c r="F82" s="146" t="s">
        <v>112</v>
      </c>
      <c r="G82" s="146"/>
      <c r="H82" t="s">
        <v>4112</v>
      </c>
      <c r="I82" s="158"/>
      <c r="J82" s="158">
        <v>35388.36</v>
      </c>
      <c r="K82" s="72">
        <f t="shared" ref="K82:K104" si="2">K81+I82-J82</f>
        <v>101880.37999999964</v>
      </c>
    </row>
    <row r="83" spans="1:11" ht="15" hidden="1">
      <c r="A83" s="54" t="str">
        <f>D83&amp;E83&amp;F83</f>
        <v>FINANZASRENTASA16</v>
      </c>
      <c r="B83" s="85" t="s">
        <v>3498</v>
      </c>
      <c r="C83" s="1">
        <v>45742</v>
      </c>
      <c r="D83" t="s">
        <v>23</v>
      </c>
      <c r="E83" t="s">
        <v>169</v>
      </c>
      <c r="F83" s="146" t="s">
        <v>101</v>
      </c>
      <c r="G83" s="146"/>
      <c r="H83" s="146" t="s">
        <v>4113</v>
      </c>
      <c r="I83" s="158"/>
      <c r="J83" s="158">
        <v>18000</v>
      </c>
      <c r="K83" s="72">
        <f t="shared" si="2"/>
        <v>83880.379999999641</v>
      </c>
    </row>
    <row r="84" spans="1:11" ht="15" hidden="1">
      <c r="A84" s="54" t="str">
        <f>D84&amp;E84&amp;F84</f>
        <v/>
      </c>
      <c r="B84" s="85" t="s">
        <v>3498</v>
      </c>
      <c r="C84" s="1">
        <v>45742</v>
      </c>
      <c r="F84" s="146"/>
      <c r="G84" s="146"/>
      <c r="H84" s="146" t="s">
        <v>4114</v>
      </c>
      <c r="I84" s="158"/>
      <c r="J84" s="158">
        <v>1700</v>
      </c>
      <c r="K84" s="72">
        <f t="shared" si="2"/>
        <v>82180.379999999641</v>
      </c>
    </row>
    <row r="85" spans="1:11" ht="15" hidden="1">
      <c r="A85" s="54" t="str">
        <f>D85&amp;E85&amp;F85</f>
        <v/>
      </c>
      <c r="B85" s="85" t="s">
        <v>3498</v>
      </c>
      <c r="C85" s="1">
        <v>45744</v>
      </c>
      <c r="F85" s="146"/>
      <c r="G85" s="146"/>
      <c r="H85" s="146" t="s">
        <v>3472</v>
      </c>
      <c r="I85" s="158">
        <v>75000</v>
      </c>
      <c r="J85" s="158"/>
      <c r="K85" s="72">
        <f t="shared" si="2"/>
        <v>157180.37999999966</v>
      </c>
    </row>
    <row r="86" spans="1:11" ht="15" hidden="1">
      <c r="A86" s="54" t="str">
        <f>D86&amp;E86&amp;F86</f>
        <v>FINANZASFONDO Y REPOSICIONFINANZAS</v>
      </c>
      <c r="B86" s="85" t="s">
        <v>3498</v>
      </c>
      <c r="C86" s="1">
        <v>45744</v>
      </c>
      <c r="D86" t="s">
        <v>23</v>
      </c>
      <c r="E86" t="s">
        <v>120</v>
      </c>
      <c r="F86" s="146" t="s">
        <v>23</v>
      </c>
      <c r="G86" s="146"/>
      <c r="H86" s="146" t="s">
        <v>4115</v>
      </c>
      <c r="I86" s="158"/>
      <c r="J86" s="158">
        <v>405</v>
      </c>
      <c r="K86" s="72">
        <f t="shared" si="2"/>
        <v>156775.37999999966</v>
      </c>
    </row>
    <row r="87" spans="1:11" ht="15" hidden="1">
      <c r="A87" s="54" t="str">
        <f>D87&amp;E87&amp;F87</f>
        <v>FINANZASRENTASA8</v>
      </c>
      <c r="B87" s="85" t="s">
        <v>3498</v>
      </c>
      <c r="C87" s="1">
        <v>45744</v>
      </c>
      <c r="D87" t="s">
        <v>23</v>
      </c>
      <c r="E87" t="s">
        <v>169</v>
      </c>
      <c r="F87" s="146" t="s">
        <v>94</v>
      </c>
      <c r="G87" s="146"/>
      <c r="H87" s="146" t="s">
        <v>4116</v>
      </c>
      <c r="I87" s="158"/>
      <c r="J87" s="158">
        <v>78230.11</v>
      </c>
      <c r="K87" s="72">
        <f t="shared" si="2"/>
        <v>78545.269999999655</v>
      </c>
    </row>
    <row r="88" spans="1:11" ht="15" hidden="1">
      <c r="A88" s="54" t="str">
        <f>D88&amp;E88&amp;F88</f>
        <v>FINANZASRENTASA8</v>
      </c>
      <c r="B88" s="85" t="s">
        <v>3498</v>
      </c>
      <c r="C88" s="1">
        <v>45744</v>
      </c>
      <c r="D88" t="s">
        <v>23</v>
      </c>
      <c r="E88" t="s">
        <v>169</v>
      </c>
      <c r="F88" s="146" t="s">
        <v>94</v>
      </c>
      <c r="G88" s="146"/>
      <c r="H88" s="146" t="s">
        <v>4117</v>
      </c>
      <c r="I88" s="158"/>
      <c r="J88" s="158">
        <v>43124</v>
      </c>
      <c r="K88" s="72">
        <f t="shared" si="2"/>
        <v>35421.269999999655</v>
      </c>
    </row>
    <row r="89" spans="1:11" ht="15" hidden="1">
      <c r="A89" s="54" t="str">
        <f>D89&amp;E89&amp;F89</f>
        <v>FINANZASRENTASE4</v>
      </c>
      <c r="B89" s="85" t="s">
        <v>3498</v>
      </c>
      <c r="C89" s="1">
        <v>45744</v>
      </c>
      <c r="D89" t="s">
        <v>23</v>
      </c>
      <c r="E89" t="s">
        <v>169</v>
      </c>
      <c r="F89" s="146" t="s">
        <v>110</v>
      </c>
      <c r="G89" s="146"/>
      <c r="H89" s="146" t="s">
        <v>4118</v>
      </c>
      <c r="I89" s="158"/>
      <c r="J89" s="158">
        <v>77390</v>
      </c>
      <c r="K89" s="72">
        <f t="shared" si="2"/>
        <v>-41968.730000000345</v>
      </c>
    </row>
    <row r="90" spans="1:11" ht="15" hidden="1">
      <c r="A90" s="54" t="str">
        <f>D90&amp;E90&amp;F90</f>
        <v>FINANZASRENTASE4</v>
      </c>
      <c r="B90" s="85" t="s">
        <v>3498</v>
      </c>
      <c r="C90" s="1">
        <v>45744</v>
      </c>
      <c r="D90" t="s">
        <v>23</v>
      </c>
      <c r="E90" t="s">
        <v>169</v>
      </c>
      <c r="F90" s="146" t="s">
        <v>110</v>
      </c>
      <c r="G90" s="146"/>
      <c r="H90" s="146" t="s">
        <v>4119</v>
      </c>
      <c r="I90" s="158"/>
      <c r="J90" s="158">
        <v>24131.82</v>
      </c>
      <c r="K90" s="72">
        <f t="shared" si="2"/>
        <v>-66100.550000000338</v>
      </c>
    </row>
    <row r="91" spans="1:11" ht="15" hidden="1">
      <c r="A91" s="54" t="str">
        <f>D91&amp;E91&amp;F91</f>
        <v>FINANZASRENTASA10</v>
      </c>
      <c r="B91" s="85" t="s">
        <v>3498</v>
      </c>
      <c r="C91" s="1">
        <v>45747</v>
      </c>
      <c r="D91" t="s">
        <v>23</v>
      </c>
      <c r="E91" t="s">
        <v>169</v>
      </c>
      <c r="F91" s="146" t="s">
        <v>96</v>
      </c>
      <c r="G91" s="146"/>
      <c r="H91" t="s">
        <v>4120</v>
      </c>
      <c r="I91" s="158"/>
      <c r="J91" s="158">
        <v>43714.99</v>
      </c>
      <c r="K91" s="72">
        <f t="shared" si="2"/>
        <v>-109815.54000000033</v>
      </c>
    </row>
    <row r="92" spans="1:11" ht="15" hidden="1">
      <c r="A92" s="54" t="str">
        <f>D92&amp;E92&amp;F92</f>
        <v>FINANZASRENTASE5</v>
      </c>
      <c r="B92" s="85" t="s">
        <v>3498</v>
      </c>
      <c r="C92" s="1">
        <v>45747</v>
      </c>
      <c r="D92" t="s">
        <v>23</v>
      </c>
      <c r="E92" t="s">
        <v>169</v>
      </c>
      <c r="F92" s="146" t="s">
        <v>111</v>
      </c>
      <c r="G92" s="146"/>
      <c r="H92" t="s">
        <v>4121</v>
      </c>
      <c r="I92" s="158"/>
      <c r="J92" s="158">
        <v>41223.25</v>
      </c>
      <c r="K92" s="72">
        <f t="shared" si="2"/>
        <v>-151038.79000000033</v>
      </c>
    </row>
    <row r="93" spans="1:11" ht="15" hidden="1">
      <c r="A93" s="54" t="str">
        <f>D93&amp;E93&amp;F93</f>
        <v>FINANZASRENTASA3</v>
      </c>
      <c r="B93" s="85" t="s">
        <v>3498</v>
      </c>
      <c r="C93" s="1">
        <v>45747</v>
      </c>
      <c r="D93" t="s">
        <v>23</v>
      </c>
      <c r="E93" t="s">
        <v>169</v>
      </c>
      <c r="F93" s="146" t="s">
        <v>90</v>
      </c>
      <c r="G93" s="146"/>
      <c r="H93" t="s">
        <v>4122</v>
      </c>
      <c r="I93" s="158"/>
      <c r="J93" s="158">
        <v>53796.97</v>
      </c>
      <c r="K93" s="72">
        <f t="shared" si="2"/>
        <v>-204835.76000000033</v>
      </c>
    </row>
    <row r="94" spans="1:11" ht="15" hidden="1">
      <c r="A94" s="54" t="str">
        <f>D94&amp;E94&amp;F94</f>
        <v>FINANZASRENTASA4</v>
      </c>
      <c r="B94" s="85" t="s">
        <v>3498</v>
      </c>
      <c r="C94" s="1">
        <v>45747</v>
      </c>
      <c r="D94" t="s">
        <v>23</v>
      </c>
      <c r="E94" t="s">
        <v>169</v>
      </c>
      <c r="F94" s="146" t="s">
        <v>91</v>
      </c>
      <c r="G94" s="146"/>
      <c r="H94" t="s">
        <v>4123</v>
      </c>
      <c r="I94" s="158"/>
      <c r="J94" s="158">
        <v>32800</v>
      </c>
      <c r="K94" s="72">
        <f t="shared" si="2"/>
        <v>-237635.76000000033</v>
      </c>
    </row>
    <row r="95" spans="1:11" ht="15" hidden="1">
      <c r="A95" s="54" t="str">
        <f>D95&amp;E95&amp;F95</f>
        <v>FINANZASRENTASA15</v>
      </c>
      <c r="B95" s="85" t="s">
        <v>3498</v>
      </c>
      <c r="C95" s="1">
        <v>45747</v>
      </c>
      <c r="D95" t="s">
        <v>23</v>
      </c>
      <c r="E95" t="s">
        <v>169</v>
      </c>
      <c r="F95" s="146" t="s">
        <v>100</v>
      </c>
      <c r="G95" s="146" t="s">
        <v>258</v>
      </c>
      <c r="H95" t="s">
        <v>4124</v>
      </c>
      <c r="I95" s="158"/>
      <c r="J95" s="158">
        <v>3240.3</v>
      </c>
      <c r="K95" s="72">
        <f t="shared" si="2"/>
        <v>-240876.06000000032</v>
      </c>
    </row>
    <row r="96" spans="1:11" ht="15" hidden="1">
      <c r="A96" s="54" t="str">
        <f>D96&amp;E96&amp;F96</f>
        <v>FINANZASRENTASA17</v>
      </c>
      <c r="B96" s="85" t="s">
        <v>3498</v>
      </c>
      <c r="C96" s="1">
        <v>45747</v>
      </c>
      <c r="D96" t="s">
        <v>23</v>
      </c>
      <c r="E96" t="s">
        <v>169</v>
      </c>
      <c r="F96" s="146" t="s">
        <v>102</v>
      </c>
      <c r="G96" s="146"/>
      <c r="H96" t="s">
        <v>4110</v>
      </c>
      <c r="I96" s="158"/>
      <c r="J96" s="158">
        <v>5000</v>
      </c>
      <c r="K96" s="72">
        <f t="shared" si="2"/>
        <v>-245876.06000000032</v>
      </c>
    </row>
    <row r="97" spans="1:11" ht="15" hidden="1">
      <c r="A97" s="54" t="str">
        <f>D97&amp;E97&amp;F97</f>
        <v>FINANZASRENTASA3</v>
      </c>
      <c r="B97" s="85" t="s">
        <v>3498</v>
      </c>
      <c r="C97" s="1">
        <v>45747</v>
      </c>
      <c r="D97" t="s">
        <v>23</v>
      </c>
      <c r="E97" t="s">
        <v>169</v>
      </c>
      <c r="F97" s="146" t="s">
        <v>90</v>
      </c>
      <c r="G97" s="146"/>
      <c r="H97" t="s">
        <v>4125</v>
      </c>
      <c r="I97" s="158"/>
      <c r="J97" s="158">
        <v>7500</v>
      </c>
      <c r="K97" s="72">
        <f t="shared" si="2"/>
        <v>-253376.06000000032</v>
      </c>
    </row>
    <row r="98" spans="1:11" ht="15" hidden="1">
      <c r="A98" s="54" t="str">
        <f>D98&amp;E98&amp;F98</f>
        <v/>
      </c>
      <c r="B98" s="85" t="s">
        <v>3498</v>
      </c>
      <c r="C98" s="1">
        <v>45747</v>
      </c>
      <c r="F98" s="146"/>
      <c r="G98" s="146"/>
      <c r="H98" s="146" t="s">
        <v>3472</v>
      </c>
      <c r="I98" s="158">
        <v>475000</v>
      </c>
      <c r="J98" s="158"/>
      <c r="K98" s="72">
        <f t="shared" si="2"/>
        <v>221623.93999999968</v>
      </c>
    </row>
    <row r="99" spans="1:11" ht="15" hidden="1">
      <c r="A99" s="54" t="str">
        <f>D99&amp;E99&amp;F99</f>
        <v>FINANZASRENTASA15</v>
      </c>
      <c r="B99" s="85" t="s">
        <v>3498</v>
      </c>
      <c r="C99" s="1">
        <v>45747</v>
      </c>
      <c r="D99" t="s">
        <v>23</v>
      </c>
      <c r="E99" t="s">
        <v>169</v>
      </c>
      <c r="F99" s="146" t="s">
        <v>100</v>
      </c>
      <c r="G99" s="146" t="s">
        <v>258</v>
      </c>
      <c r="H99" t="s">
        <v>4126</v>
      </c>
      <c r="I99" s="158"/>
      <c r="J99" s="158">
        <v>21354</v>
      </c>
      <c r="K99" s="72">
        <f t="shared" si="2"/>
        <v>200269.93999999968</v>
      </c>
    </row>
    <row r="100" spans="1:11" ht="15" hidden="1">
      <c r="A100" s="54" t="str">
        <f>D100&amp;E100&amp;F100</f>
        <v>FINANZASRENTASA4</v>
      </c>
      <c r="B100" s="85" t="s">
        <v>3498</v>
      </c>
      <c r="C100" s="1">
        <v>45747</v>
      </c>
      <c r="D100" t="s">
        <v>23</v>
      </c>
      <c r="E100" t="s">
        <v>169</v>
      </c>
      <c r="F100" s="146" t="s">
        <v>91</v>
      </c>
      <c r="G100" s="146"/>
      <c r="H100" t="s">
        <v>4071</v>
      </c>
      <c r="I100" s="158"/>
      <c r="J100" s="158">
        <v>5000</v>
      </c>
      <c r="K100" s="72">
        <f t="shared" si="2"/>
        <v>195269.93999999968</v>
      </c>
    </row>
    <row r="101" spans="1:11" ht="15" hidden="1">
      <c r="A101" s="54" t="str">
        <f>D101&amp;E101&amp;F101</f>
        <v>FINANZASRENTASA3</v>
      </c>
      <c r="B101" s="85" t="s">
        <v>3498</v>
      </c>
      <c r="C101" s="1">
        <v>45747</v>
      </c>
      <c r="D101" t="s">
        <v>23</v>
      </c>
      <c r="E101" t="s">
        <v>169</v>
      </c>
      <c r="F101" s="146" t="s">
        <v>90</v>
      </c>
      <c r="G101" s="146"/>
      <c r="H101" t="s">
        <v>4127</v>
      </c>
      <c r="I101" s="158"/>
      <c r="J101" s="158">
        <v>15000</v>
      </c>
      <c r="K101" s="72">
        <f t="shared" si="2"/>
        <v>180269.93999999968</v>
      </c>
    </row>
    <row r="102" spans="1:11" ht="15" hidden="1">
      <c r="A102" s="54" t="str">
        <f>D102&amp;E102&amp;F102</f>
        <v>FINANZASRENTASA10</v>
      </c>
      <c r="B102" s="85" t="s">
        <v>3498</v>
      </c>
      <c r="C102" s="1">
        <v>45749</v>
      </c>
      <c r="D102" t="s">
        <v>23</v>
      </c>
      <c r="E102" t="s">
        <v>169</v>
      </c>
      <c r="F102" s="146" t="s">
        <v>96</v>
      </c>
      <c r="G102" s="146"/>
      <c r="H102" t="s">
        <v>4128</v>
      </c>
      <c r="I102" s="158"/>
      <c r="J102" s="158">
        <v>31000</v>
      </c>
      <c r="K102" s="72">
        <f t="shared" si="2"/>
        <v>149269.93999999968</v>
      </c>
    </row>
    <row r="103" spans="1:11" ht="15" hidden="1">
      <c r="A103" s="54" t="str">
        <f>D103&amp;E103&amp;F103</f>
        <v/>
      </c>
      <c r="B103" s="85" t="s">
        <v>3498</v>
      </c>
      <c r="C103" s="1">
        <v>45751</v>
      </c>
      <c r="F103" s="146"/>
      <c r="G103" s="146"/>
      <c r="H103" s="146" t="s">
        <v>3472</v>
      </c>
      <c r="I103" s="158">
        <v>400000</v>
      </c>
      <c r="J103" s="158"/>
      <c r="K103" s="72">
        <f t="shared" si="2"/>
        <v>549269.93999999971</v>
      </c>
    </row>
    <row r="104" spans="1:11" ht="15" hidden="1">
      <c r="A104" s="54" t="str">
        <f>D104&amp;E104&amp;F104</f>
        <v/>
      </c>
      <c r="B104" s="85" t="s">
        <v>3498</v>
      </c>
      <c r="C104" s="1">
        <v>45751</v>
      </c>
      <c r="F104" s="146"/>
      <c r="G104" s="146"/>
      <c r="H104" t="s">
        <v>4129</v>
      </c>
      <c r="I104" s="158">
        <v>37500</v>
      </c>
      <c r="J104" s="158"/>
      <c r="K104" s="72">
        <f t="shared" si="2"/>
        <v>586769.93999999971</v>
      </c>
    </row>
    <row r="105" spans="1:11" ht="15" hidden="1">
      <c r="A105" s="54" t="str">
        <f>D105&amp;E105&amp;F105</f>
        <v>FINANZASRENTASA10</v>
      </c>
      <c r="B105" s="85" t="s">
        <v>3498</v>
      </c>
      <c r="C105" s="1">
        <v>45751</v>
      </c>
      <c r="D105" t="s">
        <v>23</v>
      </c>
      <c r="E105" t="s">
        <v>169</v>
      </c>
      <c r="F105" s="146" t="s">
        <v>96</v>
      </c>
      <c r="G105" s="146"/>
      <c r="H105" t="s">
        <v>4053</v>
      </c>
      <c r="I105" s="158"/>
      <c r="J105" s="158">
        <v>31225</v>
      </c>
      <c r="K105" s="72">
        <f>K104+I105-J105</f>
        <v>555544.93999999971</v>
      </c>
    </row>
    <row r="106" spans="1:11" ht="15" hidden="1">
      <c r="A106" s="54" t="str">
        <f>D106&amp;E106&amp;F106</f>
        <v/>
      </c>
      <c r="B106" s="85" t="s">
        <v>814</v>
      </c>
      <c r="C106" s="1">
        <v>45754</v>
      </c>
      <c r="F106" s="146"/>
      <c r="G106" s="146"/>
      <c r="H106" t="s">
        <v>4130</v>
      </c>
      <c r="I106" s="158">
        <v>37500</v>
      </c>
      <c r="K106" s="72">
        <f>K105+I106-J106</f>
        <v>593044.93999999971</v>
      </c>
    </row>
    <row r="107" spans="1:11" ht="15" hidden="1">
      <c r="A107" s="54" t="str">
        <f>D107&amp;E107&amp;F107</f>
        <v>FINANZASRENTASE2</v>
      </c>
      <c r="B107" s="85" t="s">
        <v>814</v>
      </c>
      <c r="C107" s="1">
        <v>45754</v>
      </c>
      <c r="D107" t="s">
        <v>23</v>
      </c>
      <c r="E107" s="12" t="s">
        <v>169</v>
      </c>
      <c r="F107" s="146" t="s">
        <v>108</v>
      </c>
      <c r="G107" s="146"/>
      <c r="H107" t="s">
        <v>4131</v>
      </c>
      <c r="I107" s="158"/>
      <c r="J107" s="158">
        <v>134130.88</v>
      </c>
      <c r="K107" s="72">
        <f>K106+I107-J107</f>
        <v>458914.05999999971</v>
      </c>
    </row>
    <row r="108" spans="1:11" ht="15" hidden="1">
      <c r="A108" s="54" t="str">
        <f>D108&amp;E108&amp;F108</f>
        <v>FINANZASRENTASE2</v>
      </c>
      <c r="B108" s="85" t="s">
        <v>814</v>
      </c>
      <c r="C108" s="1">
        <v>45754</v>
      </c>
      <c r="D108" t="s">
        <v>23</v>
      </c>
      <c r="E108" s="12" t="s">
        <v>169</v>
      </c>
      <c r="F108" s="146" t="s">
        <v>108</v>
      </c>
      <c r="G108" s="146"/>
      <c r="H108" t="s">
        <v>4131</v>
      </c>
      <c r="I108" s="158"/>
      <c r="J108" s="158">
        <v>4873.0200000000004</v>
      </c>
      <c r="K108" s="72">
        <f t="shared" ref="K108:K114" si="3">K107+I108-J108</f>
        <v>454041.03999999969</v>
      </c>
    </row>
    <row r="109" spans="1:11" ht="15" hidden="1">
      <c r="A109" s="54" t="str">
        <f>D109&amp;E109&amp;F109</f>
        <v>FINANZASRENTASA18</v>
      </c>
      <c r="B109" s="85" t="s">
        <v>814</v>
      </c>
      <c r="C109" s="1">
        <v>45754</v>
      </c>
      <c r="D109" t="s">
        <v>23</v>
      </c>
      <c r="E109" s="12" t="s">
        <v>169</v>
      </c>
      <c r="F109" s="146" t="s">
        <v>103</v>
      </c>
      <c r="G109" s="146"/>
      <c r="H109" t="s">
        <v>4132</v>
      </c>
      <c r="I109" s="158"/>
      <c r="J109" s="158">
        <v>88160</v>
      </c>
      <c r="K109" s="72">
        <f t="shared" si="3"/>
        <v>365881.03999999969</v>
      </c>
    </row>
    <row r="110" spans="1:11" ht="15" hidden="1">
      <c r="A110" s="54" t="str">
        <f>D110&amp;E110&amp;F110</f>
        <v>FINANZASRENTASE1</v>
      </c>
      <c r="B110" s="85" t="s">
        <v>814</v>
      </c>
      <c r="C110" s="1">
        <v>45754</v>
      </c>
      <c r="D110" t="s">
        <v>23</v>
      </c>
      <c r="E110" s="12" t="s">
        <v>169</v>
      </c>
      <c r="F110" s="146" t="s">
        <v>107</v>
      </c>
      <c r="G110" s="146"/>
      <c r="H110" t="s">
        <v>4133</v>
      </c>
      <c r="I110" s="158"/>
      <c r="J110" s="158">
        <v>52914.79</v>
      </c>
      <c r="K110" s="72">
        <f t="shared" si="3"/>
        <v>312966.24999999971</v>
      </c>
    </row>
    <row r="111" spans="1:11" ht="15" hidden="1">
      <c r="A111" s="54" t="str">
        <f>D111&amp;E111&amp;F111</f>
        <v>FINANZASRENTASA2</v>
      </c>
      <c r="B111" s="85" t="s">
        <v>814</v>
      </c>
      <c r="C111" s="1">
        <v>45756</v>
      </c>
      <c r="D111" t="s">
        <v>23</v>
      </c>
      <c r="E111" s="12" t="s">
        <v>169</v>
      </c>
      <c r="F111" s="146" t="s">
        <v>89</v>
      </c>
      <c r="G111" s="146"/>
      <c r="H111" t="s">
        <v>4134</v>
      </c>
      <c r="J111" s="3">
        <v>24354</v>
      </c>
      <c r="K111" s="72">
        <f t="shared" si="3"/>
        <v>288612.24999999971</v>
      </c>
    </row>
    <row r="112" spans="1:11" ht="15" hidden="1">
      <c r="A112" s="54" t="str">
        <f>D112&amp;E112&amp;F112</f>
        <v>FINANZASRENTASA9</v>
      </c>
      <c r="B112" s="85" t="s">
        <v>814</v>
      </c>
      <c r="C112" s="1">
        <v>45756</v>
      </c>
      <c r="D112" t="s">
        <v>23</v>
      </c>
      <c r="E112" s="12" t="s">
        <v>169</v>
      </c>
      <c r="F112" s="146" t="s">
        <v>95</v>
      </c>
      <c r="G112" s="146"/>
      <c r="H112" t="s">
        <v>4135</v>
      </c>
      <c r="J112" s="3">
        <v>23194</v>
      </c>
      <c r="K112" s="72">
        <f t="shared" si="3"/>
        <v>265418.24999999971</v>
      </c>
    </row>
    <row r="113" spans="1:11" ht="15" hidden="1">
      <c r="A113" s="54" t="str">
        <f>D113&amp;E113&amp;F113</f>
        <v>FINANZASRENTASA1</v>
      </c>
      <c r="B113" s="85" t="s">
        <v>814</v>
      </c>
      <c r="C113" s="1">
        <v>45756</v>
      </c>
      <c r="D113" t="s">
        <v>23</v>
      </c>
      <c r="E113" s="12" t="s">
        <v>169</v>
      </c>
      <c r="F113" s="146" t="s">
        <v>88</v>
      </c>
      <c r="G113" s="146"/>
      <c r="H113" t="s">
        <v>4136</v>
      </c>
      <c r="J113" s="3">
        <v>34790</v>
      </c>
      <c r="K113" s="72">
        <f t="shared" si="3"/>
        <v>230628.24999999971</v>
      </c>
    </row>
    <row r="114" spans="1:11" ht="15" hidden="1">
      <c r="A114" s="54" t="str">
        <f>D114&amp;E114&amp;F114</f>
        <v>FINANZASRENTASA5</v>
      </c>
      <c r="B114" s="85" t="s">
        <v>814</v>
      </c>
      <c r="C114" s="1">
        <v>45756</v>
      </c>
      <c r="D114" t="s">
        <v>23</v>
      </c>
      <c r="E114" s="12" t="s">
        <v>169</v>
      </c>
      <c r="F114" s="146" t="s">
        <v>92</v>
      </c>
      <c r="G114" s="146"/>
      <c r="H114" t="s">
        <v>4137</v>
      </c>
      <c r="J114" s="3">
        <v>52185</v>
      </c>
      <c r="K114" s="72">
        <f t="shared" si="3"/>
        <v>178443.24999999971</v>
      </c>
    </row>
    <row r="115" spans="1:11" ht="15" hidden="1">
      <c r="A115" s="54" t="str">
        <f>D115&amp;E115&amp;F115</f>
        <v>FINANZASRENTASA4</v>
      </c>
      <c r="B115" s="85" t="s">
        <v>814</v>
      </c>
      <c r="C115" s="1">
        <v>45756</v>
      </c>
      <c r="D115" t="s">
        <v>23</v>
      </c>
      <c r="E115" s="12" t="s">
        <v>169</v>
      </c>
      <c r="F115" s="146" t="s">
        <v>91</v>
      </c>
      <c r="G115" s="146"/>
      <c r="H115" t="s">
        <v>4138</v>
      </c>
      <c r="I115" s="158"/>
      <c r="J115" s="158">
        <v>23000</v>
      </c>
      <c r="K115" s="72">
        <f>K114+I115-J115</f>
        <v>155443.24999999971</v>
      </c>
    </row>
    <row r="116" spans="1:11" ht="15" hidden="1">
      <c r="A116" s="54" t="str">
        <f>D116&amp;E116&amp;F116</f>
        <v>FINANZASRENTASA12</v>
      </c>
      <c r="B116" s="85" t="s">
        <v>814</v>
      </c>
      <c r="C116" s="1">
        <v>45756</v>
      </c>
      <c r="D116" t="s">
        <v>23</v>
      </c>
      <c r="E116" s="12" t="s">
        <v>169</v>
      </c>
      <c r="F116" s="146" t="s">
        <v>98</v>
      </c>
      <c r="G116" s="146"/>
      <c r="H116" t="s">
        <v>4078</v>
      </c>
      <c r="I116" s="158"/>
      <c r="J116" s="158">
        <v>137560.29</v>
      </c>
      <c r="K116" s="72">
        <f>K115+I116-J116</f>
        <v>17882.959999999701</v>
      </c>
    </row>
    <row r="117" spans="1:11" ht="18" hidden="1" customHeight="1">
      <c r="A117" s="54" t="str">
        <f>D117&amp;E117&amp;F117</f>
        <v>FINANZASRENTASE6</v>
      </c>
      <c r="B117" s="85" t="s">
        <v>814</v>
      </c>
      <c r="C117" s="1">
        <v>45756</v>
      </c>
      <c r="D117" t="s">
        <v>23</v>
      </c>
      <c r="E117" s="12" t="s">
        <v>169</v>
      </c>
      <c r="F117" s="146" t="s">
        <v>112</v>
      </c>
      <c r="G117" s="146"/>
      <c r="H117" t="s">
        <v>4139</v>
      </c>
      <c r="I117" s="158"/>
      <c r="J117" s="158">
        <v>6500</v>
      </c>
      <c r="K117" s="72">
        <f>K116+I117-J117</f>
        <v>11382.959999999701</v>
      </c>
    </row>
    <row r="118" spans="1:11" ht="15" hidden="1">
      <c r="A118" s="54" t="str">
        <f>D118&amp;E118&amp;F118</f>
        <v/>
      </c>
      <c r="B118" s="85" t="s">
        <v>814</v>
      </c>
      <c r="C118" s="1">
        <v>45757</v>
      </c>
      <c r="F118" s="146"/>
      <c r="G118" s="146"/>
      <c r="H118" t="s">
        <v>3452</v>
      </c>
      <c r="I118" s="158">
        <v>100000</v>
      </c>
      <c r="K118" s="72">
        <f>K117+I118-J118</f>
        <v>111382.9599999997</v>
      </c>
    </row>
    <row r="119" spans="1:11" ht="15" hidden="1">
      <c r="A119" s="54" t="str">
        <f>D119&amp;E119&amp;F119</f>
        <v>FINANZASRENTASA22</v>
      </c>
      <c r="B119" s="85" t="s">
        <v>814</v>
      </c>
      <c r="C119" s="1">
        <v>45762</v>
      </c>
      <c r="D119" t="s">
        <v>23</v>
      </c>
      <c r="E119" s="12" t="s">
        <v>169</v>
      </c>
      <c r="F119" s="146" t="s">
        <v>104</v>
      </c>
      <c r="G119" s="146"/>
      <c r="H119" t="s">
        <v>4077</v>
      </c>
      <c r="J119" s="158">
        <v>50000</v>
      </c>
      <c r="K119" s="72">
        <f>K118+I119-J119</f>
        <v>61382.959999999701</v>
      </c>
    </row>
    <row r="120" spans="1:11" ht="15" hidden="1">
      <c r="A120" s="54" t="str">
        <f>D120&amp;E120&amp;F120</f>
        <v>FINANZASRENTASA15</v>
      </c>
      <c r="B120" s="85" t="s">
        <v>814</v>
      </c>
      <c r="C120" s="1">
        <v>45762</v>
      </c>
      <c r="D120" t="s">
        <v>23</v>
      </c>
      <c r="E120" s="12" t="s">
        <v>169</v>
      </c>
      <c r="F120" s="146" t="s">
        <v>100</v>
      </c>
      <c r="G120" s="146" t="s">
        <v>258</v>
      </c>
      <c r="H120" t="s">
        <v>4140</v>
      </c>
      <c r="I120" s="158"/>
      <c r="J120" s="158">
        <v>21354</v>
      </c>
      <c r="K120" s="72">
        <f>K119+I120-J120</f>
        <v>40028.959999999701</v>
      </c>
    </row>
    <row r="121" spans="1:11" ht="15" hidden="1">
      <c r="A121" s="54" t="str">
        <f>D121&amp;E121&amp;F121</f>
        <v>FINANZASRENTASE3</v>
      </c>
      <c r="B121" s="85" t="s">
        <v>814</v>
      </c>
      <c r="C121" s="1">
        <v>45764</v>
      </c>
      <c r="D121" t="s">
        <v>23</v>
      </c>
      <c r="E121" s="12" t="s">
        <v>169</v>
      </c>
      <c r="F121" s="146" t="s">
        <v>109</v>
      </c>
      <c r="G121" s="146"/>
      <c r="H121" t="s">
        <v>4141</v>
      </c>
      <c r="I121" s="158"/>
      <c r="J121" s="158">
        <v>43326.12</v>
      </c>
      <c r="K121" s="72">
        <f t="shared" ref="K121:K140" si="4">K120+I121-J121</f>
        <v>-3297.1600000003018</v>
      </c>
    </row>
    <row r="122" spans="1:11" ht="15" hidden="1">
      <c r="A122" s="54" t="str">
        <f>D122&amp;E122&amp;F122</f>
        <v/>
      </c>
      <c r="B122" s="85" t="s">
        <v>814</v>
      </c>
      <c r="C122" s="1">
        <v>45768</v>
      </c>
      <c r="F122" s="146"/>
      <c r="G122" s="146"/>
      <c r="H122" t="s">
        <v>3472</v>
      </c>
      <c r="I122" s="158">
        <v>300000</v>
      </c>
      <c r="J122" s="158"/>
      <c r="K122" s="72">
        <f t="shared" si="4"/>
        <v>296702.83999999968</v>
      </c>
    </row>
    <row r="123" spans="1:11" ht="15" hidden="1">
      <c r="A123" s="54" t="str">
        <f>D123&amp;E123&amp;F123</f>
        <v>FINANZASRENTASE8</v>
      </c>
      <c r="B123" s="85" t="s">
        <v>814</v>
      </c>
      <c r="C123" s="1">
        <v>45769</v>
      </c>
      <c r="D123" t="s">
        <v>23</v>
      </c>
      <c r="E123" s="12" t="s">
        <v>169</v>
      </c>
      <c r="F123" s="146" t="s">
        <v>114</v>
      </c>
      <c r="G123" s="146"/>
      <c r="H123" t="s">
        <v>4142</v>
      </c>
      <c r="I123" s="158"/>
      <c r="J123" s="158">
        <v>42197.32</v>
      </c>
      <c r="K123" s="72">
        <f t="shared" si="4"/>
        <v>254505.51999999967</v>
      </c>
    </row>
    <row r="124" spans="1:11" ht="15" hidden="1">
      <c r="A124" s="54" t="str">
        <f>D124&amp;E124&amp;F124</f>
        <v>FINANZASRENTASE8</v>
      </c>
      <c r="B124" s="85" t="s">
        <v>814</v>
      </c>
      <c r="C124" s="1">
        <v>45769</v>
      </c>
      <c r="D124" t="s">
        <v>23</v>
      </c>
      <c r="E124" s="12" t="s">
        <v>169</v>
      </c>
      <c r="F124" s="146" t="s">
        <v>114</v>
      </c>
      <c r="G124" s="146"/>
      <c r="H124" t="s">
        <v>4143</v>
      </c>
      <c r="I124" s="158"/>
      <c r="J124" s="158">
        <v>6329.59</v>
      </c>
      <c r="K124" s="72">
        <f t="shared" si="4"/>
        <v>248175.92999999967</v>
      </c>
    </row>
    <row r="125" spans="1:11" ht="15" hidden="1">
      <c r="A125" s="54" t="str">
        <f>D125&amp;E125&amp;F125</f>
        <v>FINANZASRENTASA11</v>
      </c>
      <c r="B125" s="85" t="s">
        <v>814</v>
      </c>
      <c r="C125" s="1">
        <v>45769</v>
      </c>
      <c r="D125" t="s">
        <v>23</v>
      </c>
      <c r="E125" s="12" t="s">
        <v>169</v>
      </c>
      <c r="F125" s="146" t="s">
        <v>97</v>
      </c>
      <c r="G125" s="146"/>
      <c r="H125" t="s">
        <v>4061</v>
      </c>
      <c r="I125" s="158"/>
      <c r="J125" s="158">
        <v>23746.7</v>
      </c>
      <c r="K125" s="72">
        <f t="shared" si="4"/>
        <v>224429.22999999966</v>
      </c>
    </row>
    <row r="126" spans="1:11" ht="15" hidden="1">
      <c r="A126" s="54" t="str">
        <f>D126&amp;E126&amp;F126</f>
        <v>FINANZASRENTASA6</v>
      </c>
      <c r="B126" s="85" t="s">
        <v>814</v>
      </c>
      <c r="C126" s="1">
        <v>45769</v>
      </c>
      <c r="D126" t="s">
        <v>23</v>
      </c>
      <c r="E126" s="12" t="s">
        <v>169</v>
      </c>
      <c r="F126" s="146" t="s">
        <v>93</v>
      </c>
      <c r="G126" s="146"/>
      <c r="H126" t="s">
        <v>4144</v>
      </c>
      <c r="I126" s="158"/>
      <c r="J126" s="158">
        <v>24000</v>
      </c>
      <c r="K126" s="72">
        <f t="shared" si="4"/>
        <v>200429.22999999966</v>
      </c>
    </row>
    <row r="127" spans="1:11" ht="15" hidden="1">
      <c r="A127" s="54" t="str">
        <f>D127&amp;E127&amp;F127</f>
        <v>FINANZASRENTASA18</v>
      </c>
      <c r="B127" s="85" t="s">
        <v>814</v>
      </c>
      <c r="C127" s="1">
        <v>45769</v>
      </c>
      <c r="D127" t="s">
        <v>23</v>
      </c>
      <c r="E127" s="12" t="s">
        <v>169</v>
      </c>
      <c r="F127" s="146" t="s">
        <v>103</v>
      </c>
      <c r="G127" s="146"/>
      <c r="H127" t="s">
        <v>4063</v>
      </c>
      <c r="I127" s="158"/>
      <c r="J127" s="158">
        <v>2042.32</v>
      </c>
      <c r="K127" s="72">
        <f t="shared" si="4"/>
        <v>198386.90999999965</v>
      </c>
    </row>
    <row r="128" spans="1:11" ht="15" hidden="1">
      <c r="A128" s="54" t="str">
        <f>D128&amp;E128&amp;F128</f>
        <v>FINANZASRENTASE6</v>
      </c>
      <c r="B128" s="85" t="s">
        <v>814</v>
      </c>
      <c r="C128" s="1">
        <v>45769</v>
      </c>
      <c r="D128" t="s">
        <v>23</v>
      </c>
      <c r="E128" s="12" t="s">
        <v>169</v>
      </c>
      <c r="F128" s="146" t="s">
        <v>112</v>
      </c>
      <c r="G128" s="146"/>
      <c r="H128" t="s">
        <v>4112</v>
      </c>
      <c r="I128" s="158"/>
      <c r="J128" s="158">
        <v>35388.36</v>
      </c>
      <c r="K128" s="72">
        <f t="shared" si="4"/>
        <v>162998.54999999964</v>
      </c>
    </row>
    <row r="129" spans="1:11" ht="15" hidden="1">
      <c r="A129" s="54" t="str">
        <f>D129&amp;E129&amp;F129</f>
        <v>FINANZASRENTASA14</v>
      </c>
      <c r="B129" s="85" t="s">
        <v>814</v>
      </c>
      <c r="C129" s="1">
        <v>45769</v>
      </c>
      <c r="D129" t="s">
        <v>23</v>
      </c>
      <c r="E129" s="12" t="s">
        <v>169</v>
      </c>
      <c r="F129" s="146" t="s">
        <v>99</v>
      </c>
      <c r="G129" s="146"/>
      <c r="H129" t="s">
        <v>4145</v>
      </c>
      <c r="I129" s="158"/>
      <c r="J129" s="158">
        <v>54288</v>
      </c>
      <c r="K129" s="72">
        <f t="shared" si="4"/>
        <v>108710.54999999964</v>
      </c>
    </row>
    <row r="130" spans="1:11" ht="15" hidden="1">
      <c r="A130" s="54" t="str">
        <f>D130&amp;E130&amp;F130</f>
        <v>FINANZASRENTASA11</v>
      </c>
      <c r="B130" s="85" t="s">
        <v>814</v>
      </c>
      <c r="C130" s="1">
        <v>45770</v>
      </c>
      <c r="D130" t="s">
        <v>23</v>
      </c>
      <c r="E130" s="12" t="s">
        <v>169</v>
      </c>
      <c r="F130" s="146" t="s">
        <v>97</v>
      </c>
      <c r="G130" s="146"/>
      <c r="H130" t="s">
        <v>4146</v>
      </c>
      <c r="I130" s="158"/>
      <c r="J130" s="158">
        <v>6825.87</v>
      </c>
      <c r="K130" s="72">
        <f t="shared" si="4"/>
        <v>101884.67999999964</v>
      </c>
    </row>
    <row r="131" spans="1:11" ht="15" hidden="1">
      <c r="A131" s="54" t="str">
        <f>D131&amp;E131&amp;F131</f>
        <v>FINANZASRENTASE9</v>
      </c>
      <c r="B131" s="85" t="s">
        <v>814</v>
      </c>
      <c r="C131" s="1">
        <v>45771</v>
      </c>
      <c r="D131" t="s">
        <v>23</v>
      </c>
      <c r="E131" s="12" t="s">
        <v>169</v>
      </c>
      <c r="F131" s="146" t="s">
        <v>116</v>
      </c>
      <c r="G131" s="146"/>
      <c r="H131" t="s">
        <v>4147</v>
      </c>
      <c r="I131" s="158"/>
      <c r="J131" s="158">
        <v>17845.439999999999</v>
      </c>
      <c r="K131" s="72">
        <f t="shared" si="4"/>
        <v>84039.239999999641</v>
      </c>
    </row>
    <row r="132" spans="1:11" ht="15" hidden="1">
      <c r="A132" s="54" t="str">
        <f>D132&amp;E132&amp;F132</f>
        <v/>
      </c>
      <c r="B132" s="85" t="s">
        <v>814</v>
      </c>
      <c r="C132" s="1">
        <v>45771</v>
      </c>
      <c r="F132" s="146"/>
      <c r="G132" s="146"/>
      <c r="H132" t="s">
        <v>3472</v>
      </c>
      <c r="I132" s="158">
        <v>100000</v>
      </c>
      <c r="J132" s="158"/>
      <c r="K132" s="72">
        <f t="shared" si="4"/>
        <v>184039.23999999964</v>
      </c>
    </row>
    <row r="133" spans="1:11" ht="15" hidden="1">
      <c r="A133" s="54" t="str">
        <f>D133&amp;E133&amp;F133</f>
        <v>FINANZASRENTASA16</v>
      </c>
      <c r="B133" s="85" t="s">
        <v>814</v>
      </c>
      <c r="C133" s="1">
        <v>45771</v>
      </c>
      <c r="D133" t="s">
        <v>23</v>
      </c>
      <c r="E133" s="12" t="s">
        <v>169</v>
      </c>
      <c r="F133" s="146" t="s">
        <v>101</v>
      </c>
      <c r="G133" s="146"/>
      <c r="H133" t="s">
        <v>4148</v>
      </c>
      <c r="J133" s="158">
        <v>18000</v>
      </c>
      <c r="K133" s="72">
        <f t="shared" si="4"/>
        <v>166039.23999999964</v>
      </c>
    </row>
    <row r="134" spans="1:11" ht="15" hidden="1">
      <c r="A134" s="54" t="str">
        <f>D134&amp;E134&amp;F134</f>
        <v>FINANZASRENTASA22</v>
      </c>
      <c r="B134" s="85" t="s">
        <v>814</v>
      </c>
      <c r="C134" s="1">
        <v>45771</v>
      </c>
      <c r="D134" t="s">
        <v>23</v>
      </c>
      <c r="E134" s="12" t="s">
        <v>169</v>
      </c>
      <c r="F134" s="146" t="s">
        <v>104</v>
      </c>
      <c r="G134" s="146"/>
      <c r="H134" t="s">
        <v>4077</v>
      </c>
      <c r="I134" s="158"/>
      <c r="J134" s="158">
        <v>45000</v>
      </c>
      <c r="K134" s="72">
        <f t="shared" si="4"/>
        <v>121039.23999999964</v>
      </c>
    </row>
    <row r="135" spans="1:11" ht="15" hidden="1">
      <c r="A135" s="54" t="str">
        <f>D135&amp;E135&amp;F135</f>
        <v/>
      </c>
      <c r="B135" s="85" t="s">
        <v>814</v>
      </c>
      <c r="C135" s="1">
        <v>45771</v>
      </c>
      <c r="F135" s="146"/>
      <c r="G135" s="146"/>
      <c r="H135" t="s">
        <v>3472</v>
      </c>
      <c r="I135" s="158">
        <v>200000</v>
      </c>
      <c r="J135" s="158"/>
      <c r="K135" s="72">
        <f t="shared" si="4"/>
        <v>321039.23999999964</v>
      </c>
    </row>
    <row r="136" spans="1:11" ht="15" hidden="1">
      <c r="A136" s="54" t="str">
        <f>D136&amp;E136&amp;F136</f>
        <v>FINANZASRENTASE4</v>
      </c>
      <c r="B136" s="85" t="s">
        <v>814</v>
      </c>
      <c r="C136" s="1">
        <v>45775</v>
      </c>
      <c r="D136" t="s">
        <v>23</v>
      </c>
      <c r="E136" s="12" t="s">
        <v>169</v>
      </c>
      <c r="F136" s="146" t="s">
        <v>110</v>
      </c>
      <c r="G136" s="146"/>
      <c r="H136" t="s">
        <v>4149</v>
      </c>
      <c r="J136" s="158">
        <v>77390</v>
      </c>
      <c r="K136" s="72">
        <f t="shared" si="4"/>
        <v>243649.23999999964</v>
      </c>
    </row>
    <row r="137" spans="1:11" ht="15" hidden="1">
      <c r="A137" s="54" t="str">
        <f>D137&amp;E137&amp;F137</f>
        <v>FINANZASRENTASE4</v>
      </c>
      <c r="B137" s="85" t="s">
        <v>814</v>
      </c>
      <c r="C137" s="1">
        <v>45775</v>
      </c>
      <c r="D137" t="s">
        <v>23</v>
      </c>
      <c r="E137" s="12" t="s">
        <v>169</v>
      </c>
      <c r="F137" s="146" t="s">
        <v>110</v>
      </c>
      <c r="G137" s="146"/>
      <c r="H137" t="s">
        <v>4150</v>
      </c>
      <c r="I137" s="158"/>
      <c r="J137" s="158">
        <v>24204.34</v>
      </c>
      <c r="K137" s="72">
        <f t="shared" si="4"/>
        <v>219444.89999999964</v>
      </c>
    </row>
    <row r="138" spans="1:11" ht="15" hidden="1">
      <c r="A138" s="54" t="str">
        <f>D138&amp;E138&amp;F138</f>
        <v>FINANZASRENTASA8</v>
      </c>
      <c r="B138" s="85" t="s">
        <v>814</v>
      </c>
      <c r="C138" s="1">
        <v>45775</v>
      </c>
      <c r="D138" t="s">
        <v>23</v>
      </c>
      <c r="E138" s="12" t="s">
        <v>169</v>
      </c>
      <c r="F138" s="146" t="s">
        <v>94</v>
      </c>
      <c r="G138" s="146"/>
      <c r="H138" t="s">
        <v>4151</v>
      </c>
      <c r="I138" s="158"/>
      <c r="J138" s="158">
        <v>43163.68</v>
      </c>
      <c r="K138" s="72">
        <f t="shared" si="4"/>
        <v>176281.21999999965</v>
      </c>
    </row>
    <row r="139" spans="1:11" ht="15" hidden="1">
      <c r="A139" s="54" t="str">
        <f>D139&amp;E139&amp;F139</f>
        <v>FINANZASRENTASA8</v>
      </c>
      <c r="B139" s="85" t="s">
        <v>814</v>
      </c>
      <c r="C139" s="1">
        <v>45775</v>
      </c>
      <c r="D139" t="s">
        <v>23</v>
      </c>
      <c r="E139" s="12" t="s">
        <v>169</v>
      </c>
      <c r="F139" s="146" t="s">
        <v>94</v>
      </c>
      <c r="G139" s="146"/>
      <c r="H139" t="s">
        <v>4058</v>
      </c>
      <c r="I139" s="158"/>
      <c r="J139" s="158">
        <v>78230.009999999995</v>
      </c>
      <c r="K139" s="72">
        <f t="shared" si="4"/>
        <v>98051.209999999657</v>
      </c>
    </row>
    <row r="140" spans="1:11" ht="15" hidden="1">
      <c r="A140" s="54" t="str">
        <f>D140&amp;E140&amp;F140</f>
        <v>FINANZASRENTASA23</v>
      </c>
      <c r="B140" s="85" t="s">
        <v>814</v>
      </c>
      <c r="C140" s="1">
        <v>45775</v>
      </c>
      <c r="D140" t="s">
        <v>23</v>
      </c>
      <c r="E140" s="12" t="s">
        <v>169</v>
      </c>
      <c r="F140" s="146" t="s">
        <v>105</v>
      </c>
      <c r="G140" s="146"/>
      <c r="H140" t="s">
        <v>4064</v>
      </c>
      <c r="I140" s="158"/>
      <c r="J140" s="158">
        <v>13768.28</v>
      </c>
      <c r="K140" s="72">
        <f t="shared" si="4"/>
        <v>84282.929999999658</v>
      </c>
    </row>
    <row r="141" spans="1:11" ht="15" hidden="1">
      <c r="A141" s="54" t="str">
        <f>D141&amp;E141&amp;F141</f>
        <v>FINANZASRENTASA24</v>
      </c>
      <c r="B141" s="85" t="s">
        <v>814</v>
      </c>
      <c r="C141" s="1">
        <v>45775</v>
      </c>
      <c r="D141" t="s">
        <v>23</v>
      </c>
      <c r="E141" s="12" t="s">
        <v>169</v>
      </c>
      <c r="F141" s="146" t="s">
        <v>106</v>
      </c>
      <c r="G141" s="146"/>
      <c r="H141" t="s">
        <v>4152</v>
      </c>
      <c r="I141" s="158"/>
      <c r="J141" s="158">
        <v>81319.3</v>
      </c>
      <c r="K141" s="72">
        <f>K140+I141-J141</f>
        <v>2963.6299999996554</v>
      </c>
    </row>
    <row r="142" spans="1:11" ht="15" hidden="1">
      <c r="A142" s="54" t="str">
        <f>D142&amp;E142&amp;F142</f>
        <v/>
      </c>
      <c r="B142" s="85" t="s">
        <v>814</v>
      </c>
      <c r="C142" s="1">
        <v>45775</v>
      </c>
      <c r="F142" s="146"/>
      <c r="G142" s="146"/>
      <c r="H142" t="s">
        <v>3472</v>
      </c>
      <c r="I142" s="158">
        <v>400000</v>
      </c>
      <c r="J142" s="158"/>
      <c r="K142" s="72">
        <f>K141+I142-J142</f>
        <v>402963.62999999966</v>
      </c>
    </row>
    <row r="143" spans="1:11" ht="15" hidden="1">
      <c r="A143" s="54" t="str">
        <f>D143&amp;E143&amp;F143</f>
        <v>FINANZASRENTASA17</v>
      </c>
      <c r="B143" s="85" t="s">
        <v>814</v>
      </c>
      <c r="C143" s="1">
        <v>45775</v>
      </c>
      <c r="D143" t="s">
        <v>23</v>
      </c>
      <c r="E143" t="s">
        <v>169</v>
      </c>
      <c r="F143" s="146" t="s">
        <v>102</v>
      </c>
      <c r="G143" s="146"/>
      <c r="H143" t="s">
        <v>4153</v>
      </c>
      <c r="I143" s="158"/>
      <c r="J143" s="158">
        <v>76326.960000000006</v>
      </c>
      <c r="K143" s="72">
        <f>K142+I143-J143</f>
        <v>326636.66999999963</v>
      </c>
    </row>
    <row r="144" spans="1:11" ht="15" hidden="1">
      <c r="A144" s="54" t="str">
        <f>D144&amp;E144&amp;F144</f>
        <v>FINANZASRENTASA3</v>
      </c>
      <c r="B144" s="85" t="s">
        <v>814</v>
      </c>
      <c r="C144" s="1">
        <v>45775</v>
      </c>
      <c r="D144" t="s">
        <v>23</v>
      </c>
      <c r="E144" t="s">
        <v>169</v>
      </c>
      <c r="F144" s="146" t="s">
        <v>90</v>
      </c>
      <c r="G144" s="146"/>
      <c r="H144" t="s">
        <v>4080</v>
      </c>
      <c r="I144" s="158"/>
      <c r="J144" s="158">
        <v>58145.99</v>
      </c>
      <c r="K144" s="72">
        <f>K143+I144-J144</f>
        <v>268490.67999999964</v>
      </c>
    </row>
    <row r="145" spans="1:11" ht="15" hidden="1">
      <c r="A145" s="54" t="str">
        <f>D145&amp;E145&amp;F145</f>
        <v>FINANZASRENTASA10</v>
      </c>
      <c r="B145" s="85" t="s">
        <v>814</v>
      </c>
      <c r="C145" s="1">
        <v>45775</v>
      </c>
      <c r="D145" t="s">
        <v>23</v>
      </c>
      <c r="E145" t="s">
        <v>169</v>
      </c>
      <c r="F145" s="146" t="s">
        <v>96</v>
      </c>
      <c r="G145" s="146"/>
      <c r="H145" t="s">
        <v>4128</v>
      </c>
      <c r="I145" s="158"/>
      <c r="J145" s="158">
        <v>43714.99</v>
      </c>
      <c r="K145" s="72">
        <f>K144+I145-J145</f>
        <v>224775.68999999965</v>
      </c>
    </row>
    <row r="146" spans="1:11" ht="15" hidden="1">
      <c r="A146" s="54" t="str">
        <f>D146&amp;E146&amp;F146</f>
        <v>FINANZASRENTASE5</v>
      </c>
      <c r="B146" s="85" t="s">
        <v>814</v>
      </c>
      <c r="C146" s="1">
        <v>45775</v>
      </c>
      <c r="D146" t="s">
        <v>23</v>
      </c>
      <c r="E146" t="s">
        <v>169</v>
      </c>
      <c r="F146" s="146" t="s">
        <v>111</v>
      </c>
      <c r="G146" s="146"/>
      <c r="H146" t="s">
        <v>4154</v>
      </c>
      <c r="I146" s="158"/>
      <c r="J146" s="158">
        <v>41223.25</v>
      </c>
      <c r="K146" s="72">
        <f>K145+I146-J146</f>
        <v>183552.43999999965</v>
      </c>
    </row>
    <row r="147" spans="1:11" ht="15" hidden="1">
      <c r="A147" s="54" t="str">
        <f>D147&amp;E147&amp;F147</f>
        <v>FINANZASRENTASA22</v>
      </c>
      <c r="B147" s="85" t="s">
        <v>814</v>
      </c>
      <c r="C147" s="1">
        <v>45775</v>
      </c>
      <c r="D147" t="s">
        <v>23</v>
      </c>
      <c r="E147" t="s">
        <v>169</v>
      </c>
      <c r="F147" s="146" t="s">
        <v>104</v>
      </c>
      <c r="G147" s="146"/>
      <c r="H147" t="s">
        <v>4077</v>
      </c>
      <c r="I147" s="158"/>
      <c r="J147" s="158">
        <v>44544.58</v>
      </c>
      <c r="K147" s="72">
        <f>K146+I147-J147</f>
        <v>139007.85999999964</v>
      </c>
    </row>
    <row r="148" spans="1:11" ht="15" hidden="1">
      <c r="A148" s="54" t="str">
        <f>D148&amp;E148&amp;F148</f>
        <v>FINANZASRENTASA15</v>
      </c>
      <c r="B148" s="85" t="s">
        <v>814</v>
      </c>
      <c r="C148" s="1">
        <v>45775</v>
      </c>
      <c r="D148" t="s">
        <v>23</v>
      </c>
      <c r="E148" t="s">
        <v>169</v>
      </c>
      <c r="F148" s="146" t="s">
        <v>100</v>
      </c>
      <c r="G148" s="146" t="s">
        <v>258</v>
      </c>
      <c r="H148" t="s">
        <v>4140</v>
      </c>
      <c r="I148" s="158"/>
      <c r="J148" s="158">
        <v>3240.3</v>
      </c>
      <c r="K148" s="72">
        <f>K147+I148-J148</f>
        <v>135767.55999999965</v>
      </c>
    </row>
    <row r="149" spans="1:11" ht="15" hidden="1">
      <c r="A149" s="54" t="str">
        <f>D149&amp;E149&amp;F149</f>
        <v>FINANZASRENTASA4</v>
      </c>
      <c r="B149" s="85" t="s">
        <v>814</v>
      </c>
      <c r="C149" s="1">
        <v>45775</v>
      </c>
      <c r="D149" t="s">
        <v>23</v>
      </c>
      <c r="E149" t="s">
        <v>169</v>
      </c>
      <c r="F149" s="146" t="s">
        <v>91</v>
      </c>
      <c r="G149" s="146"/>
      <c r="H149" t="s">
        <v>4138</v>
      </c>
      <c r="I149" s="158"/>
      <c r="J149" s="158">
        <v>32800</v>
      </c>
      <c r="K149" s="72">
        <f>K148+I149-J149</f>
        <v>102967.55999999965</v>
      </c>
    </row>
    <row r="150" spans="1:11" ht="15" hidden="1">
      <c r="A150" s="54" t="str">
        <f>D150&amp;E150&amp;F150</f>
        <v/>
      </c>
      <c r="B150" s="85" t="s">
        <v>814</v>
      </c>
      <c r="C150" s="1">
        <v>45779</v>
      </c>
      <c r="F150" s="146"/>
      <c r="G150" s="146"/>
      <c r="H150" t="s">
        <v>3472</v>
      </c>
      <c r="I150" s="158">
        <v>600000</v>
      </c>
      <c r="J150" s="158"/>
      <c r="K150" s="72">
        <f>K149+I150-J150</f>
        <v>702967.55999999959</v>
      </c>
    </row>
    <row r="151" spans="1:11" ht="15" hidden="1">
      <c r="A151" s="54" t="str">
        <f>D151&amp;E151&amp;F151</f>
        <v>FINANZASRENTASA2</v>
      </c>
      <c r="B151" s="85" t="s">
        <v>814</v>
      </c>
      <c r="C151" s="1">
        <v>45779</v>
      </c>
      <c r="D151" t="s">
        <v>23</v>
      </c>
      <c r="E151" t="s">
        <v>169</v>
      </c>
      <c r="F151" s="146" t="s">
        <v>89</v>
      </c>
      <c r="G151" s="146"/>
      <c r="H151" t="s">
        <v>4155</v>
      </c>
      <c r="I151" s="158"/>
      <c r="J151" s="158">
        <v>26459</v>
      </c>
      <c r="K151" s="72">
        <f t="shared" ref="K151:K156" si="5">K150+I151-J151</f>
        <v>676508.55999999959</v>
      </c>
    </row>
    <row r="152" spans="1:11" ht="15" hidden="1">
      <c r="A152" s="54" t="str">
        <f>D152&amp;E152&amp;F152</f>
        <v>FINANZASRENTASA9</v>
      </c>
      <c r="B152" s="85" t="s">
        <v>814</v>
      </c>
      <c r="C152" s="1">
        <v>45779</v>
      </c>
      <c r="D152" t="s">
        <v>23</v>
      </c>
      <c r="E152" t="s">
        <v>169</v>
      </c>
      <c r="F152" s="146" t="s">
        <v>95</v>
      </c>
      <c r="G152" s="146"/>
      <c r="H152" t="s">
        <v>4156</v>
      </c>
      <c r="I152" s="158"/>
      <c r="J152" s="158">
        <v>23193.68</v>
      </c>
      <c r="K152" s="72">
        <f t="shared" si="5"/>
        <v>653314.87999999954</v>
      </c>
    </row>
    <row r="153" spans="1:11" ht="15" hidden="1">
      <c r="A153" s="54" t="str">
        <f>D153&amp;E153&amp;F153</f>
        <v>FINANZASRENTASA1</v>
      </c>
      <c r="B153" s="85" t="s">
        <v>814</v>
      </c>
      <c r="C153" s="1">
        <v>45779</v>
      </c>
      <c r="D153" t="s">
        <v>23</v>
      </c>
      <c r="E153" t="s">
        <v>169</v>
      </c>
      <c r="F153" s="146" t="s">
        <v>88</v>
      </c>
      <c r="G153" s="146"/>
      <c r="H153" t="s">
        <v>4091</v>
      </c>
      <c r="I153" s="158"/>
      <c r="J153" s="158">
        <v>34789.440000000002</v>
      </c>
      <c r="K153" s="72">
        <f t="shared" si="5"/>
        <v>618525.43999999948</v>
      </c>
    </row>
    <row r="154" spans="1:11" ht="15" hidden="1">
      <c r="A154" s="54" t="str">
        <f>D154&amp;E154&amp;F154</f>
        <v>FINANZASRENTASA5</v>
      </c>
      <c r="B154" s="85" t="s">
        <v>814</v>
      </c>
      <c r="C154" s="1">
        <v>45779</v>
      </c>
      <c r="D154" t="s">
        <v>23</v>
      </c>
      <c r="E154" t="s">
        <v>169</v>
      </c>
      <c r="F154" s="146" t="s">
        <v>92</v>
      </c>
      <c r="G154" s="146"/>
      <c r="H154" t="s">
        <v>4157</v>
      </c>
      <c r="I154" s="158"/>
      <c r="J154" s="158">
        <v>52184.160000000003</v>
      </c>
      <c r="K154" s="72">
        <f t="shared" si="5"/>
        <v>566341.27999999945</v>
      </c>
    </row>
    <row r="155" spans="1:11" ht="15" hidden="1">
      <c r="A155" s="54" t="str">
        <f>D155&amp;E155&amp;F155</f>
        <v>FINANZASRENTASA10</v>
      </c>
      <c r="B155" s="85" t="s">
        <v>814</v>
      </c>
      <c r="C155" s="1">
        <v>45779</v>
      </c>
      <c r="D155" t="s">
        <v>23</v>
      </c>
      <c r="E155" t="s">
        <v>169</v>
      </c>
      <c r="F155" s="146" t="s">
        <v>96</v>
      </c>
      <c r="G155" s="146"/>
      <c r="H155" t="s">
        <v>4099</v>
      </c>
      <c r="I155" s="158"/>
      <c r="J155" s="3">
        <v>31000</v>
      </c>
      <c r="K155" s="72">
        <f t="shared" si="5"/>
        <v>535341.27999999945</v>
      </c>
    </row>
    <row r="156" spans="1:11" ht="15" hidden="1">
      <c r="A156" s="54" t="str">
        <f>D156&amp;E156&amp;F156</f>
        <v>FINANZASRENTASA10</v>
      </c>
      <c r="B156" s="85" t="s">
        <v>814</v>
      </c>
      <c r="C156" s="1">
        <v>45779</v>
      </c>
      <c r="D156" t="s">
        <v>23</v>
      </c>
      <c r="E156" t="s">
        <v>169</v>
      </c>
      <c r="F156" s="146" t="s">
        <v>96</v>
      </c>
      <c r="G156" s="146"/>
      <c r="H156" t="s">
        <v>4158</v>
      </c>
      <c r="I156" s="158"/>
      <c r="J156" s="158">
        <v>31225</v>
      </c>
      <c r="K156" s="72">
        <f t="shared" si="5"/>
        <v>504116.27999999945</v>
      </c>
    </row>
    <row r="157" spans="1:11" ht="15" hidden="1">
      <c r="A157" s="54" t="str">
        <f>D157&amp;E157&amp;F157</f>
        <v>FINANZASRENTASE2</v>
      </c>
      <c r="B157" s="274" t="s">
        <v>4159</v>
      </c>
      <c r="C157" s="1">
        <v>45783</v>
      </c>
      <c r="D157" t="s">
        <v>23</v>
      </c>
      <c r="E157" t="s">
        <v>169</v>
      </c>
      <c r="F157" s="146" t="s">
        <v>108</v>
      </c>
      <c r="G157" s="146"/>
      <c r="H157" t="s">
        <v>4160</v>
      </c>
      <c r="I157" s="158"/>
      <c r="J157" s="158">
        <v>134130.88</v>
      </c>
      <c r="K157" s="72">
        <f>K156+I157-J157</f>
        <v>369985.39999999944</v>
      </c>
    </row>
    <row r="158" spans="1:11" ht="15" hidden="1">
      <c r="A158" s="54" t="str">
        <f>D158&amp;E158&amp;F158</f>
        <v>FINANZASRENTASA12</v>
      </c>
      <c r="B158" s="274" t="s">
        <v>4159</v>
      </c>
      <c r="C158" s="1">
        <v>45783</v>
      </c>
      <c r="D158" t="s">
        <v>23</v>
      </c>
      <c r="E158" t="s">
        <v>169</v>
      </c>
      <c r="F158" s="146" t="s">
        <v>98</v>
      </c>
      <c r="G158" s="146"/>
      <c r="H158" t="s">
        <v>4161</v>
      </c>
      <c r="I158" s="158"/>
      <c r="J158" s="158">
        <v>137560.29</v>
      </c>
      <c r="K158" s="72">
        <f>K157+I158-J158</f>
        <v>232425.10999999943</v>
      </c>
    </row>
    <row r="159" spans="1:11" ht="15" hidden="1">
      <c r="A159" s="54" t="str">
        <f>D159&amp;E159&amp;F159</f>
        <v>FINANZASRENTASE1</v>
      </c>
      <c r="B159" s="274" t="s">
        <v>4159</v>
      </c>
      <c r="C159" s="1">
        <v>45783</v>
      </c>
      <c r="D159" t="s">
        <v>23</v>
      </c>
      <c r="E159" t="s">
        <v>169</v>
      </c>
      <c r="F159" s="146" t="s">
        <v>107</v>
      </c>
      <c r="G159" s="146"/>
      <c r="H159" t="s">
        <v>4162</v>
      </c>
      <c r="I159" s="158"/>
      <c r="J159" s="158">
        <v>52914.79</v>
      </c>
      <c r="K159" s="72">
        <f>K158+I159-J159</f>
        <v>179510.31999999942</v>
      </c>
    </row>
    <row r="160" spans="1:11" ht="15" hidden="1">
      <c r="A160" s="54" t="str">
        <f>D160&amp;E160&amp;F160</f>
        <v>FINANZASRENTASE8</v>
      </c>
      <c r="B160" s="274" t="s">
        <v>4159</v>
      </c>
      <c r="C160" s="1">
        <v>45786</v>
      </c>
      <c r="D160" t="s">
        <v>23</v>
      </c>
      <c r="E160" t="s">
        <v>169</v>
      </c>
      <c r="F160" s="146" t="s">
        <v>114</v>
      </c>
      <c r="G160" s="146"/>
      <c r="H160" t="s">
        <v>4163</v>
      </c>
      <c r="I160" s="158"/>
      <c r="J160" s="158">
        <v>4801.5</v>
      </c>
      <c r="K160" s="72">
        <f>K159+I160-J160</f>
        <v>174708.81999999942</v>
      </c>
    </row>
    <row r="161" spans="1:11" ht="15" hidden="1">
      <c r="A161" s="54" t="str">
        <f>D161&amp;E161&amp;F161</f>
        <v/>
      </c>
      <c r="B161" s="274" t="s">
        <v>4159</v>
      </c>
      <c r="C161" s="1">
        <v>45786</v>
      </c>
      <c r="F161" s="146"/>
      <c r="G161" s="146"/>
      <c r="H161" t="s">
        <v>3472</v>
      </c>
      <c r="I161" s="158">
        <v>150000</v>
      </c>
      <c r="J161" s="158"/>
      <c r="K161" s="72">
        <f>K160+I161-J161</f>
        <v>324708.81999999942</v>
      </c>
    </row>
    <row r="162" spans="1:11" ht="15" hidden="1">
      <c r="A162" s="54" t="str">
        <f>D162&amp;E162&amp;F162</f>
        <v/>
      </c>
      <c r="B162" s="274" t="s">
        <v>4159</v>
      </c>
      <c r="C162" s="1">
        <v>45789</v>
      </c>
      <c r="F162" s="146"/>
      <c r="G162" s="146"/>
      <c r="H162" t="s">
        <v>3472</v>
      </c>
      <c r="I162" s="158">
        <v>300000</v>
      </c>
      <c r="K162" s="72">
        <f>K161+I162-J162</f>
        <v>624708.81999999937</v>
      </c>
    </row>
    <row r="163" spans="1:11" ht="15" hidden="1">
      <c r="A163" s="54" t="str">
        <f>D163&amp;E163&amp;F163</f>
        <v>FINANZASRENTASE6</v>
      </c>
      <c r="B163" s="274" t="s">
        <v>4159</v>
      </c>
      <c r="C163" s="1">
        <v>45789</v>
      </c>
      <c r="D163" t="s">
        <v>23</v>
      </c>
      <c r="E163" t="s">
        <v>169</v>
      </c>
      <c r="F163" s="146" t="s">
        <v>112</v>
      </c>
      <c r="G163" s="146"/>
      <c r="H163" t="s">
        <v>4164</v>
      </c>
      <c r="I163" s="158"/>
      <c r="J163" s="158">
        <v>6500</v>
      </c>
      <c r="K163" s="72">
        <f>K162+I163-J163</f>
        <v>618208.81999999937</v>
      </c>
    </row>
    <row r="164" spans="1:11" ht="15" hidden="1">
      <c r="A164" s="54" t="str">
        <f>D164&amp;E164&amp;F164</f>
        <v>FINANZASRENTASA18</v>
      </c>
      <c r="B164" s="274" t="s">
        <v>4159</v>
      </c>
      <c r="C164" s="1">
        <v>45790</v>
      </c>
      <c r="D164" t="s">
        <v>23</v>
      </c>
      <c r="E164" t="s">
        <v>169</v>
      </c>
      <c r="F164" s="146" t="s">
        <v>103</v>
      </c>
      <c r="G164" s="146"/>
      <c r="H164" t="s">
        <v>4165</v>
      </c>
      <c r="I164" s="158"/>
      <c r="J164" s="158">
        <v>88160</v>
      </c>
      <c r="K164" s="72">
        <f>K163+I164-J164</f>
        <v>530048.81999999937</v>
      </c>
    </row>
    <row r="165" spans="1:11" ht="15" hidden="1">
      <c r="A165" s="54" t="str">
        <f>D165&amp;E165&amp;F165</f>
        <v>FINANZASRENTASA22</v>
      </c>
      <c r="B165" s="274" t="s">
        <v>4159</v>
      </c>
      <c r="C165" s="1">
        <v>45790</v>
      </c>
      <c r="D165" t="s">
        <v>23</v>
      </c>
      <c r="E165" t="s">
        <v>169</v>
      </c>
      <c r="F165" s="146" t="s">
        <v>104</v>
      </c>
      <c r="G165" s="146"/>
      <c r="H165" t="s">
        <v>4077</v>
      </c>
      <c r="I165" s="158"/>
      <c r="J165" s="158">
        <v>100000</v>
      </c>
      <c r="K165" s="72">
        <f t="shared" ref="K165:K186" si="6">K164+I165-J165</f>
        <v>430048.81999999937</v>
      </c>
    </row>
    <row r="166" spans="1:11" ht="15" hidden="1">
      <c r="A166" s="54" t="str">
        <f>D166&amp;E166&amp;F166</f>
        <v>FINANZASRENTASE8</v>
      </c>
      <c r="B166" s="274" t="s">
        <v>4159</v>
      </c>
      <c r="C166" s="1">
        <v>45792</v>
      </c>
      <c r="D166" t="s">
        <v>23</v>
      </c>
      <c r="E166" t="s">
        <v>169</v>
      </c>
      <c r="F166" s="146" t="s">
        <v>114</v>
      </c>
      <c r="G166" s="146"/>
      <c r="H166" t="s">
        <v>4166</v>
      </c>
      <c r="I166" s="158"/>
      <c r="J166" s="158">
        <v>42197.32</v>
      </c>
      <c r="K166" s="72">
        <f t="shared" si="6"/>
        <v>387851.49999999936</v>
      </c>
    </row>
    <row r="167" spans="1:11" ht="15" hidden="1">
      <c r="A167" s="54" t="str">
        <f>D167&amp;E167&amp;F167</f>
        <v>FINANZASRENTASE8</v>
      </c>
      <c r="B167" s="274" t="s">
        <v>4159</v>
      </c>
      <c r="C167" s="1">
        <v>45792</v>
      </c>
      <c r="D167" t="s">
        <v>23</v>
      </c>
      <c r="E167" t="s">
        <v>169</v>
      </c>
      <c r="F167" s="146" t="s">
        <v>114</v>
      </c>
      <c r="G167" s="146"/>
      <c r="H167" t="s">
        <v>4167</v>
      </c>
      <c r="I167" s="158"/>
      <c r="J167" s="158">
        <v>6329.69</v>
      </c>
      <c r="K167" s="72">
        <f t="shared" si="6"/>
        <v>381521.80999999936</v>
      </c>
    </row>
    <row r="168" spans="1:11" ht="15" hidden="1">
      <c r="A168" s="54" t="str">
        <f>D168&amp;E168&amp;F168</f>
        <v>FINANZASRENTASE3</v>
      </c>
      <c r="B168" s="274" t="s">
        <v>4159</v>
      </c>
      <c r="C168" s="1">
        <v>45792</v>
      </c>
      <c r="D168" t="s">
        <v>23</v>
      </c>
      <c r="E168" t="s">
        <v>169</v>
      </c>
      <c r="F168" s="146" t="s">
        <v>109</v>
      </c>
      <c r="G168" s="146"/>
      <c r="H168" t="s">
        <v>4168</v>
      </c>
      <c r="I168" s="158"/>
      <c r="J168" s="158">
        <v>43326.12</v>
      </c>
      <c r="K168" s="72">
        <f t="shared" si="6"/>
        <v>338195.68999999936</v>
      </c>
    </row>
    <row r="169" spans="1:11" ht="15" hidden="1">
      <c r="A169" s="54" t="str">
        <f>D169&amp;E169&amp;F169</f>
        <v>FINANZASRENTASA18</v>
      </c>
      <c r="B169" s="274" t="s">
        <v>4159</v>
      </c>
      <c r="C169" s="1">
        <v>45792</v>
      </c>
      <c r="D169" t="s">
        <v>23</v>
      </c>
      <c r="E169" t="s">
        <v>169</v>
      </c>
      <c r="F169" s="146" t="s">
        <v>103</v>
      </c>
      <c r="G169" s="146"/>
      <c r="H169" t="s">
        <v>4169</v>
      </c>
      <c r="I169" s="158"/>
      <c r="J169" s="158">
        <v>2042.32</v>
      </c>
      <c r="K169" s="72">
        <f t="shared" si="6"/>
        <v>336153.36999999936</v>
      </c>
    </row>
    <row r="170" spans="1:11" ht="15" hidden="1">
      <c r="A170" s="54" t="str">
        <f>D170&amp;E170&amp;F170</f>
        <v>FINANZASRENTASE9</v>
      </c>
      <c r="B170" s="274" t="s">
        <v>4159</v>
      </c>
      <c r="C170" s="1">
        <v>45792</v>
      </c>
      <c r="D170" t="s">
        <v>23</v>
      </c>
      <c r="E170" t="s">
        <v>169</v>
      </c>
      <c r="F170" s="146" t="s">
        <v>116</v>
      </c>
      <c r="G170" s="146"/>
      <c r="H170" t="s">
        <v>4170</v>
      </c>
      <c r="I170" s="158"/>
      <c r="J170" s="158">
        <v>74835.72</v>
      </c>
      <c r="K170" s="72">
        <f t="shared" si="6"/>
        <v>261317.64999999935</v>
      </c>
    </row>
    <row r="171" spans="1:11" ht="15" hidden="1">
      <c r="A171" s="54" t="str">
        <f>D171&amp;E171&amp;F171</f>
        <v>FINANZASRENTASE9</v>
      </c>
      <c r="B171" s="274" t="s">
        <v>4159</v>
      </c>
      <c r="C171" s="1">
        <v>45792</v>
      </c>
      <c r="D171" t="s">
        <v>23</v>
      </c>
      <c r="E171" t="s">
        <v>169</v>
      </c>
      <c r="F171" s="146" t="s">
        <v>116</v>
      </c>
      <c r="G171" s="146"/>
      <c r="H171" t="s">
        <v>4171</v>
      </c>
      <c r="I171" s="158"/>
      <c r="J171" s="158">
        <v>17845.439999999999</v>
      </c>
      <c r="K171" s="72">
        <f t="shared" si="6"/>
        <v>243472.20999999935</v>
      </c>
    </row>
    <row r="172" spans="1:11" ht="15" hidden="1">
      <c r="A172" s="54" t="str">
        <f>D172&amp;E172&amp;F172</f>
        <v>FINANZASRENTASA23</v>
      </c>
      <c r="B172" s="274" t="s">
        <v>4159</v>
      </c>
      <c r="C172" s="1">
        <v>45792</v>
      </c>
      <c r="D172" t="s">
        <v>23</v>
      </c>
      <c r="E172" t="s">
        <v>169</v>
      </c>
      <c r="F172" s="146" t="s">
        <v>105</v>
      </c>
      <c r="G172" s="146"/>
      <c r="H172" t="s">
        <v>4172</v>
      </c>
      <c r="I172" s="158"/>
      <c r="J172" s="158">
        <v>10282.36</v>
      </c>
      <c r="K172" s="72">
        <f t="shared" si="6"/>
        <v>233189.84999999934</v>
      </c>
    </row>
    <row r="173" spans="1:11" ht="15" hidden="1">
      <c r="A173" s="54" t="str">
        <f>D173&amp;E173&amp;F173</f>
        <v/>
      </c>
      <c r="B173" s="274" t="s">
        <v>4159</v>
      </c>
      <c r="C173" s="1">
        <v>45793</v>
      </c>
      <c r="F173" s="146"/>
      <c r="G173" s="146"/>
      <c r="H173" t="s">
        <v>3472</v>
      </c>
      <c r="I173" s="158">
        <v>280000</v>
      </c>
      <c r="J173" s="158"/>
      <c r="K173" s="72">
        <f t="shared" si="6"/>
        <v>513189.84999999934</v>
      </c>
    </row>
    <row r="174" spans="1:11" ht="15" hidden="1">
      <c r="A174" s="54" t="str">
        <f>D174&amp;E174&amp;F174</f>
        <v>FINANZASRENTASA22</v>
      </c>
      <c r="B174" s="274" t="s">
        <v>4159</v>
      </c>
      <c r="C174" s="1">
        <v>45793</v>
      </c>
      <c r="D174" t="s">
        <v>23</v>
      </c>
      <c r="E174" t="s">
        <v>169</v>
      </c>
      <c r="F174" s="146" t="s">
        <v>104</v>
      </c>
      <c r="G174" s="146"/>
      <c r="H174" t="s">
        <v>4077</v>
      </c>
      <c r="I174" s="158"/>
      <c r="J174" s="158">
        <v>100000</v>
      </c>
      <c r="K174" s="72">
        <f t="shared" si="6"/>
        <v>413189.84999999934</v>
      </c>
    </row>
    <row r="175" spans="1:11" ht="15" hidden="1">
      <c r="A175" s="54" t="str">
        <f>D175&amp;E175&amp;F175</f>
        <v>FINANZASRENTASA15</v>
      </c>
      <c r="B175" s="274" t="s">
        <v>4159</v>
      </c>
      <c r="C175" s="1">
        <v>45793</v>
      </c>
      <c r="D175" t="s">
        <v>23</v>
      </c>
      <c r="E175" t="s">
        <v>169</v>
      </c>
      <c r="F175" s="146" t="s">
        <v>100</v>
      </c>
      <c r="G175" s="146"/>
      <c r="H175" t="s">
        <v>4140</v>
      </c>
      <c r="I175" s="158"/>
      <c r="J175" s="158">
        <v>42707.5</v>
      </c>
      <c r="K175" s="72">
        <f t="shared" si="6"/>
        <v>370482.34999999934</v>
      </c>
    </row>
    <row r="176" spans="1:11" ht="15" hidden="1">
      <c r="A176" s="54" t="str">
        <f>D176&amp;E176&amp;F176</f>
        <v>FINANZASRENTASA12</v>
      </c>
      <c r="B176" s="274" t="s">
        <v>4159</v>
      </c>
      <c r="C176" s="1">
        <v>45793</v>
      </c>
      <c r="D176" t="s">
        <v>23</v>
      </c>
      <c r="E176" t="s">
        <v>169</v>
      </c>
      <c r="F176" s="146" t="s">
        <v>98</v>
      </c>
      <c r="G176" s="146"/>
      <c r="H176" t="s">
        <v>4078</v>
      </c>
      <c r="I176" s="158"/>
      <c r="J176" s="158">
        <v>5410.82</v>
      </c>
      <c r="K176" s="72">
        <f t="shared" si="6"/>
        <v>365071.52999999933</v>
      </c>
    </row>
    <row r="177" spans="1:11" ht="15" hidden="1">
      <c r="A177" s="54" t="str">
        <f>D177&amp;E177&amp;F177</f>
        <v/>
      </c>
      <c r="B177" s="274" t="s">
        <v>4159</v>
      </c>
      <c r="C177" s="1">
        <v>45796</v>
      </c>
      <c r="F177" s="146"/>
      <c r="G177" s="146"/>
      <c r="H177" t="s">
        <v>3472</v>
      </c>
      <c r="I177" s="158">
        <v>400000</v>
      </c>
      <c r="J177" s="158"/>
      <c r="K177" s="72">
        <f t="shared" si="6"/>
        <v>765071.52999999933</v>
      </c>
    </row>
    <row r="178" spans="1:11" ht="15" hidden="1">
      <c r="A178" s="54" t="str">
        <f>D178&amp;E178&amp;F178</f>
        <v>FINANZASRENTASA8</v>
      </c>
      <c r="B178" s="274" t="s">
        <v>4159</v>
      </c>
      <c r="C178" s="1">
        <v>45797</v>
      </c>
      <c r="D178" t="s">
        <v>23</v>
      </c>
      <c r="E178" t="s">
        <v>169</v>
      </c>
      <c r="F178" s="146" t="s">
        <v>94</v>
      </c>
      <c r="G178" s="146"/>
      <c r="H178" t="s">
        <v>4173</v>
      </c>
      <c r="I178" s="158"/>
      <c r="J178" s="158">
        <v>43827.88</v>
      </c>
      <c r="K178" s="72">
        <f t="shared" si="6"/>
        <v>721243.64999999932</v>
      </c>
    </row>
    <row r="179" spans="1:11" ht="15" hidden="1">
      <c r="A179" s="54" t="str">
        <f>D179&amp;E179&amp;F179</f>
        <v>FINANZASRENTASA11</v>
      </c>
      <c r="B179" s="274" t="s">
        <v>4159</v>
      </c>
      <c r="C179" s="1">
        <v>45797</v>
      </c>
      <c r="D179" t="s">
        <v>23</v>
      </c>
      <c r="E179" t="s">
        <v>169</v>
      </c>
      <c r="F179" s="146" t="s">
        <v>97</v>
      </c>
      <c r="G179" s="146"/>
      <c r="H179" t="s">
        <v>4174</v>
      </c>
      <c r="I179" s="158"/>
      <c r="J179" s="158">
        <v>25454.02</v>
      </c>
      <c r="K179" s="72">
        <f t="shared" si="6"/>
        <v>695789.62999999931</v>
      </c>
    </row>
    <row r="180" spans="1:11" ht="15" hidden="1">
      <c r="A180" s="54" t="str">
        <f>D180&amp;E180&amp;F180</f>
        <v>FINANZASRENTASA6</v>
      </c>
      <c r="B180" s="274" t="s">
        <v>4159</v>
      </c>
      <c r="C180" s="1">
        <v>45797</v>
      </c>
      <c r="D180" t="s">
        <v>23</v>
      </c>
      <c r="E180" t="s">
        <v>169</v>
      </c>
      <c r="F180" s="146" t="s">
        <v>93</v>
      </c>
      <c r="G180" s="146"/>
      <c r="H180" t="s">
        <v>4175</v>
      </c>
      <c r="I180" s="158"/>
      <c r="J180" s="158">
        <v>24000</v>
      </c>
      <c r="K180" s="72">
        <f t="shared" si="6"/>
        <v>671789.62999999931</v>
      </c>
    </row>
    <row r="181" spans="1:11" hidden="1">
      <c r="A181" s="54" t="str">
        <f>D181&amp;E181&amp;F181</f>
        <v>FINANZASRENTASA24</v>
      </c>
      <c r="B181" s="274" t="s">
        <v>4159</v>
      </c>
      <c r="C181" s="1">
        <v>45797</v>
      </c>
      <c r="D181" t="s">
        <v>23</v>
      </c>
      <c r="E181" t="s">
        <v>169</v>
      </c>
      <c r="F181" s="146" t="s">
        <v>106</v>
      </c>
      <c r="G181" s="146"/>
      <c r="H181" t="s">
        <v>4069</v>
      </c>
      <c r="I181" s="158"/>
      <c r="J181" s="158">
        <v>81319.3</v>
      </c>
      <c r="K181" s="72">
        <f t="shared" si="6"/>
        <v>590470.32999999926</v>
      </c>
    </row>
    <row r="182" spans="1:11" hidden="1">
      <c r="A182" s="54" t="str">
        <f>D182&amp;E182&amp;F182</f>
        <v>FINANZASRENTASE6</v>
      </c>
      <c r="B182" s="274" t="s">
        <v>4159</v>
      </c>
      <c r="C182" s="1">
        <v>45797</v>
      </c>
      <c r="D182" t="s">
        <v>23</v>
      </c>
      <c r="E182" t="s">
        <v>169</v>
      </c>
      <c r="F182" s="146" t="s">
        <v>112</v>
      </c>
      <c r="G182" s="146"/>
      <c r="H182" t="s">
        <v>4176</v>
      </c>
      <c r="I182" s="158"/>
      <c r="J182" s="158">
        <v>35388.36</v>
      </c>
      <c r="K182" s="72">
        <f t="shared" si="6"/>
        <v>555081.96999999927</v>
      </c>
    </row>
    <row r="183" spans="1:11" hidden="1">
      <c r="A183" s="54" t="str">
        <f>D183&amp;E183&amp;F183</f>
        <v>FINANZASRENTASA14</v>
      </c>
      <c r="B183" s="274" t="s">
        <v>4159</v>
      </c>
      <c r="C183" s="1">
        <v>45797</v>
      </c>
      <c r="D183" t="s">
        <v>23</v>
      </c>
      <c r="E183" t="s">
        <v>169</v>
      </c>
      <c r="F183" s="146" t="s">
        <v>99</v>
      </c>
      <c r="G183" s="146"/>
      <c r="H183" t="s">
        <v>4107</v>
      </c>
      <c r="I183" s="158"/>
      <c r="J183" s="158">
        <v>54288</v>
      </c>
      <c r="K183" s="72">
        <f t="shared" si="6"/>
        <v>500793.96999999927</v>
      </c>
    </row>
    <row r="184" spans="1:11" hidden="1">
      <c r="A184" s="54" t="str">
        <f>D184&amp;E184&amp;F184</f>
        <v>FINANZASRENTASE4</v>
      </c>
      <c r="B184" s="274" t="s">
        <v>4159</v>
      </c>
      <c r="C184" s="1">
        <v>45797</v>
      </c>
      <c r="D184" t="s">
        <v>23</v>
      </c>
      <c r="E184" t="s">
        <v>169</v>
      </c>
      <c r="F184" s="146" t="s">
        <v>110</v>
      </c>
      <c r="G184" s="146"/>
      <c r="H184" t="s">
        <v>4074</v>
      </c>
      <c r="I184" s="158"/>
      <c r="J184" s="158">
        <v>24514.25</v>
      </c>
      <c r="K184" s="72">
        <f>K183+I184-J184</f>
        <v>476279.71999999927</v>
      </c>
    </row>
    <row r="185" spans="1:11" hidden="1">
      <c r="A185" s="54" t="str">
        <f>D185&amp;E185&amp;F185</f>
        <v>FINANZASRENTASA16</v>
      </c>
      <c r="B185" s="274" t="s">
        <v>4159</v>
      </c>
      <c r="C185" s="1">
        <v>45798</v>
      </c>
      <c r="D185" t="s">
        <v>23</v>
      </c>
      <c r="E185" t="s">
        <v>169</v>
      </c>
      <c r="F185" s="146" t="s">
        <v>101</v>
      </c>
      <c r="G185" s="146"/>
      <c r="H185" t="s">
        <v>4113</v>
      </c>
      <c r="I185" s="158"/>
      <c r="J185" s="158">
        <v>18000</v>
      </c>
      <c r="K185" s="72">
        <f t="shared" ref="K185:K199" si="7">K184+I185-J185</f>
        <v>458279.71999999927</v>
      </c>
    </row>
    <row r="186" spans="1:11" hidden="1">
      <c r="A186" s="54" t="str">
        <f>D186&amp;E186&amp;F186</f>
        <v/>
      </c>
      <c r="B186" s="274" t="s">
        <v>4159</v>
      </c>
      <c r="C186" s="1">
        <v>45798</v>
      </c>
      <c r="F186" s="146"/>
      <c r="G186" s="146"/>
      <c r="H186" t="s">
        <v>4177</v>
      </c>
      <c r="I186" s="158"/>
      <c r="J186" s="158">
        <v>3480</v>
      </c>
      <c r="K186" s="72">
        <f t="shared" si="7"/>
        <v>454799.71999999927</v>
      </c>
    </row>
    <row r="187" spans="1:11" ht="15" hidden="1">
      <c r="A187" s="54" t="str">
        <f>D187&amp;E187&amp;F187</f>
        <v/>
      </c>
      <c r="B187" s="274" t="s">
        <v>4159</v>
      </c>
      <c r="C187" s="1">
        <v>45801</v>
      </c>
      <c r="F187" s="146"/>
      <c r="G187" s="146"/>
      <c r="H187" t="s">
        <v>4177</v>
      </c>
      <c r="I187" s="158"/>
      <c r="J187" s="158">
        <v>3480</v>
      </c>
      <c r="K187" s="72">
        <f t="shared" si="7"/>
        <v>451319.71999999927</v>
      </c>
    </row>
    <row r="188" spans="1:11" ht="15" hidden="1">
      <c r="A188" s="54" t="str">
        <f>D188&amp;E188&amp;F188</f>
        <v>FINANZASRENTASE4</v>
      </c>
      <c r="B188" s="274" t="s">
        <v>4159</v>
      </c>
      <c r="C188" s="1">
        <v>45803</v>
      </c>
      <c r="D188" t="s">
        <v>23</v>
      </c>
      <c r="E188" t="s">
        <v>169</v>
      </c>
      <c r="F188" s="146" t="s">
        <v>110</v>
      </c>
      <c r="G188" s="146"/>
      <c r="H188" t="s">
        <v>4118</v>
      </c>
      <c r="I188" s="158"/>
      <c r="J188" s="158">
        <v>77390</v>
      </c>
      <c r="K188" s="72">
        <f t="shared" si="7"/>
        <v>373929.71999999927</v>
      </c>
    </row>
    <row r="189" spans="1:11" ht="15" hidden="1">
      <c r="A189" s="54" t="str">
        <f>D189&amp;E189&amp;F189</f>
        <v>FINANZASRENTASA8</v>
      </c>
      <c r="B189" s="274" t="s">
        <v>4159</v>
      </c>
      <c r="C189" s="1">
        <v>45803</v>
      </c>
      <c r="D189" t="s">
        <v>23</v>
      </c>
      <c r="E189" t="s">
        <v>169</v>
      </c>
      <c r="F189" s="146" t="s">
        <v>94</v>
      </c>
      <c r="G189" s="146"/>
      <c r="H189" t="s">
        <v>4058</v>
      </c>
      <c r="I189" s="158"/>
      <c r="J189" s="158">
        <v>78230.009999999995</v>
      </c>
      <c r="K189" s="72">
        <f t="shared" si="7"/>
        <v>295699.70999999926</v>
      </c>
    </row>
    <row r="190" spans="1:11" ht="15" hidden="1">
      <c r="A190" s="54" t="str">
        <f>D190&amp;E190&amp;F190</f>
        <v/>
      </c>
      <c r="B190" s="274" t="s">
        <v>4159</v>
      </c>
      <c r="C190" s="1">
        <v>45804</v>
      </c>
      <c r="F190" s="146"/>
      <c r="G190" s="146"/>
      <c r="H190" t="s">
        <v>3472</v>
      </c>
      <c r="I190" s="158">
        <v>150000</v>
      </c>
      <c r="J190" s="158"/>
      <c r="K190" s="72">
        <f t="shared" si="7"/>
        <v>445699.70999999926</v>
      </c>
    </row>
    <row r="191" spans="1:11" ht="15" hidden="1">
      <c r="A191" s="54" t="str">
        <f>D191&amp;E191&amp;F191</f>
        <v/>
      </c>
      <c r="B191" s="274" t="s">
        <v>4159</v>
      </c>
      <c r="C191" s="1">
        <v>45805</v>
      </c>
      <c r="F191" s="146"/>
      <c r="G191" s="146"/>
      <c r="H191" t="s">
        <v>4178</v>
      </c>
      <c r="I191" s="158"/>
      <c r="J191" s="158">
        <v>3500</v>
      </c>
      <c r="K191" s="72">
        <f t="shared" si="7"/>
        <v>442199.70999999926</v>
      </c>
    </row>
    <row r="192" spans="1:11" ht="15" hidden="1">
      <c r="A192" s="54" t="str">
        <f>D192&amp;E192&amp;F192</f>
        <v>FINANZASRENTASA10</v>
      </c>
      <c r="B192" s="274" t="s">
        <v>4159</v>
      </c>
      <c r="C192" s="1">
        <v>45805</v>
      </c>
      <c r="D192" t="s">
        <v>23</v>
      </c>
      <c r="E192" t="s">
        <v>169</v>
      </c>
      <c r="F192" s="146" t="s">
        <v>96</v>
      </c>
      <c r="G192" s="146"/>
      <c r="H192" t="s">
        <v>4099</v>
      </c>
      <c r="I192" s="158"/>
      <c r="J192" s="158">
        <v>43714.99</v>
      </c>
      <c r="K192" s="72">
        <f t="shared" si="7"/>
        <v>398484.71999999927</v>
      </c>
    </row>
    <row r="193" spans="1:11" ht="15" hidden="1">
      <c r="A193" s="54" t="str">
        <f>D193&amp;E193&amp;F193</f>
        <v>FINANZASRENTASA5</v>
      </c>
      <c r="B193" s="274" t="s">
        <v>4159</v>
      </c>
      <c r="C193" s="1">
        <v>45805</v>
      </c>
      <c r="D193" t="s">
        <v>23</v>
      </c>
      <c r="E193" t="s">
        <v>169</v>
      </c>
      <c r="F193" s="146" t="s">
        <v>92</v>
      </c>
      <c r="G193" s="146"/>
      <c r="H193" t="s">
        <v>4179</v>
      </c>
      <c r="I193" s="158"/>
      <c r="J193" s="158">
        <v>41223.25</v>
      </c>
      <c r="K193" s="72">
        <f t="shared" si="7"/>
        <v>357261.46999999927</v>
      </c>
    </row>
    <row r="194" spans="1:11" ht="15" hidden="1">
      <c r="A194" s="54" t="str">
        <f>D194&amp;E194&amp;F194</f>
        <v>FINANZASRENTASA17</v>
      </c>
      <c r="B194" s="274" t="s">
        <v>4159</v>
      </c>
      <c r="C194" s="1">
        <v>45805</v>
      </c>
      <c r="D194" t="s">
        <v>23</v>
      </c>
      <c r="E194" t="s">
        <v>169</v>
      </c>
      <c r="F194" s="146" t="s">
        <v>102</v>
      </c>
      <c r="G194" s="146"/>
      <c r="H194" t="s">
        <v>4180</v>
      </c>
      <c r="I194" s="158"/>
      <c r="J194" s="158">
        <v>76326.960000000006</v>
      </c>
      <c r="K194" s="72">
        <f t="shared" si="7"/>
        <v>280934.50999999925</v>
      </c>
    </row>
    <row r="195" spans="1:11" ht="15" hidden="1">
      <c r="A195" s="54" t="str">
        <f>D195&amp;E195&amp;F195</f>
        <v>FINANZASRENTASA3</v>
      </c>
      <c r="B195" s="274" t="s">
        <v>4159</v>
      </c>
      <c r="C195" s="1">
        <v>45805</v>
      </c>
      <c r="D195" t="s">
        <v>23</v>
      </c>
      <c r="E195" t="s">
        <v>169</v>
      </c>
      <c r="F195" s="146" t="s">
        <v>90</v>
      </c>
      <c r="G195" s="146"/>
      <c r="H195" t="s">
        <v>4181</v>
      </c>
      <c r="I195" s="158"/>
      <c r="J195" s="158">
        <v>53796.97</v>
      </c>
      <c r="K195" s="72">
        <f t="shared" si="7"/>
        <v>227137.53999999925</v>
      </c>
    </row>
    <row r="196" spans="1:11" ht="15" hidden="1">
      <c r="A196" s="54" t="str">
        <f>D196&amp;E196&amp;F196</f>
        <v>FINANZASRENTASA4</v>
      </c>
      <c r="B196" s="274" t="s">
        <v>4159</v>
      </c>
      <c r="C196" s="1">
        <v>45805</v>
      </c>
      <c r="D196" t="s">
        <v>23</v>
      </c>
      <c r="E196" t="s">
        <v>169</v>
      </c>
      <c r="F196" s="146" t="s">
        <v>91</v>
      </c>
      <c r="G196" s="146"/>
      <c r="H196" t="s">
        <v>4182</v>
      </c>
      <c r="I196" s="158"/>
      <c r="J196" s="158">
        <v>32800</v>
      </c>
      <c r="K196" s="72">
        <f t="shared" si="7"/>
        <v>194337.53999999925</v>
      </c>
    </row>
    <row r="197" spans="1:11" ht="15" hidden="1">
      <c r="A197" s="54" t="str">
        <f>D197&amp;E197&amp;F197</f>
        <v>FINANZASRENTASE8</v>
      </c>
      <c r="B197" s="274" t="s">
        <v>4159</v>
      </c>
      <c r="C197" s="1">
        <v>45805</v>
      </c>
      <c r="D197" t="s">
        <v>23</v>
      </c>
      <c r="E197" t="s">
        <v>169</v>
      </c>
      <c r="F197" s="146" t="s">
        <v>114</v>
      </c>
      <c r="G197" s="146"/>
      <c r="H197" t="s">
        <v>4183</v>
      </c>
      <c r="I197" s="158"/>
      <c r="J197" s="158">
        <v>12846.48</v>
      </c>
      <c r="K197" s="72">
        <f>K196+I197-J197</f>
        <v>181491.05999999924</v>
      </c>
    </row>
    <row r="198" spans="1:11" ht="15" hidden="1">
      <c r="A198" s="54" t="str">
        <f>D198&amp;E198&amp;F198</f>
        <v>FINANZASRENTASE8</v>
      </c>
      <c r="B198" s="274" t="s">
        <v>4159</v>
      </c>
      <c r="C198" s="1">
        <v>45805</v>
      </c>
      <c r="D198" t="s">
        <v>23</v>
      </c>
      <c r="E198" t="s">
        <v>169</v>
      </c>
      <c r="F198" s="146" t="s">
        <v>114</v>
      </c>
      <c r="G198" s="146"/>
      <c r="H198" t="s">
        <v>4167</v>
      </c>
      <c r="I198" s="158"/>
      <c r="J198" s="158">
        <v>9949.24</v>
      </c>
      <c r="K198" s="72">
        <f>K197+I198-J198</f>
        <v>171541.81999999925</v>
      </c>
    </row>
    <row r="199" spans="1:11" ht="15" hidden="1">
      <c r="A199" s="54" t="str">
        <f>D199&amp;E199&amp;F199</f>
        <v>FINANZASRENTASA15</v>
      </c>
      <c r="B199" s="274" t="s">
        <v>4159</v>
      </c>
      <c r="C199" s="1">
        <v>45805</v>
      </c>
      <c r="D199" t="s">
        <v>23</v>
      </c>
      <c r="E199" t="s">
        <v>169</v>
      </c>
      <c r="F199" s="146" t="s">
        <v>100</v>
      </c>
      <c r="G199" s="146" t="s">
        <v>258</v>
      </c>
      <c r="H199" t="s">
        <v>4085</v>
      </c>
      <c r="I199" s="158"/>
      <c r="J199" s="158">
        <v>3240</v>
      </c>
      <c r="K199" s="72">
        <f>K198+I199-J199</f>
        <v>168301.81999999925</v>
      </c>
    </row>
    <row r="200" spans="1:11" ht="15" hidden="1">
      <c r="A200" s="54" t="str">
        <f>D200&amp;E200&amp;F200</f>
        <v/>
      </c>
      <c r="B200" s="274" t="s">
        <v>4159</v>
      </c>
      <c r="C200" s="1">
        <v>45807</v>
      </c>
      <c r="F200" s="146"/>
      <c r="G200" s="146"/>
      <c r="H200" t="s">
        <v>3472</v>
      </c>
      <c r="I200" s="158">
        <v>27377.27</v>
      </c>
      <c r="J200" s="158"/>
      <c r="K200" s="72">
        <f>K199+I200-J200</f>
        <v>195679.08999999924</v>
      </c>
    </row>
    <row r="201" spans="1:11" ht="15" hidden="1">
      <c r="A201" s="54" t="str">
        <f>D201&amp;E201&amp;F201</f>
        <v>FINANZASRENTASA2</v>
      </c>
      <c r="B201" s="274" t="s">
        <v>4159</v>
      </c>
      <c r="C201" s="1">
        <v>45807</v>
      </c>
      <c r="D201" t="s">
        <v>23</v>
      </c>
      <c r="E201" t="s">
        <v>169</v>
      </c>
      <c r="F201" s="146" t="s">
        <v>89</v>
      </c>
      <c r="G201" s="146"/>
      <c r="H201" t="s">
        <v>4184</v>
      </c>
      <c r="I201" s="158"/>
      <c r="J201" s="158">
        <v>26459</v>
      </c>
      <c r="K201" s="72">
        <f>K200+I201-J201</f>
        <v>169220.08999999924</v>
      </c>
    </row>
    <row r="202" spans="1:11" ht="15" hidden="1">
      <c r="A202" s="54" t="str">
        <f>D202&amp;E202&amp;F202</f>
        <v>FINANZASRENTASA9</v>
      </c>
      <c r="B202" s="274" t="s">
        <v>4159</v>
      </c>
      <c r="C202" s="1">
        <v>45807</v>
      </c>
      <c r="D202" t="s">
        <v>23</v>
      </c>
      <c r="E202" t="s">
        <v>169</v>
      </c>
      <c r="F202" s="146" t="s">
        <v>95</v>
      </c>
      <c r="G202" s="146"/>
      <c r="H202" t="s">
        <v>4156</v>
      </c>
      <c r="I202" s="158"/>
      <c r="J202" s="158">
        <v>12733.68</v>
      </c>
      <c r="K202" s="72">
        <f>K201+I202-J202</f>
        <v>156486.40999999925</v>
      </c>
    </row>
    <row r="203" spans="1:11" ht="15" hidden="1">
      <c r="A203" s="54" t="str">
        <f>D203&amp;E203&amp;F203</f>
        <v>FINANZASRENTASA1</v>
      </c>
      <c r="B203" s="274" t="s">
        <v>4159</v>
      </c>
      <c r="C203" s="1">
        <v>45807</v>
      </c>
      <c r="D203" t="s">
        <v>23</v>
      </c>
      <c r="E203" t="s">
        <v>169</v>
      </c>
      <c r="F203" s="146" t="s">
        <v>88</v>
      </c>
      <c r="G203" s="146"/>
      <c r="H203" t="s">
        <v>4091</v>
      </c>
      <c r="I203" s="158"/>
      <c r="J203" s="158">
        <v>34789.440000000002</v>
      </c>
      <c r="K203" s="72">
        <f>K202+I203-J203</f>
        <v>121696.96999999924</v>
      </c>
    </row>
    <row r="204" spans="1:11" ht="15" hidden="1">
      <c r="A204" s="54" t="str">
        <f>D204&amp;E204&amp;F204</f>
        <v>FINANZASRENTASA5</v>
      </c>
      <c r="B204" s="274" t="s">
        <v>4159</v>
      </c>
      <c r="C204" s="1">
        <v>45807</v>
      </c>
      <c r="D204" t="s">
        <v>23</v>
      </c>
      <c r="E204" t="s">
        <v>169</v>
      </c>
      <c r="F204" s="146" t="s">
        <v>92</v>
      </c>
      <c r="G204" s="146"/>
      <c r="H204" t="s">
        <v>4092</v>
      </c>
      <c r="I204" s="158"/>
      <c r="J204" s="158">
        <v>52184.160000000003</v>
      </c>
      <c r="K204" s="72">
        <f>K203+I204-J204</f>
        <v>69512.809999999241</v>
      </c>
    </row>
    <row r="205" spans="1:11" ht="15" hidden="1">
      <c r="A205" s="54" t="str">
        <f>D205&amp;E205&amp;F205</f>
        <v>FINANZASRENTASA22</v>
      </c>
      <c r="B205" s="274" t="s">
        <v>4159</v>
      </c>
      <c r="C205" s="1">
        <v>45807</v>
      </c>
      <c r="D205" t="s">
        <v>23</v>
      </c>
      <c r="E205" t="s">
        <v>169</v>
      </c>
      <c r="F205" s="146" t="s">
        <v>104</v>
      </c>
      <c r="G205" s="146"/>
      <c r="H205" t="s">
        <v>4185</v>
      </c>
      <c r="I205" s="158"/>
      <c r="J205" s="158">
        <v>44544.58</v>
      </c>
      <c r="K205" s="72">
        <f>K204+I205-J205</f>
        <v>24968.229999999239</v>
      </c>
    </row>
    <row r="206" spans="1:11" ht="15" hidden="1">
      <c r="A206" s="54" t="str">
        <f>D206&amp;E206&amp;F206</f>
        <v>FINANZASRENTASA23</v>
      </c>
      <c r="B206" s="274" t="s">
        <v>4159</v>
      </c>
      <c r="C206" s="1">
        <v>45807</v>
      </c>
      <c r="D206" t="s">
        <v>23</v>
      </c>
      <c r="E206" t="s">
        <v>169</v>
      </c>
      <c r="F206" s="146" t="s">
        <v>105</v>
      </c>
      <c r="G206" s="146"/>
      <c r="H206" t="s">
        <v>4186</v>
      </c>
      <c r="I206" s="158"/>
      <c r="J206" s="158">
        <v>3072.48</v>
      </c>
      <c r="K206" s="72">
        <f>K205+I206-J206</f>
        <v>21895.74999999924</v>
      </c>
    </row>
    <row r="207" spans="1:11" ht="15" hidden="1">
      <c r="A207" s="54" t="str">
        <f>D207&amp;E207&amp;F207</f>
        <v/>
      </c>
      <c r="B207" s="274" t="s">
        <v>1277</v>
      </c>
      <c r="C207" s="1">
        <v>45810</v>
      </c>
      <c r="F207" s="146"/>
      <c r="G207" s="146"/>
      <c r="H207" t="s">
        <v>3472</v>
      </c>
      <c r="I207" s="158">
        <v>200000</v>
      </c>
      <c r="J207" s="158"/>
      <c r="K207" s="72">
        <f>K206+I207-J207</f>
        <v>221895.74999999924</v>
      </c>
    </row>
    <row r="208" spans="1:11" ht="15" hidden="1">
      <c r="A208" s="54" t="str">
        <f>D208&amp;E208&amp;F208</f>
        <v>FINANZASRENTASA10</v>
      </c>
      <c r="B208" s="274" t="s">
        <v>1277</v>
      </c>
      <c r="C208" s="1">
        <v>45811</v>
      </c>
      <c r="D208" t="s">
        <v>23</v>
      </c>
      <c r="E208" t="s">
        <v>169</v>
      </c>
      <c r="F208" s="146" t="s">
        <v>96</v>
      </c>
      <c r="G208" s="146"/>
      <c r="H208" t="s">
        <v>4187</v>
      </c>
      <c r="I208" s="158"/>
      <c r="J208" s="158">
        <v>31000</v>
      </c>
      <c r="K208" s="72">
        <f>K207+I208-J208</f>
        <v>190895.74999999924</v>
      </c>
    </row>
    <row r="209" spans="1:11" ht="15" hidden="1">
      <c r="A209" s="54" t="str">
        <f>D209&amp;E209&amp;F209</f>
        <v>FINANZASRENTASA4</v>
      </c>
      <c r="B209" s="274" t="s">
        <v>1277</v>
      </c>
      <c r="C209" s="1">
        <v>45811</v>
      </c>
      <c r="D209" t="s">
        <v>23</v>
      </c>
      <c r="E209" t="s">
        <v>169</v>
      </c>
      <c r="F209" s="146" t="s">
        <v>91</v>
      </c>
      <c r="G209" s="146"/>
      <c r="H209" t="s">
        <v>4188</v>
      </c>
      <c r="I209" s="158"/>
      <c r="J209" s="158">
        <v>30000</v>
      </c>
      <c r="K209" s="72">
        <f>K208+I209-J209</f>
        <v>160895.74999999924</v>
      </c>
    </row>
    <row r="210" spans="1:11" ht="15" hidden="1">
      <c r="A210" s="54" t="str">
        <f>D210&amp;E210&amp;F210</f>
        <v>FINANZASRENTASA18</v>
      </c>
      <c r="B210" s="274" t="s">
        <v>1277</v>
      </c>
      <c r="C210" s="1">
        <v>45811</v>
      </c>
      <c r="D210" t="s">
        <v>23</v>
      </c>
      <c r="E210" t="s">
        <v>169</v>
      </c>
      <c r="F210" s="146" t="s">
        <v>103</v>
      </c>
      <c r="G210" s="146"/>
      <c r="H210" t="s">
        <v>4132</v>
      </c>
      <c r="I210" s="158"/>
      <c r="J210" s="158">
        <v>88160</v>
      </c>
      <c r="K210" s="72">
        <f>K209+I210-J210</f>
        <v>72735.749999999243</v>
      </c>
    </row>
    <row r="211" spans="1:11" ht="15" hidden="1">
      <c r="A211" s="54" t="str">
        <f>D211&amp;E211&amp;F211</f>
        <v>FINANZASRENTASE1</v>
      </c>
      <c r="B211" s="274" t="s">
        <v>1277</v>
      </c>
      <c r="C211" s="1">
        <v>45811</v>
      </c>
      <c r="D211" t="s">
        <v>23</v>
      </c>
      <c r="E211" t="s">
        <v>169</v>
      </c>
      <c r="F211" s="146" t="s">
        <v>107</v>
      </c>
      <c r="G211" s="146"/>
      <c r="H211" t="s">
        <v>4133</v>
      </c>
      <c r="I211" s="158"/>
      <c r="J211" s="158">
        <v>52914.79</v>
      </c>
      <c r="K211" s="72">
        <f>K210+I211-J211</f>
        <v>19820.959999999242</v>
      </c>
    </row>
    <row r="212" spans="1:11" ht="15" hidden="1">
      <c r="A212" s="54" t="str">
        <f>D212&amp;E212&amp;F212</f>
        <v>FINANZASRENTASE6</v>
      </c>
      <c r="B212" s="274" t="s">
        <v>1277</v>
      </c>
      <c r="C212" s="1">
        <v>45811</v>
      </c>
      <c r="D212" t="s">
        <v>23</v>
      </c>
      <c r="E212" t="s">
        <v>169</v>
      </c>
      <c r="F212" s="146" t="s">
        <v>112</v>
      </c>
      <c r="G212" s="146"/>
      <c r="H212" t="s">
        <v>4189</v>
      </c>
      <c r="I212" s="158"/>
      <c r="J212" s="158">
        <v>6500</v>
      </c>
      <c r="K212" s="72">
        <f>K211+I212-J212</f>
        <v>13320.959999999242</v>
      </c>
    </row>
    <row r="213" spans="1:11" ht="15" hidden="1">
      <c r="A213" s="54" t="str">
        <f>D213&amp;E213&amp;F213</f>
        <v/>
      </c>
      <c r="B213" s="274" t="s">
        <v>1277</v>
      </c>
      <c r="C213" s="1">
        <v>45817</v>
      </c>
      <c r="F213" s="146"/>
      <c r="G213" s="146"/>
      <c r="H213" t="s">
        <v>3472</v>
      </c>
      <c r="I213" s="158">
        <v>440000</v>
      </c>
      <c r="J213" s="158"/>
      <c r="K213" s="72">
        <f>K212+I213-J213</f>
        <v>453320.95999999926</v>
      </c>
    </row>
    <row r="214" spans="1:11" ht="15" hidden="1">
      <c r="A214" s="54" t="str">
        <f>D214&amp;E214&amp;F214</f>
        <v>FINANZASRENTASE2</v>
      </c>
      <c r="B214" s="274" t="s">
        <v>1277</v>
      </c>
      <c r="C214" s="1">
        <v>45817</v>
      </c>
      <c r="D214" t="s">
        <v>23</v>
      </c>
      <c r="E214" t="s">
        <v>169</v>
      </c>
      <c r="F214" s="146" t="s">
        <v>108</v>
      </c>
      <c r="G214" s="146"/>
      <c r="H214" t="s">
        <v>4054</v>
      </c>
      <c r="I214" s="158"/>
      <c r="J214" s="158">
        <v>134130.88</v>
      </c>
      <c r="K214" s="72">
        <f>K213+I214-J214</f>
        <v>319190.07999999926</v>
      </c>
    </row>
    <row r="215" spans="1:11" ht="15" hidden="1">
      <c r="A215" s="54" t="str">
        <f>D215&amp;E215&amp;F215</f>
        <v>FINANZASRENTASA10</v>
      </c>
      <c r="B215" s="274" t="s">
        <v>1277</v>
      </c>
      <c r="C215" s="1">
        <v>45817</v>
      </c>
      <c r="D215" t="s">
        <v>23</v>
      </c>
      <c r="E215" t="s">
        <v>169</v>
      </c>
      <c r="F215" s="146" t="s">
        <v>96</v>
      </c>
      <c r="G215" s="146"/>
      <c r="H215" t="s">
        <v>4158</v>
      </c>
      <c r="I215" s="158"/>
      <c r="J215" s="158">
        <v>31225</v>
      </c>
      <c r="K215" s="72">
        <f>K214+I215-J215</f>
        <v>287965.07999999926</v>
      </c>
    </row>
    <row r="216" spans="1:11" ht="15" hidden="1">
      <c r="A216" s="54" t="str">
        <f>D216&amp;E216&amp;F216</f>
        <v>FINANZASRENTASA12</v>
      </c>
      <c r="B216" s="274" t="s">
        <v>1277</v>
      </c>
      <c r="C216" s="1">
        <v>45817</v>
      </c>
      <c r="D216" t="s">
        <v>23</v>
      </c>
      <c r="E216" t="s">
        <v>169</v>
      </c>
      <c r="F216" s="146" t="s">
        <v>98</v>
      </c>
      <c r="G216" s="146"/>
      <c r="H216" t="s">
        <v>4190</v>
      </c>
      <c r="I216" s="158"/>
      <c r="J216" s="158">
        <v>137560</v>
      </c>
      <c r="K216" s="72">
        <f t="shared" ref="K216:K239" si="8">K215+I216-J216</f>
        <v>150405.07999999926</v>
      </c>
    </row>
    <row r="217" spans="1:11" ht="15" hidden="1">
      <c r="A217" s="54" t="str">
        <f>D217&amp;E217&amp;F217</f>
        <v>FINANZASRENTASE8</v>
      </c>
      <c r="B217" s="274" t="s">
        <v>1277</v>
      </c>
      <c r="C217" s="1">
        <v>45817</v>
      </c>
      <c r="D217" t="s">
        <v>23</v>
      </c>
      <c r="E217" t="s">
        <v>169</v>
      </c>
      <c r="F217" s="146" t="s">
        <v>114</v>
      </c>
      <c r="G217" s="146"/>
      <c r="H217" t="s">
        <v>4191</v>
      </c>
      <c r="I217" s="158"/>
      <c r="J217" s="158">
        <v>16278</v>
      </c>
      <c r="K217" s="72">
        <f t="shared" si="8"/>
        <v>134127.07999999926</v>
      </c>
    </row>
    <row r="218" spans="1:11" ht="15" hidden="1">
      <c r="A218" s="54" t="str">
        <f>D218&amp;E218&amp;F218</f>
        <v>FINANZASRENTASA5</v>
      </c>
      <c r="B218" s="274" t="s">
        <v>1277</v>
      </c>
      <c r="C218" s="1">
        <v>45817</v>
      </c>
      <c r="D218" t="s">
        <v>23</v>
      </c>
      <c r="E218" t="s">
        <v>169</v>
      </c>
      <c r="F218" s="146" t="s">
        <v>92</v>
      </c>
      <c r="G218" s="146"/>
      <c r="H218" t="s">
        <v>4192</v>
      </c>
      <c r="I218" s="158"/>
      <c r="J218" s="158">
        <v>18350</v>
      </c>
      <c r="K218" s="72">
        <f t="shared" si="8"/>
        <v>115777.07999999926</v>
      </c>
    </row>
    <row r="219" spans="1:11" ht="15" hidden="1">
      <c r="A219" s="54" t="str">
        <f>D219&amp;E219&amp;F219</f>
        <v/>
      </c>
      <c r="B219" s="274" t="s">
        <v>1277</v>
      </c>
      <c r="C219" s="1">
        <v>45817</v>
      </c>
      <c r="F219" s="146"/>
      <c r="G219" s="146"/>
      <c r="H219" t="s">
        <v>3452</v>
      </c>
      <c r="I219" s="158">
        <v>120000</v>
      </c>
      <c r="J219" s="158"/>
      <c r="K219" s="72">
        <f t="shared" si="8"/>
        <v>235777.07999999926</v>
      </c>
    </row>
    <row r="220" spans="1:11" ht="15" hidden="1">
      <c r="A220" s="54" t="str">
        <f>D220&amp;E220&amp;F220</f>
        <v>FINANZASRENTASA12</v>
      </c>
      <c r="B220" s="274" t="s">
        <v>1277</v>
      </c>
      <c r="C220" s="1">
        <v>45817</v>
      </c>
      <c r="D220" t="s">
        <v>23</v>
      </c>
      <c r="E220" t="s">
        <v>169</v>
      </c>
      <c r="F220" s="146" t="s">
        <v>98</v>
      </c>
      <c r="G220" s="146"/>
      <c r="H220" t="s">
        <v>4078</v>
      </c>
      <c r="I220" s="158"/>
      <c r="J220" s="158">
        <v>5410.82</v>
      </c>
      <c r="K220" s="72">
        <f t="shared" si="8"/>
        <v>230366.25999999925</v>
      </c>
    </row>
    <row r="221" spans="1:11" ht="15" hidden="1">
      <c r="A221" s="54" t="str">
        <f>D221&amp;E221&amp;F221</f>
        <v>FINANZASRENTASE3</v>
      </c>
      <c r="B221" s="274" t="s">
        <v>1277</v>
      </c>
      <c r="C221" s="1">
        <v>45817</v>
      </c>
      <c r="D221" t="s">
        <v>23</v>
      </c>
      <c r="E221" t="s">
        <v>169</v>
      </c>
      <c r="F221" s="146" t="s">
        <v>109</v>
      </c>
      <c r="G221" s="146"/>
      <c r="H221" t="s">
        <v>4193</v>
      </c>
      <c r="I221" s="158"/>
      <c r="J221" s="158">
        <v>43326.12</v>
      </c>
      <c r="K221" s="72">
        <f t="shared" si="8"/>
        <v>187040.13999999926</v>
      </c>
    </row>
    <row r="222" spans="1:11" ht="15" hidden="1">
      <c r="A222" s="54" t="str">
        <f>D222&amp;E222&amp;F222</f>
        <v>FINANZASRENTASA11</v>
      </c>
      <c r="B222" s="274" t="s">
        <v>1277</v>
      </c>
      <c r="C222" s="1">
        <v>45817</v>
      </c>
      <c r="D222" t="s">
        <v>23</v>
      </c>
      <c r="E222" t="s">
        <v>169</v>
      </c>
      <c r="F222" s="146" t="s">
        <v>97</v>
      </c>
      <c r="G222" s="146"/>
      <c r="H222" t="s">
        <v>4194</v>
      </c>
      <c r="I222" s="158"/>
      <c r="J222" s="158">
        <v>25454.02</v>
      </c>
      <c r="K222" s="72">
        <f t="shared" si="8"/>
        <v>161586.11999999927</v>
      </c>
    </row>
    <row r="223" spans="1:11" ht="15" hidden="1">
      <c r="A223" s="54" t="str">
        <f>D223&amp;E223&amp;F223</f>
        <v>FINANZASRENTASA18</v>
      </c>
      <c r="B223" s="274" t="s">
        <v>1277</v>
      </c>
      <c r="C223" s="1">
        <v>45817</v>
      </c>
      <c r="D223" t="s">
        <v>23</v>
      </c>
      <c r="E223" t="s">
        <v>169</v>
      </c>
      <c r="F223" s="146" t="s">
        <v>103</v>
      </c>
      <c r="G223" s="146"/>
      <c r="H223" t="s">
        <v>4165</v>
      </c>
      <c r="I223" s="158"/>
      <c r="J223" s="158">
        <v>2042.32</v>
      </c>
      <c r="K223" s="72">
        <f t="shared" si="8"/>
        <v>159543.79999999926</v>
      </c>
    </row>
    <row r="224" spans="1:11" ht="15" hidden="1">
      <c r="A224" s="54" t="str">
        <f>D224&amp;E224&amp;F224</f>
        <v>FINANZASRENTASA23</v>
      </c>
      <c r="B224" s="274" t="s">
        <v>1277</v>
      </c>
      <c r="C224" s="1">
        <v>45817</v>
      </c>
      <c r="D224" t="s">
        <v>23</v>
      </c>
      <c r="E224" t="s">
        <v>169</v>
      </c>
      <c r="F224" s="146" t="s">
        <v>105</v>
      </c>
      <c r="G224" s="146"/>
      <c r="H224" t="s">
        <v>4186</v>
      </c>
      <c r="I224" s="158"/>
      <c r="J224" s="158">
        <v>10282.36</v>
      </c>
      <c r="K224" s="72">
        <f t="shared" si="8"/>
        <v>149261.43999999925</v>
      </c>
    </row>
    <row r="225" spans="1:11" ht="15" hidden="1">
      <c r="A225" s="54" t="str">
        <f>D225&amp;E225&amp;F225</f>
        <v/>
      </c>
      <c r="B225" s="274" t="s">
        <v>1277</v>
      </c>
      <c r="C225" s="1">
        <v>45704</v>
      </c>
      <c r="F225" s="146"/>
      <c r="G225" s="146"/>
      <c r="H225" t="s">
        <v>3452</v>
      </c>
      <c r="I225" s="158">
        <v>600000</v>
      </c>
      <c r="J225" s="158"/>
      <c r="K225" s="72">
        <f t="shared" si="8"/>
        <v>749261.43999999925</v>
      </c>
    </row>
    <row r="226" spans="1:11" ht="15" hidden="1">
      <c r="A226" s="54" t="str">
        <f>D226&amp;E226&amp;F226</f>
        <v>FINANZASRENTASA16</v>
      </c>
      <c r="B226" s="274" t="s">
        <v>1277</v>
      </c>
      <c r="C226" s="1">
        <v>45825</v>
      </c>
      <c r="D226" t="s">
        <v>23</v>
      </c>
      <c r="E226" t="s">
        <v>169</v>
      </c>
      <c r="F226" s="146" t="s">
        <v>101</v>
      </c>
      <c r="G226" s="146"/>
      <c r="H226" t="s">
        <v>4195</v>
      </c>
      <c r="I226" s="158"/>
      <c r="J226" s="158">
        <v>18000</v>
      </c>
      <c r="K226" s="72">
        <f t="shared" si="8"/>
        <v>731261.43999999925</v>
      </c>
    </row>
    <row r="227" spans="1:11" ht="15" hidden="1">
      <c r="A227" s="54" t="str">
        <f>D227&amp;E227&amp;F227</f>
        <v>FINANZASRENTASE4</v>
      </c>
      <c r="B227" s="274" t="s">
        <v>1277</v>
      </c>
      <c r="C227" s="1">
        <v>45825</v>
      </c>
      <c r="D227" t="s">
        <v>23</v>
      </c>
      <c r="E227" t="s">
        <v>169</v>
      </c>
      <c r="F227" s="146" t="s">
        <v>110</v>
      </c>
      <c r="G227" s="146"/>
      <c r="H227" t="s">
        <v>4196</v>
      </c>
      <c r="I227" s="158"/>
      <c r="J227" s="158">
        <v>77390</v>
      </c>
      <c r="K227" s="72">
        <f t="shared" si="8"/>
        <v>653871.43999999925</v>
      </c>
    </row>
    <row r="228" spans="1:11" ht="15" hidden="1">
      <c r="A228" s="54" t="str">
        <f>D228&amp;E228&amp;F228</f>
        <v>FINANZASRENTASE4</v>
      </c>
      <c r="B228" s="274" t="s">
        <v>1277</v>
      </c>
      <c r="C228" s="1">
        <v>45825</v>
      </c>
      <c r="D228" t="s">
        <v>23</v>
      </c>
      <c r="E228" t="s">
        <v>169</v>
      </c>
      <c r="F228" s="146" t="s">
        <v>110</v>
      </c>
      <c r="G228" s="146"/>
      <c r="H228" t="s">
        <v>4197</v>
      </c>
      <c r="I228" s="158"/>
      <c r="J228" s="158">
        <v>24938.7</v>
      </c>
      <c r="K228" s="72">
        <f t="shared" si="8"/>
        <v>628932.73999999929</v>
      </c>
    </row>
    <row r="229" spans="1:11" ht="15" hidden="1">
      <c r="A229" s="54" t="str">
        <f>D229&amp;E229&amp;F229</f>
        <v>FINANZASRENTASA8</v>
      </c>
      <c r="B229" s="274" t="s">
        <v>1277</v>
      </c>
      <c r="C229" s="1">
        <v>45825</v>
      </c>
      <c r="D229" t="s">
        <v>23</v>
      </c>
      <c r="E229" t="s">
        <v>169</v>
      </c>
      <c r="F229" s="146" t="s">
        <v>94</v>
      </c>
      <c r="G229" s="146"/>
      <c r="H229" t="s">
        <v>4198</v>
      </c>
      <c r="I229" s="158"/>
      <c r="J229" s="158">
        <v>78230.009999999995</v>
      </c>
      <c r="K229" s="72">
        <f t="shared" si="8"/>
        <v>550702.72999999928</v>
      </c>
    </row>
    <row r="230" spans="1:11" ht="15" hidden="1">
      <c r="A230" s="54" t="str">
        <f>D230&amp;E230&amp;F230</f>
        <v>FINANZASRENTASA8</v>
      </c>
      <c r="B230" s="274" t="s">
        <v>1277</v>
      </c>
      <c r="C230" s="1">
        <v>45825</v>
      </c>
      <c r="D230" t="s">
        <v>23</v>
      </c>
      <c r="E230" t="s">
        <v>169</v>
      </c>
      <c r="F230" s="146" t="s">
        <v>94</v>
      </c>
      <c r="G230" s="146"/>
      <c r="H230" t="s">
        <v>4199</v>
      </c>
      <c r="I230" s="158"/>
      <c r="J230" s="158">
        <v>44737.33</v>
      </c>
      <c r="K230" s="72">
        <f t="shared" si="8"/>
        <v>505965.39999999927</v>
      </c>
    </row>
    <row r="231" spans="1:11" ht="15" hidden="1">
      <c r="A231" s="54" t="str">
        <f>D231&amp;E231&amp;F231</f>
        <v>FINANZASRENTASA6</v>
      </c>
      <c r="B231" s="274" t="s">
        <v>1277</v>
      </c>
      <c r="C231" s="1">
        <v>45825</v>
      </c>
      <c r="D231" t="s">
        <v>23</v>
      </c>
      <c r="E231" t="s">
        <v>169</v>
      </c>
      <c r="F231" s="146" t="s">
        <v>93</v>
      </c>
      <c r="G231" s="146"/>
      <c r="H231" t="s">
        <v>4106</v>
      </c>
      <c r="I231" s="158"/>
      <c r="J231" s="158">
        <v>24000</v>
      </c>
      <c r="K231" s="72">
        <f t="shared" si="8"/>
        <v>481965.39999999927</v>
      </c>
    </row>
    <row r="232" spans="1:11" ht="15" hidden="1">
      <c r="A232" s="54" t="str">
        <f>D232&amp;E232&amp;F232</f>
        <v>FINANZASRENTASA22</v>
      </c>
      <c r="B232" s="274" t="s">
        <v>1277</v>
      </c>
      <c r="C232" s="1">
        <v>45825</v>
      </c>
      <c r="D232" t="s">
        <v>23</v>
      </c>
      <c r="E232" t="s">
        <v>169</v>
      </c>
      <c r="F232" s="146" t="s">
        <v>104</v>
      </c>
      <c r="G232" s="146"/>
      <c r="H232" t="s">
        <v>4088</v>
      </c>
      <c r="I232" s="158"/>
      <c r="J232" s="158">
        <v>44544.58</v>
      </c>
      <c r="K232" s="72">
        <f t="shared" si="8"/>
        <v>437420.81999999925</v>
      </c>
    </row>
    <row r="233" spans="1:11" ht="15" hidden="1">
      <c r="A233" s="54" t="str">
        <f>D233&amp;E233&amp;F233</f>
        <v>FINANZASRENTASA24</v>
      </c>
      <c r="B233" s="274" t="s">
        <v>1277</v>
      </c>
      <c r="C233" s="1">
        <v>45825</v>
      </c>
      <c r="D233" t="s">
        <v>23</v>
      </c>
      <c r="E233" t="s">
        <v>169</v>
      </c>
      <c r="F233" s="146" t="s">
        <v>106</v>
      </c>
      <c r="G233" s="146"/>
      <c r="H233" t="s">
        <v>4200</v>
      </c>
      <c r="I233" s="158"/>
      <c r="J233" s="158">
        <v>81319.3</v>
      </c>
      <c r="K233" s="72">
        <f t="shared" si="8"/>
        <v>356101.51999999926</v>
      </c>
    </row>
    <row r="234" spans="1:11" ht="15" hidden="1">
      <c r="A234" s="54" t="str">
        <f>D234&amp;E234&amp;F234</f>
        <v>FINANZASRENTASE6</v>
      </c>
      <c r="B234" s="274" t="s">
        <v>1277</v>
      </c>
      <c r="C234" s="1">
        <v>45825</v>
      </c>
      <c r="D234" t="s">
        <v>23</v>
      </c>
      <c r="E234" t="s">
        <v>169</v>
      </c>
      <c r="F234" s="146" t="s">
        <v>112</v>
      </c>
      <c r="G234" s="146"/>
      <c r="H234" t="s">
        <v>4201</v>
      </c>
      <c r="I234" s="158"/>
      <c r="J234" s="158">
        <v>35388.36</v>
      </c>
      <c r="K234" s="72">
        <f t="shared" si="8"/>
        <v>320713.15999999928</v>
      </c>
    </row>
    <row r="235" spans="1:11" ht="15" hidden="1">
      <c r="A235" s="54" t="str">
        <f>D235&amp;E235&amp;F235</f>
        <v>FINANZASRENTASA15</v>
      </c>
      <c r="B235" s="274" t="s">
        <v>1277</v>
      </c>
      <c r="C235" s="1">
        <v>45825</v>
      </c>
      <c r="D235" t="s">
        <v>23</v>
      </c>
      <c r="E235" t="s">
        <v>169</v>
      </c>
      <c r="F235" s="146" t="s">
        <v>100</v>
      </c>
      <c r="G235" s="146"/>
      <c r="H235" t="s">
        <v>4202</v>
      </c>
      <c r="I235" s="158"/>
      <c r="J235" s="158">
        <v>3240.3</v>
      </c>
      <c r="K235" s="72">
        <f t="shared" si="8"/>
        <v>317472.85999999929</v>
      </c>
    </row>
    <row r="236" spans="1:11" ht="15" hidden="1">
      <c r="A236" s="54" t="str">
        <f>D236&amp;E236&amp;F236</f>
        <v>FINANZASRENTASA14</v>
      </c>
      <c r="B236" s="274" t="s">
        <v>1277</v>
      </c>
      <c r="C236" s="1">
        <v>45825</v>
      </c>
      <c r="D236" t="s">
        <v>23</v>
      </c>
      <c r="E236" t="s">
        <v>169</v>
      </c>
      <c r="F236" s="146" t="s">
        <v>99</v>
      </c>
      <c r="G236" s="146"/>
      <c r="H236" t="s">
        <v>4062</v>
      </c>
      <c r="I236" s="158"/>
      <c r="J236" s="158">
        <v>54288</v>
      </c>
      <c r="K236" s="72">
        <f t="shared" si="8"/>
        <v>263184.85999999929</v>
      </c>
    </row>
    <row r="237" spans="1:11" ht="15" hidden="1">
      <c r="A237" s="54" t="str">
        <f>D237&amp;E237&amp;F237</f>
        <v>FINANZASRENTASE8</v>
      </c>
      <c r="B237" s="274" t="s">
        <v>1277</v>
      </c>
      <c r="C237" s="1">
        <v>45825</v>
      </c>
      <c r="D237" t="s">
        <v>23</v>
      </c>
      <c r="E237" t="s">
        <v>169</v>
      </c>
      <c r="F237" s="146" t="s">
        <v>114</v>
      </c>
      <c r="G237" s="146"/>
      <c r="H237" t="s">
        <v>4183</v>
      </c>
      <c r="I237" s="158"/>
      <c r="J237" s="158">
        <v>73994.679999999993</v>
      </c>
      <c r="K237" s="72">
        <f t="shared" si="8"/>
        <v>189190.17999999929</v>
      </c>
    </row>
    <row r="238" spans="1:11" ht="15" hidden="1">
      <c r="A238" s="54" t="str">
        <f>D238&amp;E238&amp;F238</f>
        <v>FINANZASRENTASE9</v>
      </c>
      <c r="B238" s="274" t="s">
        <v>1277</v>
      </c>
      <c r="C238" s="1">
        <v>45825</v>
      </c>
      <c r="D238" t="s">
        <v>23</v>
      </c>
      <c r="E238" t="s">
        <v>169</v>
      </c>
      <c r="F238" s="146" t="s">
        <v>116</v>
      </c>
      <c r="G238" s="146"/>
      <c r="H238" t="s">
        <v>4203</v>
      </c>
      <c r="I238" s="158"/>
      <c r="J238" s="158">
        <v>89227.199999999997</v>
      </c>
      <c r="K238" s="72">
        <f>K237+I238-J238</f>
        <v>99962.979999999297</v>
      </c>
    </row>
    <row r="239" spans="1:11" ht="15" hidden="1">
      <c r="A239" s="54" t="str">
        <f>D239&amp;E239&amp;F239</f>
        <v>FINANZASRENTASE9</v>
      </c>
      <c r="B239" s="274" t="s">
        <v>1277</v>
      </c>
      <c r="C239" s="1">
        <v>45825</v>
      </c>
      <c r="D239" t="s">
        <v>23</v>
      </c>
      <c r="E239" t="s">
        <v>169</v>
      </c>
      <c r="F239" s="146" t="s">
        <v>116</v>
      </c>
      <c r="G239" s="146"/>
      <c r="H239" t="s">
        <v>4204</v>
      </c>
      <c r="I239" s="158"/>
      <c r="J239" s="158">
        <v>17845.439999999999</v>
      </c>
      <c r="K239" s="72">
        <f>K238+I239-J239</f>
        <v>82117.539999999295</v>
      </c>
    </row>
    <row r="240" spans="1:11" ht="15" hidden="1">
      <c r="A240" s="54" t="str">
        <f>D240&amp;E240&amp;F240</f>
        <v>FINANZASRENTASA10</v>
      </c>
      <c r="B240" s="274" t="s">
        <v>1277</v>
      </c>
      <c r="C240" s="1">
        <v>45826</v>
      </c>
      <c r="D240" t="s">
        <v>23</v>
      </c>
      <c r="E240" t="s">
        <v>169</v>
      </c>
      <c r="F240" s="146" t="s">
        <v>96</v>
      </c>
      <c r="G240" s="146"/>
      <c r="H240" t="s">
        <v>4205</v>
      </c>
      <c r="J240" s="3">
        <v>14000</v>
      </c>
      <c r="K240" s="72">
        <f>K239+I240-J240</f>
        <v>68117.539999999295</v>
      </c>
    </row>
    <row r="241" spans="1:11" ht="15" hidden="1">
      <c r="A241" s="54" t="str">
        <f>D241&amp;E241&amp;F241</f>
        <v/>
      </c>
      <c r="B241" s="274" t="s">
        <v>1277</v>
      </c>
      <c r="C241" s="1">
        <v>45827</v>
      </c>
      <c r="G241" s="146"/>
      <c r="H241" t="s">
        <v>3452</v>
      </c>
      <c r="I241" s="3">
        <v>200000</v>
      </c>
      <c r="K241" s="72">
        <f>K240+I241-J241</f>
        <v>268117.53999999928</v>
      </c>
    </row>
    <row r="242" spans="1:11" ht="15" hidden="1">
      <c r="A242" s="54" t="str">
        <f>D242&amp;E242&amp;F242</f>
        <v>FINANZASRENTASA22</v>
      </c>
      <c r="B242" s="274" t="s">
        <v>1277</v>
      </c>
      <c r="C242" s="1">
        <v>45827</v>
      </c>
      <c r="D242" t="s">
        <v>23</v>
      </c>
      <c r="E242" t="s">
        <v>169</v>
      </c>
      <c r="F242" s="146" t="s">
        <v>104</v>
      </c>
      <c r="G242" s="146"/>
      <c r="H242" t="s">
        <v>4088</v>
      </c>
      <c r="I242" s="158"/>
      <c r="J242" s="158">
        <v>45000</v>
      </c>
      <c r="K242" s="72">
        <f>K241+I242-J242</f>
        <v>223117.53999999928</v>
      </c>
    </row>
    <row r="243" spans="1:11" ht="15" hidden="1">
      <c r="A243" s="54" t="str">
        <f>D243&amp;E243&amp;F243</f>
        <v>FINANZASRENTASA15</v>
      </c>
      <c r="B243" s="274" t="s">
        <v>1277</v>
      </c>
      <c r="C243" s="1">
        <v>45827</v>
      </c>
      <c r="D243" t="s">
        <v>23</v>
      </c>
      <c r="E243" t="s">
        <v>169</v>
      </c>
      <c r="F243" s="146" t="s">
        <v>100</v>
      </c>
      <c r="G243" s="146"/>
      <c r="H243" t="s">
        <v>4124</v>
      </c>
      <c r="I243" s="158"/>
      <c r="J243" s="158">
        <v>39354</v>
      </c>
      <c r="K243" s="72">
        <f>K242+I243-J243</f>
        <v>183763.53999999928</v>
      </c>
    </row>
    <row r="244" spans="1:11" ht="15" hidden="1">
      <c r="A244" s="54" t="str">
        <f>D244&amp;E244&amp;F244</f>
        <v/>
      </c>
      <c r="B244" s="274" t="s">
        <v>1277</v>
      </c>
      <c r="C244" s="1">
        <v>45828</v>
      </c>
      <c r="F244" s="146"/>
      <c r="G244" s="146"/>
      <c r="H244" t="s">
        <v>3452</v>
      </c>
      <c r="I244" s="158">
        <v>100000</v>
      </c>
      <c r="J244" s="158"/>
      <c r="K244" s="72">
        <f t="shared" ref="K244:K263" si="9">K243+I244-J244</f>
        <v>283763.53999999928</v>
      </c>
    </row>
    <row r="245" spans="1:11" ht="15" hidden="1">
      <c r="A245" s="54" t="str">
        <f>D245&amp;E245&amp;F245</f>
        <v/>
      </c>
      <c r="B245" s="274" t="s">
        <v>1277</v>
      </c>
      <c r="C245" s="1">
        <v>45831</v>
      </c>
      <c r="F245" s="146"/>
      <c r="G245" s="146"/>
      <c r="H245" t="s">
        <v>3452</v>
      </c>
      <c r="I245" s="158">
        <v>65000</v>
      </c>
      <c r="J245" s="158"/>
      <c r="K245" s="72">
        <f t="shared" si="9"/>
        <v>348763.53999999928</v>
      </c>
    </row>
    <row r="246" spans="1:11" ht="15" hidden="1">
      <c r="A246" s="54" t="str">
        <f>D246&amp;E246&amp;F246</f>
        <v>FINANZASRENTASA10</v>
      </c>
      <c r="B246" s="274" t="s">
        <v>1277</v>
      </c>
      <c r="C246" s="1">
        <v>45831</v>
      </c>
      <c r="D246" t="s">
        <v>23</v>
      </c>
      <c r="E246" t="s">
        <v>169</v>
      </c>
      <c r="F246" s="146" t="s">
        <v>96</v>
      </c>
      <c r="G246" s="146"/>
      <c r="H246" t="s">
        <v>4099</v>
      </c>
      <c r="I246" s="158"/>
      <c r="J246" s="158">
        <v>43714.99</v>
      </c>
      <c r="K246" s="72">
        <f t="shared" si="9"/>
        <v>305048.54999999929</v>
      </c>
    </row>
    <row r="247" spans="1:11" ht="15" hidden="1">
      <c r="A247" s="54" t="str">
        <f>D247&amp;E247&amp;F247</f>
        <v>FINANZASRENTASE5</v>
      </c>
      <c r="B247" s="274" t="s">
        <v>1277</v>
      </c>
      <c r="C247" s="1">
        <v>45831</v>
      </c>
      <c r="D247" t="s">
        <v>23</v>
      </c>
      <c r="E247" t="s">
        <v>169</v>
      </c>
      <c r="F247" s="146" t="s">
        <v>111</v>
      </c>
      <c r="G247" s="146"/>
      <c r="H247" t="s">
        <v>4206</v>
      </c>
      <c r="I247" s="158"/>
      <c r="J247" s="158">
        <v>41223.25</v>
      </c>
      <c r="K247" s="72">
        <f t="shared" si="9"/>
        <v>263825.29999999929</v>
      </c>
    </row>
    <row r="248" spans="1:11" ht="15" hidden="1">
      <c r="A248" s="54" t="str">
        <f>D248&amp;E248&amp;F248</f>
        <v>FINANZASRENTASA17</v>
      </c>
      <c r="B248" s="274" t="s">
        <v>1277</v>
      </c>
      <c r="C248" s="1">
        <v>45831</v>
      </c>
      <c r="D248" t="s">
        <v>23</v>
      </c>
      <c r="E248" t="s">
        <v>169</v>
      </c>
      <c r="F248" s="146" t="s">
        <v>102</v>
      </c>
      <c r="G248" s="146"/>
      <c r="H248" t="s">
        <v>4180</v>
      </c>
      <c r="I248" s="158"/>
      <c r="J248" s="158">
        <v>76326.960000000006</v>
      </c>
      <c r="K248" s="72">
        <f t="shared" si="9"/>
        <v>187498.33999999927</v>
      </c>
    </row>
    <row r="249" spans="1:11" ht="15" hidden="1">
      <c r="A249" s="54" t="str">
        <f>D249&amp;E249&amp;F249</f>
        <v>FINANZASRENTASA3</v>
      </c>
      <c r="B249" s="274" t="s">
        <v>1277</v>
      </c>
      <c r="C249" s="1">
        <v>45831</v>
      </c>
      <c r="D249" t="s">
        <v>23</v>
      </c>
      <c r="E249" t="s">
        <v>169</v>
      </c>
      <c r="F249" s="146" t="s">
        <v>90</v>
      </c>
      <c r="G249" s="146"/>
      <c r="H249" t="s">
        <v>4207</v>
      </c>
      <c r="I249" s="158"/>
      <c r="J249" s="158">
        <v>58145.99</v>
      </c>
      <c r="K249" s="72">
        <f t="shared" si="9"/>
        <v>129352.34999999928</v>
      </c>
    </row>
    <row r="250" spans="1:11" ht="15" hidden="1">
      <c r="A250" s="54" t="str">
        <f>D250&amp;E250&amp;F250</f>
        <v>FINANZASRENTASA4</v>
      </c>
      <c r="B250" s="274" t="s">
        <v>1277</v>
      </c>
      <c r="C250" s="1">
        <v>45831</v>
      </c>
      <c r="D250" t="s">
        <v>23</v>
      </c>
      <c r="E250" t="s">
        <v>169</v>
      </c>
      <c r="F250" s="146" t="s">
        <v>91</v>
      </c>
      <c r="G250" s="146"/>
      <c r="H250" t="s">
        <v>4208</v>
      </c>
      <c r="I250" s="158"/>
      <c r="J250" s="158">
        <v>32800</v>
      </c>
      <c r="K250" s="72">
        <f t="shared" si="9"/>
        <v>96552.349999999278</v>
      </c>
    </row>
    <row r="251" spans="1:11" ht="15" hidden="1">
      <c r="A251" s="54" t="str">
        <f>D251&amp;E251&amp;F251</f>
        <v>FINANZASRENTASA4</v>
      </c>
      <c r="B251" s="274" t="s">
        <v>1277</v>
      </c>
      <c r="C251" s="1">
        <v>45831</v>
      </c>
      <c r="D251" t="s">
        <v>23</v>
      </c>
      <c r="E251" t="s">
        <v>169</v>
      </c>
      <c r="F251" s="146" t="s">
        <v>91</v>
      </c>
      <c r="G251" s="146"/>
      <c r="H251" t="s">
        <v>4209</v>
      </c>
      <c r="I251" s="158"/>
      <c r="J251" s="158">
        <v>31000</v>
      </c>
      <c r="K251" s="72">
        <f t="shared" si="9"/>
        <v>65552.349999999278</v>
      </c>
    </row>
    <row r="252" spans="1:11" ht="15" hidden="1">
      <c r="A252" s="54" t="str">
        <f>D252&amp;E252&amp;F252</f>
        <v>FINANZASRENTASA2</v>
      </c>
      <c r="B252" s="274" t="s">
        <v>1277</v>
      </c>
      <c r="C252" s="1">
        <v>45831</v>
      </c>
      <c r="D252" t="s">
        <v>23</v>
      </c>
      <c r="E252" t="s">
        <v>169</v>
      </c>
      <c r="F252" s="146" t="s">
        <v>89</v>
      </c>
      <c r="G252" s="146"/>
      <c r="H252" t="s">
        <v>4210</v>
      </c>
      <c r="I252" s="158"/>
      <c r="J252" s="158">
        <v>8109</v>
      </c>
      <c r="K252" s="72">
        <f t="shared" si="9"/>
        <v>57443.349999999278</v>
      </c>
    </row>
    <row r="253" spans="1:11" ht="15" hidden="1">
      <c r="A253" s="54" t="str">
        <f>D253&amp;E253&amp;F253</f>
        <v>FINANZASRENTASA9</v>
      </c>
      <c r="B253" s="274" t="s">
        <v>1277</v>
      </c>
      <c r="C253" s="1">
        <v>45831</v>
      </c>
      <c r="D253" t="s">
        <v>23</v>
      </c>
      <c r="E253" t="s">
        <v>169</v>
      </c>
      <c r="F253" s="146" t="s">
        <v>95</v>
      </c>
      <c r="G253" s="146"/>
      <c r="H253" t="s">
        <v>4090</v>
      </c>
      <c r="I253" s="158"/>
      <c r="J253" s="158">
        <v>23193.68</v>
      </c>
      <c r="K253" s="72">
        <f t="shared" si="9"/>
        <v>34249.669999999278</v>
      </c>
    </row>
    <row r="254" spans="1:11" ht="15" hidden="1">
      <c r="A254" s="54" t="str">
        <f>D254&amp;E254&amp;F254</f>
        <v>FINANZASRENTASA1</v>
      </c>
      <c r="B254" s="274" t="s">
        <v>1277</v>
      </c>
      <c r="C254" s="1">
        <v>45831</v>
      </c>
      <c r="D254" t="s">
        <v>23</v>
      </c>
      <c r="E254" t="s">
        <v>169</v>
      </c>
      <c r="F254" s="146" t="s">
        <v>88</v>
      </c>
      <c r="G254" s="146"/>
      <c r="H254" t="s">
        <v>4211</v>
      </c>
      <c r="I254" s="158"/>
      <c r="J254" s="158">
        <v>34789.440000000002</v>
      </c>
      <c r="K254" s="72">
        <f t="shared" si="9"/>
        <v>-539.77000000072439</v>
      </c>
    </row>
    <row r="255" spans="1:11" ht="15" hidden="1">
      <c r="A255" s="54" t="str">
        <f>D255&amp;E255&amp;F255</f>
        <v/>
      </c>
      <c r="B255" s="274" t="s">
        <v>1277</v>
      </c>
      <c r="C255" s="1">
        <v>45838</v>
      </c>
      <c r="F255" s="146"/>
      <c r="G255" s="146"/>
      <c r="H255" t="s">
        <v>3452</v>
      </c>
      <c r="I255" s="3">
        <v>3000</v>
      </c>
      <c r="K255" s="72">
        <f t="shared" si="9"/>
        <v>2460.2299999992756</v>
      </c>
    </row>
    <row r="256" spans="1:11" ht="15" hidden="1">
      <c r="A256" s="54" t="str">
        <f>D256&amp;E256&amp;F256</f>
        <v>FINANZASRENTASA8</v>
      </c>
      <c r="B256" s="274" t="s">
        <v>1277</v>
      </c>
      <c r="C256" s="1">
        <v>45838</v>
      </c>
      <c r="D256" t="s">
        <v>23</v>
      </c>
      <c r="E256" t="s">
        <v>169</v>
      </c>
      <c r="F256" s="146" t="s">
        <v>94</v>
      </c>
      <c r="G256" s="146"/>
      <c r="H256" t="s">
        <v>4212</v>
      </c>
      <c r="I256" s="158"/>
      <c r="J256" s="158">
        <v>12249.99</v>
      </c>
      <c r="K256" s="72">
        <f t="shared" si="9"/>
        <v>-9789.7600000007242</v>
      </c>
    </row>
    <row r="257" spans="1:11" ht="15" hidden="1">
      <c r="A257" s="54" t="str">
        <f>D257&amp;E257&amp;F257</f>
        <v/>
      </c>
      <c r="B257" s="274" t="s">
        <v>1277</v>
      </c>
      <c r="C257" s="1">
        <v>45841</v>
      </c>
      <c r="F257" s="146"/>
      <c r="G257" s="146"/>
      <c r="H257" t="s">
        <v>3452</v>
      </c>
      <c r="I257" s="158">
        <v>250000</v>
      </c>
      <c r="J257" s="158"/>
      <c r="K257" s="72">
        <f t="shared" si="9"/>
        <v>240210.23999999926</v>
      </c>
    </row>
    <row r="258" spans="1:11" ht="15" hidden="1">
      <c r="A258" s="54" t="str">
        <f>D258&amp;E258&amp;F258</f>
        <v>FINANZASRENTASA10</v>
      </c>
      <c r="B258" s="274" t="s">
        <v>1277</v>
      </c>
      <c r="C258" s="1">
        <v>45841</v>
      </c>
      <c r="D258" t="s">
        <v>23</v>
      </c>
      <c r="E258" t="s">
        <v>169</v>
      </c>
      <c r="F258" s="146" t="s">
        <v>96</v>
      </c>
      <c r="G258" s="146"/>
      <c r="H258" t="s">
        <v>4120</v>
      </c>
      <c r="I258" s="158"/>
      <c r="J258" s="158">
        <v>31000</v>
      </c>
      <c r="K258" s="72">
        <f t="shared" si="9"/>
        <v>209210.23999999926</v>
      </c>
    </row>
    <row r="259" spans="1:11" ht="15" hidden="1">
      <c r="A259" s="54" t="str">
        <f>D259&amp;E259&amp;F259</f>
        <v>FINANZASRENTASE2</v>
      </c>
      <c r="B259" s="274" t="s">
        <v>1277</v>
      </c>
      <c r="C259" s="1">
        <v>45841</v>
      </c>
      <c r="D259" t="s">
        <v>23</v>
      </c>
      <c r="E259" t="s">
        <v>169</v>
      </c>
      <c r="F259" s="146" t="s">
        <v>108</v>
      </c>
      <c r="G259" s="146"/>
      <c r="H259" t="s">
        <v>4213</v>
      </c>
      <c r="I259" s="158"/>
      <c r="J259" s="158">
        <v>134130</v>
      </c>
      <c r="K259" s="72">
        <f t="shared" si="9"/>
        <v>75080.239999999263</v>
      </c>
    </row>
    <row r="260" spans="1:11" ht="15" hidden="1">
      <c r="A260" s="54" t="str">
        <f>D260&amp;E260&amp;F260</f>
        <v/>
      </c>
      <c r="B260" s="274" t="s">
        <v>1560</v>
      </c>
      <c r="C260" s="1">
        <v>45845</v>
      </c>
      <c r="F260" s="146"/>
      <c r="G260" s="146"/>
      <c r="H260" t="s">
        <v>3452</v>
      </c>
      <c r="I260" s="158">
        <v>200000</v>
      </c>
      <c r="J260" s="158"/>
      <c r="K260" s="72">
        <f>K259+I260-J260</f>
        <v>275080.23999999929</v>
      </c>
    </row>
    <row r="261" spans="1:11" ht="15" hidden="1">
      <c r="A261" s="54" t="str">
        <f>D261&amp;E261&amp;F261</f>
        <v>FINANZASRENTASA22</v>
      </c>
      <c r="B261" s="274" t="s">
        <v>1560</v>
      </c>
      <c r="C261" s="1">
        <v>45846</v>
      </c>
      <c r="D261" t="s">
        <v>23</v>
      </c>
      <c r="E261" t="s">
        <v>169</v>
      </c>
      <c r="F261" s="146" t="s">
        <v>104</v>
      </c>
      <c r="G261" s="146"/>
      <c r="H261" t="s">
        <v>4088</v>
      </c>
      <c r="I261" s="158"/>
      <c r="J261" s="158">
        <v>45000</v>
      </c>
      <c r="K261" s="72">
        <f>K260+I261-J261</f>
        <v>230080.23999999929</v>
      </c>
    </row>
    <row r="262" spans="1:11" ht="15" hidden="1">
      <c r="A262" s="54" t="str">
        <f>D262&amp;E262&amp;F262</f>
        <v>FINANZASRENTASE6</v>
      </c>
      <c r="B262" s="274" t="s">
        <v>1560</v>
      </c>
      <c r="C262" s="1">
        <v>45846</v>
      </c>
      <c r="D262" t="s">
        <v>23</v>
      </c>
      <c r="E262" t="s">
        <v>169</v>
      </c>
      <c r="F262" s="146" t="s">
        <v>112</v>
      </c>
      <c r="G262" s="146"/>
      <c r="H262" t="s">
        <v>4214</v>
      </c>
      <c r="I262" s="158"/>
      <c r="J262" s="158">
        <v>6500</v>
      </c>
      <c r="K262" s="72">
        <f>K261+I262-J262</f>
        <v>223580.23999999929</v>
      </c>
    </row>
    <row r="263" spans="1:11" ht="15" hidden="1">
      <c r="A263" s="54" t="str">
        <f>D263&amp;E263&amp;F263</f>
        <v>FINANZASRENTASE1</v>
      </c>
      <c r="B263" s="274" t="s">
        <v>1560</v>
      </c>
      <c r="C263" s="1">
        <v>45846</v>
      </c>
      <c r="D263" t="s">
        <v>23</v>
      </c>
      <c r="E263" t="s">
        <v>169</v>
      </c>
      <c r="F263" s="146" t="s">
        <v>107</v>
      </c>
      <c r="G263" s="146"/>
      <c r="H263" t="s">
        <v>4162</v>
      </c>
      <c r="I263" s="158"/>
      <c r="J263" s="158">
        <v>52914.79</v>
      </c>
      <c r="K263" s="72">
        <f>K262+I263-J263</f>
        <v>170665.44999999928</v>
      </c>
    </row>
    <row r="264" spans="1:11" ht="15" hidden="1">
      <c r="A264" s="54" t="str">
        <f>D264&amp;E264&amp;F264</f>
        <v/>
      </c>
      <c r="B264" s="274" t="s">
        <v>1560</v>
      </c>
      <c r="C264" s="1">
        <v>45847</v>
      </c>
      <c r="F264" s="146"/>
      <c r="G264" s="146"/>
      <c r="H264" t="s">
        <v>3452</v>
      </c>
      <c r="I264" s="158">
        <v>100000</v>
      </c>
      <c r="J264" s="158"/>
      <c r="K264" s="72">
        <f>K263+I264-J264</f>
        <v>270665.44999999925</v>
      </c>
    </row>
    <row r="265" spans="1:11" ht="15" hidden="1">
      <c r="A265" s="54" t="str">
        <f>D265&amp;E265&amp;F265</f>
        <v>FINANZASRENTASA12</v>
      </c>
      <c r="B265" s="274" t="s">
        <v>1560</v>
      </c>
      <c r="C265" s="1">
        <v>45848</v>
      </c>
      <c r="D265" t="s">
        <v>23</v>
      </c>
      <c r="E265" t="s">
        <v>169</v>
      </c>
      <c r="F265" s="146" t="s">
        <v>98</v>
      </c>
      <c r="G265" s="146"/>
      <c r="H265" t="s">
        <v>4078</v>
      </c>
      <c r="I265" s="158"/>
      <c r="J265" s="158">
        <v>142971</v>
      </c>
      <c r="K265" s="72">
        <f>K264+I265-J265</f>
        <v>127694.44999999925</v>
      </c>
    </row>
    <row r="266" spans="1:11" ht="15" hidden="1">
      <c r="A266" s="54" t="str">
        <f>D266&amp;E266&amp;F266</f>
        <v>FINANZASRENTASA18</v>
      </c>
      <c r="B266" s="274" t="s">
        <v>1560</v>
      </c>
      <c r="C266" s="1">
        <v>45848</v>
      </c>
      <c r="D266" t="s">
        <v>23</v>
      </c>
      <c r="E266" t="s">
        <v>169</v>
      </c>
      <c r="F266" s="146" t="s">
        <v>103</v>
      </c>
      <c r="G266" s="146"/>
      <c r="H266" t="s">
        <v>4132</v>
      </c>
      <c r="I266" s="158"/>
      <c r="J266" s="158">
        <v>88160</v>
      </c>
      <c r="K266" s="72">
        <f>K265+I266-J266</f>
        <v>39534.449999999255</v>
      </c>
    </row>
    <row r="267" spans="1:11" ht="15" hidden="1">
      <c r="A267" s="54" t="str">
        <f>D267&amp;E267&amp;F267</f>
        <v/>
      </c>
      <c r="B267" s="274" t="s">
        <v>1560</v>
      </c>
      <c r="C267" s="1">
        <v>45854</v>
      </c>
      <c r="F267" s="146"/>
      <c r="G267" s="146"/>
      <c r="H267" t="s">
        <v>3452</v>
      </c>
      <c r="I267" s="158">
        <v>200000</v>
      </c>
      <c r="J267" s="158"/>
      <c r="K267" s="72">
        <f>K266+I267-J267</f>
        <v>239534.44999999925</v>
      </c>
    </row>
    <row r="268" spans="1:11" ht="15" hidden="1">
      <c r="A268" s="54" t="str">
        <f>D268&amp;E268&amp;F268</f>
        <v>FINANZASRENTASE3</v>
      </c>
      <c r="B268" s="274" t="s">
        <v>1560</v>
      </c>
      <c r="C268" s="1">
        <v>45855</v>
      </c>
      <c r="D268" t="s">
        <v>23</v>
      </c>
      <c r="E268" t="s">
        <v>169</v>
      </c>
      <c r="F268" s="146" t="s">
        <v>109</v>
      </c>
      <c r="G268" s="146"/>
      <c r="H268" t="s">
        <v>4215</v>
      </c>
      <c r="I268" s="158"/>
      <c r="J268" s="158">
        <v>43326.12</v>
      </c>
      <c r="K268" s="72">
        <f>K267+I268-J268</f>
        <v>196208.32999999926</v>
      </c>
    </row>
    <row r="269" spans="1:11" ht="15" hidden="1">
      <c r="A269" s="54" t="str">
        <f>D269&amp;E269&amp;F269</f>
        <v>FINANZASRENTASA11</v>
      </c>
      <c r="B269" s="274" t="s">
        <v>1560</v>
      </c>
      <c r="C269" s="1">
        <v>45855</v>
      </c>
      <c r="D269" t="s">
        <v>23</v>
      </c>
      <c r="E269" t="s">
        <v>169</v>
      </c>
      <c r="F269" s="146" t="s">
        <v>97</v>
      </c>
      <c r="G269" s="146"/>
      <c r="H269" t="s">
        <v>4146</v>
      </c>
      <c r="I269" s="158"/>
      <c r="J269" s="158">
        <v>25454.02</v>
      </c>
      <c r="K269" s="72">
        <f>K268+I269-J269</f>
        <v>170754.30999999927</v>
      </c>
    </row>
    <row r="270" spans="1:11" ht="15" hidden="1">
      <c r="A270" s="54" t="str">
        <f>D270&amp;E270&amp;F270</f>
        <v>FINANZASRENTASA18</v>
      </c>
      <c r="B270" s="274" t="s">
        <v>1560</v>
      </c>
      <c r="C270" s="1">
        <v>45855</v>
      </c>
      <c r="D270" t="s">
        <v>23</v>
      </c>
      <c r="E270" t="s">
        <v>169</v>
      </c>
      <c r="F270" s="146" t="s">
        <v>103</v>
      </c>
      <c r="G270" s="146"/>
      <c r="H270" t="s">
        <v>4132</v>
      </c>
      <c r="I270" s="158"/>
      <c r="J270" s="158">
        <v>2042.32</v>
      </c>
      <c r="K270" s="72">
        <f>K269+I270-J270</f>
        <v>168711.98999999926</v>
      </c>
    </row>
    <row r="271" spans="1:11" ht="15" hidden="1">
      <c r="A271" s="54" t="str">
        <f>D271&amp;E271&amp;F271</f>
        <v>FINANZASRENTASA6</v>
      </c>
      <c r="B271" s="274" t="s">
        <v>1560</v>
      </c>
      <c r="C271" s="1">
        <v>45855</v>
      </c>
      <c r="D271" t="s">
        <v>23</v>
      </c>
      <c r="E271" t="s">
        <v>169</v>
      </c>
      <c r="F271" s="146" t="s">
        <v>93</v>
      </c>
      <c r="G271" s="146"/>
      <c r="H271" t="s">
        <v>4106</v>
      </c>
      <c r="I271" s="158"/>
      <c r="J271" s="158">
        <v>24000</v>
      </c>
      <c r="K271" s="72">
        <f>K270+I271-J271</f>
        <v>144711.98999999926</v>
      </c>
    </row>
    <row r="272" spans="1:11" ht="15" hidden="1">
      <c r="A272" s="54" t="str">
        <f>D272&amp;E272&amp;F272</f>
        <v>FINANZASRENTASA23</v>
      </c>
      <c r="B272" s="274" t="s">
        <v>1560</v>
      </c>
      <c r="C272" s="1">
        <v>45855</v>
      </c>
      <c r="D272" t="s">
        <v>23</v>
      </c>
      <c r="E272" t="s">
        <v>169</v>
      </c>
      <c r="F272" s="146" t="s">
        <v>105</v>
      </c>
      <c r="G272" s="146"/>
      <c r="H272" t="s">
        <v>4216</v>
      </c>
      <c r="I272" s="158"/>
      <c r="J272" s="158">
        <v>10282.36</v>
      </c>
      <c r="K272" s="72">
        <f>K271+I272-J272</f>
        <v>134429.62999999925</v>
      </c>
    </row>
    <row r="273" spans="1:11" ht="15" hidden="1">
      <c r="A273" s="54" t="str">
        <f>D273&amp;E273&amp;F273</f>
        <v>FINANZASRENTASE6</v>
      </c>
      <c r="B273" s="274" t="s">
        <v>1560</v>
      </c>
      <c r="C273" s="1">
        <v>45855</v>
      </c>
      <c r="D273" t="s">
        <v>23</v>
      </c>
      <c r="E273" t="s">
        <v>169</v>
      </c>
      <c r="F273" s="146" t="s">
        <v>112</v>
      </c>
      <c r="G273" s="146"/>
      <c r="H273" t="s">
        <v>4164</v>
      </c>
      <c r="I273" s="158"/>
      <c r="J273" s="158">
        <v>35388.36</v>
      </c>
      <c r="K273" s="72">
        <f>K272+I273-J273</f>
        <v>99041.269999999247</v>
      </c>
    </row>
    <row r="274" spans="1:11" ht="15" hidden="1">
      <c r="A274" s="54" t="str">
        <f>D274&amp;E274&amp;F274</f>
        <v>FINANZASRENTASA14</v>
      </c>
      <c r="B274" s="274" t="s">
        <v>1560</v>
      </c>
      <c r="C274" s="1">
        <v>45855</v>
      </c>
      <c r="D274" t="s">
        <v>23</v>
      </c>
      <c r="E274" t="s">
        <v>169</v>
      </c>
      <c r="F274" s="146" t="s">
        <v>99</v>
      </c>
      <c r="G274" s="146"/>
      <c r="H274" t="s">
        <v>4217</v>
      </c>
      <c r="I274" s="158"/>
      <c r="J274" s="158">
        <v>54288</v>
      </c>
      <c r="K274" s="72">
        <f t="shared" ref="K274:K280" si="10">K273+I274-J274</f>
        <v>44753.269999999247</v>
      </c>
    </row>
    <row r="275" spans="1:11" ht="15" hidden="1">
      <c r="A275" s="54" t="str">
        <f>D275&amp;E275&amp;F275</f>
        <v/>
      </c>
      <c r="B275" s="274" t="s">
        <v>1560</v>
      </c>
      <c r="C275" s="1">
        <v>45859</v>
      </c>
      <c r="G275" s="146"/>
      <c r="H275" t="s">
        <v>3452</v>
      </c>
      <c r="I275" s="158">
        <v>200000</v>
      </c>
      <c r="J275" s="158"/>
      <c r="K275" s="72">
        <f t="shared" si="10"/>
        <v>244753.26999999926</v>
      </c>
    </row>
    <row r="276" spans="1:11" ht="15" hidden="1">
      <c r="A276" s="54" t="str">
        <f>D276&amp;E276&amp;F276</f>
        <v>FINANZASRENTASA16</v>
      </c>
      <c r="B276" s="274" t="s">
        <v>1560</v>
      </c>
      <c r="C276" s="1">
        <v>45860</v>
      </c>
      <c r="D276" t="s">
        <v>23</v>
      </c>
      <c r="E276" t="s">
        <v>169</v>
      </c>
      <c r="F276" s="146" t="s">
        <v>101</v>
      </c>
      <c r="G276" s="146"/>
      <c r="H276" t="s">
        <v>4218</v>
      </c>
      <c r="I276" s="158"/>
      <c r="J276" s="158">
        <v>18000</v>
      </c>
      <c r="K276" s="72">
        <f t="shared" si="10"/>
        <v>226753.26999999926</v>
      </c>
    </row>
    <row r="277" spans="1:11" ht="15" hidden="1">
      <c r="A277" s="54" t="str">
        <f>D277&amp;E277&amp;F277</f>
        <v>FINANZASRENTASA15</v>
      </c>
      <c r="B277" s="274" t="s">
        <v>1560</v>
      </c>
      <c r="C277" s="1">
        <v>45861</v>
      </c>
      <c r="D277" t="s">
        <v>23</v>
      </c>
      <c r="E277" t="s">
        <v>169</v>
      </c>
      <c r="F277" s="146" t="s">
        <v>100</v>
      </c>
      <c r="G277" s="146"/>
      <c r="H277" t="s">
        <v>4202</v>
      </c>
      <c r="I277" s="158"/>
      <c r="J277" s="158">
        <v>21354</v>
      </c>
      <c r="K277" s="72">
        <f t="shared" si="10"/>
        <v>205399.26999999926</v>
      </c>
    </row>
    <row r="278" spans="1:11" ht="15" hidden="1">
      <c r="A278" s="54" t="str">
        <f>D278&amp;E278&amp;F278</f>
        <v>FINANZASRENTASA22</v>
      </c>
      <c r="B278" s="274" t="s">
        <v>1560</v>
      </c>
      <c r="C278" s="1">
        <v>45861</v>
      </c>
      <c r="D278" t="s">
        <v>23</v>
      </c>
      <c r="E278" t="s">
        <v>169</v>
      </c>
      <c r="F278" s="146" t="s">
        <v>104</v>
      </c>
      <c r="G278" s="146"/>
      <c r="H278" t="s">
        <v>4088</v>
      </c>
      <c r="I278" s="158"/>
      <c r="J278" s="158">
        <v>45000</v>
      </c>
      <c r="K278" s="72">
        <f t="shared" si="10"/>
        <v>160399.26999999926</v>
      </c>
    </row>
    <row r="279" spans="1:11" ht="15" hidden="1">
      <c r="A279" s="54" t="str">
        <f>D279&amp;E279&amp;F279</f>
        <v/>
      </c>
      <c r="B279" s="274" t="s">
        <v>1560</v>
      </c>
      <c r="C279" s="1">
        <v>45863</v>
      </c>
      <c r="F279" s="146"/>
      <c r="G279" s="146"/>
      <c r="H279" t="s">
        <v>3452</v>
      </c>
      <c r="I279" s="158">
        <v>120000</v>
      </c>
      <c r="J279" s="158"/>
      <c r="K279" s="72">
        <f t="shared" si="10"/>
        <v>280399.26999999926</v>
      </c>
    </row>
    <row r="280" spans="1:11" ht="15" hidden="1">
      <c r="A280" s="54" t="str">
        <f>D280&amp;E280&amp;F280</f>
        <v/>
      </c>
      <c r="B280" s="274" t="s">
        <v>1560</v>
      </c>
      <c r="C280" s="1">
        <v>45866</v>
      </c>
      <c r="F280" s="146"/>
      <c r="G280" s="146"/>
      <c r="H280" t="s">
        <v>3452</v>
      </c>
      <c r="I280" s="158">
        <v>565000</v>
      </c>
      <c r="J280" s="158"/>
      <c r="K280" s="72">
        <f t="shared" si="10"/>
        <v>845399.26999999932</v>
      </c>
    </row>
    <row r="281" spans="1:11" ht="15" hidden="1">
      <c r="A281" s="54" t="str">
        <f>D281&amp;E281&amp;F281</f>
        <v>FINANZASRENTASE4</v>
      </c>
      <c r="B281" s="274" t="s">
        <v>1560</v>
      </c>
      <c r="C281" s="1">
        <v>45866</v>
      </c>
      <c r="D281" t="s">
        <v>23</v>
      </c>
      <c r="E281" t="s">
        <v>169</v>
      </c>
      <c r="F281" s="146" t="s">
        <v>110</v>
      </c>
      <c r="G281" s="146"/>
      <c r="H281" t="s">
        <v>4219</v>
      </c>
      <c r="I281" s="158"/>
      <c r="J281" s="158">
        <v>77390</v>
      </c>
      <c r="K281" s="72">
        <f>K280+I281-J281</f>
        <v>768009.26999999932</v>
      </c>
    </row>
    <row r="282" spans="1:11" ht="15" hidden="1">
      <c r="A282" s="54" t="str">
        <f>D282&amp;E282&amp;F282</f>
        <v>FINANZASRENTASE4</v>
      </c>
      <c r="B282" s="274" t="s">
        <v>1560</v>
      </c>
      <c r="C282" s="1">
        <v>45866</v>
      </c>
      <c r="D282" t="s">
        <v>23</v>
      </c>
      <c r="E282" t="s">
        <v>169</v>
      </c>
      <c r="F282" s="146" t="s">
        <v>110</v>
      </c>
      <c r="G282" s="146"/>
      <c r="H282" t="s">
        <v>4220</v>
      </c>
      <c r="I282" s="158"/>
      <c r="J282" s="158">
        <v>25333.75</v>
      </c>
      <c r="K282" s="72">
        <f>K281+I282-J282</f>
        <v>742675.51999999932</v>
      </c>
    </row>
    <row r="283" spans="1:11" ht="15" hidden="1">
      <c r="A283" s="54" t="str">
        <f>D283&amp;E283&amp;F283</f>
        <v>FINANZASRENTASA8</v>
      </c>
      <c r="B283" s="274" t="s">
        <v>1560</v>
      </c>
      <c r="C283" s="1">
        <v>45866</v>
      </c>
      <c r="D283" t="s">
        <v>23</v>
      </c>
      <c r="E283" t="s">
        <v>169</v>
      </c>
      <c r="F283" s="146" t="s">
        <v>94</v>
      </c>
      <c r="G283" s="146"/>
      <c r="H283" t="s">
        <v>4221</v>
      </c>
      <c r="I283" s="158"/>
      <c r="J283" s="158">
        <v>83706.100000000006</v>
      </c>
      <c r="K283" s="72">
        <f>K282+I283-J283</f>
        <v>658969.41999999934</v>
      </c>
    </row>
    <row r="284" spans="1:11" ht="15" hidden="1">
      <c r="A284" s="54" t="str">
        <f>D284&amp;E284&amp;F284</f>
        <v>FINANZASRENTASA8</v>
      </c>
      <c r="B284" s="274" t="s">
        <v>1560</v>
      </c>
      <c r="C284" s="1">
        <v>45866</v>
      </c>
      <c r="D284" t="s">
        <v>23</v>
      </c>
      <c r="E284" t="s">
        <v>169</v>
      </c>
      <c r="F284" s="146" t="s">
        <v>94</v>
      </c>
      <c r="G284" s="146"/>
      <c r="H284" t="s">
        <v>4222</v>
      </c>
      <c r="I284" s="158"/>
      <c r="J284" s="158">
        <v>45583.9</v>
      </c>
      <c r="K284" s="72">
        <f>K283+I284-J284</f>
        <v>613385.51999999932</v>
      </c>
    </row>
    <row r="285" spans="1:11" ht="15" hidden="1">
      <c r="A285" s="54" t="str">
        <f>D285&amp;E285&amp;F285</f>
        <v>FINANZASRENTASA4</v>
      </c>
      <c r="B285" s="274" t="s">
        <v>1560</v>
      </c>
      <c r="C285" s="1">
        <v>45866</v>
      </c>
      <c r="D285" t="s">
        <v>23</v>
      </c>
      <c r="E285" t="s">
        <v>169</v>
      </c>
      <c r="F285" s="146" t="s">
        <v>91</v>
      </c>
      <c r="G285" s="146"/>
      <c r="H285" t="s">
        <v>4223</v>
      </c>
      <c r="I285" s="158"/>
      <c r="J285" s="158">
        <v>32800</v>
      </c>
      <c r="K285" s="72">
        <f>K284+I285-J285</f>
        <v>580585.51999999932</v>
      </c>
    </row>
    <row r="286" spans="1:11" ht="15" hidden="1">
      <c r="A286" s="54" t="str">
        <f>D286&amp;E286&amp;F286</f>
        <v>FINANZASRENTASE9</v>
      </c>
      <c r="B286" s="274" t="s">
        <v>1560</v>
      </c>
      <c r="C286" s="1">
        <v>45866</v>
      </c>
      <c r="D286" t="s">
        <v>23</v>
      </c>
      <c r="E286" t="s">
        <v>169</v>
      </c>
      <c r="F286" s="146" t="s">
        <v>116</v>
      </c>
      <c r="G286" s="146"/>
      <c r="H286" t="s">
        <v>4224</v>
      </c>
      <c r="I286" s="158"/>
      <c r="J286" s="158">
        <v>89227.199999999997</v>
      </c>
      <c r="K286" s="72">
        <f>K285+I286-J286</f>
        <v>491358.31999999931</v>
      </c>
    </row>
    <row r="287" spans="1:11" ht="15" hidden="1">
      <c r="A287" s="54" t="str">
        <f>D287&amp;E287&amp;F287</f>
        <v>FINANZASRENTASE9</v>
      </c>
      <c r="B287" s="274" t="s">
        <v>1560</v>
      </c>
      <c r="C287" s="1">
        <v>45866</v>
      </c>
      <c r="D287" t="s">
        <v>23</v>
      </c>
      <c r="E287" t="s">
        <v>169</v>
      </c>
      <c r="F287" s="146" t="s">
        <v>116</v>
      </c>
      <c r="G287" s="146"/>
      <c r="H287" t="s">
        <v>4225</v>
      </c>
      <c r="I287" s="158"/>
      <c r="J287" s="158">
        <v>17845.439999999999</v>
      </c>
      <c r="K287" s="72">
        <f t="shared" ref="K287:K319" si="11">K286+I287-J287</f>
        <v>473512.87999999931</v>
      </c>
    </row>
    <row r="288" spans="1:11" ht="15" hidden="1">
      <c r="A288" s="54" t="str">
        <f>D288&amp;E288&amp;F288</f>
        <v>FINANZASRENTASA1</v>
      </c>
      <c r="B288" s="274" t="s">
        <v>1560</v>
      </c>
      <c r="C288" s="1">
        <v>45866</v>
      </c>
      <c r="D288" t="s">
        <v>23</v>
      </c>
      <c r="E288" t="s">
        <v>169</v>
      </c>
      <c r="F288" s="146" t="s">
        <v>88</v>
      </c>
      <c r="G288" s="146"/>
      <c r="H288" t="s">
        <v>4226</v>
      </c>
      <c r="I288" s="158"/>
      <c r="J288" s="158">
        <v>10672.5</v>
      </c>
      <c r="K288" s="72">
        <f t="shared" si="11"/>
        <v>462840.37999999931</v>
      </c>
    </row>
    <row r="289" spans="1:11" ht="15" hidden="1">
      <c r="A289" s="54" t="str">
        <f>D289&amp;E289&amp;F289</f>
        <v>FINANZASRENTASE8</v>
      </c>
      <c r="B289" s="274" t="s">
        <v>1560</v>
      </c>
      <c r="C289" s="1">
        <v>45867</v>
      </c>
      <c r="D289" t="s">
        <v>23</v>
      </c>
      <c r="E289" t="s">
        <v>169</v>
      </c>
      <c r="F289" s="146" t="s">
        <v>114</v>
      </c>
      <c r="G289" s="146"/>
      <c r="H289" t="s">
        <v>4227</v>
      </c>
      <c r="I289" s="158"/>
      <c r="J289" s="158">
        <v>73994.679999999993</v>
      </c>
      <c r="K289" s="72">
        <f t="shared" si="11"/>
        <v>388845.69999999931</v>
      </c>
    </row>
    <row r="290" spans="1:11" ht="15" hidden="1">
      <c r="A290" s="54" t="str">
        <f>D290&amp;E290&amp;F290</f>
        <v>FINANZASRENTASE8</v>
      </c>
      <c r="B290" s="274" t="s">
        <v>1560</v>
      </c>
      <c r="C290" s="1">
        <v>45867</v>
      </c>
      <c r="D290" t="s">
        <v>23</v>
      </c>
      <c r="E290" t="s">
        <v>169</v>
      </c>
      <c r="F290" s="146" t="s">
        <v>114</v>
      </c>
      <c r="G290" s="146"/>
      <c r="H290" t="s">
        <v>4228</v>
      </c>
      <c r="I290" s="158"/>
      <c r="J290" s="158">
        <v>16278.82</v>
      </c>
      <c r="K290" s="72">
        <f t="shared" si="11"/>
        <v>372566.87999999931</v>
      </c>
    </row>
    <row r="291" spans="1:11" ht="15" hidden="1">
      <c r="A291" s="54" t="str">
        <f>D291&amp;E291&amp;F291</f>
        <v>FINANZASRENTASA22</v>
      </c>
      <c r="B291" s="274" t="s">
        <v>1560</v>
      </c>
      <c r="C291" s="1">
        <v>45867</v>
      </c>
      <c r="D291" t="s">
        <v>23</v>
      </c>
      <c r="E291" t="s">
        <v>169</v>
      </c>
      <c r="F291" s="146" t="s">
        <v>104</v>
      </c>
      <c r="G291" s="146"/>
      <c r="H291" t="s">
        <v>4229</v>
      </c>
      <c r="I291" s="158"/>
      <c r="J291" s="158">
        <v>44544.58</v>
      </c>
      <c r="K291" s="72">
        <f t="shared" si="11"/>
        <v>328022.29999999929</v>
      </c>
    </row>
    <row r="292" spans="1:11" ht="15" hidden="1">
      <c r="A292" s="54" t="str">
        <f>D292&amp;E292&amp;F292</f>
        <v>FINANZASRENTASA24</v>
      </c>
      <c r="B292" s="274" t="s">
        <v>1560</v>
      </c>
      <c r="C292" s="1">
        <v>45867</v>
      </c>
      <c r="D292" t="s">
        <v>23</v>
      </c>
      <c r="E292" t="s">
        <v>169</v>
      </c>
      <c r="F292" s="146" t="s">
        <v>106</v>
      </c>
      <c r="G292" s="146"/>
      <c r="H292" t="s">
        <v>4230</v>
      </c>
      <c r="I292" s="158"/>
      <c r="J292" s="158">
        <v>81319.3</v>
      </c>
      <c r="K292" s="72">
        <f t="shared" si="11"/>
        <v>246702.9999999993</v>
      </c>
    </row>
    <row r="293" spans="1:11" ht="15" hidden="1">
      <c r="A293" s="54" t="str">
        <f>D293&amp;E293&amp;F293</f>
        <v>FINANZASRENTASA17</v>
      </c>
      <c r="B293" s="274" t="s">
        <v>1560</v>
      </c>
      <c r="C293" s="1">
        <v>45867</v>
      </c>
      <c r="D293" t="s">
        <v>23</v>
      </c>
      <c r="E293" t="s">
        <v>169</v>
      </c>
      <c r="F293" s="146" t="s">
        <v>102</v>
      </c>
      <c r="G293" s="146"/>
      <c r="H293" t="s">
        <v>4231</v>
      </c>
      <c r="I293" s="158"/>
      <c r="J293" s="158">
        <v>76326.960000000006</v>
      </c>
      <c r="K293" s="72">
        <f t="shared" si="11"/>
        <v>170376.03999999928</v>
      </c>
    </row>
    <row r="294" spans="1:11" ht="15" hidden="1">
      <c r="A294" s="54" t="str">
        <f>D294&amp;E294&amp;F294</f>
        <v>FINANZASRENTASA10</v>
      </c>
      <c r="B294" s="274" t="s">
        <v>1560</v>
      </c>
      <c r="C294" s="1">
        <v>45869</v>
      </c>
      <c r="D294" t="s">
        <v>23</v>
      </c>
      <c r="E294" t="s">
        <v>169</v>
      </c>
      <c r="F294" s="146" t="s">
        <v>96</v>
      </c>
      <c r="G294" s="146"/>
      <c r="H294" t="s">
        <v>4232</v>
      </c>
      <c r="I294" s="158"/>
      <c r="J294" s="158">
        <v>43714.99</v>
      </c>
      <c r="K294" s="72">
        <f t="shared" si="11"/>
        <v>126661.04999999929</v>
      </c>
    </row>
    <row r="295" spans="1:11" ht="15" hidden="1">
      <c r="A295" s="54" t="str">
        <f>D295&amp;E295&amp;F295</f>
        <v>FINANZASRENTASA10</v>
      </c>
      <c r="B295" s="274" t="s">
        <v>1560</v>
      </c>
      <c r="C295" s="1">
        <v>45869</v>
      </c>
      <c r="D295" t="s">
        <v>23</v>
      </c>
      <c r="E295" t="s">
        <v>169</v>
      </c>
      <c r="F295" s="146" t="s">
        <v>96</v>
      </c>
      <c r="G295" s="146"/>
      <c r="H295" t="s">
        <v>4233</v>
      </c>
      <c r="I295" s="158"/>
      <c r="J295" s="158">
        <v>31225</v>
      </c>
      <c r="K295" s="72">
        <f t="shared" si="11"/>
        <v>95436.04999999929</v>
      </c>
    </row>
    <row r="296" spans="1:11" ht="15" hidden="1">
      <c r="A296" s="54" t="str">
        <f>D296&amp;E296&amp;F296</f>
        <v>FINANZASRENTASE5</v>
      </c>
      <c r="B296" s="274" t="s">
        <v>1560</v>
      </c>
      <c r="C296" s="1">
        <v>45869</v>
      </c>
      <c r="D296" t="s">
        <v>23</v>
      </c>
      <c r="E296" t="s">
        <v>169</v>
      </c>
      <c r="F296" s="146" t="s">
        <v>111</v>
      </c>
      <c r="G296" s="146"/>
      <c r="H296" t="s">
        <v>4206</v>
      </c>
      <c r="I296" s="158"/>
      <c r="J296" s="158">
        <v>41223.25</v>
      </c>
      <c r="K296" s="72">
        <f t="shared" si="11"/>
        <v>54212.79999999929</v>
      </c>
    </row>
    <row r="297" spans="1:11" ht="15" hidden="1">
      <c r="A297" s="54" t="str">
        <f>D297&amp;E297&amp;F297</f>
        <v>FINANZASRENTASA3</v>
      </c>
      <c r="B297" s="274" t="s">
        <v>1560</v>
      </c>
      <c r="C297" s="1">
        <v>45869</v>
      </c>
      <c r="D297" t="s">
        <v>23</v>
      </c>
      <c r="E297" t="s">
        <v>169</v>
      </c>
      <c r="F297" s="146" t="s">
        <v>90</v>
      </c>
      <c r="G297" s="146"/>
      <c r="H297" t="s">
        <v>4234</v>
      </c>
      <c r="I297" s="158"/>
      <c r="J297" s="158">
        <v>58145.99</v>
      </c>
      <c r="K297" s="72">
        <f t="shared" si="11"/>
        <v>-3933.1900000007081</v>
      </c>
    </row>
    <row r="298" spans="1:11" ht="15" hidden="1">
      <c r="A298" s="54" t="str">
        <f>D298&amp;E298&amp;F298</f>
        <v/>
      </c>
      <c r="B298" s="274" t="s">
        <v>1807</v>
      </c>
      <c r="C298" s="1">
        <v>45873</v>
      </c>
      <c r="G298" s="146"/>
      <c r="H298" t="s">
        <v>3452</v>
      </c>
      <c r="I298" s="158">
        <v>100000</v>
      </c>
      <c r="J298" s="158"/>
      <c r="K298" s="72">
        <f t="shared" si="11"/>
        <v>96066.809999999299</v>
      </c>
    </row>
    <row r="299" spans="1:11" ht="15" hidden="1">
      <c r="A299" s="54" t="str">
        <f>D299&amp;E299&amp;F299</f>
        <v>FINANZASRENTASA15</v>
      </c>
      <c r="B299" s="274" t="s">
        <v>1807</v>
      </c>
      <c r="C299" s="1">
        <v>45873</v>
      </c>
      <c r="D299" t="s">
        <v>23</v>
      </c>
      <c r="E299" t="s">
        <v>169</v>
      </c>
      <c r="F299" s="146" t="s">
        <v>100</v>
      </c>
      <c r="G299" s="146"/>
      <c r="H299" t="s">
        <v>4235</v>
      </c>
      <c r="I299" s="158"/>
      <c r="J299" s="158">
        <v>3240.3</v>
      </c>
      <c r="K299" s="72">
        <f t="shared" si="11"/>
        <v>92826.509999999296</v>
      </c>
    </row>
    <row r="300" spans="1:11" ht="15" hidden="1">
      <c r="A300" s="54" t="str">
        <f>D300&amp;E300&amp;F300</f>
        <v>FINANZASRENTASA5</v>
      </c>
      <c r="B300" s="274" t="s">
        <v>1807</v>
      </c>
      <c r="C300" s="1">
        <v>45873</v>
      </c>
      <c r="D300" t="s">
        <v>23</v>
      </c>
      <c r="E300" t="s">
        <v>169</v>
      </c>
      <c r="F300" s="146" t="s">
        <v>92</v>
      </c>
      <c r="G300" s="146"/>
      <c r="H300" t="s">
        <v>4236</v>
      </c>
      <c r="I300" s="158"/>
      <c r="J300" s="158">
        <v>41611.699999999997</v>
      </c>
      <c r="K300" s="72">
        <f t="shared" si="11"/>
        <v>51214.809999999299</v>
      </c>
    </row>
    <row r="301" spans="1:11" ht="15" hidden="1">
      <c r="A301" s="54" t="str">
        <f>D301&amp;E301&amp;F301</f>
        <v>FINANZASRENTASA9</v>
      </c>
      <c r="B301" s="274" t="s">
        <v>1807</v>
      </c>
      <c r="C301" s="1">
        <v>45873</v>
      </c>
      <c r="D301" t="s">
        <v>23</v>
      </c>
      <c r="E301" t="s">
        <v>169</v>
      </c>
      <c r="F301" s="146" t="s">
        <v>95</v>
      </c>
      <c r="G301" s="146"/>
      <c r="H301" t="s">
        <v>4237</v>
      </c>
      <c r="I301" s="158"/>
      <c r="J301" s="3">
        <v>23193.68</v>
      </c>
      <c r="K301" s="72">
        <f t="shared" si="11"/>
        <v>28021.129999999299</v>
      </c>
    </row>
    <row r="302" spans="1:11" ht="15" hidden="1">
      <c r="A302" s="54" t="str">
        <f>D302&amp;E302&amp;F302</f>
        <v>FINANZASRENTASA1</v>
      </c>
      <c r="B302" s="274" t="s">
        <v>1807</v>
      </c>
      <c r="C302" s="1">
        <v>45873</v>
      </c>
      <c r="D302" t="s">
        <v>23</v>
      </c>
      <c r="E302" t="s">
        <v>169</v>
      </c>
      <c r="F302" s="146" t="s">
        <v>88</v>
      </c>
      <c r="G302" s="146"/>
      <c r="H302" t="s">
        <v>4238</v>
      </c>
      <c r="I302" s="158"/>
      <c r="J302" s="158">
        <v>34789.440000000002</v>
      </c>
      <c r="K302" s="72">
        <f t="shared" si="11"/>
        <v>-6768.3100000007034</v>
      </c>
    </row>
    <row r="303" spans="1:11" ht="15" hidden="1">
      <c r="A303" s="54" t="str">
        <f>D303&amp;E303&amp;F303</f>
        <v/>
      </c>
      <c r="B303" s="274" t="s">
        <v>1807</v>
      </c>
      <c r="C303" s="1">
        <v>45875</v>
      </c>
      <c r="F303" s="146"/>
      <c r="G303" s="146"/>
      <c r="H303" t="s">
        <v>3452</v>
      </c>
      <c r="I303" s="158">
        <v>246000</v>
      </c>
      <c r="J303" s="158"/>
      <c r="K303" s="72">
        <f t="shared" si="11"/>
        <v>239231.6899999993</v>
      </c>
    </row>
    <row r="304" spans="1:11" ht="15" hidden="1">
      <c r="A304" s="54" t="str">
        <f>D304&amp;E304&amp;F304</f>
        <v>FINANZASRENTASE2</v>
      </c>
      <c r="B304" s="274" t="s">
        <v>1807</v>
      </c>
      <c r="C304" s="1">
        <v>45875</v>
      </c>
      <c r="D304" t="s">
        <v>23</v>
      </c>
      <c r="E304" t="s">
        <v>169</v>
      </c>
      <c r="F304" s="146" t="s">
        <v>108</v>
      </c>
      <c r="G304" s="146"/>
      <c r="H304" t="s">
        <v>4239</v>
      </c>
      <c r="I304" s="158"/>
      <c r="J304" s="158">
        <v>134130.88</v>
      </c>
      <c r="K304" s="72">
        <f t="shared" si="11"/>
        <v>105100.8099999993</v>
      </c>
    </row>
    <row r="305" spans="1:11" ht="15" hidden="1">
      <c r="A305" s="54" t="str">
        <f>D305&amp;E305&amp;F305</f>
        <v>FINANZASRENTASE1</v>
      </c>
      <c r="B305" s="274" t="s">
        <v>1807</v>
      </c>
      <c r="C305" s="1">
        <v>45875</v>
      </c>
      <c r="D305" t="s">
        <v>23</v>
      </c>
      <c r="E305" t="s">
        <v>169</v>
      </c>
      <c r="F305" s="146" t="s">
        <v>107</v>
      </c>
      <c r="G305" s="146"/>
      <c r="H305" t="s">
        <v>4240</v>
      </c>
      <c r="I305" s="158"/>
      <c r="J305" s="158">
        <v>52914.79</v>
      </c>
      <c r="K305" s="72">
        <f t="shared" si="11"/>
        <v>52186.019999999298</v>
      </c>
    </row>
    <row r="306" spans="1:11" ht="15" hidden="1">
      <c r="A306" s="54" t="str">
        <f>D306&amp;E306&amp;F306</f>
        <v>FINANZASRENTASE6</v>
      </c>
      <c r="B306" s="274" t="s">
        <v>1807</v>
      </c>
      <c r="C306" s="1">
        <v>45875</v>
      </c>
      <c r="D306" t="s">
        <v>23</v>
      </c>
      <c r="E306" t="s">
        <v>169</v>
      </c>
      <c r="F306" s="146" t="s">
        <v>112</v>
      </c>
      <c r="G306" s="146"/>
      <c r="H306" t="s">
        <v>4164</v>
      </c>
      <c r="I306" s="158"/>
      <c r="J306" s="158">
        <v>6500</v>
      </c>
      <c r="K306" s="72">
        <f t="shared" si="11"/>
        <v>45686.019999999298</v>
      </c>
    </row>
    <row r="307" spans="1:11" ht="15" hidden="1">
      <c r="A307" s="54" t="str">
        <f>D307&amp;E307&amp;F307</f>
        <v/>
      </c>
      <c r="B307" s="274" t="s">
        <v>1807</v>
      </c>
      <c r="C307" s="1">
        <v>45877</v>
      </c>
      <c r="F307" s="146"/>
      <c r="G307" s="146"/>
      <c r="H307" t="s">
        <v>3452</v>
      </c>
      <c r="I307" s="158">
        <v>50000</v>
      </c>
      <c r="K307" s="72">
        <f t="shared" si="11"/>
        <v>95686.019999999291</v>
      </c>
    </row>
    <row r="308" spans="1:11" ht="15" hidden="1">
      <c r="A308" s="54" t="str">
        <f>D308&amp;E308&amp;F308</f>
        <v>FINANZASRENTASA22</v>
      </c>
      <c r="B308" s="274" t="s">
        <v>1807</v>
      </c>
      <c r="C308" s="1">
        <v>45877</v>
      </c>
      <c r="D308" t="s">
        <v>23</v>
      </c>
      <c r="E308" t="s">
        <v>169</v>
      </c>
      <c r="F308" s="146" t="s">
        <v>104</v>
      </c>
      <c r="G308" s="146"/>
      <c r="H308" t="s">
        <v>4100</v>
      </c>
      <c r="I308" s="158"/>
      <c r="J308" s="158">
        <v>50000</v>
      </c>
      <c r="K308" s="72">
        <f t="shared" si="11"/>
        <v>45686.019999999291</v>
      </c>
    </row>
    <row r="309" spans="1:11" ht="15" hidden="1">
      <c r="A309" s="54" t="str">
        <f>D309&amp;E309&amp;F309</f>
        <v>FINANZASRENTASA10</v>
      </c>
      <c r="B309" s="274" t="s">
        <v>1807</v>
      </c>
      <c r="C309" s="1">
        <v>45877</v>
      </c>
      <c r="D309" t="s">
        <v>23</v>
      </c>
      <c r="E309" t="s">
        <v>169</v>
      </c>
      <c r="F309" s="146" t="s">
        <v>96</v>
      </c>
      <c r="G309" s="146"/>
      <c r="H309" t="s">
        <v>4120</v>
      </c>
      <c r="I309" s="158"/>
      <c r="J309" s="158">
        <v>31000</v>
      </c>
      <c r="K309" s="72">
        <f t="shared" si="11"/>
        <v>14686.019999999291</v>
      </c>
    </row>
    <row r="310" spans="1:11" s="89" customFormat="1" ht="15" hidden="1">
      <c r="A310" s="54" t="str">
        <f>D310&amp;E310&amp;F310</f>
        <v/>
      </c>
      <c r="B310" s="415" t="s">
        <v>1807</v>
      </c>
      <c r="C310" s="235">
        <v>45877</v>
      </c>
      <c r="F310" s="236"/>
      <c r="G310" s="236"/>
      <c r="H310" s="89" t="s">
        <v>4097</v>
      </c>
      <c r="I310" s="416"/>
      <c r="J310" s="416">
        <v>88160</v>
      </c>
      <c r="K310" s="417">
        <f t="shared" si="11"/>
        <v>-73473.980000000709</v>
      </c>
    </row>
    <row r="311" spans="1:11" ht="15" hidden="1">
      <c r="A311" s="54" t="str">
        <f>D311&amp;E311&amp;F311</f>
        <v/>
      </c>
      <c r="B311" s="274" t="s">
        <v>1807</v>
      </c>
      <c r="C311" s="1">
        <v>45880</v>
      </c>
      <c r="F311" s="146"/>
      <c r="G311" s="146"/>
      <c r="H311" t="s">
        <v>3452</v>
      </c>
      <c r="I311" s="158">
        <v>400000</v>
      </c>
      <c r="J311" s="158"/>
      <c r="K311" s="72">
        <f t="shared" si="11"/>
        <v>326526.01999999932</v>
      </c>
    </row>
    <row r="312" spans="1:11" ht="15" hidden="1">
      <c r="A312" s="54" t="str">
        <f>D312&amp;E312&amp;F312</f>
        <v>FINANZASRENTASA12</v>
      </c>
      <c r="B312" s="274" t="s">
        <v>1807</v>
      </c>
      <c r="C312" s="1">
        <v>45883</v>
      </c>
      <c r="D312" t="s">
        <v>23</v>
      </c>
      <c r="E312" t="s">
        <v>169</v>
      </c>
      <c r="F312" s="146" t="s">
        <v>98</v>
      </c>
      <c r="G312" s="146"/>
      <c r="H312" t="s">
        <v>4241</v>
      </c>
      <c r="I312" s="158"/>
      <c r="J312" s="158">
        <v>142971.10999999999</v>
      </c>
      <c r="K312" s="72">
        <f t="shared" si="11"/>
        <v>183554.90999999933</v>
      </c>
    </row>
    <row r="313" spans="1:11" ht="15" hidden="1">
      <c r="A313" s="54" t="str">
        <f>D313&amp;E313&amp;F313</f>
        <v>FINANZASRENTASE8</v>
      </c>
      <c r="B313" s="274" t="s">
        <v>1807</v>
      </c>
      <c r="C313" s="1">
        <v>45883</v>
      </c>
      <c r="D313" t="s">
        <v>23</v>
      </c>
      <c r="E313" t="s">
        <v>169</v>
      </c>
      <c r="F313" s="146" t="s">
        <v>114</v>
      </c>
      <c r="G313" s="146"/>
      <c r="H313" t="s">
        <v>4183</v>
      </c>
      <c r="I313" s="158"/>
      <c r="J313" s="158">
        <v>73994.679999999993</v>
      </c>
      <c r="K313" s="72">
        <f t="shared" si="11"/>
        <v>109560.22999999934</v>
      </c>
    </row>
    <row r="314" spans="1:11" ht="15" hidden="1">
      <c r="A314" s="54" t="str">
        <f>D314&amp;E314&amp;F314</f>
        <v>FINANZASRENTASE8</v>
      </c>
      <c r="B314" s="274" t="s">
        <v>1807</v>
      </c>
      <c r="C314" s="1">
        <v>45883</v>
      </c>
      <c r="D314" t="s">
        <v>23</v>
      </c>
      <c r="E314" t="s">
        <v>169</v>
      </c>
      <c r="F314" s="146" t="s">
        <v>114</v>
      </c>
      <c r="G314" s="146"/>
      <c r="H314" t="s">
        <v>4143</v>
      </c>
      <c r="I314" s="158"/>
      <c r="J314" s="158">
        <v>16278.82</v>
      </c>
      <c r="K314" s="72">
        <f>K313+I314-J314</f>
        <v>93281.409999999334</v>
      </c>
    </row>
    <row r="315" spans="1:11" ht="15" hidden="1">
      <c r="A315" s="54" t="str">
        <f>D315&amp;E315&amp;F315</f>
        <v>FINANZASRENTASE3</v>
      </c>
      <c r="B315" s="274" t="s">
        <v>1807</v>
      </c>
      <c r="C315" s="1">
        <v>45883</v>
      </c>
      <c r="D315" t="s">
        <v>23</v>
      </c>
      <c r="E315" t="s">
        <v>169</v>
      </c>
      <c r="F315" s="146" t="s">
        <v>109</v>
      </c>
      <c r="G315" s="146"/>
      <c r="H315" t="s">
        <v>4215</v>
      </c>
      <c r="I315" s="158"/>
      <c r="J315" s="158">
        <v>43326.12</v>
      </c>
      <c r="K315" s="72">
        <f>K314+I315-J315</f>
        <v>49955.289999999331</v>
      </c>
    </row>
    <row r="316" spans="1:11" ht="15" hidden="1">
      <c r="A316" s="54" t="str">
        <f>D316&amp;E316&amp;F316</f>
        <v>FINANZASRENTASA11</v>
      </c>
      <c r="B316" s="274" t="s">
        <v>1807</v>
      </c>
      <c r="C316" s="1">
        <v>45883</v>
      </c>
      <c r="D316" t="s">
        <v>23</v>
      </c>
      <c r="E316" t="s">
        <v>169</v>
      </c>
      <c r="F316" s="146" t="s">
        <v>97</v>
      </c>
      <c r="G316" s="146"/>
      <c r="H316" t="s">
        <v>4146</v>
      </c>
      <c r="I316" s="158"/>
      <c r="J316" s="158">
        <v>25454.02</v>
      </c>
      <c r="K316" s="72">
        <f>K315+I316-J316</f>
        <v>24501.269999999331</v>
      </c>
    </row>
    <row r="317" spans="1:11" ht="15" hidden="1">
      <c r="A317" s="54" t="str">
        <f>D317&amp;E317&amp;F317</f>
        <v>FINANZASRENTASA18</v>
      </c>
      <c r="B317" s="274" t="s">
        <v>1807</v>
      </c>
      <c r="C317" s="1">
        <v>45883</v>
      </c>
      <c r="D317" t="s">
        <v>23</v>
      </c>
      <c r="E317" t="s">
        <v>169</v>
      </c>
      <c r="F317" s="146" t="s">
        <v>103</v>
      </c>
      <c r="G317" s="146"/>
      <c r="H317" t="s">
        <v>4132</v>
      </c>
      <c r="I317" s="158"/>
      <c r="J317" s="158">
        <v>2042.32</v>
      </c>
      <c r="K317" s="72">
        <f>K316+I317-J317</f>
        <v>22458.949999999331</v>
      </c>
    </row>
    <row r="318" spans="1:11" ht="15" hidden="1">
      <c r="A318" s="54" t="str">
        <f>D318&amp;E318&amp;F318</f>
        <v>FINANZASRENTASA23</v>
      </c>
      <c r="B318" s="274" t="s">
        <v>1807</v>
      </c>
      <c r="C318" s="1">
        <v>45883</v>
      </c>
      <c r="D318" t="s">
        <v>23</v>
      </c>
      <c r="E318" t="s">
        <v>169</v>
      </c>
      <c r="F318" s="146" t="s">
        <v>105</v>
      </c>
      <c r="G318" s="146"/>
      <c r="H318" t="s">
        <v>4216</v>
      </c>
      <c r="I318" s="158"/>
      <c r="J318" s="158">
        <v>10282.36</v>
      </c>
      <c r="K318" s="72">
        <f t="shared" ref="K318:K332" si="12">K317+I318-J318</f>
        <v>12176.589999999331</v>
      </c>
    </row>
    <row r="319" spans="1:11" ht="15" hidden="1">
      <c r="A319" s="54" t="str">
        <f>D319&amp;E319&amp;F319</f>
        <v>FINANZASRENTASE9</v>
      </c>
      <c r="B319" s="274" t="s">
        <v>1807</v>
      </c>
      <c r="C319" s="1">
        <v>45883</v>
      </c>
      <c r="D319" t="s">
        <v>23</v>
      </c>
      <c r="E319" t="s">
        <v>169</v>
      </c>
      <c r="F319" s="146" t="s">
        <v>116</v>
      </c>
      <c r="G319" s="146"/>
      <c r="H319" t="s">
        <v>4242</v>
      </c>
      <c r="I319" s="158"/>
      <c r="J319" s="158">
        <v>17845.439999999999</v>
      </c>
      <c r="K319" s="72">
        <f t="shared" si="12"/>
        <v>-5668.8500000006679</v>
      </c>
    </row>
    <row r="320" spans="1:11" ht="15" hidden="1">
      <c r="A320" s="54" t="str">
        <f>D320&amp;E320&amp;F320</f>
        <v>FINANZASRENTASA2</v>
      </c>
      <c r="B320" s="274" t="s">
        <v>1807</v>
      </c>
      <c r="C320" s="1">
        <v>45884</v>
      </c>
      <c r="D320" t="s">
        <v>23</v>
      </c>
      <c r="E320" t="s">
        <v>169</v>
      </c>
      <c r="F320" s="146" t="s">
        <v>89</v>
      </c>
      <c r="G320" s="146"/>
      <c r="H320" t="s">
        <v>4184</v>
      </c>
      <c r="I320" s="158"/>
      <c r="J320" s="158">
        <v>52184.160000000003</v>
      </c>
      <c r="K320" s="72">
        <f t="shared" si="12"/>
        <v>-57853.010000000671</v>
      </c>
    </row>
    <row r="321" spans="1:11" ht="15" hidden="1">
      <c r="A321" s="54" t="str">
        <f>D321&amp;E321&amp;F321</f>
        <v>FINANZASRENTASA5</v>
      </c>
      <c r="B321" s="274" t="s">
        <v>1807</v>
      </c>
      <c r="C321" s="1">
        <v>45884</v>
      </c>
      <c r="D321" t="s">
        <v>23</v>
      </c>
      <c r="E321" t="s">
        <v>169</v>
      </c>
      <c r="F321" s="146" t="s">
        <v>92</v>
      </c>
      <c r="G321" s="146"/>
      <c r="H321" t="s">
        <v>4236</v>
      </c>
      <c r="I321" s="158"/>
      <c r="J321" s="158">
        <v>8109</v>
      </c>
      <c r="K321" s="72">
        <f t="shared" si="12"/>
        <v>-65962.010000000679</v>
      </c>
    </row>
    <row r="322" spans="1:11" ht="15" hidden="1">
      <c r="A322" s="54" t="str">
        <f>D322&amp;E322&amp;F322</f>
        <v/>
      </c>
      <c r="B322" s="274" t="s">
        <v>1807</v>
      </c>
      <c r="C322" s="1">
        <v>45887</v>
      </c>
      <c r="F322" s="146"/>
      <c r="G322" s="146"/>
      <c r="H322" t="s">
        <v>3452</v>
      </c>
      <c r="I322" s="158">
        <v>350000</v>
      </c>
      <c r="J322" s="158"/>
      <c r="K322" s="72">
        <f t="shared" si="12"/>
        <v>284037.98999999929</v>
      </c>
    </row>
    <row r="323" spans="1:11" ht="15" hidden="1">
      <c r="A323" s="54" t="str">
        <f>D323&amp;E323&amp;F323</f>
        <v>FINANZASRENTASE4</v>
      </c>
      <c r="B323" s="274" t="s">
        <v>1807</v>
      </c>
      <c r="C323" s="1">
        <v>45887</v>
      </c>
      <c r="D323" t="s">
        <v>23</v>
      </c>
      <c r="E323" t="s">
        <v>169</v>
      </c>
      <c r="F323" s="146" t="s">
        <v>110</v>
      </c>
      <c r="G323" s="146"/>
      <c r="H323" t="s">
        <v>4243</v>
      </c>
      <c r="I323" s="158"/>
      <c r="J323" s="158">
        <v>25259.81</v>
      </c>
      <c r="K323" s="72">
        <f t="shared" si="12"/>
        <v>258778.17999999929</v>
      </c>
    </row>
    <row r="324" spans="1:11" ht="15" hidden="1">
      <c r="A324" s="54" t="str">
        <f>D324&amp;E324&amp;F324</f>
        <v>FINANZASRENTASA8</v>
      </c>
      <c r="B324" s="274" t="s">
        <v>1807</v>
      </c>
      <c r="C324" s="1">
        <v>45887</v>
      </c>
      <c r="D324" t="s">
        <v>23</v>
      </c>
      <c r="E324" t="s">
        <v>169</v>
      </c>
      <c r="F324" s="146" t="s">
        <v>94</v>
      </c>
      <c r="G324" s="146"/>
      <c r="H324" t="s">
        <v>4244</v>
      </c>
      <c r="I324" s="158"/>
      <c r="J324" s="158">
        <v>45425.440000000002</v>
      </c>
      <c r="K324" s="72">
        <f t="shared" si="12"/>
        <v>213352.73999999929</v>
      </c>
    </row>
    <row r="325" spans="1:11" ht="15" hidden="1">
      <c r="A325" s="54" t="str">
        <f>D325&amp;E325&amp;F325</f>
        <v>FINANZASRENTASA6</v>
      </c>
      <c r="B325" s="274" t="s">
        <v>1807</v>
      </c>
      <c r="C325" s="1">
        <v>45887</v>
      </c>
      <c r="D325" t="s">
        <v>23</v>
      </c>
      <c r="E325" t="s">
        <v>169</v>
      </c>
      <c r="F325" s="146" t="s">
        <v>93</v>
      </c>
      <c r="G325" s="146"/>
      <c r="H325" t="s">
        <v>4144</v>
      </c>
      <c r="I325" s="158"/>
      <c r="J325" s="158">
        <v>24000</v>
      </c>
      <c r="K325" s="72">
        <f t="shared" si="12"/>
        <v>189352.73999999929</v>
      </c>
    </row>
    <row r="326" spans="1:11" ht="15" hidden="1">
      <c r="A326" s="54" t="str">
        <f>D326&amp;E326&amp;F326</f>
        <v>FINANZASRENTASE6</v>
      </c>
      <c r="B326" s="274" t="s">
        <v>1807</v>
      </c>
      <c r="C326" s="1">
        <v>45887</v>
      </c>
      <c r="D326" t="s">
        <v>23</v>
      </c>
      <c r="E326" t="s">
        <v>169</v>
      </c>
      <c r="F326" s="146" t="s">
        <v>112</v>
      </c>
      <c r="G326" s="146"/>
      <c r="H326" t="s">
        <v>4065</v>
      </c>
      <c r="I326" s="158"/>
      <c r="J326" s="158">
        <v>35388.36</v>
      </c>
      <c r="K326" s="72">
        <f t="shared" si="12"/>
        <v>153964.37999999931</v>
      </c>
    </row>
    <row r="327" spans="1:11" ht="15" hidden="1">
      <c r="A327" s="54" t="str">
        <f>D327&amp;E327&amp;F327</f>
        <v>FINANZASRENTASA14</v>
      </c>
      <c r="B327" s="274" t="s">
        <v>1807</v>
      </c>
      <c r="C327" s="1">
        <v>45887</v>
      </c>
      <c r="D327" t="s">
        <v>23</v>
      </c>
      <c r="E327" t="s">
        <v>169</v>
      </c>
      <c r="F327" s="146" t="s">
        <v>99</v>
      </c>
      <c r="G327" s="146"/>
      <c r="H327" t="s">
        <v>4245</v>
      </c>
      <c r="I327" s="158"/>
      <c r="J327" s="158">
        <v>54288</v>
      </c>
      <c r="K327" s="72">
        <f t="shared" si="12"/>
        <v>99676.379999999306</v>
      </c>
    </row>
    <row r="328" spans="1:11" ht="15" hidden="1">
      <c r="A328" s="54" t="str">
        <f>D328&amp;E328&amp;F328</f>
        <v>FINANZASRENTASE9</v>
      </c>
      <c r="B328" s="274" t="s">
        <v>1807</v>
      </c>
      <c r="C328" s="1">
        <v>45887</v>
      </c>
      <c r="D328" t="s">
        <v>23</v>
      </c>
      <c r="E328" t="s">
        <v>169</v>
      </c>
      <c r="F328" s="146" t="s">
        <v>116</v>
      </c>
      <c r="G328" s="146"/>
      <c r="H328" t="s">
        <v>4246</v>
      </c>
      <c r="I328" s="158"/>
      <c r="J328" s="158">
        <v>89227.199999999997</v>
      </c>
      <c r="K328" s="72">
        <f t="shared" si="12"/>
        <v>10449.179999999309</v>
      </c>
    </row>
    <row r="329" spans="1:11" ht="15" hidden="1">
      <c r="A329" s="54" t="str">
        <f>D329&amp;E329&amp;F329</f>
        <v>FINANZASRENTASA16</v>
      </c>
      <c r="B329" s="274" t="s">
        <v>1807</v>
      </c>
      <c r="C329" s="1">
        <v>45889</v>
      </c>
      <c r="D329" t="s">
        <v>23</v>
      </c>
      <c r="E329" t="s">
        <v>169</v>
      </c>
      <c r="F329" s="146" t="s">
        <v>101</v>
      </c>
      <c r="G329" s="146"/>
      <c r="H329" t="s">
        <v>4247</v>
      </c>
      <c r="I329" s="158"/>
      <c r="J329" s="158">
        <v>18000</v>
      </c>
      <c r="K329" s="72">
        <f t="shared" si="12"/>
        <v>-7550.8200000006909</v>
      </c>
    </row>
    <row r="330" spans="1:11" ht="15" hidden="1">
      <c r="A330" s="54" t="str">
        <f>D330&amp;E330&amp;F330</f>
        <v/>
      </c>
      <c r="B330" s="274" t="s">
        <v>1807</v>
      </c>
      <c r="C330" s="1">
        <v>45894</v>
      </c>
      <c r="F330" s="146"/>
      <c r="G330" s="146"/>
      <c r="H330" t="s">
        <v>3452</v>
      </c>
      <c r="I330" s="158">
        <v>500000</v>
      </c>
      <c r="J330" s="158"/>
      <c r="K330" s="72">
        <f t="shared" si="12"/>
        <v>492449.17999999929</v>
      </c>
    </row>
    <row r="331" spans="1:11" ht="15" hidden="1">
      <c r="A331" s="54" t="str">
        <f>D331&amp;E331&amp;F331</f>
        <v>FINANZASRENTASE4</v>
      </c>
      <c r="B331" s="274" t="s">
        <v>1807</v>
      </c>
      <c r="C331" s="1">
        <v>45894</v>
      </c>
      <c r="D331" t="s">
        <v>23</v>
      </c>
      <c r="E331" t="s">
        <v>169</v>
      </c>
      <c r="F331" s="146" t="s">
        <v>110</v>
      </c>
      <c r="G331" s="146"/>
      <c r="H331" t="s">
        <v>4248</v>
      </c>
      <c r="I331" s="158"/>
      <c r="J331" s="158">
        <v>77390</v>
      </c>
      <c r="K331" s="72">
        <f t="shared" si="12"/>
        <v>415059.17999999929</v>
      </c>
    </row>
    <row r="332" spans="1:11" ht="15" hidden="1">
      <c r="A332" s="54" t="str">
        <f>D332&amp;E332&amp;F332</f>
        <v>FINANZASRENTASA8</v>
      </c>
      <c r="B332" s="274" t="s">
        <v>1807</v>
      </c>
      <c r="C332" s="1">
        <v>45894</v>
      </c>
      <c r="D332" t="s">
        <v>23</v>
      </c>
      <c r="E332" t="s">
        <v>169</v>
      </c>
      <c r="F332" s="146" t="s">
        <v>94</v>
      </c>
      <c r="G332" s="146"/>
      <c r="H332" t="s">
        <v>4249</v>
      </c>
      <c r="I332" s="158"/>
      <c r="J332" s="158">
        <v>83706.100000000006</v>
      </c>
      <c r="K332" s="72">
        <f t="shared" si="12"/>
        <v>331353.07999999926</v>
      </c>
    </row>
    <row r="333" spans="1:11" ht="15" hidden="1">
      <c r="A333" s="54" t="str">
        <f>D333&amp;E333&amp;F333</f>
        <v>FINANZASRENTASA22</v>
      </c>
      <c r="B333" s="274" t="s">
        <v>1807</v>
      </c>
      <c r="C333" s="1">
        <v>45894</v>
      </c>
      <c r="D333" t="s">
        <v>23</v>
      </c>
      <c r="E333" t="s">
        <v>169</v>
      </c>
      <c r="F333" s="146" t="s">
        <v>104</v>
      </c>
      <c r="G333" s="146"/>
      <c r="H333" t="s">
        <v>4250</v>
      </c>
      <c r="I333" s="158"/>
      <c r="J333" s="158">
        <v>44544.58</v>
      </c>
      <c r="K333" s="72">
        <f t="shared" ref="K333:K388" si="13">K332+I333-J333</f>
        <v>286808.49999999924</v>
      </c>
    </row>
    <row r="334" spans="1:11" s="229" customFormat="1" ht="15" hidden="1">
      <c r="A334" s="54" t="str">
        <f>D334&amp;E334&amp;F334</f>
        <v>FINANZASRENTASA24</v>
      </c>
      <c r="B334" s="484" t="s">
        <v>1807</v>
      </c>
      <c r="C334" s="244">
        <v>45894</v>
      </c>
      <c r="D334" s="229" t="s">
        <v>23</v>
      </c>
      <c r="E334" s="229" t="s">
        <v>169</v>
      </c>
      <c r="F334" s="146" t="s">
        <v>106</v>
      </c>
      <c r="G334" s="146"/>
      <c r="H334" s="229" t="s">
        <v>4251</v>
      </c>
      <c r="I334" s="158"/>
      <c r="J334" s="158">
        <v>81319.3</v>
      </c>
      <c r="K334" s="485">
        <f t="shared" si="13"/>
        <v>205489.19999999925</v>
      </c>
    </row>
    <row r="335" spans="1:11" s="229" customFormat="1" ht="15" hidden="1">
      <c r="A335" s="54" t="str">
        <f>D335&amp;E335&amp;F335</f>
        <v>FINANZASRENTASA22</v>
      </c>
      <c r="B335" s="484" t="s">
        <v>1807</v>
      </c>
      <c r="C335" s="244">
        <v>45897</v>
      </c>
      <c r="D335" s="229" t="s">
        <v>23</v>
      </c>
      <c r="E335" s="229" t="s">
        <v>169</v>
      </c>
      <c r="F335" s="146" t="s">
        <v>104</v>
      </c>
      <c r="G335" s="146"/>
      <c r="H335" s="229" t="s">
        <v>4077</v>
      </c>
      <c r="I335" s="158"/>
      <c r="J335" s="158">
        <v>45000</v>
      </c>
      <c r="K335" s="485">
        <f t="shared" si="13"/>
        <v>160489.19999999925</v>
      </c>
    </row>
    <row r="336" spans="1:11" s="229" customFormat="1" ht="15" hidden="1">
      <c r="A336" s="54" t="str">
        <f>D336&amp;E336&amp;F336</f>
        <v>FINANZASRENTASA15</v>
      </c>
      <c r="B336" s="484" t="s">
        <v>1807</v>
      </c>
      <c r="C336" s="244">
        <v>45897</v>
      </c>
      <c r="D336" s="229" t="s">
        <v>23</v>
      </c>
      <c r="E336" s="229" t="s">
        <v>169</v>
      </c>
      <c r="F336" s="146" t="s">
        <v>100</v>
      </c>
      <c r="G336" s="146"/>
      <c r="H336" s="229" t="s">
        <v>4085</v>
      </c>
      <c r="I336" s="158"/>
      <c r="J336" s="158">
        <v>21354</v>
      </c>
      <c r="K336" s="485">
        <f t="shared" si="13"/>
        <v>139135.19999999925</v>
      </c>
    </row>
    <row r="337" spans="1:11" s="229" customFormat="1" ht="15" hidden="1">
      <c r="A337" s="54" t="str">
        <f>D337&amp;E337&amp;F337</f>
        <v>FINANZASRENTASA10</v>
      </c>
      <c r="B337" s="484" t="s">
        <v>1807</v>
      </c>
      <c r="C337" s="244">
        <v>45898</v>
      </c>
      <c r="D337" s="229" t="s">
        <v>23</v>
      </c>
      <c r="E337" s="229" t="s">
        <v>169</v>
      </c>
      <c r="F337" s="146" t="s">
        <v>96</v>
      </c>
      <c r="G337" s="146"/>
      <c r="H337" s="229" t="s">
        <v>4099</v>
      </c>
      <c r="I337" s="158"/>
      <c r="J337" s="158">
        <v>43714.99</v>
      </c>
      <c r="K337" s="485">
        <f t="shared" si="13"/>
        <v>95420.209999999264</v>
      </c>
    </row>
    <row r="338" spans="1:11" s="229" customFormat="1" ht="15" hidden="1">
      <c r="A338" s="54" t="str">
        <f>D338&amp;E338&amp;F338</f>
        <v>FINANZASRENTASE5</v>
      </c>
      <c r="B338" s="484" t="s">
        <v>1807</v>
      </c>
      <c r="C338" s="244">
        <v>45898</v>
      </c>
      <c r="D338" s="229" t="s">
        <v>23</v>
      </c>
      <c r="E338" s="229" t="s">
        <v>169</v>
      </c>
      <c r="F338" s="146" t="s">
        <v>111</v>
      </c>
      <c r="G338" s="146"/>
      <c r="H338" s="229" t="s">
        <v>4252</v>
      </c>
      <c r="I338" s="158"/>
      <c r="J338" s="158">
        <v>41223.25</v>
      </c>
      <c r="K338" s="485">
        <f t="shared" si="13"/>
        <v>54196.959999999264</v>
      </c>
    </row>
    <row r="339" spans="1:11" s="229" customFormat="1" ht="15" hidden="1">
      <c r="A339" s="54" t="str">
        <f>D339&amp;E339&amp;F339</f>
        <v>FINANZASRENTASA4</v>
      </c>
      <c r="B339" s="484" t="s">
        <v>1807</v>
      </c>
      <c r="C339" s="244">
        <v>45898</v>
      </c>
      <c r="D339" s="229" t="s">
        <v>23</v>
      </c>
      <c r="E339" s="229" t="s">
        <v>169</v>
      </c>
      <c r="F339" s="146" t="s">
        <v>91</v>
      </c>
      <c r="G339" s="146"/>
      <c r="H339" s="229" t="s">
        <v>4208</v>
      </c>
      <c r="I339" s="158"/>
      <c r="J339" s="158">
        <v>32800</v>
      </c>
      <c r="K339" s="485">
        <f t="shared" si="13"/>
        <v>21396.959999999264</v>
      </c>
    </row>
    <row r="340" spans="1:11" s="229" customFormat="1" ht="15" hidden="1">
      <c r="A340" s="54" t="str">
        <f>D340&amp;E340&amp;F340</f>
        <v>FINANZASRENTASA17</v>
      </c>
      <c r="B340" s="484" t="s">
        <v>1807</v>
      </c>
      <c r="C340" s="244">
        <v>45898</v>
      </c>
      <c r="D340" s="229" t="s">
        <v>23</v>
      </c>
      <c r="E340" s="229" t="s">
        <v>169</v>
      </c>
      <c r="F340" s="229" t="s">
        <v>102</v>
      </c>
      <c r="G340" s="146"/>
      <c r="H340" s="229" t="s">
        <v>4253</v>
      </c>
      <c r="I340" s="158"/>
      <c r="J340" s="158">
        <v>76326.960000000006</v>
      </c>
      <c r="K340" s="485">
        <f t="shared" si="13"/>
        <v>-54930.000000000742</v>
      </c>
    </row>
    <row r="341" spans="1:11" s="229" customFormat="1" ht="15" hidden="1">
      <c r="A341" s="54" t="str">
        <f>D341&amp;E341&amp;F341</f>
        <v>FINANZASRENTASA15</v>
      </c>
      <c r="B341" s="484" t="s">
        <v>1807</v>
      </c>
      <c r="C341" s="244">
        <v>45898</v>
      </c>
      <c r="D341" s="229" t="s">
        <v>23</v>
      </c>
      <c r="E341" s="229" t="s">
        <v>169</v>
      </c>
      <c r="F341" s="146" t="s">
        <v>100</v>
      </c>
      <c r="G341" s="146"/>
      <c r="H341" s="229" t="s">
        <v>4254</v>
      </c>
      <c r="I341" s="158"/>
      <c r="J341" s="158">
        <v>3240</v>
      </c>
      <c r="K341" s="485">
        <f t="shared" si="13"/>
        <v>-58170.000000000742</v>
      </c>
    </row>
    <row r="342" spans="1:11" s="229" customFormat="1" ht="15" hidden="1">
      <c r="A342" s="54" t="str">
        <f>D342&amp;E342&amp;F342</f>
        <v>FINANZASRENTASA18</v>
      </c>
      <c r="B342" s="484" t="s">
        <v>1807</v>
      </c>
      <c r="C342" s="244">
        <v>45898</v>
      </c>
      <c r="D342" s="229" t="s">
        <v>23</v>
      </c>
      <c r="E342" s="229" t="s">
        <v>169</v>
      </c>
      <c r="F342" s="146" t="s">
        <v>103</v>
      </c>
      <c r="G342" s="146"/>
      <c r="H342" s="229" t="s">
        <v>4104</v>
      </c>
      <c r="I342" s="158"/>
      <c r="J342" s="158">
        <v>202.04</v>
      </c>
      <c r="K342" s="485">
        <f t="shared" si="13"/>
        <v>-58372.040000000743</v>
      </c>
    </row>
    <row r="343" spans="1:11" s="229" customFormat="1" ht="15" hidden="1">
      <c r="A343" s="54" t="str">
        <f>D343&amp;E343&amp;F343</f>
        <v/>
      </c>
      <c r="B343" s="484" t="s">
        <v>2028</v>
      </c>
      <c r="C343" s="244">
        <v>45901</v>
      </c>
      <c r="F343" s="146"/>
      <c r="G343" s="146"/>
      <c r="H343" s="229" t="s">
        <v>3452</v>
      </c>
      <c r="I343" s="158">
        <v>682000</v>
      </c>
      <c r="J343" s="158"/>
      <c r="K343" s="485">
        <f>K342+I343-J343</f>
        <v>623627.95999999926</v>
      </c>
    </row>
    <row r="344" spans="1:11" ht="15" hidden="1">
      <c r="A344" s="54" t="str">
        <f>D344&amp;E344&amp;F344</f>
        <v>FINANZASRENTASE2</v>
      </c>
      <c r="B344" s="274" t="s">
        <v>2028</v>
      </c>
      <c r="C344" s="1">
        <v>45901</v>
      </c>
      <c r="D344" t="s">
        <v>23</v>
      </c>
      <c r="E344" t="s">
        <v>169</v>
      </c>
      <c r="F344" s="146" t="s">
        <v>108</v>
      </c>
      <c r="G344" s="146"/>
      <c r="H344" t="s">
        <v>4131</v>
      </c>
      <c r="I344" s="158"/>
      <c r="J344" s="158">
        <v>134130.88</v>
      </c>
      <c r="K344" s="72">
        <f>K343+I344-J344</f>
        <v>489497.07999999926</v>
      </c>
    </row>
    <row r="345" spans="1:11" ht="15" hidden="1">
      <c r="A345" s="54" t="str">
        <f>D345&amp;E345&amp;F345</f>
        <v>FINANZASRENTASA3</v>
      </c>
      <c r="B345" s="274" t="s">
        <v>2028</v>
      </c>
      <c r="C345" s="1">
        <v>45901</v>
      </c>
      <c r="D345" t="s">
        <v>23</v>
      </c>
      <c r="E345" t="s">
        <v>169</v>
      </c>
      <c r="F345" s="146" t="s">
        <v>90</v>
      </c>
      <c r="G345" s="146"/>
      <c r="H345" t="s">
        <v>4255</v>
      </c>
      <c r="I345" s="158"/>
      <c r="J345" s="158">
        <v>58145.99</v>
      </c>
      <c r="K345" s="72">
        <f>K344+I345-J345</f>
        <v>431351.08999999927</v>
      </c>
    </row>
    <row r="346" spans="1:11" ht="15" hidden="1">
      <c r="A346" s="54" t="str">
        <f>D346&amp;E346&amp;F346</f>
        <v>FINANZASRENTASA2</v>
      </c>
      <c r="B346" s="274" t="s">
        <v>2028</v>
      </c>
      <c r="C346" s="1">
        <v>45902</v>
      </c>
      <c r="D346" t="s">
        <v>23</v>
      </c>
      <c r="E346" t="s">
        <v>169</v>
      </c>
      <c r="F346" s="146" t="s">
        <v>89</v>
      </c>
      <c r="G346" s="146"/>
      <c r="H346" t="s">
        <v>4256</v>
      </c>
      <c r="I346" s="158"/>
      <c r="J346" s="158">
        <v>30600</v>
      </c>
      <c r="K346" s="72">
        <f>K345+I346-J346</f>
        <v>400751.08999999927</v>
      </c>
    </row>
    <row r="347" spans="1:11" ht="15" hidden="1">
      <c r="A347" s="54" t="str">
        <f>D347&amp;E347&amp;F347</f>
        <v>FINANZASRENTASA9</v>
      </c>
      <c r="B347" s="274" t="s">
        <v>2028</v>
      </c>
      <c r="C347" s="1">
        <v>45902</v>
      </c>
      <c r="D347" t="s">
        <v>23</v>
      </c>
      <c r="E347" t="s">
        <v>169</v>
      </c>
      <c r="F347" s="146" t="s">
        <v>95</v>
      </c>
      <c r="G347" s="146"/>
      <c r="H347" t="s">
        <v>4237</v>
      </c>
      <c r="I347" s="158"/>
      <c r="J347" s="158">
        <v>23194</v>
      </c>
      <c r="K347" s="72">
        <f>K346+I347-J347</f>
        <v>377557.08999999927</v>
      </c>
    </row>
    <row r="348" spans="1:11" ht="15" hidden="1">
      <c r="A348" s="54" t="str">
        <f>D348&amp;E348&amp;F348</f>
        <v>FINANZASRENTASA1</v>
      </c>
      <c r="B348" s="274" t="s">
        <v>2028</v>
      </c>
      <c r="C348" s="1">
        <v>45902</v>
      </c>
      <c r="D348" t="s">
        <v>23</v>
      </c>
      <c r="E348" t="s">
        <v>169</v>
      </c>
      <c r="F348" s="146" t="s">
        <v>88</v>
      </c>
      <c r="G348" s="146"/>
      <c r="H348" t="s">
        <v>4257</v>
      </c>
      <c r="I348" s="158"/>
      <c r="J348" s="158">
        <v>34789</v>
      </c>
      <c r="K348" s="72">
        <f>K347+I348-J348</f>
        <v>342768.08999999927</v>
      </c>
    </row>
    <row r="349" spans="1:11" ht="15" hidden="1">
      <c r="A349" s="54" t="str">
        <f>D349&amp;E349&amp;F349</f>
        <v>FINANZASRENTASA5</v>
      </c>
      <c r="B349" s="274" t="s">
        <v>2028</v>
      </c>
      <c r="C349" s="1">
        <v>45902</v>
      </c>
      <c r="D349" t="s">
        <v>23</v>
      </c>
      <c r="E349" t="s">
        <v>169</v>
      </c>
      <c r="F349" s="146" t="s">
        <v>92</v>
      </c>
      <c r="G349" s="146"/>
      <c r="H349" t="s">
        <v>4258</v>
      </c>
      <c r="I349" s="158"/>
      <c r="J349" s="158">
        <v>52184</v>
      </c>
      <c r="K349" s="72">
        <f>K348+I349-J349</f>
        <v>290584.08999999927</v>
      </c>
    </row>
    <row r="350" spans="1:11" ht="15" hidden="1">
      <c r="A350" s="54" t="str">
        <f>D350&amp;E350&amp;F350</f>
        <v>FINANZASRENTASA10</v>
      </c>
      <c r="B350" s="274" t="s">
        <v>2028</v>
      </c>
      <c r="C350" s="1">
        <v>45903</v>
      </c>
      <c r="D350" t="s">
        <v>23</v>
      </c>
      <c r="E350" t="s">
        <v>169</v>
      </c>
      <c r="F350" s="146" t="s">
        <v>96</v>
      </c>
      <c r="G350" s="146"/>
      <c r="H350" t="s">
        <v>4158</v>
      </c>
      <c r="I350" s="158"/>
      <c r="J350" s="158">
        <v>31000</v>
      </c>
      <c r="K350" s="72">
        <f>K349+I350-J350</f>
        <v>259584.08999999927</v>
      </c>
    </row>
    <row r="351" spans="1:11" ht="15" hidden="1">
      <c r="A351" s="54" t="str">
        <f>D351&amp;E351&amp;F351</f>
        <v>FINANZASRENTASA10</v>
      </c>
      <c r="B351" s="274" t="s">
        <v>2028</v>
      </c>
      <c r="C351" s="1">
        <v>45905</v>
      </c>
      <c r="D351" t="s">
        <v>23</v>
      </c>
      <c r="E351" t="s">
        <v>169</v>
      </c>
      <c r="F351" s="146" t="s">
        <v>96</v>
      </c>
      <c r="G351" s="146"/>
      <c r="H351" t="s">
        <v>4053</v>
      </c>
      <c r="I351" s="158"/>
      <c r="J351" s="158">
        <v>31225</v>
      </c>
      <c r="K351" s="72">
        <f>K350+I351-J351</f>
        <v>228359.08999999927</v>
      </c>
    </row>
    <row r="352" spans="1:11" ht="15" hidden="1">
      <c r="A352" s="54" t="str">
        <f>D352&amp;E352&amp;F352</f>
        <v>FINANZASRENTASA18</v>
      </c>
      <c r="B352" s="274" t="s">
        <v>2028</v>
      </c>
      <c r="C352" s="1">
        <v>45905</v>
      </c>
      <c r="D352" t="s">
        <v>23</v>
      </c>
      <c r="E352" t="s">
        <v>169</v>
      </c>
      <c r="F352" s="146" t="s">
        <v>103</v>
      </c>
      <c r="G352" s="146"/>
      <c r="H352" t="s">
        <v>4259</v>
      </c>
      <c r="I352" s="158"/>
      <c r="J352" s="158">
        <v>88160</v>
      </c>
      <c r="K352" s="72">
        <f>K351+I352-J352</f>
        <v>140199.08999999927</v>
      </c>
    </row>
    <row r="353" spans="1:11" ht="15" hidden="1">
      <c r="A353" s="54" t="str">
        <f>D353&amp;E353&amp;F353</f>
        <v>FINANZASRENTASE1</v>
      </c>
      <c r="B353" s="274" t="s">
        <v>2028</v>
      </c>
      <c r="C353" s="1">
        <v>45905</v>
      </c>
      <c r="D353" t="s">
        <v>23</v>
      </c>
      <c r="E353" t="s">
        <v>169</v>
      </c>
      <c r="F353" s="146" t="s">
        <v>107</v>
      </c>
      <c r="G353" s="146"/>
      <c r="H353" t="s">
        <v>4260</v>
      </c>
      <c r="I353" s="158"/>
      <c r="J353" s="158">
        <v>52914.79</v>
      </c>
      <c r="K353" s="72">
        <f>K352+I353-J353</f>
        <v>87284.299999999261</v>
      </c>
    </row>
    <row r="354" spans="1:11" ht="15" hidden="1">
      <c r="A354" s="54" t="str">
        <f>D354&amp;E354&amp;F354</f>
        <v>FINANZASRENTASE6</v>
      </c>
      <c r="B354" s="274" t="s">
        <v>2028</v>
      </c>
      <c r="C354" s="1">
        <v>45905</v>
      </c>
      <c r="D354" t="s">
        <v>23</v>
      </c>
      <c r="E354" t="s">
        <v>169</v>
      </c>
      <c r="F354" s="146" t="s">
        <v>112</v>
      </c>
      <c r="G354" s="146"/>
      <c r="H354" t="s">
        <v>4261</v>
      </c>
      <c r="I354" s="158"/>
      <c r="J354" s="158">
        <v>6500</v>
      </c>
      <c r="K354" s="72">
        <f>K353+I354-J354</f>
        <v>80784.299999999261</v>
      </c>
    </row>
    <row r="355" spans="1:11" ht="15" hidden="1">
      <c r="A355" s="54" t="str">
        <f>D355&amp;E355&amp;F355</f>
        <v>FINANZASRENTASA18</v>
      </c>
      <c r="B355" s="274" t="s">
        <v>2028</v>
      </c>
      <c r="C355" s="1">
        <v>45905</v>
      </c>
      <c r="D355" t="s">
        <v>23</v>
      </c>
      <c r="E355" t="s">
        <v>169</v>
      </c>
      <c r="F355" s="146" t="s">
        <v>103</v>
      </c>
      <c r="G355" s="146"/>
      <c r="H355" t="s">
        <v>4169</v>
      </c>
      <c r="I355" s="158"/>
      <c r="J355" s="158">
        <v>2244.36</v>
      </c>
      <c r="K355" s="72">
        <f>K354+I355-J355</f>
        <v>78539.93999999926</v>
      </c>
    </row>
    <row r="356" spans="1:11" ht="15" hidden="1">
      <c r="A356" s="54" t="str">
        <f>D356&amp;E356&amp;F356</f>
        <v>FINANZASRENTASA12</v>
      </c>
      <c r="B356" s="274" t="s">
        <v>2028</v>
      </c>
      <c r="C356" s="1">
        <v>45915</v>
      </c>
      <c r="D356" t="s">
        <v>23</v>
      </c>
      <c r="E356" t="s">
        <v>169</v>
      </c>
      <c r="F356" t="s">
        <v>98</v>
      </c>
      <c r="G356" s="146"/>
      <c r="H356" t="s">
        <v>4190</v>
      </c>
      <c r="I356" s="158"/>
      <c r="J356" s="158">
        <v>142971.10999999999</v>
      </c>
      <c r="K356" s="72">
        <f>K355+I356-J356</f>
        <v>-64431.170000000726</v>
      </c>
    </row>
    <row r="357" spans="1:11" ht="15" hidden="1">
      <c r="A357" s="54" t="str">
        <f>D357&amp;E357&amp;F357</f>
        <v/>
      </c>
      <c r="B357" s="274" t="s">
        <v>2028</v>
      </c>
      <c r="C357" s="1">
        <v>45917</v>
      </c>
      <c r="F357" s="146"/>
      <c r="G357" s="146"/>
      <c r="H357" t="s">
        <v>3452</v>
      </c>
      <c r="I357" s="158">
        <v>100000</v>
      </c>
      <c r="J357" s="158"/>
      <c r="K357" s="72">
        <f>K356+I357-J357</f>
        <v>35568.829999999274</v>
      </c>
    </row>
    <row r="358" spans="1:11" ht="15" hidden="1">
      <c r="A358" s="54" t="str">
        <f>D358&amp;E358&amp;F358</f>
        <v/>
      </c>
      <c r="B358" s="274" t="s">
        <v>2028</v>
      </c>
      <c r="C358" s="1">
        <v>45919</v>
      </c>
      <c r="F358" s="146"/>
      <c r="G358" s="146"/>
      <c r="H358" t="s">
        <v>3452</v>
      </c>
      <c r="I358" s="158">
        <v>150000</v>
      </c>
      <c r="J358" s="158"/>
      <c r="K358" s="72">
        <f>K357+I358-J358</f>
        <v>185568.82999999926</v>
      </c>
    </row>
    <row r="359" spans="1:11" ht="15" hidden="1">
      <c r="A359" s="54" t="str">
        <f>D359&amp;E359&amp;F359</f>
        <v>FINANZASRENTASA10</v>
      </c>
      <c r="B359" s="274" t="s">
        <v>2028</v>
      </c>
      <c r="C359" s="1">
        <v>45919</v>
      </c>
      <c r="D359" t="s">
        <v>23</v>
      </c>
      <c r="E359" t="s">
        <v>169</v>
      </c>
      <c r="F359" s="146" t="s">
        <v>96</v>
      </c>
      <c r="G359" s="146"/>
      <c r="H359" t="s">
        <v>4120</v>
      </c>
      <c r="I359" s="158"/>
      <c r="J359" s="158">
        <v>31225</v>
      </c>
      <c r="K359" s="72">
        <f>K358+I359-J359</f>
        <v>154343.82999999926</v>
      </c>
    </row>
    <row r="360" spans="1:11" ht="15" hidden="1">
      <c r="A360" s="54" t="str">
        <f>D360&amp;E360&amp;F360</f>
        <v>FINANZASRENTASE3</v>
      </c>
      <c r="B360" s="274" t="s">
        <v>2028</v>
      </c>
      <c r="C360" s="1">
        <v>45919</v>
      </c>
      <c r="D360" t="s">
        <v>23</v>
      </c>
      <c r="E360" t="s">
        <v>169</v>
      </c>
      <c r="F360" s="146" t="s">
        <v>109</v>
      </c>
      <c r="G360" s="146"/>
      <c r="H360" t="s">
        <v>4262</v>
      </c>
      <c r="I360" s="158"/>
      <c r="J360" s="158">
        <v>43326.12</v>
      </c>
      <c r="K360" s="72">
        <f>K359+I360-J360</f>
        <v>111017.70999999926</v>
      </c>
    </row>
    <row r="361" spans="1:11" ht="15" hidden="1">
      <c r="A361" s="54" t="str">
        <f>D361&amp;E361&amp;F361</f>
        <v>FINANZASRENTASA11</v>
      </c>
      <c r="B361" s="274" t="s">
        <v>2028</v>
      </c>
      <c r="C361" s="1">
        <v>45919</v>
      </c>
      <c r="D361" t="s">
        <v>23</v>
      </c>
      <c r="E361" t="s">
        <v>169</v>
      </c>
      <c r="F361" s="146" t="s">
        <v>97</v>
      </c>
      <c r="G361" s="146"/>
      <c r="H361" t="s">
        <v>4061</v>
      </c>
      <c r="I361" s="158"/>
      <c r="J361" s="158">
        <v>25454.02</v>
      </c>
      <c r="K361" s="72">
        <f>K360+I361-J361</f>
        <v>85563.68999999926</v>
      </c>
    </row>
    <row r="362" spans="1:11" ht="15" hidden="1">
      <c r="A362" s="54" t="str">
        <f>D362&amp;E362&amp;F362</f>
        <v>FINANZASRENTASA6</v>
      </c>
      <c r="B362" s="274" t="s">
        <v>2028</v>
      </c>
      <c r="C362" s="1">
        <v>45919</v>
      </c>
      <c r="D362" t="s">
        <v>23</v>
      </c>
      <c r="E362" t="s">
        <v>169</v>
      </c>
      <c r="F362" s="146" t="s">
        <v>93</v>
      </c>
      <c r="G362" s="146"/>
      <c r="H362" t="s">
        <v>4263</v>
      </c>
      <c r="I362" s="158"/>
      <c r="J362" s="158">
        <v>24000</v>
      </c>
      <c r="K362" s="72">
        <f>K361+I362-J362</f>
        <v>61563.68999999926</v>
      </c>
    </row>
    <row r="363" spans="1:11" ht="15" hidden="1">
      <c r="A363" s="54" t="str">
        <f>D363&amp;E363&amp;F363</f>
        <v>FINANZASRENTASA14</v>
      </c>
      <c r="B363" s="274" t="s">
        <v>2028</v>
      </c>
      <c r="C363" s="1">
        <v>45919</v>
      </c>
      <c r="D363" t="s">
        <v>23</v>
      </c>
      <c r="E363" t="s">
        <v>169</v>
      </c>
      <c r="F363" s="146" t="s">
        <v>99</v>
      </c>
      <c r="G363" s="146"/>
      <c r="H363" t="s">
        <v>4145</v>
      </c>
      <c r="I363" s="158"/>
      <c r="J363" s="158">
        <v>54288</v>
      </c>
      <c r="K363" s="72">
        <f>K362+I363-J363</f>
        <v>7275.6899999992602</v>
      </c>
    </row>
    <row r="364" spans="1:11" ht="15" hidden="1">
      <c r="A364" s="54" t="str">
        <f>D364&amp;E364&amp;F364</f>
        <v/>
      </c>
      <c r="B364" s="274" t="s">
        <v>2028</v>
      </c>
      <c r="C364" s="1">
        <v>45922</v>
      </c>
      <c r="F364" s="146"/>
      <c r="G364" s="146"/>
      <c r="H364" t="s">
        <v>3452</v>
      </c>
      <c r="I364" s="158">
        <v>300000</v>
      </c>
      <c r="J364" s="158"/>
      <c r="K364" s="72">
        <f>K363+I364-J364</f>
        <v>307275.68999999925</v>
      </c>
    </row>
    <row r="365" spans="1:11" ht="15" hidden="1">
      <c r="A365" s="54" t="str">
        <f>D365&amp;E365&amp;F365</f>
        <v/>
      </c>
      <c r="B365" s="274" t="s">
        <v>2028</v>
      </c>
      <c r="C365" s="1">
        <v>45929</v>
      </c>
      <c r="F365" s="146"/>
      <c r="G365" s="146"/>
      <c r="H365" t="s">
        <v>3452</v>
      </c>
      <c r="I365" s="158">
        <v>600000</v>
      </c>
      <c r="J365" s="158"/>
      <c r="K365" s="72">
        <f>K364+I365-J365</f>
        <v>907275.68999999925</v>
      </c>
    </row>
    <row r="366" spans="1:11" ht="15" hidden="1">
      <c r="A366" s="54" t="str">
        <f>D366&amp;E366&amp;F366</f>
        <v>FINANZASRENTASA10</v>
      </c>
      <c r="B366" s="274" t="s">
        <v>2028</v>
      </c>
      <c r="C366" s="1">
        <v>45929</v>
      </c>
      <c r="D366" t="s">
        <v>23</v>
      </c>
      <c r="E366" t="s">
        <v>169</v>
      </c>
      <c r="F366" s="146" t="s">
        <v>96</v>
      </c>
      <c r="G366" s="146"/>
      <c r="H366" t="s">
        <v>4264</v>
      </c>
      <c r="I366" s="158"/>
      <c r="J366" s="158">
        <v>43714.99</v>
      </c>
      <c r="K366" s="72">
        <f>K365+I366-J366</f>
        <v>863560.69999999925</v>
      </c>
    </row>
    <row r="367" spans="1:11" ht="15" hidden="1">
      <c r="A367" s="54" t="str">
        <f>D367&amp;E367&amp;F367</f>
        <v>FINANZASRENTASE5</v>
      </c>
      <c r="B367" s="274" t="s">
        <v>2028</v>
      </c>
      <c r="C367" s="1">
        <v>45929</v>
      </c>
      <c r="D367" t="s">
        <v>23</v>
      </c>
      <c r="E367" t="s">
        <v>169</v>
      </c>
      <c r="F367" s="146" t="s">
        <v>111</v>
      </c>
      <c r="G367" s="146"/>
      <c r="H367" t="s">
        <v>4265</v>
      </c>
      <c r="I367" s="158"/>
      <c r="J367" s="158">
        <v>41223.25</v>
      </c>
      <c r="K367" s="72">
        <f>K366+I367-J367</f>
        <v>822337.44999999925</v>
      </c>
    </row>
    <row r="368" spans="1:11" ht="15" hidden="1">
      <c r="A368" s="54" t="str">
        <f>D368&amp;E368&amp;F368</f>
        <v>FINANZASRENTASE4</v>
      </c>
      <c r="B368" s="274" t="s">
        <v>2028</v>
      </c>
      <c r="C368" s="1">
        <v>45929</v>
      </c>
      <c r="D368" t="s">
        <v>23</v>
      </c>
      <c r="E368" t="s">
        <v>169</v>
      </c>
      <c r="F368" s="146" t="s">
        <v>110</v>
      </c>
      <c r="G368" s="146"/>
      <c r="H368" t="s">
        <v>4266</v>
      </c>
      <c r="I368" s="158"/>
      <c r="J368" s="158">
        <v>77390</v>
      </c>
      <c r="K368" s="72">
        <f>K367+I368-J368</f>
        <v>744947.44999999925</v>
      </c>
    </row>
    <row r="369" spans="1:11" ht="15" hidden="1">
      <c r="A369" s="54" t="str">
        <f>D369&amp;E369&amp;F369</f>
        <v>FINANZASRENTASE4</v>
      </c>
      <c r="B369" s="274" t="s">
        <v>2028</v>
      </c>
      <c r="C369" s="1">
        <v>45929</v>
      </c>
      <c r="D369" t="s">
        <v>23</v>
      </c>
      <c r="E369" t="s">
        <v>169</v>
      </c>
      <c r="F369" s="146" t="s">
        <v>110</v>
      </c>
      <c r="G369" s="146"/>
      <c r="H369" t="s">
        <v>4197</v>
      </c>
      <c r="I369" s="158"/>
      <c r="J369" s="158">
        <v>25664.67</v>
      </c>
      <c r="K369" s="72">
        <f>K368+I369-J369</f>
        <v>719282.77999999921</v>
      </c>
    </row>
    <row r="370" spans="1:11" ht="15" hidden="1">
      <c r="A370" s="54" t="str">
        <f>D370&amp;E370&amp;F370</f>
        <v>FINANZASRENTASA8</v>
      </c>
      <c r="B370" s="274" t="s">
        <v>2028</v>
      </c>
      <c r="C370" s="1">
        <v>45929</v>
      </c>
      <c r="D370" t="s">
        <v>23</v>
      </c>
      <c r="E370" t="s">
        <v>169</v>
      </c>
      <c r="F370" s="146" t="s">
        <v>94</v>
      </c>
      <c r="G370" s="146"/>
      <c r="H370" t="s">
        <v>4075</v>
      </c>
      <c r="I370" s="158"/>
      <c r="J370" s="158">
        <v>83706.100000000006</v>
      </c>
      <c r="K370" s="72">
        <f>K369+I370-J370</f>
        <v>635576.67999999924</v>
      </c>
    </row>
    <row r="371" spans="1:11" ht="15" hidden="1">
      <c r="A371" s="54" t="str">
        <f>D371&amp;E371&amp;F371</f>
        <v>FINANZASRENTASA8</v>
      </c>
      <c r="B371" s="274" t="s">
        <v>2028</v>
      </c>
      <c r="C371" s="1">
        <v>45929</v>
      </c>
      <c r="D371" t="s">
        <v>23</v>
      </c>
      <c r="E371" t="s">
        <v>169</v>
      </c>
      <c r="F371" s="146" t="s">
        <v>94</v>
      </c>
      <c r="G371" s="146"/>
      <c r="H371" t="s">
        <v>4267</v>
      </c>
      <c r="I371" s="158"/>
      <c r="J371" s="158">
        <v>46292.97</v>
      </c>
      <c r="K371" s="72">
        <f>K370+I371-J371</f>
        <v>589283.70999999926</v>
      </c>
    </row>
    <row r="372" spans="1:11" ht="15" hidden="1">
      <c r="A372" s="54" t="str">
        <f>D372&amp;E372&amp;F372</f>
        <v>FINANZASRENTASE8</v>
      </c>
      <c r="B372" s="274" t="s">
        <v>2028</v>
      </c>
      <c r="C372" s="1">
        <v>45929</v>
      </c>
      <c r="D372" t="s">
        <v>23</v>
      </c>
      <c r="E372" t="s">
        <v>169</v>
      </c>
      <c r="F372" s="146" t="s">
        <v>114</v>
      </c>
      <c r="G372" s="146"/>
      <c r="H372" t="s">
        <v>4268</v>
      </c>
      <c r="I372" s="158"/>
      <c r="J372" s="158">
        <v>73994.679999999993</v>
      </c>
      <c r="K372" s="72">
        <f>K371+I372-J372</f>
        <v>515289.02999999927</v>
      </c>
    </row>
    <row r="373" spans="1:11" ht="15" hidden="1">
      <c r="A373" s="54" t="str">
        <f>D373&amp;E373&amp;F373</f>
        <v>FINANZASRENTASE8</v>
      </c>
      <c r="B373" s="274" t="s">
        <v>2028</v>
      </c>
      <c r="C373" s="1">
        <v>45929</v>
      </c>
      <c r="D373" t="s">
        <v>23</v>
      </c>
      <c r="E373" t="s">
        <v>169</v>
      </c>
      <c r="F373" s="146" t="s">
        <v>114</v>
      </c>
      <c r="G373" s="146"/>
      <c r="H373" t="s">
        <v>4269</v>
      </c>
      <c r="I373" s="158"/>
      <c r="J373" s="158">
        <v>16278.82</v>
      </c>
      <c r="K373" s="72">
        <f>K372+I373-J373</f>
        <v>499010.20999999926</v>
      </c>
    </row>
    <row r="374" spans="1:11" ht="15" hidden="1">
      <c r="A374" s="54" t="str">
        <f>D374&amp;E374&amp;F374</f>
        <v>FINANZASRENTASA23</v>
      </c>
      <c r="B374" s="274" t="s">
        <v>2028</v>
      </c>
      <c r="C374" s="1">
        <v>45929</v>
      </c>
      <c r="D374" t="s">
        <v>23</v>
      </c>
      <c r="E374" t="s">
        <v>169</v>
      </c>
      <c r="F374" s="146" t="s">
        <v>105</v>
      </c>
      <c r="G374" s="146"/>
      <c r="H374" t="s">
        <v>4216</v>
      </c>
      <c r="I374" s="158"/>
      <c r="J374" s="158">
        <v>10282.36</v>
      </c>
      <c r="K374" s="72">
        <f>K373+I374-J374</f>
        <v>488727.84999999928</v>
      </c>
    </row>
    <row r="375" spans="1:11" ht="15" hidden="1">
      <c r="A375" s="54" t="str">
        <f>D375&amp;E375&amp;F375</f>
        <v>FINANZASRENTASA22</v>
      </c>
      <c r="B375" s="274" t="s">
        <v>2028</v>
      </c>
      <c r="C375" s="1">
        <v>45929</v>
      </c>
      <c r="D375" t="s">
        <v>23</v>
      </c>
      <c r="E375" t="s">
        <v>169</v>
      </c>
      <c r="F375" s="146" t="s">
        <v>104</v>
      </c>
      <c r="G375" s="146"/>
      <c r="H375" t="s">
        <v>4077</v>
      </c>
      <c r="I375" s="158"/>
      <c r="J375" s="158">
        <v>44544.58</v>
      </c>
      <c r="K375" s="72">
        <f>K374+I375-J375</f>
        <v>444183.26999999926</v>
      </c>
    </row>
    <row r="376" spans="1:11" ht="15" hidden="1">
      <c r="A376" s="54" t="str">
        <f>D376&amp;E376&amp;F376</f>
        <v>FINANZASRENTASA24</v>
      </c>
      <c r="B376" s="274" t="s">
        <v>2028</v>
      </c>
      <c r="C376" s="1">
        <v>45929</v>
      </c>
      <c r="D376" t="s">
        <v>23</v>
      </c>
      <c r="E376" t="s">
        <v>169</v>
      </c>
      <c r="F376" s="146" t="s">
        <v>106</v>
      </c>
      <c r="G376" s="146"/>
      <c r="H376" t="s">
        <v>4270</v>
      </c>
      <c r="I376" s="158"/>
      <c r="J376" s="158">
        <v>81319.3</v>
      </c>
      <c r="K376" s="72">
        <f>K375+I376-J376</f>
        <v>362863.96999999927</v>
      </c>
    </row>
    <row r="377" spans="1:11" ht="15" hidden="1">
      <c r="A377" s="54" t="str">
        <f>D377&amp;E377&amp;F377</f>
        <v>FINANZASRENTASE6</v>
      </c>
      <c r="B377" s="274" t="s">
        <v>2028</v>
      </c>
      <c r="C377" s="1">
        <v>45929</v>
      </c>
      <c r="D377" t="s">
        <v>23</v>
      </c>
      <c r="E377" t="s">
        <v>169</v>
      </c>
      <c r="F377" s="146" t="s">
        <v>112</v>
      </c>
      <c r="G377" s="146"/>
      <c r="H377" t="s">
        <v>4271</v>
      </c>
      <c r="I377" s="158"/>
      <c r="J377" s="158">
        <v>35388.36</v>
      </c>
      <c r="K377" s="72">
        <f>K376+I377-J377</f>
        <v>327475.60999999929</v>
      </c>
    </row>
    <row r="378" spans="1:11" ht="15" hidden="1">
      <c r="A378" s="54" t="str">
        <f>D378&amp;E378&amp;F378</f>
        <v>FINANZASRENTASA17</v>
      </c>
      <c r="B378" s="274" t="s">
        <v>2028</v>
      </c>
      <c r="C378" s="1">
        <v>45929</v>
      </c>
      <c r="D378" t="s">
        <v>23</v>
      </c>
      <c r="E378" t="s">
        <v>169</v>
      </c>
      <c r="F378" s="146" t="s">
        <v>102</v>
      </c>
      <c r="G378" s="146"/>
      <c r="H378" t="s">
        <v>4153</v>
      </c>
      <c r="I378" s="158"/>
      <c r="J378" s="158">
        <v>76326.960000000006</v>
      </c>
      <c r="K378" s="72">
        <f>K377+I378-J378</f>
        <v>251148.64999999927</v>
      </c>
    </row>
    <row r="379" spans="1:11" ht="15" hidden="1">
      <c r="A379" s="54" t="str">
        <f>D379&amp;E379&amp;F379</f>
        <v>FINANZASRENTASE3</v>
      </c>
      <c r="B379" s="274" t="s">
        <v>2028</v>
      </c>
      <c r="C379" s="1">
        <v>45929</v>
      </c>
      <c r="D379" t="s">
        <v>23</v>
      </c>
      <c r="E379" t="s">
        <v>169</v>
      </c>
      <c r="F379" s="146" t="s">
        <v>109</v>
      </c>
      <c r="G379" s="146"/>
      <c r="H379" t="s">
        <v>4272</v>
      </c>
      <c r="I379" s="158"/>
      <c r="J379" s="158">
        <v>58145.99</v>
      </c>
      <c r="K379" s="72">
        <f>K378+I379-J379</f>
        <v>193002.65999999928</v>
      </c>
    </row>
    <row r="380" spans="1:11" ht="15" hidden="1">
      <c r="A380" s="54" t="str">
        <f>D380&amp;E380&amp;F380</f>
        <v>FINANZASRENTASA15</v>
      </c>
      <c r="B380" s="274" t="s">
        <v>2028</v>
      </c>
      <c r="C380" s="1">
        <v>45929</v>
      </c>
      <c r="D380" t="s">
        <v>23</v>
      </c>
      <c r="E380" t="s">
        <v>169</v>
      </c>
      <c r="F380" s="146" t="s">
        <v>100</v>
      </c>
      <c r="G380" s="146"/>
      <c r="H380" t="s">
        <v>4079</v>
      </c>
      <c r="I380" s="158"/>
      <c r="J380" s="158">
        <v>3240</v>
      </c>
      <c r="K380" s="72">
        <f>K379+I380-J380</f>
        <v>189762.65999999928</v>
      </c>
    </row>
    <row r="381" spans="1:11" ht="15" hidden="1">
      <c r="A381" s="54" t="str">
        <f>D381&amp;E381&amp;F381</f>
        <v>FINANZASRENTASA4</v>
      </c>
      <c r="B381" s="274" t="s">
        <v>2028</v>
      </c>
      <c r="C381" s="1">
        <v>45929</v>
      </c>
      <c r="D381" t="s">
        <v>23</v>
      </c>
      <c r="E381" t="s">
        <v>169</v>
      </c>
      <c r="F381" s="146" t="s">
        <v>91</v>
      </c>
      <c r="G381" s="146"/>
      <c r="H381" t="s">
        <v>4273</v>
      </c>
      <c r="I381" s="158"/>
      <c r="J381" s="158">
        <v>32800</v>
      </c>
      <c r="K381" s="72">
        <f>K380+I381-J381</f>
        <v>156962.65999999928</v>
      </c>
    </row>
    <row r="382" spans="1:11" ht="15" hidden="1">
      <c r="A382" s="54" t="str">
        <f>D382&amp;E382&amp;F382</f>
        <v>FINANZASRENTASE9</v>
      </c>
      <c r="B382" s="274" t="s">
        <v>2028</v>
      </c>
      <c r="C382" s="1">
        <v>45929</v>
      </c>
      <c r="D382" t="s">
        <v>23</v>
      </c>
      <c r="E382" t="s">
        <v>169</v>
      </c>
      <c r="F382" s="146" t="s">
        <v>116</v>
      </c>
      <c r="G382" s="146"/>
      <c r="H382" t="s">
        <v>4274</v>
      </c>
      <c r="I382" s="158"/>
      <c r="J382" s="158">
        <v>89227.199999999997</v>
      </c>
      <c r="K382" s="72">
        <f>K381+I382-J382</f>
        <v>67735.459999999279</v>
      </c>
    </row>
    <row r="383" spans="1:11" ht="15" hidden="1">
      <c r="A383" s="54" t="str">
        <f>D383&amp;E383&amp;F383</f>
        <v>FINANZASRENTASE9</v>
      </c>
      <c r="B383" s="274" t="s">
        <v>2028</v>
      </c>
      <c r="C383" s="1">
        <v>45929</v>
      </c>
      <c r="D383" t="s">
        <v>23</v>
      </c>
      <c r="E383" t="s">
        <v>169</v>
      </c>
      <c r="F383" s="146" t="s">
        <v>116</v>
      </c>
      <c r="G383" s="146"/>
      <c r="H383" t="s">
        <v>4170</v>
      </c>
      <c r="I383" s="158"/>
      <c r="J383" s="158">
        <v>17845.439999999999</v>
      </c>
      <c r="K383" s="72">
        <f>K382+I383-J383</f>
        <v>49890.019999999276</v>
      </c>
    </row>
    <row r="384" spans="1:11" ht="15" hidden="1">
      <c r="A384" s="54" t="str">
        <f>D384&amp;E384&amp;F384</f>
        <v>FINANZASRENTASA22</v>
      </c>
      <c r="B384" s="274" t="s">
        <v>2028</v>
      </c>
      <c r="C384" s="1">
        <v>45930</v>
      </c>
      <c r="D384" t="s">
        <v>23</v>
      </c>
      <c r="E384" t="s">
        <v>169</v>
      </c>
      <c r="F384" s="146" t="s">
        <v>104</v>
      </c>
      <c r="G384" s="146"/>
      <c r="H384" t="s">
        <v>4077</v>
      </c>
      <c r="I384" s="158"/>
      <c r="J384" s="158">
        <v>45000</v>
      </c>
      <c r="K384" s="72">
        <f>K383+I384-J384</f>
        <v>4890.0199999992765</v>
      </c>
    </row>
    <row r="385" spans="1:11" ht="15" hidden="1">
      <c r="A385" s="54" t="str">
        <f>D385&amp;E385&amp;F385</f>
        <v>FINANZASRENTASA15</v>
      </c>
      <c r="B385" s="274" t="s">
        <v>2028</v>
      </c>
      <c r="C385" s="1">
        <v>45930</v>
      </c>
      <c r="D385" t="s">
        <v>23</v>
      </c>
      <c r="E385" t="s">
        <v>169</v>
      </c>
      <c r="F385" s="146" t="s">
        <v>100</v>
      </c>
      <c r="G385" s="146"/>
      <c r="H385" t="s">
        <v>4140</v>
      </c>
      <c r="I385" s="158"/>
      <c r="J385" s="158">
        <v>21354</v>
      </c>
      <c r="K385" s="72">
        <f t="shared" ref="K385:K414" si="14">K384+I385-J385</f>
        <v>-16463.980000000724</v>
      </c>
    </row>
    <row r="386" spans="1:11" ht="15" hidden="1">
      <c r="A386" s="54" t="str">
        <f>D386&amp;E386&amp;F386</f>
        <v/>
      </c>
      <c r="B386" s="274" t="s">
        <v>2028</v>
      </c>
      <c r="C386" s="1">
        <v>45933</v>
      </c>
      <c r="F386" s="146"/>
      <c r="G386" s="146"/>
      <c r="H386" t="s">
        <v>3452</v>
      </c>
      <c r="I386" s="158">
        <v>31000</v>
      </c>
      <c r="K386" s="72">
        <f t="shared" si="14"/>
        <v>14536.019999999276</v>
      </c>
    </row>
    <row r="387" spans="1:11" ht="15" hidden="1">
      <c r="A387" s="54" t="str">
        <f>D387&amp;E387&amp;F387</f>
        <v>FINANZASRENTASA10</v>
      </c>
      <c r="B387" s="274" t="s">
        <v>2028</v>
      </c>
      <c r="C387" s="1">
        <v>45933</v>
      </c>
      <c r="D387" t="s">
        <v>23</v>
      </c>
      <c r="E387" t="s">
        <v>169</v>
      </c>
      <c r="F387" s="146" t="s">
        <v>96</v>
      </c>
      <c r="G387" s="146"/>
      <c r="H387" t="s">
        <v>4158</v>
      </c>
      <c r="I387" s="158"/>
      <c r="J387" s="158">
        <v>31000</v>
      </c>
      <c r="K387" s="72">
        <f t="shared" si="14"/>
        <v>-16463.980000000724</v>
      </c>
    </row>
    <row r="388" spans="1:11" ht="15" hidden="1">
      <c r="A388" s="54" t="str">
        <f>D388&amp;E388&amp;F388</f>
        <v/>
      </c>
      <c r="B388" t="s">
        <v>2281</v>
      </c>
      <c r="C388" s="1">
        <v>45937</v>
      </c>
      <c r="F388" s="146"/>
      <c r="G388" s="146"/>
      <c r="H388" t="s">
        <v>3452</v>
      </c>
      <c r="I388" s="158">
        <v>451914.83</v>
      </c>
      <c r="J388" s="158"/>
      <c r="K388" s="72">
        <f t="shared" si="14"/>
        <v>435450.84999999928</v>
      </c>
    </row>
    <row r="389" spans="1:11" ht="15" hidden="1">
      <c r="A389" s="54" t="str">
        <f>D389&amp;E389&amp;F389</f>
        <v>FINANZASRENTASE2</v>
      </c>
      <c r="B389" t="s">
        <v>2281</v>
      </c>
      <c r="C389" s="1">
        <v>45937</v>
      </c>
      <c r="D389" t="s">
        <v>23</v>
      </c>
      <c r="E389" t="s">
        <v>169</v>
      </c>
      <c r="F389" s="146" t="s">
        <v>108</v>
      </c>
      <c r="G389" s="146"/>
      <c r="H389" t="s">
        <v>4275</v>
      </c>
      <c r="I389" s="158"/>
      <c r="J389" s="158">
        <v>134130.88</v>
      </c>
      <c r="K389" s="72">
        <f t="shared" si="14"/>
        <v>301319.96999999927</v>
      </c>
    </row>
    <row r="390" spans="1:11" ht="15" hidden="1">
      <c r="A390" s="54" t="str">
        <f>D390&amp;E390&amp;F390</f>
        <v>FINANZASRENTASE1</v>
      </c>
      <c r="B390" t="s">
        <v>2281</v>
      </c>
      <c r="C390" s="1">
        <v>45937</v>
      </c>
      <c r="D390" t="s">
        <v>23</v>
      </c>
      <c r="E390" t="s">
        <v>169</v>
      </c>
      <c r="F390" s="146" t="s">
        <v>107</v>
      </c>
      <c r="G390" s="146"/>
      <c r="H390" t="s">
        <v>4260</v>
      </c>
      <c r="I390" s="158"/>
      <c r="J390" s="158">
        <v>55560.53</v>
      </c>
      <c r="K390" s="72">
        <f t="shared" si="14"/>
        <v>245759.43999999927</v>
      </c>
    </row>
    <row r="391" spans="1:11" ht="15" hidden="1">
      <c r="A391" s="54" t="str">
        <f>D391&amp;E391&amp;F391</f>
        <v>FINANZASRENTASA18</v>
      </c>
      <c r="B391" t="s">
        <v>2281</v>
      </c>
      <c r="C391" s="1">
        <v>45937</v>
      </c>
      <c r="D391" t="s">
        <v>23</v>
      </c>
      <c r="E391" t="s">
        <v>169</v>
      </c>
      <c r="F391" s="146" t="s">
        <v>103</v>
      </c>
      <c r="G391" s="146"/>
      <c r="H391" t="s">
        <v>4259</v>
      </c>
      <c r="I391" s="158"/>
      <c r="J391" s="158">
        <v>88160</v>
      </c>
      <c r="K391" s="72">
        <f t="shared" si="14"/>
        <v>157599.43999999927</v>
      </c>
    </row>
    <row r="392" spans="1:11" ht="15" hidden="1">
      <c r="A392" s="54" t="str">
        <f>D392&amp;E392&amp;F392</f>
        <v>FINANZASRENTASA22</v>
      </c>
      <c r="B392" t="s">
        <v>2281</v>
      </c>
      <c r="C392" s="1">
        <v>45937</v>
      </c>
      <c r="D392" t="s">
        <v>23</v>
      </c>
      <c r="E392" t="s">
        <v>169</v>
      </c>
      <c r="F392" s="146" t="s">
        <v>104</v>
      </c>
      <c r="G392" s="146"/>
      <c r="H392" t="s">
        <v>4088</v>
      </c>
      <c r="I392" s="158"/>
      <c r="J392" s="158">
        <v>50000</v>
      </c>
      <c r="K392" s="72">
        <f t="shared" si="14"/>
        <v>107599.43999999927</v>
      </c>
    </row>
    <row r="393" spans="1:11" ht="15" hidden="1">
      <c r="A393" s="54" t="str">
        <f>D393&amp;E393&amp;F393</f>
        <v/>
      </c>
      <c r="B393" t="s">
        <v>2281</v>
      </c>
      <c r="C393" s="1">
        <v>45943</v>
      </c>
      <c r="F393" s="146"/>
      <c r="G393" s="146"/>
      <c r="H393" t="s">
        <v>3472</v>
      </c>
      <c r="I393" s="158">
        <v>200000</v>
      </c>
      <c r="J393" s="158"/>
      <c r="K393" s="72">
        <f t="shared" si="14"/>
        <v>307599.43999999925</v>
      </c>
    </row>
    <row r="394" spans="1:11" ht="15" hidden="1">
      <c r="A394" s="54" t="str">
        <f>D394&amp;E394&amp;F394</f>
        <v>FINANZASRENTASA12</v>
      </c>
      <c r="B394" t="s">
        <v>2281</v>
      </c>
      <c r="C394" s="1">
        <v>45943</v>
      </c>
      <c r="D394" t="s">
        <v>23</v>
      </c>
      <c r="E394" t="s">
        <v>169</v>
      </c>
      <c r="F394" s="146" t="s">
        <v>98</v>
      </c>
      <c r="G394" s="146"/>
      <c r="H394" t="s">
        <v>4078</v>
      </c>
      <c r="I394" s="158"/>
      <c r="J394" s="158">
        <v>142971.10999999999</v>
      </c>
      <c r="K394" s="72">
        <f t="shared" si="14"/>
        <v>164628.32999999926</v>
      </c>
    </row>
    <row r="395" spans="1:11" ht="15" hidden="1">
      <c r="A395" s="54" t="str">
        <f>D395&amp;E395&amp;F395</f>
        <v>FINANZASRENTASE3</v>
      </c>
      <c r="B395" t="s">
        <v>2281</v>
      </c>
      <c r="C395" s="1">
        <v>45943</v>
      </c>
      <c r="D395" t="s">
        <v>23</v>
      </c>
      <c r="E395" t="s">
        <v>169</v>
      </c>
      <c r="F395" s="146" t="s">
        <v>109</v>
      </c>
      <c r="G395" s="146"/>
      <c r="H395" t="s">
        <v>4193</v>
      </c>
      <c r="I395" s="158"/>
      <c r="J395" s="158">
        <v>43326.12</v>
      </c>
      <c r="K395" s="72">
        <f t="shared" si="14"/>
        <v>121302.20999999926</v>
      </c>
    </row>
    <row r="396" spans="1:11" ht="15" hidden="1">
      <c r="A396" s="54" t="str">
        <f>D396&amp;E396&amp;F396</f>
        <v>FINANZASRENTASA18</v>
      </c>
      <c r="B396" t="s">
        <v>2281</v>
      </c>
      <c r="C396" s="1">
        <v>45943</v>
      </c>
      <c r="D396" t="s">
        <v>23</v>
      </c>
      <c r="E396" t="s">
        <v>169</v>
      </c>
      <c r="F396" s="146" t="s">
        <v>103</v>
      </c>
      <c r="G396" s="146"/>
      <c r="H396" t="s">
        <v>4169</v>
      </c>
      <c r="I396" s="158"/>
      <c r="J396" s="158">
        <v>2244.36</v>
      </c>
      <c r="K396" s="72">
        <f t="shared" si="14"/>
        <v>119057.84999999926</v>
      </c>
    </row>
    <row r="397" spans="1:11" ht="15" hidden="1">
      <c r="A397" s="54" t="str">
        <f>D397&amp;E397&amp;F397</f>
        <v>FINANZASRENTASA23</v>
      </c>
      <c r="B397" t="s">
        <v>2281</v>
      </c>
      <c r="C397" s="1">
        <v>45943</v>
      </c>
      <c r="D397" t="s">
        <v>23</v>
      </c>
      <c r="E397" t="s">
        <v>169</v>
      </c>
      <c r="F397" s="146" t="s">
        <v>105</v>
      </c>
      <c r="G397" s="146"/>
      <c r="H397" t="s">
        <v>4276</v>
      </c>
      <c r="I397" s="158"/>
      <c r="J397" s="158">
        <v>10282.36</v>
      </c>
      <c r="K397" s="72">
        <f t="shared" si="14"/>
        <v>108775.48999999926</v>
      </c>
    </row>
    <row r="398" spans="1:11" ht="15" hidden="1">
      <c r="A398" s="54" t="str">
        <f>D398&amp;E398&amp;F398</f>
        <v>FINANZASRENTASE6</v>
      </c>
      <c r="B398" t="s">
        <v>2281</v>
      </c>
      <c r="C398" s="1">
        <v>45943</v>
      </c>
      <c r="D398" t="s">
        <v>23</v>
      </c>
      <c r="E398" t="s">
        <v>169</v>
      </c>
      <c r="F398" s="146" t="s">
        <v>112</v>
      </c>
      <c r="G398" s="146"/>
      <c r="H398" t="s">
        <v>4271</v>
      </c>
      <c r="I398" s="158"/>
      <c r="J398" s="158">
        <v>6500</v>
      </c>
      <c r="K398" s="72">
        <f t="shared" si="14"/>
        <v>102275.48999999926</v>
      </c>
    </row>
    <row r="399" spans="1:11" ht="15" hidden="1">
      <c r="A399" s="54" t="str">
        <f>D399&amp;E399&amp;F399</f>
        <v>FINANZASRENTASE11</v>
      </c>
      <c r="B399" t="s">
        <v>2281</v>
      </c>
      <c r="C399" s="1">
        <v>45946</v>
      </c>
      <c r="D399" t="s">
        <v>23</v>
      </c>
      <c r="E399" t="s">
        <v>169</v>
      </c>
      <c r="F399" s="146" t="s">
        <v>118</v>
      </c>
      <c r="G399" s="146"/>
      <c r="H399" t="s">
        <v>4277</v>
      </c>
      <c r="I399" s="158"/>
      <c r="J399" s="158">
        <v>112000</v>
      </c>
      <c r="K399" s="72">
        <f t="shared" si="14"/>
        <v>-9724.5100000007369</v>
      </c>
    </row>
    <row r="400" spans="1:11" ht="15" hidden="1">
      <c r="A400" s="54" t="str">
        <f>D400&amp;E400&amp;F400</f>
        <v/>
      </c>
      <c r="B400" t="s">
        <v>2281</v>
      </c>
      <c r="C400" s="1">
        <v>45950</v>
      </c>
      <c r="F400" s="146"/>
      <c r="G400" s="146"/>
      <c r="H400" t="s">
        <v>3472</v>
      </c>
      <c r="I400" s="158">
        <v>550000</v>
      </c>
      <c r="J400" s="158"/>
      <c r="K400" s="72">
        <f t="shared" si="14"/>
        <v>540275.48999999929</v>
      </c>
    </row>
    <row r="401" spans="1:11" ht="15" hidden="1">
      <c r="A401" s="54" t="str">
        <f>D401&amp;E401&amp;F401</f>
        <v>FINANZASRENTASE11</v>
      </c>
      <c r="B401" t="s">
        <v>2281</v>
      </c>
      <c r="C401" s="1">
        <v>45950</v>
      </c>
      <c r="D401" t="s">
        <v>23</v>
      </c>
      <c r="E401" t="s">
        <v>169</v>
      </c>
      <c r="F401" s="146" t="s">
        <v>118</v>
      </c>
      <c r="G401" s="146"/>
      <c r="H401" t="s">
        <v>4278</v>
      </c>
      <c r="I401" s="158"/>
      <c r="J401" s="158">
        <v>43000</v>
      </c>
      <c r="K401" s="72">
        <f t="shared" si="14"/>
        <v>497275.48999999929</v>
      </c>
    </row>
    <row r="402" spans="1:11" ht="15" hidden="1">
      <c r="A402" s="54" t="str">
        <f>D402&amp;E402&amp;F402</f>
        <v>FINANZASRENTASA10</v>
      </c>
      <c r="B402" t="s">
        <v>2281</v>
      </c>
      <c r="C402" s="1">
        <v>45950</v>
      </c>
      <c r="D402" t="s">
        <v>23</v>
      </c>
      <c r="E402" t="s">
        <v>169</v>
      </c>
      <c r="F402" s="146" t="s">
        <v>96</v>
      </c>
      <c r="G402" s="146"/>
      <c r="H402" t="s">
        <v>4158</v>
      </c>
      <c r="I402" s="158"/>
      <c r="J402" s="158">
        <v>31225</v>
      </c>
      <c r="K402" s="72">
        <f t="shared" si="14"/>
        <v>466050.48999999929</v>
      </c>
    </row>
    <row r="403" spans="1:11" ht="15" hidden="1">
      <c r="A403" s="54" t="str">
        <f>D403&amp;E403&amp;F403</f>
        <v>FINANZASRENTASE4</v>
      </c>
      <c r="B403" t="s">
        <v>2281</v>
      </c>
      <c r="C403" s="1">
        <v>45950</v>
      </c>
      <c r="D403" t="s">
        <v>23</v>
      </c>
      <c r="E403" t="s">
        <v>169</v>
      </c>
      <c r="F403" s="146" t="s">
        <v>110</v>
      </c>
      <c r="G403" s="146"/>
      <c r="H403" t="s">
        <v>4279</v>
      </c>
      <c r="I403" s="158"/>
      <c r="J403" s="158">
        <v>24751.21</v>
      </c>
      <c r="K403" s="72">
        <f t="shared" si="14"/>
        <v>441299.27999999927</v>
      </c>
    </row>
    <row r="404" spans="1:11" ht="15" hidden="1">
      <c r="A404" s="54" t="str">
        <f>D404&amp;E404&amp;F404</f>
        <v>FINANZASRENTASA8</v>
      </c>
      <c r="B404" t="s">
        <v>2281</v>
      </c>
      <c r="C404" s="1">
        <v>45950</v>
      </c>
      <c r="D404" t="s">
        <v>23</v>
      </c>
      <c r="E404" t="s">
        <v>169</v>
      </c>
      <c r="F404" s="146" t="s">
        <v>94</v>
      </c>
      <c r="G404" s="146"/>
      <c r="H404" t="s">
        <v>4280</v>
      </c>
      <c r="I404" s="158"/>
      <c r="J404" s="158">
        <v>44335.56</v>
      </c>
      <c r="K404" s="72">
        <f t="shared" si="14"/>
        <v>396963.71999999927</v>
      </c>
    </row>
    <row r="405" spans="1:11" ht="15" hidden="1">
      <c r="A405" s="54" t="str">
        <f>D405&amp;E405&amp;F405</f>
        <v>FINANZASRENTASE8</v>
      </c>
      <c r="B405" t="s">
        <v>2281</v>
      </c>
      <c r="C405" s="1">
        <v>45950</v>
      </c>
      <c r="D405" t="s">
        <v>23</v>
      </c>
      <c r="E405" t="s">
        <v>169</v>
      </c>
      <c r="F405" s="146" t="s">
        <v>114</v>
      </c>
      <c r="G405" s="146"/>
      <c r="H405" t="s">
        <v>4102</v>
      </c>
      <c r="I405" s="158"/>
      <c r="J405" s="158">
        <v>16278.82</v>
      </c>
      <c r="K405" s="72">
        <f t="shared" si="14"/>
        <v>380684.89999999927</v>
      </c>
    </row>
    <row r="406" spans="1:11" ht="15" hidden="1">
      <c r="A406" s="54" t="str">
        <f>D406&amp;E406&amp;F406</f>
        <v>FINANZASRENTASA11</v>
      </c>
      <c r="B406" t="s">
        <v>2281</v>
      </c>
      <c r="C406" s="1">
        <v>45950</v>
      </c>
      <c r="D406" t="s">
        <v>23</v>
      </c>
      <c r="E406" t="s">
        <v>169</v>
      </c>
      <c r="F406" s="146" t="s">
        <v>97</v>
      </c>
      <c r="G406" s="146"/>
      <c r="H406" t="s">
        <v>4146</v>
      </c>
      <c r="I406" s="158"/>
      <c r="J406" s="158">
        <v>25454.02</v>
      </c>
      <c r="K406" s="72">
        <f t="shared" si="14"/>
        <v>355230.87999999925</v>
      </c>
    </row>
    <row r="407" spans="1:11" ht="15" hidden="1">
      <c r="A407" s="54" t="str">
        <f>D407&amp;E407&amp;F407</f>
        <v>FINANZASRENTASA6</v>
      </c>
      <c r="B407" t="s">
        <v>2281</v>
      </c>
      <c r="C407" s="1">
        <v>45950</v>
      </c>
      <c r="D407" t="s">
        <v>23</v>
      </c>
      <c r="E407" t="s">
        <v>169</v>
      </c>
      <c r="F407" s="146" t="s">
        <v>93</v>
      </c>
      <c r="G407" s="146"/>
      <c r="H407" t="s">
        <v>4106</v>
      </c>
      <c r="I407" s="158"/>
      <c r="J407" s="158">
        <v>24000</v>
      </c>
      <c r="K407" s="72">
        <f t="shared" si="14"/>
        <v>331230.87999999925</v>
      </c>
    </row>
    <row r="408" spans="1:11" ht="15" hidden="1">
      <c r="A408" s="54" t="str">
        <f>D408&amp;E408&amp;F408</f>
        <v>FINANZASRENTASE6</v>
      </c>
      <c r="B408" t="s">
        <v>2281</v>
      </c>
      <c r="C408" s="1">
        <v>45950</v>
      </c>
      <c r="D408" t="s">
        <v>23</v>
      </c>
      <c r="E408" t="s">
        <v>169</v>
      </c>
      <c r="F408" s="146" t="s">
        <v>112</v>
      </c>
      <c r="G408" s="146"/>
      <c r="H408" t="s">
        <v>4201</v>
      </c>
      <c r="I408" s="158"/>
      <c r="J408" s="158">
        <v>35388.36</v>
      </c>
      <c r="K408" s="72">
        <f t="shared" si="14"/>
        <v>295842.51999999926</v>
      </c>
    </row>
    <row r="409" spans="1:11" ht="15" hidden="1">
      <c r="A409" s="54" t="str">
        <f>D409&amp;E409&amp;F409</f>
        <v>FINANZASRENTASA14</v>
      </c>
      <c r="B409" t="s">
        <v>2281</v>
      </c>
      <c r="C409" s="1">
        <v>45950</v>
      </c>
      <c r="D409" t="s">
        <v>23</v>
      </c>
      <c r="E409" t="s">
        <v>169</v>
      </c>
      <c r="F409" s="146" t="s">
        <v>99</v>
      </c>
      <c r="G409" s="146"/>
      <c r="H409" t="s">
        <v>4062</v>
      </c>
      <c r="I409" s="158"/>
      <c r="J409" s="158">
        <v>54288</v>
      </c>
      <c r="K409" s="72">
        <f>K408+I409-J409</f>
        <v>241554.51999999926</v>
      </c>
    </row>
    <row r="410" spans="1:11" ht="15" hidden="1">
      <c r="A410" s="54" t="str">
        <f>D410&amp;E410&amp;F410</f>
        <v>FINANZASRENTASE9</v>
      </c>
      <c r="B410" t="s">
        <v>2281</v>
      </c>
      <c r="C410" s="1">
        <v>45950</v>
      </c>
      <c r="D410" t="s">
        <v>23</v>
      </c>
      <c r="E410" t="s">
        <v>169</v>
      </c>
      <c r="F410" s="146" t="s">
        <v>116</v>
      </c>
      <c r="G410" s="146"/>
      <c r="H410" t="s">
        <v>4204</v>
      </c>
      <c r="I410" s="158"/>
      <c r="J410" s="158">
        <v>17845.439999999999</v>
      </c>
      <c r="K410" s="72">
        <f>K409+I410-J410</f>
        <v>223709.07999999926</v>
      </c>
    </row>
    <row r="411" spans="1:11" ht="15" hidden="1">
      <c r="A411" s="54" t="str">
        <f>D411&amp;E411&amp;F411</f>
        <v>FINANZASRENTASE11</v>
      </c>
      <c r="B411" t="s">
        <v>2281</v>
      </c>
      <c r="C411" s="1">
        <v>45954</v>
      </c>
      <c r="D411" t="s">
        <v>23</v>
      </c>
      <c r="E411" t="s">
        <v>169</v>
      </c>
      <c r="F411" s="146" t="s">
        <v>118</v>
      </c>
      <c r="G411" s="146"/>
      <c r="H411" t="s">
        <v>4278</v>
      </c>
      <c r="I411" s="158"/>
      <c r="J411" s="158">
        <v>147766.60999999999</v>
      </c>
      <c r="K411" s="72">
        <f>K410+I411-J411</f>
        <v>75942.469999999274</v>
      </c>
    </row>
    <row r="412" spans="1:11" ht="15" hidden="1">
      <c r="A412" s="54" t="str">
        <f>D412&amp;E412&amp;F412</f>
        <v/>
      </c>
      <c r="B412" t="s">
        <v>2281</v>
      </c>
      <c r="C412" s="1">
        <v>45954</v>
      </c>
      <c r="F412" s="146"/>
      <c r="G412" s="146"/>
      <c r="H412" t="s">
        <v>3472</v>
      </c>
      <c r="I412" s="158">
        <v>80000</v>
      </c>
      <c r="J412" s="158"/>
      <c r="K412" s="72">
        <f>K411+I412-J412</f>
        <v>155942.46999999927</v>
      </c>
    </row>
    <row r="413" spans="1:11" ht="15" hidden="1">
      <c r="A413" s="54" t="str">
        <f>D413&amp;E413&amp;F413</f>
        <v/>
      </c>
      <c r="B413" t="s">
        <v>2281</v>
      </c>
      <c r="C413" s="1">
        <v>45957</v>
      </c>
      <c r="F413" s="146"/>
      <c r="G413" s="146"/>
      <c r="H413" t="s">
        <v>3472</v>
      </c>
      <c r="I413" s="158">
        <v>800000</v>
      </c>
      <c r="J413" s="158"/>
      <c r="K413" s="72">
        <f>K412+I413-J413</f>
        <v>955942.46999999927</v>
      </c>
    </row>
    <row r="414" spans="1:11" ht="15" hidden="1">
      <c r="A414" s="54" t="str">
        <f>D414&amp;E414&amp;F414</f>
        <v>FINANZASRENTASE4</v>
      </c>
      <c r="B414" t="s">
        <v>2281</v>
      </c>
      <c r="C414" s="1">
        <v>45957</v>
      </c>
      <c r="D414" t="s">
        <v>23</v>
      </c>
      <c r="E414" t="s">
        <v>169</v>
      </c>
      <c r="F414" s="146" t="s">
        <v>110</v>
      </c>
      <c r="G414" s="146"/>
      <c r="H414" t="s">
        <v>4073</v>
      </c>
      <c r="I414" s="158"/>
      <c r="J414" s="158">
        <v>58056.09</v>
      </c>
      <c r="K414" s="72">
        <f>K413+I414-J414</f>
        <v>897886.37999999931</v>
      </c>
    </row>
    <row r="415" spans="1:11" ht="15" hidden="1">
      <c r="A415" s="54" t="str">
        <f>D415&amp;E415&amp;F415</f>
        <v>FINANZASRENTASE4</v>
      </c>
      <c r="B415" t="s">
        <v>2281</v>
      </c>
      <c r="C415" s="1">
        <v>45957</v>
      </c>
      <c r="D415" t="s">
        <v>23</v>
      </c>
      <c r="E415" t="s">
        <v>169</v>
      </c>
      <c r="F415" s="146" t="s">
        <v>110</v>
      </c>
      <c r="G415" s="146"/>
      <c r="H415" t="s">
        <v>4196</v>
      </c>
      <c r="I415" s="158"/>
      <c r="J415" s="158">
        <v>4670.08</v>
      </c>
      <c r="K415" s="72">
        <f>K414+I415-J415</f>
        <v>893216.29999999935</v>
      </c>
    </row>
    <row r="416" spans="1:11" ht="15" hidden="1">
      <c r="A416" s="54" t="str">
        <f>D416&amp;E416&amp;F416</f>
        <v>FINANZASRENTASE4</v>
      </c>
      <c r="B416" t="s">
        <v>2281</v>
      </c>
      <c r="C416" s="1">
        <v>45957</v>
      </c>
      <c r="D416" t="s">
        <v>23</v>
      </c>
      <c r="E416" t="s">
        <v>169</v>
      </c>
      <c r="F416" s="146" t="s">
        <v>110</v>
      </c>
      <c r="G416" s="146"/>
      <c r="H416" t="s">
        <v>4281</v>
      </c>
      <c r="I416" s="158"/>
      <c r="J416" s="158">
        <v>24751.4</v>
      </c>
      <c r="K416" s="72">
        <f>K415+I416-J416</f>
        <v>868464.89999999932</v>
      </c>
    </row>
    <row r="417" spans="1:11" ht="15" hidden="1">
      <c r="A417" s="54" t="str">
        <f>D417&amp;E417&amp;F417</f>
        <v>FINANZASRENTASA8</v>
      </c>
      <c r="B417" t="s">
        <v>2281</v>
      </c>
      <c r="C417" s="1">
        <v>45957</v>
      </c>
      <c r="D417" t="s">
        <v>23</v>
      </c>
      <c r="E417" t="s">
        <v>169</v>
      </c>
      <c r="F417" s="146" t="s">
        <v>94</v>
      </c>
      <c r="G417" s="146"/>
      <c r="H417" t="s">
        <v>4075</v>
      </c>
      <c r="I417" s="158"/>
      <c r="J417" s="158">
        <v>39370.54</v>
      </c>
      <c r="K417" s="72">
        <f>K416+I417-J417</f>
        <v>829094.35999999929</v>
      </c>
    </row>
    <row r="418" spans="1:11" ht="15" hidden="1">
      <c r="A418" s="54" t="str">
        <f>D418&amp;E418&amp;F418</f>
        <v>FINANZASRENTASA8</v>
      </c>
      <c r="B418" t="s">
        <v>2281</v>
      </c>
      <c r="C418" s="1">
        <v>45957</v>
      </c>
      <c r="D418" t="s">
        <v>23</v>
      </c>
      <c r="E418" t="s">
        <v>169</v>
      </c>
      <c r="F418" s="146" t="s">
        <v>94</v>
      </c>
      <c r="G418" s="146"/>
      <c r="H418" t="s">
        <v>4282</v>
      </c>
      <c r="I418" s="158"/>
      <c r="J418" s="158">
        <v>44335.56</v>
      </c>
      <c r="K418" s="72">
        <f>K417+I418-J418</f>
        <v>784758.79999999935</v>
      </c>
    </row>
    <row r="419" spans="1:11" ht="15" hidden="1">
      <c r="A419" s="54" t="str">
        <f>D419&amp;E419&amp;F419</f>
        <v>FINANZASRENTASE8</v>
      </c>
      <c r="B419" t="s">
        <v>2281</v>
      </c>
      <c r="C419" s="1">
        <v>45957</v>
      </c>
      <c r="D419" t="s">
        <v>23</v>
      </c>
      <c r="E419" t="s">
        <v>169</v>
      </c>
      <c r="F419" s="146" t="s">
        <v>114</v>
      </c>
      <c r="G419" s="146"/>
      <c r="H419" t="s">
        <v>4183</v>
      </c>
      <c r="I419" s="158"/>
      <c r="J419" s="158">
        <v>73994</v>
      </c>
      <c r="K419" s="72">
        <f>K418+I419-J419</f>
        <v>710764.79999999935</v>
      </c>
    </row>
    <row r="420" spans="1:11" ht="15" hidden="1">
      <c r="A420" s="54" t="str">
        <f>D420&amp;E420&amp;F420</f>
        <v>FINANZASRENTASE9</v>
      </c>
      <c r="B420" t="s">
        <v>2281</v>
      </c>
      <c r="C420" s="1">
        <v>45957</v>
      </c>
      <c r="D420" t="s">
        <v>23</v>
      </c>
      <c r="E420" t="s">
        <v>169</v>
      </c>
      <c r="F420" s="146" t="s">
        <v>116</v>
      </c>
      <c r="G420" s="146"/>
      <c r="H420" t="s">
        <v>4203</v>
      </c>
      <c r="I420" s="158"/>
      <c r="J420" s="158">
        <v>71381</v>
      </c>
      <c r="K420" s="72">
        <f>K419+I420-J420</f>
        <v>639383.79999999935</v>
      </c>
    </row>
    <row r="421" spans="1:11" ht="15" hidden="1">
      <c r="A421" s="54" t="str">
        <f>D421&amp;E421&amp;F421</f>
        <v>FINANZASRENTASE9</v>
      </c>
      <c r="B421" t="s">
        <v>2281</v>
      </c>
      <c r="C421" s="1">
        <v>45957</v>
      </c>
      <c r="D421" t="s">
        <v>23</v>
      </c>
      <c r="E421" t="s">
        <v>169</v>
      </c>
      <c r="F421" s="146" t="s">
        <v>116</v>
      </c>
      <c r="G421" s="146"/>
      <c r="H421" t="s">
        <v>4283</v>
      </c>
      <c r="I421" s="158"/>
      <c r="J421" s="158">
        <v>17845.439999999999</v>
      </c>
      <c r="K421" s="72">
        <f>K420+I421-J421</f>
        <v>621538.3599999994</v>
      </c>
    </row>
    <row r="422" spans="1:11" ht="15" hidden="1">
      <c r="A422" s="54" t="str">
        <f>D422&amp;E422&amp;F422</f>
        <v>FINANZASRENTASA10</v>
      </c>
      <c r="B422" t="s">
        <v>2281</v>
      </c>
      <c r="C422" s="1">
        <v>45958</v>
      </c>
      <c r="D422" t="s">
        <v>23</v>
      </c>
      <c r="E422" t="s">
        <v>169</v>
      </c>
      <c r="F422" s="146" t="s">
        <v>96</v>
      </c>
      <c r="G422" s="146"/>
      <c r="H422" t="s">
        <v>4284</v>
      </c>
      <c r="I422" s="158"/>
      <c r="J422" s="158">
        <v>43714.99</v>
      </c>
      <c r="K422" s="72">
        <f t="shared" ref="K422:K435" si="15">K421+I422-J422</f>
        <v>577823.36999999941</v>
      </c>
    </row>
    <row r="423" spans="1:11" ht="15" hidden="1">
      <c r="A423" s="54" t="str">
        <f>D423&amp;E423&amp;F423</f>
        <v>FINANZASRENTASE5</v>
      </c>
      <c r="B423" t="s">
        <v>2281</v>
      </c>
      <c r="C423" s="1">
        <v>45958</v>
      </c>
      <c r="D423" t="s">
        <v>23</v>
      </c>
      <c r="E423" t="s">
        <v>169</v>
      </c>
      <c r="F423" s="146" t="s">
        <v>111</v>
      </c>
      <c r="G423" s="146"/>
      <c r="H423" t="s">
        <v>4252</v>
      </c>
      <c r="I423" s="158"/>
      <c r="J423" s="158">
        <v>41223.25</v>
      </c>
      <c r="K423" s="72">
        <f t="shared" si="15"/>
        <v>536600.11999999941</v>
      </c>
    </row>
    <row r="424" spans="1:11" ht="15" hidden="1">
      <c r="A424" s="54" t="str">
        <f>D424&amp;E424&amp;F424</f>
        <v>FINANZASRENTASA22</v>
      </c>
      <c r="B424" t="s">
        <v>2281</v>
      </c>
      <c r="C424" s="1">
        <v>45958</v>
      </c>
      <c r="D424" t="s">
        <v>23</v>
      </c>
      <c r="E424" t="s">
        <v>169</v>
      </c>
      <c r="F424" s="146" t="s">
        <v>104</v>
      </c>
      <c r="G424" s="146"/>
      <c r="H424" t="s">
        <v>4088</v>
      </c>
      <c r="I424" s="158"/>
      <c r="J424" s="158">
        <v>44594.58</v>
      </c>
      <c r="K424" s="72">
        <f t="shared" si="15"/>
        <v>492005.5399999994</v>
      </c>
    </row>
    <row r="425" spans="1:11" ht="15" hidden="1">
      <c r="A425" s="54" t="str">
        <f>D425&amp;E425&amp;F425</f>
        <v>FINANZASRENTASA15</v>
      </c>
      <c r="B425" t="s">
        <v>2281</v>
      </c>
      <c r="C425" s="1">
        <v>45958</v>
      </c>
      <c r="D425" t="s">
        <v>23</v>
      </c>
      <c r="E425" t="s">
        <v>169</v>
      </c>
      <c r="F425" s="146" t="s">
        <v>100</v>
      </c>
      <c r="G425" s="146"/>
      <c r="H425" t="s">
        <v>4202</v>
      </c>
      <c r="I425" s="158"/>
      <c r="J425" s="158">
        <v>3240</v>
      </c>
      <c r="K425" s="72">
        <f t="shared" si="15"/>
        <v>488765.5399999994</v>
      </c>
    </row>
    <row r="426" spans="1:11" ht="15" hidden="1">
      <c r="A426" s="54" t="str">
        <f>D426&amp;E426&amp;F426</f>
        <v>FINANZASRENTASA17</v>
      </c>
      <c r="B426" t="s">
        <v>2281</v>
      </c>
      <c r="C426" s="1">
        <v>45958</v>
      </c>
      <c r="D426" t="s">
        <v>23</v>
      </c>
      <c r="E426" t="s">
        <v>169</v>
      </c>
      <c r="F426" s="146" t="s">
        <v>102</v>
      </c>
      <c r="G426" s="146"/>
      <c r="H426" t="s">
        <v>4253</v>
      </c>
      <c r="I426" s="158"/>
      <c r="J426" s="158">
        <v>76326.960000000006</v>
      </c>
      <c r="K426" s="72">
        <f t="shared" si="15"/>
        <v>412438.57999999938</v>
      </c>
    </row>
    <row r="427" spans="1:11" ht="15" hidden="1">
      <c r="A427" s="54" t="str">
        <f>D427&amp;E427&amp;F427</f>
        <v>FINANZASRENTASA3</v>
      </c>
      <c r="B427" t="s">
        <v>2281</v>
      </c>
      <c r="C427" s="1">
        <v>45958</v>
      </c>
      <c r="D427" t="s">
        <v>23</v>
      </c>
      <c r="E427" t="s">
        <v>169</v>
      </c>
      <c r="F427" s="146" t="s">
        <v>90</v>
      </c>
      <c r="G427" s="146"/>
      <c r="H427" t="s">
        <v>4207</v>
      </c>
      <c r="I427" s="158"/>
      <c r="J427" s="158">
        <v>58145.99</v>
      </c>
      <c r="K427" s="72">
        <f t="shared" si="15"/>
        <v>354292.58999999939</v>
      </c>
    </row>
    <row r="428" spans="1:11" ht="15" hidden="1">
      <c r="A428" s="54" t="str">
        <f>D428&amp;E428&amp;F428</f>
        <v>FINANZASRENTASA4</v>
      </c>
      <c r="B428" t="s">
        <v>2281</v>
      </c>
      <c r="C428" s="1">
        <v>45958</v>
      </c>
      <c r="D428" t="s">
        <v>23</v>
      </c>
      <c r="E428" t="s">
        <v>169</v>
      </c>
      <c r="F428" s="146" t="s">
        <v>91</v>
      </c>
      <c r="G428" s="146"/>
      <c r="H428" t="s">
        <v>4208</v>
      </c>
      <c r="I428" s="158"/>
      <c r="J428" s="158">
        <v>32800</v>
      </c>
      <c r="K428" s="72">
        <f t="shared" si="15"/>
        <v>321492.58999999939</v>
      </c>
    </row>
    <row r="429" spans="1:11" ht="15" hidden="1">
      <c r="A429" s="54" t="str">
        <f>D429&amp;E429&amp;F429</f>
        <v>FINANZASRENTASA4</v>
      </c>
      <c r="B429" t="s">
        <v>2281</v>
      </c>
      <c r="C429" s="1">
        <v>45958</v>
      </c>
      <c r="D429" t="s">
        <v>23</v>
      </c>
      <c r="E429" t="s">
        <v>169</v>
      </c>
      <c r="F429" s="146" t="s">
        <v>91</v>
      </c>
      <c r="G429" s="146"/>
      <c r="H429" t="s">
        <v>4208</v>
      </c>
      <c r="I429" s="158"/>
      <c r="J429" s="158">
        <v>15000</v>
      </c>
      <c r="K429" s="72">
        <f t="shared" si="15"/>
        <v>306492.58999999939</v>
      </c>
    </row>
    <row r="430" spans="1:11" ht="15" hidden="1">
      <c r="A430" s="54" t="str">
        <f>D430&amp;E430&amp;F430</f>
        <v>FINANZASRENTASA15</v>
      </c>
      <c r="B430" t="s">
        <v>2281</v>
      </c>
      <c r="C430" s="1">
        <v>45958</v>
      </c>
      <c r="D430" t="s">
        <v>23</v>
      </c>
      <c r="E430" t="s">
        <v>169</v>
      </c>
      <c r="F430" s="146" t="s">
        <v>100</v>
      </c>
      <c r="G430" s="146"/>
      <c r="H430" t="s">
        <v>4085</v>
      </c>
      <c r="I430" s="158"/>
      <c r="J430" s="158">
        <v>21354</v>
      </c>
      <c r="K430" s="72">
        <f t="shared" si="15"/>
        <v>285138.58999999939</v>
      </c>
    </row>
    <row r="431" spans="1:11" ht="15" hidden="1">
      <c r="A431" s="54" t="str">
        <f>D431&amp;E431&amp;F431</f>
        <v/>
      </c>
      <c r="B431" t="s">
        <v>2565</v>
      </c>
      <c r="C431" s="1">
        <v>45964</v>
      </c>
      <c r="F431" s="146"/>
      <c r="G431" s="146"/>
      <c r="H431" t="s">
        <v>3472</v>
      </c>
      <c r="I431" s="158">
        <v>700000</v>
      </c>
      <c r="J431" s="158"/>
      <c r="K431" s="72">
        <f t="shared" si="15"/>
        <v>985138.58999999939</v>
      </c>
    </row>
    <row r="432" spans="1:11" ht="15" hidden="1">
      <c r="A432" s="54" t="str">
        <f>D432&amp;E432&amp;F432</f>
        <v>FINANZASRENTASA2</v>
      </c>
      <c r="B432" t="s">
        <v>2565</v>
      </c>
      <c r="C432" s="1">
        <v>45965</v>
      </c>
      <c r="D432" t="s">
        <v>23</v>
      </c>
      <c r="E432" t="s">
        <v>169</v>
      </c>
      <c r="F432" s="146" t="s">
        <v>89</v>
      </c>
      <c r="G432" s="146"/>
      <c r="H432" s="454" t="s">
        <v>4089</v>
      </c>
      <c r="I432" s="158"/>
      <c r="J432" s="374">
        <v>61200</v>
      </c>
      <c r="K432" s="72">
        <f t="shared" si="15"/>
        <v>923938.58999999939</v>
      </c>
    </row>
    <row r="433" spans="1:11" ht="15" hidden="1">
      <c r="A433" s="54" t="str">
        <f>D433&amp;E433&amp;F433</f>
        <v>FINANZASRENTASA9</v>
      </c>
      <c r="B433" t="s">
        <v>2565</v>
      </c>
      <c r="C433" s="1">
        <v>45965</v>
      </c>
      <c r="D433" t="s">
        <v>23</v>
      </c>
      <c r="E433" t="s">
        <v>169</v>
      </c>
      <c r="F433" s="146" t="s">
        <v>95</v>
      </c>
      <c r="G433" s="146"/>
      <c r="H433" s="454" t="s">
        <v>4285</v>
      </c>
      <c r="I433" s="158"/>
      <c r="J433" s="374">
        <v>46387.360000000001</v>
      </c>
      <c r="K433" s="72">
        <f t="shared" si="15"/>
        <v>877551.2299999994</v>
      </c>
    </row>
    <row r="434" spans="1:11" ht="15" hidden="1">
      <c r="A434" s="54" t="str">
        <f>D434&amp;E434&amp;F434</f>
        <v>FINANZASRENTASA1</v>
      </c>
      <c r="B434" t="s">
        <v>2565</v>
      </c>
      <c r="C434" s="1">
        <v>45965</v>
      </c>
      <c r="D434" t="s">
        <v>23</v>
      </c>
      <c r="E434" t="s">
        <v>169</v>
      </c>
      <c r="F434" s="146" t="s">
        <v>88</v>
      </c>
      <c r="G434" s="146"/>
      <c r="H434" s="454" t="s">
        <v>4091</v>
      </c>
      <c r="I434" s="158"/>
      <c r="J434" s="374">
        <v>69578.880000000005</v>
      </c>
      <c r="K434" s="72">
        <f t="shared" si="15"/>
        <v>807972.34999999939</v>
      </c>
    </row>
    <row r="435" spans="1:11" ht="15" hidden="1">
      <c r="A435" s="54" t="str">
        <f>D435&amp;E435&amp;F435</f>
        <v>FINANZASRENTASA5</v>
      </c>
      <c r="B435" t="s">
        <v>2565</v>
      </c>
      <c r="C435" s="1">
        <v>45965</v>
      </c>
      <c r="D435" t="s">
        <v>23</v>
      </c>
      <c r="E435" t="s">
        <v>169</v>
      </c>
      <c r="F435" s="146" t="s">
        <v>92</v>
      </c>
      <c r="G435" s="146"/>
      <c r="H435" s="454" t="s">
        <v>4286</v>
      </c>
      <c r="I435" s="158"/>
      <c r="J435" s="374">
        <v>104368.32000000001</v>
      </c>
      <c r="K435" s="72">
        <f t="shared" si="15"/>
        <v>703604.02999999933</v>
      </c>
    </row>
    <row r="436" spans="1:11" ht="15" hidden="1">
      <c r="A436" s="54" t="str">
        <f>D436&amp;E436&amp;F436</f>
        <v>FINANZASRENTASA10</v>
      </c>
      <c r="B436" t="s">
        <v>2565</v>
      </c>
      <c r="C436" s="1">
        <v>45965</v>
      </c>
      <c r="D436" t="s">
        <v>23</v>
      </c>
      <c r="E436" t="s">
        <v>169</v>
      </c>
      <c r="F436" t="s">
        <v>96</v>
      </c>
      <c r="G436" s="146"/>
      <c r="H436" t="s">
        <v>4158</v>
      </c>
      <c r="J436" s="3">
        <v>31000</v>
      </c>
      <c r="K436" s="72">
        <f>K435+I436-J436</f>
        <v>672604.02999999933</v>
      </c>
    </row>
    <row r="437" spans="1:11" ht="15" hidden="1">
      <c r="A437" s="54" t="str">
        <f>D437&amp;E437&amp;F437</f>
        <v>FINANZASRENTASE2</v>
      </c>
      <c r="B437" t="s">
        <v>2565</v>
      </c>
      <c r="C437" s="1">
        <v>45966</v>
      </c>
      <c r="D437" t="s">
        <v>23</v>
      </c>
      <c r="E437" t="s">
        <v>169</v>
      </c>
      <c r="F437" s="146" t="s">
        <v>108</v>
      </c>
      <c r="G437" s="146"/>
      <c r="H437" t="s">
        <v>4287</v>
      </c>
      <c r="J437" s="158">
        <v>134130.88</v>
      </c>
      <c r="K437" s="72">
        <f>K436+I437-J437</f>
        <v>538473.14999999932</v>
      </c>
    </row>
    <row r="438" spans="1:11" hidden="1">
      <c r="A438" s="54" t="str">
        <f>D438&amp;E438&amp;F438</f>
        <v>FINANZASRENTASA18</v>
      </c>
      <c r="B438" t="s">
        <v>2565</v>
      </c>
      <c r="C438" s="1">
        <v>45966</v>
      </c>
      <c r="D438" t="s">
        <v>23</v>
      </c>
      <c r="E438" t="s">
        <v>169</v>
      </c>
      <c r="F438" s="146" t="s">
        <v>103</v>
      </c>
      <c r="G438" s="146"/>
      <c r="H438" t="s">
        <v>4288</v>
      </c>
      <c r="I438" s="158"/>
      <c r="J438" s="158">
        <v>88160</v>
      </c>
      <c r="K438" s="72">
        <f>K437+I438-J438</f>
        <v>450313.14999999932</v>
      </c>
    </row>
    <row r="439" spans="1:11" hidden="1">
      <c r="A439" s="54" t="str">
        <f>D439&amp;E439&amp;F439</f>
        <v>FINANZASRENTASE1</v>
      </c>
      <c r="B439" t="s">
        <v>2565</v>
      </c>
      <c r="C439" s="1">
        <v>45966</v>
      </c>
      <c r="D439" t="s">
        <v>23</v>
      </c>
      <c r="E439" t="s">
        <v>169</v>
      </c>
      <c r="F439" s="146" t="s">
        <v>107</v>
      </c>
      <c r="G439" s="146"/>
      <c r="H439" t="s">
        <v>4240</v>
      </c>
      <c r="I439" s="158"/>
      <c r="J439" s="158">
        <v>55560.53</v>
      </c>
      <c r="K439" s="72">
        <f t="shared" ref="K439:K470" si="16">K438+I439-J439</f>
        <v>394752.6199999993</v>
      </c>
    </row>
    <row r="440" spans="1:11" hidden="1">
      <c r="A440" s="54" t="str">
        <f>D440&amp;E440&amp;F440</f>
        <v>FINANZASRENTASA18</v>
      </c>
      <c r="B440" t="s">
        <v>2565</v>
      </c>
      <c r="C440" s="1">
        <v>45966</v>
      </c>
      <c r="D440" t="s">
        <v>23</v>
      </c>
      <c r="E440" t="s">
        <v>169</v>
      </c>
      <c r="F440" s="146" t="s">
        <v>103</v>
      </c>
      <c r="G440" s="146"/>
      <c r="H440" t="s">
        <v>4289</v>
      </c>
      <c r="I440" s="158"/>
      <c r="J440" s="158">
        <v>2244.36</v>
      </c>
      <c r="K440" s="72">
        <f t="shared" si="16"/>
        <v>392508.25999999931</v>
      </c>
    </row>
    <row r="441" spans="1:11" hidden="1">
      <c r="A441" s="54" t="str">
        <f>D441&amp;E441&amp;F441</f>
        <v>FINANZASRENTASA23</v>
      </c>
      <c r="B441" t="s">
        <v>2565</v>
      </c>
      <c r="C441" s="1">
        <v>45966</v>
      </c>
      <c r="D441" t="s">
        <v>23</v>
      </c>
      <c r="E441" t="s">
        <v>169</v>
      </c>
      <c r="F441" s="146" t="s">
        <v>105</v>
      </c>
      <c r="G441" s="146"/>
      <c r="H441" t="s">
        <v>4105</v>
      </c>
      <c r="I441" s="158"/>
      <c r="J441" s="158">
        <v>10282.36</v>
      </c>
      <c r="K441" s="72">
        <f t="shared" si="16"/>
        <v>382225.89999999932</v>
      </c>
    </row>
    <row r="442" spans="1:11" hidden="1">
      <c r="A442" s="54" t="str">
        <f>D442&amp;E442&amp;F442</f>
        <v>FINANZASRENTASE6</v>
      </c>
      <c r="B442" t="s">
        <v>2565</v>
      </c>
      <c r="C442" s="1">
        <v>45966</v>
      </c>
      <c r="D442" t="s">
        <v>23</v>
      </c>
      <c r="E442" t="s">
        <v>169</v>
      </c>
      <c r="F442" s="146" t="s">
        <v>112</v>
      </c>
      <c r="G442" s="146"/>
      <c r="H442" t="s">
        <v>4095</v>
      </c>
      <c r="I442" s="158"/>
      <c r="J442" s="158">
        <v>6500</v>
      </c>
      <c r="K442" s="72">
        <f t="shared" si="16"/>
        <v>375725.89999999932</v>
      </c>
    </row>
    <row r="443" spans="1:11" hidden="1">
      <c r="A443" s="54" t="str">
        <f>D443&amp;E443&amp;F443</f>
        <v>FINANZASRENTASA24</v>
      </c>
      <c r="B443" t="s">
        <v>2565</v>
      </c>
      <c r="C443" s="1">
        <v>45966</v>
      </c>
      <c r="D443" t="s">
        <v>23</v>
      </c>
      <c r="E443" t="s">
        <v>169</v>
      </c>
      <c r="F443" s="146" t="s">
        <v>106</v>
      </c>
      <c r="G443" s="146"/>
      <c r="H443" t="s">
        <v>4200</v>
      </c>
      <c r="I443" s="158"/>
      <c r="J443" s="158">
        <v>81319.3</v>
      </c>
      <c r="K443" s="72">
        <f t="shared" si="16"/>
        <v>294406.59999999934</v>
      </c>
    </row>
    <row r="444" spans="1:11" ht="15" hidden="1">
      <c r="A444" s="54" t="str">
        <f>D444&amp;E444&amp;F444</f>
        <v>FINANZASRENTASA10</v>
      </c>
      <c r="B444" t="s">
        <v>2565</v>
      </c>
      <c r="C444" s="1">
        <v>45968</v>
      </c>
      <c r="D444" t="s">
        <v>23</v>
      </c>
      <c r="E444" t="s">
        <v>169</v>
      </c>
      <c r="F444" s="146" t="s">
        <v>96</v>
      </c>
      <c r="G444" s="146"/>
      <c r="H444" t="s">
        <v>4099</v>
      </c>
      <c r="I444" s="158"/>
      <c r="J444" s="158">
        <v>31225</v>
      </c>
      <c r="K444" s="72">
        <f t="shared" si="16"/>
        <v>263181.59999999934</v>
      </c>
    </row>
    <row r="445" spans="1:11" ht="15" hidden="1">
      <c r="A445" s="54" t="str">
        <f>D445&amp;E445&amp;F445</f>
        <v>FINANZASRENTASA12</v>
      </c>
      <c r="B445" t="s">
        <v>2565</v>
      </c>
      <c r="C445" s="1">
        <v>45968</v>
      </c>
      <c r="D445" t="s">
        <v>23</v>
      </c>
      <c r="E445" t="s">
        <v>169</v>
      </c>
      <c r="F445" s="146" t="s">
        <v>98</v>
      </c>
      <c r="G445" s="146"/>
      <c r="H445" t="s">
        <v>4241</v>
      </c>
      <c r="I445" s="158"/>
      <c r="J445" s="158">
        <v>142971</v>
      </c>
      <c r="K445" s="72">
        <f t="shared" si="16"/>
        <v>120210.59999999934</v>
      </c>
    </row>
    <row r="446" spans="1:11" ht="15" hidden="1">
      <c r="A446" s="54" t="str">
        <f>D446&amp;E446&amp;F446</f>
        <v>FINANZASRENTASE3</v>
      </c>
      <c r="B446" t="s">
        <v>2565</v>
      </c>
      <c r="C446" s="1">
        <v>45968</v>
      </c>
      <c r="D446" t="s">
        <v>23</v>
      </c>
      <c r="E446" t="s">
        <v>169</v>
      </c>
      <c r="F446" s="146" t="s">
        <v>109</v>
      </c>
      <c r="G446" s="146"/>
      <c r="H446" t="s">
        <v>4215</v>
      </c>
      <c r="I446" s="158"/>
      <c r="J446" s="158">
        <v>43326.12</v>
      </c>
      <c r="K446" s="72">
        <f t="shared" si="16"/>
        <v>76884.479999999341</v>
      </c>
    </row>
    <row r="447" spans="1:11" ht="15" hidden="1">
      <c r="A447" s="54" t="str">
        <f>D447&amp;E447&amp;F447</f>
        <v>FINANZASRENTASA11</v>
      </c>
      <c r="B447" t="s">
        <v>2565</v>
      </c>
      <c r="C447" s="1">
        <v>45968</v>
      </c>
      <c r="D447" t="s">
        <v>23</v>
      </c>
      <c r="E447" t="s">
        <v>169</v>
      </c>
      <c r="F447" s="146" t="s">
        <v>97</v>
      </c>
      <c r="G447" s="146"/>
      <c r="H447" t="s">
        <v>4146</v>
      </c>
      <c r="I447" s="158"/>
      <c r="J447" s="158">
        <v>25454.02</v>
      </c>
      <c r="K447" s="72">
        <f t="shared" si="16"/>
        <v>51430.459999999337</v>
      </c>
    </row>
    <row r="448" spans="1:11" ht="15" hidden="1">
      <c r="A448" s="54" t="str">
        <f>D448&amp;E448&amp;F448</f>
        <v>FINANZASRENTASA22</v>
      </c>
      <c r="B448" t="s">
        <v>2565</v>
      </c>
      <c r="C448" s="1">
        <v>45968</v>
      </c>
      <c r="D448" t="s">
        <v>23</v>
      </c>
      <c r="E448" t="s">
        <v>169</v>
      </c>
      <c r="F448" s="146" t="s">
        <v>104</v>
      </c>
      <c r="G448" s="146"/>
      <c r="H448" t="s">
        <v>4088</v>
      </c>
      <c r="I448" s="158"/>
      <c r="J448" s="158">
        <v>50000</v>
      </c>
      <c r="K448" s="72">
        <f t="shared" si="16"/>
        <v>1430.459999999337</v>
      </c>
    </row>
    <row r="449" spans="1:11" ht="15" hidden="1">
      <c r="A449" s="54" t="str">
        <f>D449&amp;E449&amp;F449</f>
        <v/>
      </c>
      <c r="B449" t="s">
        <v>2565</v>
      </c>
      <c r="C449" s="1">
        <v>45971</v>
      </c>
      <c r="F449" s="146"/>
      <c r="G449" s="146"/>
      <c r="H449" t="s">
        <v>3472</v>
      </c>
      <c r="I449" s="158">
        <v>250000</v>
      </c>
      <c r="J449" s="158"/>
      <c r="K449" s="72">
        <f t="shared" si="16"/>
        <v>251430.45999999932</v>
      </c>
    </row>
    <row r="450" spans="1:11" ht="15" hidden="1">
      <c r="A450" s="54" t="str">
        <f>D450&amp;E450&amp;F450</f>
        <v>FINANZASRENTASE11</v>
      </c>
      <c r="B450" t="s">
        <v>2565</v>
      </c>
      <c r="C450" s="1">
        <v>45971</v>
      </c>
      <c r="D450" t="s">
        <v>23</v>
      </c>
      <c r="E450" t="s">
        <v>169</v>
      </c>
      <c r="F450" s="146" t="s">
        <v>118</v>
      </c>
      <c r="G450" s="146"/>
      <c r="H450" t="s">
        <v>4290</v>
      </c>
      <c r="I450" s="158"/>
      <c r="J450" s="158">
        <v>147766.60999999999</v>
      </c>
      <c r="K450" s="72">
        <f t="shared" si="16"/>
        <v>103663.84999999934</v>
      </c>
    </row>
    <row r="451" spans="1:11" ht="15" hidden="1">
      <c r="A451" s="54" t="str">
        <f>D451&amp;E451&amp;F451</f>
        <v>FINANZASRENTASE6</v>
      </c>
      <c r="B451" t="s">
        <v>2565</v>
      </c>
      <c r="C451" s="1">
        <v>45972</v>
      </c>
      <c r="D451" t="s">
        <v>23</v>
      </c>
      <c r="E451" t="s">
        <v>169</v>
      </c>
      <c r="F451" s="146" t="s">
        <v>112</v>
      </c>
      <c r="G451" s="146"/>
      <c r="H451" t="s">
        <v>4291</v>
      </c>
      <c r="I451" s="158"/>
      <c r="J451" s="158">
        <v>24000</v>
      </c>
      <c r="K451" s="72">
        <f t="shared" si="16"/>
        <v>79663.849999999336</v>
      </c>
    </row>
    <row r="452" spans="1:11" ht="15" hidden="1">
      <c r="A452" s="54" t="str">
        <f>D452&amp;E452&amp;F452</f>
        <v>FINANZASRENTASA16</v>
      </c>
      <c r="B452" t="s">
        <v>2565</v>
      </c>
      <c r="C452" s="1">
        <v>45972</v>
      </c>
      <c r="D452" t="s">
        <v>23</v>
      </c>
      <c r="E452" t="s">
        <v>169</v>
      </c>
      <c r="F452" s="146" t="s">
        <v>101</v>
      </c>
      <c r="G452" s="146"/>
      <c r="H452" t="s">
        <v>4292</v>
      </c>
      <c r="I452" s="158"/>
      <c r="J452" s="158">
        <v>35388.36</v>
      </c>
      <c r="K452" s="72">
        <f t="shared" si="16"/>
        <v>44275.489999999336</v>
      </c>
    </row>
    <row r="453" spans="1:11" ht="15" hidden="1">
      <c r="A453" s="54" t="str">
        <f>D453&amp;E453&amp;F453</f>
        <v/>
      </c>
      <c r="B453" t="s">
        <v>2565</v>
      </c>
      <c r="C453" s="1">
        <v>45973</v>
      </c>
      <c r="F453" s="146"/>
      <c r="G453" s="146"/>
      <c r="H453" t="s">
        <v>3472</v>
      </c>
      <c r="I453" s="158">
        <v>50000</v>
      </c>
      <c r="J453" s="158"/>
      <c r="K453" s="72">
        <f t="shared" si="16"/>
        <v>94275.489999999336</v>
      </c>
    </row>
    <row r="454" spans="1:11" ht="15" hidden="1">
      <c r="A454" s="54" t="str">
        <f>D454&amp;E454&amp;F454</f>
        <v>FINANZASRENTASA14</v>
      </c>
      <c r="B454" t="s">
        <v>2565</v>
      </c>
      <c r="C454" s="1">
        <v>45973</v>
      </c>
      <c r="D454" t="s">
        <v>23</v>
      </c>
      <c r="E454" t="s">
        <v>169</v>
      </c>
      <c r="F454" s="146" t="s">
        <v>99</v>
      </c>
      <c r="G454" s="146"/>
      <c r="I454" s="158"/>
      <c r="J454" s="158">
        <v>54288</v>
      </c>
      <c r="K454" s="72">
        <f t="shared" si="16"/>
        <v>39987.489999999336</v>
      </c>
    </row>
    <row r="455" spans="1:11" ht="15" hidden="1">
      <c r="A455" s="54" t="str">
        <f>D455&amp;E455&amp;F455</f>
        <v/>
      </c>
      <c r="B455" t="s">
        <v>2565</v>
      </c>
      <c r="C455" s="1">
        <v>45979</v>
      </c>
      <c r="F455" s="146"/>
      <c r="G455" s="146"/>
      <c r="H455" t="s">
        <v>3472</v>
      </c>
      <c r="I455" s="158">
        <v>400000</v>
      </c>
      <c r="J455" s="158"/>
      <c r="K455" s="72">
        <f t="shared" si="16"/>
        <v>439987.48999999935</v>
      </c>
    </row>
    <row r="456" spans="1:11" ht="15" hidden="1">
      <c r="A456" s="54" t="str">
        <f>D456&amp;E456&amp;F456</f>
        <v>FINANZASRENTASE4</v>
      </c>
      <c r="B456" t="s">
        <v>2565</v>
      </c>
      <c r="C456" s="1">
        <v>45979</v>
      </c>
      <c r="D456" t="s">
        <v>23</v>
      </c>
      <c r="E456" t="s">
        <v>169</v>
      </c>
      <c r="F456" s="146" t="s">
        <v>110</v>
      </c>
      <c r="G456" s="146"/>
      <c r="H456" t="s">
        <v>4150</v>
      </c>
      <c r="I456" s="158"/>
      <c r="J456" s="158">
        <v>25063.02</v>
      </c>
      <c r="K456" s="72">
        <f t="shared" si="16"/>
        <v>414924.46999999933</v>
      </c>
    </row>
    <row r="457" spans="1:11" ht="15" hidden="1">
      <c r="A457" s="54" t="str">
        <f>D457&amp;E457&amp;F457</f>
        <v>FINANZASRENTASA8</v>
      </c>
      <c r="B457" t="s">
        <v>2565</v>
      </c>
      <c r="C457" s="1">
        <v>45979</v>
      </c>
      <c r="D457" t="s">
        <v>23</v>
      </c>
      <c r="E457" t="s">
        <v>169</v>
      </c>
      <c r="F457" s="146" t="s">
        <v>94</v>
      </c>
      <c r="G457" s="146"/>
      <c r="H457" t="s">
        <v>4244</v>
      </c>
      <c r="I457" s="158"/>
      <c r="J457" s="158">
        <v>45003.68</v>
      </c>
      <c r="K457" s="72">
        <f t="shared" si="16"/>
        <v>369920.78999999934</v>
      </c>
    </row>
    <row r="458" spans="1:11" ht="15" hidden="1">
      <c r="A458" s="54" t="str">
        <f>D458&amp;E458&amp;F458</f>
        <v>FINANZASRENTASE8</v>
      </c>
      <c r="B458" t="s">
        <v>2565</v>
      </c>
      <c r="C458" s="1">
        <v>45979</v>
      </c>
      <c r="D458" t="s">
        <v>23</v>
      </c>
      <c r="E458" t="s">
        <v>169</v>
      </c>
      <c r="F458" s="146" t="s">
        <v>114</v>
      </c>
      <c r="G458" s="146"/>
      <c r="H458" t="s">
        <v>4293</v>
      </c>
      <c r="I458" s="158"/>
      <c r="J458" s="158">
        <v>73994.679999999993</v>
      </c>
      <c r="K458" s="72">
        <f t="shared" si="16"/>
        <v>295926.10999999935</v>
      </c>
    </row>
    <row r="459" spans="1:11" ht="15" hidden="1">
      <c r="A459" s="54" t="str">
        <f>D459&amp;E459&amp;F459</f>
        <v>FINANZASRENTASE8</v>
      </c>
      <c r="B459" t="s">
        <v>2565</v>
      </c>
      <c r="C459" s="1">
        <v>45979</v>
      </c>
      <c r="D459" t="s">
        <v>23</v>
      </c>
      <c r="E459" t="s">
        <v>169</v>
      </c>
      <c r="F459" s="146" t="s">
        <v>114</v>
      </c>
      <c r="G459" s="146"/>
      <c r="H459" t="s">
        <v>4294</v>
      </c>
      <c r="I459" s="158"/>
      <c r="J459" s="158">
        <v>16278.82</v>
      </c>
      <c r="K459" s="72">
        <f t="shared" si="16"/>
        <v>279647.28999999934</v>
      </c>
    </row>
    <row r="460" spans="1:11" ht="15" hidden="1">
      <c r="A460" s="54" t="str">
        <f>D460&amp;E460&amp;F460</f>
        <v>FINANZASRENTASE9</v>
      </c>
      <c r="B460" t="s">
        <v>2565</v>
      </c>
      <c r="C460" s="1">
        <v>45979</v>
      </c>
      <c r="D460" t="s">
        <v>23</v>
      </c>
      <c r="E460" t="s">
        <v>169</v>
      </c>
      <c r="F460" s="146" t="s">
        <v>116</v>
      </c>
      <c r="G460" s="146"/>
      <c r="H460" t="s">
        <v>4203</v>
      </c>
      <c r="I460" s="158"/>
      <c r="J460" s="158">
        <v>89227.199999999997</v>
      </c>
      <c r="K460" s="72">
        <f t="shared" si="16"/>
        <v>190420.08999999933</v>
      </c>
    </row>
    <row r="461" spans="1:11" ht="15" hidden="1">
      <c r="A461" s="54" t="str">
        <f>D461&amp;E461&amp;F461</f>
        <v>FINANZASRENTASE9</v>
      </c>
      <c r="B461" t="s">
        <v>2565</v>
      </c>
      <c r="C461" s="1">
        <v>45979</v>
      </c>
      <c r="D461" t="s">
        <v>23</v>
      </c>
      <c r="E461" t="s">
        <v>169</v>
      </c>
      <c r="F461" s="146" t="s">
        <v>116</v>
      </c>
      <c r="G461" s="146"/>
      <c r="H461" t="s">
        <v>4295</v>
      </c>
      <c r="I461" s="158"/>
      <c r="J461" s="158">
        <v>17845.439999999999</v>
      </c>
      <c r="K461" s="72">
        <f t="shared" si="16"/>
        <v>172574.64999999932</v>
      </c>
    </row>
    <row r="462" spans="1:11" ht="15" hidden="1">
      <c r="A462" s="54" t="str">
        <f>D462&amp;E462&amp;F462</f>
        <v/>
      </c>
      <c r="B462" t="s">
        <v>2565</v>
      </c>
      <c r="C462" s="1">
        <v>45985</v>
      </c>
      <c r="F462" s="146"/>
      <c r="G462" s="146"/>
      <c r="H462" t="s">
        <v>3452</v>
      </c>
      <c r="I462" s="158">
        <v>500000</v>
      </c>
      <c r="J462" s="158"/>
      <c r="K462" s="72">
        <f t="shared" si="16"/>
        <v>672574.64999999932</v>
      </c>
    </row>
    <row r="463" spans="1:11" s="465" customFormat="1" ht="15" hidden="1">
      <c r="A463" s="54" t="str">
        <f>D463&amp;E463&amp;F463</f>
        <v>FINANZASRENTASA10</v>
      </c>
      <c r="B463" s="465" t="s">
        <v>2565</v>
      </c>
      <c r="C463" s="467">
        <v>45985</v>
      </c>
      <c r="D463" s="465" t="s">
        <v>23</v>
      </c>
      <c r="E463" s="465" t="s">
        <v>169</v>
      </c>
      <c r="F463" s="466" t="s">
        <v>96</v>
      </c>
      <c r="G463" s="466"/>
      <c r="H463" s="465" t="s">
        <v>4120</v>
      </c>
      <c r="I463" s="468"/>
      <c r="J463" s="468">
        <v>47878.31</v>
      </c>
      <c r="K463" s="72">
        <f t="shared" si="16"/>
        <v>624696.33999999939</v>
      </c>
    </row>
    <row r="464" spans="1:11" s="465" customFormat="1" ht="15" hidden="1">
      <c r="A464" s="54" t="str">
        <f>D464&amp;E464&amp;F464</f>
        <v>FINANZASRENTASE5</v>
      </c>
      <c r="B464" s="465" t="s">
        <v>2565</v>
      </c>
      <c r="C464" s="467">
        <v>45985</v>
      </c>
      <c r="D464" s="465" t="s">
        <v>23</v>
      </c>
      <c r="E464" s="465" t="s">
        <v>169</v>
      </c>
      <c r="F464" s="466" t="s">
        <v>111</v>
      </c>
      <c r="G464" s="466"/>
      <c r="H464" s="465" t="s">
        <v>4121</v>
      </c>
      <c r="I464" s="468"/>
      <c r="J464" s="468">
        <v>41225.25</v>
      </c>
      <c r="K464" s="72">
        <f t="shared" si="16"/>
        <v>583471.08999999939</v>
      </c>
    </row>
    <row r="465" spans="1:11" s="465" customFormat="1" ht="15" hidden="1">
      <c r="A465" s="54" t="str">
        <f>D465&amp;E465&amp;F465</f>
        <v>FINANZASRENTASE4</v>
      </c>
      <c r="B465" s="465" t="s">
        <v>2565</v>
      </c>
      <c r="C465" s="467">
        <v>45985</v>
      </c>
      <c r="D465" s="465" t="s">
        <v>23</v>
      </c>
      <c r="E465" s="465" t="s">
        <v>169</v>
      </c>
      <c r="F465" s="466" t="s">
        <v>110</v>
      </c>
      <c r="G465" s="466"/>
      <c r="H465" s="465" t="s">
        <v>4118</v>
      </c>
      <c r="I465" s="468"/>
      <c r="J465" s="468">
        <v>82807.3</v>
      </c>
      <c r="K465" s="72">
        <f t="shared" si="16"/>
        <v>500663.7899999994</v>
      </c>
    </row>
    <row r="466" spans="1:11" s="465" customFormat="1" ht="15" hidden="1">
      <c r="A466" s="54" t="str">
        <f>D466&amp;E466&amp;F466</f>
        <v>FINANZASRENTASA8</v>
      </c>
      <c r="B466" s="465" t="s">
        <v>2565</v>
      </c>
      <c r="C466" s="467">
        <v>45985</v>
      </c>
      <c r="D466" s="465" t="s">
        <v>23</v>
      </c>
      <c r="E466" s="465" t="s">
        <v>169</v>
      </c>
      <c r="F466" s="466" t="s">
        <v>94</v>
      </c>
      <c r="G466" s="466"/>
      <c r="H466" s="465" t="s">
        <v>4058</v>
      </c>
      <c r="I466" s="468"/>
      <c r="J466" s="468">
        <v>83706.100000000006</v>
      </c>
      <c r="K466" s="72">
        <f t="shared" si="16"/>
        <v>416957.68999999936</v>
      </c>
    </row>
    <row r="467" spans="1:11" s="465" customFormat="1" ht="15" hidden="1">
      <c r="A467" s="54" t="str">
        <f>D467&amp;E467&amp;F467</f>
        <v>FINANZASRENTASA22</v>
      </c>
      <c r="B467" s="465" t="s">
        <v>2565</v>
      </c>
      <c r="C467" s="467">
        <v>45985</v>
      </c>
      <c r="D467" s="465" t="s">
        <v>23</v>
      </c>
      <c r="E467" s="465" t="s">
        <v>169</v>
      </c>
      <c r="F467" s="466" t="s">
        <v>104</v>
      </c>
      <c r="G467" s="466"/>
      <c r="H467" s="465" t="s">
        <v>4100</v>
      </c>
      <c r="I467" s="468"/>
      <c r="J467" s="468">
        <v>44544.58</v>
      </c>
      <c r="K467" s="72">
        <f t="shared" si="16"/>
        <v>372413.10999999935</v>
      </c>
    </row>
    <row r="468" spans="1:11" s="465" customFormat="1" ht="15" hidden="1">
      <c r="A468" s="54" t="str">
        <f>D468&amp;E468&amp;F468</f>
        <v>FINANZASRENTASA24</v>
      </c>
      <c r="B468" s="465" t="s">
        <v>2565</v>
      </c>
      <c r="C468" s="467">
        <v>45985</v>
      </c>
      <c r="D468" s="465" t="s">
        <v>23</v>
      </c>
      <c r="E468" s="465" t="s">
        <v>169</v>
      </c>
      <c r="F468" s="466" t="s">
        <v>106</v>
      </c>
      <c r="G468" s="466"/>
      <c r="H468" s="465" t="s">
        <v>4296</v>
      </c>
      <c r="I468" s="468"/>
      <c r="J468" s="468">
        <v>81319.3</v>
      </c>
      <c r="K468" s="72">
        <f t="shared" si="16"/>
        <v>291093.80999999936</v>
      </c>
    </row>
    <row r="469" spans="1:11" s="465" customFormat="1" ht="15" hidden="1">
      <c r="A469" s="54" t="str">
        <f>D469&amp;E469&amp;F469</f>
        <v>FINANZASRENTASA17</v>
      </c>
      <c r="B469" s="465" t="s">
        <v>2565</v>
      </c>
      <c r="C469" s="467">
        <v>45985</v>
      </c>
      <c r="D469" s="465" t="s">
        <v>23</v>
      </c>
      <c r="E469" s="465" t="s">
        <v>169</v>
      </c>
      <c r="F469" s="466" t="s">
        <v>102</v>
      </c>
      <c r="G469" s="466"/>
      <c r="H469" s="465" t="s">
        <v>4110</v>
      </c>
      <c r="I469" s="468"/>
      <c r="J469" s="468">
        <v>76326.960000000006</v>
      </c>
      <c r="K469" s="72">
        <f t="shared" si="16"/>
        <v>214766.84999999934</v>
      </c>
    </row>
    <row r="470" spans="1:11" s="465" customFormat="1" ht="15" hidden="1">
      <c r="A470" s="54" t="str">
        <f>D470&amp;E470&amp;F470</f>
        <v>FINANZASRENTASA3</v>
      </c>
      <c r="B470" s="465" t="s">
        <v>2565</v>
      </c>
      <c r="C470" s="467">
        <v>45985</v>
      </c>
      <c r="D470" s="465" t="s">
        <v>23</v>
      </c>
      <c r="E470" s="465" t="s">
        <v>169</v>
      </c>
      <c r="F470" s="466" t="s">
        <v>90</v>
      </c>
      <c r="G470" s="466"/>
      <c r="H470" s="465" t="s">
        <v>4122</v>
      </c>
      <c r="I470" s="468"/>
      <c r="J470" s="468">
        <v>58145.99</v>
      </c>
      <c r="K470" s="72">
        <f t="shared" si="16"/>
        <v>156620.85999999935</v>
      </c>
    </row>
    <row r="471" spans="1:11" s="465" customFormat="1" ht="15" hidden="1">
      <c r="A471" s="54" t="str">
        <f>D471&amp;E471&amp;F471</f>
        <v>FINANZASRENTASA4</v>
      </c>
      <c r="B471" s="465" t="s">
        <v>2565</v>
      </c>
      <c r="C471" s="467">
        <v>45985</v>
      </c>
      <c r="D471" s="465" t="s">
        <v>23</v>
      </c>
      <c r="E471" s="465" t="s">
        <v>169</v>
      </c>
      <c r="F471" s="466" t="s">
        <v>91</v>
      </c>
      <c r="G471" s="466"/>
      <c r="H471" s="465" t="s">
        <v>4123</v>
      </c>
      <c r="I471" s="468"/>
      <c r="J471" s="468">
        <v>32800</v>
      </c>
      <c r="K471" s="469">
        <f t="shared" ref="K471:K528" si="17">K470+I471-J471</f>
        <v>123820.85999999935</v>
      </c>
    </row>
    <row r="472" spans="1:11" s="465" customFormat="1" ht="15" hidden="1">
      <c r="A472" s="54" t="str">
        <f>D472&amp;E472&amp;F472</f>
        <v>FINANZASRENTASE6</v>
      </c>
      <c r="B472" s="465" t="s">
        <v>2565</v>
      </c>
      <c r="C472" s="467">
        <v>45985</v>
      </c>
      <c r="D472" s="465" t="s">
        <v>23</v>
      </c>
      <c r="E472" s="465" t="s">
        <v>169</v>
      </c>
      <c r="F472" s="466" t="s">
        <v>112</v>
      </c>
      <c r="G472" s="466"/>
      <c r="H472" s="465" t="s">
        <v>4112</v>
      </c>
      <c r="I472" s="468"/>
      <c r="J472" s="468">
        <v>4080</v>
      </c>
      <c r="K472" s="469">
        <f t="shared" si="17"/>
        <v>119740.85999999935</v>
      </c>
    </row>
    <row r="473" spans="1:11" ht="15" hidden="1">
      <c r="A473" s="54" t="str">
        <f>D473&amp;E473&amp;F473</f>
        <v/>
      </c>
      <c r="B473" t="s">
        <v>2565</v>
      </c>
      <c r="C473" s="1">
        <v>45986</v>
      </c>
      <c r="F473" s="146"/>
      <c r="G473" s="146"/>
      <c r="H473" t="s">
        <v>3452</v>
      </c>
      <c r="I473" s="158">
        <v>100000</v>
      </c>
      <c r="J473" s="158"/>
      <c r="K473" s="469">
        <f t="shared" si="17"/>
        <v>219740.85999999935</v>
      </c>
    </row>
    <row r="474" spans="1:11" ht="15" hidden="1">
      <c r="A474" s="54" t="str">
        <f>D474&amp;E474&amp;F474</f>
        <v>FINANZASRENTASA2</v>
      </c>
      <c r="B474" t="s">
        <v>2565</v>
      </c>
      <c r="C474" s="1">
        <v>45987</v>
      </c>
      <c r="D474" t="s">
        <v>23</v>
      </c>
      <c r="E474" t="s">
        <v>169</v>
      </c>
      <c r="F474" s="146" t="s">
        <v>89</v>
      </c>
      <c r="G474" s="146"/>
      <c r="H474" t="s">
        <v>4297</v>
      </c>
      <c r="I474" s="158"/>
      <c r="J474" s="158">
        <v>30600</v>
      </c>
      <c r="K474" s="469">
        <f t="shared" si="17"/>
        <v>189140.85999999935</v>
      </c>
    </row>
    <row r="475" spans="1:11" ht="15" hidden="1">
      <c r="A475" s="54" t="str">
        <f>D475&amp;E475&amp;F475</f>
        <v>FINANZASRENTASA9</v>
      </c>
      <c r="B475" t="s">
        <v>2565</v>
      </c>
      <c r="C475" s="1">
        <v>45987</v>
      </c>
      <c r="D475" t="s">
        <v>23</v>
      </c>
      <c r="E475" t="s">
        <v>169</v>
      </c>
      <c r="F475" s="146" t="s">
        <v>95</v>
      </c>
      <c r="G475" s="146"/>
      <c r="H475" t="s">
        <v>4298</v>
      </c>
      <c r="I475" s="158"/>
      <c r="J475" s="158">
        <v>23193.68</v>
      </c>
      <c r="K475" s="469">
        <f t="shared" si="17"/>
        <v>165947.17999999935</v>
      </c>
    </row>
    <row r="476" spans="1:11" ht="15" hidden="1">
      <c r="A476" s="54" t="str">
        <f>D476&amp;E476&amp;F476</f>
        <v>FINANZASRENTASA1</v>
      </c>
      <c r="B476" t="s">
        <v>2565</v>
      </c>
      <c r="C476" s="1">
        <v>45987</v>
      </c>
      <c r="D476" t="s">
        <v>23</v>
      </c>
      <c r="E476" t="s">
        <v>169</v>
      </c>
      <c r="F476" s="146" t="s">
        <v>88</v>
      </c>
      <c r="G476" s="146"/>
      <c r="H476" t="s">
        <v>4299</v>
      </c>
      <c r="I476" s="158"/>
      <c r="J476" s="158">
        <v>34789.440000000002</v>
      </c>
      <c r="K476" s="469">
        <f t="shared" si="17"/>
        <v>131157.73999999935</v>
      </c>
    </row>
    <row r="477" spans="1:11" ht="15" hidden="1">
      <c r="A477" s="54" t="str">
        <f>D477&amp;E477&amp;F477</f>
        <v>FINANZASRENTASA5</v>
      </c>
      <c r="B477" t="s">
        <v>2565</v>
      </c>
      <c r="C477" s="1">
        <v>45987</v>
      </c>
      <c r="D477" t="s">
        <v>23</v>
      </c>
      <c r="E477" t="s">
        <v>169</v>
      </c>
      <c r="F477" s="146" t="s">
        <v>92</v>
      </c>
      <c r="G477" s="146"/>
      <c r="H477" t="s">
        <v>4300</v>
      </c>
      <c r="I477" s="158"/>
      <c r="J477" s="158">
        <v>52184.160000000003</v>
      </c>
      <c r="K477" s="469">
        <f t="shared" si="17"/>
        <v>78973.579999999347</v>
      </c>
    </row>
    <row r="478" spans="1:11" ht="15" hidden="1">
      <c r="A478" s="54" t="str">
        <f>D478&amp;E478&amp;F478</f>
        <v>FINANZASRENTASA5</v>
      </c>
      <c r="B478" t="s">
        <v>2565</v>
      </c>
      <c r="C478" s="1">
        <v>45987</v>
      </c>
      <c r="D478" t="s">
        <v>23</v>
      </c>
      <c r="E478" t="s">
        <v>169</v>
      </c>
      <c r="F478" s="146" t="s">
        <v>92</v>
      </c>
      <c r="G478" s="146"/>
      <c r="H478" t="s">
        <v>4301</v>
      </c>
      <c r="I478" s="158"/>
      <c r="J478" s="158">
        <v>52184.160000000003</v>
      </c>
      <c r="K478" s="469">
        <f t="shared" si="17"/>
        <v>26789.419999999343</v>
      </c>
    </row>
    <row r="479" spans="1:11" ht="15" hidden="1">
      <c r="A479" s="54" t="str">
        <f>D479&amp;E479&amp;F479</f>
        <v>FINANZASRENTASA2</v>
      </c>
      <c r="B479" t="s">
        <v>2565</v>
      </c>
      <c r="C479" s="1">
        <v>45987</v>
      </c>
      <c r="D479" t="s">
        <v>23</v>
      </c>
      <c r="E479" t="s">
        <v>169</v>
      </c>
      <c r="F479" s="146" t="s">
        <v>89</v>
      </c>
      <c r="G479" s="146"/>
      <c r="H479" t="s">
        <v>4302</v>
      </c>
      <c r="I479" s="158"/>
      <c r="J479" s="158">
        <v>28068.04</v>
      </c>
      <c r="K479" s="469">
        <f t="shared" si="17"/>
        <v>-1278.6200000006575</v>
      </c>
    </row>
    <row r="480" spans="1:11" ht="15" hidden="1">
      <c r="A480" s="54" t="str">
        <f>D480&amp;E480&amp;F480</f>
        <v>FINANZASRENTASA4</v>
      </c>
      <c r="B480" t="s">
        <v>2565</v>
      </c>
      <c r="C480" s="1">
        <v>45987</v>
      </c>
      <c r="D480" t="s">
        <v>23</v>
      </c>
      <c r="E480" t="s">
        <v>169</v>
      </c>
      <c r="F480" s="146" t="s">
        <v>91</v>
      </c>
      <c r="G480" s="146"/>
      <c r="H480" t="s">
        <v>4303</v>
      </c>
      <c r="I480" s="158"/>
      <c r="J480" s="158">
        <v>15000</v>
      </c>
      <c r="K480" s="469">
        <f t="shared" si="17"/>
        <v>-16278.620000000657</v>
      </c>
    </row>
    <row r="481" spans="1:11" ht="15" hidden="1">
      <c r="A481" s="54" t="str">
        <f>D481&amp;E481&amp;F481</f>
        <v>FINANZASRENTASA15</v>
      </c>
      <c r="B481" t="s">
        <v>2565</v>
      </c>
      <c r="C481" s="1">
        <v>45987</v>
      </c>
      <c r="D481" t="s">
        <v>23</v>
      </c>
      <c r="E481" t="s">
        <v>169</v>
      </c>
      <c r="F481" s="146" t="s">
        <v>100</v>
      </c>
      <c r="G481" s="146"/>
      <c r="H481" t="s">
        <v>4304</v>
      </c>
      <c r="I481" s="158"/>
      <c r="J481" s="158">
        <v>21354</v>
      </c>
      <c r="K481" s="469">
        <f t="shared" si="17"/>
        <v>-37632.620000000657</v>
      </c>
    </row>
    <row r="482" spans="1:11" ht="15">
      <c r="A482" s="54" t="str">
        <f>D482&amp;E482&amp;F482</f>
        <v/>
      </c>
      <c r="B482" t="s">
        <v>2821</v>
      </c>
      <c r="C482" s="1">
        <v>45992</v>
      </c>
      <c r="F482" s="146"/>
      <c r="G482" s="146"/>
      <c r="H482" t="s">
        <v>3472</v>
      </c>
      <c r="I482" s="158">
        <v>300000</v>
      </c>
      <c r="J482" s="158"/>
      <c r="K482" s="485">
        <f t="shared" si="17"/>
        <v>262367.37999999936</v>
      </c>
    </row>
    <row r="483" spans="1:11" ht="15">
      <c r="A483" s="54" t="str">
        <f>D483&amp;E483&amp;F483</f>
        <v>FINANZASRENTASA10</v>
      </c>
      <c r="B483" t="s">
        <v>2821</v>
      </c>
      <c r="C483" s="1">
        <v>45993</v>
      </c>
      <c r="D483" t="s">
        <v>23</v>
      </c>
      <c r="E483" t="s">
        <v>169</v>
      </c>
      <c r="F483" s="146" t="s">
        <v>96</v>
      </c>
      <c r="G483" s="146"/>
      <c r="H483" t="s">
        <v>4305</v>
      </c>
      <c r="I483" s="158"/>
      <c r="J483" s="158">
        <v>31000</v>
      </c>
      <c r="K483" s="485">
        <f t="shared" si="17"/>
        <v>231367.37999999936</v>
      </c>
    </row>
    <row r="484" spans="1:11" ht="15">
      <c r="A484" s="54" t="str">
        <f t="shared" ref="A484:A485" si="18">D484&amp;E484&amp;F484</f>
        <v>FINANZASRENTASE2</v>
      </c>
      <c r="B484" t="s">
        <v>2821</v>
      </c>
      <c r="C484" s="1">
        <v>45995</v>
      </c>
      <c r="D484" t="s">
        <v>23</v>
      </c>
      <c r="E484" t="s">
        <v>169</v>
      </c>
      <c r="F484" s="146" t="s">
        <v>108</v>
      </c>
      <c r="G484" s="146"/>
      <c r="H484" t="s">
        <v>4213</v>
      </c>
      <c r="I484" s="158"/>
      <c r="J484" s="158">
        <v>134130.88</v>
      </c>
      <c r="K484" s="485">
        <f t="shared" si="17"/>
        <v>97236.49999999936</v>
      </c>
    </row>
    <row r="485" spans="1:11" ht="15">
      <c r="A485" s="54" t="str">
        <f t="shared" si="18"/>
        <v>FINANZASRENTASA15</v>
      </c>
      <c r="B485" t="s">
        <v>2821</v>
      </c>
      <c r="C485" s="1">
        <v>45995</v>
      </c>
      <c r="D485" t="s">
        <v>23</v>
      </c>
      <c r="E485" t="s">
        <v>169</v>
      </c>
      <c r="F485" s="146" t="s">
        <v>100</v>
      </c>
      <c r="G485" s="146"/>
      <c r="H485" t="s">
        <v>4304</v>
      </c>
      <c r="I485" s="158"/>
      <c r="J485" s="158">
        <v>3240</v>
      </c>
      <c r="K485" s="485">
        <f t="shared" si="17"/>
        <v>93996.49999999936</v>
      </c>
    </row>
    <row r="486" spans="1:11" ht="15">
      <c r="A486" s="54" t="str">
        <f>D486&amp;E486&amp;F486</f>
        <v/>
      </c>
      <c r="B486" t="s">
        <v>2821</v>
      </c>
      <c r="C486" s="1">
        <v>45996</v>
      </c>
      <c r="F486" s="146"/>
      <c r="G486" s="146"/>
      <c r="H486" t="s">
        <v>3452</v>
      </c>
      <c r="I486" s="158">
        <v>400000</v>
      </c>
      <c r="J486" s="158"/>
      <c r="K486" s="485">
        <f t="shared" si="17"/>
        <v>493996.49999999936</v>
      </c>
    </row>
    <row r="487" spans="1:11" ht="15">
      <c r="A487" s="54" t="str">
        <f>D487&amp;E487&amp;F487</f>
        <v/>
      </c>
      <c r="B487" t="s">
        <v>2821</v>
      </c>
      <c r="C487" s="1">
        <v>45999</v>
      </c>
      <c r="F487" s="146"/>
      <c r="G487" s="146"/>
      <c r="H487" t="s">
        <v>3472</v>
      </c>
      <c r="I487" s="158">
        <v>1000000</v>
      </c>
      <c r="J487" s="158"/>
      <c r="K487" s="485">
        <f t="shared" si="17"/>
        <v>1493996.4999999993</v>
      </c>
    </row>
    <row r="488" spans="1:11" ht="15">
      <c r="A488" s="54" t="str">
        <f t="shared" ref="A488:A511" si="19">D488&amp;E488&amp;F488</f>
        <v>FINANZASRENTASA10</v>
      </c>
      <c r="B488" t="s">
        <v>2821</v>
      </c>
      <c r="C488" s="1">
        <v>45999</v>
      </c>
      <c r="D488" t="s">
        <v>23</v>
      </c>
      <c r="E488" t="s">
        <v>169</v>
      </c>
      <c r="F488" s="146" t="s">
        <v>96</v>
      </c>
      <c r="G488" s="146"/>
      <c r="H488" t="s">
        <v>4306</v>
      </c>
      <c r="I488" s="158"/>
      <c r="J488" s="158">
        <v>31225</v>
      </c>
      <c r="K488" s="485">
        <f t="shared" si="17"/>
        <v>1462771.4999999993</v>
      </c>
    </row>
    <row r="489" spans="1:11" ht="15">
      <c r="A489" s="54" t="str">
        <f t="shared" si="19"/>
        <v>FINANZASRENTASA10</v>
      </c>
      <c r="B489" t="s">
        <v>2821</v>
      </c>
      <c r="C489" s="1">
        <v>45999</v>
      </c>
      <c r="D489" t="s">
        <v>23</v>
      </c>
      <c r="E489" t="s">
        <v>169</v>
      </c>
      <c r="F489" s="146" t="s">
        <v>96</v>
      </c>
      <c r="G489" s="146"/>
      <c r="H489" t="s">
        <v>4306</v>
      </c>
      <c r="I489" s="158"/>
      <c r="J489" s="158">
        <v>45796.65</v>
      </c>
      <c r="K489" s="485">
        <f t="shared" si="17"/>
        <v>1416974.8499999994</v>
      </c>
    </row>
    <row r="490" spans="1:11" ht="15">
      <c r="A490" s="54" t="str">
        <f t="shared" si="19"/>
        <v>FINANZASRENTASA12</v>
      </c>
      <c r="B490" t="s">
        <v>2821</v>
      </c>
      <c r="C490" s="1">
        <v>45999</v>
      </c>
      <c r="D490" t="s">
        <v>23</v>
      </c>
      <c r="E490" t="s">
        <v>169</v>
      </c>
      <c r="F490" s="146" t="s">
        <v>98</v>
      </c>
      <c r="G490" s="146"/>
      <c r="H490" t="s">
        <v>4307</v>
      </c>
      <c r="I490" s="158"/>
      <c r="J490" s="158">
        <v>142971.10999999999</v>
      </c>
      <c r="K490" s="485">
        <f t="shared" si="17"/>
        <v>1274003.7399999993</v>
      </c>
    </row>
    <row r="491" spans="1:11" ht="15">
      <c r="A491" s="54" t="str">
        <f t="shared" si="19"/>
        <v>FINANZASRENTASA18</v>
      </c>
      <c r="B491" t="s">
        <v>2821</v>
      </c>
      <c r="C491" s="1">
        <v>45999</v>
      </c>
      <c r="D491" t="s">
        <v>23</v>
      </c>
      <c r="E491" t="s">
        <v>169</v>
      </c>
      <c r="F491" s="146" t="s">
        <v>103</v>
      </c>
      <c r="G491" s="146"/>
      <c r="H491" t="s">
        <v>4308</v>
      </c>
      <c r="I491" s="158"/>
      <c r="J491" s="158">
        <v>88160</v>
      </c>
      <c r="K491" s="485">
        <f t="shared" si="17"/>
        <v>1185843.7399999993</v>
      </c>
    </row>
    <row r="492" spans="1:11" ht="15">
      <c r="A492" s="54" t="str">
        <f t="shared" si="19"/>
        <v>FINANZASRENTASA8</v>
      </c>
      <c r="B492" t="s">
        <v>2821</v>
      </c>
      <c r="C492" s="1">
        <v>45999</v>
      </c>
      <c r="D492" t="s">
        <v>23</v>
      </c>
      <c r="E492" t="s">
        <v>169</v>
      </c>
      <c r="F492" s="146" t="s">
        <v>94</v>
      </c>
      <c r="G492" s="146"/>
      <c r="H492" t="s">
        <v>4309</v>
      </c>
      <c r="I492" s="158"/>
      <c r="J492" s="158">
        <v>83706.100000000006</v>
      </c>
      <c r="K492" s="485">
        <f t="shared" si="17"/>
        <v>1102137.6399999992</v>
      </c>
    </row>
    <row r="493" spans="1:11" ht="15">
      <c r="A493" s="54" t="str">
        <f t="shared" si="19"/>
        <v>FINANZASRENTASA8</v>
      </c>
      <c r="B493" t="s">
        <v>2821</v>
      </c>
      <c r="C493" s="1">
        <v>45999</v>
      </c>
      <c r="D493" t="s">
        <v>23</v>
      </c>
      <c r="E493" t="s">
        <v>169</v>
      </c>
      <c r="F493" s="146" t="s">
        <v>94</v>
      </c>
      <c r="G493" s="146"/>
      <c r="H493" t="s">
        <v>4310</v>
      </c>
      <c r="I493" s="158"/>
      <c r="J493" s="158">
        <f>2244.36+2244.36</f>
        <v>4488.72</v>
      </c>
      <c r="K493" s="485">
        <f t="shared" si="17"/>
        <v>1097648.9199999992</v>
      </c>
    </row>
    <row r="494" spans="1:11" ht="15">
      <c r="A494" s="54" t="str">
        <f t="shared" si="19"/>
        <v>FINANZASRENTASA6</v>
      </c>
      <c r="B494" t="s">
        <v>2821</v>
      </c>
      <c r="C494" s="1">
        <v>45999</v>
      </c>
      <c r="D494" t="s">
        <v>23</v>
      </c>
      <c r="E494" t="s">
        <v>169</v>
      </c>
      <c r="F494" s="146" t="s">
        <v>93</v>
      </c>
      <c r="G494" s="146"/>
      <c r="H494" t="s">
        <v>4311</v>
      </c>
      <c r="I494" s="158"/>
      <c r="J494" s="158">
        <v>24000</v>
      </c>
      <c r="K494" s="485">
        <f t="shared" si="17"/>
        <v>1073648.9199999992</v>
      </c>
    </row>
    <row r="495" spans="1:11" ht="15">
      <c r="A495" s="54" t="str">
        <f t="shared" si="19"/>
        <v>FINANZASRENTASA23</v>
      </c>
      <c r="B495" t="s">
        <v>2821</v>
      </c>
      <c r="C495" s="1">
        <v>45999</v>
      </c>
      <c r="D495" t="s">
        <v>23</v>
      </c>
      <c r="E495" t="s">
        <v>169</v>
      </c>
      <c r="F495" s="146" t="s">
        <v>105</v>
      </c>
      <c r="G495" s="146"/>
      <c r="H495" t="s">
        <v>4312</v>
      </c>
      <c r="I495" s="158"/>
      <c r="J495" s="158">
        <v>10282.36</v>
      </c>
      <c r="K495" s="485">
        <f t="shared" si="17"/>
        <v>1063366.5599999991</v>
      </c>
    </row>
    <row r="496" spans="1:11" ht="15">
      <c r="A496" s="54" t="str">
        <f t="shared" si="19"/>
        <v>FINANZASRENTASA22</v>
      </c>
      <c r="B496" t="s">
        <v>2821</v>
      </c>
      <c r="C496" s="1">
        <v>45999</v>
      </c>
      <c r="D496" t="s">
        <v>23</v>
      </c>
      <c r="E496" t="s">
        <v>169</v>
      </c>
      <c r="F496" s="146" t="s">
        <v>104</v>
      </c>
      <c r="G496" s="146"/>
      <c r="H496" t="s">
        <v>4313</v>
      </c>
      <c r="I496" s="158"/>
      <c r="J496" s="158">
        <v>44544.58</v>
      </c>
      <c r="K496" s="485">
        <f t="shared" si="17"/>
        <v>1018821.9799999992</v>
      </c>
    </row>
    <row r="497" spans="1:11" ht="15">
      <c r="A497" s="54" t="str">
        <f t="shared" si="19"/>
        <v>FINANZASRENTASA24</v>
      </c>
      <c r="B497" t="s">
        <v>2821</v>
      </c>
      <c r="C497" s="1">
        <v>45999</v>
      </c>
      <c r="D497" t="s">
        <v>23</v>
      </c>
      <c r="E497" t="s">
        <v>169</v>
      </c>
      <c r="F497" s="146" t="s">
        <v>106</v>
      </c>
      <c r="G497" s="146"/>
      <c r="H497" t="s">
        <v>4314</v>
      </c>
      <c r="I497" s="158"/>
      <c r="J497" s="158">
        <v>81319.3</v>
      </c>
      <c r="K497" s="485">
        <f t="shared" si="17"/>
        <v>937502.67999999912</v>
      </c>
    </row>
    <row r="498" spans="1:11" ht="15">
      <c r="A498" s="54" t="str">
        <f t="shared" si="19"/>
        <v>FINANZASRENTASA15</v>
      </c>
      <c r="B498" t="s">
        <v>2821</v>
      </c>
      <c r="C498" s="1">
        <v>45999</v>
      </c>
      <c r="D498" t="s">
        <v>23</v>
      </c>
      <c r="E498" t="s">
        <v>169</v>
      </c>
      <c r="F498" s="146" t="s">
        <v>100</v>
      </c>
      <c r="G498" s="146"/>
      <c r="H498" t="s">
        <v>4315</v>
      </c>
      <c r="I498" s="158"/>
      <c r="J498" s="158">
        <v>3240</v>
      </c>
      <c r="K498" s="485">
        <f t="shared" si="17"/>
        <v>934262.67999999912</v>
      </c>
    </row>
    <row r="499" spans="1:11" ht="15">
      <c r="A499" s="54" t="str">
        <f t="shared" si="19"/>
        <v>FINANZASRENTASA14</v>
      </c>
      <c r="B499" t="s">
        <v>2821</v>
      </c>
      <c r="C499" s="1">
        <v>45999</v>
      </c>
      <c r="D499" t="s">
        <v>23</v>
      </c>
      <c r="E499" t="s">
        <v>169</v>
      </c>
      <c r="F499" s="146" t="s">
        <v>99</v>
      </c>
      <c r="G499" s="146"/>
      <c r="H499" t="s">
        <v>4316</v>
      </c>
      <c r="I499" s="158"/>
      <c r="J499" s="158">
        <v>54288</v>
      </c>
      <c r="K499" s="485">
        <f t="shared" si="17"/>
        <v>879974.67999999912</v>
      </c>
    </row>
    <row r="500" spans="1:11" ht="15">
      <c r="A500" s="54" t="str">
        <f t="shared" si="19"/>
        <v>FINANZASRENTASA17</v>
      </c>
      <c r="B500" t="s">
        <v>2821</v>
      </c>
      <c r="C500" s="1">
        <v>45999</v>
      </c>
      <c r="D500" t="s">
        <v>23</v>
      </c>
      <c r="E500" t="s">
        <v>169</v>
      </c>
      <c r="F500" s="146" t="s">
        <v>102</v>
      </c>
      <c r="G500" s="146"/>
      <c r="H500" t="s">
        <v>4317</v>
      </c>
      <c r="I500" s="158"/>
      <c r="J500" s="158">
        <v>76326.960000000006</v>
      </c>
      <c r="K500" s="485">
        <f t="shared" si="17"/>
        <v>803647.71999999916</v>
      </c>
    </row>
    <row r="501" spans="1:11" ht="15">
      <c r="A501" s="54" t="str">
        <f t="shared" si="19"/>
        <v>FINANZASRENTASA3</v>
      </c>
      <c r="B501" t="s">
        <v>2821</v>
      </c>
      <c r="C501" s="1">
        <v>45999</v>
      </c>
      <c r="D501" t="s">
        <v>23</v>
      </c>
      <c r="E501" t="s">
        <v>169</v>
      </c>
      <c r="F501" s="146" t="s">
        <v>90</v>
      </c>
      <c r="G501" s="146"/>
      <c r="H501" t="s">
        <v>4318</v>
      </c>
      <c r="I501" s="158"/>
      <c r="J501" s="158">
        <v>58148.99</v>
      </c>
      <c r="K501" s="485">
        <f t="shared" si="17"/>
        <v>745498.72999999917</v>
      </c>
    </row>
    <row r="502" spans="1:11" ht="15">
      <c r="A502" s="54" t="str">
        <f t="shared" si="19"/>
        <v>FINANZASRENTASA4</v>
      </c>
      <c r="B502" t="s">
        <v>2821</v>
      </c>
      <c r="C502" s="1">
        <v>46000</v>
      </c>
      <c r="D502" t="s">
        <v>23</v>
      </c>
      <c r="E502" t="s">
        <v>169</v>
      </c>
      <c r="F502" s="146" t="s">
        <v>91</v>
      </c>
      <c r="G502" s="146"/>
      <c r="H502" t="s">
        <v>4319</v>
      </c>
      <c r="I502" s="158"/>
      <c r="J502" s="158">
        <v>32800</v>
      </c>
      <c r="K502" s="485">
        <f t="shared" si="17"/>
        <v>712698.72999999917</v>
      </c>
    </row>
    <row r="503" spans="1:11" ht="15">
      <c r="A503" s="54" t="str">
        <f t="shared" si="19"/>
        <v>FINANZASRENTASE5</v>
      </c>
      <c r="B503" t="s">
        <v>2821</v>
      </c>
      <c r="C503" s="1">
        <v>46000</v>
      </c>
      <c r="D503" t="s">
        <v>23</v>
      </c>
      <c r="E503" t="s">
        <v>169</v>
      </c>
      <c r="F503" s="146" t="s">
        <v>111</v>
      </c>
      <c r="G503" s="146"/>
      <c r="H503" t="s">
        <v>4320</v>
      </c>
      <c r="I503" s="158"/>
      <c r="J503" s="158">
        <v>41223.25</v>
      </c>
      <c r="K503" s="485">
        <f t="shared" si="17"/>
        <v>671475.47999999917</v>
      </c>
    </row>
    <row r="504" spans="1:11" ht="15">
      <c r="A504" s="54" t="str">
        <f t="shared" si="19"/>
        <v>FINANZASRENTASE1</v>
      </c>
      <c r="B504" t="s">
        <v>2821</v>
      </c>
      <c r="C504" s="1">
        <v>46000</v>
      </c>
      <c r="D504" t="s">
        <v>23</v>
      </c>
      <c r="E504" t="s">
        <v>169</v>
      </c>
      <c r="F504" s="146" t="s">
        <v>107</v>
      </c>
      <c r="G504" s="146"/>
      <c r="H504" t="s">
        <v>4321</v>
      </c>
      <c r="I504" s="158"/>
      <c r="J504" s="158">
        <v>55560.53</v>
      </c>
      <c r="K504" s="485">
        <f t="shared" si="17"/>
        <v>615914.94999999914</v>
      </c>
    </row>
    <row r="505" spans="1:11" ht="15">
      <c r="A505" s="54" t="str">
        <f t="shared" si="19"/>
        <v>FINANZASRENTASE4</v>
      </c>
      <c r="B505" t="s">
        <v>2821</v>
      </c>
      <c r="C505" s="1">
        <v>46000</v>
      </c>
      <c r="D505" t="s">
        <v>23</v>
      </c>
      <c r="E505" t="s">
        <v>169</v>
      </c>
      <c r="F505" s="146" t="s">
        <v>110</v>
      </c>
      <c r="G505" s="146"/>
      <c r="H505" t="s">
        <v>4149</v>
      </c>
      <c r="I505" s="158"/>
      <c r="J505" s="158">
        <v>88224.6</v>
      </c>
      <c r="K505" s="485">
        <f t="shared" si="17"/>
        <v>527690.34999999916</v>
      </c>
    </row>
    <row r="506" spans="1:11" ht="15">
      <c r="A506" s="54" t="str">
        <f t="shared" si="19"/>
        <v>FINANZASRENTASE8</v>
      </c>
      <c r="B506" t="s">
        <v>2821</v>
      </c>
      <c r="C506" s="1">
        <v>46000</v>
      </c>
      <c r="D506" t="s">
        <v>23</v>
      </c>
      <c r="E506" t="s">
        <v>169</v>
      </c>
      <c r="F506" s="146" t="s">
        <v>114</v>
      </c>
      <c r="G506" s="146"/>
      <c r="H506" t="s">
        <v>4322</v>
      </c>
      <c r="I506" s="158"/>
      <c r="J506" s="158">
        <v>73994</v>
      </c>
      <c r="K506" s="485">
        <f t="shared" si="17"/>
        <v>453696.34999999916</v>
      </c>
    </row>
    <row r="507" spans="1:11" ht="15">
      <c r="A507" s="54" t="str">
        <f t="shared" si="19"/>
        <v>FINANZASRENTASE8</v>
      </c>
      <c r="B507" t="s">
        <v>2821</v>
      </c>
      <c r="C507" s="1">
        <v>46000</v>
      </c>
      <c r="D507" t="s">
        <v>23</v>
      </c>
      <c r="E507" t="s">
        <v>169</v>
      </c>
      <c r="F507" s="146" t="s">
        <v>114</v>
      </c>
      <c r="G507" s="146"/>
      <c r="H507" t="s">
        <v>4323</v>
      </c>
      <c r="I507" s="158"/>
      <c r="J507" s="158">
        <v>16278.82</v>
      </c>
      <c r="K507" s="485">
        <f t="shared" si="17"/>
        <v>437417.52999999915</v>
      </c>
    </row>
    <row r="508" spans="1:11" ht="15">
      <c r="A508" s="54" t="str">
        <f t="shared" si="19"/>
        <v>FINANZASRENTASE6</v>
      </c>
      <c r="B508" t="s">
        <v>2821</v>
      </c>
      <c r="C508" s="1">
        <v>46000</v>
      </c>
      <c r="D508" t="s">
        <v>23</v>
      </c>
      <c r="E508" t="s">
        <v>169</v>
      </c>
      <c r="F508" s="146" t="s">
        <v>112</v>
      </c>
      <c r="G508" s="146"/>
      <c r="H508" t="s">
        <v>4324</v>
      </c>
      <c r="I508" s="158"/>
      <c r="J508" s="158">
        <v>35919.199999999997</v>
      </c>
      <c r="K508" s="485">
        <f t="shared" si="17"/>
        <v>401498.32999999914</v>
      </c>
    </row>
    <row r="509" spans="1:11" ht="15">
      <c r="A509" s="54" t="str">
        <f t="shared" si="19"/>
        <v>FINANZASRENTASE6</v>
      </c>
      <c r="B509" t="s">
        <v>2821</v>
      </c>
      <c r="C509" s="1">
        <v>46000</v>
      </c>
      <c r="D509" t="s">
        <v>23</v>
      </c>
      <c r="E509" t="s">
        <v>169</v>
      </c>
      <c r="F509" s="146" t="s">
        <v>112</v>
      </c>
      <c r="H509" t="s">
        <v>4325</v>
      </c>
      <c r="J509" s="158">
        <v>6700</v>
      </c>
      <c r="K509" s="485">
        <f t="shared" si="17"/>
        <v>394798.32999999914</v>
      </c>
    </row>
    <row r="510" spans="1:11" ht="15">
      <c r="A510" s="54" t="str">
        <f t="shared" si="19"/>
        <v>FINANZASRENTASE9</v>
      </c>
      <c r="B510" t="s">
        <v>2821</v>
      </c>
      <c r="C510" s="1">
        <v>46000</v>
      </c>
      <c r="D510" t="s">
        <v>23</v>
      </c>
      <c r="E510" t="s">
        <v>169</v>
      </c>
      <c r="F510" s="146" t="s">
        <v>116</v>
      </c>
      <c r="H510" t="s">
        <v>4326</v>
      </c>
      <c r="J510" s="158">
        <v>89227.199999999997</v>
      </c>
      <c r="K510" s="485">
        <f t="shared" si="17"/>
        <v>305571.12999999913</v>
      </c>
    </row>
    <row r="511" spans="1:11" ht="15">
      <c r="A511" s="54" t="str">
        <f t="shared" si="19"/>
        <v>FINANZASRENTASE9</v>
      </c>
      <c r="B511" t="s">
        <v>2821</v>
      </c>
      <c r="C511" s="1">
        <v>46000</v>
      </c>
      <c r="D511" t="s">
        <v>23</v>
      </c>
      <c r="E511" t="s">
        <v>169</v>
      </c>
      <c r="F511" s="146" t="s">
        <v>116</v>
      </c>
      <c r="H511" t="s">
        <v>4246</v>
      </c>
      <c r="J511" s="158">
        <v>17845.439999999999</v>
      </c>
      <c r="K511" s="485">
        <f t="shared" si="17"/>
        <v>287725.68999999913</v>
      </c>
    </row>
    <row r="512" spans="1:11" ht="15">
      <c r="A512" s="54" t="str">
        <f>D512&amp;E512&amp;F512</f>
        <v/>
      </c>
      <c r="B512" t="s">
        <v>2821</v>
      </c>
      <c r="C512" s="1">
        <v>46000</v>
      </c>
      <c r="F512" s="146"/>
      <c r="H512" t="s">
        <v>4327</v>
      </c>
      <c r="J512" s="158">
        <v>134277</v>
      </c>
      <c r="K512" s="485">
        <f t="shared" si="17"/>
        <v>153448.68999999913</v>
      </c>
    </row>
    <row r="513" spans="1:11" ht="15">
      <c r="A513" s="54" t="str">
        <f t="shared" ref="A513:A517" si="20">D513&amp;E513&amp;F513</f>
        <v>FINANZASRENTASA22</v>
      </c>
      <c r="B513" t="s">
        <v>2821</v>
      </c>
      <c r="C513" s="1">
        <v>46000</v>
      </c>
      <c r="D513" t="s">
        <v>23</v>
      </c>
      <c r="E513" t="s">
        <v>169</v>
      </c>
      <c r="F513" s="146" t="s">
        <v>104</v>
      </c>
      <c r="H513" s="481" t="s">
        <v>4100</v>
      </c>
      <c r="I513" s="146"/>
      <c r="J513" s="158">
        <v>50000</v>
      </c>
      <c r="K513" s="485">
        <f t="shared" si="17"/>
        <v>103448.68999999913</v>
      </c>
    </row>
    <row r="514" spans="1:11" ht="15">
      <c r="A514" s="54" t="str">
        <f t="shared" si="20"/>
        <v>FINANZASRENTASA15</v>
      </c>
      <c r="B514" t="s">
        <v>2821</v>
      </c>
      <c r="C514" s="1">
        <v>46002</v>
      </c>
      <c r="D514" t="s">
        <v>23</v>
      </c>
      <c r="E514" t="s">
        <v>169</v>
      </c>
      <c r="F514" s="146" t="s">
        <v>100</v>
      </c>
      <c r="H514" s="481" t="s">
        <v>4304</v>
      </c>
      <c r="I514" s="146"/>
      <c r="J514" s="158">
        <v>21354</v>
      </c>
      <c r="K514" s="485">
        <f t="shared" si="17"/>
        <v>82094.689999999129</v>
      </c>
    </row>
    <row r="515" spans="1:11" ht="15">
      <c r="A515" s="54" t="str">
        <f t="shared" si="20"/>
        <v>FINANZASRENTASE4</v>
      </c>
      <c r="B515" t="s">
        <v>2821</v>
      </c>
      <c r="C515" s="1">
        <v>46002</v>
      </c>
      <c r="D515" t="s">
        <v>23</v>
      </c>
      <c r="E515" t="s">
        <v>169</v>
      </c>
      <c r="F515" s="146" t="s">
        <v>110</v>
      </c>
      <c r="H515" s="481" t="s">
        <v>4150</v>
      </c>
      <c r="I515" s="146"/>
      <c r="J515" s="158">
        <v>22159.72</v>
      </c>
      <c r="K515" s="485">
        <f t="shared" si="17"/>
        <v>59934.969999999128</v>
      </c>
    </row>
    <row r="516" spans="1:11" ht="15">
      <c r="A516" s="54" t="str">
        <f t="shared" si="20"/>
        <v>FINANZASRENTASA8</v>
      </c>
      <c r="B516" t="s">
        <v>2821</v>
      </c>
      <c r="C516" s="1">
        <v>46002</v>
      </c>
      <c r="D516" t="s">
        <v>23</v>
      </c>
      <c r="E516" t="s">
        <v>169</v>
      </c>
      <c r="F516" s="146" t="s">
        <v>94</v>
      </c>
      <c r="H516" s="481" t="s">
        <v>4328</v>
      </c>
      <c r="I516" s="146"/>
      <c r="J516" s="158">
        <v>39445.58</v>
      </c>
      <c r="K516" s="485">
        <f t="shared" si="17"/>
        <v>20489.389999999126</v>
      </c>
    </row>
    <row r="517" spans="1:11" ht="15">
      <c r="A517" s="54" t="str">
        <f t="shared" si="20"/>
        <v>FINANZASRENTASA11</v>
      </c>
      <c r="B517" t="s">
        <v>2821</v>
      </c>
      <c r="C517" s="1">
        <v>46002</v>
      </c>
      <c r="D517" t="s">
        <v>23</v>
      </c>
      <c r="E517" t="s">
        <v>169</v>
      </c>
      <c r="F517" s="146" t="s">
        <v>97</v>
      </c>
      <c r="H517" s="481" t="s">
        <v>4329</v>
      </c>
      <c r="I517" s="146"/>
      <c r="J517" s="158">
        <v>25454.02</v>
      </c>
      <c r="K517" s="485">
        <f t="shared" si="17"/>
        <v>-4964.6300000008741</v>
      </c>
    </row>
    <row r="518" spans="1:11" ht="15">
      <c r="A518" s="54" t="str">
        <f>D518&amp;E518&amp;F518</f>
        <v/>
      </c>
      <c r="B518" t="s">
        <v>2821</v>
      </c>
      <c r="C518" s="1">
        <v>46006</v>
      </c>
      <c r="F518" s="146"/>
      <c r="H518" s="481" t="s">
        <v>3472</v>
      </c>
      <c r="I518" s="146">
        <v>1800000</v>
      </c>
      <c r="J518" s="158"/>
      <c r="K518" s="485">
        <f t="shared" si="17"/>
        <v>1795035.3699999992</v>
      </c>
    </row>
    <row r="519" spans="1:11" ht="15">
      <c r="A519" s="54" t="str">
        <f>D519&amp;E519&amp;F519</f>
        <v>FINANZASRENTASCEDIS</v>
      </c>
      <c r="B519" s="89" t="s">
        <v>2821</v>
      </c>
      <c r="C519" s="235">
        <v>46006</v>
      </c>
      <c r="D519" s="89" t="s">
        <v>23</v>
      </c>
      <c r="E519" s="89" t="s">
        <v>169</v>
      </c>
      <c r="F519" s="236" t="s">
        <v>28</v>
      </c>
      <c r="G519" s="236"/>
      <c r="H519" s="501" t="s">
        <v>4330</v>
      </c>
      <c r="I519" s="236"/>
      <c r="J519" s="416">
        <f>843505.6+450000+150000+350000</f>
        <v>1793505.6</v>
      </c>
      <c r="K519" s="485">
        <f t="shared" si="17"/>
        <v>1529.7699999990873</v>
      </c>
    </row>
    <row r="520" spans="1:11" ht="15">
      <c r="A520" s="54" t="str">
        <f>D520&amp;E520&amp;F520</f>
        <v/>
      </c>
      <c r="B520" t="s">
        <v>2821</v>
      </c>
      <c r="C520" s="1">
        <v>46007</v>
      </c>
      <c r="F520" s="146"/>
      <c r="G520" s="146"/>
      <c r="H520" s="481" t="s">
        <v>4331</v>
      </c>
      <c r="I520" s="146">
        <v>134277</v>
      </c>
      <c r="J520" s="158"/>
      <c r="K520" s="485">
        <f t="shared" si="17"/>
        <v>135806.76999999909</v>
      </c>
    </row>
    <row r="521" spans="1:11" ht="15">
      <c r="A521" s="54" t="str">
        <f>D521&amp;E521&amp;F521</f>
        <v>FINANZASRENTASE11</v>
      </c>
      <c r="B521" t="s">
        <v>2821</v>
      </c>
      <c r="C521" s="1">
        <v>46007</v>
      </c>
      <c r="D521" t="s">
        <v>23</v>
      </c>
      <c r="E521" t="s">
        <v>169</v>
      </c>
      <c r="F521" s="146" t="s">
        <v>118</v>
      </c>
      <c r="G521" s="146"/>
      <c r="H521" s="481" t="s">
        <v>4332</v>
      </c>
      <c r="I521" s="146"/>
      <c r="J521" s="158">
        <v>147766.60999999999</v>
      </c>
      <c r="K521" s="485">
        <f t="shared" si="17"/>
        <v>-11959.840000000899</v>
      </c>
    </row>
    <row r="522" spans="1:11" ht="15">
      <c r="A522" s="54" t="str">
        <f>D522&amp;E522&amp;F522</f>
        <v/>
      </c>
      <c r="B522" t="s">
        <v>2821</v>
      </c>
      <c r="C522" s="1">
        <v>46009</v>
      </c>
      <c r="F522" s="146"/>
      <c r="G522" s="146"/>
      <c r="H522" t="s">
        <v>3472</v>
      </c>
      <c r="I522" s="158">
        <v>100000</v>
      </c>
      <c r="J522" s="158"/>
      <c r="K522" s="485">
        <f t="shared" si="17"/>
        <v>88040.159999999101</v>
      </c>
    </row>
    <row r="523" spans="1:11" ht="15">
      <c r="A523" s="54" t="str">
        <f>D523&amp;E523&amp;F523</f>
        <v>FINANZASRENTASE3</v>
      </c>
      <c r="B523" s="502" t="s">
        <v>2821</v>
      </c>
      <c r="C523" s="503">
        <v>46009</v>
      </c>
      <c r="D523" t="s">
        <v>23</v>
      </c>
      <c r="E523" t="s">
        <v>169</v>
      </c>
      <c r="F523" s="146" t="s">
        <v>109</v>
      </c>
      <c r="G523" s="146"/>
      <c r="H523" t="s">
        <v>4333</v>
      </c>
      <c r="I523" s="158"/>
      <c r="J523" s="158">
        <v>43326.12</v>
      </c>
      <c r="K523" s="485">
        <f>K522+I523-J523</f>
        <v>44714.039999999099</v>
      </c>
    </row>
    <row r="524" spans="1:11" ht="15">
      <c r="A524" s="54" t="str">
        <f>D524&amp;E524&amp;F524</f>
        <v/>
      </c>
      <c r="B524" t="s">
        <v>2821</v>
      </c>
      <c r="C524" s="1">
        <v>46013</v>
      </c>
      <c r="F524" s="146"/>
      <c r="G524" s="146"/>
      <c r="H524" t="s">
        <v>3472</v>
      </c>
      <c r="I524" s="497">
        <f>185437.52+300000</f>
        <v>485437.52</v>
      </c>
      <c r="J524" s="158"/>
      <c r="K524" s="485">
        <f>K523+I524-J524</f>
        <v>530151.55999999912</v>
      </c>
    </row>
    <row r="525" spans="1:11">
      <c r="A525" s="54" t="str">
        <f>D525&amp;E525&amp;F525</f>
        <v>FINANZASRENTASE10</v>
      </c>
      <c r="B525" t="s">
        <v>2821</v>
      </c>
      <c r="C525" s="1">
        <v>46013</v>
      </c>
      <c r="D525" t="s">
        <v>23</v>
      </c>
      <c r="E525" t="s">
        <v>169</v>
      </c>
      <c r="F525" s="146" t="s">
        <v>117</v>
      </c>
      <c r="G525" s="146"/>
      <c r="H525" t="s">
        <v>4334</v>
      </c>
      <c r="I525" s="158"/>
      <c r="J525" s="158">
        <v>51404.31</v>
      </c>
      <c r="K525" s="485">
        <f>K524+I525-J525</f>
        <v>478747.24999999913</v>
      </c>
    </row>
    <row r="526" spans="1:11">
      <c r="A526" s="54" t="str">
        <f>D526&amp;E526&amp;F526</f>
        <v>FINANZASRENTASE10</v>
      </c>
      <c r="B526" t="s">
        <v>2821</v>
      </c>
      <c r="C526" s="1">
        <v>46013</v>
      </c>
      <c r="D526" t="s">
        <v>23</v>
      </c>
      <c r="E526" t="s">
        <v>169</v>
      </c>
      <c r="F526" s="146" t="s">
        <v>117</v>
      </c>
      <c r="G526" s="146"/>
      <c r="H526" t="s">
        <v>4335</v>
      </c>
      <c r="I526" s="158"/>
      <c r="J526" s="158">
        <v>9252.77</v>
      </c>
      <c r="K526" s="485">
        <f>K525+I526-J526</f>
        <v>469494.47999999911</v>
      </c>
    </row>
    <row r="527" spans="1:11">
      <c r="A527" s="137" t="str">
        <f>D527&amp;E527&amp;F527</f>
        <v>FINANZASRENTASCEDIS</v>
      </c>
      <c r="B527" t="s">
        <v>2821</v>
      </c>
      <c r="C527" s="1">
        <v>46014</v>
      </c>
      <c r="D527" s="89" t="s">
        <v>23</v>
      </c>
      <c r="E527" s="89" t="s">
        <v>169</v>
      </c>
      <c r="F527" s="416" t="s">
        <v>28</v>
      </c>
      <c r="G527" s="146"/>
      <c r="H527" t="s">
        <v>4336</v>
      </c>
      <c r="I527" s="158"/>
      <c r="J527" s="416">
        <v>61011</v>
      </c>
      <c r="K527" s="485">
        <f>K526+I527-J527</f>
        <v>408483.47999999911</v>
      </c>
    </row>
    <row r="528" spans="1:11">
      <c r="A528" s="137" t="str">
        <f>D528&amp;E528&amp;F528</f>
        <v>FINANZASRENTASA4</v>
      </c>
      <c r="B528" t="s">
        <v>2821</v>
      </c>
      <c r="C528" s="1">
        <v>46014</v>
      </c>
      <c r="D528" s="229" t="s">
        <v>23</v>
      </c>
      <c r="E528" s="229" t="s">
        <v>169</v>
      </c>
      <c r="F528" s="146" t="s">
        <v>91</v>
      </c>
      <c r="G528" s="146"/>
      <c r="H528" t="s">
        <v>4337</v>
      </c>
      <c r="I528" s="158"/>
      <c r="J528" s="158">
        <v>143000</v>
      </c>
      <c r="K528" s="485">
        <f>K527+I528-J528</f>
        <v>265483.47999999911</v>
      </c>
    </row>
    <row r="529" spans="1:11" ht="15">
      <c r="A529" s="137" t="str">
        <f>D529&amp;E529&amp;F529</f>
        <v/>
      </c>
      <c r="B529" t="s">
        <v>2821</v>
      </c>
      <c r="C529" s="1">
        <v>46017</v>
      </c>
      <c r="F529" s="146"/>
      <c r="G529" s="146"/>
      <c r="H529" t="s">
        <v>4338</v>
      </c>
      <c r="I529" s="158"/>
      <c r="J529" s="409">
        <v>91898.145000000004</v>
      </c>
      <c r="K529" s="485">
        <f>K528+I529-J529</f>
        <v>173585.33499999909</v>
      </c>
    </row>
    <row r="530" spans="1:11" ht="15">
      <c r="A530" s="137" t="str">
        <f>D530&amp;E530&amp;F530</f>
        <v>FINANZASRENTASCEDIS</v>
      </c>
      <c r="B530" t="s">
        <v>2821</v>
      </c>
      <c r="C530" s="1">
        <v>46021</v>
      </c>
      <c r="D530" t="s">
        <v>23</v>
      </c>
      <c r="E530" t="s">
        <v>169</v>
      </c>
      <c r="F530" s="146" t="s">
        <v>28</v>
      </c>
      <c r="G530" s="146"/>
      <c r="H530" t="s">
        <v>4339</v>
      </c>
      <c r="J530" s="416">
        <v>74807</v>
      </c>
      <c r="K530" s="485">
        <f t="shared" ref="K530:K576" si="21">K529+I530-J530</f>
        <v>98778.33499999909</v>
      </c>
    </row>
    <row r="531" spans="1:11" hidden="1">
      <c r="A531" s="137" t="str">
        <f>D531&amp;E531&amp;F531</f>
        <v>FINANZASRENTASCEDIS</v>
      </c>
      <c r="B531" t="s">
        <v>3214</v>
      </c>
      <c r="C531" s="1">
        <v>46027</v>
      </c>
      <c r="D531" t="s">
        <v>23</v>
      </c>
      <c r="E531" t="s">
        <v>169</v>
      </c>
      <c r="F531" s="146" t="s">
        <v>28</v>
      </c>
      <c r="G531" s="146"/>
      <c r="H531" t="s">
        <v>4340</v>
      </c>
      <c r="I531" s="158"/>
      <c r="J531" s="416">
        <v>98778.33</v>
      </c>
      <c r="K531" s="485">
        <f t="shared" si="21"/>
        <v>4.9999990878859535E-3</v>
      </c>
    </row>
    <row r="532" spans="1:11" ht="15" hidden="1">
      <c r="A532" s="137" t="str">
        <f>D532&amp;E532&amp;F532</f>
        <v/>
      </c>
      <c r="B532" t="s">
        <v>3214</v>
      </c>
      <c r="C532" s="1">
        <v>46027</v>
      </c>
      <c r="F532" s="146"/>
      <c r="G532" s="146"/>
      <c r="H532" t="s">
        <v>3472</v>
      </c>
      <c r="I532" s="158">
        <v>350000</v>
      </c>
      <c r="K532" s="485">
        <f t="shared" si="21"/>
        <v>350000.00499999907</v>
      </c>
    </row>
    <row r="533" spans="1:11" ht="15" hidden="1">
      <c r="A533" s="137" t="str">
        <f t="shared" ref="A533:A535" si="22">D533&amp;E533&amp;F533</f>
        <v>FINANZASRENTASE6</v>
      </c>
      <c r="B533" t="s">
        <v>3214</v>
      </c>
      <c r="C533" s="1">
        <v>46027</v>
      </c>
      <c r="D533" t="s">
        <v>23</v>
      </c>
      <c r="E533" t="s">
        <v>169</v>
      </c>
      <c r="F533" s="146" t="s">
        <v>112</v>
      </c>
      <c r="G533" s="146"/>
      <c r="H533" t="s">
        <v>4341</v>
      </c>
      <c r="I533" s="158"/>
      <c r="J533" s="158">
        <v>6700</v>
      </c>
      <c r="K533" s="485">
        <f t="shared" si="21"/>
        <v>343300.00499999907</v>
      </c>
    </row>
    <row r="534" spans="1:11" ht="15" hidden="1">
      <c r="A534" s="137" t="str">
        <f t="shared" si="22"/>
        <v>FINANZASRENTASE2</v>
      </c>
      <c r="B534" t="s">
        <v>3214</v>
      </c>
      <c r="C534" s="1">
        <v>46027</v>
      </c>
      <c r="D534" t="s">
        <v>23</v>
      </c>
      <c r="E534" t="s">
        <v>169</v>
      </c>
      <c r="F534" s="146" t="s">
        <v>108</v>
      </c>
      <c r="G534" s="146"/>
      <c r="H534" t="s">
        <v>4213</v>
      </c>
      <c r="I534" s="158"/>
      <c r="J534" s="158">
        <v>134130.88</v>
      </c>
      <c r="K534" s="485">
        <f t="shared" si="21"/>
        <v>209169.12499999907</v>
      </c>
    </row>
    <row r="535" spans="1:11" ht="15" hidden="1">
      <c r="A535" s="137" t="str">
        <f t="shared" si="22"/>
        <v>FINANZASRENTASE1</v>
      </c>
      <c r="B535" t="s">
        <v>3214</v>
      </c>
      <c r="C535" s="1">
        <v>46027</v>
      </c>
      <c r="D535" t="s">
        <v>23</v>
      </c>
      <c r="E535" t="s">
        <v>169</v>
      </c>
      <c r="F535" s="146" t="s">
        <v>107</v>
      </c>
      <c r="G535" s="146"/>
      <c r="H535" t="s">
        <v>4342</v>
      </c>
      <c r="I535" s="158"/>
      <c r="J535" s="158">
        <v>55560.53</v>
      </c>
      <c r="K535" s="485">
        <f t="shared" si="21"/>
        <v>153608.59499999907</v>
      </c>
    </row>
    <row r="536" spans="1:11" ht="15" hidden="1">
      <c r="A536" s="137" t="str">
        <f>D536&amp;E536&amp;F536</f>
        <v>FINANZASRENTAS</v>
      </c>
      <c r="B536" t="s">
        <v>3214</v>
      </c>
      <c r="C536" s="1">
        <v>46028</v>
      </c>
      <c r="D536" t="s">
        <v>23</v>
      </c>
      <c r="E536" t="s">
        <v>169</v>
      </c>
      <c r="F536" s="236"/>
      <c r="G536" s="146"/>
      <c r="H536" t="s">
        <v>4120</v>
      </c>
      <c r="I536" s="158"/>
      <c r="J536" s="158">
        <v>31000</v>
      </c>
      <c r="K536" s="485">
        <f t="shared" si="21"/>
        <v>122608.59499999907</v>
      </c>
    </row>
    <row r="537" spans="1:11" ht="15" hidden="1">
      <c r="A537" s="137" t="str">
        <f>D537&amp;E537&amp;F537</f>
        <v>FINANZASRENTAS</v>
      </c>
      <c r="B537" t="s">
        <v>3214</v>
      </c>
      <c r="C537" s="1">
        <v>46034</v>
      </c>
      <c r="D537" t="s">
        <v>23</v>
      </c>
      <c r="E537" t="s">
        <v>169</v>
      </c>
      <c r="F537" s="236"/>
      <c r="G537" s="146"/>
      <c r="H537" t="s">
        <v>4343</v>
      </c>
      <c r="I537" s="158"/>
      <c r="J537" s="158">
        <v>63562</v>
      </c>
      <c r="K537" s="485">
        <f t="shared" si="21"/>
        <v>59046.59499999907</v>
      </c>
    </row>
    <row r="538" spans="1:11" ht="15" hidden="1">
      <c r="A538" s="137" t="str">
        <f>D538&amp;E538&amp;F538</f>
        <v/>
      </c>
      <c r="B538" t="s">
        <v>3214</v>
      </c>
      <c r="C538" s="1">
        <v>46034</v>
      </c>
      <c r="F538" s="146"/>
      <c r="G538" s="146"/>
      <c r="H538" t="s">
        <v>3472</v>
      </c>
      <c r="I538" s="158">
        <v>400000</v>
      </c>
      <c r="J538" s="158"/>
      <c r="K538" s="485">
        <f t="shared" si="21"/>
        <v>459046.59499999904</v>
      </c>
    </row>
    <row r="539" spans="1:11" ht="15" hidden="1">
      <c r="A539" s="137" t="str">
        <f t="shared" ref="A539:A541" si="23">D539&amp;E539&amp;F539</f>
        <v>FINANZASRENTASA12</v>
      </c>
      <c r="B539" t="s">
        <v>3214</v>
      </c>
      <c r="C539" s="1">
        <v>46034</v>
      </c>
      <c r="D539" t="s">
        <v>23</v>
      </c>
      <c r="E539" t="s">
        <v>169</v>
      </c>
      <c r="F539" s="146" t="s">
        <v>98</v>
      </c>
      <c r="G539" s="146"/>
      <c r="H539" t="s">
        <v>4344</v>
      </c>
      <c r="I539" s="158"/>
      <c r="J539" s="158">
        <v>142971.10999999999</v>
      </c>
      <c r="K539" s="485">
        <f t="shared" si="21"/>
        <v>316075.48499999905</v>
      </c>
    </row>
    <row r="540" spans="1:11" ht="15" hidden="1">
      <c r="A540" s="137" t="str">
        <f t="shared" si="23"/>
        <v>FINANZASRENTASE11</v>
      </c>
      <c r="B540" t="s">
        <v>3214</v>
      </c>
      <c r="C540" s="1">
        <v>46034</v>
      </c>
      <c r="D540" t="s">
        <v>23</v>
      </c>
      <c r="E540" t="s">
        <v>169</v>
      </c>
      <c r="F540" s="146" t="s">
        <v>118</v>
      </c>
      <c r="G540" s="146"/>
      <c r="H540" t="s">
        <v>4332</v>
      </c>
      <c r="I540" s="158"/>
      <c r="J540" s="158">
        <v>147766.60999999999</v>
      </c>
      <c r="K540" s="485">
        <f t="shared" si="21"/>
        <v>168308.87499999907</v>
      </c>
    </row>
    <row r="541" spans="1:11" ht="15" hidden="1">
      <c r="A541" s="137" t="str">
        <f t="shared" si="23"/>
        <v>FINANZASRENTASA18</v>
      </c>
      <c r="B541" t="s">
        <v>3214</v>
      </c>
      <c r="C541" s="1">
        <v>46034</v>
      </c>
      <c r="D541" t="s">
        <v>23</v>
      </c>
      <c r="E541" t="s">
        <v>169</v>
      </c>
      <c r="F541" s="146" t="s">
        <v>103</v>
      </c>
      <c r="G541" s="146"/>
      <c r="H541" t="s">
        <v>4345</v>
      </c>
      <c r="I541" s="158"/>
      <c r="J541" s="158">
        <v>92800</v>
      </c>
      <c r="K541" s="485">
        <f t="shared" si="21"/>
        <v>75508.874999999069</v>
      </c>
    </row>
    <row r="542" spans="1:11" ht="15" hidden="1">
      <c r="A542" s="137" t="str">
        <f>D542&amp;E542&amp;F542</f>
        <v/>
      </c>
      <c r="B542" t="s">
        <v>3214</v>
      </c>
      <c r="C542" s="1">
        <v>46034</v>
      </c>
      <c r="F542" s="146"/>
      <c r="G542" s="146"/>
      <c r="H542" t="s">
        <v>4346</v>
      </c>
      <c r="I542" s="158"/>
      <c r="J542" s="158">
        <v>44625.91</v>
      </c>
      <c r="K542" s="485">
        <f t="shared" si="21"/>
        <v>30882.964999999065</v>
      </c>
    </row>
    <row r="543" spans="1:11" ht="15" hidden="1">
      <c r="A543" s="137" t="str">
        <f>D543&amp;E543&amp;F543</f>
        <v/>
      </c>
      <c r="B543" t="s">
        <v>3214</v>
      </c>
      <c r="C543" s="1">
        <v>46034</v>
      </c>
      <c r="F543" s="146"/>
      <c r="G543" s="146"/>
      <c r="H543" t="s">
        <v>3452</v>
      </c>
      <c r="I543" s="81">
        <v>488000</v>
      </c>
      <c r="J543" s="158"/>
      <c r="K543" s="485">
        <f t="shared" si="21"/>
        <v>518882.96499999904</v>
      </c>
    </row>
    <row r="544" spans="1:11" ht="15" hidden="1">
      <c r="A544" s="137" t="str">
        <f>D544&amp;E544&amp;F544</f>
        <v/>
      </c>
      <c r="B544" t="s">
        <v>3214</v>
      </c>
      <c r="C544" s="1">
        <v>46050</v>
      </c>
      <c r="F544" s="146"/>
      <c r="G544" s="146"/>
      <c r="H544" t="s">
        <v>3452</v>
      </c>
      <c r="I544" s="158">
        <v>1285000</v>
      </c>
      <c r="J544" s="158"/>
      <c r="K544" s="485">
        <f t="shared" si="21"/>
        <v>1803882.9649999989</v>
      </c>
    </row>
    <row r="545" spans="1:11" ht="15" hidden="1">
      <c r="A545" s="137" t="str">
        <f>D545&amp;E545&amp;F545</f>
        <v>FINANZASRENTASA10</v>
      </c>
      <c r="B545" t="s">
        <v>3214</v>
      </c>
      <c r="C545" s="1">
        <v>46050</v>
      </c>
      <c r="D545" t="s">
        <v>23</v>
      </c>
      <c r="E545" t="s">
        <v>169</v>
      </c>
      <c r="F545" s="146" t="s">
        <v>96</v>
      </c>
      <c r="G545" s="146"/>
      <c r="H545" t="s">
        <v>4120</v>
      </c>
      <c r="I545" s="158"/>
      <c r="J545" s="158">
        <v>31225</v>
      </c>
      <c r="K545" s="485">
        <f t="shared" si="21"/>
        <v>1772657.9649999989</v>
      </c>
    </row>
    <row r="546" spans="1:11" ht="15" hidden="1">
      <c r="A546" s="137" t="str">
        <f>D546&amp;E546&amp;F546</f>
        <v>FINANZASRENTASA10</v>
      </c>
      <c r="B546" t="s">
        <v>3214</v>
      </c>
      <c r="C546" s="1">
        <v>46050</v>
      </c>
      <c r="D546" t="s">
        <v>23</v>
      </c>
      <c r="E546" t="s">
        <v>169</v>
      </c>
      <c r="F546" s="146" t="s">
        <v>96</v>
      </c>
      <c r="G546" s="146"/>
      <c r="H546" t="s">
        <v>4120</v>
      </c>
      <c r="I546" s="158"/>
      <c r="J546" s="158">
        <v>48544.45</v>
      </c>
      <c r="K546" s="485">
        <f t="shared" si="21"/>
        <v>1724113.514999999</v>
      </c>
    </row>
    <row r="547" spans="1:11" ht="15" hidden="1">
      <c r="A547" s="137" t="str">
        <f>D547&amp;E547&amp;F547</f>
        <v>FINANZASRENTASA8</v>
      </c>
      <c r="B547" t="s">
        <v>3214</v>
      </c>
      <c r="C547" s="1">
        <v>46050</v>
      </c>
      <c r="D547" t="s">
        <v>23</v>
      </c>
      <c r="E547" t="s">
        <v>169</v>
      </c>
      <c r="F547" s="146" t="s">
        <v>94</v>
      </c>
      <c r="G547" s="146"/>
      <c r="H547" t="s">
        <v>4058</v>
      </c>
      <c r="I547" s="158"/>
      <c r="J547" s="158">
        <v>88728.48</v>
      </c>
      <c r="K547" s="485">
        <f t="shared" si="21"/>
        <v>1635385.034999999</v>
      </c>
    </row>
    <row r="548" spans="1:11" ht="15" hidden="1">
      <c r="A548" s="137" t="str">
        <f>D548&amp;E548&amp;F548</f>
        <v>FINANZASRENTASA11</v>
      </c>
      <c r="B548" t="s">
        <v>3214</v>
      </c>
      <c r="C548" s="1">
        <v>46050</v>
      </c>
      <c r="D548" t="s">
        <v>23</v>
      </c>
      <c r="E548" t="s">
        <v>169</v>
      </c>
      <c r="F548" s="146" t="s">
        <v>97</v>
      </c>
      <c r="G548" s="146"/>
      <c r="H548" t="s">
        <v>4061</v>
      </c>
      <c r="I548" s="158"/>
      <c r="J548" s="158">
        <v>26430.080000000002</v>
      </c>
      <c r="K548" s="485">
        <f t="shared" si="21"/>
        <v>1608954.9549999989</v>
      </c>
    </row>
    <row r="549" spans="1:11" ht="15" hidden="1">
      <c r="A549" s="137" t="str">
        <f>D549&amp;E549&amp;F549</f>
        <v>FINANZASRENTASA18</v>
      </c>
      <c r="B549" t="s">
        <v>3214</v>
      </c>
      <c r="C549" s="1">
        <v>46050</v>
      </c>
      <c r="D549" t="s">
        <v>23</v>
      </c>
      <c r="E549" t="s">
        <v>169</v>
      </c>
      <c r="F549" s="146" t="s">
        <v>103</v>
      </c>
      <c r="G549" s="146"/>
      <c r="H549" t="s">
        <v>4345</v>
      </c>
      <c r="I549" s="158"/>
      <c r="J549" s="158">
        <f>2273.1+2273.1</f>
        <v>4546.2</v>
      </c>
      <c r="K549" s="485">
        <f t="shared" si="21"/>
        <v>1604408.754999999</v>
      </c>
    </row>
    <row r="550" spans="1:11" ht="15" hidden="1">
      <c r="A550" s="137" t="str">
        <f>D550&amp;E550&amp;F550</f>
        <v>FINANZASRENTASA6</v>
      </c>
      <c r="B550" t="s">
        <v>3214</v>
      </c>
      <c r="C550" s="1">
        <v>46050</v>
      </c>
      <c r="D550" t="s">
        <v>23</v>
      </c>
      <c r="E550" t="s">
        <v>169</v>
      </c>
      <c r="F550" s="146" t="s">
        <v>93</v>
      </c>
      <c r="G550" s="146"/>
      <c r="H550" t="s">
        <v>4144</v>
      </c>
      <c r="I550" s="158"/>
      <c r="J550" s="158">
        <v>24000</v>
      </c>
      <c r="K550" s="485">
        <f t="shared" si="21"/>
        <v>1580408.754999999</v>
      </c>
    </row>
    <row r="551" spans="1:11" ht="15" hidden="1">
      <c r="A551" s="137" t="str">
        <f>D551&amp;E551&amp;F551</f>
        <v>FINANZASRENTASA23</v>
      </c>
      <c r="B551" t="s">
        <v>3214</v>
      </c>
      <c r="C551" s="1">
        <v>46050</v>
      </c>
      <c r="D551" t="s">
        <v>23</v>
      </c>
      <c r="E551" t="s">
        <v>169</v>
      </c>
      <c r="F551" s="146" t="s">
        <v>105</v>
      </c>
      <c r="G551" s="146"/>
      <c r="H551" t="s">
        <v>4347</v>
      </c>
      <c r="I551" s="158"/>
      <c r="J551" s="158">
        <v>10282.36</v>
      </c>
      <c r="K551" s="485">
        <f t="shared" si="21"/>
        <v>1570126.3949999989</v>
      </c>
    </row>
    <row r="552" spans="1:11" ht="15" hidden="1">
      <c r="A552" s="137" t="str">
        <f>D552&amp;E552&amp;F552</f>
        <v>FINANZASRENTASA22</v>
      </c>
      <c r="B552" t="s">
        <v>3214</v>
      </c>
      <c r="C552" s="1">
        <v>46050</v>
      </c>
      <c r="D552" t="s">
        <v>23</v>
      </c>
      <c r="E552" t="s">
        <v>169</v>
      </c>
      <c r="F552" s="146" t="s">
        <v>104</v>
      </c>
      <c r="G552" s="146"/>
      <c r="H552" t="s">
        <v>4100</v>
      </c>
      <c r="I552" s="158"/>
      <c r="J552" s="158">
        <v>47916.88</v>
      </c>
      <c r="K552" s="485">
        <f t="shared" si="21"/>
        <v>1522209.514999999</v>
      </c>
    </row>
    <row r="553" spans="1:11" ht="15" hidden="1">
      <c r="A553" s="137" t="str">
        <f>D553&amp;E553&amp;F553</f>
        <v>FINANZASRENTASA24</v>
      </c>
      <c r="B553" t="s">
        <v>3214</v>
      </c>
      <c r="C553" s="1">
        <v>46050</v>
      </c>
      <c r="D553" t="s">
        <v>23</v>
      </c>
      <c r="E553" t="s">
        <v>169</v>
      </c>
      <c r="F553" s="146" t="s">
        <v>106</v>
      </c>
      <c r="G553" s="146"/>
      <c r="H553" t="s">
        <v>4296</v>
      </c>
      <c r="I553" s="158"/>
      <c r="J553" s="158">
        <v>89659.63</v>
      </c>
      <c r="K553" s="485">
        <f t="shared" si="21"/>
        <v>1432549.8849999988</v>
      </c>
    </row>
    <row r="554" spans="1:11" ht="15" hidden="1">
      <c r="A554" s="137" t="str">
        <f>D554&amp;E554&amp;F554</f>
        <v>FINANZASRENTASA14</v>
      </c>
      <c r="B554" t="s">
        <v>3214</v>
      </c>
      <c r="C554" s="1">
        <v>46050</v>
      </c>
      <c r="D554" t="s">
        <v>23</v>
      </c>
      <c r="E554" t="s">
        <v>169</v>
      </c>
      <c r="F554" s="146" t="s">
        <v>99</v>
      </c>
      <c r="G554" s="146"/>
      <c r="H554" t="s">
        <v>4245</v>
      </c>
      <c r="I554" s="158"/>
      <c r="J554" s="158">
        <v>54288</v>
      </c>
      <c r="K554" s="485">
        <f t="shared" si="21"/>
        <v>1378261.8849999988</v>
      </c>
    </row>
    <row r="555" spans="1:11" ht="15" hidden="1">
      <c r="A555" s="137" t="str">
        <f>D555&amp;E555&amp;F555</f>
        <v>FINANZASRENTASA15</v>
      </c>
      <c r="B555" t="s">
        <v>3214</v>
      </c>
      <c r="C555" s="1">
        <v>46050</v>
      </c>
      <c r="D555" t="s">
        <v>23</v>
      </c>
      <c r="E555" t="s">
        <v>169</v>
      </c>
      <c r="F555" s="146" t="s">
        <v>100</v>
      </c>
      <c r="G555" s="146"/>
      <c r="H555" t="s">
        <v>4304</v>
      </c>
      <c r="I555" s="158"/>
      <c r="J555" s="158">
        <v>3498.12</v>
      </c>
      <c r="K555" s="485">
        <f t="shared" si="21"/>
        <v>1374763.7649999987</v>
      </c>
    </row>
    <row r="556" spans="1:11" ht="15" hidden="1">
      <c r="A556" s="137" t="str">
        <f>D556&amp;E556&amp;F556</f>
        <v>FINANZASRENTASA17</v>
      </c>
      <c r="B556" t="s">
        <v>3214</v>
      </c>
      <c r="C556" s="1">
        <v>46050</v>
      </c>
      <c r="D556" t="s">
        <v>23</v>
      </c>
      <c r="E556" t="s">
        <v>169</v>
      </c>
      <c r="F556" s="146" t="s">
        <v>102</v>
      </c>
      <c r="G556" s="146"/>
      <c r="H556" t="s">
        <v>4110</v>
      </c>
      <c r="I556" s="158"/>
      <c r="J556" s="158">
        <v>76326.960000000006</v>
      </c>
      <c r="K556" s="485">
        <f t="shared" si="21"/>
        <v>1298436.8049999988</v>
      </c>
    </row>
    <row r="557" spans="1:11" ht="15" hidden="1">
      <c r="A557" s="137" t="str">
        <f>D557&amp;E557&amp;F557</f>
        <v>FINANZASRENTASA3</v>
      </c>
      <c r="B557" t="s">
        <v>3214</v>
      </c>
      <c r="C557" s="1">
        <v>46050</v>
      </c>
      <c r="D557" t="s">
        <v>23</v>
      </c>
      <c r="E557" t="s">
        <v>169</v>
      </c>
      <c r="F557" s="146" t="s">
        <v>90</v>
      </c>
      <c r="G557" s="146"/>
      <c r="H557" t="s">
        <v>4122</v>
      </c>
      <c r="I557" s="158"/>
      <c r="J557" s="158">
        <v>58145.99</v>
      </c>
      <c r="K557" s="485">
        <f t="shared" si="21"/>
        <v>1240290.8149999988</v>
      </c>
    </row>
    <row r="558" spans="1:11" ht="15" hidden="1">
      <c r="A558" s="137" t="str">
        <f>D558&amp;E558&amp;F558</f>
        <v>FINANZASRENTASA4</v>
      </c>
      <c r="B558" t="s">
        <v>3214</v>
      </c>
      <c r="C558" s="1">
        <v>46050</v>
      </c>
      <c r="D558" t="s">
        <v>23</v>
      </c>
      <c r="E558" t="s">
        <v>169</v>
      </c>
      <c r="F558" s="146" t="s">
        <v>91</v>
      </c>
      <c r="G558" s="146"/>
      <c r="H558" t="s">
        <v>4123</v>
      </c>
      <c r="I558" s="158"/>
      <c r="J558" s="158">
        <v>34500</v>
      </c>
      <c r="K558" s="485">
        <f t="shared" si="21"/>
        <v>1205790.8149999988</v>
      </c>
    </row>
    <row r="559" spans="1:11" ht="15" hidden="1">
      <c r="A559" s="137" t="str">
        <f>D559&amp;E559&amp;F559</f>
        <v>FINANZASRENTASE5</v>
      </c>
      <c r="B559" t="s">
        <v>3214</v>
      </c>
      <c r="C559" s="1">
        <v>46050</v>
      </c>
      <c r="D559" t="s">
        <v>23</v>
      </c>
      <c r="E559" t="s">
        <v>169</v>
      </c>
      <c r="F559" s="146" t="s">
        <v>111</v>
      </c>
      <c r="G559" s="146"/>
      <c r="H559" t="s">
        <v>4121</v>
      </c>
      <c r="I559" s="158"/>
      <c r="J559" s="158">
        <v>41223.25</v>
      </c>
      <c r="K559" s="485">
        <f t="shared" si="21"/>
        <v>1164567.5649999988</v>
      </c>
    </row>
    <row r="560" spans="1:11" ht="15" hidden="1">
      <c r="A560" s="137" t="str">
        <f>D560&amp;E560&amp;F560</f>
        <v>FINANZASRENTASE4</v>
      </c>
      <c r="B560" t="s">
        <v>3214</v>
      </c>
      <c r="C560" s="1">
        <v>46050</v>
      </c>
      <c r="D560" t="s">
        <v>23</v>
      </c>
      <c r="E560" t="s">
        <v>169</v>
      </c>
      <c r="F560" s="146" t="s">
        <v>110</v>
      </c>
      <c r="G560" s="146"/>
      <c r="H560" t="s">
        <v>4118</v>
      </c>
      <c r="I560" s="158"/>
      <c r="J560" s="158">
        <v>88224</v>
      </c>
      <c r="K560" s="485">
        <f t="shared" si="21"/>
        <v>1076343.5649999988</v>
      </c>
    </row>
    <row r="561" spans="1:11" ht="15" hidden="1">
      <c r="A561" s="137" t="str">
        <f>D561&amp;E561&amp;F561</f>
        <v>FINANZASRENTASE8</v>
      </c>
      <c r="B561" t="s">
        <v>3214</v>
      </c>
      <c r="C561" s="1">
        <v>46050</v>
      </c>
      <c r="D561" t="s">
        <v>23</v>
      </c>
      <c r="E561" t="s">
        <v>169</v>
      </c>
      <c r="F561" s="146" t="s">
        <v>114</v>
      </c>
      <c r="G561" s="146"/>
      <c r="H561" t="s">
        <v>4059</v>
      </c>
      <c r="I561" s="158"/>
      <c r="J561" s="158">
        <v>73994.679999999993</v>
      </c>
      <c r="K561" s="485">
        <f t="shared" si="21"/>
        <v>1002348.8849999988</v>
      </c>
    </row>
    <row r="562" spans="1:11" ht="15" hidden="1">
      <c r="A562" s="137" t="str">
        <f>D562&amp;E562&amp;F562</f>
        <v>FINANZASRENTASE8</v>
      </c>
      <c r="B562" t="s">
        <v>3214</v>
      </c>
      <c r="C562" s="1">
        <v>46050</v>
      </c>
      <c r="D562" t="s">
        <v>23</v>
      </c>
      <c r="E562" t="s">
        <v>169</v>
      </c>
      <c r="F562" s="146" t="s">
        <v>114</v>
      </c>
      <c r="G562" s="146"/>
      <c r="H562" t="s">
        <v>4143</v>
      </c>
      <c r="I562" s="158"/>
      <c r="J562" s="158">
        <v>16278.82</v>
      </c>
      <c r="K562" s="485">
        <f t="shared" si="21"/>
        <v>986070.0649999989</v>
      </c>
    </row>
    <row r="563" spans="1:11" ht="15" hidden="1">
      <c r="A563" s="137" t="str">
        <f>D563&amp;E563&amp;F563</f>
        <v>FINANZASRENTASE11</v>
      </c>
      <c r="B563" t="s">
        <v>3214</v>
      </c>
      <c r="C563" s="1">
        <v>46050</v>
      </c>
      <c r="D563" t="s">
        <v>23</v>
      </c>
      <c r="E563" t="s">
        <v>169</v>
      </c>
      <c r="F563" s="146" t="s">
        <v>118</v>
      </c>
      <c r="G563" s="146"/>
      <c r="H563" t="s">
        <v>4348</v>
      </c>
      <c r="I563" s="158"/>
      <c r="J563" s="158">
        <v>122579.52</v>
      </c>
      <c r="K563" s="485">
        <f t="shared" si="21"/>
        <v>863490.54499999888</v>
      </c>
    </row>
    <row r="564" spans="1:11" ht="15" hidden="1">
      <c r="A564" s="137" t="str">
        <f>D564&amp;E564&amp;F564</f>
        <v>FINANZASRENTASE10</v>
      </c>
      <c r="B564" t="s">
        <v>3214</v>
      </c>
      <c r="C564" s="1">
        <v>46050</v>
      </c>
      <c r="D564" t="s">
        <v>23</v>
      </c>
      <c r="E564" t="s">
        <v>169</v>
      </c>
      <c r="F564" s="146" t="s">
        <v>117</v>
      </c>
      <c r="G564" s="146"/>
      <c r="H564" t="s">
        <v>4335</v>
      </c>
      <c r="I564" s="158"/>
      <c r="J564" s="158">
        <v>22064.31</v>
      </c>
      <c r="K564" s="485">
        <f t="shared" si="21"/>
        <v>841426.23499999882</v>
      </c>
    </row>
    <row r="565" spans="1:11" ht="15" hidden="1">
      <c r="A565" s="137" t="str">
        <f>D565&amp;E565&amp;F565</f>
        <v>FINANZASRENTASE6</v>
      </c>
      <c r="B565" t="s">
        <v>3214</v>
      </c>
      <c r="C565" s="1">
        <v>46050</v>
      </c>
      <c r="D565" t="s">
        <v>23</v>
      </c>
      <c r="E565" t="s">
        <v>169</v>
      </c>
      <c r="F565" s="146" t="s">
        <v>112</v>
      </c>
      <c r="G565" s="146"/>
      <c r="H565" t="s">
        <v>4065</v>
      </c>
      <c r="I565" s="158"/>
      <c r="J565" s="158">
        <v>35919.199999999997</v>
      </c>
      <c r="K565" s="485">
        <f t="shared" si="21"/>
        <v>805507.03499999887</v>
      </c>
    </row>
    <row r="566" spans="1:11" ht="15" hidden="1">
      <c r="A566" s="137" t="str">
        <f>D566&amp;E566&amp;F566</f>
        <v>FINANZASRENTASE9</v>
      </c>
      <c r="B566" t="s">
        <v>3214</v>
      </c>
      <c r="C566" s="1">
        <v>46050</v>
      </c>
      <c r="D566" t="s">
        <v>23</v>
      </c>
      <c r="E566" t="s">
        <v>169</v>
      </c>
      <c r="F566" s="146" t="s">
        <v>116</v>
      </c>
      <c r="G566" s="146"/>
      <c r="H566" t="s">
        <v>4246</v>
      </c>
      <c r="I566" s="158"/>
      <c r="J566" s="158">
        <v>92617.11</v>
      </c>
      <c r="K566" s="485">
        <f t="shared" si="21"/>
        <v>712889.92499999888</v>
      </c>
    </row>
    <row r="567" spans="1:11" ht="15" hidden="1">
      <c r="A567" s="137" t="str">
        <f>D567&amp;E567&amp;F567</f>
        <v>FINANZASRENTASE9</v>
      </c>
      <c r="B567" t="s">
        <v>3214</v>
      </c>
      <c r="C567" s="1">
        <v>46050</v>
      </c>
      <c r="D567" t="s">
        <v>23</v>
      </c>
      <c r="E567" t="s">
        <v>169</v>
      </c>
      <c r="F567" s="146" t="s">
        <v>116</v>
      </c>
      <c r="G567" s="146"/>
      <c r="H567" t="s">
        <v>4283</v>
      </c>
      <c r="I567" s="158"/>
      <c r="J567" s="158">
        <v>18523.43</v>
      </c>
      <c r="K567" s="485">
        <f t="shared" si="21"/>
        <v>694366.49499999883</v>
      </c>
    </row>
    <row r="568" spans="1:11" ht="15" hidden="1">
      <c r="A568" s="137" t="str">
        <f>D568&amp;E568&amp;F568</f>
        <v/>
      </c>
      <c r="B568" t="s">
        <v>3214</v>
      </c>
      <c r="C568" s="1">
        <v>46050</v>
      </c>
      <c r="F568" s="146"/>
      <c r="G568" s="146"/>
      <c r="H568" t="s">
        <v>4349</v>
      </c>
      <c r="I568" s="158"/>
      <c r="J568" s="158">
        <v>378854.8</v>
      </c>
      <c r="K568" s="485">
        <f t="shared" si="21"/>
        <v>315511.69499999884</v>
      </c>
    </row>
    <row r="569" spans="1:11" ht="15" hidden="1">
      <c r="A569" s="137" t="str">
        <f>D569&amp;E569&amp;F569</f>
        <v/>
      </c>
      <c r="B569" t="s">
        <v>3214</v>
      </c>
      <c r="C569" s="1">
        <v>46050</v>
      </c>
      <c r="F569" s="146"/>
      <c r="G569" s="146"/>
      <c r="H569" t="s">
        <v>4350</v>
      </c>
      <c r="I569" s="158"/>
      <c r="J569" s="3">
        <v>110000</v>
      </c>
      <c r="K569" s="485">
        <f t="shared" si="21"/>
        <v>205511.69499999884</v>
      </c>
    </row>
    <row r="570" spans="1:11" ht="15" hidden="1">
      <c r="A570" s="137" t="str">
        <f>D570&amp;E570&amp;F570</f>
        <v>FINANZASRENTASA22</v>
      </c>
      <c r="B570" t="s">
        <v>3214</v>
      </c>
      <c r="C570" s="1">
        <v>46050</v>
      </c>
      <c r="D570" t="s">
        <v>23</v>
      </c>
      <c r="E570" t="s">
        <v>169</v>
      </c>
      <c r="F570" s="146" t="s">
        <v>104</v>
      </c>
      <c r="G570" s="146"/>
      <c r="H570" t="s">
        <v>4100</v>
      </c>
      <c r="I570" s="158"/>
      <c r="J570" s="158">
        <v>45000</v>
      </c>
      <c r="K570" s="485">
        <f t="shared" si="21"/>
        <v>160511.69499999884</v>
      </c>
    </row>
    <row r="571" spans="1:11" ht="15" hidden="1">
      <c r="A571" s="137" t="str">
        <f>D571&amp;E571&amp;F571</f>
        <v>FINANZASRENTASE4</v>
      </c>
      <c r="B571" t="s">
        <v>3214</v>
      </c>
      <c r="C571" s="1">
        <v>46051</v>
      </c>
      <c r="D571" t="s">
        <v>23</v>
      </c>
      <c r="E571" t="s">
        <v>169</v>
      </c>
      <c r="F571" s="146" t="s">
        <v>110</v>
      </c>
      <c r="G571" s="146"/>
      <c r="H571" t="s">
        <v>4351</v>
      </c>
      <c r="I571" s="158"/>
      <c r="J571" s="158">
        <v>24876.16</v>
      </c>
      <c r="K571" s="485">
        <f t="shared" si="21"/>
        <v>135635.53499999884</v>
      </c>
    </row>
    <row r="572" spans="1:11" ht="15" hidden="1">
      <c r="A572" s="137" t="str">
        <f>D572&amp;E572&amp;F572</f>
        <v>FINANZASRENTASA8</v>
      </c>
      <c r="B572" t="s">
        <v>3214</v>
      </c>
      <c r="C572" s="1">
        <v>46051</v>
      </c>
      <c r="D572" t="s">
        <v>23</v>
      </c>
      <c r="E572" t="s">
        <v>169</v>
      </c>
      <c r="F572" s="146" t="s">
        <v>94</v>
      </c>
      <c r="G572" s="146"/>
      <c r="H572" t="s">
        <v>4352</v>
      </c>
      <c r="I572" s="158"/>
      <c r="J572" s="158">
        <v>44035.05</v>
      </c>
      <c r="K572" s="485">
        <f t="shared" si="21"/>
        <v>91600.484999998836</v>
      </c>
    </row>
    <row r="573" spans="1:11" ht="15" hidden="1">
      <c r="A573" s="137" t="str">
        <f>D573&amp;E573&amp;F573</f>
        <v>FINANZASRENTASA1</v>
      </c>
      <c r="B573" t="s">
        <v>3214</v>
      </c>
      <c r="C573" s="1">
        <v>46051</v>
      </c>
      <c r="D573" t="s">
        <v>23</v>
      </c>
      <c r="E573" t="s">
        <v>169</v>
      </c>
      <c r="F573" s="146" t="s">
        <v>88</v>
      </c>
      <c r="G573" s="146"/>
      <c r="H573" t="s">
        <v>4257</v>
      </c>
      <c r="I573" s="158"/>
      <c r="J573" s="158">
        <v>31884</v>
      </c>
      <c r="K573" s="485">
        <f t="shared" si="21"/>
        <v>59716.484999998836</v>
      </c>
    </row>
    <row r="574" spans="1:11" ht="15" hidden="1">
      <c r="A574" s="137" t="str">
        <f>D574&amp;E574&amp;F574</f>
        <v>FINANZASRENTASE10</v>
      </c>
      <c r="B574" t="s">
        <v>3214</v>
      </c>
      <c r="C574" s="1">
        <v>46052</v>
      </c>
      <c r="D574" t="s">
        <v>23</v>
      </c>
      <c r="E574" t="s">
        <v>169</v>
      </c>
      <c r="F574" s="146" t="s">
        <v>117</v>
      </c>
      <c r="G574" s="146"/>
      <c r="H574" t="s">
        <v>4353</v>
      </c>
      <c r="I574" s="158"/>
      <c r="J574" s="158">
        <v>122579.52</v>
      </c>
      <c r="K574" s="485">
        <f t="shared" si="21"/>
        <v>-62863.035000001168</v>
      </c>
    </row>
    <row r="575" spans="1:11" ht="15" hidden="1">
      <c r="A575" s="137" t="str">
        <f>D575&amp;E575&amp;F575</f>
        <v>FINANZASRENTASE4</v>
      </c>
      <c r="B575" t="s">
        <v>3214</v>
      </c>
      <c r="C575" s="1">
        <v>46052</v>
      </c>
      <c r="D575" t="s">
        <v>23</v>
      </c>
      <c r="E575" t="s">
        <v>169</v>
      </c>
      <c r="F575" s="146" t="s">
        <v>110</v>
      </c>
      <c r="G575" s="146"/>
      <c r="H575" t="s">
        <v>4119</v>
      </c>
      <c r="I575" s="158"/>
      <c r="J575" s="158">
        <v>24876.16</v>
      </c>
      <c r="K575" s="485">
        <f t="shared" si="21"/>
        <v>-87739.195000001171</v>
      </c>
    </row>
    <row r="576" spans="1:11" ht="15" hidden="1">
      <c r="A576" s="137" t="str">
        <f>D576&amp;E576&amp;F576</f>
        <v/>
      </c>
      <c r="B576" t="s">
        <v>3214</v>
      </c>
      <c r="C576" s="1"/>
      <c r="F576" s="146"/>
      <c r="G576" s="146"/>
      <c r="I576" s="158"/>
      <c r="J576" s="158"/>
      <c r="K576" s="485"/>
    </row>
    <row r="577" spans="1:10" hidden="1">
      <c r="A577" s="137" t="str">
        <f>D577&amp;E577&amp;F577</f>
        <v/>
      </c>
      <c r="B577" t="s">
        <v>3214</v>
      </c>
      <c r="C577" s="1"/>
      <c r="F577" s="146"/>
      <c r="G577" s="146"/>
      <c r="I577" s="158"/>
      <c r="J577" s="158"/>
    </row>
    <row r="578" spans="1:10" hidden="1">
      <c r="A578" s="137" t="str">
        <f>D578&amp;E578&amp;F578</f>
        <v/>
      </c>
      <c r="B578" t="s">
        <v>3214</v>
      </c>
      <c r="C578" s="1"/>
      <c r="F578" s="146"/>
      <c r="G578" s="146"/>
      <c r="I578" s="158"/>
      <c r="J578" s="158"/>
    </row>
    <row r="579" spans="1:10" hidden="1">
      <c r="A579" s="137" t="str">
        <f>D579&amp;E579&amp;F579</f>
        <v/>
      </c>
      <c r="B579" t="s">
        <v>3214</v>
      </c>
      <c r="C579" s="1"/>
      <c r="F579" s="146"/>
      <c r="G579" s="146"/>
      <c r="I579" s="158"/>
      <c r="J579" s="158"/>
    </row>
    <row r="580" spans="1:10" hidden="1">
      <c r="A580" s="137" t="str">
        <f>D580&amp;E580&amp;F580</f>
        <v/>
      </c>
      <c r="B580" t="s">
        <v>3214</v>
      </c>
      <c r="C580" s="1"/>
      <c r="F580" s="146"/>
      <c r="G580" s="146"/>
      <c r="I580" s="158"/>
      <c r="J580" s="158"/>
    </row>
    <row r="581" spans="1:10" hidden="1">
      <c r="A581" s="137" t="str">
        <f>D581&amp;E581&amp;F581</f>
        <v/>
      </c>
      <c r="B581" t="s">
        <v>3214</v>
      </c>
      <c r="C581" s="1"/>
      <c r="F581" s="146"/>
      <c r="G581" s="146"/>
      <c r="I581" s="158"/>
      <c r="J581" s="158"/>
    </row>
    <row r="582" spans="1:10" hidden="1">
      <c r="A582" s="137" t="str">
        <f>D582&amp;E582&amp;F582</f>
        <v/>
      </c>
      <c r="C582" s="1"/>
      <c r="F582" s="146"/>
      <c r="G582" s="146"/>
      <c r="I582" s="158"/>
      <c r="J582" s="158"/>
    </row>
    <row r="583" spans="1:10" hidden="1">
      <c r="A583" s="137" t="str">
        <f>D583&amp;E583&amp;F583</f>
        <v/>
      </c>
      <c r="C583" s="1"/>
      <c r="F583" s="146"/>
      <c r="G583" s="146"/>
      <c r="I583" s="158"/>
      <c r="J583" s="158"/>
    </row>
    <row r="584" spans="1:10" hidden="1">
      <c r="A584" s="137" t="str">
        <f>D584&amp;E584&amp;F584</f>
        <v/>
      </c>
      <c r="C584" s="1"/>
      <c r="F584" s="146"/>
      <c r="G584" s="146"/>
      <c r="I584" s="158"/>
      <c r="J584" s="158"/>
    </row>
    <row r="585" spans="1:10" hidden="1">
      <c r="A585" s="137" t="str">
        <f>D585&amp;E585&amp;F585</f>
        <v/>
      </c>
      <c r="C585" s="1"/>
      <c r="F585" s="146"/>
      <c r="G585" s="146"/>
      <c r="I585" s="158"/>
      <c r="J585" s="158"/>
    </row>
    <row r="586" spans="1:10" hidden="1">
      <c r="A586" s="137" t="str">
        <f>D586&amp;E586&amp;F586</f>
        <v/>
      </c>
      <c r="C586" s="1"/>
      <c r="F586" s="146"/>
      <c r="G586" s="146"/>
      <c r="I586" s="158"/>
      <c r="J586" s="158"/>
    </row>
    <row r="587" spans="1:10" hidden="1">
      <c r="A587" s="137" t="str">
        <f>D587&amp;E587&amp;F587</f>
        <v/>
      </c>
      <c r="C587" s="1"/>
      <c r="F587" s="146"/>
      <c r="G587" s="146"/>
      <c r="I587" s="158"/>
      <c r="J587" s="158"/>
    </row>
    <row r="588" spans="1:10" hidden="1">
      <c r="A588" s="137" t="str">
        <f>D588&amp;E588&amp;F588</f>
        <v/>
      </c>
      <c r="C588" s="1"/>
      <c r="F588" s="146"/>
      <c r="G588" s="146"/>
      <c r="I588" s="158"/>
      <c r="J588" s="158"/>
    </row>
    <row r="589" spans="1:10" hidden="1">
      <c r="A589" s="137" t="str">
        <f>D589&amp;E589&amp;F589</f>
        <v/>
      </c>
      <c r="C589" s="1"/>
      <c r="F589" s="146"/>
      <c r="G589" s="146"/>
      <c r="I589" s="158"/>
      <c r="J589" s="158"/>
    </row>
    <row r="590" spans="1:10" hidden="1">
      <c r="A590" s="137" t="str">
        <f>D590&amp;E590&amp;F590</f>
        <v/>
      </c>
      <c r="C590" s="1"/>
      <c r="F590" s="146"/>
      <c r="G590" s="146"/>
      <c r="I590" s="158"/>
      <c r="J590" s="158"/>
    </row>
    <row r="591" spans="1:10" hidden="1">
      <c r="A591" s="137" t="str">
        <f>D591&amp;E591&amp;F591</f>
        <v/>
      </c>
      <c r="C591" s="1"/>
      <c r="F591" s="146"/>
      <c r="G591" s="146"/>
      <c r="I591" s="158"/>
      <c r="J591" s="158"/>
    </row>
    <row r="592" spans="1:10" hidden="1">
      <c r="A592" s="137" t="str">
        <f>D592&amp;E592&amp;F592</f>
        <v/>
      </c>
      <c r="C592" s="1"/>
      <c r="F592" s="146"/>
      <c r="G592" s="146"/>
      <c r="I592" s="158"/>
      <c r="J592" s="158"/>
    </row>
    <row r="593" spans="1:10" hidden="1">
      <c r="A593" s="137" t="str">
        <f>D593&amp;E593&amp;F593</f>
        <v/>
      </c>
      <c r="C593" s="1"/>
      <c r="F593" s="146"/>
      <c r="G593" s="146"/>
      <c r="I593" s="158"/>
      <c r="J593" s="158"/>
    </row>
    <row r="594" spans="1:10" hidden="1">
      <c r="A594" s="137" t="str">
        <f>D594&amp;E594&amp;F594</f>
        <v/>
      </c>
      <c r="C594" s="1"/>
      <c r="F594" s="146"/>
      <c r="G594" s="146"/>
      <c r="I594" s="158"/>
      <c r="J594" s="158"/>
    </row>
    <row r="595" spans="1:10" hidden="1">
      <c r="A595" s="137" t="str">
        <f>D595&amp;E595&amp;F595</f>
        <v/>
      </c>
      <c r="C595" s="1"/>
      <c r="F595" s="146"/>
      <c r="G595" s="146"/>
      <c r="I595" s="158"/>
      <c r="J595" s="158"/>
    </row>
    <row r="596" spans="1:10" hidden="1">
      <c r="A596" s="137" t="str">
        <f>D596&amp;E596&amp;F596</f>
        <v/>
      </c>
      <c r="C596" s="1"/>
      <c r="F596" s="146"/>
      <c r="G596" s="146"/>
      <c r="I596" s="158"/>
      <c r="J596" s="158"/>
    </row>
    <row r="597" spans="1:10" hidden="1">
      <c r="A597" s="137" t="str">
        <f>D597&amp;E597&amp;F597</f>
        <v/>
      </c>
      <c r="C597" s="1"/>
      <c r="F597" s="146"/>
      <c r="G597" s="146"/>
      <c r="I597" s="158"/>
      <c r="J597" s="158"/>
    </row>
    <row r="598" spans="1:10" hidden="1">
      <c r="A598" s="137" t="str">
        <f>D598&amp;E598&amp;F598</f>
        <v/>
      </c>
      <c r="C598" s="1"/>
      <c r="F598" s="146"/>
      <c r="G598" s="146"/>
      <c r="I598" s="158"/>
      <c r="J598" s="158"/>
    </row>
    <row r="599" spans="1:10" hidden="1">
      <c r="A599" s="137" t="str">
        <f>D599&amp;E599&amp;F599</f>
        <v/>
      </c>
      <c r="C599" s="1"/>
      <c r="F599" s="146"/>
      <c r="G599" s="146"/>
      <c r="I599" s="158"/>
      <c r="J599" s="158"/>
    </row>
    <row r="600" spans="1:10" hidden="1">
      <c r="A600" s="137" t="str">
        <f>D600&amp;E600&amp;F600</f>
        <v/>
      </c>
      <c r="C600" s="1"/>
      <c r="F600" s="146"/>
      <c r="G600" s="146"/>
      <c r="I600" s="158"/>
      <c r="J600" s="158"/>
    </row>
    <row r="601" spans="1:10" hidden="1">
      <c r="A601" s="137" t="str">
        <f>D601&amp;E601&amp;F601</f>
        <v/>
      </c>
      <c r="C601" s="1"/>
      <c r="F601" s="146"/>
      <c r="G601" s="146"/>
      <c r="I601" s="158"/>
      <c r="J601" s="158"/>
    </row>
    <row r="602" spans="1:10" hidden="1">
      <c r="A602" s="137" t="str">
        <f>D602&amp;E602&amp;F602</f>
        <v/>
      </c>
      <c r="C602" s="1"/>
      <c r="F602" s="146"/>
      <c r="G602" s="146"/>
      <c r="I602" s="158"/>
      <c r="J602" s="158"/>
    </row>
    <row r="603" spans="1:10" hidden="1">
      <c r="A603" s="137" t="str">
        <f>D603&amp;E603&amp;F603</f>
        <v/>
      </c>
      <c r="C603" s="1"/>
      <c r="F603" s="146"/>
      <c r="G603" s="146"/>
      <c r="I603" s="158"/>
      <c r="J603" s="158"/>
    </row>
    <row r="604" spans="1:10" hidden="1">
      <c r="A604" s="137" t="str">
        <f>D604&amp;E604&amp;F604</f>
        <v/>
      </c>
      <c r="C604" s="1"/>
      <c r="F604" s="146"/>
      <c r="G604" s="146"/>
      <c r="I604" s="158"/>
      <c r="J604" s="158"/>
    </row>
    <row r="605" spans="1:10" hidden="1">
      <c r="A605" s="137" t="str">
        <f>D605&amp;E605&amp;F605</f>
        <v/>
      </c>
      <c r="C605" s="1"/>
      <c r="F605" s="146"/>
      <c r="G605" s="146"/>
      <c r="I605" s="158"/>
      <c r="J605" s="158"/>
    </row>
    <row r="606" spans="1:10" hidden="1">
      <c r="A606" s="137" t="str">
        <f>D606&amp;E606&amp;F606</f>
        <v/>
      </c>
      <c r="C606" s="1"/>
      <c r="F606" s="146"/>
      <c r="G606" s="146"/>
      <c r="I606" s="158"/>
      <c r="J606" s="158"/>
    </row>
    <row r="607" spans="1:10" hidden="1">
      <c r="A607" s="137" t="str">
        <f>D607&amp;E607&amp;F607</f>
        <v/>
      </c>
      <c r="C607" s="1"/>
      <c r="F607" s="146"/>
      <c r="G607" s="146"/>
      <c r="I607" s="158"/>
      <c r="J607" s="158"/>
    </row>
    <row r="608" spans="1:10" hidden="1">
      <c r="A608" s="137" t="str">
        <f>D608&amp;E608&amp;F608</f>
        <v/>
      </c>
      <c r="C608" s="1"/>
      <c r="F608" s="146"/>
      <c r="G608" s="146"/>
      <c r="I608" s="158"/>
      <c r="J608" s="158"/>
    </row>
    <row r="609" spans="1:10" hidden="1">
      <c r="A609" s="137" t="str">
        <f>D609&amp;E609&amp;F609</f>
        <v/>
      </c>
      <c r="C609" s="1"/>
      <c r="F609" s="146"/>
      <c r="G609" s="146"/>
      <c r="I609" s="158"/>
      <c r="J609" s="158"/>
    </row>
    <row r="610" spans="1:10" hidden="1">
      <c r="A610" s="137" t="str">
        <f>D610&amp;E610&amp;F610</f>
        <v/>
      </c>
      <c r="C610" s="1"/>
      <c r="F610" s="146"/>
      <c r="G610" s="146"/>
      <c r="I610" s="158"/>
      <c r="J610" s="158"/>
    </row>
    <row r="611" spans="1:10" hidden="1">
      <c r="A611" s="137" t="str">
        <f>D611&amp;E611&amp;F611</f>
        <v/>
      </c>
      <c r="C611" s="1"/>
      <c r="F611" s="146"/>
      <c r="G611" s="146"/>
      <c r="I611" s="158"/>
      <c r="J611" s="158"/>
    </row>
    <row r="612" spans="1:10" hidden="1">
      <c r="A612" s="137" t="str">
        <f>D612&amp;E612&amp;F612</f>
        <v/>
      </c>
      <c r="C612" s="1"/>
      <c r="F612" s="146"/>
      <c r="G612" s="146"/>
      <c r="I612" s="158"/>
      <c r="J612" s="158"/>
    </row>
    <row r="613" spans="1:10" hidden="1">
      <c r="A613" s="137" t="str">
        <f>D613&amp;E613&amp;F613</f>
        <v/>
      </c>
      <c r="C613" s="1"/>
      <c r="F613" s="146"/>
      <c r="G613" s="146"/>
      <c r="I613" s="158"/>
      <c r="J613" s="158"/>
    </row>
    <row r="614" spans="1:10" hidden="1">
      <c r="A614" s="137" t="str">
        <f>D614&amp;E614&amp;F614</f>
        <v/>
      </c>
      <c r="C614" s="1"/>
      <c r="F614" s="146"/>
      <c r="G614" s="146"/>
      <c r="I614" s="158"/>
      <c r="J614" s="158"/>
    </row>
    <row r="615" spans="1:10" hidden="1">
      <c r="A615" s="137" t="str">
        <f>D615&amp;E615&amp;F615</f>
        <v/>
      </c>
      <c r="C615" s="1"/>
      <c r="F615" s="146"/>
      <c r="G615" s="146"/>
      <c r="I615" s="158"/>
      <c r="J615" s="158"/>
    </row>
    <row r="616" spans="1:10" hidden="1">
      <c r="A616" s="137" t="str">
        <f>D616&amp;E616&amp;F616</f>
        <v/>
      </c>
      <c r="C616" s="1"/>
      <c r="F616" s="146"/>
      <c r="G616" s="146"/>
      <c r="I616" s="158"/>
      <c r="J616" s="158"/>
    </row>
    <row r="617" spans="1:10" hidden="1">
      <c r="A617" s="137" t="str">
        <f>D617&amp;E617&amp;F617</f>
        <v/>
      </c>
      <c r="C617" s="1"/>
      <c r="F617" s="146"/>
      <c r="G617" s="146"/>
      <c r="I617" s="158"/>
      <c r="J617" s="158"/>
    </row>
    <row r="618" spans="1:10" hidden="1">
      <c r="A618" s="137" t="str">
        <f>D618&amp;E618&amp;F618</f>
        <v/>
      </c>
      <c r="C618" s="1"/>
      <c r="F618" s="146"/>
      <c r="G618" s="146"/>
      <c r="I618" s="158"/>
      <c r="J618" s="158"/>
    </row>
    <row r="619" spans="1:10" hidden="1">
      <c r="A619" s="137" t="str">
        <f>D619&amp;E619&amp;F619</f>
        <v/>
      </c>
      <c r="C619" s="1"/>
      <c r="F619" s="146"/>
      <c r="G619" s="146"/>
      <c r="I619" s="158"/>
      <c r="J619" s="158"/>
    </row>
    <row r="620" spans="1:10" hidden="1">
      <c r="A620" s="137" t="str">
        <f>D620&amp;E620&amp;F620</f>
        <v/>
      </c>
      <c r="C620" s="1"/>
      <c r="F620" s="146"/>
      <c r="G620" s="146"/>
      <c r="I620" s="158"/>
      <c r="J620" s="158"/>
    </row>
    <row r="621" spans="1:10" hidden="1">
      <c r="A621" s="137" t="str">
        <f>D621&amp;E621&amp;F621</f>
        <v/>
      </c>
      <c r="C621" s="1"/>
      <c r="F621" s="146"/>
      <c r="G621" s="146"/>
      <c r="I621" s="158"/>
      <c r="J621" s="158"/>
    </row>
    <row r="622" spans="1:10" hidden="1">
      <c r="A622" s="137" t="str">
        <f>D622&amp;E622&amp;F622</f>
        <v/>
      </c>
      <c r="C622" s="1"/>
      <c r="F622" s="146"/>
      <c r="G622" s="146"/>
      <c r="I622" s="158"/>
      <c r="J622" s="158"/>
    </row>
    <row r="623" spans="1:10" hidden="1">
      <c r="A623" s="137" t="str">
        <f>D623&amp;E623&amp;F623</f>
        <v/>
      </c>
      <c r="C623" s="1"/>
      <c r="F623" s="146"/>
      <c r="G623" s="146"/>
      <c r="I623" s="158"/>
      <c r="J623" s="158"/>
    </row>
    <row r="624" spans="1:10" hidden="1">
      <c r="A624" s="137" t="str">
        <f>D624&amp;E624&amp;F624</f>
        <v/>
      </c>
      <c r="C624" s="1"/>
      <c r="F624" s="146"/>
      <c r="G624" s="146"/>
      <c r="I624" s="158"/>
      <c r="J624" s="158"/>
    </row>
    <row r="625" spans="1:10" hidden="1">
      <c r="A625" s="137" t="str">
        <f>D625&amp;E625&amp;F625</f>
        <v/>
      </c>
      <c r="C625" s="1"/>
      <c r="F625" s="146"/>
      <c r="G625" s="146"/>
      <c r="I625" s="158"/>
      <c r="J625" s="158"/>
    </row>
    <row r="626" spans="1:10" hidden="1">
      <c r="A626" s="137" t="str">
        <f>D626&amp;E626&amp;F626</f>
        <v/>
      </c>
      <c r="C626" s="1"/>
      <c r="F626" s="146"/>
      <c r="G626" s="146"/>
      <c r="I626" s="158"/>
      <c r="J626" s="158"/>
    </row>
    <row r="627" spans="1:10" hidden="1">
      <c r="A627" s="137" t="str">
        <f>D627&amp;E627&amp;F627</f>
        <v/>
      </c>
      <c r="C627" s="1"/>
      <c r="F627" s="146"/>
      <c r="G627" s="146"/>
      <c r="I627" s="158"/>
      <c r="J627" s="158"/>
    </row>
    <row r="628" spans="1:10" hidden="1">
      <c r="A628" s="137" t="str">
        <f>D628&amp;E628&amp;F628</f>
        <v/>
      </c>
      <c r="B628" t="s">
        <v>3214</v>
      </c>
      <c r="C628" s="1"/>
      <c r="F628" s="146"/>
      <c r="G628" s="146"/>
      <c r="I628" s="158"/>
      <c r="J628" s="158"/>
    </row>
    <row r="629" spans="1:10" hidden="1">
      <c r="A629" s="137" t="str">
        <f>D629&amp;E629&amp;F629</f>
        <v/>
      </c>
      <c r="B629" t="s">
        <v>3214</v>
      </c>
      <c r="C629" s="1"/>
      <c r="F629" s="146"/>
      <c r="G629" s="146"/>
      <c r="I629" s="158"/>
      <c r="J629" s="158"/>
    </row>
    <row r="630" spans="1:10" hidden="1">
      <c r="A630" s="137" t="str">
        <f>D630&amp;E630&amp;F630</f>
        <v/>
      </c>
      <c r="B630" t="s">
        <v>3214</v>
      </c>
      <c r="C630" s="1"/>
      <c r="F630" s="146"/>
      <c r="G630" s="146"/>
      <c r="I630" s="158"/>
      <c r="J630" s="158"/>
    </row>
    <row r="631" spans="1:10" hidden="1">
      <c r="A631" s="137" t="str">
        <f>D631&amp;E631&amp;F631</f>
        <v/>
      </c>
      <c r="B631" t="s">
        <v>3214</v>
      </c>
      <c r="C631" s="1"/>
      <c r="F631" s="146"/>
      <c r="G631" s="146"/>
      <c r="I631" s="158"/>
      <c r="J631" s="158"/>
    </row>
    <row r="632" spans="1:10" hidden="1">
      <c r="A632" s="137" t="str">
        <f>D632&amp;E632&amp;F632</f>
        <v/>
      </c>
      <c r="B632" t="s">
        <v>3214</v>
      </c>
      <c r="C632" s="1"/>
      <c r="F632" s="146"/>
      <c r="G632" s="146"/>
      <c r="I632" s="158"/>
      <c r="J632" s="158"/>
    </row>
    <row r="633" spans="1:10" hidden="1">
      <c r="A633" s="137" t="str">
        <f>D633&amp;E633&amp;F633</f>
        <v/>
      </c>
      <c r="B633" t="s">
        <v>3214</v>
      </c>
      <c r="C633" s="1"/>
      <c r="F633" s="146"/>
      <c r="G633" s="146"/>
      <c r="I633" s="158"/>
      <c r="J633" s="158"/>
    </row>
    <row r="634" spans="1:10" hidden="1">
      <c r="A634" s="137" t="str">
        <f>D634&amp;E634&amp;F634</f>
        <v/>
      </c>
      <c r="B634" t="s">
        <v>3214</v>
      </c>
      <c r="C634" s="1"/>
      <c r="F634" s="146"/>
      <c r="G634" s="146"/>
      <c r="I634" s="158"/>
      <c r="J634" s="158"/>
    </row>
    <row r="635" spans="1:10" hidden="1">
      <c r="A635" s="137" t="str">
        <f>D635&amp;E635&amp;F635</f>
        <v/>
      </c>
      <c r="B635" t="s">
        <v>3214</v>
      </c>
      <c r="C635" s="1"/>
      <c r="F635" s="146"/>
      <c r="G635" s="146"/>
      <c r="I635" s="158"/>
      <c r="J635" s="158"/>
    </row>
    <row r="636" spans="1:10" hidden="1">
      <c r="A636" s="137" t="str">
        <f>D636&amp;E636&amp;F636</f>
        <v/>
      </c>
      <c r="B636" t="s">
        <v>3214</v>
      </c>
      <c r="C636" s="1"/>
      <c r="F636" s="146"/>
      <c r="G636" s="146"/>
      <c r="I636" s="158"/>
      <c r="J636" s="158"/>
    </row>
    <row r="637" spans="1:10" hidden="1">
      <c r="A637" s="137" t="str">
        <f>D637&amp;E637&amp;F637</f>
        <v/>
      </c>
      <c r="B637" t="s">
        <v>3214</v>
      </c>
      <c r="C637" s="1"/>
      <c r="F637" s="146"/>
      <c r="G637" s="146"/>
      <c r="I637" s="158"/>
      <c r="J637" s="158"/>
    </row>
    <row r="638" spans="1:10" hidden="1">
      <c r="A638" s="137" t="str">
        <f>D638&amp;E638&amp;F638</f>
        <v/>
      </c>
      <c r="B638" t="s">
        <v>3214</v>
      </c>
      <c r="C638" s="1"/>
      <c r="F638" s="146"/>
      <c r="G638" s="146"/>
      <c r="I638" s="158"/>
      <c r="J638" s="158"/>
    </row>
    <row r="639" spans="1:10" hidden="1">
      <c r="A639" s="137" t="str">
        <f>D639&amp;E639&amp;F639</f>
        <v/>
      </c>
      <c r="B639" t="s">
        <v>3214</v>
      </c>
      <c r="C639" s="1"/>
      <c r="F639" s="146"/>
      <c r="G639" s="146"/>
      <c r="I639" s="158"/>
      <c r="J639" s="158"/>
    </row>
    <row r="640" spans="1:10" hidden="1">
      <c r="A640" s="137" t="str">
        <f>D640&amp;E640&amp;F640</f>
        <v/>
      </c>
      <c r="B640" t="s">
        <v>3214</v>
      </c>
      <c r="C640" s="1"/>
      <c r="F640" s="146"/>
      <c r="G640" s="146"/>
      <c r="I640" s="158"/>
      <c r="J640" s="158"/>
    </row>
    <row r="641" spans="1:10" hidden="1">
      <c r="A641" s="137" t="str">
        <f>D641&amp;E641&amp;F641</f>
        <v/>
      </c>
      <c r="B641" t="s">
        <v>3214</v>
      </c>
      <c r="C641" s="1"/>
      <c r="F641" s="146"/>
      <c r="G641" s="146"/>
      <c r="I641" s="158"/>
      <c r="J641" s="158"/>
    </row>
    <row r="642" spans="1:10" hidden="1">
      <c r="A642" s="137" t="str">
        <f>D642&amp;E642&amp;F642</f>
        <v/>
      </c>
      <c r="B642" t="s">
        <v>3214</v>
      </c>
      <c r="C642" s="1"/>
      <c r="F642" s="146"/>
      <c r="G642" s="146"/>
      <c r="I642" s="158"/>
      <c r="J642" s="158"/>
    </row>
    <row r="643" spans="1:10" hidden="1">
      <c r="A643" s="137" t="str">
        <f>D643&amp;E643&amp;F643</f>
        <v/>
      </c>
      <c r="B643" t="s">
        <v>3214</v>
      </c>
      <c r="C643" s="1"/>
      <c r="F643" s="146"/>
      <c r="G643" s="146"/>
      <c r="I643" s="158"/>
      <c r="J643" s="158"/>
    </row>
    <row r="644" spans="1:10" hidden="1">
      <c r="A644" s="137" t="str">
        <f>D644&amp;E644&amp;F644</f>
        <v/>
      </c>
      <c r="B644" t="s">
        <v>3214</v>
      </c>
      <c r="C644" s="1"/>
      <c r="F644" s="146"/>
      <c r="G644" s="146"/>
      <c r="I644" s="158"/>
      <c r="J644" s="158"/>
    </row>
    <row r="645" spans="1:10" hidden="1">
      <c r="A645" s="137" t="str">
        <f>D645&amp;E645&amp;F645</f>
        <v/>
      </c>
      <c r="B645" t="s">
        <v>3214</v>
      </c>
      <c r="C645" s="1"/>
      <c r="F645" s="146"/>
      <c r="G645" s="146"/>
      <c r="I645" s="158"/>
      <c r="J645" s="158"/>
    </row>
    <row r="646" spans="1:10" hidden="1">
      <c r="A646" s="137" t="str">
        <f>D646&amp;E646&amp;F646</f>
        <v/>
      </c>
      <c r="B646" t="s">
        <v>3214</v>
      </c>
      <c r="C646" s="1"/>
      <c r="F646" s="146"/>
      <c r="G646" s="146"/>
      <c r="I646" s="158"/>
      <c r="J646" s="158"/>
    </row>
    <row r="647" spans="1:10" hidden="1">
      <c r="A647" s="137" t="str">
        <f>D647&amp;E647&amp;F647</f>
        <v/>
      </c>
      <c r="B647" t="s">
        <v>3214</v>
      </c>
      <c r="C647" s="1"/>
      <c r="F647" s="146"/>
      <c r="G647" s="146"/>
      <c r="I647" s="158"/>
      <c r="J647" s="158"/>
    </row>
    <row r="648" spans="1:10" hidden="1">
      <c r="A648" s="137" t="str">
        <f>D648&amp;E648&amp;F648</f>
        <v/>
      </c>
      <c r="B648" t="s">
        <v>3214</v>
      </c>
      <c r="C648" s="1"/>
      <c r="F648" s="146"/>
      <c r="G648" s="146"/>
      <c r="I648" s="158"/>
      <c r="J648" s="158"/>
    </row>
    <row r="649" spans="1:10" hidden="1">
      <c r="A649" s="137" t="str">
        <f>D649&amp;E649&amp;F649</f>
        <v/>
      </c>
      <c r="B649" t="s">
        <v>3214</v>
      </c>
      <c r="C649" s="1"/>
      <c r="F649" s="146"/>
      <c r="G649" s="146"/>
      <c r="I649" s="158"/>
      <c r="J649" s="158"/>
    </row>
    <row r="650" spans="1:10" hidden="1">
      <c r="A650" s="137" t="str">
        <f>D650&amp;E650&amp;F650</f>
        <v/>
      </c>
      <c r="B650" t="s">
        <v>3214</v>
      </c>
      <c r="C650" s="1"/>
      <c r="F650" s="146"/>
      <c r="G650" s="146"/>
      <c r="I650" s="158"/>
      <c r="J650" s="158"/>
    </row>
    <row r="651" spans="1:10" hidden="1">
      <c r="A651" s="137" t="str">
        <f>D651&amp;E651&amp;F651</f>
        <v/>
      </c>
      <c r="B651" t="s">
        <v>3214</v>
      </c>
      <c r="C651" s="1"/>
      <c r="F651" s="146"/>
      <c r="G651" s="146"/>
      <c r="I651" s="158"/>
      <c r="J651" s="158"/>
    </row>
    <row r="652" spans="1:10" hidden="1">
      <c r="A652" s="137" t="str">
        <f>D652&amp;E652&amp;F652</f>
        <v/>
      </c>
      <c r="B652" t="s">
        <v>3214</v>
      </c>
      <c r="C652" s="1"/>
      <c r="F652" s="146"/>
      <c r="G652" s="146"/>
      <c r="I652" s="158"/>
      <c r="J652" s="158"/>
    </row>
    <row r="653" spans="1:10" hidden="1">
      <c r="A653" s="137" t="str">
        <f>D653&amp;E653&amp;F653</f>
        <v/>
      </c>
      <c r="B653" t="s">
        <v>3214</v>
      </c>
      <c r="C653" s="1"/>
      <c r="F653" s="146"/>
      <c r="G653" s="146"/>
      <c r="I653" s="158"/>
      <c r="J653" s="158"/>
    </row>
    <row r="654" spans="1:10" hidden="1">
      <c r="A654" s="137" t="str">
        <f>D654&amp;E654&amp;F654</f>
        <v/>
      </c>
      <c r="B654" t="s">
        <v>3214</v>
      </c>
      <c r="C654" s="1"/>
      <c r="F654" s="146"/>
      <c r="G654" s="146"/>
      <c r="I654" s="158"/>
      <c r="J654" s="158"/>
    </row>
    <row r="655" spans="1:10" hidden="1">
      <c r="A655" s="137" t="str">
        <f>D655&amp;E655&amp;F655</f>
        <v/>
      </c>
      <c r="B655" t="s">
        <v>3214</v>
      </c>
      <c r="C655" s="1"/>
      <c r="F655" s="146"/>
      <c r="G655" s="146"/>
      <c r="I655" s="158"/>
      <c r="J655" s="158"/>
    </row>
    <row r="656" spans="1:10" hidden="1">
      <c r="A656" s="137" t="str">
        <f>D656&amp;E656&amp;F656</f>
        <v/>
      </c>
      <c r="B656" t="s">
        <v>3214</v>
      </c>
      <c r="C656" s="1"/>
      <c r="F656" s="146"/>
      <c r="G656" s="146"/>
      <c r="I656" s="158"/>
      <c r="J656" s="158"/>
    </row>
    <row r="657" spans="1:10" hidden="1">
      <c r="A657" s="137" t="str">
        <f>D657&amp;E657&amp;F657</f>
        <v/>
      </c>
      <c r="B657" t="s">
        <v>3214</v>
      </c>
      <c r="C657" s="1"/>
      <c r="F657" s="146"/>
      <c r="G657" s="146"/>
      <c r="I657" s="158"/>
      <c r="J657" s="158"/>
    </row>
    <row r="658" spans="1:10" hidden="1">
      <c r="A658" s="137" t="str">
        <f>D658&amp;E658&amp;F658</f>
        <v/>
      </c>
      <c r="B658" t="s">
        <v>3214</v>
      </c>
      <c r="C658" s="1"/>
      <c r="F658" s="146"/>
      <c r="G658" s="146"/>
      <c r="I658" s="158"/>
      <c r="J658" s="158"/>
    </row>
    <row r="659" spans="1:10" hidden="1">
      <c r="A659" s="137" t="str">
        <f>D659&amp;E659&amp;F659</f>
        <v/>
      </c>
      <c r="B659" t="s">
        <v>3214</v>
      </c>
      <c r="C659" s="1"/>
      <c r="F659" s="146"/>
      <c r="G659" s="146"/>
      <c r="I659" s="158"/>
      <c r="J659" s="158"/>
    </row>
    <row r="660" spans="1:10" hidden="1">
      <c r="A660" s="137" t="str">
        <f>D660&amp;E660&amp;F660</f>
        <v/>
      </c>
      <c r="B660" t="s">
        <v>3214</v>
      </c>
      <c r="C660" s="1"/>
      <c r="F660" s="146"/>
      <c r="G660" s="146"/>
      <c r="I660" s="158"/>
      <c r="J660" s="158"/>
    </row>
    <row r="661" spans="1:10" hidden="1">
      <c r="A661" s="137" t="str">
        <f>D661&amp;E661&amp;F661</f>
        <v/>
      </c>
      <c r="B661" t="s">
        <v>3214</v>
      </c>
      <c r="C661" s="1"/>
      <c r="F661" s="146"/>
      <c r="G661" s="146"/>
      <c r="I661" s="158"/>
      <c r="J661" s="158"/>
    </row>
    <row r="662" spans="1:10" hidden="1">
      <c r="A662" s="137" t="str">
        <f>D662&amp;E662&amp;F662</f>
        <v/>
      </c>
      <c r="B662" t="s">
        <v>3214</v>
      </c>
      <c r="C662" s="1"/>
      <c r="F662" s="146"/>
      <c r="G662" s="146"/>
      <c r="I662" s="158"/>
      <c r="J662" s="158"/>
    </row>
    <row r="663" spans="1:10" hidden="1">
      <c r="A663" s="137" t="str">
        <f>D663&amp;E663&amp;F663</f>
        <v/>
      </c>
      <c r="B663" t="s">
        <v>3214</v>
      </c>
      <c r="C663" s="1"/>
      <c r="F663" s="146"/>
      <c r="G663" s="146"/>
      <c r="I663" s="158"/>
      <c r="J663" s="158"/>
    </row>
    <row r="664" spans="1:10" hidden="1">
      <c r="A664" s="137" t="str">
        <f>D664&amp;E664&amp;F664</f>
        <v/>
      </c>
      <c r="B664" t="s">
        <v>3214</v>
      </c>
      <c r="C664" s="1"/>
      <c r="F664" s="146"/>
      <c r="G664" s="146"/>
      <c r="I664" s="158"/>
      <c r="J664" s="158"/>
    </row>
    <row r="665" spans="1:10" hidden="1">
      <c r="A665" s="137" t="str">
        <f>D665&amp;E665&amp;F665</f>
        <v/>
      </c>
      <c r="B665" t="s">
        <v>3214</v>
      </c>
      <c r="C665" s="1"/>
      <c r="F665" s="146"/>
      <c r="G665" s="146"/>
      <c r="I665" s="158"/>
      <c r="J665" s="158"/>
    </row>
    <row r="666" spans="1:10" hidden="1">
      <c r="A666" s="137" t="str">
        <f>D666&amp;E666&amp;F666</f>
        <v/>
      </c>
      <c r="B666" t="s">
        <v>3214</v>
      </c>
      <c r="C666" s="1"/>
      <c r="F666" s="146"/>
      <c r="G666" s="146"/>
      <c r="I666" s="158"/>
      <c r="J666" s="158"/>
    </row>
    <row r="667" spans="1:10" hidden="1">
      <c r="A667" s="137" t="str">
        <f>D667&amp;E667&amp;F667</f>
        <v/>
      </c>
      <c r="B667" t="s">
        <v>3214</v>
      </c>
      <c r="C667" s="1"/>
      <c r="F667" s="146"/>
      <c r="G667" s="146"/>
      <c r="I667" s="158"/>
      <c r="J667" s="158"/>
    </row>
    <row r="668" spans="1:10" hidden="1">
      <c r="A668" s="137" t="str">
        <f>D668&amp;E668&amp;F668</f>
        <v/>
      </c>
      <c r="B668" t="s">
        <v>3214</v>
      </c>
      <c r="C668" s="1"/>
      <c r="F668" s="146"/>
      <c r="G668" s="146"/>
      <c r="I668" s="158"/>
      <c r="J668" s="158"/>
    </row>
    <row r="669" spans="1:10" hidden="1">
      <c r="A669" s="137" t="str">
        <f>D669&amp;E669&amp;F669</f>
        <v/>
      </c>
      <c r="B669" t="s">
        <v>3214</v>
      </c>
      <c r="C669" s="1"/>
      <c r="F669" s="146"/>
      <c r="G669" s="146"/>
      <c r="I669" s="158"/>
      <c r="J669" s="158"/>
    </row>
    <row r="670" spans="1:10" hidden="1">
      <c r="A670" s="137" t="str">
        <f>D670&amp;E670&amp;F670</f>
        <v/>
      </c>
      <c r="B670" t="s">
        <v>3214</v>
      </c>
      <c r="C670" s="1"/>
      <c r="F670" s="146"/>
      <c r="G670" s="146"/>
      <c r="I670" s="158"/>
      <c r="J670" s="158"/>
    </row>
    <row r="671" spans="1:10" hidden="1">
      <c r="A671" s="137" t="str">
        <f>D671&amp;E671&amp;F671</f>
        <v/>
      </c>
      <c r="B671" t="s">
        <v>3214</v>
      </c>
      <c r="C671" s="1"/>
      <c r="F671" s="146"/>
      <c r="G671" s="146"/>
      <c r="I671" s="158"/>
      <c r="J671" s="158"/>
    </row>
    <row r="672" spans="1:10" hidden="1">
      <c r="A672" s="137" t="str">
        <f>D672&amp;E672&amp;F672</f>
        <v/>
      </c>
      <c r="B672" t="s">
        <v>3214</v>
      </c>
      <c r="C672" s="1"/>
      <c r="F672" s="146"/>
      <c r="G672" s="146"/>
      <c r="I672" s="158"/>
      <c r="J672" s="158"/>
    </row>
    <row r="673" spans="1:10" hidden="1">
      <c r="A673" s="137" t="str">
        <f>D673&amp;E673&amp;F673</f>
        <v/>
      </c>
      <c r="B673" t="s">
        <v>3214</v>
      </c>
      <c r="C673" s="1"/>
      <c r="F673" s="146"/>
      <c r="G673" s="146"/>
      <c r="I673" s="158"/>
      <c r="J673" s="158"/>
    </row>
    <row r="674" spans="1:10" hidden="1">
      <c r="A674" s="137" t="str">
        <f>D674&amp;E674&amp;F674</f>
        <v/>
      </c>
      <c r="B674" t="s">
        <v>3214</v>
      </c>
      <c r="C674" s="1"/>
      <c r="F674" s="146"/>
      <c r="G674" s="146"/>
      <c r="I674" s="158"/>
      <c r="J674" s="158"/>
    </row>
    <row r="675" spans="1:10" hidden="1">
      <c r="A675" s="137" t="str">
        <f>D675&amp;E675&amp;F675</f>
        <v/>
      </c>
      <c r="B675" t="s">
        <v>3214</v>
      </c>
      <c r="C675" s="1"/>
      <c r="F675" s="146"/>
      <c r="G675" s="146"/>
      <c r="I675" s="158"/>
      <c r="J675" s="158"/>
    </row>
    <row r="676" spans="1:10" hidden="1">
      <c r="A676" s="137" t="str">
        <f>D676&amp;E676&amp;F676</f>
        <v/>
      </c>
      <c r="B676" t="s">
        <v>3214</v>
      </c>
      <c r="C676" s="1"/>
      <c r="F676" s="146"/>
      <c r="G676" s="146"/>
      <c r="I676" s="158"/>
      <c r="J676" s="158"/>
    </row>
    <row r="677" spans="1:10" hidden="1">
      <c r="A677" s="137" t="str">
        <f>D677&amp;E677&amp;F677</f>
        <v/>
      </c>
      <c r="B677" t="s">
        <v>3214</v>
      </c>
      <c r="C677" s="1"/>
      <c r="F677" s="146"/>
      <c r="G677" s="146"/>
      <c r="I677" s="158"/>
      <c r="J677" s="158"/>
    </row>
    <row r="678" spans="1:10" hidden="1">
      <c r="A678" s="137" t="str">
        <f>D678&amp;E678&amp;F678</f>
        <v/>
      </c>
      <c r="B678" t="s">
        <v>3214</v>
      </c>
      <c r="C678" s="1"/>
      <c r="F678" s="146"/>
      <c r="G678" s="146"/>
      <c r="I678" s="158"/>
      <c r="J678" s="158"/>
    </row>
    <row r="679" spans="1:10" hidden="1">
      <c r="A679" s="137" t="str">
        <f>D679&amp;E679&amp;F679</f>
        <v/>
      </c>
      <c r="B679" t="s">
        <v>3214</v>
      </c>
      <c r="C679" s="1"/>
      <c r="F679" s="146"/>
      <c r="G679" s="146"/>
      <c r="I679" s="158"/>
      <c r="J679" s="158"/>
    </row>
    <row r="680" spans="1:10" hidden="1">
      <c r="A680" s="137" t="str">
        <f>D680&amp;E680&amp;F680</f>
        <v/>
      </c>
      <c r="B680" t="s">
        <v>3214</v>
      </c>
      <c r="C680" s="1"/>
      <c r="F680" s="146"/>
      <c r="G680" s="146"/>
      <c r="I680" s="158"/>
      <c r="J680" s="158"/>
    </row>
    <row r="681" spans="1:10" hidden="1">
      <c r="A681" s="137" t="str">
        <f>D681&amp;E681&amp;F681</f>
        <v/>
      </c>
      <c r="B681" t="s">
        <v>3214</v>
      </c>
      <c r="C681" s="1"/>
      <c r="F681" s="146"/>
      <c r="G681" s="146"/>
      <c r="I681" s="158"/>
      <c r="J681" s="158"/>
    </row>
    <row r="682" spans="1:10" hidden="1">
      <c r="A682" s="137" t="str">
        <f>D682&amp;E682&amp;F682</f>
        <v/>
      </c>
      <c r="B682" t="s">
        <v>3214</v>
      </c>
      <c r="C682" s="1"/>
      <c r="F682" s="146"/>
      <c r="G682" s="146"/>
      <c r="I682" s="158"/>
      <c r="J682" s="158"/>
    </row>
    <row r="683" spans="1:10" hidden="1">
      <c r="A683" s="137" t="str">
        <f>D683&amp;E683&amp;F683</f>
        <v/>
      </c>
      <c r="B683" t="s">
        <v>3214</v>
      </c>
      <c r="C683" s="1"/>
      <c r="F683" s="146"/>
      <c r="G683" s="146"/>
      <c r="I683" s="158"/>
      <c r="J683" s="158"/>
    </row>
    <row r="684" spans="1:10" hidden="1">
      <c r="A684" s="137" t="str">
        <f>D684&amp;E684&amp;F684</f>
        <v/>
      </c>
      <c r="B684" t="s">
        <v>3214</v>
      </c>
      <c r="C684" s="1"/>
      <c r="F684" s="146"/>
      <c r="G684" s="146"/>
      <c r="I684" s="158"/>
      <c r="J684" s="158"/>
    </row>
    <row r="685" spans="1:10" hidden="1">
      <c r="A685" s="137" t="str">
        <f>D685&amp;E685&amp;F685</f>
        <v/>
      </c>
      <c r="B685" t="s">
        <v>3214</v>
      </c>
      <c r="C685" s="1"/>
      <c r="F685" s="146"/>
      <c r="G685" s="146"/>
      <c r="I685" s="158"/>
      <c r="J685" s="158"/>
    </row>
    <row r="686" spans="1:10" hidden="1">
      <c r="A686" s="137" t="str">
        <f>D686&amp;E686&amp;F686</f>
        <v/>
      </c>
      <c r="B686" t="s">
        <v>3214</v>
      </c>
      <c r="C686" s="1"/>
      <c r="F686" s="146"/>
      <c r="G686" s="146"/>
      <c r="I686" s="158"/>
      <c r="J686" s="158"/>
    </row>
    <row r="687" spans="1:10" hidden="1">
      <c r="A687" s="137" t="str">
        <f>D687&amp;E687&amp;F687</f>
        <v/>
      </c>
      <c r="B687" t="s">
        <v>3214</v>
      </c>
      <c r="C687" s="1"/>
      <c r="F687" s="146"/>
      <c r="G687" s="146"/>
      <c r="I687" s="158"/>
      <c r="J687" s="158"/>
    </row>
    <row r="688" spans="1:10" hidden="1">
      <c r="A688" s="137" t="str">
        <f>D688&amp;E688&amp;F688</f>
        <v/>
      </c>
      <c r="B688" t="s">
        <v>3214</v>
      </c>
      <c r="C688" s="1"/>
      <c r="F688" s="146"/>
      <c r="G688" s="146"/>
      <c r="I688" s="158"/>
      <c r="J688" s="158"/>
    </row>
    <row r="689" spans="1:10" hidden="1">
      <c r="A689" s="137" t="str">
        <f>D689&amp;E689&amp;F689</f>
        <v/>
      </c>
      <c r="B689" t="s">
        <v>3214</v>
      </c>
      <c r="C689" s="1"/>
      <c r="F689" s="146"/>
      <c r="G689" s="146"/>
      <c r="I689" s="158"/>
      <c r="J689" s="158"/>
    </row>
    <row r="690" spans="1:10" hidden="1">
      <c r="A690" s="137" t="str">
        <f>D690&amp;E690&amp;F690</f>
        <v/>
      </c>
      <c r="B690" t="s">
        <v>3214</v>
      </c>
      <c r="C690" s="1"/>
      <c r="F690" s="146"/>
      <c r="G690" s="146"/>
      <c r="I690" s="158"/>
      <c r="J690" s="158"/>
    </row>
    <row r="691" spans="1:10" hidden="1">
      <c r="A691" s="137" t="str">
        <f>D691&amp;E691&amp;F691</f>
        <v/>
      </c>
      <c r="B691" t="s">
        <v>3214</v>
      </c>
      <c r="C691" s="1"/>
      <c r="F691" s="146"/>
      <c r="G691" s="146"/>
      <c r="I691" s="158"/>
      <c r="J691" s="158"/>
    </row>
    <row r="692" spans="1:10" hidden="1">
      <c r="A692" s="137" t="str">
        <f>D692&amp;E692&amp;F692</f>
        <v/>
      </c>
      <c r="B692" t="s">
        <v>3214</v>
      </c>
      <c r="C692" s="1"/>
      <c r="F692" s="146"/>
      <c r="G692" s="146"/>
      <c r="I692" s="158"/>
      <c r="J692" s="158"/>
    </row>
    <row r="693" spans="1:10" hidden="1">
      <c r="A693" s="137" t="str">
        <f>D693&amp;E693&amp;F693</f>
        <v/>
      </c>
      <c r="B693" t="s">
        <v>3214</v>
      </c>
      <c r="C693" s="1"/>
      <c r="F693" s="146"/>
      <c r="G693" s="146"/>
      <c r="I693" s="158"/>
      <c r="J693" s="158"/>
    </row>
    <row r="694" spans="1:10" hidden="1">
      <c r="A694" s="137" t="str">
        <f>D694&amp;E694&amp;F694</f>
        <v/>
      </c>
      <c r="B694" t="s">
        <v>3214</v>
      </c>
      <c r="C694" s="1"/>
      <c r="F694" s="146"/>
      <c r="G694" s="146"/>
      <c r="I694" s="158"/>
      <c r="J694" s="158"/>
    </row>
    <row r="695" spans="1:10" hidden="1">
      <c r="A695" s="137" t="str">
        <f>D695&amp;E695&amp;F695</f>
        <v/>
      </c>
      <c r="B695" t="s">
        <v>3214</v>
      </c>
      <c r="C695" s="1"/>
      <c r="F695" s="146"/>
      <c r="G695" s="146"/>
      <c r="I695" s="158"/>
      <c r="J695" s="158"/>
    </row>
    <row r="696" spans="1:10" hidden="1">
      <c r="A696" s="137" t="str">
        <f>D696&amp;E696&amp;F696</f>
        <v/>
      </c>
      <c r="B696" t="s">
        <v>3214</v>
      </c>
      <c r="C696" s="1"/>
      <c r="F696" s="146"/>
      <c r="G696" s="146"/>
      <c r="I696" s="158"/>
      <c r="J696" s="158"/>
    </row>
    <row r="697" spans="1:10" hidden="1">
      <c r="A697" s="137" t="str">
        <f>D697&amp;E697&amp;F697</f>
        <v/>
      </c>
      <c r="B697" t="s">
        <v>3214</v>
      </c>
      <c r="C697" s="1"/>
      <c r="F697" s="146"/>
      <c r="G697" s="146"/>
      <c r="I697" s="158"/>
      <c r="J697" s="158"/>
    </row>
    <row r="698" spans="1:10" hidden="1">
      <c r="A698" s="137" t="str">
        <f>D698&amp;E698&amp;F698</f>
        <v/>
      </c>
      <c r="B698" t="s">
        <v>3214</v>
      </c>
      <c r="C698" s="1"/>
      <c r="F698" s="146"/>
      <c r="G698" s="146"/>
      <c r="I698" s="158"/>
      <c r="J698" s="158"/>
    </row>
    <row r="699" spans="1:10" hidden="1">
      <c r="A699" s="137" t="str">
        <f>D699&amp;E699&amp;F699</f>
        <v/>
      </c>
      <c r="B699" t="s">
        <v>3214</v>
      </c>
      <c r="C699" s="1"/>
      <c r="F699" s="146"/>
      <c r="G699" s="146"/>
      <c r="I699" s="158"/>
      <c r="J699" s="158"/>
    </row>
    <row r="700" spans="1:10" hidden="1">
      <c r="A700" s="137" t="str">
        <f>D700&amp;E700&amp;F700</f>
        <v/>
      </c>
      <c r="B700" t="s">
        <v>3214</v>
      </c>
      <c r="C700" s="1"/>
      <c r="F700" s="146"/>
      <c r="G700" s="146"/>
      <c r="I700" s="158"/>
      <c r="J700" s="158"/>
    </row>
    <row r="701" spans="1:10" hidden="1">
      <c r="A701" s="137" t="str">
        <f>D701&amp;E701&amp;F701</f>
        <v/>
      </c>
      <c r="B701" t="s">
        <v>3214</v>
      </c>
      <c r="C701" s="1"/>
      <c r="F701" s="146"/>
      <c r="G701" s="146"/>
      <c r="I701" s="158"/>
      <c r="J701" s="158"/>
    </row>
    <row r="702" spans="1:10" hidden="1">
      <c r="A702" s="137" t="str">
        <f>D702&amp;E702&amp;F702</f>
        <v/>
      </c>
      <c r="B702" t="s">
        <v>3214</v>
      </c>
      <c r="C702" s="1"/>
      <c r="F702" s="146"/>
      <c r="G702" s="146"/>
      <c r="I702" s="158"/>
      <c r="J702" s="158"/>
    </row>
    <row r="703" spans="1:10" hidden="1">
      <c r="A703" s="137" t="str">
        <f>D703&amp;E703&amp;F703</f>
        <v/>
      </c>
      <c r="B703" t="s">
        <v>3214</v>
      </c>
      <c r="C703" s="1"/>
      <c r="F703" s="146"/>
      <c r="G703" s="146"/>
      <c r="I703" s="158"/>
      <c r="J703" s="158"/>
    </row>
    <row r="704" spans="1:10" hidden="1">
      <c r="A704" s="137" t="str">
        <f>D704&amp;E704&amp;F704</f>
        <v/>
      </c>
      <c r="B704" t="s">
        <v>3214</v>
      </c>
      <c r="C704" s="1"/>
      <c r="F704" s="146"/>
      <c r="G704" s="146"/>
      <c r="I704" s="158"/>
      <c r="J704" s="158"/>
    </row>
    <row r="705" spans="1:10" hidden="1">
      <c r="A705" s="137" t="str">
        <f>D705&amp;E705&amp;F705</f>
        <v/>
      </c>
      <c r="B705" t="s">
        <v>3214</v>
      </c>
      <c r="C705" s="1"/>
      <c r="F705" s="146"/>
      <c r="G705" s="146"/>
      <c r="I705" s="158"/>
      <c r="J705" s="158"/>
    </row>
    <row r="706" spans="1:10" hidden="1">
      <c r="A706" s="137" t="str">
        <f>D706&amp;E706&amp;F706</f>
        <v/>
      </c>
      <c r="B706" t="s">
        <v>3214</v>
      </c>
      <c r="C706" s="1"/>
      <c r="F706" s="146"/>
      <c r="G706" s="146"/>
      <c r="I706" s="158"/>
      <c r="J706" s="158"/>
    </row>
    <row r="707" spans="1:10" hidden="1">
      <c r="A707" s="137" t="str">
        <f>D707&amp;E707&amp;F707</f>
        <v/>
      </c>
      <c r="B707" t="s">
        <v>3214</v>
      </c>
      <c r="C707" s="1"/>
      <c r="F707" s="146"/>
      <c r="G707" s="146"/>
      <c r="I707" s="158"/>
      <c r="J707" s="158"/>
    </row>
    <row r="708" spans="1:10" hidden="1">
      <c r="A708" s="137" t="str">
        <f>D708&amp;E708&amp;F708</f>
        <v/>
      </c>
      <c r="B708" t="s">
        <v>3214</v>
      </c>
      <c r="C708" s="1"/>
      <c r="F708" s="146"/>
      <c r="G708" s="146"/>
      <c r="I708" s="158"/>
      <c r="J708" s="158"/>
    </row>
    <row r="709" spans="1:10" hidden="1">
      <c r="A709" s="137" t="str">
        <f>D709&amp;E709&amp;F709</f>
        <v/>
      </c>
      <c r="B709" t="s">
        <v>3214</v>
      </c>
      <c r="C709" s="1"/>
      <c r="F709" s="146"/>
      <c r="G709" s="146"/>
      <c r="I709" s="158"/>
      <c r="J709" s="158"/>
    </row>
    <row r="710" spans="1:10" hidden="1">
      <c r="A710" s="137" t="str">
        <f>D710&amp;E710&amp;F710</f>
        <v/>
      </c>
      <c r="B710" t="s">
        <v>3214</v>
      </c>
      <c r="C710" s="1"/>
      <c r="F710" s="146"/>
      <c r="G710" s="146"/>
      <c r="I710" s="158"/>
      <c r="J710" s="158"/>
    </row>
    <row r="711" spans="1:10" hidden="1">
      <c r="A711" s="137" t="str">
        <f>D711&amp;E711&amp;F711</f>
        <v/>
      </c>
      <c r="B711" t="s">
        <v>3214</v>
      </c>
      <c r="C711" s="1"/>
      <c r="F711" s="146"/>
      <c r="G711" s="146"/>
      <c r="I711" s="158"/>
      <c r="J711" s="158"/>
    </row>
    <row r="712" spans="1:10" hidden="1">
      <c r="A712" s="137" t="str">
        <f>D712&amp;E712&amp;F712</f>
        <v/>
      </c>
      <c r="B712" t="s">
        <v>3214</v>
      </c>
      <c r="C712" s="1"/>
      <c r="F712" s="146"/>
      <c r="G712" s="146"/>
      <c r="I712" s="158"/>
      <c r="J712" s="158"/>
    </row>
    <row r="713" spans="1:10" hidden="1">
      <c r="A713" s="137" t="str">
        <f>D713&amp;E713&amp;F713</f>
        <v/>
      </c>
      <c r="B713" t="s">
        <v>3214</v>
      </c>
      <c r="C713" s="1"/>
      <c r="F713" s="146"/>
      <c r="G713" s="146"/>
      <c r="I713" s="158"/>
      <c r="J713" s="158"/>
    </row>
    <row r="714" spans="1:10" hidden="1">
      <c r="A714" s="137" t="str">
        <f>D714&amp;E714&amp;F714</f>
        <v/>
      </c>
      <c r="B714" t="s">
        <v>3214</v>
      </c>
      <c r="C714" s="1"/>
      <c r="F714" s="146"/>
      <c r="G714" s="146"/>
      <c r="I714" s="158"/>
      <c r="J714" s="158"/>
    </row>
    <row r="715" spans="1:10" hidden="1">
      <c r="A715" s="137" t="str">
        <f>D715&amp;E715&amp;F715</f>
        <v/>
      </c>
      <c r="B715" t="s">
        <v>3214</v>
      </c>
      <c r="C715" s="1"/>
      <c r="F715" s="146"/>
      <c r="G715" s="146"/>
      <c r="I715" s="158"/>
      <c r="J715" s="158"/>
    </row>
    <row r="716" spans="1:10" hidden="1">
      <c r="A716" s="137" t="str">
        <f>D716&amp;E716&amp;F716</f>
        <v/>
      </c>
      <c r="B716" t="s">
        <v>3214</v>
      </c>
      <c r="C716" s="1"/>
      <c r="F716" s="146"/>
      <c r="G716" s="146"/>
      <c r="I716" s="158"/>
      <c r="J716" s="158"/>
    </row>
    <row r="717" spans="1:10" hidden="1">
      <c r="A717" s="137" t="str">
        <f>D717&amp;E717&amp;F717</f>
        <v/>
      </c>
      <c r="B717" t="s">
        <v>3214</v>
      </c>
      <c r="C717" s="1"/>
      <c r="F717" s="146"/>
      <c r="G717" s="146"/>
      <c r="I717" s="158"/>
      <c r="J717" s="158"/>
    </row>
    <row r="718" spans="1:10" hidden="1">
      <c r="A718" s="137" t="str">
        <f>D718&amp;E718&amp;F718</f>
        <v/>
      </c>
      <c r="B718" t="s">
        <v>3214</v>
      </c>
      <c r="C718" s="1"/>
      <c r="F718" s="146"/>
      <c r="G718" s="146"/>
      <c r="I718" s="158"/>
      <c r="J718" s="158"/>
    </row>
    <row r="719" spans="1:10" hidden="1">
      <c r="A719" s="137" t="str">
        <f>D719&amp;E719&amp;F719</f>
        <v/>
      </c>
      <c r="B719" t="s">
        <v>3214</v>
      </c>
      <c r="C719" s="1"/>
      <c r="F719" s="146"/>
      <c r="G719" s="146"/>
      <c r="I719" s="158"/>
      <c r="J719" s="158"/>
    </row>
    <row r="720" spans="1:10" hidden="1">
      <c r="A720" s="137" t="str">
        <f>D720&amp;E720&amp;F720</f>
        <v/>
      </c>
      <c r="B720" t="s">
        <v>3214</v>
      </c>
      <c r="C720" s="1"/>
      <c r="F720" s="146"/>
      <c r="G720" s="146"/>
      <c r="I720" s="158"/>
      <c r="J720" s="158"/>
    </row>
    <row r="721" spans="1:10" hidden="1">
      <c r="A721" s="137" t="str">
        <f>D721&amp;E721&amp;F721</f>
        <v/>
      </c>
      <c r="B721" t="s">
        <v>3214</v>
      </c>
      <c r="C721" s="1"/>
      <c r="F721" s="146"/>
      <c r="G721" s="146"/>
      <c r="I721" s="158"/>
      <c r="J721" s="158"/>
    </row>
    <row r="722" spans="1:10" hidden="1">
      <c r="A722" s="137" t="str">
        <f>D722&amp;E722&amp;F722</f>
        <v/>
      </c>
      <c r="B722" t="s">
        <v>3214</v>
      </c>
      <c r="C722" s="1"/>
      <c r="F722" s="146"/>
      <c r="G722" s="146"/>
      <c r="I722" s="158"/>
      <c r="J722" s="158"/>
    </row>
    <row r="723" spans="1:10" hidden="1">
      <c r="A723" s="137" t="str">
        <f>D723&amp;E723&amp;F723</f>
        <v/>
      </c>
      <c r="B723" t="s">
        <v>3214</v>
      </c>
      <c r="C723" s="1"/>
      <c r="F723" s="146"/>
      <c r="G723" s="146"/>
      <c r="I723" s="158"/>
      <c r="J723" s="158"/>
    </row>
    <row r="724" spans="1:10" hidden="1">
      <c r="A724" s="137" t="str">
        <f>D724&amp;E724&amp;F724</f>
        <v/>
      </c>
      <c r="B724" t="s">
        <v>3214</v>
      </c>
      <c r="C724" s="1"/>
      <c r="F724" s="146"/>
      <c r="G724" s="146"/>
      <c r="I724" s="158"/>
      <c r="J724" s="158"/>
    </row>
    <row r="725" spans="1:10" hidden="1">
      <c r="A725" s="137" t="str">
        <f>D725&amp;E725&amp;F725</f>
        <v/>
      </c>
      <c r="B725" t="s">
        <v>3214</v>
      </c>
      <c r="C725" s="1"/>
      <c r="F725" s="146"/>
      <c r="G725" s="146"/>
      <c r="I725" s="158"/>
      <c r="J725" s="158"/>
    </row>
    <row r="726" spans="1:10" hidden="1">
      <c r="A726" s="137" t="str">
        <f>D726&amp;E726&amp;F726</f>
        <v/>
      </c>
      <c r="B726" t="s">
        <v>3214</v>
      </c>
      <c r="C726" s="1"/>
      <c r="F726" s="146"/>
      <c r="G726" s="146"/>
      <c r="I726" s="158"/>
      <c r="J726" s="158"/>
    </row>
    <row r="727" spans="1:10" hidden="1">
      <c r="A727" s="137" t="str">
        <f>D727&amp;E727&amp;F727</f>
        <v/>
      </c>
      <c r="B727" t="s">
        <v>3214</v>
      </c>
      <c r="C727" s="1"/>
      <c r="F727" s="146"/>
      <c r="G727" s="146"/>
      <c r="I727" s="158"/>
      <c r="J727" s="158"/>
    </row>
    <row r="728" spans="1:10" hidden="1">
      <c r="A728" s="137" t="str">
        <f>D728&amp;E728&amp;F728</f>
        <v/>
      </c>
      <c r="B728" t="s">
        <v>3214</v>
      </c>
      <c r="C728" s="1"/>
      <c r="F728" s="146"/>
      <c r="G728" s="146"/>
      <c r="I728" s="158"/>
      <c r="J728" s="158"/>
    </row>
    <row r="729" spans="1:10" hidden="1">
      <c r="A729" s="137" t="str">
        <f>D729&amp;E729&amp;F729</f>
        <v/>
      </c>
      <c r="B729" t="s">
        <v>3214</v>
      </c>
      <c r="C729" s="1"/>
      <c r="F729" s="146"/>
      <c r="G729" s="146"/>
      <c r="I729" s="158"/>
      <c r="J729" s="158"/>
    </row>
    <row r="730" spans="1:10" hidden="1">
      <c r="A730" s="137" t="str">
        <f>D730&amp;E730&amp;F730</f>
        <v/>
      </c>
      <c r="B730" t="s">
        <v>3214</v>
      </c>
      <c r="C730" s="1"/>
      <c r="F730" s="146"/>
      <c r="G730" s="146"/>
      <c r="I730" s="158"/>
      <c r="J730" s="158"/>
    </row>
    <row r="731" spans="1:10" hidden="1">
      <c r="A731" s="137" t="str">
        <f>D731&amp;E731&amp;F731</f>
        <v/>
      </c>
      <c r="B731" t="s">
        <v>3214</v>
      </c>
      <c r="C731" s="1"/>
      <c r="F731" s="146"/>
      <c r="G731" s="146"/>
      <c r="I731" s="158"/>
      <c r="J731" s="158"/>
    </row>
    <row r="732" spans="1:10" hidden="1">
      <c r="A732" s="137" t="str">
        <f>D732&amp;E732&amp;F732</f>
        <v/>
      </c>
      <c r="B732" t="s">
        <v>3214</v>
      </c>
      <c r="C732" s="1"/>
      <c r="F732" s="146"/>
      <c r="G732" s="146"/>
      <c r="I732" s="158"/>
      <c r="J732" s="158"/>
    </row>
    <row r="733" spans="1:10" hidden="1">
      <c r="A733" s="137" t="str">
        <f>D733&amp;E733&amp;F733</f>
        <v/>
      </c>
      <c r="B733" t="s">
        <v>3214</v>
      </c>
      <c r="C733" s="1"/>
      <c r="F733" s="146"/>
      <c r="G733" s="146"/>
      <c r="I733" s="158"/>
      <c r="J733" s="158"/>
    </row>
    <row r="734" spans="1:10" hidden="1">
      <c r="A734" s="137" t="str">
        <f>D734&amp;E734&amp;F734</f>
        <v/>
      </c>
      <c r="B734" t="s">
        <v>3214</v>
      </c>
      <c r="C734" s="1"/>
      <c r="F734" s="146"/>
      <c r="G734" s="146"/>
      <c r="I734" s="158"/>
      <c r="J734" s="158"/>
    </row>
    <row r="735" spans="1:10" hidden="1">
      <c r="A735" s="137" t="str">
        <f>D735&amp;E735&amp;F735</f>
        <v/>
      </c>
      <c r="B735" t="s">
        <v>3214</v>
      </c>
      <c r="C735" s="1"/>
      <c r="F735" s="146"/>
      <c r="G735" s="146"/>
      <c r="I735" s="158"/>
      <c r="J735" s="158"/>
    </row>
    <row r="736" spans="1:10" hidden="1">
      <c r="A736" s="137" t="str">
        <f>D736&amp;E736&amp;F736</f>
        <v/>
      </c>
      <c r="B736" t="s">
        <v>3214</v>
      </c>
      <c r="C736" s="1"/>
      <c r="F736" s="146"/>
      <c r="G736" s="146"/>
      <c r="I736" s="158"/>
      <c r="J736" s="158"/>
    </row>
    <row r="737" spans="1:10" hidden="1">
      <c r="A737" s="137" t="str">
        <f>D737&amp;E737&amp;F737</f>
        <v/>
      </c>
      <c r="B737" t="s">
        <v>3214</v>
      </c>
      <c r="C737" s="1"/>
      <c r="F737" s="146"/>
      <c r="G737" s="146"/>
      <c r="I737" s="158"/>
      <c r="J737" s="158"/>
    </row>
    <row r="738" spans="1:10" hidden="1">
      <c r="A738" s="137" t="str">
        <f>D738&amp;E738&amp;F738</f>
        <v/>
      </c>
      <c r="B738" t="s">
        <v>3214</v>
      </c>
      <c r="C738" s="1"/>
      <c r="F738" s="146"/>
      <c r="G738" s="146"/>
      <c r="I738" s="158"/>
      <c r="J738" s="158"/>
    </row>
    <row r="739" spans="1:10" hidden="1">
      <c r="A739" s="137" t="str">
        <f>D739&amp;E739&amp;F739</f>
        <v/>
      </c>
      <c r="B739" t="s">
        <v>3214</v>
      </c>
      <c r="C739" s="1"/>
      <c r="F739" s="146"/>
      <c r="G739" s="146"/>
      <c r="I739" s="158"/>
      <c r="J739" s="158"/>
    </row>
    <row r="740" spans="1:10" hidden="1">
      <c r="A740" s="137" t="str">
        <f>D740&amp;E740&amp;F740</f>
        <v/>
      </c>
      <c r="B740" t="s">
        <v>3214</v>
      </c>
      <c r="C740" s="1"/>
      <c r="F740" s="146"/>
      <c r="G740" s="146"/>
      <c r="I740" s="158"/>
      <c r="J740" s="158"/>
    </row>
    <row r="741" spans="1:10" hidden="1">
      <c r="A741" s="137" t="str">
        <f>D741&amp;E741&amp;F741</f>
        <v/>
      </c>
      <c r="B741" t="s">
        <v>3214</v>
      </c>
      <c r="C741" s="1"/>
      <c r="F741" s="146"/>
      <c r="G741" s="146"/>
      <c r="I741" s="158"/>
      <c r="J741" s="158"/>
    </row>
    <row r="742" spans="1:10" hidden="1">
      <c r="A742" s="137" t="str">
        <f>D742&amp;E742&amp;F742</f>
        <v/>
      </c>
      <c r="B742" t="s">
        <v>3214</v>
      </c>
      <c r="C742" s="1"/>
      <c r="F742" s="146"/>
      <c r="G742" s="146"/>
      <c r="I742" s="158"/>
      <c r="J742" s="158"/>
    </row>
    <row r="743" spans="1:10" hidden="1">
      <c r="A743" s="137" t="str">
        <f>D743&amp;E743&amp;F743</f>
        <v/>
      </c>
      <c r="B743" t="s">
        <v>3214</v>
      </c>
      <c r="C743" s="1"/>
      <c r="F743" s="146"/>
      <c r="G743" s="146"/>
      <c r="I743" s="158"/>
      <c r="J743" s="158"/>
    </row>
    <row r="744" spans="1:10" hidden="1">
      <c r="A744" s="137" t="str">
        <f>D744&amp;E744&amp;F744</f>
        <v/>
      </c>
      <c r="B744" t="s">
        <v>3214</v>
      </c>
      <c r="C744" s="1"/>
      <c r="F744" s="146"/>
      <c r="G744" s="146"/>
      <c r="I744" s="158"/>
      <c r="J744" s="158"/>
    </row>
    <row r="745" spans="1:10" hidden="1">
      <c r="A745" s="137" t="str">
        <f>D745&amp;E745&amp;F745</f>
        <v/>
      </c>
      <c r="B745" t="s">
        <v>3214</v>
      </c>
      <c r="C745" s="1"/>
      <c r="F745" s="146"/>
      <c r="G745" s="146"/>
      <c r="I745" s="158"/>
      <c r="J745" s="158"/>
    </row>
    <row r="746" spans="1:10" hidden="1">
      <c r="A746" s="137" t="str">
        <f>D746&amp;E746&amp;F746</f>
        <v/>
      </c>
      <c r="B746" t="s">
        <v>3214</v>
      </c>
      <c r="C746" s="1"/>
      <c r="F746" s="146"/>
      <c r="G746" s="146"/>
      <c r="I746" s="158"/>
      <c r="J746" s="158"/>
    </row>
    <row r="747" spans="1:10" hidden="1">
      <c r="A747" s="137" t="str">
        <f>D747&amp;E747&amp;F747</f>
        <v/>
      </c>
      <c r="B747" t="s">
        <v>3214</v>
      </c>
      <c r="C747" s="1"/>
      <c r="F747" s="146"/>
      <c r="G747" s="146"/>
      <c r="I747" s="158"/>
      <c r="J747" s="158"/>
    </row>
    <row r="748" spans="1:10" hidden="1">
      <c r="A748" s="137" t="str">
        <f>D748&amp;E748&amp;F748</f>
        <v/>
      </c>
      <c r="B748" t="s">
        <v>3214</v>
      </c>
      <c r="C748" s="1"/>
      <c r="F748" s="146"/>
      <c r="G748" s="146"/>
      <c r="I748" s="158"/>
      <c r="J748" s="158"/>
    </row>
    <row r="749" spans="1:10" hidden="1">
      <c r="A749" s="137" t="str">
        <f>D749&amp;E749&amp;F749</f>
        <v/>
      </c>
      <c r="B749" t="s">
        <v>3214</v>
      </c>
      <c r="C749" s="1"/>
      <c r="F749" s="146"/>
      <c r="G749" s="146"/>
      <c r="I749" s="158"/>
      <c r="J749" s="158"/>
    </row>
    <row r="750" spans="1:10" hidden="1">
      <c r="A750" s="137" t="str">
        <f>D750&amp;E750&amp;F750</f>
        <v/>
      </c>
      <c r="B750" t="s">
        <v>3214</v>
      </c>
      <c r="C750" s="1"/>
      <c r="F750" s="146"/>
      <c r="G750" s="146"/>
      <c r="I750" s="158"/>
      <c r="J750" s="158"/>
    </row>
    <row r="751" spans="1:10" hidden="1">
      <c r="A751" s="137" t="str">
        <f>D751&amp;E751&amp;F751</f>
        <v/>
      </c>
      <c r="B751" t="s">
        <v>3214</v>
      </c>
      <c r="C751" s="1"/>
      <c r="F751" s="146"/>
      <c r="G751" s="146"/>
      <c r="I751" s="158"/>
      <c r="J751" s="158"/>
    </row>
    <row r="752" spans="1:10" hidden="1">
      <c r="A752" s="137" t="str">
        <f>D752&amp;E752&amp;F752</f>
        <v/>
      </c>
      <c r="B752" t="s">
        <v>3214</v>
      </c>
      <c r="C752" s="1"/>
      <c r="F752" s="146"/>
      <c r="G752" s="146"/>
      <c r="I752" s="158"/>
      <c r="J752" s="158"/>
    </row>
    <row r="753" spans="1:10" hidden="1">
      <c r="A753" s="137" t="str">
        <f>D753&amp;E753&amp;F753</f>
        <v/>
      </c>
      <c r="B753" t="s">
        <v>3214</v>
      </c>
      <c r="C753" s="1"/>
      <c r="F753" s="146"/>
      <c r="G753" s="146"/>
      <c r="I753" s="158"/>
      <c r="J753" s="158"/>
    </row>
    <row r="754" spans="1:10" hidden="1">
      <c r="A754" s="137" t="str">
        <f>D754&amp;E754&amp;F754</f>
        <v/>
      </c>
      <c r="B754" t="s">
        <v>3214</v>
      </c>
      <c r="C754" s="1"/>
      <c r="F754" s="146"/>
      <c r="G754" s="146"/>
      <c r="I754" s="158"/>
      <c r="J754" s="158"/>
    </row>
    <row r="755" spans="1:10" hidden="1">
      <c r="A755" s="137" t="str">
        <f>D755&amp;E755&amp;F755</f>
        <v/>
      </c>
      <c r="B755" t="s">
        <v>3214</v>
      </c>
      <c r="C755" s="1"/>
      <c r="F755" s="146"/>
      <c r="G755" s="146"/>
      <c r="I755" s="158"/>
      <c r="J755" s="158"/>
    </row>
    <row r="756" spans="1:10" hidden="1">
      <c r="A756" s="137" t="str">
        <f>D756&amp;E756&amp;F756</f>
        <v/>
      </c>
      <c r="B756" t="s">
        <v>3214</v>
      </c>
      <c r="C756" s="1"/>
      <c r="F756" s="146"/>
      <c r="G756" s="146"/>
      <c r="I756" s="158"/>
      <c r="J756" s="158"/>
    </row>
    <row r="757" spans="1:10" hidden="1">
      <c r="A757" s="137" t="str">
        <f>D757&amp;E757&amp;F757</f>
        <v/>
      </c>
      <c r="B757" t="s">
        <v>3214</v>
      </c>
      <c r="C757" s="1"/>
      <c r="F757" s="146"/>
      <c r="G757" s="146"/>
      <c r="I757" s="158"/>
      <c r="J757" s="158"/>
    </row>
    <row r="758" spans="1:10" hidden="1">
      <c r="A758" s="137" t="str">
        <f>D758&amp;E758&amp;F758</f>
        <v/>
      </c>
      <c r="B758" t="s">
        <v>3214</v>
      </c>
      <c r="C758" s="1"/>
      <c r="F758" s="146"/>
      <c r="G758" s="146"/>
      <c r="I758" s="158"/>
      <c r="J758" s="158"/>
    </row>
    <row r="759" spans="1:10" hidden="1">
      <c r="A759" s="137" t="str">
        <f>D759&amp;E759&amp;F759</f>
        <v/>
      </c>
      <c r="B759" t="s">
        <v>3214</v>
      </c>
      <c r="C759" s="1"/>
      <c r="F759" s="146"/>
      <c r="G759" s="146"/>
      <c r="I759" s="158"/>
      <c r="J759" s="158"/>
    </row>
    <row r="760" spans="1:10" hidden="1">
      <c r="A760" s="137" t="str">
        <f>D760&amp;E760&amp;F760</f>
        <v/>
      </c>
      <c r="B760" t="s">
        <v>3214</v>
      </c>
      <c r="C760" s="1"/>
      <c r="F760" s="146"/>
      <c r="G760" s="146"/>
      <c r="I760" s="158"/>
      <c r="J760" s="158"/>
    </row>
    <row r="761" spans="1:10" hidden="1">
      <c r="A761" s="137" t="str">
        <f>D761&amp;E761&amp;F761</f>
        <v/>
      </c>
      <c r="B761" t="s">
        <v>3214</v>
      </c>
      <c r="C761" s="1"/>
      <c r="F761" s="146"/>
      <c r="G761" s="146"/>
      <c r="I761" s="158"/>
      <c r="J761" s="158"/>
    </row>
    <row r="762" spans="1:10" hidden="1">
      <c r="A762" s="137" t="str">
        <f>D762&amp;E762&amp;F762</f>
        <v/>
      </c>
      <c r="B762" t="s">
        <v>3214</v>
      </c>
      <c r="C762" s="1"/>
      <c r="F762" s="146"/>
      <c r="G762" s="146"/>
      <c r="I762" s="158"/>
      <c r="J762" s="158"/>
    </row>
    <row r="763" spans="1:10" hidden="1">
      <c r="A763" s="137" t="str">
        <f>D763&amp;E763&amp;F763</f>
        <v/>
      </c>
      <c r="B763" t="s">
        <v>3214</v>
      </c>
      <c r="C763" s="1"/>
      <c r="F763" s="146"/>
      <c r="G763" s="146"/>
      <c r="I763" s="158"/>
      <c r="J763" s="158"/>
    </row>
    <row r="764" spans="1:10" hidden="1">
      <c r="A764" s="137" t="str">
        <f>D764&amp;E764&amp;F764</f>
        <v/>
      </c>
      <c r="B764" t="s">
        <v>3214</v>
      </c>
      <c r="C764" s="1"/>
      <c r="F764" s="146"/>
      <c r="G764" s="146"/>
      <c r="I764" s="158"/>
      <c r="J764" s="158"/>
    </row>
    <row r="765" spans="1:10" hidden="1">
      <c r="A765" s="137" t="str">
        <f>D765&amp;E765&amp;F765</f>
        <v/>
      </c>
      <c r="B765" t="s">
        <v>3214</v>
      </c>
      <c r="C765" s="1"/>
      <c r="F765" s="146"/>
      <c r="G765" s="146"/>
      <c r="I765" s="158"/>
      <c r="J765" s="158"/>
    </row>
    <row r="766" spans="1:10" hidden="1">
      <c r="A766" s="137" t="str">
        <f>D766&amp;E766&amp;F766</f>
        <v/>
      </c>
      <c r="B766" t="s">
        <v>3214</v>
      </c>
      <c r="C766" s="1"/>
      <c r="F766" s="146"/>
      <c r="G766" s="146"/>
      <c r="I766" s="158"/>
      <c r="J766" s="158"/>
    </row>
    <row r="767" spans="1:10" hidden="1">
      <c r="A767" s="137" t="str">
        <f>D767&amp;E767&amp;F767</f>
        <v/>
      </c>
      <c r="B767" t="s">
        <v>3214</v>
      </c>
      <c r="C767" s="1"/>
      <c r="F767" s="146"/>
      <c r="G767" s="146"/>
      <c r="I767" s="158"/>
      <c r="J767" s="158"/>
    </row>
    <row r="768" spans="1:10" hidden="1">
      <c r="A768" s="137" t="str">
        <f>D768&amp;E768&amp;F768</f>
        <v/>
      </c>
      <c r="B768" t="s">
        <v>3214</v>
      </c>
      <c r="C768" s="1"/>
      <c r="F768" s="146"/>
      <c r="G768" s="146"/>
      <c r="I768" s="158"/>
      <c r="J768" s="158"/>
    </row>
    <row r="769" spans="1:10" hidden="1">
      <c r="A769" s="137" t="str">
        <f>D769&amp;E769&amp;F769</f>
        <v/>
      </c>
      <c r="B769" t="s">
        <v>3214</v>
      </c>
      <c r="C769" s="1"/>
      <c r="F769" s="146"/>
      <c r="G769" s="146"/>
      <c r="I769" s="158"/>
      <c r="J769" s="158"/>
    </row>
    <row r="770" spans="1:10" hidden="1">
      <c r="A770" s="137" t="str">
        <f>D770&amp;E770&amp;F770</f>
        <v/>
      </c>
      <c r="B770" t="s">
        <v>3214</v>
      </c>
      <c r="C770" s="1"/>
      <c r="F770" s="146"/>
      <c r="G770" s="146"/>
      <c r="I770" s="158"/>
      <c r="J770" s="158"/>
    </row>
    <row r="771" spans="1:10" hidden="1">
      <c r="A771" s="137" t="str">
        <f>D771&amp;E771&amp;F771</f>
        <v/>
      </c>
      <c r="B771" t="s">
        <v>3214</v>
      </c>
      <c r="C771" s="1"/>
      <c r="F771" s="146"/>
      <c r="G771" s="146"/>
      <c r="I771" s="158"/>
      <c r="J771" s="158"/>
    </row>
    <row r="772" spans="1:10" hidden="1">
      <c r="A772" s="137" t="str">
        <f>D772&amp;E772&amp;F772</f>
        <v/>
      </c>
      <c r="B772" t="s">
        <v>3214</v>
      </c>
      <c r="C772" s="1"/>
      <c r="F772" s="146"/>
      <c r="G772" s="146"/>
      <c r="I772" s="158"/>
      <c r="J772" s="158"/>
    </row>
    <row r="773" spans="1:10" hidden="1">
      <c r="A773" s="137" t="str">
        <f>D773&amp;E773&amp;F773</f>
        <v/>
      </c>
      <c r="B773" t="s">
        <v>3214</v>
      </c>
      <c r="C773" s="1"/>
      <c r="F773" s="146"/>
      <c r="G773" s="146"/>
      <c r="I773" s="158"/>
      <c r="J773" s="158"/>
    </row>
    <row r="774" spans="1:10" hidden="1">
      <c r="A774" s="137" t="str">
        <f>D774&amp;E774&amp;F774</f>
        <v/>
      </c>
      <c r="B774" t="s">
        <v>3214</v>
      </c>
      <c r="C774" s="1"/>
      <c r="F774" s="146"/>
      <c r="G774" s="146"/>
      <c r="I774" s="158"/>
      <c r="J774" s="158"/>
    </row>
    <row r="775" spans="1:10" hidden="1">
      <c r="A775" s="137" t="str">
        <f>D775&amp;E775&amp;F775</f>
        <v/>
      </c>
      <c r="B775" t="s">
        <v>3214</v>
      </c>
      <c r="C775" s="1"/>
      <c r="F775" s="146"/>
      <c r="G775" s="146"/>
      <c r="I775" s="158"/>
      <c r="J775" s="158"/>
    </row>
    <row r="776" spans="1:10" hidden="1">
      <c r="A776" s="137" t="str">
        <f>D776&amp;E776&amp;F776</f>
        <v/>
      </c>
      <c r="B776" t="s">
        <v>3214</v>
      </c>
      <c r="C776" s="1"/>
      <c r="F776" s="146"/>
      <c r="G776" s="146"/>
      <c r="I776" s="158"/>
      <c r="J776" s="158"/>
    </row>
    <row r="777" spans="1:10" hidden="1">
      <c r="A777" s="137" t="str">
        <f>D777&amp;E777&amp;F777</f>
        <v/>
      </c>
      <c r="B777" t="s">
        <v>3214</v>
      </c>
      <c r="C777" s="1"/>
      <c r="F777" s="146"/>
      <c r="G777" s="146"/>
      <c r="I777" s="158"/>
      <c r="J777" s="158"/>
    </row>
    <row r="778" spans="1:10" hidden="1">
      <c r="A778" s="137" t="str">
        <f>D778&amp;E778&amp;F778</f>
        <v/>
      </c>
      <c r="B778" t="s">
        <v>3214</v>
      </c>
      <c r="C778" s="1"/>
      <c r="F778" s="146"/>
      <c r="G778" s="146"/>
      <c r="I778" s="158"/>
      <c r="J778" s="158"/>
    </row>
    <row r="779" spans="1:10" hidden="1">
      <c r="A779" s="137" t="str">
        <f>D779&amp;E779&amp;F779</f>
        <v/>
      </c>
      <c r="B779" t="s">
        <v>3214</v>
      </c>
      <c r="C779" s="1"/>
      <c r="F779" s="146"/>
      <c r="G779" s="146"/>
      <c r="I779" s="158"/>
      <c r="J779" s="158"/>
    </row>
    <row r="780" spans="1:10" hidden="1">
      <c r="A780" s="137" t="str">
        <f>D780&amp;E780&amp;F780</f>
        <v/>
      </c>
      <c r="B780" t="s">
        <v>3214</v>
      </c>
      <c r="C780" s="1"/>
      <c r="F780" s="146"/>
      <c r="G780" s="146"/>
      <c r="I780" s="158"/>
      <c r="J780" s="158"/>
    </row>
    <row r="781" spans="1:10" hidden="1">
      <c r="A781" s="137" t="str">
        <f>D781&amp;E781&amp;F781</f>
        <v/>
      </c>
      <c r="B781" t="s">
        <v>3214</v>
      </c>
      <c r="C781" s="1"/>
      <c r="F781" s="146"/>
      <c r="G781" s="146"/>
      <c r="I781" s="158"/>
      <c r="J781" s="158"/>
    </row>
    <row r="782" spans="1:10" hidden="1">
      <c r="A782" s="137" t="str">
        <f>D782&amp;E782&amp;F782</f>
        <v/>
      </c>
      <c r="B782" t="s">
        <v>3214</v>
      </c>
      <c r="C782" s="1"/>
      <c r="F782" s="146"/>
      <c r="G782" s="146"/>
      <c r="I782" s="158"/>
      <c r="J782" s="158"/>
    </row>
    <row r="783" spans="1:10" hidden="1">
      <c r="A783" s="137" t="str">
        <f>D783&amp;E783&amp;F783</f>
        <v/>
      </c>
      <c r="B783" t="s">
        <v>3214</v>
      </c>
      <c r="C783" s="1"/>
      <c r="F783" s="146"/>
      <c r="G783" s="146"/>
      <c r="I783" s="158"/>
      <c r="J783" s="158"/>
    </row>
    <row r="784" spans="1:10" hidden="1">
      <c r="A784" s="137" t="str">
        <f>D784&amp;E784&amp;F784</f>
        <v/>
      </c>
      <c r="B784" t="s">
        <v>3214</v>
      </c>
      <c r="C784" s="1"/>
      <c r="F784" s="146"/>
      <c r="G784" s="146"/>
      <c r="I784" s="158"/>
      <c r="J784" s="158"/>
    </row>
    <row r="785" spans="1:10" hidden="1">
      <c r="A785" s="137" t="str">
        <f>D785&amp;E785&amp;F785</f>
        <v/>
      </c>
      <c r="B785" t="s">
        <v>3214</v>
      </c>
      <c r="C785" s="1"/>
      <c r="F785" s="146"/>
      <c r="G785" s="146"/>
      <c r="I785" s="158"/>
      <c r="J785" s="158"/>
    </row>
    <row r="786" spans="1:10" hidden="1">
      <c r="A786" s="137" t="str">
        <f>D786&amp;E786&amp;F786</f>
        <v/>
      </c>
      <c r="B786" t="s">
        <v>3214</v>
      </c>
      <c r="C786" s="1"/>
      <c r="F786" s="146"/>
      <c r="G786" s="146"/>
      <c r="I786" s="158"/>
      <c r="J786" s="158"/>
    </row>
    <row r="787" spans="1:10" hidden="1">
      <c r="A787" s="137" t="str">
        <f>D787&amp;E787&amp;F787</f>
        <v/>
      </c>
      <c r="B787" t="s">
        <v>3214</v>
      </c>
      <c r="C787" s="1"/>
      <c r="F787" s="146"/>
      <c r="G787" s="146"/>
      <c r="I787" s="158"/>
      <c r="J787" s="158"/>
    </row>
    <row r="788" spans="1:10" hidden="1">
      <c r="A788" s="137" t="str">
        <f>D788&amp;E788&amp;F788</f>
        <v/>
      </c>
      <c r="B788" t="s">
        <v>3214</v>
      </c>
      <c r="C788" s="1"/>
      <c r="F788" s="146"/>
      <c r="G788" s="146"/>
      <c r="I788" s="158"/>
      <c r="J788" s="158"/>
    </row>
    <row r="789" spans="1:10" hidden="1">
      <c r="A789" s="137" t="str">
        <f>D789&amp;E789&amp;F789</f>
        <v/>
      </c>
      <c r="B789" t="s">
        <v>3214</v>
      </c>
      <c r="C789" s="1"/>
      <c r="F789" s="146"/>
      <c r="G789" s="146"/>
      <c r="I789" s="158"/>
      <c r="J789" s="158"/>
    </row>
    <row r="790" spans="1:10" hidden="1">
      <c r="A790" s="137" t="str">
        <f>D790&amp;E790&amp;F790</f>
        <v/>
      </c>
      <c r="B790" t="s">
        <v>3214</v>
      </c>
      <c r="C790" s="1"/>
      <c r="F790" s="146"/>
      <c r="G790" s="146"/>
      <c r="I790" s="158"/>
      <c r="J790" s="158"/>
    </row>
    <row r="791" spans="1:10" hidden="1">
      <c r="A791" s="137" t="str">
        <f>D791&amp;E791&amp;F791</f>
        <v/>
      </c>
      <c r="B791" t="s">
        <v>3214</v>
      </c>
      <c r="C791" s="1"/>
      <c r="F791" s="146"/>
      <c r="G791" s="146"/>
      <c r="I791" s="158"/>
      <c r="J791" s="158"/>
    </row>
    <row r="792" spans="1:10" hidden="1">
      <c r="A792" s="137" t="str">
        <f>D792&amp;E792&amp;F792</f>
        <v/>
      </c>
      <c r="B792" t="s">
        <v>3214</v>
      </c>
      <c r="C792" s="1"/>
      <c r="F792" s="146"/>
      <c r="G792" s="146"/>
      <c r="I792" s="158"/>
      <c r="J792" s="158"/>
    </row>
    <row r="793" spans="1:10" hidden="1">
      <c r="A793" s="137" t="str">
        <f>D793&amp;E793&amp;F793</f>
        <v/>
      </c>
      <c r="B793" t="s">
        <v>3214</v>
      </c>
      <c r="C793" s="1"/>
      <c r="F793" s="146"/>
      <c r="G793" s="146"/>
      <c r="I793" s="158"/>
      <c r="J793" s="158"/>
    </row>
    <row r="794" spans="1:10" hidden="1">
      <c r="A794" s="137" t="str">
        <f>D794&amp;E794&amp;F794</f>
        <v/>
      </c>
      <c r="B794" t="s">
        <v>3214</v>
      </c>
      <c r="C794" s="1"/>
      <c r="F794" s="146"/>
      <c r="G794" s="146"/>
      <c r="I794" s="158"/>
      <c r="J794" s="158"/>
    </row>
    <row r="795" spans="1:10" hidden="1">
      <c r="A795" s="137" t="str">
        <f>D795&amp;E795&amp;F795</f>
        <v/>
      </c>
      <c r="B795" t="s">
        <v>3214</v>
      </c>
      <c r="C795" s="1"/>
      <c r="F795" s="146"/>
      <c r="G795" s="146"/>
      <c r="I795" s="158"/>
      <c r="J795" s="158"/>
    </row>
    <row r="796" spans="1:10" hidden="1">
      <c r="A796" s="137" t="str">
        <f>D796&amp;E796&amp;F796</f>
        <v/>
      </c>
      <c r="B796" t="s">
        <v>3214</v>
      </c>
      <c r="C796" s="1"/>
      <c r="F796" s="146"/>
      <c r="G796" s="146"/>
      <c r="I796" s="158"/>
      <c r="J796" s="158"/>
    </row>
    <row r="797" spans="1:10" hidden="1">
      <c r="A797" s="137" t="str">
        <f>D797&amp;E797&amp;F797</f>
        <v/>
      </c>
      <c r="B797" t="s">
        <v>3214</v>
      </c>
      <c r="C797" s="1"/>
      <c r="F797" s="146"/>
      <c r="G797" s="146"/>
      <c r="I797" s="158"/>
      <c r="J797" s="158"/>
    </row>
    <row r="798" spans="1:10" hidden="1">
      <c r="A798" s="137" t="str">
        <f>D798&amp;E798&amp;F798</f>
        <v/>
      </c>
      <c r="B798" t="s">
        <v>3214</v>
      </c>
      <c r="C798" s="1"/>
      <c r="F798" s="146"/>
      <c r="G798" s="146"/>
      <c r="I798" s="158"/>
      <c r="J798" s="158"/>
    </row>
    <row r="799" spans="1:10" hidden="1">
      <c r="A799" s="137" t="str">
        <f>D799&amp;E799&amp;F799</f>
        <v/>
      </c>
      <c r="B799" t="s">
        <v>3214</v>
      </c>
      <c r="C799" s="1"/>
      <c r="F799" s="146"/>
      <c r="G799" s="146"/>
      <c r="I799" s="158"/>
      <c r="J799" s="158"/>
    </row>
    <row r="800" spans="1:10" hidden="1">
      <c r="A800" s="137" t="str">
        <f>D800&amp;E800&amp;F800</f>
        <v/>
      </c>
      <c r="B800" t="s">
        <v>3214</v>
      </c>
      <c r="C800" s="1"/>
      <c r="F800" s="146"/>
      <c r="G800" s="146"/>
      <c r="I800" s="158"/>
      <c r="J800" s="158"/>
    </row>
    <row r="801" spans="1:10" hidden="1">
      <c r="A801" s="137" t="str">
        <f>D801&amp;E801&amp;F801</f>
        <v/>
      </c>
      <c r="B801" t="s">
        <v>3214</v>
      </c>
      <c r="C801" s="1"/>
      <c r="F801" s="146"/>
      <c r="G801" s="146"/>
      <c r="I801" s="158"/>
      <c r="J801" s="158"/>
    </row>
    <row r="802" spans="1:10" hidden="1">
      <c r="A802" s="137" t="str">
        <f>D802&amp;E802&amp;F802</f>
        <v/>
      </c>
      <c r="B802" t="s">
        <v>3214</v>
      </c>
      <c r="C802" s="1"/>
      <c r="F802" s="146"/>
      <c r="G802" s="146"/>
      <c r="I802" s="158"/>
      <c r="J802" s="158"/>
    </row>
    <row r="803" spans="1:10" hidden="1">
      <c r="A803" s="54" t="str">
        <f t="shared" ref="A742:A805" si="24">D803&amp;E803&amp;F803&amp;G803</f>
        <v/>
      </c>
      <c r="B803" t="s">
        <v>3214</v>
      </c>
      <c r="C803" s="1"/>
      <c r="F803" s="146"/>
      <c r="G803" s="146"/>
      <c r="I803" s="158"/>
      <c r="J803" s="158"/>
    </row>
    <row r="804" spans="1:10" hidden="1">
      <c r="A804" s="54" t="str">
        <f t="shared" si="24"/>
        <v/>
      </c>
      <c r="B804" t="s">
        <v>3214</v>
      </c>
      <c r="C804" s="1"/>
      <c r="F804" s="146"/>
      <c r="G804" s="146"/>
      <c r="I804" s="158"/>
      <c r="J804" s="158"/>
    </row>
    <row r="805" spans="1:10" hidden="1">
      <c r="A805" s="54" t="str">
        <f t="shared" si="24"/>
        <v/>
      </c>
      <c r="B805" t="s">
        <v>3214</v>
      </c>
      <c r="C805" s="1"/>
      <c r="F805" s="146"/>
      <c r="G805" s="146"/>
      <c r="I805" s="158"/>
      <c r="J805" s="158"/>
    </row>
    <row r="806" spans="1:10" hidden="1">
      <c r="A806" s="54" t="str">
        <f t="shared" ref="A806:A869" si="25">D806&amp;E806&amp;F806&amp;G806</f>
        <v/>
      </c>
      <c r="B806" t="s">
        <v>3214</v>
      </c>
      <c r="C806" s="1"/>
      <c r="F806" s="146"/>
      <c r="G806" s="146"/>
      <c r="I806" s="158"/>
      <c r="J806" s="158"/>
    </row>
    <row r="807" spans="1:10" hidden="1">
      <c r="A807" s="54" t="str">
        <f t="shared" si="25"/>
        <v/>
      </c>
      <c r="B807" t="s">
        <v>3214</v>
      </c>
      <c r="C807" s="1"/>
      <c r="F807" s="146"/>
      <c r="G807" s="146"/>
      <c r="I807" s="158"/>
      <c r="J807" s="158"/>
    </row>
    <row r="808" spans="1:10" hidden="1">
      <c r="A808" s="54" t="str">
        <f t="shared" si="25"/>
        <v/>
      </c>
      <c r="B808" t="s">
        <v>3214</v>
      </c>
      <c r="C808" s="1"/>
      <c r="F808" s="146"/>
      <c r="G808" s="146"/>
      <c r="I808" s="158"/>
      <c r="J808" s="158"/>
    </row>
    <row r="809" spans="1:10" hidden="1">
      <c r="A809" s="54" t="str">
        <f t="shared" si="25"/>
        <v/>
      </c>
      <c r="B809" t="s">
        <v>3214</v>
      </c>
      <c r="C809" s="1"/>
      <c r="F809" s="146"/>
      <c r="G809" s="146"/>
      <c r="I809" s="158"/>
      <c r="J809" s="158"/>
    </row>
    <row r="810" spans="1:10" hidden="1">
      <c r="A810" s="54" t="str">
        <f t="shared" si="25"/>
        <v/>
      </c>
      <c r="B810" t="s">
        <v>3214</v>
      </c>
      <c r="C810" s="1"/>
      <c r="F810" s="146"/>
      <c r="G810" s="146"/>
      <c r="I810" s="158"/>
      <c r="J810" s="158"/>
    </row>
    <row r="811" spans="1:10" hidden="1">
      <c r="A811" s="54" t="str">
        <f t="shared" si="25"/>
        <v/>
      </c>
      <c r="B811" t="s">
        <v>3214</v>
      </c>
      <c r="C811" s="1"/>
      <c r="F811" s="146"/>
      <c r="G811" s="146"/>
      <c r="I811" s="158"/>
      <c r="J811" s="158"/>
    </row>
    <row r="812" spans="1:10" hidden="1">
      <c r="A812" s="54" t="str">
        <f t="shared" si="25"/>
        <v/>
      </c>
      <c r="B812" t="s">
        <v>3214</v>
      </c>
      <c r="C812" s="1"/>
      <c r="F812" s="146"/>
      <c r="G812" s="146"/>
      <c r="I812" s="158"/>
      <c r="J812" s="158"/>
    </row>
    <row r="813" spans="1:10" hidden="1">
      <c r="A813" s="54" t="str">
        <f t="shared" si="25"/>
        <v/>
      </c>
      <c r="B813" t="s">
        <v>3214</v>
      </c>
      <c r="C813" s="1"/>
      <c r="F813" s="146"/>
      <c r="G813" s="146"/>
      <c r="I813" s="158"/>
      <c r="J813" s="158"/>
    </row>
    <row r="814" spans="1:10" hidden="1">
      <c r="A814" s="54" t="str">
        <f t="shared" si="25"/>
        <v/>
      </c>
      <c r="B814" t="s">
        <v>3214</v>
      </c>
      <c r="C814" s="1"/>
      <c r="F814" s="146"/>
      <c r="G814" s="146"/>
      <c r="I814" s="158"/>
      <c r="J814" s="158"/>
    </row>
    <row r="815" spans="1:10" hidden="1">
      <c r="A815" s="54" t="str">
        <f t="shared" si="25"/>
        <v/>
      </c>
      <c r="B815" t="s">
        <v>3214</v>
      </c>
      <c r="C815" s="1"/>
      <c r="F815" s="146"/>
      <c r="G815" s="146"/>
      <c r="I815" s="158"/>
      <c r="J815" s="158"/>
    </row>
    <row r="816" spans="1:10" hidden="1">
      <c r="A816" s="54" t="str">
        <f t="shared" si="25"/>
        <v/>
      </c>
      <c r="B816" t="s">
        <v>3214</v>
      </c>
      <c r="C816" s="1"/>
      <c r="F816" s="146"/>
      <c r="G816" s="146"/>
      <c r="I816" s="158"/>
      <c r="J816" s="158"/>
    </row>
    <row r="817" spans="1:10" hidden="1">
      <c r="A817" s="54" t="str">
        <f t="shared" si="25"/>
        <v/>
      </c>
      <c r="B817" t="s">
        <v>3214</v>
      </c>
      <c r="C817" s="1"/>
      <c r="F817" s="146"/>
      <c r="G817" s="146"/>
      <c r="I817" s="158"/>
      <c r="J817" s="158"/>
    </row>
    <row r="818" spans="1:10" hidden="1">
      <c r="A818" s="54" t="str">
        <f t="shared" si="25"/>
        <v/>
      </c>
      <c r="B818" t="s">
        <v>3214</v>
      </c>
      <c r="C818" s="1"/>
      <c r="F818" s="146"/>
      <c r="G818" s="146"/>
      <c r="I818" s="158"/>
      <c r="J818" s="158"/>
    </row>
    <row r="819" spans="1:10" hidden="1">
      <c r="A819" s="54" t="str">
        <f t="shared" si="25"/>
        <v/>
      </c>
      <c r="B819" t="s">
        <v>3214</v>
      </c>
      <c r="C819" s="1"/>
      <c r="F819" s="146"/>
      <c r="G819" s="146"/>
      <c r="I819" s="158"/>
      <c r="J819" s="158"/>
    </row>
    <row r="820" spans="1:10" hidden="1">
      <c r="A820" s="54" t="str">
        <f t="shared" si="25"/>
        <v/>
      </c>
      <c r="B820" t="s">
        <v>3214</v>
      </c>
      <c r="C820" s="1"/>
      <c r="F820" s="146"/>
      <c r="G820" s="146"/>
      <c r="I820" s="158"/>
      <c r="J820" s="158"/>
    </row>
    <row r="821" spans="1:10" hidden="1">
      <c r="A821" s="54" t="str">
        <f t="shared" si="25"/>
        <v/>
      </c>
      <c r="B821" t="s">
        <v>3214</v>
      </c>
      <c r="C821" s="1"/>
      <c r="F821" s="146"/>
      <c r="G821" s="146"/>
      <c r="I821" s="158"/>
      <c r="J821" s="158"/>
    </row>
    <row r="822" spans="1:10" hidden="1">
      <c r="A822" s="54" t="str">
        <f t="shared" si="25"/>
        <v/>
      </c>
      <c r="B822" t="s">
        <v>3214</v>
      </c>
      <c r="C822" s="1"/>
      <c r="F822" s="146"/>
      <c r="G822" s="146"/>
      <c r="I822" s="158"/>
      <c r="J822" s="158"/>
    </row>
    <row r="823" spans="1:10" hidden="1">
      <c r="A823" s="54" t="str">
        <f t="shared" si="25"/>
        <v/>
      </c>
      <c r="B823" t="s">
        <v>3214</v>
      </c>
      <c r="C823" s="1"/>
      <c r="F823" s="146"/>
      <c r="G823" s="146"/>
      <c r="I823" s="158"/>
      <c r="J823" s="158"/>
    </row>
    <row r="824" spans="1:10" hidden="1">
      <c r="A824" s="54" t="str">
        <f t="shared" si="25"/>
        <v/>
      </c>
      <c r="B824" t="s">
        <v>3214</v>
      </c>
      <c r="C824" s="1"/>
      <c r="F824" s="146"/>
      <c r="G824" s="146"/>
      <c r="I824" s="158"/>
      <c r="J824" s="158"/>
    </row>
    <row r="825" spans="1:10" hidden="1">
      <c r="A825" s="54" t="str">
        <f t="shared" si="25"/>
        <v/>
      </c>
      <c r="B825" t="s">
        <v>3214</v>
      </c>
      <c r="C825" s="1"/>
      <c r="F825" s="146"/>
      <c r="G825" s="146"/>
      <c r="I825" s="158"/>
      <c r="J825" s="158"/>
    </row>
    <row r="826" spans="1:10" hidden="1">
      <c r="A826" s="54" t="str">
        <f t="shared" si="25"/>
        <v/>
      </c>
      <c r="B826" t="s">
        <v>3214</v>
      </c>
      <c r="C826" s="1"/>
      <c r="F826" s="146"/>
      <c r="G826" s="146"/>
      <c r="I826" s="158"/>
      <c r="J826" s="158"/>
    </row>
    <row r="827" spans="1:10" hidden="1">
      <c r="A827" s="54" t="str">
        <f t="shared" si="25"/>
        <v/>
      </c>
      <c r="B827" t="s">
        <v>3214</v>
      </c>
      <c r="C827" s="1"/>
      <c r="F827" s="146"/>
      <c r="G827" s="146"/>
      <c r="I827" s="158"/>
      <c r="J827" s="158"/>
    </row>
    <row r="828" spans="1:10" hidden="1">
      <c r="A828" s="54" t="str">
        <f t="shared" si="25"/>
        <v/>
      </c>
      <c r="B828" t="s">
        <v>3214</v>
      </c>
      <c r="C828" s="1"/>
      <c r="F828" s="146"/>
      <c r="G828" s="146"/>
      <c r="I828" s="158"/>
      <c r="J828" s="158"/>
    </row>
    <row r="829" spans="1:10" hidden="1">
      <c r="A829" s="54" t="str">
        <f t="shared" si="25"/>
        <v/>
      </c>
      <c r="B829" t="s">
        <v>3214</v>
      </c>
      <c r="C829" s="1"/>
      <c r="F829" s="146"/>
      <c r="G829" s="146"/>
      <c r="I829" s="158"/>
      <c r="J829" s="158"/>
    </row>
    <row r="830" spans="1:10" hidden="1">
      <c r="A830" s="54" t="str">
        <f t="shared" si="25"/>
        <v/>
      </c>
      <c r="B830" t="s">
        <v>3214</v>
      </c>
      <c r="C830" s="1"/>
      <c r="F830" s="146"/>
      <c r="G830" s="146"/>
      <c r="I830" s="158"/>
      <c r="J830" s="158"/>
    </row>
    <row r="831" spans="1:10" hidden="1">
      <c r="A831" s="54" t="str">
        <f t="shared" si="25"/>
        <v/>
      </c>
      <c r="B831" t="s">
        <v>3214</v>
      </c>
      <c r="C831" s="1"/>
      <c r="F831" s="146"/>
      <c r="G831" s="146"/>
      <c r="I831" s="158"/>
      <c r="J831" s="158"/>
    </row>
    <row r="832" spans="1:10" hidden="1">
      <c r="A832" s="54" t="str">
        <f t="shared" si="25"/>
        <v/>
      </c>
      <c r="B832" t="s">
        <v>3214</v>
      </c>
      <c r="C832" s="1"/>
      <c r="F832" s="146"/>
      <c r="G832" s="146"/>
      <c r="I832" s="158"/>
      <c r="J832" s="158"/>
    </row>
    <row r="833" spans="1:10" hidden="1">
      <c r="A833" s="54" t="str">
        <f t="shared" si="25"/>
        <v/>
      </c>
      <c r="B833" t="s">
        <v>3214</v>
      </c>
      <c r="C833" s="1"/>
      <c r="F833" s="146"/>
      <c r="G833" s="146"/>
      <c r="I833" s="158"/>
      <c r="J833" s="158"/>
    </row>
    <row r="834" spans="1:10" hidden="1">
      <c r="A834" s="54" t="str">
        <f t="shared" si="25"/>
        <v/>
      </c>
      <c r="B834" t="s">
        <v>3214</v>
      </c>
      <c r="C834" s="1"/>
      <c r="F834" s="146"/>
      <c r="G834" s="146"/>
      <c r="I834" s="158"/>
      <c r="J834" s="158"/>
    </row>
    <row r="835" spans="1:10" hidden="1">
      <c r="A835" s="54" t="str">
        <f t="shared" si="25"/>
        <v/>
      </c>
      <c r="B835" t="s">
        <v>3214</v>
      </c>
      <c r="C835" s="1"/>
      <c r="F835" s="146"/>
      <c r="G835" s="146"/>
      <c r="I835" s="158"/>
      <c r="J835" s="158"/>
    </row>
    <row r="836" spans="1:10" hidden="1">
      <c r="A836" s="54" t="str">
        <f t="shared" si="25"/>
        <v/>
      </c>
      <c r="B836" t="s">
        <v>3214</v>
      </c>
      <c r="C836" s="1"/>
      <c r="F836" s="146"/>
      <c r="G836" s="146"/>
      <c r="I836" s="158"/>
      <c r="J836" s="158"/>
    </row>
    <row r="837" spans="1:10" hidden="1">
      <c r="A837" s="54" t="str">
        <f t="shared" si="25"/>
        <v/>
      </c>
      <c r="B837" t="s">
        <v>3214</v>
      </c>
      <c r="C837" s="1"/>
      <c r="F837" s="146"/>
      <c r="G837" s="146"/>
      <c r="I837" s="158"/>
      <c r="J837" s="158"/>
    </row>
    <row r="838" spans="1:10" hidden="1">
      <c r="A838" s="54" t="str">
        <f t="shared" si="25"/>
        <v/>
      </c>
      <c r="B838" t="s">
        <v>3214</v>
      </c>
      <c r="C838" s="1"/>
      <c r="F838" s="146"/>
      <c r="G838" s="146"/>
      <c r="I838" s="158"/>
      <c r="J838" s="158"/>
    </row>
    <row r="839" spans="1:10" hidden="1">
      <c r="A839" s="54" t="str">
        <f t="shared" si="25"/>
        <v/>
      </c>
      <c r="B839" t="s">
        <v>3214</v>
      </c>
      <c r="C839" s="1"/>
      <c r="F839" s="146"/>
      <c r="G839" s="146"/>
      <c r="I839" s="158"/>
      <c r="J839" s="158"/>
    </row>
    <row r="840" spans="1:10" hidden="1">
      <c r="A840" s="54" t="str">
        <f t="shared" si="25"/>
        <v/>
      </c>
      <c r="B840" t="s">
        <v>3214</v>
      </c>
      <c r="C840" s="1"/>
      <c r="F840" s="146"/>
      <c r="G840" s="146"/>
      <c r="I840" s="158"/>
      <c r="J840" s="158"/>
    </row>
    <row r="841" spans="1:10" hidden="1">
      <c r="A841" s="54" t="str">
        <f t="shared" si="25"/>
        <v/>
      </c>
      <c r="B841" t="s">
        <v>3214</v>
      </c>
      <c r="C841" s="1"/>
      <c r="F841" s="146"/>
      <c r="G841" s="146"/>
      <c r="I841" s="158"/>
      <c r="J841" s="158"/>
    </row>
    <row r="842" spans="1:10" hidden="1">
      <c r="A842" s="54" t="str">
        <f t="shared" si="25"/>
        <v/>
      </c>
      <c r="B842" t="s">
        <v>3214</v>
      </c>
      <c r="C842" s="1"/>
      <c r="F842" s="146"/>
      <c r="G842" s="146"/>
      <c r="I842" s="158"/>
      <c r="J842" s="158"/>
    </row>
    <row r="843" spans="1:10" hidden="1">
      <c r="A843" s="54" t="str">
        <f t="shared" si="25"/>
        <v/>
      </c>
      <c r="B843" t="s">
        <v>3214</v>
      </c>
      <c r="C843" s="1"/>
      <c r="F843" s="146"/>
      <c r="G843" s="146"/>
      <c r="I843" s="158"/>
      <c r="J843" s="158"/>
    </row>
    <row r="844" spans="1:10" hidden="1">
      <c r="A844" s="54" t="str">
        <f t="shared" si="25"/>
        <v/>
      </c>
      <c r="B844" t="s">
        <v>3214</v>
      </c>
      <c r="C844" s="1"/>
      <c r="F844" s="146"/>
      <c r="G844" s="146"/>
      <c r="I844" s="158"/>
      <c r="J844" s="158"/>
    </row>
    <row r="845" spans="1:10" hidden="1">
      <c r="A845" s="54" t="str">
        <f t="shared" si="25"/>
        <v/>
      </c>
      <c r="B845" t="s">
        <v>3214</v>
      </c>
      <c r="C845" s="1"/>
      <c r="F845" s="146"/>
      <c r="G845" s="146"/>
      <c r="I845" s="158"/>
      <c r="J845" s="158"/>
    </row>
    <row r="846" spans="1:10" hidden="1">
      <c r="A846" s="54" t="str">
        <f t="shared" si="25"/>
        <v/>
      </c>
      <c r="B846" t="s">
        <v>3214</v>
      </c>
      <c r="C846" s="1"/>
      <c r="F846" s="146"/>
      <c r="G846" s="146"/>
      <c r="I846" s="158"/>
      <c r="J846" s="158"/>
    </row>
    <row r="847" spans="1:10" hidden="1">
      <c r="A847" s="54" t="str">
        <f t="shared" si="25"/>
        <v/>
      </c>
      <c r="B847" t="s">
        <v>3214</v>
      </c>
      <c r="C847" s="1"/>
      <c r="F847" s="146"/>
      <c r="G847" s="146"/>
      <c r="I847" s="158"/>
      <c r="J847" s="158"/>
    </row>
    <row r="848" spans="1:10" hidden="1">
      <c r="A848" s="54" t="str">
        <f t="shared" si="25"/>
        <v/>
      </c>
      <c r="B848" t="s">
        <v>3214</v>
      </c>
      <c r="C848" s="1"/>
      <c r="F848" s="146"/>
      <c r="G848" s="146"/>
      <c r="I848" s="158"/>
      <c r="J848" s="158"/>
    </row>
    <row r="849" spans="1:10" hidden="1">
      <c r="A849" s="54" t="str">
        <f t="shared" si="25"/>
        <v/>
      </c>
      <c r="B849" t="s">
        <v>3214</v>
      </c>
      <c r="C849" s="1"/>
      <c r="F849" s="146"/>
      <c r="G849" s="146"/>
      <c r="I849" s="158"/>
      <c r="J849" s="158"/>
    </row>
    <row r="850" spans="1:10" hidden="1">
      <c r="A850" s="54" t="str">
        <f t="shared" si="25"/>
        <v/>
      </c>
      <c r="B850" t="s">
        <v>3214</v>
      </c>
      <c r="C850" s="1"/>
      <c r="F850" s="146"/>
      <c r="G850" s="146"/>
      <c r="I850" s="158"/>
      <c r="J850" s="158"/>
    </row>
    <row r="851" spans="1:10" hidden="1">
      <c r="A851" s="54" t="str">
        <f t="shared" si="25"/>
        <v/>
      </c>
      <c r="B851" t="s">
        <v>3214</v>
      </c>
      <c r="C851" s="1"/>
      <c r="F851" s="146"/>
      <c r="G851" s="146"/>
      <c r="I851" s="158"/>
      <c r="J851" s="158"/>
    </row>
    <row r="852" spans="1:10" hidden="1">
      <c r="A852" s="54" t="str">
        <f t="shared" si="25"/>
        <v/>
      </c>
      <c r="B852" t="s">
        <v>3214</v>
      </c>
      <c r="C852" s="1"/>
      <c r="F852" s="146"/>
      <c r="G852" s="146"/>
      <c r="I852" s="158"/>
      <c r="J852" s="158"/>
    </row>
    <row r="853" spans="1:10" hidden="1">
      <c r="A853" s="54" t="str">
        <f t="shared" si="25"/>
        <v/>
      </c>
      <c r="B853" t="s">
        <v>3214</v>
      </c>
      <c r="C853" s="1"/>
      <c r="F853" s="146"/>
      <c r="G853" s="146"/>
      <c r="I853" s="158"/>
      <c r="J853" s="158"/>
    </row>
    <row r="854" spans="1:10" hidden="1">
      <c r="A854" s="54" t="str">
        <f t="shared" si="25"/>
        <v/>
      </c>
      <c r="B854" t="s">
        <v>3214</v>
      </c>
      <c r="C854" s="1"/>
      <c r="F854" s="146"/>
      <c r="G854" s="146"/>
      <c r="I854" s="158"/>
      <c r="J854" s="158"/>
    </row>
    <row r="855" spans="1:10" hidden="1">
      <c r="A855" s="54" t="str">
        <f t="shared" si="25"/>
        <v/>
      </c>
      <c r="B855" t="s">
        <v>3214</v>
      </c>
      <c r="C855" s="1"/>
      <c r="F855" s="146"/>
      <c r="G855" s="146"/>
      <c r="I855" s="158"/>
      <c r="J855" s="158"/>
    </row>
    <row r="856" spans="1:10" hidden="1">
      <c r="A856" s="54" t="str">
        <f t="shared" si="25"/>
        <v/>
      </c>
      <c r="B856" t="s">
        <v>3214</v>
      </c>
      <c r="C856" s="1"/>
      <c r="F856" s="146"/>
      <c r="G856" s="146"/>
      <c r="I856" s="158"/>
      <c r="J856" s="158"/>
    </row>
    <row r="857" spans="1:10" hidden="1">
      <c r="A857" s="54" t="str">
        <f t="shared" si="25"/>
        <v/>
      </c>
      <c r="B857" t="s">
        <v>3214</v>
      </c>
      <c r="C857" s="1"/>
      <c r="F857" s="146"/>
      <c r="G857" s="146"/>
      <c r="I857" s="158"/>
      <c r="J857" s="158"/>
    </row>
    <row r="858" spans="1:10" hidden="1">
      <c r="A858" s="54" t="str">
        <f t="shared" si="25"/>
        <v/>
      </c>
      <c r="B858" t="s">
        <v>3214</v>
      </c>
      <c r="C858" s="1"/>
      <c r="F858" s="146"/>
      <c r="G858" s="146"/>
      <c r="I858" s="158"/>
      <c r="J858" s="158"/>
    </row>
    <row r="859" spans="1:10" hidden="1">
      <c r="A859" s="54" t="str">
        <f t="shared" si="25"/>
        <v/>
      </c>
      <c r="B859" t="s">
        <v>3214</v>
      </c>
      <c r="C859" s="1"/>
      <c r="F859" s="146"/>
      <c r="G859" s="146"/>
      <c r="I859" s="158"/>
      <c r="J859" s="158"/>
    </row>
    <row r="860" spans="1:10" hidden="1">
      <c r="A860" s="54" t="str">
        <f t="shared" si="25"/>
        <v/>
      </c>
      <c r="B860" t="s">
        <v>3214</v>
      </c>
      <c r="C860" s="1"/>
      <c r="F860" s="146"/>
      <c r="G860" s="146"/>
      <c r="I860" s="158"/>
      <c r="J860" s="158"/>
    </row>
    <row r="861" spans="1:10" hidden="1">
      <c r="A861" s="54" t="str">
        <f t="shared" si="25"/>
        <v/>
      </c>
      <c r="B861" t="s">
        <v>3214</v>
      </c>
      <c r="C861" s="1"/>
      <c r="F861" s="146"/>
      <c r="G861" s="146"/>
      <c r="I861" s="158"/>
      <c r="J861" s="158"/>
    </row>
    <row r="862" spans="1:10" hidden="1">
      <c r="A862" s="54" t="str">
        <f t="shared" si="25"/>
        <v/>
      </c>
      <c r="B862" t="s">
        <v>3214</v>
      </c>
      <c r="C862" s="1"/>
      <c r="F862" s="146"/>
      <c r="G862" s="146"/>
      <c r="I862" s="158"/>
      <c r="J862" s="158"/>
    </row>
    <row r="863" spans="1:10" hidden="1">
      <c r="A863" s="54" t="str">
        <f t="shared" si="25"/>
        <v/>
      </c>
      <c r="B863" t="s">
        <v>3214</v>
      </c>
      <c r="C863" s="1"/>
      <c r="F863" s="146"/>
      <c r="G863" s="146"/>
      <c r="I863" s="158"/>
      <c r="J863" s="158"/>
    </row>
    <row r="864" spans="1:10" hidden="1">
      <c r="A864" s="54" t="str">
        <f t="shared" si="25"/>
        <v/>
      </c>
      <c r="B864" t="s">
        <v>3214</v>
      </c>
      <c r="C864" s="1"/>
      <c r="F864" s="146"/>
      <c r="G864" s="146"/>
      <c r="I864" s="158"/>
      <c r="J864" s="158"/>
    </row>
    <row r="865" spans="1:10" hidden="1">
      <c r="A865" s="54" t="str">
        <f t="shared" si="25"/>
        <v/>
      </c>
      <c r="B865" t="s">
        <v>3214</v>
      </c>
      <c r="C865" s="1"/>
      <c r="F865" s="146"/>
      <c r="G865" s="146"/>
      <c r="I865" s="158"/>
      <c r="J865" s="158"/>
    </row>
    <row r="866" spans="1:10" hidden="1">
      <c r="A866" s="54" t="str">
        <f t="shared" si="25"/>
        <v/>
      </c>
      <c r="B866" t="s">
        <v>3214</v>
      </c>
      <c r="C866" s="1"/>
      <c r="F866" s="146"/>
      <c r="G866" s="146"/>
      <c r="I866" s="158"/>
      <c r="J866" s="158"/>
    </row>
    <row r="867" spans="1:10" hidden="1">
      <c r="A867" s="54" t="str">
        <f t="shared" si="25"/>
        <v/>
      </c>
      <c r="B867" t="s">
        <v>3214</v>
      </c>
      <c r="C867" s="1"/>
      <c r="F867" s="146"/>
      <c r="G867" s="146"/>
      <c r="I867" s="158"/>
      <c r="J867" s="158"/>
    </row>
    <row r="868" spans="1:10" hidden="1">
      <c r="A868" s="54" t="str">
        <f t="shared" si="25"/>
        <v/>
      </c>
      <c r="B868" t="s">
        <v>3214</v>
      </c>
      <c r="C868" s="1"/>
      <c r="F868" s="146"/>
      <c r="G868" s="146"/>
      <c r="I868" s="158"/>
      <c r="J868" s="158"/>
    </row>
    <row r="869" spans="1:10" hidden="1">
      <c r="A869" s="54" t="str">
        <f t="shared" si="25"/>
        <v/>
      </c>
      <c r="B869" t="s">
        <v>3214</v>
      </c>
      <c r="C869" s="1"/>
      <c r="F869" s="146"/>
      <c r="G869" s="146"/>
      <c r="I869" s="158"/>
      <c r="J869" s="158"/>
    </row>
    <row r="870" spans="1:10" hidden="1">
      <c r="A870" s="54" t="str">
        <f t="shared" ref="A870:A933" si="26">D870&amp;E870&amp;F870&amp;G870</f>
        <v/>
      </c>
      <c r="B870" t="s">
        <v>3214</v>
      </c>
      <c r="C870" s="1"/>
      <c r="F870" s="146"/>
      <c r="G870" s="146"/>
      <c r="I870" s="158"/>
      <c r="J870" s="158"/>
    </row>
    <row r="871" spans="1:10" hidden="1">
      <c r="A871" s="54" t="str">
        <f t="shared" si="26"/>
        <v/>
      </c>
      <c r="B871" t="s">
        <v>3214</v>
      </c>
      <c r="C871" s="1"/>
      <c r="F871" s="146"/>
      <c r="G871" s="146"/>
      <c r="I871" s="158"/>
      <c r="J871" s="158"/>
    </row>
    <row r="872" spans="1:10" hidden="1">
      <c r="A872" s="54" t="str">
        <f t="shared" si="26"/>
        <v/>
      </c>
      <c r="B872" t="s">
        <v>3214</v>
      </c>
      <c r="C872" s="1"/>
      <c r="F872" s="146"/>
      <c r="G872" s="146"/>
      <c r="I872" s="158"/>
      <c r="J872" s="158"/>
    </row>
    <row r="873" spans="1:10" hidden="1">
      <c r="A873" s="54" t="str">
        <f t="shared" si="26"/>
        <v/>
      </c>
      <c r="B873" t="s">
        <v>3214</v>
      </c>
      <c r="C873" s="1"/>
      <c r="F873" s="146"/>
      <c r="G873" s="146"/>
      <c r="I873" s="158"/>
      <c r="J873" s="158"/>
    </row>
    <row r="874" spans="1:10" hidden="1">
      <c r="A874" s="54" t="str">
        <f t="shared" si="26"/>
        <v/>
      </c>
      <c r="B874" t="s">
        <v>3214</v>
      </c>
      <c r="C874" s="1"/>
      <c r="F874" s="146"/>
      <c r="G874" s="146"/>
      <c r="I874" s="158"/>
      <c r="J874" s="158"/>
    </row>
    <row r="875" spans="1:10" hidden="1">
      <c r="A875" s="54" t="str">
        <f t="shared" si="26"/>
        <v/>
      </c>
      <c r="B875" t="s">
        <v>3214</v>
      </c>
      <c r="C875" s="1"/>
      <c r="F875" s="146"/>
      <c r="G875" s="146"/>
      <c r="I875" s="158"/>
      <c r="J875" s="158"/>
    </row>
    <row r="876" spans="1:10" hidden="1">
      <c r="A876" s="54" t="str">
        <f t="shared" si="26"/>
        <v/>
      </c>
      <c r="B876" t="s">
        <v>3214</v>
      </c>
      <c r="C876" s="1"/>
      <c r="F876" s="146"/>
      <c r="G876" s="146"/>
      <c r="I876" s="158"/>
      <c r="J876" s="158"/>
    </row>
    <row r="877" spans="1:10" hidden="1">
      <c r="A877" s="54" t="str">
        <f t="shared" si="26"/>
        <v/>
      </c>
      <c r="B877" t="s">
        <v>3214</v>
      </c>
      <c r="C877" s="1"/>
      <c r="F877" s="146"/>
      <c r="G877" s="146"/>
      <c r="I877" s="158"/>
      <c r="J877" s="158"/>
    </row>
    <row r="878" spans="1:10" hidden="1">
      <c r="A878" s="54" t="str">
        <f t="shared" si="26"/>
        <v/>
      </c>
      <c r="B878" t="s">
        <v>3214</v>
      </c>
      <c r="C878" s="1"/>
      <c r="F878" s="146"/>
      <c r="G878" s="146"/>
      <c r="I878" s="158"/>
      <c r="J878" s="158"/>
    </row>
    <row r="879" spans="1:10" hidden="1">
      <c r="A879" s="54" t="str">
        <f t="shared" si="26"/>
        <v/>
      </c>
      <c r="B879" t="s">
        <v>3214</v>
      </c>
      <c r="C879" s="1"/>
      <c r="F879" s="146"/>
      <c r="G879" s="146"/>
      <c r="I879" s="158"/>
      <c r="J879" s="158"/>
    </row>
    <row r="880" spans="1:10" hidden="1">
      <c r="A880" s="54" t="str">
        <f t="shared" si="26"/>
        <v/>
      </c>
      <c r="B880" t="s">
        <v>3214</v>
      </c>
      <c r="C880" s="1"/>
      <c r="F880" s="146"/>
      <c r="G880" s="146"/>
      <c r="I880" s="158"/>
      <c r="J880" s="158"/>
    </row>
    <row r="881" spans="1:10" hidden="1">
      <c r="A881" s="54" t="str">
        <f t="shared" si="26"/>
        <v/>
      </c>
      <c r="B881" t="s">
        <v>3214</v>
      </c>
      <c r="C881" s="1"/>
      <c r="F881" s="146"/>
      <c r="G881" s="146"/>
      <c r="I881" s="158"/>
      <c r="J881" s="158"/>
    </row>
    <row r="882" spans="1:10" hidden="1">
      <c r="A882" s="54" t="str">
        <f t="shared" si="26"/>
        <v/>
      </c>
      <c r="B882" t="s">
        <v>3214</v>
      </c>
      <c r="C882" s="1"/>
      <c r="F882" s="146"/>
      <c r="G882" s="146"/>
      <c r="I882" s="158"/>
      <c r="J882" s="158"/>
    </row>
    <row r="883" spans="1:10" hidden="1">
      <c r="A883" s="54" t="str">
        <f t="shared" si="26"/>
        <v/>
      </c>
      <c r="B883" t="s">
        <v>3214</v>
      </c>
      <c r="C883" s="1"/>
      <c r="F883" s="146"/>
      <c r="G883" s="146"/>
      <c r="I883" s="158"/>
      <c r="J883" s="158"/>
    </row>
    <row r="884" spans="1:10" hidden="1">
      <c r="A884" s="54" t="str">
        <f t="shared" si="26"/>
        <v/>
      </c>
      <c r="B884" t="s">
        <v>3214</v>
      </c>
      <c r="C884" s="1"/>
      <c r="F884" s="146"/>
      <c r="G884" s="146"/>
      <c r="I884" s="158"/>
      <c r="J884" s="158"/>
    </row>
    <row r="885" spans="1:10" hidden="1">
      <c r="A885" s="54" t="str">
        <f t="shared" si="26"/>
        <v/>
      </c>
      <c r="B885" t="s">
        <v>3214</v>
      </c>
      <c r="C885" s="1"/>
      <c r="F885" s="146"/>
      <c r="G885" s="146"/>
      <c r="I885" s="158"/>
      <c r="J885" s="158"/>
    </row>
    <row r="886" spans="1:10" hidden="1">
      <c r="A886" s="54" t="str">
        <f t="shared" si="26"/>
        <v/>
      </c>
      <c r="B886" t="s">
        <v>3214</v>
      </c>
      <c r="C886" s="1"/>
      <c r="F886" s="146"/>
      <c r="G886" s="146"/>
      <c r="I886" s="158"/>
      <c r="J886" s="158"/>
    </row>
    <row r="887" spans="1:10" hidden="1">
      <c r="A887" s="54" t="str">
        <f t="shared" si="26"/>
        <v/>
      </c>
      <c r="B887" t="s">
        <v>3214</v>
      </c>
      <c r="C887" s="1"/>
      <c r="F887" s="146"/>
      <c r="G887" s="146"/>
      <c r="I887" s="158"/>
      <c r="J887" s="158"/>
    </row>
    <row r="888" spans="1:10" hidden="1">
      <c r="A888" s="54" t="str">
        <f t="shared" si="26"/>
        <v/>
      </c>
      <c r="B888" t="s">
        <v>3214</v>
      </c>
      <c r="C888" s="1"/>
      <c r="F888" s="146"/>
      <c r="G888" s="146"/>
      <c r="I888" s="158"/>
      <c r="J888" s="158"/>
    </row>
    <row r="889" spans="1:10" hidden="1">
      <c r="A889" s="54" t="str">
        <f t="shared" si="26"/>
        <v/>
      </c>
      <c r="B889" t="s">
        <v>3214</v>
      </c>
      <c r="C889" s="1"/>
      <c r="F889" s="146"/>
      <c r="G889" s="146"/>
      <c r="I889" s="158"/>
      <c r="J889" s="158"/>
    </row>
    <row r="890" spans="1:10" hidden="1">
      <c r="A890" s="54" t="str">
        <f t="shared" si="26"/>
        <v/>
      </c>
      <c r="B890" t="s">
        <v>3214</v>
      </c>
      <c r="C890" s="1"/>
      <c r="F890" s="146"/>
      <c r="G890" s="146"/>
      <c r="I890" s="158"/>
      <c r="J890" s="158"/>
    </row>
    <row r="891" spans="1:10" hidden="1">
      <c r="A891" s="54" t="str">
        <f t="shared" si="26"/>
        <v/>
      </c>
      <c r="B891" t="s">
        <v>3214</v>
      </c>
      <c r="C891" s="1"/>
      <c r="F891" s="146"/>
      <c r="G891" s="146"/>
      <c r="I891" s="158"/>
      <c r="J891" s="158"/>
    </row>
    <row r="892" spans="1:10" hidden="1">
      <c r="A892" s="54" t="str">
        <f t="shared" si="26"/>
        <v/>
      </c>
      <c r="B892" t="s">
        <v>3214</v>
      </c>
      <c r="C892" s="1"/>
      <c r="F892" s="146"/>
      <c r="G892" s="146"/>
      <c r="I892" s="158"/>
      <c r="J892" s="158"/>
    </row>
    <row r="893" spans="1:10" hidden="1">
      <c r="A893" s="54" t="str">
        <f t="shared" si="26"/>
        <v/>
      </c>
      <c r="B893" t="s">
        <v>3214</v>
      </c>
      <c r="C893" s="1"/>
      <c r="F893" s="146"/>
      <c r="G893" s="146"/>
      <c r="I893" s="158"/>
      <c r="J893" s="158"/>
    </row>
    <row r="894" spans="1:10" hidden="1">
      <c r="A894" s="54" t="str">
        <f t="shared" si="26"/>
        <v/>
      </c>
      <c r="B894" t="s">
        <v>3214</v>
      </c>
      <c r="C894" s="1"/>
      <c r="F894" s="146"/>
      <c r="G894" s="146"/>
      <c r="I894" s="158"/>
      <c r="J894" s="158"/>
    </row>
    <row r="895" spans="1:10" hidden="1">
      <c r="A895" s="54" t="str">
        <f t="shared" si="26"/>
        <v/>
      </c>
      <c r="B895" t="s">
        <v>3214</v>
      </c>
      <c r="C895" s="1"/>
      <c r="F895" s="146"/>
      <c r="G895" s="146"/>
      <c r="I895" s="158"/>
      <c r="J895" s="158"/>
    </row>
    <row r="896" spans="1:10" hidden="1">
      <c r="A896" s="54" t="str">
        <f t="shared" si="26"/>
        <v/>
      </c>
      <c r="B896" t="s">
        <v>3214</v>
      </c>
      <c r="C896" s="1"/>
      <c r="F896" s="146"/>
      <c r="G896" s="146"/>
      <c r="I896" s="158"/>
      <c r="J896" s="158"/>
    </row>
    <row r="897" spans="1:10" hidden="1">
      <c r="A897" s="54" t="str">
        <f t="shared" si="26"/>
        <v/>
      </c>
      <c r="B897" t="s">
        <v>3214</v>
      </c>
      <c r="C897" s="1"/>
      <c r="F897" s="146"/>
      <c r="G897" s="146"/>
      <c r="I897" s="158"/>
      <c r="J897" s="158"/>
    </row>
    <row r="898" spans="1:10" hidden="1">
      <c r="A898" s="54" t="str">
        <f t="shared" si="26"/>
        <v/>
      </c>
      <c r="B898" t="s">
        <v>3214</v>
      </c>
      <c r="C898" s="1"/>
      <c r="F898" s="146"/>
      <c r="G898" s="146"/>
      <c r="I898" s="158"/>
      <c r="J898" s="158"/>
    </row>
    <row r="899" spans="1:10" hidden="1">
      <c r="A899" s="54" t="str">
        <f t="shared" si="26"/>
        <v/>
      </c>
      <c r="B899" t="s">
        <v>3214</v>
      </c>
      <c r="C899" s="1"/>
      <c r="F899" s="146"/>
      <c r="G899" s="146"/>
      <c r="I899" s="158"/>
      <c r="J899" s="158"/>
    </row>
    <row r="900" spans="1:10" hidden="1">
      <c r="A900" s="54" t="str">
        <f t="shared" si="26"/>
        <v/>
      </c>
      <c r="B900" t="s">
        <v>3214</v>
      </c>
      <c r="C900" s="1"/>
      <c r="F900" s="146"/>
      <c r="G900" s="146"/>
      <c r="I900" s="158"/>
      <c r="J900" s="158"/>
    </row>
    <row r="901" spans="1:10" hidden="1">
      <c r="A901" s="54" t="str">
        <f t="shared" si="26"/>
        <v/>
      </c>
      <c r="B901" t="s">
        <v>3214</v>
      </c>
      <c r="C901" s="1"/>
      <c r="F901" s="146"/>
      <c r="G901" s="146"/>
      <c r="I901" s="158"/>
      <c r="J901" s="158"/>
    </row>
    <row r="902" spans="1:10" hidden="1">
      <c r="A902" s="54" t="str">
        <f t="shared" si="26"/>
        <v/>
      </c>
      <c r="B902" t="s">
        <v>3214</v>
      </c>
      <c r="C902" s="1"/>
      <c r="F902" s="146"/>
      <c r="G902" s="146"/>
      <c r="I902" s="158"/>
      <c r="J902" s="158"/>
    </row>
    <row r="903" spans="1:10" hidden="1">
      <c r="A903" s="54" t="str">
        <f t="shared" si="26"/>
        <v/>
      </c>
      <c r="B903" t="s">
        <v>3214</v>
      </c>
      <c r="C903" s="1"/>
      <c r="F903" s="146"/>
      <c r="G903" s="146"/>
      <c r="I903" s="158"/>
      <c r="J903" s="158"/>
    </row>
    <row r="904" spans="1:10" hidden="1">
      <c r="A904" s="54" t="str">
        <f t="shared" si="26"/>
        <v/>
      </c>
      <c r="B904" t="s">
        <v>3214</v>
      </c>
      <c r="C904" s="1"/>
      <c r="F904" s="146"/>
      <c r="G904" s="146"/>
      <c r="I904" s="158"/>
      <c r="J904" s="158"/>
    </row>
    <row r="905" spans="1:10" hidden="1">
      <c r="A905" s="54" t="str">
        <f t="shared" si="26"/>
        <v/>
      </c>
      <c r="B905" t="s">
        <v>3214</v>
      </c>
      <c r="C905" s="1"/>
      <c r="F905" s="146"/>
      <c r="G905" s="146"/>
      <c r="I905" s="158"/>
      <c r="J905" s="158"/>
    </row>
    <row r="906" spans="1:10" hidden="1">
      <c r="A906" s="54" t="str">
        <f t="shared" si="26"/>
        <v/>
      </c>
      <c r="B906" t="s">
        <v>3214</v>
      </c>
      <c r="C906" s="1"/>
      <c r="F906" s="146"/>
      <c r="G906" s="146"/>
      <c r="I906" s="158"/>
      <c r="J906" s="158"/>
    </row>
    <row r="907" spans="1:10" hidden="1">
      <c r="A907" s="54" t="str">
        <f t="shared" si="26"/>
        <v/>
      </c>
      <c r="B907" t="s">
        <v>3214</v>
      </c>
      <c r="C907" s="1"/>
      <c r="F907" s="146"/>
      <c r="G907" s="146"/>
      <c r="I907" s="158"/>
      <c r="J907" s="158"/>
    </row>
    <row r="908" spans="1:10" hidden="1">
      <c r="A908" s="54" t="str">
        <f t="shared" si="26"/>
        <v/>
      </c>
      <c r="B908" t="s">
        <v>3214</v>
      </c>
      <c r="C908" s="1"/>
      <c r="F908" s="146"/>
      <c r="G908" s="146"/>
      <c r="I908" s="158"/>
      <c r="J908" s="158"/>
    </row>
    <row r="909" spans="1:10" hidden="1">
      <c r="A909" s="54" t="str">
        <f t="shared" si="26"/>
        <v/>
      </c>
      <c r="B909" t="s">
        <v>3214</v>
      </c>
      <c r="C909" s="1"/>
      <c r="F909" s="146"/>
      <c r="G909" s="146"/>
      <c r="I909" s="158"/>
      <c r="J909" s="158"/>
    </row>
    <row r="910" spans="1:10" hidden="1">
      <c r="A910" s="54" t="str">
        <f t="shared" si="26"/>
        <v/>
      </c>
      <c r="B910" t="s">
        <v>3214</v>
      </c>
      <c r="C910" s="1"/>
      <c r="F910" s="146"/>
      <c r="G910" s="146"/>
      <c r="I910" s="158"/>
      <c r="J910" s="158"/>
    </row>
    <row r="911" spans="1:10" hidden="1">
      <c r="A911" s="54" t="str">
        <f t="shared" si="26"/>
        <v/>
      </c>
      <c r="B911" t="s">
        <v>3214</v>
      </c>
      <c r="C911" s="1"/>
      <c r="F911" s="146"/>
      <c r="G911" s="146"/>
      <c r="I911" s="158"/>
      <c r="J911" s="158"/>
    </row>
    <row r="912" spans="1:10" hidden="1">
      <c r="A912" s="54" t="str">
        <f t="shared" si="26"/>
        <v/>
      </c>
      <c r="B912" t="s">
        <v>3214</v>
      </c>
      <c r="C912" s="1"/>
      <c r="F912" s="146"/>
      <c r="G912" s="146"/>
      <c r="I912" s="158"/>
      <c r="J912" s="158"/>
    </row>
    <row r="913" spans="1:10" hidden="1">
      <c r="A913" s="54" t="str">
        <f t="shared" si="26"/>
        <v/>
      </c>
      <c r="B913" t="s">
        <v>3214</v>
      </c>
      <c r="C913" s="1"/>
      <c r="F913" s="146"/>
      <c r="G913" s="146"/>
      <c r="I913" s="158"/>
      <c r="J913" s="158"/>
    </row>
    <row r="914" spans="1:10" hidden="1">
      <c r="A914" s="54" t="str">
        <f t="shared" si="26"/>
        <v/>
      </c>
      <c r="B914" t="s">
        <v>3214</v>
      </c>
      <c r="C914" s="1"/>
      <c r="F914" s="146"/>
      <c r="G914" s="146"/>
      <c r="I914" s="158"/>
      <c r="J914" s="158"/>
    </row>
    <row r="915" spans="1:10" hidden="1">
      <c r="A915" s="54" t="str">
        <f t="shared" si="26"/>
        <v/>
      </c>
      <c r="B915" t="s">
        <v>3214</v>
      </c>
      <c r="C915" s="1"/>
      <c r="F915" s="146"/>
      <c r="G915" s="146"/>
      <c r="I915" s="158"/>
      <c r="J915" s="158"/>
    </row>
    <row r="916" spans="1:10" hidden="1">
      <c r="A916" s="54" t="str">
        <f t="shared" si="26"/>
        <v/>
      </c>
      <c r="B916" t="s">
        <v>3214</v>
      </c>
      <c r="C916" s="1"/>
      <c r="F916" s="146"/>
      <c r="G916" s="146"/>
      <c r="I916" s="158"/>
      <c r="J916" s="158"/>
    </row>
    <row r="917" spans="1:10" hidden="1">
      <c r="A917" s="54" t="str">
        <f t="shared" si="26"/>
        <v/>
      </c>
      <c r="B917" t="s">
        <v>3214</v>
      </c>
      <c r="C917" s="1"/>
      <c r="F917" s="146"/>
      <c r="G917" s="146"/>
      <c r="I917" s="158"/>
      <c r="J917" s="158"/>
    </row>
    <row r="918" spans="1:10" hidden="1">
      <c r="A918" s="54" t="str">
        <f t="shared" si="26"/>
        <v/>
      </c>
      <c r="B918" t="s">
        <v>3214</v>
      </c>
      <c r="C918" s="1"/>
      <c r="F918" s="146"/>
      <c r="G918" s="146"/>
      <c r="I918" s="158"/>
      <c r="J918" s="158"/>
    </row>
    <row r="919" spans="1:10" hidden="1">
      <c r="A919" s="54" t="str">
        <f t="shared" si="26"/>
        <v/>
      </c>
      <c r="B919" t="s">
        <v>3214</v>
      </c>
      <c r="C919" s="1"/>
      <c r="F919" s="146"/>
      <c r="G919" s="146"/>
      <c r="I919" s="158"/>
      <c r="J919" s="158"/>
    </row>
    <row r="920" spans="1:10" hidden="1">
      <c r="A920" s="54" t="str">
        <f t="shared" si="26"/>
        <v/>
      </c>
      <c r="B920" t="s">
        <v>3214</v>
      </c>
      <c r="C920" s="1"/>
      <c r="F920" s="146"/>
      <c r="G920" s="146"/>
      <c r="I920" s="158"/>
      <c r="J920" s="158"/>
    </row>
    <row r="921" spans="1:10" hidden="1">
      <c r="A921" s="54" t="str">
        <f t="shared" si="26"/>
        <v/>
      </c>
      <c r="B921" t="s">
        <v>3214</v>
      </c>
      <c r="C921" s="1"/>
      <c r="F921" s="146"/>
      <c r="G921" s="146"/>
      <c r="I921" s="158"/>
      <c r="J921" s="158"/>
    </row>
    <row r="922" spans="1:10" hidden="1">
      <c r="A922" s="54" t="str">
        <f t="shared" si="26"/>
        <v/>
      </c>
      <c r="B922" t="s">
        <v>3214</v>
      </c>
      <c r="C922" s="1"/>
      <c r="F922" s="146"/>
      <c r="G922" s="146"/>
      <c r="I922" s="158"/>
      <c r="J922" s="158"/>
    </row>
    <row r="923" spans="1:10" hidden="1">
      <c r="A923" s="54" t="str">
        <f t="shared" si="26"/>
        <v/>
      </c>
      <c r="B923" t="s">
        <v>3214</v>
      </c>
      <c r="C923" s="1"/>
      <c r="F923" s="146"/>
      <c r="G923" s="146"/>
      <c r="I923" s="158"/>
      <c r="J923" s="158"/>
    </row>
    <row r="924" spans="1:10" hidden="1">
      <c r="A924" s="54" t="str">
        <f t="shared" si="26"/>
        <v/>
      </c>
      <c r="B924" t="s">
        <v>3214</v>
      </c>
      <c r="C924" s="1"/>
      <c r="F924" s="146"/>
      <c r="G924" s="146"/>
      <c r="I924" s="158"/>
      <c r="J924" s="158"/>
    </row>
    <row r="925" spans="1:10" hidden="1">
      <c r="A925" s="54" t="str">
        <f t="shared" si="26"/>
        <v/>
      </c>
      <c r="B925" t="s">
        <v>3214</v>
      </c>
      <c r="C925" s="1"/>
      <c r="F925" s="146"/>
      <c r="G925" s="146"/>
      <c r="I925" s="158"/>
      <c r="J925" s="158"/>
    </row>
    <row r="926" spans="1:10" hidden="1">
      <c r="A926" s="54" t="str">
        <f t="shared" si="26"/>
        <v/>
      </c>
      <c r="B926" t="s">
        <v>3214</v>
      </c>
      <c r="C926" s="1"/>
      <c r="F926" s="146"/>
      <c r="G926" s="146"/>
      <c r="I926" s="158"/>
      <c r="J926" s="158"/>
    </row>
    <row r="927" spans="1:10" hidden="1">
      <c r="A927" s="54" t="str">
        <f t="shared" si="26"/>
        <v/>
      </c>
      <c r="B927" t="s">
        <v>3214</v>
      </c>
      <c r="C927" s="1"/>
      <c r="F927" s="146"/>
      <c r="G927" s="146"/>
      <c r="I927" s="158"/>
      <c r="J927" s="158"/>
    </row>
    <row r="928" spans="1:10" hidden="1">
      <c r="A928" s="54" t="str">
        <f t="shared" si="26"/>
        <v/>
      </c>
      <c r="B928" t="s">
        <v>3214</v>
      </c>
      <c r="C928" s="1"/>
      <c r="F928" s="146"/>
      <c r="G928" s="146"/>
      <c r="I928" s="158"/>
      <c r="J928" s="158"/>
    </row>
    <row r="929" spans="1:10" hidden="1">
      <c r="A929" s="54" t="str">
        <f t="shared" si="26"/>
        <v/>
      </c>
      <c r="B929" t="s">
        <v>3214</v>
      </c>
      <c r="C929" s="1"/>
      <c r="F929" s="146"/>
      <c r="G929" s="146"/>
      <c r="I929" s="158"/>
      <c r="J929" s="158"/>
    </row>
    <row r="930" spans="1:10" hidden="1">
      <c r="A930" s="54" t="str">
        <f t="shared" si="26"/>
        <v/>
      </c>
      <c r="B930" t="s">
        <v>3214</v>
      </c>
      <c r="C930" s="1"/>
      <c r="F930" s="146"/>
      <c r="G930" s="146"/>
      <c r="I930" s="158"/>
      <c r="J930" s="158"/>
    </row>
    <row r="931" spans="1:10" hidden="1">
      <c r="A931" s="54" t="str">
        <f t="shared" si="26"/>
        <v/>
      </c>
      <c r="B931" t="s">
        <v>3214</v>
      </c>
      <c r="C931" s="1"/>
      <c r="F931" s="146"/>
      <c r="G931" s="146"/>
      <c r="I931" s="158"/>
      <c r="J931" s="158"/>
    </row>
    <row r="932" spans="1:10" hidden="1">
      <c r="A932" s="54" t="str">
        <f t="shared" si="26"/>
        <v/>
      </c>
      <c r="B932" t="s">
        <v>3214</v>
      </c>
      <c r="C932" s="1"/>
      <c r="F932" s="146"/>
      <c r="G932" s="146"/>
      <c r="I932" s="158"/>
      <c r="J932" s="158"/>
    </row>
    <row r="933" spans="1:10" hidden="1">
      <c r="A933" s="54" t="str">
        <f t="shared" si="26"/>
        <v/>
      </c>
      <c r="B933" t="s">
        <v>3214</v>
      </c>
      <c r="C933" s="1"/>
      <c r="F933" s="146"/>
      <c r="G933" s="146"/>
      <c r="I933" s="158"/>
      <c r="J933" s="158"/>
    </row>
    <row r="934" spans="1:10" hidden="1">
      <c r="A934" s="54" t="str">
        <f t="shared" ref="A934:A969" si="27">D934&amp;E934&amp;F934&amp;G934</f>
        <v/>
      </c>
      <c r="B934" t="s">
        <v>3214</v>
      </c>
      <c r="C934" s="1"/>
      <c r="F934" s="146"/>
      <c r="G934" s="146"/>
      <c r="I934" s="158"/>
      <c r="J934" s="158"/>
    </row>
    <row r="935" spans="1:10" hidden="1">
      <c r="A935" s="54" t="str">
        <f t="shared" si="27"/>
        <v/>
      </c>
      <c r="B935" t="s">
        <v>3214</v>
      </c>
      <c r="C935" s="1"/>
      <c r="F935" s="146"/>
      <c r="G935" s="146"/>
      <c r="I935" s="158"/>
      <c r="J935" s="158"/>
    </row>
    <row r="936" spans="1:10" hidden="1">
      <c r="A936" s="54" t="str">
        <f t="shared" si="27"/>
        <v/>
      </c>
      <c r="B936" t="s">
        <v>3214</v>
      </c>
      <c r="C936" s="1"/>
      <c r="F936" s="146"/>
      <c r="G936" s="146"/>
      <c r="I936" s="158"/>
      <c r="J936" s="158"/>
    </row>
    <row r="937" spans="1:10" hidden="1">
      <c r="A937" s="54" t="str">
        <f t="shared" si="27"/>
        <v/>
      </c>
      <c r="B937" t="s">
        <v>3214</v>
      </c>
      <c r="C937" s="1"/>
      <c r="F937" s="146"/>
      <c r="G937" s="146"/>
      <c r="I937" s="158"/>
      <c r="J937" s="158"/>
    </row>
    <row r="938" spans="1:10" hidden="1">
      <c r="A938" s="54" t="str">
        <f t="shared" si="27"/>
        <v/>
      </c>
      <c r="B938" t="s">
        <v>3214</v>
      </c>
      <c r="C938" s="1"/>
      <c r="F938" s="146"/>
      <c r="G938" s="146"/>
      <c r="I938" s="158"/>
      <c r="J938" s="158"/>
    </row>
    <row r="939" spans="1:10" hidden="1">
      <c r="A939" s="54" t="str">
        <f t="shared" si="27"/>
        <v/>
      </c>
      <c r="B939" t="s">
        <v>3214</v>
      </c>
      <c r="C939" s="1"/>
      <c r="F939" s="146"/>
      <c r="G939" s="146"/>
      <c r="I939" s="158"/>
      <c r="J939" s="158"/>
    </row>
    <row r="940" spans="1:10" hidden="1">
      <c r="A940" s="54" t="str">
        <f t="shared" si="27"/>
        <v/>
      </c>
      <c r="B940" t="s">
        <v>3214</v>
      </c>
      <c r="C940" s="1"/>
      <c r="F940" s="146"/>
      <c r="G940" s="146"/>
      <c r="I940" s="158"/>
      <c r="J940" s="158"/>
    </row>
    <row r="941" spans="1:10" hidden="1">
      <c r="A941" s="54" t="str">
        <f t="shared" si="27"/>
        <v/>
      </c>
      <c r="B941" t="s">
        <v>3214</v>
      </c>
      <c r="C941" s="1"/>
      <c r="F941" s="146"/>
      <c r="G941" s="146"/>
      <c r="I941" s="158"/>
      <c r="J941" s="158"/>
    </row>
    <row r="942" spans="1:10" hidden="1">
      <c r="A942" s="54" t="str">
        <f t="shared" si="27"/>
        <v/>
      </c>
      <c r="B942" t="s">
        <v>3214</v>
      </c>
      <c r="C942" s="1"/>
      <c r="F942" s="146"/>
      <c r="G942" s="146"/>
      <c r="I942" s="158"/>
      <c r="J942" s="158"/>
    </row>
    <row r="943" spans="1:10" hidden="1">
      <c r="A943" s="54" t="str">
        <f t="shared" si="27"/>
        <v/>
      </c>
      <c r="B943" t="s">
        <v>3214</v>
      </c>
      <c r="C943" s="1"/>
      <c r="F943" s="146"/>
      <c r="G943" s="146"/>
      <c r="I943" s="158"/>
      <c r="J943" s="158"/>
    </row>
    <row r="944" spans="1:10" hidden="1">
      <c r="A944" s="54" t="str">
        <f t="shared" si="27"/>
        <v/>
      </c>
      <c r="B944" t="s">
        <v>3214</v>
      </c>
      <c r="C944" s="1"/>
      <c r="F944" s="146"/>
      <c r="G944" s="146"/>
      <c r="I944" s="158"/>
      <c r="J944" s="158"/>
    </row>
    <row r="945" spans="1:10" hidden="1">
      <c r="A945" s="54" t="str">
        <f t="shared" si="27"/>
        <v/>
      </c>
      <c r="B945" t="s">
        <v>3214</v>
      </c>
      <c r="C945" s="1"/>
      <c r="F945" s="146"/>
      <c r="G945" s="146"/>
      <c r="I945" s="158"/>
      <c r="J945" s="158"/>
    </row>
    <row r="946" spans="1:10" hidden="1">
      <c r="A946" s="54" t="str">
        <f t="shared" si="27"/>
        <v/>
      </c>
      <c r="B946" t="s">
        <v>3214</v>
      </c>
      <c r="C946" s="1"/>
      <c r="F946" s="146"/>
      <c r="G946" s="146"/>
      <c r="I946" s="158"/>
      <c r="J946" s="158"/>
    </row>
    <row r="947" spans="1:10" hidden="1">
      <c r="A947" s="54" t="str">
        <f t="shared" si="27"/>
        <v/>
      </c>
      <c r="B947" t="s">
        <v>3214</v>
      </c>
      <c r="C947" s="1"/>
      <c r="F947" s="146"/>
      <c r="G947" s="146"/>
      <c r="I947" s="158"/>
      <c r="J947" s="158"/>
    </row>
    <row r="948" spans="1:10" hidden="1">
      <c r="A948" s="54" t="str">
        <f t="shared" si="27"/>
        <v/>
      </c>
      <c r="B948" t="s">
        <v>3214</v>
      </c>
      <c r="C948" s="1"/>
      <c r="F948" s="146"/>
      <c r="G948" s="146"/>
      <c r="I948" s="158"/>
      <c r="J948" s="158"/>
    </row>
    <row r="949" spans="1:10" hidden="1">
      <c r="A949" s="54" t="str">
        <f t="shared" si="27"/>
        <v/>
      </c>
      <c r="B949" t="s">
        <v>3214</v>
      </c>
      <c r="C949" s="1"/>
      <c r="F949" s="146"/>
      <c r="G949" s="146"/>
      <c r="I949" s="158"/>
      <c r="J949" s="158"/>
    </row>
    <row r="950" spans="1:10" hidden="1">
      <c r="A950" s="54" t="str">
        <f t="shared" si="27"/>
        <v/>
      </c>
      <c r="B950" t="s">
        <v>3214</v>
      </c>
      <c r="C950" s="1"/>
      <c r="F950" s="146"/>
      <c r="G950" s="146"/>
      <c r="I950" s="158"/>
      <c r="J950" s="158"/>
    </row>
    <row r="951" spans="1:10" hidden="1">
      <c r="A951" s="54" t="str">
        <f t="shared" si="27"/>
        <v/>
      </c>
      <c r="B951" t="s">
        <v>3214</v>
      </c>
      <c r="C951" s="1"/>
      <c r="F951" s="146"/>
      <c r="G951" s="146"/>
      <c r="I951" s="158"/>
      <c r="J951" s="158"/>
    </row>
    <row r="952" spans="1:10" hidden="1">
      <c r="A952" s="54" t="str">
        <f t="shared" si="27"/>
        <v/>
      </c>
      <c r="B952" t="s">
        <v>3214</v>
      </c>
      <c r="C952" s="1"/>
      <c r="F952" s="146"/>
      <c r="G952" s="146"/>
      <c r="I952" s="158"/>
      <c r="J952" s="158"/>
    </row>
    <row r="953" spans="1:10" hidden="1">
      <c r="A953" s="54" t="str">
        <f t="shared" si="27"/>
        <v/>
      </c>
      <c r="B953" t="s">
        <v>3214</v>
      </c>
      <c r="C953" s="1"/>
      <c r="F953" s="146"/>
      <c r="G953" s="146"/>
      <c r="I953" s="158"/>
      <c r="J953" s="158"/>
    </row>
    <row r="954" spans="1:10" hidden="1">
      <c r="A954" s="54" t="str">
        <f t="shared" si="27"/>
        <v/>
      </c>
      <c r="B954" t="s">
        <v>3214</v>
      </c>
      <c r="C954" s="1"/>
      <c r="F954" s="146"/>
      <c r="G954" s="146"/>
      <c r="I954" s="158"/>
      <c r="J954" s="158"/>
    </row>
    <row r="955" spans="1:10" hidden="1">
      <c r="A955" s="54" t="str">
        <f t="shared" si="27"/>
        <v/>
      </c>
      <c r="B955" t="s">
        <v>3214</v>
      </c>
      <c r="C955" s="1"/>
      <c r="F955" s="146"/>
      <c r="G955" s="146"/>
      <c r="I955" s="158"/>
      <c r="J955" s="158"/>
    </row>
    <row r="956" spans="1:10" hidden="1">
      <c r="A956" s="54" t="str">
        <f t="shared" si="27"/>
        <v/>
      </c>
      <c r="B956" t="s">
        <v>3214</v>
      </c>
      <c r="C956" s="1"/>
      <c r="F956" s="146"/>
      <c r="G956" s="146"/>
      <c r="I956" s="158"/>
      <c r="J956" s="158"/>
    </row>
    <row r="957" spans="1:10" hidden="1">
      <c r="A957" s="54" t="str">
        <f t="shared" si="27"/>
        <v/>
      </c>
      <c r="B957" t="s">
        <v>3214</v>
      </c>
      <c r="C957" s="1"/>
      <c r="F957" s="146"/>
      <c r="G957" s="146"/>
      <c r="I957" s="158"/>
      <c r="J957" s="158"/>
    </row>
    <row r="958" spans="1:10" hidden="1">
      <c r="A958" s="54" t="str">
        <f t="shared" si="27"/>
        <v/>
      </c>
      <c r="B958" t="s">
        <v>3214</v>
      </c>
      <c r="C958" s="1"/>
      <c r="F958" s="146"/>
      <c r="G958" s="146"/>
      <c r="I958" s="158"/>
      <c r="J958" s="158"/>
    </row>
    <row r="959" spans="1:10" hidden="1">
      <c r="A959" s="54" t="str">
        <f t="shared" si="27"/>
        <v/>
      </c>
      <c r="B959" t="s">
        <v>3214</v>
      </c>
      <c r="C959" s="1"/>
      <c r="F959" s="146"/>
      <c r="G959" s="146"/>
      <c r="I959" s="158"/>
      <c r="J959" s="158"/>
    </row>
    <row r="960" spans="1:10" hidden="1">
      <c r="A960" s="54" t="str">
        <f t="shared" si="27"/>
        <v/>
      </c>
      <c r="B960" t="s">
        <v>3214</v>
      </c>
      <c r="C960" s="1"/>
      <c r="F960" s="146"/>
      <c r="G960" s="146"/>
      <c r="I960" s="158"/>
      <c r="J960" s="158"/>
    </row>
    <row r="961" spans="1:10" hidden="1">
      <c r="A961" s="54" t="str">
        <f t="shared" si="27"/>
        <v/>
      </c>
      <c r="B961" t="s">
        <v>3214</v>
      </c>
      <c r="C961" s="1"/>
      <c r="F961" s="146"/>
      <c r="G961" s="146"/>
      <c r="I961" s="158"/>
      <c r="J961" s="158"/>
    </row>
    <row r="962" spans="1:10" hidden="1">
      <c r="A962" s="54" t="str">
        <f t="shared" si="27"/>
        <v/>
      </c>
      <c r="B962" t="s">
        <v>3214</v>
      </c>
      <c r="C962" s="1"/>
      <c r="F962" s="146"/>
      <c r="G962" s="146"/>
      <c r="I962" s="158"/>
      <c r="J962" s="158"/>
    </row>
    <row r="963" spans="1:10" hidden="1">
      <c r="A963" s="54" t="str">
        <f t="shared" si="27"/>
        <v/>
      </c>
      <c r="B963" t="s">
        <v>3214</v>
      </c>
      <c r="C963" s="1"/>
      <c r="F963" s="146"/>
      <c r="G963" s="146"/>
      <c r="I963" s="158"/>
      <c r="J963" s="158"/>
    </row>
    <row r="964" spans="1:10" hidden="1">
      <c r="A964" s="54" t="str">
        <f t="shared" si="27"/>
        <v/>
      </c>
      <c r="B964" t="s">
        <v>3214</v>
      </c>
      <c r="C964" s="1"/>
      <c r="F964" s="146"/>
      <c r="G964" s="146"/>
      <c r="I964" s="158"/>
      <c r="J964" s="158"/>
    </row>
    <row r="965" spans="1:10" hidden="1">
      <c r="A965" s="54" t="str">
        <f t="shared" si="27"/>
        <v/>
      </c>
      <c r="B965" t="s">
        <v>3214</v>
      </c>
      <c r="C965" s="1"/>
      <c r="F965" s="146"/>
      <c r="G965" s="146"/>
      <c r="I965" s="158"/>
      <c r="J965" s="158"/>
    </row>
    <row r="966" spans="1:10" hidden="1">
      <c r="A966" s="54" t="str">
        <f t="shared" si="27"/>
        <v/>
      </c>
      <c r="B966" t="s">
        <v>3214</v>
      </c>
      <c r="C966" s="1"/>
      <c r="F966" s="146"/>
      <c r="G966" s="146"/>
      <c r="I966" s="158"/>
      <c r="J966" s="158"/>
    </row>
    <row r="967" spans="1:10" hidden="1">
      <c r="A967" s="54" t="str">
        <f t="shared" si="27"/>
        <v/>
      </c>
      <c r="B967" t="s">
        <v>3214</v>
      </c>
      <c r="C967" s="1"/>
      <c r="F967" s="146"/>
      <c r="G967" s="146"/>
      <c r="I967" s="158"/>
      <c r="J967" s="158"/>
    </row>
    <row r="968" spans="1:10" hidden="1">
      <c r="A968" s="54" t="str">
        <f t="shared" si="27"/>
        <v/>
      </c>
      <c r="B968" t="s">
        <v>3214</v>
      </c>
      <c r="C968" s="1"/>
      <c r="F968" s="146"/>
      <c r="G968" s="146"/>
      <c r="I968" s="158"/>
      <c r="J968" s="158"/>
    </row>
    <row r="969" spans="1:10" hidden="1">
      <c r="A969" s="54" t="str">
        <f t="shared" si="27"/>
        <v/>
      </c>
      <c r="B969" t="s">
        <v>3214</v>
      </c>
      <c r="C969" s="1"/>
      <c r="F969" s="146"/>
      <c r="G969" s="146"/>
      <c r="I969" s="158"/>
      <c r="J969" s="158"/>
    </row>
    <row r="970" spans="1:10" ht="15" hidden="1">
      <c r="A970" s="137" t="str">
        <f>D970&amp;E970&amp;F970&amp;G970</f>
        <v/>
      </c>
      <c r="B970" t="s">
        <v>3214</v>
      </c>
      <c r="I970" s="158"/>
      <c r="J970" s="158"/>
    </row>
    <row r="971" spans="1:10" ht="15" hidden="1">
      <c r="A971" s="137" t="str">
        <f>D971&amp;E971&amp;F971&amp;G971</f>
        <v/>
      </c>
      <c r="B971" t="s">
        <v>3214</v>
      </c>
      <c r="I971" s="158"/>
      <c r="J971" s="158"/>
    </row>
    <row r="972" spans="1:10" ht="15" hidden="1">
      <c r="A972" s="137" t="str">
        <f>D972&amp;E972&amp;F972&amp;G972</f>
        <v/>
      </c>
      <c r="B972" t="s">
        <v>3214</v>
      </c>
      <c r="I972" s="158"/>
      <c r="J972" s="158"/>
    </row>
    <row r="973" spans="1:10" ht="15" hidden="1">
      <c r="A973" s="137" t="str">
        <f>D973&amp;E973&amp;F973&amp;G973</f>
        <v/>
      </c>
      <c r="B973" t="s">
        <v>3214</v>
      </c>
      <c r="I973" s="158"/>
      <c r="J973" s="158"/>
    </row>
    <row r="974" spans="1:10" ht="15" hidden="1">
      <c r="A974" s="137" t="str">
        <f>D974&amp;E974&amp;F974&amp;G974</f>
        <v/>
      </c>
      <c r="B974" t="s">
        <v>3214</v>
      </c>
      <c r="I974" s="158"/>
      <c r="J974" s="158"/>
    </row>
    <row r="975" spans="1:10" ht="15" hidden="1">
      <c r="A975" s="137" t="str">
        <f>D975&amp;E975&amp;F975&amp;G975</f>
        <v/>
      </c>
      <c r="B975" t="s">
        <v>3214</v>
      </c>
      <c r="I975" s="158"/>
      <c r="J975" s="158"/>
    </row>
    <row r="976" spans="1:10" ht="15" hidden="1">
      <c r="A976" s="137" t="str">
        <f>D976&amp;E976&amp;F976&amp;G976</f>
        <v/>
      </c>
      <c r="B976" t="s">
        <v>3214</v>
      </c>
    </row>
    <row r="977" spans="1:2" ht="15" hidden="1">
      <c r="A977" s="137" t="str">
        <f>D977&amp;E977&amp;F977&amp;G977</f>
        <v/>
      </c>
      <c r="B977" t="s">
        <v>3214</v>
      </c>
    </row>
    <row r="978" spans="1:2" ht="15" hidden="1">
      <c r="A978" s="137" t="str">
        <f>D978&amp;E978&amp;F978&amp;G978</f>
        <v/>
      </c>
      <c r="B978" t="s">
        <v>3214</v>
      </c>
    </row>
    <row r="979" spans="1:2" ht="15" hidden="1">
      <c r="A979" s="137" t="str">
        <f>D979&amp;E979&amp;F979&amp;G979</f>
        <v/>
      </c>
      <c r="B979" t="s">
        <v>3214</v>
      </c>
    </row>
    <row r="980" spans="1:2" ht="15" hidden="1">
      <c r="A980" s="137" t="str">
        <f>D980&amp;E980&amp;F980&amp;G980</f>
        <v/>
      </c>
      <c r="B980" t="s">
        <v>3214</v>
      </c>
    </row>
    <row r="981" spans="1:2" ht="15" hidden="1">
      <c r="A981" s="137" t="str">
        <f>D981&amp;E981&amp;F981&amp;G981</f>
        <v/>
      </c>
      <c r="B981" t="s">
        <v>3214</v>
      </c>
    </row>
    <row r="982" spans="1:2" ht="15" hidden="1">
      <c r="A982" s="137" t="str">
        <f>D982&amp;E982&amp;F982&amp;G982</f>
        <v/>
      </c>
      <c r="B982" t="s">
        <v>3214</v>
      </c>
    </row>
    <row r="983" spans="1:2" ht="15" hidden="1">
      <c r="A983" s="137" t="str">
        <f>D983&amp;E983&amp;F983&amp;G983</f>
        <v/>
      </c>
      <c r="B983" t="s">
        <v>3214</v>
      </c>
    </row>
    <row r="984" spans="1:2" ht="15" hidden="1">
      <c r="A984" s="137" t="str">
        <f>D984&amp;E984&amp;F984&amp;G984</f>
        <v/>
      </c>
      <c r="B984" t="s">
        <v>3214</v>
      </c>
    </row>
    <row r="985" spans="1:2" ht="15" hidden="1">
      <c r="A985" s="137" t="str">
        <f>D985&amp;E985&amp;F985&amp;G985</f>
        <v/>
      </c>
      <c r="B985" t="s">
        <v>3214</v>
      </c>
    </row>
    <row r="986" spans="1:2" ht="15" hidden="1">
      <c r="A986" s="137" t="str">
        <f>D986&amp;E986&amp;F986&amp;G986</f>
        <v/>
      </c>
      <c r="B986" t="s">
        <v>3214</v>
      </c>
    </row>
    <row r="987" spans="1:2" ht="15" hidden="1">
      <c r="A987" s="137" t="str">
        <f>D987&amp;E987&amp;F987&amp;G987</f>
        <v/>
      </c>
      <c r="B987" t="s">
        <v>3214</v>
      </c>
    </row>
    <row r="988" spans="1:2" ht="15" hidden="1">
      <c r="A988" s="137" t="str">
        <f>D988&amp;E988&amp;F988&amp;G988</f>
        <v/>
      </c>
      <c r="B988" t="s">
        <v>3214</v>
      </c>
    </row>
    <row r="989" spans="1:2" ht="15" hidden="1">
      <c r="A989" s="137" t="str">
        <f>D989&amp;E989&amp;F989&amp;G989</f>
        <v/>
      </c>
      <c r="B989" t="s">
        <v>3214</v>
      </c>
    </row>
    <row r="990" spans="1:2" ht="15" hidden="1">
      <c r="A990" s="137" t="str">
        <f>D990&amp;E990&amp;F990&amp;G990</f>
        <v/>
      </c>
      <c r="B990" t="s">
        <v>3214</v>
      </c>
    </row>
    <row r="991" spans="1:2" ht="15" hidden="1">
      <c r="A991" s="137" t="str">
        <f>D991&amp;E991&amp;F991&amp;G991</f>
        <v/>
      </c>
      <c r="B991" t="s">
        <v>3214</v>
      </c>
    </row>
    <row r="992" spans="1:2" ht="15" hidden="1">
      <c r="A992" s="137" t="str">
        <f>D992&amp;E992&amp;F992&amp;G992</f>
        <v/>
      </c>
      <c r="B992" t="s">
        <v>3214</v>
      </c>
    </row>
    <row r="993" spans="1:11" ht="15" hidden="1">
      <c r="A993" s="137" t="str">
        <f>D993&amp;E993&amp;F993&amp;G993</f>
        <v/>
      </c>
      <c r="B993" t="s">
        <v>3214</v>
      </c>
    </row>
    <row r="994" spans="1:11" ht="15" hidden="1">
      <c r="A994" s="137" t="str">
        <f>D994&amp;E994&amp;F994</f>
        <v/>
      </c>
      <c r="B994" t="s">
        <v>3214</v>
      </c>
    </row>
    <row r="995" spans="1:11" ht="15" hidden="1">
      <c r="B995" t="s">
        <v>3214</v>
      </c>
      <c r="K995" s="485">
        <f t="shared" ref="K995:K996" si="28">K994+I995-J995</f>
        <v>0</v>
      </c>
    </row>
    <row r="996" spans="1:11" ht="15" hidden="1">
      <c r="B996" t="s">
        <v>3214</v>
      </c>
      <c r="K996" s="485">
        <f t="shared" si="28"/>
        <v>0</v>
      </c>
    </row>
    <row r="997" spans="1:11" ht="15" hidden="1">
      <c r="A997" s="137" t="str">
        <f>D997&amp;E997&amp;F997</f>
        <v/>
      </c>
      <c r="B997" t="s">
        <v>3214</v>
      </c>
    </row>
    <row r="998" spans="1:11" ht="15" hidden="1">
      <c r="A998" s="137" t="str">
        <f>D998&amp;E998&amp;F998</f>
        <v/>
      </c>
      <c r="B998" t="s">
        <v>3214</v>
      </c>
    </row>
    <row r="999" spans="1:11" ht="15" hidden="1">
      <c r="A999" s="137" t="str">
        <f>D999&amp;E999&amp;F999</f>
        <v/>
      </c>
      <c r="B999" t="s">
        <v>3214</v>
      </c>
    </row>
    <row r="1000" spans="1:11" ht="15" hidden="1">
      <c r="A1000" s="137" t="str">
        <f>D1000&amp;E1000&amp;F1000</f>
        <v/>
      </c>
      <c r="B1000" t="s">
        <v>3214</v>
      </c>
    </row>
    <row r="1001" spans="1:11" ht="15" hidden="1">
      <c r="A1001" s="137" t="str">
        <f>D1001&amp;E1001&amp;F1001</f>
        <v/>
      </c>
      <c r="B1001" t="s">
        <v>3214</v>
      </c>
    </row>
    <row r="1002" spans="1:11" ht="15" hidden="1">
      <c r="A1002" s="137" t="str">
        <f>D1002&amp;E1002&amp;F1002</f>
        <v/>
      </c>
      <c r="B1002" t="s">
        <v>3214</v>
      </c>
    </row>
    <row r="1003" spans="1:11" ht="15" hidden="1">
      <c r="A1003" s="137" t="str">
        <f>D1003&amp;E1003&amp;F1003</f>
        <v/>
      </c>
      <c r="B1003" t="s">
        <v>3214</v>
      </c>
    </row>
    <row r="1004" spans="1:11" ht="15" hidden="1">
      <c r="A1004" s="137" t="str">
        <f>D1004&amp;E1004&amp;F1004</f>
        <v/>
      </c>
      <c r="B1004" t="s">
        <v>3214</v>
      </c>
    </row>
    <row r="1005" spans="1:11" ht="15" hidden="1">
      <c r="A1005" s="137" t="str">
        <f>D1005&amp;E1005&amp;F1005</f>
        <v/>
      </c>
      <c r="B1005" t="s">
        <v>3214</v>
      </c>
    </row>
    <row r="1006" spans="1:11" ht="15" hidden="1">
      <c r="A1006" s="137" t="str">
        <f>D1006&amp;E1006&amp;F1006</f>
        <v/>
      </c>
      <c r="B1006" t="s">
        <v>3214</v>
      </c>
    </row>
    <row r="1007" spans="1:11" ht="15" hidden="1">
      <c r="A1007" s="137" t="str">
        <f>D1007&amp;E1007&amp;F1007</f>
        <v/>
      </c>
      <c r="B1007" t="s">
        <v>3214</v>
      </c>
    </row>
    <row r="1008" spans="1:11" ht="15" hidden="1">
      <c r="A1008" s="137" t="str">
        <f>D1008&amp;E1008&amp;F1008</f>
        <v/>
      </c>
      <c r="B1008" t="s">
        <v>3214</v>
      </c>
    </row>
    <row r="1009" spans="1:2" ht="15" hidden="1">
      <c r="A1009" s="137" t="str">
        <f>D1009&amp;E1009&amp;F1009</f>
        <v/>
      </c>
      <c r="B1009" t="s">
        <v>3214</v>
      </c>
    </row>
    <row r="1010" spans="1:2" ht="15" hidden="1">
      <c r="A1010" s="137" t="str">
        <f>D1010&amp;E1010&amp;F1010</f>
        <v/>
      </c>
      <c r="B1010" t="s">
        <v>3214</v>
      </c>
    </row>
    <row r="1011" spans="1:2" ht="15" hidden="1">
      <c r="A1011" s="137" t="str">
        <f>D1011&amp;E1011&amp;F1011</f>
        <v/>
      </c>
      <c r="B1011" t="s">
        <v>3214</v>
      </c>
    </row>
    <row r="1012" spans="1:2" ht="15" hidden="1">
      <c r="A1012" s="137" t="str">
        <f>D1012&amp;E1012&amp;F1012</f>
        <v/>
      </c>
      <c r="B1012" t="s">
        <v>3214</v>
      </c>
    </row>
    <row r="1013" spans="1:2" ht="15" hidden="1">
      <c r="A1013" s="137" t="str">
        <f>D1013&amp;E1013&amp;F1013</f>
        <v/>
      </c>
      <c r="B1013" t="s">
        <v>3214</v>
      </c>
    </row>
    <row r="1014" spans="1:2" ht="15" hidden="1">
      <c r="A1014" s="137" t="str">
        <f>D1014&amp;E1014&amp;F1014</f>
        <v/>
      </c>
      <c r="B1014" t="s">
        <v>3214</v>
      </c>
    </row>
    <row r="1015" spans="1:2" ht="15" hidden="1">
      <c r="A1015" s="137" t="str">
        <f>D1015&amp;E1015&amp;F1015</f>
        <v/>
      </c>
      <c r="B1015" t="s">
        <v>3214</v>
      </c>
    </row>
    <row r="1016" spans="1:2" ht="15" hidden="1">
      <c r="A1016" s="137" t="str">
        <f>D1016&amp;E1016&amp;F1016</f>
        <v/>
      </c>
      <c r="B1016" t="s">
        <v>3214</v>
      </c>
    </row>
    <row r="1017" spans="1:2" ht="15" hidden="1">
      <c r="A1017" s="137" t="str">
        <f>D1017&amp;E1017&amp;F1017</f>
        <v/>
      </c>
      <c r="B1017" t="s">
        <v>3214</v>
      </c>
    </row>
    <row r="1018" spans="1:2" ht="15" hidden="1">
      <c r="A1018" s="137" t="str">
        <f>D1018&amp;E1018&amp;F1018</f>
        <v/>
      </c>
      <c r="B1018" t="s">
        <v>3214</v>
      </c>
    </row>
    <row r="1019" spans="1:2" ht="15" hidden="1">
      <c r="A1019" s="137" t="str">
        <f>D1019&amp;E1019&amp;F1019</f>
        <v/>
      </c>
      <c r="B1019" t="s">
        <v>3214</v>
      </c>
    </row>
    <row r="1020" spans="1:2" ht="15" hidden="1">
      <c r="A1020" s="137" t="str">
        <f>D1020&amp;E1020&amp;F1020</f>
        <v/>
      </c>
      <c r="B1020" t="s">
        <v>3214</v>
      </c>
    </row>
    <row r="1021" spans="1:2" ht="15" hidden="1">
      <c r="A1021" s="137" t="str">
        <f>D1021&amp;E1021&amp;F1021</f>
        <v/>
      </c>
      <c r="B1021" t="s">
        <v>3214</v>
      </c>
    </row>
    <row r="1022" spans="1:2" ht="15" hidden="1">
      <c r="A1022" s="137" t="str">
        <f>D1022&amp;E1022&amp;F1022</f>
        <v/>
      </c>
      <c r="B1022" t="s">
        <v>3214</v>
      </c>
    </row>
    <row r="1023" spans="1:2" ht="15" hidden="1">
      <c r="A1023" s="137" t="str">
        <f>D1023&amp;E1023&amp;F1023</f>
        <v/>
      </c>
      <c r="B1023" t="s">
        <v>3214</v>
      </c>
    </row>
    <row r="1024" spans="1:2" ht="15" hidden="1">
      <c r="A1024" s="137" t="str">
        <f>D1024&amp;E1024&amp;F1024</f>
        <v/>
      </c>
      <c r="B1024" t="s">
        <v>3214</v>
      </c>
    </row>
    <row r="1025" spans="1:2" ht="15" hidden="1">
      <c r="A1025" s="137" t="str">
        <f>D1025&amp;E1025&amp;F1025</f>
        <v/>
      </c>
      <c r="B1025" t="s">
        <v>3214</v>
      </c>
    </row>
    <row r="1026" spans="1:2" ht="15" hidden="1">
      <c r="A1026" s="137" t="str">
        <f>D1026&amp;E1026&amp;F1026</f>
        <v/>
      </c>
      <c r="B1026" t="s">
        <v>3214</v>
      </c>
    </row>
    <row r="1027" spans="1:2" ht="15" hidden="1">
      <c r="A1027" s="137" t="str">
        <f>D1027&amp;E1027&amp;F1027</f>
        <v/>
      </c>
      <c r="B1027" t="s">
        <v>3214</v>
      </c>
    </row>
    <row r="1028" spans="1:2" ht="15" hidden="1">
      <c r="A1028" s="137" t="str">
        <f>D1028&amp;E1028&amp;F1028</f>
        <v/>
      </c>
      <c r="B1028" t="s">
        <v>3214</v>
      </c>
    </row>
    <row r="1029" spans="1:2" ht="15" hidden="1">
      <c r="A1029" s="137" t="str">
        <f>D1029&amp;E1029&amp;F1029</f>
        <v/>
      </c>
      <c r="B1029" t="s">
        <v>3214</v>
      </c>
    </row>
    <row r="1030" spans="1:2" ht="15" hidden="1">
      <c r="A1030" s="137" t="str">
        <f>D1030&amp;E1030&amp;F1030</f>
        <v/>
      </c>
      <c r="B1030" t="s">
        <v>3214</v>
      </c>
    </row>
    <row r="1031" spans="1:2" ht="15" hidden="1">
      <c r="A1031" s="137" t="str">
        <f>D1031&amp;E1031&amp;F1031</f>
        <v/>
      </c>
      <c r="B1031" t="s">
        <v>3214</v>
      </c>
    </row>
    <row r="1032" spans="1:2" ht="15" hidden="1">
      <c r="A1032" s="137" t="str">
        <f>D1032&amp;E1032&amp;F1032</f>
        <v/>
      </c>
      <c r="B1032" t="s">
        <v>3214</v>
      </c>
    </row>
    <row r="1033" spans="1:2" ht="15" hidden="1">
      <c r="A1033" s="137" t="str">
        <f>D1033&amp;E1033&amp;F1033</f>
        <v/>
      </c>
      <c r="B1033" t="s">
        <v>3214</v>
      </c>
    </row>
    <row r="1034" spans="1:2" ht="15" hidden="1">
      <c r="A1034" s="137" t="str">
        <f>D1034&amp;E1034&amp;F1034</f>
        <v/>
      </c>
      <c r="B1034" t="s">
        <v>3214</v>
      </c>
    </row>
    <row r="1035" spans="1:2" ht="15" hidden="1">
      <c r="A1035" s="137" t="str">
        <f>D1035&amp;E1035&amp;F1035</f>
        <v/>
      </c>
      <c r="B1035" t="s">
        <v>3214</v>
      </c>
    </row>
    <row r="1036" spans="1:2" ht="15" hidden="1">
      <c r="A1036" s="137" t="str">
        <f>D1036&amp;E1036&amp;F1036</f>
        <v/>
      </c>
      <c r="B1036" t="s">
        <v>3214</v>
      </c>
    </row>
    <row r="1037" spans="1:2" ht="15" hidden="1">
      <c r="A1037" s="137" t="str">
        <f>D1037&amp;E1037&amp;F1037</f>
        <v/>
      </c>
      <c r="B1037" t="s">
        <v>3214</v>
      </c>
    </row>
    <row r="1038" spans="1:2" ht="15" hidden="1">
      <c r="A1038" s="137" t="str">
        <f>D1038&amp;E1038&amp;F1038</f>
        <v/>
      </c>
      <c r="B1038" t="s">
        <v>3214</v>
      </c>
    </row>
    <row r="1039" spans="1:2" ht="15" hidden="1">
      <c r="A1039" s="137" t="str">
        <f>D1039&amp;E1039&amp;F1039</f>
        <v/>
      </c>
      <c r="B1039" t="s">
        <v>3214</v>
      </c>
    </row>
    <row r="1040" spans="1:2" ht="15" hidden="1">
      <c r="A1040" s="137" t="str">
        <f>D1040&amp;E1040&amp;F1040</f>
        <v/>
      </c>
      <c r="B1040" t="s">
        <v>3214</v>
      </c>
    </row>
    <row r="1041" spans="1:2" ht="15" hidden="1">
      <c r="A1041" s="137" t="str">
        <f>D1041&amp;E1041&amp;F1041</f>
        <v/>
      </c>
      <c r="B1041" t="s">
        <v>3214</v>
      </c>
    </row>
    <row r="1042" spans="1:2" ht="15" hidden="1">
      <c r="A1042" s="137" t="str">
        <f>D1042&amp;E1042&amp;F1042</f>
        <v/>
      </c>
      <c r="B1042" t="s">
        <v>3214</v>
      </c>
    </row>
    <row r="1043" spans="1:2" ht="15" hidden="1">
      <c r="A1043" s="137" t="str">
        <f>D1043&amp;E1043&amp;F1043</f>
        <v/>
      </c>
      <c r="B1043" t="s">
        <v>3214</v>
      </c>
    </row>
    <row r="1044" spans="1:2" ht="15" hidden="1">
      <c r="A1044" s="137" t="str">
        <f>D1044&amp;E1044&amp;F1044</f>
        <v/>
      </c>
      <c r="B1044" t="s">
        <v>3214</v>
      </c>
    </row>
    <row r="1045" spans="1:2" ht="15" hidden="1">
      <c r="A1045" s="137" t="str">
        <f>D1045&amp;E1045&amp;F1045</f>
        <v/>
      </c>
      <c r="B1045" t="s">
        <v>3214</v>
      </c>
    </row>
    <row r="1046" spans="1:2" ht="15" hidden="1">
      <c r="A1046" s="137" t="str">
        <f>D1046&amp;E1046&amp;F1046</f>
        <v/>
      </c>
      <c r="B1046" t="s">
        <v>3214</v>
      </c>
    </row>
    <row r="1047" spans="1:2" ht="15" hidden="1">
      <c r="A1047" s="137" t="str">
        <f>D1047&amp;E1047&amp;F1047</f>
        <v/>
      </c>
      <c r="B1047" t="s">
        <v>3214</v>
      </c>
    </row>
    <row r="1048" spans="1:2" ht="15" hidden="1">
      <c r="A1048" s="137" t="str">
        <f>D1048&amp;E1048&amp;F1048</f>
        <v/>
      </c>
      <c r="B1048" t="s">
        <v>3214</v>
      </c>
    </row>
    <row r="1049" spans="1:2" ht="15" hidden="1">
      <c r="A1049" s="137" t="str">
        <f>D1049&amp;E1049&amp;F1049</f>
        <v/>
      </c>
      <c r="B1049" t="s">
        <v>3214</v>
      </c>
    </row>
    <row r="1050" spans="1:2" ht="15" hidden="1">
      <c r="A1050" s="137" t="str">
        <f>D1050&amp;E1050&amp;F1050</f>
        <v/>
      </c>
      <c r="B1050" t="s">
        <v>3214</v>
      </c>
    </row>
    <row r="1051" spans="1:2" ht="15" hidden="1">
      <c r="A1051" s="137" t="str">
        <f>D1051&amp;E1051&amp;F1051</f>
        <v/>
      </c>
      <c r="B1051" t="s">
        <v>3214</v>
      </c>
    </row>
    <row r="1052" spans="1:2" ht="15" hidden="1">
      <c r="A1052" s="137" t="str">
        <f>D1052&amp;E1052&amp;F1052</f>
        <v/>
      </c>
      <c r="B1052" t="s">
        <v>3214</v>
      </c>
    </row>
    <row r="1053" spans="1:2" ht="15" hidden="1">
      <c r="A1053" s="137" t="str">
        <f>D1053&amp;E1053&amp;F1053</f>
        <v/>
      </c>
      <c r="B1053" t="s">
        <v>3214</v>
      </c>
    </row>
    <row r="1054" spans="1:2" ht="15" hidden="1">
      <c r="A1054" s="137" t="str">
        <f>D1054&amp;E1054&amp;F1054</f>
        <v/>
      </c>
      <c r="B1054" t="s">
        <v>3214</v>
      </c>
    </row>
    <row r="1055" spans="1:2" ht="15" hidden="1">
      <c r="A1055" s="137" t="str">
        <f>D1055&amp;E1055&amp;F1055</f>
        <v/>
      </c>
      <c r="B1055" t="s">
        <v>3214</v>
      </c>
    </row>
    <row r="1056" spans="1:2" ht="15" hidden="1">
      <c r="A1056" s="137" t="str">
        <f>D1056&amp;E1056&amp;F1056</f>
        <v/>
      </c>
      <c r="B1056" t="s">
        <v>3214</v>
      </c>
    </row>
    <row r="1057" spans="1:2" ht="15" hidden="1">
      <c r="A1057" s="137" t="str">
        <f>D1057&amp;E1057&amp;F1057</f>
        <v/>
      </c>
      <c r="B1057" t="s">
        <v>3214</v>
      </c>
    </row>
    <row r="1058" spans="1:2" ht="15" hidden="1">
      <c r="A1058" s="137" t="str">
        <f>D1058&amp;E1058&amp;F1058</f>
        <v/>
      </c>
      <c r="B1058" t="s">
        <v>3214</v>
      </c>
    </row>
    <row r="1059" spans="1:2" ht="15" hidden="1">
      <c r="A1059" s="137" t="str">
        <f>D1059&amp;E1059&amp;F1059</f>
        <v/>
      </c>
      <c r="B1059" t="s">
        <v>3214</v>
      </c>
    </row>
    <row r="1060" spans="1:2" ht="15" hidden="1">
      <c r="A1060" s="137" t="str">
        <f>D1060&amp;E1060&amp;F1060</f>
        <v/>
      </c>
      <c r="B1060" t="s">
        <v>3214</v>
      </c>
    </row>
    <row r="1061" spans="1:2" ht="15" hidden="1">
      <c r="A1061" s="137" t="str">
        <f>D1061&amp;E1061&amp;F1061</f>
        <v/>
      </c>
      <c r="B1061" t="s">
        <v>3214</v>
      </c>
    </row>
    <row r="1062" spans="1:2" ht="15" hidden="1">
      <c r="A1062" s="137" t="str">
        <f>D1062&amp;E1062&amp;F1062</f>
        <v/>
      </c>
      <c r="B1062" t="s">
        <v>3214</v>
      </c>
    </row>
    <row r="1063" spans="1:2" ht="15" hidden="1">
      <c r="A1063" s="137" t="str">
        <f>D1063&amp;E1063&amp;F1063</f>
        <v/>
      </c>
      <c r="B1063" t="s">
        <v>3214</v>
      </c>
    </row>
    <row r="1064" spans="1:2" ht="15" hidden="1">
      <c r="A1064" s="137" t="str">
        <f>D1064&amp;E1064&amp;F1064</f>
        <v/>
      </c>
      <c r="B1064" t="s">
        <v>3214</v>
      </c>
    </row>
    <row r="1065" spans="1:2" ht="15" hidden="1">
      <c r="A1065" s="137" t="str">
        <f>D1065&amp;E1065&amp;F1065</f>
        <v/>
      </c>
      <c r="B1065" t="s">
        <v>3214</v>
      </c>
    </row>
    <row r="1066" spans="1:2" ht="15" hidden="1">
      <c r="A1066" s="137" t="str">
        <f>D1066&amp;E1066&amp;F1066</f>
        <v/>
      </c>
      <c r="B1066" t="s">
        <v>3214</v>
      </c>
    </row>
    <row r="1067" spans="1:2" ht="15" hidden="1">
      <c r="A1067" s="137" t="str">
        <f>D1067&amp;E1067&amp;F1067</f>
        <v/>
      </c>
      <c r="B1067" t="s">
        <v>3214</v>
      </c>
    </row>
    <row r="1068" spans="1:2" ht="15" hidden="1">
      <c r="A1068" s="137" t="str">
        <f>D1068&amp;E1068&amp;F1068</f>
        <v/>
      </c>
      <c r="B1068" t="s">
        <v>3214</v>
      </c>
    </row>
    <row r="1069" spans="1:2" ht="15" hidden="1">
      <c r="A1069" s="137" t="str">
        <f>D1069&amp;E1069&amp;F1069</f>
        <v/>
      </c>
      <c r="B1069" t="s">
        <v>3214</v>
      </c>
    </row>
    <row r="1070" spans="1:2" ht="15" hidden="1">
      <c r="A1070" s="137" t="str">
        <f>D1070&amp;E1070&amp;F1070</f>
        <v/>
      </c>
      <c r="B1070" t="s">
        <v>3214</v>
      </c>
    </row>
    <row r="1071" spans="1:2" ht="15" hidden="1">
      <c r="A1071" s="137" t="str">
        <f>D1071&amp;E1071&amp;F1071</f>
        <v/>
      </c>
      <c r="B1071" t="s">
        <v>3214</v>
      </c>
    </row>
    <row r="1072" spans="1:2" ht="15" hidden="1">
      <c r="A1072" s="137" t="str">
        <f>D1072&amp;E1072&amp;F1072</f>
        <v/>
      </c>
      <c r="B1072" t="s">
        <v>3214</v>
      </c>
    </row>
    <row r="1073" spans="1:2" ht="15" hidden="1">
      <c r="A1073" s="137" t="str">
        <f>D1073&amp;E1073&amp;F1073</f>
        <v/>
      </c>
      <c r="B1073" t="s">
        <v>3214</v>
      </c>
    </row>
    <row r="1074" spans="1:2" ht="15" hidden="1">
      <c r="A1074" s="137" t="str">
        <f>D1074&amp;E1074&amp;F1074</f>
        <v/>
      </c>
      <c r="B1074" t="s">
        <v>3214</v>
      </c>
    </row>
    <row r="1075" spans="1:2" ht="15" hidden="1">
      <c r="A1075" s="137" t="str">
        <f>D1075&amp;E1075&amp;F1075</f>
        <v/>
      </c>
      <c r="B1075" t="s">
        <v>3214</v>
      </c>
    </row>
    <row r="1076" spans="1:2" ht="15" hidden="1">
      <c r="A1076" s="137" t="str">
        <f>D1076&amp;E1076&amp;F1076</f>
        <v/>
      </c>
      <c r="B1076" t="s">
        <v>3214</v>
      </c>
    </row>
    <row r="1077" spans="1:2" ht="15" hidden="1">
      <c r="A1077" s="137" t="str">
        <f>D1077&amp;E1077&amp;F1077</f>
        <v/>
      </c>
      <c r="B1077" t="s">
        <v>3214</v>
      </c>
    </row>
    <row r="1078" spans="1:2" ht="15" hidden="1">
      <c r="A1078" s="137" t="str">
        <f>D1078&amp;E1078&amp;F1078</f>
        <v/>
      </c>
      <c r="B1078" t="s">
        <v>3214</v>
      </c>
    </row>
    <row r="1079" spans="1:2" ht="15" hidden="1">
      <c r="A1079" s="137" t="str">
        <f>D1079&amp;E1079&amp;F1079</f>
        <v/>
      </c>
      <c r="B1079" t="s">
        <v>3214</v>
      </c>
    </row>
    <row r="1080" spans="1:2" ht="15" hidden="1">
      <c r="A1080" s="137" t="str">
        <f>D1080&amp;E1080&amp;F1080</f>
        <v/>
      </c>
      <c r="B1080" t="s">
        <v>3214</v>
      </c>
    </row>
    <row r="1081" spans="1:2" ht="15" hidden="1">
      <c r="A1081" s="137" t="str">
        <f>D1081&amp;E1081&amp;F1081</f>
        <v/>
      </c>
      <c r="B1081" t="s">
        <v>3214</v>
      </c>
    </row>
    <row r="1082" spans="1:2" ht="15" hidden="1">
      <c r="A1082" s="137" t="str">
        <f>D1082&amp;E1082&amp;F1082</f>
        <v/>
      </c>
      <c r="B1082" t="s">
        <v>3214</v>
      </c>
    </row>
    <row r="1083" spans="1:2" ht="15" hidden="1">
      <c r="A1083" s="137" t="str">
        <f>D1083&amp;E1083&amp;F1083</f>
        <v/>
      </c>
      <c r="B1083" t="s">
        <v>3214</v>
      </c>
    </row>
    <row r="1084" spans="1:2" ht="15" hidden="1">
      <c r="A1084" s="137" t="str">
        <f>D1084&amp;E1084&amp;F1084</f>
        <v/>
      </c>
      <c r="B1084" t="s">
        <v>3214</v>
      </c>
    </row>
    <row r="1085" spans="1:2" ht="15" hidden="1">
      <c r="A1085" s="137" t="str">
        <f>D1085&amp;E1085&amp;F1085</f>
        <v/>
      </c>
      <c r="B1085" t="s">
        <v>3214</v>
      </c>
    </row>
    <row r="1086" spans="1:2" ht="15" hidden="1">
      <c r="A1086" s="137" t="str">
        <f>D1086&amp;E1086&amp;F1086</f>
        <v/>
      </c>
      <c r="B1086" t="s">
        <v>3214</v>
      </c>
    </row>
    <row r="1087" spans="1:2" ht="15" hidden="1">
      <c r="A1087" s="137" t="str">
        <f>D1087&amp;E1087&amp;F1087</f>
        <v/>
      </c>
      <c r="B1087" t="s">
        <v>3214</v>
      </c>
    </row>
    <row r="1088" spans="1:2" ht="15" hidden="1">
      <c r="A1088" s="137" t="str">
        <f>D1088&amp;E1088&amp;F1088</f>
        <v/>
      </c>
      <c r="B1088" t="s">
        <v>3214</v>
      </c>
    </row>
    <row r="1089" spans="1:2" ht="15" hidden="1">
      <c r="A1089" s="137" t="str">
        <f>D1089&amp;E1089&amp;F1089</f>
        <v/>
      </c>
      <c r="B1089" t="s">
        <v>3214</v>
      </c>
    </row>
    <row r="1090" spans="1:2" ht="15" hidden="1">
      <c r="A1090" s="137" t="str">
        <f>D1090&amp;E1090&amp;F1090</f>
        <v/>
      </c>
      <c r="B1090" t="s">
        <v>3214</v>
      </c>
    </row>
    <row r="1091" spans="1:2" ht="15" hidden="1">
      <c r="A1091" s="137" t="str">
        <f>D1091&amp;E1091&amp;F1091</f>
        <v/>
      </c>
      <c r="B1091" t="s">
        <v>3214</v>
      </c>
    </row>
    <row r="1092" spans="1:2" ht="15" hidden="1">
      <c r="A1092" s="137" t="str">
        <f>D1092&amp;E1092&amp;F1092</f>
        <v/>
      </c>
      <c r="B1092" t="s">
        <v>3214</v>
      </c>
    </row>
    <row r="1093" spans="1:2" ht="15" hidden="1">
      <c r="A1093" s="137" t="str">
        <f>D1093&amp;E1093&amp;F1093</f>
        <v/>
      </c>
      <c r="B1093" t="s">
        <v>3214</v>
      </c>
    </row>
    <row r="1094" spans="1:2" ht="15" hidden="1">
      <c r="A1094" s="137" t="str">
        <f>D1094&amp;E1094&amp;F1094</f>
        <v/>
      </c>
      <c r="B1094" t="s">
        <v>3214</v>
      </c>
    </row>
    <row r="1095" spans="1:2" ht="15" hidden="1">
      <c r="A1095" s="137" t="str">
        <f>D1095&amp;E1095&amp;F1095</f>
        <v/>
      </c>
      <c r="B1095" t="s">
        <v>3214</v>
      </c>
    </row>
    <row r="1096" spans="1:2" ht="15" hidden="1">
      <c r="A1096" s="137" t="str">
        <f>D1096&amp;E1096&amp;F1096</f>
        <v/>
      </c>
      <c r="B1096" t="s">
        <v>3214</v>
      </c>
    </row>
    <row r="1097" spans="1:2" ht="15" hidden="1">
      <c r="A1097" s="137" t="str">
        <f>D1097&amp;E1097&amp;F1097</f>
        <v/>
      </c>
      <c r="B1097" t="s">
        <v>3214</v>
      </c>
    </row>
    <row r="1098" spans="1:2" ht="15" hidden="1">
      <c r="A1098" s="137" t="str">
        <f>D1098&amp;E1098&amp;F1098</f>
        <v/>
      </c>
      <c r="B1098" t="s">
        <v>3214</v>
      </c>
    </row>
    <row r="1099" spans="1:2" ht="15" hidden="1">
      <c r="A1099" s="137" t="str">
        <f>D1099&amp;E1099&amp;F1099</f>
        <v/>
      </c>
      <c r="B1099" t="s">
        <v>3214</v>
      </c>
    </row>
    <row r="1100" spans="1:2" ht="15" hidden="1">
      <c r="A1100" s="137" t="str">
        <f>D1100&amp;E1100&amp;F1100</f>
        <v/>
      </c>
      <c r="B1100" t="s">
        <v>3214</v>
      </c>
    </row>
    <row r="1101" spans="1:2" ht="15" hidden="1">
      <c r="A1101" s="137" t="str">
        <f>D1101&amp;E1101&amp;F1101</f>
        <v/>
      </c>
      <c r="B1101" t="s">
        <v>3214</v>
      </c>
    </row>
    <row r="1102" spans="1:2" ht="15" hidden="1">
      <c r="A1102" s="137" t="str">
        <f>D1102&amp;E1102&amp;F1102</f>
        <v/>
      </c>
      <c r="B1102" t="s">
        <v>3214</v>
      </c>
    </row>
    <row r="1103" spans="1:2" ht="15" hidden="1">
      <c r="A1103" s="137" t="str">
        <f>D1103&amp;E1103&amp;F1103</f>
        <v/>
      </c>
      <c r="B1103" t="s">
        <v>3214</v>
      </c>
    </row>
    <row r="1104" spans="1:2" ht="15" hidden="1">
      <c r="A1104" s="137" t="str">
        <f>D1104&amp;E1104&amp;F1104</f>
        <v/>
      </c>
      <c r="B1104" t="s">
        <v>3214</v>
      </c>
    </row>
    <row r="1105" spans="1:2" ht="15" hidden="1">
      <c r="A1105" s="137" t="str">
        <f>D1105&amp;E1105&amp;F1105</f>
        <v/>
      </c>
      <c r="B1105" t="s">
        <v>3214</v>
      </c>
    </row>
    <row r="1106" spans="1:2" ht="15" hidden="1">
      <c r="A1106" s="137" t="str">
        <f>D1106&amp;E1106&amp;F1106</f>
        <v/>
      </c>
      <c r="B1106" t="s">
        <v>3214</v>
      </c>
    </row>
    <row r="1107" spans="1:2" ht="15" hidden="1">
      <c r="A1107" s="137" t="str">
        <f>D1107&amp;E1107&amp;F1107</f>
        <v/>
      </c>
      <c r="B1107" t="s">
        <v>3214</v>
      </c>
    </row>
    <row r="1108" spans="1:2" ht="15" hidden="1">
      <c r="A1108" s="137" t="str">
        <f>D1108&amp;E1108&amp;F1108</f>
        <v/>
      </c>
      <c r="B1108" t="s">
        <v>3214</v>
      </c>
    </row>
    <row r="1109" spans="1:2" ht="15" hidden="1">
      <c r="A1109" s="137" t="str">
        <f>D1109&amp;E1109&amp;F1109</f>
        <v/>
      </c>
      <c r="B1109" t="s">
        <v>3214</v>
      </c>
    </row>
    <row r="1110" spans="1:2" ht="15" hidden="1">
      <c r="A1110" s="137" t="str">
        <f>D1110&amp;E1110&amp;F1110</f>
        <v/>
      </c>
      <c r="B1110" t="s">
        <v>3214</v>
      </c>
    </row>
    <row r="1111" spans="1:2" ht="15" hidden="1">
      <c r="A1111" s="137" t="str">
        <f>D1111&amp;E1111&amp;F1111</f>
        <v/>
      </c>
      <c r="B1111" t="s">
        <v>3214</v>
      </c>
    </row>
    <row r="1112" spans="1:2" ht="15" hidden="1">
      <c r="A1112" s="137" t="str">
        <f>D1112&amp;E1112&amp;F1112</f>
        <v/>
      </c>
      <c r="B1112" t="s">
        <v>3214</v>
      </c>
    </row>
    <row r="1113" spans="1:2" ht="15" hidden="1">
      <c r="A1113" s="137" t="str">
        <f>D1113&amp;E1113&amp;F1113</f>
        <v/>
      </c>
      <c r="B1113" t="s">
        <v>3214</v>
      </c>
    </row>
    <row r="1114" spans="1:2" ht="15" hidden="1">
      <c r="A1114" s="137" t="str">
        <f>D1114&amp;E1114&amp;F1114</f>
        <v/>
      </c>
      <c r="B1114" t="s">
        <v>3214</v>
      </c>
    </row>
    <row r="1115" spans="1:2" ht="15" hidden="1">
      <c r="A1115" s="137" t="str">
        <f>D1115&amp;E1115&amp;F1115</f>
        <v/>
      </c>
      <c r="B1115" t="s">
        <v>3214</v>
      </c>
    </row>
    <row r="1116" spans="1:2" ht="15" hidden="1">
      <c r="A1116" s="137" t="str">
        <f>D1116&amp;E1116&amp;F1116</f>
        <v/>
      </c>
      <c r="B1116" t="s">
        <v>3214</v>
      </c>
    </row>
    <row r="1117" spans="1:2" ht="15" hidden="1">
      <c r="A1117" s="137" t="str">
        <f>D1117&amp;E1117&amp;F1117</f>
        <v/>
      </c>
      <c r="B1117" t="s">
        <v>3214</v>
      </c>
    </row>
    <row r="1118" spans="1:2" ht="15" hidden="1">
      <c r="A1118" s="137" t="str">
        <f>D1118&amp;E1118&amp;F1118</f>
        <v/>
      </c>
      <c r="B1118" t="s">
        <v>3214</v>
      </c>
    </row>
    <row r="1119" spans="1:2" ht="15" hidden="1">
      <c r="A1119" s="137" t="str">
        <f>D1119&amp;E1119&amp;F1119</f>
        <v/>
      </c>
      <c r="B1119" t="s">
        <v>3214</v>
      </c>
    </row>
    <row r="1120" spans="1:2" ht="15" hidden="1">
      <c r="A1120" s="137" t="str">
        <f>D1120&amp;E1120&amp;F1120</f>
        <v/>
      </c>
      <c r="B1120" t="s">
        <v>3214</v>
      </c>
    </row>
    <row r="1121" spans="1:2" ht="15" hidden="1">
      <c r="A1121" s="137" t="str">
        <f>D1121&amp;E1121&amp;F1121</f>
        <v/>
      </c>
      <c r="B1121" t="s">
        <v>3214</v>
      </c>
    </row>
    <row r="1122" spans="1:2" ht="15" hidden="1">
      <c r="A1122" s="137" t="str">
        <f>D1122&amp;E1122&amp;F1122</f>
        <v/>
      </c>
      <c r="B1122" t="s">
        <v>3214</v>
      </c>
    </row>
    <row r="1123" spans="1:2" ht="15" hidden="1">
      <c r="A1123" s="137" t="str">
        <f>D1123&amp;E1123&amp;F1123</f>
        <v/>
      </c>
      <c r="B1123" t="s">
        <v>3214</v>
      </c>
    </row>
    <row r="1124" spans="1:2" ht="15" hidden="1">
      <c r="A1124" s="137" t="str">
        <f>D1124&amp;E1124&amp;F1124</f>
        <v/>
      </c>
      <c r="B1124" t="s">
        <v>3214</v>
      </c>
    </row>
    <row r="1125" spans="1:2" ht="15" hidden="1">
      <c r="A1125" s="137" t="str">
        <f>D1125&amp;E1125&amp;F1125</f>
        <v/>
      </c>
      <c r="B1125" t="s">
        <v>3214</v>
      </c>
    </row>
    <row r="1126" spans="1:2" ht="15" hidden="1">
      <c r="A1126" s="137" t="str">
        <f>D1126&amp;E1126&amp;F1126</f>
        <v/>
      </c>
      <c r="B1126" t="s">
        <v>3214</v>
      </c>
    </row>
    <row r="1127" spans="1:2" ht="15" hidden="1">
      <c r="A1127" s="137" t="str">
        <f>D1127&amp;E1127&amp;F1127</f>
        <v/>
      </c>
      <c r="B1127" t="s">
        <v>3214</v>
      </c>
    </row>
    <row r="1128" spans="1:2" ht="15" hidden="1">
      <c r="A1128" s="137" t="str">
        <f>D1128&amp;E1128&amp;F1128</f>
        <v/>
      </c>
      <c r="B1128" t="s">
        <v>3214</v>
      </c>
    </row>
    <row r="1129" spans="1:2" ht="15" hidden="1">
      <c r="A1129" s="137" t="str">
        <f>D1129&amp;E1129&amp;F1129</f>
        <v/>
      </c>
      <c r="B1129" t="s">
        <v>3214</v>
      </c>
    </row>
    <row r="1130" spans="1:2" ht="15" hidden="1">
      <c r="A1130" s="137" t="str">
        <f>D1130&amp;E1130&amp;F1130</f>
        <v/>
      </c>
      <c r="B1130" t="s">
        <v>3214</v>
      </c>
    </row>
    <row r="1131" spans="1:2" ht="15" hidden="1">
      <c r="A1131" s="137" t="str">
        <f>D1131&amp;E1131&amp;F1131</f>
        <v/>
      </c>
      <c r="B1131" t="s">
        <v>3214</v>
      </c>
    </row>
    <row r="1132" spans="1:2" ht="15" hidden="1">
      <c r="A1132" s="137" t="str">
        <f>D1132&amp;E1132&amp;F1132</f>
        <v/>
      </c>
      <c r="B1132" t="s">
        <v>3214</v>
      </c>
    </row>
    <row r="1133" spans="1:2" ht="15" hidden="1">
      <c r="A1133" s="137" t="str">
        <f>D1133&amp;E1133&amp;F1133</f>
        <v/>
      </c>
      <c r="B1133" t="s">
        <v>3214</v>
      </c>
    </row>
    <row r="1134" spans="1:2" ht="15" hidden="1">
      <c r="A1134" s="137" t="str">
        <f>D1134&amp;E1134&amp;F1134</f>
        <v/>
      </c>
      <c r="B1134" t="s">
        <v>3214</v>
      </c>
    </row>
    <row r="1135" spans="1:2" ht="15" hidden="1">
      <c r="A1135" s="137" t="str">
        <f>D1135&amp;E1135&amp;F1135</f>
        <v/>
      </c>
      <c r="B1135" t="s">
        <v>3214</v>
      </c>
    </row>
    <row r="1136" spans="1:2" ht="15" hidden="1">
      <c r="A1136" s="137" t="str">
        <f>D1136&amp;E1136&amp;F1136</f>
        <v/>
      </c>
      <c r="B1136" t="s">
        <v>3214</v>
      </c>
    </row>
    <row r="1137" spans="1:2" ht="15" hidden="1">
      <c r="A1137" s="137" t="str">
        <f>D1137&amp;E1137&amp;F1137</f>
        <v/>
      </c>
      <c r="B1137" t="s">
        <v>3214</v>
      </c>
    </row>
    <row r="1138" spans="1:2" ht="15" hidden="1">
      <c r="A1138" s="137" t="str">
        <f>D1138&amp;E1138&amp;F1138</f>
        <v/>
      </c>
      <c r="B1138" t="s">
        <v>3214</v>
      </c>
    </row>
    <row r="1139" spans="1:2" ht="15" hidden="1">
      <c r="A1139" s="137" t="str">
        <f>D1139&amp;E1139&amp;F1139</f>
        <v/>
      </c>
      <c r="B1139" t="s">
        <v>3214</v>
      </c>
    </row>
    <row r="1140" spans="1:2" ht="15" hidden="1">
      <c r="A1140" s="137" t="str">
        <f>D1140&amp;E1140&amp;F1140</f>
        <v/>
      </c>
      <c r="B1140" t="s">
        <v>3214</v>
      </c>
    </row>
    <row r="1141" spans="1:2" ht="15" hidden="1">
      <c r="A1141" s="137" t="str">
        <f>D1141&amp;E1141&amp;F1141</f>
        <v/>
      </c>
      <c r="B1141" t="s">
        <v>3214</v>
      </c>
    </row>
    <row r="1142" spans="1:2" ht="15" hidden="1">
      <c r="A1142" s="137" t="str">
        <f>D1142&amp;E1142&amp;F1142</f>
        <v/>
      </c>
      <c r="B1142" t="s">
        <v>3214</v>
      </c>
    </row>
    <row r="1143" spans="1:2" ht="15" hidden="1">
      <c r="A1143" s="137" t="str">
        <f>D1143&amp;E1143&amp;F1143</f>
        <v/>
      </c>
      <c r="B1143" t="s">
        <v>3214</v>
      </c>
    </row>
    <row r="1144" spans="1:2" ht="15" hidden="1">
      <c r="A1144" s="137" t="str">
        <f>D1144&amp;E1144&amp;F1144</f>
        <v/>
      </c>
      <c r="B1144" t="s">
        <v>3214</v>
      </c>
    </row>
    <row r="1145" spans="1:2" ht="15" hidden="1">
      <c r="A1145" s="137" t="str">
        <f>D1145&amp;E1145&amp;F1145</f>
        <v/>
      </c>
      <c r="B1145" t="s">
        <v>3214</v>
      </c>
    </row>
    <row r="1146" spans="1:2" ht="15" hidden="1">
      <c r="A1146" s="137" t="str">
        <f>D1146&amp;E1146&amp;F1146</f>
        <v/>
      </c>
      <c r="B1146" t="s">
        <v>3214</v>
      </c>
    </row>
    <row r="1147" spans="1:2" ht="15" hidden="1">
      <c r="A1147" s="137" t="str">
        <f>D1147&amp;E1147&amp;F1147</f>
        <v/>
      </c>
      <c r="B1147" t="s">
        <v>3214</v>
      </c>
    </row>
    <row r="1148" spans="1:2" ht="15" hidden="1">
      <c r="A1148" s="137" t="str">
        <f>D1148&amp;E1148&amp;F1148</f>
        <v/>
      </c>
      <c r="B1148" t="s">
        <v>3214</v>
      </c>
    </row>
    <row r="1149" spans="1:2" ht="15" hidden="1">
      <c r="A1149" s="137" t="str">
        <f>D1149&amp;E1149&amp;F1149</f>
        <v/>
      </c>
      <c r="B1149" t="s">
        <v>3214</v>
      </c>
    </row>
    <row r="1150" spans="1:2" ht="15" hidden="1">
      <c r="A1150" s="137" t="str">
        <f>D1150&amp;E1150&amp;F1150</f>
        <v/>
      </c>
      <c r="B1150" t="s">
        <v>3214</v>
      </c>
    </row>
    <row r="1151" spans="1:2" ht="15" hidden="1">
      <c r="A1151" s="137" t="str">
        <f>D1151&amp;E1151&amp;F1151</f>
        <v/>
      </c>
      <c r="B1151" t="s">
        <v>3214</v>
      </c>
    </row>
    <row r="1152" spans="1:2" ht="15" hidden="1">
      <c r="A1152" s="137" t="str">
        <f>D1152&amp;E1152&amp;F1152</f>
        <v/>
      </c>
      <c r="B1152" t="s">
        <v>3214</v>
      </c>
    </row>
    <row r="1153" spans="1:2" ht="15" hidden="1">
      <c r="A1153" s="137" t="str">
        <f>D1153&amp;E1153&amp;F1153</f>
        <v/>
      </c>
      <c r="B1153" t="s">
        <v>3214</v>
      </c>
    </row>
    <row r="1154" spans="1:2" ht="15" hidden="1">
      <c r="A1154" s="137" t="str">
        <f>D1154&amp;E1154&amp;F1154</f>
        <v/>
      </c>
      <c r="B1154" t="s">
        <v>3214</v>
      </c>
    </row>
    <row r="1155" spans="1:2" ht="15" hidden="1">
      <c r="A1155" s="137" t="str">
        <f>D1155&amp;E1155&amp;F1155</f>
        <v/>
      </c>
      <c r="B1155" t="s">
        <v>3214</v>
      </c>
    </row>
    <row r="1156" spans="1:2" ht="15" hidden="1">
      <c r="A1156" s="137" t="str">
        <f>D1156&amp;E1156&amp;F1156</f>
        <v/>
      </c>
      <c r="B1156" t="s">
        <v>3214</v>
      </c>
    </row>
    <row r="1157" spans="1:2" ht="15" hidden="1">
      <c r="A1157" s="137" t="str">
        <f>D1157&amp;E1157&amp;F1157</f>
        <v/>
      </c>
      <c r="B1157" t="s">
        <v>3214</v>
      </c>
    </row>
    <row r="1158" spans="1:2" ht="15" hidden="1">
      <c r="A1158" s="137" t="str">
        <f>D1158&amp;E1158&amp;F1158</f>
        <v/>
      </c>
      <c r="B1158" t="s">
        <v>3214</v>
      </c>
    </row>
    <row r="1159" spans="1:2" ht="15" hidden="1">
      <c r="A1159" s="137" t="str">
        <f>D1159&amp;E1159&amp;F1159</f>
        <v/>
      </c>
      <c r="B1159" t="s">
        <v>3214</v>
      </c>
    </row>
    <row r="1160" spans="1:2" ht="15" hidden="1">
      <c r="A1160" s="137" t="str">
        <f>D1160&amp;E1160&amp;F1160</f>
        <v/>
      </c>
      <c r="B1160" t="s">
        <v>3214</v>
      </c>
    </row>
    <row r="1161" spans="1:2" ht="15" hidden="1">
      <c r="A1161" s="137" t="str">
        <f>D1161&amp;E1161&amp;F1161</f>
        <v/>
      </c>
      <c r="B1161" t="s">
        <v>3214</v>
      </c>
    </row>
    <row r="1162" spans="1:2" ht="15" hidden="1">
      <c r="A1162" s="137" t="str">
        <f>D1162&amp;E1162&amp;F1162</f>
        <v/>
      </c>
      <c r="B1162" t="s">
        <v>3214</v>
      </c>
    </row>
    <row r="1163" spans="1:2" ht="15" hidden="1">
      <c r="A1163" s="137" t="str">
        <f>D1163&amp;E1163&amp;F1163</f>
        <v/>
      </c>
      <c r="B1163" t="s">
        <v>3214</v>
      </c>
    </row>
    <row r="1164" spans="1:2" ht="15" hidden="1">
      <c r="A1164" s="137" t="str">
        <f>D1164&amp;E1164&amp;F1164</f>
        <v/>
      </c>
      <c r="B1164" t="s">
        <v>3214</v>
      </c>
    </row>
    <row r="1165" spans="1:2" ht="15" hidden="1">
      <c r="A1165" s="137" t="str">
        <f>D1165&amp;E1165&amp;F1165</f>
        <v/>
      </c>
      <c r="B1165" t="s">
        <v>3214</v>
      </c>
    </row>
    <row r="1166" spans="1:2" ht="15" hidden="1">
      <c r="A1166" s="137" t="str">
        <f>D1166&amp;E1166&amp;F1166</f>
        <v/>
      </c>
      <c r="B1166" t="s">
        <v>3214</v>
      </c>
    </row>
    <row r="1167" spans="1:2" ht="15" hidden="1">
      <c r="A1167" s="137" t="str">
        <f>D1167&amp;E1167&amp;F1167</f>
        <v/>
      </c>
      <c r="B1167" t="s">
        <v>3214</v>
      </c>
    </row>
    <row r="1168" spans="1:2" ht="15" hidden="1">
      <c r="A1168" s="137" t="str">
        <f>D1168&amp;E1168&amp;F1168</f>
        <v/>
      </c>
      <c r="B1168" t="s">
        <v>3214</v>
      </c>
    </row>
    <row r="1169" spans="1:2" ht="15" hidden="1">
      <c r="A1169" s="137" t="str">
        <f>D1169&amp;E1169&amp;F1169</f>
        <v/>
      </c>
      <c r="B1169" t="s">
        <v>3214</v>
      </c>
    </row>
    <row r="1170" spans="1:2" ht="15" hidden="1">
      <c r="A1170" s="137" t="str">
        <f>D1170&amp;E1170&amp;F1170</f>
        <v/>
      </c>
      <c r="B1170" t="s">
        <v>3214</v>
      </c>
    </row>
    <row r="1171" spans="1:2" ht="15" hidden="1">
      <c r="A1171" s="137" t="str">
        <f>D1171&amp;E1171&amp;F1171</f>
        <v/>
      </c>
      <c r="B1171" t="s">
        <v>3214</v>
      </c>
    </row>
    <row r="1172" spans="1:2" ht="15" hidden="1">
      <c r="A1172" s="137" t="str">
        <f>D1172&amp;E1172&amp;F1172</f>
        <v/>
      </c>
      <c r="B1172" t="s">
        <v>3214</v>
      </c>
    </row>
    <row r="1173" spans="1:2" ht="15" hidden="1">
      <c r="A1173" s="137" t="str">
        <f>D1173&amp;E1173&amp;F1173</f>
        <v/>
      </c>
      <c r="B1173" t="s">
        <v>3214</v>
      </c>
    </row>
    <row r="1174" spans="1:2" ht="15" hidden="1">
      <c r="A1174" s="137" t="str">
        <f>D1174&amp;E1174&amp;F1174</f>
        <v/>
      </c>
      <c r="B1174" t="s">
        <v>3214</v>
      </c>
    </row>
    <row r="1175" spans="1:2" ht="15" hidden="1">
      <c r="A1175" s="137" t="str">
        <f>D1175&amp;E1175&amp;F1175</f>
        <v/>
      </c>
      <c r="B1175" t="s">
        <v>3214</v>
      </c>
    </row>
    <row r="1176" spans="1:2" ht="15" hidden="1">
      <c r="A1176" s="137" t="str">
        <f>D1176&amp;E1176&amp;F1176</f>
        <v/>
      </c>
      <c r="B1176" t="s">
        <v>3214</v>
      </c>
    </row>
    <row r="1177" spans="1:2" ht="15" hidden="1">
      <c r="A1177" s="137" t="str">
        <f>D1177&amp;E1177&amp;F1177</f>
        <v/>
      </c>
      <c r="B1177" t="s">
        <v>3214</v>
      </c>
    </row>
    <row r="1178" spans="1:2" ht="15" hidden="1">
      <c r="A1178" s="137" t="str">
        <f>D1178&amp;E1178&amp;F1178</f>
        <v/>
      </c>
      <c r="B1178" t="s">
        <v>3214</v>
      </c>
    </row>
    <row r="1179" spans="1:2" ht="15" hidden="1">
      <c r="A1179" s="137" t="str">
        <f>D1179&amp;E1179&amp;F1179</f>
        <v/>
      </c>
      <c r="B1179" t="s">
        <v>3214</v>
      </c>
    </row>
    <row r="1180" spans="1:2" ht="15" hidden="1">
      <c r="A1180" s="137" t="str">
        <f>D1180&amp;E1180&amp;F1180</f>
        <v/>
      </c>
      <c r="B1180" t="s">
        <v>3214</v>
      </c>
    </row>
    <row r="1181" spans="1:2" ht="15" hidden="1">
      <c r="A1181" s="137" t="str">
        <f>D1181&amp;E1181&amp;F1181</f>
        <v/>
      </c>
      <c r="B1181" t="s">
        <v>3214</v>
      </c>
    </row>
    <row r="1182" spans="1:2" ht="15" hidden="1">
      <c r="A1182" s="137" t="str">
        <f>D1182&amp;E1182&amp;F1182</f>
        <v/>
      </c>
      <c r="B1182" t="s">
        <v>3214</v>
      </c>
    </row>
    <row r="1183" spans="1:2" ht="15" hidden="1">
      <c r="A1183" s="137" t="str">
        <f>D1183&amp;E1183&amp;F1183</f>
        <v/>
      </c>
      <c r="B1183" t="s">
        <v>3214</v>
      </c>
    </row>
    <row r="1184" spans="1:2" ht="15" hidden="1">
      <c r="A1184" s="137" t="str">
        <f>D1184&amp;E1184&amp;F1184</f>
        <v/>
      </c>
      <c r="B1184" t="s">
        <v>3214</v>
      </c>
    </row>
    <row r="1185" spans="1:2" ht="15" hidden="1">
      <c r="A1185" s="137" t="str">
        <f>D1185&amp;E1185&amp;F1185</f>
        <v/>
      </c>
      <c r="B1185" t="s">
        <v>3214</v>
      </c>
    </row>
    <row r="1186" spans="1:2" ht="15" hidden="1">
      <c r="A1186" s="137" t="str">
        <f>D1186&amp;E1186&amp;F1186</f>
        <v/>
      </c>
      <c r="B1186" t="s">
        <v>3214</v>
      </c>
    </row>
    <row r="1187" spans="1:2" ht="15" hidden="1">
      <c r="A1187" s="137" t="str">
        <f>D1187&amp;E1187&amp;F1187</f>
        <v/>
      </c>
      <c r="B1187" t="s">
        <v>3214</v>
      </c>
    </row>
    <row r="1188" spans="1:2" ht="15" hidden="1">
      <c r="A1188" s="137" t="str">
        <f>D1188&amp;E1188&amp;F1188</f>
        <v/>
      </c>
      <c r="B1188" t="s">
        <v>3214</v>
      </c>
    </row>
    <row r="1189" spans="1:2" ht="15" hidden="1">
      <c r="A1189" s="137" t="str">
        <f>D1189&amp;E1189&amp;F1189</f>
        <v/>
      </c>
      <c r="B1189" t="s">
        <v>3214</v>
      </c>
    </row>
    <row r="1190" spans="1:2" ht="15" hidden="1">
      <c r="A1190" s="137" t="str">
        <f>D1190&amp;E1190&amp;F1190</f>
        <v/>
      </c>
      <c r="B1190" t="s">
        <v>3214</v>
      </c>
    </row>
    <row r="1191" spans="1:2" ht="15" hidden="1">
      <c r="A1191" s="137" t="str">
        <f>D1191&amp;E1191&amp;F1191</f>
        <v/>
      </c>
      <c r="B1191" t="s">
        <v>3214</v>
      </c>
    </row>
    <row r="1192" spans="1:2" ht="15" hidden="1">
      <c r="A1192" s="137" t="str">
        <f>D1192&amp;E1192&amp;F1192</f>
        <v/>
      </c>
      <c r="B1192" t="s">
        <v>3214</v>
      </c>
    </row>
    <row r="1193" spans="1:2" ht="15" hidden="1">
      <c r="A1193" s="137" t="str">
        <f>D1193&amp;E1193&amp;F1193</f>
        <v/>
      </c>
      <c r="B1193" t="s">
        <v>3214</v>
      </c>
    </row>
    <row r="1194" spans="1:2" ht="15" hidden="1">
      <c r="A1194" s="137" t="str">
        <f>D1194&amp;E1194&amp;F1194</f>
        <v/>
      </c>
      <c r="B1194" t="s">
        <v>3214</v>
      </c>
    </row>
    <row r="1195" spans="1:2" ht="15" hidden="1">
      <c r="A1195" s="137" t="str">
        <f>D1195&amp;E1195&amp;F1195</f>
        <v/>
      </c>
      <c r="B1195" t="s">
        <v>3214</v>
      </c>
    </row>
    <row r="1196" spans="1:2" ht="15" hidden="1">
      <c r="A1196" s="137" t="str">
        <f>D1196&amp;E1196&amp;F1196</f>
        <v/>
      </c>
      <c r="B1196" t="s">
        <v>3214</v>
      </c>
    </row>
    <row r="1197" spans="1:2" ht="15" hidden="1">
      <c r="A1197" s="137" t="str">
        <f>D1197&amp;E1197&amp;F1197</f>
        <v/>
      </c>
      <c r="B1197" t="s">
        <v>3214</v>
      </c>
    </row>
    <row r="1198" spans="1:2" ht="15" hidden="1">
      <c r="A1198" s="137" t="str">
        <f>D1198&amp;E1198&amp;F1198</f>
        <v/>
      </c>
      <c r="B1198" t="s">
        <v>3214</v>
      </c>
    </row>
    <row r="1199" spans="1:2" ht="15" hidden="1">
      <c r="A1199" s="137" t="str">
        <f>D1199&amp;E1199&amp;F1199</f>
        <v/>
      </c>
      <c r="B1199" t="s">
        <v>3214</v>
      </c>
    </row>
    <row r="1200" spans="1:2" ht="15" hidden="1">
      <c r="A1200" s="137" t="str">
        <f>D1200&amp;E1200&amp;F1200</f>
        <v/>
      </c>
      <c r="B1200" t="s">
        <v>3214</v>
      </c>
    </row>
    <row r="1201" spans="1:2" ht="15" hidden="1">
      <c r="A1201" s="137" t="str">
        <f>D1201&amp;E1201&amp;F1201</f>
        <v/>
      </c>
      <c r="B1201" t="s">
        <v>3214</v>
      </c>
    </row>
    <row r="1202" spans="1:2" ht="15" hidden="1">
      <c r="A1202" s="137" t="str">
        <f>D1202&amp;E1202&amp;F1202</f>
        <v/>
      </c>
      <c r="B1202" t="s">
        <v>3214</v>
      </c>
    </row>
    <row r="1203" spans="1:2" ht="15" hidden="1">
      <c r="A1203" s="137" t="str">
        <f>D1203&amp;E1203&amp;F1203</f>
        <v/>
      </c>
      <c r="B1203" t="s">
        <v>3214</v>
      </c>
    </row>
    <row r="1204" spans="1:2" ht="15" hidden="1">
      <c r="A1204" s="137" t="str">
        <f>D1204&amp;E1204&amp;F1204</f>
        <v/>
      </c>
      <c r="B1204" t="s">
        <v>3214</v>
      </c>
    </row>
    <row r="1205" spans="1:2" ht="15" hidden="1">
      <c r="A1205" s="137" t="str">
        <f>D1205&amp;E1205&amp;F1205</f>
        <v/>
      </c>
      <c r="B1205" t="s">
        <v>3214</v>
      </c>
    </row>
    <row r="1206" spans="1:2" ht="15" hidden="1">
      <c r="A1206" s="137" t="str">
        <f>D1206&amp;E1206&amp;F1206</f>
        <v/>
      </c>
      <c r="B1206" t="s">
        <v>3214</v>
      </c>
    </row>
    <row r="1207" spans="1:2" ht="15" hidden="1">
      <c r="A1207" s="137" t="str">
        <f>D1207&amp;E1207&amp;F1207</f>
        <v/>
      </c>
      <c r="B1207" t="s">
        <v>3214</v>
      </c>
    </row>
    <row r="1208" spans="1:2" ht="15" hidden="1">
      <c r="A1208" s="137" t="str">
        <f>D1208&amp;E1208&amp;F1208</f>
        <v/>
      </c>
      <c r="B1208" t="s">
        <v>3214</v>
      </c>
    </row>
    <row r="1209" spans="1:2" ht="15" hidden="1">
      <c r="A1209" s="137" t="str">
        <f>D1209&amp;E1209&amp;F1209</f>
        <v/>
      </c>
      <c r="B1209" t="s">
        <v>3214</v>
      </c>
    </row>
    <row r="1210" spans="1:2" ht="15" hidden="1">
      <c r="A1210" s="137" t="str">
        <f>D1210&amp;E1210&amp;F1210</f>
        <v/>
      </c>
      <c r="B1210" t="s">
        <v>3214</v>
      </c>
    </row>
    <row r="1211" spans="1:2" ht="15" hidden="1">
      <c r="A1211" s="137" t="str">
        <f>D1211&amp;E1211&amp;F1211</f>
        <v/>
      </c>
      <c r="B1211" t="s">
        <v>3214</v>
      </c>
    </row>
    <row r="1212" spans="1:2" ht="15" hidden="1">
      <c r="A1212" s="137" t="str">
        <f>D1212&amp;E1212&amp;F1212</f>
        <v/>
      </c>
      <c r="B1212" t="s">
        <v>3214</v>
      </c>
    </row>
    <row r="1213" spans="1:2" ht="15" hidden="1">
      <c r="A1213" s="137" t="str">
        <f>D1213&amp;E1213&amp;F1213</f>
        <v/>
      </c>
      <c r="B1213" t="s">
        <v>3214</v>
      </c>
    </row>
    <row r="1214" spans="1:2" ht="15" hidden="1">
      <c r="A1214" s="137" t="str">
        <f>D1214&amp;E1214&amp;F1214</f>
        <v/>
      </c>
      <c r="B1214" t="s">
        <v>3214</v>
      </c>
    </row>
    <row r="1215" spans="1:2" ht="15" hidden="1">
      <c r="A1215" s="137" t="str">
        <f>D1215&amp;E1215&amp;F1215</f>
        <v/>
      </c>
      <c r="B1215" t="s">
        <v>3214</v>
      </c>
    </row>
    <row r="1216" spans="1:2" ht="15" hidden="1">
      <c r="A1216" s="137" t="str">
        <f>D1216&amp;E1216&amp;F1216</f>
        <v/>
      </c>
      <c r="B1216" t="s">
        <v>3214</v>
      </c>
    </row>
    <row r="1217" spans="1:2" ht="15" hidden="1">
      <c r="A1217" s="137" t="str">
        <f>D1217&amp;E1217&amp;F1217</f>
        <v/>
      </c>
      <c r="B1217" t="s">
        <v>3214</v>
      </c>
    </row>
    <row r="1218" spans="1:2" ht="15" hidden="1">
      <c r="A1218" s="137" t="str">
        <f>D1218&amp;E1218&amp;F1218</f>
        <v/>
      </c>
      <c r="B1218" t="s">
        <v>3214</v>
      </c>
    </row>
    <row r="1219" spans="1:2" ht="15" hidden="1">
      <c r="A1219" s="137" t="str">
        <f>D1219&amp;E1219&amp;F1219</f>
        <v/>
      </c>
      <c r="B1219" t="s">
        <v>3214</v>
      </c>
    </row>
    <row r="1220" spans="1:2" ht="15" hidden="1">
      <c r="A1220" s="137" t="str">
        <f>D1220&amp;E1220&amp;F1220</f>
        <v/>
      </c>
      <c r="B1220" t="s">
        <v>3214</v>
      </c>
    </row>
    <row r="1221" spans="1:2" ht="15" hidden="1">
      <c r="A1221" s="137" t="str">
        <f>D1221&amp;E1221&amp;F1221</f>
        <v/>
      </c>
      <c r="B1221" t="s">
        <v>3214</v>
      </c>
    </row>
    <row r="1222" spans="1:2" ht="15" hidden="1">
      <c r="A1222" s="137" t="str">
        <f>D1222&amp;E1222&amp;F1222</f>
        <v/>
      </c>
      <c r="B1222" t="s">
        <v>3214</v>
      </c>
    </row>
    <row r="1223" spans="1:2" ht="15" hidden="1">
      <c r="A1223" s="137" t="str">
        <f>D1223&amp;E1223&amp;F1223</f>
        <v/>
      </c>
      <c r="B1223" t="s">
        <v>3214</v>
      </c>
    </row>
    <row r="1224" spans="1:2" ht="15" hidden="1">
      <c r="A1224" s="137" t="str">
        <f>D1224&amp;E1224&amp;F1224</f>
        <v/>
      </c>
      <c r="B1224" t="s">
        <v>3214</v>
      </c>
    </row>
    <row r="1225" spans="1:2" ht="15" hidden="1">
      <c r="A1225" s="137" t="str">
        <f>D1225&amp;E1225&amp;F1225</f>
        <v/>
      </c>
      <c r="B1225" t="s">
        <v>3214</v>
      </c>
    </row>
    <row r="1226" spans="1:2" ht="15" hidden="1">
      <c r="A1226" s="137" t="str">
        <f>D1226&amp;E1226&amp;F1226</f>
        <v/>
      </c>
      <c r="B1226" t="s">
        <v>3214</v>
      </c>
    </row>
    <row r="1227" spans="1:2" ht="15" hidden="1">
      <c r="A1227" s="137" t="str">
        <f>D1227&amp;E1227&amp;F1227</f>
        <v/>
      </c>
      <c r="B1227" t="s">
        <v>3214</v>
      </c>
    </row>
    <row r="1228" spans="1:2" ht="15" hidden="1">
      <c r="A1228" s="137" t="str">
        <f>D1228&amp;E1228&amp;F1228</f>
        <v/>
      </c>
      <c r="B1228" t="s">
        <v>3214</v>
      </c>
    </row>
    <row r="1229" spans="1:2" ht="15" hidden="1">
      <c r="A1229" s="137" t="str">
        <f>D1229&amp;E1229&amp;F1229</f>
        <v/>
      </c>
      <c r="B1229" t="s">
        <v>3214</v>
      </c>
    </row>
    <row r="1230" spans="1:2" ht="15" hidden="1">
      <c r="A1230" s="137" t="str">
        <f>D1230&amp;E1230&amp;F1230</f>
        <v/>
      </c>
      <c r="B1230" t="s">
        <v>3214</v>
      </c>
    </row>
    <row r="1231" spans="1:2" ht="15" hidden="1">
      <c r="A1231" s="137" t="str">
        <f>D1231&amp;E1231&amp;F1231</f>
        <v/>
      </c>
      <c r="B1231" t="s">
        <v>3214</v>
      </c>
    </row>
    <row r="1232" spans="1:2" ht="15" hidden="1">
      <c r="A1232" s="137" t="str">
        <f>D1232&amp;E1232&amp;F1232</f>
        <v/>
      </c>
      <c r="B1232" t="s">
        <v>3214</v>
      </c>
    </row>
    <row r="1233" spans="1:2" ht="15" hidden="1">
      <c r="A1233" s="137" t="str">
        <f>D1233&amp;E1233&amp;F1233</f>
        <v/>
      </c>
      <c r="B1233" t="s">
        <v>3214</v>
      </c>
    </row>
    <row r="1234" spans="1:2" ht="15" hidden="1">
      <c r="A1234" s="137" t="str">
        <f>D1234&amp;E1234&amp;F1234</f>
        <v/>
      </c>
      <c r="B1234" t="s">
        <v>3214</v>
      </c>
    </row>
    <row r="1235" spans="1:2" ht="15" hidden="1">
      <c r="A1235" s="137" t="str">
        <f>D1235&amp;E1235&amp;F1235</f>
        <v/>
      </c>
      <c r="B1235" t="s">
        <v>3214</v>
      </c>
    </row>
    <row r="1236" spans="1:2" ht="15" hidden="1">
      <c r="A1236" s="137" t="str">
        <f>D1236&amp;E1236&amp;F1236</f>
        <v/>
      </c>
      <c r="B1236" t="s">
        <v>3214</v>
      </c>
    </row>
    <row r="1237" spans="1:2" ht="15" hidden="1">
      <c r="A1237" s="137" t="str">
        <f>D1237&amp;E1237&amp;F1237</f>
        <v/>
      </c>
      <c r="B1237" t="s">
        <v>3214</v>
      </c>
    </row>
    <row r="1238" spans="1:2" ht="15" hidden="1">
      <c r="A1238" s="137" t="str">
        <f>D1238&amp;E1238&amp;F1238</f>
        <v/>
      </c>
      <c r="B1238" t="s">
        <v>3214</v>
      </c>
    </row>
    <row r="1239" spans="1:2" ht="15" hidden="1">
      <c r="A1239" s="137" t="str">
        <f>D1239&amp;E1239&amp;F1239</f>
        <v/>
      </c>
      <c r="B1239" t="s">
        <v>3214</v>
      </c>
    </row>
    <row r="1240" spans="1:2" ht="15" hidden="1">
      <c r="A1240" s="137" t="str">
        <f>D1240&amp;E1240&amp;F1240</f>
        <v/>
      </c>
      <c r="B1240" t="s">
        <v>3214</v>
      </c>
    </row>
    <row r="1241" spans="1:2" ht="15" hidden="1">
      <c r="A1241" s="137" t="str">
        <f>D1241&amp;E1241&amp;F1241</f>
        <v/>
      </c>
      <c r="B1241" t="s">
        <v>3214</v>
      </c>
    </row>
    <row r="1242" spans="1:2" ht="15" hidden="1">
      <c r="A1242" s="137" t="str">
        <f>D1242&amp;E1242&amp;F1242</f>
        <v/>
      </c>
      <c r="B1242" t="s">
        <v>3214</v>
      </c>
    </row>
    <row r="1243" spans="1:2" ht="15" hidden="1">
      <c r="A1243" s="137" t="str">
        <f>D1243&amp;E1243&amp;F1243</f>
        <v/>
      </c>
      <c r="B1243" t="s">
        <v>3214</v>
      </c>
    </row>
    <row r="1244" spans="1:2" ht="15" hidden="1">
      <c r="A1244" s="137" t="str">
        <f>D1244&amp;E1244&amp;F1244</f>
        <v/>
      </c>
      <c r="B1244" t="s">
        <v>3214</v>
      </c>
    </row>
    <row r="1245" spans="1:2" ht="15" hidden="1">
      <c r="A1245" s="137" t="str">
        <f>D1245&amp;E1245&amp;F1245</f>
        <v/>
      </c>
      <c r="B1245" t="s">
        <v>3214</v>
      </c>
    </row>
    <row r="1246" spans="1:2" ht="15" hidden="1">
      <c r="A1246" s="137" t="str">
        <f>D1246&amp;E1246&amp;F1246</f>
        <v/>
      </c>
      <c r="B1246" t="s">
        <v>3214</v>
      </c>
    </row>
    <row r="1247" spans="1:2" ht="15" hidden="1">
      <c r="A1247" s="137" t="str">
        <f>D1247&amp;E1247&amp;F1247</f>
        <v/>
      </c>
      <c r="B1247" t="s">
        <v>3214</v>
      </c>
    </row>
    <row r="1248" spans="1:2" ht="15" hidden="1">
      <c r="A1248" s="137" t="str">
        <f>D1248&amp;E1248&amp;F1248</f>
        <v/>
      </c>
      <c r="B1248" t="s">
        <v>3214</v>
      </c>
    </row>
    <row r="1249" spans="1:2" ht="15" hidden="1">
      <c r="A1249" s="137" t="str">
        <f>D1249&amp;E1249&amp;F1249</f>
        <v/>
      </c>
      <c r="B1249" t="s">
        <v>3214</v>
      </c>
    </row>
    <row r="1250" spans="1:2" ht="15" hidden="1">
      <c r="A1250" s="137" t="str">
        <f>D1250&amp;E1250&amp;F1250</f>
        <v/>
      </c>
      <c r="B1250" t="s">
        <v>3214</v>
      </c>
    </row>
    <row r="1251" spans="1:2" ht="15" hidden="1">
      <c r="A1251" s="137" t="str">
        <f>D1251&amp;E1251&amp;F1251</f>
        <v/>
      </c>
      <c r="B1251" t="s">
        <v>3214</v>
      </c>
    </row>
    <row r="1252" spans="1:2" ht="15" hidden="1">
      <c r="A1252" s="137" t="str">
        <f>D1252&amp;E1252&amp;F1252</f>
        <v/>
      </c>
      <c r="B1252" t="s">
        <v>3214</v>
      </c>
    </row>
    <row r="1253" spans="1:2" ht="15" hidden="1">
      <c r="A1253" s="137" t="str">
        <f>D1253&amp;E1253&amp;F1253</f>
        <v/>
      </c>
      <c r="B1253" t="s">
        <v>3214</v>
      </c>
    </row>
    <row r="1254" spans="1:2" ht="15" hidden="1">
      <c r="A1254" s="137" t="str">
        <f>D1254&amp;E1254&amp;F1254</f>
        <v/>
      </c>
      <c r="B1254" t="s">
        <v>3214</v>
      </c>
    </row>
    <row r="1255" spans="1:2" ht="15" hidden="1">
      <c r="A1255" s="137" t="str">
        <f>D1255&amp;E1255&amp;F1255</f>
        <v/>
      </c>
      <c r="B1255" t="s">
        <v>3214</v>
      </c>
    </row>
    <row r="1256" spans="1:2" ht="15" hidden="1">
      <c r="A1256" s="137" t="str">
        <f>D1256&amp;E1256&amp;F1256</f>
        <v/>
      </c>
      <c r="B1256" t="s">
        <v>3214</v>
      </c>
    </row>
    <row r="1257" spans="1:2" ht="15" hidden="1">
      <c r="A1257" s="137" t="str">
        <f>D1257&amp;E1257&amp;F1257</f>
        <v/>
      </c>
      <c r="B1257" t="s">
        <v>3214</v>
      </c>
    </row>
    <row r="1258" spans="1:2" ht="15" hidden="1">
      <c r="A1258" s="137" t="str">
        <f>D1258&amp;E1258&amp;F1258</f>
        <v/>
      </c>
      <c r="B1258" t="s">
        <v>3214</v>
      </c>
    </row>
    <row r="1259" spans="1:2" ht="15" hidden="1">
      <c r="A1259" s="137" t="str">
        <f>D1259&amp;E1259&amp;F1259</f>
        <v/>
      </c>
      <c r="B1259" t="s">
        <v>3214</v>
      </c>
    </row>
    <row r="1260" spans="1:2" ht="15" hidden="1">
      <c r="A1260" s="137" t="str">
        <f>D1260&amp;E1260&amp;F1260</f>
        <v/>
      </c>
      <c r="B1260" t="s">
        <v>3214</v>
      </c>
    </row>
    <row r="1261" spans="1:2" ht="15" hidden="1">
      <c r="A1261" s="137" t="str">
        <f>D1261&amp;E1261&amp;F1261</f>
        <v/>
      </c>
      <c r="B1261" t="s">
        <v>3214</v>
      </c>
    </row>
    <row r="1262" spans="1:2" ht="15" hidden="1">
      <c r="A1262" s="137" t="str">
        <f>D1262&amp;E1262&amp;F1262</f>
        <v/>
      </c>
      <c r="B1262" t="s">
        <v>3214</v>
      </c>
    </row>
    <row r="1263" spans="1:2" ht="15" hidden="1">
      <c r="A1263" s="137" t="str">
        <f>D1263&amp;E1263&amp;F1263</f>
        <v/>
      </c>
      <c r="B1263" t="s">
        <v>3214</v>
      </c>
    </row>
    <row r="1264" spans="1:2" ht="15" hidden="1">
      <c r="A1264" s="137" t="str">
        <f>D1264&amp;E1264&amp;F1264</f>
        <v/>
      </c>
      <c r="B1264" t="s">
        <v>3214</v>
      </c>
    </row>
    <row r="1265" spans="1:2" ht="15" hidden="1">
      <c r="A1265" s="137" t="str">
        <f>D1265&amp;E1265&amp;F1265</f>
        <v/>
      </c>
      <c r="B1265" t="s">
        <v>3214</v>
      </c>
    </row>
    <row r="1266" spans="1:2" ht="15" hidden="1">
      <c r="A1266" s="137" t="str">
        <f>D1266&amp;E1266&amp;F1266</f>
        <v/>
      </c>
      <c r="B1266" t="s">
        <v>3214</v>
      </c>
    </row>
    <row r="1267" spans="1:2" ht="15" hidden="1">
      <c r="A1267" s="137" t="str">
        <f>D1267&amp;E1267&amp;F1267</f>
        <v/>
      </c>
      <c r="B1267" t="s">
        <v>3214</v>
      </c>
    </row>
    <row r="1268" spans="1:2" ht="15" hidden="1">
      <c r="A1268" s="137" t="str">
        <f>D1268&amp;E1268&amp;F1268</f>
        <v/>
      </c>
      <c r="B1268" t="s">
        <v>3214</v>
      </c>
    </row>
    <row r="1269" spans="1:2" ht="15" hidden="1">
      <c r="A1269" s="137" t="str">
        <f>D1269&amp;E1269&amp;F1269</f>
        <v/>
      </c>
      <c r="B1269" t="s">
        <v>3214</v>
      </c>
    </row>
    <row r="1270" spans="1:2" ht="15" hidden="1">
      <c r="A1270" s="137" t="str">
        <f>D1270&amp;E1270&amp;F1270</f>
        <v/>
      </c>
      <c r="B1270" t="s">
        <v>3214</v>
      </c>
    </row>
    <row r="1271" spans="1:2" ht="15" hidden="1">
      <c r="A1271" s="137" t="str">
        <f>D1271&amp;E1271&amp;F1271</f>
        <v/>
      </c>
      <c r="B1271" t="s">
        <v>3214</v>
      </c>
    </row>
    <row r="1272" spans="1:2" ht="15" hidden="1">
      <c r="A1272" s="137" t="str">
        <f>D1272&amp;E1272&amp;F1272</f>
        <v/>
      </c>
      <c r="B1272" t="s">
        <v>3214</v>
      </c>
    </row>
    <row r="1273" spans="1:2" ht="15" hidden="1">
      <c r="A1273" s="137" t="str">
        <f>D1273&amp;E1273&amp;F1273</f>
        <v/>
      </c>
      <c r="B1273" t="s">
        <v>3214</v>
      </c>
    </row>
    <row r="1274" spans="1:2" ht="15" hidden="1">
      <c r="A1274" s="137" t="str">
        <f>D1274&amp;E1274&amp;F1274</f>
        <v/>
      </c>
      <c r="B1274" t="s">
        <v>3214</v>
      </c>
    </row>
    <row r="1275" spans="1:2" ht="15" hidden="1">
      <c r="A1275" s="137" t="str">
        <f>D1275&amp;E1275&amp;F1275</f>
        <v/>
      </c>
      <c r="B1275" t="s">
        <v>3214</v>
      </c>
    </row>
    <row r="1276" spans="1:2" ht="15" hidden="1">
      <c r="A1276" s="137" t="str">
        <f>D1276&amp;E1276&amp;F1276</f>
        <v/>
      </c>
      <c r="B1276" t="s">
        <v>3214</v>
      </c>
    </row>
    <row r="1277" spans="1:2" ht="15" hidden="1">
      <c r="A1277" s="137" t="str">
        <f>D1277&amp;E1277&amp;F1277</f>
        <v/>
      </c>
      <c r="B1277" t="s">
        <v>3214</v>
      </c>
    </row>
    <row r="1278" spans="1:2" ht="15" hidden="1">
      <c r="A1278" s="137" t="str">
        <f>D1278&amp;E1278&amp;F1278</f>
        <v/>
      </c>
      <c r="B1278" t="s">
        <v>3214</v>
      </c>
    </row>
    <row r="1279" spans="1:2" ht="15" hidden="1">
      <c r="A1279" s="137" t="str">
        <f>D1279&amp;E1279&amp;F1279</f>
        <v/>
      </c>
      <c r="B1279" t="s">
        <v>3214</v>
      </c>
    </row>
    <row r="1280" spans="1:2" ht="15" hidden="1">
      <c r="A1280" s="137" t="str">
        <f>D1280&amp;E1280&amp;F1280</f>
        <v/>
      </c>
      <c r="B1280" t="s">
        <v>3214</v>
      </c>
    </row>
    <row r="1281" spans="1:11" ht="15" hidden="1">
      <c r="A1281" s="137" t="str">
        <f>D1281&amp;E1281&amp;F1281</f>
        <v/>
      </c>
      <c r="B1281" t="s">
        <v>3214</v>
      </c>
    </row>
    <row r="1282" spans="1:11" ht="15" hidden="1">
      <c r="A1282" s="137" t="str">
        <f>D1282&amp;E1282&amp;F1282</f>
        <v/>
      </c>
      <c r="B1282" t="s">
        <v>3214</v>
      </c>
    </row>
    <row r="1283" spans="1:11" ht="15" hidden="1">
      <c r="A1283" s="137" t="str">
        <f>D1283&amp;E1283&amp;F1283</f>
        <v/>
      </c>
      <c r="B1283" t="s">
        <v>3214</v>
      </c>
    </row>
    <row r="1284" spans="1:11" ht="15" hidden="1">
      <c r="A1284" s="137" t="str">
        <f>D1284&amp;E1284&amp;F1284</f>
        <v/>
      </c>
      <c r="B1284" t="s">
        <v>3214</v>
      </c>
    </row>
    <row r="1285" spans="1:11" ht="15" hidden="1">
      <c r="A1285" s="137" t="str">
        <f t="shared" ref="A1285:A1348" si="29">D1285&amp;E1285&amp;F1285</f>
        <v/>
      </c>
      <c r="B1285" t="s">
        <v>3214</v>
      </c>
      <c r="K1285" s="485"/>
    </row>
    <row r="1286" spans="1:11" ht="15" hidden="1">
      <c r="A1286" s="137" t="str">
        <f t="shared" si="29"/>
        <v/>
      </c>
      <c r="B1286" t="s">
        <v>3214</v>
      </c>
    </row>
    <row r="1287" spans="1:11" ht="15" hidden="1">
      <c r="A1287" s="137" t="str">
        <f t="shared" si="29"/>
        <v/>
      </c>
      <c r="B1287" t="s">
        <v>3214</v>
      </c>
    </row>
    <row r="1288" spans="1:11" ht="15" hidden="1">
      <c r="A1288" s="137" t="str">
        <f t="shared" si="29"/>
        <v/>
      </c>
      <c r="B1288" t="s">
        <v>3214</v>
      </c>
    </row>
    <row r="1289" spans="1:11" ht="15" hidden="1">
      <c r="A1289" s="137" t="str">
        <f t="shared" si="29"/>
        <v/>
      </c>
      <c r="B1289" t="s">
        <v>3214</v>
      </c>
    </row>
    <row r="1290" spans="1:11" ht="15" hidden="1">
      <c r="A1290" s="137" t="str">
        <f t="shared" si="29"/>
        <v/>
      </c>
      <c r="B1290" t="s">
        <v>3214</v>
      </c>
    </row>
    <row r="1291" spans="1:11" ht="15" hidden="1">
      <c r="A1291" s="137" t="str">
        <f t="shared" si="29"/>
        <v/>
      </c>
      <c r="B1291" t="s">
        <v>3214</v>
      </c>
    </row>
    <row r="1292" spans="1:11" ht="15" hidden="1">
      <c r="A1292" s="137" t="str">
        <f t="shared" si="29"/>
        <v/>
      </c>
      <c r="B1292" t="s">
        <v>3214</v>
      </c>
    </row>
    <row r="1293" spans="1:11" ht="15" hidden="1">
      <c r="A1293" s="137" t="str">
        <f t="shared" si="29"/>
        <v/>
      </c>
      <c r="B1293" t="s">
        <v>3214</v>
      </c>
    </row>
    <row r="1294" spans="1:11" ht="15" hidden="1">
      <c r="A1294" s="137" t="str">
        <f t="shared" si="29"/>
        <v/>
      </c>
      <c r="B1294" t="s">
        <v>3214</v>
      </c>
    </row>
    <row r="1295" spans="1:11" ht="15" hidden="1">
      <c r="A1295" s="137" t="str">
        <f t="shared" si="29"/>
        <v/>
      </c>
      <c r="B1295" t="s">
        <v>3214</v>
      </c>
    </row>
    <row r="1296" spans="1:11" ht="15" hidden="1">
      <c r="A1296" s="137" t="str">
        <f t="shared" si="29"/>
        <v/>
      </c>
      <c r="B1296" t="s">
        <v>3214</v>
      </c>
    </row>
    <row r="1297" spans="1:2" ht="15" hidden="1">
      <c r="A1297" s="137" t="str">
        <f t="shared" si="29"/>
        <v/>
      </c>
      <c r="B1297" t="s">
        <v>3214</v>
      </c>
    </row>
    <row r="1298" spans="1:2" ht="15" hidden="1">
      <c r="A1298" s="137" t="str">
        <f t="shared" si="29"/>
        <v/>
      </c>
      <c r="B1298" t="s">
        <v>3214</v>
      </c>
    </row>
    <row r="1299" spans="1:2" ht="15" hidden="1">
      <c r="A1299" s="137" t="str">
        <f t="shared" si="29"/>
        <v/>
      </c>
      <c r="B1299" t="s">
        <v>3214</v>
      </c>
    </row>
    <row r="1300" spans="1:2" ht="15" hidden="1">
      <c r="A1300" s="137" t="str">
        <f t="shared" si="29"/>
        <v/>
      </c>
      <c r="B1300" t="s">
        <v>3214</v>
      </c>
    </row>
    <row r="1301" spans="1:2" ht="15" hidden="1">
      <c r="A1301" s="137" t="str">
        <f t="shared" si="29"/>
        <v/>
      </c>
      <c r="B1301" t="s">
        <v>3214</v>
      </c>
    </row>
    <row r="1302" spans="1:2" ht="15" hidden="1">
      <c r="A1302" s="137" t="str">
        <f t="shared" si="29"/>
        <v/>
      </c>
      <c r="B1302" t="s">
        <v>3214</v>
      </c>
    </row>
    <row r="1303" spans="1:2" ht="15" hidden="1">
      <c r="A1303" s="137" t="str">
        <f t="shared" si="29"/>
        <v/>
      </c>
      <c r="B1303" t="s">
        <v>3214</v>
      </c>
    </row>
    <row r="1304" spans="1:2" ht="15" hidden="1">
      <c r="A1304" s="137" t="str">
        <f t="shared" si="29"/>
        <v/>
      </c>
      <c r="B1304" t="s">
        <v>3214</v>
      </c>
    </row>
    <row r="1305" spans="1:2" ht="15" hidden="1">
      <c r="A1305" s="137" t="str">
        <f t="shared" si="29"/>
        <v/>
      </c>
      <c r="B1305" t="s">
        <v>3214</v>
      </c>
    </row>
    <row r="1306" spans="1:2" ht="15" hidden="1">
      <c r="A1306" s="137" t="str">
        <f t="shared" si="29"/>
        <v/>
      </c>
      <c r="B1306" t="s">
        <v>3214</v>
      </c>
    </row>
    <row r="1307" spans="1:2" ht="15" hidden="1">
      <c r="A1307" s="137" t="str">
        <f t="shared" si="29"/>
        <v/>
      </c>
      <c r="B1307" t="s">
        <v>3214</v>
      </c>
    </row>
    <row r="1308" spans="1:2" ht="15" hidden="1">
      <c r="A1308" s="137" t="str">
        <f t="shared" si="29"/>
        <v/>
      </c>
      <c r="B1308" t="s">
        <v>3214</v>
      </c>
    </row>
    <row r="1309" spans="1:2" ht="15" hidden="1">
      <c r="A1309" s="137" t="str">
        <f t="shared" si="29"/>
        <v/>
      </c>
      <c r="B1309" t="s">
        <v>3214</v>
      </c>
    </row>
    <row r="1310" spans="1:2" ht="15" hidden="1">
      <c r="A1310" s="137" t="str">
        <f t="shared" si="29"/>
        <v/>
      </c>
      <c r="B1310" t="s">
        <v>3214</v>
      </c>
    </row>
    <row r="1311" spans="1:2" ht="15" hidden="1">
      <c r="A1311" s="137" t="str">
        <f t="shared" si="29"/>
        <v/>
      </c>
      <c r="B1311" t="s">
        <v>3214</v>
      </c>
    </row>
    <row r="1312" spans="1:2" ht="15" hidden="1">
      <c r="A1312" s="137" t="str">
        <f t="shared" si="29"/>
        <v/>
      </c>
      <c r="B1312" t="s">
        <v>3214</v>
      </c>
    </row>
    <row r="1313" spans="1:2" ht="15" hidden="1">
      <c r="A1313" s="137" t="str">
        <f t="shared" si="29"/>
        <v/>
      </c>
      <c r="B1313" t="s">
        <v>3214</v>
      </c>
    </row>
    <row r="1314" spans="1:2" ht="15" hidden="1">
      <c r="A1314" s="137" t="str">
        <f t="shared" si="29"/>
        <v/>
      </c>
      <c r="B1314" t="s">
        <v>3214</v>
      </c>
    </row>
    <row r="1315" spans="1:2" ht="15" hidden="1">
      <c r="A1315" s="137" t="str">
        <f t="shared" si="29"/>
        <v/>
      </c>
      <c r="B1315" t="s">
        <v>3214</v>
      </c>
    </row>
    <row r="1316" spans="1:2" ht="15" hidden="1">
      <c r="A1316" s="137" t="str">
        <f t="shared" si="29"/>
        <v/>
      </c>
      <c r="B1316" t="s">
        <v>3214</v>
      </c>
    </row>
    <row r="1317" spans="1:2" ht="15" hidden="1">
      <c r="A1317" s="137" t="str">
        <f t="shared" si="29"/>
        <v/>
      </c>
      <c r="B1317" t="s">
        <v>3214</v>
      </c>
    </row>
    <row r="1318" spans="1:2" ht="15" hidden="1">
      <c r="A1318" s="137" t="str">
        <f t="shared" si="29"/>
        <v/>
      </c>
      <c r="B1318" t="s">
        <v>3214</v>
      </c>
    </row>
    <row r="1319" spans="1:2" ht="15" hidden="1">
      <c r="A1319" s="137" t="str">
        <f t="shared" si="29"/>
        <v/>
      </c>
      <c r="B1319" t="s">
        <v>3214</v>
      </c>
    </row>
    <row r="1320" spans="1:2" ht="15" hidden="1">
      <c r="A1320" s="137" t="str">
        <f t="shared" si="29"/>
        <v/>
      </c>
      <c r="B1320" t="s">
        <v>3214</v>
      </c>
    </row>
    <row r="1321" spans="1:2" ht="15" hidden="1">
      <c r="A1321" s="137" t="str">
        <f t="shared" si="29"/>
        <v/>
      </c>
      <c r="B1321" t="s">
        <v>3214</v>
      </c>
    </row>
    <row r="1322" spans="1:2" ht="15" hidden="1">
      <c r="A1322" s="137" t="str">
        <f t="shared" si="29"/>
        <v/>
      </c>
      <c r="B1322" t="s">
        <v>3214</v>
      </c>
    </row>
    <row r="1323" spans="1:2" ht="15" hidden="1">
      <c r="A1323" s="137" t="str">
        <f t="shared" si="29"/>
        <v/>
      </c>
      <c r="B1323" t="s">
        <v>3214</v>
      </c>
    </row>
    <row r="1324" spans="1:2" ht="15" hidden="1">
      <c r="A1324" s="137" t="str">
        <f t="shared" si="29"/>
        <v/>
      </c>
      <c r="B1324" t="s">
        <v>3214</v>
      </c>
    </row>
    <row r="1325" spans="1:2" ht="15" hidden="1">
      <c r="A1325" s="137" t="str">
        <f t="shared" si="29"/>
        <v/>
      </c>
      <c r="B1325" t="s">
        <v>3214</v>
      </c>
    </row>
    <row r="1326" spans="1:2" ht="15" hidden="1">
      <c r="A1326" s="137" t="str">
        <f t="shared" si="29"/>
        <v/>
      </c>
      <c r="B1326" t="s">
        <v>3214</v>
      </c>
    </row>
    <row r="1327" spans="1:2" ht="15" hidden="1">
      <c r="A1327" s="137" t="str">
        <f t="shared" si="29"/>
        <v/>
      </c>
      <c r="B1327" t="s">
        <v>3214</v>
      </c>
    </row>
    <row r="1328" spans="1:2" ht="15" hidden="1">
      <c r="A1328" s="137" t="str">
        <f t="shared" si="29"/>
        <v/>
      </c>
      <c r="B1328" t="s">
        <v>3214</v>
      </c>
    </row>
    <row r="1329" spans="1:2" ht="15" hidden="1">
      <c r="A1329" s="137" t="str">
        <f t="shared" si="29"/>
        <v/>
      </c>
      <c r="B1329" t="s">
        <v>3214</v>
      </c>
    </row>
    <row r="1330" spans="1:2" ht="15" hidden="1">
      <c r="A1330" s="137" t="str">
        <f t="shared" si="29"/>
        <v/>
      </c>
      <c r="B1330" t="s">
        <v>3214</v>
      </c>
    </row>
    <row r="1331" spans="1:2" ht="15" hidden="1">
      <c r="A1331" s="137" t="str">
        <f t="shared" si="29"/>
        <v/>
      </c>
      <c r="B1331" t="s">
        <v>3214</v>
      </c>
    </row>
    <row r="1332" spans="1:2" ht="15" hidden="1">
      <c r="A1332" s="137" t="str">
        <f t="shared" si="29"/>
        <v/>
      </c>
      <c r="B1332" t="s">
        <v>3214</v>
      </c>
    </row>
    <row r="1333" spans="1:2" ht="15" hidden="1">
      <c r="A1333" s="137" t="str">
        <f t="shared" si="29"/>
        <v/>
      </c>
      <c r="B1333" t="s">
        <v>3214</v>
      </c>
    </row>
    <row r="1334" spans="1:2" ht="15" hidden="1">
      <c r="A1334" s="137" t="str">
        <f t="shared" si="29"/>
        <v/>
      </c>
      <c r="B1334" t="s">
        <v>3214</v>
      </c>
    </row>
    <row r="1335" spans="1:2" ht="15" hidden="1">
      <c r="A1335" s="137" t="str">
        <f t="shared" si="29"/>
        <v/>
      </c>
      <c r="B1335" t="s">
        <v>3214</v>
      </c>
    </row>
    <row r="1336" spans="1:2" ht="15" hidden="1">
      <c r="A1336" s="137" t="str">
        <f t="shared" si="29"/>
        <v/>
      </c>
      <c r="B1336" t="s">
        <v>3214</v>
      </c>
    </row>
    <row r="1337" spans="1:2" ht="15" hidden="1">
      <c r="A1337" s="137" t="str">
        <f t="shared" si="29"/>
        <v/>
      </c>
      <c r="B1337" t="s">
        <v>3214</v>
      </c>
    </row>
    <row r="1338" spans="1:2" ht="15" hidden="1">
      <c r="A1338" s="137" t="str">
        <f t="shared" si="29"/>
        <v/>
      </c>
      <c r="B1338" t="s">
        <v>3214</v>
      </c>
    </row>
    <row r="1339" spans="1:2" ht="15" hidden="1">
      <c r="A1339" s="137" t="str">
        <f t="shared" si="29"/>
        <v/>
      </c>
      <c r="B1339" t="s">
        <v>3214</v>
      </c>
    </row>
    <row r="1340" spans="1:2" ht="15" hidden="1">
      <c r="A1340" s="137" t="str">
        <f t="shared" si="29"/>
        <v/>
      </c>
      <c r="B1340" t="s">
        <v>3214</v>
      </c>
    </row>
    <row r="1341" spans="1:2" ht="15" hidden="1">
      <c r="A1341" s="137" t="str">
        <f t="shared" si="29"/>
        <v/>
      </c>
      <c r="B1341" t="s">
        <v>3214</v>
      </c>
    </row>
    <row r="1342" spans="1:2" ht="15" hidden="1">
      <c r="A1342" s="137" t="str">
        <f t="shared" si="29"/>
        <v/>
      </c>
      <c r="B1342" t="s">
        <v>3214</v>
      </c>
    </row>
    <row r="1343" spans="1:2" ht="15" hidden="1">
      <c r="A1343" s="137" t="str">
        <f t="shared" si="29"/>
        <v/>
      </c>
      <c r="B1343" t="s">
        <v>3214</v>
      </c>
    </row>
    <row r="1344" spans="1:2" ht="15" hidden="1">
      <c r="A1344" s="137" t="str">
        <f t="shared" si="29"/>
        <v/>
      </c>
      <c r="B1344" t="s">
        <v>3214</v>
      </c>
    </row>
    <row r="1345" spans="1:2" ht="15" hidden="1">
      <c r="A1345" s="137" t="str">
        <f t="shared" si="29"/>
        <v/>
      </c>
      <c r="B1345" t="s">
        <v>3214</v>
      </c>
    </row>
    <row r="1346" spans="1:2" ht="15" hidden="1">
      <c r="A1346" s="137" t="str">
        <f t="shared" si="29"/>
        <v/>
      </c>
      <c r="B1346" t="s">
        <v>3214</v>
      </c>
    </row>
    <row r="1347" spans="1:2" ht="15" hidden="1">
      <c r="A1347" s="137" t="str">
        <f t="shared" si="29"/>
        <v/>
      </c>
      <c r="B1347" t="s">
        <v>3214</v>
      </c>
    </row>
    <row r="1348" spans="1:2" ht="15" hidden="1">
      <c r="A1348" s="137" t="str">
        <f t="shared" si="29"/>
        <v/>
      </c>
      <c r="B1348" t="s">
        <v>3214</v>
      </c>
    </row>
    <row r="1349" spans="1:2" ht="15" hidden="1">
      <c r="A1349" s="137" t="str">
        <f t="shared" ref="A1349:A1383" si="30">D1349&amp;E1349&amp;F1349</f>
        <v/>
      </c>
      <c r="B1349" t="s">
        <v>3214</v>
      </c>
    </row>
    <row r="1350" spans="1:2" ht="15" hidden="1">
      <c r="A1350" s="137" t="str">
        <f t="shared" si="30"/>
        <v/>
      </c>
      <c r="B1350" t="s">
        <v>3214</v>
      </c>
    </row>
    <row r="1351" spans="1:2" ht="15" hidden="1">
      <c r="A1351" s="137" t="str">
        <f t="shared" si="30"/>
        <v/>
      </c>
      <c r="B1351" t="s">
        <v>3214</v>
      </c>
    </row>
    <row r="1352" spans="1:2" ht="15" hidden="1">
      <c r="A1352" s="137" t="str">
        <f t="shared" si="30"/>
        <v/>
      </c>
      <c r="B1352" t="s">
        <v>3214</v>
      </c>
    </row>
    <row r="1353" spans="1:2" ht="15" hidden="1">
      <c r="A1353" s="137" t="str">
        <f t="shared" si="30"/>
        <v/>
      </c>
      <c r="B1353" t="s">
        <v>3214</v>
      </c>
    </row>
    <row r="1354" spans="1:2" ht="15" hidden="1">
      <c r="A1354" s="137" t="str">
        <f t="shared" si="30"/>
        <v/>
      </c>
      <c r="B1354" t="s">
        <v>3214</v>
      </c>
    </row>
    <row r="1355" spans="1:2" ht="15" hidden="1">
      <c r="A1355" s="137" t="str">
        <f t="shared" si="30"/>
        <v/>
      </c>
      <c r="B1355" t="s">
        <v>3214</v>
      </c>
    </row>
    <row r="1356" spans="1:2" ht="15" hidden="1">
      <c r="A1356" s="137" t="str">
        <f t="shared" si="30"/>
        <v/>
      </c>
      <c r="B1356" t="s">
        <v>3214</v>
      </c>
    </row>
    <row r="1357" spans="1:2" ht="15" hidden="1">
      <c r="A1357" s="137" t="str">
        <f t="shared" si="30"/>
        <v/>
      </c>
      <c r="B1357" t="s">
        <v>3214</v>
      </c>
    </row>
    <row r="1358" spans="1:2" ht="15" hidden="1">
      <c r="A1358" s="137" t="str">
        <f t="shared" si="30"/>
        <v/>
      </c>
      <c r="B1358" t="s">
        <v>3214</v>
      </c>
    </row>
    <row r="1359" spans="1:2" ht="15" hidden="1">
      <c r="A1359" s="137" t="str">
        <f t="shared" si="30"/>
        <v/>
      </c>
      <c r="B1359" t="s">
        <v>3214</v>
      </c>
    </row>
    <row r="1360" spans="1:2" ht="15" hidden="1">
      <c r="A1360" s="137" t="str">
        <f t="shared" si="30"/>
        <v/>
      </c>
      <c r="B1360" t="s">
        <v>3214</v>
      </c>
    </row>
    <row r="1361" spans="1:2" ht="15" hidden="1">
      <c r="A1361" s="137" t="str">
        <f t="shared" si="30"/>
        <v/>
      </c>
      <c r="B1361" t="s">
        <v>3214</v>
      </c>
    </row>
    <row r="1362" spans="1:2" ht="15" hidden="1">
      <c r="A1362" s="137" t="str">
        <f t="shared" si="30"/>
        <v/>
      </c>
      <c r="B1362" t="s">
        <v>3214</v>
      </c>
    </row>
    <row r="1363" spans="1:2" ht="15" hidden="1">
      <c r="A1363" s="137" t="str">
        <f t="shared" si="30"/>
        <v/>
      </c>
      <c r="B1363" t="s">
        <v>3214</v>
      </c>
    </row>
    <row r="1364" spans="1:2" ht="15" hidden="1">
      <c r="A1364" s="137" t="str">
        <f t="shared" si="30"/>
        <v/>
      </c>
      <c r="B1364" t="s">
        <v>3214</v>
      </c>
    </row>
    <row r="1365" spans="1:2" ht="15" hidden="1">
      <c r="A1365" s="137" t="str">
        <f t="shared" si="30"/>
        <v/>
      </c>
      <c r="B1365" t="s">
        <v>3214</v>
      </c>
    </row>
    <row r="1366" spans="1:2" ht="15" hidden="1">
      <c r="A1366" s="137" t="str">
        <f t="shared" si="30"/>
        <v/>
      </c>
      <c r="B1366" t="s">
        <v>3214</v>
      </c>
    </row>
    <row r="1367" spans="1:2" ht="15" hidden="1">
      <c r="A1367" s="137" t="str">
        <f t="shared" si="30"/>
        <v/>
      </c>
      <c r="B1367" t="s">
        <v>3214</v>
      </c>
    </row>
    <row r="1368" spans="1:2" ht="15" hidden="1">
      <c r="A1368" s="137" t="str">
        <f t="shared" si="30"/>
        <v/>
      </c>
      <c r="B1368" t="s">
        <v>3214</v>
      </c>
    </row>
    <row r="1369" spans="1:2" ht="15" hidden="1">
      <c r="A1369" s="137" t="str">
        <f t="shared" si="30"/>
        <v/>
      </c>
      <c r="B1369" t="s">
        <v>3214</v>
      </c>
    </row>
    <row r="1370" spans="1:2" ht="15" hidden="1">
      <c r="A1370" s="137" t="str">
        <f t="shared" si="30"/>
        <v/>
      </c>
      <c r="B1370" t="s">
        <v>3214</v>
      </c>
    </row>
    <row r="1371" spans="1:2" ht="15" hidden="1">
      <c r="A1371" s="137" t="str">
        <f t="shared" si="30"/>
        <v/>
      </c>
      <c r="B1371" t="s">
        <v>3214</v>
      </c>
    </row>
    <row r="1372" spans="1:2" ht="15" hidden="1">
      <c r="A1372" s="137" t="str">
        <f t="shared" si="30"/>
        <v/>
      </c>
      <c r="B1372" t="s">
        <v>3214</v>
      </c>
    </row>
    <row r="1373" spans="1:2" ht="15" hidden="1">
      <c r="A1373" s="137" t="str">
        <f t="shared" si="30"/>
        <v/>
      </c>
      <c r="B1373" t="s">
        <v>3214</v>
      </c>
    </row>
    <row r="1374" spans="1:2" ht="15" hidden="1">
      <c r="A1374" s="137" t="str">
        <f t="shared" si="30"/>
        <v/>
      </c>
      <c r="B1374" t="s">
        <v>3214</v>
      </c>
    </row>
    <row r="1375" spans="1:2" ht="15" hidden="1">
      <c r="A1375" s="137" t="str">
        <f t="shared" si="30"/>
        <v/>
      </c>
      <c r="B1375" t="s">
        <v>3214</v>
      </c>
    </row>
    <row r="1376" spans="1:2" ht="15" hidden="1">
      <c r="A1376" s="137" t="str">
        <f t="shared" si="30"/>
        <v/>
      </c>
      <c r="B1376" t="s">
        <v>3214</v>
      </c>
    </row>
    <row r="1377" spans="1:2" ht="15" hidden="1">
      <c r="A1377" s="137" t="str">
        <f t="shared" si="30"/>
        <v/>
      </c>
      <c r="B1377" t="s">
        <v>3214</v>
      </c>
    </row>
    <row r="1378" spans="1:2" ht="15" hidden="1">
      <c r="A1378" s="137" t="str">
        <f t="shared" si="30"/>
        <v/>
      </c>
      <c r="B1378" t="s">
        <v>3214</v>
      </c>
    </row>
    <row r="1379" spans="1:2" ht="15" hidden="1">
      <c r="A1379" s="137" t="str">
        <f t="shared" si="30"/>
        <v/>
      </c>
      <c r="B1379" t="s">
        <v>3214</v>
      </c>
    </row>
    <row r="1380" spans="1:2" ht="15" hidden="1">
      <c r="A1380" s="137" t="str">
        <f t="shared" si="30"/>
        <v/>
      </c>
      <c r="B1380" t="s">
        <v>3214</v>
      </c>
    </row>
    <row r="1381" spans="1:2" ht="15" hidden="1">
      <c r="A1381" s="137" t="str">
        <f t="shared" si="30"/>
        <v/>
      </c>
      <c r="B1381" t="s">
        <v>3214</v>
      </c>
    </row>
    <row r="1382" spans="1:2" ht="15" hidden="1">
      <c r="A1382" s="137" t="str">
        <f t="shared" si="30"/>
        <v/>
      </c>
      <c r="B1382" t="s">
        <v>3214</v>
      </c>
    </row>
    <row r="1383" spans="1:2" ht="15" hidden="1">
      <c r="A1383" s="137" t="str">
        <f t="shared" si="30"/>
        <v/>
      </c>
      <c r="B1383" t="s">
        <v>3214</v>
      </c>
    </row>
    <row r="1384" spans="1:2" ht="15" hidden="1">
      <c r="A1384" s="137" t="str">
        <f>D1384&amp;E1384&amp;F1384</f>
        <v/>
      </c>
      <c r="B1384" t="s">
        <v>3214</v>
      </c>
    </row>
    <row r="1385" spans="1:2" ht="15" hidden="1">
      <c r="A1385" s="137" t="str">
        <f>D1385&amp;E1385&amp;F1385</f>
        <v/>
      </c>
      <c r="B1385" t="s">
        <v>3214</v>
      </c>
    </row>
    <row r="1386" spans="1:2" ht="15" hidden="1">
      <c r="A1386" s="137" t="str">
        <f>D1386&amp;E1386&amp;F1386</f>
        <v/>
      </c>
      <c r="B1386" t="s">
        <v>3214</v>
      </c>
    </row>
    <row r="1387" spans="1:2" ht="15" hidden="1">
      <c r="A1387" s="137" t="str">
        <f>D1387&amp;E1387&amp;F1387</f>
        <v/>
      </c>
      <c r="B1387" t="s">
        <v>3214</v>
      </c>
    </row>
    <row r="1388" spans="1:2" ht="15" hidden="1">
      <c r="B1388" t="s">
        <v>3214</v>
      </c>
    </row>
    <row r="1389" spans="1:2" hidden="1">
      <c r="B1389" t="s">
        <v>3214</v>
      </c>
    </row>
    <row r="1390" spans="1:2" hidden="1">
      <c r="B1390" t="s">
        <v>3214</v>
      </c>
    </row>
    <row r="1391" spans="1:2" hidden="1">
      <c r="B1391" t="s">
        <v>3214</v>
      </c>
    </row>
    <row r="1392" spans="1:2" hidden="1">
      <c r="B1392" t="s">
        <v>3214</v>
      </c>
    </row>
    <row r="1393" spans="2:2" hidden="1">
      <c r="B1393" t="s">
        <v>3214</v>
      </c>
    </row>
    <row r="1394" spans="2:2" hidden="1">
      <c r="B1394" t="s">
        <v>3214</v>
      </c>
    </row>
    <row r="1395" spans="2:2" hidden="1">
      <c r="B1395" t="s">
        <v>3214</v>
      </c>
    </row>
    <row r="1396" spans="2:2" hidden="1">
      <c r="B1396" t="s">
        <v>3214</v>
      </c>
    </row>
    <row r="1397" spans="2:2" hidden="1">
      <c r="B1397" t="s">
        <v>3214</v>
      </c>
    </row>
    <row r="1398" spans="2:2" hidden="1">
      <c r="B1398" t="s">
        <v>3214</v>
      </c>
    </row>
    <row r="1399" spans="2:2" hidden="1">
      <c r="B1399" t="s">
        <v>3214</v>
      </c>
    </row>
  </sheetData>
  <autoFilter ref="B2:K1399" xr:uid="{504DA6C5-224D-48DC-BF6E-C63C897A27F6}">
    <filterColumn colId="0">
      <filters>
        <filter val="Dic"/>
      </filters>
    </filterColumn>
  </autoFilter>
  <dataValidations count="4">
    <dataValidation type="list" allowBlank="1" showInputMessage="1" showErrorMessage="1" sqref="E3:E172 E174:E240 E242:E541 E543:E969" xr:uid="{82F5C496-7DCF-48B5-84F6-AA5DD7EB48C7}">
      <formula1>PRESUPUESTO</formula1>
    </dataValidation>
    <dataValidation type="list" allowBlank="1" showInputMessage="1" showErrorMessage="1" sqref="D3:D172 D174:D188 D190:D191 D200 D207 D213 D218:D219 D225 D242:D541 D543:D969" xr:uid="{86811545-7132-47FB-BC21-F9BE6B2C106C}">
      <formula1>MARCA</formula1>
    </dataValidation>
    <dataValidation type="list" allowBlank="1" showInputMessage="1" showErrorMessage="1" sqref="F3:F240 F242:F274 F276:F297 F341:F355 F299:F339 F357:F435 F437:F969" xr:uid="{8F8AA84A-31A3-4100-80A4-453D6945808F}">
      <formula1>CONCEPTO</formula1>
    </dataValidation>
    <dataValidation type="list" allowBlank="1" showInputMessage="1" showErrorMessage="1" sqref="G3:G508 G519:G969 I513:I521" xr:uid="{C4F56733-E575-465B-B7AD-18E543C7100D}">
      <formula1>APARTADO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44045-CB8D-4407-A860-4B3ADA536ED5}">
  <sheetPr>
    <tabColor theme="1" tint="0.249977111117893"/>
  </sheetPr>
  <dimension ref="A1:N1008"/>
  <sheetViews>
    <sheetView workbookViewId="0">
      <pane xSplit="3" ySplit="2" topLeftCell="F231" activePane="bottomRight" state="frozen"/>
      <selection pane="bottomRight" activeCell="J231" sqref="J231:J253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28.140625" style="28" hidden="1" customWidth="1" outlineLevel="1"/>
    <col min="2" max="2" width="4.5703125" bestFit="1" customWidth="1" collapsed="1"/>
    <col min="3" max="3" width="12" bestFit="1" customWidth="1"/>
    <col min="5" max="5" width="27.42578125" customWidth="1"/>
    <col min="6" max="6" width="19" customWidth="1"/>
    <col min="7" max="7" width="13.7109375" customWidth="1"/>
    <col min="8" max="8" width="56.85546875" customWidth="1"/>
    <col min="9" max="9" width="16.5703125" style="3" customWidth="1"/>
    <col min="10" max="10" width="15.85546875" style="3" customWidth="1"/>
    <col min="11" max="11" width="15.85546875" style="62" customWidth="1"/>
  </cols>
  <sheetData>
    <row r="1" spans="1:14" ht="26.25">
      <c r="C1" s="57" t="s">
        <v>4354</v>
      </c>
      <c r="I1" s="4">
        <f>SUM(I3:I996)</f>
        <v>9733891.8000000007</v>
      </c>
      <c r="J1" s="4">
        <f>SUM(J3:J996)</f>
        <v>9733848.8499999978</v>
      </c>
    </row>
    <row r="2" spans="1:14" s="52" customFormat="1" ht="15">
      <c r="A2" s="49" t="s">
        <v>203</v>
      </c>
      <c r="B2" s="49" t="s">
        <v>204</v>
      </c>
      <c r="C2" s="49" t="s">
        <v>205</v>
      </c>
      <c r="D2" s="53" t="s">
        <v>16</v>
      </c>
      <c r="E2" s="53" t="s">
        <v>17</v>
      </c>
      <c r="F2" s="53" t="s">
        <v>18</v>
      </c>
      <c r="G2" s="55" t="s">
        <v>207</v>
      </c>
      <c r="H2" s="50" t="s">
        <v>208</v>
      </c>
      <c r="I2" s="51" t="s">
        <v>209</v>
      </c>
      <c r="J2" s="51" t="s">
        <v>210</v>
      </c>
      <c r="K2" s="63" t="s">
        <v>211</v>
      </c>
      <c r="L2" s="51"/>
    </row>
    <row r="3" spans="1:14" ht="15">
      <c r="A3" s="54" t="str">
        <f t="shared" ref="A3:A23" si="0">D3&amp;E3&amp;F3&amp;G3</f>
        <v/>
      </c>
      <c r="B3" t="s">
        <v>3451</v>
      </c>
      <c r="C3" s="1">
        <v>45699</v>
      </c>
      <c r="D3" s="71"/>
      <c r="E3" s="71"/>
      <c r="F3" s="143"/>
      <c r="G3" s="146"/>
      <c r="H3" s="143" t="s">
        <v>4355</v>
      </c>
      <c r="I3" s="159">
        <v>9.8000000001629815</v>
      </c>
      <c r="J3" s="77"/>
      <c r="K3" s="160">
        <f>I3-J3</f>
        <v>9.8000000001629815</v>
      </c>
      <c r="N3" s="187"/>
    </row>
    <row r="4" spans="1:14" ht="15">
      <c r="A4" s="54" t="str">
        <f t="shared" si="0"/>
        <v/>
      </c>
      <c r="B4" t="s">
        <v>3451</v>
      </c>
      <c r="C4" s="1">
        <v>45699</v>
      </c>
      <c r="D4" s="71"/>
      <c r="E4" s="71"/>
      <c r="F4" s="143"/>
      <c r="G4" s="146"/>
      <c r="H4" s="143" t="s">
        <v>3933</v>
      </c>
      <c r="I4" s="159">
        <v>7900</v>
      </c>
      <c r="J4" s="77"/>
      <c r="K4" s="160">
        <f>K3+I4-J4</f>
        <v>7909.800000000163</v>
      </c>
      <c r="N4" s="187"/>
    </row>
    <row r="5" spans="1:14" ht="15">
      <c r="A5" s="54" t="str">
        <f>D5&amp;E5&amp;F5</f>
        <v>FINANZASIMSS/INFONAVITIMSS/INFONAVIT</v>
      </c>
      <c r="B5" t="s">
        <v>3451</v>
      </c>
      <c r="C5" s="1">
        <v>45699</v>
      </c>
      <c r="D5" t="s">
        <v>23</v>
      </c>
      <c r="E5" s="12" t="s">
        <v>132</v>
      </c>
      <c r="F5" s="12" t="s">
        <v>132</v>
      </c>
      <c r="G5" s="146"/>
      <c r="H5" s="143" t="s">
        <v>4356</v>
      </c>
      <c r="I5" s="159"/>
      <c r="J5" s="77">
        <v>7850</v>
      </c>
      <c r="K5" s="160">
        <f>K4+I5-J5</f>
        <v>59.800000000162981</v>
      </c>
      <c r="N5" s="187"/>
    </row>
    <row r="6" spans="1:14" ht="15">
      <c r="A6" s="54" t="str">
        <f t="shared" ref="A6:A69" si="1">D6&amp;E6&amp;F6</f>
        <v/>
      </c>
      <c r="B6" t="s">
        <v>3451</v>
      </c>
      <c r="C6" s="1">
        <v>45702</v>
      </c>
      <c r="F6" s="213"/>
      <c r="G6" s="213"/>
      <c r="H6" t="s">
        <v>4357</v>
      </c>
      <c r="I6" s="3">
        <v>364000</v>
      </c>
      <c r="K6" s="160">
        <f t="shared" ref="K6:K41" si="2">K5+I6-J6</f>
        <v>364059.80000000016</v>
      </c>
    </row>
    <row r="7" spans="1:14" ht="15">
      <c r="A7" s="54" t="str">
        <f t="shared" si="1"/>
        <v>FINANZASIMSS/INFONAVITIMSS/INFONAVIT</v>
      </c>
      <c r="B7" t="s">
        <v>3451</v>
      </c>
      <c r="C7" s="1">
        <v>45705</v>
      </c>
      <c r="D7" t="s">
        <v>23</v>
      </c>
      <c r="E7" s="12" t="s">
        <v>132</v>
      </c>
      <c r="F7" s="12" t="s">
        <v>132</v>
      </c>
      <c r="G7" s="213"/>
      <c r="H7" s="191" t="s">
        <v>4358</v>
      </c>
      <c r="J7" s="3">
        <v>7782</v>
      </c>
      <c r="K7" s="160">
        <f t="shared" si="2"/>
        <v>356277.80000000016</v>
      </c>
    </row>
    <row r="8" spans="1:14" ht="15">
      <c r="A8" s="54" t="str">
        <f t="shared" si="1"/>
        <v>FINANZASIMSS/INFONAVITIMSS/INFONAVIT</v>
      </c>
      <c r="B8" t="s">
        <v>3451</v>
      </c>
      <c r="C8" s="1">
        <v>45705</v>
      </c>
      <c r="D8" t="s">
        <v>23</v>
      </c>
      <c r="E8" s="12" t="s">
        <v>132</v>
      </c>
      <c r="F8" s="12" t="s">
        <v>132</v>
      </c>
      <c r="G8" s="213"/>
      <c r="H8" s="191" t="s">
        <v>4359</v>
      </c>
      <c r="J8" s="3">
        <v>78463.509999999995</v>
      </c>
      <c r="K8" s="160">
        <f t="shared" si="2"/>
        <v>277814.29000000015</v>
      </c>
    </row>
    <row r="9" spans="1:14" ht="15">
      <c r="A9" s="54" t="str">
        <f t="shared" si="1"/>
        <v>FINANZASIMSS/INFONAVITIMSS/INFONAVIT</v>
      </c>
      <c r="B9" t="s">
        <v>3451</v>
      </c>
      <c r="C9" s="1">
        <v>45705</v>
      </c>
      <c r="D9" t="s">
        <v>23</v>
      </c>
      <c r="E9" s="12" t="s">
        <v>132</v>
      </c>
      <c r="F9" s="12" t="s">
        <v>132</v>
      </c>
      <c r="G9" s="213"/>
      <c r="H9" s="191" t="s">
        <v>4360</v>
      </c>
      <c r="J9" s="3">
        <v>7240.36</v>
      </c>
      <c r="K9" s="190">
        <f t="shared" si="2"/>
        <v>270573.93000000017</v>
      </c>
    </row>
    <row r="10" spans="1:14" ht="15">
      <c r="A10" s="54" t="str">
        <f t="shared" si="1"/>
        <v>FINANZASIMSS/INFONAVITIMSS/INFONAVIT</v>
      </c>
      <c r="B10" t="s">
        <v>3451</v>
      </c>
      <c r="C10" s="1">
        <v>45705</v>
      </c>
      <c r="D10" t="s">
        <v>23</v>
      </c>
      <c r="E10" s="12" t="s">
        <v>132</v>
      </c>
      <c r="F10" s="12" t="s">
        <v>132</v>
      </c>
      <c r="G10" s="213"/>
      <c r="H10" s="191" t="s">
        <v>4361</v>
      </c>
      <c r="J10" s="3">
        <v>5560.53</v>
      </c>
      <c r="K10" s="190">
        <f t="shared" si="2"/>
        <v>265013.40000000014</v>
      </c>
    </row>
    <row r="11" spans="1:14" ht="15">
      <c r="A11" s="54" t="str">
        <f t="shared" si="1"/>
        <v>FINANZASIMSS/INFONAVITIMSS/INFONAVIT</v>
      </c>
      <c r="B11" t="s">
        <v>3451</v>
      </c>
      <c r="C11" s="1">
        <v>45705</v>
      </c>
      <c r="D11" t="s">
        <v>23</v>
      </c>
      <c r="E11" s="12" t="s">
        <v>132</v>
      </c>
      <c r="F11" s="12" t="s">
        <v>132</v>
      </c>
      <c r="G11" s="213"/>
      <c r="H11" s="191" t="s">
        <v>4362</v>
      </c>
      <c r="J11" s="3">
        <v>6313.85</v>
      </c>
      <c r="K11" s="190">
        <f t="shared" si="2"/>
        <v>258699.55000000013</v>
      </c>
    </row>
    <row r="12" spans="1:14" ht="15">
      <c r="A12" s="54" t="str">
        <f t="shared" si="1"/>
        <v>FINANZASIMSS/INFONAVITIMSS/INFONAVIT</v>
      </c>
      <c r="B12" t="s">
        <v>3451</v>
      </c>
      <c r="C12" s="1">
        <v>45705</v>
      </c>
      <c r="D12" t="s">
        <v>23</v>
      </c>
      <c r="E12" s="12" t="s">
        <v>132</v>
      </c>
      <c r="F12" s="12" t="s">
        <v>132</v>
      </c>
      <c r="G12" s="213"/>
      <c r="H12" s="191" t="s">
        <v>4363</v>
      </c>
      <c r="J12" s="3">
        <v>6482.7</v>
      </c>
      <c r="K12" s="190">
        <f t="shared" si="2"/>
        <v>252216.85000000012</v>
      </c>
    </row>
    <row r="13" spans="1:14" ht="15">
      <c r="A13" s="54" t="str">
        <f t="shared" si="1"/>
        <v>FINANZASIMSS/INFONAVITIMSS/INFONAVIT</v>
      </c>
      <c r="B13" t="s">
        <v>3451</v>
      </c>
      <c r="C13" s="1">
        <v>45705</v>
      </c>
      <c r="D13" t="s">
        <v>23</v>
      </c>
      <c r="E13" s="12" t="s">
        <v>132</v>
      </c>
      <c r="F13" s="12" t="s">
        <v>132</v>
      </c>
      <c r="G13" s="213"/>
      <c r="H13" s="191" t="s">
        <v>4364</v>
      </c>
      <c r="J13" s="3">
        <v>7741.49</v>
      </c>
      <c r="K13" s="190">
        <f t="shared" si="2"/>
        <v>244475.36000000013</v>
      </c>
    </row>
    <row r="14" spans="1:14" ht="15">
      <c r="A14" s="54" t="str">
        <f t="shared" si="1"/>
        <v>FINANZASIMSS/INFONAVITIMSS/INFONAVIT</v>
      </c>
      <c r="B14" t="s">
        <v>3451</v>
      </c>
      <c r="C14" s="1">
        <v>45705</v>
      </c>
      <c r="D14" t="s">
        <v>23</v>
      </c>
      <c r="E14" s="12" t="s">
        <v>132</v>
      </c>
      <c r="F14" s="12" t="s">
        <v>132</v>
      </c>
      <c r="G14" s="213"/>
      <c r="H14" s="191" t="s">
        <v>4365</v>
      </c>
      <c r="J14" s="3">
        <v>116073.87</v>
      </c>
      <c r="K14" s="190">
        <f t="shared" si="2"/>
        <v>128401.49000000014</v>
      </c>
    </row>
    <row r="15" spans="1:14" ht="15">
      <c r="A15" s="54" t="str">
        <f t="shared" si="1"/>
        <v>FINANZASIMSS/INFONAVITIMSS/INFONAVIT</v>
      </c>
      <c r="B15" t="s">
        <v>3451</v>
      </c>
      <c r="C15" s="1">
        <v>45705</v>
      </c>
      <c r="D15" t="s">
        <v>23</v>
      </c>
      <c r="E15" s="12" t="s">
        <v>132</v>
      </c>
      <c r="F15" s="12" t="s">
        <v>132</v>
      </c>
      <c r="G15" s="213"/>
      <c r="H15" s="191" t="s">
        <v>4366</v>
      </c>
      <c r="J15" s="3">
        <v>5192.58</v>
      </c>
      <c r="K15" s="190">
        <f t="shared" si="2"/>
        <v>123208.91000000013</v>
      </c>
    </row>
    <row r="16" spans="1:14" ht="15">
      <c r="A16" s="54" t="str">
        <f t="shared" si="1"/>
        <v>FINANZASIMSS/INFONAVITIMSS/INFONAVIT</v>
      </c>
      <c r="B16" t="s">
        <v>3451</v>
      </c>
      <c r="C16" s="1">
        <v>45705</v>
      </c>
      <c r="D16" t="s">
        <v>23</v>
      </c>
      <c r="E16" s="12" t="s">
        <v>132</v>
      </c>
      <c r="F16" s="12" t="s">
        <v>132</v>
      </c>
      <c r="G16" s="213"/>
      <c r="H16" s="191" t="s">
        <v>4367</v>
      </c>
      <c r="J16" s="3">
        <v>12775.37</v>
      </c>
      <c r="K16" s="190">
        <f t="shared" si="2"/>
        <v>110433.54000000014</v>
      </c>
    </row>
    <row r="17" spans="1:11" ht="15">
      <c r="A17" s="54" t="str">
        <f t="shared" si="1"/>
        <v>FINANZASIMSS/INFONAVITIMSS/INFONAVIT</v>
      </c>
      <c r="B17" t="s">
        <v>3451</v>
      </c>
      <c r="C17" s="1">
        <v>45705</v>
      </c>
      <c r="D17" t="s">
        <v>23</v>
      </c>
      <c r="E17" s="12" t="s">
        <v>132</v>
      </c>
      <c r="F17" s="12" t="s">
        <v>132</v>
      </c>
      <c r="G17" s="213"/>
      <c r="H17" s="191" t="s">
        <v>4368</v>
      </c>
      <c r="J17" s="3">
        <v>54818.559999999998</v>
      </c>
      <c r="K17" s="190">
        <f t="shared" si="2"/>
        <v>55614.980000000141</v>
      </c>
    </row>
    <row r="18" spans="1:11" ht="15">
      <c r="A18" s="54" t="str">
        <f t="shared" si="1"/>
        <v>FINANZASIMSS/INFONAVITIMSS/INFONAVIT</v>
      </c>
      <c r="B18" t="s">
        <v>3451</v>
      </c>
      <c r="C18" s="1">
        <v>45705</v>
      </c>
      <c r="D18" t="s">
        <v>23</v>
      </c>
      <c r="E18" s="12" t="s">
        <v>132</v>
      </c>
      <c r="F18" s="12" t="s">
        <v>132</v>
      </c>
      <c r="G18" s="213"/>
      <c r="H18" s="191" t="s">
        <v>4369</v>
      </c>
      <c r="J18" s="3">
        <v>7910.02</v>
      </c>
      <c r="K18" s="190">
        <f t="shared" si="2"/>
        <v>47704.960000000137</v>
      </c>
    </row>
    <row r="19" spans="1:11" ht="15">
      <c r="A19" s="54" t="str">
        <f t="shared" si="1"/>
        <v>FINANZASIMSS/INFONAVITIMSS/INFONAVIT</v>
      </c>
      <c r="B19" t="s">
        <v>3451</v>
      </c>
      <c r="C19" s="1">
        <v>45705</v>
      </c>
      <c r="D19" t="s">
        <v>23</v>
      </c>
      <c r="E19" s="12" t="s">
        <v>132</v>
      </c>
      <c r="F19" s="12" t="s">
        <v>132</v>
      </c>
      <c r="G19" s="213"/>
      <c r="H19" s="191" t="s">
        <v>4370</v>
      </c>
      <c r="J19" s="3">
        <v>6102.44</v>
      </c>
      <c r="K19" s="190">
        <f t="shared" si="2"/>
        <v>41602.520000000135</v>
      </c>
    </row>
    <row r="20" spans="1:11" ht="15">
      <c r="A20" s="54" t="str">
        <f t="shared" si="1"/>
        <v>FINANZASIMSS/INFONAVITIMSS/INFONAVIT</v>
      </c>
      <c r="B20" t="s">
        <v>3451</v>
      </c>
      <c r="C20" s="1">
        <v>45705</v>
      </c>
      <c r="D20" t="s">
        <v>23</v>
      </c>
      <c r="E20" s="12" t="s">
        <v>132</v>
      </c>
      <c r="F20" s="12" t="s">
        <v>132</v>
      </c>
      <c r="G20" s="213"/>
      <c r="H20" s="191" t="s">
        <v>4371</v>
      </c>
      <c r="J20" s="3">
        <v>10657.2</v>
      </c>
      <c r="K20" s="190">
        <f t="shared" si="2"/>
        <v>30945.320000000134</v>
      </c>
    </row>
    <row r="21" spans="1:11" ht="15">
      <c r="A21" s="54" t="str">
        <f t="shared" si="1"/>
        <v>FINANZASIMSS/INFONAVITIMSS/INFONAVIT</v>
      </c>
      <c r="B21" t="s">
        <v>3451</v>
      </c>
      <c r="C21" s="1">
        <v>45705</v>
      </c>
      <c r="D21" t="s">
        <v>23</v>
      </c>
      <c r="E21" s="12" t="s">
        <v>132</v>
      </c>
      <c r="F21" s="12" t="s">
        <v>132</v>
      </c>
      <c r="G21" s="213"/>
      <c r="H21" s="191" t="s">
        <v>4372</v>
      </c>
      <c r="J21" s="3">
        <v>21082.799999999999</v>
      </c>
      <c r="K21" s="190">
        <f t="shared" si="2"/>
        <v>9862.520000000135</v>
      </c>
    </row>
    <row r="22" spans="1:11" ht="15">
      <c r="A22" s="54" t="str">
        <f t="shared" si="1"/>
        <v>FINANZASIMSS/INFONAVITIMSS/INFONAVIT</v>
      </c>
      <c r="B22" t="s">
        <v>3451</v>
      </c>
      <c r="C22" s="1">
        <v>45705</v>
      </c>
      <c r="D22" t="s">
        <v>23</v>
      </c>
      <c r="E22" s="12" t="s">
        <v>132</v>
      </c>
      <c r="F22" s="12" t="s">
        <v>132</v>
      </c>
      <c r="G22" s="213"/>
      <c r="H22" s="191" t="s">
        <v>4373</v>
      </c>
      <c r="J22" s="3">
        <v>5844.39</v>
      </c>
      <c r="K22" s="190">
        <f t="shared" si="2"/>
        <v>4018.1300000001347</v>
      </c>
    </row>
    <row r="23" spans="1:11" ht="15">
      <c r="A23" s="54" t="str">
        <f t="shared" si="1"/>
        <v>FINANZASIMSS/INFONAVITIMSS/INFONAVIT</v>
      </c>
      <c r="B23" t="s">
        <v>3451</v>
      </c>
      <c r="C23" s="1">
        <v>45705</v>
      </c>
      <c r="D23" t="s">
        <v>23</v>
      </c>
      <c r="E23" s="12" t="s">
        <v>132</v>
      </c>
      <c r="F23" s="12" t="s">
        <v>132</v>
      </c>
      <c r="G23" s="213"/>
      <c r="H23" s="191" t="s">
        <v>4374</v>
      </c>
      <c r="J23" s="3">
        <v>3960.47</v>
      </c>
      <c r="K23" s="190">
        <f t="shared" si="2"/>
        <v>57.660000000134914</v>
      </c>
    </row>
    <row r="24" spans="1:11" ht="15">
      <c r="A24" s="54" t="str">
        <f t="shared" si="1"/>
        <v/>
      </c>
      <c r="B24" t="s">
        <v>3498</v>
      </c>
      <c r="C24" s="1">
        <v>45728</v>
      </c>
      <c r="F24" s="213"/>
      <c r="G24" s="213"/>
      <c r="H24" t="s">
        <v>3472</v>
      </c>
      <c r="I24" s="3">
        <v>500000</v>
      </c>
      <c r="K24" s="190">
        <f t="shared" si="2"/>
        <v>500057.66000000015</v>
      </c>
    </row>
    <row r="25" spans="1:11" ht="15">
      <c r="A25" s="54" t="str">
        <f t="shared" si="1"/>
        <v>FINANZASIMSS/INFONAVITIMSS/INFONAVIT</v>
      </c>
      <c r="B25" t="s">
        <v>3498</v>
      </c>
      <c r="C25" s="1">
        <v>45728</v>
      </c>
      <c r="D25" t="s">
        <v>23</v>
      </c>
      <c r="E25" t="s">
        <v>132</v>
      </c>
      <c r="F25" s="213" t="s">
        <v>132</v>
      </c>
      <c r="G25" s="213"/>
      <c r="H25" t="s">
        <v>4375</v>
      </c>
      <c r="J25" s="3">
        <v>14405.53</v>
      </c>
      <c r="K25" s="190">
        <f t="shared" si="2"/>
        <v>485652.13000000012</v>
      </c>
    </row>
    <row r="26" spans="1:11" ht="15">
      <c r="A26" s="54" t="str">
        <f t="shared" si="1"/>
        <v/>
      </c>
      <c r="B26" t="s">
        <v>3498</v>
      </c>
      <c r="C26" s="1">
        <v>45734</v>
      </c>
      <c r="F26" s="213"/>
      <c r="G26" s="213"/>
      <c r="H26" t="s">
        <v>3472</v>
      </c>
      <c r="I26" s="3">
        <v>621000</v>
      </c>
      <c r="K26" s="190">
        <f t="shared" si="2"/>
        <v>1106652.1300000001</v>
      </c>
    </row>
    <row r="27" spans="1:11" ht="15">
      <c r="A27" s="54" t="str">
        <f t="shared" si="1"/>
        <v>FINANZASIMSS/INFONAVITIMSS/INFONAVIT</v>
      </c>
      <c r="B27" t="s">
        <v>3498</v>
      </c>
      <c r="C27" s="1">
        <v>45734</v>
      </c>
      <c r="D27" t="s">
        <v>23</v>
      </c>
      <c r="E27" t="s">
        <v>132</v>
      </c>
      <c r="F27" s="213" t="s">
        <v>132</v>
      </c>
      <c r="G27" s="213"/>
      <c r="H27" s="191" t="s">
        <v>4358</v>
      </c>
      <c r="J27" s="81">
        <v>22201.97</v>
      </c>
      <c r="K27" s="190">
        <f t="shared" si="2"/>
        <v>1084450.1600000001</v>
      </c>
    </row>
    <row r="28" spans="1:11" ht="15">
      <c r="A28" s="54" t="str">
        <f t="shared" si="1"/>
        <v>FINANZASIMSS/INFONAVITIMSS/INFONAVIT</v>
      </c>
      <c r="B28" t="s">
        <v>3498</v>
      </c>
      <c r="C28" s="1">
        <v>45734</v>
      </c>
      <c r="D28" t="s">
        <v>23</v>
      </c>
      <c r="E28" t="s">
        <v>132</v>
      </c>
      <c r="F28" s="213" t="s">
        <v>132</v>
      </c>
      <c r="G28" s="213"/>
      <c r="H28" s="191" t="s">
        <v>4359</v>
      </c>
      <c r="J28" s="81">
        <v>227884.24</v>
      </c>
      <c r="K28" s="190">
        <f t="shared" si="2"/>
        <v>856565.92000000016</v>
      </c>
    </row>
    <row r="29" spans="1:11" ht="15">
      <c r="A29" s="54" t="str">
        <f t="shared" si="1"/>
        <v>FINANZASIMSS/INFONAVITIMSS/INFONAVIT</v>
      </c>
      <c r="B29" t="s">
        <v>3498</v>
      </c>
      <c r="C29" s="1">
        <v>45734</v>
      </c>
      <c r="D29" t="s">
        <v>23</v>
      </c>
      <c r="E29" t="s">
        <v>132</v>
      </c>
      <c r="F29" s="213" t="s">
        <v>132</v>
      </c>
      <c r="G29" s="213"/>
      <c r="H29" s="191" t="s">
        <v>4360</v>
      </c>
      <c r="J29" s="81">
        <v>21232.78</v>
      </c>
      <c r="K29" s="190">
        <f t="shared" si="2"/>
        <v>835333.14000000013</v>
      </c>
    </row>
    <row r="30" spans="1:11" ht="15">
      <c r="A30" s="54" t="str">
        <f t="shared" si="1"/>
        <v>FINANZASIMSS/INFONAVITIMSS/INFONAVIT</v>
      </c>
      <c r="B30" t="s">
        <v>3498</v>
      </c>
      <c r="C30" s="1">
        <v>45734</v>
      </c>
      <c r="D30" t="s">
        <v>23</v>
      </c>
      <c r="E30" t="s">
        <v>132</v>
      </c>
      <c r="F30" s="213" t="s">
        <v>132</v>
      </c>
      <c r="G30" s="213"/>
      <c r="H30" s="191" t="s">
        <v>4361</v>
      </c>
      <c r="J30" s="81">
        <v>23522.400000000001</v>
      </c>
      <c r="K30" s="190">
        <f t="shared" si="2"/>
        <v>811810.74000000011</v>
      </c>
    </row>
    <row r="31" spans="1:11" ht="15">
      <c r="A31" s="54" t="str">
        <f t="shared" si="1"/>
        <v>FINANZASIMSS/INFONAVITIMSS/INFONAVIT</v>
      </c>
      <c r="B31" t="s">
        <v>3498</v>
      </c>
      <c r="C31" s="1">
        <v>45734</v>
      </c>
      <c r="D31" t="s">
        <v>23</v>
      </c>
      <c r="E31" t="s">
        <v>132</v>
      </c>
      <c r="F31" s="213" t="s">
        <v>132</v>
      </c>
      <c r="G31" s="213"/>
      <c r="H31" s="191" t="s">
        <v>4362</v>
      </c>
      <c r="J31" s="81">
        <v>18404.990000000002</v>
      </c>
      <c r="K31" s="190">
        <f t="shared" si="2"/>
        <v>793405.75000000012</v>
      </c>
    </row>
    <row r="32" spans="1:11" ht="15">
      <c r="A32" s="54" t="str">
        <f t="shared" si="1"/>
        <v>FINANZASIMSS/INFONAVITIMSS/INFONAVIT</v>
      </c>
      <c r="B32" t="s">
        <v>3498</v>
      </c>
      <c r="C32" s="1">
        <v>45734</v>
      </c>
      <c r="D32" t="s">
        <v>23</v>
      </c>
      <c r="E32" t="s">
        <v>132</v>
      </c>
      <c r="F32" s="3" t="s">
        <v>132</v>
      </c>
      <c r="G32" s="146"/>
      <c r="H32" s="191" t="s">
        <v>4363</v>
      </c>
      <c r="I32" s="158"/>
      <c r="J32" s="72">
        <v>18490.07</v>
      </c>
      <c r="K32" s="190">
        <f t="shared" si="2"/>
        <v>774915.68000000017</v>
      </c>
    </row>
    <row r="33" spans="1:11" ht="15">
      <c r="A33" s="54" t="str">
        <f t="shared" si="1"/>
        <v>FINANZASIMSS/INFONAVITIMSS/INFONAVIT</v>
      </c>
      <c r="B33" t="s">
        <v>3498</v>
      </c>
      <c r="C33" s="1">
        <v>45734</v>
      </c>
      <c r="D33" t="s">
        <v>23</v>
      </c>
      <c r="E33" t="s">
        <v>132</v>
      </c>
      <c r="F33" s="3" t="s">
        <v>132</v>
      </c>
      <c r="G33" s="146"/>
      <c r="H33" s="191" t="s">
        <v>4364</v>
      </c>
      <c r="I33" s="158"/>
      <c r="J33" s="72">
        <v>22160.27</v>
      </c>
      <c r="K33" s="190">
        <f t="shared" si="2"/>
        <v>752755.41000000015</v>
      </c>
    </row>
    <row r="34" spans="1:11" ht="15">
      <c r="A34" s="54" t="str">
        <f t="shared" si="1"/>
        <v>FINANZASIMSS/INFONAVITIMSS/INFONAVIT</v>
      </c>
      <c r="B34" t="s">
        <v>3498</v>
      </c>
      <c r="C34" s="1">
        <v>45734</v>
      </c>
      <c r="D34" t="s">
        <v>23</v>
      </c>
      <c r="E34" t="s">
        <v>132</v>
      </c>
      <c r="F34" s="3" t="s">
        <v>132</v>
      </c>
      <c r="G34" s="146"/>
      <c r="H34" s="191" t="s">
        <v>4365</v>
      </c>
      <c r="I34" s="158"/>
      <c r="J34" s="72">
        <v>375642.04</v>
      </c>
      <c r="K34" s="190">
        <f t="shared" si="2"/>
        <v>377113.37000000017</v>
      </c>
    </row>
    <row r="35" spans="1:11" ht="15">
      <c r="A35" s="54" t="str">
        <f t="shared" si="1"/>
        <v>FINANZASIMSS/INFONAVITIMSS/INFONAVIT</v>
      </c>
      <c r="B35" t="s">
        <v>3498</v>
      </c>
      <c r="C35" s="1">
        <v>45734</v>
      </c>
      <c r="D35" t="s">
        <v>23</v>
      </c>
      <c r="E35" t="s">
        <v>132</v>
      </c>
      <c r="F35" s="3" t="s">
        <v>132</v>
      </c>
      <c r="G35" s="146"/>
      <c r="H35" s="191" t="s">
        <v>4366</v>
      </c>
      <c r="I35" s="158"/>
      <c r="J35" s="72">
        <v>14824.39</v>
      </c>
      <c r="K35" s="190">
        <f t="shared" si="2"/>
        <v>362288.98000000016</v>
      </c>
    </row>
    <row r="36" spans="1:11" ht="15">
      <c r="A36" s="54" t="str">
        <f t="shared" si="1"/>
        <v>FINANZASIMSS/INFONAVITIMSS/INFONAVIT</v>
      </c>
      <c r="B36" t="s">
        <v>3498</v>
      </c>
      <c r="C36" s="1">
        <v>45734</v>
      </c>
      <c r="D36" t="s">
        <v>23</v>
      </c>
      <c r="E36" t="s">
        <v>132</v>
      </c>
      <c r="F36" s="3" t="s">
        <v>132</v>
      </c>
      <c r="G36" s="146"/>
      <c r="H36" s="191" t="s">
        <v>4367</v>
      </c>
      <c r="I36" s="158"/>
      <c r="J36" s="72">
        <v>42179.49</v>
      </c>
      <c r="K36" s="190">
        <f t="shared" si="2"/>
        <v>320109.49000000017</v>
      </c>
    </row>
    <row r="37" spans="1:11" ht="15">
      <c r="A37" s="54" t="str">
        <f t="shared" si="1"/>
        <v>FINANZASIMSS/INFONAVITIMSS/INFONAVIT</v>
      </c>
      <c r="B37" t="s">
        <v>3498</v>
      </c>
      <c r="C37" s="1">
        <v>45734</v>
      </c>
      <c r="D37" t="s">
        <v>23</v>
      </c>
      <c r="E37" t="s">
        <v>132</v>
      </c>
      <c r="F37" s="3" t="s">
        <v>132</v>
      </c>
      <c r="G37" s="146"/>
      <c r="H37" s="191" t="s">
        <v>4368</v>
      </c>
      <c r="I37" s="158"/>
      <c r="J37" s="72">
        <v>145106.45000000001</v>
      </c>
      <c r="K37" s="190">
        <f t="shared" si="2"/>
        <v>175003.04000000015</v>
      </c>
    </row>
    <row r="38" spans="1:11" ht="15">
      <c r="A38" s="54" t="str">
        <f t="shared" si="1"/>
        <v>FINANZASIMSS/INFONAVITIMSS/INFONAVIT</v>
      </c>
      <c r="B38" t="s">
        <v>3498</v>
      </c>
      <c r="C38" s="1">
        <v>45734</v>
      </c>
      <c r="D38" t="s">
        <v>23</v>
      </c>
      <c r="E38" t="s">
        <v>132</v>
      </c>
      <c r="F38" s="3" t="s">
        <v>132</v>
      </c>
      <c r="G38" s="146"/>
      <c r="H38" s="191" t="s">
        <v>4369</v>
      </c>
      <c r="I38" s="158"/>
      <c r="J38" s="72">
        <v>22937.45</v>
      </c>
      <c r="K38" s="190">
        <f t="shared" si="2"/>
        <v>152065.59000000014</v>
      </c>
    </row>
    <row r="39" spans="1:11" ht="15">
      <c r="A39" s="54" t="str">
        <f t="shared" si="1"/>
        <v>FINANZASIMSS/INFONAVITIMSS/INFONAVIT</v>
      </c>
      <c r="B39" t="s">
        <v>3498</v>
      </c>
      <c r="C39" s="1">
        <v>45734</v>
      </c>
      <c r="D39" t="s">
        <v>23</v>
      </c>
      <c r="E39" t="s">
        <v>132</v>
      </c>
      <c r="F39" s="3" t="s">
        <v>132</v>
      </c>
      <c r="G39" s="146"/>
      <c r="H39" s="191" t="s">
        <v>4370</v>
      </c>
      <c r="I39" s="158"/>
      <c r="J39" s="72">
        <v>20056.03</v>
      </c>
      <c r="K39" s="190">
        <f t="shared" si="2"/>
        <v>132009.56000000014</v>
      </c>
    </row>
    <row r="40" spans="1:11" ht="15">
      <c r="A40" s="54" t="str">
        <f t="shared" si="1"/>
        <v>FINANZASIMSS/INFONAVITIMSS/INFONAVIT</v>
      </c>
      <c r="B40" t="s">
        <v>3498</v>
      </c>
      <c r="C40" s="1">
        <v>45734</v>
      </c>
      <c r="D40" t="s">
        <v>23</v>
      </c>
      <c r="E40" t="s">
        <v>132</v>
      </c>
      <c r="F40" s="3" t="s">
        <v>132</v>
      </c>
      <c r="G40" s="146"/>
      <c r="H40" s="191" t="s">
        <v>4371</v>
      </c>
      <c r="I40" s="158"/>
      <c r="J40" s="72">
        <v>35586.239999999998</v>
      </c>
      <c r="K40" s="190">
        <f t="shared" si="2"/>
        <v>96423.320000000153</v>
      </c>
    </row>
    <row r="41" spans="1:11" ht="15">
      <c r="A41" s="54" t="str">
        <f t="shared" si="1"/>
        <v>FINANZASIMSS/INFONAVITIMSS/INFONAVIT</v>
      </c>
      <c r="B41" t="s">
        <v>3498</v>
      </c>
      <c r="C41" s="1">
        <v>45734</v>
      </c>
      <c r="D41" t="s">
        <v>23</v>
      </c>
      <c r="E41" t="s">
        <v>132</v>
      </c>
      <c r="F41" s="3" t="s">
        <v>132</v>
      </c>
      <c r="G41" s="146"/>
      <c r="H41" s="191" t="s">
        <v>4372</v>
      </c>
      <c r="I41" s="158"/>
      <c r="J41" s="72">
        <v>68130.080000000002</v>
      </c>
      <c r="K41" s="190">
        <f t="shared" si="2"/>
        <v>28293.240000000151</v>
      </c>
    </row>
    <row r="42" spans="1:11" ht="15">
      <c r="A42" s="54" t="str">
        <f t="shared" si="1"/>
        <v>FINANZASIMSS/INFONAVITIMSS/INFONAVIT</v>
      </c>
      <c r="B42" t="s">
        <v>3498</v>
      </c>
      <c r="C42" s="1">
        <v>45734</v>
      </c>
      <c r="D42" t="s">
        <v>23</v>
      </c>
      <c r="E42" t="s">
        <v>132</v>
      </c>
      <c r="F42" s="3" t="s">
        <v>132</v>
      </c>
      <c r="G42" s="146"/>
      <c r="H42" s="191" t="s">
        <v>4373</v>
      </c>
      <c r="I42" s="158"/>
      <c r="J42" s="72">
        <v>16728.400000000001</v>
      </c>
      <c r="K42" s="190">
        <f>K41+I42-J42</f>
        <v>11564.840000000149</v>
      </c>
    </row>
    <row r="43" spans="1:11" ht="15">
      <c r="A43" s="54" t="str">
        <f t="shared" si="1"/>
        <v>FINANZASIMSS/INFONAVITIMSS/INFONAVIT</v>
      </c>
      <c r="B43" t="s">
        <v>3498</v>
      </c>
      <c r="C43" s="1">
        <v>45734</v>
      </c>
      <c r="D43" t="s">
        <v>23</v>
      </c>
      <c r="E43" t="s">
        <v>132</v>
      </c>
      <c r="F43" s="3" t="s">
        <v>132</v>
      </c>
      <c r="G43" s="146"/>
      <c r="H43" s="191" t="s">
        <v>4374</v>
      </c>
      <c r="I43" s="158"/>
      <c r="J43" s="161">
        <v>11442.44</v>
      </c>
      <c r="K43" s="190">
        <f>K42+I43-J43</f>
        <v>122.40000000014879</v>
      </c>
    </row>
    <row r="44" spans="1:11" ht="15">
      <c r="A44" s="54" t="str">
        <f t="shared" si="1"/>
        <v>FINANZASIMSS/INFONAVITIMSS/INFONAVIT</v>
      </c>
      <c r="B44" t="s">
        <v>3498</v>
      </c>
      <c r="C44" s="1">
        <v>45750</v>
      </c>
      <c r="D44" t="s">
        <v>23</v>
      </c>
      <c r="E44" t="s">
        <v>132</v>
      </c>
      <c r="F44" s="3" t="s">
        <v>132</v>
      </c>
      <c r="G44" s="146"/>
      <c r="H44" s="191" t="s">
        <v>4376</v>
      </c>
      <c r="I44" s="158"/>
      <c r="J44" s="161">
        <v>12840</v>
      </c>
      <c r="K44" s="190">
        <f>K43+I44-J44</f>
        <v>-12717.599999999851</v>
      </c>
    </row>
    <row r="45" spans="1:11" ht="15">
      <c r="A45" s="54" t="str">
        <f t="shared" si="1"/>
        <v/>
      </c>
      <c r="B45" t="s">
        <v>814</v>
      </c>
      <c r="C45" s="1">
        <v>45768</v>
      </c>
      <c r="F45" s="3"/>
      <c r="G45" s="146"/>
      <c r="H45" s="191" t="s">
        <v>3472</v>
      </c>
      <c r="I45" s="158">
        <v>363000</v>
      </c>
      <c r="J45" s="161"/>
      <c r="K45" s="190">
        <f>K44+I45-J45</f>
        <v>350282.40000000014</v>
      </c>
    </row>
    <row r="46" spans="1:11" ht="18.75" customHeight="1">
      <c r="A46" s="54" t="str">
        <f t="shared" si="1"/>
        <v>FINANZASIMSS/INFONAVITIMSS/INFONAVIT</v>
      </c>
      <c r="B46" t="s">
        <v>814</v>
      </c>
      <c r="C46" s="1">
        <v>45768</v>
      </c>
      <c r="D46" t="s">
        <v>23</v>
      </c>
      <c r="E46" s="12" t="s">
        <v>132</v>
      </c>
      <c r="F46" s="283" t="s">
        <v>132</v>
      </c>
      <c r="G46" s="146"/>
      <c r="H46" s="191" t="s">
        <v>4358</v>
      </c>
      <c r="I46" s="158"/>
      <c r="J46" s="158">
        <v>7968.08</v>
      </c>
      <c r="K46" s="190">
        <f>K45+I46-J46</f>
        <v>342314.32000000012</v>
      </c>
    </row>
    <row r="47" spans="1:11" ht="15">
      <c r="A47" s="54" t="str">
        <f t="shared" si="1"/>
        <v>FINANZASIMSS/INFONAVITIMSS/INFONAVIT</v>
      </c>
      <c r="B47" t="s">
        <v>814</v>
      </c>
      <c r="C47" s="1">
        <v>45768</v>
      </c>
      <c r="D47" t="s">
        <v>23</v>
      </c>
      <c r="E47" s="12" t="s">
        <v>132</v>
      </c>
      <c r="F47" s="12" t="s">
        <v>132</v>
      </c>
      <c r="G47" s="146"/>
      <c r="H47" s="191" t="s">
        <v>4359</v>
      </c>
      <c r="I47" s="158"/>
      <c r="J47" s="158">
        <v>71376.850000000006</v>
      </c>
      <c r="K47" s="190">
        <f>K46+I47-J47</f>
        <v>270937.47000000009</v>
      </c>
    </row>
    <row r="48" spans="1:11" ht="15">
      <c r="A48" s="54" t="str">
        <f t="shared" si="1"/>
        <v>FINANZASIMSS/INFONAVITIMSS/INFONAVIT</v>
      </c>
      <c r="B48" t="s">
        <v>814</v>
      </c>
      <c r="C48" s="1">
        <v>45768</v>
      </c>
      <c r="D48" t="s">
        <v>23</v>
      </c>
      <c r="E48" s="12" t="s">
        <v>132</v>
      </c>
      <c r="F48" s="12" t="s">
        <v>132</v>
      </c>
      <c r="G48" s="146"/>
      <c r="H48" s="191" t="s">
        <v>4360</v>
      </c>
      <c r="I48" s="158"/>
      <c r="J48" s="158">
        <v>7968.85</v>
      </c>
      <c r="K48" s="190">
        <f>K47+I48-J48</f>
        <v>262968.62000000011</v>
      </c>
    </row>
    <row r="49" spans="1:11" ht="15">
      <c r="A49" s="54" t="str">
        <f t="shared" si="1"/>
        <v>FINANZASIMSS/INFONAVITIMSS/INFONAVIT</v>
      </c>
      <c r="B49" t="s">
        <v>814</v>
      </c>
      <c r="C49" s="1">
        <v>45768</v>
      </c>
      <c r="D49" t="s">
        <v>23</v>
      </c>
      <c r="E49" s="12" t="s">
        <v>132</v>
      </c>
      <c r="F49" s="12" t="s">
        <v>132</v>
      </c>
      <c r="G49" s="146"/>
      <c r="H49" s="191" t="s">
        <v>4361</v>
      </c>
      <c r="I49" s="158"/>
      <c r="J49" s="158">
        <v>7536.84</v>
      </c>
      <c r="K49" s="190">
        <f>K48+I49-J49</f>
        <v>255431.78000000012</v>
      </c>
    </row>
    <row r="50" spans="1:11" ht="15">
      <c r="A50" s="54" t="str">
        <f t="shared" si="1"/>
        <v>FINANZASIMSS/INFONAVITIMSS/INFONAVIT</v>
      </c>
      <c r="B50" t="s">
        <v>814</v>
      </c>
      <c r="C50" s="1">
        <v>45768</v>
      </c>
      <c r="D50" t="s">
        <v>23</v>
      </c>
      <c r="E50" s="12" t="s">
        <v>132</v>
      </c>
      <c r="F50" s="12" t="s">
        <v>132</v>
      </c>
      <c r="H50" s="271" t="s">
        <v>4362</v>
      </c>
      <c r="I50" s="158"/>
      <c r="J50" s="158">
        <v>6638.52</v>
      </c>
      <c r="K50" s="190">
        <f>K49+I50-J50</f>
        <v>248793.26000000013</v>
      </c>
    </row>
    <row r="51" spans="1:11" ht="15">
      <c r="A51" s="54" t="str">
        <f t="shared" si="1"/>
        <v>FINANZASIMSS/INFONAVITIMSS/INFONAVIT</v>
      </c>
      <c r="B51" t="s">
        <v>814</v>
      </c>
      <c r="C51" s="1">
        <v>45768</v>
      </c>
      <c r="D51" t="s">
        <v>23</v>
      </c>
      <c r="E51" s="12" t="s">
        <v>132</v>
      </c>
      <c r="F51" s="12" t="s">
        <v>132</v>
      </c>
      <c r="H51" s="271" t="s">
        <v>4363</v>
      </c>
      <c r="I51" s="158"/>
      <c r="J51" s="158">
        <v>6637.74</v>
      </c>
      <c r="K51" s="190">
        <f>K50+I51-J51</f>
        <v>242155.52000000014</v>
      </c>
    </row>
    <row r="52" spans="1:11" ht="15">
      <c r="A52" s="54" t="str">
        <f t="shared" si="1"/>
        <v>FINANZASIMSS/INFONAVITIMSS/INFONAVIT</v>
      </c>
      <c r="B52" t="s">
        <v>814</v>
      </c>
      <c r="C52" s="1">
        <v>45768</v>
      </c>
      <c r="D52" t="s">
        <v>23</v>
      </c>
      <c r="E52" s="12" t="s">
        <v>132</v>
      </c>
      <c r="F52" s="12" t="s">
        <v>132</v>
      </c>
      <c r="H52" s="271" t="s">
        <v>4364</v>
      </c>
      <c r="I52" s="158"/>
      <c r="J52" s="158">
        <v>7967.32</v>
      </c>
      <c r="K52" s="190">
        <f>K51+I52-J52</f>
        <v>234188.20000000013</v>
      </c>
    </row>
    <row r="53" spans="1:11" ht="15">
      <c r="A53" s="54" t="str">
        <f t="shared" si="1"/>
        <v>FINANZASIMSS/INFONAVITIMSS/INFONAVIT</v>
      </c>
      <c r="B53" t="s">
        <v>814</v>
      </c>
      <c r="C53" s="1">
        <v>45768</v>
      </c>
      <c r="D53" t="s">
        <v>23</v>
      </c>
      <c r="E53" s="12" t="s">
        <v>132</v>
      </c>
      <c r="F53" s="12" t="s">
        <v>132</v>
      </c>
      <c r="H53" s="271" t="s">
        <v>4365</v>
      </c>
      <c r="I53" s="158"/>
      <c r="J53" s="158">
        <v>122135.75</v>
      </c>
      <c r="K53" s="190">
        <f>K52+I53-J53</f>
        <v>112052.45000000013</v>
      </c>
    </row>
    <row r="54" spans="1:11" ht="15">
      <c r="A54" s="54" t="str">
        <f t="shared" si="1"/>
        <v>FINANZASIMSS/INFONAVITIMSS/INFONAVIT</v>
      </c>
      <c r="B54" t="s">
        <v>814</v>
      </c>
      <c r="C54" s="1">
        <v>45768</v>
      </c>
      <c r="D54" t="s">
        <v>23</v>
      </c>
      <c r="E54" s="12" t="s">
        <v>132</v>
      </c>
      <c r="F54" s="12" t="s">
        <v>132</v>
      </c>
      <c r="H54" s="271" t="s">
        <v>4366</v>
      </c>
      <c r="I54" s="158"/>
      <c r="J54" s="158">
        <v>5316.7</v>
      </c>
      <c r="K54" s="190">
        <f>K53+I54-J54</f>
        <v>106735.75000000013</v>
      </c>
    </row>
    <row r="55" spans="1:11" ht="15">
      <c r="A55" s="54" t="str">
        <f t="shared" si="1"/>
        <v>FINANZASIMSS/INFONAVITIMSS/INFONAVIT</v>
      </c>
      <c r="B55" t="s">
        <v>814</v>
      </c>
      <c r="C55" s="1">
        <v>45768</v>
      </c>
      <c r="D55" t="s">
        <v>23</v>
      </c>
      <c r="E55" s="12" t="s">
        <v>132</v>
      </c>
      <c r="F55" s="12" t="s">
        <v>132</v>
      </c>
      <c r="H55" s="271" t="s">
        <v>4367</v>
      </c>
      <c r="I55" s="158"/>
      <c r="J55" s="158">
        <v>12456.67</v>
      </c>
      <c r="K55" s="190">
        <f>K54+I55-J55</f>
        <v>94279.080000000133</v>
      </c>
    </row>
    <row r="56" spans="1:11" ht="15">
      <c r="A56" s="54" t="str">
        <f t="shared" si="1"/>
        <v>FINANZASIMSS/INFONAVITIMSS/INFONAVIT</v>
      </c>
      <c r="B56" t="s">
        <v>814</v>
      </c>
      <c r="C56" s="1">
        <v>45768</v>
      </c>
      <c r="D56" t="s">
        <v>23</v>
      </c>
      <c r="E56" s="12" t="s">
        <v>132</v>
      </c>
      <c r="F56" s="12" t="s">
        <v>132</v>
      </c>
      <c r="H56" s="271" t="s">
        <v>4368</v>
      </c>
      <c r="I56" s="158"/>
      <c r="J56" s="158">
        <v>45716.99</v>
      </c>
      <c r="K56" s="190">
        <f>K55+I56-J56</f>
        <v>48562.090000000135</v>
      </c>
    </row>
    <row r="57" spans="1:11" ht="15">
      <c r="A57" s="54" t="str">
        <f t="shared" si="1"/>
        <v>FINANZASIMSS/INFONAVITIMSS/INFONAVIT</v>
      </c>
      <c r="B57" t="s">
        <v>814</v>
      </c>
      <c r="C57" s="1">
        <v>45768</v>
      </c>
      <c r="D57" t="s">
        <v>23</v>
      </c>
      <c r="E57" s="12" t="s">
        <v>132</v>
      </c>
      <c r="F57" s="12" t="s">
        <v>132</v>
      </c>
      <c r="H57" s="271" t="s">
        <v>4369</v>
      </c>
      <c r="I57" s="158"/>
      <c r="J57" s="158">
        <v>6643.17</v>
      </c>
      <c r="K57" s="190">
        <f>K56+I57-J57</f>
        <v>41918.920000000136</v>
      </c>
    </row>
    <row r="58" spans="1:11" ht="15">
      <c r="A58" s="54" t="str">
        <f t="shared" si="1"/>
        <v>FINANZASIMSS/INFONAVITIMSS/INFONAVIT</v>
      </c>
      <c r="B58" t="s">
        <v>814</v>
      </c>
      <c r="C58" s="1">
        <v>45768</v>
      </c>
      <c r="D58" t="s">
        <v>23</v>
      </c>
      <c r="E58" s="12" t="s">
        <v>132</v>
      </c>
      <c r="F58" s="12" t="s">
        <v>132</v>
      </c>
      <c r="H58" s="271" t="s">
        <v>4370</v>
      </c>
      <c r="I58" s="158"/>
      <c r="J58" s="158">
        <v>7449.67</v>
      </c>
      <c r="K58" s="190">
        <f>K57+I58-J58</f>
        <v>34469.250000000138</v>
      </c>
    </row>
    <row r="59" spans="1:11" ht="15">
      <c r="A59" s="54" t="str">
        <f t="shared" si="1"/>
        <v>FINANZASIMSS/INFONAVITIMSS/INFONAVIT</v>
      </c>
      <c r="B59" t="s">
        <v>814</v>
      </c>
      <c r="C59" s="1">
        <v>45768</v>
      </c>
      <c r="D59" t="s">
        <v>23</v>
      </c>
      <c r="E59" s="12" t="s">
        <v>132</v>
      </c>
      <c r="F59" s="12" t="s">
        <v>132</v>
      </c>
      <c r="H59" s="271" t="s">
        <v>4371</v>
      </c>
      <c r="I59" s="158"/>
      <c r="J59" s="158">
        <v>16031.88</v>
      </c>
      <c r="K59" s="190">
        <f>K58+I59-J59</f>
        <v>18437.370000000141</v>
      </c>
    </row>
    <row r="60" spans="1:11" ht="15">
      <c r="A60" s="54" t="str">
        <f t="shared" si="1"/>
        <v>FINANZASIMSS/INFONAVITIMSS/INFONAVIT</v>
      </c>
      <c r="B60" t="s">
        <v>814</v>
      </c>
      <c r="C60" s="1">
        <v>45768</v>
      </c>
      <c r="D60" t="s">
        <v>23</v>
      </c>
      <c r="E60" s="12" t="s">
        <v>132</v>
      </c>
      <c r="F60" s="12" t="s">
        <v>132</v>
      </c>
      <c r="H60" s="271" t="s">
        <v>4372</v>
      </c>
      <c r="I60" s="158"/>
      <c r="J60" s="158">
        <v>20631.2</v>
      </c>
      <c r="K60" s="190">
        <f>K59+I60-J60</f>
        <v>-2193.8299999998599</v>
      </c>
    </row>
    <row r="61" spans="1:11" ht="15">
      <c r="A61" s="54" t="str">
        <f t="shared" si="1"/>
        <v>FINANZASIMSS/INFONAVITIMSS/INFONAVIT</v>
      </c>
      <c r="B61" t="s">
        <v>814</v>
      </c>
      <c r="C61" s="1">
        <v>45768</v>
      </c>
      <c r="D61" t="s">
        <v>23</v>
      </c>
      <c r="E61" s="12" t="s">
        <v>132</v>
      </c>
      <c r="F61" s="12" t="s">
        <v>132</v>
      </c>
      <c r="H61" s="271" t="s">
        <v>4373</v>
      </c>
      <c r="I61" s="158"/>
      <c r="J61" s="158">
        <v>5555.2</v>
      </c>
      <c r="K61" s="190">
        <f t="shared" ref="K61:K63" si="3">K60+I61-J61</f>
        <v>-7749.0299999998597</v>
      </c>
    </row>
    <row r="62" spans="1:11" ht="15">
      <c r="A62" s="54" t="str">
        <f t="shared" si="1"/>
        <v>FINANZASIMSS/INFONAVITIMSS/INFONAVIT</v>
      </c>
      <c r="B62" t="s">
        <v>814</v>
      </c>
      <c r="C62" s="1">
        <v>45768</v>
      </c>
      <c r="D62" t="s">
        <v>23</v>
      </c>
      <c r="E62" s="12" t="s">
        <v>132</v>
      </c>
      <c r="F62" s="12" t="s">
        <v>132</v>
      </c>
      <c r="H62" s="271" t="s">
        <v>4374</v>
      </c>
      <c r="I62" s="158"/>
      <c r="J62" s="158">
        <v>4045.74</v>
      </c>
      <c r="K62" s="190">
        <f t="shared" si="3"/>
        <v>-11794.769999999859</v>
      </c>
    </row>
    <row r="63" spans="1:11" ht="15">
      <c r="A63" s="54" t="str">
        <f t="shared" si="1"/>
        <v/>
      </c>
      <c r="B63" t="s">
        <v>1049</v>
      </c>
      <c r="C63" s="1">
        <v>45782</v>
      </c>
      <c r="D63" s="1"/>
      <c r="F63" s="146"/>
      <c r="H63" s="191" t="s">
        <v>3472</v>
      </c>
      <c r="I63" s="158">
        <v>550000</v>
      </c>
      <c r="J63" s="158"/>
      <c r="K63" s="190">
        <f t="shared" si="3"/>
        <v>538205.2300000001</v>
      </c>
    </row>
    <row r="64" spans="1:11" ht="15">
      <c r="A64" s="54" t="str">
        <f t="shared" si="1"/>
        <v/>
      </c>
      <c r="B64" t="s">
        <v>1049</v>
      </c>
      <c r="C64" s="1">
        <v>45783</v>
      </c>
      <c r="D64" s="1"/>
      <c r="F64" s="146"/>
      <c r="H64" s="191" t="s">
        <v>3472</v>
      </c>
      <c r="I64" s="158">
        <v>39000</v>
      </c>
      <c r="J64" s="158"/>
      <c r="K64" s="190">
        <f>K63+I64-J64</f>
        <v>577205.2300000001</v>
      </c>
    </row>
    <row r="65" spans="1:11" ht="15">
      <c r="A65" s="54" t="str">
        <f t="shared" si="1"/>
        <v/>
      </c>
      <c r="B65" t="s">
        <v>1049</v>
      </c>
      <c r="C65" s="1">
        <v>45785</v>
      </c>
      <c r="D65" s="1"/>
      <c r="F65" s="146"/>
      <c r="H65" s="191" t="s">
        <v>3472</v>
      </c>
      <c r="I65" s="158">
        <v>80000</v>
      </c>
      <c r="J65" s="158"/>
      <c r="K65" s="190">
        <f>K64+I65-J65</f>
        <v>657205.2300000001</v>
      </c>
    </row>
    <row r="66" spans="1:11" ht="15">
      <c r="A66" s="54" t="str">
        <f t="shared" si="1"/>
        <v/>
      </c>
      <c r="B66" t="s">
        <v>1049</v>
      </c>
      <c r="C66" s="1">
        <v>45789</v>
      </c>
      <c r="D66" s="1"/>
      <c r="F66" s="146"/>
      <c r="H66" s="191" t="s">
        <v>3472</v>
      </c>
      <c r="I66" s="158">
        <v>300000</v>
      </c>
      <c r="J66" s="158"/>
      <c r="K66" s="190">
        <f t="shared" ref="K66:K86" si="4">K65+I66-J66</f>
        <v>957205.2300000001</v>
      </c>
    </row>
    <row r="67" spans="1:11" ht="15">
      <c r="A67" s="54" t="str">
        <f t="shared" si="1"/>
        <v>FINANZASIMSS/INFONAVITIMSS/INFONAVIT</v>
      </c>
      <c r="B67" t="s">
        <v>1049</v>
      </c>
      <c r="C67" s="1">
        <v>45790</v>
      </c>
      <c r="D67" t="s">
        <v>23</v>
      </c>
      <c r="E67" s="12" t="s">
        <v>132</v>
      </c>
      <c r="F67" s="12" t="s">
        <v>132</v>
      </c>
      <c r="H67" s="191" t="s">
        <v>4377</v>
      </c>
      <c r="I67" s="158"/>
      <c r="J67" s="158">
        <v>7840</v>
      </c>
      <c r="K67" s="190">
        <f t="shared" si="4"/>
        <v>949365.2300000001</v>
      </c>
    </row>
    <row r="68" spans="1:11" ht="15">
      <c r="A68" s="54" t="str">
        <f t="shared" si="1"/>
        <v/>
      </c>
      <c r="B68" t="s">
        <v>1049</v>
      </c>
      <c r="C68" s="1">
        <v>45790</v>
      </c>
      <c r="D68" s="1"/>
      <c r="F68" s="146"/>
      <c r="H68" s="191" t="s">
        <v>3472</v>
      </c>
      <c r="I68" s="158">
        <v>100000</v>
      </c>
      <c r="J68" s="158"/>
      <c r="K68" s="190">
        <f t="shared" si="4"/>
        <v>1049365.23</v>
      </c>
    </row>
    <row r="69" spans="1:11" ht="15">
      <c r="A69" s="54" t="str">
        <f t="shared" si="1"/>
        <v/>
      </c>
      <c r="B69" t="s">
        <v>1049</v>
      </c>
      <c r="C69" s="1">
        <v>45791</v>
      </c>
      <c r="D69" s="1"/>
      <c r="F69" s="146"/>
      <c r="G69" s="146"/>
      <c r="H69" s="191" t="s">
        <v>3472</v>
      </c>
      <c r="I69" s="158">
        <f>146000-19768</f>
        <v>126232</v>
      </c>
      <c r="J69" s="158"/>
      <c r="K69" s="190">
        <f t="shared" si="4"/>
        <v>1175597.23</v>
      </c>
    </row>
    <row r="70" spans="1:11" ht="15">
      <c r="A70" s="54" t="str">
        <f t="shared" ref="A70:A133" si="5">D70&amp;E70&amp;F70</f>
        <v>FINANZASIMSS/INFONAVITIMSS/INFONAVIT</v>
      </c>
      <c r="B70" t="s">
        <v>1049</v>
      </c>
      <c r="C70" s="1">
        <v>45791</v>
      </c>
      <c r="D70" t="s">
        <v>23</v>
      </c>
      <c r="E70" s="12" t="s">
        <v>132</v>
      </c>
      <c r="F70" s="283" t="s">
        <v>132</v>
      </c>
      <c r="G70" s="146"/>
      <c r="H70" s="191" t="s">
        <v>4358</v>
      </c>
      <c r="I70" s="158"/>
      <c r="J70" s="3">
        <v>23252.89</v>
      </c>
      <c r="K70" s="190">
        <f t="shared" si="4"/>
        <v>1152344.3400000001</v>
      </c>
    </row>
    <row r="71" spans="1:11" ht="15">
      <c r="A71" s="54" t="str">
        <f t="shared" si="5"/>
        <v>FINANZASIMSS/INFONAVITIMSS/INFONAVIT</v>
      </c>
      <c r="B71" t="s">
        <v>1049</v>
      </c>
      <c r="C71" s="1">
        <v>45791</v>
      </c>
      <c r="D71" t="s">
        <v>23</v>
      </c>
      <c r="E71" s="12" t="s">
        <v>132</v>
      </c>
      <c r="F71" s="12" t="s">
        <v>132</v>
      </c>
      <c r="G71" s="146"/>
      <c r="H71" s="191" t="s">
        <v>4359</v>
      </c>
      <c r="I71" s="158"/>
      <c r="J71" s="192">
        <v>211762.6</v>
      </c>
      <c r="K71" s="190">
        <f t="shared" si="4"/>
        <v>940581.74000000011</v>
      </c>
    </row>
    <row r="72" spans="1:11" ht="15">
      <c r="A72" s="54" t="str">
        <f t="shared" si="5"/>
        <v>FINANZASIMSS/INFONAVITIMSS/INFONAVIT</v>
      </c>
      <c r="B72" t="s">
        <v>1049</v>
      </c>
      <c r="C72" s="1">
        <v>45791</v>
      </c>
      <c r="D72" t="s">
        <v>23</v>
      </c>
      <c r="E72" s="12" t="s">
        <v>132</v>
      </c>
      <c r="F72" s="12" t="s">
        <v>132</v>
      </c>
      <c r="G72" s="146"/>
      <c r="H72" s="191" t="s">
        <v>4360</v>
      </c>
      <c r="I72" s="158"/>
      <c r="J72" s="192">
        <v>21893.32</v>
      </c>
      <c r="K72" s="190">
        <f t="shared" si="4"/>
        <v>918688.42000000016</v>
      </c>
    </row>
    <row r="73" spans="1:11" ht="15">
      <c r="A73" s="54" t="str">
        <f t="shared" si="5"/>
        <v>FINANZASIMSS/INFONAVITIMSS/INFONAVIT</v>
      </c>
      <c r="B73" t="s">
        <v>1049</v>
      </c>
      <c r="C73" s="1">
        <v>45791</v>
      </c>
      <c r="D73" t="s">
        <v>23</v>
      </c>
      <c r="E73" s="12" t="s">
        <v>132</v>
      </c>
      <c r="F73" s="12" t="s">
        <v>132</v>
      </c>
      <c r="G73" s="146"/>
      <c r="H73" s="191" t="s">
        <v>4361</v>
      </c>
      <c r="I73" s="158"/>
      <c r="J73" s="192">
        <v>26195.360000000001</v>
      </c>
      <c r="K73" s="190">
        <f t="shared" si="4"/>
        <v>892493.06000000017</v>
      </c>
    </row>
    <row r="74" spans="1:11" ht="15">
      <c r="A74" s="54" t="str">
        <f t="shared" si="5"/>
        <v>FINANZASIMSS/INFONAVITIMSS/INFONAVIT</v>
      </c>
      <c r="B74" t="s">
        <v>1049</v>
      </c>
      <c r="C74" s="1">
        <v>45791</v>
      </c>
      <c r="D74" t="s">
        <v>23</v>
      </c>
      <c r="E74" s="12" t="s">
        <v>132</v>
      </c>
      <c r="F74" s="12" t="s">
        <v>132</v>
      </c>
      <c r="G74" s="146"/>
      <c r="H74" s="271" t="s">
        <v>4362</v>
      </c>
      <c r="I74" s="158"/>
      <c r="J74" s="192">
        <v>20392.03</v>
      </c>
      <c r="K74" s="190">
        <f t="shared" si="4"/>
        <v>872101.03000000014</v>
      </c>
    </row>
    <row r="75" spans="1:11" ht="15">
      <c r="A75" s="54" t="str">
        <f t="shared" si="5"/>
        <v>FINANZASIMSS/INFONAVITIMSS/INFONAVIT</v>
      </c>
      <c r="B75" t="s">
        <v>1049</v>
      </c>
      <c r="C75" s="1">
        <v>45791</v>
      </c>
      <c r="D75" t="s">
        <v>23</v>
      </c>
      <c r="E75" s="12" t="s">
        <v>132</v>
      </c>
      <c r="F75" s="12" t="s">
        <v>132</v>
      </c>
      <c r="G75" s="146"/>
      <c r="H75" s="271" t="s">
        <v>4363</v>
      </c>
      <c r="I75" s="158"/>
      <c r="J75" s="192">
        <v>19706.52</v>
      </c>
      <c r="K75" s="190">
        <f t="shared" si="4"/>
        <v>852394.51000000013</v>
      </c>
    </row>
    <row r="76" spans="1:11" ht="15">
      <c r="A76" s="54" t="str">
        <f t="shared" si="5"/>
        <v>FINANZASIMSS/INFONAVITIMSS/INFONAVIT</v>
      </c>
      <c r="B76" t="s">
        <v>1049</v>
      </c>
      <c r="C76" s="1">
        <v>45791</v>
      </c>
      <c r="D76" t="s">
        <v>23</v>
      </c>
      <c r="E76" s="12" t="s">
        <v>132</v>
      </c>
      <c r="F76" s="12" t="s">
        <v>132</v>
      </c>
      <c r="G76" s="146"/>
      <c r="H76" s="271" t="s">
        <v>4364</v>
      </c>
      <c r="I76" s="158"/>
      <c r="J76" s="192">
        <v>23248.9</v>
      </c>
      <c r="K76" s="190">
        <f t="shared" si="4"/>
        <v>829145.6100000001</v>
      </c>
    </row>
    <row r="77" spans="1:11" ht="15">
      <c r="A77" s="54" t="str">
        <f t="shared" si="5"/>
        <v>FINANZASIMSS/INFONAVITIMSS/INFONAVIT</v>
      </c>
      <c r="B77" t="s">
        <v>1049</v>
      </c>
      <c r="C77" s="1">
        <v>45791</v>
      </c>
      <c r="D77" t="s">
        <v>23</v>
      </c>
      <c r="E77" s="12" t="s">
        <v>132</v>
      </c>
      <c r="F77" s="12" t="s">
        <v>132</v>
      </c>
      <c r="G77" s="146"/>
      <c r="H77" s="271" t="s">
        <v>4365</v>
      </c>
      <c r="I77" s="158"/>
      <c r="J77" s="192">
        <v>410852.19</v>
      </c>
      <c r="K77" s="190">
        <f t="shared" si="4"/>
        <v>418293.4200000001</v>
      </c>
    </row>
    <row r="78" spans="1:11" ht="15">
      <c r="A78" s="54" t="str">
        <f t="shared" si="5"/>
        <v>FINANZASIMSS/INFONAVITIMSS/INFONAVIT</v>
      </c>
      <c r="B78" t="s">
        <v>1049</v>
      </c>
      <c r="C78" s="1">
        <v>45791</v>
      </c>
      <c r="D78" t="s">
        <v>23</v>
      </c>
      <c r="E78" s="12" t="s">
        <v>132</v>
      </c>
      <c r="F78" s="12" t="s">
        <v>132</v>
      </c>
      <c r="G78" s="146"/>
      <c r="H78" s="271" t="s">
        <v>4366</v>
      </c>
      <c r="I78" s="158"/>
      <c r="J78" s="192">
        <v>15526.08</v>
      </c>
      <c r="K78" s="190">
        <f t="shared" si="4"/>
        <v>402767.34000000008</v>
      </c>
    </row>
    <row r="79" spans="1:11" ht="15">
      <c r="A79" s="54" t="str">
        <f t="shared" si="5"/>
        <v>FINANZASIMSS/INFONAVITIMSS/INFONAVIT</v>
      </c>
      <c r="B79" t="s">
        <v>1049</v>
      </c>
      <c r="C79" s="1">
        <v>45791</v>
      </c>
      <c r="D79" t="s">
        <v>23</v>
      </c>
      <c r="E79" s="12" t="s">
        <v>132</v>
      </c>
      <c r="F79" s="12" t="s">
        <v>132</v>
      </c>
      <c r="G79" s="146"/>
      <c r="H79" s="271" t="s">
        <v>4367</v>
      </c>
      <c r="I79" s="158"/>
      <c r="J79" s="192">
        <v>40507.760000000002</v>
      </c>
      <c r="K79" s="190">
        <f t="shared" si="4"/>
        <v>362259.58000000007</v>
      </c>
    </row>
    <row r="80" spans="1:11" ht="15">
      <c r="A80" s="54" t="str">
        <f t="shared" si="5"/>
        <v>FINANZASIMSS/INFONAVITIMSS/INFONAVIT</v>
      </c>
      <c r="B80" t="s">
        <v>1049</v>
      </c>
      <c r="C80" s="1">
        <v>45791</v>
      </c>
      <c r="D80" t="s">
        <v>23</v>
      </c>
      <c r="E80" s="12" t="s">
        <v>132</v>
      </c>
      <c r="F80" s="12" t="s">
        <v>132</v>
      </c>
      <c r="G80" s="146"/>
      <c r="H80" s="271" t="s">
        <v>4368</v>
      </c>
      <c r="I80" s="158"/>
      <c r="J80" s="192">
        <v>142026.17000000001</v>
      </c>
      <c r="K80" s="190">
        <f t="shared" si="4"/>
        <v>220233.41000000006</v>
      </c>
    </row>
    <row r="81" spans="1:11" ht="15">
      <c r="A81" s="54" t="str">
        <f t="shared" si="5"/>
        <v>FINANZASIMSS/INFONAVITIMSS/INFONAVIT</v>
      </c>
      <c r="B81" t="s">
        <v>1049</v>
      </c>
      <c r="C81" s="1">
        <v>45791</v>
      </c>
      <c r="D81" t="s">
        <v>23</v>
      </c>
      <c r="E81" s="12" t="s">
        <v>132</v>
      </c>
      <c r="F81" s="12" t="s">
        <v>132</v>
      </c>
      <c r="H81" s="271" t="s">
        <v>4369</v>
      </c>
      <c r="I81" s="158"/>
      <c r="J81" s="158">
        <v>19393.53</v>
      </c>
      <c r="K81" s="190">
        <f t="shared" si="4"/>
        <v>200839.88000000006</v>
      </c>
    </row>
    <row r="82" spans="1:11" ht="15">
      <c r="A82" s="54" t="str">
        <f t="shared" si="5"/>
        <v>FINANZASIMSS/INFONAVITIMSS/INFONAVIT</v>
      </c>
      <c r="B82" t="s">
        <v>1049</v>
      </c>
      <c r="C82" s="1">
        <v>45791</v>
      </c>
      <c r="D82" t="s">
        <v>23</v>
      </c>
      <c r="E82" s="12" t="s">
        <v>132</v>
      </c>
      <c r="F82" s="12" t="s">
        <v>132</v>
      </c>
      <c r="G82" s="146"/>
      <c r="H82" s="271" t="s">
        <v>4370</v>
      </c>
      <c r="I82" s="158"/>
      <c r="J82" s="158">
        <v>22719.83</v>
      </c>
      <c r="K82" s="190">
        <f>K81+I82-J82</f>
        <v>178120.05000000005</v>
      </c>
    </row>
    <row r="83" spans="1:11" ht="15">
      <c r="A83" s="54" t="str">
        <f t="shared" si="5"/>
        <v>FINANZASIMSS/INFONAVITIMSS/INFONAVIT</v>
      </c>
      <c r="B83" t="s">
        <v>1049</v>
      </c>
      <c r="C83" s="1">
        <v>45791</v>
      </c>
      <c r="D83" t="s">
        <v>23</v>
      </c>
      <c r="E83" s="12" t="s">
        <v>132</v>
      </c>
      <c r="F83" s="12" t="s">
        <v>132</v>
      </c>
      <c r="G83" s="146"/>
      <c r="H83" s="271" t="s">
        <v>4371</v>
      </c>
      <c r="I83" s="158"/>
      <c r="J83" s="158">
        <v>78056.259999999995</v>
      </c>
      <c r="K83" s="190">
        <f>K82+I83-J83</f>
        <v>100063.79000000005</v>
      </c>
    </row>
    <row r="84" spans="1:11" ht="15">
      <c r="A84" s="54" t="str">
        <f t="shared" si="5"/>
        <v>FINANZASIMSS/INFONAVITIMSS/INFONAVIT</v>
      </c>
      <c r="B84" t="s">
        <v>1049</v>
      </c>
      <c r="C84" s="1">
        <v>45791</v>
      </c>
      <c r="D84" t="s">
        <v>23</v>
      </c>
      <c r="E84" s="12" t="s">
        <v>132</v>
      </c>
      <c r="F84" s="12" t="s">
        <v>132</v>
      </c>
      <c r="G84" s="146"/>
      <c r="H84" s="271" t="s">
        <v>4372</v>
      </c>
      <c r="I84" s="158"/>
      <c r="J84" s="158">
        <v>72256.149999999994</v>
      </c>
      <c r="K84" s="190">
        <f>K83+I84-J84</f>
        <v>27807.640000000058</v>
      </c>
    </row>
    <row r="85" spans="1:11" ht="15">
      <c r="A85" s="54" t="str">
        <f t="shared" si="5"/>
        <v>FINANZASIMSS/INFONAVITIMSS/INFONAVIT</v>
      </c>
      <c r="B85" t="s">
        <v>1049</v>
      </c>
      <c r="C85" s="1">
        <v>45791</v>
      </c>
      <c r="D85" t="s">
        <v>23</v>
      </c>
      <c r="E85" s="12" t="s">
        <v>132</v>
      </c>
      <c r="F85" s="12" t="s">
        <v>132</v>
      </c>
      <c r="G85" s="146"/>
      <c r="H85" s="271" t="s">
        <v>4373</v>
      </c>
      <c r="I85" s="158"/>
      <c r="J85" s="158">
        <v>15829.05</v>
      </c>
      <c r="K85" s="190">
        <f>K84+I85-J85</f>
        <v>11978.590000000058</v>
      </c>
    </row>
    <row r="86" spans="1:11" ht="15">
      <c r="A86" s="54" t="str">
        <f t="shared" si="5"/>
        <v>FINANZASIMSS/INFONAVITIMSS/INFONAVIT</v>
      </c>
      <c r="B86" t="s">
        <v>1049</v>
      </c>
      <c r="C86" s="1">
        <v>45791</v>
      </c>
      <c r="D86" t="s">
        <v>23</v>
      </c>
      <c r="E86" s="12" t="s">
        <v>132</v>
      </c>
      <c r="F86" s="12" t="s">
        <v>132</v>
      </c>
      <c r="G86" s="146"/>
      <c r="H86" s="271" t="s">
        <v>4374</v>
      </c>
      <c r="I86" s="158"/>
      <c r="J86" s="158">
        <v>11978.59</v>
      </c>
      <c r="K86" s="190">
        <f>K85+I86-J86</f>
        <v>5.8207660913467407E-11</v>
      </c>
    </row>
    <row r="87" spans="1:11" ht="15">
      <c r="A87" s="54" t="str">
        <f t="shared" si="5"/>
        <v/>
      </c>
      <c r="B87" t="s">
        <v>1277</v>
      </c>
      <c r="C87" s="1">
        <v>45819</v>
      </c>
      <c r="E87" s="12"/>
      <c r="F87" s="12"/>
      <c r="G87" s="146"/>
      <c r="H87" s="271" t="s">
        <v>4378</v>
      </c>
      <c r="I87" s="158"/>
      <c r="J87" s="158">
        <v>7840</v>
      </c>
      <c r="K87" s="190">
        <f>K86+I87-J87</f>
        <v>-7839.9999999999418</v>
      </c>
    </row>
    <row r="88" spans="1:11" ht="15">
      <c r="A88" s="54" t="str">
        <f t="shared" si="5"/>
        <v/>
      </c>
      <c r="B88" t="s">
        <v>1277</v>
      </c>
      <c r="C88" s="1">
        <v>45788</v>
      </c>
      <c r="E88" s="12"/>
      <c r="F88" s="12"/>
      <c r="G88" s="146"/>
      <c r="H88" s="271" t="s">
        <v>4378</v>
      </c>
      <c r="I88" s="158"/>
      <c r="J88" s="158">
        <v>2270</v>
      </c>
      <c r="K88" s="190">
        <f>K87+I88-J88</f>
        <v>-10109.999999999942</v>
      </c>
    </row>
    <row r="89" spans="1:11" ht="15">
      <c r="A89" s="54" t="str">
        <f t="shared" si="5"/>
        <v/>
      </c>
      <c r="B89" t="s">
        <v>1277</v>
      </c>
      <c r="C89" s="1">
        <v>45820</v>
      </c>
      <c r="F89" s="146"/>
      <c r="G89" s="146"/>
      <c r="H89" s="271" t="s">
        <v>3472</v>
      </c>
      <c r="I89" s="158">
        <v>200000</v>
      </c>
      <c r="J89" s="158"/>
      <c r="K89" s="190">
        <f>K88+I89-J89</f>
        <v>189890.00000000006</v>
      </c>
    </row>
    <row r="90" spans="1:11" ht="15">
      <c r="A90" s="54" t="str">
        <f t="shared" si="5"/>
        <v/>
      </c>
      <c r="B90" t="s">
        <v>1277</v>
      </c>
      <c r="C90" s="1">
        <v>45821</v>
      </c>
      <c r="F90" s="146"/>
      <c r="G90" s="146"/>
      <c r="H90" s="271" t="s">
        <v>3472</v>
      </c>
      <c r="I90" s="158">
        <v>173050</v>
      </c>
      <c r="J90" s="158"/>
      <c r="K90" s="190">
        <f>K89+I90-J90</f>
        <v>362940.00000000006</v>
      </c>
    </row>
    <row r="91" spans="1:11" ht="15">
      <c r="A91" s="54" t="str">
        <f t="shared" si="5"/>
        <v>FINANZASIMSS/INFONAVITIMSS/INFONAVIT</v>
      </c>
      <c r="B91" t="s">
        <v>1277</v>
      </c>
      <c r="C91" s="1">
        <v>45821</v>
      </c>
      <c r="D91" t="s">
        <v>23</v>
      </c>
      <c r="E91" s="12" t="s">
        <v>132</v>
      </c>
      <c r="F91" s="12" t="s">
        <v>132</v>
      </c>
      <c r="G91" s="146"/>
      <c r="H91" s="271" t="s">
        <v>4358</v>
      </c>
      <c r="I91" s="158"/>
      <c r="J91" s="192">
        <v>7968.08</v>
      </c>
      <c r="K91" s="190">
        <f>K90+I91-J91</f>
        <v>354971.92000000004</v>
      </c>
    </row>
    <row r="92" spans="1:11" ht="15">
      <c r="A92" s="54" t="str">
        <f t="shared" si="5"/>
        <v>FINANZASIMSS/INFONAVITIMSS/INFONAVIT</v>
      </c>
      <c r="B92" t="s">
        <v>1277</v>
      </c>
      <c r="C92" s="1">
        <v>45821</v>
      </c>
      <c r="D92" t="s">
        <v>23</v>
      </c>
      <c r="E92" s="12" t="s">
        <v>132</v>
      </c>
      <c r="F92" s="12" t="s">
        <v>132</v>
      </c>
      <c r="G92" s="146"/>
      <c r="H92" s="271" t="s">
        <v>4359</v>
      </c>
      <c r="I92" s="158"/>
      <c r="J92" s="192">
        <v>65553.61</v>
      </c>
      <c r="K92" s="190">
        <f>K91+I92-J92</f>
        <v>289418.31000000006</v>
      </c>
    </row>
    <row r="93" spans="1:11" ht="15">
      <c r="A93" s="54" t="str">
        <f t="shared" si="5"/>
        <v>FINANZASIMSS/INFONAVITIMSS/INFONAVIT</v>
      </c>
      <c r="B93" t="s">
        <v>1277</v>
      </c>
      <c r="C93" s="1">
        <v>45821</v>
      </c>
      <c r="D93" t="s">
        <v>23</v>
      </c>
      <c r="E93" s="12" t="s">
        <v>132</v>
      </c>
      <c r="F93" s="12" t="s">
        <v>132</v>
      </c>
      <c r="G93" s="146"/>
      <c r="H93" s="271" t="s">
        <v>4360</v>
      </c>
      <c r="I93" s="158"/>
      <c r="J93" s="192">
        <v>7669.15</v>
      </c>
      <c r="K93" s="190">
        <f>K92+I93-J93</f>
        <v>281749.16000000003</v>
      </c>
    </row>
    <row r="94" spans="1:11" ht="15">
      <c r="A94" s="54" t="str">
        <f t="shared" si="5"/>
        <v>FINANZASIMSS/INFONAVITIMSS/INFONAVIT</v>
      </c>
      <c r="B94" t="s">
        <v>1277</v>
      </c>
      <c r="C94" s="1">
        <v>45821</v>
      </c>
      <c r="D94" t="s">
        <v>23</v>
      </c>
      <c r="E94" s="12" t="s">
        <v>132</v>
      </c>
      <c r="F94" s="12" t="s">
        <v>132</v>
      </c>
      <c r="G94" s="146"/>
      <c r="H94" s="271" t="s">
        <v>4361</v>
      </c>
      <c r="I94" s="158"/>
      <c r="J94" s="192">
        <v>6808.98</v>
      </c>
      <c r="K94" s="190">
        <f>K93+I94-J94</f>
        <v>274940.18000000005</v>
      </c>
    </row>
    <row r="95" spans="1:11" ht="15">
      <c r="A95" s="54" t="str">
        <f t="shared" si="5"/>
        <v>FINANZASIMSS/INFONAVITIMSS/INFONAVIT</v>
      </c>
      <c r="B95" t="s">
        <v>1277</v>
      </c>
      <c r="C95" s="1">
        <v>45821</v>
      </c>
      <c r="D95" t="s">
        <v>23</v>
      </c>
      <c r="E95" s="12" t="s">
        <v>132</v>
      </c>
      <c r="F95" s="12" t="s">
        <v>132</v>
      </c>
      <c r="G95" s="146"/>
      <c r="H95" s="271" t="s">
        <v>4362</v>
      </c>
      <c r="I95" s="158"/>
      <c r="J95" s="192">
        <v>6895.39</v>
      </c>
      <c r="K95" s="190">
        <f>K94+I95-J95</f>
        <v>268044.79000000004</v>
      </c>
    </row>
    <row r="96" spans="1:11" ht="15">
      <c r="A96" s="54" t="str">
        <f t="shared" si="5"/>
        <v>FINANZASIMSS/INFONAVITIMSS/INFONAVIT</v>
      </c>
      <c r="B96" t="s">
        <v>1277</v>
      </c>
      <c r="C96" s="1">
        <v>45821</v>
      </c>
      <c r="D96" t="s">
        <v>23</v>
      </c>
      <c r="E96" s="12" t="s">
        <v>132</v>
      </c>
      <c r="F96" s="12" t="s">
        <v>132</v>
      </c>
      <c r="G96" s="146"/>
      <c r="H96" s="271" t="s">
        <v>4363</v>
      </c>
      <c r="I96" s="158"/>
      <c r="J96" s="192">
        <v>7127.4</v>
      </c>
      <c r="K96" s="190">
        <f>K95+I96-J96</f>
        <v>260917.39000000004</v>
      </c>
    </row>
    <row r="97" spans="1:11" ht="15">
      <c r="A97" s="54" t="str">
        <f t="shared" si="5"/>
        <v>FINANZASIMSS/INFONAVITIMSS/INFONAVIT</v>
      </c>
      <c r="B97" t="s">
        <v>1277</v>
      </c>
      <c r="C97" s="1">
        <v>45821</v>
      </c>
      <c r="D97" t="s">
        <v>23</v>
      </c>
      <c r="E97" s="12" t="s">
        <v>132</v>
      </c>
      <c r="F97" s="12" t="s">
        <v>132</v>
      </c>
      <c r="G97" s="146"/>
      <c r="H97" s="271" t="s">
        <v>4364</v>
      </c>
      <c r="I97" s="158"/>
      <c r="J97" s="192">
        <v>7967.32</v>
      </c>
      <c r="K97" s="190">
        <f>K96+I97-J97</f>
        <v>252950.07000000004</v>
      </c>
    </row>
    <row r="98" spans="1:11" ht="15">
      <c r="A98" s="54" t="str">
        <f t="shared" si="5"/>
        <v>FINANZASIMSS/INFONAVITIMSS/INFONAVIT</v>
      </c>
      <c r="B98" t="s">
        <v>1277</v>
      </c>
      <c r="C98" s="1">
        <v>45821</v>
      </c>
      <c r="D98" t="s">
        <v>23</v>
      </c>
      <c r="E98" s="12" t="s">
        <v>132</v>
      </c>
      <c r="F98" s="12" t="s">
        <v>132</v>
      </c>
      <c r="G98" s="146"/>
      <c r="H98" s="271" t="s">
        <v>4365</v>
      </c>
      <c r="I98" s="158"/>
      <c r="J98" s="192">
        <v>117552.62</v>
      </c>
      <c r="K98" s="190">
        <f>K97+I98-J98</f>
        <v>135397.45000000004</v>
      </c>
    </row>
    <row r="99" spans="1:11" ht="15">
      <c r="A99" s="54" t="str">
        <f t="shared" si="5"/>
        <v>FINANZASIMSS/INFONAVITIMSS/INFONAVIT</v>
      </c>
      <c r="B99" t="s">
        <v>1277</v>
      </c>
      <c r="C99" s="1">
        <v>45821</v>
      </c>
      <c r="D99" t="s">
        <v>23</v>
      </c>
      <c r="E99" s="12" t="s">
        <v>132</v>
      </c>
      <c r="F99" s="12" t="s">
        <v>132</v>
      </c>
      <c r="G99" s="146"/>
      <c r="H99" s="271" t="s">
        <v>4366</v>
      </c>
      <c r="I99" s="158"/>
      <c r="J99" s="192">
        <v>5316.7</v>
      </c>
      <c r="K99" s="190">
        <f>K98+I99-J99</f>
        <v>130080.75000000004</v>
      </c>
    </row>
    <row r="100" spans="1:11" ht="15">
      <c r="A100" s="54" t="str">
        <f t="shared" si="5"/>
        <v>FINANZASIMSS/INFONAVITIMSS/INFONAVIT</v>
      </c>
      <c r="B100" t="s">
        <v>1277</v>
      </c>
      <c r="C100" s="1">
        <v>45821</v>
      </c>
      <c r="D100" t="s">
        <v>23</v>
      </c>
      <c r="E100" s="12" t="s">
        <v>132</v>
      </c>
      <c r="F100" s="12" t="s">
        <v>132</v>
      </c>
      <c r="G100" s="146"/>
      <c r="H100" s="271" t="s">
        <v>4367</v>
      </c>
      <c r="I100" s="158"/>
      <c r="J100" s="192">
        <v>11600.38</v>
      </c>
      <c r="K100" s="190">
        <f>K99+I100-J100</f>
        <v>118480.37000000004</v>
      </c>
    </row>
    <row r="101" spans="1:11" ht="15">
      <c r="A101" s="54" t="str">
        <f t="shared" si="5"/>
        <v>FINANZASIMSS/INFONAVITIMSS/INFONAVIT</v>
      </c>
      <c r="B101" t="s">
        <v>1277</v>
      </c>
      <c r="C101" s="1">
        <v>45821</v>
      </c>
      <c r="D101" t="s">
        <v>23</v>
      </c>
      <c r="E101" s="12" t="s">
        <v>132</v>
      </c>
      <c r="F101" s="12" t="s">
        <v>132</v>
      </c>
      <c r="G101" s="146"/>
      <c r="H101" s="271" t="s">
        <v>4368</v>
      </c>
      <c r="I101" s="158"/>
      <c r="J101" s="192">
        <v>46613.83</v>
      </c>
      <c r="K101" s="190">
        <f>K100+I101-J101</f>
        <v>71866.540000000037</v>
      </c>
    </row>
    <row r="102" spans="1:11" ht="15">
      <c r="A102" s="54" t="str">
        <f t="shared" si="5"/>
        <v>FINANZASIMSS/INFONAVITIMSS/INFONAVIT</v>
      </c>
      <c r="B102" t="s">
        <v>1277</v>
      </c>
      <c r="C102" s="1">
        <v>45821</v>
      </c>
      <c r="D102" t="s">
        <v>23</v>
      </c>
      <c r="E102" s="12" t="s">
        <v>132</v>
      </c>
      <c r="F102" s="12" t="s">
        <v>132</v>
      </c>
      <c r="G102" s="146"/>
      <c r="H102" s="271" t="s">
        <v>4369</v>
      </c>
      <c r="I102" s="158"/>
      <c r="J102" s="192">
        <v>6898.75</v>
      </c>
      <c r="K102" s="190">
        <f>K101+I102-J102</f>
        <v>64967.790000000037</v>
      </c>
    </row>
    <row r="103" spans="1:11" ht="15">
      <c r="A103" s="54" t="str">
        <f t="shared" si="5"/>
        <v>FINANZASIMSS/INFONAVITIMSS/INFONAVIT</v>
      </c>
      <c r="B103" t="s">
        <v>1277</v>
      </c>
      <c r="C103" s="1">
        <v>45821</v>
      </c>
      <c r="D103" t="s">
        <v>23</v>
      </c>
      <c r="E103" s="12" t="s">
        <v>132</v>
      </c>
      <c r="F103" s="12" t="s">
        <v>132</v>
      </c>
      <c r="G103" s="146"/>
      <c r="H103" s="271" t="s">
        <v>4370</v>
      </c>
      <c r="I103" s="158"/>
      <c r="J103" s="192">
        <v>6507.76</v>
      </c>
      <c r="K103" s="190">
        <f>K102+I103-J103</f>
        <v>58460.030000000035</v>
      </c>
    </row>
    <row r="104" spans="1:11" ht="15">
      <c r="A104" s="54" t="str">
        <f t="shared" si="5"/>
        <v>FINANZASIMSS/INFONAVITIMSS/INFONAVIT</v>
      </c>
      <c r="B104" t="s">
        <v>1277</v>
      </c>
      <c r="C104" s="1">
        <v>45821</v>
      </c>
      <c r="D104" t="s">
        <v>23</v>
      </c>
      <c r="E104" s="12" t="s">
        <v>132</v>
      </c>
      <c r="F104" s="12" t="s">
        <v>132</v>
      </c>
      <c r="G104" s="146"/>
      <c r="H104" s="271" t="s">
        <v>4371</v>
      </c>
      <c r="I104" s="158"/>
      <c r="J104" s="192">
        <v>29486.58</v>
      </c>
      <c r="K104" s="190">
        <f>K103+I104-J104</f>
        <v>28973.450000000033</v>
      </c>
    </row>
    <row r="105" spans="1:11" ht="15">
      <c r="A105" s="54" t="str">
        <f t="shared" si="5"/>
        <v>FINANZASIMSS/INFONAVITIMSS/INFONAVIT</v>
      </c>
      <c r="B105" t="s">
        <v>1277</v>
      </c>
      <c r="C105" s="1">
        <v>45821</v>
      </c>
      <c r="D105" t="s">
        <v>23</v>
      </c>
      <c r="E105" s="12" t="s">
        <v>132</v>
      </c>
      <c r="F105" s="12" t="s">
        <v>132</v>
      </c>
      <c r="G105" s="146"/>
      <c r="H105" s="271" t="s">
        <v>4372</v>
      </c>
      <c r="I105" s="158"/>
      <c r="J105" s="192">
        <v>19371.810000000001</v>
      </c>
      <c r="K105" s="190">
        <f>K104+I105-J105</f>
        <v>9601.6400000000322</v>
      </c>
    </row>
    <row r="106" spans="1:11" ht="15">
      <c r="A106" s="54" t="str">
        <f t="shared" si="5"/>
        <v>FINANZASIMSS/INFONAVITIMSS/INFONAVIT</v>
      </c>
      <c r="B106" t="s">
        <v>1277</v>
      </c>
      <c r="C106" s="1">
        <v>45821</v>
      </c>
      <c r="D106" t="s">
        <v>23</v>
      </c>
      <c r="E106" s="12" t="s">
        <v>132</v>
      </c>
      <c r="F106" s="12" t="s">
        <v>132</v>
      </c>
      <c r="G106" s="146"/>
      <c r="H106" s="271" t="s">
        <v>4373</v>
      </c>
      <c r="I106" s="158"/>
      <c r="J106" s="192">
        <v>5555.2</v>
      </c>
      <c r="K106" s="190">
        <f>K105+I106-J106</f>
        <v>4046.4400000000323</v>
      </c>
    </row>
    <row r="107" spans="1:11" ht="15">
      <c r="A107" s="54" t="str">
        <f t="shared" si="5"/>
        <v>FINANZASIMSS/INFONAVITIMSS/INFONAVIT</v>
      </c>
      <c r="B107" t="s">
        <v>1277</v>
      </c>
      <c r="C107" s="1">
        <v>45821</v>
      </c>
      <c r="D107" t="s">
        <v>23</v>
      </c>
      <c r="E107" s="12" t="s">
        <v>132</v>
      </c>
      <c r="F107" s="12" t="s">
        <v>132</v>
      </c>
      <c r="G107" s="146"/>
      <c r="H107" s="271" t="s">
        <v>4374</v>
      </c>
      <c r="I107" s="158"/>
      <c r="J107" s="302">
        <v>4045.74</v>
      </c>
      <c r="K107" s="190">
        <f>K106+I107-J107</f>
        <v>0.70000000003255991</v>
      </c>
    </row>
    <row r="108" spans="1:11" ht="15">
      <c r="A108" s="54" t="str">
        <f t="shared" si="5"/>
        <v>FINANZASIMSS/INFONAVITIMSS/INFONAVIT</v>
      </c>
      <c r="B108" t="s">
        <v>1560</v>
      </c>
      <c r="C108" s="1">
        <v>45847</v>
      </c>
      <c r="D108" t="s">
        <v>23</v>
      </c>
      <c r="E108" s="12" t="s">
        <v>132</v>
      </c>
      <c r="F108" s="12" t="s">
        <v>132</v>
      </c>
      <c r="G108" s="146" t="s">
        <v>258</v>
      </c>
      <c r="H108" t="s">
        <v>4379</v>
      </c>
      <c r="I108" s="158"/>
      <c r="J108" s="158">
        <v>7840</v>
      </c>
      <c r="K108" s="190">
        <f>K107+I108-J108</f>
        <v>-7839.2999999999674</v>
      </c>
    </row>
    <row r="109" spans="1:11" ht="15">
      <c r="A109" s="54" t="str">
        <f t="shared" si="5"/>
        <v/>
      </c>
      <c r="B109" t="s">
        <v>1560</v>
      </c>
      <c r="C109" s="1">
        <v>45852</v>
      </c>
      <c r="F109" s="146"/>
      <c r="G109" s="146"/>
      <c r="H109" t="s">
        <v>3452</v>
      </c>
      <c r="I109" s="158">
        <v>150000</v>
      </c>
      <c r="J109" s="158"/>
      <c r="K109" s="190">
        <f>K108+I109-J109</f>
        <v>142160.70000000004</v>
      </c>
    </row>
    <row r="110" spans="1:11" ht="15">
      <c r="A110" s="54" t="str">
        <f t="shared" si="5"/>
        <v/>
      </c>
      <c r="B110" t="s">
        <v>1560</v>
      </c>
      <c r="C110" s="1">
        <v>45852</v>
      </c>
      <c r="F110" s="146"/>
      <c r="G110" s="146"/>
      <c r="H110" t="s">
        <v>3452</v>
      </c>
      <c r="I110" s="158">
        <v>600000</v>
      </c>
      <c r="J110" s="158"/>
      <c r="K110" s="190">
        <f>K109+I110-J110</f>
        <v>742160.70000000007</v>
      </c>
    </row>
    <row r="111" spans="1:11" ht="15">
      <c r="A111" s="54" t="str">
        <f t="shared" si="5"/>
        <v>FINANZASIMSS/INFONAVITIMSS/INFONAVIT</v>
      </c>
      <c r="B111" t="s">
        <v>1560</v>
      </c>
      <c r="C111" s="1">
        <v>45852</v>
      </c>
      <c r="D111" t="s">
        <v>23</v>
      </c>
      <c r="E111" t="s">
        <v>132</v>
      </c>
      <c r="F111" s="146" t="s">
        <v>132</v>
      </c>
      <c r="G111" s="146"/>
      <c r="H111" s="271" t="s">
        <v>4358</v>
      </c>
      <c r="I111" s="158"/>
      <c r="J111" s="158">
        <v>23252.89</v>
      </c>
      <c r="K111" s="190">
        <f t="shared" ref="K111:K126" si="6">K110+I111-J111</f>
        <v>718907.81</v>
      </c>
    </row>
    <row r="112" spans="1:11" ht="15">
      <c r="A112" s="54" t="str">
        <f t="shared" si="5"/>
        <v>FINANZASIMSS/INFONAVITIMSS/INFONAVIT</v>
      </c>
      <c r="B112" t="s">
        <v>1560</v>
      </c>
      <c r="C112" s="1">
        <v>45852</v>
      </c>
      <c r="D112" t="s">
        <v>23</v>
      </c>
      <c r="E112" t="s">
        <v>132</v>
      </c>
      <c r="F112" s="146" t="s">
        <v>132</v>
      </c>
      <c r="G112" s="146"/>
      <c r="H112" s="271" t="s">
        <v>4359</v>
      </c>
      <c r="I112" s="158"/>
      <c r="J112" s="158">
        <v>208912.95</v>
      </c>
      <c r="K112" s="190">
        <f t="shared" si="6"/>
        <v>509994.86000000004</v>
      </c>
    </row>
    <row r="113" spans="1:11" ht="15">
      <c r="A113" s="54" t="str">
        <f t="shared" si="5"/>
        <v>FINANZASIMSS/INFONAVITIMSS/INFONAVIT</v>
      </c>
      <c r="B113" t="s">
        <v>1560</v>
      </c>
      <c r="C113" s="1">
        <v>45852</v>
      </c>
      <c r="D113" t="s">
        <v>23</v>
      </c>
      <c r="E113" t="s">
        <v>132</v>
      </c>
      <c r="F113" s="146" t="s">
        <v>132</v>
      </c>
      <c r="G113" s="146"/>
      <c r="H113" s="271" t="s">
        <v>4360</v>
      </c>
      <c r="I113" s="158"/>
      <c r="J113" s="158">
        <v>22960.04</v>
      </c>
      <c r="K113" s="190">
        <f t="shared" si="6"/>
        <v>487034.82000000007</v>
      </c>
    </row>
    <row r="114" spans="1:11" ht="15">
      <c r="A114" s="54" t="str">
        <f t="shared" si="5"/>
        <v>FINANZASIMSS/INFONAVITIMSS/INFONAVIT</v>
      </c>
      <c r="B114" t="s">
        <v>1560</v>
      </c>
      <c r="C114" s="1">
        <v>45852</v>
      </c>
      <c r="D114" t="s">
        <v>23</v>
      </c>
      <c r="E114" t="s">
        <v>132</v>
      </c>
      <c r="F114" s="146" t="s">
        <v>132</v>
      </c>
      <c r="G114" s="146"/>
      <c r="H114" s="271" t="s">
        <v>4361</v>
      </c>
      <c r="I114" s="158"/>
      <c r="J114" s="158">
        <v>23080.66</v>
      </c>
      <c r="K114" s="190">
        <f t="shared" si="6"/>
        <v>463954.16000000009</v>
      </c>
    </row>
    <row r="115" spans="1:11" ht="15">
      <c r="A115" s="54" t="str">
        <f t="shared" si="5"/>
        <v>FINANZASIMSS/INFONAVITIMSS/INFONAVIT</v>
      </c>
      <c r="B115" t="s">
        <v>1560</v>
      </c>
      <c r="C115" s="1">
        <v>45852</v>
      </c>
      <c r="D115" t="s">
        <v>23</v>
      </c>
      <c r="E115" t="s">
        <v>132</v>
      </c>
      <c r="F115" s="146" t="s">
        <v>132</v>
      </c>
      <c r="G115" s="146"/>
      <c r="H115" s="271" t="s">
        <v>4362</v>
      </c>
      <c r="I115" s="158"/>
      <c r="J115" s="158">
        <v>22862.36</v>
      </c>
      <c r="K115" s="190">
        <f t="shared" si="6"/>
        <v>441091.8000000001</v>
      </c>
    </row>
    <row r="116" spans="1:11" ht="15">
      <c r="A116" s="54" t="str">
        <f t="shared" si="5"/>
        <v>FINANZASIMSS/INFONAVITIMSS/INFONAVIT</v>
      </c>
      <c r="B116" t="s">
        <v>1560</v>
      </c>
      <c r="C116" s="1">
        <v>45852</v>
      </c>
      <c r="D116" t="s">
        <v>23</v>
      </c>
      <c r="E116" t="s">
        <v>132</v>
      </c>
      <c r="F116" s="146" t="s">
        <v>132</v>
      </c>
      <c r="G116" s="146"/>
      <c r="H116" s="271" t="s">
        <v>4363</v>
      </c>
      <c r="I116" s="158"/>
      <c r="J116" s="158">
        <v>19839.18</v>
      </c>
      <c r="K116" s="190">
        <f t="shared" si="6"/>
        <v>421252.62000000011</v>
      </c>
    </row>
    <row r="117" spans="1:11" ht="15">
      <c r="A117" s="54" t="str">
        <f t="shared" si="5"/>
        <v>FINANZASIMSS/INFONAVITIMSS/INFONAVIT</v>
      </c>
      <c r="B117" t="s">
        <v>1560</v>
      </c>
      <c r="C117" s="1">
        <v>45852</v>
      </c>
      <c r="D117" t="s">
        <v>23</v>
      </c>
      <c r="E117" t="s">
        <v>132</v>
      </c>
      <c r="F117" s="146" t="s">
        <v>132</v>
      </c>
      <c r="G117" s="146"/>
      <c r="H117" s="271" t="s">
        <v>4364</v>
      </c>
      <c r="I117" s="158"/>
      <c r="J117" s="158">
        <v>23248.9</v>
      </c>
      <c r="K117" s="190">
        <f t="shared" si="6"/>
        <v>398003.72000000009</v>
      </c>
    </row>
    <row r="118" spans="1:11" ht="15">
      <c r="A118" s="54" t="str">
        <f t="shared" si="5"/>
        <v>FINANZASIMSS/INFONAVITIMSS/INFONAVIT</v>
      </c>
      <c r="B118" t="s">
        <v>1560</v>
      </c>
      <c r="C118" s="1">
        <v>45852</v>
      </c>
      <c r="D118" t="s">
        <v>23</v>
      </c>
      <c r="E118" t="s">
        <v>132</v>
      </c>
      <c r="F118" s="146" t="s">
        <v>132</v>
      </c>
      <c r="G118" s="146"/>
      <c r="H118" s="271" t="s">
        <v>4365</v>
      </c>
      <c r="I118" s="158"/>
      <c r="J118" s="158">
        <v>390644.87</v>
      </c>
      <c r="K118" s="190">
        <f t="shared" si="6"/>
        <v>7358.8500000000931</v>
      </c>
    </row>
    <row r="119" spans="1:11" ht="15">
      <c r="A119" s="54" t="str">
        <f t="shared" si="5"/>
        <v>FINANZASIMSS/INFONAVITIMSS/INFONAVIT</v>
      </c>
      <c r="B119" t="s">
        <v>1560</v>
      </c>
      <c r="C119" s="1">
        <v>45852</v>
      </c>
      <c r="D119" t="s">
        <v>23</v>
      </c>
      <c r="E119" t="s">
        <v>132</v>
      </c>
      <c r="F119" s="146" t="s">
        <v>132</v>
      </c>
      <c r="G119" s="146"/>
      <c r="H119" s="271" t="s">
        <v>4366</v>
      </c>
      <c r="I119" s="158"/>
      <c r="J119" s="158">
        <v>16463.55</v>
      </c>
      <c r="K119" s="190">
        <f t="shared" si="6"/>
        <v>-9104.6999999999061</v>
      </c>
    </row>
    <row r="120" spans="1:11" ht="15">
      <c r="A120" s="54" t="str">
        <f t="shared" si="5"/>
        <v>FINANZASIMSS/INFONAVITIMSS/INFONAVIT</v>
      </c>
      <c r="B120" t="s">
        <v>1560</v>
      </c>
      <c r="C120" s="1">
        <v>45852</v>
      </c>
      <c r="D120" t="s">
        <v>23</v>
      </c>
      <c r="E120" t="s">
        <v>132</v>
      </c>
      <c r="F120" s="146" t="s">
        <v>132</v>
      </c>
      <c r="G120" s="146"/>
      <c r="H120" s="271" t="s">
        <v>4367</v>
      </c>
      <c r="I120" s="158"/>
      <c r="J120" s="158">
        <v>40532.17</v>
      </c>
      <c r="K120" s="190">
        <f t="shared" si="6"/>
        <v>-49636.869999999908</v>
      </c>
    </row>
    <row r="121" spans="1:11" ht="15">
      <c r="A121" s="54" t="str">
        <f t="shared" si="5"/>
        <v>FINANZASIMSS/INFONAVITIMSS/INFONAVIT</v>
      </c>
      <c r="B121" t="s">
        <v>1560</v>
      </c>
      <c r="C121" s="1">
        <v>45852</v>
      </c>
      <c r="D121" t="s">
        <v>23</v>
      </c>
      <c r="E121" t="s">
        <v>132</v>
      </c>
      <c r="F121" s="146" t="s">
        <v>132</v>
      </c>
      <c r="G121" s="146"/>
      <c r="H121" s="271" t="s">
        <v>4368</v>
      </c>
      <c r="I121" s="158"/>
      <c r="J121" s="158">
        <v>151423.72</v>
      </c>
      <c r="K121" s="190">
        <f t="shared" si="6"/>
        <v>-201060.58999999991</v>
      </c>
    </row>
    <row r="122" spans="1:11" ht="15">
      <c r="A122" s="54" t="str">
        <f t="shared" si="5"/>
        <v>FINANZASIMSS/INFONAVITIMSS/INFONAVIT</v>
      </c>
      <c r="B122" t="s">
        <v>1560</v>
      </c>
      <c r="C122" s="1">
        <v>45852</v>
      </c>
      <c r="D122" t="s">
        <v>23</v>
      </c>
      <c r="E122" t="s">
        <v>132</v>
      </c>
      <c r="F122" s="146" t="s">
        <v>132</v>
      </c>
      <c r="G122" s="146"/>
      <c r="H122" s="271" t="s">
        <v>4369</v>
      </c>
      <c r="I122" s="158"/>
      <c r="J122" s="158">
        <v>21187.51</v>
      </c>
      <c r="K122" s="190">
        <f t="shared" si="6"/>
        <v>-222248.09999999992</v>
      </c>
    </row>
    <row r="123" spans="1:11" ht="15">
      <c r="A123" s="54" t="str">
        <f t="shared" si="5"/>
        <v>FINANZASIMSS/INFONAVITIMSS/INFONAVIT</v>
      </c>
      <c r="B123" t="s">
        <v>1560</v>
      </c>
      <c r="C123" s="1">
        <v>45852</v>
      </c>
      <c r="D123" t="s">
        <v>23</v>
      </c>
      <c r="E123" t="s">
        <v>132</v>
      </c>
      <c r="F123" s="146" t="s">
        <v>132</v>
      </c>
      <c r="G123" s="146"/>
      <c r="H123" s="271" t="s">
        <v>4370</v>
      </c>
      <c r="I123" s="158"/>
      <c r="J123" s="158">
        <v>20372.830000000002</v>
      </c>
      <c r="K123" s="190">
        <f t="shared" si="6"/>
        <v>-242620.92999999993</v>
      </c>
    </row>
    <row r="124" spans="1:11" ht="15">
      <c r="A124" s="54" t="str">
        <f t="shared" si="5"/>
        <v>FINANZASIMSS/INFONAVITIMSS/INFONAVIT</v>
      </c>
      <c r="B124" t="s">
        <v>1560</v>
      </c>
      <c r="C124" s="1">
        <v>45852</v>
      </c>
      <c r="D124" t="s">
        <v>23</v>
      </c>
      <c r="E124" t="s">
        <v>132</v>
      </c>
      <c r="F124" s="146" t="s">
        <v>132</v>
      </c>
      <c r="G124" s="146"/>
      <c r="H124" s="271" t="s">
        <v>4371</v>
      </c>
      <c r="I124" s="158"/>
      <c r="J124" s="158">
        <v>103522.37</v>
      </c>
      <c r="K124" s="190">
        <f t="shared" si="6"/>
        <v>-346143.29999999993</v>
      </c>
    </row>
    <row r="125" spans="1:11" ht="15">
      <c r="A125" s="54" t="str">
        <f t="shared" si="5"/>
        <v>FINANZASIMSS/INFONAVITIMSS/INFONAVIT</v>
      </c>
      <c r="B125" t="s">
        <v>1560</v>
      </c>
      <c r="C125" s="1">
        <v>45852</v>
      </c>
      <c r="D125" t="s">
        <v>23</v>
      </c>
      <c r="E125" t="s">
        <v>132</v>
      </c>
      <c r="F125" s="146" t="s">
        <v>132</v>
      </c>
      <c r="G125" s="146"/>
      <c r="H125" s="271" t="s">
        <v>4372</v>
      </c>
      <c r="I125" s="158"/>
      <c r="J125" s="158">
        <v>66038.100000000006</v>
      </c>
      <c r="K125" s="190">
        <f t="shared" si="6"/>
        <v>-412181.39999999991</v>
      </c>
    </row>
    <row r="126" spans="1:11" ht="15">
      <c r="A126" s="54" t="str">
        <f t="shared" si="5"/>
        <v>FINANZASIMSS/INFONAVITIMSS/INFONAVIT</v>
      </c>
      <c r="B126" t="s">
        <v>1560</v>
      </c>
      <c r="C126" s="1">
        <v>45852</v>
      </c>
      <c r="D126" t="s">
        <v>23</v>
      </c>
      <c r="E126" t="s">
        <v>132</v>
      </c>
      <c r="F126" s="146" t="s">
        <v>132</v>
      </c>
      <c r="G126" s="146"/>
      <c r="H126" s="271" t="s">
        <v>4373</v>
      </c>
      <c r="I126" s="158"/>
      <c r="J126" s="158">
        <v>17096.59</v>
      </c>
      <c r="K126" s="190">
        <f t="shared" si="6"/>
        <v>-429277.98999999993</v>
      </c>
    </row>
    <row r="127" spans="1:11" ht="15">
      <c r="A127" s="54" t="str">
        <f t="shared" si="5"/>
        <v>FINANZASIMSS/INFONAVITIMSS/INFONAVIT</v>
      </c>
      <c r="B127" t="s">
        <v>1560</v>
      </c>
      <c r="C127" s="1">
        <v>45852</v>
      </c>
      <c r="D127" t="s">
        <v>23</v>
      </c>
      <c r="E127" t="s">
        <v>132</v>
      </c>
      <c r="F127" s="146" t="s">
        <v>132</v>
      </c>
      <c r="G127" s="146"/>
      <c r="H127" s="271" t="s">
        <v>4374</v>
      </c>
      <c r="I127" s="158"/>
      <c r="J127" s="158">
        <v>11978.28</v>
      </c>
      <c r="K127" s="190">
        <f>K126+I127-J127</f>
        <v>-441256.26999999996</v>
      </c>
    </row>
    <row r="128" spans="1:11" ht="15">
      <c r="A128" s="54" t="str">
        <f t="shared" si="5"/>
        <v/>
      </c>
      <c r="B128" t="s">
        <v>1560</v>
      </c>
      <c r="C128" s="1">
        <v>45852</v>
      </c>
      <c r="F128" s="146"/>
      <c r="G128" s="146"/>
      <c r="H128" t="s">
        <v>3472</v>
      </c>
      <c r="I128" s="158">
        <v>100000</v>
      </c>
      <c r="J128" s="158"/>
      <c r="K128" s="190">
        <f>K127+I128-J128</f>
        <v>-341256.26999999996</v>
      </c>
    </row>
    <row r="129" spans="1:11" ht="15">
      <c r="A129" s="54" t="str">
        <f t="shared" si="5"/>
        <v/>
      </c>
      <c r="B129" t="s">
        <v>1560</v>
      </c>
      <c r="C129" s="1">
        <v>45852</v>
      </c>
      <c r="F129" s="146"/>
      <c r="G129" s="146"/>
      <c r="H129" t="s">
        <v>3472</v>
      </c>
      <c r="I129" s="158">
        <v>342000</v>
      </c>
      <c r="J129" s="158"/>
      <c r="K129" s="190">
        <f>K128+I129-J129</f>
        <v>743.73000000003958</v>
      </c>
    </row>
    <row r="130" spans="1:11" ht="15">
      <c r="A130" s="54" t="str">
        <f t="shared" si="5"/>
        <v>FINANZASIMSS/INFONAVITIMSS/INFONAVIT</v>
      </c>
      <c r="B130" t="s">
        <v>1807</v>
      </c>
      <c r="C130" s="1">
        <v>45881</v>
      </c>
      <c r="D130" t="s">
        <v>23</v>
      </c>
      <c r="E130" t="s">
        <v>132</v>
      </c>
      <c r="F130" s="146" t="s">
        <v>132</v>
      </c>
      <c r="G130" s="146" t="s">
        <v>258</v>
      </c>
      <c r="H130" s="271" t="s">
        <v>4379</v>
      </c>
      <c r="I130" s="158"/>
      <c r="J130" s="158">
        <v>7840</v>
      </c>
      <c r="K130" s="190">
        <f>K129+I130-J130</f>
        <v>-7096.2699999999604</v>
      </c>
    </row>
    <row r="131" spans="1:11" ht="15">
      <c r="A131" s="54" t="str">
        <f t="shared" si="5"/>
        <v/>
      </c>
      <c r="B131" t="s">
        <v>1807</v>
      </c>
      <c r="C131" s="1">
        <v>45884</v>
      </c>
      <c r="F131" s="146"/>
      <c r="G131" s="146"/>
      <c r="H131" t="s">
        <v>3472</v>
      </c>
      <c r="I131" s="158">
        <v>393050</v>
      </c>
      <c r="J131" s="158"/>
      <c r="K131" s="190">
        <f>K130+I131-J131</f>
        <v>385953.73000000004</v>
      </c>
    </row>
    <row r="132" spans="1:11" ht="15">
      <c r="A132" s="54" t="str">
        <f>D132&amp;E132&amp;F132</f>
        <v>FINANZASIMSS/INFONAVITIMSS/INFONAVIT</v>
      </c>
      <c r="B132" t="s">
        <v>1807</v>
      </c>
      <c r="C132" s="1">
        <v>45884</v>
      </c>
      <c r="D132" t="s">
        <v>23</v>
      </c>
      <c r="E132" t="s">
        <v>132</v>
      </c>
      <c r="F132" s="146" t="s">
        <v>132</v>
      </c>
      <c r="G132" s="146"/>
      <c r="H132" s="271" t="s">
        <v>4358</v>
      </c>
      <c r="I132" s="158"/>
      <c r="J132" s="158">
        <v>7968.08</v>
      </c>
      <c r="K132" s="190">
        <f t="shared" ref="K132:K196" si="7">K131+I132-J132</f>
        <v>377985.65</v>
      </c>
    </row>
    <row r="133" spans="1:11" ht="15">
      <c r="A133" s="54" t="str">
        <f>D133&amp;E133&amp;F133</f>
        <v>FINANZASIMSS/INFONAVITIMSS/INFONAVIT</v>
      </c>
      <c r="B133" t="s">
        <v>1807</v>
      </c>
      <c r="C133" s="1">
        <v>45884</v>
      </c>
      <c r="D133" t="s">
        <v>23</v>
      </c>
      <c r="E133" t="s">
        <v>132</v>
      </c>
      <c r="F133" s="146" t="s">
        <v>132</v>
      </c>
      <c r="G133" s="146"/>
      <c r="H133" s="271" t="s">
        <v>4359</v>
      </c>
      <c r="I133" s="158"/>
      <c r="J133" s="158">
        <v>73474.210000000006</v>
      </c>
      <c r="K133" s="190">
        <f t="shared" si="7"/>
        <v>304511.44</v>
      </c>
    </row>
    <row r="134" spans="1:11" ht="15">
      <c r="A134" s="54" t="str">
        <f>D134&amp;E134&amp;F134</f>
        <v>FINANZASIMSS/INFONAVITIMSS/INFONAVIT</v>
      </c>
      <c r="B134" t="s">
        <v>1807</v>
      </c>
      <c r="C134" s="1">
        <v>45884</v>
      </c>
      <c r="D134" t="s">
        <v>23</v>
      </c>
      <c r="E134" t="s">
        <v>132</v>
      </c>
      <c r="F134" s="146" t="s">
        <v>132</v>
      </c>
      <c r="G134" s="146"/>
      <c r="H134" s="271" t="s">
        <v>4360</v>
      </c>
      <c r="I134" s="158"/>
      <c r="J134" s="158">
        <v>7968.85</v>
      </c>
      <c r="K134" s="190">
        <f t="shared" si="7"/>
        <v>296542.59000000003</v>
      </c>
    </row>
    <row r="135" spans="1:11" ht="15">
      <c r="A135" s="54" t="str">
        <f>D135&amp;E135&amp;F135</f>
        <v>FINANZASIMSS/INFONAVITIMSS/INFONAVIT</v>
      </c>
      <c r="B135" t="s">
        <v>1807</v>
      </c>
      <c r="C135" s="1">
        <v>45884</v>
      </c>
      <c r="D135" t="s">
        <v>23</v>
      </c>
      <c r="E135" t="s">
        <v>132</v>
      </c>
      <c r="F135" s="146" t="s">
        <v>132</v>
      </c>
      <c r="G135" s="146"/>
      <c r="H135" s="271" t="s">
        <v>4361</v>
      </c>
      <c r="I135" s="158"/>
      <c r="J135" s="158">
        <v>6937</v>
      </c>
      <c r="K135" s="190">
        <f t="shared" si="7"/>
        <v>289605.59000000003</v>
      </c>
    </row>
    <row r="136" spans="1:11" ht="15">
      <c r="A136" s="54" t="str">
        <f>D136&amp;E136&amp;F136</f>
        <v>FINANZASIMSS/INFONAVITIMSS/INFONAVIT</v>
      </c>
      <c r="B136" t="s">
        <v>1807</v>
      </c>
      <c r="C136" s="1">
        <v>45884</v>
      </c>
      <c r="D136" t="s">
        <v>23</v>
      </c>
      <c r="E136" t="s">
        <v>132</v>
      </c>
      <c r="F136" s="146" t="s">
        <v>132</v>
      </c>
      <c r="G136" s="146"/>
      <c r="H136" s="271" t="s">
        <v>4362</v>
      </c>
      <c r="I136" s="158"/>
      <c r="J136" s="158">
        <v>7921.44</v>
      </c>
      <c r="K136" s="190">
        <f t="shared" si="7"/>
        <v>281684.15000000002</v>
      </c>
    </row>
    <row r="137" spans="1:11" ht="15">
      <c r="A137" s="54" t="str">
        <f>D137&amp;E137&amp;F137</f>
        <v>FINANZASIMSS/INFONAVITIMSS/INFONAVIT</v>
      </c>
      <c r="B137" t="s">
        <v>1807</v>
      </c>
      <c r="C137" s="1">
        <v>45884</v>
      </c>
      <c r="D137" t="s">
        <v>23</v>
      </c>
      <c r="E137" t="s">
        <v>132</v>
      </c>
      <c r="F137" s="146" t="s">
        <v>132</v>
      </c>
      <c r="G137" s="146"/>
      <c r="H137" s="271" t="s">
        <v>4363</v>
      </c>
      <c r="I137" s="158"/>
      <c r="J137" s="158">
        <v>7127.4</v>
      </c>
      <c r="K137" s="190">
        <f t="shared" si="7"/>
        <v>274556.75</v>
      </c>
    </row>
    <row r="138" spans="1:11" ht="15">
      <c r="A138" s="54" t="str">
        <f>D138&amp;E138&amp;F138</f>
        <v>FINANZASIMSS/INFONAVITIMSS/INFONAVIT</v>
      </c>
      <c r="B138" t="s">
        <v>1807</v>
      </c>
      <c r="C138" s="1">
        <v>45884</v>
      </c>
      <c r="D138" t="s">
        <v>23</v>
      </c>
      <c r="E138" t="s">
        <v>132</v>
      </c>
      <c r="F138" s="146" t="s">
        <v>132</v>
      </c>
      <c r="G138" s="146"/>
      <c r="H138" s="271" t="s">
        <v>4364</v>
      </c>
      <c r="I138" s="158"/>
      <c r="J138" s="3">
        <v>8609.5300000000007</v>
      </c>
      <c r="K138" s="190">
        <f t="shared" si="7"/>
        <v>265947.21999999997</v>
      </c>
    </row>
    <row r="139" spans="1:11" ht="15">
      <c r="A139" s="54" t="str">
        <f>D139&amp;E139&amp;F139</f>
        <v>FINANZASIMSS/INFONAVITIMSS/INFONAVIT</v>
      </c>
      <c r="B139" t="s">
        <v>1807</v>
      </c>
      <c r="C139" s="1">
        <v>45884</v>
      </c>
      <c r="D139" t="s">
        <v>23</v>
      </c>
      <c r="E139" t="s">
        <v>132</v>
      </c>
      <c r="F139" s="146" t="s">
        <v>132</v>
      </c>
      <c r="G139" s="146"/>
      <c r="H139" s="271" t="s">
        <v>4365</v>
      </c>
      <c r="I139" s="158"/>
      <c r="J139" s="158">
        <v>120753.64</v>
      </c>
      <c r="K139" s="190">
        <f t="shared" si="7"/>
        <v>145193.57999999996</v>
      </c>
    </row>
    <row r="140" spans="1:11" ht="15">
      <c r="A140" s="54" t="str">
        <f>D140&amp;E140&amp;F140</f>
        <v>FINANZASIMSS/INFONAVITIMSS/INFONAVIT</v>
      </c>
      <c r="B140" t="s">
        <v>1807</v>
      </c>
      <c r="C140" s="1">
        <v>45884</v>
      </c>
      <c r="D140" t="s">
        <v>23</v>
      </c>
      <c r="E140" t="s">
        <v>132</v>
      </c>
      <c r="F140" s="146" t="s">
        <v>132</v>
      </c>
      <c r="G140" s="146"/>
      <c r="H140" s="271" t="s">
        <v>4366</v>
      </c>
      <c r="I140" s="158"/>
      <c r="J140" s="158">
        <v>5400.88</v>
      </c>
      <c r="K140" s="190">
        <f t="shared" si="7"/>
        <v>139792.69999999995</v>
      </c>
    </row>
    <row r="141" spans="1:11" ht="15">
      <c r="A141" s="54" t="str">
        <f>D141&amp;E141&amp;F141</f>
        <v>FINANZASIMSS/INFONAVITIMSS/INFONAVIT</v>
      </c>
      <c r="B141" t="s">
        <v>1807</v>
      </c>
      <c r="C141" s="1">
        <v>45884</v>
      </c>
      <c r="D141" t="s">
        <v>23</v>
      </c>
      <c r="E141" t="s">
        <v>132</v>
      </c>
      <c r="F141" s="146" t="s">
        <v>132</v>
      </c>
      <c r="G141" s="146"/>
      <c r="H141" s="271" t="s">
        <v>4367</v>
      </c>
      <c r="I141" s="158"/>
      <c r="J141" s="158">
        <v>12456.67</v>
      </c>
      <c r="K141" s="190">
        <f t="shared" si="7"/>
        <v>127336.02999999996</v>
      </c>
    </row>
    <row r="142" spans="1:11" ht="15">
      <c r="A142" s="54" t="str">
        <f>D142&amp;E142&amp;F142</f>
        <v>FINANZASIMSS/INFONAVITIMSS/INFONAVIT</v>
      </c>
      <c r="B142" t="s">
        <v>1807</v>
      </c>
      <c r="C142" s="1">
        <v>45884</v>
      </c>
      <c r="D142" t="s">
        <v>23</v>
      </c>
      <c r="E142" t="s">
        <v>132</v>
      </c>
      <c r="F142" s="146" t="s">
        <v>132</v>
      </c>
      <c r="G142" s="146"/>
      <c r="H142" s="271" t="s">
        <v>4368</v>
      </c>
      <c r="I142" s="158"/>
      <c r="J142" s="158">
        <v>56315.99</v>
      </c>
      <c r="K142" s="190">
        <f t="shared" si="7"/>
        <v>71020.03999999995</v>
      </c>
    </row>
    <row r="143" spans="1:11" ht="15">
      <c r="A143" s="54" t="str">
        <f>D143&amp;E143&amp;F143</f>
        <v>FINANZASIMSS/INFONAVITIMSS/INFONAVIT</v>
      </c>
      <c r="B143" t="s">
        <v>1807</v>
      </c>
      <c r="C143" s="1">
        <v>45884</v>
      </c>
      <c r="D143" t="s">
        <v>23</v>
      </c>
      <c r="E143" t="s">
        <v>132</v>
      </c>
      <c r="F143" s="146" t="s">
        <v>132</v>
      </c>
      <c r="G143" s="146"/>
      <c r="H143" s="271" t="s">
        <v>4369</v>
      </c>
      <c r="I143" s="158"/>
      <c r="J143" s="158">
        <v>7582.01</v>
      </c>
      <c r="K143" s="190">
        <f t="shared" si="7"/>
        <v>63438.029999999948</v>
      </c>
    </row>
    <row r="144" spans="1:11" ht="15">
      <c r="A144" s="54" t="str">
        <f>D144&amp;E144&amp;F144</f>
        <v>FINANZASIMSS/INFONAVITIMSS/INFONAVIT</v>
      </c>
      <c r="B144" t="s">
        <v>1807</v>
      </c>
      <c r="C144" s="1">
        <v>45884</v>
      </c>
      <c r="D144" t="s">
        <v>23</v>
      </c>
      <c r="E144" t="s">
        <v>132</v>
      </c>
      <c r="F144" s="146" t="s">
        <v>132</v>
      </c>
      <c r="G144" s="146"/>
      <c r="H144" s="271" t="s">
        <v>4370</v>
      </c>
      <c r="I144" s="158"/>
      <c r="J144" s="158">
        <v>8948.17</v>
      </c>
      <c r="K144" s="190">
        <f t="shared" si="7"/>
        <v>54489.85999999995</v>
      </c>
    </row>
    <row r="145" spans="1:11" ht="15">
      <c r="A145" s="54" t="str">
        <f>D145&amp;E145&amp;F145</f>
        <v>FINANZASIMSS/INFONAVITIMSS/INFONAVIT</v>
      </c>
      <c r="B145" t="s">
        <v>1807</v>
      </c>
      <c r="C145" s="1">
        <v>45884</v>
      </c>
      <c r="D145" t="s">
        <v>23</v>
      </c>
      <c r="E145" t="s">
        <v>132</v>
      </c>
      <c r="F145" s="146" t="s">
        <v>132</v>
      </c>
      <c r="G145" s="146"/>
      <c r="H145" s="271" t="s">
        <v>4371</v>
      </c>
      <c r="I145" s="158"/>
      <c r="J145" s="158">
        <v>25802.53</v>
      </c>
      <c r="K145" s="190">
        <f t="shared" si="7"/>
        <v>28687.329999999951</v>
      </c>
    </row>
    <row r="146" spans="1:11" ht="15">
      <c r="A146" s="54" t="str">
        <f>D146&amp;E146&amp;F146</f>
        <v>FINANZASIMSS/INFONAVITIMSS/INFONAVIT</v>
      </c>
      <c r="B146" t="s">
        <v>1807</v>
      </c>
      <c r="C146" s="1">
        <v>45884</v>
      </c>
      <c r="D146" t="s">
        <v>23</v>
      </c>
      <c r="E146" t="s">
        <v>132</v>
      </c>
      <c r="F146" s="146" t="s">
        <v>132</v>
      </c>
      <c r="G146" s="146"/>
      <c r="H146" s="271" t="s">
        <v>4372</v>
      </c>
      <c r="I146" s="158"/>
      <c r="J146" s="158">
        <v>16248.89</v>
      </c>
      <c r="K146" s="190">
        <f t="shared" si="7"/>
        <v>12438.439999999951</v>
      </c>
    </row>
    <row r="147" spans="1:11" ht="15">
      <c r="A147" s="54" t="str">
        <f>D147&amp;E147&amp;F147</f>
        <v>FINANZASIMSS/INFONAVITIMSS/INFONAVIT</v>
      </c>
      <c r="B147" t="s">
        <v>1807</v>
      </c>
      <c r="C147" s="1">
        <v>45884</v>
      </c>
      <c r="D147" t="s">
        <v>23</v>
      </c>
      <c r="E147" t="s">
        <v>132</v>
      </c>
      <c r="F147" s="146" t="s">
        <v>132</v>
      </c>
      <c r="G147" s="146"/>
      <c r="H147" s="271" t="s">
        <v>4373</v>
      </c>
      <c r="I147" s="158"/>
      <c r="J147" s="158">
        <v>5555.2</v>
      </c>
      <c r="K147" s="190">
        <f t="shared" si="7"/>
        <v>6883.2399999999516</v>
      </c>
    </row>
    <row r="148" spans="1:11" ht="15">
      <c r="A148" s="54" t="str">
        <f>D148&amp;E148&amp;F148</f>
        <v>FINANZASIMSS/INFONAVITIMSS/INFONAVIT</v>
      </c>
      <c r="B148" t="s">
        <v>1807</v>
      </c>
      <c r="C148" s="1">
        <v>45884</v>
      </c>
      <c r="D148" t="s">
        <v>23</v>
      </c>
      <c r="E148" t="s">
        <v>132</v>
      </c>
      <c r="F148" s="146" t="s">
        <v>132</v>
      </c>
      <c r="G148" s="146"/>
      <c r="H148" s="271" t="s">
        <v>4374</v>
      </c>
      <c r="I148" s="158"/>
      <c r="J148" s="158">
        <v>4045.74</v>
      </c>
      <c r="K148" s="190">
        <f t="shared" si="7"/>
        <v>2837.4999999999518</v>
      </c>
    </row>
    <row r="149" spans="1:11" ht="15">
      <c r="A149" s="54" t="str">
        <f t="shared" ref="A134:A197" si="8">D149&amp;E149&amp;F149</f>
        <v/>
      </c>
      <c r="B149" t="s">
        <v>2028</v>
      </c>
      <c r="C149" s="1">
        <v>45901</v>
      </c>
      <c r="F149" s="146"/>
      <c r="G149" s="146"/>
      <c r="H149" t="s">
        <v>3452</v>
      </c>
      <c r="I149" s="3">
        <v>200000</v>
      </c>
      <c r="J149" s="158"/>
      <c r="K149" s="190">
        <f t="shared" si="7"/>
        <v>202837.49999999994</v>
      </c>
    </row>
    <row r="150" spans="1:11" ht="15">
      <c r="A150" s="54" t="str">
        <f t="shared" si="8"/>
        <v/>
      </c>
      <c r="B150" t="s">
        <v>2028</v>
      </c>
      <c r="C150" s="1">
        <v>45908</v>
      </c>
      <c r="F150" s="146"/>
      <c r="G150" s="146"/>
      <c r="H150" t="s">
        <v>3452</v>
      </c>
      <c r="I150" s="158">
        <v>400000</v>
      </c>
      <c r="J150" s="158"/>
      <c r="K150" s="190">
        <f t="shared" si="7"/>
        <v>602837.5</v>
      </c>
    </row>
    <row r="151" spans="1:11" ht="15">
      <c r="A151" s="54" t="str">
        <f t="shared" si="8"/>
        <v>FINANZASIMSS/INFONAVITIMSS/INFONAVIT</v>
      </c>
      <c r="B151" t="s">
        <v>2028</v>
      </c>
      <c r="C151" s="1">
        <v>45909</v>
      </c>
      <c r="D151" t="s">
        <v>23</v>
      </c>
      <c r="E151" t="s">
        <v>132</v>
      </c>
      <c r="F151" s="146" t="s">
        <v>132</v>
      </c>
      <c r="G151" s="146"/>
      <c r="H151" t="s">
        <v>4379</v>
      </c>
      <c r="I151" s="158"/>
      <c r="J151" s="158">
        <v>7840</v>
      </c>
      <c r="K151" s="190">
        <f t="shared" si="7"/>
        <v>594997.5</v>
      </c>
    </row>
    <row r="152" spans="1:11" ht="15">
      <c r="A152" s="54" t="str">
        <f t="shared" si="8"/>
        <v/>
      </c>
      <c r="B152" t="s">
        <v>2028</v>
      </c>
      <c r="C152" s="1">
        <v>45915</v>
      </c>
      <c r="F152" s="146"/>
      <c r="G152" s="146"/>
      <c r="H152" t="s">
        <v>3452</v>
      </c>
      <c r="I152" s="158">
        <v>655000</v>
      </c>
      <c r="J152" s="158"/>
      <c r="K152" s="190">
        <f t="shared" si="7"/>
        <v>1249997.5</v>
      </c>
    </row>
    <row r="153" spans="1:11" ht="15">
      <c r="A153" s="54" t="str">
        <f t="shared" si="8"/>
        <v>FINANZASIMSS/INFONAVITIMSS/INFONAVIT</v>
      </c>
      <c r="B153" t="s">
        <v>2028</v>
      </c>
      <c r="C153" s="1">
        <v>45915</v>
      </c>
      <c r="D153" t="s">
        <v>23</v>
      </c>
      <c r="E153" t="s">
        <v>132</v>
      </c>
      <c r="F153" s="146" t="s">
        <v>132</v>
      </c>
      <c r="G153" s="146"/>
      <c r="H153" s="271" t="s">
        <v>4358</v>
      </c>
      <c r="I153" s="158"/>
      <c r="J153" s="158">
        <v>22315.83</v>
      </c>
      <c r="K153" s="190">
        <f t="shared" si="7"/>
        <v>1227681.67</v>
      </c>
    </row>
    <row r="154" spans="1:11" ht="15">
      <c r="A154" s="54" t="str">
        <f t="shared" si="8"/>
        <v>FINANZASIMSS/INFONAVITIMSS/INFONAVIT</v>
      </c>
      <c r="B154" t="s">
        <v>2028</v>
      </c>
      <c r="C154" s="1">
        <v>45915</v>
      </c>
      <c r="D154" t="s">
        <v>23</v>
      </c>
      <c r="E154" t="s">
        <v>132</v>
      </c>
      <c r="F154" s="146" t="s">
        <v>132</v>
      </c>
      <c r="G154" s="146"/>
      <c r="H154" s="271" t="s">
        <v>4359</v>
      </c>
      <c r="I154" s="158"/>
      <c r="J154" s="158">
        <v>221334.57</v>
      </c>
      <c r="K154" s="190">
        <f t="shared" si="7"/>
        <v>1006347.0999999999</v>
      </c>
    </row>
    <row r="155" spans="1:11" ht="15">
      <c r="A155" s="54" t="str">
        <f t="shared" si="8"/>
        <v>FINANZASIMSS/INFONAVITIMSS/INFONAVIT</v>
      </c>
      <c r="B155" t="s">
        <v>2028</v>
      </c>
      <c r="C155" s="1">
        <v>45915</v>
      </c>
      <c r="D155" t="s">
        <v>23</v>
      </c>
      <c r="E155" t="s">
        <v>132</v>
      </c>
      <c r="F155" s="146" t="s">
        <v>132</v>
      </c>
      <c r="G155" s="146"/>
      <c r="H155" s="271" t="s">
        <v>4360</v>
      </c>
      <c r="I155" s="158"/>
      <c r="J155" s="158">
        <v>23768.74</v>
      </c>
      <c r="K155" s="190">
        <f t="shared" si="7"/>
        <v>982578.35999999987</v>
      </c>
    </row>
    <row r="156" spans="1:11" ht="15">
      <c r="A156" s="54" t="str">
        <f t="shared" si="8"/>
        <v>FINANZASIMSS/INFONAVITIMSS/INFONAVIT</v>
      </c>
      <c r="B156" t="s">
        <v>2028</v>
      </c>
      <c r="C156" s="1">
        <v>45915</v>
      </c>
      <c r="D156" t="s">
        <v>23</v>
      </c>
      <c r="E156" t="s">
        <v>132</v>
      </c>
      <c r="F156" s="146" t="s">
        <v>132</v>
      </c>
      <c r="G156" s="146"/>
      <c r="H156" s="271" t="s">
        <v>4361</v>
      </c>
      <c r="I156" s="158"/>
      <c r="J156" s="158">
        <v>23505.74</v>
      </c>
      <c r="K156" s="190">
        <f t="shared" si="7"/>
        <v>959072.61999999988</v>
      </c>
    </row>
    <row r="157" spans="1:11" ht="15">
      <c r="A157" s="54" t="str">
        <f t="shared" si="8"/>
        <v>FINANZASIMSS/INFONAVITIMSS/INFONAVIT</v>
      </c>
      <c r="B157" t="s">
        <v>2028</v>
      </c>
      <c r="C157" s="1">
        <v>45915</v>
      </c>
      <c r="D157" t="s">
        <v>23</v>
      </c>
      <c r="E157" t="s">
        <v>132</v>
      </c>
      <c r="F157" s="146" t="s">
        <v>132</v>
      </c>
      <c r="G157" s="146"/>
      <c r="H157" s="271" t="s">
        <v>4362</v>
      </c>
      <c r="I157" s="158"/>
      <c r="J157" s="158">
        <v>24127.96</v>
      </c>
      <c r="K157" s="190">
        <f t="shared" si="7"/>
        <v>934944.65999999992</v>
      </c>
    </row>
    <row r="158" spans="1:11" ht="15">
      <c r="A158" s="54" t="str">
        <f t="shared" si="8"/>
        <v>FINANZASIMSS/INFONAVITIMSS/INFONAVIT</v>
      </c>
      <c r="B158" t="s">
        <v>2028</v>
      </c>
      <c r="C158" s="1">
        <v>45915</v>
      </c>
      <c r="D158" t="s">
        <v>23</v>
      </c>
      <c r="E158" t="s">
        <v>132</v>
      </c>
      <c r="F158" s="146" t="s">
        <v>132</v>
      </c>
      <c r="G158" s="146"/>
      <c r="H158" s="271" t="s">
        <v>4363</v>
      </c>
      <c r="I158" s="158"/>
      <c r="J158" s="158">
        <v>20281.21</v>
      </c>
      <c r="K158" s="190">
        <f t="shared" si="7"/>
        <v>914663.45</v>
      </c>
    </row>
    <row r="159" spans="1:11" ht="15">
      <c r="A159" s="54" t="str">
        <f t="shared" si="8"/>
        <v>FINANZASIMSS/INFONAVITIMSS/INFONAVIT</v>
      </c>
      <c r="B159" t="s">
        <v>2028</v>
      </c>
      <c r="C159" s="1">
        <v>45915</v>
      </c>
      <c r="D159" t="s">
        <v>23</v>
      </c>
      <c r="E159" t="s">
        <v>132</v>
      </c>
      <c r="F159" s="146" t="s">
        <v>132</v>
      </c>
      <c r="G159" s="146"/>
      <c r="H159" s="271" t="s">
        <v>4364</v>
      </c>
      <c r="I159" s="158"/>
      <c r="J159" s="158">
        <v>25589.86</v>
      </c>
      <c r="K159" s="190">
        <f t="shared" si="7"/>
        <v>889073.59</v>
      </c>
    </row>
    <row r="160" spans="1:11" ht="15">
      <c r="A160" s="54" t="str">
        <f t="shared" si="8"/>
        <v>FINANZASIMSS/INFONAVITIMSS/INFONAVIT</v>
      </c>
      <c r="B160" t="s">
        <v>2028</v>
      </c>
      <c r="C160" s="1">
        <v>45915</v>
      </c>
      <c r="D160" t="s">
        <v>23</v>
      </c>
      <c r="E160" t="s">
        <v>132</v>
      </c>
      <c r="F160" s="146" t="s">
        <v>132</v>
      </c>
      <c r="G160" s="146"/>
      <c r="H160" s="271" t="s">
        <v>4365</v>
      </c>
      <c r="I160" s="158"/>
      <c r="J160" s="158">
        <v>422417.6</v>
      </c>
      <c r="K160" s="190">
        <f t="shared" si="7"/>
        <v>466655.99</v>
      </c>
    </row>
    <row r="161" spans="1:11" ht="15">
      <c r="A161" s="54" t="str">
        <f t="shared" si="8"/>
        <v>FINANZASIMSS/INFONAVITIMSS/INFONAVIT</v>
      </c>
      <c r="B161" t="s">
        <v>2028</v>
      </c>
      <c r="C161" s="1">
        <v>45915</v>
      </c>
      <c r="D161" t="s">
        <v>23</v>
      </c>
      <c r="E161" t="s">
        <v>132</v>
      </c>
      <c r="F161" s="146" t="s">
        <v>132</v>
      </c>
      <c r="G161" s="146"/>
      <c r="H161" s="271" t="s">
        <v>4366</v>
      </c>
      <c r="I161" s="158"/>
      <c r="J161" s="158">
        <v>15944.54</v>
      </c>
      <c r="K161" s="190">
        <f t="shared" si="7"/>
        <v>450711.45</v>
      </c>
    </row>
    <row r="162" spans="1:11" ht="15">
      <c r="A162" s="54" t="str">
        <f t="shared" si="8"/>
        <v>FINANZASIMSS/INFONAVITIMSS/INFONAVIT</v>
      </c>
      <c r="B162" t="s">
        <v>2028</v>
      </c>
      <c r="C162" s="1">
        <v>45915</v>
      </c>
      <c r="D162" t="s">
        <v>23</v>
      </c>
      <c r="E162" t="s">
        <v>132</v>
      </c>
      <c r="F162" s="146" t="s">
        <v>132</v>
      </c>
      <c r="G162" s="146"/>
      <c r="H162" s="271" t="s">
        <v>4367</v>
      </c>
      <c r="I162" s="158"/>
      <c r="J162" s="158">
        <v>46116.57</v>
      </c>
      <c r="K162" s="190">
        <f t="shared" si="7"/>
        <v>404594.88</v>
      </c>
    </row>
    <row r="163" spans="1:11" ht="15">
      <c r="A163" s="54" t="str">
        <f t="shared" si="8"/>
        <v>FINANZASIMSS/INFONAVITIMSS/INFONAVIT</v>
      </c>
      <c r="B163" t="s">
        <v>2028</v>
      </c>
      <c r="C163" s="1">
        <v>45915</v>
      </c>
      <c r="D163" t="s">
        <v>23</v>
      </c>
      <c r="E163" t="s">
        <v>132</v>
      </c>
      <c r="F163" s="146" t="s">
        <v>132</v>
      </c>
      <c r="G163" s="146"/>
      <c r="H163" s="271" t="s">
        <v>4368</v>
      </c>
      <c r="I163" s="158"/>
      <c r="J163" s="158">
        <v>163753.03</v>
      </c>
      <c r="K163" s="190">
        <f t="shared" si="7"/>
        <v>240841.85</v>
      </c>
    </row>
    <row r="164" spans="1:11" ht="15">
      <c r="A164" s="54" t="str">
        <f t="shared" si="8"/>
        <v>FINANZASIMSS/INFONAVITIMSS/INFONAVIT</v>
      </c>
      <c r="B164" t="s">
        <v>2028</v>
      </c>
      <c r="C164" s="1">
        <v>45915</v>
      </c>
      <c r="D164" t="s">
        <v>23</v>
      </c>
      <c r="E164" t="s">
        <v>132</v>
      </c>
      <c r="F164" s="146" t="s">
        <v>132</v>
      </c>
      <c r="G164" s="146"/>
      <c r="H164" s="271" t="s">
        <v>4369</v>
      </c>
      <c r="I164" s="158"/>
      <c r="J164" s="158">
        <v>24533.89</v>
      </c>
      <c r="K164" s="190">
        <f t="shared" si="7"/>
        <v>216307.96000000002</v>
      </c>
    </row>
    <row r="165" spans="1:11" ht="15">
      <c r="A165" s="54" t="str">
        <f t="shared" si="8"/>
        <v>FINANZASIMSS/INFONAVITIMSS/INFONAVIT</v>
      </c>
      <c r="B165" t="s">
        <v>2028</v>
      </c>
      <c r="C165" s="1">
        <v>45915</v>
      </c>
      <c r="D165" t="s">
        <v>23</v>
      </c>
      <c r="E165" t="s">
        <v>132</v>
      </c>
      <c r="F165" s="146" t="s">
        <v>132</v>
      </c>
      <c r="G165" s="146"/>
      <c r="H165" s="271" t="s">
        <v>4370</v>
      </c>
      <c r="I165" s="158"/>
      <c r="J165" s="158">
        <v>27016.52</v>
      </c>
      <c r="K165" s="190">
        <f t="shared" si="7"/>
        <v>189291.44000000003</v>
      </c>
    </row>
    <row r="166" spans="1:11" ht="15">
      <c r="A166" s="54" t="str">
        <f t="shared" si="8"/>
        <v>FINANZASIMSS/INFONAVITIMSS/INFONAVIT</v>
      </c>
      <c r="B166" t="s">
        <v>2028</v>
      </c>
      <c r="C166" s="1">
        <v>45915</v>
      </c>
      <c r="D166" t="s">
        <v>23</v>
      </c>
      <c r="E166" t="s">
        <v>132</v>
      </c>
      <c r="F166" s="146" t="s">
        <v>132</v>
      </c>
      <c r="G166" s="146"/>
      <c r="H166" s="271" t="s">
        <v>4371</v>
      </c>
      <c r="I166" s="158"/>
      <c r="J166" s="158">
        <v>98304.960000000006</v>
      </c>
      <c r="K166" s="158">
        <f t="shared" si="7"/>
        <v>90986.480000000025</v>
      </c>
    </row>
    <row r="167" spans="1:11" ht="15">
      <c r="A167" s="54" t="str">
        <f t="shared" si="8"/>
        <v>FINANZASIMSS/INFONAVITIMSS/INFONAVIT</v>
      </c>
      <c r="B167" t="s">
        <v>2028</v>
      </c>
      <c r="C167" s="1">
        <v>45915</v>
      </c>
      <c r="D167" t="s">
        <v>23</v>
      </c>
      <c r="E167" t="s">
        <v>132</v>
      </c>
      <c r="F167" s="146" t="s">
        <v>132</v>
      </c>
      <c r="G167" s="146"/>
      <c r="H167" s="271" t="s">
        <v>4372</v>
      </c>
      <c r="I167" s="158"/>
      <c r="J167" s="158">
        <v>60950.98</v>
      </c>
      <c r="K167" s="158">
        <f t="shared" si="7"/>
        <v>30035.500000000022</v>
      </c>
    </row>
    <row r="168" spans="1:11" ht="15">
      <c r="A168" s="54" t="str">
        <f t="shared" si="8"/>
        <v>FINANZASIMSS/INFONAVITIMSS/INFONAVIT</v>
      </c>
      <c r="B168" t="s">
        <v>2028</v>
      </c>
      <c r="C168" s="1">
        <v>45915</v>
      </c>
      <c r="D168" t="s">
        <v>23</v>
      </c>
      <c r="E168" t="s">
        <v>132</v>
      </c>
      <c r="F168" s="146" t="s">
        <v>132</v>
      </c>
      <c r="G168" s="146"/>
      <c r="H168" s="271" t="s">
        <v>4373</v>
      </c>
      <c r="I168" s="158"/>
      <c r="J168" s="158">
        <v>17419.830000000002</v>
      </c>
      <c r="K168" s="158">
        <f t="shared" si="7"/>
        <v>12615.67000000002</v>
      </c>
    </row>
    <row r="169" spans="1:11" ht="15">
      <c r="A169" s="54" t="str">
        <f t="shared" si="8"/>
        <v>FINANZASIMSS/INFONAVITIMSS/INFONAVIT</v>
      </c>
      <c r="B169" t="s">
        <v>2028</v>
      </c>
      <c r="C169" s="1">
        <v>45915</v>
      </c>
      <c r="D169" t="s">
        <v>23</v>
      </c>
      <c r="E169" t="s">
        <v>132</v>
      </c>
      <c r="F169" s="146" t="s">
        <v>132</v>
      </c>
      <c r="G169" s="146"/>
      <c r="H169" s="271" t="s">
        <v>4374</v>
      </c>
      <c r="I169" s="158"/>
      <c r="J169" s="158">
        <v>12241.26</v>
      </c>
      <c r="K169" s="158">
        <f t="shared" si="7"/>
        <v>374.41000000001986</v>
      </c>
    </row>
    <row r="170" spans="1:11" ht="15">
      <c r="A170" s="54" t="str">
        <f t="shared" si="8"/>
        <v/>
      </c>
      <c r="B170" t="s">
        <v>2281</v>
      </c>
      <c r="C170" s="1">
        <v>45944</v>
      </c>
      <c r="F170" s="146"/>
      <c r="G170" s="146"/>
      <c r="H170" t="s">
        <v>3452</v>
      </c>
      <c r="I170" s="158">
        <v>375000</v>
      </c>
      <c r="J170" s="158"/>
      <c r="K170" s="158">
        <f t="shared" si="7"/>
        <v>375374.41000000003</v>
      </c>
    </row>
    <row r="171" spans="1:11" ht="15">
      <c r="A171" s="54" t="str">
        <f t="shared" si="8"/>
        <v>FINANZASIMSS/INFONAVITIMSS/INFONAVIT</v>
      </c>
      <c r="B171" t="s">
        <v>2281</v>
      </c>
      <c r="C171" s="1">
        <v>45944</v>
      </c>
      <c r="D171" t="s">
        <v>23</v>
      </c>
      <c r="E171" t="s">
        <v>132</v>
      </c>
      <c r="F171" s="146" t="s">
        <v>132</v>
      </c>
      <c r="G171" s="146"/>
      <c r="H171" s="271" t="s">
        <v>4358</v>
      </c>
      <c r="I171" s="158"/>
      <c r="J171" s="448">
        <v>7154.47</v>
      </c>
      <c r="K171" s="158">
        <f t="shared" si="7"/>
        <v>368219.94000000006</v>
      </c>
    </row>
    <row r="172" spans="1:11" ht="15">
      <c r="A172" s="54" t="str">
        <f t="shared" si="8"/>
        <v>FINANZASIMSS/INFONAVITIMSS/INFONAVIT</v>
      </c>
      <c r="B172" t="s">
        <v>2281</v>
      </c>
      <c r="C172" s="1">
        <v>45944</v>
      </c>
      <c r="D172" t="s">
        <v>23</v>
      </c>
      <c r="E172" t="s">
        <v>132</v>
      </c>
      <c r="F172" s="146" t="s">
        <v>132</v>
      </c>
      <c r="G172" s="146"/>
      <c r="H172" s="271" t="s">
        <v>4359</v>
      </c>
      <c r="I172" s="158"/>
      <c r="J172" s="448">
        <v>66559.55</v>
      </c>
      <c r="K172" s="158">
        <f t="shared" si="7"/>
        <v>301660.39000000007</v>
      </c>
    </row>
    <row r="173" spans="1:11" ht="15">
      <c r="A173" s="54" t="str">
        <f t="shared" si="8"/>
        <v>FINANZASIMSS/INFONAVITIMSS/INFONAVIT</v>
      </c>
      <c r="B173" t="s">
        <v>2281</v>
      </c>
      <c r="C173" s="1">
        <v>45944</v>
      </c>
      <c r="D173" t="s">
        <v>23</v>
      </c>
      <c r="E173" t="s">
        <v>132</v>
      </c>
      <c r="F173" s="146" t="s">
        <v>132</v>
      </c>
      <c r="G173" s="146"/>
      <c r="H173" s="271" t="s">
        <v>4360</v>
      </c>
      <c r="I173" s="158"/>
      <c r="J173" s="448">
        <v>7711.81</v>
      </c>
      <c r="K173" s="158">
        <f t="shared" si="7"/>
        <v>293948.58000000007</v>
      </c>
    </row>
    <row r="174" spans="1:11" ht="15">
      <c r="A174" s="54" t="str">
        <f t="shared" si="8"/>
        <v>FINANZASIMSS/INFONAVITIMSS/INFONAVIT</v>
      </c>
      <c r="B174" t="s">
        <v>2281</v>
      </c>
      <c r="C174" s="1">
        <v>45944</v>
      </c>
      <c r="D174" t="s">
        <v>23</v>
      </c>
      <c r="E174" t="s">
        <v>132</v>
      </c>
      <c r="F174" s="146" t="s">
        <v>132</v>
      </c>
      <c r="G174" s="146"/>
      <c r="H174" s="271" t="s">
        <v>4361</v>
      </c>
      <c r="I174" s="158"/>
      <c r="J174" s="448">
        <v>7493.99</v>
      </c>
      <c r="K174" s="158">
        <f t="shared" si="7"/>
        <v>286454.59000000008</v>
      </c>
    </row>
    <row r="175" spans="1:11" ht="15">
      <c r="A175" s="54" t="str">
        <f t="shared" si="8"/>
        <v>FINANZASIMSS/INFONAVITIMSS/INFONAVIT</v>
      </c>
      <c r="B175" t="s">
        <v>2281</v>
      </c>
      <c r="C175" s="1">
        <v>45944</v>
      </c>
      <c r="D175" t="s">
        <v>23</v>
      </c>
      <c r="E175" t="s">
        <v>132</v>
      </c>
      <c r="F175" s="146" t="s">
        <v>132</v>
      </c>
      <c r="G175" s="146"/>
      <c r="H175" s="271" t="s">
        <v>4362</v>
      </c>
      <c r="I175" s="158"/>
      <c r="J175" s="448">
        <v>5652.24</v>
      </c>
      <c r="K175" s="158">
        <f t="shared" si="7"/>
        <v>280802.35000000009</v>
      </c>
    </row>
    <row r="176" spans="1:11" ht="15">
      <c r="A176" s="54" t="str">
        <f t="shared" si="8"/>
        <v>FINANZASIMSS/INFONAVITIMSS/INFONAVIT</v>
      </c>
      <c r="B176" t="s">
        <v>2281</v>
      </c>
      <c r="C176" s="1">
        <v>45944</v>
      </c>
      <c r="D176" t="s">
        <v>23</v>
      </c>
      <c r="E176" t="s">
        <v>132</v>
      </c>
      <c r="F176" s="146" t="s">
        <v>132</v>
      </c>
      <c r="G176" s="146"/>
      <c r="H176" s="271" t="s">
        <v>4363</v>
      </c>
      <c r="I176" s="158"/>
      <c r="J176" s="448">
        <v>6897.49</v>
      </c>
      <c r="K176" s="158">
        <f t="shared" si="7"/>
        <v>273904.8600000001</v>
      </c>
    </row>
    <row r="177" spans="1:11" ht="15">
      <c r="A177" s="54" t="str">
        <f t="shared" si="8"/>
        <v>FINANZASIMSS/INFONAVITIMSS/INFONAVIT</v>
      </c>
      <c r="B177" t="s">
        <v>2281</v>
      </c>
      <c r="C177" s="1">
        <v>45944</v>
      </c>
      <c r="D177" t="s">
        <v>23</v>
      </c>
      <c r="E177" t="s">
        <v>132</v>
      </c>
      <c r="F177" s="146" t="s">
        <v>132</v>
      </c>
      <c r="G177" s="146"/>
      <c r="H177" s="271" t="s">
        <v>4364</v>
      </c>
      <c r="I177" s="158"/>
      <c r="J177" s="448">
        <v>7710.33</v>
      </c>
      <c r="K177" s="158">
        <f t="shared" si="7"/>
        <v>266194.53000000009</v>
      </c>
    </row>
    <row r="178" spans="1:11" ht="15">
      <c r="A178" s="54" t="str">
        <f t="shared" si="8"/>
        <v>FINANZASIMSS/INFONAVITIMSS/INFONAVIT</v>
      </c>
      <c r="B178" t="s">
        <v>2281</v>
      </c>
      <c r="C178" s="1">
        <v>45944</v>
      </c>
      <c r="D178" t="s">
        <v>23</v>
      </c>
      <c r="E178" t="s">
        <v>132</v>
      </c>
      <c r="F178" s="146" t="s">
        <v>132</v>
      </c>
      <c r="G178" s="146"/>
      <c r="H178" s="271" t="s">
        <v>4365</v>
      </c>
      <c r="I178" s="158"/>
      <c r="J178" s="448">
        <v>128851.5</v>
      </c>
      <c r="K178" s="158">
        <f t="shared" si="7"/>
        <v>137343.03000000009</v>
      </c>
    </row>
    <row r="179" spans="1:11" ht="15">
      <c r="A179" s="54" t="str">
        <f t="shared" si="8"/>
        <v>FINANZASIMSS/INFONAVITIMSS/INFONAVIT</v>
      </c>
      <c r="B179" t="s">
        <v>2281</v>
      </c>
      <c r="C179" s="1">
        <v>45944</v>
      </c>
      <c r="D179" t="s">
        <v>23</v>
      </c>
      <c r="E179" t="s">
        <v>132</v>
      </c>
      <c r="F179" s="146" t="s">
        <v>132</v>
      </c>
      <c r="G179" s="146"/>
      <c r="H179" s="271" t="s">
        <v>4366</v>
      </c>
      <c r="I179" s="158"/>
      <c r="J179" s="448">
        <v>5143.71</v>
      </c>
      <c r="K179" s="158">
        <f t="shared" si="7"/>
        <v>132199.32000000009</v>
      </c>
    </row>
    <row r="180" spans="1:11" ht="15">
      <c r="A180" s="54" t="str">
        <f t="shared" si="8"/>
        <v>FINANZASIMSS/INFONAVITIMSS/INFONAVIT</v>
      </c>
      <c r="B180" t="s">
        <v>2281</v>
      </c>
      <c r="C180" s="1">
        <v>45944</v>
      </c>
      <c r="D180" t="s">
        <v>23</v>
      </c>
      <c r="E180" t="s">
        <v>132</v>
      </c>
      <c r="F180" s="146" t="s">
        <v>132</v>
      </c>
      <c r="G180" s="146"/>
      <c r="H180" s="271" t="s">
        <v>4367</v>
      </c>
      <c r="I180" s="158"/>
      <c r="J180" s="448">
        <v>14134.81</v>
      </c>
      <c r="K180" s="158">
        <f t="shared" si="7"/>
        <v>118064.5100000001</v>
      </c>
    </row>
    <row r="181" spans="1:11" ht="15">
      <c r="A181" s="54" t="str">
        <f t="shared" si="8"/>
        <v>FINANZASIMSS/INFONAVITIMSS/INFONAVIT</v>
      </c>
      <c r="B181" t="s">
        <v>2281</v>
      </c>
      <c r="C181" s="1">
        <v>45944</v>
      </c>
      <c r="D181" t="s">
        <v>23</v>
      </c>
      <c r="E181" t="s">
        <v>132</v>
      </c>
      <c r="F181" s="146" t="s">
        <v>132</v>
      </c>
      <c r="G181" s="146"/>
      <c r="H181" s="271" t="s">
        <v>4368</v>
      </c>
      <c r="I181" s="158"/>
      <c r="J181" s="448">
        <v>53539.39</v>
      </c>
      <c r="K181" s="158">
        <f t="shared" si="7"/>
        <v>64525.120000000097</v>
      </c>
    </row>
    <row r="182" spans="1:11" ht="15">
      <c r="A182" s="54" t="str">
        <f t="shared" si="8"/>
        <v>FINANZASIMSS/INFONAVITIMSS/INFONAVIT</v>
      </c>
      <c r="B182" t="s">
        <v>2281</v>
      </c>
      <c r="C182" s="1">
        <v>45944</v>
      </c>
      <c r="D182" t="s">
        <v>23</v>
      </c>
      <c r="E182" t="s">
        <v>132</v>
      </c>
      <c r="F182" s="146" t="s">
        <v>132</v>
      </c>
      <c r="G182" s="146"/>
      <c r="H182" s="271" t="s">
        <v>4369</v>
      </c>
      <c r="I182" s="158"/>
      <c r="J182" s="448">
        <v>7153.75</v>
      </c>
      <c r="K182" s="158">
        <f t="shared" si="7"/>
        <v>57371.370000000097</v>
      </c>
    </row>
    <row r="183" spans="1:11" ht="15">
      <c r="A183" s="54" t="str">
        <f t="shared" si="8"/>
        <v>FINANZASIMSS/INFONAVITIMSS/INFONAVIT</v>
      </c>
      <c r="B183" t="s">
        <v>2281</v>
      </c>
      <c r="C183" s="1">
        <v>45944</v>
      </c>
      <c r="D183" t="s">
        <v>23</v>
      </c>
      <c r="E183" t="s">
        <v>132</v>
      </c>
      <c r="F183" s="146" t="s">
        <v>132</v>
      </c>
      <c r="G183" s="146"/>
      <c r="H183" s="271" t="s">
        <v>4370</v>
      </c>
      <c r="I183" s="158"/>
      <c r="J183" s="448">
        <v>8434.43</v>
      </c>
      <c r="K183" s="158">
        <f t="shared" si="7"/>
        <v>48936.940000000097</v>
      </c>
    </row>
    <row r="184" spans="1:11" ht="15">
      <c r="A184" s="54" t="str">
        <f t="shared" si="8"/>
        <v>FINANZASIMSS/INFONAVITIMSS/INFONAVIT</v>
      </c>
      <c r="B184" t="s">
        <v>2281</v>
      </c>
      <c r="C184" s="1">
        <v>45944</v>
      </c>
      <c r="D184" t="s">
        <v>23</v>
      </c>
      <c r="E184" t="s">
        <v>132</v>
      </c>
      <c r="F184" s="146" t="s">
        <v>132</v>
      </c>
      <c r="G184" s="146"/>
      <c r="H184" s="271" t="s">
        <v>4371</v>
      </c>
      <c r="I184" s="158"/>
      <c r="J184" s="448">
        <v>24308.880000000001</v>
      </c>
      <c r="K184" s="158">
        <f t="shared" si="7"/>
        <v>24628.060000000096</v>
      </c>
    </row>
    <row r="185" spans="1:11" ht="15">
      <c r="A185" s="54" t="str">
        <f t="shared" si="8"/>
        <v>FINANZASIMSS/INFONAVITIMSS/INFONAVIT</v>
      </c>
      <c r="B185" t="s">
        <v>2281</v>
      </c>
      <c r="C185" s="1">
        <v>45944</v>
      </c>
      <c r="D185" t="s">
        <v>23</v>
      </c>
      <c r="E185" t="s">
        <v>132</v>
      </c>
      <c r="F185" s="146" t="s">
        <v>132</v>
      </c>
      <c r="G185" s="146"/>
      <c r="H185" s="271" t="s">
        <v>4372</v>
      </c>
      <c r="I185" s="158"/>
      <c r="J185" s="448">
        <v>14939.61</v>
      </c>
      <c r="K185" s="158">
        <f t="shared" si="7"/>
        <v>9688.4500000000953</v>
      </c>
    </row>
    <row r="186" spans="1:11" ht="15">
      <c r="A186" s="54" t="str">
        <f t="shared" si="8"/>
        <v>FINANZASIMSS/INFONAVITIMSS/INFONAVIT</v>
      </c>
      <c r="B186" t="s">
        <v>2281</v>
      </c>
      <c r="C186" s="1">
        <v>45944</v>
      </c>
      <c r="D186" t="s">
        <v>23</v>
      </c>
      <c r="E186" t="s">
        <v>132</v>
      </c>
      <c r="F186" s="146" t="s">
        <v>132</v>
      </c>
      <c r="G186" s="146"/>
      <c r="H186" s="271" t="s">
        <v>4373</v>
      </c>
      <c r="I186" s="158"/>
      <c r="J186" s="448">
        <v>5375.99</v>
      </c>
      <c r="K186" s="158">
        <f t="shared" si="7"/>
        <v>4312.4600000000955</v>
      </c>
    </row>
    <row r="187" spans="1:11" ht="15">
      <c r="A187" s="54" t="str">
        <f t="shared" si="8"/>
        <v>FINANZASIMSS/INFONAVITIMSS/INFONAVIT</v>
      </c>
      <c r="B187" t="s">
        <v>2281</v>
      </c>
      <c r="C187" s="1">
        <v>45944</v>
      </c>
      <c r="D187" t="s">
        <v>23</v>
      </c>
      <c r="E187" t="s">
        <v>132</v>
      </c>
      <c r="F187" s="146" t="s">
        <v>132</v>
      </c>
      <c r="G187" s="146"/>
      <c r="H187" s="271" t="s">
        <v>4374</v>
      </c>
      <c r="I187" s="158"/>
      <c r="J187" s="448">
        <v>3915.25</v>
      </c>
      <c r="K187" s="158">
        <f t="shared" si="7"/>
        <v>397.21000000009553</v>
      </c>
    </row>
    <row r="188" spans="1:11">
      <c r="A188" s="54" t="str">
        <f t="shared" si="8"/>
        <v>FINANZASIMSS/INFONAVITIMSS/INFONAVIT</v>
      </c>
      <c r="B188" t="s">
        <v>2281</v>
      </c>
      <c r="C188" s="1">
        <v>45944</v>
      </c>
      <c r="D188" t="s">
        <v>23</v>
      </c>
      <c r="E188" t="s">
        <v>132</v>
      </c>
      <c r="F188" s="146" t="s">
        <v>132</v>
      </c>
      <c r="G188" s="146" t="s">
        <v>258</v>
      </c>
      <c r="H188" t="s">
        <v>4379</v>
      </c>
      <c r="I188" s="158"/>
      <c r="J188" s="447">
        <v>7840</v>
      </c>
      <c r="K188" s="158">
        <f t="shared" si="7"/>
        <v>-7442.7899999999045</v>
      </c>
    </row>
    <row r="189" spans="1:11">
      <c r="A189" s="54" t="str">
        <f t="shared" si="8"/>
        <v/>
      </c>
      <c r="B189" t="s">
        <v>2281</v>
      </c>
      <c r="C189" s="1">
        <v>45959</v>
      </c>
      <c r="F189" s="146"/>
      <c r="G189" s="146"/>
      <c r="H189" t="s">
        <v>3452</v>
      </c>
      <c r="I189" s="158">
        <v>7450</v>
      </c>
      <c r="J189" s="158"/>
      <c r="K189" s="158">
        <f t="shared" si="7"/>
        <v>7.2100000000955333</v>
      </c>
    </row>
    <row r="190" spans="1:11">
      <c r="A190" s="54" t="str">
        <f t="shared" si="8"/>
        <v/>
      </c>
      <c r="B190" t="s">
        <v>2565</v>
      </c>
      <c r="C190" s="1">
        <v>45971</v>
      </c>
      <c r="F190" s="146"/>
      <c r="G190" s="146"/>
      <c r="H190" t="s">
        <v>3452</v>
      </c>
      <c r="I190" s="158">
        <v>400000</v>
      </c>
      <c r="J190" s="158"/>
      <c r="K190" s="158">
        <f t="shared" si="7"/>
        <v>400007.21000000008</v>
      </c>
    </row>
    <row r="191" spans="1:11">
      <c r="A191" s="54" t="str">
        <f t="shared" si="8"/>
        <v/>
      </c>
      <c r="B191" t="s">
        <v>2565</v>
      </c>
      <c r="C191" s="1">
        <v>45971</v>
      </c>
      <c r="F191" s="146"/>
      <c r="G191" s="146"/>
      <c r="H191" t="s">
        <v>3452</v>
      </c>
      <c r="I191" s="158">
        <v>181000</v>
      </c>
      <c r="J191" s="158"/>
      <c r="K191" s="158">
        <f t="shared" si="7"/>
        <v>581007.21000000008</v>
      </c>
    </row>
    <row r="192" spans="1:11" ht="15">
      <c r="A192" s="54" t="str">
        <f t="shared" si="8"/>
        <v>FINANZASIMSS/INFONAVITIMSS/INFONAVIT</v>
      </c>
      <c r="B192" t="s">
        <v>2565</v>
      </c>
      <c r="C192" s="1">
        <v>45971</v>
      </c>
      <c r="D192" t="s">
        <v>23</v>
      </c>
      <c r="E192" t="s">
        <v>132</v>
      </c>
      <c r="F192" s="146" t="s">
        <v>132</v>
      </c>
      <c r="G192" s="146"/>
      <c r="H192" s="271" t="s">
        <v>4358</v>
      </c>
      <c r="I192" s="158"/>
      <c r="J192" s="158">
        <v>22021.09</v>
      </c>
      <c r="K192" s="158">
        <f t="shared" si="7"/>
        <v>558986.12000000011</v>
      </c>
    </row>
    <row r="193" spans="1:11" ht="15">
      <c r="A193" s="54" t="str">
        <f>D193&amp;E193&amp;F193</f>
        <v>FINANZASIMSS/INFONAVITIMSS/INFONAVIT</v>
      </c>
      <c r="B193" t="s">
        <v>2565</v>
      </c>
      <c r="C193" s="1">
        <v>45971</v>
      </c>
      <c r="D193" t="s">
        <v>23</v>
      </c>
      <c r="E193" t="s">
        <v>132</v>
      </c>
      <c r="F193" s="146" t="s">
        <v>132</v>
      </c>
      <c r="G193" s="146"/>
      <c r="H193" s="271" t="s">
        <v>4360</v>
      </c>
      <c r="I193" s="158"/>
      <c r="J193" s="158">
        <v>23513.93</v>
      </c>
      <c r="K193" s="158">
        <f t="shared" si="7"/>
        <v>535472.19000000006</v>
      </c>
    </row>
    <row r="194" spans="1:11" ht="15">
      <c r="A194" s="54" t="str">
        <f>D194&amp;E194&amp;F194</f>
        <v>FINANZASIMSS/INFONAVITIMSS/INFONAVIT</v>
      </c>
      <c r="B194" t="s">
        <v>2565</v>
      </c>
      <c r="C194" s="1">
        <v>45971</v>
      </c>
      <c r="D194" t="s">
        <v>23</v>
      </c>
      <c r="E194" t="s">
        <v>132</v>
      </c>
      <c r="F194" s="146" t="s">
        <v>132</v>
      </c>
      <c r="G194" s="146"/>
      <c r="H194" s="271" t="s">
        <v>4361</v>
      </c>
      <c r="I194" s="158"/>
      <c r="J194" s="158">
        <v>26655.33</v>
      </c>
      <c r="K194" s="158">
        <f t="shared" si="7"/>
        <v>508816.86000000004</v>
      </c>
    </row>
    <row r="195" spans="1:11" ht="15">
      <c r="A195" s="54" t="str">
        <f>D195&amp;E195&amp;F195</f>
        <v>FINANZASIMSS/INFONAVITIMSS/INFONAVIT</v>
      </c>
      <c r="B195" t="s">
        <v>2565</v>
      </c>
      <c r="C195" s="1">
        <v>45971</v>
      </c>
      <c r="D195" t="s">
        <v>23</v>
      </c>
      <c r="E195" t="s">
        <v>132</v>
      </c>
      <c r="F195" s="146" t="s">
        <v>132</v>
      </c>
      <c r="G195" s="146"/>
      <c r="H195" s="271" t="s">
        <v>4362</v>
      </c>
      <c r="I195" s="158"/>
      <c r="J195" s="158">
        <v>21709.62</v>
      </c>
      <c r="K195" s="158">
        <f t="shared" si="7"/>
        <v>487107.24000000005</v>
      </c>
    </row>
    <row r="196" spans="1:11" ht="15">
      <c r="A196" s="54" t="str">
        <f>D196&amp;E196&amp;F196</f>
        <v>FINANZASIMSS/INFONAVITIMSS/INFONAVIT</v>
      </c>
      <c r="B196" t="s">
        <v>2565</v>
      </c>
      <c r="C196" s="1">
        <v>45971</v>
      </c>
      <c r="D196" t="s">
        <v>23</v>
      </c>
      <c r="E196" t="s">
        <v>132</v>
      </c>
      <c r="F196" s="146" t="s">
        <v>132</v>
      </c>
      <c r="G196" s="146"/>
      <c r="H196" s="271" t="s">
        <v>4363</v>
      </c>
      <c r="I196" s="158"/>
      <c r="J196" s="158">
        <v>20069.09</v>
      </c>
      <c r="K196" s="158">
        <f t="shared" si="7"/>
        <v>467038.15</v>
      </c>
    </row>
    <row r="197" spans="1:11" ht="15">
      <c r="A197" s="54" t="str">
        <f>D197&amp;E197&amp;F197</f>
        <v>FINANZASIMSS/INFONAVITIMSS/INFONAVIT</v>
      </c>
      <c r="B197" t="s">
        <v>2565</v>
      </c>
      <c r="C197" s="1">
        <v>45971</v>
      </c>
      <c r="D197" t="s">
        <v>23</v>
      </c>
      <c r="E197" t="s">
        <v>132</v>
      </c>
      <c r="F197" s="146" t="s">
        <v>132</v>
      </c>
      <c r="G197" s="146"/>
      <c r="H197" s="271" t="s">
        <v>4364</v>
      </c>
      <c r="I197" s="158"/>
      <c r="J197" s="158">
        <v>22312.720000000001</v>
      </c>
      <c r="K197" s="158">
        <f t="shared" ref="K197:K253" si="9">K196+I197-J197</f>
        <v>444725.43000000005</v>
      </c>
    </row>
    <row r="198" spans="1:11" ht="15">
      <c r="A198" s="54" t="str">
        <f>D198&amp;E198&amp;F198</f>
        <v>FINANZASIMSS/INFONAVITIMSS/INFONAVIT</v>
      </c>
      <c r="B198" t="s">
        <v>2565</v>
      </c>
      <c r="C198" s="1">
        <v>45971</v>
      </c>
      <c r="D198" t="s">
        <v>23</v>
      </c>
      <c r="E198" t="s">
        <v>132</v>
      </c>
      <c r="F198" s="146" t="s">
        <v>132</v>
      </c>
      <c r="G198" s="146"/>
      <c r="H198" s="271" t="s">
        <v>4366</v>
      </c>
      <c r="I198" s="158"/>
      <c r="J198" s="158">
        <v>16626.939999999999</v>
      </c>
      <c r="K198" s="158">
        <f t="shared" si="9"/>
        <v>428098.49000000005</v>
      </c>
    </row>
    <row r="199" spans="1:11" ht="15">
      <c r="A199" s="54" t="str">
        <f>D199&amp;E199&amp;F199</f>
        <v>FINANZASIMSS/INFONAVITIMSS/INFONAVIT</v>
      </c>
      <c r="B199" t="s">
        <v>2565</v>
      </c>
      <c r="C199" s="1">
        <v>45971</v>
      </c>
      <c r="D199" t="s">
        <v>23</v>
      </c>
      <c r="E199" t="s">
        <v>132</v>
      </c>
      <c r="F199" s="146" t="s">
        <v>132</v>
      </c>
      <c r="G199" s="146"/>
      <c r="H199" s="271" t="s">
        <v>4367</v>
      </c>
      <c r="I199" s="158"/>
      <c r="J199" s="158">
        <v>57774.85</v>
      </c>
      <c r="K199" s="158">
        <f t="shared" si="9"/>
        <v>370323.64000000007</v>
      </c>
    </row>
    <row r="200" spans="1:11" ht="15">
      <c r="A200" s="54" t="str">
        <f>D200&amp;E200&amp;F200</f>
        <v>FINANZASIMSS/INFONAVITIMSS/INFONAVIT</v>
      </c>
      <c r="B200" t="s">
        <v>2565</v>
      </c>
      <c r="C200" s="1">
        <v>45971</v>
      </c>
      <c r="D200" t="s">
        <v>23</v>
      </c>
      <c r="E200" t="s">
        <v>132</v>
      </c>
      <c r="F200" s="146" t="s">
        <v>132</v>
      </c>
      <c r="G200" s="146"/>
      <c r="H200" s="271" t="s">
        <v>4369</v>
      </c>
      <c r="I200" s="158"/>
      <c r="J200" s="158">
        <v>20738</v>
      </c>
      <c r="K200" s="158">
        <f t="shared" si="9"/>
        <v>349585.64000000007</v>
      </c>
    </row>
    <row r="201" spans="1:11" ht="15">
      <c r="A201" s="54" t="str">
        <f>D201&amp;E201&amp;F201</f>
        <v>FINANZASIMSS/INFONAVITIMSS/INFONAVIT</v>
      </c>
      <c r="B201" t="s">
        <v>2565</v>
      </c>
      <c r="C201" s="1">
        <v>45971</v>
      </c>
      <c r="D201" t="s">
        <v>23</v>
      </c>
      <c r="E201" t="s">
        <v>132</v>
      </c>
      <c r="F201" s="146" t="s">
        <v>132</v>
      </c>
      <c r="G201" s="146"/>
      <c r="H201" s="271" t="s">
        <v>4370</v>
      </c>
      <c r="I201" s="158"/>
      <c r="J201" s="158">
        <v>22757.72</v>
      </c>
      <c r="K201" s="158">
        <f t="shared" si="9"/>
        <v>326827.92000000004</v>
      </c>
    </row>
    <row r="202" spans="1:11" ht="15">
      <c r="A202" s="54" t="str">
        <f>D202&amp;E202&amp;F202</f>
        <v>FINANZASIMSS/INFONAVITIMSS/INFONAVIT</v>
      </c>
      <c r="B202" t="s">
        <v>2565</v>
      </c>
      <c r="C202" s="1">
        <v>45971</v>
      </c>
      <c r="D202" t="s">
        <v>23</v>
      </c>
      <c r="E202" t="s">
        <v>132</v>
      </c>
      <c r="F202" s="146" t="s">
        <v>132</v>
      </c>
      <c r="G202" s="146"/>
      <c r="H202" s="271" t="s">
        <v>4371</v>
      </c>
      <c r="I202" s="158"/>
      <c r="J202" s="158">
        <v>85783.81</v>
      </c>
      <c r="K202" s="158">
        <f t="shared" si="9"/>
        <v>241044.11000000004</v>
      </c>
    </row>
    <row r="203" spans="1:11" ht="15">
      <c r="A203" s="54" t="str">
        <f>D203&amp;E203&amp;F203</f>
        <v>FINANZASIMSS/INFONAVITIMSS/INFONAVIT</v>
      </c>
      <c r="B203" t="s">
        <v>2565</v>
      </c>
      <c r="C203" s="1">
        <v>45971</v>
      </c>
      <c r="D203" t="s">
        <v>23</v>
      </c>
      <c r="E203" t="s">
        <v>132</v>
      </c>
      <c r="F203" s="146" t="s">
        <v>132</v>
      </c>
      <c r="G203" s="146"/>
      <c r="H203" s="271" t="s">
        <v>4372</v>
      </c>
      <c r="I203" s="158"/>
      <c r="J203" s="158">
        <v>52284.31</v>
      </c>
      <c r="K203" s="158">
        <f t="shared" si="9"/>
        <v>188759.80000000005</v>
      </c>
    </row>
    <row r="204" spans="1:11" ht="15">
      <c r="A204" s="54" t="str">
        <f>D204&amp;E204&amp;F204</f>
        <v>FINANZASIMSS/INFONAVITIMSS/INFONAVIT</v>
      </c>
      <c r="B204" t="s">
        <v>2565</v>
      </c>
      <c r="C204" s="1">
        <v>45971</v>
      </c>
      <c r="D204" t="s">
        <v>23</v>
      </c>
      <c r="E204" t="s">
        <v>132</v>
      </c>
      <c r="F204" s="146" t="s">
        <v>132</v>
      </c>
      <c r="G204" s="146"/>
      <c r="H204" s="271" t="s">
        <v>4374</v>
      </c>
      <c r="I204" s="158"/>
      <c r="J204" s="158">
        <v>12109.81</v>
      </c>
      <c r="K204" s="158">
        <f t="shared" si="9"/>
        <v>176649.99000000005</v>
      </c>
    </row>
    <row r="205" spans="1:11" ht="15">
      <c r="A205" s="54" t="str">
        <f>D205&amp;E205&amp;F205</f>
        <v>FINANZASIMSS/INFONAVITIMSS/INFONAVIT</v>
      </c>
      <c r="B205" t="s">
        <v>2565</v>
      </c>
      <c r="C205" s="1">
        <v>45971</v>
      </c>
      <c r="D205" t="s">
        <v>23</v>
      </c>
      <c r="E205" t="s">
        <v>132</v>
      </c>
      <c r="F205" s="146" t="s">
        <v>132</v>
      </c>
      <c r="G205" s="146"/>
      <c r="H205" s="271" t="s">
        <v>4373</v>
      </c>
      <c r="I205" s="158"/>
      <c r="J205" s="158">
        <v>17261.46</v>
      </c>
      <c r="K205" s="158">
        <f t="shared" si="9"/>
        <v>159388.53000000006</v>
      </c>
    </row>
    <row r="206" spans="1:11" ht="15">
      <c r="A206" s="54" t="str">
        <f>D206&amp;E206&amp;F206</f>
        <v>FINANZASIMSS/INFONAVITIMSS/INFONAVIT</v>
      </c>
      <c r="B206" t="s">
        <v>2565</v>
      </c>
      <c r="C206" s="1">
        <v>45971</v>
      </c>
      <c r="D206" t="s">
        <v>23</v>
      </c>
      <c r="E206" t="s">
        <v>132</v>
      </c>
      <c r="F206" s="146" t="s">
        <v>132</v>
      </c>
      <c r="G206" s="146"/>
      <c r="H206" s="271" t="s">
        <v>4380</v>
      </c>
      <c r="I206" s="158"/>
      <c r="J206" s="158">
        <v>163191</v>
      </c>
      <c r="K206" s="158">
        <f t="shared" si="9"/>
        <v>-3802.469999999943</v>
      </c>
    </row>
    <row r="207" spans="1:11" ht="15">
      <c r="A207" s="54" t="str">
        <f>D207&amp;E207&amp;F207</f>
        <v>FINANZASIMSS/INFONAVITIMSS/INFONAVIT</v>
      </c>
      <c r="B207" t="s">
        <v>2565</v>
      </c>
      <c r="C207" s="1">
        <v>45971</v>
      </c>
      <c r="D207" t="s">
        <v>23</v>
      </c>
      <c r="E207" t="s">
        <v>132</v>
      </c>
      <c r="F207" s="146" t="s">
        <v>132</v>
      </c>
      <c r="G207" s="146"/>
      <c r="H207" t="s">
        <v>4379</v>
      </c>
      <c r="J207" s="3">
        <v>7840</v>
      </c>
      <c r="K207" s="158">
        <f t="shared" si="9"/>
        <v>-11642.469999999943</v>
      </c>
    </row>
    <row r="208" spans="1:11" ht="15">
      <c r="A208" s="54"/>
      <c r="B208" t="s">
        <v>2565</v>
      </c>
      <c r="C208" s="1">
        <v>45979</v>
      </c>
      <c r="F208" s="146"/>
      <c r="G208" s="146"/>
      <c r="H208" t="s">
        <v>3452</v>
      </c>
      <c r="I208" s="3">
        <v>679000</v>
      </c>
      <c r="K208" s="158">
        <f t="shared" si="9"/>
        <v>667357.53</v>
      </c>
    </row>
    <row r="209" spans="1:11" ht="15">
      <c r="A209" s="54" t="str">
        <f>D209&amp;E209&amp;F209</f>
        <v>FINANZASIMSS/INFONAVITIMSS/INFONAVIT</v>
      </c>
      <c r="B209" t="s">
        <v>2565</v>
      </c>
      <c r="C209" s="1">
        <v>45972</v>
      </c>
      <c r="D209" t="s">
        <v>23</v>
      </c>
      <c r="E209" t="s">
        <v>132</v>
      </c>
      <c r="F209" s="146" t="s">
        <v>132</v>
      </c>
      <c r="G209" s="146"/>
      <c r="H209" s="271" t="s">
        <v>4359</v>
      </c>
      <c r="I209" s="158"/>
      <c r="J209" s="158">
        <v>210614.2</v>
      </c>
      <c r="K209" s="158">
        <f t="shared" si="9"/>
        <v>456743.33</v>
      </c>
    </row>
    <row r="210" spans="1:11" s="229" customFormat="1" ht="15">
      <c r="A210" s="54" t="str">
        <f>D210&amp;E210&amp;F210</f>
        <v>FINANZASIMSS/INFONAVITIMSS/INFONAVIT</v>
      </c>
      <c r="B210" s="229" t="s">
        <v>2565</v>
      </c>
      <c r="C210" s="244">
        <v>45972</v>
      </c>
      <c r="D210" s="229" t="s">
        <v>23</v>
      </c>
      <c r="E210" s="229" t="s">
        <v>132</v>
      </c>
      <c r="F210" s="158" t="s">
        <v>132</v>
      </c>
      <c r="G210" s="146"/>
      <c r="H210" s="477" t="s">
        <v>4365</v>
      </c>
      <c r="I210" s="158"/>
      <c r="J210" s="158">
        <v>456719.16</v>
      </c>
      <c r="K210" s="158">
        <f t="shared" si="9"/>
        <v>24.17000000004191</v>
      </c>
    </row>
    <row r="211" spans="1:11" ht="15">
      <c r="A211" s="54" t="str">
        <f t="shared" ref="A211:A253" si="10">D211&amp;E211&amp;F211</f>
        <v/>
      </c>
      <c r="B211" t="s">
        <v>2821</v>
      </c>
      <c r="C211" s="1">
        <v>46000</v>
      </c>
      <c r="F211" s="146"/>
      <c r="G211" s="146"/>
      <c r="H211" t="s">
        <v>3452</v>
      </c>
      <c r="I211" s="3">
        <v>250000</v>
      </c>
      <c r="K211" s="158">
        <f t="shared" si="9"/>
        <v>250024.17000000004</v>
      </c>
    </row>
    <row r="212" spans="1:11" ht="15">
      <c r="A212" s="54" t="str">
        <f t="shared" si="10"/>
        <v>FINANZASIMSS/INFONAVITIMSS/INFONAVIT</v>
      </c>
      <c r="B212" t="s">
        <v>2821</v>
      </c>
      <c r="C212" s="1">
        <v>46000</v>
      </c>
      <c r="D212" s="229" t="s">
        <v>23</v>
      </c>
      <c r="E212" s="229" t="s">
        <v>132</v>
      </c>
      <c r="F212" s="158" t="s">
        <v>132</v>
      </c>
      <c r="G212" s="146"/>
      <c r="H212" s="271" t="s">
        <v>4358</v>
      </c>
      <c r="I212" s="158"/>
      <c r="J212" s="3">
        <v>7111.67</v>
      </c>
      <c r="K212" s="158">
        <f t="shared" si="9"/>
        <v>242912.50000000003</v>
      </c>
    </row>
    <row r="213" spans="1:11" ht="15">
      <c r="A213" s="54" t="str">
        <f t="shared" si="10"/>
        <v>FINANZASIMSS/INFONAVITIMSS/INFONAVIT</v>
      </c>
      <c r="B213" t="s">
        <v>2821</v>
      </c>
      <c r="C213" s="1">
        <v>46000</v>
      </c>
      <c r="D213" s="229" t="s">
        <v>23</v>
      </c>
      <c r="E213" s="229" t="s">
        <v>132</v>
      </c>
      <c r="F213" s="158" t="s">
        <v>132</v>
      </c>
      <c r="G213" s="146"/>
      <c r="H213" s="271" t="s">
        <v>4359</v>
      </c>
      <c r="I213" s="158"/>
      <c r="J213" s="3">
        <v>67030.559999999998</v>
      </c>
      <c r="K213" s="158">
        <f t="shared" si="9"/>
        <v>175881.94000000003</v>
      </c>
    </row>
    <row r="214" spans="1:11" ht="15">
      <c r="A214" s="54" t="str">
        <f t="shared" si="10"/>
        <v>FINANZASIMSS/INFONAVITIMSS/INFONAVIT</v>
      </c>
      <c r="B214" t="s">
        <v>2821</v>
      </c>
      <c r="C214" s="1">
        <v>46000</v>
      </c>
      <c r="D214" s="229" t="s">
        <v>23</v>
      </c>
      <c r="E214" s="229" t="s">
        <v>132</v>
      </c>
      <c r="F214" s="158" t="s">
        <v>132</v>
      </c>
      <c r="G214" s="146"/>
      <c r="H214" s="271" t="s">
        <v>4360</v>
      </c>
      <c r="I214" s="158"/>
      <c r="J214" s="3">
        <v>7711.81</v>
      </c>
      <c r="K214" s="158">
        <f t="shared" si="9"/>
        <v>168170.13000000003</v>
      </c>
    </row>
    <row r="215" spans="1:11" ht="15">
      <c r="A215" s="54" t="str">
        <f t="shared" si="10"/>
        <v>FINANZASIMSS/INFONAVITIMSS/INFONAVIT</v>
      </c>
      <c r="B215" t="s">
        <v>2821</v>
      </c>
      <c r="C215" s="1">
        <v>46000</v>
      </c>
      <c r="D215" s="229" t="s">
        <v>23</v>
      </c>
      <c r="E215" s="229" t="s">
        <v>132</v>
      </c>
      <c r="F215" s="158" t="s">
        <v>132</v>
      </c>
      <c r="G215" s="146"/>
      <c r="H215" s="271" t="s">
        <v>4361</v>
      </c>
      <c r="I215" s="158"/>
      <c r="J215" s="3">
        <v>7708.07</v>
      </c>
      <c r="K215" s="158">
        <f t="shared" si="9"/>
        <v>160462.06000000003</v>
      </c>
    </row>
    <row r="216" spans="1:11" ht="15">
      <c r="A216" s="54" t="str">
        <f t="shared" si="10"/>
        <v>FINANZASIMSS/INFONAVITIMSS/INFONAVIT</v>
      </c>
      <c r="B216" t="s">
        <v>2821</v>
      </c>
      <c r="C216" s="1">
        <v>46000</v>
      </c>
      <c r="D216" s="229" t="s">
        <v>23</v>
      </c>
      <c r="E216" s="229" t="s">
        <v>132</v>
      </c>
      <c r="F216" s="158" t="s">
        <v>132</v>
      </c>
      <c r="G216" s="146"/>
      <c r="H216" s="271" t="s">
        <v>4362</v>
      </c>
      <c r="I216" s="158"/>
      <c r="J216" s="3">
        <v>6679.8</v>
      </c>
      <c r="K216" s="158">
        <f t="shared" si="9"/>
        <v>153782.26000000004</v>
      </c>
    </row>
    <row r="217" spans="1:11" ht="15">
      <c r="A217" s="54" t="str">
        <f t="shared" si="10"/>
        <v>FINANZASIMSS/INFONAVITIMSS/INFONAVIT</v>
      </c>
      <c r="B217" t="s">
        <v>2821</v>
      </c>
      <c r="C217" s="1">
        <v>46000</v>
      </c>
      <c r="D217" s="229" t="s">
        <v>23</v>
      </c>
      <c r="E217" s="229" t="s">
        <v>132</v>
      </c>
      <c r="F217" s="158" t="s">
        <v>132</v>
      </c>
      <c r="G217" s="146"/>
      <c r="H217" s="271" t="s">
        <v>4363</v>
      </c>
      <c r="I217" s="158"/>
      <c r="J217" s="3">
        <v>6897.49</v>
      </c>
      <c r="K217" s="158">
        <f t="shared" si="9"/>
        <v>146884.77000000005</v>
      </c>
    </row>
    <row r="218" spans="1:11" ht="15">
      <c r="A218" s="54" t="str">
        <f t="shared" si="10"/>
        <v>FINANZASIMSS/INFONAVITIMSS/INFONAVIT</v>
      </c>
      <c r="B218" t="s">
        <v>2821</v>
      </c>
      <c r="C218" s="1">
        <v>46000</v>
      </c>
      <c r="D218" s="229" t="s">
        <v>23</v>
      </c>
      <c r="E218" s="229" t="s">
        <v>132</v>
      </c>
      <c r="F218" s="158" t="s">
        <v>132</v>
      </c>
      <c r="G218" s="146"/>
      <c r="H218" s="271" t="s">
        <v>4364</v>
      </c>
      <c r="I218" s="158"/>
      <c r="J218" s="3">
        <v>7453.44</v>
      </c>
      <c r="K218" s="158">
        <f t="shared" si="9"/>
        <v>139431.33000000005</v>
      </c>
    </row>
    <row r="219" spans="1:11" ht="15">
      <c r="A219" s="54" t="str">
        <f t="shared" si="10"/>
        <v>FINANZASIMSS/INFONAVITIMSS/INFONAVIT</v>
      </c>
      <c r="B219" t="s">
        <v>2821</v>
      </c>
      <c r="C219" s="1">
        <v>46000</v>
      </c>
      <c r="D219" s="229" t="s">
        <v>23</v>
      </c>
      <c r="E219" s="229" t="s">
        <v>132</v>
      </c>
      <c r="F219" s="158" t="s">
        <v>132</v>
      </c>
      <c r="G219" s="146"/>
      <c r="H219" s="271" t="s">
        <v>4365</v>
      </c>
      <c r="I219" s="158"/>
      <c r="J219" s="3">
        <v>132469.4</v>
      </c>
      <c r="K219" s="158">
        <f t="shared" si="9"/>
        <v>6961.9300000000512</v>
      </c>
    </row>
    <row r="220" spans="1:11" ht="15">
      <c r="A220" s="54" t="str">
        <f t="shared" si="10"/>
        <v>FINANZASIMSS/INFONAVITIMSS/INFONAVIT</v>
      </c>
      <c r="B220" t="s">
        <v>2821</v>
      </c>
      <c r="C220" s="1">
        <v>46000</v>
      </c>
      <c r="D220" s="229" t="s">
        <v>23</v>
      </c>
      <c r="E220" s="229" t="s">
        <v>132</v>
      </c>
      <c r="F220" s="158" t="s">
        <v>132</v>
      </c>
      <c r="G220" s="146"/>
      <c r="H220" s="271" t="s">
        <v>4366</v>
      </c>
      <c r="I220" s="158"/>
      <c r="J220" s="3">
        <v>6428.14</v>
      </c>
      <c r="K220" s="158">
        <f t="shared" si="9"/>
        <v>533.7900000000509</v>
      </c>
    </row>
    <row r="221" spans="1:11">
      <c r="A221" s="54" t="str">
        <f t="shared" si="10"/>
        <v>FINANZASIMSS/INFONAVITIMSS/INFONAVIT</v>
      </c>
      <c r="B221" t="s">
        <v>2821</v>
      </c>
      <c r="C221" s="1">
        <v>46000</v>
      </c>
      <c r="D221" s="229" t="s">
        <v>23</v>
      </c>
      <c r="E221" s="229" t="s">
        <v>132</v>
      </c>
      <c r="F221" s="158" t="s">
        <v>132</v>
      </c>
      <c r="G221" s="146"/>
      <c r="H221" t="s">
        <v>4379</v>
      </c>
      <c r="I221" s="158"/>
      <c r="J221" s="498">
        <v>7840</v>
      </c>
      <c r="K221" s="158">
        <f t="shared" si="9"/>
        <v>-7306.2099999999491</v>
      </c>
    </row>
    <row r="222" spans="1:11">
      <c r="A222" s="54" t="str">
        <f t="shared" si="10"/>
        <v/>
      </c>
      <c r="B222" t="s">
        <v>2821</v>
      </c>
      <c r="C222" s="1">
        <v>46003</v>
      </c>
      <c r="F222" s="146"/>
      <c r="G222" s="146"/>
      <c r="H222" t="s">
        <v>3452</v>
      </c>
      <c r="I222" s="158">
        <v>150000</v>
      </c>
      <c r="J222" s="158"/>
      <c r="K222" s="158">
        <f t="shared" si="9"/>
        <v>142693.79000000004</v>
      </c>
    </row>
    <row r="223" spans="1:11" ht="15">
      <c r="A223" s="54" t="str">
        <f t="shared" si="10"/>
        <v>FINANZASIMSS/INFONAVITIMSS/INFONAVIT</v>
      </c>
      <c r="B223" t="s">
        <v>2821</v>
      </c>
      <c r="C223" s="1">
        <v>46007</v>
      </c>
      <c r="D223" s="229" t="s">
        <v>23</v>
      </c>
      <c r="E223" s="229" t="s">
        <v>132</v>
      </c>
      <c r="F223" s="158" t="s">
        <v>132</v>
      </c>
      <c r="G223" s="146"/>
      <c r="H223" s="271" t="s">
        <v>4367</v>
      </c>
      <c r="I223" s="158"/>
      <c r="J223" s="158">
        <v>13578.2</v>
      </c>
      <c r="K223" s="158">
        <f t="shared" si="9"/>
        <v>129115.59000000004</v>
      </c>
    </row>
    <row r="224" spans="1:11" ht="15">
      <c r="A224" s="54" t="str">
        <f t="shared" si="10"/>
        <v>FINANZASIMSS/INFONAVITIMSS/INFONAVIT</v>
      </c>
      <c r="B224" t="s">
        <v>2821</v>
      </c>
      <c r="C224" s="1">
        <v>46007</v>
      </c>
      <c r="D224" s="229" t="s">
        <v>23</v>
      </c>
      <c r="E224" s="229" t="s">
        <v>132</v>
      </c>
      <c r="F224" s="158" t="s">
        <v>132</v>
      </c>
      <c r="G224" s="146"/>
      <c r="H224" s="271" t="s">
        <v>4368</v>
      </c>
      <c r="I224" s="158"/>
      <c r="J224" s="158">
        <v>64739.53</v>
      </c>
      <c r="K224" s="158">
        <f t="shared" si="9"/>
        <v>64376.060000000041</v>
      </c>
    </row>
    <row r="225" spans="1:11" ht="15">
      <c r="A225" s="54" t="str">
        <f t="shared" si="10"/>
        <v>FINANZASIMSS/INFONAVITIMSS/INFONAVIT</v>
      </c>
      <c r="B225" t="s">
        <v>2821</v>
      </c>
      <c r="C225" s="1">
        <v>46007</v>
      </c>
      <c r="D225" s="229" t="s">
        <v>23</v>
      </c>
      <c r="E225" s="229" t="s">
        <v>132</v>
      </c>
      <c r="F225" s="158" t="s">
        <v>132</v>
      </c>
      <c r="G225" s="146"/>
      <c r="H225" s="271" t="s">
        <v>4369</v>
      </c>
      <c r="I225" s="158"/>
      <c r="J225" s="158">
        <v>8309.74</v>
      </c>
      <c r="K225" s="158">
        <f t="shared" si="9"/>
        <v>56066.320000000043</v>
      </c>
    </row>
    <row r="226" spans="1:11" ht="15">
      <c r="A226" s="54" t="str">
        <f t="shared" si="10"/>
        <v>FINANZASIMSS/INFONAVITIMSS/INFONAVIT</v>
      </c>
      <c r="B226" t="s">
        <v>2821</v>
      </c>
      <c r="C226" s="1">
        <v>46007</v>
      </c>
      <c r="D226" s="229" t="s">
        <v>23</v>
      </c>
      <c r="E226" s="229" t="s">
        <v>132</v>
      </c>
      <c r="F226" s="158" t="s">
        <v>132</v>
      </c>
      <c r="G226" s="146"/>
      <c r="H226" s="271" t="s">
        <v>4370</v>
      </c>
      <c r="I226" s="158"/>
      <c r="J226" s="158">
        <v>6336.74</v>
      </c>
      <c r="K226" s="158">
        <f t="shared" si="9"/>
        <v>49729.580000000045</v>
      </c>
    </row>
    <row r="227" spans="1:11" ht="15">
      <c r="A227" s="54" t="str">
        <f t="shared" si="10"/>
        <v>FINANZASIMSS/INFONAVITIMSS/INFONAVIT</v>
      </c>
      <c r="B227" t="s">
        <v>2821</v>
      </c>
      <c r="C227" s="1">
        <v>46007</v>
      </c>
      <c r="D227" s="229" t="s">
        <v>23</v>
      </c>
      <c r="E227" s="229" t="s">
        <v>132</v>
      </c>
      <c r="F227" s="158" t="s">
        <v>132</v>
      </c>
      <c r="G227" s="146"/>
      <c r="H227" s="271" t="s">
        <v>4371</v>
      </c>
      <c r="I227" s="158"/>
      <c r="J227" s="158">
        <v>26337.759999999998</v>
      </c>
      <c r="K227" s="158">
        <f t="shared" si="9"/>
        <v>23391.820000000047</v>
      </c>
    </row>
    <row r="228" spans="1:11" ht="15">
      <c r="A228" s="54" t="str">
        <f t="shared" si="10"/>
        <v>FINANZASIMSS/INFONAVITIMSS/INFONAVIT</v>
      </c>
      <c r="B228" t="s">
        <v>2821</v>
      </c>
      <c r="C228" s="1">
        <v>46007</v>
      </c>
      <c r="D228" s="229" t="s">
        <v>23</v>
      </c>
      <c r="E228" s="229" t="s">
        <v>132</v>
      </c>
      <c r="F228" s="158" t="s">
        <v>132</v>
      </c>
      <c r="G228" s="146"/>
      <c r="H228" s="271" t="s">
        <v>4372</v>
      </c>
      <c r="I228" s="158"/>
      <c r="J228" s="158">
        <v>12234.37</v>
      </c>
      <c r="K228" s="158">
        <f t="shared" si="9"/>
        <v>11157.450000000046</v>
      </c>
    </row>
    <row r="229" spans="1:11" ht="15">
      <c r="A229" s="54" t="str">
        <f t="shared" si="10"/>
        <v>FINANZASIMSS/INFONAVITIMSS/INFONAVIT</v>
      </c>
      <c r="B229" t="s">
        <v>2821</v>
      </c>
      <c r="C229" s="1">
        <v>46007</v>
      </c>
      <c r="D229" s="229" t="s">
        <v>23</v>
      </c>
      <c r="E229" s="229" t="s">
        <v>132</v>
      </c>
      <c r="F229" s="158" t="s">
        <v>132</v>
      </c>
      <c r="G229" s="146"/>
      <c r="H229" s="271" t="s">
        <v>4373</v>
      </c>
      <c r="I229" s="158"/>
      <c r="J229" s="158">
        <v>5375.99</v>
      </c>
      <c r="K229" s="158">
        <f t="shared" si="9"/>
        <v>5781.4600000000464</v>
      </c>
    </row>
    <row r="230" spans="1:11" ht="15">
      <c r="A230" s="54" t="str">
        <f t="shared" si="10"/>
        <v>FINANZASIMSS/INFONAVITIMSS/INFONAVIT</v>
      </c>
      <c r="B230" s="502" t="s">
        <v>2821</v>
      </c>
      <c r="C230" s="503">
        <v>46007</v>
      </c>
      <c r="D230" s="502" t="s">
        <v>23</v>
      </c>
      <c r="E230" s="502" t="s">
        <v>132</v>
      </c>
      <c r="F230" s="543" t="s">
        <v>132</v>
      </c>
      <c r="G230" s="544"/>
      <c r="H230" s="545" t="s">
        <v>4374</v>
      </c>
      <c r="I230" s="543"/>
      <c r="J230" s="543">
        <v>3915.25</v>
      </c>
      <c r="K230" s="543">
        <f t="shared" si="9"/>
        <v>1866.2100000000464</v>
      </c>
    </row>
    <row r="231" spans="1:11">
      <c r="A231" s="54" t="str">
        <f>D231&amp;E231&amp;F231</f>
        <v>FINANZASIMSS/INFONAVITIMSS/INFONAVIT</v>
      </c>
      <c r="B231" t="s">
        <v>3214</v>
      </c>
      <c r="C231" s="1">
        <v>46036</v>
      </c>
      <c r="D231" t="s">
        <v>23</v>
      </c>
      <c r="E231" s="229" t="s">
        <v>132</v>
      </c>
      <c r="F231" s="158" t="s">
        <v>132</v>
      </c>
      <c r="G231" s="146"/>
      <c r="H231" t="s">
        <v>4381</v>
      </c>
      <c r="I231" s="158"/>
      <c r="J231" s="158">
        <v>7840</v>
      </c>
      <c r="K231" s="158">
        <f t="shared" si="9"/>
        <v>-5973.7899999999536</v>
      </c>
    </row>
    <row r="232" spans="1:11" ht="15">
      <c r="A232" s="54" t="str">
        <f t="shared" ref="A232:A240" si="11">D232&amp;E232&amp;F232</f>
        <v>FINANZASIMSS/INFONAVITIMSS/INFONAVIT</v>
      </c>
      <c r="B232" t="s">
        <v>3214</v>
      </c>
      <c r="C232" s="1">
        <v>46041</v>
      </c>
      <c r="D232" t="s">
        <v>23</v>
      </c>
      <c r="E232" s="229" t="s">
        <v>132</v>
      </c>
      <c r="F232" s="158" t="s">
        <v>132</v>
      </c>
      <c r="G232" s="146"/>
      <c r="H232" t="s">
        <v>4382</v>
      </c>
      <c r="I232" s="158"/>
      <c r="J232" s="158">
        <v>23513.96</v>
      </c>
      <c r="K232" s="158">
        <f t="shared" si="9"/>
        <v>-29487.749999999953</v>
      </c>
    </row>
    <row r="233" spans="1:11" ht="15">
      <c r="A233" s="54" t="str">
        <f t="shared" si="11"/>
        <v>FINANZASIMSS/INFONAVITIMSS/INFONAVIT</v>
      </c>
      <c r="B233" t="s">
        <v>3214</v>
      </c>
      <c r="C233" s="1">
        <v>46041</v>
      </c>
      <c r="D233" t="s">
        <v>23</v>
      </c>
      <c r="E233" s="229" t="s">
        <v>132</v>
      </c>
      <c r="F233" s="158" t="s">
        <v>132</v>
      </c>
      <c r="G233" s="146"/>
      <c r="H233" t="s">
        <v>4383</v>
      </c>
      <c r="I233" s="158"/>
      <c r="J233" s="158">
        <v>4524.13</v>
      </c>
      <c r="K233" s="158">
        <f t="shared" si="9"/>
        <v>-34011.879999999954</v>
      </c>
    </row>
    <row r="234" spans="1:11" ht="15">
      <c r="A234" s="54" t="str">
        <f t="shared" si="11"/>
        <v>FINANZASIMSS/INFONAVITIMSS/INFONAVIT</v>
      </c>
      <c r="B234" t="s">
        <v>3214</v>
      </c>
      <c r="C234" s="1">
        <v>46041</v>
      </c>
      <c r="D234" t="s">
        <v>23</v>
      </c>
      <c r="E234" s="229" t="s">
        <v>132</v>
      </c>
      <c r="F234" s="158" t="s">
        <v>132</v>
      </c>
      <c r="G234" s="146"/>
      <c r="H234" s="271" t="s">
        <v>4367</v>
      </c>
      <c r="I234" s="158"/>
      <c r="J234" s="158">
        <v>54485.87</v>
      </c>
      <c r="K234" s="158">
        <f t="shared" si="9"/>
        <v>-88497.749999999956</v>
      </c>
    </row>
    <row r="235" spans="1:11" ht="15">
      <c r="A235" s="54" t="str">
        <f t="shared" si="11"/>
        <v>FINANZASIMSS/INFONAVITIMSS/INFONAVIT</v>
      </c>
      <c r="B235" t="s">
        <v>3214</v>
      </c>
      <c r="C235" s="1">
        <v>46041</v>
      </c>
      <c r="D235" t="s">
        <v>23</v>
      </c>
      <c r="E235" s="229" t="s">
        <v>132</v>
      </c>
      <c r="F235" s="158" t="s">
        <v>132</v>
      </c>
      <c r="G235" s="146"/>
      <c r="H235" s="271" t="s">
        <v>4369</v>
      </c>
      <c r="I235" s="158"/>
      <c r="J235" s="158">
        <v>26741.57</v>
      </c>
      <c r="K235" s="158">
        <f t="shared" si="9"/>
        <v>-115239.31999999995</v>
      </c>
    </row>
    <row r="236" spans="1:11" ht="15">
      <c r="A236" s="54" t="str">
        <f t="shared" si="11"/>
        <v>FINANZASIMSS/INFONAVITIMSS/INFONAVIT</v>
      </c>
      <c r="B236" t="s">
        <v>3214</v>
      </c>
      <c r="C236" s="1">
        <v>46041</v>
      </c>
      <c r="D236" t="s">
        <v>23</v>
      </c>
      <c r="E236" s="229" t="s">
        <v>132</v>
      </c>
      <c r="F236" s="158" t="s">
        <v>132</v>
      </c>
      <c r="G236" s="146"/>
      <c r="H236" s="271" t="s">
        <v>4370</v>
      </c>
      <c r="I236" s="158"/>
      <c r="J236" s="158">
        <v>23956.37</v>
      </c>
      <c r="K236" s="158">
        <f t="shared" si="9"/>
        <v>-139195.68999999994</v>
      </c>
    </row>
    <row r="237" spans="1:11" ht="15">
      <c r="A237" s="54" t="str">
        <f t="shared" si="11"/>
        <v>FINANZASIMSS/INFONAVITIMSS/INFONAVIT</v>
      </c>
      <c r="B237" t="s">
        <v>3214</v>
      </c>
      <c r="C237" s="1">
        <v>46041</v>
      </c>
      <c r="D237" t="s">
        <v>23</v>
      </c>
      <c r="E237" s="229" t="s">
        <v>132</v>
      </c>
      <c r="F237" s="158" t="s">
        <v>132</v>
      </c>
      <c r="G237" s="146"/>
      <c r="H237" s="271" t="s">
        <v>4371</v>
      </c>
      <c r="I237" s="158"/>
      <c r="J237" s="158">
        <v>94181.25</v>
      </c>
      <c r="K237" s="158">
        <f t="shared" si="9"/>
        <v>-233376.93999999994</v>
      </c>
    </row>
    <row r="238" spans="1:11" ht="15">
      <c r="A238" s="54" t="str">
        <f t="shared" si="11"/>
        <v>FINANZASIMSS/INFONAVITIMSS/INFONAVIT</v>
      </c>
      <c r="B238" t="s">
        <v>3214</v>
      </c>
      <c r="C238" s="1">
        <v>46041</v>
      </c>
      <c r="D238" t="s">
        <v>23</v>
      </c>
      <c r="E238" s="229" t="s">
        <v>132</v>
      </c>
      <c r="F238" s="158" t="s">
        <v>132</v>
      </c>
      <c r="G238" s="146"/>
      <c r="H238" s="271" t="s">
        <v>4368</v>
      </c>
      <c r="J238" s="158">
        <v>215905.68</v>
      </c>
      <c r="K238" s="158">
        <f t="shared" si="9"/>
        <v>-449282.61999999994</v>
      </c>
    </row>
    <row r="239" spans="1:11" ht="15">
      <c r="A239" s="54" t="str">
        <f t="shared" si="11"/>
        <v>FINANZASIMSS/INFONAVITIMSS/INFONAVIT</v>
      </c>
      <c r="B239" t="s">
        <v>3214</v>
      </c>
      <c r="C239" s="1">
        <v>46041</v>
      </c>
      <c r="D239" t="s">
        <v>23</v>
      </c>
      <c r="E239" s="229" t="s">
        <v>132</v>
      </c>
      <c r="F239" s="158" t="s">
        <v>132</v>
      </c>
      <c r="G239" s="146"/>
      <c r="H239" s="271" t="s">
        <v>4372</v>
      </c>
      <c r="I239" s="158"/>
      <c r="J239" s="158">
        <v>49145.27</v>
      </c>
      <c r="K239" s="158">
        <f t="shared" si="9"/>
        <v>-498427.88999999996</v>
      </c>
    </row>
    <row r="240" spans="1:11" ht="15">
      <c r="A240" s="54" t="str">
        <f t="shared" si="11"/>
        <v>FINANZASIMSS/INFONAVITIMSS/INFONAVIT</v>
      </c>
      <c r="B240" t="s">
        <v>3214</v>
      </c>
      <c r="C240" s="1">
        <v>46041</v>
      </c>
      <c r="D240" t="s">
        <v>23</v>
      </c>
      <c r="E240" s="229" t="s">
        <v>132</v>
      </c>
      <c r="F240" s="158" t="s">
        <v>132</v>
      </c>
      <c r="G240" s="146"/>
      <c r="H240" t="s">
        <v>4384</v>
      </c>
      <c r="I240" s="158"/>
      <c r="J240" s="158">
        <v>33556.47</v>
      </c>
      <c r="K240" s="158">
        <f t="shared" si="9"/>
        <v>-531984.36</v>
      </c>
    </row>
    <row r="241" spans="1:11" ht="15">
      <c r="A241" s="54" t="str">
        <f t="shared" si="10"/>
        <v/>
      </c>
      <c r="B241" t="s">
        <v>3214</v>
      </c>
      <c r="C241" s="1">
        <v>46042</v>
      </c>
      <c r="E241" s="229"/>
      <c r="F241" s="158"/>
      <c r="G241" s="146"/>
      <c r="H241" t="s">
        <v>3452</v>
      </c>
      <c r="I241" s="158">
        <v>1427200</v>
      </c>
      <c r="J241" s="158"/>
      <c r="K241" s="158">
        <f t="shared" si="9"/>
        <v>895215.64</v>
      </c>
    </row>
    <row r="242" spans="1:11" ht="15">
      <c r="A242" s="54" t="str">
        <f t="shared" si="10"/>
        <v>FINANZASIMSS/INFONAVITIMSS/INFONAVIT</v>
      </c>
      <c r="B242" t="s">
        <v>3214</v>
      </c>
      <c r="C242" s="1">
        <v>46042</v>
      </c>
      <c r="D242" t="s">
        <v>23</v>
      </c>
      <c r="E242" s="229" t="s">
        <v>132</v>
      </c>
      <c r="F242" s="158" t="s">
        <v>132</v>
      </c>
      <c r="G242" s="146"/>
      <c r="H242" s="271" t="s">
        <v>4358</v>
      </c>
      <c r="I242" s="447"/>
      <c r="J242" s="158">
        <v>20829.93</v>
      </c>
      <c r="K242" s="158">
        <f t="shared" si="9"/>
        <v>874385.71</v>
      </c>
    </row>
    <row r="243" spans="1:11" ht="15">
      <c r="A243" s="54" t="str">
        <f t="shared" si="10"/>
        <v>FINANZASIMSS/INFONAVITIMSS/INFONAVIT</v>
      </c>
      <c r="B243" t="s">
        <v>3214</v>
      </c>
      <c r="C243" s="1">
        <v>46042</v>
      </c>
      <c r="D243" t="s">
        <v>23</v>
      </c>
      <c r="E243" s="229" t="s">
        <v>132</v>
      </c>
      <c r="F243" s="158" t="s">
        <v>132</v>
      </c>
      <c r="G243" s="146"/>
      <c r="H243" s="271" t="s">
        <v>4359</v>
      </c>
      <c r="I243" s="447"/>
      <c r="J243" s="158">
        <v>219329.22</v>
      </c>
      <c r="K243" s="158">
        <f t="shared" si="9"/>
        <v>655056.49</v>
      </c>
    </row>
    <row r="244" spans="1:11" ht="15">
      <c r="A244" s="54" t="str">
        <f t="shared" si="10"/>
        <v>FINANZASIMSS/INFONAVITIMSS/INFONAVIT</v>
      </c>
      <c r="B244" t="s">
        <v>3214</v>
      </c>
      <c r="C244" s="1">
        <v>46042</v>
      </c>
      <c r="D244" t="s">
        <v>23</v>
      </c>
      <c r="E244" s="229" t="s">
        <v>132</v>
      </c>
      <c r="F244" s="158" t="s">
        <v>132</v>
      </c>
      <c r="G244" s="146"/>
      <c r="H244" s="271" t="s">
        <v>4360</v>
      </c>
      <c r="I244" s="447"/>
      <c r="J244" s="158"/>
      <c r="K244" s="158">
        <f t="shared" si="9"/>
        <v>655056.49</v>
      </c>
    </row>
    <row r="245" spans="1:11" ht="15">
      <c r="A245" s="54" t="str">
        <f t="shared" si="10"/>
        <v>FINANZASIMSS/INFONAVITIMSS/INFONAVIT</v>
      </c>
      <c r="B245" t="s">
        <v>3214</v>
      </c>
      <c r="C245" s="1">
        <v>46042</v>
      </c>
      <c r="D245" t="s">
        <v>23</v>
      </c>
      <c r="E245" s="229" t="s">
        <v>132</v>
      </c>
      <c r="F245" s="158" t="s">
        <v>132</v>
      </c>
      <c r="G245" s="146"/>
      <c r="H245" s="271" t="s">
        <v>4361</v>
      </c>
      <c r="I245" s="447"/>
      <c r="J245" s="158">
        <v>29247.73</v>
      </c>
      <c r="K245" s="158">
        <f t="shared" si="9"/>
        <v>625808.76</v>
      </c>
    </row>
    <row r="246" spans="1:11" ht="15">
      <c r="A246" s="54" t="str">
        <f t="shared" si="10"/>
        <v>FINANZASIMSS/INFONAVITIMSS/INFONAVIT</v>
      </c>
      <c r="B246" t="s">
        <v>3214</v>
      </c>
      <c r="C246" s="1">
        <v>46042</v>
      </c>
      <c r="D246" t="s">
        <v>23</v>
      </c>
      <c r="E246" s="229" t="s">
        <v>132</v>
      </c>
      <c r="F246" s="158" t="s">
        <v>132</v>
      </c>
      <c r="G246" s="146"/>
      <c r="H246" s="271" t="s">
        <v>4362</v>
      </c>
      <c r="I246" s="447"/>
      <c r="J246" s="158">
        <v>22110.400000000001</v>
      </c>
      <c r="K246" s="158">
        <f t="shared" si="9"/>
        <v>603698.36</v>
      </c>
    </row>
    <row r="247" spans="1:11" ht="15">
      <c r="A247" s="54" t="str">
        <f t="shared" si="10"/>
        <v>FINANZASIMSS/INFONAVITIMSS/INFONAVIT</v>
      </c>
      <c r="B247" t="s">
        <v>3214</v>
      </c>
      <c r="C247" s="1">
        <v>46042</v>
      </c>
      <c r="D247" t="s">
        <v>23</v>
      </c>
      <c r="E247" s="229" t="s">
        <v>132</v>
      </c>
      <c r="F247" s="158" t="s">
        <v>132</v>
      </c>
      <c r="G247" s="146"/>
      <c r="H247" s="271" t="s">
        <v>4363</v>
      </c>
      <c r="I247" s="447"/>
      <c r="J247" s="158">
        <v>20364.150000000001</v>
      </c>
      <c r="K247" s="158">
        <f t="shared" si="9"/>
        <v>583334.21</v>
      </c>
    </row>
    <row r="248" spans="1:11" ht="15">
      <c r="A248" s="54" t="str">
        <f t="shared" si="10"/>
        <v>FINANZASIMSS/INFONAVITIMSS/INFONAVIT</v>
      </c>
      <c r="B248" t="s">
        <v>3214</v>
      </c>
      <c r="C248" s="1">
        <v>46042</v>
      </c>
      <c r="D248" t="s">
        <v>23</v>
      </c>
      <c r="E248" s="229" t="s">
        <v>132</v>
      </c>
      <c r="F248" s="158" t="s">
        <v>132</v>
      </c>
      <c r="G248" s="146"/>
      <c r="H248" s="271" t="s">
        <v>4364</v>
      </c>
      <c r="I248" s="447"/>
      <c r="J248" s="158">
        <v>20912.45</v>
      </c>
      <c r="K248" s="158">
        <f t="shared" si="9"/>
        <v>562421.76000000001</v>
      </c>
    </row>
    <row r="249" spans="1:11" ht="15">
      <c r="A249" s="54" t="str">
        <f t="shared" si="10"/>
        <v>FINANZASIMSS/INFONAVITIMSS/INFONAVIT</v>
      </c>
      <c r="B249" t="s">
        <v>3214</v>
      </c>
      <c r="C249" s="1">
        <v>46042</v>
      </c>
      <c r="D249" t="s">
        <v>23</v>
      </c>
      <c r="E249" s="229" t="s">
        <v>132</v>
      </c>
      <c r="F249" s="158" t="s">
        <v>132</v>
      </c>
      <c r="G249" s="146"/>
      <c r="H249" s="271" t="s">
        <v>4365</v>
      </c>
      <c r="I249" s="447"/>
      <c r="J249" s="158">
        <v>427096.83</v>
      </c>
      <c r="K249" s="158">
        <f t="shared" si="9"/>
        <v>135324.93</v>
      </c>
    </row>
    <row r="250" spans="1:11" ht="15">
      <c r="A250" s="54" t="str">
        <f t="shared" si="10"/>
        <v>FINANZASIMSS/INFONAVITIMSS/INFONAVIT</v>
      </c>
      <c r="B250" t="s">
        <v>3214</v>
      </c>
      <c r="C250" s="1">
        <v>46042</v>
      </c>
      <c r="D250" t="s">
        <v>23</v>
      </c>
      <c r="E250" s="229" t="s">
        <v>132</v>
      </c>
      <c r="F250" s="158" t="s">
        <v>132</v>
      </c>
      <c r="G250" s="146"/>
      <c r="H250" s="271" t="s">
        <v>4366</v>
      </c>
      <c r="I250" s="447"/>
      <c r="J250" s="158">
        <v>19891.93</v>
      </c>
      <c r="K250" s="158">
        <f t="shared" si="9"/>
        <v>115433</v>
      </c>
    </row>
    <row r="251" spans="1:11" ht="15">
      <c r="A251" s="54" t="str">
        <f t="shared" si="10"/>
        <v>FINANZASIMSS/INFONAVITIMSS/INFONAVIT</v>
      </c>
      <c r="B251" t="s">
        <v>3214</v>
      </c>
      <c r="C251" s="1">
        <v>46042</v>
      </c>
      <c r="D251" t="s">
        <v>23</v>
      </c>
      <c r="E251" s="229" t="s">
        <v>132</v>
      </c>
      <c r="F251" s="158" t="s">
        <v>132</v>
      </c>
      <c r="G251" s="146"/>
      <c r="H251" t="s">
        <v>4385</v>
      </c>
      <c r="J251" s="158">
        <v>62807.56</v>
      </c>
      <c r="K251" s="158">
        <f t="shared" si="9"/>
        <v>52625.440000000002</v>
      </c>
    </row>
    <row r="252" spans="1:11" ht="15">
      <c r="A252" s="54" t="str">
        <f t="shared" si="10"/>
        <v>FINANZASIMSS/INFONAVITIMSS/INFONAVIT</v>
      </c>
      <c r="B252" t="s">
        <v>3214</v>
      </c>
      <c r="C252" s="1">
        <v>46042</v>
      </c>
      <c r="D252" t="s">
        <v>23</v>
      </c>
      <c r="E252" s="229" t="s">
        <v>132</v>
      </c>
      <c r="F252" s="158" t="s">
        <v>132</v>
      </c>
      <c r="G252" s="146"/>
      <c r="H252" t="s">
        <v>4386</v>
      </c>
      <c r="J252" s="158">
        <v>16956.78</v>
      </c>
      <c r="K252" s="158">
        <f t="shared" si="9"/>
        <v>35668.660000000003</v>
      </c>
    </row>
    <row r="253" spans="1:11" ht="15">
      <c r="A253" s="54" t="str">
        <f t="shared" si="10"/>
        <v>FINANZASIMSS/INFONAVITIMSS/INFONAVIT</v>
      </c>
      <c r="B253" t="s">
        <v>3214</v>
      </c>
      <c r="C253" s="1">
        <v>46042</v>
      </c>
      <c r="D253" t="s">
        <v>23</v>
      </c>
      <c r="E253" s="229" t="s">
        <v>132</v>
      </c>
      <c r="F253" s="158" t="s">
        <v>132</v>
      </c>
      <c r="G253" s="146"/>
      <c r="H253" t="s">
        <v>4387</v>
      </c>
      <c r="J253" s="158">
        <v>35625.71</v>
      </c>
      <c r="K253" s="158">
        <f t="shared" si="9"/>
        <v>42.950000000004366</v>
      </c>
    </row>
    <row r="254" spans="1:11" ht="15">
      <c r="A254" s="137" t="str">
        <f>D254&amp;E254&amp;F254</f>
        <v/>
      </c>
      <c r="B254" t="s">
        <v>3214</v>
      </c>
      <c r="C254" s="1">
        <v>46042</v>
      </c>
      <c r="F254" s="146"/>
      <c r="G254" s="146"/>
      <c r="J254" s="158"/>
      <c r="K254" s="158"/>
    </row>
    <row r="255" spans="1:11" ht="15">
      <c r="A255" s="137" t="str">
        <f>D255&amp;E255&amp;F255</f>
        <v/>
      </c>
      <c r="B255" t="s">
        <v>3214</v>
      </c>
      <c r="C255" s="1">
        <v>46042</v>
      </c>
      <c r="F255" s="146"/>
      <c r="G255" s="146"/>
      <c r="I255" s="158"/>
      <c r="J255" s="158"/>
      <c r="K255" s="160"/>
    </row>
    <row r="256" spans="1:11" ht="15">
      <c r="A256" s="137" t="str">
        <f>D256&amp;E256&amp;F256</f>
        <v/>
      </c>
      <c r="B256" t="s">
        <v>3214</v>
      </c>
      <c r="C256" s="1">
        <v>46042</v>
      </c>
      <c r="F256" s="146"/>
      <c r="G256" s="146"/>
      <c r="I256" s="158"/>
      <c r="J256" s="158"/>
      <c r="K256" s="160"/>
    </row>
    <row r="257" spans="1:11" ht="15">
      <c r="A257" s="137" t="str">
        <f>D257&amp;E257&amp;F257</f>
        <v/>
      </c>
      <c r="B257" t="s">
        <v>3214</v>
      </c>
      <c r="C257" s="1">
        <v>46042</v>
      </c>
      <c r="F257" s="146"/>
      <c r="G257" s="146"/>
      <c r="I257" s="158"/>
      <c r="J257" s="158"/>
      <c r="K257" s="160"/>
    </row>
    <row r="258" spans="1:11" ht="15">
      <c r="A258" s="137" t="str">
        <f>D258&amp;E258&amp;F258</f>
        <v/>
      </c>
      <c r="B258" t="s">
        <v>3214</v>
      </c>
      <c r="C258" s="1">
        <v>46042</v>
      </c>
      <c r="F258" s="146"/>
      <c r="G258" s="146"/>
      <c r="I258" s="158"/>
      <c r="J258" s="158"/>
      <c r="K258" s="160"/>
    </row>
    <row r="259" spans="1:11" ht="15">
      <c r="A259" s="137" t="str">
        <f>D259&amp;E259&amp;F259</f>
        <v/>
      </c>
      <c r="B259" t="s">
        <v>3214</v>
      </c>
      <c r="C259" s="1">
        <v>46042</v>
      </c>
      <c r="F259" s="146"/>
      <c r="G259" s="146"/>
      <c r="I259" s="158"/>
      <c r="J259" s="158"/>
      <c r="K259" s="160"/>
    </row>
    <row r="260" spans="1:11" ht="15">
      <c r="A260" s="137" t="str">
        <f>D260&amp;E260&amp;F260</f>
        <v/>
      </c>
      <c r="B260" t="s">
        <v>3214</v>
      </c>
      <c r="C260" s="1">
        <v>46042</v>
      </c>
      <c r="F260" s="146"/>
      <c r="G260" s="146"/>
      <c r="I260" s="158"/>
      <c r="J260" s="158"/>
      <c r="K260" s="160"/>
    </row>
    <row r="261" spans="1:11" ht="15">
      <c r="A261" s="137" t="str">
        <f>D261&amp;E261&amp;F261</f>
        <v/>
      </c>
      <c r="B261" t="s">
        <v>3214</v>
      </c>
      <c r="C261" s="1"/>
      <c r="F261" s="146"/>
      <c r="G261" s="146"/>
      <c r="I261" s="158"/>
      <c r="J261" s="158"/>
      <c r="K261" s="160"/>
    </row>
    <row r="262" spans="1:11" ht="15">
      <c r="A262" s="137" t="str">
        <f>D262&amp;E262&amp;F262</f>
        <v/>
      </c>
      <c r="B262" t="s">
        <v>3214</v>
      </c>
      <c r="C262" s="1"/>
      <c r="F262" s="146"/>
      <c r="G262" s="146"/>
      <c r="I262" s="158"/>
      <c r="J262" s="158"/>
      <c r="K262" s="160"/>
    </row>
    <row r="263" spans="1:11" ht="15">
      <c r="A263" s="137" t="str">
        <f>D263&amp;E263&amp;F263</f>
        <v/>
      </c>
      <c r="C263" s="1"/>
      <c r="F263" s="146"/>
      <c r="G263" s="146"/>
      <c r="I263" s="158"/>
      <c r="J263" s="158"/>
      <c r="K263" s="160"/>
    </row>
    <row r="264" spans="1:11" ht="15">
      <c r="A264" s="137" t="str">
        <f>D264&amp;E264&amp;F264</f>
        <v/>
      </c>
      <c r="C264" s="1"/>
      <c r="F264" s="146"/>
      <c r="G264" s="146"/>
      <c r="I264" s="158"/>
      <c r="J264" s="158"/>
      <c r="K264" s="160"/>
    </row>
    <row r="265" spans="1:11" ht="15">
      <c r="A265" s="137" t="str">
        <f>D265&amp;E265&amp;F265</f>
        <v/>
      </c>
      <c r="C265" s="1"/>
      <c r="F265" s="146"/>
      <c r="G265" s="146"/>
      <c r="I265" s="158"/>
      <c r="J265" s="158"/>
      <c r="K265" s="160"/>
    </row>
    <row r="266" spans="1:11" ht="15">
      <c r="A266" s="137" t="str">
        <f>D266&amp;E266&amp;F266</f>
        <v/>
      </c>
      <c r="C266" s="1"/>
      <c r="F266" s="146"/>
      <c r="G266" s="146"/>
      <c r="I266" s="158"/>
      <c r="J266" s="158"/>
      <c r="K266" s="160"/>
    </row>
    <row r="267" spans="1:11" ht="15">
      <c r="A267" s="137" t="str">
        <f>D267&amp;E267&amp;F267</f>
        <v/>
      </c>
      <c r="C267" s="1"/>
      <c r="F267" s="146"/>
      <c r="G267" s="146"/>
      <c r="I267" s="158"/>
      <c r="J267" s="158"/>
      <c r="K267" s="160"/>
    </row>
    <row r="268" spans="1:11" ht="15">
      <c r="A268" s="137" t="str">
        <f>D268&amp;E268&amp;F268</f>
        <v/>
      </c>
      <c r="C268" s="1"/>
      <c r="F268" s="146"/>
      <c r="G268" s="146"/>
      <c r="I268" s="158"/>
      <c r="J268" s="158"/>
      <c r="K268" s="160"/>
    </row>
    <row r="269" spans="1:11" ht="15">
      <c r="A269" s="137" t="str">
        <f>D269&amp;E269&amp;F269</f>
        <v/>
      </c>
      <c r="C269" s="1"/>
      <c r="F269" s="146"/>
      <c r="G269" s="146"/>
      <c r="I269" s="158"/>
      <c r="J269" s="158"/>
      <c r="K269" s="160"/>
    </row>
    <row r="270" spans="1:11" ht="15">
      <c r="A270" s="137" t="str">
        <f>D270&amp;E270&amp;F270</f>
        <v/>
      </c>
      <c r="C270" s="1"/>
      <c r="F270" s="146"/>
      <c r="G270" s="146"/>
      <c r="I270" s="158"/>
      <c r="J270" s="158"/>
      <c r="K270" s="160"/>
    </row>
    <row r="271" spans="1:11" ht="15">
      <c r="A271" s="137" t="str">
        <f>D271&amp;E271&amp;F271</f>
        <v/>
      </c>
      <c r="C271" s="1"/>
      <c r="F271" s="146"/>
      <c r="G271" s="146"/>
      <c r="I271" s="158"/>
      <c r="J271" s="158"/>
      <c r="K271" s="160"/>
    </row>
    <row r="272" spans="1:11" ht="15">
      <c r="A272" s="137" t="str">
        <f>D272&amp;E272&amp;F272</f>
        <v/>
      </c>
      <c r="C272" s="1"/>
      <c r="F272" s="146"/>
      <c r="G272" s="146"/>
      <c r="I272" s="158"/>
      <c r="J272" s="158"/>
      <c r="K272" s="160"/>
    </row>
    <row r="273" spans="1:11" ht="15">
      <c r="A273" s="137" t="str">
        <f>D273&amp;E273&amp;F273</f>
        <v/>
      </c>
      <c r="C273" s="1"/>
      <c r="F273" s="146"/>
      <c r="G273" s="146"/>
      <c r="I273" s="158"/>
      <c r="J273" s="158"/>
      <c r="K273" s="160"/>
    </row>
    <row r="274" spans="1:11" ht="15">
      <c r="A274" s="137" t="str">
        <f>D274&amp;E274&amp;F274</f>
        <v/>
      </c>
      <c r="C274" s="1"/>
      <c r="F274" s="146"/>
      <c r="G274" s="146"/>
      <c r="I274" s="158"/>
      <c r="J274" s="158"/>
      <c r="K274" s="160"/>
    </row>
    <row r="275" spans="1:11" ht="15">
      <c r="A275" s="137" t="str">
        <f>D275&amp;E275&amp;F275</f>
        <v/>
      </c>
      <c r="C275" s="1"/>
      <c r="F275" s="146"/>
      <c r="G275" s="146"/>
      <c r="I275" s="158"/>
      <c r="J275" s="158"/>
      <c r="K275" s="160"/>
    </row>
    <row r="276" spans="1:11" ht="15">
      <c r="A276" s="137" t="str">
        <f>D276&amp;E276&amp;F276</f>
        <v/>
      </c>
      <c r="C276" s="1"/>
      <c r="F276" s="146"/>
      <c r="G276" s="146"/>
      <c r="I276" s="158"/>
      <c r="J276" s="158"/>
      <c r="K276" s="160"/>
    </row>
    <row r="277" spans="1:11" ht="15">
      <c r="A277" s="137" t="str">
        <f>D277&amp;E277&amp;F277</f>
        <v/>
      </c>
      <c r="C277" s="1"/>
      <c r="F277" s="146"/>
      <c r="G277" s="146"/>
      <c r="I277" s="158"/>
      <c r="J277" s="158"/>
      <c r="K277" s="160"/>
    </row>
    <row r="278" spans="1:11" ht="15">
      <c r="A278" s="137" t="str">
        <f>D278&amp;E278&amp;F278</f>
        <v/>
      </c>
      <c r="C278" s="1"/>
      <c r="F278" s="146"/>
      <c r="G278" s="146"/>
      <c r="I278" s="158"/>
      <c r="J278" s="158"/>
      <c r="K278" s="160"/>
    </row>
    <row r="279" spans="1:11" ht="15">
      <c r="A279" s="137" t="str">
        <f>D279&amp;E279&amp;F279</f>
        <v/>
      </c>
      <c r="C279" s="1"/>
      <c r="F279" s="146"/>
      <c r="G279" s="146"/>
      <c r="I279" s="158"/>
      <c r="J279" s="158"/>
      <c r="K279" s="160"/>
    </row>
    <row r="280" spans="1:11" ht="15">
      <c r="A280" s="137" t="str">
        <f>D280&amp;E280&amp;F280</f>
        <v/>
      </c>
      <c r="C280" s="1"/>
      <c r="F280" s="146"/>
      <c r="G280" s="146"/>
      <c r="I280" s="158"/>
      <c r="J280" s="158"/>
      <c r="K280" s="160"/>
    </row>
    <row r="281" spans="1:11" ht="15">
      <c r="A281" s="137" t="str">
        <f>D281&amp;E281&amp;F281</f>
        <v/>
      </c>
      <c r="C281" s="1"/>
      <c r="F281" s="146"/>
      <c r="G281" s="146"/>
      <c r="I281" s="158"/>
      <c r="J281" s="158"/>
      <c r="K281" s="160"/>
    </row>
    <row r="282" spans="1:11" ht="15">
      <c r="A282" s="137" t="str">
        <f>D282&amp;E282&amp;F282</f>
        <v/>
      </c>
      <c r="C282" s="1"/>
      <c r="F282" s="146"/>
      <c r="G282" s="146"/>
      <c r="I282" s="158"/>
      <c r="J282" s="158"/>
      <c r="K282" s="160"/>
    </row>
    <row r="283" spans="1:11" ht="15">
      <c r="A283" s="137" t="str">
        <f>D283&amp;E283&amp;F283</f>
        <v/>
      </c>
      <c r="C283" s="1"/>
      <c r="F283" s="146"/>
      <c r="G283" s="146"/>
      <c r="I283" s="158"/>
      <c r="J283" s="158"/>
      <c r="K283" s="160"/>
    </row>
    <row r="284" spans="1:11" ht="15">
      <c r="A284" s="137" t="str">
        <f>D284&amp;E284&amp;F284</f>
        <v/>
      </c>
      <c r="C284" s="1"/>
      <c r="F284" s="146"/>
      <c r="G284" s="146"/>
      <c r="I284" s="158"/>
      <c r="J284" s="158"/>
      <c r="K284" s="160"/>
    </row>
    <row r="285" spans="1:11" ht="15">
      <c r="A285" s="137" t="str">
        <f>D285&amp;E285&amp;F285</f>
        <v/>
      </c>
      <c r="C285" s="1"/>
      <c r="F285" s="146"/>
      <c r="G285" s="146"/>
      <c r="I285" s="158"/>
      <c r="J285" s="158"/>
      <c r="K285" s="160"/>
    </row>
    <row r="286" spans="1:11" ht="15">
      <c r="A286" s="137" t="str">
        <f>D286&amp;E286&amp;F286</f>
        <v/>
      </c>
      <c r="C286" s="1"/>
      <c r="F286" s="146"/>
      <c r="G286" s="146"/>
      <c r="I286" s="158"/>
      <c r="J286" s="158"/>
      <c r="K286" s="160"/>
    </row>
    <row r="287" spans="1:11" ht="15">
      <c r="A287" s="137" t="str">
        <f>D287&amp;E287&amp;F287</f>
        <v/>
      </c>
      <c r="C287" s="1"/>
      <c r="F287" s="146"/>
      <c r="G287" s="146"/>
      <c r="I287" s="158"/>
      <c r="J287" s="158"/>
      <c r="K287" s="160"/>
    </row>
    <row r="288" spans="1:11" ht="15">
      <c r="A288" s="137" t="str">
        <f>D288&amp;E288&amp;F288</f>
        <v/>
      </c>
      <c r="C288" s="1"/>
      <c r="F288" s="146"/>
      <c r="G288" s="146"/>
      <c r="I288" s="158"/>
      <c r="J288" s="158"/>
      <c r="K288" s="160"/>
    </row>
    <row r="289" spans="1:11" ht="15">
      <c r="A289" s="137" t="str">
        <f>D289&amp;E289&amp;F289</f>
        <v/>
      </c>
      <c r="C289" s="1"/>
      <c r="F289" s="146"/>
      <c r="G289" s="146"/>
      <c r="I289" s="158"/>
      <c r="J289" s="158"/>
      <c r="K289" s="160"/>
    </row>
    <row r="290" spans="1:11" ht="15">
      <c r="A290" s="137" t="str">
        <f>D290&amp;E290&amp;F290</f>
        <v/>
      </c>
      <c r="C290" s="1"/>
      <c r="F290" s="146"/>
      <c r="G290" s="146"/>
      <c r="I290" s="158"/>
      <c r="J290" s="158"/>
      <c r="K290" s="160"/>
    </row>
    <row r="291" spans="1:11" ht="15">
      <c r="A291" s="137" t="str">
        <f>D291&amp;E291&amp;F291</f>
        <v/>
      </c>
      <c r="C291" s="1"/>
      <c r="F291" s="146"/>
      <c r="G291" s="146"/>
      <c r="I291" s="158"/>
      <c r="J291" s="158"/>
      <c r="K291" s="160"/>
    </row>
    <row r="292" spans="1:11" ht="15">
      <c r="A292" s="137" t="str">
        <f>D292&amp;E292&amp;F292</f>
        <v/>
      </c>
      <c r="C292" s="1"/>
      <c r="F292" s="146"/>
      <c r="G292" s="146"/>
      <c r="I292" s="158"/>
      <c r="J292" s="158"/>
      <c r="K292" s="160"/>
    </row>
    <row r="293" spans="1:11" ht="15">
      <c r="A293" s="137" t="str">
        <f>D293&amp;E293&amp;F293</f>
        <v/>
      </c>
      <c r="C293" s="1"/>
      <c r="F293" s="146"/>
      <c r="G293" s="146"/>
      <c r="I293" s="158"/>
      <c r="J293" s="158"/>
      <c r="K293" s="160"/>
    </row>
    <row r="294" spans="1:11" ht="15">
      <c r="A294" s="137" t="str">
        <f>D294&amp;E294&amp;F294</f>
        <v/>
      </c>
      <c r="C294" s="1"/>
      <c r="F294" s="146"/>
      <c r="G294" s="146"/>
      <c r="I294" s="158"/>
      <c r="J294" s="158"/>
      <c r="K294" s="160"/>
    </row>
    <row r="295" spans="1:11" ht="15">
      <c r="A295" s="137" t="str">
        <f>D295&amp;E295&amp;F295</f>
        <v/>
      </c>
      <c r="C295" s="1"/>
      <c r="F295" s="146"/>
      <c r="G295" s="146"/>
      <c r="I295" s="158"/>
      <c r="J295" s="158"/>
      <c r="K295" s="160"/>
    </row>
    <row r="296" spans="1:11" ht="15">
      <c r="A296" s="137" t="str">
        <f>D296&amp;E296&amp;F296</f>
        <v/>
      </c>
      <c r="C296" s="1"/>
      <c r="F296" s="146"/>
      <c r="G296" s="146"/>
      <c r="I296" s="158"/>
      <c r="J296" s="158"/>
      <c r="K296" s="160"/>
    </row>
    <row r="297" spans="1:11" ht="15">
      <c r="A297" s="137" t="str">
        <f>D297&amp;E297&amp;F297</f>
        <v/>
      </c>
      <c r="C297" s="1"/>
      <c r="F297" s="146"/>
      <c r="G297" s="146"/>
      <c r="I297" s="158"/>
      <c r="J297" s="158"/>
      <c r="K297" s="160"/>
    </row>
    <row r="298" spans="1:11" ht="15">
      <c r="A298" s="137" t="str">
        <f>D298&amp;E298&amp;F298</f>
        <v/>
      </c>
      <c r="C298" s="1"/>
      <c r="F298" s="146"/>
      <c r="G298" s="146"/>
      <c r="I298" s="158"/>
      <c r="J298" s="158"/>
      <c r="K298" s="160"/>
    </row>
    <row r="299" spans="1:11" ht="15">
      <c r="A299" s="137" t="str">
        <f>D299&amp;E299&amp;F299</f>
        <v/>
      </c>
      <c r="C299" s="1"/>
      <c r="F299" s="146"/>
      <c r="G299" s="146"/>
      <c r="I299" s="158"/>
      <c r="J299" s="158"/>
      <c r="K299" s="160"/>
    </row>
    <row r="300" spans="1:11" ht="15">
      <c r="A300" s="137" t="str">
        <f>D300&amp;E300&amp;F300</f>
        <v/>
      </c>
      <c r="C300" s="1"/>
      <c r="F300" s="146"/>
      <c r="G300" s="146"/>
      <c r="I300" s="158"/>
      <c r="J300" s="158"/>
      <c r="K300" s="160"/>
    </row>
    <row r="301" spans="1:11" ht="15">
      <c r="A301" s="137" t="str">
        <f>D301&amp;E301&amp;F301</f>
        <v/>
      </c>
      <c r="C301" s="1"/>
      <c r="F301" s="146"/>
      <c r="G301" s="146"/>
      <c r="I301" s="158"/>
      <c r="J301" s="158"/>
      <c r="K301" s="160"/>
    </row>
    <row r="302" spans="1:11" ht="15">
      <c r="A302" s="137" t="str">
        <f>D302&amp;E302&amp;F302</f>
        <v/>
      </c>
      <c r="C302" s="1"/>
      <c r="F302" s="146"/>
      <c r="G302" s="146"/>
      <c r="I302" s="158"/>
      <c r="J302" s="158"/>
      <c r="K302" s="160"/>
    </row>
    <row r="303" spans="1:11" ht="15">
      <c r="A303" s="137" t="str">
        <f>D303&amp;E303&amp;F303</f>
        <v/>
      </c>
      <c r="C303" s="1"/>
      <c r="F303" s="146"/>
      <c r="G303" s="146"/>
      <c r="I303" s="158"/>
      <c r="J303" s="158"/>
      <c r="K303" s="160"/>
    </row>
    <row r="304" spans="1:11" ht="15">
      <c r="A304" s="137" t="str">
        <f>D304&amp;E304&amp;F304</f>
        <v/>
      </c>
      <c r="C304" s="1"/>
      <c r="F304" s="146"/>
      <c r="G304" s="146"/>
      <c r="I304" s="158"/>
      <c r="J304" s="158"/>
      <c r="K304" s="160"/>
    </row>
    <row r="305" spans="1:11" ht="15">
      <c r="A305" s="137" t="str">
        <f>D305&amp;E305&amp;F305</f>
        <v/>
      </c>
      <c r="C305" s="1"/>
      <c r="F305" s="146"/>
      <c r="G305" s="146"/>
      <c r="I305" s="158"/>
      <c r="J305" s="158"/>
      <c r="K305" s="160"/>
    </row>
    <row r="306" spans="1:11" ht="15">
      <c r="A306" s="137" t="str">
        <f>D306&amp;E306&amp;F306</f>
        <v/>
      </c>
      <c r="C306" s="1"/>
      <c r="F306" s="146"/>
      <c r="G306" s="146"/>
      <c r="I306" s="158"/>
      <c r="J306" s="158"/>
      <c r="K306" s="160"/>
    </row>
    <row r="307" spans="1:11" ht="15">
      <c r="A307" s="137" t="str">
        <f>D307&amp;E307&amp;F307</f>
        <v/>
      </c>
      <c r="C307" s="1"/>
      <c r="F307" s="146"/>
      <c r="G307" s="146"/>
      <c r="I307" s="158"/>
      <c r="J307" s="158"/>
      <c r="K307" s="160"/>
    </row>
    <row r="308" spans="1:11" ht="15">
      <c r="A308" s="137" t="str">
        <f>D308&amp;E308&amp;F308</f>
        <v/>
      </c>
      <c r="C308" s="1"/>
      <c r="F308" s="146"/>
      <c r="G308" s="146"/>
      <c r="I308" s="158"/>
      <c r="J308" s="158"/>
      <c r="K308" s="160"/>
    </row>
    <row r="309" spans="1:11" ht="15">
      <c r="A309" s="137" t="str">
        <f>D309&amp;E309&amp;F309</f>
        <v/>
      </c>
      <c r="C309" s="1"/>
      <c r="F309" s="146"/>
      <c r="G309" s="146"/>
      <c r="I309" s="158"/>
      <c r="J309" s="158"/>
      <c r="K309" s="160"/>
    </row>
    <row r="310" spans="1:11" ht="15">
      <c r="A310" s="137" t="str">
        <f>D310&amp;E310&amp;F310</f>
        <v/>
      </c>
      <c r="C310" s="1"/>
      <c r="F310" s="146"/>
      <c r="G310" s="146"/>
      <c r="I310" s="158"/>
      <c r="J310" s="158"/>
      <c r="K310" s="160"/>
    </row>
    <row r="311" spans="1:11" ht="15">
      <c r="A311" s="137" t="str">
        <f>D311&amp;E311&amp;F311</f>
        <v/>
      </c>
      <c r="C311" s="1"/>
      <c r="F311" s="146"/>
      <c r="G311" s="146"/>
      <c r="I311" s="158"/>
      <c r="J311" s="158"/>
      <c r="K311" s="160"/>
    </row>
    <row r="312" spans="1:11" ht="15">
      <c r="A312" s="137" t="str">
        <f>D312&amp;E312&amp;F312</f>
        <v/>
      </c>
      <c r="C312" s="1"/>
      <c r="F312" s="146"/>
      <c r="G312" s="146"/>
      <c r="I312" s="158"/>
      <c r="J312" s="158"/>
      <c r="K312" s="160"/>
    </row>
    <row r="313" spans="1:11" ht="15">
      <c r="A313" s="137" t="str">
        <f>D313&amp;E313&amp;F313</f>
        <v/>
      </c>
      <c r="C313" s="1"/>
      <c r="F313" s="146"/>
      <c r="G313" s="146"/>
      <c r="I313" s="158"/>
      <c r="J313" s="158"/>
      <c r="K313" s="160"/>
    </row>
    <row r="314" spans="1:11" ht="15">
      <c r="A314" s="137" t="str">
        <f>D314&amp;E314&amp;F314</f>
        <v/>
      </c>
      <c r="C314" s="1"/>
      <c r="F314" s="146"/>
      <c r="G314" s="146"/>
      <c r="I314" s="158"/>
      <c r="J314" s="158"/>
      <c r="K314" s="160"/>
    </row>
    <row r="315" spans="1:11" ht="15">
      <c r="A315" s="137" t="str">
        <f>D315&amp;E315&amp;F315</f>
        <v/>
      </c>
      <c r="C315" s="1"/>
      <c r="F315" s="146"/>
      <c r="G315" s="146"/>
      <c r="I315" s="158"/>
      <c r="J315" s="158"/>
      <c r="K315" s="160"/>
    </row>
    <row r="316" spans="1:11" ht="15">
      <c r="A316" s="137" t="str">
        <f>D316&amp;E316&amp;F316</f>
        <v/>
      </c>
      <c r="C316" s="1"/>
      <c r="F316" s="146"/>
      <c r="G316" s="146"/>
      <c r="I316" s="158"/>
      <c r="J316" s="158"/>
      <c r="K316" s="160"/>
    </row>
    <row r="317" spans="1:11" ht="15">
      <c r="A317" s="137" t="str">
        <f>D317&amp;E317&amp;F317</f>
        <v/>
      </c>
      <c r="C317" s="1"/>
      <c r="F317" s="146"/>
      <c r="G317" s="146"/>
      <c r="I317" s="158"/>
      <c r="J317" s="158"/>
      <c r="K317" s="160"/>
    </row>
    <row r="318" spans="1:11" ht="15">
      <c r="A318" s="137" t="str">
        <f>D318&amp;E318&amp;F318</f>
        <v/>
      </c>
      <c r="C318" s="1"/>
      <c r="F318" s="146"/>
      <c r="G318" s="146"/>
      <c r="I318" s="158"/>
      <c r="J318" s="158"/>
      <c r="K318" s="160"/>
    </row>
    <row r="319" spans="1:11" ht="15">
      <c r="A319" s="137" t="str">
        <f>D319&amp;E319&amp;F319</f>
        <v/>
      </c>
      <c r="C319" s="1"/>
      <c r="F319" s="146"/>
      <c r="G319" s="146"/>
      <c r="I319" s="158"/>
      <c r="J319" s="158"/>
      <c r="K319" s="160"/>
    </row>
    <row r="320" spans="1:11" ht="15">
      <c r="A320" s="137" t="str">
        <f>D320&amp;E320&amp;F320</f>
        <v/>
      </c>
      <c r="C320" s="1"/>
      <c r="F320" s="146"/>
      <c r="G320" s="146"/>
      <c r="I320" s="158"/>
      <c r="J320" s="158"/>
      <c r="K320" s="160"/>
    </row>
    <row r="321" spans="1:11" ht="15">
      <c r="A321" s="137" t="str">
        <f>D321&amp;E321&amp;F321</f>
        <v/>
      </c>
      <c r="C321" s="1"/>
      <c r="F321" s="146"/>
      <c r="G321" s="146"/>
      <c r="I321" s="158"/>
      <c r="J321" s="158"/>
      <c r="K321" s="160"/>
    </row>
    <row r="322" spans="1:11" ht="15">
      <c r="A322" s="137" t="str">
        <f>D322&amp;E322&amp;F322</f>
        <v/>
      </c>
      <c r="C322" s="1"/>
      <c r="F322" s="146"/>
      <c r="G322" s="146"/>
      <c r="I322" s="158"/>
      <c r="J322" s="158"/>
      <c r="K322" s="160"/>
    </row>
    <row r="323" spans="1:11" ht="15">
      <c r="A323" s="137" t="str">
        <f>D323&amp;E323&amp;F323</f>
        <v/>
      </c>
      <c r="C323" s="1"/>
      <c r="F323" s="146"/>
      <c r="G323" s="146"/>
      <c r="I323" s="158"/>
      <c r="J323" s="158"/>
      <c r="K323" s="160"/>
    </row>
    <row r="324" spans="1:11" ht="15">
      <c r="A324" s="137" t="str">
        <f>D324&amp;E324&amp;F324</f>
        <v/>
      </c>
      <c r="C324" s="1"/>
      <c r="F324" s="146"/>
      <c r="G324" s="146"/>
      <c r="I324" s="158"/>
      <c r="J324" s="158"/>
      <c r="K324" s="160"/>
    </row>
    <row r="325" spans="1:11" ht="15">
      <c r="A325" s="137" t="str">
        <f>D325&amp;E325&amp;F325</f>
        <v/>
      </c>
      <c r="C325" s="1"/>
      <c r="F325" s="146"/>
      <c r="G325" s="146"/>
      <c r="I325" s="158"/>
      <c r="J325" s="158"/>
      <c r="K325" s="160"/>
    </row>
    <row r="326" spans="1:11" ht="15">
      <c r="A326" s="137" t="str">
        <f>D326&amp;E326&amp;F326</f>
        <v/>
      </c>
      <c r="C326" s="1"/>
      <c r="F326" s="146"/>
      <c r="G326" s="146"/>
      <c r="I326" s="158"/>
      <c r="J326" s="158"/>
      <c r="K326" s="160"/>
    </row>
    <row r="327" spans="1:11" ht="15">
      <c r="A327" s="137" t="str">
        <f>D327&amp;E327&amp;F327</f>
        <v/>
      </c>
      <c r="C327" s="1"/>
      <c r="F327" s="146"/>
      <c r="G327" s="146"/>
      <c r="I327" s="158"/>
      <c r="J327" s="158"/>
      <c r="K327" s="160"/>
    </row>
    <row r="328" spans="1:11" ht="15">
      <c r="A328" s="137" t="str">
        <f>D328&amp;E328&amp;F328</f>
        <v/>
      </c>
      <c r="C328" s="1"/>
      <c r="F328" s="146"/>
      <c r="G328" s="146"/>
      <c r="I328" s="158"/>
      <c r="J328" s="158"/>
      <c r="K328" s="160"/>
    </row>
    <row r="329" spans="1:11" ht="15">
      <c r="A329" s="137" t="str">
        <f>D329&amp;E329&amp;F329</f>
        <v/>
      </c>
      <c r="C329" s="1"/>
      <c r="F329" s="146"/>
      <c r="G329" s="146"/>
      <c r="I329" s="158"/>
      <c r="J329" s="158"/>
      <c r="K329" s="160"/>
    </row>
    <row r="330" spans="1:11" ht="15">
      <c r="A330" s="137" t="str">
        <f>D330&amp;E330&amp;F330</f>
        <v/>
      </c>
      <c r="C330" s="1"/>
      <c r="F330" s="146"/>
      <c r="G330" s="146"/>
      <c r="I330" s="158"/>
      <c r="J330" s="158"/>
      <c r="K330" s="160"/>
    </row>
    <row r="331" spans="1:11" ht="15">
      <c r="A331" s="137" t="str">
        <f>D331&amp;E331&amp;F331</f>
        <v/>
      </c>
      <c r="C331" s="1"/>
      <c r="F331" s="146"/>
      <c r="G331" s="146"/>
      <c r="I331" s="158"/>
      <c r="J331" s="158"/>
      <c r="K331" s="160"/>
    </row>
    <row r="332" spans="1:11" ht="15">
      <c r="A332" s="137" t="str">
        <f>D332&amp;E332&amp;F332</f>
        <v/>
      </c>
      <c r="C332" s="1"/>
      <c r="F332" s="146"/>
      <c r="G332" s="146"/>
      <c r="I332" s="158"/>
      <c r="J332" s="158"/>
      <c r="K332" s="160"/>
    </row>
    <row r="333" spans="1:11" ht="15">
      <c r="A333" s="137" t="str">
        <f>D333&amp;E333&amp;F333</f>
        <v/>
      </c>
      <c r="C333" s="1"/>
      <c r="F333" s="146"/>
      <c r="G333" s="146"/>
      <c r="I333" s="158"/>
      <c r="J333" s="158"/>
      <c r="K333" s="160"/>
    </row>
    <row r="334" spans="1:11" ht="15">
      <c r="A334" s="137" t="str">
        <f>D334&amp;E334&amp;F334</f>
        <v/>
      </c>
      <c r="C334" s="1"/>
      <c r="F334" s="146"/>
      <c r="G334" s="146"/>
      <c r="I334" s="158"/>
      <c r="J334" s="158"/>
      <c r="K334" s="160"/>
    </row>
    <row r="335" spans="1:11" ht="15">
      <c r="A335" s="137" t="str">
        <f>D335&amp;E335&amp;F335</f>
        <v/>
      </c>
      <c r="C335" s="1"/>
      <c r="F335" s="146"/>
      <c r="G335" s="146"/>
      <c r="I335" s="158"/>
      <c r="J335" s="158"/>
      <c r="K335" s="160"/>
    </row>
    <row r="336" spans="1:11" ht="15">
      <c r="A336" s="137" t="str">
        <f>D336&amp;E336&amp;F336</f>
        <v/>
      </c>
      <c r="C336" s="1"/>
      <c r="F336" s="146"/>
      <c r="G336" s="146"/>
      <c r="I336" s="158"/>
      <c r="J336" s="158"/>
      <c r="K336" s="160"/>
    </row>
    <row r="337" spans="1:11" ht="15">
      <c r="A337" s="137" t="str">
        <f>D337&amp;E337&amp;F337</f>
        <v/>
      </c>
      <c r="C337" s="1"/>
      <c r="F337" s="146"/>
      <c r="G337" s="146"/>
      <c r="I337" s="158"/>
      <c r="J337" s="158"/>
      <c r="K337" s="160"/>
    </row>
    <row r="338" spans="1:11" ht="15">
      <c r="A338" s="137" t="str">
        <f>D338&amp;E338&amp;F338</f>
        <v/>
      </c>
      <c r="C338" s="1"/>
      <c r="F338" s="146"/>
      <c r="G338" s="146"/>
      <c r="I338" s="158"/>
      <c r="J338" s="158"/>
      <c r="K338" s="160"/>
    </row>
    <row r="339" spans="1:11" ht="15">
      <c r="A339" s="137" t="str">
        <f>D339&amp;E339&amp;F339</f>
        <v/>
      </c>
      <c r="C339" s="1"/>
      <c r="F339" s="146"/>
      <c r="G339" s="146"/>
      <c r="I339" s="158"/>
      <c r="J339" s="158"/>
      <c r="K339" s="160"/>
    </row>
    <row r="340" spans="1:11" ht="15">
      <c r="A340" s="137" t="str">
        <f>D340&amp;E340&amp;F340</f>
        <v/>
      </c>
      <c r="C340" s="1"/>
      <c r="F340" s="146"/>
      <c r="G340" s="146"/>
      <c r="I340" s="158"/>
      <c r="J340" s="158"/>
      <c r="K340" s="160"/>
    </row>
    <row r="341" spans="1:11" ht="15">
      <c r="A341" s="137" t="str">
        <f>D341&amp;E341&amp;F341</f>
        <v/>
      </c>
      <c r="C341" s="1"/>
      <c r="F341" s="146"/>
      <c r="G341" s="146"/>
      <c r="I341" s="158"/>
      <c r="J341" s="158"/>
      <c r="K341" s="160"/>
    </row>
    <row r="342" spans="1:11" ht="15">
      <c r="A342" s="137" t="str">
        <f>D342&amp;E342&amp;F342</f>
        <v/>
      </c>
      <c r="C342" s="1"/>
      <c r="F342" s="146"/>
      <c r="G342" s="146"/>
      <c r="I342" s="158"/>
      <c r="J342" s="158"/>
      <c r="K342" s="160"/>
    </row>
    <row r="343" spans="1:11" ht="15">
      <c r="A343" s="137" t="str">
        <f>D343&amp;E343&amp;F343</f>
        <v/>
      </c>
      <c r="C343" s="1"/>
      <c r="F343" s="146"/>
      <c r="G343" s="146"/>
      <c r="I343" s="158"/>
      <c r="J343" s="158"/>
      <c r="K343" s="160"/>
    </row>
    <row r="344" spans="1:11" ht="15">
      <c r="A344" s="137" t="str">
        <f>D344&amp;E344&amp;F344</f>
        <v/>
      </c>
      <c r="C344" s="1"/>
      <c r="F344" s="146"/>
      <c r="G344" s="146"/>
      <c r="I344" s="158"/>
      <c r="J344" s="158"/>
      <c r="K344" s="160"/>
    </row>
    <row r="345" spans="1:11" ht="15">
      <c r="A345" s="137" t="str">
        <f>D345&amp;E345&amp;F345</f>
        <v/>
      </c>
      <c r="C345" s="1"/>
      <c r="F345" s="146"/>
      <c r="G345" s="146"/>
      <c r="I345" s="158"/>
      <c r="J345" s="158"/>
      <c r="K345" s="160"/>
    </row>
    <row r="346" spans="1:11" ht="15">
      <c r="A346" s="137" t="str">
        <f>D346&amp;E346&amp;F346</f>
        <v/>
      </c>
      <c r="C346" s="1"/>
      <c r="F346" s="146"/>
      <c r="G346" s="146"/>
      <c r="I346" s="158"/>
      <c r="J346" s="158"/>
      <c r="K346" s="160"/>
    </row>
    <row r="347" spans="1:11" ht="15">
      <c r="A347" s="137" t="str">
        <f>D347&amp;E347&amp;F347</f>
        <v/>
      </c>
      <c r="C347" s="1"/>
      <c r="F347" s="146"/>
      <c r="G347" s="146"/>
      <c r="I347" s="158"/>
      <c r="J347" s="158"/>
      <c r="K347" s="160"/>
    </row>
    <row r="348" spans="1:11" ht="15">
      <c r="A348" s="137" t="str">
        <f>D348&amp;E348&amp;F348</f>
        <v/>
      </c>
      <c r="C348" s="1"/>
      <c r="F348" s="146"/>
      <c r="G348" s="146"/>
      <c r="I348" s="158"/>
      <c r="J348" s="158"/>
      <c r="K348" s="160"/>
    </row>
    <row r="349" spans="1:11" ht="15">
      <c r="A349" s="137" t="str">
        <f>D349&amp;E349&amp;F349</f>
        <v/>
      </c>
      <c r="C349" s="1"/>
      <c r="F349" s="146"/>
      <c r="G349" s="146"/>
      <c r="I349" s="158"/>
      <c r="J349" s="158"/>
      <c r="K349" s="160"/>
    </row>
    <row r="350" spans="1:11" ht="15">
      <c r="A350" s="137" t="str">
        <f>D350&amp;E350&amp;F350</f>
        <v/>
      </c>
      <c r="C350" s="1"/>
      <c r="F350" s="146"/>
      <c r="G350" s="146"/>
      <c r="I350" s="158"/>
      <c r="J350" s="158"/>
      <c r="K350" s="160"/>
    </row>
    <row r="351" spans="1:11" ht="15">
      <c r="A351" s="137" t="str">
        <f>D351&amp;E351&amp;F351</f>
        <v/>
      </c>
      <c r="C351" s="1"/>
      <c r="F351" s="146"/>
      <c r="G351" s="146"/>
      <c r="I351" s="158"/>
      <c r="J351" s="158"/>
      <c r="K351" s="160"/>
    </row>
    <row r="352" spans="1:11" ht="15">
      <c r="A352" s="137" t="str">
        <f>D352&amp;E352&amp;F352</f>
        <v/>
      </c>
      <c r="C352" s="1"/>
      <c r="F352" s="146"/>
      <c r="G352" s="146"/>
      <c r="I352" s="158"/>
      <c r="J352" s="158"/>
      <c r="K352" s="160"/>
    </row>
    <row r="353" spans="1:11" ht="15">
      <c r="A353" s="137" t="str">
        <f>D353&amp;E353&amp;F353</f>
        <v/>
      </c>
      <c r="C353" s="1"/>
      <c r="F353" s="146"/>
      <c r="G353" s="146"/>
      <c r="I353" s="158"/>
      <c r="J353" s="158"/>
      <c r="K353" s="160"/>
    </row>
    <row r="354" spans="1:11" ht="15">
      <c r="A354" s="137" t="str">
        <f>D354&amp;E354&amp;F354</f>
        <v/>
      </c>
      <c r="C354" s="1"/>
      <c r="F354" s="146"/>
      <c r="G354" s="146"/>
      <c r="I354" s="158"/>
      <c r="J354" s="158"/>
      <c r="K354" s="160"/>
    </row>
    <row r="355" spans="1:11" ht="15">
      <c r="A355" s="137" t="str">
        <f>D355&amp;E355&amp;F355</f>
        <v/>
      </c>
      <c r="C355" s="1"/>
      <c r="F355" s="146"/>
      <c r="G355" s="146"/>
      <c r="I355" s="158"/>
      <c r="J355" s="158"/>
      <c r="K355" s="160"/>
    </row>
    <row r="356" spans="1:11" ht="15">
      <c r="A356" s="137" t="str">
        <f>D356&amp;E356&amp;F356</f>
        <v/>
      </c>
      <c r="C356" s="1"/>
      <c r="F356" s="146"/>
      <c r="G356" s="146"/>
      <c r="I356" s="158"/>
      <c r="J356" s="158"/>
      <c r="K356" s="160"/>
    </row>
    <row r="357" spans="1:11" ht="15">
      <c r="A357" s="137" t="str">
        <f>D357&amp;E357&amp;F357</f>
        <v/>
      </c>
      <c r="C357" s="1"/>
      <c r="F357" s="146"/>
      <c r="G357" s="146"/>
      <c r="I357" s="158"/>
      <c r="J357" s="158"/>
      <c r="K357" s="160"/>
    </row>
    <row r="358" spans="1:11" ht="15">
      <c r="A358" s="137" t="str">
        <f>D358&amp;E358&amp;F358</f>
        <v/>
      </c>
      <c r="C358" s="1"/>
      <c r="F358" s="146"/>
      <c r="G358" s="146"/>
      <c r="I358" s="158"/>
      <c r="J358" s="158"/>
      <c r="K358" s="160"/>
    </row>
    <row r="359" spans="1:11" ht="15">
      <c r="A359" s="137" t="str">
        <f>D359&amp;E359&amp;F359</f>
        <v/>
      </c>
      <c r="C359" s="1"/>
      <c r="F359" s="146"/>
      <c r="G359" s="146"/>
      <c r="I359" s="158"/>
      <c r="J359" s="158"/>
      <c r="K359" s="160"/>
    </row>
    <row r="360" spans="1:11" ht="15">
      <c r="A360" s="137" t="str">
        <f>D360&amp;E360&amp;F360</f>
        <v/>
      </c>
      <c r="C360" s="1"/>
      <c r="F360" s="146"/>
      <c r="G360" s="146"/>
      <c r="I360" s="158"/>
      <c r="J360" s="158"/>
      <c r="K360" s="160"/>
    </row>
    <row r="361" spans="1:11" ht="15">
      <c r="A361" s="137" t="str">
        <f>D361&amp;E361&amp;F361</f>
        <v/>
      </c>
      <c r="C361" s="1"/>
      <c r="F361" s="146"/>
      <c r="G361" s="146"/>
      <c r="I361" s="158"/>
      <c r="J361" s="158"/>
      <c r="K361" s="160"/>
    </row>
    <row r="362" spans="1:11" ht="15">
      <c r="A362" s="137" t="str">
        <f>D362&amp;E362&amp;F362</f>
        <v/>
      </c>
      <c r="C362" s="1"/>
      <c r="F362" s="146"/>
      <c r="G362" s="146"/>
      <c r="I362" s="158"/>
      <c r="J362" s="158"/>
      <c r="K362" s="160"/>
    </row>
    <row r="363" spans="1:11" ht="15">
      <c r="A363" s="137" t="str">
        <f>D363&amp;E363&amp;F363</f>
        <v/>
      </c>
      <c r="C363" s="1"/>
      <c r="F363" s="146"/>
      <c r="G363" s="146"/>
      <c r="I363" s="158"/>
      <c r="J363" s="158"/>
      <c r="K363" s="160"/>
    </row>
    <row r="364" spans="1:11" ht="15">
      <c r="A364" s="137" t="str">
        <f>D364&amp;E364&amp;F364</f>
        <v/>
      </c>
      <c r="C364" s="1"/>
      <c r="F364" s="146"/>
      <c r="G364" s="146"/>
      <c r="I364" s="158"/>
      <c r="J364" s="158"/>
      <c r="K364" s="160"/>
    </row>
    <row r="365" spans="1:11" ht="15">
      <c r="A365" s="137" t="str">
        <f>D365&amp;E365&amp;F365</f>
        <v/>
      </c>
      <c r="C365" s="1"/>
      <c r="F365" s="146"/>
      <c r="G365" s="146"/>
      <c r="I365" s="158"/>
      <c r="J365" s="158"/>
      <c r="K365" s="160"/>
    </row>
    <row r="366" spans="1:11" ht="15">
      <c r="A366" s="137" t="str">
        <f>D366&amp;E366&amp;F366</f>
        <v/>
      </c>
      <c r="C366" s="1"/>
      <c r="F366" s="146"/>
      <c r="G366" s="146"/>
      <c r="I366" s="158"/>
      <c r="J366" s="158"/>
      <c r="K366" s="160"/>
    </row>
    <row r="367" spans="1:11" ht="15">
      <c r="A367" s="137" t="str">
        <f>D367&amp;E367&amp;F367</f>
        <v/>
      </c>
      <c r="C367" s="1"/>
      <c r="F367" s="146"/>
      <c r="G367" s="146"/>
      <c r="I367" s="158"/>
      <c r="J367" s="158"/>
      <c r="K367" s="160"/>
    </row>
    <row r="368" spans="1:11" ht="15">
      <c r="A368" s="137" t="str">
        <f>D368&amp;E368&amp;F368</f>
        <v/>
      </c>
      <c r="C368" s="1"/>
      <c r="F368" s="146"/>
      <c r="G368" s="146"/>
      <c r="I368" s="158"/>
      <c r="J368" s="158"/>
      <c r="K368" s="160"/>
    </row>
    <row r="369" spans="1:11" ht="15">
      <c r="A369" s="137" t="str">
        <f>D369&amp;E369&amp;F369</f>
        <v/>
      </c>
      <c r="C369" s="1"/>
      <c r="F369" s="146"/>
      <c r="G369" s="146"/>
      <c r="I369" s="158"/>
      <c r="J369" s="158"/>
      <c r="K369" s="160"/>
    </row>
    <row r="370" spans="1:11" ht="15">
      <c r="A370" s="137" t="str">
        <f>D370&amp;E370&amp;F370</f>
        <v/>
      </c>
      <c r="C370" s="1"/>
      <c r="F370" s="146"/>
      <c r="G370" s="146"/>
      <c r="I370" s="158"/>
      <c r="J370" s="158"/>
      <c r="K370" s="160"/>
    </row>
    <row r="371" spans="1:11" ht="15">
      <c r="A371" s="137" t="str">
        <f>D371&amp;E371&amp;F371</f>
        <v/>
      </c>
      <c r="C371" s="1"/>
      <c r="F371" s="146"/>
      <c r="G371" s="146"/>
      <c r="I371" s="158"/>
      <c r="J371" s="158"/>
      <c r="K371" s="160"/>
    </row>
    <row r="372" spans="1:11" ht="15">
      <c r="A372" s="137" t="str">
        <f>D372&amp;E372&amp;F372</f>
        <v/>
      </c>
      <c r="C372" s="1"/>
      <c r="F372" s="146"/>
      <c r="G372" s="146"/>
      <c r="I372" s="158"/>
      <c r="J372" s="158"/>
      <c r="K372" s="160"/>
    </row>
    <row r="373" spans="1:11" ht="15">
      <c r="A373" s="137" t="str">
        <f>D373&amp;E373&amp;F373</f>
        <v/>
      </c>
      <c r="C373" s="1"/>
      <c r="F373" s="146"/>
      <c r="G373" s="146"/>
      <c r="I373" s="158"/>
      <c r="J373" s="158"/>
      <c r="K373" s="160"/>
    </row>
    <row r="374" spans="1:11" ht="15">
      <c r="A374" s="137" t="str">
        <f>D374&amp;E374&amp;F374</f>
        <v/>
      </c>
      <c r="C374" s="1"/>
      <c r="F374" s="146"/>
      <c r="G374" s="146"/>
      <c r="I374" s="158"/>
      <c r="J374" s="158"/>
      <c r="K374" s="160"/>
    </row>
    <row r="375" spans="1:11" ht="15">
      <c r="A375" s="137" t="str">
        <f>D375&amp;E375&amp;F375</f>
        <v/>
      </c>
      <c r="C375" s="1"/>
      <c r="F375" s="146"/>
      <c r="G375" s="146"/>
      <c r="I375" s="158"/>
      <c r="J375" s="158"/>
      <c r="K375" s="160"/>
    </row>
    <row r="376" spans="1:11" ht="15">
      <c r="A376" s="137" t="str">
        <f>D376&amp;E376&amp;F376</f>
        <v/>
      </c>
      <c r="C376" s="1"/>
      <c r="F376" s="146"/>
      <c r="G376" s="146"/>
      <c r="I376" s="158"/>
      <c r="J376" s="158"/>
      <c r="K376" s="160"/>
    </row>
    <row r="377" spans="1:11" ht="15">
      <c r="A377" s="137" t="str">
        <f>D377&amp;E377&amp;F377</f>
        <v/>
      </c>
      <c r="C377" s="1"/>
      <c r="F377" s="146"/>
      <c r="G377" s="146"/>
      <c r="I377" s="158"/>
      <c r="J377" s="158"/>
      <c r="K377" s="160"/>
    </row>
    <row r="378" spans="1:11" ht="15">
      <c r="A378" s="137" t="str">
        <f>D378&amp;E378&amp;F378</f>
        <v/>
      </c>
      <c r="C378" s="1"/>
      <c r="F378" s="146"/>
      <c r="G378" s="146"/>
      <c r="I378" s="158"/>
      <c r="J378" s="158"/>
      <c r="K378" s="160"/>
    </row>
    <row r="379" spans="1:11" ht="15">
      <c r="A379" s="137" t="str">
        <f>D379&amp;E379&amp;F379</f>
        <v/>
      </c>
      <c r="C379" s="1"/>
      <c r="F379" s="146"/>
      <c r="G379" s="146"/>
      <c r="I379" s="158"/>
      <c r="J379" s="158"/>
      <c r="K379" s="160"/>
    </row>
    <row r="380" spans="1:11" ht="15">
      <c r="A380" s="137" t="str">
        <f>D380&amp;E380&amp;F380</f>
        <v/>
      </c>
      <c r="C380" s="1"/>
      <c r="F380" s="146"/>
      <c r="G380" s="146"/>
      <c r="I380" s="158"/>
      <c r="J380" s="158"/>
      <c r="K380" s="160"/>
    </row>
    <row r="381" spans="1:11" ht="15">
      <c r="A381" s="137" t="str">
        <f>D381&amp;E381&amp;F381</f>
        <v/>
      </c>
      <c r="C381" s="1"/>
      <c r="F381" s="146"/>
      <c r="G381" s="146"/>
      <c r="I381" s="158"/>
      <c r="J381" s="158"/>
      <c r="K381" s="160"/>
    </row>
    <row r="382" spans="1:11" ht="15">
      <c r="A382" s="137" t="str">
        <f>D382&amp;E382&amp;F382</f>
        <v/>
      </c>
      <c r="C382" s="1"/>
      <c r="F382" s="146"/>
      <c r="G382" s="146"/>
      <c r="I382" s="158"/>
      <c r="J382" s="158"/>
      <c r="K382" s="160"/>
    </row>
    <row r="383" spans="1:11" ht="15">
      <c r="A383" s="137" t="str">
        <f>D383&amp;E383&amp;F383</f>
        <v/>
      </c>
      <c r="C383" s="1"/>
      <c r="F383" s="146"/>
      <c r="G383" s="146"/>
      <c r="I383" s="158"/>
      <c r="J383" s="158"/>
      <c r="K383" s="160"/>
    </row>
    <row r="384" spans="1:11" ht="15">
      <c r="A384" s="137" t="str">
        <f>D384&amp;E384&amp;F384</f>
        <v/>
      </c>
      <c r="C384" s="1"/>
      <c r="F384" s="146"/>
      <c r="G384" s="146"/>
      <c r="I384" s="158"/>
      <c r="J384" s="158"/>
      <c r="K384" s="160"/>
    </row>
    <row r="385" spans="1:11" ht="15">
      <c r="A385" s="137" t="str">
        <f>D385&amp;E385&amp;F385</f>
        <v/>
      </c>
      <c r="C385" s="1"/>
      <c r="F385" s="146"/>
      <c r="G385" s="146"/>
      <c r="I385" s="158"/>
      <c r="J385" s="158"/>
      <c r="K385" s="160"/>
    </row>
    <row r="386" spans="1:11" ht="15">
      <c r="A386" s="137" t="str">
        <f>D386&amp;E386&amp;F386</f>
        <v/>
      </c>
      <c r="C386" s="1"/>
      <c r="F386" s="146"/>
      <c r="G386" s="146"/>
      <c r="I386" s="158"/>
      <c r="J386" s="158"/>
      <c r="K386" s="160"/>
    </row>
    <row r="387" spans="1:11" ht="15">
      <c r="A387" s="137" t="str">
        <f>D387&amp;E387&amp;F387</f>
        <v/>
      </c>
      <c r="C387" s="1"/>
      <c r="F387" s="146"/>
      <c r="G387" s="146"/>
      <c r="I387" s="158"/>
      <c r="J387" s="158"/>
      <c r="K387" s="160"/>
    </row>
    <row r="388" spans="1:11" ht="15">
      <c r="A388" s="137" t="str">
        <f>D388&amp;E388&amp;F388</f>
        <v/>
      </c>
      <c r="C388" s="1"/>
      <c r="F388" s="146"/>
      <c r="G388" s="146"/>
      <c r="I388" s="158"/>
      <c r="J388" s="158"/>
      <c r="K388" s="160"/>
    </row>
    <row r="389" spans="1:11" ht="15">
      <c r="A389" s="137" t="str">
        <f>D389&amp;E389&amp;F389</f>
        <v/>
      </c>
      <c r="C389" s="1"/>
      <c r="F389" s="146"/>
      <c r="G389" s="146"/>
      <c r="I389" s="158"/>
      <c r="J389" s="158"/>
      <c r="K389" s="160"/>
    </row>
    <row r="390" spans="1:11" ht="15">
      <c r="A390" s="137" t="str">
        <f>D390&amp;E390&amp;F390</f>
        <v/>
      </c>
      <c r="C390" s="1"/>
      <c r="F390" s="146"/>
      <c r="G390" s="146"/>
      <c r="I390" s="158"/>
      <c r="J390" s="158"/>
      <c r="K390" s="160"/>
    </row>
    <row r="391" spans="1:11" ht="15">
      <c r="A391" s="137" t="str">
        <f>D391&amp;E391&amp;F391</f>
        <v/>
      </c>
      <c r="C391" s="1"/>
      <c r="F391" s="146"/>
      <c r="G391" s="146"/>
      <c r="I391" s="158"/>
      <c r="J391" s="158"/>
      <c r="K391" s="160"/>
    </row>
    <row r="392" spans="1:11" ht="15">
      <c r="A392" s="137" t="str">
        <f>D392&amp;E392&amp;F392</f>
        <v/>
      </c>
      <c r="C392" s="1"/>
      <c r="F392" s="146"/>
      <c r="G392" s="146"/>
      <c r="I392" s="158"/>
      <c r="J392" s="158"/>
      <c r="K392" s="160"/>
    </row>
    <row r="393" spans="1:11" ht="15">
      <c r="A393" s="137" t="str">
        <f>D393&amp;E393&amp;F393</f>
        <v/>
      </c>
      <c r="C393" s="1"/>
      <c r="F393" s="146"/>
      <c r="G393" s="146"/>
      <c r="I393" s="158"/>
      <c r="J393" s="158"/>
      <c r="K393" s="160"/>
    </row>
    <row r="394" spans="1:11" ht="15">
      <c r="A394" s="137" t="str">
        <f>D394&amp;E394&amp;F394</f>
        <v/>
      </c>
      <c r="C394" s="1"/>
      <c r="F394" s="146"/>
      <c r="G394" s="146"/>
      <c r="I394" s="158"/>
      <c r="J394" s="158"/>
      <c r="K394" s="160"/>
    </row>
    <row r="395" spans="1:11" ht="15">
      <c r="A395" s="137" t="str">
        <f>D395&amp;E395&amp;F395</f>
        <v/>
      </c>
      <c r="C395" s="1"/>
      <c r="F395" s="146"/>
      <c r="G395" s="146"/>
      <c r="I395" s="158"/>
      <c r="J395" s="158"/>
      <c r="K395" s="160"/>
    </row>
    <row r="396" spans="1:11" ht="15">
      <c r="A396" s="137" t="str">
        <f>D396&amp;E396&amp;F396</f>
        <v/>
      </c>
      <c r="C396" s="1"/>
      <c r="F396" s="146"/>
      <c r="G396" s="146"/>
      <c r="I396" s="158"/>
      <c r="J396" s="158"/>
      <c r="K396" s="160"/>
    </row>
    <row r="397" spans="1:11" ht="15">
      <c r="A397" s="137" t="str">
        <f>D397&amp;E397&amp;F397</f>
        <v/>
      </c>
      <c r="C397" s="1"/>
      <c r="F397" s="146"/>
      <c r="G397" s="146"/>
      <c r="I397" s="158"/>
      <c r="J397" s="158"/>
      <c r="K397" s="160"/>
    </row>
    <row r="398" spans="1:11" ht="15">
      <c r="A398" s="137" t="str">
        <f>D398&amp;E398&amp;F398</f>
        <v/>
      </c>
      <c r="C398" s="1"/>
      <c r="F398" s="146"/>
      <c r="G398" s="146"/>
      <c r="I398" s="158"/>
      <c r="J398" s="158"/>
      <c r="K398" s="160"/>
    </row>
    <row r="399" spans="1:11" ht="15">
      <c r="A399" s="137" t="str">
        <f>D399&amp;E399&amp;F399</f>
        <v/>
      </c>
      <c r="C399" s="1"/>
      <c r="F399" s="146"/>
      <c r="G399" s="146"/>
      <c r="I399" s="158"/>
      <c r="J399" s="158"/>
      <c r="K399" s="160"/>
    </row>
    <row r="400" spans="1:11" ht="15">
      <c r="A400" s="137" t="str">
        <f>D400&amp;E400&amp;F400</f>
        <v/>
      </c>
      <c r="C400" s="1"/>
      <c r="F400" s="146"/>
      <c r="G400" s="146"/>
      <c r="I400" s="158"/>
      <c r="J400" s="158"/>
      <c r="K400" s="160"/>
    </row>
    <row r="401" spans="1:11" ht="15">
      <c r="A401" s="137" t="str">
        <f>D401&amp;E401&amp;F401</f>
        <v/>
      </c>
      <c r="C401" s="1"/>
      <c r="F401" s="146"/>
      <c r="G401" s="146"/>
      <c r="I401" s="158"/>
      <c r="J401" s="158"/>
      <c r="K401" s="160"/>
    </row>
    <row r="402" spans="1:11" ht="15">
      <c r="A402" s="137" t="str">
        <f>D402&amp;E402&amp;F402</f>
        <v/>
      </c>
      <c r="C402" s="1"/>
      <c r="F402" s="146"/>
      <c r="G402" s="146"/>
      <c r="I402" s="158"/>
      <c r="J402" s="158"/>
      <c r="K402" s="160"/>
    </row>
    <row r="403" spans="1:11" ht="15">
      <c r="A403" s="137" t="str">
        <f>D403&amp;E403&amp;F403</f>
        <v/>
      </c>
      <c r="C403" s="1"/>
      <c r="F403" s="146"/>
      <c r="G403" s="146"/>
      <c r="I403" s="158"/>
      <c r="J403" s="158"/>
      <c r="K403" s="160"/>
    </row>
    <row r="404" spans="1:11" ht="15">
      <c r="A404" s="137" t="str">
        <f>D404&amp;E404&amp;F404</f>
        <v/>
      </c>
      <c r="C404" s="1"/>
      <c r="F404" s="146"/>
      <c r="G404" s="146"/>
      <c r="I404" s="158"/>
      <c r="J404" s="158"/>
      <c r="K404" s="160"/>
    </row>
    <row r="405" spans="1:11" ht="15">
      <c r="A405" s="137" t="str">
        <f>D405&amp;E405&amp;F405</f>
        <v/>
      </c>
      <c r="C405" s="1"/>
      <c r="F405" s="146"/>
      <c r="G405" s="146"/>
      <c r="I405" s="158"/>
      <c r="J405" s="158"/>
      <c r="K405" s="160"/>
    </row>
    <row r="406" spans="1:11" ht="15">
      <c r="A406" s="137" t="str">
        <f>D406&amp;E406&amp;F406</f>
        <v/>
      </c>
      <c r="C406" s="1"/>
      <c r="F406" s="146"/>
      <c r="G406" s="146"/>
      <c r="I406" s="158"/>
      <c r="J406" s="158"/>
      <c r="K406" s="160"/>
    </row>
    <row r="407" spans="1:11" ht="15">
      <c r="A407" s="137" t="str">
        <f>D407&amp;E407&amp;F407</f>
        <v/>
      </c>
      <c r="C407" s="1"/>
      <c r="F407" s="146"/>
      <c r="G407" s="146"/>
      <c r="I407" s="158"/>
      <c r="J407" s="158"/>
      <c r="K407" s="160"/>
    </row>
    <row r="408" spans="1:11" ht="15">
      <c r="A408" s="137" t="str">
        <f>D408&amp;E408&amp;F408</f>
        <v/>
      </c>
      <c r="C408" s="1"/>
      <c r="F408" s="146"/>
      <c r="G408" s="146"/>
      <c r="I408" s="158"/>
      <c r="J408" s="158"/>
      <c r="K408" s="160"/>
    </row>
    <row r="409" spans="1:11" ht="15">
      <c r="A409" s="137" t="str">
        <f>D409&amp;E409&amp;F409</f>
        <v/>
      </c>
      <c r="C409" s="1"/>
      <c r="F409" s="146"/>
      <c r="G409" s="146"/>
      <c r="I409" s="158"/>
      <c r="J409" s="158"/>
      <c r="K409" s="160"/>
    </row>
    <row r="410" spans="1:11" ht="15">
      <c r="A410" s="137" t="str">
        <f>D410&amp;E410&amp;F410</f>
        <v/>
      </c>
      <c r="C410" s="1"/>
      <c r="F410" s="146"/>
      <c r="G410" s="146"/>
      <c r="I410" s="158"/>
      <c r="J410" s="158"/>
      <c r="K410" s="160"/>
    </row>
    <row r="411" spans="1:11" ht="15">
      <c r="A411" s="137" t="str">
        <f>D411&amp;E411&amp;F411</f>
        <v/>
      </c>
      <c r="C411" s="1"/>
      <c r="F411" s="146"/>
      <c r="G411" s="146"/>
      <c r="I411" s="158"/>
      <c r="J411" s="158"/>
      <c r="K411" s="160"/>
    </row>
    <row r="412" spans="1:11" ht="15">
      <c r="A412" s="137" t="str">
        <f>D412&amp;E412&amp;F412</f>
        <v/>
      </c>
      <c r="C412" s="1"/>
      <c r="F412" s="146"/>
      <c r="G412" s="146"/>
      <c r="I412" s="158"/>
      <c r="J412" s="158"/>
      <c r="K412" s="160"/>
    </row>
    <row r="413" spans="1:11" ht="15">
      <c r="A413" s="137" t="str">
        <f>D413&amp;E413&amp;F413</f>
        <v/>
      </c>
      <c r="C413" s="1"/>
      <c r="F413" s="146"/>
      <c r="G413" s="146"/>
      <c r="I413" s="158"/>
      <c r="J413" s="158"/>
      <c r="K413" s="160"/>
    </row>
    <row r="414" spans="1:11" ht="15">
      <c r="A414" s="137" t="str">
        <f>D414&amp;E414&amp;F414</f>
        <v/>
      </c>
      <c r="C414" s="1"/>
      <c r="F414" s="146"/>
      <c r="G414" s="146"/>
      <c r="I414" s="158"/>
      <c r="J414" s="158"/>
      <c r="K414" s="160"/>
    </row>
    <row r="415" spans="1:11" ht="15">
      <c r="A415" s="137" t="str">
        <f>D415&amp;E415&amp;F415</f>
        <v/>
      </c>
      <c r="C415" s="1"/>
      <c r="F415" s="146"/>
      <c r="G415" s="146"/>
      <c r="I415" s="158"/>
      <c r="J415" s="158"/>
      <c r="K415" s="160"/>
    </row>
    <row r="416" spans="1:11" ht="15">
      <c r="A416" s="137" t="str">
        <f>D416&amp;E416&amp;F416</f>
        <v/>
      </c>
      <c r="C416" s="1"/>
      <c r="F416" s="146"/>
      <c r="G416" s="146"/>
      <c r="I416" s="158"/>
      <c r="J416" s="158"/>
      <c r="K416" s="160"/>
    </row>
    <row r="417" spans="1:11" ht="15">
      <c r="A417" s="137" t="str">
        <f>D417&amp;E417&amp;F417</f>
        <v/>
      </c>
      <c r="C417" s="1"/>
      <c r="F417" s="146"/>
      <c r="G417" s="146"/>
      <c r="I417" s="158"/>
      <c r="J417" s="158"/>
      <c r="K417" s="160"/>
    </row>
    <row r="418" spans="1:11" ht="15">
      <c r="A418" s="137" t="str">
        <f>D418&amp;E418&amp;F418</f>
        <v/>
      </c>
      <c r="C418" s="1"/>
      <c r="F418" s="146"/>
      <c r="G418" s="146"/>
      <c r="I418" s="158"/>
      <c r="J418" s="158"/>
      <c r="K418" s="160"/>
    </row>
    <row r="419" spans="1:11" ht="15">
      <c r="A419" s="137" t="str">
        <f>D419&amp;E419&amp;F419</f>
        <v/>
      </c>
      <c r="C419" s="1"/>
      <c r="F419" s="146"/>
      <c r="G419" s="146"/>
      <c r="I419" s="158"/>
      <c r="J419" s="158"/>
      <c r="K419" s="160"/>
    </row>
    <row r="420" spans="1:11" ht="15">
      <c r="A420" s="137" t="str">
        <f>D420&amp;E420&amp;F420</f>
        <v/>
      </c>
      <c r="C420" s="1"/>
      <c r="F420" s="146"/>
      <c r="G420" s="146"/>
      <c r="I420" s="158"/>
      <c r="J420" s="158"/>
      <c r="K420" s="160"/>
    </row>
    <row r="421" spans="1:11" ht="15">
      <c r="A421" s="137" t="str">
        <f>D421&amp;E421&amp;F421</f>
        <v/>
      </c>
      <c r="C421" s="1"/>
      <c r="F421" s="146"/>
      <c r="G421" s="146"/>
      <c r="I421" s="158"/>
      <c r="J421" s="158"/>
      <c r="K421" s="160"/>
    </row>
    <row r="422" spans="1:11" ht="15">
      <c r="A422" s="137" t="str">
        <f>D422&amp;E422&amp;F422</f>
        <v/>
      </c>
      <c r="C422" s="1"/>
      <c r="F422" s="146"/>
      <c r="G422" s="146"/>
      <c r="I422" s="158"/>
      <c r="J422" s="158"/>
      <c r="K422" s="160"/>
    </row>
    <row r="423" spans="1:11" ht="15">
      <c r="A423" s="137" t="str">
        <f>D423&amp;E423&amp;F423</f>
        <v/>
      </c>
      <c r="C423" s="1"/>
      <c r="F423" s="146"/>
      <c r="G423" s="146"/>
      <c r="I423" s="158"/>
      <c r="J423" s="158"/>
      <c r="K423" s="160"/>
    </row>
    <row r="424" spans="1:11" ht="15">
      <c r="A424" s="137" t="str">
        <f>D424&amp;E424&amp;F424</f>
        <v/>
      </c>
      <c r="C424" s="1"/>
      <c r="F424" s="146"/>
      <c r="G424" s="146"/>
      <c r="I424" s="158"/>
      <c r="J424" s="158"/>
      <c r="K424" s="160"/>
    </row>
    <row r="425" spans="1:11" ht="15">
      <c r="A425" s="137" t="str">
        <f>D425&amp;E425&amp;F425</f>
        <v/>
      </c>
      <c r="C425" s="1"/>
      <c r="F425" s="146"/>
      <c r="G425" s="146"/>
      <c r="I425" s="158"/>
      <c r="J425" s="158"/>
      <c r="K425" s="160"/>
    </row>
    <row r="426" spans="1:11" ht="15">
      <c r="A426" s="137" t="str">
        <f>D426&amp;E426&amp;F426</f>
        <v/>
      </c>
      <c r="C426" s="1"/>
      <c r="F426" s="146"/>
      <c r="G426" s="146"/>
      <c r="I426" s="158"/>
      <c r="J426" s="158"/>
      <c r="K426" s="160"/>
    </row>
    <row r="427" spans="1:11" ht="15">
      <c r="A427" s="137" t="str">
        <f>D427&amp;E427&amp;F427</f>
        <v/>
      </c>
      <c r="C427" s="1"/>
      <c r="F427" s="146"/>
      <c r="G427" s="146"/>
      <c r="I427" s="158"/>
      <c r="J427" s="158"/>
      <c r="K427" s="160"/>
    </row>
    <row r="428" spans="1:11" ht="15">
      <c r="A428" s="137" t="str">
        <f>D428&amp;E428&amp;F428</f>
        <v/>
      </c>
      <c r="C428" s="1"/>
      <c r="F428" s="146"/>
      <c r="G428" s="146"/>
      <c r="I428" s="158"/>
      <c r="J428" s="158"/>
      <c r="K428" s="160"/>
    </row>
    <row r="429" spans="1:11" ht="15">
      <c r="A429" s="137" t="str">
        <f>D429&amp;E429&amp;F429</f>
        <v/>
      </c>
      <c r="C429" s="1"/>
      <c r="F429" s="146"/>
      <c r="G429" s="146"/>
      <c r="I429" s="158"/>
      <c r="J429" s="158"/>
      <c r="K429" s="160"/>
    </row>
    <row r="430" spans="1:11" ht="15">
      <c r="A430" s="137" t="str">
        <f>D430&amp;E430&amp;F430</f>
        <v/>
      </c>
      <c r="C430" s="1"/>
      <c r="F430" s="146"/>
      <c r="G430" s="146"/>
      <c r="I430" s="158"/>
      <c r="J430" s="158"/>
      <c r="K430" s="160"/>
    </row>
    <row r="431" spans="1:11" ht="15">
      <c r="A431" s="137" t="str">
        <f>D431&amp;E431&amp;F431</f>
        <v/>
      </c>
      <c r="C431" s="1"/>
      <c r="F431" s="146"/>
      <c r="G431" s="146"/>
      <c r="I431" s="158"/>
      <c r="J431" s="158"/>
      <c r="K431" s="160"/>
    </row>
    <row r="432" spans="1:11" ht="15">
      <c r="A432" s="137" t="str">
        <f>D432&amp;E432&amp;F432</f>
        <v/>
      </c>
      <c r="C432" s="1"/>
      <c r="F432" s="146"/>
      <c r="G432" s="146"/>
      <c r="I432" s="158"/>
      <c r="J432" s="158"/>
      <c r="K432" s="160"/>
    </row>
    <row r="433" spans="1:11" ht="15">
      <c r="A433" s="137" t="str">
        <f>D433&amp;E433&amp;F433</f>
        <v/>
      </c>
      <c r="C433" s="1"/>
      <c r="F433" s="146"/>
      <c r="G433" s="146"/>
      <c r="I433" s="158"/>
      <c r="J433" s="158"/>
      <c r="K433" s="160"/>
    </row>
    <row r="434" spans="1:11" ht="15">
      <c r="A434" s="137" t="str">
        <f>D434&amp;E434&amp;F434</f>
        <v/>
      </c>
      <c r="C434" s="1"/>
      <c r="F434" s="146"/>
      <c r="G434" s="146"/>
      <c r="I434" s="158"/>
      <c r="J434" s="158"/>
      <c r="K434" s="160"/>
    </row>
    <row r="435" spans="1:11" ht="15">
      <c r="A435" s="137" t="str">
        <f>D435&amp;E435&amp;F435</f>
        <v/>
      </c>
      <c r="C435" s="1"/>
      <c r="F435" s="146"/>
      <c r="G435" s="146"/>
      <c r="I435" s="158"/>
      <c r="J435" s="158"/>
      <c r="K435" s="160"/>
    </row>
    <row r="436" spans="1:11" ht="15">
      <c r="A436" s="137" t="str">
        <f>D436&amp;E436&amp;F436</f>
        <v/>
      </c>
      <c r="C436" s="1"/>
      <c r="F436" s="146"/>
      <c r="G436" s="146"/>
      <c r="I436" s="158"/>
      <c r="J436" s="158"/>
      <c r="K436" s="160"/>
    </row>
    <row r="437" spans="1:11" ht="15">
      <c r="A437" s="137" t="str">
        <f>D437&amp;E437&amp;F437</f>
        <v/>
      </c>
      <c r="C437" s="1"/>
      <c r="F437" s="146"/>
      <c r="G437" s="146"/>
      <c r="I437" s="158"/>
      <c r="J437" s="158"/>
      <c r="K437" s="160"/>
    </row>
    <row r="438" spans="1:11" ht="15">
      <c r="A438" s="137" t="str">
        <f>D438&amp;E438&amp;F438</f>
        <v/>
      </c>
      <c r="C438" s="1"/>
      <c r="F438" s="146"/>
      <c r="G438" s="146"/>
      <c r="I438" s="158"/>
      <c r="J438" s="158"/>
      <c r="K438" s="160"/>
    </row>
    <row r="439" spans="1:11" ht="15">
      <c r="A439" s="137" t="str">
        <f>D439&amp;E439&amp;F439</f>
        <v/>
      </c>
      <c r="C439" s="1"/>
      <c r="F439" s="146"/>
      <c r="G439" s="146"/>
      <c r="I439" s="158"/>
      <c r="J439" s="158"/>
      <c r="K439" s="160"/>
    </row>
    <row r="440" spans="1:11" ht="15">
      <c r="A440" s="137" t="str">
        <f>D440&amp;E440&amp;F440</f>
        <v/>
      </c>
      <c r="C440" s="1"/>
      <c r="F440" s="146"/>
      <c r="G440" s="146"/>
      <c r="I440" s="158"/>
      <c r="J440" s="158"/>
      <c r="K440" s="160"/>
    </row>
    <row r="441" spans="1:11" ht="15">
      <c r="A441" s="137" t="str">
        <f>D441&amp;E441&amp;F441</f>
        <v/>
      </c>
      <c r="C441" s="1"/>
      <c r="F441" s="146"/>
      <c r="G441" s="146"/>
      <c r="I441" s="158"/>
      <c r="J441" s="158"/>
      <c r="K441" s="160"/>
    </row>
    <row r="442" spans="1:11" ht="15">
      <c r="A442" s="137" t="str">
        <f>D442&amp;E442&amp;F442</f>
        <v/>
      </c>
      <c r="C442" s="1"/>
      <c r="F442" s="146"/>
      <c r="G442" s="146"/>
      <c r="I442" s="158"/>
      <c r="J442" s="158"/>
      <c r="K442" s="160"/>
    </row>
    <row r="443" spans="1:11" ht="15">
      <c r="A443" s="137" t="str">
        <f>D443&amp;E443&amp;F443</f>
        <v/>
      </c>
      <c r="C443" s="1"/>
      <c r="F443" s="146"/>
      <c r="G443" s="146"/>
      <c r="I443" s="158"/>
      <c r="J443" s="158"/>
      <c r="K443" s="160"/>
    </row>
    <row r="444" spans="1:11" ht="15">
      <c r="A444" s="137" t="str">
        <f>D444&amp;E444&amp;F444</f>
        <v/>
      </c>
      <c r="C444" s="1"/>
      <c r="F444" s="146"/>
      <c r="G444" s="146"/>
      <c r="I444" s="158"/>
      <c r="J444" s="158"/>
      <c r="K444" s="160"/>
    </row>
    <row r="445" spans="1:11" ht="15">
      <c r="A445" s="137" t="str">
        <f>D445&amp;E445&amp;F445</f>
        <v/>
      </c>
      <c r="C445" s="1"/>
      <c r="F445" s="146"/>
      <c r="G445" s="146"/>
      <c r="I445" s="158"/>
      <c r="J445" s="158"/>
      <c r="K445" s="160"/>
    </row>
    <row r="446" spans="1:11" ht="15">
      <c r="A446" s="137" t="str">
        <f>D446&amp;E446&amp;F446</f>
        <v/>
      </c>
      <c r="C446" s="1"/>
      <c r="F446" s="146"/>
      <c r="G446" s="146"/>
      <c r="I446" s="158"/>
      <c r="J446" s="158"/>
      <c r="K446" s="160"/>
    </row>
    <row r="447" spans="1:11" ht="15">
      <c r="A447" s="137" t="str">
        <f>D447&amp;E447&amp;F447</f>
        <v/>
      </c>
      <c r="C447" s="1"/>
      <c r="F447" s="146"/>
      <c r="G447" s="146"/>
      <c r="I447" s="158"/>
      <c r="J447" s="158"/>
      <c r="K447" s="160"/>
    </row>
    <row r="448" spans="1:11" ht="15">
      <c r="A448" s="137" t="str">
        <f>D448&amp;E448&amp;F448</f>
        <v/>
      </c>
      <c r="C448" s="1"/>
      <c r="F448" s="146"/>
      <c r="G448" s="146"/>
      <c r="I448" s="158"/>
      <c r="J448" s="158"/>
      <c r="K448" s="160"/>
    </row>
    <row r="449" spans="1:11" ht="15">
      <c r="A449" s="137" t="str">
        <f>D449&amp;E449&amp;F449</f>
        <v/>
      </c>
      <c r="C449" s="1"/>
      <c r="F449" s="146"/>
      <c r="G449" s="146"/>
      <c r="I449" s="158"/>
      <c r="J449" s="158"/>
      <c r="K449" s="160"/>
    </row>
    <row r="450" spans="1:11" ht="15">
      <c r="A450" s="137" t="str">
        <f>D450&amp;E450&amp;F450</f>
        <v/>
      </c>
      <c r="C450" s="1"/>
      <c r="F450" s="146"/>
      <c r="G450" s="146"/>
      <c r="I450" s="158"/>
      <c r="J450" s="158"/>
      <c r="K450" s="160"/>
    </row>
    <row r="451" spans="1:11" ht="15">
      <c r="A451" s="137" t="str">
        <f>D451&amp;E451&amp;F451</f>
        <v/>
      </c>
      <c r="C451" s="1"/>
      <c r="F451" s="146"/>
      <c r="G451" s="146"/>
      <c r="I451" s="158"/>
      <c r="J451" s="158"/>
      <c r="K451" s="160"/>
    </row>
    <row r="452" spans="1:11" ht="15">
      <c r="A452" s="137" t="str">
        <f>D452&amp;E452&amp;F452</f>
        <v/>
      </c>
      <c r="C452" s="1"/>
      <c r="F452" s="146"/>
      <c r="G452" s="146"/>
      <c r="I452" s="158"/>
      <c r="J452" s="158"/>
      <c r="K452" s="160"/>
    </row>
    <row r="453" spans="1:11" ht="15">
      <c r="A453" s="137" t="str">
        <f>D453&amp;E453&amp;F453</f>
        <v/>
      </c>
      <c r="C453" s="1"/>
      <c r="F453" s="146"/>
      <c r="G453" s="146"/>
      <c r="I453" s="158"/>
      <c r="J453" s="158"/>
      <c r="K453" s="160"/>
    </row>
    <row r="454" spans="1:11" ht="15">
      <c r="A454" s="137" t="str">
        <f>D454&amp;E454&amp;F454</f>
        <v/>
      </c>
      <c r="C454" s="1"/>
      <c r="F454" s="146"/>
      <c r="G454" s="146"/>
      <c r="I454" s="158"/>
      <c r="J454" s="158"/>
      <c r="K454" s="160"/>
    </row>
    <row r="455" spans="1:11" ht="15">
      <c r="A455" s="137" t="str">
        <f>D455&amp;E455&amp;F455</f>
        <v/>
      </c>
      <c r="C455" s="1"/>
      <c r="F455" s="146"/>
      <c r="G455" s="146"/>
      <c r="I455" s="158"/>
      <c r="J455" s="158"/>
      <c r="K455" s="160"/>
    </row>
    <row r="456" spans="1:11" ht="15">
      <c r="A456" s="137" t="str">
        <f>D456&amp;E456&amp;F456</f>
        <v/>
      </c>
      <c r="C456" s="1"/>
      <c r="F456" s="146"/>
      <c r="G456" s="146"/>
      <c r="I456" s="158"/>
      <c r="J456" s="158"/>
      <c r="K456" s="160"/>
    </row>
    <row r="457" spans="1:11" ht="15">
      <c r="A457" s="137" t="str">
        <f>D457&amp;E457&amp;F457</f>
        <v/>
      </c>
      <c r="C457" s="1"/>
      <c r="F457" s="146"/>
      <c r="G457" s="146"/>
      <c r="I457" s="158"/>
      <c r="J457" s="158"/>
      <c r="K457" s="160"/>
    </row>
    <row r="458" spans="1:11" ht="15">
      <c r="A458" s="137" t="str">
        <f>D458&amp;E458&amp;F458</f>
        <v/>
      </c>
      <c r="C458" s="1"/>
      <c r="F458" s="146"/>
      <c r="G458" s="146"/>
      <c r="I458" s="158"/>
      <c r="J458" s="158"/>
      <c r="K458" s="160"/>
    </row>
    <row r="459" spans="1:11" ht="15">
      <c r="A459" s="137" t="str">
        <f>D459&amp;E459&amp;F459</f>
        <v/>
      </c>
      <c r="C459" s="1"/>
      <c r="F459" s="146"/>
      <c r="G459" s="146"/>
      <c r="I459" s="158"/>
      <c r="J459" s="158"/>
      <c r="K459" s="160"/>
    </row>
    <row r="460" spans="1:11" ht="15">
      <c r="A460" s="137" t="str">
        <f>D460&amp;E460&amp;F460</f>
        <v/>
      </c>
      <c r="C460" s="1"/>
      <c r="F460" s="146"/>
      <c r="G460" s="146"/>
      <c r="I460" s="158"/>
      <c r="J460" s="158"/>
      <c r="K460" s="160"/>
    </row>
    <row r="461" spans="1:11" ht="15">
      <c r="A461" s="137" t="str">
        <f>D461&amp;E461&amp;F461</f>
        <v/>
      </c>
      <c r="C461" s="1"/>
      <c r="F461" s="146"/>
      <c r="G461" s="146"/>
      <c r="I461" s="158"/>
      <c r="J461" s="158"/>
      <c r="K461" s="160"/>
    </row>
    <row r="462" spans="1:11" ht="15">
      <c r="A462" s="137" t="str">
        <f>D462&amp;E462&amp;F462</f>
        <v/>
      </c>
      <c r="C462" s="1"/>
      <c r="F462" s="146"/>
      <c r="G462" s="146"/>
      <c r="I462" s="158"/>
      <c r="J462" s="158"/>
      <c r="K462" s="160"/>
    </row>
    <row r="463" spans="1:11" ht="15">
      <c r="A463" s="137" t="str">
        <f>D463&amp;E463&amp;F463</f>
        <v/>
      </c>
      <c r="C463" s="1"/>
      <c r="F463" s="146"/>
      <c r="G463" s="146"/>
      <c r="I463" s="158"/>
      <c r="J463" s="158"/>
      <c r="K463" s="160"/>
    </row>
    <row r="464" spans="1:11" ht="15">
      <c r="A464" s="137" t="str">
        <f>D464&amp;E464&amp;F464</f>
        <v/>
      </c>
      <c r="C464" s="1"/>
      <c r="F464" s="146"/>
      <c r="G464" s="146"/>
      <c r="I464" s="158"/>
      <c r="J464" s="158"/>
      <c r="K464" s="160"/>
    </row>
    <row r="465" spans="1:11" ht="15">
      <c r="A465" s="137" t="str">
        <f>D465&amp;E465&amp;F465</f>
        <v/>
      </c>
      <c r="C465" s="1"/>
      <c r="F465" s="146"/>
      <c r="G465" s="146"/>
      <c r="I465" s="158"/>
      <c r="J465" s="158"/>
      <c r="K465" s="160"/>
    </row>
    <row r="466" spans="1:11" ht="15">
      <c r="A466" s="137" t="str">
        <f>D466&amp;E466&amp;F466</f>
        <v/>
      </c>
      <c r="C466" s="1"/>
      <c r="F466" s="146"/>
      <c r="G466" s="146"/>
      <c r="I466" s="158"/>
      <c r="J466" s="158"/>
      <c r="K466" s="160"/>
    </row>
    <row r="467" spans="1:11" ht="15">
      <c r="A467" s="137" t="str">
        <f>D467&amp;E467&amp;F467</f>
        <v/>
      </c>
      <c r="C467" s="1"/>
      <c r="F467" s="146"/>
      <c r="G467" s="146"/>
      <c r="I467" s="158"/>
      <c r="J467" s="158"/>
      <c r="K467" s="160"/>
    </row>
    <row r="468" spans="1:11" ht="15">
      <c r="A468" s="137" t="str">
        <f>D468&amp;E468&amp;F468</f>
        <v/>
      </c>
      <c r="C468" s="1"/>
      <c r="F468" s="146"/>
      <c r="G468" s="146"/>
      <c r="I468" s="158"/>
      <c r="J468" s="158"/>
      <c r="K468" s="160"/>
    </row>
    <row r="469" spans="1:11" ht="15">
      <c r="A469" s="137" t="str">
        <f>D469&amp;E469&amp;F469</f>
        <v/>
      </c>
      <c r="C469" s="1"/>
      <c r="F469" s="146"/>
      <c r="G469" s="146"/>
      <c r="I469" s="158"/>
      <c r="J469" s="158"/>
      <c r="K469" s="160"/>
    </row>
    <row r="470" spans="1:11" ht="15">
      <c r="A470" s="137" t="str">
        <f>D470&amp;E470&amp;F470</f>
        <v/>
      </c>
      <c r="C470" s="1"/>
      <c r="F470" s="146"/>
      <c r="G470" s="146"/>
      <c r="I470" s="158"/>
      <c r="J470" s="158"/>
      <c r="K470" s="160"/>
    </row>
    <row r="471" spans="1:11" ht="15">
      <c r="A471" s="137" t="str">
        <f>D471&amp;E471&amp;F471</f>
        <v/>
      </c>
      <c r="C471" s="1"/>
      <c r="F471" s="146"/>
      <c r="G471" s="146"/>
      <c r="I471" s="158"/>
      <c r="J471" s="158"/>
      <c r="K471" s="160"/>
    </row>
    <row r="472" spans="1:11" ht="15">
      <c r="A472" s="137" t="str">
        <f>D472&amp;E472&amp;F472</f>
        <v/>
      </c>
      <c r="C472" s="1"/>
      <c r="F472" s="146"/>
      <c r="G472" s="146"/>
      <c r="I472" s="158"/>
      <c r="J472" s="158"/>
      <c r="K472" s="160"/>
    </row>
    <row r="473" spans="1:11" ht="15">
      <c r="A473" s="137" t="str">
        <f>D473&amp;E473&amp;F473</f>
        <v/>
      </c>
      <c r="C473" s="1"/>
      <c r="F473" s="146"/>
      <c r="G473" s="146"/>
      <c r="I473" s="158"/>
      <c r="J473" s="158"/>
      <c r="K473" s="160"/>
    </row>
    <row r="474" spans="1:11" ht="15">
      <c r="A474" s="137" t="str">
        <f>D474&amp;E474&amp;F474</f>
        <v/>
      </c>
      <c r="C474" s="1"/>
      <c r="F474" s="146"/>
      <c r="G474" s="146"/>
      <c r="I474" s="158"/>
      <c r="J474" s="158"/>
      <c r="K474" s="160"/>
    </row>
    <row r="475" spans="1:11" ht="15">
      <c r="A475" s="137" t="str">
        <f>D475&amp;E475&amp;F475</f>
        <v/>
      </c>
      <c r="C475" s="1"/>
      <c r="F475" s="146"/>
      <c r="G475" s="146"/>
      <c r="I475" s="158"/>
      <c r="J475" s="158"/>
      <c r="K475" s="160"/>
    </row>
    <row r="476" spans="1:11" ht="15">
      <c r="A476" s="137" t="str">
        <f>D476&amp;E476&amp;F476</f>
        <v/>
      </c>
      <c r="C476" s="1"/>
      <c r="F476" s="146"/>
      <c r="G476" s="146"/>
      <c r="I476" s="158"/>
      <c r="J476" s="158"/>
      <c r="K476" s="160"/>
    </row>
    <row r="477" spans="1:11" ht="15">
      <c r="A477" s="137" t="str">
        <f>D477&amp;E477&amp;F477</f>
        <v/>
      </c>
      <c r="C477" s="1"/>
      <c r="F477" s="146"/>
      <c r="G477" s="146"/>
      <c r="I477" s="158"/>
      <c r="J477" s="158"/>
      <c r="K477" s="160"/>
    </row>
    <row r="478" spans="1:11" ht="15">
      <c r="A478" s="137" t="str">
        <f>D478&amp;E478&amp;F478</f>
        <v/>
      </c>
      <c r="C478" s="1"/>
      <c r="F478" s="146"/>
      <c r="G478" s="146"/>
      <c r="I478" s="158"/>
      <c r="J478" s="158"/>
      <c r="K478" s="160"/>
    </row>
    <row r="479" spans="1:11" ht="15">
      <c r="A479" s="137" t="str">
        <f>D479&amp;E479&amp;F479</f>
        <v/>
      </c>
      <c r="C479" s="1"/>
      <c r="F479" s="146"/>
      <c r="G479" s="146"/>
      <c r="I479" s="158"/>
      <c r="J479" s="158"/>
      <c r="K479" s="160"/>
    </row>
    <row r="480" spans="1:11" ht="15">
      <c r="A480" s="137" t="str">
        <f>D480&amp;E480&amp;F480</f>
        <v/>
      </c>
      <c r="C480" s="1"/>
      <c r="F480" s="146"/>
      <c r="G480" s="146"/>
      <c r="I480" s="158"/>
      <c r="J480" s="158"/>
      <c r="K480" s="160"/>
    </row>
    <row r="481" spans="1:11" ht="15">
      <c r="A481" s="137" t="str">
        <f>D481&amp;E481&amp;F481</f>
        <v/>
      </c>
      <c r="C481" s="1"/>
      <c r="F481" s="146"/>
      <c r="G481" s="146"/>
      <c r="I481" s="158"/>
      <c r="J481" s="158"/>
      <c r="K481" s="160"/>
    </row>
    <row r="482" spans="1:11" ht="15">
      <c r="A482" s="137" t="str">
        <f>D482&amp;E482&amp;F482</f>
        <v/>
      </c>
      <c r="C482" s="1"/>
      <c r="F482" s="146"/>
      <c r="G482" s="146"/>
      <c r="I482" s="158"/>
      <c r="J482" s="158"/>
      <c r="K482" s="160"/>
    </row>
    <row r="483" spans="1:11" ht="15">
      <c r="A483" s="137" t="str">
        <f>D483&amp;E483&amp;F483</f>
        <v/>
      </c>
      <c r="C483" s="1"/>
      <c r="F483" s="146"/>
      <c r="G483" s="146"/>
      <c r="I483" s="158"/>
      <c r="J483" s="158"/>
      <c r="K483" s="160"/>
    </row>
    <row r="484" spans="1:11" ht="15">
      <c r="A484" s="137" t="str">
        <f>D484&amp;E484&amp;F484</f>
        <v/>
      </c>
      <c r="C484" s="1"/>
      <c r="F484" s="146"/>
      <c r="G484" s="146"/>
      <c r="I484" s="158"/>
      <c r="J484" s="158"/>
      <c r="K484" s="160"/>
    </row>
    <row r="485" spans="1:11" ht="15">
      <c r="A485" s="137" t="str">
        <f>D485&amp;E485&amp;F485</f>
        <v/>
      </c>
      <c r="C485" s="1"/>
      <c r="F485" s="146"/>
      <c r="G485" s="146"/>
      <c r="I485" s="158"/>
      <c r="J485" s="158"/>
      <c r="K485" s="160"/>
    </row>
    <row r="486" spans="1:11" ht="15">
      <c r="A486" s="137" t="str">
        <f>D486&amp;E486&amp;F486</f>
        <v/>
      </c>
      <c r="C486" s="1"/>
      <c r="F486" s="146"/>
      <c r="G486" s="146"/>
      <c r="I486" s="158"/>
      <c r="J486" s="158"/>
      <c r="K486" s="160"/>
    </row>
    <row r="487" spans="1:11" ht="15">
      <c r="A487" s="137" t="str">
        <f>D487&amp;E487&amp;F487</f>
        <v/>
      </c>
      <c r="C487" s="1"/>
      <c r="F487" s="146"/>
      <c r="G487" s="146"/>
      <c r="I487" s="158"/>
      <c r="J487" s="158"/>
      <c r="K487" s="160"/>
    </row>
    <row r="488" spans="1:11" ht="15">
      <c r="A488" s="137" t="str">
        <f>D488&amp;E488&amp;F488</f>
        <v/>
      </c>
      <c r="C488" s="1"/>
      <c r="F488" s="146"/>
      <c r="G488" s="146"/>
      <c r="I488" s="158"/>
      <c r="J488" s="158"/>
      <c r="K488" s="160"/>
    </row>
    <row r="489" spans="1:11" ht="15">
      <c r="A489" s="137" t="str">
        <f>D489&amp;E489&amp;F489</f>
        <v/>
      </c>
      <c r="C489" s="1"/>
      <c r="F489" s="146"/>
      <c r="G489" s="146"/>
      <c r="I489" s="158"/>
      <c r="J489" s="158"/>
      <c r="K489" s="160"/>
    </row>
    <row r="490" spans="1:11" ht="15">
      <c r="A490" s="137" t="str">
        <f>D490&amp;E490&amp;F490</f>
        <v/>
      </c>
      <c r="C490" s="1"/>
      <c r="F490" s="146"/>
      <c r="G490" s="146"/>
      <c r="I490" s="158"/>
      <c r="J490" s="158"/>
      <c r="K490" s="160"/>
    </row>
    <row r="491" spans="1:11" ht="15">
      <c r="A491" s="137" t="str">
        <f>D491&amp;E491&amp;F491</f>
        <v/>
      </c>
      <c r="C491" s="1"/>
      <c r="F491" s="146"/>
      <c r="G491" s="146"/>
      <c r="I491" s="158"/>
      <c r="J491" s="158"/>
      <c r="K491" s="160"/>
    </row>
    <row r="492" spans="1:11" ht="15">
      <c r="A492" s="137" t="str">
        <f>D492&amp;E492&amp;F492</f>
        <v/>
      </c>
      <c r="C492" s="1"/>
      <c r="F492" s="146"/>
      <c r="G492" s="146"/>
      <c r="I492" s="158"/>
      <c r="J492" s="158"/>
      <c r="K492" s="160"/>
    </row>
    <row r="493" spans="1:11" ht="15">
      <c r="A493" s="137" t="str">
        <f>D493&amp;E493&amp;F493</f>
        <v/>
      </c>
      <c r="C493" s="1"/>
      <c r="F493" s="146"/>
      <c r="G493" s="146"/>
      <c r="I493" s="158"/>
      <c r="J493" s="158"/>
      <c r="K493" s="160"/>
    </row>
    <row r="494" spans="1:11" ht="15">
      <c r="A494" s="137" t="str">
        <f>D494&amp;E494&amp;F494</f>
        <v/>
      </c>
      <c r="C494" s="1"/>
      <c r="F494" s="146"/>
      <c r="G494" s="146"/>
      <c r="I494" s="158"/>
      <c r="J494" s="158"/>
      <c r="K494" s="160"/>
    </row>
    <row r="495" spans="1:11" ht="15">
      <c r="A495" s="137" t="str">
        <f>D495&amp;E495&amp;F495</f>
        <v/>
      </c>
      <c r="C495" s="1"/>
      <c r="F495" s="146"/>
      <c r="G495" s="146"/>
      <c r="I495" s="158"/>
      <c r="J495" s="158"/>
      <c r="K495" s="160"/>
    </row>
    <row r="496" spans="1:11" ht="15">
      <c r="A496" s="137" t="str">
        <f>D496&amp;E496&amp;F496</f>
        <v/>
      </c>
      <c r="C496" s="1"/>
      <c r="F496" s="146"/>
      <c r="G496" s="146"/>
      <c r="I496" s="158"/>
      <c r="J496" s="158"/>
      <c r="K496" s="160"/>
    </row>
    <row r="497" spans="1:11" ht="15">
      <c r="A497" s="137" t="str">
        <f>D497&amp;E497&amp;F497</f>
        <v/>
      </c>
      <c r="C497" s="1"/>
      <c r="F497" s="146"/>
      <c r="G497" s="146"/>
      <c r="I497" s="158"/>
      <c r="J497" s="158"/>
      <c r="K497" s="160"/>
    </row>
    <row r="498" spans="1:11" ht="15">
      <c r="A498" s="137" t="str">
        <f>D498&amp;E498&amp;F498</f>
        <v/>
      </c>
      <c r="C498" s="1"/>
      <c r="F498" s="146"/>
      <c r="G498" s="146"/>
      <c r="I498" s="158"/>
      <c r="J498" s="158"/>
      <c r="K498" s="160"/>
    </row>
    <row r="499" spans="1:11" ht="15">
      <c r="A499" s="137" t="str">
        <f>D499&amp;E499&amp;F499</f>
        <v/>
      </c>
      <c r="C499" s="1"/>
      <c r="F499" s="146"/>
      <c r="G499" s="146"/>
      <c r="I499" s="158"/>
      <c r="J499" s="158"/>
      <c r="K499" s="160"/>
    </row>
    <row r="500" spans="1:11" ht="15">
      <c r="A500" s="137" t="str">
        <f>D500&amp;E500&amp;F500</f>
        <v/>
      </c>
      <c r="C500" s="1"/>
      <c r="F500" s="146"/>
      <c r="G500" s="146"/>
      <c r="I500" s="158"/>
      <c r="J500" s="158"/>
      <c r="K500" s="160"/>
    </row>
    <row r="501" spans="1:11" ht="15">
      <c r="A501" s="137" t="str">
        <f>D501&amp;E501&amp;F501</f>
        <v/>
      </c>
      <c r="C501" s="1"/>
      <c r="F501" s="146"/>
      <c r="G501" s="146"/>
      <c r="I501" s="158"/>
      <c r="J501" s="158"/>
      <c r="K501" s="160"/>
    </row>
    <row r="502" spans="1:11" ht="15">
      <c r="A502" s="137" t="str">
        <f>D502&amp;E502&amp;F502</f>
        <v/>
      </c>
      <c r="C502" s="1"/>
      <c r="F502" s="146"/>
      <c r="G502" s="146"/>
      <c r="I502" s="158"/>
      <c r="J502" s="158"/>
      <c r="K502" s="160"/>
    </row>
    <row r="503" spans="1:11" ht="15">
      <c r="A503" s="137" t="str">
        <f>D503&amp;E503&amp;F503</f>
        <v/>
      </c>
      <c r="C503" s="1"/>
      <c r="F503" s="146"/>
      <c r="G503" s="146"/>
      <c r="I503" s="158"/>
      <c r="J503" s="158"/>
      <c r="K503" s="160"/>
    </row>
    <row r="504" spans="1:11" ht="15">
      <c r="A504" s="137" t="str">
        <f>D504&amp;E504&amp;F504</f>
        <v/>
      </c>
      <c r="C504" s="1"/>
      <c r="F504" s="146"/>
      <c r="G504" s="146"/>
      <c r="I504" s="158"/>
      <c r="J504" s="158"/>
      <c r="K504" s="160"/>
    </row>
    <row r="505" spans="1:11" ht="15">
      <c r="A505" s="137" t="str">
        <f>D505&amp;E505&amp;F505</f>
        <v/>
      </c>
      <c r="C505" s="1"/>
      <c r="F505" s="146"/>
      <c r="G505" s="146"/>
      <c r="I505" s="158"/>
      <c r="J505" s="158"/>
      <c r="K505" s="160"/>
    </row>
    <row r="506" spans="1:11" ht="15">
      <c r="A506" s="137" t="str">
        <f>D506&amp;E506&amp;F506</f>
        <v/>
      </c>
      <c r="C506" s="1"/>
      <c r="F506" s="146"/>
      <c r="G506" s="146"/>
      <c r="I506" s="158"/>
      <c r="J506" s="158"/>
      <c r="K506" s="160"/>
    </row>
    <row r="507" spans="1:11" ht="15">
      <c r="A507" s="137" t="str">
        <f>D507&amp;E507&amp;F507</f>
        <v/>
      </c>
      <c r="C507" s="1"/>
      <c r="F507" s="146"/>
      <c r="G507" s="146"/>
      <c r="I507" s="158"/>
      <c r="J507" s="158"/>
      <c r="K507" s="160"/>
    </row>
    <row r="508" spans="1:11" ht="15">
      <c r="A508" s="137" t="str">
        <f>D508&amp;E508&amp;F508</f>
        <v/>
      </c>
      <c r="C508" s="1"/>
      <c r="F508" s="146"/>
      <c r="G508" s="146"/>
      <c r="I508" s="158"/>
      <c r="J508" s="158"/>
      <c r="K508" s="160"/>
    </row>
    <row r="509" spans="1:11" ht="15">
      <c r="A509" s="137" t="str">
        <f>D509&amp;E509&amp;F509</f>
        <v/>
      </c>
      <c r="C509" s="1"/>
      <c r="F509" s="146"/>
      <c r="G509" s="146"/>
      <c r="I509" s="158"/>
      <c r="J509" s="158"/>
      <c r="K509" s="160"/>
    </row>
    <row r="510" spans="1:11" ht="15">
      <c r="A510" s="137" t="str">
        <f>D510&amp;E510&amp;F510</f>
        <v/>
      </c>
      <c r="C510" s="1"/>
      <c r="F510" s="146"/>
      <c r="G510" s="146"/>
      <c r="I510" s="158"/>
      <c r="J510" s="158"/>
      <c r="K510" s="160"/>
    </row>
    <row r="511" spans="1:11" ht="15">
      <c r="A511" s="137" t="str">
        <f>D511&amp;E511&amp;F511</f>
        <v/>
      </c>
      <c r="C511" s="1"/>
      <c r="F511" s="146"/>
      <c r="G511" s="146"/>
      <c r="I511" s="158"/>
      <c r="J511" s="158"/>
      <c r="K511" s="160"/>
    </row>
    <row r="512" spans="1:11" ht="15">
      <c r="A512" s="137" t="str">
        <f>D512&amp;E512&amp;F512</f>
        <v/>
      </c>
      <c r="C512" s="1"/>
      <c r="F512" s="146"/>
      <c r="G512" s="146"/>
      <c r="I512" s="158"/>
      <c r="J512" s="158"/>
      <c r="K512" s="160"/>
    </row>
    <row r="513" spans="1:11" ht="15">
      <c r="A513" s="137" t="str">
        <f>D513&amp;E513&amp;F513</f>
        <v/>
      </c>
      <c r="C513" s="1"/>
      <c r="F513" s="146"/>
      <c r="G513" s="146"/>
      <c r="I513" s="158"/>
      <c r="J513" s="158"/>
      <c r="K513" s="160"/>
    </row>
    <row r="514" spans="1:11" ht="15">
      <c r="A514" s="137" t="str">
        <f>D514&amp;E514&amp;F514</f>
        <v/>
      </c>
      <c r="C514" s="1"/>
      <c r="F514" s="146"/>
      <c r="G514" s="146"/>
      <c r="I514" s="158"/>
      <c r="J514" s="158"/>
      <c r="K514" s="160"/>
    </row>
    <row r="515" spans="1:11" ht="15">
      <c r="A515" s="137" t="str">
        <f>D515&amp;E515&amp;F515</f>
        <v/>
      </c>
      <c r="C515" s="1"/>
      <c r="F515" s="146"/>
      <c r="G515" s="146"/>
      <c r="I515" s="158"/>
      <c r="J515" s="158"/>
      <c r="K515" s="160"/>
    </row>
    <row r="516" spans="1:11" ht="15">
      <c r="A516" s="137" t="str">
        <f>D516&amp;E516&amp;F516</f>
        <v/>
      </c>
      <c r="C516" s="1"/>
      <c r="F516" s="146"/>
      <c r="G516" s="146"/>
      <c r="I516" s="158"/>
      <c r="J516" s="158"/>
      <c r="K516" s="160"/>
    </row>
    <row r="517" spans="1:11" ht="15">
      <c r="A517" s="137" t="str">
        <f>D517&amp;E517&amp;F517</f>
        <v/>
      </c>
      <c r="C517" s="1"/>
      <c r="F517" s="146"/>
      <c r="G517" s="146"/>
      <c r="I517" s="158"/>
      <c r="J517" s="158"/>
      <c r="K517" s="160"/>
    </row>
    <row r="518" spans="1:11" ht="15">
      <c r="A518" s="137" t="str">
        <f>D518&amp;E518&amp;F518</f>
        <v/>
      </c>
      <c r="C518" s="1"/>
      <c r="F518" s="146"/>
      <c r="G518" s="146"/>
      <c r="I518" s="158"/>
      <c r="J518" s="158"/>
      <c r="K518" s="160"/>
    </row>
    <row r="519" spans="1:11" ht="15">
      <c r="A519" s="137" t="str">
        <f>D519&amp;E519&amp;F519</f>
        <v/>
      </c>
      <c r="C519" s="1"/>
      <c r="F519" s="146"/>
      <c r="G519" s="146"/>
      <c r="I519" s="158"/>
      <c r="J519" s="158"/>
      <c r="K519" s="160"/>
    </row>
    <row r="520" spans="1:11" ht="15">
      <c r="A520" s="137" t="str">
        <f>D520&amp;E520&amp;F520</f>
        <v/>
      </c>
      <c r="C520" s="1"/>
      <c r="F520" s="146"/>
      <c r="G520" s="146"/>
      <c r="I520" s="158"/>
      <c r="J520" s="158"/>
      <c r="K520" s="160"/>
    </row>
    <row r="521" spans="1:11" ht="15">
      <c r="A521" s="137" t="str">
        <f>D521&amp;E521&amp;F521</f>
        <v/>
      </c>
      <c r="C521" s="1"/>
      <c r="F521" s="146"/>
      <c r="G521" s="146"/>
      <c r="I521" s="158"/>
      <c r="J521" s="158"/>
      <c r="K521" s="160"/>
    </row>
    <row r="522" spans="1:11" ht="15">
      <c r="A522" s="137" t="str">
        <f>D522&amp;E522&amp;F522</f>
        <v/>
      </c>
      <c r="C522" s="1"/>
      <c r="F522" s="146"/>
      <c r="G522" s="146"/>
      <c r="I522" s="158"/>
      <c r="J522" s="158"/>
      <c r="K522" s="160"/>
    </row>
    <row r="523" spans="1:11" ht="15">
      <c r="A523" s="137" t="str">
        <f>D523&amp;E523&amp;F523</f>
        <v/>
      </c>
      <c r="C523" s="1"/>
      <c r="F523" s="146"/>
      <c r="G523" s="146"/>
      <c r="I523" s="158"/>
      <c r="J523" s="158"/>
      <c r="K523" s="160"/>
    </row>
    <row r="524" spans="1:11" ht="15">
      <c r="A524" s="137" t="str">
        <f>D524&amp;E524&amp;F524</f>
        <v/>
      </c>
      <c r="C524" s="1"/>
      <c r="F524" s="146"/>
      <c r="G524" s="146"/>
      <c r="I524" s="158"/>
      <c r="J524" s="158"/>
      <c r="K524" s="160"/>
    </row>
    <row r="525" spans="1:11" ht="15">
      <c r="A525" s="137" t="str">
        <f>D525&amp;E525&amp;F525</f>
        <v/>
      </c>
      <c r="C525" s="1"/>
      <c r="F525" s="146"/>
      <c r="G525" s="146"/>
      <c r="I525" s="158"/>
      <c r="J525" s="158"/>
      <c r="K525" s="160"/>
    </row>
    <row r="526" spans="1:11" ht="15">
      <c r="A526" s="137" t="str">
        <f>D526&amp;E526&amp;F526</f>
        <v/>
      </c>
      <c r="C526" s="1"/>
      <c r="F526" s="146"/>
      <c r="G526" s="146"/>
      <c r="I526" s="158"/>
      <c r="J526" s="158"/>
      <c r="K526" s="160"/>
    </row>
    <row r="527" spans="1:11" ht="15">
      <c r="A527" s="137" t="str">
        <f>D527&amp;E527&amp;F527</f>
        <v/>
      </c>
      <c r="C527" s="1"/>
      <c r="F527" s="146"/>
      <c r="G527" s="146"/>
      <c r="I527" s="158"/>
      <c r="J527" s="158"/>
      <c r="K527" s="160"/>
    </row>
    <row r="528" spans="1:11" ht="15">
      <c r="A528" s="137" t="str">
        <f>D528&amp;E528&amp;F528</f>
        <v/>
      </c>
      <c r="C528" s="1"/>
      <c r="F528" s="146"/>
      <c r="G528" s="146"/>
      <c r="I528" s="158"/>
      <c r="J528" s="158"/>
      <c r="K528" s="160"/>
    </row>
    <row r="529" spans="1:11" ht="15">
      <c r="A529" s="137" t="str">
        <f>D529&amp;E529&amp;F529</f>
        <v/>
      </c>
      <c r="C529" s="1"/>
      <c r="F529" s="146"/>
      <c r="G529" s="146"/>
      <c r="I529" s="158"/>
      <c r="J529" s="158"/>
      <c r="K529" s="160"/>
    </row>
    <row r="530" spans="1:11" ht="15">
      <c r="A530" s="137" t="str">
        <f>D530&amp;E530&amp;F530</f>
        <v/>
      </c>
      <c r="C530" s="1"/>
      <c r="F530" s="146"/>
      <c r="G530" s="146"/>
      <c r="I530" s="158"/>
      <c r="J530" s="158"/>
      <c r="K530" s="160"/>
    </row>
    <row r="531" spans="1:11" ht="15">
      <c r="A531" s="137" t="str">
        <f>D531&amp;E531&amp;F531</f>
        <v/>
      </c>
      <c r="C531" s="1"/>
      <c r="F531" s="146"/>
      <c r="G531" s="146"/>
      <c r="I531" s="158"/>
      <c r="J531" s="158"/>
      <c r="K531" s="160"/>
    </row>
    <row r="532" spans="1:11" ht="15">
      <c r="A532" s="137" t="str">
        <f>D532&amp;E532&amp;F532</f>
        <v/>
      </c>
      <c r="C532" s="1"/>
      <c r="F532" s="146"/>
      <c r="G532" s="146"/>
      <c r="I532" s="158"/>
      <c r="J532" s="158"/>
      <c r="K532" s="160"/>
    </row>
    <row r="533" spans="1:11" ht="15">
      <c r="A533" s="137" t="str">
        <f>D533&amp;E533&amp;F533</f>
        <v/>
      </c>
      <c r="C533" s="1"/>
      <c r="F533" s="146"/>
      <c r="G533" s="146"/>
      <c r="I533" s="158"/>
      <c r="J533" s="158"/>
      <c r="K533" s="160"/>
    </row>
    <row r="534" spans="1:11" ht="15">
      <c r="A534" s="137" t="str">
        <f>D534&amp;E534&amp;F534</f>
        <v/>
      </c>
      <c r="C534" s="1"/>
      <c r="F534" s="146"/>
      <c r="G534" s="146"/>
      <c r="I534" s="158"/>
      <c r="J534" s="158"/>
      <c r="K534" s="160"/>
    </row>
    <row r="535" spans="1:11" ht="15">
      <c r="A535" s="137" t="str">
        <f>D535&amp;E535&amp;F535</f>
        <v/>
      </c>
      <c r="C535" s="1"/>
      <c r="F535" s="146"/>
      <c r="G535" s="146"/>
      <c r="I535" s="158"/>
      <c r="J535" s="158"/>
      <c r="K535" s="160"/>
    </row>
    <row r="536" spans="1:11" ht="15">
      <c r="A536" s="137" t="str">
        <f>D536&amp;E536&amp;F536</f>
        <v/>
      </c>
      <c r="C536" s="1"/>
      <c r="F536" s="146"/>
      <c r="G536" s="146"/>
      <c r="I536" s="158"/>
      <c r="J536" s="158"/>
      <c r="K536" s="160"/>
    </row>
    <row r="537" spans="1:11" ht="15">
      <c r="A537" s="137" t="str">
        <f>D537&amp;E537&amp;F537</f>
        <v/>
      </c>
      <c r="C537" s="1"/>
      <c r="F537" s="146"/>
      <c r="G537" s="146"/>
      <c r="I537" s="158"/>
      <c r="J537" s="158"/>
      <c r="K537" s="160"/>
    </row>
    <row r="538" spans="1:11" ht="15">
      <c r="A538" s="137" t="str">
        <f>D538&amp;E538&amp;F538</f>
        <v/>
      </c>
      <c r="C538" s="1"/>
      <c r="F538" s="146"/>
      <c r="G538" s="146"/>
      <c r="I538" s="158"/>
      <c r="J538" s="158"/>
      <c r="K538" s="160"/>
    </row>
    <row r="539" spans="1:11" ht="15">
      <c r="A539" s="137" t="str">
        <f>D539&amp;E539&amp;F539</f>
        <v/>
      </c>
      <c r="C539" s="1"/>
      <c r="F539" s="146"/>
      <c r="G539" s="146"/>
      <c r="I539" s="158"/>
      <c r="J539" s="158"/>
      <c r="K539" s="160"/>
    </row>
    <row r="540" spans="1:11" ht="15">
      <c r="A540" s="137" t="str">
        <f>D540&amp;E540&amp;F540</f>
        <v/>
      </c>
      <c r="C540" s="1"/>
      <c r="F540" s="146"/>
      <c r="G540" s="146"/>
      <c r="I540" s="158"/>
      <c r="J540" s="158"/>
      <c r="K540" s="160"/>
    </row>
    <row r="541" spans="1:11" ht="15">
      <c r="A541" s="137" t="str">
        <f>D541&amp;E541&amp;F541</f>
        <v/>
      </c>
      <c r="C541" s="1"/>
      <c r="F541" s="146"/>
      <c r="G541" s="146"/>
      <c r="I541" s="158"/>
      <c r="J541" s="158"/>
      <c r="K541" s="160"/>
    </row>
    <row r="542" spans="1:11" ht="15">
      <c r="A542" s="137" t="str">
        <f>D542&amp;E542&amp;F542</f>
        <v/>
      </c>
      <c r="C542" s="1"/>
      <c r="F542" s="146"/>
      <c r="G542" s="146"/>
      <c r="I542" s="158"/>
      <c r="J542" s="158"/>
      <c r="K542" s="160"/>
    </row>
    <row r="543" spans="1:11" ht="15">
      <c r="A543" s="137" t="str">
        <f>D543&amp;E543&amp;F543</f>
        <v/>
      </c>
      <c r="C543" s="1"/>
      <c r="F543" s="146"/>
      <c r="G543" s="146"/>
      <c r="I543" s="158"/>
      <c r="J543" s="158"/>
      <c r="K543" s="160"/>
    </row>
    <row r="544" spans="1:11" ht="15">
      <c r="A544" s="137" t="str">
        <f>D544&amp;E544&amp;F544</f>
        <v/>
      </c>
      <c r="C544" s="1"/>
      <c r="F544" s="146"/>
      <c r="G544" s="146"/>
      <c r="I544" s="158"/>
      <c r="J544" s="158"/>
      <c r="K544" s="160"/>
    </row>
    <row r="545" spans="1:11" ht="15">
      <c r="A545" s="137" t="str">
        <f>D545&amp;E545&amp;F545</f>
        <v/>
      </c>
      <c r="C545" s="1"/>
      <c r="F545" s="146"/>
      <c r="G545" s="146"/>
      <c r="I545" s="158"/>
      <c r="J545" s="158"/>
      <c r="K545" s="160"/>
    </row>
    <row r="546" spans="1:11" ht="15">
      <c r="A546" s="137" t="str">
        <f>D546&amp;E546&amp;F546</f>
        <v/>
      </c>
      <c r="C546" s="1"/>
      <c r="F546" s="146"/>
      <c r="G546" s="146"/>
      <c r="I546" s="158"/>
      <c r="J546" s="158"/>
      <c r="K546" s="160"/>
    </row>
    <row r="547" spans="1:11" ht="15">
      <c r="A547" s="137" t="str">
        <f>D547&amp;E547&amp;F547</f>
        <v/>
      </c>
      <c r="C547" s="1"/>
      <c r="F547" s="146"/>
      <c r="G547" s="146"/>
      <c r="I547" s="158"/>
      <c r="J547" s="158"/>
      <c r="K547" s="160"/>
    </row>
    <row r="548" spans="1:11" ht="15">
      <c r="A548" s="137" t="str">
        <f>D548&amp;E548&amp;F548</f>
        <v/>
      </c>
      <c r="C548" s="1"/>
      <c r="F548" s="146"/>
      <c r="G548" s="146"/>
      <c r="I548" s="158"/>
      <c r="J548" s="158"/>
      <c r="K548" s="160"/>
    </row>
    <row r="549" spans="1:11" ht="15">
      <c r="A549" s="137" t="str">
        <f>D549&amp;E549&amp;F549</f>
        <v/>
      </c>
      <c r="C549" s="1"/>
      <c r="F549" s="146"/>
      <c r="G549" s="146"/>
      <c r="I549" s="158"/>
      <c r="J549" s="158"/>
      <c r="K549" s="160"/>
    </row>
    <row r="550" spans="1:11" ht="15">
      <c r="A550" s="137" t="str">
        <f>D550&amp;E550&amp;F550</f>
        <v/>
      </c>
      <c r="C550" s="1"/>
      <c r="F550" s="146"/>
      <c r="G550" s="146"/>
      <c r="I550" s="158"/>
      <c r="J550" s="158"/>
      <c r="K550" s="160"/>
    </row>
    <row r="551" spans="1:11" ht="15">
      <c r="A551" s="137" t="str">
        <f>D551&amp;E551&amp;F551</f>
        <v/>
      </c>
      <c r="C551" s="1"/>
      <c r="F551" s="146"/>
      <c r="G551" s="146"/>
      <c r="I551" s="158"/>
      <c r="J551" s="158"/>
      <c r="K551" s="160"/>
    </row>
    <row r="552" spans="1:11" ht="15">
      <c r="A552" s="137" t="str">
        <f>D552&amp;E552&amp;F552</f>
        <v/>
      </c>
      <c r="C552" s="1"/>
      <c r="F552" s="146"/>
      <c r="G552" s="146"/>
      <c r="I552" s="158"/>
      <c r="J552" s="158"/>
      <c r="K552" s="160"/>
    </row>
    <row r="553" spans="1:11" ht="15">
      <c r="A553" s="137" t="str">
        <f>D553&amp;E553&amp;F553</f>
        <v/>
      </c>
      <c r="C553" s="1"/>
      <c r="F553" s="146"/>
      <c r="G553" s="146"/>
      <c r="I553" s="158"/>
      <c r="J553" s="158"/>
      <c r="K553" s="160"/>
    </row>
    <row r="554" spans="1:11" ht="15">
      <c r="A554" s="137" t="str">
        <f>D554&amp;E554&amp;F554</f>
        <v/>
      </c>
      <c r="C554" s="1"/>
      <c r="F554" s="146"/>
      <c r="G554" s="146"/>
      <c r="I554" s="158"/>
      <c r="J554" s="158"/>
      <c r="K554" s="160"/>
    </row>
    <row r="555" spans="1:11" ht="15">
      <c r="A555" s="137" t="str">
        <f>D555&amp;E555&amp;F555</f>
        <v/>
      </c>
      <c r="C555" s="1"/>
      <c r="F555" s="146"/>
      <c r="G555" s="146"/>
      <c r="I555" s="158"/>
      <c r="J555" s="158"/>
      <c r="K555" s="160"/>
    </row>
    <row r="556" spans="1:11" ht="15">
      <c r="A556" s="137" t="str">
        <f>D556&amp;E556&amp;F556</f>
        <v/>
      </c>
      <c r="C556" s="1"/>
      <c r="F556" s="146"/>
      <c r="G556" s="146"/>
      <c r="I556" s="158"/>
      <c r="J556" s="158"/>
      <c r="K556" s="160"/>
    </row>
    <row r="557" spans="1:11" ht="15">
      <c r="A557" s="137" t="str">
        <f>D557&amp;E557&amp;F557</f>
        <v/>
      </c>
      <c r="C557" s="1"/>
      <c r="F557" s="146"/>
      <c r="G557" s="146"/>
      <c r="I557" s="158"/>
      <c r="J557" s="158"/>
      <c r="K557" s="160"/>
    </row>
    <row r="558" spans="1:11" ht="15">
      <c r="A558" s="137" t="str">
        <f>D558&amp;E558&amp;F558</f>
        <v/>
      </c>
      <c r="C558" s="1"/>
      <c r="F558" s="146"/>
      <c r="G558" s="146"/>
      <c r="I558" s="158"/>
      <c r="J558" s="158"/>
      <c r="K558" s="160"/>
    </row>
    <row r="559" spans="1:11" ht="15">
      <c r="A559" s="137" t="str">
        <f>D559&amp;E559&amp;F559</f>
        <v/>
      </c>
      <c r="C559" s="1"/>
      <c r="F559" s="146"/>
      <c r="G559" s="146"/>
      <c r="I559" s="158"/>
      <c r="J559" s="158"/>
      <c r="K559" s="160"/>
    </row>
    <row r="560" spans="1:11" ht="15">
      <c r="A560" s="137" t="str">
        <f>D560&amp;E560&amp;F560</f>
        <v/>
      </c>
      <c r="C560" s="1"/>
      <c r="F560" s="146"/>
      <c r="G560" s="146"/>
      <c r="I560" s="158"/>
      <c r="J560" s="158"/>
      <c r="K560" s="160"/>
    </row>
    <row r="561" spans="1:11" ht="15">
      <c r="A561" s="137" t="str">
        <f>D561&amp;E561&amp;F561</f>
        <v/>
      </c>
      <c r="C561" s="1"/>
      <c r="F561" s="146"/>
      <c r="G561" s="146"/>
      <c r="I561" s="158"/>
      <c r="J561" s="158"/>
      <c r="K561" s="160"/>
    </row>
    <row r="562" spans="1:11" ht="15">
      <c r="A562" s="137" t="str">
        <f>D562&amp;E562&amp;F562</f>
        <v/>
      </c>
      <c r="C562" s="1"/>
      <c r="F562" s="146"/>
      <c r="G562" s="146"/>
      <c r="I562" s="158"/>
      <c r="J562" s="158"/>
      <c r="K562" s="160"/>
    </row>
    <row r="563" spans="1:11" ht="15">
      <c r="A563" s="137" t="str">
        <f>D563&amp;E563&amp;F563</f>
        <v/>
      </c>
      <c r="C563" s="1"/>
      <c r="F563" s="146"/>
      <c r="G563" s="146"/>
      <c r="I563" s="158"/>
      <c r="J563" s="158"/>
      <c r="K563" s="160"/>
    </row>
    <row r="564" spans="1:11" ht="15">
      <c r="A564" s="137" t="str">
        <f>D564&amp;E564&amp;F564</f>
        <v/>
      </c>
      <c r="C564" s="1"/>
      <c r="F564" s="146"/>
      <c r="G564" s="146"/>
      <c r="I564" s="158"/>
      <c r="J564" s="158"/>
      <c r="K564" s="160"/>
    </row>
    <row r="565" spans="1:11" ht="15">
      <c r="A565" s="137" t="str">
        <f>D565&amp;E565&amp;F565</f>
        <v/>
      </c>
      <c r="C565" s="1"/>
      <c r="F565" s="146"/>
      <c r="G565" s="146"/>
      <c r="I565" s="158"/>
      <c r="J565" s="158"/>
      <c r="K565" s="160"/>
    </row>
    <row r="566" spans="1:11" ht="15">
      <c r="A566" s="137" t="str">
        <f>D566&amp;E566&amp;F566</f>
        <v/>
      </c>
      <c r="C566" s="1"/>
      <c r="F566" s="146"/>
      <c r="G566" s="146"/>
      <c r="I566" s="158"/>
      <c r="J566" s="158"/>
      <c r="K566" s="160"/>
    </row>
    <row r="567" spans="1:11" ht="15">
      <c r="A567" s="137" t="str">
        <f>D567&amp;E567&amp;F567</f>
        <v/>
      </c>
      <c r="C567" s="1"/>
      <c r="F567" s="146"/>
      <c r="G567" s="146"/>
      <c r="I567" s="158"/>
      <c r="J567" s="158"/>
      <c r="K567" s="160"/>
    </row>
    <row r="568" spans="1:11" ht="15">
      <c r="A568" s="137" t="str">
        <f>D568&amp;E568&amp;F568</f>
        <v/>
      </c>
      <c r="C568" s="1"/>
      <c r="F568" s="146"/>
      <c r="G568" s="146"/>
      <c r="I568" s="158"/>
      <c r="J568" s="158"/>
      <c r="K568" s="160"/>
    </row>
    <row r="569" spans="1:11" ht="15">
      <c r="A569" s="137" t="str">
        <f>D569&amp;E569&amp;F569</f>
        <v/>
      </c>
      <c r="C569" s="1"/>
      <c r="F569" s="146"/>
      <c r="G569" s="146"/>
      <c r="I569" s="158"/>
      <c r="J569" s="158"/>
      <c r="K569" s="160"/>
    </row>
    <row r="570" spans="1:11" ht="15">
      <c r="A570" s="137" t="str">
        <f>D570&amp;E570&amp;F570</f>
        <v/>
      </c>
      <c r="C570" s="1"/>
      <c r="F570" s="146"/>
      <c r="G570" s="146"/>
      <c r="I570" s="158"/>
      <c r="J570" s="158"/>
      <c r="K570" s="160"/>
    </row>
    <row r="571" spans="1:11" ht="15">
      <c r="A571" s="137" t="str">
        <f>D571&amp;E571&amp;F571</f>
        <v/>
      </c>
      <c r="C571" s="1"/>
      <c r="F571" s="146"/>
      <c r="G571" s="146"/>
      <c r="I571" s="158"/>
      <c r="J571" s="158"/>
      <c r="K571" s="160"/>
    </row>
    <row r="572" spans="1:11" ht="15">
      <c r="A572" s="137" t="str">
        <f>D572&amp;E572&amp;F572</f>
        <v/>
      </c>
      <c r="C572" s="1"/>
      <c r="F572" s="146"/>
      <c r="G572" s="146"/>
      <c r="I572" s="158"/>
      <c r="J572" s="158"/>
      <c r="K572" s="160"/>
    </row>
    <row r="573" spans="1:11" ht="15">
      <c r="A573" s="137" t="str">
        <f>D573&amp;E573&amp;F573</f>
        <v/>
      </c>
      <c r="C573" s="1"/>
      <c r="F573" s="146"/>
      <c r="G573" s="146"/>
      <c r="I573" s="158"/>
      <c r="J573" s="158"/>
      <c r="K573" s="160"/>
    </row>
    <row r="574" spans="1:11" ht="15">
      <c r="A574" s="137" t="str">
        <f>D574&amp;E574&amp;F574</f>
        <v/>
      </c>
      <c r="C574" s="1"/>
      <c r="F574" s="146"/>
      <c r="G574" s="146"/>
      <c r="I574" s="158"/>
      <c r="J574" s="158"/>
      <c r="K574" s="160"/>
    </row>
    <row r="575" spans="1:11" ht="15">
      <c r="A575" s="137" t="str">
        <f>D575&amp;E575&amp;F575</f>
        <v/>
      </c>
      <c r="C575" s="1"/>
      <c r="F575" s="146"/>
      <c r="G575" s="146"/>
      <c r="I575" s="158"/>
      <c r="J575" s="158"/>
      <c r="K575" s="160"/>
    </row>
    <row r="576" spans="1:11" ht="15">
      <c r="A576" s="137" t="str">
        <f>D576&amp;E576&amp;F576</f>
        <v/>
      </c>
      <c r="C576" s="1"/>
      <c r="F576" s="146"/>
      <c r="G576" s="146"/>
      <c r="I576" s="158"/>
      <c r="J576" s="158"/>
      <c r="K576" s="160"/>
    </row>
    <row r="577" spans="1:11" ht="15">
      <c r="A577" s="137" t="str">
        <f>D577&amp;E577&amp;F577</f>
        <v/>
      </c>
      <c r="C577" s="1"/>
      <c r="F577" s="146"/>
      <c r="G577" s="146"/>
      <c r="I577" s="158"/>
      <c r="J577" s="158"/>
      <c r="K577" s="160"/>
    </row>
    <row r="578" spans="1:11" ht="15">
      <c r="A578" s="137" t="str">
        <f>D578&amp;E578&amp;F578</f>
        <v/>
      </c>
      <c r="C578" s="1"/>
      <c r="F578" s="146"/>
      <c r="G578" s="146"/>
      <c r="I578" s="158"/>
      <c r="J578" s="158"/>
      <c r="K578" s="160"/>
    </row>
    <row r="579" spans="1:11" ht="15">
      <c r="A579" s="137" t="str">
        <f>D579&amp;E579&amp;F579</f>
        <v/>
      </c>
      <c r="C579" s="1"/>
      <c r="F579" s="146"/>
      <c r="G579" s="146"/>
      <c r="I579" s="158"/>
      <c r="J579" s="158"/>
      <c r="K579" s="160"/>
    </row>
    <row r="580" spans="1:11" ht="15">
      <c r="A580" s="137" t="str">
        <f>D580&amp;E580&amp;F580</f>
        <v/>
      </c>
      <c r="C580" s="1"/>
      <c r="F580" s="146"/>
      <c r="G580" s="146"/>
      <c r="I580" s="158"/>
      <c r="J580" s="158"/>
      <c r="K580" s="160"/>
    </row>
    <row r="581" spans="1:11" ht="15">
      <c r="A581" s="137" t="str">
        <f>D581&amp;E581&amp;F581</f>
        <v/>
      </c>
      <c r="C581" s="1"/>
      <c r="F581" s="146"/>
      <c r="G581" s="146"/>
      <c r="I581" s="158"/>
      <c r="J581" s="158"/>
      <c r="K581" s="160"/>
    </row>
    <row r="582" spans="1:11" ht="15">
      <c r="A582" s="137" t="str">
        <f>D582&amp;E582&amp;F582</f>
        <v/>
      </c>
      <c r="C582" s="1"/>
      <c r="F582" s="146"/>
      <c r="G582" s="146"/>
      <c r="I582" s="158"/>
      <c r="J582" s="158"/>
      <c r="K582" s="160"/>
    </row>
    <row r="583" spans="1:11" ht="15">
      <c r="A583" s="137" t="str">
        <f>D583&amp;E583&amp;F583</f>
        <v/>
      </c>
      <c r="C583" s="1"/>
      <c r="F583" s="146"/>
      <c r="G583" s="146"/>
      <c r="I583" s="158"/>
      <c r="J583" s="158"/>
      <c r="K583" s="160"/>
    </row>
    <row r="584" spans="1:11" ht="15">
      <c r="A584" s="137" t="str">
        <f>D584&amp;E584&amp;F584</f>
        <v/>
      </c>
      <c r="C584" s="1"/>
      <c r="F584" s="146"/>
      <c r="G584" s="146"/>
      <c r="I584" s="158"/>
      <c r="J584" s="158"/>
      <c r="K584" s="160"/>
    </row>
    <row r="585" spans="1:11" ht="15">
      <c r="A585" s="189"/>
      <c r="C585" s="1"/>
      <c r="F585" s="146"/>
      <c r="G585" s="146"/>
      <c r="I585" s="158"/>
      <c r="J585" s="158"/>
      <c r="K585" s="160"/>
    </row>
    <row r="586" spans="1:11" ht="15">
      <c r="A586" s="189"/>
      <c r="C586" s="1"/>
      <c r="F586" s="146"/>
      <c r="G586" s="146"/>
      <c r="I586" s="158"/>
      <c r="J586" s="158"/>
      <c r="K586" s="160"/>
    </row>
    <row r="587" spans="1:11">
      <c r="A587" s="189"/>
      <c r="C587" s="1"/>
      <c r="F587" s="146"/>
      <c r="G587" s="146"/>
      <c r="I587" s="158"/>
      <c r="J587" s="158"/>
      <c r="K587" s="160"/>
    </row>
    <row r="588" spans="1:11">
      <c r="A588" s="189"/>
      <c r="C588" s="1"/>
      <c r="F588" s="146"/>
      <c r="G588" s="146"/>
      <c r="I588" s="158"/>
      <c r="J588" s="158"/>
      <c r="K588" s="160"/>
    </row>
    <row r="589" spans="1:11">
      <c r="A589" s="189"/>
      <c r="C589" s="1"/>
      <c r="F589" s="146"/>
      <c r="G589" s="146"/>
      <c r="I589" s="158"/>
      <c r="J589" s="158"/>
      <c r="K589" s="160"/>
    </row>
    <row r="590" spans="1:11">
      <c r="A590" s="189"/>
      <c r="C590" s="1"/>
      <c r="F590" s="146"/>
      <c r="G590" s="146"/>
      <c r="I590" s="158"/>
      <c r="J590" s="158"/>
      <c r="K590" s="160"/>
    </row>
    <row r="591" spans="1:11">
      <c r="A591" s="189"/>
      <c r="C591" s="1"/>
      <c r="F591" s="146"/>
      <c r="G591" s="146"/>
      <c r="I591" s="158"/>
      <c r="J591" s="158"/>
      <c r="K591" s="160"/>
    </row>
    <row r="592" spans="1:11">
      <c r="A592" s="189"/>
      <c r="C592" s="1"/>
      <c r="F592" s="146"/>
      <c r="G592" s="146"/>
      <c r="I592" s="158"/>
      <c r="J592" s="158"/>
      <c r="K592" s="160"/>
    </row>
    <row r="593" spans="1:11">
      <c r="A593" s="189"/>
      <c r="C593" s="1"/>
      <c r="F593" s="146"/>
      <c r="G593" s="146"/>
      <c r="I593" s="158"/>
      <c r="J593" s="158"/>
      <c r="K593" s="160"/>
    </row>
    <row r="594" spans="1:11">
      <c r="A594" s="189"/>
      <c r="C594" s="1"/>
      <c r="F594" s="146"/>
      <c r="G594" s="146"/>
      <c r="I594" s="158"/>
      <c r="J594" s="158"/>
      <c r="K594" s="160"/>
    </row>
    <row r="595" spans="1:11">
      <c r="A595" s="189"/>
      <c r="C595" s="1"/>
      <c r="F595" s="146"/>
      <c r="G595" s="146"/>
      <c r="I595" s="158"/>
      <c r="J595" s="158"/>
      <c r="K595" s="160"/>
    </row>
    <row r="596" spans="1:11">
      <c r="A596" s="189"/>
      <c r="C596" s="1"/>
      <c r="F596" s="146"/>
      <c r="G596" s="146"/>
      <c r="I596" s="158"/>
      <c r="J596" s="158"/>
      <c r="K596" s="160"/>
    </row>
    <row r="597" spans="1:11">
      <c r="A597" s="189"/>
      <c r="C597" s="1"/>
      <c r="F597" s="146"/>
      <c r="G597" s="146"/>
      <c r="I597" s="158"/>
      <c r="J597" s="158"/>
      <c r="K597" s="160"/>
    </row>
    <row r="598" spans="1:11">
      <c r="A598" s="189"/>
      <c r="C598" s="1"/>
      <c r="F598" s="146"/>
      <c r="G598" s="146"/>
      <c r="I598" s="158"/>
      <c r="J598" s="158"/>
      <c r="K598" s="160"/>
    </row>
    <row r="599" spans="1:11">
      <c r="A599" s="189"/>
      <c r="C599" s="1"/>
      <c r="F599" s="146"/>
      <c r="G599" s="146"/>
      <c r="I599" s="158"/>
      <c r="J599" s="158"/>
      <c r="K599" s="160"/>
    </row>
    <row r="600" spans="1:11">
      <c r="A600" s="189"/>
      <c r="C600" s="1"/>
      <c r="F600" s="146"/>
      <c r="G600" s="146"/>
      <c r="I600" s="158"/>
      <c r="J600" s="158"/>
      <c r="K600" s="160"/>
    </row>
    <row r="601" spans="1:11">
      <c r="A601" s="189"/>
      <c r="C601" s="1"/>
      <c r="F601" s="146"/>
      <c r="G601" s="146"/>
      <c r="I601" s="158"/>
      <c r="J601" s="158"/>
      <c r="K601" s="160"/>
    </row>
    <row r="602" spans="1:11">
      <c r="A602" s="189"/>
      <c r="C602" s="1"/>
      <c r="F602" s="146"/>
      <c r="G602" s="146"/>
      <c r="I602" s="158"/>
      <c r="J602" s="158"/>
      <c r="K602" s="160"/>
    </row>
    <row r="603" spans="1:11">
      <c r="A603" s="189"/>
      <c r="C603" s="1"/>
      <c r="F603" s="146"/>
      <c r="G603" s="146"/>
      <c r="I603" s="158"/>
      <c r="J603" s="158"/>
      <c r="K603" s="160"/>
    </row>
    <row r="604" spans="1:11">
      <c r="A604" s="189"/>
      <c r="C604" s="1"/>
      <c r="F604" s="146"/>
      <c r="G604" s="146"/>
      <c r="I604" s="158"/>
      <c r="J604" s="158"/>
      <c r="K604" s="160"/>
    </row>
    <row r="605" spans="1:11">
      <c r="A605" s="189"/>
      <c r="C605" s="1"/>
      <c r="F605" s="146"/>
      <c r="G605" s="146"/>
      <c r="I605" s="158"/>
      <c r="J605" s="158"/>
      <c r="K605" s="160"/>
    </row>
    <row r="606" spans="1:11">
      <c r="A606" s="189"/>
      <c r="C606" s="1"/>
      <c r="F606" s="146"/>
      <c r="G606" s="146"/>
      <c r="I606" s="158"/>
      <c r="J606" s="158"/>
      <c r="K606" s="160"/>
    </row>
    <row r="607" spans="1:11">
      <c r="A607" s="189"/>
      <c r="C607" s="1"/>
      <c r="F607" s="146"/>
      <c r="G607" s="146"/>
      <c r="I607" s="158"/>
      <c r="J607" s="158"/>
      <c r="K607" s="160"/>
    </row>
    <row r="608" spans="1:11">
      <c r="A608" s="189"/>
      <c r="C608" s="1"/>
      <c r="F608" s="146"/>
      <c r="G608" s="146"/>
      <c r="I608" s="158"/>
      <c r="J608" s="158"/>
      <c r="K608" s="160"/>
    </row>
    <row r="609" spans="1:11">
      <c r="A609" s="189"/>
      <c r="C609" s="1"/>
      <c r="F609" s="146"/>
      <c r="G609" s="146"/>
      <c r="I609" s="158"/>
      <c r="J609" s="158"/>
      <c r="K609" s="160"/>
    </row>
    <row r="610" spans="1:11">
      <c r="A610" s="189"/>
      <c r="C610" s="1"/>
      <c r="F610" s="146"/>
      <c r="G610" s="146"/>
      <c r="I610" s="158"/>
      <c r="J610" s="158"/>
      <c r="K610" s="160"/>
    </row>
    <row r="611" spans="1:11">
      <c r="A611" s="189"/>
      <c r="C611" s="1"/>
      <c r="F611" s="146"/>
      <c r="G611" s="146"/>
      <c r="I611" s="158"/>
      <c r="J611" s="158"/>
      <c r="K611" s="160"/>
    </row>
    <row r="612" spans="1:11">
      <c r="A612" s="189"/>
      <c r="C612" s="1"/>
      <c r="F612" s="146"/>
      <c r="G612" s="146"/>
      <c r="I612" s="158"/>
      <c r="J612" s="158"/>
      <c r="K612" s="160"/>
    </row>
    <row r="613" spans="1:11">
      <c r="A613" s="189"/>
      <c r="C613" s="1"/>
      <c r="F613" s="146"/>
      <c r="G613" s="146"/>
      <c r="I613" s="158"/>
      <c r="J613" s="158"/>
      <c r="K613" s="160"/>
    </row>
    <row r="614" spans="1:11">
      <c r="A614" s="189"/>
      <c r="C614" s="1"/>
      <c r="F614" s="146"/>
      <c r="G614" s="146"/>
      <c r="I614" s="158"/>
      <c r="J614" s="158"/>
      <c r="K614" s="160"/>
    </row>
    <row r="615" spans="1:11">
      <c r="A615" s="189"/>
      <c r="C615" s="1"/>
      <c r="F615" s="146"/>
      <c r="G615" s="146"/>
      <c r="I615" s="158"/>
      <c r="J615" s="158"/>
      <c r="K615" s="160"/>
    </row>
    <row r="616" spans="1:11">
      <c r="A616" s="189"/>
      <c r="C616" s="1"/>
      <c r="F616" s="146"/>
      <c r="G616" s="146"/>
      <c r="I616" s="158"/>
      <c r="J616" s="158"/>
      <c r="K616" s="160"/>
    </row>
    <row r="617" spans="1:11">
      <c r="A617" s="189"/>
      <c r="C617" s="1"/>
      <c r="F617" s="146"/>
      <c r="G617" s="146"/>
      <c r="I617" s="158"/>
      <c r="J617" s="158"/>
      <c r="K617" s="160"/>
    </row>
    <row r="618" spans="1:11">
      <c r="A618" s="189"/>
      <c r="C618" s="1"/>
      <c r="F618" s="146"/>
      <c r="G618" s="146"/>
      <c r="I618" s="158"/>
      <c r="J618" s="158"/>
      <c r="K618" s="160"/>
    </row>
    <row r="619" spans="1:11">
      <c r="A619" s="189"/>
      <c r="C619" s="1"/>
      <c r="F619" s="146"/>
      <c r="G619" s="146"/>
      <c r="I619" s="158"/>
      <c r="J619" s="158"/>
      <c r="K619" s="160"/>
    </row>
    <row r="620" spans="1:11">
      <c r="A620" s="189"/>
      <c r="C620" s="1"/>
      <c r="F620" s="146"/>
      <c r="G620" s="146"/>
      <c r="I620" s="158"/>
      <c r="J620" s="158"/>
      <c r="K620" s="160"/>
    </row>
    <row r="621" spans="1:11">
      <c r="A621" s="189"/>
      <c r="C621" s="1"/>
      <c r="F621" s="146"/>
      <c r="G621" s="146"/>
      <c r="I621" s="158"/>
      <c r="J621" s="158"/>
      <c r="K621" s="160"/>
    </row>
    <row r="622" spans="1:11">
      <c r="A622" s="189"/>
      <c r="C622" s="1"/>
      <c r="F622" s="146"/>
      <c r="G622" s="146"/>
      <c r="I622" s="158"/>
      <c r="J622" s="158"/>
      <c r="K622" s="160"/>
    </row>
    <row r="623" spans="1:11">
      <c r="A623" s="189"/>
      <c r="C623" s="1"/>
      <c r="F623" s="146"/>
      <c r="G623" s="146"/>
      <c r="I623" s="158"/>
      <c r="J623" s="158"/>
      <c r="K623" s="160"/>
    </row>
    <row r="624" spans="1:11">
      <c r="A624" s="189"/>
      <c r="C624" s="1"/>
      <c r="F624" s="146"/>
      <c r="G624" s="146"/>
      <c r="I624" s="158"/>
      <c r="J624" s="158"/>
      <c r="K624" s="160"/>
    </row>
    <row r="625" spans="1:11">
      <c r="A625" s="189"/>
      <c r="C625" s="1"/>
      <c r="F625" s="146"/>
      <c r="G625" s="146"/>
      <c r="I625" s="158"/>
      <c r="J625" s="158"/>
      <c r="K625" s="160"/>
    </row>
    <row r="626" spans="1:11">
      <c r="A626" s="189"/>
      <c r="C626" s="1"/>
      <c r="F626" s="146"/>
      <c r="G626" s="146"/>
      <c r="I626" s="158"/>
      <c r="J626" s="158"/>
      <c r="K626" s="160"/>
    </row>
    <row r="627" spans="1:11">
      <c r="A627" s="189"/>
      <c r="C627" s="1"/>
      <c r="F627" s="146"/>
      <c r="G627" s="146"/>
      <c r="I627" s="158"/>
      <c r="J627" s="158"/>
      <c r="K627" s="160"/>
    </row>
    <row r="628" spans="1:11">
      <c r="A628" s="189"/>
      <c r="C628" s="1"/>
      <c r="F628" s="146"/>
      <c r="G628" s="146"/>
      <c r="I628" s="158"/>
      <c r="J628" s="158"/>
      <c r="K628" s="160"/>
    </row>
    <row r="629" spans="1:11">
      <c r="A629" s="189"/>
      <c r="C629" s="1"/>
      <c r="F629" s="146"/>
      <c r="G629" s="146"/>
      <c r="I629" s="158"/>
      <c r="J629" s="158"/>
      <c r="K629" s="160"/>
    </row>
    <row r="630" spans="1:11">
      <c r="A630" s="189"/>
      <c r="C630" s="1"/>
      <c r="F630" s="146"/>
      <c r="G630" s="146"/>
      <c r="I630" s="158"/>
      <c r="J630" s="158"/>
      <c r="K630" s="160"/>
    </row>
    <row r="631" spans="1:11">
      <c r="A631" s="189"/>
      <c r="C631" s="1"/>
      <c r="F631" s="146"/>
      <c r="G631" s="146"/>
      <c r="I631" s="158"/>
      <c r="J631" s="158"/>
      <c r="K631" s="160"/>
    </row>
    <row r="632" spans="1:11">
      <c r="A632" s="189"/>
      <c r="C632" s="1"/>
      <c r="F632" s="146"/>
      <c r="G632" s="146"/>
      <c r="I632" s="158"/>
      <c r="J632" s="158"/>
      <c r="K632" s="160"/>
    </row>
    <row r="633" spans="1:11">
      <c r="A633" s="189"/>
      <c r="C633" s="1"/>
      <c r="F633" s="146"/>
      <c r="G633" s="146"/>
      <c r="I633" s="158"/>
      <c r="J633" s="158"/>
      <c r="K633" s="160"/>
    </row>
    <row r="634" spans="1:11">
      <c r="A634" s="189"/>
      <c r="C634" s="1"/>
      <c r="F634" s="146"/>
      <c r="G634" s="146"/>
      <c r="I634" s="158"/>
      <c r="J634" s="158"/>
      <c r="K634" s="160"/>
    </row>
    <row r="635" spans="1:11">
      <c r="A635" s="189"/>
      <c r="C635" s="1"/>
      <c r="F635" s="146"/>
      <c r="G635" s="146"/>
      <c r="I635" s="158"/>
      <c r="J635" s="158"/>
      <c r="K635" s="160"/>
    </row>
    <row r="636" spans="1:11">
      <c r="A636" s="189"/>
      <c r="C636" s="1"/>
      <c r="F636" s="146"/>
      <c r="G636" s="146"/>
      <c r="I636" s="158"/>
      <c r="J636" s="158"/>
      <c r="K636" s="160"/>
    </row>
    <row r="637" spans="1:11">
      <c r="A637" s="189"/>
      <c r="C637" s="1"/>
      <c r="F637" s="146"/>
      <c r="G637" s="146"/>
      <c r="I637" s="158"/>
      <c r="J637" s="158"/>
      <c r="K637" s="160"/>
    </row>
    <row r="638" spans="1:11">
      <c r="A638" s="189"/>
      <c r="C638" s="1"/>
      <c r="F638" s="146"/>
      <c r="G638" s="146"/>
      <c r="I638" s="158"/>
      <c r="J638" s="158"/>
      <c r="K638" s="160"/>
    </row>
    <row r="639" spans="1:11">
      <c r="A639" s="189"/>
      <c r="C639" s="1"/>
      <c r="F639" s="146"/>
      <c r="G639" s="146"/>
      <c r="I639" s="158"/>
      <c r="J639" s="158"/>
      <c r="K639" s="160"/>
    </row>
    <row r="640" spans="1:11">
      <c r="A640" s="189"/>
      <c r="C640" s="1"/>
      <c r="F640" s="146"/>
      <c r="G640" s="146"/>
      <c r="I640" s="158"/>
      <c r="J640" s="158"/>
      <c r="K640" s="160"/>
    </row>
    <row r="641" spans="1:11">
      <c r="A641" s="189"/>
      <c r="C641" s="1"/>
      <c r="F641" s="146"/>
      <c r="G641" s="146"/>
      <c r="I641" s="158"/>
      <c r="J641" s="158"/>
      <c r="K641" s="160"/>
    </row>
    <row r="642" spans="1:11">
      <c r="A642" s="189"/>
      <c r="C642" s="1"/>
      <c r="F642" s="146"/>
      <c r="G642" s="146"/>
      <c r="I642" s="158"/>
      <c r="J642" s="158"/>
      <c r="K642" s="160"/>
    </row>
    <row r="643" spans="1:11">
      <c r="A643" s="189"/>
      <c r="C643" s="1"/>
      <c r="F643" s="146"/>
      <c r="G643" s="146"/>
      <c r="I643" s="158"/>
      <c r="J643" s="158"/>
      <c r="K643" s="160"/>
    </row>
    <row r="644" spans="1:11">
      <c r="A644" s="189"/>
      <c r="C644" s="1"/>
      <c r="F644" s="146"/>
      <c r="G644" s="146"/>
      <c r="I644" s="158"/>
      <c r="J644" s="158"/>
      <c r="K644" s="160"/>
    </row>
    <row r="645" spans="1:11">
      <c r="A645" s="189"/>
      <c r="C645" s="1"/>
      <c r="F645" s="146"/>
      <c r="G645" s="146"/>
      <c r="I645" s="158"/>
      <c r="J645" s="158"/>
      <c r="K645" s="160"/>
    </row>
    <row r="646" spans="1:11">
      <c r="A646" s="189"/>
      <c r="C646" s="1"/>
      <c r="F646" s="146"/>
      <c r="G646" s="146"/>
      <c r="I646" s="158"/>
      <c r="J646" s="158"/>
      <c r="K646" s="160"/>
    </row>
    <row r="647" spans="1:11">
      <c r="A647" s="189"/>
      <c r="C647" s="1"/>
      <c r="F647" s="146"/>
      <c r="G647" s="146"/>
      <c r="I647" s="158"/>
      <c r="J647" s="158"/>
      <c r="K647" s="160"/>
    </row>
    <row r="648" spans="1:11">
      <c r="A648" s="189"/>
      <c r="C648" s="1"/>
      <c r="F648" s="146"/>
      <c r="G648" s="146"/>
      <c r="I648" s="158"/>
      <c r="J648" s="158"/>
      <c r="K648" s="160"/>
    </row>
    <row r="649" spans="1:11">
      <c r="A649" s="189"/>
      <c r="C649" s="1"/>
      <c r="F649" s="146"/>
      <c r="G649" s="146"/>
      <c r="I649" s="158"/>
      <c r="J649" s="158"/>
      <c r="K649" s="160"/>
    </row>
    <row r="650" spans="1:11">
      <c r="A650" s="189"/>
      <c r="C650" s="1"/>
      <c r="F650" s="146"/>
      <c r="G650" s="146"/>
      <c r="I650" s="158"/>
      <c r="J650" s="158"/>
      <c r="K650" s="160"/>
    </row>
    <row r="651" spans="1:11">
      <c r="A651" s="189"/>
      <c r="C651" s="1"/>
      <c r="F651" s="146"/>
      <c r="G651" s="146"/>
      <c r="I651" s="158"/>
      <c r="J651" s="158"/>
      <c r="K651" s="160"/>
    </row>
    <row r="652" spans="1:11">
      <c r="A652" s="189"/>
      <c r="C652" s="1"/>
      <c r="F652" s="146"/>
      <c r="G652" s="146"/>
      <c r="I652" s="158"/>
      <c r="J652" s="158"/>
      <c r="K652" s="160"/>
    </row>
    <row r="653" spans="1:11">
      <c r="A653" s="189"/>
      <c r="C653" s="1"/>
      <c r="F653" s="146"/>
      <c r="G653" s="146"/>
      <c r="I653" s="158"/>
      <c r="J653" s="158"/>
      <c r="K653" s="160"/>
    </row>
    <row r="654" spans="1:11">
      <c r="A654" s="189"/>
      <c r="C654" s="1"/>
      <c r="F654" s="146"/>
      <c r="G654" s="146"/>
      <c r="I654" s="158"/>
      <c r="J654" s="158"/>
      <c r="K654" s="160"/>
    </row>
    <row r="655" spans="1:11">
      <c r="A655" s="189"/>
      <c r="C655" s="1"/>
      <c r="F655" s="146"/>
      <c r="G655" s="146"/>
      <c r="I655" s="158"/>
      <c r="J655" s="158"/>
      <c r="K655" s="160"/>
    </row>
    <row r="656" spans="1:11">
      <c r="A656" s="189"/>
      <c r="C656" s="1"/>
      <c r="F656" s="146"/>
      <c r="G656" s="146"/>
      <c r="I656" s="158"/>
      <c r="J656" s="158"/>
      <c r="K656" s="160"/>
    </row>
    <row r="657" spans="1:11">
      <c r="A657" s="189"/>
      <c r="C657" s="1"/>
      <c r="F657" s="146"/>
      <c r="G657" s="146"/>
      <c r="I657" s="158"/>
      <c r="J657" s="158"/>
      <c r="K657" s="160"/>
    </row>
    <row r="658" spans="1:11">
      <c r="A658" s="189"/>
      <c r="C658" s="1"/>
      <c r="F658" s="146"/>
      <c r="G658" s="146"/>
      <c r="I658" s="158"/>
      <c r="J658" s="158"/>
      <c r="K658" s="160"/>
    </row>
    <row r="659" spans="1:11">
      <c r="A659" s="189"/>
      <c r="C659" s="1"/>
      <c r="F659" s="146"/>
      <c r="G659" s="146"/>
      <c r="I659" s="158"/>
      <c r="J659" s="158"/>
      <c r="K659" s="160"/>
    </row>
    <row r="660" spans="1:11">
      <c r="A660" s="189"/>
      <c r="C660" s="1"/>
      <c r="F660" s="146"/>
      <c r="G660" s="146"/>
      <c r="I660" s="158"/>
      <c r="J660" s="158"/>
      <c r="K660" s="160"/>
    </row>
    <row r="661" spans="1:11">
      <c r="A661" s="189"/>
      <c r="C661" s="1"/>
      <c r="F661" s="146"/>
      <c r="G661" s="146"/>
      <c r="I661" s="158"/>
      <c r="J661" s="158"/>
      <c r="K661" s="160"/>
    </row>
    <row r="662" spans="1:11">
      <c r="A662" s="189"/>
      <c r="C662" s="1"/>
      <c r="F662" s="146"/>
      <c r="G662" s="146"/>
      <c r="I662" s="158"/>
      <c r="J662" s="158"/>
      <c r="K662" s="160"/>
    </row>
    <row r="663" spans="1:11">
      <c r="A663" s="189"/>
      <c r="C663" s="1"/>
      <c r="F663" s="146"/>
      <c r="G663" s="146"/>
      <c r="I663" s="158"/>
      <c r="J663" s="158"/>
      <c r="K663" s="160"/>
    </row>
    <row r="664" spans="1:11">
      <c r="A664" s="189"/>
      <c r="C664" s="1"/>
      <c r="F664" s="146"/>
      <c r="G664" s="146"/>
      <c r="I664" s="158"/>
      <c r="J664" s="158"/>
      <c r="K664" s="160"/>
    </row>
    <row r="665" spans="1:11">
      <c r="A665" s="189"/>
      <c r="C665" s="1"/>
      <c r="F665" s="146"/>
      <c r="G665" s="146"/>
      <c r="I665" s="158"/>
      <c r="J665" s="158"/>
      <c r="K665" s="160"/>
    </row>
    <row r="666" spans="1:11">
      <c r="A666" s="189"/>
      <c r="C666" s="1"/>
      <c r="F666" s="146"/>
      <c r="G666" s="146"/>
      <c r="I666" s="158"/>
      <c r="J666" s="158"/>
      <c r="K666" s="160"/>
    </row>
    <row r="667" spans="1:11">
      <c r="A667" s="189"/>
      <c r="C667" s="1"/>
      <c r="F667" s="146"/>
      <c r="G667" s="146"/>
      <c r="I667" s="158"/>
      <c r="J667" s="158"/>
      <c r="K667" s="160"/>
    </row>
    <row r="668" spans="1:11">
      <c r="A668" s="189"/>
      <c r="C668" s="1"/>
      <c r="F668" s="146"/>
      <c r="G668" s="146"/>
      <c r="I668" s="158"/>
      <c r="J668" s="158"/>
      <c r="K668" s="160"/>
    </row>
    <row r="669" spans="1:11">
      <c r="A669" s="189"/>
      <c r="C669" s="1"/>
      <c r="F669" s="146"/>
      <c r="G669" s="146"/>
      <c r="I669" s="158"/>
      <c r="J669" s="158"/>
      <c r="K669" s="160"/>
    </row>
    <row r="670" spans="1:11">
      <c r="A670" s="189"/>
      <c r="C670" s="1"/>
      <c r="F670" s="146"/>
      <c r="G670" s="146"/>
      <c r="I670" s="158"/>
      <c r="J670" s="158"/>
      <c r="K670" s="160"/>
    </row>
    <row r="671" spans="1:11">
      <c r="A671" s="189"/>
      <c r="C671" s="1"/>
      <c r="F671" s="146"/>
      <c r="G671" s="146"/>
      <c r="I671" s="158"/>
      <c r="J671" s="158"/>
      <c r="K671" s="160"/>
    </row>
    <row r="672" spans="1:11">
      <c r="A672" s="189"/>
      <c r="C672" s="1"/>
      <c r="F672" s="146"/>
      <c r="G672" s="146"/>
      <c r="I672" s="158"/>
      <c r="J672" s="158"/>
      <c r="K672" s="160"/>
    </row>
    <row r="673" spans="1:11">
      <c r="A673" s="189"/>
      <c r="C673" s="1"/>
      <c r="F673" s="146"/>
      <c r="G673" s="146"/>
      <c r="I673" s="158"/>
      <c r="J673" s="158"/>
      <c r="K673" s="160"/>
    </row>
    <row r="674" spans="1:11">
      <c r="A674" s="189"/>
      <c r="C674" s="1"/>
      <c r="F674" s="146"/>
      <c r="G674" s="146"/>
      <c r="I674" s="158"/>
      <c r="J674" s="158"/>
      <c r="K674" s="160"/>
    </row>
    <row r="675" spans="1:11">
      <c r="A675" s="189"/>
      <c r="C675" s="1"/>
      <c r="F675" s="146"/>
      <c r="G675" s="146"/>
      <c r="I675" s="158"/>
      <c r="J675" s="158"/>
      <c r="K675" s="160"/>
    </row>
    <row r="676" spans="1:11">
      <c r="A676" s="189"/>
      <c r="C676" s="1"/>
      <c r="F676" s="146"/>
      <c r="G676" s="146"/>
      <c r="I676" s="158"/>
      <c r="J676" s="158"/>
      <c r="K676" s="160"/>
    </row>
    <row r="677" spans="1:11">
      <c r="A677" s="189"/>
      <c r="C677" s="1"/>
      <c r="F677" s="146"/>
      <c r="G677" s="146"/>
      <c r="I677" s="158"/>
      <c r="J677" s="158"/>
      <c r="K677" s="160"/>
    </row>
    <row r="678" spans="1:11">
      <c r="A678" s="189"/>
      <c r="C678" s="1"/>
      <c r="F678" s="146"/>
      <c r="G678" s="146"/>
      <c r="I678" s="158"/>
      <c r="J678" s="158"/>
      <c r="K678" s="160"/>
    </row>
    <row r="679" spans="1:11">
      <c r="A679" s="189"/>
      <c r="C679" s="1"/>
      <c r="F679" s="146"/>
      <c r="G679" s="146"/>
      <c r="I679" s="158"/>
      <c r="J679" s="158"/>
      <c r="K679" s="160"/>
    </row>
    <row r="680" spans="1:11">
      <c r="A680" s="189"/>
      <c r="C680" s="1"/>
      <c r="F680" s="146"/>
      <c r="G680" s="146"/>
      <c r="I680" s="158"/>
      <c r="J680" s="158"/>
      <c r="K680" s="160"/>
    </row>
    <row r="681" spans="1:11">
      <c r="A681" s="189"/>
      <c r="C681" s="1"/>
      <c r="F681" s="146"/>
      <c r="G681" s="146"/>
      <c r="I681" s="158"/>
      <c r="J681" s="158"/>
      <c r="K681" s="160"/>
    </row>
    <row r="682" spans="1:11">
      <c r="A682" s="189"/>
      <c r="C682" s="1"/>
      <c r="F682" s="146"/>
      <c r="G682" s="146"/>
      <c r="I682" s="158"/>
      <c r="J682" s="158"/>
      <c r="K682" s="160"/>
    </row>
    <row r="683" spans="1:11">
      <c r="A683" s="189"/>
      <c r="C683" s="1"/>
      <c r="F683" s="146"/>
      <c r="G683" s="146"/>
      <c r="I683" s="158"/>
      <c r="J683" s="158"/>
      <c r="K683" s="160"/>
    </row>
    <row r="684" spans="1:11">
      <c r="A684" s="189"/>
      <c r="C684" s="1"/>
      <c r="F684" s="146"/>
      <c r="G684" s="146"/>
      <c r="I684" s="158"/>
      <c r="J684" s="158"/>
      <c r="K684" s="160"/>
    </row>
    <row r="685" spans="1:11">
      <c r="A685" s="189"/>
      <c r="C685" s="1"/>
      <c r="F685" s="146"/>
      <c r="G685" s="146"/>
      <c r="I685" s="158"/>
      <c r="J685" s="158"/>
      <c r="K685" s="160"/>
    </row>
    <row r="686" spans="1:11">
      <c r="A686" s="189"/>
      <c r="C686" s="1"/>
      <c r="F686" s="146"/>
      <c r="G686" s="146"/>
      <c r="I686" s="158"/>
      <c r="J686" s="158"/>
      <c r="K686" s="160"/>
    </row>
    <row r="687" spans="1:11">
      <c r="A687" s="189"/>
      <c r="C687" s="1"/>
      <c r="F687" s="146"/>
      <c r="G687" s="146"/>
      <c r="I687" s="158"/>
      <c r="J687" s="158"/>
      <c r="K687" s="160"/>
    </row>
    <row r="688" spans="1:11">
      <c r="A688" s="189"/>
      <c r="C688" s="1"/>
      <c r="F688" s="146"/>
      <c r="G688" s="146"/>
      <c r="I688" s="158"/>
      <c r="J688" s="158"/>
      <c r="K688" s="160"/>
    </row>
    <row r="689" spans="1:11">
      <c r="A689" s="189"/>
      <c r="C689" s="1"/>
      <c r="F689" s="146"/>
      <c r="G689" s="146"/>
      <c r="I689" s="158"/>
      <c r="J689" s="158"/>
      <c r="K689" s="160"/>
    </row>
    <row r="690" spans="1:11">
      <c r="A690" s="189"/>
      <c r="C690" s="1"/>
      <c r="F690" s="146"/>
      <c r="G690" s="146"/>
      <c r="I690" s="158"/>
      <c r="J690" s="158"/>
      <c r="K690" s="160"/>
    </row>
    <row r="691" spans="1:11">
      <c r="A691" s="189"/>
      <c r="C691" s="1"/>
      <c r="F691" s="146"/>
      <c r="G691" s="146"/>
      <c r="I691" s="158"/>
      <c r="J691" s="158"/>
      <c r="K691" s="160"/>
    </row>
    <row r="692" spans="1:11">
      <c r="A692" s="189"/>
      <c r="C692" s="1"/>
      <c r="F692" s="146"/>
      <c r="G692" s="146"/>
      <c r="I692" s="158"/>
      <c r="J692" s="158"/>
      <c r="K692" s="160"/>
    </row>
    <row r="693" spans="1:11">
      <c r="A693" s="189"/>
      <c r="C693" s="1"/>
      <c r="F693" s="146"/>
      <c r="G693" s="146"/>
      <c r="I693" s="158"/>
      <c r="J693" s="158"/>
      <c r="K693" s="160"/>
    </row>
    <row r="694" spans="1:11">
      <c r="A694" s="189"/>
      <c r="C694" s="1"/>
      <c r="F694" s="146"/>
      <c r="G694" s="146"/>
      <c r="I694" s="158"/>
      <c r="J694" s="158"/>
      <c r="K694" s="160"/>
    </row>
    <row r="695" spans="1:11">
      <c r="A695" s="189"/>
      <c r="C695" s="1"/>
      <c r="F695" s="146"/>
      <c r="G695" s="146"/>
      <c r="I695" s="158"/>
      <c r="J695" s="158"/>
      <c r="K695" s="160"/>
    </row>
    <row r="696" spans="1:11">
      <c r="A696" s="189"/>
      <c r="C696" s="1"/>
      <c r="F696" s="146"/>
      <c r="G696" s="146"/>
      <c r="I696" s="158"/>
      <c r="J696" s="158"/>
      <c r="K696" s="160"/>
    </row>
    <row r="697" spans="1:11">
      <c r="A697" s="189"/>
      <c r="C697" s="1"/>
      <c r="F697" s="146"/>
      <c r="G697" s="146"/>
      <c r="I697" s="158"/>
      <c r="J697" s="158"/>
      <c r="K697" s="160"/>
    </row>
    <row r="698" spans="1:11">
      <c r="A698" s="189"/>
      <c r="C698" s="1"/>
      <c r="F698" s="146"/>
      <c r="G698" s="146"/>
      <c r="I698" s="158"/>
      <c r="J698" s="158"/>
      <c r="K698" s="160"/>
    </row>
    <row r="699" spans="1:11">
      <c r="A699" s="189"/>
      <c r="C699" s="1"/>
      <c r="F699" s="146"/>
      <c r="G699" s="146"/>
      <c r="I699" s="158"/>
      <c r="J699" s="158"/>
      <c r="K699" s="160"/>
    </row>
    <row r="700" spans="1:11">
      <c r="A700" s="189"/>
      <c r="C700" s="1"/>
      <c r="F700" s="146"/>
      <c r="G700" s="146"/>
      <c r="I700" s="158"/>
      <c r="J700" s="158"/>
      <c r="K700" s="160"/>
    </row>
    <row r="701" spans="1:11">
      <c r="A701" s="189"/>
      <c r="C701" s="1"/>
      <c r="F701" s="146"/>
      <c r="G701" s="146"/>
      <c r="I701" s="158"/>
      <c r="J701" s="158"/>
      <c r="K701" s="160"/>
    </row>
    <row r="702" spans="1:11">
      <c r="A702" s="189"/>
      <c r="C702" s="1"/>
      <c r="F702" s="146"/>
      <c r="G702" s="146"/>
      <c r="I702" s="158"/>
      <c r="J702" s="158"/>
      <c r="K702" s="160"/>
    </row>
    <row r="703" spans="1:11">
      <c r="A703" s="189"/>
      <c r="C703" s="1"/>
      <c r="F703" s="146"/>
      <c r="G703" s="146"/>
      <c r="I703" s="158"/>
      <c r="J703" s="158"/>
      <c r="K703" s="160"/>
    </row>
    <row r="704" spans="1:11">
      <c r="A704" s="189"/>
      <c r="C704" s="1"/>
      <c r="F704" s="146"/>
      <c r="G704" s="146"/>
      <c r="I704" s="158"/>
      <c r="J704" s="158"/>
      <c r="K704" s="160"/>
    </row>
    <row r="705" spans="1:11">
      <c r="A705" s="189"/>
      <c r="C705" s="1"/>
      <c r="F705" s="146"/>
      <c r="G705" s="146"/>
      <c r="I705" s="158"/>
      <c r="J705" s="158"/>
      <c r="K705" s="160"/>
    </row>
    <row r="706" spans="1:11">
      <c r="A706" s="189"/>
      <c r="C706" s="1"/>
      <c r="F706" s="146"/>
      <c r="G706" s="146"/>
      <c r="I706" s="158"/>
      <c r="J706" s="158"/>
      <c r="K706" s="160"/>
    </row>
    <row r="707" spans="1:11">
      <c r="A707" s="189"/>
      <c r="C707" s="1"/>
      <c r="F707" s="146"/>
      <c r="G707" s="146"/>
      <c r="I707" s="158"/>
      <c r="J707" s="158"/>
      <c r="K707" s="160"/>
    </row>
    <row r="708" spans="1:11">
      <c r="A708" s="189"/>
      <c r="C708" s="1"/>
      <c r="F708" s="146"/>
      <c r="G708" s="146"/>
      <c r="I708" s="158"/>
      <c r="J708" s="158"/>
      <c r="K708" s="160"/>
    </row>
    <row r="709" spans="1:11">
      <c r="A709" s="189"/>
      <c r="C709" s="1"/>
      <c r="F709" s="146"/>
      <c r="G709" s="146"/>
      <c r="I709" s="158"/>
      <c r="J709" s="158"/>
      <c r="K709" s="160"/>
    </row>
    <row r="710" spans="1:11">
      <c r="A710" s="189"/>
      <c r="C710" s="1"/>
      <c r="F710" s="146"/>
      <c r="G710" s="146"/>
      <c r="I710" s="158"/>
      <c r="J710" s="158"/>
      <c r="K710" s="160"/>
    </row>
    <row r="711" spans="1:11">
      <c r="A711" s="189"/>
      <c r="C711" s="1"/>
      <c r="F711" s="146"/>
      <c r="G711" s="146"/>
      <c r="I711" s="158"/>
      <c r="J711" s="158"/>
      <c r="K711" s="160"/>
    </row>
    <row r="712" spans="1:11">
      <c r="A712" s="189"/>
      <c r="C712" s="1"/>
      <c r="F712" s="146"/>
      <c r="G712" s="146"/>
      <c r="I712" s="158"/>
      <c r="J712" s="158"/>
      <c r="K712" s="160"/>
    </row>
    <row r="713" spans="1:11">
      <c r="A713" s="189"/>
      <c r="C713" s="1"/>
      <c r="F713" s="146"/>
      <c r="G713" s="146"/>
      <c r="I713" s="158"/>
      <c r="J713" s="158"/>
      <c r="K713" s="160"/>
    </row>
    <row r="714" spans="1:11">
      <c r="A714" s="189"/>
      <c r="C714" s="1"/>
      <c r="F714" s="146"/>
      <c r="G714" s="146"/>
      <c r="I714" s="158"/>
      <c r="J714" s="158"/>
      <c r="K714" s="160"/>
    </row>
    <row r="715" spans="1:11">
      <c r="A715" s="189"/>
      <c r="C715" s="1"/>
      <c r="F715" s="146"/>
      <c r="G715" s="146"/>
      <c r="I715" s="158"/>
      <c r="J715" s="158"/>
      <c r="K715" s="160"/>
    </row>
    <row r="716" spans="1:11">
      <c r="A716" s="189"/>
      <c r="C716" s="1"/>
      <c r="F716" s="146"/>
      <c r="G716" s="146"/>
      <c r="I716" s="158"/>
      <c r="J716" s="158"/>
      <c r="K716" s="160"/>
    </row>
    <row r="717" spans="1:11">
      <c r="A717" s="189"/>
      <c r="C717" s="1"/>
      <c r="F717" s="146"/>
      <c r="G717" s="146"/>
      <c r="I717" s="158"/>
      <c r="J717" s="158"/>
      <c r="K717" s="160"/>
    </row>
    <row r="718" spans="1:11">
      <c r="A718" s="189"/>
      <c r="C718" s="1"/>
      <c r="F718" s="146"/>
      <c r="G718" s="146"/>
      <c r="I718" s="158"/>
      <c r="J718" s="158"/>
      <c r="K718" s="160"/>
    </row>
    <row r="719" spans="1:11">
      <c r="A719" s="189"/>
      <c r="C719" s="1"/>
      <c r="F719" s="146"/>
      <c r="G719" s="146"/>
      <c r="I719" s="158"/>
      <c r="J719" s="158"/>
      <c r="K719" s="160"/>
    </row>
    <row r="720" spans="1:11">
      <c r="A720" s="189"/>
      <c r="C720" s="1"/>
      <c r="F720" s="146"/>
      <c r="G720" s="146"/>
      <c r="I720" s="158"/>
      <c r="J720" s="158"/>
      <c r="K720" s="160"/>
    </row>
    <row r="721" spans="1:11">
      <c r="A721" s="189"/>
      <c r="C721" s="1"/>
      <c r="F721" s="146"/>
      <c r="G721" s="146"/>
      <c r="I721" s="158"/>
      <c r="J721" s="158"/>
      <c r="K721" s="160"/>
    </row>
    <row r="722" spans="1:11">
      <c r="A722" s="189"/>
      <c r="C722" s="1"/>
      <c r="F722" s="146"/>
      <c r="G722" s="146"/>
      <c r="I722" s="158"/>
      <c r="J722" s="158"/>
      <c r="K722" s="160"/>
    </row>
    <row r="723" spans="1:11">
      <c r="A723" s="189"/>
      <c r="C723" s="1"/>
      <c r="F723" s="146"/>
      <c r="G723" s="146"/>
      <c r="I723" s="158"/>
      <c r="J723" s="158"/>
      <c r="K723" s="160"/>
    </row>
    <row r="724" spans="1:11">
      <c r="A724" s="189"/>
      <c r="C724" s="1"/>
      <c r="F724" s="146"/>
      <c r="G724" s="146"/>
      <c r="I724" s="158"/>
      <c r="J724" s="158"/>
      <c r="K724" s="160"/>
    </row>
    <row r="725" spans="1:11">
      <c r="A725" s="189"/>
      <c r="C725" s="1"/>
      <c r="F725" s="146"/>
      <c r="G725" s="146"/>
      <c r="I725" s="158"/>
      <c r="J725" s="158"/>
      <c r="K725" s="160"/>
    </row>
    <row r="726" spans="1:11">
      <c r="A726" s="189"/>
      <c r="C726" s="1"/>
      <c r="F726" s="146"/>
      <c r="G726" s="146"/>
      <c r="I726" s="158"/>
      <c r="J726" s="158"/>
      <c r="K726" s="160"/>
    </row>
    <row r="727" spans="1:11">
      <c r="A727" s="189"/>
      <c r="C727" s="1"/>
      <c r="F727" s="146"/>
      <c r="G727" s="146"/>
      <c r="I727" s="158"/>
      <c r="J727" s="158"/>
      <c r="K727" s="160"/>
    </row>
    <row r="728" spans="1:11">
      <c r="A728" s="189"/>
      <c r="C728" s="1"/>
      <c r="F728" s="146"/>
      <c r="G728" s="146"/>
      <c r="I728" s="158"/>
      <c r="J728" s="158"/>
      <c r="K728" s="160"/>
    </row>
    <row r="729" spans="1:11">
      <c r="A729" s="189"/>
      <c r="C729" s="1"/>
      <c r="F729" s="146"/>
      <c r="G729" s="146"/>
      <c r="I729" s="158"/>
      <c r="J729" s="158"/>
      <c r="K729" s="160"/>
    </row>
    <row r="730" spans="1:11">
      <c r="A730" s="189"/>
      <c r="C730" s="1"/>
      <c r="F730" s="146"/>
      <c r="G730" s="146"/>
      <c r="I730" s="158"/>
      <c r="J730" s="158"/>
      <c r="K730" s="160"/>
    </row>
    <row r="731" spans="1:11">
      <c r="A731" s="189"/>
      <c r="C731" s="1"/>
      <c r="F731" s="146"/>
      <c r="G731" s="146"/>
      <c r="I731" s="158"/>
      <c r="J731" s="158"/>
      <c r="K731" s="160"/>
    </row>
    <row r="732" spans="1:11">
      <c r="A732" s="189"/>
      <c r="C732" s="1"/>
      <c r="F732" s="146"/>
      <c r="G732" s="146"/>
      <c r="I732" s="158"/>
      <c r="J732" s="158"/>
      <c r="K732" s="160"/>
    </row>
    <row r="733" spans="1:11">
      <c r="A733" s="189"/>
      <c r="C733" s="1"/>
      <c r="F733" s="146"/>
      <c r="G733" s="146"/>
      <c r="I733" s="158"/>
      <c r="J733" s="158"/>
      <c r="K733" s="160"/>
    </row>
    <row r="734" spans="1:11">
      <c r="A734" s="189"/>
      <c r="C734" s="1"/>
      <c r="F734" s="146"/>
      <c r="G734" s="146"/>
      <c r="I734" s="158"/>
      <c r="J734" s="158"/>
      <c r="K734" s="160"/>
    </row>
    <row r="735" spans="1:11">
      <c r="A735" s="189"/>
      <c r="C735" s="1"/>
      <c r="F735" s="146"/>
      <c r="G735" s="146"/>
      <c r="I735" s="158"/>
      <c r="J735" s="158"/>
      <c r="K735" s="160"/>
    </row>
    <row r="736" spans="1:11">
      <c r="A736" s="189"/>
      <c r="C736" s="1"/>
      <c r="F736" s="146"/>
      <c r="G736" s="146"/>
      <c r="I736" s="158"/>
      <c r="J736" s="158"/>
      <c r="K736" s="160"/>
    </row>
    <row r="737" spans="1:11">
      <c r="A737" s="189"/>
      <c r="C737" s="1"/>
      <c r="F737" s="146"/>
      <c r="G737" s="146"/>
      <c r="I737" s="158"/>
      <c r="J737" s="158"/>
      <c r="K737" s="160"/>
    </row>
    <row r="738" spans="1:11">
      <c r="A738" s="189"/>
      <c r="C738" s="1"/>
      <c r="F738" s="146"/>
      <c r="G738" s="146"/>
      <c r="I738" s="158"/>
      <c r="J738" s="158"/>
      <c r="K738" s="160"/>
    </row>
    <row r="739" spans="1:11">
      <c r="A739" s="189"/>
      <c r="C739" s="1"/>
      <c r="F739" s="146"/>
      <c r="G739" s="146"/>
      <c r="I739" s="158"/>
      <c r="J739" s="158"/>
      <c r="K739" s="160"/>
    </row>
    <row r="740" spans="1:11">
      <c r="A740" s="189"/>
      <c r="C740" s="1"/>
      <c r="F740" s="146"/>
      <c r="G740" s="146"/>
      <c r="I740" s="158"/>
      <c r="J740" s="158"/>
      <c r="K740" s="160"/>
    </row>
    <row r="741" spans="1:11">
      <c r="A741" s="189"/>
      <c r="C741" s="1"/>
      <c r="F741" s="146"/>
      <c r="G741" s="146"/>
      <c r="I741" s="158"/>
      <c r="J741" s="158"/>
      <c r="K741" s="160"/>
    </row>
    <row r="742" spans="1:11">
      <c r="A742" s="189"/>
      <c r="C742" s="1"/>
      <c r="F742" s="146"/>
      <c r="G742" s="146"/>
      <c r="I742" s="158"/>
      <c r="J742" s="158"/>
      <c r="K742" s="160"/>
    </row>
    <row r="743" spans="1:11">
      <c r="A743" s="189"/>
      <c r="C743" s="1"/>
      <c r="F743" s="146"/>
      <c r="G743" s="146"/>
      <c r="I743" s="158"/>
      <c r="J743" s="158"/>
      <c r="K743" s="160"/>
    </row>
    <row r="744" spans="1:11">
      <c r="A744" s="189"/>
      <c r="C744" s="1"/>
      <c r="F744" s="146"/>
      <c r="G744" s="146"/>
      <c r="I744" s="158"/>
      <c r="J744" s="158"/>
      <c r="K744" s="160"/>
    </row>
    <row r="745" spans="1:11">
      <c r="A745" s="189"/>
      <c r="C745" s="1"/>
      <c r="F745" s="146"/>
      <c r="G745" s="146"/>
      <c r="I745" s="158"/>
      <c r="J745" s="158"/>
      <c r="K745" s="160"/>
    </row>
    <row r="746" spans="1:11">
      <c r="A746" s="189"/>
      <c r="C746" s="1"/>
      <c r="F746" s="146"/>
      <c r="G746" s="146"/>
      <c r="I746" s="158"/>
      <c r="J746" s="158"/>
      <c r="K746" s="160"/>
    </row>
    <row r="747" spans="1:11">
      <c r="A747" s="189"/>
      <c r="C747" s="1"/>
      <c r="F747" s="146"/>
      <c r="G747" s="146"/>
      <c r="I747" s="158"/>
      <c r="J747" s="158"/>
      <c r="K747" s="160"/>
    </row>
    <row r="748" spans="1:11">
      <c r="A748" s="189"/>
      <c r="C748" s="1"/>
      <c r="F748" s="146"/>
      <c r="G748" s="146"/>
      <c r="I748" s="158"/>
      <c r="J748" s="158"/>
      <c r="K748" s="160"/>
    </row>
    <row r="749" spans="1:11">
      <c r="A749" s="189"/>
      <c r="C749" s="1"/>
      <c r="F749" s="146"/>
      <c r="G749" s="146"/>
      <c r="I749" s="158"/>
      <c r="J749" s="158"/>
      <c r="K749" s="160"/>
    </row>
    <row r="750" spans="1:11">
      <c r="A750" s="189"/>
      <c r="C750" s="1"/>
      <c r="F750" s="146"/>
      <c r="G750" s="146"/>
      <c r="I750" s="158"/>
      <c r="J750" s="158"/>
      <c r="K750" s="160"/>
    </row>
    <row r="751" spans="1:11">
      <c r="A751" s="189"/>
      <c r="C751" s="1"/>
      <c r="F751" s="146"/>
      <c r="G751" s="146"/>
      <c r="I751" s="158"/>
      <c r="J751" s="158"/>
      <c r="K751" s="160"/>
    </row>
    <row r="752" spans="1:11">
      <c r="A752" s="189"/>
      <c r="C752" s="1"/>
      <c r="F752" s="146"/>
      <c r="G752" s="146"/>
      <c r="I752" s="158"/>
      <c r="J752" s="158"/>
      <c r="K752" s="160"/>
    </row>
    <row r="753" spans="1:11">
      <c r="A753" s="189"/>
      <c r="C753" s="1"/>
      <c r="F753" s="146"/>
      <c r="G753" s="146"/>
      <c r="I753" s="158"/>
      <c r="J753" s="158"/>
      <c r="K753" s="160"/>
    </row>
    <row r="754" spans="1:11">
      <c r="A754" s="189"/>
      <c r="C754" s="1"/>
      <c r="F754" s="146"/>
      <c r="G754" s="146"/>
      <c r="I754" s="158"/>
      <c r="J754" s="158"/>
      <c r="K754" s="160"/>
    </row>
    <row r="755" spans="1:11">
      <c r="A755" s="189"/>
      <c r="C755" s="1"/>
      <c r="F755" s="146"/>
      <c r="G755" s="146"/>
      <c r="I755" s="158"/>
      <c r="J755" s="158"/>
      <c r="K755" s="160"/>
    </row>
    <row r="756" spans="1:11">
      <c r="A756" s="189"/>
      <c r="C756" s="1"/>
      <c r="F756" s="146"/>
      <c r="G756" s="146"/>
      <c r="I756" s="158"/>
      <c r="J756" s="158"/>
      <c r="K756" s="160"/>
    </row>
    <row r="757" spans="1:11">
      <c r="A757" s="189"/>
      <c r="C757" s="1"/>
      <c r="F757" s="146"/>
      <c r="G757" s="146"/>
      <c r="I757" s="158"/>
      <c r="J757" s="158"/>
      <c r="K757" s="160"/>
    </row>
    <row r="758" spans="1:11">
      <c r="A758" s="189"/>
      <c r="C758" s="1"/>
      <c r="F758" s="146"/>
      <c r="G758" s="146"/>
      <c r="I758" s="158"/>
      <c r="J758" s="158"/>
      <c r="K758" s="160"/>
    </row>
    <row r="759" spans="1:11">
      <c r="A759" s="189"/>
      <c r="C759" s="1"/>
      <c r="F759" s="146"/>
      <c r="G759" s="146"/>
      <c r="I759" s="158"/>
      <c r="J759" s="158"/>
      <c r="K759" s="160"/>
    </row>
    <row r="760" spans="1:11">
      <c r="A760" s="189"/>
      <c r="C760" s="1"/>
      <c r="F760" s="146"/>
      <c r="G760" s="146"/>
      <c r="I760" s="158"/>
      <c r="J760" s="158"/>
      <c r="K760" s="160"/>
    </row>
    <row r="761" spans="1:11">
      <c r="A761" s="189"/>
      <c r="C761" s="1"/>
      <c r="F761" s="146"/>
      <c r="G761" s="146"/>
      <c r="I761" s="158"/>
      <c r="J761" s="158"/>
      <c r="K761" s="160"/>
    </row>
    <row r="762" spans="1:11">
      <c r="A762" s="189"/>
      <c r="C762" s="1"/>
      <c r="F762" s="146"/>
      <c r="G762" s="146"/>
      <c r="I762" s="158"/>
      <c r="J762" s="158"/>
      <c r="K762" s="160"/>
    </row>
    <row r="763" spans="1:11">
      <c r="A763" s="189"/>
      <c r="C763" s="1"/>
      <c r="F763" s="146"/>
      <c r="G763" s="146"/>
      <c r="I763" s="158"/>
      <c r="J763" s="158"/>
      <c r="K763" s="160"/>
    </row>
    <row r="764" spans="1:11">
      <c r="A764" s="189"/>
      <c r="C764" s="1"/>
      <c r="F764" s="146"/>
      <c r="G764" s="146"/>
      <c r="I764" s="158"/>
      <c r="J764" s="158"/>
      <c r="K764" s="160"/>
    </row>
    <row r="765" spans="1:11">
      <c r="A765" s="189"/>
      <c r="C765" s="1"/>
      <c r="F765" s="146"/>
      <c r="G765" s="146"/>
      <c r="I765" s="158"/>
      <c r="J765" s="158"/>
      <c r="K765" s="160"/>
    </row>
    <row r="766" spans="1:11">
      <c r="A766" s="189"/>
      <c r="C766" s="1"/>
      <c r="F766" s="146"/>
      <c r="G766" s="146"/>
      <c r="I766" s="158"/>
      <c r="J766" s="158"/>
      <c r="K766" s="160"/>
    </row>
    <row r="767" spans="1:11">
      <c r="A767" s="189"/>
      <c r="C767" s="1"/>
      <c r="F767" s="146"/>
      <c r="G767" s="146"/>
      <c r="I767" s="158"/>
      <c r="J767" s="158"/>
      <c r="K767" s="160"/>
    </row>
    <row r="768" spans="1:11">
      <c r="A768" s="189"/>
      <c r="C768" s="1"/>
      <c r="F768" s="146"/>
      <c r="G768" s="146"/>
      <c r="I768" s="158"/>
      <c r="J768" s="158"/>
      <c r="K768" s="160"/>
    </row>
    <row r="769" spans="1:11">
      <c r="A769" s="189"/>
      <c r="C769" s="1"/>
      <c r="F769" s="146"/>
      <c r="G769" s="146"/>
      <c r="I769" s="158"/>
      <c r="J769" s="158"/>
      <c r="K769" s="160"/>
    </row>
    <row r="770" spans="1:11">
      <c r="A770" s="189"/>
      <c r="C770" s="1"/>
      <c r="F770" s="146"/>
      <c r="G770" s="146"/>
      <c r="I770" s="158"/>
      <c r="J770" s="158"/>
      <c r="K770" s="160"/>
    </row>
    <row r="771" spans="1:11">
      <c r="A771" s="189"/>
      <c r="C771" s="1"/>
      <c r="F771" s="146"/>
      <c r="G771" s="146"/>
      <c r="I771" s="158"/>
      <c r="J771" s="158"/>
      <c r="K771" s="160"/>
    </row>
    <row r="772" spans="1:11">
      <c r="A772" s="189"/>
      <c r="C772" s="1"/>
      <c r="F772" s="146"/>
      <c r="G772" s="146"/>
      <c r="I772" s="158"/>
      <c r="J772" s="158"/>
      <c r="K772" s="160"/>
    </row>
    <row r="773" spans="1:11">
      <c r="A773" s="189"/>
      <c r="C773" s="1"/>
      <c r="F773" s="146"/>
      <c r="G773" s="146"/>
      <c r="I773" s="158"/>
      <c r="J773" s="158"/>
      <c r="K773" s="160"/>
    </row>
    <row r="774" spans="1:11">
      <c r="A774" s="189"/>
      <c r="C774" s="1"/>
      <c r="F774" s="146"/>
      <c r="G774" s="146"/>
      <c r="I774" s="158"/>
      <c r="J774" s="158"/>
      <c r="K774" s="160"/>
    </row>
    <row r="775" spans="1:11">
      <c r="A775" s="189"/>
      <c r="C775" s="1"/>
      <c r="F775" s="146"/>
      <c r="G775" s="146"/>
      <c r="I775" s="158"/>
      <c r="J775" s="158"/>
      <c r="K775" s="160"/>
    </row>
    <row r="776" spans="1:11">
      <c r="A776" s="189"/>
      <c r="C776" s="1"/>
      <c r="F776" s="146"/>
      <c r="G776" s="146"/>
      <c r="I776" s="158"/>
      <c r="J776" s="158"/>
      <c r="K776" s="160"/>
    </row>
    <row r="777" spans="1:11">
      <c r="A777" s="189"/>
      <c r="C777" s="1"/>
      <c r="F777" s="146"/>
      <c r="G777" s="146"/>
      <c r="I777" s="158"/>
      <c r="J777" s="158"/>
      <c r="K777" s="160"/>
    </row>
    <row r="778" spans="1:11">
      <c r="A778" s="189"/>
      <c r="C778" s="1"/>
      <c r="F778" s="146"/>
      <c r="G778" s="146"/>
      <c r="I778" s="158"/>
      <c r="J778" s="158"/>
      <c r="K778" s="160"/>
    </row>
    <row r="779" spans="1:11">
      <c r="A779" s="189"/>
      <c r="C779" s="1"/>
      <c r="F779" s="146"/>
      <c r="G779" s="146"/>
      <c r="I779" s="158"/>
      <c r="J779" s="158"/>
      <c r="K779" s="160"/>
    </row>
    <row r="780" spans="1:11">
      <c r="A780" s="189"/>
      <c r="C780" s="1"/>
      <c r="F780" s="146"/>
      <c r="G780" s="146"/>
      <c r="I780" s="158"/>
      <c r="J780" s="158"/>
      <c r="K780" s="160"/>
    </row>
    <row r="781" spans="1:11">
      <c r="A781" s="189"/>
      <c r="C781" s="1"/>
      <c r="F781" s="146"/>
      <c r="G781" s="146"/>
      <c r="I781" s="158"/>
      <c r="J781" s="158"/>
      <c r="K781" s="160"/>
    </row>
    <row r="782" spans="1:11">
      <c r="A782" s="189"/>
      <c r="C782" s="1"/>
      <c r="F782" s="146"/>
      <c r="G782" s="146"/>
      <c r="I782" s="158"/>
      <c r="J782" s="158"/>
      <c r="K782" s="160"/>
    </row>
    <row r="783" spans="1:11">
      <c r="A783" s="189"/>
      <c r="C783" s="1"/>
      <c r="F783" s="146"/>
      <c r="G783" s="146"/>
      <c r="I783" s="158"/>
      <c r="J783" s="158"/>
      <c r="K783" s="160"/>
    </row>
    <row r="784" spans="1:11">
      <c r="A784" s="189"/>
      <c r="C784" s="1"/>
      <c r="F784" s="146"/>
      <c r="G784" s="146"/>
      <c r="I784" s="158"/>
      <c r="J784" s="158"/>
      <c r="K784" s="160"/>
    </row>
    <row r="785" spans="1:11">
      <c r="A785" s="189"/>
      <c r="C785" s="1"/>
      <c r="F785" s="146"/>
      <c r="G785" s="146"/>
      <c r="I785" s="158"/>
      <c r="J785" s="158"/>
      <c r="K785" s="160"/>
    </row>
    <row r="786" spans="1:11">
      <c r="A786" s="189"/>
      <c r="C786" s="1"/>
      <c r="F786" s="146"/>
      <c r="G786" s="146"/>
      <c r="I786" s="158"/>
      <c r="J786" s="158"/>
      <c r="K786" s="160"/>
    </row>
    <row r="787" spans="1:11">
      <c r="A787" s="189"/>
      <c r="C787" s="1"/>
      <c r="F787" s="146"/>
      <c r="G787" s="146"/>
      <c r="I787" s="158"/>
      <c r="J787" s="158"/>
      <c r="K787" s="160"/>
    </row>
    <row r="788" spans="1:11">
      <c r="A788" s="189"/>
      <c r="C788" s="1"/>
      <c r="F788" s="146"/>
      <c r="G788" s="146"/>
      <c r="I788" s="158"/>
      <c r="J788" s="158"/>
      <c r="K788" s="160"/>
    </row>
    <row r="789" spans="1:11">
      <c r="A789" s="189"/>
      <c r="C789" s="1"/>
      <c r="F789" s="146"/>
      <c r="G789" s="146"/>
      <c r="I789" s="158"/>
      <c r="J789" s="158"/>
      <c r="K789" s="160"/>
    </row>
    <row r="790" spans="1:11">
      <c r="A790" s="189"/>
      <c r="C790" s="1"/>
      <c r="F790" s="146"/>
      <c r="G790" s="146"/>
      <c r="I790" s="158"/>
      <c r="J790" s="158"/>
      <c r="K790" s="160"/>
    </row>
    <row r="791" spans="1:11">
      <c r="A791" s="189"/>
      <c r="C791" s="1"/>
      <c r="F791" s="146"/>
      <c r="G791" s="146"/>
      <c r="I791" s="158"/>
      <c r="J791" s="158"/>
      <c r="K791" s="160"/>
    </row>
    <row r="792" spans="1:11">
      <c r="A792" s="189"/>
      <c r="C792" s="1"/>
      <c r="F792" s="146"/>
      <c r="G792" s="146"/>
      <c r="I792" s="158"/>
      <c r="J792" s="158"/>
      <c r="K792" s="160"/>
    </row>
    <row r="793" spans="1:11">
      <c r="A793" s="189"/>
      <c r="C793" s="1"/>
      <c r="F793" s="146"/>
      <c r="G793" s="146"/>
      <c r="I793" s="158"/>
      <c r="J793" s="158"/>
      <c r="K793" s="160"/>
    </row>
    <row r="794" spans="1:11">
      <c r="A794" s="189"/>
      <c r="C794" s="1"/>
      <c r="F794" s="146"/>
      <c r="G794" s="146"/>
      <c r="I794" s="158"/>
      <c r="J794" s="158"/>
      <c r="K794" s="160"/>
    </row>
    <row r="795" spans="1:11">
      <c r="A795" s="189"/>
      <c r="C795" s="1"/>
      <c r="F795" s="146"/>
      <c r="G795" s="146"/>
      <c r="I795" s="158"/>
      <c r="J795" s="158"/>
      <c r="K795" s="160"/>
    </row>
    <row r="796" spans="1:11">
      <c r="A796" s="189"/>
      <c r="C796" s="1"/>
      <c r="F796" s="146"/>
      <c r="G796" s="146"/>
      <c r="I796" s="158"/>
      <c r="J796" s="158"/>
      <c r="K796" s="160"/>
    </row>
    <row r="797" spans="1:11">
      <c r="A797" s="189"/>
      <c r="C797" s="1"/>
      <c r="F797" s="146"/>
      <c r="G797" s="146"/>
      <c r="I797" s="158"/>
      <c r="J797" s="158"/>
      <c r="K797" s="160"/>
    </row>
    <row r="798" spans="1:11">
      <c r="A798" s="189"/>
      <c r="C798" s="1"/>
      <c r="F798" s="146"/>
      <c r="G798" s="146"/>
      <c r="I798" s="158"/>
      <c r="J798" s="158"/>
      <c r="K798" s="160"/>
    </row>
    <row r="799" spans="1:11">
      <c r="A799" s="189"/>
      <c r="C799" s="1"/>
      <c r="F799" s="146"/>
      <c r="G799" s="146"/>
      <c r="I799" s="158"/>
      <c r="J799" s="158"/>
      <c r="K799" s="160"/>
    </row>
    <row r="800" spans="1:11">
      <c r="A800" s="189"/>
      <c r="C800" s="1"/>
      <c r="F800" s="146"/>
      <c r="G800" s="146"/>
      <c r="I800" s="158"/>
      <c r="J800" s="158"/>
      <c r="K800" s="160"/>
    </row>
    <row r="801" spans="1:11">
      <c r="A801" s="189"/>
      <c r="C801" s="1"/>
      <c r="F801" s="146"/>
      <c r="G801" s="146"/>
      <c r="I801" s="158"/>
      <c r="J801" s="158"/>
      <c r="K801" s="160"/>
    </row>
    <row r="802" spans="1:11">
      <c r="A802" s="189"/>
      <c r="C802" s="1"/>
      <c r="F802" s="146"/>
      <c r="G802" s="146"/>
      <c r="I802" s="158"/>
      <c r="J802" s="158"/>
      <c r="K802" s="160"/>
    </row>
    <row r="803" spans="1:11">
      <c r="A803" s="189"/>
      <c r="C803" s="1"/>
      <c r="F803" s="146"/>
      <c r="G803" s="146"/>
      <c r="I803" s="158"/>
      <c r="J803" s="158"/>
      <c r="K803" s="160"/>
    </row>
    <row r="804" spans="1:11">
      <c r="A804" s="189"/>
      <c r="C804" s="1"/>
      <c r="F804" s="146"/>
      <c r="G804" s="146"/>
      <c r="I804" s="158"/>
      <c r="J804" s="158"/>
      <c r="K804" s="160"/>
    </row>
    <row r="805" spans="1:11">
      <c r="A805" s="189"/>
      <c r="C805" s="1"/>
      <c r="F805" s="146"/>
      <c r="G805" s="146"/>
      <c r="I805" s="158"/>
      <c r="J805" s="158"/>
      <c r="K805" s="160"/>
    </row>
    <row r="806" spans="1:11">
      <c r="A806" s="189"/>
      <c r="C806" s="1"/>
      <c r="F806" s="146"/>
      <c r="G806" s="146"/>
      <c r="I806" s="158"/>
      <c r="J806" s="158"/>
      <c r="K806" s="160"/>
    </row>
    <row r="807" spans="1:11">
      <c r="A807" s="189"/>
      <c r="C807" s="1"/>
      <c r="F807" s="146"/>
      <c r="G807" s="146"/>
      <c r="I807" s="158"/>
      <c r="J807" s="158"/>
      <c r="K807" s="160"/>
    </row>
    <row r="808" spans="1:11">
      <c r="A808" s="189"/>
      <c r="C808" s="1"/>
      <c r="F808" s="146"/>
      <c r="G808" s="146"/>
      <c r="I808" s="158"/>
      <c r="J808" s="158"/>
      <c r="K808" s="160"/>
    </row>
    <row r="809" spans="1:11">
      <c r="A809" s="189"/>
      <c r="C809" s="1"/>
      <c r="F809" s="146"/>
      <c r="G809" s="146"/>
      <c r="I809" s="158"/>
      <c r="J809" s="158"/>
      <c r="K809" s="160"/>
    </row>
    <row r="810" spans="1:11">
      <c r="A810" s="189"/>
      <c r="C810" s="1"/>
      <c r="F810" s="146"/>
      <c r="G810" s="146"/>
      <c r="I810" s="158"/>
      <c r="J810" s="158"/>
      <c r="K810" s="160"/>
    </row>
    <row r="811" spans="1:11">
      <c r="A811" s="189"/>
      <c r="C811" s="1"/>
      <c r="F811" s="146"/>
      <c r="G811" s="146"/>
      <c r="I811" s="158"/>
      <c r="J811" s="158"/>
      <c r="K811" s="160"/>
    </row>
    <row r="812" spans="1:11">
      <c r="A812" s="189"/>
      <c r="C812" s="1"/>
      <c r="F812" s="146"/>
      <c r="G812" s="146"/>
      <c r="I812" s="158"/>
      <c r="J812" s="158"/>
      <c r="K812" s="160"/>
    </row>
    <row r="813" spans="1:11">
      <c r="A813" s="189"/>
      <c r="C813" s="1"/>
      <c r="F813" s="146"/>
      <c r="G813" s="146"/>
      <c r="I813" s="158"/>
      <c r="J813" s="158"/>
      <c r="K813" s="160"/>
    </row>
    <row r="814" spans="1:11">
      <c r="A814" s="189"/>
      <c r="C814" s="1"/>
      <c r="F814" s="146"/>
      <c r="G814" s="146"/>
      <c r="I814" s="158"/>
      <c r="J814" s="158"/>
      <c r="K814" s="160"/>
    </row>
    <row r="815" spans="1:11">
      <c r="A815" s="189"/>
      <c r="C815" s="1"/>
      <c r="F815" s="146"/>
      <c r="G815" s="146"/>
      <c r="I815" s="158"/>
      <c r="J815" s="158"/>
      <c r="K815" s="160"/>
    </row>
    <row r="816" spans="1:11">
      <c r="A816" s="189"/>
      <c r="C816" s="1"/>
      <c r="F816" s="146"/>
      <c r="G816" s="146"/>
      <c r="I816" s="158"/>
      <c r="J816" s="158"/>
      <c r="K816" s="160"/>
    </row>
    <row r="817" spans="1:11">
      <c r="A817" s="189"/>
      <c r="C817" s="1"/>
      <c r="F817" s="146"/>
      <c r="G817" s="146"/>
      <c r="I817" s="158"/>
      <c r="J817" s="158"/>
      <c r="K817" s="160"/>
    </row>
    <row r="818" spans="1:11">
      <c r="A818" s="189"/>
      <c r="C818" s="1"/>
      <c r="F818" s="146"/>
      <c r="G818" s="146"/>
      <c r="I818" s="158"/>
      <c r="J818" s="158"/>
      <c r="K818" s="160"/>
    </row>
    <row r="819" spans="1:11">
      <c r="A819" s="189"/>
      <c r="C819" s="1"/>
      <c r="F819" s="146"/>
      <c r="G819" s="146"/>
      <c r="I819" s="158"/>
      <c r="J819" s="158"/>
      <c r="K819" s="160"/>
    </row>
    <row r="820" spans="1:11">
      <c r="A820" s="189"/>
      <c r="C820" s="1"/>
      <c r="F820" s="146"/>
      <c r="G820" s="146"/>
      <c r="I820" s="158"/>
      <c r="J820" s="158"/>
      <c r="K820" s="160"/>
    </row>
    <row r="821" spans="1:11">
      <c r="A821" s="189"/>
      <c r="C821" s="1"/>
      <c r="F821" s="146"/>
      <c r="G821" s="146"/>
      <c r="I821" s="158"/>
      <c r="J821" s="158"/>
      <c r="K821" s="160"/>
    </row>
    <row r="822" spans="1:11">
      <c r="A822" s="189"/>
      <c r="C822" s="1"/>
      <c r="F822" s="146"/>
      <c r="G822" s="146"/>
      <c r="I822" s="158"/>
      <c r="J822" s="158"/>
      <c r="K822" s="160"/>
    </row>
    <row r="823" spans="1:11">
      <c r="A823" s="189"/>
      <c r="C823" s="1"/>
      <c r="F823" s="146"/>
      <c r="G823" s="146"/>
      <c r="I823" s="158"/>
      <c r="J823" s="158"/>
      <c r="K823" s="160"/>
    </row>
    <row r="824" spans="1:11">
      <c r="A824" s="189"/>
      <c r="C824" s="1"/>
      <c r="F824" s="146"/>
      <c r="G824" s="146"/>
      <c r="I824" s="158"/>
      <c r="J824" s="158"/>
      <c r="K824" s="160"/>
    </row>
    <row r="825" spans="1:11">
      <c r="A825" s="189"/>
      <c r="C825" s="1"/>
      <c r="F825" s="146"/>
      <c r="G825" s="146"/>
      <c r="I825" s="158"/>
      <c r="J825" s="158"/>
      <c r="K825" s="160"/>
    </row>
    <row r="826" spans="1:11">
      <c r="A826" s="189"/>
      <c r="C826" s="1"/>
      <c r="F826" s="146"/>
      <c r="G826" s="146"/>
      <c r="I826" s="158"/>
      <c r="J826" s="158"/>
      <c r="K826" s="160"/>
    </row>
    <row r="827" spans="1:11">
      <c r="A827" s="189"/>
      <c r="C827" s="1"/>
      <c r="F827" s="146"/>
      <c r="G827" s="146"/>
      <c r="I827" s="158"/>
      <c r="J827" s="158"/>
      <c r="K827" s="160"/>
    </row>
    <row r="828" spans="1:11">
      <c r="A828" s="189"/>
      <c r="C828" s="1"/>
      <c r="F828" s="146"/>
      <c r="G828" s="146"/>
      <c r="I828" s="158"/>
      <c r="J828" s="158"/>
      <c r="K828" s="160"/>
    </row>
    <row r="829" spans="1:11">
      <c r="A829" s="189"/>
      <c r="C829" s="1"/>
      <c r="F829" s="146"/>
      <c r="G829" s="146"/>
      <c r="I829" s="158"/>
      <c r="J829" s="158"/>
      <c r="K829" s="160"/>
    </row>
    <row r="830" spans="1:11">
      <c r="A830" s="189"/>
      <c r="C830" s="1"/>
      <c r="F830" s="146"/>
      <c r="G830" s="146"/>
      <c r="I830" s="158"/>
      <c r="J830" s="158"/>
      <c r="K830" s="160"/>
    </row>
    <row r="831" spans="1:11">
      <c r="A831" s="189"/>
      <c r="C831" s="1"/>
      <c r="F831" s="146"/>
      <c r="G831" s="146"/>
      <c r="I831" s="158"/>
      <c r="J831" s="158"/>
      <c r="K831" s="160"/>
    </row>
    <row r="832" spans="1:11">
      <c r="A832" s="189"/>
      <c r="C832" s="1"/>
      <c r="F832" s="146"/>
      <c r="G832" s="146"/>
      <c r="I832" s="158"/>
      <c r="J832" s="158"/>
      <c r="K832" s="160"/>
    </row>
    <row r="833" spans="1:11">
      <c r="A833" s="189"/>
      <c r="C833" s="1"/>
      <c r="F833" s="146"/>
      <c r="G833" s="146"/>
      <c r="I833" s="158"/>
      <c r="J833" s="158"/>
      <c r="K833" s="160"/>
    </row>
    <row r="834" spans="1:11">
      <c r="A834" s="189"/>
      <c r="C834" s="1"/>
      <c r="F834" s="146"/>
      <c r="G834" s="146"/>
      <c r="I834" s="158"/>
      <c r="J834" s="158"/>
      <c r="K834" s="160"/>
    </row>
    <row r="835" spans="1:11">
      <c r="A835" s="189"/>
      <c r="C835" s="1"/>
      <c r="F835" s="146"/>
      <c r="G835" s="146"/>
      <c r="I835" s="158"/>
      <c r="J835" s="158"/>
      <c r="K835" s="160"/>
    </row>
    <row r="836" spans="1:11">
      <c r="A836" s="189"/>
      <c r="C836" s="1"/>
      <c r="F836" s="146"/>
      <c r="G836" s="146"/>
      <c r="I836" s="158"/>
      <c r="J836" s="158"/>
      <c r="K836" s="160"/>
    </row>
    <row r="837" spans="1:11">
      <c r="A837" s="189"/>
      <c r="C837" s="1"/>
      <c r="F837" s="146"/>
      <c r="G837" s="146"/>
      <c r="I837" s="158"/>
      <c r="J837" s="158"/>
      <c r="K837" s="160"/>
    </row>
    <row r="838" spans="1:11">
      <c r="A838" s="189"/>
      <c r="C838" s="1"/>
      <c r="F838" s="146"/>
      <c r="G838" s="146"/>
      <c r="I838" s="158"/>
      <c r="J838" s="158"/>
      <c r="K838" s="160"/>
    </row>
    <row r="839" spans="1:11">
      <c r="A839" s="189"/>
      <c r="C839" s="1"/>
      <c r="F839" s="146"/>
      <c r="G839" s="146"/>
      <c r="I839" s="158"/>
      <c r="J839" s="158"/>
      <c r="K839" s="160"/>
    </row>
    <row r="840" spans="1:11">
      <c r="A840" s="189"/>
      <c r="C840" s="1"/>
      <c r="F840" s="146"/>
      <c r="G840" s="146"/>
      <c r="I840" s="158"/>
      <c r="J840" s="158"/>
      <c r="K840" s="160"/>
    </row>
    <row r="841" spans="1:11">
      <c r="A841" s="189"/>
      <c r="C841" s="1"/>
      <c r="F841" s="146"/>
      <c r="G841" s="146"/>
      <c r="I841" s="158"/>
      <c r="J841" s="158"/>
      <c r="K841" s="160"/>
    </row>
    <row r="842" spans="1:11">
      <c r="A842" s="189"/>
      <c r="C842" s="1"/>
      <c r="F842" s="146"/>
      <c r="G842" s="146"/>
      <c r="I842" s="158"/>
      <c r="J842" s="158"/>
      <c r="K842" s="160"/>
    </row>
    <row r="843" spans="1:11">
      <c r="A843" s="189"/>
      <c r="C843" s="1"/>
      <c r="F843" s="146"/>
      <c r="G843" s="146"/>
      <c r="I843" s="158"/>
      <c r="J843" s="158"/>
      <c r="K843" s="160"/>
    </row>
    <row r="844" spans="1:11">
      <c r="A844" s="189"/>
      <c r="C844" s="1"/>
      <c r="F844" s="146"/>
      <c r="G844" s="146"/>
      <c r="I844" s="158"/>
      <c r="J844" s="158"/>
      <c r="K844" s="160"/>
    </row>
    <row r="845" spans="1:11">
      <c r="A845" s="189"/>
      <c r="C845" s="1"/>
      <c r="F845" s="146"/>
      <c r="G845" s="146"/>
      <c r="I845" s="158"/>
      <c r="J845" s="158"/>
      <c r="K845" s="160"/>
    </row>
    <row r="846" spans="1:11">
      <c r="A846" s="189"/>
      <c r="C846" s="1"/>
      <c r="F846" s="146"/>
      <c r="G846" s="146"/>
      <c r="I846" s="158"/>
      <c r="J846" s="158"/>
      <c r="K846" s="160"/>
    </row>
    <row r="847" spans="1:11">
      <c r="A847" s="189"/>
      <c r="C847" s="1"/>
      <c r="F847" s="146"/>
      <c r="G847" s="146"/>
      <c r="I847" s="158"/>
      <c r="J847" s="158"/>
      <c r="K847" s="160"/>
    </row>
    <row r="848" spans="1:11">
      <c r="A848" s="189"/>
      <c r="C848" s="1"/>
      <c r="F848" s="146"/>
      <c r="G848" s="146"/>
      <c r="I848" s="158"/>
      <c r="J848" s="158"/>
      <c r="K848" s="160"/>
    </row>
    <row r="849" spans="1:11">
      <c r="A849" s="189"/>
      <c r="C849" s="1"/>
      <c r="F849" s="146"/>
      <c r="G849" s="146"/>
      <c r="I849" s="158"/>
      <c r="J849" s="158"/>
      <c r="K849" s="160"/>
    </row>
    <row r="850" spans="1:11">
      <c r="A850" s="189"/>
      <c r="C850" s="1"/>
      <c r="F850" s="146"/>
      <c r="G850" s="146"/>
      <c r="I850" s="158"/>
      <c r="J850" s="158"/>
      <c r="K850" s="160"/>
    </row>
    <row r="851" spans="1:11">
      <c r="A851" s="189"/>
      <c r="C851" s="1"/>
      <c r="F851" s="146"/>
      <c r="G851" s="146"/>
      <c r="I851" s="158"/>
      <c r="J851" s="158"/>
      <c r="K851" s="160"/>
    </row>
    <row r="852" spans="1:11">
      <c r="A852" s="189"/>
      <c r="C852" s="1"/>
      <c r="F852" s="146"/>
      <c r="G852" s="146"/>
      <c r="I852" s="158"/>
      <c r="J852" s="158"/>
      <c r="K852" s="160"/>
    </row>
    <row r="853" spans="1:11">
      <c r="A853" s="189"/>
      <c r="C853" s="1"/>
      <c r="F853" s="146"/>
      <c r="G853" s="146"/>
      <c r="I853" s="158"/>
      <c r="J853" s="158"/>
      <c r="K853" s="160"/>
    </row>
    <row r="854" spans="1:11">
      <c r="A854" s="189"/>
      <c r="C854" s="1"/>
      <c r="F854" s="146"/>
      <c r="G854" s="146"/>
      <c r="I854" s="158"/>
      <c r="J854" s="158"/>
      <c r="K854" s="160"/>
    </row>
    <row r="855" spans="1:11">
      <c r="A855" s="189"/>
      <c r="C855" s="1"/>
      <c r="F855" s="146"/>
      <c r="G855" s="146"/>
      <c r="I855" s="158"/>
      <c r="J855" s="158"/>
      <c r="K855" s="160"/>
    </row>
    <row r="856" spans="1:11">
      <c r="A856" s="189"/>
      <c r="C856" s="1"/>
      <c r="F856" s="146"/>
      <c r="G856" s="146"/>
      <c r="I856" s="158"/>
      <c r="J856" s="158"/>
      <c r="K856" s="160"/>
    </row>
    <row r="857" spans="1:11">
      <c r="A857" s="189"/>
      <c r="C857" s="1"/>
      <c r="F857" s="146"/>
      <c r="G857" s="146"/>
      <c r="I857" s="158"/>
      <c r="J857" s="158"/>
      <c r="K857" s="160"/>
    </row>
    <row r="858" spans="1:11">
      <c r="A858" s="189"/>
      <c r="C858" s="1"/>
      <c r="F858" s="146"/>
      <c r="G858" s="146"/>
      <c r="I858" s="158"/>
      <c r="J858" s="158"/>
      <c r="K858" s="160"/>
    </row>
    <row r="859" spans="1:11">
      <c r="A859" s="189"/>
      <c r="C859" s="1"/>
      <c r="F859" s="146"/>
      <c r="G859" s="146"/>
      <c r="I859" s="158"/>
      <c r="J859" s="158"/>
      <c r="K859" s="160"/>
    </row>
    <row r="860" spans="1:11">
      <c r="A860" s="189"/>
      <c r="C860" s="1"/>
      <c r="F860" s="146"/>
      <c r="G860" s="146"/>
      <c r="I860" s="158"/>
      <c r="J860" s="158"/>
      <c r="K860" s="160"/>
    </row>
    <row r="861" spans="1:11">
      <c r="A861" s="189"/>
      <c r="C861" s="1"/>
      <c r="F861" s="146"/>
      <c r="G861" s="146"/>
      <c r="I861" s="158"/>
      <c r="J861" s="158"/>
      <c r="K861" s="160"/>
    </row>
    <row r="862" spans="1:11">
      <c r="A862" s="189"/>
      <c r="C862" s="1"/>
      <c r="F862" s="146"/>
      <c r="G862" s="146"/>
      <c r="I862" s="158"/>
      <c r="J862" s="158"/>
      <c r="K862" s="160"/>
    </row>
    <row r="863" spans="1:11">
      <c r="A863" s="189"/>
      <c r="C863" s="1"/>
      <c r="F863" s="146"/>
      <c r="G863" s="146"/>
      <c r="I863" s="158"/>
      <c r="J863" s="158"/>
      <c r="K863" s="160"/>
    </row>
    <row r="864" spans="1:11">
      <c r="A864" s="189"/>
      <c r="C864" s="1"/>
      <c r="F864" s="146"/>
      <c r="G864" s="146"/>
      <c r="I864" s="158"/>
      <c r="J864" s="158"/>
      <c r="K864" s="160"/>
    </row>
    <row r="865" spans="1:11">
      <c r="A865" s="189"/>
      <c r="C865" s="1"/>
      <c r="F865" s="146"/>
      <c r="G865" s="146"/>
      <c r="I865" s="158"/>
      <c r="J865" s="158"/>
      <c r="K865" s="160"/>
    </row>
    <row r="866" spans="1:11">
      <c r="A866" s="189"/>
      <c r="C866" s="1"/>
      <c r="F866" s="146"/>
      <c r="G866" s="146"/>
      <c r="I866" s="158"/>
      <c r="J866" s="158"/>
      <c r="K866" s="160"/>
    </row>
    <row r="867" spans="1:11">
      <c r="A867" s="189"/>
      <c r="C867" s="1"/>
      <c r="F867" s="146"/>
      <c r="G867" s="146"/>
      <c r="I867" s="158"/>
      <c r="J867" s="158"/>
      <c r="K867" s="160"/>
    </row>
    <row r="868" spans="1:11">
      <c r="A868" s="189"/>
      <c r="C868" s="1"/>
      <c r="F868" s="146"/>
      <c r="G868" s="146"/>
      <c r="I868" s="158"/>
      <c r="J868" s="158"/>
      <c r="K868" s="160"/>
    </row>
    <row r="869" spans="1:11">
      <c r="A869" s="189"/>
      <c r="C869" s="1"/>
      <c r="F869" s="146"/>
      <c r="G869" s="146"/>
      <c r="I869" s="158"/>
      <c r="J869" s="158"/>
      <c r="K869" s="160"/>
    </row>
    <row r="870" spans="1:11">
      <c r="A870" s="189"/>
      <c r="C870" s="1"/>
      <c r="F870" s="146"/>
      <c r="G870" s="146"/>
      <c r="I870" s="158"/>
      <c r="J870" s="158"/>
      <c r="K870" s="160"/>
    </row>
    <row r="871" spans="1:11">
      <c r="A871" s="189"/>
      <c r="C871" s="1"/>
      <c r="F871" s="146"/>
      <c r="G871" s="146"/>
      <c r="I871" s="158"/>
      <c r="J871" s="158"/>
      <c r="K871" s="160"/>
    </row>
    <row r="872" spans="1:11">
      <c r="A872" s="189"/>
      <c r="C872" s="1"/>
      <c r="F872" s="146"/>
      <c r="G872" s="146"/>
      <c r="I872" s="158"/>
      <c r="J872" s="158"/>
      <c r="K872" s="160"/>
    </row>
    <row r="873" spans="1:11">
      <c r="A873" s="189"/>
      <c r="C873" s="1"/>
      <c r="F873" s="146"/>
      <c r="G873" s="146"/>
      <c r="I873" s="158"/>
      <c r="J873" s="158"/>
      <c r="K873" s="160"/>
    </row>
    <row r="874" spans="1:11">
      <c r="A874" s="189"/>
      <c r="C874" s="1"/>
      <c r="F874" s="146"/>
      <c r="G874" s="146"/>
      <c r="I874" s="158"/>
      <c r="J874" s="158"/>
      <c r="K874" s="160"/>
    </row>
    <row r="875" spans="1:11">
      <c r="A875" s="189"/>
      <c r="C875" s="1"/>
      <c r="F875" s="146"/>
      <c r="G875" s="146"/>
      <c r="I875" s="158"/>
      <c r="J875" s="158"/>
      <c r="K875" s="160"/>
    </row>
    <row r="876" spans="1:11">
      <c r="A876" s="189"/>
      <c r="C876" s="1"/>
      <c r="F876" s="146"/>
      <c r="G876" s="146"/>
      <c r="I876" s="158"/>
      <c r="J876" s="158"/>
      <c r="K876" s="160"/>
    </row>
    <row r="877" spans="1:11">
      <c r="A877" s="189"/>
      <c r="C877" s="1"/>
      <c r="F877" s="146"/>
      <c r="G877" s="146"/>
      <c r="I877" s="158"/>
      <c r="J877" s="158"/>
      <c r="K877" s="160"/>
    </row>
    <row r="878" spans="1:11">
      <c r="A878" s="189"/>
      <c r="C878" s="1"/>
      <c r="F878" s="146"/>
      <c r="G878" s="146"/>
      <c r="I878" s="158"/>
      <c r="J878" s="158"/>
      <c r="K878" s="160"/>
    </row>
    <row r="879" spans="1:11">
      <c r="A879" s="189"/>
      <c r="C879" s="1"/>
      <c r="F879" s="146"/>
      <c r="G879" s="146"/>
      <c r="I879" s="158"/>
      <c r="J879" s="158"/>
      <c r="K879" s="160"/>
    </row>
    <row r="880" spans="1:11">
      <c r="A880" s="189"/>
      <c r="C880" s="1"/>
      <c r="F880" s="146"/>
      <c r="G880" s="146"/>
      <c r="I880" s="158"/>
      <c r="J880" s="158"/>
      <c r="K880" s="160"/>
    </row>
    <row r="881" spans="1:11">
      <c r="A881" s="189"/>
      <c r="C881" s="1"/>
      <c r="F881" s="146"/>
      <c r="G881" s="146"/>
      <c r="I881" s="158"/>
      <c r="J881" s="158"/>
      <c r="K881" s="160"/>
    </row>
    <row r="882" spans="1:11">
      <c r="A882" s="189"/>
      <c r="C882" s="1"/>
      <c r="F882" s="146"/>
      <c r="G882" s="146"/>
      <c r="I882" s="158"/>
      <c r="J882" s="158"/>
      <c r="K882" s="160"/>
    </row>
    <row r="883" spans="1:11">
      <c r="A883" s="189"/>
      <c r="C883" s="1"/>
      <c r="F883" s="146"/>
      <c r="G883" s="146"/>
      <c r="I883" s="158"/>
      <c r="J883" s="158"/>
      <c r="K883" s="160"/>
    </row>
    <row r="884" spans="1:11">
      <c r="A884" s="189"/>
      <c r="C884" s="1"/>
      <c r="F884" s="146"/>
      <c r="G884" s="146"/>
      <c r="I884" s="158"/>
      <c r="J884" s="158"/>
      <c r="K884" s="160"/>
    </row>
    <row r="885" spans="1:11">
      <c r="A885" s="189"/>
      <c r="C885" s="1"/>
      <c r="F885" s="146"/>
      <c r="G885" s="146"/>
      <c r="I885" s="158"/>
      <c r="J885" s="158"/>
      <c r="K885" s="160"/>
    </row>
    <row r="886" spans="1:11">
      <c r="A886" s="189"/>
      <c r="C886" s="1"/>
      <c r="F886" s="146"/>
      <c r="G886" s="146"/>
      <c r="I886" s="158"/>
      <c r="J886" s="158"/>
      <c r="K886" s="160"/>
    </row>
    <row r="887" spans="1:11">
      <c r="A887" s="189"/>
      <c r="C887" s="1"/>
      <c r="F887" s="146"/>
      <c r="G887" s="146"/>
      <c r="I887" s="158"/>
      <c r="J887" s="158"/>
      <c r="K887" s="160"/>
    </row>
    <row r="888" spans="1:11">
      <c r="A888" s="189"/>
      <c r="C888" s="1"/>
      <c r="F888" s="146"/>
      <c r="G888" s="146"/>
      <c r="I888" s="158"/>
      <c r="J888" s="158"/>
      <c r="K888" s="160"/>
    </row>
    <row r="889" spans="1:11">
      <c r="A889" s="189"/>
      <c r="C889" s="1"/>
      <c r="F889" s="146"/>
      <c r="G889" s="146"/>
      <c r="I889" s="158"/>
      <c r="J889" s="158"/>
      <c r="K889" s="160"/>
    </row>
    <row r="890" spans="1:11">
      <c r="A890" s="189"/>
      <c r="C890" s="1"/>
      <c r="F890" s="146"/>
      <c r="G890" s="146"/>
      <c r="I890" s="158"/>
      <c r="J890" s="158"/>
      <c r="K890" s="160"/>
    </row>
    <row r="891" spans="1:11">
      <c r="A891" s="189"/>
      <c r="C891" s="1"/>
      <c r="F891" s="146"/>
      <c r="G891" s="146"/>
      <c r="I891" s="158"/>
      <c r="J891" s="158"/>
      <c r="K891" s="160"/>
    </row>
    <row r="892" spans="1:11">
      <c r="A892" s="189"/>
      <c r="C892" s="1"/>
      <c r="F892" s="146"/>
      <c r="G892" s="146"/>
      <c r="I892" s="158"/>
      <c r="J892" s="158"/>
      <c r="K892" s="160"/>
    </row>
    <row r="893" spans="1:11">
      <c r="A893" s="189"/>
      <c r="C893" s="1"/>
      <c r="F893" s="146"/>
      <c r="G893" s="146"/>
      <c r="I893" s="158"/>
      <c r="J893" s="158"/>
      <c r="K893" s="160"/>
    </row>
    <row r="894" spans="1:11">
      <c r="A894" s="189"/>
      <c r="C894" s="1"/>
      <c r="F894" s="146"/>
      <c r="G894" s="146"/>
      <c r="I894" s="158"/>
      <c r="J894" s="158"/>
      <c r="K894" s="160"/>
    </row>
    <row r="895" spans="1:11">
      <c r="A895" s="189"/>
      <c r="C895" s="1"/>
      <c r="F895" s="146"/>
      <c r="G895" s="146"/>
      <c r="I895" s="158"/>
      <c r="J895" s="158"/>
      <c r="K895" s="160"/>
    </row>
    <row r="896" spans="1:11">
      <c r="A896" s="189"/>
      <c r="C896" s="1"/>
      <c r="F896" s="146"/>
      <c r="G896" s="146"/>
      <c r="I896" s="158"/>
      <c r="J896" s="158"/>
      <c r="K896" s="160"/>
    </row>
    <row r="897" spans="1:11">
      <c r="A897" s="189"/>
      <c r="C897" s="1"/>
      <c r="F897" s="146"/>
      <c r="G897" s="146"/>
      <c r="I897" s="158"/>
      <c r="J897" s="158"/>
      <c r="K897" s="160"/>
    </row>
    <row r="898" spans="1:11">
      <c r="A898" s="189"/>
      <c r="C898" s="1"/>
      <c r="F898" s="146"/>
      <c r="G898" s="146"/>
      <c r="I898" s="158"/>
      <c r="J898" s="158"/>
      <c r="K898" s="160"/>
    </row>
    <row r="899" spans="1:11">
      <c r="A899" s="189"/>
      <c r="C899" s="1"/>
      <c r="F899" s="146"/>
      <c r="G899" s="146"/>
      <c r="I899" s="158"/>
      <c r="J899" s="158"/>
      <c r="K899" s="160"/>
    </row>
    <row r="900" spans="1:11">
      <c r="A900" s="189"/>
      <c r="C900" s="1"/>
      <c r="F900" s="146"/>
      <c r="G900" s="146"/>
      <c r="I900" s="158"/>
      <c r="J900" s="158"/>
      <c r="K900" s="160"/>
    </row>
    <row r="901" spans="1:11">
      <c r="A901" s="189"/>
      <c r="C901" s="1"/>
      <c r="F901" s="146"/>
      <c r="G901" s="146"/>
      <c r="I901" s="158"/>
      <c r="J901" s="158"/>
      <c r="K901" s="160"/>
    </row>
    <row r="902" spans="1:11">
      <c r="A902" s="189"/>
      <c r="C902" s="1"/>
      <c r="F902" s="146"/>
      <c r="G902" s="146"/>
      <c r="I902" s="158"/>
      <c r="J902" s="158"/>
      <c r="K902" s="160"/>
    </row>
    <row r="903" spans="1:11">
      <c r="A903" s="189"/>
      <c r="C903" s="1"/>
      <c r="F903" s="146"/>
      <c r="G903" s="146"/>
      <c r="I903" s="158"/>
      <c r="J903" s="158"/>
      <c r="K903" s="160"/>
    </row>
    <row r="904" spans="1:11">
      <c r="A904" s="189"/>
      <c r="C904" s="1"/>
      <c r="F904" s="146"/>
      <c r="G904" s="146"/>
      <c r="I904" s="158"/>
      <c r="J904" s="158"/>
      <c r="K904" s="160"/>
    </row>
    <row r="905" spans="1:11">
      <c r="A905" s="189"/>
      <c r="C905" s="1"/>
      <c r="F905" s="146"/>
      <c r="G905" s="146"/>
      <c r="I905" s="158"/>
      <c r="J905" s="158"/>
      <c r="K905" s="160"/>
    </row>
    <row r="906" spans="1:11">
      <c r="A906" s="189"/>
      <c r="C906" s="1"/>
      <c r="F906" s="146"/>
      <c r="G906" s="146"/>
      <c r="I906" s="158"/>
      <c r="J906" s="158"/>
      <c r="K906" s="160"/>
    </row>
    <row r="907" spans="1:11">
      <c r="A907" s="189"/>
      <c r="C907" s="1"/>
      <c r="F907" s="146"/>
      <c r="G907" s="146"/>
      <c r="I907" s="158"/>
      <c r="J907" s="158"/>
      <c r="K907" s="160"/>
    </row>
    <row r="908" spans="1:11">
      <c r="A908" s="189"/>
      <c r="C908" s="1"/>
      <c r="F908" s="146"/>
      <c r="G908" s="146"/>
      <c r="I908" s="158"/>
      <c r="J908" s="158"/>
      <c r="K908" s="160"/>
    </row>
    <row r="909" spans="1:11">
      <c r="A909" s="189"/>
      <c r="C909" s="1"/>
      <c r="F909" s="146"/>
      <c r="G909" s="146"/>
      <c r="I909" s="158"/>
      <c r="J909" s="158"/>
      <c r="K909" s="160"/>
    </row>
    <row r="910" spans="1:11">
      <c r="A910" s="189"/>
      <c r="C910" s="1"/>
      <c r="F910" s="146"/>
      <c r="G910" s="146"/>
      <c r="I910" s="158"/>
      <c r="J910" s="158"/>
      <c r="K910" s="160"/>
    </row>
    <row r="911" spans="1:11">
      <c r="A911" s="189"/>
      <c r="C911" s="1"/>
      <c r="F911" s="146"/>
      <c r="G911" s="146"/>
      <c r="I911" s="158"/>
      <c r="J911" s="158"/>
      <c r="K911" s="160"/>
    </row>
    <row r="912" spans="1:11">
      <c r="A912" s="189"/>
      <c r="C912" s="1"/>
      <c r="F912" s="146"/>
      <c r="G912" s="146"/>
      <c r="I912" s="158"/>
      <c r="J912" s="158"/>
      <c r="K912" s="160"/>
    </row>
    <row r="913" spans="1:11">
      <c r="A913" s="189"/>
      <c r="C913" s="1"/>
      <c r="F913" s="146"/>
      <c r="G913" s="146"/>
      <c r="I913" s="158"/>
      <c r="J913" s="158"/>
      <c r="K913" s="160"/>
    </row>
    <row r="914" spans="1:11">
      <c r="A914" s="189"/>
      <c r="C914" s="1"/>
      <c r="F914" s="146"/>
      <c r="G914" s="146"/>
      <c r="I914" s="158"/>
      <c r="J914" s="158"/>
      <c r="K914" s="160"/>
    </row>
    <row r="915" spans="1:11">
      <c r="A915" s="189"/>
      <c r="C915" s="1"/>
      <c r="F915" s="146"/>
      <c r="G915" s="146"/>
      <c r="I915" s="158"/>
      <c r="J915" s="158"/>
      <c r="K915" s="160"/>
    </row>
    <row r="916" spans="1:11">
      <c r="A916" s="189"/>
      <c r="C916" s="1"/>
      <c r="F916" s="146"/>
      <c r="G916" s="146"/>
      <c r="I916" s="158"/>
      <c r="J916" s="158"/>
      <c r="K916" s="160"/>
    </row>
    <row r="917" spans="1:11">
      <c r="A917" s="189"/>
      <c r="C917" s="1"/>
      <c r="F917" s="146"/>
      <c r="G917" s="146"/>
      <c r="I917" s="158"/>
      <c r="J917" s="158"/>
      <c r="K917" s="160"/>
    </row>
    <row r="918" spans="1:11">
      <c r="A918" s="189"/>
      <c r="C918" s="1"/>
      <c r="F918" s="146"/>
      <c r="G918" s="146"/>
      <c r="I918" s="158"/>
      <c r="J918" s="158"/>
      <c r="K918" s="160"/>
    </row>
    <row r="919" spans="1:11">
      <c r="A919" s="189"/>
      <c r="C919" s="1"/>
      <c r="F919" s="146"/>
      <c r="G919" s="146"/>
      <c r="I919" s="158"/>
      <c r="J919" s="158"/>
      <c r="K919" s="160"/>
    </row>
    <row r="920" spans="1:11">
      <c r="A920" s="189"/>
      <c r="C920" s="1"/>
      <c r="F920" s="146"/>
      <c r="G920" s="146"/>
      <c r="I920" s="158"/>
      <c r="J920" s="158"/>
      <c r="K920" s="160"/>
    </row>
    <row r="921" spans="1:11">
      <c r="A921" s="189"/>
      <c r="C921" s="1"/>
      <c r="F921" s="146"/>
      <c r="G921" s="146"/>
      <c r="I921" s="158"/>
      <c r="J921" s="158"/>
      <c r="K921" s="160"/>
    </row>
    <row r="922" spans="1:11">
      <c r="A922" s="189"/>
      <c r="C922" s="1"/>
      <c r="F922" s="146"/>
      <c r="G922" s="146"/>
      <c r="I922" s="158"/>
      <c r="J922" s="158"/>
      <c r="K922" s="160"/>
    </row>
    <row r="923" spans="1:11">
      <c r="A923" s="189"/>
      <c r="C923" s="1"/>
      <c r="F923" s="146"/>
      <c r="G923" s="146"/>
      <c r="I923" s="158"/>
      <c r="J923" s="158"/>
      <c r="K923" s="160"/>
    </row>
    <row r="924" spans="1:11">
      <c r="A924" s="189"/>
      <c r="C924" s="1"/>
      <c r="F924" s="146"/>
      <c r="G924" s="146"/>
      <c r="I924" s="158"/>
      <c r="J924" s="158"/>
      <c r="K924" s="160"/>
    </row>
    <row r="925" spans="1:11">
      <c r="A925" s="189"/>
      <c r="C925" s="1"/>
      <c r="F925" s="146"/>
      <c r="G925" s="146"/>
      <c r="I925" s="158"/>
      <c r="J925" s="158"/>
      <c r="K925" s="160"/>
    </row>
    <row r="926" spans="1:11">
      <c r="A926" s="189"/>
      <c r="C926" s="1"/>
      <c r="F926" s="146"/>
      <c r="G926" s="146"/>
      <c r="I926" s="158"/>
      <c r="J926" s="158"/>
      <c r="K926" s="160"/>
    </row>
    <row r="927" spans="1:11">
      <c r="A927" s="189"/>
      <c r="C927" s="1"/>
      <c r="F927" s="146"/>
      <c r="G927" s="146"/>
      <c r="I927" s="158"/>
      <c r="J927" s="158"/>
      <c r="K927" s="160"/>
    </row>
    <row r="928" spans="1:11">
      <c r="A928" s="189"/>
      <c r="C928" s="1"/>
      <c r="F928" s="146"/>
      <c r="G928" s="146"/>
      <c r="I928" s="158"/>
      <c r="J928" s="158"/>
      <c r="K928" s="160"/>
    </row>
    <row r="929" spans="1:11">
      <c r="A929" s="189"/>
      <c r="C929" s="1"/>
      <c r="F929" s="146"/>
      <c r="G929" s="146"/>
      <c r="I929" s="158"/>
      <c r="J929" s="158"/>
      <c r="K929" s="160"/>
    </row>
    <row r="930" spans="1:11">
      <c r="A930" s="189"/>
      <c r="C930" s="1"/>
      <c r="F930" s="146"/>
      <c r="G930" s="146"/>
      <c r="I930" s="158"/>
      <c r="J930" s="158"/>
      <c r="K930" s="160"/>
    </row>
    <row r="931" spans="1:11">
      <c r="A931" s="189"/>
      <c r="C931" s="1"/>
      <c r="F931" s="146"/>
      <c r="G931" s="146"/>
      <c r="I931" s="158"/>
      <c r="J931" s="158"/>
      <c r="K931" s="160"/>
    </row>
    <row r="932" spans="1:11">
      <c r="A932" s="189"/>
      <c r="C932" s="1"/>
      <c r="F932" s="146"/>
      <c r="G932" s="146"/>
      <c r="I932" s="158"/>
      <c r="J932" s="158"/>
      <c r="K932" s="160"/>
    </row>
    <row r="933" spans="1:11">
      <c r="A933" s="189"/>
      <c r="C933" s="1"/>
      <c r="F933" s="146"/>
      <c r="G933" s="146"/>
      <c r="I933" s="158"/>
      <c r="J933" s="158"/>
      <c r="K933" s="160"/>
    </row>
    <row r="934" spans="1:11">
      <c r="A934" s="189"/>
      <c r="C934" s="1"/>
      <c r="F934" s="146"/>
      <c r="G934" s="146"/>
      <c r="I934" s="158"/>
      <c r="J934" s="158"/>
      <c r="K934" s="160"/>
    </row>
    <row r="935" spans="1:11">
      <c r="A935" s="189"/>
      <c r="C935" s="1"/>
      <c r="F935" s="146"/>
      <c r="G935" s="146"/>
      <c r="I935" s="158"/>
      <c r="J935" s="158"/>
      <c r="K935" s="160"/>
    </row>
    <row r="936" spans="1:11">
      <c r="A936" s="189"/>
      <c r="C936" s="1"/>
      <c r="F936" s="146"/>
      <c r="G936" s="146"/>
      <c r="I936" s="158"/>
      <c r="J936" s="158"/>
      <c r="K936" s="160"/>
    </row>
    <row r="937" spans="1:11">
      <c r="A937" s="189"/>
      <c r="C937" s="1"/>
      <c r="F937" s="146"/>
      <c r="G937" s="146"/>
      <c r="I937" s="158"/>
      <c r="J937" s="158"/>
      <c r="K937" s="160"/>
    </row>
    <row r="938" spans="1:11">
      <c r="A938" s="189"/>
      <c r="C938" s="1"/>
      <c r="F938" s="146"/>
      <c r="G938" s="146"/>
      <c r="I938" s="158"/>
      <c r="J938" s="158"/>
      <c r="K938" s="160"/>
    </row>
    <row r="939" spans="1:11">
      <c r="A939" s="189"/>
      <c r="C939" s="1"/>
      <c r="F939" s="146"/>
      <c r="G939" s="146"/>
      <c r="I939" s="158"/>
      <c r="J939" s="158"/>
      <c r="K939" s="160"/>
    </row>
    <row r="940" spans="1:11">
      <c r="A940" s="189"/>
      <c r="C940" s="1"/>
      <c r="F940" s="146"/>
      <c r="G940" s="146"/>
      <c r="I940" s="158"/>
      <c r="J940" s="158"/>
      <c r="K940" s="160"/>
    </row>
    <row r="941" spans="1:11">
      <c r="A941" s="189"/>
      <c r="C941" s="1"/>
      <c r="F941" s="146"/>
      <c r="G941" s="146"/>
      <c r="I941" s="158"/>
      <c r="J941" s="158"/>
      <c r="K941" s="160"/>
    </row>
    <row r="942" spans="1:11">
      <c r="A942" s="189"/>
      <c r="C942" s="1"/>
      <c r="F942" s="146"/>
      <c r="G942" s="146"/>
      <c r="I942" s="158"/>
      <c r="J942" s="158"/>
      <c r="K942" s="160"/>
    </row>
    <row r="943" spans="1:11">
      <c r="A943" s="189"/>
      <c r="C943" s="1"/>
      <c r="F943" s="146"/>
      <c r="G943" s="146"/>
      <c r="I943" s="158"/>
      <c r="J943" s="158"/>
      <c r="K943" s="160"/>
    </row>
    <row r="944" spans="1:11">
      <c r="A944" s="189"/>
      <c r="C944" s="1"/>
      <c r="F944" s="146"/>
      <c r="G944" s="146"/>
      <c r="I944" s="158"/>
      <c r="J944" s="158"/>
      <c r="K944" s="160"/>
    </row>
    <row r="945" spans="1:11">
      <c r="A945" s="189"/>
      <c r="C945" s="1"/>
      <c r="F945" s="146"/>
      <c r="G945" s="146"/>
      <c r="I945" s="158"/>
      <c r="J945" s="158"/>
      <c r="K945" s="160"/>
    </row>
    <row r="946" spans="1:11">
      <c r="A946" s="189"/>
      <c r="C946" s="1"/>
      <c r="F946" s="146"/>
      <c r="G946" s="146"/>
      <c r="I946" s="158"/>
      <c r="J946" s="158"/>
      <c r="K946" s="160"/>
    </row>
    <row r="947" spans="1:11">
      <c r="A947" s="189"/>
      <c r="C947" s="1"/>
      <c r="F947" s="146"/>
      <c r="G947" s="146"/>
      <c r="I947" s="158"/>
      <c r="J947" s="158"/>
      <c r="K947" s="160"/>
    </row>
    <row r="948" spans="1:11">
      <c r="A948" s="189"/>
      <c r="C948" s="1"/>
      <c r="F948" s="146"/>
      <c r="G948" s="146"/>
      <c r="I948" s="158"/>
      <c r="J948" s="158"/>
      <c r="K948" s="160"/>
    </row>
    <row r="949" spans="1:11">
      <c r="A949" s="189"/>
      <c r="C949" s="1"/>
      <c r="F949" s="146"/>
      <c r="G949" s="146"/>
      <c r="I949" s="158"/>
      <c r="J949" s="158"/>
      <c r="K949" s="160"/>
    </row>
    <row r="950" spans="1:11">
      <c r="A950" s="189"/>
      <c r="C950" s="1"/>
      <c r="F950" s="146"/>
      <c r="G950" s="146"/>
      <c r="I950" s="158"/>
      <c r="J950" s="158"/>
      <c r="K950" s="160"/>
    </row>
    <row r="951" spans="1:11">
      <c r="A951" s="189"/>
      <c r="C951" s="1"/>
      <c r="F951" s="146"/>
      <c r="G951" s="146"/>
      <c r="I951" s="158"/>
      <c r="J951" s="158"/>
      <c r="K951" s="160"/>
    </row>
    <row r="952" spans="1:11">
      <c r="A952" s="189"/>
      <c r="C952" s="1"/>
      <c r="F952" s="146"/>
      <c r="G952" s="146"/>
      <c r="I952" s="158"/>
      <c r="J952" s="158"/>
      <c r="K952" s="160"/>
    </row>
    <row r="953" spans="1:11">
      <c r="A953" s="189"/>
      <c r="C953" s="1"/>
      <c r="F953" s="146"/>
      <c r="G953" s="146"/>
      <c r="I953" s="158"/>
      <c r="J953" s="158"/>
      <c r="K953" s="160"/>
    </row>
    <row r="954" spans="1:11">
      <c r="A954" s="189"/>
      <c r="C954" s="1"/>
      <c r="F954" s="146"/>
      <c r="G954" s="146"/>
      <c r="I954" s="158"/>
      <c r="J954" s="158"/>
      <c r="K954" s="160"/>
    </row>
    <row r="955" spans="1:11">
      <c r="A955" s="189"/>
      <c r="C955" s="1"/>
      <c r="F955" s="146"/>
      <c r="G955" s="146"/>
      <c r="I955" s="158"/>
      <c r="J955" s="158"/>
      <c r="K955" s="160"/>
    </row>
    <row r="956" spans="1:11">
      <c r="A956" s="189"/>
      <c r="C956" s="1"/>
      <c r="F956" s="146"/>
      <c r="G956" s="146"/>
      <c r="I956" s="158"/>
      <c r="J956" s="158"/>
      <c r="K956" s="160"/>
    </row>
    <row r="957" spans="1:11">
      <c r="A957" s="189"/>
      <c r="C957" s="1"/>
      <c r="F957" s="146"/>
      <c r="G957" s="146"/>
      <c r="I957" s="158"/>
      <c r="J957" s="158"/>
      <c r="K957" s="160"/>
    </row>
    <row r="958" spans="1:11">
      <c r="A958" s="189"/>
      <c r="C958" s="1"/>
      <c r="F958" s="146"/>
      <c r="G958" s="146"/>
      <c r="I958" s="158"/>
      <c r="J958" s="158"/>
      <c r="K958" s="160"/>
    </row>
    <row r="959" spans="1:11">
      <c r="A959" s="189"/>
      <c r="C959" s="1"/>
      <c r="F959" s="146"/>
      <c r="G959" s="146"/>
      <c r="I959" s="158"/>
      <c r="J959" s="158"/>
      <c r="K959" s="160"/>
    </row>
    <row r="960" spans="1:11">
      <c r="A960" s="189"/>
      <c r="C960" s="1"/>
      <c r="F960" s="146"/>
      <c r="G960" s="146"/>
      <c r="I960" s="158"/>
      <c r="J960" s="158"/>
      <c r="K960" s="160"/>
    </row>
    <row r="961" spans="1:11">
      <c r="A961" s="189"/>
      <c r="C961" s="1"/>
      <c r="F961" s="146"/>
      <c r="G961" s="146"/>
      <c r="I961" s="158"/>
      <c r="J961" s="158"/>
      <c r="K961" s="160"/>
    </row>
    <row r="962" spans="1:11">
      <c r="A962" s="189"/>
      <c r="C962" s="1"/>
      <c r="F962" s="146"/>
      <c r="G962" s="146"/>
      <c r="I962" s="158"/>
      <c r="J962" s="158"/>
      <c r="K962" s="160"/>
    </row>
    <row r="963" spans="1:11">
      <c r="A963" s="189"/>
      <c r="C963" s="1"/>
      <c r="F963" s="146"/>
      <c r="G963" s="146"/>
      <c r="I963" s="158"/>
      <c r="J963" s="158"/>
      <c r="K963" s="160"/>
    </row>
    <row r="964" spans="1:11">
      <c r="A964" s="189"/>
      <c r="C964" s="1"/>
      <c r="F964" s="146"/>
      <c r="G964" s="146"/>
      <c r="I964" s="158"/>
      <c r="J964" s="158"/>
      <c r="K964" s="160"/>
    </row>
    <row r="965" spans="1:11">
      <c r="A965" s="189"/>
      <c r="C965" s="1"/>
      <c r="F965" s="146"/>
      <c r="G965" s="146"/>
      <c r="I965" s="158"/>
      <c r="J965" s="158"/>
      <c r="K965" s="160"/>
    </row>
    <row r="966" spans="1:11">
      <c r="A966" s="189"/>
      <c r="C966" s="1"/>
      <c r="F966" s="146"/>
      <c r="G966" s="146"/>
      <c r="I966" s="158"/>
      <c r="J966" s="158"/>
      <c r="K966" s="160"/>
    </row>
    <row r="967" spans="1:11">
      <c r="A967" s="189"/>
      <c r="C967" s="1"/>
      <c r="F967" s="146"/>
      <c r="G967" s="146"/>
      <c r="I967" s="158"/>
      <c r="J967" s="158"/>
      <c r="K967" s="160"/>
    </row>
    <row r="968" spans="1:11">
      <c r="A968" s="189"/>
      <c r="C968" s="1"/>
      <c r="F968" s="146"/>
      <c r="G968" s="146"/>
      <c r="I968" s="158"/>
      <c r="J968" s="158"/>
      <c r="K968" s="160"/>
    </row>
    <row r="969" spans="1:11">
      <c r="A969" s="189"/>
      <c r="C969" s="1"/>
      <c r="F969" s="146"/>
      <c r="G969" s="146"/>
      <c r="I969" s="158"/>
      <c r="J969" s="158"/>
      <c r="K969" s="160"/>
    </row>
    <row r="970" spans="1:11">
      <c r="A970" s="189"/>
      <c r="C970" s="1"/>
      <c r="F970" s="146"/>
      <c r="G970" s="146"/>
      <c r="I970" s="158"/>
      <c r="J970" s="158"/>
      <c r="K970" s="160"/>
    </row>
    <row r="971" spans="1:11">
      <c r="A971" s="189"/>
      <c r="C971" s="1"/>
      <c r="F971" s="146"/>
      <c r="G971" s="146"/>
      <c r="I971" s="158"/>
      <c r="J971" s="158"/>
      <c r="K971" s="160"/>
    </row>
    <row r="972" spans="1:11">
      <c r="A972" s="189"/>
      <c r="C972" s="1"/>
      <c r="F972" s="146"/>
      <c r="G972" s="146"/>
      <c r="I972" s="158"/>
      <c r="J972" s="158"/>
      <c r="K972" s="160"/>
    </row>
    <row r="973" spans="1:11">
      <c r="A973" s="189"/>
      <c r="C973" s="1"/>
      <c r="F973" s="146"/>
      <c r="G973" s="146"/>
      <c r="I973" s="158"/>
      <c r="J973" s="158"/>
      <c r="K973" s="160"/>
    </row>
    <row r="974" spans="1:11">
      <c r="A974" s="189"/>
      <c r="C974" s="1"/>
      <c r="F974" s="146"/>
      <c r="G974" s="146"/>
      <c r="I974" s="158"/>
      <c r="J974" s="158"/>
      <c r="K974" s="160"/>
    </row>
    <row r="975" spans="1:11">
      <c r="A975" s="189"/>
      <c r="C975" s="1"/>
      <c r="F975" s="146"/>
      <c r="G975" s="146"/>
      <c r="I975" s="158"/>
      <c r="J975" s="158"/>
      <c r="K975" s="160"/>
    </row>
    <row r="976" spans="1:11">
      <c r="A976" s="189"/>
      <c r="C976" s="1"/>
      <c r="F976" s="146"/>
      <c r="G976" s="146"/>
      <c r="I976" s="158"/>
      <c r="J976" s="158"/>
      <c r="K976" s="160"/>
    </row>
    <row r="977" spans="1:11">
      <c r="A977" s="189"/>
      <c r="C977" s="1"/>
      <c r="F977" s="146"/>
      <c r="G977" s="146"/>
      <c r="I977" s="158"/>
      <c r="J977" s="158"/>
      <c r="K977" s="160"/>
    </row>
    <row r="978" spans="1:11">
      <c r="A978" s="189"/>
      <c r="C978" s="1"/>
      <c r="F978" s="146"/>
      <c r="G978" s="146"/>
      <c r="I978" s="158"/>
      <c r="J978" s="158"/>
      <c r="K978" s="160"/>
    </row>
    <row r="979" spans="1:11">
      <c r="A979" s="189"/>
      <c r="C979" s="1"/>
      <c r="F979" s="146"/>
      <c r="G979" s="146"/>
      <c r="I979" s="158"/>
      <c r="J979" s="158"/>
      <c r="K979" s="160"/>
    </row>
    <row r="980" spans="1:11">
      <c r="A980" s="189"/>
      <c r="C980" s="1"/>
      <c r="F980" s="146"/>
      <c r="G980" s="146"/>
      <c r="I980" s="158"/>
      <c r="J980" s="158"/>
      <c r="K980" s="160"/>
    </row>
    <row r="981" spans="1:11">
      <c r="A981" s="189"/>
      <c r="C981" s="1"/>
      <c r="F981" s="146"/>
      <c r="G981" s="146"/>
      <c r="I981" s="158"/>
      <c r="J981" s="158"/>
      <c r="K981" s="160"/>
    </row>
    <row r="982" spans="1:11">
      <c r="A982" s="189"/>
      <c r="C982" s="1"/>
      <c r="F982" s="146"/>
      <c r="G982" s="146"/>
      <c r="I982" s="158"/>
      <c r="J982" s="158"/>
      <c r="K982" s="160"/>
    </row>
    <row r="983" spans="1:11">
      <c r="A983" s="189"/>
      <c r="C983" s="1"/>
      <c r="F983" s="146"/>
      <c r="G983" s="146"/>
      <c r="I983" s="158"/>
      <c r="J983" s="158"/>
      <c r="K983" s="160"/>
    </row>
    <row r="984" spans="1:11">
      <c r="A984" s="189"/>
      <c r="C984" s="1"/>
      <c r="F984" s="146"/>
      <c r="G984" s="146"/>
      <c r="I984" s="158"/>
      <c r="J984" s="158"/>
      <c r="K984" s="160"/>
    </row>
    <row r="985" spans="1:11">
      <c r="A985" s="189"/>
      <c r="C985" s="1"/>
      <c r="F985" s="146"/>
      <c r="G985" s="146"/>
      <c r="I985" s="158"/>
      <c r="J985" s="158"/>
      <c r="K985" s="160"/>
    </row>
    <row r="986" spans="1:11">
      <c r="A986" s="189"/>
      <c r="C986" s="1"/>
      <c r="F986" s="146"/>
      <c r="G986" s="146"/>
      <c r="I986" s="158"/>
      <c r="J986" s="158"/>
      <c r="K986" s="160"/>
    </row>
    <row r="987" spans="1:11">
      <c r="A987" s="189"/>
      <c r="C987" s="1"/>
      <c r="F987" s="146"/>
      <c r="G987" s="146"/>
      <c r="I987" s="158"/>
      <c r="J987" s="158"/>
      <c r="K987" s="160"/>
    </row>
    <row r="988" spans="1:11">
      <c r="A988" s="189"/>
      <c r="C988" s="1"/>
      <c r="F988" s="146"/>
      <c r="G988" s="146"/>
      <c r="I988" s="158"/>
      <c r="J988" s="158"/>
      <c r="K988" s="160"/>
    </row>
    <row r="989" spans="1:11">
      <c r="A989" s="189"/>
      <c r="C989" s="1"/>
      <c r="F989" s="146"/>
      <c r="G989" s="146"/>
      <c r="I989" s="158"/>
      <c r="J989" s="158"/>
      <c r="K989" s="160"/>
    </row>
    <row r="990" spans="1:11">
      <c r="A990" s="189"/>
      <c r="C990" s="1"/>
      <c r="F990" s="146"/>
      <c r="G990" s="146"/>
      <c r="I990" s="158"/>
      <c r="J990" s="158"/>
      <c r="K990" s="160"/>
    </row>
    <row r="991" spans="1:11">
      <c r="A991" s="189"/>
      <c r="C991" s="1"/>
      <c r="F991" s="146"/>
      <c r="G991" s="146"/>
      <c r="I991" s="158"/>
      <c r="J991" s="158"/>
      <c r="K991" s="160"/>
    </row>
    <row r="992" spans="1:11">
      <c r="A992" s="189"/>
      <c r="C992" s="1"/>
      <c r="F992" s="146"/>
      <c r="G992" s="146"/>
      <c r="I992" s="158"/>
      <c r="J992" s="158"/>
      <c r="K992" s="160"/>
    </row>
    <row r="993" spans="1:11">
      <c r="A993" s="189"/>
      <c r="C993" s="1"/>
      <c r="F993" s="146"/>
      <c r="G993" s="146"/>
      <c r="I993" s="158"/>
      <c r="J993" s="158"/>
      <c r="K993" s="160"/>
    </row>
    <row r="994" spans="1:11">
      <c r="A994" s="189"/>
      <c r="C994" s="1"/>
      <c r="F994" s="146"/>
      <c r="G994" s="146"/>
      <c r="I994" s="158"/>
      <c r="J994" s="158"/>
      <c r="K994" s="160"/>
    </row>
    <row r="995" spans="1:11">
      <c r="A995" s="189"/>
      <c r="C995" s="1"/>
      <c r="F995" s="146"/>
      <c r="G995" s="146"/>
      <c r="I995" s="158"/>
      <c r="J995" s="158"/>
      <c r="K995" s="160"/>
    </row>
    <row r="996" spans="1:11">
      <c r="A996" s="189"/>
      <c r="C996" s="1"/>
      <c r="F996" s="146"/>
      <c r="G996" s="146"/>
      <c r="I996" s="158"/>
      <c r="J996" s="158"/>
      <c r="K996" s="160"/>
    </row>
    <row r="997" spans="1:11" ht="15"/>
    <row r="998" spans="1:11" ht="15"/>
    <row r="999" spans="1:11" ht="15"/>
    <row r="1000" spans="1:11" ht="15"/>
    <row r="1001" spans="1:11" ht="15"/>
    <row r="1002" spans="1:11" ht="15"/>
    <row r="1003" spans="1:11" ht="15"/>
    <row r="1004" spans="1:11" ht="15"/>
    <row r="1005" spans="1:11" ht="15"/>
    <row r="1006" spans="1:11" ht="15"/>
    <row r="1007" spans="1:11" ht="15"/>
    <row r="1008" spans="1:11" ht="15"/>
  </sheetData>
  <protectedRanges>
    <protectedRange sqref="D108:F108" name="Rango1"/>
    <protectedRange sqref="D67:F67" name="Rango1_1"/>
  </protectedRanges>
  <autoFilter ref="B2:K584" xr:uid="{4D644045-CB8D-4407-A860-4B3ADA536ED5}"/>
  <dataValidations count="4">
    <dataValidation type="list" allowBlank="1" showInputMessage="1" showErrorMessage="1" sqref="D3:D79 D81:D996" xr:uid="{B311D1BD-6CCA-4FB3-9D93-B0B0FAD6990B}">
      <formula1>MARCA</formula1>
    </dataValidation>
    <dataValidation type="list" allowBlank="1" showInputMessage="1" showErrorMessage="1" sqref="E3:E79 E81:E996" xr:uid="{28C69A9E-E9CB-4F0E-B30B-81819D6ECEF5}">
      <formula1>PRESUPUESTO</formula1>
    </dataValidation>
    <dataValidation type="list" allowBlank="1" showInputMessage="1" showErrorMessage="1" sqref="F3:F79 F81:F996" xr:uid="{948D71E8-6443-4159-B0F9-495D3FBC467B}">
      <formula1>CONCEPTO</formula1>
    </dataValidation>
    <dataValidation type="list" allowBlank="1" showInputMessage="1" showErrorMessage="1" sqref="G3:G79 G81:G996" xr:uid="{84C3BFFA-29E3-417F-8A76-DAFAD12BDC2C}">
      <formula1>APARTADO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AB0C-689D-40C4-839B-93906A11B029}">
  <sheetPr>
    <tabColor theme="1" tint="0.249977111117893"/>
  </sheetPr>
  <dimension ref="A1:N964"/>
  <sheetViews>
    <sheetView workbookViewId="0">
      <pane xSplit="3" ySplit="2" topLeftCell="H697" activePane="bottomRight" state="frozen"/>
      <selection pane="bottomRight" activeCell="I708" sqref="I708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13.7109375" style="28" hidden="1" customWidth="1" outlineLevel="1"/>
    <col min="2" max="2" width="4.5703125" customWidth="1" collapsed="1"/>
    <col min="3" max="4" width="11.42578125" customWidth="1"/>
    <col min="5" max="5" width="30.140625" customWidth="1"/>
    <col min="6" max="6" width="29.5703125" customWidth="1"/>
    <col min="7" max="7" width="17.140625" customWidth="1"/>
    <col min="8" max="8" width="64.85546875" customWidth="1"/>
    <col min="9" max="9" width="17.140625" style="81" customWidth="1"/>
    <col min="10" max="10" width="16.85546875" style="81" customWidth="1"/>
    <col min="11" max="11" width="19.140625" style="62" customWidth="1"/>
    <col min="12" max="14" width="11.42578125" customWidth="1"/>
  </cols>
  <sheetData>
    <row r="1" spans="1:14" ht="26.25">
      <c r="C1" s="57" t="s">
        <v>4388</v>
      </c>
      <c r="I1" s="79"/>
      <c r="J1" s="79"/>
    </row>
    <row r="2" spans="1:14" s="52" customFormat="1" ht="15">
      <c r="A2" s="49" t="s">
        <v>203</v>
      </c>
      <c r="B2" s="195" t="s">
        <v>204</v>
      </c>
      <c r="C2" s="195" t="s">
        <v>205</v>
      </c>
      <c r="D2" s="196" t="s">
        <v>16</v>
      </c>
      <c r="E2" s="196" t="s">
        <v>17</v>
      </c>
      <c r="F2" s="196" t="s">
        <v>18</v>
      </c>
      <c r="G2" s="197" t="s">
        <v>206</v>
      </c>
      <c r="H2" s="195" t="s">
        <v>208</v>
      </c>
      <c r="I2" s="198" t="s">
        <v>209</v>
      </c>
      <c r="J2" s="198" t="s">
        <v>210</v>
      </c>
      <c r="K2" s="194" t="s">
        <v>211</v>
      </c>
      <c r="L2" s="51"/>
    </row>
    <row r="3" spans="1:14">
      <c r="A3" s="137" t="str">
        <f>D3&amp;E3&amp;F3&amp;G3</f>
        <v/>
      </c>
      <c r="C3" s="1"/>
      <c r="D3" s="71"/>
      <c r="E3" s="71"/>
      <c r="F3" s="143"/>
      <c r="G3" s="158"/>
      <c r="H3" s="77" t="s">
        <v>4052</v>
      </c>
      <c r="I3" s="144">
        <v>-239954.21000000002</v>
      </c>
      <c r="J3" s="144"/>
      <c r="K3" s="159">
        <f>I3-J3</f>
        <v>-239954.21000000002</v>
      </c>
      <c r="N3" s="187"/>
    </row>
    <row r="4" spans="1:14">
      <c r="A4" s="137" t="str">
        <f>D4&amp;E4&amp;F4</f>
        <v>SERVICIOSCUOTAS Y SUSCRIPCIONESAPP</v>
      </c>
      <c r="B4" t="s">
        <v>212</v>
      </c>
      <c r="C4" s="1">
        <v>45714</v>
      </c>
      <c r="D4" t="s">
        <v>21</v>
      </c>
      <c r="E4" t="s">
        <v>51</v>
      </c>
      <c r="F4" s="158" t="s">
        <v>70</v>
      </c>
      <c r="G4" s="158"/>
      <c r="H4" t="s">
        <v>4389</v>
      </c>
      <c r="J4" s="134">
        <v>14.93</v>
      </c>
      <c r="K4" s="159">
        <f>K3+I4-J4</f>
        <v>-239969.14</v>
      </c>
      <c r="N4" s="187"/>
    </row>
    <row r="5" spans="1:14">
      <c r="A5" s="137" t="str">
        <f t="shared" ref="A5:A68" si="0">D5&amp;E5&amp;F5</f>
        <v>MMREDESMARKET MAX</v>
      </c>
      <c r="B5" t="s">
        <v>212</v>
      </c>
      <c r="C5" s="1">
        <v>45714</v>
      </c>
      <c r="D5" t="s">
        <v>45</v>
      </c>
      <c r="E5" t="s">
        <v>167</v>
      </c>
      <c r="F5" s="158" t="s">
        <v>46</v>
      </c>
      <c r="G5" s="158"/>
      <c r="H5" t="s">
        <v>4390</v>
      </c>
      <c r="J5" s="134">
        <v>44.16</v>
      </c>
      <c r="K5" s="159">
        <f t="shared" ref="K5:K50" si="1">K4+I5-J5</f>
        <v>-240013.30000000002</v>
      </c>
    </row>
    <row r="6" spans="1:14" ht="15">
      <c r="A6" s="137" t="str">
        <f t="shared" si="0"/>
        <v>CAPREDESCAPRICHOS</v>
      </c>
      <c r="B6" t="s">
        <v>212</v>
      </c>
      <c r="C6" s="1">
        <v>45714</v>
      </c>
      <c r="D6" t="s">
        <v>31</v>
      </c>
      <c r="E6" t="s">
        <v>167</v>
      </c>
      <c r="F6" s="158" t="s">
        <v>33</v>
      </c>
      <c r="G6" s="158"/>
      <c r="H6" s="170" t="s">
        <v>4391</v>
      </c>
      <c r="J6" s="134">
        <v>64</v>
      </c>
      <c r="K6" s="159">
        <f t="shared" si="1"/>
        <v>-240077.30000000002</v>
      </c>
    </row>
    <row r="7" spans="1:14" ht="15">
      <c r="A7" s="137" t="str">
        <f t="shared" si="0"/>
        <v>SGECUOTAS Y SUSCRIPCIONESCANVA</v>
      </c>
      <c r="B7" t="s">
        <v>212</v>
      </c>
      <c r="C7" s="1">
        <v>45714</v>
      </c>
      <c r="D7" t="s">
        <v>39</v>
      </c>
      <c r="E7" t="s">
        <v>51</v>
      </c>
      <c r="F7" s="158" t="s">
        <v>60</v>
      </c>
      <c r="G7" s="158"/>
      <c r="H7" s="170" t="s">
        <v>4392</v>
      </c>
      <c r="J7" s="134">
        <v>75</v>
      </c>
      <c r="K7" s="159">
        <f t="shared" si="1"/>
        <v>-240152.30000000002</v>
      </c>
    </row>
    <row r="8" spans="1:14" ht="15">
      <c r="A8" s="137" t="str">
        <f t="shared" si="0"/>
        <v>ELIREDESELILU</v>
      </c>
      <c r="B8" t="s">
        <v>212</v>
      </c>
      <c r="C8" s="1">
        <v>45714</v>
      </c>
      <c r="D8" t="s">
        <v>130</v>
      </c>
      <c r="E8" t="s">
        <v>167</v>
      </c>
      <c r="F8" t="s">
        <v>168</v>
      </c>
      <c r="G8" s="158"/>
      <c r="H8" s="228" t="s">
        <v>4390</v>
      </c>
      <c r="J8" s="134">
        <v>110.61</v>
      </c>
      <c r="K8" s="159">
        <f t="shared" si="1"/>
        <v>-240262.91</v>
      </c>
    </row>
    <row r="9" spans="1:14" ht="15">
      <c r="A9" s="137" t="str">
        <f t="shared" si="0"/>
        <v>MELREDESMELISSA</v>
      </c>
      <c r="B9" t="s">
        <v>212</v>
      </c>
      <c r="C9" s="1">
        <v>45714</v>
      </c>
      <c r="D9" t="s">
        <v>43</v>
      </c>
      <c r="E9" t="s">
        <v>167</v>
      </c>
      <c r="F9" s="158" t="s">
        <v>44</v>
      </c>
      <c r="G9" s="158"/>
      <c r="H9" s="228" t="s">
        <v>4390</v>
      </c>
      <c r="J9" s="134">
        <v>169.47</v>
      </c>
      <c r="K9" s="159">
        <f t="shared" si="1"/>
        <v>-240432.38</v>
      </c>
    </row>
    <row r="10" spans="1:14" ht="15">
      <c r="A10" s="137" t="str">
        <f t="shared" si="0"/>
        <v>CAPREDESCAPRICHOS</v>
      </c>
      <c r="B10" t="s">
        <v>212</v>
      </c>
      <c r="C10" s="1">
        <v>45714</v>
      </c>
      <c r="D10" t="s">
        <v>31</v>
      </c>
      <c r="E10" t="s">
        <v>167</v>
      </c>
      <c r="F10" s="158" t="s">
        <v>33</v>
      </c>
      <c r="G10" s="158"/>
      <c r="H10" s="170" t="s">
        <v>4393</v>
      </c>
      <c r="J10" s="134">
        <v>199</v>
      </c>
      <c r="K10" s="159">
        <f t="shared" si="1"/>
        <v>-240631.38</v>
      </c>
    </row>
    <row r="11" spans="1:14">
      <c r="A11" s="137" t="str">
        <f t="shared" si="0"/>
        <v>CAPREDESCAPRICHOS</v>
      </c>
      <c r="B11" t="s">
        <v>212</v>
      </c>
      <c r="C11" s="1">
        <v>45714</v>
      </c>
      <c r="D11" t="s">
        <v>31</v>
      </c>
      <c r="E11" t="s">
        <v>167</v>
      </c>
      <c r="F11" s="158" t="s">
        <v>33</v>
      </c>
      <c r="G11" s="158"/>
      <c r="H11" t="s">
        <v>4393</v>
      </c>
      <c r="J11" s="134">
        <v>199</v>
      </c>
      <c r="K11" s="159">
        <f t="shared" si="1"/>
        <v>-240830.38</v>
      </c>
    </row>
    <row r="12" spans="1:14">
      <c r="A12" s="137" t="str">
        <f t="shared" si="0"/>
        <v>SGECUOTAS Y SUSCRIPCIONESOFFICE 365(C1)</v>
      </c>
      <c r="B12" t="s">
        <v>212</v>
      </c>
      <c r="C12" s="1">
        <v>45714</v>
      </c>
      <c r="D12" t="s">
        <v>39</v>
      </c>
      <c r="E12" t="s">
        <v>51</v>
      </c>
      <c r="F12" s="158" t="s">
        <v>53</v>
      </c>
      <c r="G12" s="158"/>
      <c r="H12" t="s">
        <v>4394</v>
      </c>
      <c r="J12" s="134">
        <v>211.93</v>
      </c>
      <c r="K12" s="159">
        <f t="shared" si="1"/>
        <v>-241042.31</v>
      </c>
    </row>
    <row r="13" spans="1:14">
      <c r="A13" s="137" t="str">
        <f t="shared" si="0"/>
        <v>CAPREDESCAPRICHOS</v>
      </c>
      <c r="B13" t="s">
        <v>212</v>
      </c>
      <c r="C13" s="1">
        <v>45714</v>
      </c>
      <c r="D13" t="s">
        <v>31</v>
      </c>
      <c r="E13" t="s">
        <v>167</v>
      </c>
      <c r="F13" s="158" t="s">
        <v>33</v>
      </c>
      <c r="G13" s="158"/>
      <c r="H13" t="s">
        <v>4390</v>
      </c>
      <c r="J13" s="134">
        <v>242.28</v>
      </c>
      <c r="K13" s="159">
        <f t="shared" si="1"/>
        <v>-241284.59</v>
      </c>
    </row>
    <row r="14" spans="1:14">
      <c r="A14" s="137" t="str">
        <f t="shared" si="0"/>
        <v>HRREDESHR</v>
      </c>
      <c r="B14" t="s">
        <v>212</v>
      </c>
      <c r="C14" s="1">
        <v>45714</v>
      </c>
      <c r="D14" t="s">
        <v>29</v>
      </c>
      <c r="E14" t="s">
        <v>167</v>
      </c>
      <c r="F14" s="158" t="s">
        <v>29</v>
      </c>
      <c r="G14" s="158"/>
      <c r="H14" s="229" t="s">
        <v>4390</v>
      </c>
      <c r="J14" s="134">
        <v>276.33999999999997</v>
      </c>
      <c r="K14" s="159">
        <f t="shared" si="1"/>
        <v>-241560.93</v>
      </c>
    </row>
    <row r="15" spans="1:14">
      <c r="A15" s="137" t="str">
        <f t="shared" si="0"/>
        <v>SERVICIOSMTTO DE EDIFICIOMANTENIMIENTO</v>
      </c>
      <c r="B15" t="s">
        <v>212</v>
      </c>
      <c r="C15" s="1">
        <v>45714</v>
      </c>
      <c r="D15" t="s">
        <v>21</v>
      </c>
      <c r="E15" t="s">
        <v>142</v>
      </c>
      <c r="F15" s="158" t="s">
        <v>35</v>
      </c>
      <c r="G15" s="158"/>
      <c r="H15" t="s">
        <v>4395</v>
      </c>
      <c r="J15" s="134">
        <v>338.57</v>
      </c>
      <c r="K15" s="159">
        <f t="shared" si="1"/>
        <v>-241899.5</v>
      </c>
    </row>
    <row r="16" spans="1:14" ht="16.5" customHeight="1">
      <c r="A16" s="137" t="str">
        <f t="shared" si="0"/>
        <v>SGECUOTAS Y SUSCRIPCIONESCHATGPT</v>
      </c>
      <c r="B16" t="s">
        <v>212</v>
      </c>
      <c r="C16" s="1">
        <v>45714</v>
      </c>
      <c r="D16" t="s">
        <v>39</v>
      </c>
      <c r="E16" t="s">
        <v>51</v>
      </c>
      <c r="F16" s="219" t="s">
        <v>59</v>
      </c>
      <c r="G16" s="158"/>
      <c r="H16" t="s">
        <v>4396</v>
      </c>
      <c r="J16" s="134">
        <v>421.88</v>
      </c>
      <c r="K16" s="159">
        <f t="shared" si="1"/>
        <v>-242321.38</v>
      </c>
    </row>
    <row r="17" spans="1:11">
      <c r="A17" s="137" t="str">
        <f t="shared" si="0"/>
        <v>HRREDESHR</v>
      </c>
      <c r="B17" t="s">
        <v>212</v>
      </c>
      <c r="C17" s="1">
        <v>45714</v>
      </c>
      <c r="D17" t="s">
        <v>29</v>
      </c>
      <c r="E17" t="s">
        <v>167</v>
      </c>
      <c r="F17" s="158" t="s">
        <v>29</v>
      </c>
      <c r="G17" s="158"/>
      <c r="H17" s="229" t="s">
        <v>4390</v>
      </c>
      <c r="J17" s="134">
        <v>427.43</v>
      </c>
      <c r="K17" s="159">
        <f t="shared" si="1"/>
        <v>-242748.81</v>
      </c>
    </row>
    <row r="18" spans="1:11">
      <c r="A18" s="137" t="str">
        <f t="shared" si="0"/>
        <v>DEMTTO EQ DE TRANSPORTEDIRECCION</v>
      </c>
      <c r="B18" t="s">
        <v>212</v>
      </c>
      <c r="C18" s="1">
        <v>45714</v>
      </c>
      <c r="D18" t="s">
        <v>41</v>
      </c>
      <c r="E18" t="s">
        <v>144</v>
      </c>
      <c r="F18" s="158" t="s">
        <v>42</v>
      </c>
      <c r="G18" s="158"/>
      <c r="H18" t="s">
        <v>4397</v>
      </c>
      <c r="J18" s="134">
        <v>508</v>
      </c>
      <c r="K18" s="159">
        <f t="shared" si="1"/>
        <v>-243256.81</v>
      </c>
    </row>
    <row r="19" spans="1:11">
      <c r="A19" s="137" t="str">
        <f t="shared" si="0"/>
        <v>FINANZASCOMISIONES BANCARIASMANEJO DE CUENTA</v>
      </c>
      <c r="B19" t="s">
        <v>212</v>
      </c>
      <c r="C19" s="1">
        <v>45714</v>
      </c>
      <c r="D19" t="s">
        <v>23</v>
      </c>
      <c r="E19" t="s">
        <v>48</v>
      </c>
      <c r="F19" s="158" t="s">
        <v>49</v>
      </c>
      <c r="G19" s="158"/>
      <c r="H19" t="s">
        <v>4398</v>
      </c>
      <c r="J19" s="134">
        <v>539.4</v>
      </c>
      <c r="K19" s="159">
        <f t="shared" si="1"/>
        <v>-243796.21</v>
      </c>
    </row>
    <row r="20" spans="1:11" ht="15">
      <c r="A20" s="137" t="str">
        <f t="shared" si="0"/>
        <v>FINANZASTELEFONIATELEFONIA</v>
      </c>
      <c r="B20" t="s">
        <v>212</v>
      </c>
      <c r="C20" s="1">
        <v>45714</v>
      </c>
      <c r="D20" t="s">
        <v>23</v>
      </c>
      <c r="E20" t="s">
        <v>181</v>
      </c>
      <c r="F20" s="158" t="s">
        <v>181</v>
      </c>
      <c r="G20" s="158"/>
      <c r="H20" s="170" t="s">
        <v>4399</v>
      </c>
      <c r="J20" s="134">
        <v>603.03</v>
      </c>
      <c r="K20" s="159">
        <f t="shared" si="1"/>
        <v>-244399.24</v>
      </c>
    </row>
    <row r="21" spans="1:11" ht="15">
      <c r="A21" s="137" t="str">
        <f t="shared" si="0"/>
        <v>SERVICIOSADQ DE EQ TECNOLOGICOADQ DE EQ TECNOLOGICO</v>
      </c>
      <c r="B21" t="s">
        <v>212</v>
      </c>
      <c r="C21" s="1">
        <v>45714</v>
      </c>
      <c r="D21" t="s">
        <v>21</v>
      </c>
      <c r="E21" t="s">
        <v>22</v>
      </c>
      <c r="F21" s="158" t="s">
        <v>22</v>
      </c>
      <c r="G21" s="158"/>
      <c r="H21" s="170" t="s">
        <v>4400</v>
      </c>
      <c r="J21" s="134">
        <v>834</v>
      </c>
      <c r="K21" s="159">
        <f t="shared" si="1"/>
        <v>-245233.24</v>
      </c>
    </row>
    <row r="22" spans="1:11" ht="15">
      <c r="A22" s="137" t="str">
        <f t="shared" si="0"/>
        <v>SERVICIOSCUOTAS Y SUSCRIPCIONESAPP</v>
      </c>
      <c r="B22" t="s">
        <v>212</v>
      </c>
      <c r="C22" s="1">
        <v>45714</v>
      </c>
      <c r="D22" t="s">
        <v>21</v>
      </c>
      <c r="E22" t="s">
        <v>51</v>
      </c>
      <c r="F22" s="158" t="s">
        <v>70</v>
      </c>
      <c r="G22" s="158"/>
      <c r="H22" s="228" t="s">
        <v>4401</v>
      </c>
      <c r="J22" s="134">
        <v>850.87</v>
      </c>
      <c r="K22" s="159">
        <f t="shared" si="1"/>
        <v>-246084.11</v>
      </c>
    </row>
    <row r="23" spans="1:11" ht="15">
      <c r="A23" s="137" t="str">
        <f t="shared" si="0"/>
        <v>ELIREDESELILU</v>
      </c>
      <c r="B23" t="s">
        <v>212</v>
      </c>
      <c r="C23" s="1">
        <v>45714</v>
      </c>
      <c r="D23" t="s">
        <v>130</v>
      </c>
      <c r="E23" t="s">
        <v>167</v>
      </c>
      <c r="F23" t="s">
        <v>168</v>
      </c>
      <c r="G23" s="158"/>
      <c r="H23" s="170" t="s">
        <v>4390</v>
      </c>
      <c r="J23" s="134">
        <v>1187.26</v>
      </c>
      <c r="K23" s="159">
        <f t="shared" si="1"/>
        <v>-247271.37</v>
      </c>
    </row>
    <row r="24" spans="1:11" ht="12.75" customHeight="1">
      <c r="A24" s="137" t="str">
        <f t="shared" si="0"/>
        <v>SGECUOTAS Y SUSCRIPCIONESCHATGPT</v>
      </c>
      <c r="B24" t="s">
        <v>212</v>
      </c>
      <c r="C24" s="1">
        <v>45714</v>
      </c>
      <c r="D24" t="s">
        <v>39</v>
      </c>
      <c r="E24" t="s">
        <v>51</v>
      </c>
      <c r="F24" s="221" t="s">
        <v>59</v>
      </c>
      <c r="G24" s="158"/>
      <c r="H24" s="170" t="s">
        <v>4396</v>
      </c>
      <c r="J24" s="134">
        <v>1246.29</v>
      </c>
      <c r="K24" s="159">
        <f t="shared" si="1"/>
        <v>-248517.66</v>
      </c>
    </row>
    <row r="25" spans="1:11" ht="15">
      <c r="A25" s="137" t="str">
        <f t="shared" si="0"/>
        <v>ELIREDESELILU</v>
      </c>
      <c r="B25" t="s">
        <v>212</v>
      </c>
      <c r="C25" s="1">
        <v>45714</v>
      </c>
      <c r="D25" t="s">
        <v>130</v>
      </c>
      <c r="E25" t="s">
        <v>167</v>
      </c>
      <c r="F25" t="s">
        <v>168</v>
      </c>
      <c r="G25" s="158"/>
      <c r="H25" s="170" t="s">
        <v>4390</v>
      </c>
      <c r="J25" s="134">
        <v>1489</v>
      </c>
      <c r="K25" s="159">
        <f t="shared" si="1"/>
        <v>-250006.66</v>
      </c>
    </row>
    <row r="26" spans="1:11" ht="15">
      <c r="A26" s="137" t="str">
        <f t="shared" si="0"/>
        <v>SERVICIOSMTTO EQ DE TRANSPORTECEDIS</v>
      </c>
      <c r="B26" t="s">
        <v>212</v>
      </c>
      <c r="C26" s="1">
        <v>45714</v>
      </c>
      <c r="D26" t="s">
        <v>21</v>
      </c>
      <c r="E26" t="s">
        <v>144</v>
      </c>
      <c r="F26" s="158" t="s">
        <v>28</v>
      </c>
      <c r="G26" s="158"/>
      <c r="H26" s="215" t="s">
        <v>4402</v>
      </c>
      <c r="J26" s="134">
        <v>1524.14</v>
      </c>
      <c r="K26" s="159">
        <f t="shared" si="1"/>
        <v>-251530.80000000002</v>
      </c>
    </row>
    <row r="27" spans="1:11" ht="15">
      <c r="A27" s="137" t="str">
        <f t="shared" si="0"/>
        <v>SERVICIOSINSUMOSCOFFE</v>
      </c>
      <c r="B27" t="s">
        <v>212</v>
      </c>
      <c r="C27" s="1">
        <v>45714</v>
      </c>
      <c r="D27" t="s">
        <v>21</v>
      </c>
      <c r="E27" t="s">
        <v>133</v>
      </c>
      <c r="F27" s="158" t="s">
        <v>135</v>
      </c>
      <c r="G27" s="158"/>
      <c r="H27" s="170" t="s">
        <v>4403</v>
      </c>
      <c r="J27" s="134">
        <v>1555.41</v>
      </c>
      <c r="K27" s="159">
        <f t="shared" si="1"/>
        <v>-253086.21000000002</v>
      </c>
    </row>
    <row r="28" spans="1:11" ht="15">
      <c r="A28" s="137" t="str">
        <f t="shared" si="0"/>
        <v>SERVICIOSCUOTAS Y SUSCRIPCIONESAPP</v>
      </c>
      <c r="B28" t="s">
        <v>212</v>
      </c>
      <c r="C28" s="1">
        <v>45714</v>
      </c>
      <c r="D28" t="s">
        <v>21</v>
      </c>
      <c r="E28" t="s">
        <v>51</v>
      </c>
      <c r="F28" s="158" t="s">
        <v>70</v>
      </c>
      <c r="G28" s="158"/>
      <c r="H28" s="228" t="s">
        <v>4404</v>
      </c>
      <c r="J28" s="134">
        <v>1604.28</v>
      </c>
      <c r="K28" s="159">
        <f t="shared" si="1"/>
        <v>-254690.49000000002</v>
      </c>
    </row>
    <row r="29" spans="1:11" ht="15">
      <c r="A29" s="137" t="str">
        <f t="shared" si="0"/>
        <v>ELIREDESELILU</v>
      </c>
      <c r="B29" t="s">
        <v>212</v>
      </c>
      <c r="C29" s="1">
        <v>45714</v>
      </c>
      <c r="D29" t="s">
        <v>130</v>
      </c>
      <c r="E29" t="s">
        <v>167</v>
      </c>
      <c r="F29" t="s">
        <v>168</v>
      </c>
      <c r="G29" s="158"/>
      <c r="H29" s="228" t="s">
        <v>4390</v>
      </c>
      <c r="J29" s="134">
        <v>1638</v>
      </c>
      <c r="K29" s="159">
        <f t="shared" si="1"/>
        <v>-256328.49000000002</v>
      </c>
    </row>
    <row r="30" spans="1:11" ht="15">
      <c r="A30" s="137" t="str">
        <f t="shared" si="0"/>
        <v>FINANZASRENTASCONTABILIDAD (WT)</v>
      </c>
      <c r="B30" t="s">
        <v>212</v>
      </c>
      <c r="C30" s="1">
        <v>45714</v>
      </c>
      <c r="D30" t="s">
        <v>23</v>
      </c>
      <c r="E30" t="s">
        <v>169</v>
      </c>
      <c r="F30" s="158" t="s">
        <v>171</v>
      </c>
      <c r="G30" s="158"/>
      <c r="H30" s="228" t="s">
        <v>4405</v>
      </c>
      <c r="J30" s="134">
        <v>1659.18</v>
      </c>
      <c r="K30" s="159">
        <f t="shared" si="1"/>
        <v>-257987.67</v>
      </c>
    </row>
    <row r="31" spans="1:11" ht="15">
      <c r="A31" s="137" t="str">
        <f t="shared" si="0"/>
        <v>SGECUOTAS Y SUSCRIPCIONESZOOM</v>
      </c>
      <c r="B31" t="s">
        <v>212</v>
      </c>
      <c r="C31" s="1">
        <v>45714</v>
      </c>
      <c r="D31" t="s">
        <v>39</v>
      </c>
      <c r="E31" t="s">
        <v>51</v>
      </c>
      <c r="F31" s="158" t="s">
        <v>56</v>
      </c>
      <c r="G31" s="158"/>
      <c r="H31" s="170" t="s">
        <v>4406</v>
      </c>
      <c r="J31" s="134">
        <v>1942.43</v>
      </c>
      <c r="K31" s="159">
        <f t="shared" si="1"/>
        <v>-259930.1</v>
      </c>
    </row>
    <row r="32" spans="1:11" ht="15">
      <c r="A32" s="137" t="str">
        <f t="shared" si="0"/>
        <v>CAPREDESCAPRICHOS</v>
      </c>
      <c r="B32" t="s">
        <v>212</v>
      </c>
      <c r="C32" s="1">
        <v>45714</v>
      </c>
      <c r="D32" t="s">
        <v>31</v>
      </c>
      <c r="E32" t="s">
        <v>167</v>
      </c>
      <c r="F32" s="3" t="s">
        <v>33</v>
      </c>
      <c r="G32" s="158"/>
      <c r="H32" s="170" t="s">
        <v>4390</v>
      </c>
      <c r="J32" s="134">
        <v>2052.59</v>
      </c>
      <c r="K32" s="159">
        <f t="shared" si="1"/>
        <v>-261982.69</v>
      </c>
    </row>
    <row r="33" spans="1:11" ht="15">
      <c r="A33" s="137" t="str">
        <f t="shared" si="0"/>
        <v>MELREDESMELISSA</v>
      </c>
      <c r="B33" t="s">
        <v>212</v>
      </c>
      <c r="C33" s="1">
        <v>45714</v>
      </c>
      <c r="D33" t="s">
        <v>43</v>
      </c>
      <c r="E33" t="s">
        <v>167</v>
      </c>
      <c r="F33" s="158" t="s">
        <v>44</v>
      </c>
      <c r="G33" s="158"/>
      <c r="H33" s="170" t="s">
        <v>4390</v>
      </c>
      <c r="J33" s="134">
        <v>2130.33</v>
      </c>
      <c r="K33" s="159">
        <f t="shared" si="1"/>
        <v>-264113.02</v>
      </c>
    </row>
    <row r="34" spans="1:11" ht="15">
      <c r="A34" s="137" t="str">
        <f t="shared" si="0"/>
        <v>SERVICIOSINSUMOSCOFFE</v>
      </c>
      <c r="B34" t="s">
        <v>212</v>
      </c>
      <c r="C34" s="1">
        <v>45714</v>
      </c>
      <c r="D34" t="s">
        <v>21</v>
      </c>
      <c r="E34" t="s">
        <v>133</v>
      </c>
      <c r="F34" s="158" t="s">
        <v>135</v>
      </c>
      <c r="G34" s="158"/>
      <c r="H34" s="170" t="s">
        <v>4403</v>
      </c>
      <c r="J34" s="134">
        <v>2173.37</v>
      </c>
      <c r="K34" s="159">
        <f t="shared" si="1"/>
        <v>-266286.39</v>
      </c>
    </row>
    <row r="35" spans="1:11" ht="15">
      <c r="A35" s="137" t="str">
        <f t="shared" si="0"/>
        <v>MMREDESMARKET MAX</v>
      </c>
      <c r="B35" t="s">
        <v>212</v>
      </c>
      <c r="C35" s="1">
        <v>45714</v>
      </c>
      <c r="D35" t="s">
        <v>45</v>
      </c>
      <c r="E35" t="s">
        <v>167</v>
      </c>
      <c r="F35" s="158" t="s">
        <v>46</v>
      </c>
      <c r="G35" s="158"/>
      <c r="H35" s="170" t="s">
        <v>4407</v>
      </c>
      <c r="J35" s="134">
        <v>3000</v>
      </c>
      <c r="K35" s="159">
        <f t="shared" si="1"/>
        <v>-269286.39</v>
      </c>
    </row>
    <row r="36" spans="1:11" ht="15">
      <c r="A36" s="137" t="str">
        <f t="shared" si="0"/>
        <v>MMREDESMARKET MAX</v>
      </c>
      <c r="B36" t="s">
        <v>212</v>
      </c>
      <c r="C36" s="1">
        <v>45714</v>
      </c>
      <c r="D36" t="s">
        <v>45</v>
      </c>
      <c r="E36" t="s">
        <v>167</v>
      </c>
      <c r="F36" s="158" t="s">
        <v>46</v>
      </c>
      <c r="G36" s="158"/>
      <c r="H36" s="170" t="s">
        <v>4390</v>
      </c>
      <c r="J36" s="134">
        <v>3000</v>
      </c>
      <c r="K36" s="159">
        <f t="shared" si="1"/>
        <v>-272286.39</v>
      </c>
    </row>
    <row r="37" spans="1:11" ht="15">
      <c r="A37" s="137" t="str">
        <f t="shared" si="0"/>
        <v>FINANZASTELEFONIATELCEL</v>
      </c>
      <c r="B37" t="s">
        <v>212</v>
      </c>
      <c r="C37" s="1">
        <v>45714</v>
      </c>
      <c r="D37" t="s">
        <v>23</v>
      </c>
      <c r="E37" t="s">
        <v>181</v>
      </c>
      <c r="F37" s="158" t="s">
        <v>183</v>
      </c>
      <c r="G37" s="158"/>
      <c r="H37" s="170" t="s">
        <v>4408</v>
      </c>
      <c r="J37" s="134">
        <v>3185.02</v>
      </c>
      <c r="K37" s="159">
        <f t="shared" si="1"/>
        <v>-275471.41000000003</v>
      </c>
    </row>
    <row r="38" spans="1:11" ht="15">
      <c r="A38" s="137" t="str">
        <f t="shared" si="0"/>
        <v>FINANZASTELEFONIASTARLINK</v>
      </c>
      <c r="B38" t="s">
        <v>212</v>
      </c>
      <c r="C38" s="1">
        <v>45714</v>
      </c>
      <c r="D38" t="s">
        <v>23</v>
      </c>
      <c r="E38" t="s">
        <v>181</v>
      </c>
      <c r="F38" s="158" t="s">
        <v>184</v>
      </c>
      <c r="G38" s="158"/>
      <c r="H38" s="170" t="s">
        <v>4409</v>
      </c>
      <c r="J38" s="134">
        <v>3190</v>
      </c>
      <c r="K38" s="159">
        <f t="shared" si="1"/>
        <v>-278661.41000000003</v>
      </c>
    </row>
    <row r="39" spans="1:11" ht="15">
      <c r="A39" s="137" t="str">
        <f t="shared" si="0"/>
        <v>FINANZASCUOTAS Y SUSCRIPCIONESANUALIDAD TC</v>
      </c>
      <c r="B39" t="s">
        <v>212</v>
      </c>
      <c r="C39" s="1">
        <v>45714</v>
      </c>
      <c r="D39" t="s">
        <v>23</v>
      </c>
      <c r="E39" t="s">
        <v>51</v>
      </c>
      <c r="F39" s="158" t="s">
        <v>75</v>
      </c>
      <c r="G39" s="158"/>
      <c r="H39" s="170" t="s">
        <v>4410</v>
      </c>
      <c r="J39" s="134">
        <v>3371.25</v>
      </c>
      <c r="K39" s="159">
        <f t="shared" si="1"/>
        <v>-282032.66000000003</v>
      </c>
    </row>
    <row r="40" spans="1:11" ht="15">
      <c r="A40" s="137" t="str">
        <f t="shared" si="0"/>
        <v>HRREDESHR</v>
      </c>
      <c r="B40" t="s">
        <v>212</v>
      </c>
      <c r="C40" s="1">
        <v>45714</v>
      </c>
      <c r="D40" t="s">
        <v>29</v>
      </c>
      <c r="E40" t="s">
        <v>167</v>
      </c>
      <c r="F40" s="158" t="s">
        <v>29</v>
      </c>
      <c r="G40" s="158"/>
      <c r="H40" s="170" t="s">
        <v>4390</v>
      </c>
      <c r="J40" s="134">
        <v>4186.97</v>
      </c>
      <c r="K40" s="159">
        <f t="shared" si="1"/>
        <v>-286219.63</v>
      </c>
    </row>
    <row r="41" spans="1:11" ht="15">
      <c r="A41" s="137" t="str">
        <f t="shared" si="0"/>
        <v>HRREDESHR</v>
      </c>
      <c r="B41" t="s">
        <v>212</v>
      </c>
      <c r="C41" s="1">
        <v>45714</v>
      </c>
      <c r="D41" t="s">
        <v>29</v>
      </c>
      <c r="E41" t="s">
        <v>167</v>
      </c>
      <c r="F41" s="158" t="s">
        <v>29</v>
      </c>
      <c r="G41" s="158"/>
      <c r="H41" s="170" t="s">
        <v>4390</v>
      </c>
      <c r="J41" s="134">
        <v>4650</v>
      </c>
      <c r="K41" s="159">
        <f t="shared" si="1"/>
        <v>-290869.63</v>
      </c>
    </row>
    <row r="42" spans="1:11" ht="15">
      <c r="A42" s="137" t="str">
        <f t="shared" si="0"/>
        <v>FINANZASTELEFONIASTARLINK</v>
      </c>
      <c r="B42" t="s">
        <v>212</v>
      </c>
      <c r="C42" s="1">
        <v>45714</v>
      </c>
      <c r="D42" t="s">
        <v>23</v>
      </c>
      <c r="E42" s="222" t="s">
        <v>181</v>
      </c>
      <c r="F42" s="158" t="s">
        <v>184</v>
      </c>
      <c r="G42" s="158"/>
      <c r="H42" s="170" t="s">
        <v>4409</v>
      </c>
      <c r="J42" s="134">
        <v>5280</v>
      </c>
      <c r="K42" s="159">
        <f t="shared" si="1"/>
        <v>-296149.63</v>
      </c>
    </row>
    <row r="43" spans="1:11" ht="15">
      <c r="A43" s="137" t="str">
        <f t="shared" si="0"/>
        <v>SERVICIOSADQ DE EQ TECNOLOGICOADQ DE EQ TECNOLOGICO</v>
      </c>
      <c r="B43" t="s">
        <v>212</v>
      </c>
      <c r="C43" s="1">
        <v>45714</v>
      </c>
      <c r="D43" t="s">
        <v>21</v>
      </c>
      <c r="E43" t="s">
        <v>22</v>
      </c>
      <c r="F43" s="158" t="s">
        <v>22</v>
      </c>
      <c r="G43" s="158"/>
      <c r="H43" s="170" t="s">
        <v>4411</v>
      </c>
      <c r="J43" s="134">
        <v>6485</v>
      </c>
      <c r="K43" s="159">
        <f t="shared" si="1"/>
        <v>-302634.63</v>
      </c>
    </row>
    <row r="44" spans="1:11" ht="15">
      <c r="A44" s="137" t="str">
        <f t="shared" si="0"/>
        <v>FINANZASTELEFONIATELCEL</v>
      </c>
      <c r="B44" t="s">
        <v>212</v>
      </c>
      <c r="C44" s="1">
        <v>45714</v>
      </c>
      <c r="D44" t="s">
        <v>23</v>
      </c>
      <c r="E44" t="s">
        <v>181</v>
      </c>
      <c r="F44" s="158" t="s">
        <v>183</v>
      </c>
      <c r="G44" s="158"/>
      <c r="H44" s="170" t="s">
        <v>4408</v>
      </c>
      <c r="J44" s="134">
        <v>8514.57</v>
      </c>
      <c r="K44" s="159">
        <f t="shared" si="1"/>
        <v>-311149.2</v>
      </c>
    </row>
    <row r="45" spans="1:11">
      <c r="A45" s="137" t="str">
        <f t="shared" si="0"/>
        <v>HRREDESHR</v>
      </c>
      <c r="B45" t="s">
        <v>3498</v>
      </c>
      <c r="C45" s="1">
        <v>45723</v>
      </c>
      <c r="D45" t="s">
        <v>29</v>
      </c>
      <c r="E45" t="s">
        <v>167</v>
      </c>
      <c r="F45" s="158" t="s">
        <v>29</v>
      </c>
      <c r="G45" s="158"/>
      <c r="H45" t="s">
        <v>4412</v>
      </c>
      <c r="I45" s="161"/>
      <c r="J45" s="134">
        <v>199</v>
      </c>
      <c r="K45" s="159">
        <f t="shared" si="1"/>
        <v>-311348.2</v>
      </c>
    </row>
    <row r="46" spans="1:11">
      <c r="A46" s="137" t="str">
        <f t="shared" si="0"/>
        <v>HRREDESHR</v>
      </c>
      <c r="B46" t="s">
        <v>3498</v>
      </c>
      <c r="C46" s="1">
        <v>45723</v>
      </c>
      <c r="D46" t="s">
        <v>29</v>
      </c>
      <c r="E46" t="s">
        <v>167</v>
      </c>
      <c r="F46" s="158" t="s">
        <v>29</v>
      </c>
      <c r="G46" s="158"/>
      <c r="H46" t="s">
        <v>4412</v>
      </c>
      <c r="I46" s="161"/>
      <c r="J46" s="134">
        <v>199</v>
      </c>
      <c r="K46" s="159">
        <f t="shared" si="1"/>
        <v>-311547.2</v>
      </c>
    </row>
    <row r="47" spans="1:11">
      <c r="A47" s="137" t="str">
        <f t="shared" si="0"/>
        <v>HRREDESHR</v>
      </c>
      <c r="B47" t="s">
        <v>3498</v>
      </c>
      <c r="C47" s="1">
        <v>45723</v>
      </c>
      <c r="D47" t="s">
        <v>29</v>
      </c>
      <c r="E47" t="s">
        <v>167</v>
      </c>
      <c r="F47" s="158" t="s">
        <v>29</v>
      </c>
      <c r="G47" s="158"/>
      <c r="H47" t="s">
        <v>4412</v>
      </c>
      <c r="I47" s="161"/>
      <c r="J47" s="134">
        <v>199</v>
      </c>
      <c r="K47" s="159">
        <f t="shared" si="1"/>
        <v>-311746.2</v>
      </c>
    </row>
    <row r="48" spans="1:11">
      <c r="A48" s="137" t="str">
        <f t="shared" si="0"/>
        <v>SGECUOTAS Y SUSCRIPCIONESCANVA</v>
      </c>
      <c r="B48" t="s">
        <v>3498</v>
      </c>
      <c r="C48" s="1">
        <v>45723</v>
      </c>
      <c r="D48" t="s">
        <v>39</v>
      </c>
      <c r="E48" t="s">
        <v>51</v>
      </c>
      <c r="F48" s="158" t="s">
        <v>60</v>
      </c>
      <c r="G48" s="158"/>
      <c r="H48" t="s">
        <v>4413</v>
      </c>
      <c r="I48" s="161"/>
      <c r="J48" s="134">
        <v>298</v>
      </c>
      <c r="K48" s="159">
        <f t="shared" si="1"/>
        <v>-312044.2</v>
      </c>
    </row>
    <row r="49" spans="1:11">
      <c r="A49" s="137" t="str">
        <f t="shared" si="0"/>
        <v>SERVICIOSMTTO DE EDIFICIOMANTENIMIENTO</v>
      </c>
      <c r="B49" t="s">
        <v>3498</v>
      </c>
      <c r="C49" s="1">
        <v>45723</v>
      </c>
      <c r="D49" t="s">
        <v>21</v>
      </c>
      <c r="E49" t="s">
        <v>142</v>
      </c>
      <c r="F49" s="158" t="s">
        <v>35</v>
      </c>
      <c r="G49" s="158"/>
      <c r="H49" t="s">
        <v>4414</v>
      </c>
      <c r="I49" s="161"/>
      <c r="J49" s="134">
        <v>2080</v>
      </c>
      <c r="K49" s="159">
        <f t="shared" si="1"/>
        <v>-314124.2</v>
      </c>
    </row>
    <row r="50" spans="1:11">
      <c r="A50" s="137" t="str">
        <f t="shared" si="0"/>
        <v>SERVICIOSMTTO DE EDIFICIOMANTENIMIENTO</v>
      </c>
      <c r="B50" t="s">
        <v>3498</v>
      </c>
      <c r="C50" s="1">
        <v>45723</v>
      </c>
      <c r="D50" t="s">
        <v>21</v>
      </c>
      <c r="E50" t="s">
        <v>142</v>
      </c>
      <c r="F50" s="158" t="s">
        <v>35</v>
      </c>
      <c r="G50" s="158"/>
      <c r="H50" t="s">
        <v>4415</v>
      </c>
      <c r="I50" s="161"/>
      <c r="J50" s="134">
        <v>257.3</v>
      </c>
      <c r="K50" s="159">
        <f t="shared" si="1"/>
        <v>-314381.5</v>
      </c>
    </row>
    <row r="51" spans="1:11">
      <c r="A51" s="137" t="str">
        <f t="shared" si="0"/>
        <v>SERVICIOSMTTO EQ DE TRANSPORTECEDIS</v>
      </c>
      <c r="B51" t="s">
        <v>3498</v>
      </c>
      <c r="C51" s="1">
        <v>45742</v>
      </c>
      <c r="D51" t="s">
        <v>21</v>
      </c>
      <c r="E51" t="s">
        <v>144</v>
      </c>
      <c r="F51" s="158" t="s">
        <v>28</v>
      </c>
      <c r="G51" s="158"/>
      <c r="H51" t="s">
        <v>4416</v>
      </c>
      <c r="I51" s="161"/>
      <c r="J51" s="247">
        <v>1524.09</v>
      </c>
      <c r="K51" s="159">
        <f>K50+I51-J51</f>
        <v>-315905.59000000003</v>
      </c>
    </row>
    <row r="52" spans="1:11">
      <c r="A52" s="137" t="str">
        <f t="shared" si="0"/>
        <v>SERVICIOSINSUMOSCOFFE</v>
      </c>
      <c r="B52" t="s">
        <v>3498</v>
      </c>
      <c r="C52" s="1">
        <v>45742</v>
      </c>
      <c r="D52" t="s">
        <v>21</v>
      </c>
      <c r="E52" t="s">
        <v>133</v>
      </c>
      <c r="F52" s="158" t="s">
        <v>135</v>
      </c>
      <c r="G52" s="158"/>
      <c r="H52" t="s">
        <v>4417</v>
      </c>
      <c r="I52" s="161"/>
      <c r="J52" s="247">
        <v>2634.41</v>
      </c>
      <c r="K52" s="159">
        <f t="shared" ref="K52:K55" si="2">K51+I52-J52</f>
        <v>-318540</v>
      </c>
    </row>
    <row r="53" spans="1:11">
      <c r="A53" s="137" t="str">
        <f t="shared" si="0"/>
        <v>HRREDESHR</v>
      </c>
      <c r="B53" t="s">
        <v>3498</v>
      </c>
      <c r="C53" s="1">
        <v>45742</v>
      </c>
      <c r="D53" t="s">
        <v>29</v>
      </c>
      <c r="E53" t="s">
        <v>167</v>
      </c>
      <c r="F53" s="158" t="s">
        <v>29</v>
      </c>
      <c r="H53" t="s">
        <v>4418</v>
      </c>
      <c r="I53" s="161"/>
      <c r="J53" s="247">
        <v>4650</v>
      </c>
      <c r="K53" s="159">
        <f t="shared" si="2"/>
        <v>-323190</v>
      </c>
    </row>
    <row r="54" spans="1:11">
      <c r="A54" s="137" t="str">
        <f t="shared" si="0"/>
        <v>MMREDESMARKET MAX</v>
      </c>
      <c r="B54" t="s">
        <v>3498</v>
      </c>
      <c r="C54" s="1">
        <v>45742</v>
      </c>
      <c r="D54" t="s">
        <v>45</v>
      </c>
      <c r="E54" t="s">
        <v>167</v>
      </c>
      <c r="F54" t="s">
        <v>46</v>
      </c>
      <c r="H54" t="s">
        <v>4418</v>
      </c>
      <c r="I54" s="161"/>
      <c r="J54" s="247">
        <v>3000</v>
      </c>
      <c r="K54" s="159">
        <f t="shared" si="2"/>
        <v>-326190</v>
      </c>
    </row>
    <row r="55" spans="1:11">
      <c r="A55" s="137" t="str">
        <f t="shared" si="0"/>
        <v>CAPREDESCAPRICHOS</v>
      </c>
      <c r="B55" t="s">
        <v>3498</v>
      </c>
      <c r="C55" s="1">
        <v>45742</v>
      </c>
      <c r="D55" t="s">
        <v>31</v>
      </c>
      <c r="E55" t="s">
        <v>167</v>
      </c>
      <c r="F55" s="3" t="s">
        <v>33</v>
      </c>
      <c r="H55" t="s">
        <v>4418</v>
      </c>
      <c r="I55" s="161"/>
      <c r="J55" s="247">
        <v>5000</v>
      </c>
      <c r="K55" s="159">
        <f t="shared" si="2"/>
        <v>-331190</v>
      </c>
    </row>
    <row r="56" spans="1:11">
      <c r="A56" s="137" t="str">
        <f t="shared" si="0"/>
        <v>FINANZASTELEFONIATELEFONIA</v>
      </c>
      <c r="B56" t="s">
        <v>3498</v>
      </c>
      <c r="C56" s="1">
        <v>45742</v>
      </c>
      <c r="D56" t="s">
        <v>23</v>
      </c>
      <c r="E56" t="s">
        <v>181</v>
      </c>
      <c r="F56" t="s">
        <v>181</v>
      </c>
      <c r="H56" t="s">
        <v>4419</v>
      </c>
      <c r="I56" s="161"/>
      <c r="J56" s="247">
        <v>599</v>
      </c>
      <c r="K56" s="69">
        <f t="shared" ref="K56:K62" si="3">K55+I56-J56</f>
        <v>-331789</v>
      </c>
    </row>
    <row r="57" spans="1:11">
      <c r="A57" s="137" t="str">
        <f t="shared" si="0"/>
        <v>SERVICIOSCUOTAS Y SUSCRIPCIONESDOMINIOS DE PAGINAS</v>
      </c>
      <c r="B57" t="s">
        <v>3498</v>
      </c>
      <c r="C57" s="1">
        <v>45742</v>
      </c>
      <c r="D57" t="s">
        <v>21</v>
      </c>
      <c r="E57" t="s">
        <v>51</v>
      </c>
      <c r="F57" t="s">
        <v>62</v>
      </c>
      <c r="H57" t="s">
        <v>4420</v>
      </c>
      <c r="J57" s="134">
        <v>1799.97</v>
      </c>
      <c r="K57" s="69">
        <f t="shared" si="3"/>
        <v>-333588.96999999997</v>
      </c>
    </row>
    <row r="58" spans="1:11">
      <c r="A58" s="137" t="str">
        <f t="shared" si="0"/>
        <v>ELIREDESELILU</v>
      </c>
      <c r="B58" t="s">
        <v>3498</v>
      </c>
      <c r="C58" s="1">
        <v>45742</v>
      </c>
      <c r="D58" t="s">
        <v>130</v>
      </c>
      <c r="E58" t="s">
        <v>167</v>
      </c>
      <c r="F58" t="s">
        <v>168</v>
      </c>
      <c r="H58" t="s">
        <v>4418</v>
      </c>
      <c r="J58" s="134">
        <v>1802</v>
      </c>
      <c r="K58" s="69">
        <f t="shared" si="3"/>
        <v>-335390.96999999997</v>
      </c>
    </row>
    <row r="59" spans="1:11">
      <c r="A59" s="137" t="str">
        <f t="shared" si="0"/>
        <v>MMREDESMARKET MAX</v>
      </c>
      <c r="B59" t="s">
        <v>3498</v>
      </c>
      <c r="C59" s="1">
        <v>45742</v>
      </c>
      <c r="D59" s="229" t="s">
        <v>45</v>
      </c>
      <c r="E59" s="229" t="s">
        <v>167</v>
      </c>
      <c r="F59" s="229" t="s">
        <v>46</v>
      </c>
      <c r="H59" t="s">
        <v>4418</v>
      </c>
      <c r="J59" s="134">
        <v>289.37</v>
      </c>
      <c r="K59" s="69">
        <f t="shared" si="3"/>
        <v>-335680.33999999997</v>
      </c>
    </row>
    <row r="60" spans="1:11">
      <c r="A60" s="137" t="str">
        <f t="shared" si="0"/>
        <v>MMREDESMARKET MAX</v>
      </c>
      <c r="B60" t="s">
        <v>3498</v>
      </c>
      <c r="C60" s="1">
        <v>45742</v>
      </c>
      <c r="D60" t="s">
        <v>45</v>
      </c>
      <c r="E60" t="s">
        <v>167</v>
      </c>
      <c r="F60" t="s">
        <v>46</v>
      </c>
      <c r="H60" t="s">
        <v>4418</v>
      </c>
      <c r="J60" s="134">
        <v>2592.36</v>
      </c>
      <c r="K60" s="69">
        <f t="shared" si="3"/>
        <v>-338272.69999999995</v>
      </c>
    </row>
    <row r="61" spans="1:11">
      <c r="A61" s="137" t="str">
        <f t="shared" si="0"/>
        <v>ELIREDESELILU</v>
      </c>
      <c r="B61" t="s">
        <v>3498</v>
      </c>
      <c r="C61" s="1">
        <v>45742</v>
      </c>
      <c r="D61" t="s">
        <v>130</v>
      </c>
      <c r="E61" t="s">
        <v>167</v>
      </c>
      <c r="F61" t="s">
        <v>168</v>
      </c>
      <c r="H61" t="s">
        <v>4418</v>
      </c>
      <c r="I61" s="161"/>
      <c r="J61" s="247">
        <v>201.78</v>
      </c>
      <c r="K61" s="69">
        <f t="shared" si="3"/>
        <v>-338474.48</v>
      </c>
    </row>
    <row r="62" spans="1:11">
      <c r="A62" s="137" t="str">
        <f t="shared" si="0"/>
        <v>HRREDESHR</v>
      </c>
      <c r="B62" t="s">
        <v>3498</v>
      </c>
      <c r="C62" s="1">
        <v>45742</v>
      </c>
      <c r="D62" t="s">
        <v>29</v>
      </c>
      <c r="E62" t="s">
        <v>167</v>
      </c>
      <c r="F62" s="158" t="s">
        <v>29</v>
      </c>
      <c r="H62" t="s">
        <v>4418</v>
      </c>
      <c r="I62" s="161"/>
      <c r="J62" s="247">
        <v>2775.76</v>
      </c>
      <c r="K62" s="69">
        <f t="shared" si="3"/>
        <v>-341250.24</v>
      </c>
    </row>
    <row r="63" spans="1:11">
      <c r="A63" s="137" t="str">
        <f t="shared" si="0"/>
        <v>CAPREDESCAPRICHOS</v>
      </c>
      <c r="B63" t="s">
        <v>3498</v>
      </c>
      <c r="C63" s="244">
        <v>45742</v>
      </c>
      <c r="D63" s="229" t="s">
        <v>31</v>
      </c>
      <c r="E63" s="229" t="s">
        <v>167</v>
      </c>
      <c r="F63" s="158" t="s">
        <v>33</v>
      </c>
      <c r="H63" t="s">
        <v>4418</v>
      </c>
      <c r="I63" s="161"/>
      <c r="J63" s="247">
        <v>1337.9</v>
      </c>
      <c r="K63" s="69">
        <f t="shared" ref="K63:K65" si="4">K62+I63-J63</f>
        <v>-342588.14</v>
      </c>
    </row>
    <row r="64" spans="1:11">
      <c r="A64" s="137" t="str">
        <f t="shared" si="0"/>
        <v>HRREDESHR</v>
      </c>
      <c r="B64" t="s">
        <v>3498</v>
      </c>
      <c r="C64" s="244">
        <v>45742</v>
      </c>
      <c r="D64" s="229" t="s">
        <v>29</v>
      </c>
      <c r="E64" s="229" t="s">
        <v>167</v>
      </c>
      <c r="F64" s="158" t="s">
        <v>29</v>
      </c>
      <c r="H64" t="s">
        <v>4418</v>
      </c>
      <c r="I64" s="161"/>
      <c r="J64" s="247">
        <v>370.91</v>
      </c>
      <c r="K64" s="69">
        <f t="shared" si="4"/>
        <v>-342959.05</v>
      </c>
    </row>
    <row r="65" spans="1:11">
      <c r="A65" s="137" t="str">
        <f t="shared" si="0"/>
        <v>CAPREDESCAPRICHOS</v>
      </c>
      <c r="B65" t="s">
        <v>3498</v>
      </c>
      <c r="C65" s="1">
        <v>45742</v>
      </c>
      <c r="D65" t="s">
        <v>31</v>
      </c>
      <c r="E65" t="s">
        <v>167</v>
      </c>
      <c r="F65" s="3" t="s">
        <v>33</v>
      </c>
      <c r="H65" t="s">
        <v>4418</v>
      </c>
      <c r="I65" s="161"/>
      <c r="J65" s="247">
        <v>231.53</v>
      </c>
      <c r="K65" s="69">
        <f t="shared" si="4"/>
        <v>-343190.58</v>
      </c>
    </row>
    <row r="66" spans="1:11">
      <c r="A66" s="137" t="str">
        <f t="shared" si="0"/>
        <v>FINANZASTELEFONIASTARLINK</v>
      </c>
      <c r="B66" t="s">
        <v>3498</v>
      </c>
      <c r="C66" s="1">
        <v>45742</v>
      </c>
      <c r="D66" t="s">
        <v>23</v>
      </c>
      <c r="E66" t="s">
        <v>181</v>
      </c>
      <c r="F66" t="s">
        <v>184</v>
      </c>
      <c r="H66" t="s">
        <v>4421</v>
      </c>
      <c r="J66" s="134">
        <v>3190</v>
      </c>
      <c r="K66" s="69">
        <f t="shared" ref="K66:K74" si="5">K65+I66-J66</f>
        <v>-346380.58</v>
      </c>
    </row>
    <row r="67" spans="1:11">
      <c r="A67" s="137" t="str">
        <f t="shared" si="0"/>
        <v>FINANZASTELEFONIASTARLINK</v>
      </c>
      <c r="B67" t="s">
        <v>3498</v>
      </c>
      <c r="C67" s="1">
        <v>45742</v>
      </c>
      <c r="D67" t="s">
        <v>23</v>
      </c>
      <c r="E67" t="s">
        <v>181</v>
      </c>
      <c r="F67" t="s">
        <v>184</v>
      </c>
      <c r="H67" t="s">
        <v>4421</v>
      </c>
      <c r="J67" s="134">
        <v>5280</v>
      </c>
      <c r="K67" s="69">
        <f t="shared" si="5"/>
        <v>-351660.58</v>
      </c>
    </row>
    <row r="68" spans="1:11">
      <c r="A68" s="137" t="str">
        <f t="shared" si="0"/>
        <v>CAPREDESCAPRICHOS</v>
      </c>
      <c r="B68" t="s">
        <v>3498</v>
      </c>
      <c r="C68" s="1">
        <v>45742</v>
      </c>
      <c r="D68" t="s">
        <v>31</v>
      </c>
      <c r="E68" t="s">
        <v>167</v>
      </c>
      <c r="F68" s="3" t="s">
        <v>33</v>
      </c>
      <c r="H68" t="s">
        <v>4422</v>
      </c>
      <c r="J68" s="134">
        <v>129</v>
      </c>
      <c r="K68" s="69">
        <f t="shared" si="5"/>
        <v>-351789.58</v>
      </c>
    </row>
    <row r="69" spans="1:11">
      <c r="A69" s="137" t="str">
        <f t="shared" ref="A69:A132" si="6">D69&amp;E69&amp;F69</f>
        <v>FINANZASTELEFONIATELEFONIA</v>
      </c>
      <c r="B69" t="s">
        <v>3498</v>
      </c>
      <c r="C69" s="1">
        <v>45742</v>
      </c>
      <c r="D69" t="s">
        <v>23</v>
      </c>
      <c r="E69" t="s">
        <v>181</v>
      </c>
      <c r="F69" t="s">
        <v>181</v>
      </c>
      <c r="H69" t="s">
        <v>4423</v>
      </c>
      <c r="J69" s="134">
        <v>603.04</v>
      </c>
      <c r="K69" s="69">
        <f t="shared" si="5"/>
        <v>-352392.62</v>
      </c>
    </row>
    <row r="70" spans="1:11">
      <c r="A70" s="137" t="str">
        <f t="shared" si="6"/>
        <v>SERVICIOSADQ DE EQ TECNOLOGICOADQ DE EQ TECNOLOGICO</v>
      </c>
      <c r="B70" t="s">
        <v>3498</v>
      </c>
      <c r="C70" s="1">
        <v>45742</v>
      </c>
      <c r="D70" t="s">
        <v>21</v>
      </c>
      <c r="E70" t="s">
        <v>22</v>
      </c>
      <c r="F70" s="158" t="s">
        <v>22</v>
      </c>
      <c r="H70" t="s">
        <v>4424</v>
      </c>
      <c r="J70" s="134">
        <v>3687.02</v>
      </c>
      <c r="K70" s="69">
        <f t="shared" si="5"/>
        <v>-356079.64</v>
      </c>
    </row>
    <row r="71" spans="1:11">
      <c r="A71" s="137" t="str">
        <f t="shared" si="6"/>
        <v>CAPREDESCAPRICHOS</v>
      </c>
      <c r="B71" t="s">
        <v>3498</v>
      </c>
      <c r="C71" s="1">
        <v>45742</v>
      </c>
      <c r="D71" t="s">
        <v>31</v>
      </c>
      <c r="E71" t="s">
        <v>167</v>
      </c>
      <c r="F71" s="3" t="s">
        <v>33</v>
      </c>
      <c r="H71" t="s">
        <v>4422</v>
      </c>
      <c r="J71" s="134">
        <v>199</v>
      </c>
      <c r="K71" s="69">
        <f t="shared" si="5"/>
        <v>-356278.64</v>
      </c>
    </row>
    <row r="72" spans="1:11">
      <c r="A72" s="137" t="str">
        <f t="shared" si="6"/>
        <v>ELIREDESELILU</v>
      </c>
      <c r="B72" t="s">
        <v>3498</v>
      </c>
      <c r="C72" s="1">
        <v>45742</v>
      </c>
      <c r="D72" s="229" t="s">
        <v>130</v>
      </c>
      <c r="E72" s="229" t="s">
        <v>167</v>
      </c>
      <c r="F72" s="229" t="s">
        <v>168</v>
      </c>
      <c r="H72" t="s">
        <v>4418</v>
      </c>
      <c r="I72" s="161"/>
      <c r="J72" s="247">
        <v>1983</v>
      </c>
      <c r="K72" s="69">
        <f t="shared" si="5"/>
        <v>-358261.64</v>
      </c>
    </row>
    <row r="73" spans="1:11">
      <c r="A73" s="137" t="str">
        <f t="shared" si="6"/>
        <v>FINANZASTELEFONIATELCEL</v>
      </c>
      <c r="B73" t="s">
        <v>3498</v>
      </c>
      <c r="C73" s="1">
        <v>45742</v>
      </c>
      <c r="D73" t="s">
        <v>23</v>
      </c>
      <c r="E73" t="s">
        <v>181</v>
      </c>
      <c r="F73" t="s">
        <v>183</v>
      </c>
      <c r="H73" t="s">
        <v>4425</v>
      </c>
      <c r="J73" s="134">
        <v>3184.01</v>
      </c>
      <c r="K73" s="69">
        <f t="shared" si="5"/>
        <v>-361445.65</v>
      </c>
    </row>
    <row r="74" spans="1:11">
      <c r="A74" s="137" t="str">
        <f t="shared" si="6"/>
        <v>FINANZASTELEFONIATELCEL</v>
      </c>
      <c r="B74" t="s">
        <v>3498</v>
      </c>
      <c r="C74" s="1">
        <v>45742</v>
      </c>
      <c r="D74" t="s">
        <v>23</v>
      </c>
      <c r="E74" t="s">
        <v>181</v>
      </c>
      <c r="F74" t="s">
        <v>183</v>
      </c>
      <c r="H74" t="s">
        <v>4426</v>
      </c>
      <c r="J74" s="134">
        <v>9772.8799999999992</v>
      </c>
      <c r="K74" s="69">
        <f t="shared" si="5"/>
        <v>-371218.53</v>
      </c>
    </row>
    <row r="75" spans="1:11">
      <c r="A75" s="137" t="str">
        <f t="shared" si="6"/>
        <v>HRREDESHR</v>
      </c>
      <c r="B75" t="s">
        <v>3498</v>
      </c>
      <c r="C75" s="1">
        <v>45742</v>
      </c>
      <c r="D75" s="229" t="s">
        <v>29</v>
      </c>
      <c r="E75" s="229" t="s">
        <v>167</v>
      </c>
      <c r="F75" s="158" t="s">
        <v>29</v>
      </c>
      <c r="H75" t="s">
        <v>4418</v>
      </c>
      <c r="I75" s="161"/>
      <c r="J75" s="247">
        <v>4650</v>
      </c>
      <c r="K75" s="69">
        <f t="shared" ref="K75:K77" si="7">K74+I75-J75</f>
        <v>-375868.53</v>
      </c>
    </row>
    <row r="76" spans="1:11">
      <c r="A76" s="137" t="str">
        <f t="shared" si="6"/>
        <v>MMREDESMARKET MAX</v>
      </c>
      <c r="B76" t="s">
        <v>3498</v>
      </c>
      <c r="C76" s="1">
        <v>45742</v>
      </c>
      <c r="D76" s="229" t="s">
        <v>45</v>
      </c>
      <c r="E76" s="229" t="s">
        <v>167</v>
      </c>
      <c r="F76" s="229" t="s">
        <v>46</v>
      </c>
      <c r="H76" t="s">
        <v>4418</v>
      </c>
      <c r="J76" s="134">
        <v>3000</v>
      </c>
      <c r="K76" s="69">
        <f t="shared" si="7"/>
        <v>-378868.53</v>
      </c>
    </row>
    <row r="77" spans="1:11">
      <c r="A77" s="137" t="str">
        <f t="shared" si="6"/>
        <v>SGECUOTAS Y SUSCRIPCIONESCHATGPT</v>
      </c>
      <c r="B77" t="s">
        <v>3498</v>
      </c>
      <c r="C77" s="1">
        <v>45742</v>
      </c>
      <c r="D77" t="s">
        <v>39</v>
      </c>
      <c r="E77" t="s">
        <v>51</v>
      </c>
      <c r="F77" t="s">
        <v>59</v>
      </c>
      <c r="H77" t="s">
        <v>4427</v>
      </c>
      <c r="J77" s="134">
        <v>1263.98</v>
      </c>
      <c r="K77" s="69">
        <f t="shared" si="7"/>
        <v>-380132.51</v>
      </c>
    </row>
    <row r="78" spans="1:11">
      <c r="A78" s="137" t="str">
        <f t="shared" si="6"/>
        <v>SGECUOTAS Y SUSCRIPCIONESOFFICE 365(GCOMPRAS)</v>
      </c>
      <c r="B78" t="s">
        <v>3498</v>
      </c>
      <c r="C78" s="1">
        <v>45742</v>
      </c>
      <c r="D78" t="s">
        <v>39</v>
      </c>
      <c r="E78" t="s">
        <v>51</v>
      </c>
      <c r="F78" t="s">
        <v>54</v>
      </c>
      <c r="H78" t="s">
        <v>4428</v>
      </c>
      <c r="J78" s="134">
        <v>208.56</v>
      </c>
      <c r="K78" s="69">
        <f t="shared" ref="K78:K84" si="8">K77+I78-J78</f>
        <v>-380341.07</v>
      </c>
    </row>
    <row r="79" spans="1:11">
      <c r="A79" s="137" t="str">
        <f t="shared" si="6"/>
        <v>SGECUOTAS Y SUSCRIPCIONESCHATGPT</v>
      </c>
      <c r="B79" t="s">
        <v>3498</v>
      </c>
      <c r="C79" s="1">
        <v>45742</v>
      </c>
      <c r="D79" t="s">
        <v>39</v>
      </c>
      <c r="E79" t="s">
        <v>51</v>
      </c>
      <c r="F79" t="s">
        <v>59</v>
      </c>
      <c r="H79" t="s">
        <v>4427</v>
      </c>
      <c r="J79" s="134">
        <v>417.88</v>
      </c>
      <c r="K79" s="69">
        <f t="shared" si="8"/>
        <v>-380758.95</v>
      </c>
    </row>
    <row r="80" spans="1:11">
      <c r="A80" s="137" t="str">
        <f t="shared" si="6"/>
        <v>SGECUOTAS Y SUSCRIPCIONESZOOM</v>
      </c>
      <c r="B80" t="s">
        <v>3498</v>
      </c>
      <c r="C80" s="1">
        <v>45742</v>
      </c>
      <c r="D80" t="s">
        <v>39</v>
      </c>
      <c r="E80" t="s">
        <v>51</v>
      </c>
      <c r="F80" t="s">
        <v>56</v>
      </c>
      <c r="H80" t="s">
        <v>56</v>
      </c>
      <c r="J80" s="134">
        <v>1937.72</v>
      </c>
      <c r="K80" s="69">
        <f t="shared" si="8"/>
        <v>-382696.67</v>
      </c>
    </row>
    <row r="81" spans="1:11">
      <c r="A81" s="137" t="str">
        <f t="shared" si="6"/>
        <v>SGECUOTAS Y SUSCRIPCIONESCHATGPT</v>
      </c>
      <c r="B81" t="s">
        <v>3498</v>
      </c>
      <c r="C81" s="1">
        <v>45742</v>
      </c>
      <c r="D81" t="s">
        <v>39</v>
      </c>
      <c r="E81" t="s">
        <v>51</v>
      </c>
      <c r="F81" t="s">
        <v>59</v>
      </c>
      <c r="H81" t="s">
        <v>4427</v>
      </c>
      <c r="J81" s="134">
        <v>1258.75</v>
      </c>
      <c r="K81" s="69">
        <f t="shared" si="8"/>
        <v>-383955.42</v>
      </c>
    </row>
    <row r="82" spans="1:11">
      <c r="A82" s="137" t="str">
        <f t="shared" si="6"/>
        <v>SGECUOTAS Y SUSCRIPCIONESASANA</v>
      </c>
      <c r="B82" t="s">
        <v>3498</v>
      </c>
      <c r="C82" s="1">
        <v>45742</v>
      </c>
      <c r="D82" t="s">
        <v>39</v>
      </c>
      <c r="E82" t="s">
        <v>51</v>
      </c>
      <c r="F82" t="s">
        <v>55</v>
      </c>
      <c r="H82" t="s">
        <v>55</v>
      </c>
      <c r="J82" s="134">
        <v>12631.97</v>
      </c>
      <c r="K82" s="69">
        <f t="shared" si="8"/>
        <v>-396587.38999999996</v>
      </c>
    </row>
    <row r="83" spans="1:11">
      <c r="A83" s="137" t="str">
        <f t="shared" si="6"/>
        <v>FINANZASRENTASCONTABILIDAD (WT)</v>
      </c>
      <c r="B83" t="s">
        <v>3498</v>
      </c>
      <c r="C83" s="1">
        <v>45742</v>
      </c>
      <c r="D83" t="s">
        <v>23</v>
      </c>
      <c r="E83" t="s">
        <v>169</v>
      </c>
      <c r="F83" t="s">
        <v>171</v>
      </c>
      <c r="H83" t="s">
        <v>4429</v>
      </c>
      <c r="J83" s="134">
        <v>4838.92</v>
      </c>
      <c r="K83" s="69">
        <f t="shared" si="8"/>
        <v>-401426.30999999994</v>
      </c>
    </row>
    <row r="84" spans="1:11">
      <c r="A84" s="137" t="str">
        <f t="shared" si="6"/>
        <v>SGECUOTAS Y SUSCRIPCIONESCHATGPT</v>
      </c>
      <c r="B84" t="s">
        <v>3498</v>
      </c>
      <c r="C84" s="1">
        <v>45742</v>
      </c>
      <c r="D84" t="s">
        <v>39</v>
      </c>
      <c r="E84" t="s">
        <v>51</v>
      </c>
      <c r="F84" t="s">
        <v>59</v>
      </c>
      <c r="H84" t="s">
        <v>4427</v>
      </c>
      <c r="J84" s="134">
        <v>1249.5</v>
      </c>
      <c r="K84" s="69">
        <f t="shared" si="8"/>
        <v>-402675.80999999994</v>
      </c>
    </row>
    <row r="85" spans="1:11">
      <c r="A85" s="137" t="str">
        <f t="shared" si="6"/>
        <v>HRREDESHR</v>
      </c>
      <c r="B85" t="s">
        <v>814</v>
      </c>
      <c r="C85" s="1">
        <v>45754</v>
      </c>
      <c r="D85" t="s">
        <v>29</v>
      </c>
      <c r="E85" t="s">
        <v>167</v>
      </c>
      <c r="F85" t="s">
        <v>29</v>
      </c>
      <c r="H85" t="s">
        <v>4412</v>
      </c>
      <c r="J85" s="134">
        <v>199</v>
      </c>
      <c r="K85" s="69">
        <f t="shared" ref="K85:K103" si="9">K84+I85-J85</f>
        <v>-402874.80999999994</v>
      </c>
    </row>
    <row r="86" spans="1:11">
      <c r="A86" s="137" t="str">
        <f t="shared" si="6"/>
        <v>HRREDESHR</v>
      </c>
      <c r="B86" t="s">
        <v>814</v>
      </c>
      <c r="C86" s="1">
        <v>45754</v>
      </c>
      <c r="D86" t="s">
        <v>29</v>
      </c>
      <c r="E86" t="s">
        <v>167</v>
      </c>
      <c r="F86" t="s">
        <v>29</v>
      </c>
      <c r="H86" t="s">
        <v>4412</v>
      </c>
      <c r="J86" s="134">
        <v>199</v>
      </c>
      <c r="K86" s="69">
        <f t="shared" si="9"/>
        <v>-403073.80999999994</v>
      </c>
    </row>
    <row r="87" spans="1:11">
      <c r="A87" s="137" t="str">
        <f t="shared" si="6"/>
        <v>MMREDESMARKET MAX</v>
      </c>
      <c r="B87" t="s">
        <v>814</v>
      </c>
      <c r="C87" s="1">
        <v>45754</v>
      </c>
      <c r="D87" t="s">
        <v>45</v>
      </c>
      <c r="E87" t="s">
        <v>167</v>
      </c>
      <c r="F87" t="s">
        <v>46</v>
      </c>
      <c r="H87" t="s">
        <v>4430</v>
      </c>
      <c r="J87" s="134">
        <v>199</v>
      </c>
      <c r="K87" s="69">
        <f t="shared" si="9"/>
        <v>-403272.80999999994</v>
      </c>
    </row>
    <row r="88" spans="1:11">
      <c r="A88" s="137" t="str">
        <f t="shared" si="6"/>
        <v>DESGMDIRECCION</v>
      </c>
      <c r="B88" t="s">
        <v>814</v>
      </c>
      <c r="C88" s="1">
        <v>45754</v>
      </c>
      <c r="D88" t="s">
        <v>41</v>
      </c>
      <c r="E88" s="12" t="s">
        <v>176</v>
      </c>
      <c r="F88" s="12" t="s">
        <v>42</v>
      </c>
      <c r="H88" t="s">
        <v>4431</v>
      </c>
      <c r="J88" s="134">
        <v>91751.63</v>
      </c>
      <c r="K88" s="69">
        <f t="shared" si="9"/>
        <v>-495024.43999999994</v>
      </c>
    </row>
    <row r="89" spans="1:11">
      <c r="A89" s="137" t="str">
        <f t="shared" si="6"/>
        <v>DESGMDIRECCION</v>
      </c>
      <c r="B89" t="s">
        <v>814</v>
      </c>
      <c r="C89" s="1">
        <v>45754</v>
      </c>
      <c r="D89" t="s">
        <v>41</v>
      </c>
      <c r="E89" s="12" t="s">
        <v>176</v>
      </c>
      <c r="F89" s="12" t="s">
        <v>42</v>
      </c>
      <c r="G89" t="s">
        <v>258</v>
      </c>
      <c r="H89" t="s">
        <v>4432</v>
      </c>
      <c r="J89" s="134">
        <v>30000</v>
      </c>
      <c r="K89" s="69">
        <f t="shared" si="9"/>
        <v>-525024.43999999994</v>
      </c>
    </row>
    <row r="90" spans="1:11">
      <c r="A90" s="137" t="str">
        <f t="shared" si="6"/>
        <v>DESGMDIRECCION</v>
      </c>
      <c r="B90" t="s">
        <v>814</v>
      </c>
      <c r="C90" s="1">
        <v>45754</v>
      </c>
      <c r="D90" t="s">
        <v>41</v>
      </c>
      <c r="E90" s="12" t="s">
        <v>176</v>
      </c>
      <c r="F90" s="12" t="s">
        <v>42</v>
      </c>
      <c r="G90" t="s">
        <v>258</v>
      </c>
      <c r="H90" t="s">
        <v>4432</v>
      </c>
      <c r="J90" s="134">
        <v>9000</v>
      </c>
      <c r="K90" s="69">
        <f t="shared" si="9"/>
        <v>-534024.43999999994</v>
      </c>
    </row>
    <row r="91" spans="1:11">
      <c r="A91" s="137" t="str">
        <f t="shared" si="6"/>
        <v>DESGMDIRECCION</v>
      </c>
      <c r="B91" t="s">
        <v>814</v>
      </c>
      <c r="C91" s="1">
        <v>45754</v>
      </c>
      <c r="D91" t="s">
        <v>41</v>
      </c>
      <c r="E91" s="12" t="s">
        <v>176</v>
      </c>
      <c r="F91" s="12" t="s">
        <v>42</v>
      </c>
      <c r="G91" t="s">
        <v>258</v>
      </c>
      <c r="H91" t="s">
        <v>4432</v>
      </c>
      <c r="J91" s="134">
        <v>6000</v>
      </c>
      <c r="K91" s="69">
        <f t="shared" si="9"/>
        <v>-540024.43999999994</v>
      </c>
    </row>
    <row r="92" spans="1:11">
      <c r="A92" s="137" t="str">
        <f t="shared" si="6"/>
        <v>DESGMDIRECCION</v>
      </c>
      <c r="B92" t="s">
        <v>814</v>
      </c>
      <c r="C92" s="1">
        <v>45754</v>
      </c>
      <c r="D92" t="s">
        <v>41</v>
      </c>
      <c r="E92" s="12" t="s">
        <v>176</v>
      </c>
      <c r="F92" s="12" t="s">
        <v>42</v>
      </c>
      <c r="G92" t="s">
        <v>258</v>
      </c>
      <c r="H92" t="s">
        <v>4433</v>
      </c>
      <c r="J92" s="134">
        <v>1370.04</v>
      </c>
      <c r="K92" s="69">
        <f t="shared" si="9"/>
        <v>-541394.48</v>
      </c>
    </row>
    <row r="93" spans="1:11">
      <c r="A93" s="137" t="str">
        <f t="shared" si="6"/>
        <v/>
      </c>
      <c r="B93" t="s">
        <v>814</v>
      </c>
      <c r="C93" s="1">
        <v>45754</v>
      </c>
      <c r="H93" t="s">
        <v>4434</v>
      </c>
      <c r="J93" s="134">
        <v>458613</v>
      </c>
      <c r="K93" s="69">
        <f t="shared" si="9"/>
        <v>-1000007.48</v>
      </c>
    </row>
    <row r="94" spans="1:11">
      <c r="A94" s="137" t="str">
        <f t="shared" si="6"/>
        <v>SGECUOTAS Y SUSCRIPCIONESCANVA</v>
      </c>
      <c r="B94" t="s">
        <v>814</v>
      </c>
      <c r="C94" s="1">
        <v>45754</v>
      </c>
      <c r="D94" t="s">
        <v>39</v>
      </c>
      <c r="E94" t="s">
        <v>51</v>
      </c>
      <c r="F94" t="s">
        <v>60</v>
      </c>
      <c r="H94" t="s">
        <v>60</v>
      </c>
      <c r="J94" s="134">
        <v>1209</v>
      </c>
      <c r="K94" s="69">
        <f t="shared" si="9"/>
        <v>-1001216.48</v>
      </c>
    </row>
    <row r="95" spans="1:11" s="89" customFormat="1">
      <c r="A95" s="137" t="str">
        <f t="shared" si="6"/>
        <v>SGECUOTAS Y SUSCRIPCIONESCANVA</v>
      </c>
      <c r="B95" s="89" t="s">
        <v>814</v>
      </c>
      <c r="C95" s="235">
        <v>45754</v>
      </c>
      <c r="D95" s="89" t="s">
        <v>39</v>
      </c>
      <c r="E95" s="89" t="s">
        <v>51</v>
      </c>
      <c r="F95" s="89" t="s">
        <v>60</v>
      </c>
      <c r="H95" s="89" t="s">
        <v>4435</v>
      </c>
      <c r="I95" s="237"/>
      <c r="J95" s="245">
        <v>149</v>
      </c>
      <c r="K95" s="69">
        <f t="shared" si="9"/>
        <v>-1001365.48</v>
      </c>
    </row>
    <row r="96" spans="1:11">
      <c r="A96" s="137" t="str">
        <f t="shared" si="6"/>
        <v>SGECUOTAS Y SUSCRIPCIONESCANVA</v>
      </c>
      <c r="B96" t="s">
        <v>814</v>
      </c>
      <c r="C96" s="1">
        <v>45775</v>
      </c>
      <c r="D96" t="s">
        <v>39</v>
      </c>
      <c r="E96" t="s">
        <v>51</v>
      </c>
      <c r="F96" t="s">
        <v>60</v>
      </c>
      <c r="H96" t="s">
        <v>4436</v>
      </c>
      <c r="J96" s="134">
        <v>75</v>
      </c>
      <c r="K96" s="69">
        <f t="shared" si="9"/>
        <v>-1001440.48</v>
      </c>
    </row>
    <row r="97" spans="1:11">
      <c r="A97" s="137" t="str">
        <f t="shared" si="6"/>
        <v>HRREDESHR</v>
      </c>
      <c r="B97" t="s">
        <v>814</v>
      </c>
      <c r="C97" s="1">
        <v>45775</v>
      </c>
      <c r="D97" t="s">
        <v>29</v>
      </c>
      <c r="E97" t="s">
        <v>167</v>
      </c>
      <c r="F97" t="s">
        <v>29</v>
      </c>
      <c r="H97" t="s">
        <v>4437</v>
      </c>
      <c r="J97" s="134">
        <v>482.33</v>
      </c>
      <c r="K97" s="69">
        <f t="shared" si="9"/>
        <v>-1001922.8099999999</v>
      </c>
    </row>
    <row r="98" spans="1:11">
      <c r="A98" s="137" t="str">
        <f t="shared" si="6"/>
        <v>HRREDESHR</v>
      </c>
      <c r="B98" t="s">
        <v>814</v>
      </c>
      <c r="C98" s="1">
        <v>45775</v>
      </c>
      <c r="D98" t="s">
        <v>29</v>
      </c>
      <c r="E98" t="s">
        <v>167</v>
      </c>
      <c r="F98" t="s">
        <v>29</v>
      </c>
      <c r="H98" t="s">
        <v>4437</v>
      </c>
      <c r="J98" s="134">
        <v>2911.11</v>
      </c>
      <c r="K98" s="69">
        <f t="shared" si="9"/>
        <v>-1004833.9199999999</v>
      </c>
    </row>
    <row r="99" spans="1:11">
      <c r="A99" s="137" t="str">
        <f t="shared" si="6"/>
        <v>ELIREDESELILU</v>
      </c>
      <c r="B99" t="s">
        <v>814</v>
      </c>
      <c r="C99" s="1">
        <v>45775</v>
      </c>
      <c r="D99" t="s">
        <v>130</v>
      </c>
      <c r="E99" t="s">
        <v>167</v>
      </c>
      <c r="F99" t="s">
        <v>168</v>
      </c>
      <c r="H99" t="s">
        <v>4418</v>
      </c>
      <c r="J99" s="134">
        <v>224.71</v>
      </c>
      <c r="K99" s="69">
        <f t="shared" si="9"/>
        <v>-1005058.6299999999</v>
      </c>
    </row>
    <row r="100" spans="1:11">
      <c r="A100" s="137" t="str">
        <f t="shared" si="6"/>
        <v>CAPREDESCAPRICHOS</v>
      </c>
      <c r="B100" t="s">
        <v>814</v>
      </c>
      <c r="C100" s="1">
        <v>45775</v>
      </c>
      <c r="D100" t="s">
        <v>31</v>
      </c>
      <c r="E100" t="s">
        <v>167</v>
      </c>
      <c r="F100" t="s">
        <v>33</v>
      </c>
      <c r="H100" t="s">
        <v>4438</v>
      </c>
      <c r="J100" s="134">
        <v>3566.3</v>
      </c>
      <c r="K100" s="69">
        <f t="shared" si="9"/>
        <v>-1008624.9299999999</v>
      </c>
    </row>
    <row r="101" spans="1:11">
      <c r="A101" s="137" t="str">
        <f t="shared" si="6"/>
        <v>MMREDESMARKET MAX</v>
      </c>
      <c r="B101" t="s">
        <v>814</v>
      </c>
      <c r="C101" s="1">
        <v>45775</v>
      </c>
      <c r="D101" t="s">
        <v>45</v>
      </c>
      <c r="E101" t="s">
        <v>167</v>
      </c>
      <c r="F101" t="s">
        <v>46</v>
      </c>
      <c r="H101" t="s">
        <v>4439</v>
      </c>
      <c r="J101" s="134">
        <v>212.11</v>
      </c>
      <c r="K101" s="69">
        <f t="shared" si="9"/>
        <v>-1008837.0399999999</v>
      </c>
    </row>
    <row r="102" spans="1:11">
      <c r="A102" s="137" t="str">
        <f t="shared" si="6"/>
        <v>MELREDESMELISSA</v>
      </c>
      <c r="B102" t="s">
        <v>814</v>
      </c>
      <c r="C102" s="1">
        <v>45775</v>
      </c>
      <c r="D102" t="s">
        <v>43</v>
      </c>
      <c r="E102" t="s">
        <v>167</v>
      </c>
      <c r="F102" t="s">
        <v>44</v>
      </c>
      <c r="H102" t="s">
        <v>4440</v>
      </c>
      <c r="J102" s="134">
        <v>350.36</v>
      </c>
      <c r="K102" s="69">
        <f t="shared" si="9"/>
        <v>-1009187.3999999999</v>
      </c>
    </row>
    <row r="103" spans="1:11">
      <c r="A103" s="137" t="str">
        <f t="shared" si="6"/>
        <v>ELIREDESELILU</v>
      </c>
      <c r="B103" t="s">
        <v>814</v>
      </c>
      <c r="C103" s="1">
        <v>45775</v>
      </c>
      <c r="D103" t="s">
        <v>130</v>
      </c>
      <c r="E103" t="s">
        <v>167</v>
      </c>
      <c r="F103" t="s">
        <v>168</v>
      </c>
      <c r="H103" t="s">
        <v>4418</v>
      </c>
      <c r="J103" s="134">
        <v>1891.96</v>
      </c>
      <c r="K103" s="69">
        <f t="shared" si="9"/>
        <v>-1011079.3599999999</v>
      </c>
    </row>
    <row r="104" spans="1:11">
      <c r="A104" s="137" t="str">
        <f t="shared" si="6"/>
        <v>MELREDESMELISSA</v>
      </c>
      <c r="B104" t="s">
        <v>814</v>
      </c>
      <c r="C104" s="1">
        <v>45775</v>
      </c>
      <c r="D104" t="s">
        <v>43</v>
      </c>
      <c r="E104" t="s">
        <v>167</v>
      </c>
      <c r="F104" t="s">
        <v>44</v>
      </c>
      <c r="H104" t="s">
        <v>4440</v>
      </c>
      <c r="J104" s="81">
        <v>2217.19</v>
      </c>
    </row>
    <row r="105" spans="1:11">
      <c r="A105" s="137" t="str">
        <f t="shared" si="6"/>
        <v>FINANZASTELEFONIATELEFONIA</v>
      </c>
      <c r="B105" t="s">
        <v>814</v>
      </c>
      <c r="C105" s="1">
        <v>45775</v>
      </c>
      <c r="D105" t="s">
        <v>23</v>
      </c>
      <c r="E105" t="s">
        <v>181</v>
      </c>
      <c r="F105" t="s">
        <v>181</v>
      </c>
      <c r="H105" t="s">
        <v>4441</v>
      </c>
      <c r="J105" s="81">
        <v>3190</v>
      </c>
    </row>
    <row r="106" spans="1:11">
      <c r="A106" s="137" t="str">
        <f t="shared" si="6"/>
        <v>FINANZASTELEFONIATELEFONIA</v>
      </c>
      <c r="B106" t="s">
        <v>814</v>
      </c>
      <c r="C106" s="1">
        <v>45775</v>
      </c>
      <c r="D106" t="s">
        <v>23</v>
      </c>
      <c r="E106" t="s">
        <v>181</v>
      </c>
      <c r="F106" t="s">
        <v>181</v>
      </c>
      <c r="H106" t="s">
        <v>4441</v>
      </c>
      <c r="J106" s="81">
        <v>5280</v>
      </c>
    </row>
    <row r="107" spans="1:11">
      <c r="A107" s="137" t="str">
        <f t="shared" si="6"/>
        <v>ELIREDESELILU</v>
      </c>
      <c r="B107" t="s">
        <v>814</v>
      </c>
      <c r="C107" s="1">
        <v>45775</v>
      </c>
      <c r="D107" t="s">
        <v>130</v>
      </c>
      <c r="E107" t="s">
        <v>167</v>
      </c>
      <c r="F107" t="s">
        <v>168</v>
      </c>
      <c r="H107" t="s">
        <v>4418</v>
      </c>
      <c r="J107" s="81">
        <v>1281.48</v>
      </c>
    </row>
    <row r="108" spans="1:11">
      <c r="A108" s="137" t="str">
        <f t="shared" si="6"/>
        <v>HRREDESHR</v>
      </c>
      <c r="B108" t="s">
        <v>814</v>
      </c>
      <c r="C108" s="1">
        <v>45775</v>
      </c>
      <c r="D108" t="s">
        <v>29</v>
      </c>
      <c r="E108" t="s">
        <v>167</v>
      </c>
      <c r="F108" t="s">
        <v>29</v>
      </c>
      <c r="H108" t="s">
        <v>4442</v>
      </c>
      <c r="J108" s="81">
        <v>129</v>
      </c>
    </row>
    <row r="109" spans="1:11">
      <c r="A109" s="137" t="str">
        <f t="shared" si="6"/>
        <v>SGECUOTAS Y SUSCRIPCIONESOFFICE 365(C1)</v>
      </c>
      <c r="B109" t="s">
        <v>814</v>
      </c>
      <c r="C109" s="1">
        <v>45775</v>
      </c>
      <c r="D109" t="s">
        <v>39</v>
      </c>
      <c r="E109" t="s">
        <v>51</v>
      </c>
      <c r="F109" s="158" t="s">
        <v>53</v>
      </c>
      <c r="H109" t="s">
        <v>4443</v>
      </c>
      <c r="J109" s="81">
        <v>2299</v>
      </c>
    </row>
    <row r="110" spans="1:11">
      <c r="A110" s="137" t="str">
        <f t="shared" si="6"/>
        <v>HRREDESHR</v>
      </c>
      <c r="B110" t="s">
        <v>814</v>
      </c>
      <c r="C110" s="1">
        <v>45775</v>
      </c>
      <c r="D110" t="s">
        <v>29</v>
      </c>
      <c r="E110" t="s">
        <v>167</v>
      </c>
      <c r="F110" t="s">
        <v>29</v>
      </c>
      <c r="H110" t="s">
        <v>4437</v>
      </c>
      <c r="J110" s="81">
        <v>4650</v>
      </c>
    </row>
    <row r="111" spans="1:11">
      <c r="A111" s="137" t="str">
        <f t="shared" si="6"/>
        <v>FINANZASTELEFONIATELEFONIA</v>
      </c>
      <c r="B111" t="s">
        <v>814</v>
      </c>
      <c r="C111" s="1">
        <v>45775</v>
      </c>
      <c r="D111" t="s">
        <v>23</v>
      </c>
      <c r="E111" t="s">
        <v>181</v>
      </c>
      <c r="F111" t="s">
        <v>181</v>
      </c>
      <c r="H111" t="s">
        <v>4444</v>
      </c>
      <c r="J111" s="81">
        <v>603.03</v>
      </c>
    </row>
    <row r="112" spans="1:11">
      <c r="A112" s="137" t="str">
        <f t="shared" si="6"/>
        <v>CAPREDESCAPRICHOS</v>
      </c>
      <c r="B112" t="s">
        <v>814</v>
      </c>
      <c r="C112" s="1">
        <v>45775</v>
      </c>
      <c r="D112" t="s">
        <v>31</v>
      </c>
      <c r="E112" t="s">
        <v>167</v>
      </c>
      <c r="F112" t="s">
        <v>33</v>
      </c>
      <c r="H112" t="s">
        <v>4442</v>
      </c>
      <c r="J112" s="81">
        <v>199</v>
      </c>
    </row>
    <row r="113" spans="1:10">
      <c r="A113" s="137" t="str">
        <f t="shared" si="6"/>
        <v>ELIREDESELILU</v>
      </c>
      <c r="B113" t="s">
        <v>814</v>
      </c>
      <c r="C113" s="1">
        <v>45775</v>
      </c>
      <c r="D113" t="s">
        <v>130</v>
      </c>
      <c r="E113" t="s">
        <v>167</v>
      </c>
      <c r="F113" t="s">
        <v>168</v>
      </c>
      <c r="H113" t="s">
        <v>4418</v>
      </c>
      <c r="J113" s="81">
        <v>2182</v>
      </c>
    </row>
    <row r="114" spans="1:10">
      <c r="A114" s="137" t="str">
        <f t="shared" si="6"/>
        <v>SGECUOTAS Y SUSCRIPCIONESCANVA</v>
      </c>
      <c r="B114" t="s">
        <v>814</v>
      </c>
      <c r="C114" s="1">
        <v>45775</v>
      </c>
      <c r="D114" t="s">
        <v>39</v>
      </c>
      <c r="E114" t="s">
        <v>51</v>
      </c>
      <c r="F114" t="s">
        <v>60</v>
      </c>
      <c r="H114" t="s">
        <v>4413</v>
      </c>
      <c r="J114" s="81">
        <v>150</v>
      </c>
    </row>
    <row r="115" spans="1:10">
      <c r="A115" s="137" t="str">
        <f t="shared" si="6"/>
        <v>HRREDESHR</v>
      </c>
      <c r="B115" t="s">
        <v>814</v>
      </c>
      <c r="C115" s="1">
        <v>45775</v>
      </c>
      <c r="D115" t="s">
        <v>29</v>
      </c>
      <c r="E115" t="s">
        <v>167</v>
      </c>
      <c r="F115" t="s">
        <v>29</v>
      </c>
      <c r="H115" t="s">
        <v>4437</v>
      </c>
      <c r="J115" s="81">
        <v>1265.32</v>
      </c>
    </row>
    <row r="116" spans="1:10">
      <c r="A116" s="137" t="str">
        <f t="shared" si="6"/>
        <v>HRREDESHR</v>
      </c>
      <c r="B116" t="s">
        <v>814</v>
      </c>
      <c r="C116" s="1">
        <v>45775</v>
      </c>
      <c r="D116" t="s">
        <v>29</v>
      </c>
      <c r="E116" t="s">
        <v>167</v>
      </c>
      <c r="F116" t="s">
        <v>29</v>
      </c>
      <c r="H116" t="s">
        <v>4442</v>
      </c>
      <c r="J116" s="81">
        <v>199</v>
      </c>
    </row>
    <row r="117" spans="1:10">
      <c r="A117" s="137" t="str">
        <f t="shared" si="6"/>
        <v>FINANZASTELEFONIATELEFONIA</v>
      </c>
      <c r="B117" t="s">
        <v>814</v>
      </c>
      <c r="C117" s="1">
        <v>45775</v>
      </c>
      <c r="D117" t="s">
        <v>23</v>
      </c>
      <c r="E117" t="s">
        <v>181</v>
      </c>
      <c r="F117" t="s">
        <v>181</v>
      </c>
      <c r="H117" t="s">
        <v>4445</v>
      </c>
      <c r="J117" s="81">
        <v>3183.96</v>
      </c>
    </row>
    <row r="118" spans="1:10">
      <c r="A118" s="137" t="str">
        <f t="shared" si="6"/>
        <v>FINANZASTELEFONIATELEFONIA</v>
      </c>
      <c r="B118" t="s">
        <v>814</v>
      </c>
      <c r="C118" s="1">
        <v>45775</v>
      </c>
      <c r="D118" t="s">
        <v>23</v>
      </c>
      <c r="E118" t="s">
        <v>181</v>
      </c>
      <c r="F118" t="s">
        <v>181</v>
      </c>
      <c r="H118" t="s">
        <v>4446</v>
      </c>
      <c r="J118" s="81">
        <v>7404.07</v>
      </c>
    </row>
    <row r="119" spans="1:10">
      <c r="A119" s="137" t="str">
        <f t="shared" si="6"/>
        <v>SGECUOTAS Y SUSCRIPCIONESCHATGPT</v>
      </c>
      <c r="B119" t="s">
        <v>814</v>
      </c>
      <c r="C119" s="1">
        <v>45775</v>
      </c>
      <c r="D119" t="s">
        <v>39</v>
      </c>
      <c r="E119" t="s">
        <v>51</v>
      </c>
      <c r="F119" t="s">
        <v>59</v>
      </c>
      <c r="H119" t="s">
        <v>4427</v>
      </c>
      <c r="J119" s="81">
        <v>415.24</v>
      </c>
    </row>
    <row r="120" spans="1:10">
      <c r="A120" s="137" t="str">
        <f t="shared" si="6"/>
        <v>SGECUOTAS Y SUSCRIPCIONESZOOM</v>
      </c>
      <c r="B120" t="s">
        <v>814</v>
      </c>
      <c r="C120" s="1">
        <v>45775</v>
      </c>
      <c r="D120" t="s">
        <v>39</v>
      </c>
      <c r="E120" t="s">
        <v>51</v>
      </c>
      <c r="F120" t="s">
        <v>56</v>
      </c>
      <c r="H120" t="s">
        <v>4447</v>
      </c>
      <c r="J120" s="81">
        <v>1925.48</v>
      </c>
    </row>
    <row r="121" spans="1:10">
      <c r="A121" s="137" t="str">
        <f t="shared" si="6"/>
        <v>SGECUOTAS Y SUSCRIPCIONESCHATGPT</v>
      </c>
      <c r="B121" t="s">
        <v>814</v>
      </c>
      <c r="C121" s="1">
        <v>45775</v>
      </c>
      <c r="D121" t="s">
        <v>39</v>
      </c>
      <c r="E121" t="s">
        <v>51</v>
      </c>
      <c r="F121" t="s">
        <v>59</v>
      </c>
      <c r="H121" t="s">
        <v>4427</v>
      </c>
      <c r="J121" s="81">
        <v>412.78</v>
      </c>
    </row>
    <row r="122" spans="1:10">
      <c r="A122" s="137" t="str">
        <f t="shared" si="6"/>
        <v/>
      </c>
      <c r="B122" t="s">
        <v>814</v>
      </c>
      <c r="C122" s="1">
        <v>45775</v>
      </c>
      <c r="H122" t="s">
        <v>4448</v>
      </c>
      <c r="J122" s="81">
        <v>802</v>
      </c>
    </row>
    <row r="123" spans="1:10">
      <c r="A123" s="137" t="str">
        <f t="shared" si="6"/>
        <v>FINANZASRENTASCONTABILIDAD (WT)</v>
      </c>
      <c r="B123" t="s">
        <v>814</v>
      </c>
      <c r="C123" s="1">
        <v>45775</v>
      </c>
      <c r="D123" t="s">
        <v>23</v>
      </c>
      <c r="E123" t="s">
        <v>169</v>
      </c>
      <c r="F123" t="s">
        <v>171</v>
      </c>
      <c r="H123" t="s">
        <v>4449</v>
      </c>
      <c r="J123" s="81">
        <v>4570.5200000000004</v>
      </c>
    </row>
    <row r="124" spans="1:10">
      <c r="A124" s="137" t="str">
        <f t="shared" si="6"/>
        <v>SERVICIOSADQ DE EQ TECNOLOGICOADQ DE EQ TECNOLOGICO</v>
      </c>
      <c r="B124" t="s">
        <v>814</v>
      </c>
      <c r="C124" s="1">
        <v>45775</v>
      </c>
      <c r="D124" t="s">
        <v>21</v>
      </c>
      <c r="E124" t="s">
        <v>22</v>
      </c>
      <c r="F124" s="158" t="s">
        <v>22</v>
      </c>
      <c r="H124" t="s">
        <v>4450</v>
      </c>
      <c r="J124" s="81">
        <v>3663</v>
      </c>
    </row>
    <row r="125" spans="1:10">
      <c r="A125" s="137" t="str">
        <f t="shared" si="6"/>
        <v>SERVICIOSADQ DE EQ TECNOLOGICOADQ DE EQ TECNOLOGICO</v>
      </c>
      <c r="B125" t="s">
        <v>814</v>
      </c>
      <c r="C125" s="1">
        <v>45775</v>
      </c>
      <c r="D125" t="s">
        <v>21</v>
      </c>
      <c r="E125" t="s">
        <v>22</v>
      </c>
      <c r="F125" s="158" t="s">
        <v>22</v>
      </c>
      <c r="G125" t="s">
        <v>258</v>
      </c>
      <c r="H125" t="s">
        <v>4451</v>
      </c>
      <c r="J125" s="81">
        <v>3587.85</v>
      </c>
    </row>
    <row r="126" spans="1:10">
      <c r="A126" s="137" t="str">
        <f t="shared" si="6"/>
        <v>SERVICIOSADQ DE EQ TECNOLOGICOADQ DE EQ TECNOLOGICO</v>
      </c>
      <c r="B126" t="s">
        <v>814</v>
      </c>
      <c r="C126" s="1">
        <v>45775</v>
      </c>
      <c r="D126" t="s">
        <v>21</v>
      </c>
      <c r="E126" t="s">
        <v>22</v>
      </c>
      <c r="F126" s="158" t="s">
        <v>22</v>
      </c>
      <c r="G126" t="s">
        <v>258</v>
      </c>
      <c r="H126" t="s">
        <v>4452</v>
      </c>
      <c r="J126" s="81">
        <v>3587.85</v>
      </c>
    </row>
    <row r="127" spans="1:10">
      <c r="A127" s="137" t="str">
        <f t="shared" si="6"/>
        <v>SERVICIOSINSUMOSSISTEMAS</v>
      </c>
      <c r="B127" t="s">
        <v>814</v>
      </c>
      <c r="C127" s="1">
        <v>45775</v>
      </c>
      <c r="D127" t="s">
        <v>21</v>
      </c>
      <c r="E127" t="s">
        <v>133</v>
      </c>
      <c r="F127" t="s">
        <v>36</v>
      </c>
      <c r="G127" t="s">
        <v>258</v>
      </c>
      <c r="H127" t="s">
        <v>4453</v>
      </c>
      <c r="J127" s="81">
        <v>323.92</v>
      </c>
    </row>
    <row r="128" spans="1:10">
      <c r="A128" s="137" t="str">
        <f t="shared" si="6"/>
        <v>SERVICIOSINSUMOSSISTEMAS</v>
      </c>
      <c r="B128" t="s">
        <v>814</v>
      </c>
      <c r="C128" s="1">
        <v>45775</v>
      </c>
      <c r="D128" t="s">
        <v>21</v>
      </c>
      <c r="E128" t="s">
        <v>133</v>
      </c>
      <c r="F128" t="s">
        <v>36</v>
      </c>
      <c r="G128" t="s">
        <v>258</v>
      </c>
      <c r="H128" t="s">
        <v>4453</v>
      </c>
      <c r="J128" s="81">
        <v>898.56</v>
      </c>
    </row>
    <row r="129" spans="1:10">
      <c r="A129" s="137" t="str">
        <f t="shared" si="6"/>
        <v/>
      </c>
      <c r="B129" t="s">
        <v>814</v>
      </c>
      <c r="C129" s="1">
        <v>45775</v>
      </c>
      <c r="G129" t="s">
        <v>258</v>
      </c>
      <c r="H129" t="s">
        <v>4454</v>
      </c>
      <c r="J129" s="81">
        <v>3326.9</v>
      </c>
    </row>
    <row r="130" spans="1:10">
      <c r="A130" s="137" t="str">
        <f t="shared" si="6"/>
        <v/>
      </c>
      <c r="B130" t="s">
        <v>814</v>
      </c>
      <c r="C130" s="1">
        <v>45775</v>
      </c>
      <c r="G130" t="s">
        <v>258</v>
      </c>
      <c r="H130" t="s">
        <v>4454</v>
      </c>
      <c r="J130" s="81">
        <v>91.51</v>
      </c>
    </row>
    <row r="131" spans="1:10">
      <c r="A131" s="137" t="str">
        <f t="shared" si="6"/>
        <v/>
      </c>
      <c r="B131" t="s">
        <v>814</v>
      </c>
      <c r="C131" s="1">
        <v>45775</v>
      </c>
      <c r="G131" t="s">
        <v>258</v>
      </c>
      <c r="H131" t="s">
        <v>4455</v>
      </c>
      <c r="J131" s="81">
        <v>1280.21</v>
      </c>
    </row>
    <row r="132" spans="1:10">
      <c r="A132" s="137" t="str">
        <f t="shared" si="6"/>
        <v>HRREDESHR</v>
      </c>
      <c r="B132" t="s">
        <v>1049</v>
      </c>
      <c r="C132" s="1">
        <v>45784</v>
      </c>
      <c r="D132" t="s">
        <v>29</v>
      </c>
      <c r="E132" t="s">
        <v>167</v>
      </c>
      <c r="F132" t="s">
        <v>29</v>
      </c>
      <c r="H132" t="s">
        <v>4412</v>
      </c>
      <c r="J132" s="81">
        <v>199</v>
      </c>
    </row>
    <row r="133" spans="1:10">
      <c r="A133" s="137" t="str">
        <f t="shared" ref="A133:A196" si="10">D133&amp;E133&amp;F133</f>
        <v>HRREDESHR</v>
      </c>
      <c r="B133" t="s">
        <v>1049</v>
      </c>
      <c r="C133" s="1">
        <v>45784</v>
      </c>
      <c r="D133" t="s">
        <v>29</v>
      </c>
      <c r="E133" t="s">
        <v>167</v>
      </c>
      <c r="F133" t="s">
        <v>29</v>
      </c>
      <c r="H133" t="s">
        <v>4412</v>
      </c>
      <c r="J133" s="81">
        <v>199</v>
      </c>
    </row>
    <row r="134" spans="1:10">
      <c r="A134" s="137" t="str">
        <f t="shared" si="10"/>
        <v>MMREDESMARKET MAX</v>
      </c>
      <c r="B134" t="s">
        <v>1049</v>
      </c>
      <c r="C134" s="1">
        <v>45784</v>
      </c>
      <c r="D134" t="s">
        <v>45</v>
      </c>
      <c r="E134" s="12" t="s">
        <v>167</v>
      </c>
      <c r="F134" s="12" t="s">
        <v>46</v>
      </c>
      <c r="G134" t="s">
        <v>258</v>
      </c>
      <c r="H134" t="s">
        <v>4430</v>
      </c>
      <c r="J134" s="81">
        <v>199</v>
      </c>
    </row>
    <row r="135" spans="1:10">
      <c r="A135" s="137" t="str">
        <f t="shared" si="10"/>
        <v>SGECUOTAS Y SUSCRIPCIONESCANVA</v>
      </c>
      <c r="B135" t="s">
        <v>1049</v>
      </c>
      <c r="C135" s="1">
        <v>45784</v>
      </c>
      <c r="D135" t="s">
        <v>39</v>
      </c>
      <c r="E135" t="s">
        <v>51</v>
      </c>
      <c r="F135" t="s">
        <v>60</v>
      </c>
      <c r="H135" t="s">
        <v>60</v>
      </c>
      <c r="J135" s="81">
        <v>1209</v>
      </c>
    </row>
    <row r="136" spans="1:10">
      <c r="A136" s="137" t="str">
        <f t="shared" si="10"/>
        <v>SGECUOTAS Y SUSCRIPCIONESCANVA</v>
      </c>
      <c r="B136" t="s">
        <v>1049</v>
      </c>
      <c r="C136" s="1">
        <v>45784</v>
      </c>
      <c r="D136" t="s">
        <v>39</v>
      </c>
      <c r="E136" t="s">
        <v>51</v>
      </c>
      <c r="F136" t="s">
        <v>60</v>
      </c>
      <c r="H136" t="s">
        <v>60</v>
      </c>
      <c r="J136" s="81">
        <v>149</v>
      </c>
    </row>
    <row r="137" spans="1:10">
      <c r="A137" s="137" t="str">
        <f t="shared" si="10"/>
        <v>SGECUOTAS Y SUSCRIPCIONESCHATGPT</v>
      </c>
      <c r="B137" t="s">
        <v>1049</v>
      </c>
      <c r="C137" s="1">
        <v>45803</v>
      </c>
      <c r="D137" t="s">
        <v>39</v>
      </c>
      <c r="E137" t="s">
        <v>51</v>
      </c>
      <c r="F137" t="s">
        <v>59</v>
      </c>
      <c r="H137" t="s">
        <v>4456</v>
      </c>
      <c r="J137" s="81">
        <v>1263.27</v>
      </c>
    </row>
    <row r="138" spans="1:10">
      <c r="A138" s="137" t="str">
        <f t="shared" si="10"/>
        <v>MMREDESMARKET MAX</v>
      </c>
      <c r="B138" t="s">
        <v>1049</v>
      </c>
      <c r="C138" s="1">
        <v>45803</v>
      </c>
      <c r="D138" t="s">
        <v>45</v>
      </c>
      <c r="E138" t="s">
        <v>167</v>
      </c>
      <c r="F138" t="s">
        <v>46</v>
      </c>
      <c r="H138" t="s">
        <v>4457</v>
      </c>
      <c r="J138" s="81">
        <v>3300</v>
      </c>
    </row>
    <row r="139" spans="1:10">
      <c r="A139" s="137" t="str">
        <f t="shared" si="10"/>
        <v>CAPREDESCAPRICHOS</v>
      </c>
      <c r="B139" t="s">
        <v>1049</v>
      </c>
      <c r="C139" s="1">
        <v>45803</v>
      </c>
      <c r="D139" t="s">
        <v>31</v>
      </c>
      <c r="E139" t="s">
        <v>167</v>
      </c>
      <c r="F139" t="s">
        <v>33</v>
      </c>
      <c r="H139" t="s">
        <v>4438</v>
      </c>
      <c r="J139" s="81">
        <v>5000</v>
      </c>
    </row>
    <row r="140" spans="1:10">
      <c r="A140" s="137" t="str">
        <f t="shared" si="10"/>
        <v>HRREDESHR</v>
      </c>
      <c r="B140" t="s">
        <v>1049</v>
      </c>
      <c r="C140" s="1">
        <v>45803</v>
      </c>
      <c r="D140" t="s">
        <v>29</v>
      </c>
      <c r="E140" t="s">
        <v>167</v>
      </c>
      <c r="F140" t="s">
        <v>29</v>
      </c>
      <c r="H140" t="s">
        <v>4437</v>
      </c>
      <c r="J140" s="81">
        <v>4650</v>
      </c>
    </row>
    <row r="141" spans="1:10">
      <c r="A141" s="137" t="str">
        <f t="shared" si="10"/>
        <v>ELIREDESELILU</v>
      </c>
      <c r="B141" t="s">
        <v>1049</v>
      </c>
      <c r="C141" s="1">
        <v>45803</v>
      </c>
      <c r="D141" t="s">
        <v>130</v>
      </c>
      <c r="E141" t="s">
        <v>167</v>
      </c>
      <c r="F141" t="s">
        <v>168</v>
      </c>
      <c r="H141" t="s">
        <v>4458</v>
      </c>
      <c r="J141" s="81">
        <v>2401</v>
      </c>
    </row>
    <row r="142" spans="1:10">
      <c r="A142" s="137" t="str">
        <f t="shared" si="10"/>
        <v>ELIREDESELILU</v>
      </c>
      <c r="B142" t="s">
        <v>1049</v>
      </c>
      <c r="C142" s="1">
        <v>45803</v>
      </c>
      <c r="D142" t="s">
        <v>130</v>
      </c>
      <c r="E142" t="s">
        <v>167</v>
      </c>
      <c r="F142" t="s">
        <v>168</v>
      </c>
      <c r="H142" t="s">
        <v>4458</v>
      </c>
      <c r="J142" s="81">
        <v>156.1</v>
      </c>
    </row>
    <row r="143" spans="1:10">
      <c r="A143" s="137" t="str">
        <f t="shared" si="10"/>
        <v>MMREDESMARKET MAX</v>
      </c>
      <c r="B143" t="s">
        <v>1049</v>
      </c>
      <c r="C143" s="1">
        <v>45803</v>
      </c>
      <c r="D143" t="s">
        <v>45</v>
      </c>
      <c r="E143" t="s">
        <v>167</v>
      </c>
      <c r="F143" t="s">
        <v>46</v>
      </c>
      <c r="H143" t="s">
        <v>4457</v>
      </c>
      <c r="J143" s="81">
        <v>121.83</v>
      </c>
    </row>
    <row r="144" spans="1:10">
      <c r="A144" s="137" t="str">
        <f t="shared" si="10"/>
        <v>CAPREDESCAPRICHOS</v>
      </c>
      <c r="B144" t="s">
        <v>1049</v>
      </c>
      <c r="C144" s="1">
        <v>45803</v>
      </c>
      <c r="D144" t="s">
        <v>31</v>
      </c>
      <c r="E144" t="s">
        <v>167</v>
      </c>
      <c r="F144" t="s">
        <v>33</v>
      </c>
      <c r="H144" t="s">
        <v>4438</v>
      </c>
      <c r="J144" s="81">
        <v>1198.33</v>
      </c>
    </row>
    <row r="145" spans="1:10">
      <c r="A145" s="137" t="str">
        <f t="shared" si="10"/>
        <v>MMREDESMARKET MAX</v>
      </c>
      <c r="B145" t="s">
        <v>1049</v>
      </c>
      <c r="C145" s="1">
        <v>45803</v>
      </c>
      <c r="D145" t="s">
        <v>45</v>
      </c>
      <c r="E145" t="s">
        <v>167</v>
      </c>
      <c r="F145" t="s">
        <v>46</v>
      </c>
      <c r="H145" t="s">
        <v>4457</v>
      </c>
      <c r="J145" s="81">
        <v>938.02</v>
      </c>
    </row>
    <row r="146" spans="1:10">
      <c r="A146" s="137" t="str">
        <f t="shared" si="10"/>
        <v>CAPREDESCAPRICHOS</v>
      </c>
      <c r="B146" t="s">
        <v>1049</v>
      </c>
      <c r="C146" s="1">
        <v>45803</v>
      </c>
      <c r="D146" t="s">
        <v>31</v>
      </c>
      <c r="E146" t="s">
        <v>167</v>
      </c>
      <c r="F146" t="s">
        <v>33</v>
      </c>
      <c r="H146" t="s">
        <v>4438</v>
      </c>
      <c r="J146" s="81">
        <v>217.63</v>
      </c>
    </row>
    <row r="147" spans="1:10">
      <c r="A147" s="137" t="str">
        <f t="shared" si="10"/>
        <v>HRREDESHR</v>
      </c>
      <c r="B147" t="s">
        <v>1049</v>
      </c>
      <c r="C147" s="1">
        <v>45803</v>
      </c>
      <c r="D147" t="s">
        <v>29</v>
      </c>
      <c r="E147" t="s">
        <v>167</v>
      </c>
      <c r="F147" t="s">
        <v>29</v>
      </c>
      <c r="H147" t="s">
        <v>4437</v>
      </c>
      <c r="J147" s="81">
        <v>3433.79</v>
      </c>
    </row>
    <row r="148" spans="1:10">
      <c r="A148" s="137" t="str">
        <f t="shared" si="10"/>
        <v>ELIREDESELILU</v>
      </c>
      <c r="B148" t="s">
        <v>1049</v>
      </c>
      <c r="C148" s="1">
        <v>45803</v>
      </c>
      <c r="D148" t="s">
        <v>130</v>
      </c>
      <c r="E148" t="s">
        <v>167</v>
      </c>
      <c r="F148" t="s">
        <v>168</v>
      </c>
      <c r="H148" t="s">
        <v>4458</v>
      </c>
      <c r="J148" s="81">
        <v>136.82</v>
      </c>
    </row>
    <row r="149" spans="1:10">
      <c r="A149" s="137" t="str">
        <f t="shared" si="10"/>
        <v>HRREDESHR</v>
      </c>
      <c r="B149" t="s">
        <v>1049</v>
      </c>
      <c r="C149" s="1">
        <v>45803</v>
      </c>
      <c r="D149" t="s">
        <v>29</v>
      </c>
      <c r="E149" t="s">
        <v>167</v>
      </c>
      <c r="F149" t="s">
        <v>29</v>
      </c>
      <c r="H149" t="s">
        <v>4437</v>
      </c>
      <c r="J149" s="81">
        <v>531.04</v>
      </c>
    </row>
    <row r="150" spans="1:10">
      <c r="A150" s="137" t="str">
        <f t="shared" si="10"/>
        <v>MELREDESMELISSA</v>
      </c>
      <c r="B150" t="s">
        <v>1049</v>
      </c>
      <c r="C150" s="1">
        <v>45803</v>
      </c>
      <c r="D150" t="s">
        <v>43</v>
      </c>
      <c r="E150" t="s">
        <v>167</v>
      </c>
      <c r="F150" t="s">
        <v>44</v>
      </c>
      <c r="H150" t="s">
        <v>4440</v>
      </c>
      <c r="J150" s="81">
        <v>1808.15</v>
      </c>
    </row>
    <row r="151" spans="1:10">
      <c r="A151" s="137" t="str">
        <f t="shared" si="10"/>
        <v>FINANZASTELEFONIATELEFONIA</v>
      </c>
      <c r="B151" t="s">
        <v>1049</v>
      </c>
      <c r="C151" s="1">
        <v>45803</v>
      </c>
      <c r="D151" t="s">
        <v>23</v>
      </c>
      <c r="E151" t="s">
        <v>181</v>
      </c>
      <c r="F151" t="s">
        <v>181</v>
      </c>
      <c r="H151" t="s">
        <v>4459</v>
      </c>
      <c r="J151" s="81">
        <v>3190</v>
      </c>
    </row>
    <row r="152" spans="1:10">
      <c r="A152" s="137" t="str">
        <f t="shared" si="10"/>
        <v>FINANZASTELEFONIATELEFONIA</v>
      </c>
      <c r="B152" t="s">
        <v>1049</v>
      </c>
      <c r="C152" s="1">
        <v>45803</v>
      </c>
      <c r="D152" t="s">
        <v>23</v>
      </c>
      <c r="E152" t="s">
        <v>181</v>
      </c>
      <c r="F152" t="s">
        <v>181</v>
      </c>
      <c r="H152" t="s">
        <v>4459</v>
      </c>
      <c r="J152" s="81">
        <v>5280</v>
      </c>
    </row>
    <row r="153" spans="1:10">
      <c r="A153" s="137" t="str">
        <f t="shared" si="10"/>
        <v>SGECUOTAS Y SUSCRIPCIONESOFFICE 365(C1)</v>
      </c>
      <c r="B153" t="s">
        <v>1049</v>
      </c>
      <c r="C153" s="1">
        <v>45803</v>
      </c>
      <c r="D153" t="s">
        <v>39</v>
      </c>
      <c r="E153" t="s">
        <v>51</v>
      </c>
      <c r="F153" s="158" t="s">
        <v>53</v>
      </c>
      <c r="H153" t="s">
        <v>4460</v>
      </c>
      <c r="J153" s="81">
        <v>205.13</v>
      </c>
    </row>
    <row r="154" spans="1:10">
      <c r="A154" s="137" t="str">
        <f t="shared" si="10"/>
        <v>HRREDESHR</v>
      </c>
      <c r="B154" t="s">
        <v>1049</v>
      </c>
      <c r="C154" s="1">
        <v>45803</v>
      </c>
      <c r="D154" t="s">
        <v>29</v>
      </c>
      <c r="E154" t="s">
        <v>167</v>
      </c>
      <c r="F154" t="s">
        <v>29</v>
      </c>
      <c r="H154" t="s">
        <v>4442</v>
      </c>
      <c r="J154" s="81">
        <v>129</v>
      </c>
    </row>
    <row r="155" spans="1:10">
      <c r="A155" s="137" t="str">
        <f t="shared" si="10"/>
        <v>SGECUOTAS Y SUSCRIPCIONESCANVA</v>
      </c>
      <c r="B155" t="s">
        <v>1049</v>
      </c>
      <c r="C155" s="1">
        <v>45803</v>
      </c>
      <c r="D155" t="s">
        <v>39</v>
      </c>
      <c r="E155" t="s">
        <v>51</v>
      </c>
      <c r="F155" t="s">
        <v>60</v>
      </c>
      <c r="H155" t="s">
        <v>60</v>
      </c>
      <c r="J155" s="81">
        <v>1209</v>
      </c>
    </row>
    <row r="156" spans="1:10">
      <c r="A156" s="137" t="str">
        <f t="shared" si="10"/>
        <v>SGECUOTAS Y SUSCRIPCIONESCHATGPT</v>
      </c>
      <c r="B156" t="s">
        <v>1049</v>
      </c>
      <c r="C156" s="1">
        <v>45803</v>
      </c>
      <c r="D156" t="s">
        <v>39</v>
      </c>
      <c r="E156" t="s">
        <v>51</v>
      </c>
      <c r="F156" t="s">
        <v>59</v>
      </c>
      <c r="H156" t="s">
        <v>4456</v>
      </c>
      <c r="J156" s="81">
        <v>401.94</v>
      </c>
    </row>
    <row r="157" spans="1:10">
      <c r="A157" s="137" t="str">
        <f t="shared" si="10"/>
        <v>HRREDESHR</v>
      </c>
      <c r="B157" t="s">
        <v>1049</v>
      </c>
      <c r="C157" s="1">
        <v>45803</v>
      </c>
      <c r="D157" t="s">
        <v>29</v>
      </c>
      <c r="E157" t="s">
        <v>167</v>
      </c>
      <c r="F157" t="s">
        <v>29</v>
      </c>
      <c r="H157" t="s">
        <v>4437</v>
      </c>
      <c r="J157" s="81">
        <v>4650</v>
      </c>
    </row>
    <row r="158" spans="1:10">
      <c r="A158" s="137" t="str">
        <f t="shared" si="10"/>
        <v>SGECUOTAS Y SUSCRIPCIONESZOOM</v>
      </c>
      <c r="B158" t="s">
        <v>1049</v>
      </c>
      <c r="C158" s="1">
        <v>45803</v>
      </c>
      <c r="D158" t="s">
        <v>39</v>
      </c>
      <c r="E158" t="s">
        <v>51</v>
      </c>
      <c r="F158" t="s">
        <v>56</v>
      </c>
      <c r="H158" t="s">
        <v>4461</v>
      </c>
      <c r="J158" s="81">
        <v>1869.42</v>
      </c>
    </row>
    <row r="159" spans="1:10">
      <c r="A159" s="137" t="str">
        <f t="shared" si="10"/>
        <v>FINANZASTELEFONIATELEFONIA</v>
      </c>
      <c r="B159" t="s">
        <v>1049</v>
      </c>
      <c r="C159" s="1">
        <v>45803</v>
      </c>
      <c r="D159" t="s">
        <v>23</v>
      </c>
      <c r="E159" t="s">
        <v>181</v>
      </c>
      <c r="F159" t="s">
        <v>181</v>
      </c>
      <c r="H159" t="s">
        <v>4444</v>
      </c>
      <c r="J159" s="81">
        <v>603.03</v>
      </c>
    </row>
    <row r="160" spans="1:10">
      <c r="A160" s="137" t="str">
        <f t="shared" si="10"/>
        <v>HRREDESHR</v>
      </c>
      <c r="B160" t="s">
        <v>1049</v>
      </c>
      <c r="C160" s="1">
        <v>45803</v>
      </c>
      <c r="D160" t="s">
        <v>29</v>
      </c>
      <c r="E160" t="s">
        <v>167</v>
      </c>
      <c r="F160" t="s">
        <v>29</v>
      </c>
      <c r="H160" t="s">
        <v>4442</v>
      </c>
      <c r="J160" s="81">
        <v>199</v>
      </c>
    </row>
    <row r="161" spans="1:10">
      <c r="A161" s="137" t="str">
        <f t="shared" si="10"/>
        <v>SGECUOTAS Y SUSCRIPCIONESCANVA</v>
      </c>
      <c r="B161" t="s">
        <v>1049</v>
      </c>
      <c r="C161" s="1">
        <v>45803</v>
      </c>
      <c r="D161" t="s">
        <v>39</v>
      </c>
      <c r="E161" t="s">
        <v>51</v>
      </c>
      <c r="F161" t="s">
        <v>60</v>
      </c>
      <c r="H161" t="s">
        <v>60</v>
      </c>
      <c r="J161" s="81">
        <v>150</v>
      </c>
    </row>
    <row r="162" spans="1:10">
      <c r="A162" s="137" t="str">
        <f t="shared" si="10"/>
        <v>SGECUOTAS Y SUSCRIPCIONESCHATGPT</v>
      </c>
      <c r="B162" t="s">
        <v>1049</v>
      </c>
      <c r="C162" s="1">
        <v>45803</v>
      </c>
      <c r="D162" t="s">
        <v>39</v>
      </c>
      <c r="E162" t="s">
        <v>51</v>
      </c>
      <c r="F162" t="s">
        <v>59</v>
      </c>
      <c r="H162" t="s">
        <v>4456</v>
      </c>
      <c r="J162" s="81">
        <v>401.51</v>
      </c>
    </row>
    <row r="163" spans="1:10">
      <c r="A163" s="137" t="str">
        <f t="shared" si="10"/>
        <v>HRREDESHR</v>
      </c>
      <c r="B163" t="s">
        <v>1049</v>
      </c>
      <c r="C163" s="1">
        <v>45803</v>
      </c>
      <c r="D163" t="s">
        <v>29</v>
      </c>
      <c r="E163" t="s">
        <v>167</v>
      </c>
      <c r="F163" t="s">
        <v>29</v>
      </c>
      <c r="H163" t="s">
        <v>4442</v>
      </c>
      <c r="J163" s="81">
        <v>199</v>
      </c>
    </row>
    <row r="164" spans="1:10">
      <c r="A164" s="137" t="str">
        <f t="shared" si="10"/>
        <v>FINANZASTELEFONIATELEFONIA</v>
      </c>
      <c r="B164" t="s">
        <v>1049</v>
      </c>
      <c r="C164" s="1">
        <v>45803</v>
      </c>
      <c r="D164" t="s">
        <v>23</v>
      </c>
      <c r="E164" t="s">
        <v>181</v>
      </c>
      <c r="F164" t="s">
        <v>181</v>
      </c>
      <c r="H164" t="s">
        <v>4462</v>
      </c>
      <c r="J164" s="81">
        <v>7804.06</v>
      </c>
    </row>
    <row r="165" spans="1:10" ht="15">
      <c r="A165" s="137" t="str">
        <f t="shared" si="10"/>
        <v>MMREDESMARKET MAX</v>
      </c>
      <c r="B165" t="s">
        <v>1049</v>
      </c>
      <c r="C165" s="1">
        <v>45803</v>
      </c>
      <c r="D165" t="s">
        <v>45</v>
      </c>
      <c r="E165" t="s">
        <v>167</v>
      </c>
      <c r="F165" t="s">
        <v>46</v>
      </c>
      <c r="H165" t="s">
        <v>4457</v>
      </c>
      <c r="J165" s="81">
        <v>3300</v>
      </c>
    </row>
    <row r="166" spans="1:10" ht="15">
      <c r="A166" s="137" t="str">
        <f t="shared" si="10"/>
        <v/>
      </c>
      <c r="B166" t="s">
        <v>1049</v>
      </c>
      <c r="C166" s="1">
        <v>45803</v>
      </c>
      <c r="H166" t="s">
        <v>4463</v>
      </c>
      <c r="J166" s="81">
        <v>6353.84</v>
      </c>
    </row>
    <row r="167" spans="1:10" ht="15">
      <c r="A167" s="137" t="str">
        <f t="shared" si="10"/>
        <v>CAPINSUMOSCAPRICHOS</v>
      </c>
      <c r="B167" t="s">
        <v>1049</v>
      </c>
      <c r="C167" s="1">
        <v>45803</v>
      </c>
      <c r="D167" t="s">
        <v>31</v>
      </c>
      <c r="E167" s="12" t="s">
        <v>133</v>
      </c>
      <c r="F167" s="12" t="s">
        <v>33</v>
      </c>
      <c r="H167" t="s">
        <v>4464</v>
      </c>
      <c r="J167" s="81">
        <v>1381.04</v>
      </c>
    </row>
    <row r="168" spans="1:10" ht="15">
      <c r="A168" s="137" t="str">
        <f t="shared" si="10"/>
        <v>SERVICIOSADQ DE EQ TECNOLOGICOADQ DE EQ TECNOLOGICO</v>
      </c>
      <c r="B168" t="s">
        <v>1049</v>
      </c>
      <c r="C168" s="1">
        <v>45803</v>
      </c>
      <c r="D168" t="s">
        <v>21</v>
      </c>
      <c r="E168" t="s">
        <v>22</v>
      </c>
      <c r="F168" s="158" t="s">
        <v>22</v>
      </c>
      <c r="H168" t="s">
        <v>4465</v>
      </c>
      <c r="J168" s="81">
        <v>693</v>
      </c>
    </row>
    <row r="169" spans="1:10" ht="15">
      <c r="A169" s="137" t="str">
        <f t="shared" si="10"/>
        <v>HRREDESHR</v>
      </c>
      <c r="B169" t="s">
        <v>1277</v>
      </c>
      <c r="C169" s="1">
        <v>45814</v>
      </c>
      <c r="D169" t="s">
        <v>29</v>
      </c>
      <c r="E169" t="s">
        <v>167</v>
      </c>
      <c r="F169" t="s">
        <v>29</v>
      </c>
      <c r="H169" t="s">
        <v>4466</v>
      </c>
      <c r="J169" s="81">
        <v>199</v>
      </c>
    </row>
    <row r="170" spans="1:10">
      <c r="A170" s="137" t="str">
        <f t="shared" si="10"/>
        <v>HRREDESHR</v>
      </c>
      <c r="B170" t="s">
        <v>1277</v>
      </c>
      <c r="C170" s="1">
        <v>45814</v>
      </c>
      <c r="D170" t="s">
        <v>29</v>
      </c>
      <c r="E170" t="s">
        <v>167</v>
      </c>
      <c r="F170" t="s">
        <v>29</v>
      </c>
      <c r="H170" t="s">
        <v>4467</v>
      </c>
      <c r="J170" s="81">
        <v>199</v>
      </c>
    </row>
    <row r="171" spans="1:10" ht="15">
      <c r="A171" s="137" t="str">
        <f t="shared" si="10"/>
        <v>MMREDESMARKET MAX</v>
      </c>
      <c r="B171" t="s">
        <v>1277</v>
      </c>
      <c r="C171" s="1">
        <v>45814</v>
      </c>
      <c r="D171" t="s">
        <v>45</v>
      </c>
      <c r="E171" s="12" t="s">
        <v>167</v>
      </c>
      <c r="F171" s="12" t="s">
        <v>46</v>
      </c>
      <c r="G171" t="s">
        <v>258</v>
      </c>
      <c r="H171" t="s">
        <v>4468</v>
      </c>
      <c r="J171" s="81">
        <v>199</v>
      </c>
    </row>
    <row r="172" spans="1:10">
      <c r="A172" s="137" t="str">
        <f t="shared" si="10"/>
        <v>CAPMTTO EQ DE TRANSPORTECAPRICHOS</v>
      </c>
      <c r="B172" t="s">
        <v>1277</v>
      </c>
      <c r="C172" s="1">
        <v>45814</v>
      </c>
      <c r="D172" t="s">
        <v>31</v>
      </c>
      <c r="E172" t="s">
        <v>144</v>
      </c>
      <c r="F172" t="s">
        <v>33</v>
      </c>
      <c r="H172" t="s">
        <v>4469</v>
      </c>
      <c r="J172" s="81">
        <v>2720</v>
      </c>
    </row>
    <row r="173" spans="1:10">
      <c r="A173" s="137" t="str">
        <f t="shared" si="10"/>
        <v>SGECUOTAS Y SUSCRIPCIONESWORKFORCE</v>
      </c>
      <c r="B173" t="s">
        <v>1277</v>
      </c>
      <c r="C173" s="1">
        <v>45814</v>
      </c>
      <c r="D173" t="s">
        <v>39</v>
      </c>
      <c r="E173" t="s">
        <v>51</v>
      </c>
      <c r="F173" t="s">
        <v>79</v>
      </c>
      <c r="H173" t="s">
        <v>4470</v>
      </c>
      <c r="J173" s="81">
        <v>3776.81</v>
      </c>
    </row>
    <row r="174" spans="1:10">
      <c r="A174" s="137" t="str">
        <f t="shared" si="10"/>
        <v>SGECUOTAS Y SUSCRIPCIONESCHATGPT</v>
      </c>
      <c r="B174" t="s">
        <v>1277</v>
      </c>
      <c r="C174" s="1">
        <v>45814</v>
      </c>
      <c r="D174" t="s">
        <v>39</v>
      </c>
      <c r="E174" t="s">
        <v>51</v>
      </c>
      <c r="F174" t="s">
        <v>59</v>
      </c>
      <c r="H174" t="s">
        <v>4471</v>
      </c>
      <c r="J174" s="81">
        <v>402.81</v>
      </c>
    </row>
    <row r="175" spans="1:10" ht="15">
      <c r="A175" s="137" t="str">
        <f t="shared" si="10"/>
        <v>MMREDESMARKET MAX</v>
      </c>
      <c r="B175" t="s">
        <v>1277</v>
      </c>
      <c r="C175" s="1">
        <v>45814</v>
      </c>
      <c r="D175" t="s">
        <v>45</v>
      </c>
      <c r="E175" s="12" t="s">
        <v>167</v>
      </c>
      <c r="F175" s="12" t="s">
        <v>46</v>
      </c>
      <c r="G175" t="s">
        <v>258</v>
      </c>
      <c r="H175" t="s">
        <v>4472</v>
      </c>
      <c r="J175" s="81">
        <v>149</v>
      </c>
    </row>
    <row r="176" spans="1:10">
      <c r="A176" s="137" t="str">
        <f t="shared" si="10"/>
        <v>SGECUOTAS Y SUSCRIPCIONESGOOGLE CAPCUT</v>
      </c>
      <c r="B176" t="s">
        <v>1277</v>
      </c>
      <c r="C176" s="1">
        <v>45814</v>
      </c>
      <c r="D176" t="s">
        <v>39</v>
      </c>
      <c r="E176" t="s">
        <v>51</v>
      </c>
      <c r="F176" t="s">
        <v>80</v>
      </c>
      <c r="H176" t="s">
        <v>4473</v>
      </c>
      <c r="J176" s="81">
        <v>1499</v>
      </c>
    </row>
    <row r="177" spans="1:11" ht="15">
      <c r="A177" s="137" t="str">
        <f t="shared" si="10"/>
        <v/>
      </c>
      <c r="B177" t="s">
        <v>1277</v>
      </c>
      <c r="H177" s="307"/>
      <c r="I177" s="308"/>
      <c r="J177" s="308"/>
      <c r="K177" s="309"/>
    </row>
    <row r="178" spans="1:11" ht="15">
      <c r="A178" s="137" t="str">
        <f t="shared" si="10"/>
        <v>ELIREDESELILU</v>
      </c>
      <c r="B178" t="s">
        <v>1277</v>
      </c>
      <c r="C178" s="1">
        <v>45834</v>
      </c>
      <c r="D178" t="s">
        <v>130</v>
      </c>
      <c r="E178" t="s">
        <v>167</v>
      </c>
      <c r="F178" t="s">
        <v>168</v>
      </c>
      <c r="H178" s="310" t="s">
        <v>4474</v>
      </c>
      <c r="I178" s="308"/>
      <c r="J178" s="311">
        <v>430.8</v>
      </c>
      <c r="K178" s="309"/>
    </row>
    <row r="179" spans="1:11" ht="15">
      <c r="A179" s="137" t="str">
        <f t="shared" si="10"/>
        <v>HRREDESHR</v>
      </c>
      <c r="B179" t="s">
        <v>1277</v>
      </c>
      <c r="C179" s="1">
        <v>45834</v>
      </c>
      <c r="D179" t="s">
        <v>29</v>
      </c>
      <c r="E179" t="s">
        <v>167</v>
      </c>
      <c r="F179" t="s">
        <v>29</v>
      </c>
      <c r="H179" s="310" t="s">
        <v>4437</v>
      </c>
      <c r="I179" s="308"/>
      <c r="J179" s="311">
        <v>4650</v>
      </c>
      <c r="K179" s="309"/>
    </row>
    <row r="180" spans="1:11" ht="15">
      <c r="A180" s="137" t="str">
        <f t="shared" si="10"/>
        <v>CAPREDESCAPRICHOS</v>
      </c>
      <c r="B180" t="s">
        <v>1277</v>
      </c>
      <c r="C180" s="1">
        <v>45834</v>
      </c>
      <c r="D180" t="s">
        <v>31</v>
      </c>
      <c r="E180" s="12" t="s">
        <v>167</v>
      </c>
      <c r="F180" s="12" t="s">
        <v>33</v>
      </c>
      <c r="H180" s="310" t="s">
        <v>4475</v>
      </c>
      <c r="I180" s="308"/>
      <c r="J180" s="311">
        <v>5000</v>
      </c>
      <c r="K180" s="309"/>
    </row>
    <row r="181" spans="1:11" ht="15">
      <c r="A181" s="137" t="str">
        <f t="shared" si="10"/>
        <v>ELIREDESELILU</v>
      </c>
      <c r="B181" t="s">
        <v>1277</v>
      </c>
      <c r="C181" s="1">
        <v>45834</v>
      </c>
      <c r="D181" t="s">
        <v>130</v>
      </c>
      <c r="E181" t="s">
        <v>167</v>
      </c>
      <c r="F181" t="s">
        <v>168</v>
      </c>
      <c r="H181" s="310" t="s">
        <v>4474</v>
      </c>
      <c r="I181" s="308"/>
      <c r="J181" s="311">
        <v>2642</v>
      </c>
      <c r="K181" s="309"/>
    </row>
    <row r="182" spans="1:11" ht="15">
      <c r="A182" s="137" t="str">
        <f t="shared" si="10"/>
        <v>HRREDESHR</v>
      </c>
      <c r="B182" t="s">
        <v>1277</v>
      </c>
      <c r="C182" s="1">
        <v>45834</v>
      </c>
      <c r="D182" t="s">
        <v>29</v>
      </c>
      <c r="E182" t="s">
        <v>167</v>
      </c>
      <c r="F182" t="s">
        <v>29</v>
      </c>
      <c r="H182" s="310" t="s">
        <v>4437</v>
      </c>
      <c r="I182" s="308"/>
      <c r="J182" s="311">
        <v>420.79</v>
      </c>
      <c r="K182" s="309"/>
    </row>
    <row r="183" spans="1:11" ht="15">
      <c r="A183" s="137" t="str">
        <f t="shared" si="10"/>
        <v>FINANZASTELEFONIASTARLINK</v>
      </c>
      <c r="B183" t="s">
        <v>1277</v>
      </c>
      <c r="C183" s="1">
        <v>45834</v>
      </c>
      <c r="D183" t="s">
        <v>23</v>
      </c>
      <c r="E183" s="12" t="s">
        <v>181</v>
      </c>
      <c r="F183" s="12" t="s">
        <v>184</v>
      </c>
      <c r="H183" s="307" t="s">
        <v>4476</v>
      </c>
      <c r="I183" s="308"/>
      <c r="J183" s="311">
        <v>3190</v>
      </c>
      <c r="K183" s="309"/>
    </row>
    <row r="184" spans="1:11" ht="15">
      <c r="A184" s="137" t="str">
        <f t="shared" si="10"/>
        <v>CAPREDESCAPRICHOS</v>
      </c>
      <c r="B184" t="s">
        <v>1277</v>
      </c>
      <c r="C184" s="1">
        <v>45834</v>
      </c>
      <c r="D184" t="s">
        <v>31</v>
      </c>
      <c r="E184" s="12" t="s">
        <v>167</v>
      </c>
      <c r="F184" s="12" t="s">
        <v>33</v>
      </c>
      <c r="H184" s="310" t="s">
        <v>4475</v>
      </c>
      <c r="I184" s="308"/>
      <c r="J184" s="311">
        <v>1013.28</v>
      </c>
      <c r="K184" s="309"/>
    </row>
    <row r="185" spans="1:11" ht="15">
      <c r="A185" s="137" t="str">
        <f t="shared" si="10"/>
        <v>HRREDESHR</v>
      </c>
      <c r="B185" t="s">
        <v>1277</v>
      </c>
      <c r="C185" s="1">
        <v>45834</v>
      </c>
      <c r="D185" t="s">
        <v>29</v>
      </c>
      <c r="E185" t="s">
        <v>167</v>
      </c>
      <c r="F185" t="s">
        <v>29</v>
      </c>
      <c r="H185" s="310" t="s">
        <v>4437</v>
      </c>
      <c r="I185" s="308"/>
      <c r="J185" s="311">
        <v>3369.27</v>
      </c>
      <c r="K185" s="309"/>
    </row>
    <row r="186" spans="1:11" ht="15">
      <c r="A186" s="137" t="str">
        <f t="shared" si="10"/>
        <v>ELIREDESELILU</v>
      </c>
      <c r="B186" t="s">
        <v>1277</v>
      </c>
      <c r="C186" s="1">
        <v>45834</v>
      </c>
      <c r="D186" t="s">
        <v>130</v>
      </c>
      <c r="E186" t="s">
        <v>167</v>
      </c>
      <c r="F186" t="s">
        <v>168</v>
      </c>
      <c r="H186" s="310" t="s">
        <v>4474</v>
      </c>
      <c r="I186" s="308"/>
      <c r="J186" s="311">
        <v>623.26</v>
      </c>
      <c r="K186" s="309"/>
    </row>
    <row r="187" spans="1:11" ht="15">
      <c r="A187" s="137" t="str">
        <f t="shared" si="10"/>
        <v>MMREDESMARKET MAX</v>
      </c>
      <c r="B187" t="s">
        <v>1277</v>
      </c>
      <c r="C187" s="1">
        <v>45834</v>
      </c>
      <c r="D187" t="s">
        <v>45</v>
      </c>
      <c r="E187" s="12" t="s">
        <v>167</v>
      </c>
      <c r="F187" s="12" t="s">
        <v>46</v>
      </c>
      <c r="H187" s="310" t="s">
        <v>4439</v>
      </c>
      <c r="I187" s="308"/>
      <c r="J187" s="311">
        <v>107.35</v>
      </c>
      <c r="K187" s="309"/>
    </row>
    <row r="188" spans="1:11" ht="15">
      <c r="A188" s="137" t="str">
        <f t="shared" si="10"/>
        <v>ELIREDESELILU</v>
      </c>
      <c r="B188" t="s">
        <v>1277</v>
      </c>
      <c r="C188" s="1">
        <v>45834</v>
      </c>
      <c r="D188" t="s">
        <v>130</v>
      </c>
      <c r="E188" t="s">
        <v>167</v>
      </c>
      <c r="F188" t="s">
        <v>168</v>
      </c>
      <c r="H188" s="310" t="s">
        <v>4474</v>
      </c>
      <c r="I188" s="308"/>
      <c r="J188" s="311">
        <v>140.96</v>
      </c>
      <c r="K188" s="309"/>
    </row>
    <row r="189" spans="1:11" ht="15">
      <c r="A189" s="137" t="str">
        <f t="shared" si="10"/>
        <v>ELIREDESELILU</v>
      </c>
      <c r="B189" t="s">
        <v>1277</v>
      </c>
      <c r="C189" s="1">
        <v>45834</v>
      </c>
      <c r="D189" t="s">
        <v>130</v>
      </c>
      <c r="E189" t="s">
        <v>167</v>
      </c>
      <c r="F189" t="s">
        <v>168</v>
      </c>
      <c r="H189" s="310" t="s">
        <v>4474</v>
      </c>
      <c r="I189" s="308"/>
      <c r="J189" s="311">
        <v>896.93</v>
      </c>
      <c r="K189" s="309"/>
    </row>
    <row r="190" spans="1:11" ht="15">
      <c r="A190" s="137" t="str">
        <f t="shared" si="10"/>
        <v>MMREDESMARKET MAX</v>
      </c>
      <c r="B190" t="s">
        <v>1277</v>
      </c>
      <c r="C190" s="1">
        <v>45834</v>
      </c>
      <c r="D190" t="s">
        <v>45</v>
      </c>
      <c r="E190" s="12" t="s">
        <v>167</v>
      </c>
      <c r="F190" s="12" t="s">
        <v>46</v>
      </c>
      <c r="H190" s="310" t="s">
        <v>4439</v>
      </c>
      <c r="I190" s="308"/>
      <c r="J190" s="311">
        <v>1693.01</v>
      </c>
      <c r="K190" s="309"/>
    </row>
    <row r="191" spans="1:11" ht="15">
      <c r="A191" s="137" t="str">
        <f t="shared" si="10"/>
        <v>MELREDESMELISSA</v>
      </c>
      <c r="B191" t="s">
        <v>1277</v>
      </c>
      <c r="C191" s="1">
        <v>45834</v>
      </c>
      <c r="D191" t="s">
        <v>43</v>
      </c>
      <c r="E191" t="s">
        <v>167</v>
      </c>
      <c r="F191" t="s">
        <v>44</v>
      </c>
      <c r="G191" t="s">
        <v>258</v>
      </c>
      <c r="H191" s="310" t="s">
        <v>4440</v>
      </c>
      <c r="I191" s="308"/>
      <c r="J191" s="311">
        <v>777.07</v>
      </c>
      <c r="K191" s="309"/>
    </row>
    <row r="192" spans="1:11" ht="15">
      <c r="A192" s="137" t="str">
        <f t="shared" si="10"/>
        <v>CAPREDESCAPRICHOS</v>
      </c>
      <c r="B192" t="s">
        <v>1277</v>
      </c>
      <c r="C192" s="1">
        <v>45834</v>
      </c>
      <c r="D192" t="s">
        <v>31</v>
      </c>
      <c r="E192" s="12" t="s">
        <v>167</v>
      </c>
      <c r="F192" s="12" t="s">
        <v>33</v>
      </c>
      <c r="H192" s="310" t="s">
        <v>4475</v>
      </c>
      <c r="I192" s="308"/>
      <c r="J192" s="311">
        <v>107.73</v>
      </c>
      <c r="K192" s="309"/>
    </row>
    <row r="193" spans="1:11" ht="15">
      <c r="A193" s="137" t="str">
        <f t="shared" si="10"/>
        <v>FINANZASTELEFONIASTARLINK</v>
      </c>
      <c r="B193" t="s">
        <v>1277</v>
      </c>
      <c r="C193" s="1">
        <v>45834</v>
      </c>
      <c r="D193" t="s">
        <v>23</v>
      </c>
      <c r="E193" s="12" t="s">
        <v>181</v>
      </c>
      <c r="F193" s="12" t="s">
        <v>184</v>
      </c>
      <c r="H193" s="307" t="s">
        <v>4476</v>
      </c>
      <c r="I193" s="308"/>
      <c r="J193" s="311">
        <v>5280</v>
      </c>
      <c r="K193" s="309"/>
    </row>
    <row r="194" spans="1:11" ht="15">
      <c r="A194" s="137" t="str">
        <f t="shared" si="10"/>
        <v>CAPREDESCAPRICHOS</v>
      </c>
      <c r="B194" t="s">
        <v>1277</v>
      </c>
      <c r="C194" s="1">
        <v>45834</v>
      </c>
      <c r="D194" t="s">
        <v>31</v>
      </c>
      <c r="E194" t="s">
        <v>167</v>
      </c>
      <c r="F194" t="s">
        <v>33</v>
      </c>
      <c r="H194" s="317" t="s">
        <v>4477</v>
      </c>
      <c r="I194" s="308"/>
      <c r="J194" s="311">
        <v>129</v>
      </c>
      <c r="K194" s="309"/>
    </row>
    <row r="195" spans="1:11" ht="15">
      <c r="A195" s="137" t="str">
        <f t="shared" si="10"/>
        <v>FINANZASTELEFONIATELEFONIA</v>
      </c>
      <c r="B195" t="s">
        <v>1277</v>
      </c>
      <c r="C195" s="1">
        <v>45834</v>
      </c>
      <c r="D195" t="s">
        <v>23</v>
      </c>
      <c r="E195" t="s">
        <v>181</v>
      </c>
      <c r="F195" t="s">
        <v>181</v>
      </c>
      <c r="H195" s="307" t="s">
        <v>4444</v>
      </c>
      <c r="I195" s="308"/>
      <c r="J195" s="311">
        <v>603.04</v>
      </c>
      <c r="K195" s="309"/>
    </row>
    <row r="196" spans="1:11" ht="15">
      <c r="A196" s="137" t="str">
        <f t="shared" si="10"/>
        <v>ELIREDESELILU</v>
      </c>
      <c r="B196" t="s">
        <v>1277</v>
      </c>
      <c r="C196" s="1">
        <v>45834</v>
      </c>
      <c r="D196" t="s">
        <v>130</v>
      </c>
      <c r="E196" t="s">
        <v>167</v>
      </c>
      <c r="F196" t="s">
        <v>168</v>
      </c>
      <c r="H196" s="312" t="s">
        <v>4474</v>
      </c>
      <c r="I196" s="308"/>
      <c r="J196" s="311">
        <v>239.98</v>
      </c>
      <c r="K196" s="309"/>
    </row>
    <row r="197" spans="1:11" ht="15">
      <c r="A197" s="137" t="str">
        <f t="shared" ref="A197:A260" si="11">D197&amp;E197&amp;F197</f>
        <v>CAPREDESCAPRICHOS</v>
      </c>
      <c r="B197" t="s">
        <v>1277</v>
      </c>
      <c r="C197" s="1">
        <v>45834</v>
      </c>
      <c r="D197" t="s">
        <v>31</v>
      </c>
      <c r="E197" t="s">
        <v>167</v>
      </c>
      <c r="F197" t="s">
        <v>33</v>
      </c>
      <c r="H197" s="317" t="s">
        <v>4477</v>
      </c>
      <c r="I197" s="308"/>
      <c r="J197" s="311">
        <v>199</v>
      </c>
      <c r="K197" s="309"/>
    </row>
    <row r="198" spans="1:11" ht="15">
      <c r="A198" s="137" t="str">
        <f t="shared" si="11"/>
        <v>CAPREDESCAPRICHOS</v>
      </c>
      <c r="B198" t="s">
        <v>1277</v>
      </c>
      <c r="C198" s="1">
        <v>45834</v>
      </c>
      <c r="D198" t="s">
        <v>31</v>
      </c>
      <c r="E198" t="s">
        <v>167</v>
      </c>
      <c r="F198" t="s">
        <v>33</v>
      </c>
      <c r="H198" s="317" t="s">
        <v>4477</v>
      </c>
      <c r="I198" s="308"/>
      <c r="J198" s="311">
        <v>199</v>
      </c>
      <c r="K198" s="309"/>
    </row>
    <row r="199" spans="1:11" ht="15">
      <c r="A199" s="137" t="str">
        <f t="shared" si="11"/>
        <v>HRREDESHR</v>
      </c>
      <c r="B199" t="s">
        <v>1277</v>
      </c>
      <c r="C199" s="1">
        <v>45834</v>
      </c>
      <c r="D199" t="s">
        <v>29</v>
      </c>
      <c r="E199" t="s">
        <v>167</v>
      </c>
      <c r="F199" t="s">
        <v>29</v>
      </c>
      <c r="H199" s="307" t="s">
        <v>4437</v>
      </c>
      <c r="I199" s="308"/>
      <c r="J199" s="311">
        <v>4650</v>
      </c>
      <c r="K199" s="309"/>
    </row>
    <row r="200" spans="1:11" ht="15">
      <c r="A200" s="137" t="str">
        <f t="shared" si="11"/>
        <v>FINANZASTELEFONIATELCEL</v>
      </c>
      <c r="B200" t="s">
        <v>1277</v>
      </c>
      <c r="C200" s="1">
        <v>45834</v>
      </c>
      <c r="D200" t="s">
        <v>23</v>
      </c>
      <c r="E200" s="12" t="s">
        <v>181</v>
      </c>
      <c r="F200" s="12" t="s">
        <v>183</v>
      </c>
      <c r="H200" s="307" t="s">
        <v>4478</v>
      </c>
      <c r="I200" s="308"/>
      <c r="J200" s="311">
        <v>3183.96</v>
      </c>
      <c r="K200" s="309"/>
    </row>
    <row r="201" spans="1:11" ht="15">
      <c r="A201" s="137" t="str">
        <f t="shared" si="11"/>
        <v>FINANZASTELEFONIATELCEL</v>
      </c>
      <c r="B201" t="s">
        <v>1277</v>
      </c>
      <c r="C201" s="1">
        <v>45834</v>
      </c>
      <c r="D201" t="s">
        <v>23</v>
      </c>
      <c r="E201" s="12" t="s">
        <v>181</v>
      </c>
      <c r="F201" s="12" t="s">
        <v>183</v>
      </c>
      <c r="H201" s="307" t="s">
        <v>4479</v>
      </c>
      <c r="I201" s="308"/>
      <c r="J201" s="311">
        <v>8004.05</v>
      </c>
      <c r="K201" s="309"/>
    </row>
    <row r="202" spans="1:11" ht="15">
      <c r="A202" s="137" t="str">
        <f t="shared" si="11"/>
        <v/>
      </c>
      <c r="B202" t="s">
        <v>1277</v>
      </c>
      <c r="C202" s="1">
        <v>45834</v>
      </c>
      <c r="H202" s="318" t="s">
        <v>4480</v>
      </c>
      <c r="I202" s="308"/>
      <c r="J202" s="311">
        <v>2844.45</v>
      </c>
      <c r="K202" s="309"/>
    </row>
    <row r="203" spans="1:11" ht="15">
      <c r="A203" s="137" t="str">
        <f t="shared" si="11"/>
        <v>MELREDESMELISSA</v>
      </c>
      <c r="B203" t="s">
        <v>1277</v>
      </c>
      <c r="C203" s="1">
        <v>45834</v>
      </c>
      <c r="D203" t="s">
        <v>43</v>
      </c>
      <c r="E203" t="s">
        <v>167</v>
      </c>
      <c r="F203" t="s">
        <v>44</v>
      </c>
      <c r="G203" t="s">
        <v>258</v>
      </c>
      <c r="H203" s="310" t="s">
        <v>4481</v>
      </c>
      <c r="I203" s="308"/>
      <c r="J203" s="311">
        <v>3875.06</v>
      </c>
      <c r="K203" s="309"/>
    </row>
    <row r="204" spans="1:11" ht="15">
      <c r="A204" s="137" t="str">
        <f t="shared" si="11"/>
        <v>MELREDESMELISSA</v>
      </c>
      <c r="B204" t="s">
        <v>1277</v>
      </c>
      <c r="C204" s="1">
        <v>45834</v>
      </c>
      <c r="D204" t="s">
        <v>43</v>
      </c>
      <c r="E204" t="s">
        <v>167</v>
      </c>
      <c r="F204" t="s">
        <v>44</v>
      </c>
      <c r="G204" t="s">
        <v>258</v>
      </c>
      <c r="H204" s="310" t="s">
        <v>4481</v>
      </c>
      <c r="I204" s="308"/>
      <c r="J204" s="311">
        <v>754.55</v>
      </c>
      <c r="K204" s="309"/>
    </row>
    <row r="205" spans="1:11" ht="15">
      <c r="A205" s="137" t="str">
        <f t="shared" si="11"/>
        <v>SGECUOTAS Y SUSCRIPCIONESCHATGPT</v>
      </c>
      <c r="B205" t="s">
        <v>1277</v>
      </c>
      <c r="C205" s="1">
        <v>45834</v>
      </c>
      <c r="D205" t="s">
        <v>39</v>
      </c>
      <c r="E205" t="s">
        <v>51</v>
      </c>
      <c r="F205" t="s">
        <v>59</v>
      </c>
      <c r="H205" s="313" t="s">
        <v>4427</v>
      </c>
      <c r="I205" s="308"/>
      <c r="J205" s="311">
        <v>1212.58</v>
      </c>
      <c r="K205" s="309"/>
    </row>
    <row r="206" spans="1:11" ht="15">
      <c r="A206" s="137" t="str">
        <f t="shared" si="11"/>
        <v>SGECUOTAS Y SUSCRIPCIONESOFFICE 365(DE)</v>
      </c>
      <c r="B206" t="s">
        <v>1277</v>
      </c>
      <c r="C206" s="1">
        <v>45834</v>
      </c>
      <c r="D206" t="s">
        <v>39</v>
      </c>
      <c r="E206" t="s">
        <v>51</v>
      </c>
      <c r="F206" t="s">
        <v>52</v>
      </c>
      <c r="H206" s="314" t="s">
        <v>4443</v>
      </c>
      <c r="I206" s="308"/>
      <c r="J206" s="311">
        <v>200.41</v>
      </c>
      <c r="K206" s="309"/>
    </row>
    <row r="207" spans="1:11" ht="15">
      <c r="A207" s="137" t="str">
        <f t="shared" si="11"/>
        <v>SGECUOTAS Y SUSCRIPCIONESZOOM</v>
      </c>
      <c r="B207" t="s">
        <v>1277</v>
      </c>
      <c r="C207" s="1">
        <v>45834</v>
      </c>
      <c r="D207" t="s">
        <v>39</v>
      </c>
      <c r="E207" t="s">
        <v>51</v>
      </c>
      <c r="F207" t="s">
        <v>56</v>
      </c>
      <c r="H207" s="315" t="s">
        <v>4447</v>
      </c>
      <c r="I207" s="308"/>
      <c r="J207" s="311">
        <v>1835.81</v>
      </c>
      <c r="K207" s="309"/>
    </row>
    <row r="208" spans="1:11" ht="15">
      <c r="A208" s="137" t="str">
        <f t="shared" si="11"/>
        <v>SGECUOTAS Y SUSCRIPCIONESCHATGPT</v>
      </c>
      <c r="B208" t="s">
        <v>1277</v>
      </c>
      <c r="C208" s="1">
        <v>45834</v>
      </c>
      <c r="D208" t="s">
        <v>39</v>
      </c>
      <c r="E208" t="s">
        <v>51</v>
      </c>
      <c r="F208" t="s">
        <v>59</v>
      </c>
      <c r="H208" s="313" t="s">
        <v>4427</v>
      </c>
      <c r="I208" s="308"/>
      <c r="J208" s="311">
        <v>394.75</v>
      </c>
      <c r="K208" s="309"/>
    </row>
    <row r="209" spans="1:11" ht="15">
      <c r="A209" s="137" t="str">
        <f t="shared" si="11"/>
        <v/>
      </c>
      <c r="B209" t="s">
        <v>1277</v>
      </c>
      <c r="C209" s="1">
        <v>45834</v>
      </c>
      <c r="H209" s="318" t="s">
        <v>4482</v>
      </c>
      <c r="I209" s="308"/>
      <c r="J209" s="311">
        <v>5401.05</v>
      </c>
      <c r="K209" s="309"/>
    </row>
    <row r="210" spans="1:11" ht="15">
      <c r="A210" s="137" t="str">
        <f t="shared" si="11"/>
        <v>SERVICIOSADQ DE EQ TECNOLOGICOADQ DE EQ TECNOLOGICO</v>
      </c>
      <c r="B210" t="s">
        <v>1277</v>
      </c>
      <c r="C210" s="1">
        <v>45834</v>
      </c>
      <c r="D210" t="s">
        <v>21</v>
      </c>
      <c r="E210" t="s">
        <v>22</v>
      </c>
      <c r="F210" s="158" t="s">
        <v>22</v>
      </c>
      <c r="H210" s="311" t="s">
        <v>4483</v>
      </c>
      <c r="I210" s="308"/>
      <c r="J210" s="316">
        <v>3944</v>
      </c>
      <c r="K210" s="309"/>
    </row>
    <row r="211" spans="1:11" ht="15">
      <c r="A211" s="137" t="str">
        <f t="shared" si="11"/>
        <v>SERVICIOSMTTO EQ DE TRANSPORTECEDIS</v>
      </c>
      <c r="B211" t="s">
        <v>1560</v>
      </c>
      <c r="C211" s="1">
        <v>45845</v>
      </c>
      <c r="D211" t="s">
        <v>21</v>
      </c>
      <c r="E211" t="s">
        <v>144</v>
      </c>
      <c r="F211" t="s">
        <v>28</v>
      </c>
      <c r="H211" t="s">
        <v>4484</v>
      </c>
      <c r="J211" s="81">
        <v>31255.97</v>
      </c>
      <c r="K211" s="309"/>
    </row>
    <row r="212" spans="1:11" ht="15">
      <c r="A212" s="137" t="str">
        <f t="shared" si="11"/>
        <v>HRREDESHR</v>
      </c>
      <c r="B212" t="s">
        <v>1560</v>
      </c>
      <c r="C212" s="1">
        <v>45845</v>
      </c>
      <c r="D212" t="s">
        <v>29</v>
      </c>
      <c r="E212" t="s">
        <v>167</v>
      </c>
      <c r="F212" t="s">
        <v>29</v>
      </c>
      <c r="H212" s="307" t="s">
        <v>4412</v>
      </c>
      <c r="I212" s="308"/>
      <c r="J212" s="308">
        <v>199</v>
      </c>
      <c r="K212" s="309"/>
    </row>
    <row r="213" spans="1:11" ht="15">
      <c r="A213" s="137" t="str">
        <f t="shared" si="11"/>
        <v>HRREDESHR</v>
      </c>
      <c r="B213" t="s">
        <v>1560</v>
      </c>
      <c r="C213" s="1">
        <v>45845</v>
      </c>
      <c r="D213" t="s">
        <v>29</v>
      </c>
      <c r="E213" t="s">
        <v>167</v>
      </c>
      <c r="F213" t="s">
        <v>29</v>
      </c>
      <c r="H213" s="307" t="s">
        <v>4412</v>
      </c>
      <c r="I213" s="308"/>
      <c r="J213" s="308">
        <v>199</v>
      </c>
      <c r="K213" s="309"/>
    </row>
    <row r="214" spans="1:11" ht="15">
      <c r="A214" s="137" t="str">
        <f t="shared" si="11"/>
        <v>MMREDESMARKET MAX</v>
      </c>
      <c r="B214" t="s">
        <v>1560</v>
      </c>
      <c r="C214" s="1">
        <v>45845</v>
      </c>
      <c r="D214" t="s">
        <v>45</v>
      </c>
      <c r="E214" s="12" t="s">
        <v>167</v>
      </c>
      <c r="F214" s="12" t="s">
        <v>46</v>
      </c>
      <c r="H214" t="s">
        <v>4485</v>
      </c>
      <c r="J214" s="81">
        <v>199</v>
      </c>
    </row>
    <row r="215" spans="1:11" ht="15">
      <c r="A215" s="137" t="str">
        <f t="shared" si="11"/>
        <v/>
      </c>
      <c r="B215" t="s">
        <v>1560</v>
      </c>
      <c r="C215" s="1">
        <v>45845</v>
      </c>
      <c r="H215" s="89" t="s">
        <v>4486</v>
      </c>
      <c r="J215" s="81">
        <v>3482.3</v>
      </c>
    </row>
    <row r="216" spans="1:11" ht="15">
      <c r="A216" s="137" t="str">
        <f t="shared" si="11"/>
        <v/>
      </c>
      <c r="B216" t="s">
        <v>1560</v>
      </c>
      <c r="C216" s="1">
        <v>45845</v>
      </c>
      <c r="H216" s="89" t="s">
        <v>4487</v>
      </c>
      <c r="J216" s="81">
        <v>5414.61</v>
      </c>
    </row>
    <row r="217" spans="1:11" ht="15">
      <c r="A217" s="137" t="str">
        <f t="shared" si="11"/>
        <v>SGECUOTAS Y SUSCRIPCIONESWORKFORCE</v>
      </c>
      <c r="B217" t="s">
        <v>1560</v>
      </c>
      <c r="C217" s="1">
        <v>45845</v>
      </c>
      <c r="D217" t="s">
        <v>39</v>
      </c>
      <c r="E217" t="s">
        <v>51</v>
      </c>
      <c r="F217" t="s">
        <v>79</v>
      </c>
      <c r="G217" t="s">
        <v>258</v>
      </c>
      <c r="H217" t="s">
        <v>4488</v>
      </c>
      <c r="J217" s="81">
        <v>3315.37</v>
      </c>
    </row>
    <row r="218" spans="1:11" ht="15">
      <c r="A218" s="137" t="str">
        <f t="shared" si="11"/>
        <v>SGECUOTAS Y SUSCRIPCIONESWORKFORCE</v>
      </c>
      <c r="B218" t="s">
        <v>1560</v>
      </c>
      <c r="C218" s="1">
        <v>45845</v>
      </c>
      <c r="D218" t="s">
        <v>39</v>
      </c>
      <c r="E218" t="s">
        <v>51</v>
      </c>
      <c r="F218" t="s">
        <v>79</v>
      </c>
      <c r="G218" t="s">
        <v>258</v>
      </c>
      <c r="H218" t="s">
        <v>4488</v>
      </c>
      <c r="J218" s="81">
        <v>5525.62</v>
      </c>
    </row>
    <row r="219" spans="1:11" ht="15">
      <c r="A219" s="137" t="str">
        <f t="shared" si="11"/>
        <v>MKTCUOTAS Y SUSCRIPCIONESMOKKER APP</v>
      </c>
      <c r="B219" t="s">
        <v>1560</v>
      </c>
      <c r="C219" s="1">
        <v>45845</v>
      </c>
      <c r="D219" t="s">
        <v>19</v>
      </c>
      <c r="E219" t="s">
        <v>51</v>
      </c>
      <c r="F219" t="s">
        <v>83</v>
      </c>
      <c r="G219" t="s">
        <v>258</v>
      </c>
      <c r="H219" t="s">
        <v>4489</v>
      </c>
      <c r="J219" s="81">
        <v>1030.5</v>
      </c>
    </row>
    <row r="220" spans="1:11" ht="15">
      <c r="A220" s="137" t="str">
        <f t="shared" si="11"/>
        <v>SGECUOTAS Y SUSCRIPCIONESMIDJOURNEY APP</v>
      </c>
      <c r="B220" t="s">
        <v>1560</v>
      </c>
      <c r="C220" s="1">
        <v>45845</v>
      </c>
      <c r="D220" t="s">
        <v>39</v>
      </c>
      <c r="E220" t="s">
        <v>51</v>
      </c>
      <c r="F220" t="s">
        <v>84</v>
      </c>
      <c r="G220" t="s">
        <v>258</v>
      </c>
      <c r="H220" t="s">
        <v>4490</v>
      </c>
      <c r="J220" s="81">
        <v>231.82</v>
      </c>
    </row>
    <row r="221" spans="1:11" ht="15">
      <c r="A221" s="137" t="str">
        <f t="shared" si="11"/>
        <v/>
      </c>
      <c r="B221" t="s">
        <v>1560</v>
      </c>
      <c r="C221" s="1">
        <v>45845</v>
      </c>
      <c r="H221" s="89" t="s">
        <v>4487</v>
      </c>
      <c r="J221" s="81">
        <v>4214.82</v>
      </c>
    </row>
    <row r="222" spans="1:11" ht="15">
      <c r="A222" s="137" t="str">
        <f t="shared" si="11"/>
        <v/>
      </c>
      <c r="B222" t="s">
        <v>1560</v>
      </c>
      <c r="C222" s="1">
        <v>45845</v>
      </c>
      <c r="H222" s="89" t="s">
        <v>4487</v>
      </c>
      <c r="J222" s="81">
        <v>1785.32</v>
      </c>
    </row>
    <row r="223" spans="1:11" ht="15">
      <c r="A223" s="137" t="str">
        <f t="shared" si="11"/>
        <v/>
      </c>
      <c r="B223" t="s">
        <v>1560</v>
      </c>
      <c r="C223" s="1">
        <v>45845</v>
      </c>
      <c r="H223" s="89" t="s">
        <v>4491</v>
      </c>
      <c r="J223" s="81">
        <v>564.02</v>
      </c>
    </row>
    <row r="224" spans="1:11" ht="15">
      <c r="A224" s="137" t="str">
        <f t="shared" si="11"/>
        <v/>
      </c>
      <c r="B224" t="s">
        <v>1560</v>
      </c>
      <c r="C224" s="1">
        <v>45845</v>
      </c>
      <c r="H224" s="89" t="s">
        <v>4487</v>
      </c>
      <c r="J224" s="81">
        <v>2272.06</v>
      </c>
    </row>
    <row r="225" spans="1:10" ht="15">
      <c r="A225" s="137" t="str">
        <f t="shared" si="11"/>
        <v>SGECUOTAS Y SUSCRIPCIONESCHATGPT</v>
      </c>
      <c r="B225" t="s">
        <v>1560</v>
      </c>
      <c r="C225" s="1">
        <v>45845</v>
      </c>
      <c r="D225" t="s">
        <v>39</v>
      </c>
      <c r="E225" t="s">
        <v>51</v>
      </c>
      <c r="F225" t="s">
        <v>59</v>
      </c>
      <c r="H225" t="s">
        <v>4492</v>
      </c>
      <c r="J225" s="81">
        <v>399.19</v>
      </c>
    </row>
    <row r="226" spans="1:10" ht="15">
      <c r="A226" s="137" t="str">
        <f t="shared" si="11"/>
        <v/>
      </c>
      <c r="B226" t="s">
        <v>1560</v>
      </c>
      <c r="C226" s="1">
        <v>45845</v>
      </c>
      <c r="H226" s="89" t="s">
        <v>4493</v>
      </c>
      <c r="J226" s="81">
        <v>50</v>
      </c>
    </row>
    <row r="227" spans="1:10" ht="15">
      <c r="A227" s="137" t="str">
        <f t="shared" si="11"/>
        <v>SGECUOTAS Y SUSCRIPCIONESWORKFORCE</v>
      </c>
      <c r="B227" t="s">
        <v>1560</v>
      </c>
      <c r="C227" s="1">
        <v>45845</v>
      </c>
      <c r="D227" t="s">
        <v>39</v>
      </c>
      <c r="E227" t="s">
        <v>51</v>
      </c>
      <c r="F227" t="s">
        <v>79</v>
      </c>
      <c r="H227" t="s">
        <v>4488</v>
      </c>
      <c r="J227" s="81">
        <v>3216.49</v>
      </c>
    </row>
    <row r="228" spans="1:10" ht="15">
      <c r="A228" s="137" t="str">
        <f t="shared" si="11"/>
        <v/>
      </c>
      <c r="B228" t="s">
        <v>1560</v>
      </c>
      <c r="C228" s="1">
        <v>45845</v>
      </c>
      <c r="H228" s="89" t="s">
        <v>4494</v>
      </c>
      <c r="J228" s="81">
        <v>1185</v>
      </c>
    </row>
    <row r="229" spans="1:10" ht="15">
      <c r="A229" s="137" t="str">
        <f t="shared" si="11"/>
        <v/>
      </c>
      <c r="B229" t="s">
        <v>1560</v>
      </c>
      <c r="C229" s="1">
        <v>45845</v>
      </c>
      <c r="H229" s="89" t="s">
        <v>4495</v>
      </c>
      <c r="J229" s="81">
        <v>860.3</v>
      </c>
    </row>
    <row r="230" spans="1:10" ht="15">
      <c r="A230" s="137" t="str">
        <f t="shared" si="11"/>
        <v/>
      </c>
      <c r="B230" t="s">
        <v>1560</v>
      </c>
      <c r="C230" s="1">
        <v>45845</v>
      </c>
      <c r="H230" s="89" t="s">
        <v>4496</v>
      </c>
      <c r="J230" s="81">
        <v>598.63</v>
      </c>
    </row>
    <row r="231" spans="1:10" ht="15">
      <c r="A231" s="137" t="str">
        <f t="shared" si="11"/>
        <v/>
      </c>
      <c r="B231" t="s">
        <v>1560</v>
      </c>
      <c r="C231" s="1">
        <v>45845</v>
      </c>
      <c r="H231" s="89" t="s">
        <v>4495</v>
      </c>
      <c r="J231" s="81">
        <v>300.08999999999997</v>
      </c>
    </row>
    <row r="232" spans="1:10" ht="15">
      <c r="A232" s="137" t="str">
        <f t="shared" si="11"/>
        <v/>
      </c>
      <c r="B232" t="s">
        <v>1560</v>
      </c>
      <c r="C232" s="1">
        <v>45845</v>
      </c>
      <c r="H232" s="89" t="s">
        <v>4486</v>
      </c>
      <c r="J232" s="81">
        <v>192.28</v>
      </c>
    </row>
    <row r="233" spans="1:10" ht="15">
      <c r="A233" s="137" t="str">
        <f t="shared" si="11"/>
        <v/>
      </c>
      <c r="B233" t="s">
        <v>1560</v>
      </c>
      <c r="C233" s="1">
        <v>45845</v>
      </c>
      <c r="H233" s="89" t="s">
        <v>4496</v>
      </c>
      <c r="J233" s="81">
        <v>598.63</v>
      </c>
    </row>
    <row r="234" spans="1:10" ht="15">
      <c r="A234" s="137" t="str">
        <f t="shared" si="11"/>
        <v/>
      </c>
      <c r="B234" t="s">
        <v>1560</v>
      </c>
      <c r="C234" s="1">
        <v>45845</v>
      </c>
      <c r="H234" s="89" t="s">
        <v>4497</v>
      </c>
      <c r="J234" s="81">
        <v>2715.74</v>
      </c>
    </row>
    <row r="235" spans="1:10" ht="15">
      <c r="A235" s="137" t="str">
        <f t="shared" si="11"/>
        <v/>
      </c>
      <c r="B235" t="s">
        <v>1560</v>
      </c>
      <c r="C235" s="1">
        <v>45845</v>
      </c>
      <c r="H235" s="89" t="s">
        <v>4498</v>
      </c>
      <c r="J235" s="81">
        <v>1057.5</v>
      </c>
    </row>
    <row r="236" spans="1:10" ht="15">
      <c r="A236" s="137" t="str">
        <f t="shared" si="11"/>
        <v>MMREDESMARKET MAX</v>
      </c>
      <c r="B236" t="s">
        <v>1560</v>
      </c>
      <c r="C236" s="1">
        <v>45845</v>
      </c>
      <c r="D236" t="s">
        <v>45</v>
      </c>
      <c r="E236" s="12" t="s">
        <v>167</v>
      </c>
      <c r="F236" s="12" t="s">
        <v>46</v>
      </c>
      <c r="H236" t="s">
        <v>4485</v>
      </c>
      <c r="J236" s="81">
        <v>149</v>
      </c>
    </row>
    <row r="237" spans="1:10" ht="15">
      <c r="A237" s="137" t="str">
        <f t="shared" si="11"/>
        <v/>
      </c>
      <c r="B237" t="s">
        <v>1560</v>
      </c>
      <c r="C237" s="1">
        <v>45845</v>
      </c>
      <c r="H237" s="89" t="s">
        <v>4486</v>
      </c>
      <c r="J237" s="81">
        <v>1634.6</v>
      </c>
    </row>
    <row r="238" spans="1:10" ht="15">
      <c r="A238" s="137" t="str">
        <f t="shared" si="11"/>
        <v/>
      </c>
      <c r="B238" t="s">
        <v>1560</v>
      </c>
      <c r="C238" s="1">
        <v>45845</v>
      </c>
      <c r="H238" s="89" t="s">
        <v>4499</v>
      </c>
      <c r="J238" s="81">
        <v>2115</v>
      </c>
    </row>
    <row r="239" spans="1:10" ht="15">
      <c r="A239" s="137" t="str">
        <f t="shared" si="11"/>
        <v/>
      </c>
      <c r="B239" t="s">
        <v>1560</v>
      </c>
      <c r="C239" s="1">
        <v>45845</v>
      </c>
      <c r="H239" s="89" t="s">
        <v>4498</v>
      </c>
      <c r="J239" s="81">
        <v>2115</v>
      </c>
    </row>
    <row r="240" spans="1:10" ht="15">
      <c r="A240" s="137" t="str">
        <f t="shared" si="11"/>
        <v/>
      </c>
      <c r="B240" t="s">
        <v>1560</v>
      </c>
      <c r="C240" s="1">
        <v>45845</v>
      </c>
      <c r="H240" t="s">
        <v>4500</v>
      </c>
      <c r="J240" s="81">
        <v>1936.03</v>
      </c>
    </row>
    <row r="241" spans="1:10" ht="15">
      <c r="A241" s="137" t="str">
        <f t="shared" si="11"/>
        <v/>
      </c>
      <c r="B241" t="s">
        <v>1560</v>
      </c>
      <c r="C241" s="1">
        <v>45845</v>
      </c>
      <c r="H241" s="89" t="s">
        <v>4486</v>
      </c>
      <c r="J241" s="81">
        <v>501.94</v>
      </c>
    </row>
    <row r="242" spans="1:10" ht="15">
      <c r="A242" s="137" t="str">
        <f t="shared" si="11"/>
        <v/>
      </c>
      <c r="B242" t="s">
        <v>1560</v>
      </c>
      <c r="C242" s="1">
        <v>45866</v>
      </c>
      <c r="H242" s="89" t="s">
        <v>4501</v>
      </c>
      <c r="J242" s="81">
        <v>9628.7999999999993</v>
      </c>
    </row>
    <row r="243" spans="1:10" ht="15">
      <c r="A243" s="137" t="str">
        <f t="shared" si="11"/>
        <v>HRREDESHR</v>
      </c>
      <c r="B243" t="s">
        <v>1560</v>
      </c>
      <c r="C243" s="1">
        <v>45866</v>
      </c>
      <c r="D243" t="s">
        <v>29</v>
      </c>
      <c r="E243" t="s">
        <v>167</v>
      </c>
      <c r="F243" t="s">
        <v>29</v>
      </c>
      <c r="H243" t="s">
        <v>4502</v>
      </c>
      <c r="J243" s="81">
        <v>464.07</v>
      </c>
    </row>
    <row r="244" spans="1:10" ht="15">
      <c r="A244" s="137" t="str">
        <f t="shared" si="11"/>
        <v>MMREDESMARKET MAX</v>
      </c>
      <c r="B244" t="s">
        <v>1560</v>
      </c>
      <c r="C244" s="1">
        <v>45866</v>
      </c>
      <c r="D244" t="s">
        <v>45</v>
      </c>
      <c r="E244" t="s">
        <v>167</v>
      </c>
      <c r="F244" t="s">
        <v>46</v>
      </c>
      <c r="H244" t="s">
        <v>4503</v>
      </c>
      <c r="J244" s="81">
        <v>2535.73</v>
      </c>
    </row>
    <row r="245" spans="1:10" ht="15">
      <c r="A245" s="137" t="str">
        <f t="shared" si="11"/>
        <v>ELIREDESL1</v>
      </c>
      <c r="B245" t="s">
        <v>1560</v>
      </c>
      <c r="C245" s="1">
        <v>45866</v>
      </c>
      <c r="D245" t="s">
        <v>130</v>
      </c>
      <c r="E245" t="s">
        <v>167</v>
      </c>
      <c r="F245" t="s">
        <v>136</v>
      </c>
      <c r="H245" t="s">
        <v>4458</v>
      </c>
      <c r="J245" s="81">
        <v>212.84</v>
      </c>
    </row>
    <row r="246" spans="1:10" ht="15">
      <c r="A246" s="137" t="str">
        <f t="shared" si="11"/>
        <v>CAPREDESCAPRICHOS</v>
      </c>
      <c r="B246" t="s">
        <v>1560</v>
      </c>
      <c r="C246" s="1">
        <v>45866</v>
      </c>
      <c r="D246" t="s">
        <v>31</v>
      </c>
      <c r="E246" s="12" t="s">
        <v>167</v>
      </c>
      <c r="F246" s="12" t="s">
        <v>33</v>
      </c>
      <c r="H246" t="s">
        <v>4504</v>
      </c>
      <c r="J246" s="81">
        <v>145.16</v>
      </c>
    </row>
    <row r="247" spans="1:10" ht="15">
      <c r="A247" s="137" t="str">
        <f t="shared" si="11"/>
        <v/>
      </c>
      <c r="B247" t="s">
        <v>1560</v>
      </c>
      <c r="C247" s="1">
        <v>45866</v>
      </c>
      <c r="H247" s="89" t="s">
        <v>4498</v>
      </c>
      <c r="J247" s="81">
        <v>3093.6</v>
      </c>
    </row>
    <row r="248" spans="1:10" ht="15">
      <c r="A248" s="137" t="str">
        <f t="shared" si="11"/>
        <v/>
      </c>
      <c r="B248" t="s">
        <v>1560</v>
      </c>
      <c r="C248" s="1">
        <v>45866</v>
      </c>
      <c r="H248" s="89" t="s">
        <v>4505</v>
      </c>
      <c r="J248" s="81">
        <v>2942.93</v>
      </c>
    </row>
    <row r="249" spans="1:10" ht="15">
      <c r="A249" s="137" t="str">
        <f t="shared" si="11"/>
        <v>FINANZASTELEFONIASTARLINK</v>
      </c>
      <c r="B249" t="s">
        <v>1560</v>
      </c>
      <c r="C249" s="1">
        <v>45866</v>
      </c>
      <c r="D249" t="s">
        <v>23</v>
      </c>
      <c r="E249" s="12" t="s">
        <v>181</v>
      </c>
      <c r="F249" s="12" t="s">
        <v>184</v>
      </c>
      <c r="H249" t="s">
        <v>4506</v>
      </c>
      <c r="J249" s="81">
        <v>3190</v>
      </c>
    </row>
    <row r="250" spans="1:10" ht="15">
      <c r="A250" s="137" t="str">
        <f t="shared" si="11"/>
        <v>FINANZASTELEFONIASTARLINK</v>
      </c>
      <c r="B250" t="s">
        <v>1560</v>
      </c>
      <c r="C250" s="1">
        <v>45866</v>
      </c>
      <c r="D250" t="s">
        <v>23</v>
      </c>
      <c r="E250" s="12" t="s">
        <v>181</v>
      </c>
      <c r="F250" s="12" t="s">
        <v>184</v>
      </c>
      <c r="H250" t="s">
        <v>4506</v>
      </c>
      <c r="J250" s="81">
        <v>5280</v>
      </c>
    </row>
    <row r="251" spans="1:10" ht="15">
      <c r="A251" s="137" t="str">
        <f t="shared" si="11"/>
        <v>MELREDESMELISSA</v>
      </c>
      <c r="B251" t="s">
        <v>1560</v>
      </c>
      <c r="C251" s="1">
        <v>45866</v>
      </c>
      <c r="D251" t="s">
        <v>43</v>
      </c>
      <c r="E251" t="s">
        <v>167</v>
      </c>
      <c r="F251" t="s">
        <v>44</v>
      </c>
      <c r="H251" t="s">
        <v>4507</v>
      </c>
      <c r="J251" s="81">
        <v>1503.23</v>
      </c>
    </row>
    <row r="252" spans="1:10" ht="15">
      <c r="A252" s="137" t="str">
        <f t="shared" si="11"/>
        <v>SGECUOTAS Y SUSCRIPCIONESOFFICE 365(C1)</v>
      </c>
      <c r="B252" t="s">
        <v>1560</v>
      </c>
      <c r="C252" s="1">
        <v>45866</v>
      </c>
      <c r="D252" t="s">
        <v>39</v>
      </c>
      <c r="E252" t="s">
        <v>51</v>
      </c>
      <c r="F252" s="158" t="s">
        <v>53</v>
      </c>
      <c r="H252" t="s">
        <v>4508</v>
      </c>
      <c r="J252" s="81">
        <v>399.99</v>
      </c>
    </row>
    <row r="253" spans="1:10" ht="15">
      <c r="A253" s="137" t="str">
        <f t="shared" si="11"/>
        <v>SERVICIOSINSUMOSCOFFE</v>
      </c>
      <c r="B253" t="s">
        <v>1560</v>
      </c>
      <c r="C253" s="1">
        <v>45866</v>
      </c>
      <c r="D253" t="s">
        <v>21</v>
      </c>
      <c r="E253" s="12" t="s">
        <v>133</v>
      </c>
      <c r="F253" s="12" t="s">
        <v>135</v>
      </c>
      <c r="H253" t="s">
        <v>4509</v>
      </c>
      <c r="J253" s="81">
        <v>1197</v>
      </c>
    </row>
    <row r="254" spans="1:10" ht="15">
      <c r="A254" s="137" t="str">
        <f t="shared" si="11"/>
        <v>HRREDESHR</v>
      </c>
      <c r="B254" t="s">
        <v>1560</v>
      </c>
      <c r="C254" s="1">
        <v>45866</v>
      </c>
      <c r="D254" t="s">
        <v>29</v>
      </c>
      <c r="E254" t="s">
        <v>167</v>
      </c>
      <c r="F254" t="s">
        <v>29</v>
      </c>
      <c r="H254" t="s">
        <v>4502</v>
      </c>
      <c r="J254" s="81">
        <v>5000</v>
      </c>
    </row>
    <row r="255" spans="1:10" ht="15">
      <c r="A255" s="137" t="str">
        <f t="shared" si="11"/>
        <v>ELIREDESL1</v>
      </c>
      <c r="B255" t="s">
        <v>1560</v>
      </c>
      <c r="C255" s="1">
        <v>45866</v>
      </c>
      <c r="D255" t="s">
        <v>130</v>
      </c>
      <c r="E255" t="s">
        <v>167</v>
      </c>
      <c r="F255" t="s">
        <v>136</v>
      </c>
      <c r="H255" t="s">
        <v>4418</v>
      </c>
      <c r="J255" s="81">
        <v>38</v>
      </c>
    </row>
    <row r="256" spans="1:10" ht="15">
      <c r="A256" s="137" t="str">
        <f t="shared" si="11"/>
        <v>ELIREDESL1</v>
      </c>
      <c r="B256" t="s">
        <v>1560</v>
      </c>
      <c r="C256" s="1">
        <v>45866</v>
      </c>
      <c r="D256" t="s">
        <v>130</v>
      </c>
      <c r="E256" t="s">
        <v>167</v>
      </c>
      <c r="F256" t="s">
        <v>136</v>
      </c>
      <c r="H256" t="s">
        <v>4458</v>
      </c>
      <c r="J256" s="81">
        <v>2642</v>
      </c>
    </row>
    <row r="257" spans="1:10" ht="15">
      <c r="A257" s="137" t="str">
        <f t="shared" si="11"/>
        <v>ELIREDESL1</v>
      </c>
      <c r="B257" t="s">
        <v>1560</v>
      </c>
      <c r="C257" s="1">
        <v>45866</v>
      </c>
      <c r="D257" t="s">
        <v>130</v>
      </c>
      <c r="E257" t="s">
        <v>167</v>
      </c>
      <c r="F257" t="s">
        <v>136</v>
      </c>
      <c r="H257" t="s">
        <v>4418</v>
      </c>
      <c r="J257" s="81">
        <v>5000</v>
      </c>
    </row>
    <row r="258" spans="1:10" ht="15">
      <c r="A258" s="137" t="str">
        <f t="shared" si="11"/>
        <v>HRREDESHR</v>
      </c>
      <c r="B258" t="s">
        <v>1560</v>
      </c>
      <c r="C258" s="1">
        <v>45866</v>
      </c>
      <c r="D258" t="s">
        <v>29</v>
      </c>
      <c r="E258" t="s">
        <v>167</v>
      </c>
      <c r="F258" t="s">
        <v>29</v>
      </c>
      <c r="H258" t="s">
        <v>4502</v>
      </c>
      <c r="J258" s="81">
        <v>4883</v>
      </c>
    </row>
    <row r="259" spans="1:10" ht="15">
      <c r="A259" s="137" t="str">
        <f t="shared" si="11"/>
        <v>ELIREDESL1</v>
      </c>
      <c r="B259" t="s">
        <v>1560</v>
      </c>
      <c r="C259" s="1">
        <v>45866</v>
      </c>
      <c r="D259" t="s">
        <v>130</v>
      </c>
      <c r="E259" t="s">
        <v>167</v>
      </c>
      <c r="F259" t="s">
        <v>136</v>
      </c>
      <c r="H259" t="s">
        <v>4458</v>
      </c>
      <c r="J259" s="81">
        <v>2642</v>
      </c>
    </row>
    <row r="260" spans="1:10" ht="15">
      <c r="A260" s="137" t="str">
        <f t="shared" si="11"/>
        <v>CAPREDESCAPRICHOS</v>
      </c>
      <c r="B260" t="s">
        <v>1560</v>
      </c>
      <c r="C260" s="1">
        <v>45866</v>
      </c>
      <c r="D260" t="s">
        <v>31</v>
      </c>
      <c r="E260" s="12" t="s">
        <v>167</v>
      </c>
      <c r="F260" s="12" t="s">
        <v>33</v>
      </c>
      <c r="H260" t="s">
        <v>4504</v>
      </c>
      <c r="J260" s="81">
        <v>2221.58</v>
      </c>
    </row>
    <row r="261" spans="1:10" ht="15">
      <c r="A261" s="137" t="str">
        <f t="shared" ref="A261:A324" si="12">D261&amp;E261&amp;F261</f>
        <v>HRREDESHR</v>
      </c>
      <c r="B261" t="s">
        <v>1560</v>
      </c>
      <c r="C261" s="1">
        <v>45866</v>
      </c>
      <c r="D261" t="s">
        <v>29</v>
      </c>
      <c r="E261" t="s">
        <v>167</v>
      </c>
      <c r="F261" t="s">
        <v>29</v>
      </c>
      <c r="H261" t="s">
        <v>4502</v>
      </c>
      <c r="J261" s="81">
        <v>1430.63</v>
      </c>
    </row>
    <row r="262" spans="1:10" ht="15">
      <c r="A262" s="137" t="str">
        <f t="shared" si="12"/>
        <v>ELIREDESL1</v>
      </c>
      <c r="B262" t="s">
        <v>1560</v>
      </c>
      <c r="C262" s="1">
        <v>45866</v>
      </c>
      <c r="D262" t="s">
        <v>130</v>
      </c>
      <c r="E262" t="s">
        <v>167</v>
      </c>
      <c r="F262" t="s">
        <v>136</v>
      </c>
      <c r="H262" t="s">
        <v>4418</v>
      </c>
      <c r="J262" s="81">
        <v>982.67</v>
      </c>
    </row>
    <row r="263" spans="1:10" ht="15">
      <c r="A263" s="137" t="str">
        <f t="shared" si="12"/>
        <v>ELIREDESL1</v>
      </c>
      <c r="B263" t="s">
        <v>1560</v>
      </c>
      <c r="C263" s="1">
        <v>45866</v>
      </c>
      <c r="D263" t="s">
        <v>130</v>
      </c>
      <c r="E263" t="s">
        <v>167</v>
      </c>
      <c r="F263" t="s">
        <v>136</v>
      </c>
      <c r="H263" t="s">
        <v>4418</v>
      </c>
      <c r="J263" s="81">
        <v>42.95</v>
      </c>
    </row>
    <row r="264" spans="1:10" ht="15">
      <c r="A264" s="137" t="str">
        <f t="shared" si="12"/>
        <v>CAPREDESCAPRICHOS</v>
      </c>
      <c r="B264" t="s">
        <v>1560</v>
      </c>
      <c r="C264" s="1">
        <v>45866</v>
      </c>
      <c r="D264" t="s">
        <v>31</v>
      </c>
      <c r="E264" t="s">
        <v>167</v>
      </c>
      <c r="F264" t="s">
        <v>33</v>
      </c>
      <c r="H264" t="s">
        <v>4442</v>
      </c>
      <c r="J264" s="81">
        <v>129</v>
      </c>
    </row>
    <row r="265" spans="1:10" ht="15">
      <c r="A265" s="137" t="str">
        <f t="shared" si="12"/>
        <v>FINANZASTELEFONIATELEFONIA</v>
      </c>
      <c r="B265" t="s">
        <v>1560</v>
      </c>
      <c r="C265" s="1">
        <v>45866</v>
      </c>
      <c r="D265" t="s">
        <v>23</v>
      </c>
      <c r="E265" t="s">
        <v>181</v>
      </c>
      <c r="F265" t="s">
        <v>181</v>
      </c>
      <c r="H265" t="s">
        <v>4444</v>
      </c>
      <c r="J265" s="81">
        <v>603.03</v>
      </c>
    </row>
    <row r="266" spans="1:10" ht="15">
      <c r="A266" s="137" t="str">
        <f t="shared" si="12"/>
        <v>ELIREDESL1</v>
      </c>
      <c r="B266" t="s">
        <v>1560</v>
      </c>
      <c r="C266" s="1">
        <v>45866</v>
      </c>
      <c r="D266" t="s">
        <v>130</v>
      </c>
      <c r="E266" t="s">
        <v>167</v>
      </c>
      <c r="F266" t="s">
        <v>136</v>
      </c>
      <c r="H266" t="s">
        <v>4418</v>
      </c>
      <c r="J266" s="81">
        <v>902.04</v>
      </c>
    </row>
    <row r="267" spans="1:10" ht="15">
      <c r="A267" s="137" t="str">
        <f t="shared" si="12"/>
        <v>CAPREDESCAPRICHOS</v>
      </c>
      <c r="B267" t="s">
        <v>1560</v>
      </c>
      <c r="C267" s="1">
        <v>45866</v>
      </c>
      <c r="D267" t="s">
        <v>31</v>
      </c>
      <c r="E267" t="s">
        <v>167</v>
      </c>
      <c r="F267" t="s">
        <v>33</v>
      </c>
      <c r="H267" t="s">
        <v>4442</v>
      </c>
      <c r="J267" s="81">
        <v>199</v>
      </c>
    </row>
    <row r="268" spans="1:10" ht="15">
      <c r="A268" s="137" t="str">
        <f t="shared" si="12"/>
        <v>SERVICIOSADQ DE EQ TECNOLOGICOADQ DE EQ TECNOLOGICO</v>
      </c>
      <c r="B268" t="s">
        <v>1560</v>
      </c>
      <c r="C268" s="1">
        <v>45866</v>
      </c>
      <c r="D268" t="s">
        <v>21</v>
      </c>
      <c r="E268" t="s">
        <v>22</v>
      </c>
      <c r="F268" s="158" t="s">
        <v>22</v>
      </c>
      <c r="H268" t="s">
        <v>4510</v>
      </c>
      <c r="J268" s="81">
        <v>3630.12</v>
      </c>
    </row>
    <row r="269" spans="1:10" ht="15">
      <c r="A269" s="137" t="str">
        <f t="shared" si="12"/>
        <v>SERVICIOSADQ DE EQ TECNOLOGICOADQ DE EQ TECNOLOGICO</v>
      </c>
      <c r="B269" t="s">
        <v>1560</v>
      </c>
      <c r="C269" s="1">
        <v>45866</v>
      </c>
      <c r="D269" t="s">
        <v>21</v>
      </c>
      <c r="E269" t="s">
        <v>22</v>
      </c>
      <c r="F269" s="158" t="s">
        <v>22</v>
      </c>
      <c r="H269" t="s">
        <v>4510</v>
      </c>
      <c r="J269" s="81">
        <v>1560</v>
      </c>
    </row>
    <row r="270" spans="1:10" ht="15">
      <c r="A270" s="137" t="str">
        <f t="shared" si="12"/>
        <v>SERVICIOSADQ DE EQ TECNOLOGICOADQ DE EQ TECNOLOGICO</v>
      </c>
      <c r="B270" t="s">
        <v>1560</v>
      </c>
      <c r="C270" s="1">
        <v>45866</v>
      </c>
      <c r="D270" t="s">
        <v>21</v>
      </c>
      <c r="E270" t="s">
        <v>22</v>
      </c>
      <c r="F270" s="158" t="s">
        <v>22</v>
      </c>
      <c r="H270" t="s">
        <v>4511</v>
      </c>
      <c r="J270" s="81">
        <v>3103.95</v>
      </c>
    </row>
    <row r="271" spans="1:10" ht="15">
      <c r="A271" s="137" t="str">
        <f t="shared" si="12"/>
        <v>CAPREDESCAPRICHOS</v>
      </c>
      <c r="B271" t="s">
        <v>1560</v>
      </c>
      <c r="C271" s="1">
        <v>45866</v>
      </c>
      <c r="D271" t="s">
        <v>31</v>
      </c>
      <c r="E271" t="s">
        <v>167</v>
      </c>
      <c r="F271" t="s">
        <v>33</v>
      </c>
      <c r="H271" t="s">
        <v>4442</v>
      </c>
      <c r="J271" s="81">
        <v>199</v>
      </c>
    </row>
    <row r="272" spans="1:10" ht="15">
      <c r="A272" s="137" t="str">
        <f t="shared" si="12"/>
        <v>FINANZASTELEFONIATELEFONIA</v>
      </c>
      <c r="B272" t="s">
        <v>1560</v>
      </c>
      <c r="C272" s="1">
        <v>45866</v>
      </c>
      <c r="D272" t="s">
        <v>23</v>
      </c>
      <c r="E272" t="s">
        <v>181</v>
      </c>
      <c r="F272" t="s">
        <v>181</v>
      </c>
      <c r="H272" t="s">
        <v>4512</v>
      </c>
      <c r="J272" s="81">
        <v>3184.42</v>
      </c>
    </row>
    <row r="273" spans="1:10" ht="15">
      <c r="A273" s="137" t="str">
        <f t="shared" si="12"/>
        <v>FINANZASTELEFONIATELEFONIA</v>
      </c>
      <c r="B273" t="s">
        <v>1560</v>
      </c>
      <c r="C273" s="1">
        <v>45866</v>
      </c>
      <c r="D273" t="s">
        <v>23</v>
      </c>
      <c r="E273" t="s">
        <v>181</v>
      </c>
      <c r="F273" t="s">
        <v>181</v>
      </c>
      <c r="H273" t="s">
        <v>4446</v>
      </c>
      <c r="J273" s="81">
        <v>7624.62</v>
      </c>
    </row>
    <row r="274" spans="1:10" ht="15">
      <c r="A274" s="137" t="str">
        <f t="shared" si="12"/>
        <v>FINANZASRENTASCONTABILIDAD (WT)</v>
      </c>
      <c r="B274" t="s">
        <v>1560</v>
      </c>
      <c r="C274" s="1">
        <v>45866</v>
      </c>
      <c r="D274" t="s">
        <v>23</v>
      </c>
      <c r="E274" t="s">
        <v>169</v>
      </c>
      <c r="F274" t="s">
        <v>171</v>
      </c>
      <c r="H274" t="s">
        <v>4513</v>
      </c>
      <c r="J274" s="81">
        <v>3860.88</v>
      </c>
    </row>
    <row r="275" spans="1:10" ht="15">
      <c r="A275" s="137" t="str">
        <f t="shared" si="12"/>
        <v>SGECUOTAS Y SUSCRIPCIONESCHATGPT</v>
      </c>
      <c r="B275" t="s">
        <v>1560</v>
      </c>
      <c r="C275" s="1">
        <v>45866</v>
      </c>
      <c r="D275" t="s">
        <v>39</v>
      </c>
      <c r="E275" t="s">
        <v>51</v>
      </c>
      <c r="F275" t="s">
        <v>59</v>
      </c>
      <c r="H275" t="s">
        <v>4514</v>
      </c>
      <c r="J275" s="81">
        <v>388.06</v>
      </c>
    </row>
    <row r="276" spans="1:10" ht="15">
      <c r="A276" s="137" t="str">
        <f t="shared" si="12"/>
        <v>SERVICIOSCUOTAS Y SUSCRIPCIONESAPP</v>
      </c>
      <c r="B276" t="s">
        <v>1560</v>
      </c>
      <c r="C276" s="1">
        <v>45866</v>
      </c>
      <c r="D276" t="s">
        <v>21</v>
      </c>
      <c r="E276" t="s">
        <v>51</v>
      </c>
      <c r="F276" s="3" t="s">
        <v>70</v>
      </c>
      <c r="H276" t="s">
        <v>4515</v>
      </c>
      <c r="J276" s="81">
        <v>4.04</v>
      </c>
    </row>
    <row r="277" spans="1:10" ht="15">
      <c r="A277" s="137" t="str">
        <f t="shared" si="12"/>
        <v>FINANZASRENTASCONTABILIDAD (WT)</v>
      </c>
      <c r="B277" t="s">
        <v>1560</v>
      </c>
      <c r="C277" s="1">
        <v>45866</v>
      </c>
      <c r="D277" t="s">
        <v>23</v>
      </c>
      <c r="E277" t="s">
        <v>169</v>
      </c>
      <c r="F277" t="s">
        <v>171</v>
      </c>
      <c r="H277" t="s">
        <v>4513</v>
      </c>
      <c r="J277" s="81">
        <v>2407.54</v>
      </c>
    </row>
    <row r="278" spans="1:10" ht="15">
      <c r="A278" s="137" t="str">
        <f t="shared" si="12"/>
        <v>SGECUOTAS Y SUSCRIPCIONESCHATGPT</v>
      </c>
      <c r="B278" t="s">
        <v>1560</v>
      </c>
      <c r="C278" s="1">
        <v>45866</v>
      </c>
      <c r="D278" t="s">
        <v>39</v>
      </c>
      <c r="E278" t="s">
        <v>51</v>
      </c>
      <c r="F278" t="s">
        <v>59</v>
      </c>
      <c r="H278" t="s">
        <v>4514</v>
      </c>
      <c r="J278" s="81">
        <v>1178.8900000000001</v>
      </c>
    </row>
    <row r="279" spans="1:10" ht="15">
      <c r="A279" s="137" t="str">
        <f t="shared" si="12"/>
        <v>SERVICIOSCUOTAS Y SUSCRIPCIONESAPP</v>
      </c>
      <c r="B279" t="s">
        <v>1560</v>
      </c>
      <c r="C279" s="1">
        <v>45866</v>
      </c>
      <c r="D279" t="s">
        <v>21</v>
      </c>
      <c r="E279" t="s">
        <v>51</v>
      </c>
      <c r="F279" s="3" t="s">
        <v>70</v>
      </c>
      <c r="H279" t="s">
        <v>4516</v>
      </c>
      <c r="J279" s="81">
        <v>841.68</v>
      </c>
    </row>
    <row r="280" spans="1:10" ht="15">
      <c r="A280" s="137" t="str">
        <f t="shared" si="12"/>
        <v>SGECUOTAS Y SUSCRIPCIONESOFFICE 365(C1)</v>
      </c>
      <c r="B280" t="s">
        <v>1560</v>
      </c>
      <c r="C280" s="1">
        <v>45866</v>
      </c>
      <c r="D280" t="s">
        <v>39</v>
      </c>
      <c r="E280" t="s">
        <v>51</v>
      </c>
      <c r="F280" s="158" t="s">
        <v>53</v>
      </c>
      <c r="H280" t="s">
        <v>4508</v>
      </c>
      <c r="J280" s="81">
        <v>194.18</v>
      </c>
    </row>
    <row r="281" spans="1:10" ht="15">
      <c r="A281" s="137" t="str">
        <f t="shared" si="12"/>
        <v>SGECUOTAS Y SUSCRIPCIONESZOOM</v>
      </c>
      <c r="B281" t="s">
        <v>1560</v>
      </c>
      <c r="C281" s="1">
        <v>45866</v>
      </c>
      <c r="D281" t="s">
        <v>39</v>
      </c>
      <c r="E281" t="s">
        <v>51</v>
      </c>
      <c r="F281" t="s">
        <v>56</v>
      </c>
      <c r="H281" t="s">
        <v>4447</v>
      </c>
      <c r="J281" s="81">
        <v>1938.26</v>
      </c>
    </row>
    <row r="282" spans="1:10" ht="15">
      <c r="A282" s="137" t="str">
        <f t="shared" si="12"/>
        <v/>
      </c>
      <c r="B282" t="s">
        <v>1560</v>
      </c>
      <c r="C282" s="1">
        <v>45866</v>
      </c>
      <c r="E282" s="12"/>
      <c r="F282" s="12"/>
      <c r="H282" t="s">
        <v>4517</v>
      </c>
      <c r="J282" s="81">
        <v>735</v>
      </c>
    </row>
    <row r="283" spans="1:10" ht="15">
      <c r="A283" s="137" t="str">
        <f t="shared" si="12"/>
        <v>CAPMKTMKT CAP</v>
      </c>
      <c r="B283" t="s">
        <v>1560</v>
      </c>
      <c r="C283" s="1">
        <v>45866</v>
      </c>
      <c r="D283" t="s">
        <v>31</v>
      </c>
      <c r="E283" s="12" t="s">
        <v>19</v>
      </c>
      <c r="F283" s="12" t="s">
        <v>139</v>
      </c>
      <c r="H283" t="s">
        <v>4518</v>
      </c>
      <c r="J283" s="81">
        <v>3318.08</v>
      </c>
    </row>
    <row r="284" spans="1:10" ht="15">
      <c r="A284" s="137" t="str">
        <f t="shared" si="12"/>
        <v>HRREDESHR</v>
      </c>
      <c r="B284" t="s">
        <v>1807</v>
      </c>
      <c r="C284" s="1">
        <v>45876</v>
      </c>
      <c r="D284" t="s">
        <v>29</v>
      </c>
      <c r="E284" s="12" t="s">
        <v>167</v>
      </c>
      <c r="F284" s="12" t="s">
        <v>29</v>
      </c>
      <c r="H284" s="390" t="s">
        <v>4519</v>
      </c>
      <c r="J284" s="391">
        <f>199*3</f>
        <v>597</v>
      </c>
    </row>
    <row r="285" spans="1:10" ht="15">
      <c r="A285" s="137" t="str">
        <f>D285&amp;E285&amp;F285</f>
        <v>SERVICIOSMTTO DE EDIFICIOMANTENIMIENTO</v>
      </c>
      <c r="B285" t="s">
        <v>1807</v>
      </c>
      <c r="C285" s="1">
        <v>45876</v>
      </c>
      <c r="D285" t="s">
        <v>21</v>
      </c>
      <c r="E285" s="12" t="s">
        <v>142</v>
      </c>
      <c r="F285" s="12" t="s">
        <v>35</v>
      </c>
      <c r="H285" s="390" t="s">
        <v>4520</v>
      </c>
      <c r="J285" s="391">
        <v>2512.58</v>
      </c>
    </row>
    <row r="286" spans="1:10" ht="15">
      <c r="A286" s="137" t="str">
        <f>D286&amp;E286&amp;F286</f>
        <v>SERVICIOSCOMBUSTIBLEMANTENIMIENTO</v>
      </c>
      <c r="B286" t="s">
        <v>1807</v>
      </c>
      <c r="C286" s="1">
        <v>45876</v>
      </c>
      <c r="D286" t="s">
        <v>21</v>
      </c>
      <c r="E286" s="12" t="s">
        <v>32</v>
      </c>
      <c r="F286" s="12" t="s">
        <v>35</v>
      </c>
      <c r="H286" s="390" t="s">
        <v>4521</v>
      </c>
      <c r="J286" s="391">
        <v>300</v>
      </c>
    </row>
    <row r="287" spans="1:10" ht="15">
      <c r="A287" s="137" t="str">
        <f>D287&amp;E287&amp;F287</f>
        <v>SERVICIOSMTTO DE EDIFICIOMANTENIMIENTO</v>
      </c>
      <c r="B287" t="s">
        <v>1807</v>
      </c>
      <c r="C287" s="1">
        <v>45876</v>
      </c>
      <c r="D287" t="s">
        <v>21</v>
      </c>
      <c r="E287" s="12" t="s">
        <v>142</v>
      </c>
      <c r="F287" s="12" t="s">
        <v>35</v>
      </c>
      <c r="H287" s="407" t="s">
        <v>4487</v>
      </c>
      <c r="I287" s="237"/>
      <c r="J287" s="408">
        <v>1026.6500000000001</v>
      </c>
    </row>
    <row r="288" spans="1:10" ht="15">
      <c r="A288" s="137" t="str">
        <f>D288&amp;E288&amp;F288</f>
        <v>SGECUOTAS Y SUSCRIPCIONESMIDJOURNEY APP</v>
      </c>
      <c r="B288" t="s">
        <v>1807</v>
      </c>
      <c r="C288" s="1">
        <v>45876</v>
      </c>
      <c r="D288" t="s">
        <v>39</v>
      </c>
      <c r="E288" s="12" t="s">
        <v>51</v>
      </c>
      <c r="F288" t="s">
        <v>84</v>
      </c>
      <c r="H288" s="220" t="s">
        <v>4522</v>
      </c>
      <c r="J288" s="391">
        <v>225.32</v>
      </c>
    </row>
    <row r="289" spans="1:11" ht="15">
      <c r="A289" s="137" t="str">
        <f>D289&amp;E289&amp;F289</f>
        <v>SERVICIOSCOMBUSTIBLEMANTENIMIENTO</v>
      </c>
      <c r="B289" t="s">
        <v>1807</v>
      </c>
      <c r="C289" s="1">
        <v>45876</v>
      </c>
      <c r="D289" t="s">
        <v>21</v>
      </c>
      <c r="E289" s="12" t="s">
        <v>32</v>
      </c>
      <c r="F289" s="12" t="s">
        <v>35</v>
      </c>
      <c r="H289" s="220" t="s">
        <v>4523</v>
      </c>
      <c r="J289" s="391">
        <v>300</v>
      </c>
    </row>
    <row r="290" spans="1:11" ht="15">
      <c r="A290" s="137" t="str">
        <f>D290&amp;E290&amp;F290</f>
        <v>SERVICIOSMTTO DE EDIFICIOMANTENIMIENTO</v>
      </c>
      <c r="B290" t="s">
        <v>1807</v>
      </c>
      <c r="C290" s="1">
        <v>45876</v>
      </c>
      <c r="D290" t="s">
        <v>21</v>
      </c>
      <c r="E290" s="12" t="s">
        <v>142</v>
      </c>
      <c r="F290" s="12" t="s">
        <v>35</v>
      </c>
      <c r="H290" s="407" t="s">
        <v>4487</v>
      </c>
      <c r="I290" s="237"/>
      <c r="J290" s="408">
        <v>2165.5300000000002</v>
      </c>
    </row>
    <row r="291" spans="1:11" ht="15">
      <c r="A291" s="137" t="str">
        <f>D291&amp;E291&amp;F291</f>
        <v>SERVICIOSMTTO DE EDIFICIOMANTENIMIENTO</v>
      </c>
      <c r="B291" t="s">
        <v>1807</v>
      </c>
      <c r="C291" s="1">
        <v>45876</v>
      </c>
      <c r="D291" t="s">
        <v>21</v>
      </c>
      <c r="E291" s="12" t="s">
        <v>142</v>
      </c>
      <c r="F291" s="12" t="s">
        <v>35</v>
      </c>
      <c r="H291" s="220" t="s">
        <v>4524</v>
      </c>
      <c r="J291" s="391">
        <v>752.09</v>
      </c>
    </row>
    <row r="292" spans="1:11" ht="15">
      <c r="A292" s="137" t="str">
        <f>D292&amp;E292&amp;F292</f>
        <v>SGECUOTAS Y SUSCRIPCIONESWORKFORCE</v>
      </c>
      <c r="B292" t="s">
        <v>1807</v>
      </c>
      <c r="C292" s="1">
        <v>45876</v>
      </c>
      <c r="D292" t="s">
        <v>39</v>
      </c>
      <c r="E292" t="s">
        <v>51</v>
      </c>
      <c r="F292" t="s">
        <v>79</v>
      </c>
      <c r="H292" s="220" t="s">
        <v>4525</v>
      </c>
      <c r="J292" s="392">
        <v>4713.6000000000004</v>
      </c>
    </row>
    <row r="293" spans="1:11" ht="15">
      <c r="A293" s="137" t="str">
        <f>D293&amp;E293&amp;F293</f>
        <v>SGECUOTAS Y SUSCRIPCIONESWORKFORCE</v>
      </c>
      <c r="B293" t="s">
        <v>1807</v>
      </c>
      <c r="C293" s="1">
        <v>45876</v>
      </c>
      <c r="D293" t="s">
        <v>39</v>
      </c>
      <c r="E293" t="s">
        <v>51</v>
      </c>
      <c r="F293" t="s">
        <v>79</v>
      </c>
      <c r="H293" s="220" t="s">
        <v>4525</v>
      </c>
      <c r="J293" s="392">
        <v>3142.4</v>
      </c>
    </row>
    <row r="294" spans="1:11" ht="15">
      <c r="A294" s="137" t="str">
        <f>D294&amp;E294&amp;F294</f>
        <v>SERVICIOSMTTO DE EDIFICIOMANTENIMIENTO</v>
      </c>
      <c r="B294" t="s">
        <v>1807</v>
      </c>
      <c r="C294" s="1">
        <v>45876</v>
      </c>
      <c r="D294" t="s">
        <v>21</v>
      </c>
      <c r="E294" s="12" t="s">
        <v>142</v>
      </c>
      <c r="F294" s="12" t="s">
        <v>35</v>
      </c>
      <c r="H294" s="407" t="s">
        <v>4526</v>
      </c>
      <c r="I294" s="237"/>
      <c r="J294" s="409">
        <v>1596.02</v>
      </c>
    </row>
    <row r="295" spans="1:11" ht="15">
      <c r="A295" s="137" t="str">
        <f>D295&amp;E295&amp;F295</f>
        <v>SERVICIOSCOMBUSTIBLEMANTENIMIENTO</v>
      </c>
      <c r="B295" t="s">
        <v>1807</v>
      </c>
      <c r="C295" s="1">
        <v>45876</v>
      </c>
      <c r="D295" t="s">
        <v>21</v>
      </c>
      <c r="E295" s="12" t="s">
        <v>32</v>
      </c>
      <c r="F295" s="12" t="s">
        <v>35</v>
      </c>
      <c r="H295" s="220" t="s">
        <v>4523</v>
      </c>
      <c r="J295" s="392">
        <v>320.27999999999997</v>
      </c>
    </row>
    <row r="296" spans="1:11" ht="15">
      <c r="A296" s="137" t="str">
        <f>D296&amp;E296&amp;F296</f>
        <v>MMPAQUETERIAMARKET MAX</v>
      </c>
      <c r="B296" t="s">
        <v>1807</v>
      </c>
      <c r="C296" s="1">
        <v>45876</v>
      </c>
      <c r="D296" t="s">
        <v>45</v>
      </c>
      <c r="E296" s="12" t="s">
        <v>160</v>
      </c>
      <c r="F296" s="12" t="s">
        <v>46</v>
      </c>
      <c r="H296" s="403" t="s">
        <v>4527</v>
      </c>
      <c r="J296" s="392">
        <v>2760.12</v>
      </c>
    </row>
    <row r="297" spans="1:11" ht="15">
      <c r="A297" s="137" t="str">
        <f>D297&amp;E297&amp;F297</f>
        <v>MMPAQUETERIAMARKET MAX</v>
      </c>
      <c r="B297" t="s">
        <v>1807</v>
      </c>
      <c r="C297" s="1">
        <v>45876</v>
      </c>
      <c r="D297" t="s">
        <v>45</v>
      </c>
      <c r="E297" s="12" t="s">
        <v>160</v>
      </c>
      <c r="F297" s="12" t="s">
        <v>46</v>
      </c>
      <c r="H297" s="403" t="s">
        <v>4528</v>
      </c>
      <c r="J297" s="392">
        <v>1214.78</v>
      </c>
    </row>
    <row r="298" spans="1:11" ht="15">
      <c r="A298" s="137" t="str">
        <f>D298&amp;E298&amp;F298</f>
        <v>SGECUOTAS Y SUSCRIPCIONESCHATGPT</v>
      </c>
      <c r="B298" t="s">
        <v>1807</v>
      </c>
      <c r="C298" s="1">
        <v>45876</v>
      </c>
      <c r="D298" t="s">
        <v>39</v>
      </c>
      <c r="E298" t="s">
        <v>51</v>
      </c>
      <c r="F298" t="s">
        <v>59</v>
      </c>
      <c r="H298" s="220" t="s">
        <v>4492</v>
      </c>
      <c r="J298" s="392">
        <v>388.75</v>
      </c>
    </row>
    <row r="299" spans="1:11" ht="15">
      <c r="A299" s="137" t="str">
        <f>D299&amp;E299&amp;F299</f>
        <v>SGECUOTAS Y SUSCRIPCIONESCHATGPT</v>
      </c>
      <c r="B299" t="s">
        <v>1807</v>
      </c>
      <c r="C299" s="1">
        <v>45876</v>
      </c>
      <c r="D299" t="s">
        <v>39</v>
      </c>
      <c r="E299" t="s">
        <v>51</v>
      </c>
      <c r="F299" t="s">
        <v>59</v>
      </c>
      <c r="H299" s="220" t="s">
        <v>4529</v>
      </c>
      <c r="J299" s="392">
        <v>149</v>
      </c>
    </row>
    <row r="300" spans="1:11" ht="15">
      <c r="A300" s="137" t="str">
        <f>D300&amp;E300&amp;F300</f>
        <v>MKTCUOTAS Y SUSCRIPCIONESMOKKER APP</v>
      </c>
      <c r="B300" t="s">
        <v>1807</v>
      </c>
      <c r="C300" s="1">
        <v>45876</v>
      </c>
      <c r="D300" t="s">
        <v>19</v>
      </c>
      <c r="E300" t="s">
        <v>51</v>
      </c>
      <c r="F300" t="s">
        <v>83</v>
      </c>
      <c r="G300" t="s">
        <v>258</v>
      </c>
      <c r="H300" s="220" t="s">
        <v>4530</v>
      </c>
      <c r="J300" s="392">
        <v>1030.45</v>
      </c>
    </row>
    <row r="301" spans="1:11" ht="15">
      <c r="A301" s="137" t="str">
        <f>D301&amp;E301&amp;F301</f>
        <v>SERVICIOSMTTO DE EDIFICIOMANTENIMIENTO</v>
      </c>
      <c r="B301" t="s">
        <v>1807</v>
      </c>
      <c r="C301" s="1">
        <v>45876</v>
      </c>
      <c r="D301" t="s">
        <v>21</v>
      </c>
      <c r="E301" s="12" t="s">
        <v>142</v>
      </c>
      <c r="F301" s="12" t="s">
        <v>35</v>
      </c>
      <c r="H301" s="220" t="s">
        <v>4531</v>
      </c>
      <c r="J301" s="392">
        <v>4213</v>
      </c>
    </row>
    <row r="302" spans="1:11" ht="15">
      <c r="A302" s="137" t="str">
        <f>D302&amp;E302&amp;F302</f>
        <v>MMPAQUETERIAMARKET MAX</v>
      </c>
      <c r="B302" t="s">
        <v>1807</v>
      </c>
      <c r="C302" s="1">
        <v>45876</v>
      </c>
      <c r="D302" t="s">
        <v>45</v>
      </c>
      <c r="E302" s="12" t="s">
        <v>160</v>
      </c>
      <c r="F302" s="12" t="s">
        <v>46</v>
      </c>
      <c r="H302" s="403" t="s">
        <v>4532</v>
      </c>
      <c r="J302" s="392">
        <v>602.33000000000004</v>
      </c>
    </row>
    <row r="303" spans="1:11" ht="15.75" customHeight="1">
      <c r="A303" s="137" t="str">
        <f>D303&amp;E303&amp;F303</f>
        <v>SERVICIOSADQ DE EQ TECNOLOGICOADQ DE EQ TECNOLOGICO</v>
      </c>
      <c r="B303" t="s">
        <v>1807</v>
      </c>
      <c r="C303" s="1">
        <v>45876</v>
      </c>
      <c r="D303" t="s">
        <v>21</v>
      </c>
      <c r="E303" t="s">
        <v>22</v>
      </c>
      <c r="F303" s="158" t="s">
        <v>22</v>
      </c>
      <c r="H303" s="403" t="s">
        <v>4533</v>
      </c>
      <c r="J303" s="392">
        <v>2199</v>
      </c>
    </row>
    <row r="304" spans="1:11" s="229" customFormat="1" ht="15">
      <c r="A304" s="137" t="str">
        <f>D304&amp;E304&amp;F304</f>
        <v>MKTCUOTAS Y SUSCRIPCIONESAPP</v>
      </c>
      <c r="B304" s="229" t="s">
        <v>1807</v>
      </c>
      <c r="C304" s="244">
        <v>45895</v>
      </c>
      <c r="D304" s="229" t="s">
        <v>19</v>
      </c>
      <c r="E304" s="230" t="s">
        <v>51</v>
      </c>
      <c r="F304" s="230" t="s">
        <v>70</v>
      </c>
      <c r="G304" t="s">
        <v>258</v>
      </c>
      <c r="H304" s="310" t="s">
        <v>4534</v>
      </c>
      <c r="I304" s="308"/>
      <c r="J304" s="311">
        <v>499.29</v>
      </c>
      <c r="K304" s="160"/>
    </row>
    <row r="305" spans="1:11" s="229" customFormat="1" ht="15">
      <c r="A305" s="137" t="str">
        <f>D305&amp;E305&amp;F305</f>
        <v>MKTCUOTAS Y SUSCRIPCIONESAPP</v>
      </c>
      <c r="B305" s="229" t="s">
        <v>1807</v>
      </c>
      <c r="C305" s="244">
        <v>45895</v>
      </c>
      <c r="D305" s="229" t="s">
        <v>19</v>
      </c>
      <c r="E305" s="230" t="s">
        <v>51</v>
      </c>
      <c r="F305" s="230" t="s">
        <v>70</v>
      </c>
      <c r="G305" t="s">
        <v>258</v>
      </c>
      <c r="H305" s="310" t="s">
        <v>4535</v>
      </c>
      <c r="I305" s="308"/>
      <c r="J305" s="311">
        <v>252</v>
      </c>
      <c r="K305" s="160"/>
    </row>
    <row r="306" spans="1:11" s="229" customFormat="1" ht="15">
      <c r="A306" s="137" t="str">
        <f>D306&amp;E306&amp;F306</f>
        <v>HRREDESHR</v>
      </c>
      <c r="B306" s="229" t="s">
        <v>1807</v>
      </c>
      <c r="C306" s="244">
        <v>45895</v>
      </c>
      <c r="D306" s="229" t="s">
        <v>29</v>
      </c>
      <c r="E306" s="230" t="s">
        <v>167</v>
      </c>
      <c r="F306" s="230" t="s">
        <v>29</v>
      </c>
      <c r="H306" s="310" t="s">
        <v>4437</v>
      </c>
      <c r="I306" s="308"/>
      <c r="J306" s="311">
        <v>5000</v>
      </c>
      <c r="K306" s="160"/>
    </row>
    <row r="307" spans="1:11" s="229" customFormat="1" ht="15">
      <c r="A307" s="137" t="str">
        <f>D307&amp;E307&amp;F307</f>
        <v>FINANZASTELEFONIASTARLINK</v>
      </c>
      <c r="B307" s="229" t="s">
        <v>1807</v>
      </c>
      <c r="C307" s="244">
        <v>45895</v>
      </c>
      <c r="D307" t="s">
        <v>23</v>
      </c>
      <c r="E307" s="230" t="s">
        <v>181</v>
      </c>
      <c r="F307" s="230" t="s">
        <v>184</v>
      </c>
      <c r="H307" s="307" t="s">
        <v>4536</v>
      </c>
      <c r="I307" s="308"/>
      <c r="J307" s="311">
        <v>3190</v>
      </c>
      <c r="K307" s="160"/>
    </row>
    <row r="308" spans="1:11" s="229" customFormat="1" ht="15">
      <c r="A308" s="137" t="str">
        <f>D308&amp;E308&amp;F308</f>
        <v>HRREDESHR</v>
      </c>
      <c r="B308" s="229" t="s">
        <v>1807</v>
      </c>
      <c r="C308" s="244">
        <v>45895</v>
      </c>
      <c r="D308" s="229" t="s">
        <v>29</v>
      </c>
      <c r="E308" s="230" t="s">
        <v>167</v>
      </c>
      <c r="F308" s="230" t="s">
        <v>29</v>
      </c>
      <c r="H308" s="310" t="s">
        <v>4437</v>
      </c>
      <c r="I308" s="308"/>
      <c r="J308" s="311">
        <v>113.03</v>
      </c>
      <c r="K308" s="160"/>
    </row>
    <row r="309" spans="1:11" s="229" customFormat="1" ht="15">
      <c r="A309" s="137" t="str">
        <f>D309&amp;E309&amp;F309</f>
        <v>CAPREDESCAPRICHOS</v>
      </c>
      <c r="B309" s="229" t="s">
        <v>1807</v>
      </c>
      <c r="C309" s="244">
        <v>45895</v>
      </c>
      <c r="D309" s="229" t="s">
        <v>31</v>
      </c>
      <c r="E309" s="230" t="s">
        <v>167</v>
      </c>
      <c r="F309" s="230" t="s">
        <v>33</v>
      </c>
      <c r="H309" s="310" t="s">
        <v>4475</v>
      </c>
      <c r="I309" s="308"/>
      <c r="J309" s="311">
        <v>1059.79</v>
      </c>
      <c r="K309" s="160"/>
    </row>
    <row r="310" spans="1:11" s="229" customFormat="1" ht="15">
      <c r="A310" s="137" t="str">
        <f>D310&amp;E310&amp;F310</f>
        <v>ELIREDESELILU</v>
      </c>
      <c r="B310" s="229" t="s">
        <v>1807</v>
      </c>
      <c r="C310" s="244">
        <v>45895</v>
      </c>
      <c r="D310" s="229" t="s">
        <v>130</v>
      </c>
      <c r="E310" s="230" t="s">
        <v>167</v>
      </c>
      <c r="F310" t="s">
        <v>168</v>
      </c>
      <c r="H310" s="310" t="s">
        <v>4458</v>
      </c>
      <c r="I310" s="308"/>
      <c r="J310" s="311">
        <v>120.75</v>
      </c>
      <c r="K310" s="160"/>
    </row>
    <row r="311" spans="1:11" s="229" customFormat="1" ht="15">
      <c r="A311" s="137" t="str">
        <f>D311&amp;E311&amp;F311</f>
        <v>MELREDESMELISSA</v>
      </c>
      <c r="B311" s="229" t="s">
        <v>1807</v>
      </c>
      <c r="C311" s="244">
        <v>45895</v>
      </c>
      <c r="D311" s="229" t="s">
        <v>43</v>
      </c>
      <c r="E311" s="230" t="s">
        <v>167</v>
      </c>
      <c r="F311" s="230" t="s">
        <v>44</v>
      </c>
      <c r="H311" s="310" t="s">
        <v>4537</v>
      </c>
      <c r="I311" s="308"/>
      <c r="J311" s="311">
        <v>98.79</v>
      </c>
      <c r="K311" s="160"/>
    </row>
    <row r="312" spans="1:11" s="229" customFormat="1" ht="15">
      <c r="A312" s="137" t="str">
        <f>D312&amp;E312&amp;F312</f>
        <v>HRREDESHR</v>
      </c>
      <c r="B312" s="229" t="s">
        <v>1807</v>
      </c>
      <c r="C312" s="244">
        <v>45895</v>
      </c>
      <c r="D312" s="229" t="s">
        <v>29</v>
      </c>
      <c r="E312" s="230" t="s">
        <v>167</v>
      </c>
      <c r="F312" s="230" t="s">
        <v>29</v>
      </c>
      <c r="H312" s="310" t="s">
        <v>4538</v>
      </c>
      <c r="I312" s="308"/>
      <c r="J312" s="311">
        <v>205.77</v>
      </c>
      <c r="K312" s="160"/>
    </row>
    <row r="313" spans="1:11" s="229" customFormat="1" ht="15">
      <c r="A313" s="137" t="str">
        <f>D313&amp;E313&amp;F313</f>
        <v>MELREDESMELISSA</v>
      </c>
      <c r="B313" s="229" t="s">
        <v>1807</v>
      </c>
      <c r="C313" s="244">
        <v>45895</v>
      </c>
      <c r="D313" s="229" t="s">
        <v>43</v>
      </c>
      <c r="E313" s="230" t="s">
        <v>167</v>
      </c>
      <c r="F313" s="230" t="s">
        <v>44</v>
      </c>
      <c r="H313" s="310" t="s">
        <v>4537</v>
      </c>
      <c r="I313" s="308"/>
      <c r="J313" s="311">
        <v>1009.67</v>
      </c>
      <c r="K313" s="160"/>
    </row>
    <row r="314" spans="1:11" s="229" customFormat="1" ht="15">
      <c r="A314" s="137" t="str">
        <f>D314&amp;E314&amp;F314</f>
        <v>MMREDESMARKET MAX</v>
      </c>
      <c r="B314" s="229" t="s">
        <v>1807</v>
      </c>
      <c r="C314" s="244">
        <v>45895</v>
      </c>
      <c r="D314" s="229" t="s">
        <v>45</v>
      </c>
      <c r="E314" s="230" t="s">
        <v>167</v>
      </c>
      <c r="F314" s="230" t="s">
        <v>46</v>
      </c>
      <c r="H314" s="310" t="s">
        <v>4439</v>
      </c>
      <c r="I314" s="308"/>
      <c r="J314" s="311">
        <v>1747.23</v>
      </c>
      <c r="K314" s="160"/>
    </row>
    <row r="315" spans="1:11" s="229" customFormat="1" ht="15">
      <c r="A315" s="137" t="str">
        <f>D315&amp;E315&amp;F315</f>
        <v>ELIREDESELILU</v>
      </c>
      <c r="B315" s="229" t="s">
        <v>1807</v>
      </c>
      <c r="C315" s="244">
        <v>45895</v>
      </c>
      <c r="D315" s="229" t="s">
        <v>130</v>
      </c>
      <c r="E315" s="230" t="s">
        <v>167</v>
      </c>
      <c r="F315" t="s">
        <v>168</v>
      </c>
      <c r="H315" s="310" t="s">
        <v>4539</v>
      </c>
      <c r="I315" s="308"/>
      <c r="J315" s="311">
        <v>980.25</v>
      </c>
      <c r="K315" s="160"/>
    </row>
    <row r="316" spans="1:11" s="229" customFormat="1" ht="15">
      <c r="A316" s="137" t="str">
        <f>D316&amp;E316&amp;F316</f>
        <v>CAPREDESCAPRICHOS</v>
      </c>
      <c r="B316" s="229" t="s">
        <v>1807</v>
      </c>
      <c r="C316" s="244">
        <v>45895</v>
      </c>
      <c r="D316" s="229" t="s">
        <v>31</v>
      </c>
      <c r="E316" s="230" t="s">
        <v>167</v>
      </c>
      <c r="F316" s="230" t="s">
        <v>33</v>
      </c>
      <c r="H316" s="310" t="s">
        <v>4540</v>
      </c>
      <c r="I316" s="308"/>
      <c r="J316" s="311">
        <v>56.5</v>
      </c>
      <c r="K316" s="160"/>
    </row>
    <row r="317" spans="1:11" s="229" customFormat="1" ht="15">
      <c r="A317" s="137" t="str">
        <f>D317&amp;E317&amp;F317</f>
        <v>MMREDESMARKET MAX</v>
      </c>
      <c r="B317" s="229" t="s">
        <v>1807</v>
      </c>
      <c r="C317" s="244">
        <v>45895</v>
      </c>
      <c r="D317" s="229" t="s">
        <v>45</v>
      </c>
      <c r="E317" s="230" t="s">
        <v>167</v>
      </c>
      <c r="F317" s="230" t="s">
        <v>46</v>
      </c>
      <c r="H317" s="310" t="s">
        <v>4439</v>
      </c>
      <c r="I317" s="308"/>
      <c r="J317" s="311">
        <v>52.42</v>
      </c>
      <c r="K317" s="160"/>
    </row>
    <row r="318" spans="1:11" s="229" customFormat="1" ht="15">
      <c r="A318" s="137" t="str">
        <f>D318&amp;E318&amp;F318</f>
        <v>FINANZASTELEFONIASTARLINK</v>
      </c>
      <c r="B318" s="229" t="s">
        <v>1807</v>
      </c>
      <c r="C318" s="244">
        <v>45895</v>
      </c>
      <c r="D318" t="s">
        <v>23</v>
      </c>
      <c r="E318" s="230" t="s">
        <v>181</v>
      </c>
      <c r="F318" s="230" t="s">
        <v>184</v>
      </c>
      <c r="H318" s="310" t="s">
        <v>4441</v>
      </c>
      <c r="I318" s="308"/>
      <c r="J318" s="311">
        <v>5280</v>
      </c>
      <c r="K318" s="160"/>
    </row>
    <row r="319" spans="1:11" s="229" customFormat="1" ht="15">
      <c r="A319" s="137" t="str">
        <f>D319&amp;E319&amp;F319</f>
        <v>MKTCUOTAS Y SUSCRIPCIONESAPP</v>
      </c>
      <c r="B319" s="229" t="s">
        <v>1807</v>
      </c>
      <c r="C319" s="244">
        <v>45895</v>
      </c>
      <c r="D319" s="229" t="s">
        <v>19</v>
      </c>
      <c r="E319" s="230" t="s">
        <v>51</v>
      </c>
      <c r="F319" s="230" t="s">
        <v>70</v>
      </c>
      <c r="G319" t="s">
        <v>258</v>
      </c>
      <c r="H319" s="310" t="s">
        <v>4534</v>
      </c>
      <c r="I319" s="308"/>
      <c r="J319" s="311">
        <v>499.29</v>
      </c>
      <c r="K319" s="160"/>
    </row>
    <row r="320" spans="1:11" s="229" customFormat="1" ht="15">
      <c r="A320" s="137" t="str">
        <f>D320&amp;E320&amp;F320</f>
        <v>MKTCUOTAS Y SUSCRIPCIONESAPP</v>
      </c>
      <c r="B320" s="229" t="s">
        <v>1807</v>
      </c>
      <c r="C320" s="244">
        <v>45895</v>
      </c>
      <c r="D320" s="229" t="s">
        <v>19</v>
      </c>
      <c r="E320" s="230" t="s">
        <v>51</v>
      </c>
      <c r="F320" s="230" t="s">
        <v>70</v>
      </c>
      <c r="G320" t="s">
        <v>258</v>
      </c>
      <c r="H320" s="310" t="s">
        <v>4534</v>
      </c>
      <c r="I320" s="308"/>
      <c r="J320" s="311">
        <v>499.29</v>
      </c>
      <c r="K320" s="160"/>
    </row>
    <row r="321" spans="1:11" s="229" customFormat="1" ht="15">
      <c r="A321" s="137" t="str">
        <f>D321&amp;E321&amp;F321</f>
        <v>MKTCUOTAS Y SUSCRIPCIONESAPP</v>
      </c>
      <c r="B321" s="229" t="s">
        <v>1807</v>
      </c>
      <c r="C321" s="244">
        <v>45895</v>
      </c>
      <c r="D321" s="229" t="s">
        <v>19</v>
      </c>
      <c r="E321" s="230" t="s">
        <v>51</v>
      </c>
      <c r="F321" s="230" t="s">
        <v>70</v>
      </c>
      <c r="G321" t="s">
        <v>258</v>
      </c>
      <c r="H321" s="310" t="s">
        <v>4534</v>
      </c>
      <c r="I321" s="308"/>
      <c r="J321" s="311">
        <v>499.29</v>
      </c>
      <c r="K321" s="160"/>
    </row>
    <row r="322" spans="1:11" s="229" customFormat="1" ht="15">
      <c r="A322" s="137" t="str">
        <f>D322&amp;E322&amp;F322</f>
        <v>FINANZASTELEFONIASTARLINK</v>
      </c>
      <c r="B322" s="229" t="s">
        <v>1807</v>
      </c>
      <c r="C322" s="244">
        <v>45895</v>
      </c>
      <c r="D322" t="s">
        <v>23</v>
      </c>
      <c r="E322" s="230" t="s">
        <v>181</v>
      </c>
      <c r="F322" s="230" t="s">
        <v>184</v>
      </c>
      <c r="H322" s="310" t="s">
        <v>4541</v>
      </c>
      <c r="I322" s="308"/>
      <c r="J322" s="311">
        <v>8074</v>
      </c>
      <c r="K322" s="160"/>
    </row>
    <row r="323" spans="1:11" s="89" customFormat="1" ht="15">
      <c r="A323" s="137" t="str">
        <f>D323&amp;E323&amp;F323</f>
        <v>SGECUOTAS Y SUSCRIPCIONESGOOGLE CAPCUT</v>
      </c>
      <c r="B323" s="89" t="s">
        <v>1807</v>
      </c>
      <c r="C323" s="235">
        <v>45895</v>
      </c>
      <c r="D323" s="89" t="s">
        <v>39</v>
      </c>
      <c r="E323" s="89" t="s">
        <v>51</v>
      </c>
      <c r="F323" s="89" t="s">
        <v>80</v>
      </c>
      <c r="G323" s="89" t="s">
        <v>258</v>
      </c>
      <c r="H323" s="418" t="s">
        <v>4535</v>
      </c>
      <c r="I323" s="419"/>
      <c r="J323" s="420">
        <v>350</v>
      </c>
      <c r="K323" s="421"/>
    </row>
    <row r="324" spans="1:11" s="229" customFormat="1" ht="15">
      <c r="A324" s="137" t="str">
        <f>D324&amp;E324&amp;F324</f>
        <v>HRREDESHR</v>
      </c>
      <c r="B324" s="229" t="s">
        <v>1807</v>
      </c>
      <c r="C324" s="244">
        <v>45895</v>
      </c>
      <c r="D324" s="229" t="s">
        <v>29</v>
      </c>
      <c r="E324" s="230" t="s">
        <v>167</v>
      </c>
      <c r="F324" s="230" t="s">
        <v>29</v>
      </c>
      <c r="H324" s="307" t="s">
        <v>4437</v>
      </c>
      <c r="I324" s="308"/>
      <c r="J324" s="311">
        <v>5000</v>
      </c>
      <c r="K324" s="160"/>
    </row>
    <row r="325" spans="1:11" s="229" customFormat="1" ht="15">
      <c r="A325" s="137" t="str">
        <f>D325&amp;E325&amp;F325</f>
        <v>CAPREDESCAPRICHOS</v>
      </c>
      <c r="B325" s="229" t="s">
        <v>1807</v>
      </c>
      <c r="C325" s="244">
        <v>45895</v>
      </c>
      <c r="D325" s="229" t="s">
        <v>31</v>
      </c>
      <c r="E325" s="230" t="s">
        <v>167</v>
      </c>
      <c r="F325" s="230" t="s">
        <v>33</v>
      </c>
      <c r="H325" s="307" t="s">
        <v>4542</v>
      </c>
      <c r="I325" s="308"/>
      <c r="J325" s="311">
        <v>129</v>
      </c>
      <c r="K325" s="160"/>
    </row>
    <row r="326" spans="1:11" s="229" customFormat="1" ht="15">
      <c r="A326" s="137" t="str">
        <f>D326&amp;E326&amp;F326</f>
        <v>FINANZASTELEFONIATELEFONIA</v>
      </c>
      <c r="B326" s="229" t="s">
        <v>1807</v>
      </c>
      <c r="C326" s="244">
        <v>45895</v>
      </c>
      <c r="D326" t="s">
        <v>23</v>
      </c>
      <c r="E326" s="230" t="s">
        <v>181</v>
      </c>
      <c r="F326" s="230" t="s">
        <v>181</v>
      </c>
      <c r="H326" s="307" t="s">
        <v>4444</v>
      </c>
      <c r="I326" s="308"/>
      <c r="J326" s="311">
        <v>603.03</v>
      </c>
      <c r="K326" s="160"/>
    </row>
    <row r="327" spans="1:11" s="229" customFormat="1" ht="15">
      <c r="A327" s="137" t="str">
        <f>D327&amp;E327&amp;F327</f>
        <v>CAPREDESCAPRICHOS</v>
      </c>
      <c r="B327" s="229" t="s">
        <v>1807</v>
      </c>
      <c r="C327" s="244">
        <v>45895</v>
      </c>
      <c r="D327" s="229" t="s">
        <v>31</v>
      </c>
      <c r="E327" s="230" t="s">
        <v>167</v>
      </c>
      <c r="F327" s="230" t="s">
        <v>33</v>
      </c>
      <c r="H327" s="307" t="s">
        <v>4542</v>
      </c>
      <c r="I327" s="308"/>
      <c r="J327" s="311">
        <v>199</v>
      </c>
      <c r="K327" s="160"/>
    </row>
    <row r="328" spans="1:11" s="229" customFormat="1" ht="15">
      <c r="A328" s="137" t="str">
        <f>D328&amp;E328&amp;F328</f>
        <v>CAPREDESCAPRICHOS</v>
      </c>
      <c r="B328" s="229" t="s">
        <v>1807</v>
      </c>
      <c r="C328" s="244">
        <v>45895</v>
      </c>
      <c r="D328" s="229" t="s">
        <v>31</v>
      </c>
      <c r="E328" s="230" t="s">
        <v>167</v>
      </c>
      <c r="F328" s="230" t="s">
        <v>33</v>
      </c>
      <c r="H328" s="310" t="s">
        <v>4542</v>
      </c>
      <c r="I328" s="308"/>
      <c r="J328" s="311">
        <v>199</v>
      </c>
      <c r="K328" s="160"/>
    </row>
    <row r="329" spans="1:11" s="229" customFormat="1" ht="15">
      <c r="A329" s="137" t="str">
        <f>D329&amp;E329&amp;F329</f>
        <v>FINANZASTELEFONIATELCEL</v>
      </c>
      <c r="B329" s="229" t="s">
        <v>1807</v>
      </c>
      <c r="C329" s="244">
        <v>45895</v>
      </c>
      <c r="D329" t="s">
        <v>23</v>
      </c>
      <c r="E329" s="230" t="s">
        <v>181</v>
      </c>
      <c r="F329" s="230" t="s">
        <v>183</v>
      </c>
      <c r="H329" s="310" t="s">
        <v>4462</v>
      </c>
      <c r="I329" s="308"/>
      <c r="J329" s="311">
        <v>3183.99</v>
      </c>
      <c r="K329" s="160"/>
    </row>
    <row r="330" spans="1:11" s="229" customFormat="1" ht="15">
      <c r="A330" s="137" t="str">
        <f>D330&amp;E330&amp;F330</f>
        <v>FINANZASTELEFONIATELEFONIA</v>
      </c>
      <c r="B330" s="229" t="s">
        <v>1807</v>
      </c>
      <c r="C330" s="244">
        <v>45895</v>
      </c>
      <c r="D330" t="s">
        <v>23</v>
      </c>
      <c r="E330" s="230" t="s">
        <v>181</v>
      </c>
      <c r="F330" s="230" t="s">
        <v>181</v>
      </c>
      <c r="H330" s="312" t="s">
        <v>4543</v>
      </c>
      <c r="I330" s="308"/>
      <c r="J330" s="311">
        <v>7135.06</v>
      </c>
      <c r="K330" s="160"/>
    </row>
    <row r="331" spans="1:11" s="229" customFormat="1" ht="15">
      <c r="A331" s="137" t="str">
        <f>D331&amp;E331&amp;F331</f>
        <v>MKTCUOTAS Y SUSCRIPCIONESAPP</v>
      </c>
      <c r="B331" s="229" t="s">
        <v>1807</v>
      </c>
      <c r="C331" s="244">
        <v>45895</v>
      </c>
      <c r="D331" s="229" t="s">
        <v>19</v>
      </c>
      <c r="E331" s="230" t="s">
        <v>51</v>
      </c>
      <c r="F331" s="230" t="s">
        <v>70</v>
      </c>
      <c r="G331" t="s">
        <v>258</v>
      </c>
      <c r="H331" s="307" t="s">
        <v>4544</v>
      </c>
      <c r="I331" s="308"/>
      <c r="J331" s="311">
        <v>229.62</v>
      </c>
      <c r="K331" s="160"/>
    </row>
    <row r="332" spans="1:11" s="229" customFormat="1" ht="15">
      <c r="A332" s="137" t="str">
        <f>D332&amp;E332&amp;F332</f>
        <v>SGECUOTAS Y SUSCRIPCIONESCHATGPT</v>
      </c>
      <c r="B332" s="229" t="s">
        <v>1807</v>
      </c>
      <c r="C332" s="244">
        <v>45895</v>
      </c>
      <c r="D332" s="229" t="s">
        <v>39</v>
      </c>
      <c r="E332" s="229" t="s">
        <v>51</v>
      </c>
      <c r="F332" s="229" t="s">
        <v>59</v>
      </c>
      <c r="H332" s="307" t="s">
        <v>4427</v>
      </c>
      <c r="I332" s="308"/>
      <c r="J332" s="311">
        <v>1148.1400000000001</v>
      </c>
      <c r="K332" s="160"/>
    </row>
    <row r="333" spans="1:11" s="229" customFormat="1" ht="15">
      <c r="A333" s="137" t="str">
        <f>D333&amp;E333&amp;F333</f>
        <v>SGECUOTAS Y SUSCRIPCIONESCHATGPT</v>
      </c>
      <c r="B333" s="229" t="s">
        <v>1807</v>
      </c>
      <c r="C333" s="244">
        <v>45895</v>
      </c>
      <c r="D333" s="229" t="s">
        <v>39</v>
      </c>
      <c r="E333" s="229" t="s">
        <v>51</v>
      </c>
      <c r="F333" s="229" t="s">
        <v>59</v>
      </c>
      <c r="H333" s="307" t="s">
        <v>4427</v>
      </c>
      <c r="I333" s="308"/>
      <c r="J333" s="311">
        <v>381.16</v>
      </c>
      <c r="K333" s="160"/>
    </row>
    <row r="334" spans="1:11" s="229" customFormat="1" ht="15">
      <c r="A334" s="137" t="str">
        <f>D334&amp;E334&amp;F334</f>
        <v>FINANZASRENTASCONTABILIDAD (WT)</v>
      </c>
      <c r="B334" s="229" t="s">
        <v>1807</v>
      </c>
      <c r="C334" s="244">
        <v>45895</v>
      </c>
      <c r="D334" s="229" t="s">
        <v>23</v>
      </c>
      <c r="E334" s="229" t="s">
        <v>169</v>
      </c>
      <c r="F334" s="229" t="s">
        <v>171</v>
      </c>
      <c r="H334" s="307" t="s">
        <v>4449</v>
      </c>
      <c r="I334" s="308"/>
      <c r="J334" s="311">
        <v>3090.54</v>
      </c>
      <c r="K334" s="160"/>
    </row>
    <row r="335" spans="1:11" s="229" customFormat="1" ht="15">
      <c r="A335" s="137" t="str">
        <f>D335&amp;E335&amp;F335</f>
        <v>SGECUOTAS Y SUSCRIPCIONESOFFICE 365(C1)</v>
      </c>
      <c r="B335" s="229" t="s">
        <v>1807</v>
      </c>
      <c r="C335" s="244">
        <v>45895</v>
      </c>
      <c r="D335" s="229" t="s">
        <v>39</v>
      </c>
      <c r="E335" s="229" t="s">
        <v>51</v>
      </c>
      <c r="F335" s="158" t="s">
        <v>53</v>
      </c>
      <c r="H335" s="307" t="s">
        <v>4443</v>
      </c>
      <c r="I335" s="308"/>
      <c r="J335" s="311">
        <v>192.23</v>
      </c>
      <c r="K335" s="160"/>
    </row>
    <row r="336" spans="1:11" s="229" customFormat="1" ht="15">
      <c r="A336" s="137" t="str">
        <f>D336&amp;E336&amp;F336</f>
        <v>SGECUOTAS Y SUSCRIPCIONESZOOM</v>
      </c>
      <c r="B336" s="229" t="s">
        <v>1807</v>
      </c>
      <c r="C336" s="244">
        <v>45895</v>
      </c>
      <c r="D336" s="229" t="s">
        <v>39</v>
      </c>
      <c r="E336" s="229" t="s">
        <v>51</v>
      </c>
      <c r="F336" s="229" t="s">
        <v>56</v>
      </c>
      <c r="H336" s="307" t="s">
        <v>4447</v>
      </c>
      <c r="I336" s="308"/>
      <c r="J336" s="311">
        <v>1879.64</v>
      </c>
      <c r="K336" s="160"/>
    </row>
    <row r="337" spans="1:11" s="229" customFormat="1" ht="15">
      <c r="A337" s="137" t="str">
        <f>D337&amp;E337&amp;F337</f>
        <v>FINANZASCOMISIONES BANCARIASMANEJO DE CUENTA</v>
      </c>
      <c r="B337" s="229" t="s">
        <v>1807</v>
      </c>
      <c r="C337" s="244">
        <v>45895</v>
      </c>
      <c r="D337" s="229" t="s">
        <v>23</v>
      </c>
      <c r="E337" s="230" t="s">
        <v>48</v>
      </c>
      <c r="F337" s="230" t="s">
        <v>49</v>
      </c>
      <c r="H337" s="307" t="s">
        <v>4545</v>
      </c>
      <c r="I337" s="308"/>
      <c r="J337" s="311">
        <v>2863</v>
      </c>
      <c r="K337" s="160"/>
    </row>
    <row r="338" spans="1:11" s="229" customFormat="1" ht="15">
      <c r="A338" s="137" t="str">
        <f>D338&amp;E338&amp;F338</f>
        <v>FINANZASCOMISIONES BANCARIASMANEJO DE CUENTA</v>
      </c>
      <c r="B338" s="229" t="s">
        <v>1807</v>
      </c>
      <c r="C338" s="244">
        <v>45895</v>
      </c>
      <c r="D338" s="229" t="s">
        <v>23</v>
      </c>
      <c r="E338" s="230" t="s">
        <v>48</v>
      </c>
      <c r="F338" s="230" t="s">
        <v>49</v>
      </c>
      <c r="H338" s="307" t="s">
        <v>4546</v>
      </c>
      <c r="I338" s="308"/>
      <c r="J338" s="311">
        <v>515.5</v>
      </c>
      <c r="K338" s="160"/>
    </row>
    <row r="339" spans="1:11" s="229" customFormat="1" ht="15">
      <c r="A339" s="137" t="str">
        <f>D339&amp;E339&amp;F339</f>
        <v>FINANZASCOMISIONES BANCARIASMANEJO DE CUENTA</v>
      </c>
      <c r="B339" s="229" t="s">
        <v>1807</v>
      </c>
      <c r="C339" s="244">
        <v>45895</v>
      </c>
      <c r="D339" s="229" t="s">
        <v>23</v>
      </c>
      <c r="E339" s="230" t="s">
        <v>48</v>
      </c>
      <c r="F339" s="230" t="s">
        <v>49</v>
      </c>
      <c r="H339" s="307" t="s">
        <v>4547</v>
      </c>
      <c r="I339" s="308"/>
      <c r="J339" s="311">
        <v>82.48</v>
      </c>
      <c r="K339" s="160"/>
    </row>
    <row r="340" spans="1:11" s="229" customFormat="1" ht="15">
      <c r="A340" s="137" t="str">
        <f>D340&amp;E340&amp;F340</f>
        <v>FINANZASSEGUROEQ. DE TRANSPORTE</v>
      </c>
      <c r="B340" s="229" t="s">
        <v>1807</v>
      </c>
      <c r="C340" s="244">
        <v>45895</v>
      </c>
      <c r="D340" s="229" t="s">
        <v>23</v>
      </c>
      <c r="E340" s="229" t="s">
        <v>173</v>
      </c>
      <c r="F340" s="229" t="s">
        <v>175</v>
      </c>
      <c r="H340" s="307" t="s">
        <v>4548</v>
      </c>
      <c r="I340" s="308"/>
      <c r="J340" s="307">
        <v>5657</v>
      </c>
      <c r="K340" s="160"/>
    </row>
    <row r="341" spans="1:11" s="229" customFormat="1" ht="15.75" customHeight="1">
      <c r="A341" s="137" t="str">
        <f>D341&amp;E341&amp;F341</f>
        <v>SERVICIOSADQ DE EQ TECNOLOGICOADQ DE EQ TECNOLOGICO</v>
      </c>
      <c r="B341" s="229" t="s">
        <v>1807</v>
      </c>
      <c r="C341" s="244">
        <v>45895</v>
      </c>
      <c r="D341" t="s">
        <v>21</v>
      </c>
      <c r="E341" t="s">
        <v>22</v>
      </c>
      <c r="F341" s="158" t="s">
        <v>22</v>
      </c>
      <c r="H341" s="307" t="s">
        <v>4549</v>
      </c>
      <c r="I341" s="308"/>
      <c r="J341" s="316">
        <v>4699</v>
      </c>
      <c r="K341" s="160"/>
    </row>
    <row r="342" spans="1:11" s="229" customFormat="1" ht="18" customHeight="1">
      <c r="A342" s="137" t="str">
        <f>D342&amp;E342&amp;F342</f>
        <v>SERVICIOSADQ DE EQ TECNOLOGICOADQ DE EQ TECNOLOGICO</v>
      </c>
      <c r="B342" s="229" t="s">
        <v>1807</v>
      </c>
      <c r="C342" s="244">
        <v>45895</v>
      </c>
      <c r="D342" t="s">
        <v>21</v>
      </c>
      <c r="E342" t="s">
        <v>22</v>
      </c>
      <c r="F342" s="158" t="s">
        <v>22</v>
      </c>
      <c r="H342" s="431" t="s">
        <v>4550</v>
      </c>
      <c r="I342" s="308"/>
      <c r="J342" s="316">
        <v>3809.39</v>
      </c>
      <c r="K342" s="160"/>
    </row>
    <row r="343" spans="1:11" s="229" customFormat="1" ht="15">
      <c r="A343" s="137" t="str">
        <f>D343&amp;E343&amp;F343</f>
        <v>MKTINSUMOSINSUMOS</v>
      </c>
      <c r="B343" s="229" t="s">
        <v>1807</v>
      </c>
      <c r="C343" s="244">
        <v>45895</v>
      </c>
      <c r="D343" s="229" t="s">
        <v>19</v>
      </c>
      <c r="E343" s="230" t="s">
        <v>133</v>
      </c>
      <c r="F343" s="230" t="s">
        <v>133</v>
      </c>
      <c r="H343" s="307" t="s">
        <v>4551</v>
      </c>
      <c r="I343" s="308"/>
      <c r="J343" s="316">
        <v>321.2</v>
      </c>
      <c r="K343" s="160"/>
    </row>
    <row r="344" spans="1:11" s="229" customFormat="1" ht="15">
      <c r="A344" s="137" t="str">
        <f>D344&amp;E344&amp;F344</f>
        <v>MKTCUOTAS Y SUSCRIPCIONESAPP</v>
      </c>
      <c r="B344" s="229" t="s">
        <v>1807</v>
      </c>
      <c r="C344" s="244">
        <v>45895</v>
      </c>
      <c r="D344" s="229" t="s">
        <v>19</v>
      </c>
      <c r="E344" s="229" t="s">
        <v>51</v>
      </c>
      <c r="F344" s="229" t="s">
        <v>70</v>
      </c>
      <c r="G344" t="s">
        <v>258</v>
      </c>
      <c r="H344" s="307" t="s">
        <v>4552</v>
      </c>
      <c r="I344" s="308"/>
      <c r="J344" s="316">
        <v>360.99</v>
      </c>
      <c r="K344" s="160"/>
    </row>
    <row r="345" spans="1:11" s="229" customFormat="1" ht="15">
      <c r="A345" s="137" t="str">
        <f>D345&amp;E345&amp;F345</f>
        <v>SERVICIOSADQ DE EQ TECNOLOGICOADQ DE EQ TECNOLOGICO</v>
      </c>
      <c r="B345" s="229" t="s">
        <v>1807</v>
      </c>
      <c r="C345" s="244">
        <v>45895</v>
      </c>
      <c r="D345" t="s">
        <v>21</v>
      </c>
      <c r="E345" t="s">
        <v>22</v>
      </c>
      <c r="F345" s="158" t="s">
        <v>22</v>
      </c>
      <c r="H345" s="307" t="s">
        <v>4553</v>
      </c>
      <c r="I345" s="308"/>
      <c r="J345" s="316">
        <v>5549</v>
      </c>
      <c r="K345" s="160"/>
    </row>
    <row r="346" spans="1:11" s="229" customFormat="1" ht="15">
      <c r="A346" s="137" t="str">
        <f>D346&amp;E346&amp;F346</f>
        <v>SERVICIOSADQ DE EQ TECNOLOGICOADQ DE EQ TECNOLOGICO</v>
      </c>
      <c r="B346" s="229" t="s">
        <v>1807</v>
      </c>
      <c r="C346" s="244">
        <v>45895</v>
      </c>
      <c r="D346" t="s">
        <v>21</v>
      </c>
      <c r="E346" t="s">
        <v>22</v>
      </c>
      <c r="F346" s="158" t="s">
        <v>22</v>
      </c>
      <c r="H346" s="431" t="s">
        <v>4554</v>
      </c>
      <c r="I346" s="308"/>
      <c r="J346" s="316">
        <v>5795</v>
      </c>
      <c r="K346" s="160"/>
    </row>
    <row r="347" spans="1:11" s="229" customFormat="1" ht="15">
      <c r="A347" s="137" t="str">
        <f>D347&amp;E347&amp;F347</f>
        <v>SERVICIOSADQ DE EQ TECNOLOGICOADQ DE EQ TECNOLOGICO</v>
      </c>
      <c r="B347" s="229" t="s">
        <v>1807</v>
      </c>
      <c r="C347" s="244">
        <v>45895</v>
      </c>
      <c r="D347" t="s">
        <v>21</v>
      </c>
      <c r="E347" t="s">
        <v>22</v>
      </c>
      <c r="F347" s="158" t="s">
        <v>22</v>
      </c>
      <c r="H347" s="431" t="s">
        <v>4555</v>
      </c>
      <c r="I347" s="308"/>
      <c r="J347" s="316">
        <v>195</v>
      </c>
      <c r="K347" s="160"/>
    </row>
    <row r="348" spans="1:11" s="229" customFormat="1" ht="15">
      <c r="A348" s="137" t="str">
        <f>D348&amp;E348&amp;F348</f>
        <v>SERVICIOSADQ DE EQ TECNOLOGICOADQ DE EQ TECNOLOGICO</v>
      </c>
      <c r="B348" s="229" t="s">
        <v>1807</v>
      </c>
      <c r="C348" s="244">
        <v>45895</v>
      </c>
      <c r="D348" t="s">
        <v>21</v>
      </c>
      <c r="E348" t="s">
        <v>22</v>
      </c>
      <c r="F348" s="158" t="s">
        <v>22</v>
      </c>
      <c r="H348" s="431" t="s">
        <v>4555</v>
      </c>
      <c r="I348" s="308"/>
      <c r="J348" s="316">
        <v>2113.5</v>
      </c>
      <c r="K348" s="160"/>
    </row>
    <row r="349" spans="1:11" s="229" customFormat="1" ht="15">
      <c r="A349" s="137" t="str">
        <f>D349&amp;E349&amp;F349</f>
        <v>SERVICIOSADQ DE EQ TECNOLOGICOADQ DE EQ TECNOLOGICO</v>
      </c>
      <c r="B349" s="229" t="s">
        <v>1807</v>
      </c>
      <c r="C349" s="244">
        <v>45895</v>
      </c>
      <c r="D349" t="s">
        <v>21</v>
      </c>
      <c r="E349" t="s">
        <v>22</v>
      </c>
      <c r="F349" s="158" t="s">
        <v>22</v>
      </c>
      <c r="H349" s="431" t="s">
        <v>4556</v>
      </c>
      <c r="I349" s="308"/>
      <c r="J349" s="316">
        <v>6500</v>
      </c>
      <c r="K349" s="160"/>
    </row>
    <row r="350" spans="1:11" s="229" customFormat="1" ht="15">
      <c r="A350" s="137" t="str">
        <f>D350&amp;E350&amp;F350</f>
        <v>MKTCUOTAS Y SUSCRIPCIONESAPP</v>
      </c>
      <c r="B350" s="229" t="s">
        <v>1807</v>
      </c>
      <c r="C350" s="244">
        <v>45895</v>
      </c>
      <c r="D350" s="229" t="s">
        <v>19</v>
      </c>
      <c r="E350" s="230" t="s">
        <v>51</v>
      </c>
      <c r="F350" s="230" t="s">
        <v>70</v>
      </c>
      <c r="G350" t="s">
        <v>258</v>
      </c>
      <c r="H350" s="307" t="s">
        <v>4557</v>
      </c>
      <c r="I350" s="308"/>
      <c r="J350" s="316">
        <v>4.07</v>
      </c>
      <c r="K350" s="160"/>
    </row>
    <row r="351" spans="1:11" s="229" customFormat="1" ht="15">
      <c r="A351" s="137" t="str">
        <f t="shared" ref="A325:A388" si="13">D351&amp;E351&amp;F351</f>
        <v>SERVICIOSMTTO DE EDIFICIOMANTENIMIENTO</v>
      </c>
      <c r="B351" s="229" t="s">
        <v>2028</v>
      </c>
      <c r="C351" s="244">
        <v>45908</v>
      </c>
      <c r="D351" s="229" t="s">
        <v>21</v>
      </c>
      <c r="E351" s="230" t="s">
        <v>142</v>
      </c>
      <c r="F351" s="230" t="s">
        <v>35</v>
      </c>
      <c r="H351" s="307" t="s">
        <v>4558</v>
      </c>
      <c r="I351" s="308"/>
      <c r="J351" s="308">
        <v>897</v>
      </c>
      <c r="K351" s="160"/>
    </row>
    <row r="352" spans="1:11" s="229" customFormat="1" ht="15">
      <c r="A352" s="137" t="str">
        <f t="shared" si="13"/>
        <v>SERVICIOSMTTO MOBILIARIOREPARACION</v>
      </c>
      <c r="B352" s="229" t="s">
        <v>2028</v>
      </c>
      <c r="C352" s="244">
        <v>45908</v>
      </c>
      <c r="D352" s="229" t="s">
        <v>21</v>
      </c>
      <c r="E352" s="230" t="s">
        <v>145</v>
      </c>
      <c r="F352" s="230" t="s">
        <v>146</v>
      </c>
      <c r="H352" s="307" t="s">
        <v>4559</v>
      </c>
      <c r="I352" s="308"/>
      <c r="J352" s="308">
        <v>12090.87</v>
      </c>
      <c r="K352" s="160"/>
    </row>
    <row r="353" spans="1:11" ht="15">
      <c r="A353" s="137" t="str">
        <f t="shared" si="13"/>
        <v>SERVICIOSMTTO DE EDIFICIOMANTENIMIENTO</v>
      </c>
      <c r="B353" t="s">
        <v>2028</v>
      </c>
      <c r="C353" s="1">
        <v>45908</v>
      </c>
      <c r="D353" t="s">
        <v>21</v>
      </c>
      <c r="E353" s="12" t="s">
        <v>142</v>
      </c>
      <c r="F353" s="12" t="s">
        <v>35</v>
      </c>
      <c r="H353" t="s">
        <v>4560</v>
      </c>
      <c r="J353" s="81">
        <v>284.01</v>
      </c>
    </row>
    <row r="354" spans="1:11" ht="15">
      <c r="A354" s="137" t="str">
        <f t="shared" si="13"/>
        <v>HRREDESHR</v>
      </c>
      <c r="B354" t="s">
        <v>2028</v>
      </c>
      <c r="C354" s="1">
        <v>45908</v>
      </c>
      <c r="D354" t="s">
        <v>29</v>
      </c>
      <c r="E354" s="12" t="s">
        <v>167</v>
      </c>
      <c r="F354" s="12" t="s">
        <v>29</v>
      </c>
      <c r="H354" t="s">
        <v>4442</v>
      </c>
      <c r="J354" s="81">
        <v>199</v>
      </c>
    </row>
    <row r="355" spans="1:11" ht="15">
      <c r="A355" s="137" t="str">
        <f>D355&amp;E355&amp;F355</f>
        <v>HRREDESHR</v>
      </c>
      <c r="B355" t="s">
        <v>2028</v>
      </c>
      <c r="C355" s="1">
        <v>45908</v>
      </c>
      <c r="D355" t="s">
        <v>29</v>
      </c>
      <c r="E355" s="12" t="s">
        <v>167</v>
      </c>
      <c r="F355" s="12" t="s">
        <v>29</v>
      </c>
      <c r="H355" t="s">
        <v>4442</v>
      </c>
      <c r="J355" s="81">
        <v>199</v>
      </c>
    </row>
    <row r="356" spans="1:11" ht="15">
      <c r="A356" s="137" t="str">
        <f t="shared" si="13"/>
        <v>SERVICIOSCUOTAS Y SUSCRIPCIONESAPP</v>
      </c>
      <c r="B356" t="s">
        <v>2028</v>
      </c>
      <c r="C356" s="1">
        <v>45908</v>
      </c>
      <c r="D356" t="s">
        <v>21</v>
      </c>
      <c r="E356" t="s">
        <v>51</v>
      </c>
      <c r="F356" t="s">
        <v>70</v>
      </c>
      <c r="H356" t="s">
        <v>4468</v>
      </c>
      <c r="J356" s="81">
        <v>199</v>
      </c>
    </row>
    <row r="357" spans="1:11" ht="15">
      <c r="A357" s="137" t="str">
        <f t="shared" si="13"/>
        <v>SERVICIOSMTTO DE EDIFICIOMANTENIMIENTO</v>
      </c>
      <c r="B357" t="s">
        <v>2028</v>
      </c>
      <c r="C357" s="1">
        <v>45908</v>
      </c>
      <c r="D357" t="s">
        <v>21</v>
      </c>
      <c r="E357" s="12" t="s">
        <v>142</v>
      </c>
      <c r="F357" s="12" t="s">
        <v>35</v>
      </c>
      <c r="H357" t="s">
        <v>4561</v>
      </c>
      <c r="J357" s="81">
        <v>4855</v>
      </c>
    </row>
    <row r="358" spans="1:11" ht="15">
      <c r="A358" s="137" t="str">
        <f t="shared" si="13"/>
        <v>SERVICIOSMTTO DE EDIFICIOMANTENIMIENTO</v>
      </c>
      <c r="B358" t="s">
        <v>2028</v>
      </c>
      <c r="C358" s="1">
        <v>45908</v>
      </c>
      <c r="D358" t="s">
        <v>21</v>
      </c>
      <c r="E358" s="12" t="s">
        <v>142</v>
      </c>
      <c r="F358" s="12" t="s">
        <v>35</v>
      </c>
      <c r="H358" t="s">
        <v>4562</v>
      </c>
      <c r="J358" s="81">
        <v>2149</v>
      </c>
    </row>
    <row r="359" spans="1:11" ht="15">
      <c r="A359" s="137" t="str">
        <f t="shared" si="13"/>
        <v>SGECUOTAS Y SUSCRIPCIONESWORKFORCE</v>
      </c>
      <c r="B359" t="s">
        <v>2028</v>
      </c>
      <c r="C359" s="1">
        <v>45908</v>
      </c>
      <c r="D359" t="s">
        <v>39</v>
      </c>
      <c r="E359" s="12" t="s">
        <v>51</v>
      </c>
      <c r="F359" s="12" t="s">
        <v>79</v>
      </c>
      <c r="H359" t="s">
        <v>4563</v>
      </c>
      <c r="J359" s="81">
        <v>7878.62</v>
      </c>
    </row>
    <row r="360" spans="1:11" s="229" customFormat="1" ht="15">
      <c r="A360" s="137" t="str">
        <f t="shared" si="13"/>
        <v>SGECUOTAS Y SUSCRIPCIONESWORKFORCE</v>
      </c>
      <c r="B360" s="229" t="s">
        <v>2028</v>
      </c>
      <c r="C360" s="244">
        <v>45908</v>
      </c>
      <c r="D360" s="229" t="s">
        <v>39</v>
      </c>
      <c r="E360" s="230" t="s">
        <v>51</v>
      </c>
      <c r="F360" s="230" t="s">
        <v>79</v>
      </c>
      <c r="H360" s="229" t="s">
        <v>4563</v>
      </c>
      <c r="I360" s="161"/>
      <c r="J360" s="161">
        <v>5252.42</v>
      </c>
      <c r="K360" s="160"/>
    </row>
    <row r="361" spans="1:11" ht="15">
      <c r="A361" s="137" t="str">
        <f t="shared" si="13"/>
        <v>DEVIATICOSDIRECCION</v>
      </c>
      <c r="B361" t="s">
        <v>2028</v>
      </c>
      <c r="C361" s="1">
        <v>45908</v>
      </c>
      <c r="D361" t="s">
        <v>41</v>
      </c>
      <c r="E361" s="12" t="s">
        <v>191</v>
      </c>
      <c r="F361" s="12" t="s">
        <v>42</v>
      </c>
      <c r="H361" t="s">
        <v>4564</v>
      </c>
      <c r="J361" s="81">
        <v>869</v>
      </c>
    </row>
    <row r="362" spans="1:11" ht="15">
      <c r="A362" s="137" t="str">
        <f t="shared" si="13"/>
        <v>DEVIATICOSDIRECCION</v>
      </c>
      <c r="B362" t="s">
        <v>2028</v>
      </c>
      <c r="C362" s="1">
        <v>45908</v>
      </c>
      <c r="D362" t="s">
        <v>41</v>
      </c>
      <c r="E362" s="12" t="s">
        <v>191</v>
      </c>
      <c r="F362" s="12" t="s">
        <v>42</v>
      </c>
      <c r="H362" t="s">
        <v>4565</v>
      </c>
      <c r="J362" s="81">
        <v>2383.2800000000002</v>
      </c>
    </row>
    <row r="363" spans="1:11" ht="15">
      <c r="A363" s="137" t="str">
        <f t="shared" si="13"/>
        <v>DEVIATICOSDIRECCION</v>
      </c>
      <c r="B363" t="s">
        <v>2028</v>
      </c>
      <c r="C363" s="1">
        <v>45908</v>
      </c>
      <c r="D363" t="s">
        <v>41</v>
      </c>
      <c r="E363" s="12" t="s">
        <v>191</v>
      </c>
      <c r="F363" s="12" t="s">
        <v>42</v>
      </c>
      <c r="H363" t="s">
        <v>4566</v>
      </c>
      <c r="J363" s="81">
        <v>318</v>
      </c>
    </row>
    <row r="364" spans="1:11" ht="15">
      <c r="A364" s="137" t="str">
        <f t="shared" si="13"/>
        <v>DEVIATICOSDIRECCION</v>
      </c>
      <c r="B364" t="s">
        <v>2028</v>
      </c>
      <c r="C364" s="1">
        <v>45908</v>
      </c>
      <c r="D364" t="s">
        <v>41</v>
      </c>
      <c r="E364" s="12" t="s">
        <v>191</v>
      </c>
      <c r="F364" s="12" t="s">
        <v>42</v>
      </c>
      <c r="H364" t="s">
        <v>4564</v>
      </c>
      <c r="J364" s="81">
        <v>475.2</v>
      </c>
    </row>
    <row r="365" spans="1:11" ht="15">
      <c r="A365" s="137" t="str">
        <f t="shared" si="13"/>
        <v>DEVIATICOSDIRECCION</v>
      </c>
      <c r="B365" t="s">
        <v>2028</v>
      </c>
      <c r="C365" s="1">
        <v>45908</v>
      </c>
      <c r="D365" t="s">
        <v>41</v>
      </c>
      <c r="E365" s="12" t="s">
        <v>191</v>
      </c>
      <c r="F365" s="12" t="s">
        <v>42</v>
      </c>
      <c r="H365" t="s">
        <v>4567</v>
      </c>
      <c r="J365" s="81">
        <v>1805.28</v>
      </c>
    </row>
    <row r="366" spans="1:11" ht="15">
      <c r="A366" s="137" t="str">
        <f t="shared" si="13"/>
        <v>SGECUOTAS Y SUSCRIPCIONESCHATGPT</v>
      </c>
      <c r="B366" t="s">
        <v>2028</v>
      </c>
      <c r="C366" s="1">
        <v>45908</v>
      </c>
      <c r="D366" t="s">
        <v>39</v>
      </c>
      <c r="E366" t="s">
        <v>51</v>
      </c>
      <c r="F366" t="s">
        <v>59</v>
      </c>
      <c r="H366" t="s">
        <v>4568</v>
      </c>
      <c r="J366" s="81">
        <v>393.12</v>
      </c>
    </row>
    <row r="367" spans="1:11" ht="15">
      <c r="A367" s="137" t="str">
        <f t="shared" si="13"/>
        <v>DEVIATICOSDIRECCION</v>
      </c>
      <c r="B367" t="s">
        <v>2028</v>
      </c>
      <c r="C367" s="1">
        <v>45908</v>
      </c>
      <c r="D367" t="s">
        <v>41</v>
      </c>
      <c r="E367" s="12" t="s">
        <v>191</v>
      </c>
      <c r="F367" s="12" t="s">
        <v>42</v>
      </c>
      <c r="H367" t="s">
        <v>4569</v>
      </c>
      <c r="J367" s="81">
        <v>249</v>
      </c>
    </row>
    <row r="368" spans="1:11" ht="15">
      <c r="A368" s="137" t="str">
        <f t="shared" si="13"/>
        <v>SGECUOTAS Y SUSCRIPCIONESCANVA</v>
      </c>
      <c r="B368" t="s">
        <v>2028</v>
      </c>
      <c r="C368" s="1">
        <v>45908</v>
      </c>
      <c r="D368" t="s">
        <v>39</v>
      </c>
      <c r="E368" t="s">
        <v>51</v>
      </c>
      <c r="F368" t="s">
        <v>60</v>
      </c>
      <c r="H368" t="s">
        <v>4570</v>
      </c>
      <c r="J368" s="81">
        <v>149</v>
      </c>
    </row>
    <row r="369" spans="1:11" ht="15">
      <c r="A369" s="137" t="str">
        <f t="shared" si="13"/>
        <v>SGECUOTAS Y SUSCRIPCIONESMIDJOURNEY APP</v>
      </c>
      <c r="B369" t="s">
        <v>2028</v>
      </c>
      <c r="C369" s="1">
        <v>45908</v>
      </c>
      <c r="D369" t="s">
        <v>39</v>
      </c>
      <c r="E369" t="s">
        <v>51</v>
      </c>
      <c r="F369" t="s">
        <v>84</v>
      </c>
      <c r="H369" t="s">
        <v>4571</v>
      </c>
      <c r="J369" s="81">
        <v>227.74</v>
      </c>
    </row>
    <row r="370" spans="1:11" s="229" customFormat="1" ht="15">
      <c r="A370" s="137" t="str">
        <f t="shared" si="13"/>
        <v>SERVICIOSMTTO EQ DE TRANSPORTECEDIS</v>
      </c>
      <c r="B370" s="229" t="s">
        <v>2028</v>
      </c>
      <c r="C370" s="244">
        <v>45908</v>
      </c>
      <c r="D370" s="229" t="s">
        <v>21</v>
      </c>
      <c r="E370" s="230" t="s">
        <v>144</v>
      </c>
      <c r="F370" s="230" t="s">
        <v>28</v>
      </c>
      <c r="H370" s="229" t="s">
        <v>4572</v>
      </c>
      <c r="I370" s="161"/>
      <c r="J370" s="161">
        <v>1966.5</v>
      </c>
      <c r="K370" s="160"/>
    </row>
    <row r="371" spans="1:11" s="229" customFormat="1" ht="15">
      <c r="A371" s="137" t="str">
        <f t="shared" si="13"/>
        <v>SERVICIOSMTTO EQ DE TRANSPORTECEDIS</v>
      </c>
      <c r="B371" s="229" t="s">
        <v>2028</v>
      </c>
      <c r="C371" s="244">
        <v>45908</v>
      </c>
      <c r="D371" s="229" t="s">
        <v>21</v>
      </c>
      <c r="E371" s="230" t="s">
        <v>144</v>
      </c>
      <c r="F371" s="230" t="s">
        <v>28</v>
      </c>
      <c r="H371" s="229" t="s">
        <v>4573</v>
      </c>
      <c r="I371" s="161"/>
      <c r="J371" s="161">
        <v>2192.4</v>
      </c>
      <c r="K371" s="160"/>
    </row>
    <row r="372" spans="1:11" ht="15">
      <c r="A372" s="137" t="str">
        <f t="shared" si="13"/>
        <v>SERVICIOSMTTO DE EDIFICIOMANTENIMIENTO</v>
      </c>
      <c r="B372" t="s">
        <v>2028</v>
      </c>
      <c r="C372" s="1">
        <v>45908</v>
      </c>
      <c r="D372" t="s">
        <v>21</v>
      </c>
      <c r="E372" s="12" t="s">
        <v>142</v>
      </c>
      <c r="F372" s="12" t="s">
        <v>35</v>
      </c>
      <c r="H372" t="s">
        <v>4574</v>
      </c>
      <c r="J372" s="81">
        <v>4122.32</v>
      </c>
    </row>
    <row r="373" spans="1:11" ht="15">
      <c r="A373" s="137" t="str">
        <f t="shared" si="13"/>
        <v>SERVICIOSMTTO DE EDIFICIOMANTENIMIENTO</v>
      </c>
      <c r="B373" t="s">
        <v>2028</v>
      </c>
      <c r="C373" s="1">
        <v>45908</v>
      </c>
      <c r="D373" t="s">
        <v>21</v>
      </c>
      <c r="E373" s="12" t="s">
        <v>142</v>
      </c>
      <c r="F373" s="12" t="s">
        <v>35</v>
      </c>
      <c r="H373" t="s">
        <v>4575</v>
      </c>
      <c r="J373" s="81">
        <v>1706.65</v>
      </c>
    </row>
    <row r="374" spans="1:11" s="229" customFormat="1" ht="15">
      <c r="A374" s="137" t="str">
        <f t="shared" si="13"/>
        <v>SERVICIOSCOMBUSTIBLEMANTENIMIENTO</v>
      </c>
      <c r="B374" s="229" t="s">
        <v>2028</v>
      </c>
      <c r="C374" s="244">
        <v>45908</v>
      </c>
      <c r="D374" s="229" t="s">
        <v>21</v>
      </c>
      <c r="E374" s="230" t="s">
        <v>32</v>
      </c>
      <c r="F374" s="230" t="s">
        <v>35</v>
      </c>
      <c r="H374" s="229" t="s">
        <v>4523</v>
      </c>
      <c r="I374" s="161"/>
      <c r="J374" s="161">
        <v>100</v>
      </c>
      <c r="K374" s="160"/>
    </row>
    <row r="375" spans="1:11" s="229" customFormat="1" ht="15">
      <c r="A375" s="137" t="str">
        <f t="shared" si="13"/>
        <v>SERVICIOSCOMBUSTIBLEMANTENIMIENTO</v>
      </c>
      <c r="B375" s="229" t="s">
        <v>2028</v>
      </c>
      <c r="C375" s="244">
        <v>45908</v>
      </c>
      <c r="D375" s="229" t="s">
        <v>21</v>
      </c>
      <c r="E375" s="230" t="s">
        <v>32</v>
      </c>
      <c r="F375" s="230" t="s">
        <v>35</v>
      </c>
      <c r="H375" s="229" t="s">
        <v>4576</v>
      </c>
      <c r="I375" s="161"/>
      <c r="J375" s="161">
        <v>349</v>
      </c>
      <c r="K375" s="160"/>
    </row>
    <row r="376" spans="1:11" ht="15">
      <c r="A376" s="137" t="str">
        <f t="shared" si="13"/>
        <v>SERVICIOSMTTO DE EDIFICIOMANTENIMIENTO</v>
      </c>
      <c r="B376" t="s">
        <v>2028</v>
      </c>
      <c r="C376" s="1">
        <v>45908</v>
      </c>
      <c r="D376" t="s">
        <v>21</v>
      </c>
      <c r="E376" s="12" t="s">
        <v>142</v>
      </c>
      <c r="F376" s="12" t="s">
        <v>35</v>
      </c>
      <c r="H376" t="s">
        <v>4577</v>
      </c>
      <c r="J376" s="81">
        <v>657.39</v>
      </c>
    </row>
    <row r="377" spans="1:11" ht="15">
      <c r="A377" s="137" t="str">
        <f t="shared" si="13"/>
        <v>SERVICIOSMTTO DE EDIFICIOMANTENIMIENTO</v>
      </c>
      <c r="B377" t="s">
        <v>2028</v>
      </c>
      <c r="C377" s="1">
        <v>45908</v>
      </c>
      <c r="D377" t="s">
        <v>21</v>
      </c>
      <c r="E377" s="12" t="s">
        <v>142</v>
      </c>
      <c r="F377" s="12" t="s">
        <v>35</v>
      </c>
      <c r="H377" t="s">
        <v>4578</v>
      </c>
      <c r="J377" s="81">
        <v>6822.89</v>
      </c>
    </row>
    <row r="378" spans="1:11" ht="15">
      <c r="A378" s="137" t="str">
        <f t="shared" si="13"/>
        <v>FINANZASTELEFONIASTARLINK</v>
      </c>
      <c r="B378" t="s">
        <v>2028</v>
      </c>
      <c r="C378" s="1">
        <v>45926</v>
      </c>
      <c r="D378" t="s">
        <v>23</v>
      </c>
      <c r="E378" s="12" t="s">
        <v>181</v>
      </c>
      <c r="F378" s="12" t="s">
        <v>184</v>
      </c>
      <c r="H378" s="310" t="s">
        <v>4441</v>
      </c>
      <c r="I378" s="311"/>
      <c r="J378" s="311">
        <v>279.68</v>
      </c>
    </row>
    <row r="379" spans="1:11" ht="15">
      <c r="A379" s="137" t="str">
        <f t="shared" si="13"/>
        <v>MKTCUOTAS Y SUSCRIPCIONESAPP</v>
      </c>
      <c r="B379" t="s">
        <v>2028</v>
      </c>
      <c r="C379" s="1">
        <v>45926</v>
      </c>
      <c r="D379" t="s">
        <v>19</v>
      </c>
      <c r="E379" s="12" t="s">
        <v>51</v>
      </c>
      <c r="F379" s="12" t="s">
        <v>70</v>
      </c>
      <c r="G379" t="s">
        <v>258</v>
      </c>
      <c r="H379" s="310" t="s">
        <v>4579</v>
      </c>
      <c r="I379" s="311"/>
      <c r="J379" s="311">
        <f>499.29*4</f>
        <v>1997.16</v>
      </c>
    </row>
    <row r="380" spans="1:11" ht="15">
      <c r="A380" s="137" t="str">
        <f t="shared" si="13"/>
        <v>ELIREDESELILU</v>
      </c>
      <c r="B380" t="s">
        <v>2028</v>
      </c>
      <c r="C380" s="1">
        <v>45926</v>
      </c>
      <c r="D380" t="s">
        <v>130</v>
      </c>
      <c r="E380" s="12" t="s">
        <v>167</v>
      </c>
      <c r="F380" t="s">
        <v>168</v>
      </c>
      <c r="H380" s="310" t="s">
        <v>4539</v>
      </c>
      <c r="I380" s="311"/>
      <c r="J380" s="311">
        <v>2794</v>
      </c>
    </row>
    <row r="381" spans="1:11" ht="15">
      <c r="A381" s="137" t="str">
        <f t="shared" si="13"/>
        <v>MKTINSUMOSINSUMOS</v>
      </c>
      <c r="B381" t="s">
        <v>2028</v>
      </c>
      <c r="C381" s="1">
        <v>45926</v>
      </c>
      <c r="D381" t="s">
        <v>19</v>
      </c>
      <c r="E381" s="12" t="s">
        <v>133</v>
      </c>
      <c r="F381" s="230" t="s">
        <v>133</v>
      </c>
      <c r="H381" s="310" t="s">
        <v>4580</v>
      </c>
      <c r="I381" s="311"/>
      <c r="J381" s="311">
        <v>99</v>
      </c>
    </row>
    <row r="382" spans="1:11" ht="15">
      <c r="A382" s="137" t="str">
        <f t="shared" si="13"/>
        <v>SERVICIOSADQ DE EQ TECNOLOGICOADQ DE EQ TECNOLOGICO</v>
      </c>
      <c r="B382" t="s">
        <v>2028</v>
      </c>
      <c r="C382" s="1">
        <v>45926</v>
      </c>
      <c r="D382" t="s">
        <v>21</v>
      </c>
      <c r="E382" t="s">
        <v>22</v>
      </c>
      <c r="F382" s="158" t="s">
        <v>22</v>
      </c>
      <c r="H382" s="310" t="s">
        <v>4581</v>
      </c>
      <c r="I382" s="311"/>
      <c r="J382" s="311">
        <v>450</v>
      </c>
    </row>
    <row r="383" spans="1:11" ht="15">
      <c r="A383" s="137" t="str">
        <f t="shared" si="13"/>
        <v>SGEVIATICOSGESTION EMPRESARIAL</v>
      </c>
      <c r="B383" t="s">
        <v>2028</v>
      </c>
      <c r="C383" s="1">
        <v>45926</v>
      </c>
      <c r="D383" t="s">
        <v>39</v>
      </c>
      <c r="E383" s="12" t="s">
        <v>191</v>
      </c>
      <c r="F383" s="12" t="s">
        <v>40</v>
      </c>
      <c r="H383" s="307" t="s">
        <v>4582</v>
      </c>
      <c r="I383" s="311"/>
      <c r="J383" s="311">
        <v>22781.040000000001</v>
      </c>
    </row>
    <row r="384" spans="1:11" ht="15">
      <c r="A384" s="137" t="str">
        <f t="shared" si="13"/>
        <v>MELREDESMELISSA</v>
      </c>
      <c r="B384" t="s">
        <v>2028</v>
      </c>
      <c r="C384" s="1">
        <v>45926</v>
      </c>
      <c r="D384" t="s">
        <v>43</v>
      </c>
      <c r="E384" s="12" t="s">
        <v>167</v>
      </c>
      <c r="F384" s="12" t="s">
        <v>44</v>
      </c>
      <c r="H384" s="310" t="s">
        <v>4583</v>
      </c>
      <c r="I384" s="311"/>
      <c r="J384" s="311">
        <v>3300</v>
      </c>
    </row>
    <row r="385" spans="1:10" ht="15">
      <c r="A385" s="137" t="str">
        <f t="shared" si="13"/>
        <v>SERVICIOSVIATICOSASESORES</v>
      </c>
      <c r="B385" t="s">
        <v>2028</v>
      </c>
      <c r="C385" s="1">
        <v>45926</v>
      </c>
      <c r="D385" t="s">
        <v>21</v>
      </c>
      <c r="E385" s="12" t="s">
        <v>191</v>
      </c>
      <c r="F385" t="s">
        <v>192</v>
      </c>
      <c r="H385" s="310" t="s">
        <v>4584</v>
      </c>
      <c r="I385" s="311"/>
      <c r="J385" s="311">
        <v>4436.7</v>
      </c>
    </row>
    <row r="386" spans="1:10" ht="15">
      <c r="A386" s="137" t="str">
        <f t="shared" si="13"/>
        <v>MMREDESMARKET MAX</v>
      </c>
      <c r="B386" t="s">
        <v>2028</v>
      </c>
      <c r="C386" s="1">
        <v>45926</v>
      </c>
      <c r="D386" t="s">
        <v>45</v>
      </c>
      <c r="E386" s="12" t="s">
        <v>167</v>
      </c>
      <c r="F386" s="12" t="s">
        <v>46</v>
      </c>
      <c r="H386" s="310" t="s">
        <v>4585</v>
      </c>
      <c r="I386" s="311"/>
      <c r="J386" s="311">
        <v>2306.2800000000002</v>
      </c>
    </row>
    <row r="387" spans="1:10" ht="15">
      <c r="A387" s="137" t="str">
        <f t="shared" si="13"/>
        <v>CAPREDESCAPRICHOS</v>
      </c>
      <c r="B387" t="s">
        <v>2028</v>
      </c>
      <c r="C387" s="1">
        <v>45926</v>
      </c>
      <c r="D387" t="s">
        <v>31</v>
      </c>
      <c r="E387" s="12" t="s">
        <v>167</v>
      </c>
      <c r="F387" s="230" t="s">
        <v>33</v>
      </c>
      <c r="H387" s="310" t="s">
        <v>4586</v>
      </c>
      <c r="I387" s="311"/>
      <c r="J387" s="311">
        <v>72.77</v>
      </c>
    </row>
    <row r="388" spans="1:10" ht="15">
      <c r="A388" s="137" t="str">
        <f t="shared" si="13"/>
        <v>CAPREDESCAPRICHOS</v>
      </c>
      <c r="B388" t="s">
        <v>2028</v>
      </c>
      <c r="C388" s="1">
        <v>45926</v>
      </c>
      <c r="D388" t="s">
        <v>31</v>
      </c>
      <c r="E388" s="12" t="s">
        <v>167</v>
      </c>
      <c r="F388" s="230" t="s">
        <v>33</v>
      </c>
      <c r="H388" s="310" t="s">
        <v>4438</v>
      </c>
      <c r="I388" s="311"/>
      <c r="J388" s="311">
        <v>1692.62</v>
      </c>
    </row>
    <row r="389" spans="1:10" ht="15">
      <c r="A389" s="137" t="str">
        <f t="shared" ref="A389:A452" si="14">D389&amp;E389&amp;F389</f>
        <v>MELREDESMELISSA</v>
      </c>
      <c r="B389" t="s">
        <v>2028</v>
      </c>
      <c r="C389" s="1">
        <v>45926</v>
      </c>
      <c r="D389" t="s">
        <v>43</v>
      </c>
      <c r="E389" s="12" t="s">
        <v>167</v>
      </c>
      <c r="F389" s="12" t="s">
        <v>44</v>
      </c>
      <c r="H389" s="310" t="s">
        <v>4583</v>
      </c>
      <c r="I389" s="311"/>
      <c r="J389" s="311">
        <v>105.64</v>
      </c>
    </row>
    <row r="390" spans="1:10" ht="15">
      <c r="A390" s="137" t="str">
        <f t="shared" si="14"/>
        <v>HRREDESHR</v>
      </c>
      <c r="B390" t="s">
        <v>2028</v>
      </c>
      <c r="C390" s="1">
        <v>45926</v>
      </c>
      <c r="D390" t="s">
        <v>29</v>
      </c>
      <c r="E390" s="12" t="s">
        <v>167</v>
      </c>
      <c r="F390" s="12" t="s">
        <v>29</v>
      </c>
      <c r="H390" s="310" t="s">
        <v>4538</v>
      </c>
      <c r="I390" s="311"/>
      <c r="J390" s="311">
        <v>353.26</v>
      </c>
    </row>
    <row r="391" spans="1:10" ht="15">
      <c r="A391" s="137" t="str">
        <f t="shared" si="14"/>
        <v>ELIREDESELILU</v>
      </c>
      <c r="B391" t="s">
        <v>2028</v>
      </c>
      <c r="C391" s="1">
        <v>45926</v>
      </c>
      <c r="D391" t="s">
        <v>130</v>
      </c>
      <c r="E391" s="12" t="s">
        <v>167</v>
      </c>
      <c r="F391" t="s">
        <v>168</v>
      </c>
      <c r="H391" s="310" t="s">
        <v>4587</v>
      </c>
      <c r="I391" s="311"/>
      <c r="J391" s="311">
        <v>44.98</v>
      </c>
    </row>
    <row r="392" spans="1:10" ht="15">
      <c r="A392" s="137" t="str">
        <f t="shared" si="14"/>
        <v>HRREDESHR</v>
      </c>
      <c r="B392" t="s">
        <v>2028</v>
      </c>
      <c r="C392" s="1">
        <v>45926</v>
      </c>
      <c r="D392" t="s">
        <v>29</v>
      </c>
      <c r="E392" s="12" t="s">
        <v>167</v>
      </c>
      <c r="F392" s="12" t="s">
        <v>29</v>
      </c>
      <c r="H392" s="310" t="s">
        <v>4538</v>
      </c>
      <c r="I392" s="311"/>
      <c r="J392" s="311">
        <v>2935.77</v>
      </c>
    </row>
    <row r="393" spans="1:10" ht="15">
      <c r="A393" s="137" t="str">
        <f t="shared" si="14"/>
        <v>ELIREDESELILU</v>
      </c>
      <c r="B393" t="s">
        <v>2028</v>
      </c>
      <c r="C393" s="1">
        <v>45926</v>
      </c>
      <c r="D393" t="s">
        <v>130</v>
      </c>
      <c r="E393" s="12" t="s">
        <v>167</v>
      </c>
      <c r="F393" t="s">
        <v>168</v>
      </c>
      <c r="H393" s="310" t="s">
        <v>4539</v>
      </c>
      <c r="I393" s="311"/>
      <c r="J393" s="311">
        <v>354.08</v>
      </c>
    </row>
    <row r="394" spans="1:10" ht="15">
      <c r="A394" s="137" t="str">
        <f t="shared" si="14"/>
        <v>MMREDESMARKET MAX</v>
      </c>
      <c r="B394" t="s">
        <v>2028</v>
      </c>
      <c r="C394" s="1">
        <v>45926</v>
      </c>
      <c r="D394" t="s">
        <v>45</v>
      </c>
      <c r="E394" s="12" t="s">
        <v>167</v>
      </c>
      <c r="F394" s="12" t="s">
        <v>46</v>
      </c>
      <c r="H394" s="310" t="s">
        <v>4439</v>
      </c>
      <c r="I394" s="311"/>
      <c r="J394" s="311">
        <v>64.78</v>
      </c>
    </row>
    <row r="395" spans="1:10" ht="15">
      <c r="A395" s="137" t="str">
        <f t="shared" si="14"/>
        <v>FINANZASTELEFONIASTARLINK</v>
      </c>
      <c r="B395" t="s">
        <v>2028</v>
      </c>
      <c r="C395" s="1">
        <v>45926</v>
      </c>
      <c r="D395" t="s">
        <v>23</v>
      </c>
      <c r="E395" s="12" t="s">
        <v>181</v>
      </c>
      <c r="F395" s="12" t="s">
        <v>184</v>
      </c>
      <c r="H395" s="310" t="s">
        <v>4441</v>
      </c>
      <c r="I395" s="311"/>
      <c r="J395" s="311">
        <v>3190</v>
      </c>
    </row>
    <row r="396" spans="1:10" ht="15">
      <c r="A396" s="137" t="str">
        <f t="shared" si="14"/>
        <v>FINANZASTELEFONIASTARLINK</v>
      </c>
      <c r="B396" t="s">
        <v>2028</v>
      </c>
      <c r="C396" s="1">
        <v>45926</v>
      </c>
      <c r="D396" t="s">
        <v>23</v>
      </c>
      <c r="E396" s="12" t="s">
        <v>181</v>
      </c>
      <c r="F396" s="12" t="s">
        <v>184</v>
      </c>
      <c r="H396" s="310" t="s">
        <v>4441</v>
      </c>
      <c r="I396" s="311"/>
      <c r="J396" s="311">
        <v>6380</v>
      </c>
    </row>
    <row r="397" spans="1:10" ht="15">
      <c r="A397" s="137" t="str">
        <f t="shared" si="14"/>
        <v>FINANZASCOMISIONES BANCARIASMANEJO DE CUENTA</v>
      </c>
      <c r="B397" t="s">
        <v>2028</v>
      </c>
      <c r="C397" s="1">
        <v>45926</v>
      </c>
      <c r="D397" s="89" t="s">
        <v>23</v>
      </c>
      <c r="E397" s="89" t="s">
        <v>48</v>
      </c>
      <c r="F397" s="89" t="s">
        <v>49</v>
      </c>
      <c r="H397" s="310" t="s">
        <v>4588</v>
      </c>
      <c r="I397" s="311"/>
      <c r="J397" s="311">
        <v>11.6</v>
      </c>
    </row>
    <row r="398" spans="1:10" ht="15">
      <c r="A398" s="137" t="str">
        <f t="shared" si="14"/>
        <v>FINANZASMTTO EQ DE TRANSPORTEFINANZAS</v>
      </c>
      <c r="B398" t="s">
        <v>2028</v>
      </c>
      <c r="C398" s="1">
        <v>45926</v>
      </c>
      <c r="D398" t="s">
        <v>23</v>
      </c>
      <c r="E398" t="s">
        <v>144</v>
      </c>
      <c r="F398" t="s">
        <v>23</v>
      </c>
      <c r="H398" s="310" t="s">
        <v>4589</v>
      </c>
      <c r="I398" s="311"/>
      <c r="J398" s="311">
        <v>5579.24</v>
      </c>
    </row>
    <row r="399" spans="1:10" ht="15">
      <c r="A399" s="137" t="str">
        <f t="shared" si="14"/>
        <v>HRREDESHR</v>
      </c>
      <c r="B399" t="s">
        <v>2028</v>
      </c>
      <c r="C399" s="1">
        <v>45926</v>
      </c>
      <c r="D399" t="s">
        <v>29</v>
      </c>
      <c r="E399" t="s">
        <v>167</v>
      </c>
      <c r="F399" t="s">
        <v>29</v>
      </c>
      <c r="H399" s="310" t="s">
        <v>4538</v>
      </c>
      <c r="I399" s="311"/>
      <c r="J399" s="311">
        <v>5000</v>
      </c>
    </row>
    <row r="400" spans="1:10" ht="15">
      <c r="A400" s="137" t="str">
        <f t="shared" si="14"/>
        <v>SERVICIOSADQ DE EQ TECNOLOGICOADQ DE EQ TECNOLOGICO</v>
      </c>
      <c r="B400" t="s">
        <v>2028</v>
      </c>
      <c r="C400" s="1">
        <v>45926</v>
      </c>
      <c r="D400" t="s">
        <v>21</v>
      </c>
      <c r="E400" t="s">
        <v>22</v>
      </c>
      <c r="F400" s="158" t="s">
        <v>22</v>
      </c>
      <c r="H400" s="307" t="s">
        <v>4590</v>
      </c>
      <c r="I400" s="311"/>
      <c r="J400" s="311">
        <v>9184.56</v>
      </c>
    </row>
    <row r="401" spans="1:10" ht="15">
      <c r="A401" s="137" t="str">
        <f t="shared" si="14"/>
        <v>SGECUOTAS Y SUSCRIPCIONES</v>
      </c>
      <c r="B401" t="s">
        <v>2028</v>
      </c>
      <c r="C401" s="1">
        <v>45926</v>
      </c>
      <c r="D401" t="s">
        <v>39</v>
      </c>
      <c r="E401" t="s">
        <v>51</v>
      </c>
      <c r="H401" s="430" t="s">
        <v>4535</v>
      </c>
      <c r="I401" s="311"/>
      <c r="J401" s="311">
        <v>350</v>
      </c>
    </row>
    <row r="402" spans="1:10" ht="15">
      <c r="A402" s="137" t="str">
        <f t="shared" si="14"/>
        <v>SERVICIOSADQ DE EQ TECNOLOGICOADQ DE EQ TECNOLOGICO</v>
      </c>
      <c r="B402" t="s">
        <v>2028</v>
      </c>
      <c r="C402" s="1">
        <v>45926</v>
      </c>
      <c r="D402" t="s">
        <v>21</v>
      </c>
      <c r="E402" t="s">
        <v>22</v>
      </c>
      <c r="F402" s="158" t="s">
        <v>22</v>
      </c>
      <c r="H402" s="307" t="s">
        <v>4591</v>
      </c>
      <c r="I402" s="311"/>
      <c r="J402" s="311">
        <v>9495.2000000000007</v>
      </c>
    </row>
    <row r="403" spans="1:10" ht="15">
      <c r="A403" s="137" t="str">
        <f t="shared" si="14"/>
        <v>MMREDESMARKET MAX</v>
      </c>
      <c r="B403" t="s">
        <v>2028</v>
      </c>
      <c r="C403" s="1">
        <v>45926</v>
      </c>
      <c r="D403" t="s">
        <v>45</v>
      </c>
      <c r="E403" t="s">
        <v>167</v>
      </c>
      <c r="F403" t="s">
        <v>46</v>
      </c>
      <c r="H403" s="310" t="s">
        <v>4592</v>
      </c>
      <c r="I403" s="311"/>
      <c r="J403" s="311">
        <v>1744.92</v>
      </c>
    </row>
    <row r="404" spans="1:10" ht="15">
      <c r="A404" s="137" t="str">
        <f t="shared" si="14"/>
        <v>MMREDESMARKET MAX</v>
      </c>
      <c r="B404" t="s">
        <v>2028</v>
      </c>
      <c r="C404" s="1">
        <v>45926</v>
      </c>
      <c r="D404" t="s">
        <v>45</v>
      </c>
      <c r="E404" t="s">
        <v>167</v>
      </c>
      <c r="F404" t="s">
        <v>46</v>
      </c>
      <c r="H404" s="310" t="s">
        <v>4592</v>
      </c>
      <c r="I404" s="311"/>
      <c r="J404" s="311">
        <v>60.06</v>
      </c>
    </row>
    <row r="405" spans="1:10" ht="15">
      <c r="A405" s="137" t="str">
        <f t="shared" si="14"/>
        <v>CAPREDESCAPRICHOS</v>
      </c>
      <c r="B405" t="s">
        <v>2028</v>
      </c>
      <c r="C405" s="1">
        <v>45926</v>
      </c>
      <c r="D405" t="s">
        <v>31</v>
      </c>
      <c r="E405" t="s">
        <v>167</v>
      </c>
      <c r="F405" s="230" t="s">
        <v>33</v>
      </c>
      <c r="H405" s="312" t="s">
        <v>4593</v>
      </c>
      <c r="I405" s="311"/>
      <c r="J405" s="311">
        <v>129</v>
      </c>
    </row>
    <row r="406" spans="1:10" ht="15">
      <c r="A406" s="137" t="str">
        <f t="shared" si="14"/>
        <v>FINANZASTELEFONIATELEFONIA</v>
      </c>
      <c r="B406" t="s">
        <v>2028</v>
      </c>
      <c r="C406" s="1">
        <v>45926</v>
      </c>
      <c r="D406" t="s">
        <v>23</v>
      </c>
      <c r="E406" t="s">
        <v>181</v>
      </c>
      <c r="F406" t="s">
        <v>181</v>
      </c>
      <c r="H406" s="307" t="s">
        <v>4444</v>
      </c>
      <c r="I406" s="311"/>
      <c r="J406" s="311">
        <v>603.04</v>
      </c>
    </row>
    <row r="407" spans="1:10" ht="15">
      <c r="A407" s="137" t="str">
        <f t="shared" si="14"/>
        <v>CAPREDESCAPRICHOS</v>
      </c>
      <c r="B407" t="s">
        <v>2028</v>
      </c>
      <c r="C407" s="1">
        <v>45926</v>
      </c>
      <c r="D407" t="s">
        <v>31</v>
      </c>
      <c r="E407" t="s">
        <v>167</v>
      </c>
      <c r="F407" s="230" t="s">
        <v>33</v>
      </c>
      <c r="H407" s="312" t="s">
        <v>4593</v>
      </c>
      <c r="I407" s="311"/>
      <c r="J407" s="311">
        <v>199</v>
      </c>
    </row>
    <row r="408" spans="1:10" ht="15">
      <c r="A408" s="137" t="str">
        <f t="shared" si="14"/>
        <v>CAPREDESCAPRICHOS</v>
      </c>
      <c r="B408" t="s">
        <v>2028</v>
      </c>
      <c r="C408" s="1">
        <v>45926</v>
      </c>
      <c r="D408" t="s">
        <v>31</v>
      </c>
      <c r="E408" t="s">
        <v>167</v>
      </c>
      <c r="F408" s="230" t="s">
        <v>33</v>
      </c>
      <c r="H408" s="312" t="s">
        <v>4593</v>
      </c>
      <c r="I408" s="311"/>
      <c r="J408" s="311">
        <v>199</v>
      </c>
    </row>
    <row r="409" spans="1:10" ht="15">
      <c r="A409" s="137" t="str">
        <f t="shared" si="14"/>
        <v>FINANZASTELEFONIATELCEL</v>
      </c>
      <c r="B409" t="s">
        <v>2028</v>
      </c>
      <c r="C409" s="1">
        <v>45926</v>
      </c>
      <c r="D409" t="s">
        <v>23</v>
      </c>
      <c r="E409" t="s">
        <v>181</v>
      </c>
      <c r="F409" t="s">
        <v>183</v>
      </c>
      <c r="H409" s="307" t="s">
        <v>4462</v>
      </c>
      <c r="I409" s="311"/>
      <c r="J409" s="311">
        <v>6395.11</v>
      </c>
    </row>
    <row r="410" spans="1:10" ht="15">
      <c r="A410" s="137" t="str">
        <f t="shared" si="14"/>
        <v>FINANZASTELEFONIATELEFONIA</v>
      </c>
      <c r="B410" t="s">
        <v>2028</v>
      </c>
      <c r="C410" s="1">
        <v>45926</v>
      </c>
      <c r="D410" t="s">
        <v>23</v>
      </c>
      <c r="E410" t="s">
        <v>181</v>
      </c>
      <c r="F410" t="s">
        <v>181</v>
      </c>
      <c r="H410" s="307" t="s">
        <v>4594</v>
      </c>
      <c r="I410" s="311"/>
      <c r="J410" s="311">
        <v>7735.05</v>
      </c>
    </row>
    <row r="411" spans="1:10" ht="15">
      <c r="A411" s="137" t="str">
        <f t="shared" si="14"/>
        <v>SGECUOTAS Y SUSCRIPCIONESCHATGPT</v>
      </c>
      <c r="B411" t="s">
        <v>2028</v>
      </c>
      <c r="C411" s="1">
        <v>45926</v>
      </c>
      <c r="D411" t="s">
        <v>39</v>
      </c>
      <c r="E411" t="s">
        <v>51</v>
      </c>
      <c r="F411" t="s">
        <v>59</v>
      </c>
      <c r="H411" s="307" t="s">
        <v>4427</v>
      </c>
      <c r="I411" s="311"/>
      <c r="J411" s="311">
        <v>1147.31</v>
      </c>
    </row>
    <row r="412" spans="1:10" ht="15">
      <c r="A412" s="137" t="str">
        <f t="shared" si="14"/>
        <v>MKTCUOTAS Y SUSCRIPCIONESAPP</v>
      </c>
      <c r="B412" t="s">
        <v>2028</v>
      </c>
      <c r="C412" s="1">
        <v>45926</v>
      </c>
      <c r="D412" t="s">
        <v>19</v>
      </c>
      <c r="E412" t="s">
        <v>51</v>
      </c>
      <c r="F412" t="s">
        <v>70</v>
      </c>
      <c r="G412" t="s">
        <v>258</v>
      </c>
      <c r="H412" s="307" t="s">
        <v>4595</v>
      </c>
      <c r="I412" s="311"/>
      <c r="J412" s="311">
        <v>843.58</v>
      </c>
    </row>
    <row r="413" spans="1:10" ht="15">
      <c r="A413" s="137" t="str">
        <f t="shared" si="14"/>
        <v>MKTCUOTAS Y SUSCRIPCIONESAPP</v>
      </c>
      <c r="B413" t="s">
        <v>2028</v>
      </c>
      <c r="C413" s="1">
        <v>45926</v>
      </c>
      <c r="D413" t="s">
        <v>19</v>
      </c>
      <c r="E413" t="s">
        <v>51</v>
      </c>
      <c r="F413" t="s">
        <v>70</v>
      </c>
      <c r="G413" t="s">
        <v>258</v>
      </c>
      <c r="H413" s="307" t="s">
        <v>4595</v>
      </c>
      <c r="I413" s="311"/>
      <c r="J413" s="311">
        <v>191.72</v>
      </c>
    </row>
    <row r="414" spans="1:10" ht="15">
      <c r="A414" s="137" t="str">
        <f t="shared" si="14"/>
        <v>MKTCUOTAS Y SUSCRIPCIONESAPP</v>
      </c>
      <c r="B414" t="s">
        <v>2028</v>
      </c>
      <c r="C414" s="1">
        <v>45926</v>
      </c>
      <c r="D414" t="s">
        <v>19</v>
      </c>
      <c r="E414" t="s">
        <v>51</v>
      </c>
      <c r="F414" t="s">
        <v>70</v>
      </c>
      <c r="G414" t="s">
        <v>258</v>
      </c>
      <c r="H414" s="307" t="s">
        <v>4596</v>
      </c>
      <c r="I414" s="311"/>
      <c r="J414" s="311">
        <v>306.22000000000003</v>
      </c>
    </row>
    <row r="415" spans="1:10" ht="15">
      <c r="A415" s="137" t="str">
        <f t="shared" si="14"/>
        <v>MKTCUOTAS Y SUSCRIPCIONESAPP</v>
      </c>
      <c r="B415" t="s">
        <v>2028</v>
      </c>
      <c r="C415" s="1">
        <v>45926</v>
      </c>
      <c r="D415" t="s">
        <v>19</v>
      </c>
      <c r="E415" t="s">
        <v>51</v>
      </c>
      <c r="F415" t="s">
        <v>70</v>
      </c>
      <c r="G415" t="s">
        <v>258</v>
      </c>
      <c r="H415" s="307" t="s">
        <v>4597</v>
      </c>
      <c r="I415" s="311"/>
      <c r="J415" s="311">
        <v>182.66</v>
      </c>
    </row>
    <row r="416" spans="1:10" ht="15">
      <c r="A416" s="137" t="str">
        <f t="shared" si="14"/>
        <v>SGECUOTAS Y SUSCRIPCIONESCHATGPT</v>
      </c>
      <c r="B416" t="s">
        <v>2028</v>
      </c>
      <c r="C416" s="1">
        <v>45926</v>
      </c>
      <c r="D416" t="s">
        <v>39</v>
      </c>
      <c r="E416" t="s">
        <v>51</v>
      </c>
      <c r="F416" t="s">
        <v>59</v>
      </c>
      <c r="H416" s="307" t="s">
        <v>4492</v>
      </c>
      <c r="I416" s="311"/>
      <c r="J416" s="311">
        <v>383.77</v>
      </c>
    </row>
    <row r="417" spans="1:10" ht="15">
      <c r="A417" s="137" t="str">
        <f t="shared" si="14"/>
        <v>FINANZASRENTASCONTABILIDAD (WT)</v>
      </c>
      <c r="B417" t="s">
        <v>2028</v>
      </c>
      <c r="C417" s="1">
        <v>45926</v>
      </c>
      <c r="D417" t="s">
        <v>23</v>
      </c>
      <c r="E417" t="s">
        <v>169</v>
      </c>
      <c r="F417" t="s">
        <v>171</v>
      </c>
      <c r="H417" s="310" t="s">
        <v>4449</v>
      </c>
      <c r="I417" s="311"/>
      <c r="J417" s="311">
        <v>1844.09</v>
      </c>
    </row>
    <row r="418" spans="1:10" ht="15">
      <c r="A418" s="137" t="str">
        <f t="shared" si="14"/>
        <v>FINANZASCOMISIONES BANCARIASMANEJO DE CUENTA</v>
      </c>
      <c r="B418" t="s">
        <v>2028</v>
      </c>
      <c r="C418" s="1">
        <v>45926</v>
      </c>
      <c r="D418" s="89" t="s">
        <v>23</v>
      </c>
      <c r="E418" s="89" t="s">
        <v>48</v>
      </c>
      <c r="F418" s="89" t="s">
        <v>49</v>
      </c>
      <c r="G418" s="89"/>
      <c r="H418" s="310" t="s">
        <v>4598</v>
      </c>
      <c r="I418" s="311"/>
      <c r="J418" s="311">
        <v>4.5999999999999996</v>
      </c>
    </row>
    <row r="419" spans="1:10" ht="15">
      <c r="A419" s="137" t="str">
        <f t="shared" si="14"/>
        <v>SGECUOTAS Y SUSCRIPCIONESCHATGPT</v>
      </c>
      <c r="B419" t="s">
        <v>2028</v>
      </c>
      <c r="C419" s="1">
        <v>45926</v>
      </c>
      <c r="D419" t="s">
        <v>39</v>
      </c>
      <c r="E419" t="s">
        <v>51</v>
      </c>
      <c r="F419" t="s">
        <v>59</v>
      </c>
      <c r="H419" s="307" t="s">
        <v>4492</v>
      </c>
      <c r="I419" s="311"/>
      <c r="J419" s="311">
        <v>383.77</v>
      </c>
    </row>
    <row r="420" spans="1:10" ht="15">
      <c r="A420" s="137" t="str">
        <f t="shared" si="14"/>
        <v>SGECUOTAS Y SUSCRIPCIONESOFFICE 365(C1)</v>
      </c>
      <c r="B420" t="s">
        <v>2028</v>
      </c>
      <c r="C420" s="1">
        <v>45926</v>
      </c>
      <c r="D420" t="s">
        <v>39</v>
      </c>
      <c r="E420" t="s">
        <v>51</v>
      </c>
      <c r="F420" s="158" t="s">
        <v>53</v>
      </c>
      <c r="H420" s="310" t="s">
        <v>4428</v>
      </c>
      <c r="I420" s="311"/>
      <c r="J420" s="311">
        <v>192.35</v>
      </c>
    </row>
    <row r="421" spans="1:10" ht="15">
      <c r="A421" s="137" t="str">
        <f t="shared" si="14"/>
        <v>SGECUOTAS Y SUSCRIPCIONESZOOM</v>
      </c>
      <c r="B421" t="s">
        <v>2028</v>
      </c>
      <c r="C421" s="1">
        <v>45926</v>
      </c>
      <c r="D421" t="s">
        <v>39</v>
      </c>
      <c r="E421" t="s">
        <v>51</v>
      </c>
      <c r="F421" t="s">
        <v>56</v>
      </c>
      <c r="H421" s="310" t="s">
        <v>4447</v>
      </c>
      <c r="I421" s="311"/>
      <c r="J421" s="311">
        <v>1881.82</v>
      </c>
    </row>
    <row r="422" spans="1:10" ht="15">
      <c r="A422" s="137" t="str">
        <f t="shared" si="14"/>
        <v>SERVICIOSADQ DE EQ TECNOLOGICOADQ DE EQ TECNOLOGICO</v>
      </c>
      <c r="B422" t="s">
        <v>2028</v>
      </c>
      <c r="C422" s="1">
        <v>45926</v>
      </c>
      <c r="D422" t="s">
        <v>21</v>
      </c>
      <c r="E422" t="s">
        <v>22</v>
      </c>
      <c r="F422" s="158" t="s">
        <v>22</v>
      </c>
      <c r="H422" s="307" t="s">
        <v>4599</v>
      </c>
      <c r="I422" s="316"/>
      <c r="J422" s="316">
        <v>299</v>
      </c>
    </row>
    <row r="423" spans="1:10" ht="15">
      <c r="A423" s="137" t="str">
        <f t="shared" si="14"/>
        <v>SERVICIOSADQ DE EQ TECNOLOGICOADQ DE EQ TECNOLOGICO</v>
      </c>
      <c r="B423" t="s">
        <v>2028</v>
      </c>
      <c r="C423" s="1">
        <v>45926</v>
      </c>
      <c r="D423" t="s">
        <v>21</v>
      </c>
      <c r="E423" t="s">
        <v>22</v>
      </c>
      <c r="F423" s="158" t="s">
        <v>22</v>
      </c>
      <c r="H423" s="307" t="s">
        <v>4600</v>
      </c>
      <c r="I423" s="316"/>
      <c r="J423" s="316">
        <v>497.96</v>
      </c>
    </row>
    <row r="424" spans="1:10" ht="15">
      <c r="A424" s="137" t="str">
        <f t="shared" si="14"/>
        <v>SERVICIOSADQ DE EQ TECNOLOGICOADQ DE EQ TECNOLOGICO</v>
      </c>
      <c r="B424" t="s">
        <v>2028</v>
      </c>
      <c r="C424" s="1">
        <v>45926</v>
      </c>
      <c r="D424" t="s">
        <v>21</v>
      </c>
      <c r="E424" t="s">
        <v>22</v>
      </c>
      <c r="F424" s="158" t="s">
        <v>22</v>
      </c>
      <c r="H424" s="431" t="s">
        <v>4601</v>
      </c>
      <c r="I424" s="316"/>
      <c r="J424" s="316">
        <v>339.98</v>
      </c>
    </row>
    <row r="425" spans="1:10" ht="15">
      <c r="A425" s="137" t="str">
        <f t="shared" si="14"/>
        <v>MKTINSUMOSINSUMOS</v>
      </c>
      <c r="B425" t="s">
        <v>2028</v>
      </c>
      <c r="C425" s="1">
        <v>45926</v>
      </c>
      <c r="D425" t="s">
        <v>19</v>
      </c>
      <c r="E425" t="s">
        <v>133</v>
      </c>
      <c r="F425" s="230" t="s">
        <v>133</v>
      </c>
      <c r="H425" s="307" t="s">
        <v>4602</v>
      </c>
      <c r="I425" s="316"/>
      <c r="J425" s="316">
        <v>357</v>
      </c>
    </row>
    <row r="426" spans="1:10" ht="15">
      <c r="A426" s="137" t="str">
        <f t="shared" si="14"/>
        <v>SERVICIOSADQ DE EQ TECNOLOGICOADQ DE EQ TECNOLOGICO</v>
      </c>
      <c r="B426" t="s">
        <v>2028</v>
      </c>
      <c r="C426" s="1">
        <v>45926</v>
      </c>
      <c r="D426" t="s">
        <v>21</v>
      </c>
      <c r="E426" t="s">
        <v>22</v>
      </c>
      <c r="F426" s="158" t="s">
        <v>22</v>
      </c>
      <c r="H426" s="307" t="s">
        <v>4603</v>
      </c>
      <c r="I426" s="316"/>
      <c r="J426" s="316">
        <v>1394.5</v>
      </c>
    </row>
    <row r="427" spans="1:10" ht="15">
      <c r="A427" s="137" t="str">
        <f t="shared" si="14"/>
        <v>SERVICIOSADQ DE EQ TECNOLOGICOADQ DE EQ TECNOLOGICO</v>
      </c>
      <c r="B427" t="s">
        <v>2028</v>
      </c>
      <c r="C427" s="1">
        <v>45926</v>
      </c>
      <c r="D427" t="s">
        <v>21</v>
      </c>
      <c r="E427" t="s">
        <v>22</v>
      </c>
      <c r="F427" s="158" t="s">
        <v>22</v>
      </c>
      <c r="H427" s="307" t="s">
        <v>4604</v>
      </c>
      <c r="I427" s="316"/>
      <c r="J427" s="316">
        <v>443.81</v>
      </c>
    </row>
    <row r="428" spans="1:10" ht="15">
      <c r="A428" s="137" t="str">
        <f t="shared" si="14"/>
        <v>SERVICIOSADQ DE EQ TECNOLOGICOADQ DE EQ TECNOLOGICO</v>
      </c>
      <c r="B428" t="s">
        <v>2028</v>
      </c>
      <c r="C428" s="1">
        <v>45926</v>
      </c>
      <c r="D428" t="s">
        <v>21</v>
      </c>
      <c r="E428" t="s">
        <v>22</v>
      </c>
      <c r="F428" s="158" t="s">
        <v>22</v>
      </c>
      <c r="H428" s="307" t="s">
        <v>4605</v>
      </c>
      <c r="I428" s="316"/>
      <c r="J428" s="316">
        <v>239.87</v>
      </c>
    </row>
    <row r="429" spans="1:10" ht="15">
      <c r="A429" s="137" t="str">
        <f t="shared" si="14"/>
        <v>SERVICIOSADQ DE EQ TECNOLOGICOADQ DE EQ TECNOLOGICO</v>
      </c>
      <c r="B429" t="s">
        <v>2028</v>
      </c>
      <c r="C429" s="1">
        <v>45926</v>
      </c>
      <c r="D429" t="s">
        <v>21</v>
      </c>
      <c r="E429" t="s">
        <v>22</v>
      </c>
      <c r="F429" s="158" t="s">
        <v>22</v>
      </c>
      <c r="H429" s="431" t="s">
        <v>4606</v>
      </c>
      <c r="I429" s="316"/>
      <c r="J429" s="316">
        <v>223</v>
      </c>
    </row>
    <row r="430" spans="1:10" ht="15">
      <c r="A430" s="137" t="str">
        <f t="shared" si="14"/>
        <v>SGEVIATICOSGESTION EMPRESARIAL</v>
      </c>
      <c r="B430" t="s">
        <v>2028</v>
      </c>
      <c r="C430" s="1">
        <v>45926</v>
      </c>
      <c r="D430" t="s">
        <v>39</v>
      </c>
      <c r="E430" t="s">
        <v>191</v>
      </c>
      <c r="F430" t="s">
        <v>40</v>
      </c>
      <c r="H430" s="307" t="s">
        <v>4607</v>
      </c>
      <c r="I430" s="316"/>
      <c r="J430" s="316">
        <v>2418.9</v>
      </c>
    </row>
    <row r="431" spans="1:10" ht="15">
      <c r="A431" s="137" t="str">
        <f t="shared" si="14"/>
        <v>SGEVIATICOSGESTION EMPRESARIAL</v>
      </c>
      <c r="B431" t="s">
        <v>2028</v>
      </c>
      <c r="C431" s="1">
        <v>45926</v>
      </c>
      <c r="D431" t="s">
        <v>39</v>
      </c>
      <c r="E431" t="s">
        <v>191</v>
      </c>
      <c r="F431" t="s">
        <v>40</v>
      </c>
      <c r="H431" s="307" t="s">
        <v>4608</v>
      </c>
      <c r="I431" s="316"/>
      <c r="J431" s="316">
        <v>1621.4</v>
      </c>
    </row>
    <row r="432" spans="1:10" ht="15">
      <c r="A432" s="137" t="str">
        <f t="shared" si="14"/>
        <v>CAPREDESCAPRICHOS</v>
      </c>
      <c r="B432" t="s">
        <v>2028</v>
      </c>
      <c r="C432" s="1">
        <v>45937</v>
      </c>
      <c r="D432" t="s">
        <v>31</v>
      </c>
      <c r="E432" t="s">
        <v>167</v>
      </c>
      <c r="F432" s="230" t="s">
        <v>33</v>
      </c>
      <c r="H432" s="390" t="s">
        <v>4609</v>
      </c>
      <c r="I432" s="442"/>
      <c r="J432" s="443">
        <v>199</v>
      </c>
    </row>
    <row r="433" spans="1:10" ht="15">
      <c r="A433" s="137" t="str">
        <f t="shared" si="14"/>
        <v>CAPREDESCAPRICHOS</v>
      </c>
      <c r="B433" t="s">
        <v>4610</v>
      </c>
      <c r="C433" s="1">
        <v>45937</v>
      </c>
      <c r="D433" t="s">
        <v>31</v>
      </c>
      <c r="E433" t="s">
        <v>167</v>
      </c>
      <c r="F433" s="230" t="s">
        <v>33</v>
      </c>
      <c r="H433" s="390" t="s">
        <v>4609</v>
      </c>
      <c r="I433" s="442"/>
      <c r="J433" s="443">
        <v>199</v>
      </c>
    </row>
    <row r="434" spans="1:10" ht="15">
      <c r="A434" s="137" t="str">
        <f t="shared" si="14"/>
        <v>SERVICIOSCUOTAS Y SUSCRIPCIONESAPP</v>
      </c>
      <c r="B434" t="s">
        <v>4610</v>
      </c>
      <c r="C434" s="1">
        <v>45937</v>
      </c>
      <c r="D434" t="s">
        <v>21</v>
      </c>
      <c r="E434" t="s">
        <v>51</v>
      </c>
      <c r="F434" t="s">
        <v>70</v>
      </c>
      <c r="H434" s="390" t="s">
        <v>4430</v>
      </c>
      <c r="I434" s="442"/>
      <c r="J434" s="443">
        <v>199</v>
      </c>
    </row>
    <row r="435" spans="1:10" ht="15">
      <c r="A435" s="137" t="str">
        <f t="shared" si="14"/>
        <v>SGECUOTAS Y SUSCRIPCIONESMIDJOURNEY APP</v>
      </c>
      <c r="B435" t="s">
        <v>4610</v>
      </c>
      <c r="C435" s="1">
        <v>45937</v>
      </c>
      <c r="D435" s="133" t="s">
        <v>39</v>
      </c>
      <c r="E435" s="133" t="s">
        <v>51</v>
      </c>
      <c r="F435" s="133" t="s">
        <v>84</v>
      </c>
      <c r="H435" s="220" t="s">
        <v>4571</v>
      </c>
      <c r="I435" s="442"/>
      <c r="J435" s="443">
        <v>226.86</v>
      </c>
    </row>
    <row r="436" spans="1:10" ht="15">
      <c r="A436" s="137" t="str">
        <f t="shared" si="14"/>
        <v>SGECUOTAS Y SUSCRIPCIONESWORKFORCE</v>
      </c>
      <c r="B436" t="s">
        <v>4610</v>
      </c>
      <c r="C436" s="1">
        <v>45937</v>
      </c>
      <c r="D436" s="133" t="s">
        <v>39</v>
      </c>
      <c r="E436" s="133" t="s">
        <v>51</v>
      </c>
      <c r="F436" s="133" t="s">
        <v>79</v>
      </c>
      <c r="H436" s="220" t="s">
        <v>4470</v>
      </c>
      <c r="I436" s="442"/>
      <c r="J436" s="443">
        <v>22149.02</v>
      </c>
    </row>
    <row r="437" spans="1:10" ht="15">
      <c r="A437" s="137" t="str">
        <f t="shared" si="14"/>
        <v>SGECUOTAS Y SUSCRIPCIONESWORKFORCE</v>
      </c>
      <c r="B437" t="s">
        <v>4610</v>
      </c>
      <c r="C437" s="1">
        <v>45937</v>
      </c>
      <c r="D437" s="133" t="s">
        <v>39</v>
      </c>
      <c r="E437" s="133" t="s">
        <v>51</v>
      </c>
      <c r="F437" s="133" t="s">
        <v>79</v>
      </c>
      <c r="H437" s="220" t="s">
        <v>4470</v>
      </c>
      <c r="I437" s="442"/>
      <c r="J437" s="443">
        <v>14766.02</v>
      </c>
    </row>
    <row r="438" spans="1:10" ht="15">
      <c r="A438" s="137" t="str">
        <f t="shared" si="14"/>
        <v>SGECUOTAS Y SUSCRIPCIONESCHATGPT</v>
      </c>
      <c r="B438" t="s">
        <v>4610</v>
      </c>
      <c r="C438" s="1">
        <v>45937</v>
      </c>
      <c r="D438" s="133" t="s">
        <v>39</v>
      </c>
      <c r="E438" s="133" t="s">
        <v>51</v>
      </c>
      <c r="F438" s="133" t="s">
        <v>59</v>
      </c>
      <c r="H438" s="220" t="s">
        <v>4427</v>
      </c>
      <c r="I438" s="442"/>
      <c r="J438" s="443">
        <v>385.07</v>
      </c>
    </row>
    <row r="439" spans="1:10" ht="15">
      <c r="A439" s="137" t="str">
        <f t="shared" si="14"/>
        <v>SERVICIOSCUOTAS Y SUSCRIPCIONESAPP</v>
      </c>
      <c r="B439" t="s">
        <v>4610</v>
      </c>
      <c r="C439" s="1">
        <v>45937</v>
      </c>
      <c r="D439" t="s">
        <v>21</v>
      </c>
      <c r="E439" t="s">
        <v>51</v>
      </c>
      <c r="F439" t="s">
        <v>70</v>
      </c>
      <c r="H439" s="220" t="s">
        <v>4611</v>
      </c>
      <c r="I439" s="442"/>
      <c r="J439" s="443">
        <v>149</v>
      </c>
    </row>
    <row r="440" spans="1:10" ht="15">
      <c r="A440" s="137" t="str">
        <f t="shared" si="14"/>
        <v>MKTCUOTAS Y SUSCRIPCIONESAPP</v>
      </c>
      <c r="B440" t="s">
        <v>4610</v>
      </c>
      <c r="C440" s="1">
        <v>45956</v>
      </c>
      <c r="D440" t="s">
        <v>19</v>
      </c>
      <c r="E440" t="s">
        <v>51</v>
      </c>
      <c r="F440" t="s">
        <v>70</v>
      </c>
      <c r="G440" t="s">
        <v>258</v>
      </c>
      <c r="H440" s="310" t="s">
        <v>4612</v>
      </c>
      <c r="J440" s="311">
        <v>499.29</v>
      </c>
    </row>
    <row r="441" spans="1:10" ht="15">
      <c r="A441" s="137" t="str">
        <f t="shared" si="14"/>
        <v>FINANZASTELEFONIATELEFONIA</v>
      </c>
      <c r="B441" t="s">
        <v>4610</v>
      </c>
      <c r="C441" s="1">
        <v>45956</v>
      </c>
      <c r="D441" t="s">
        <v>23</v>
      </c>
      <c r="E441" s="12" t="s">
        <v>181</v>
      </c>
      <c r="F441" t="s">
        <v>181</v>
      </c>
      <c r="H441" s="310" t="s">
        <v>4441</v>
      </c>
      <c r="J441" s="311">
        <v>3190</v>
      </c>
    </row>
    <row r="442" spans="1:10" ht="15">
      <c r="A442" s="137" t="str">
        <f t="shared" si="14"/>
        <v>MMREDESMARKET MAX</v>
      </c>
      <c r="B442" t="s">
        <v>4610</v>
      </c>
      <c r="C442" s="1">
        <v>45956</v>
      </c>
      <c r="D442" t="s">
        <v>45</v>
      </c>
      <c r="E442" t="s">
        <v>167</v>
      </c>
      <c r="F442" t="s">
        <v>46</v>
      </c>
      <c r="H442" s="310" t="s">
        <v>4613</v>
      </c>
      <c r="J442" s="451">
        <v>1930.87</v>
      </c>
    </row>
    <row r="443" spans="1:10" ht="15">
      <c r="A443" s="137" t="str">
        <f t="shared" si="14"/>
        <v>ELIREDESELILU</v>
      </c>
      <c r="B443" t="s">
        <v>4610</v>
      </c>
      <c r="C443" s="1">
        <v>45956</v>
      </c>
      <c r="D443" t="s">
        <v>130</v>
      </c>
      <c r="E443" t="s">
        <v>167</v>
      </c>
      <c r="F443" t="s">
        <v>168</v>
      </c>
      <c r="H443" s="310" t="s">
        <v>4474</v>
      </c>
      <c r="J443" s="311">
        <v>2608.1999999999998</v>
      </c>
    </row>
    <row r="444" spans="1:10" ht="15">
      <c r="A444" s="137" t="str">
        <f t="shared" si="14"/>
        <v>CAPREDESCAPRICHOS</v>
      </c>
      <c r="B444" t="s">
        <v>4610</v>
      </c>
      <c r="C444" s="1">
        <v>45956</v>
      </c>
      <c r="D444" t="s">
        <v>31</v>
      </c>
      <c r="E444" t="s">
        <v>167</v>
      </c>
      <c r="F444" s="230" t="s">
        <v>33</v>
      </c>
      <c r="H444" s="310" t="s">
        <v>4614</v>
      </c>
      <c r="J444" s="311">
        <v>2446.06</v>
      </c>
    </row>
    <row r="445" spans="1:10" ht="15">
      <c r="A445" s="137" t="str">
        <f t="shared" si="14"/>
        <v>HRREDESHR</v>
      </c>
      <c r="B445" t="s">
        <v>4610</v>
      </c>
      <c r="C445" s="1">
        <v>45956</v>
      </c>
      <c r="D445" t="s">
        <v>29</v>
      </c>
      <c r="E445" t="s">
        <v>167</v>
      </c>
      <c r="F445" t="s">
        <v>29</v>
      </c>
      <c r="H445" s="310" t="s">
        <v>4615</v>
      </c>
      <c r="J445" s="311">
        <v>207.57</v>
      </c>
    </row>
    <row r="446" spans="1:10" ht="15">
      <c r="A446" s="137" t="str">
        <f t="shared" si="14"/>
        <v>HRREDESHR</v>
      </c>
      <c r="B446" t="s">
        <v>4610</v>
      </c>
      <c r="C446" s="1">
        <v>45956</v>
      </c>
      <c r="D446" t="s">
        <v>29</v>
      </c>
      <c r="E446" t="s">
        <v>167</v>
      </c>
      <c r="F446" t="s">
        <v>29</v>
      </c>
      <c r="H446" s="310" t="s">
        <v>4615</v>
      </c>
      <c r="J446" s="311">
        <v>3979.83</v>
      </c>
    </row>
    <row r="447" spans="1:10" ht="15">
      <c r="A447" s="137" t="str">
        <f t="shared" si="14"/>
        <v>MMREDESMARKET MAX</v>
      </c>
      <c r="B447" t="s">
        <v>4610</v>
      </c>
      <c r="C447" s="1">
        <v>45956</v>
      </c>
      <c r="D447" t="s">
        <v>45</v>
      </c>
      <c r="E447" t="s">
        <v>167</v>
      </c>
      <c r="F447" t="s">
        <v>46</v>
      </c>
      <c r="H447" s="310" t="s">
        <v>4592</v>
      </c>
      <c r="J447" s="451">
        <v>60.28</v>
      </c>
    </row>
    <row r="448" spans="1:10" ht="15">
      <c r="A448" s="137" t="str">
        <f t="shared" si="14"/>
        <v>ELIREDESELILU</v>
      </c>
      <c r="B448" t="s">
        <v>4610</v>
      </c>
      <c r="C448" s="1">
        <v>45956</v>
      </c>
      <c r="D448" t="s">
        <v>130</v>
      </c>
      <c r="E448" t="s">
        <v>167</v>
      </c>
      <c r="F448" t="s">
        <v>168</v>
      </c>
      <c r="H448" s="310" t="s">
        <v>4474</v>
      </c>
      <c r="J448" s="311">
        <v>151.31</v>
      </c>
    </row>
    <row r="449" spans="1:10" ht="15">
      <c r="A449" s="137" t="str">
        <f t="shared" si="14"/>
        <v>MELREDESMELISSA</v>
      </c>
      <c r="B449" t="s">
        <v>4610</v>
      </c>
      <c r="C449" s="1">
        <v>45956</v>
      </c>
      <c r="D449" t="s">
        <v>43</v>
      </c>
      <c r="E449" t="s">
        <v>167</v>
      </c>
      <c r="F449" t="s">
        <v>44</v>
      </c>
      <c r="H449" s="310" t="s">
        <v>4616</v>
      </c>
      <c r="J449" s="311">
        <v>936.52</v>
      </c>
    </row>
    <row r="450" spans="1:10" ht="15">
      <c r="A450" s="137" t="str">
        <f t="shared" si="14"/>
        <v>CAPREDESCAPRICHOS</v>
      </c>
      <c r="B450" t="s">
        <v>4610</v>
      </c>
      <c r="C450" s="1">
        <v>45956</v>
      </c>
      <c r="D450" t="s">
        <v>31</v>
      </c>
      <c r="E450" t="s">
        <v>167</v>
      </c>
      <c r="F450" s="230" t="s">
        <v>33</v>
      </c>
      <c r="H450" s="310" t="s">
        <v>4617</v>
      </c>
      <c r="J450" s="311">
        <v>47.75</v>
      </c>
    </row>
    <row r="451" spans="1:10" ht="15">
      <c r="A451" s="137" t="str">
        <f t="shared" si="14"/>
        <v>MKTCUOTAS Y SUSCRIPCIONESAPP</v>
      </c>
      <c r="B451" t="s">
        <v>4610</v>
      </c>
      <c r="C451" s="1">
        <v>45956</v>
      </c>
      <c r="D451" t="s">
        <v>19</v>
      </c>
      <c r="E451" t="s">
        <v>51</v>
      </c>
      <c r="F451" t="s">
        <v>70</v>
      </c>
      <c r="G451" t="s">
        <v>258</v>
      </c>
      <c r="H451" s="310" t="s">
        <v>4612</v>
      </c>
      <c r="J451" s="311">
        <v>499.28</v>
      </c>
    </row>
    <row r="452" spans="1:10" ht="15">
      <c r="A452" s="137" t="str">
        <f t="shared" si="14"/>
        <v>MKTCUOTAS Y SUSCRIPCIONESAPP</v>
      </c>
      <c r="B452" t="s">
        <v>4610</v>
      </c>
      <c r="C452" s="1">
        <v>45956</v>
      </c>
      <c r="D452" t="s">
        <v>19</v>
      </c>
      <c r="E452" t="s">
        <v>51</v>
      </c>
      <c r="F452" t="s">
        <v>70</v>
      </c>
      <c r="G452" t="s">
        <v>258</v>
      </c>
      <c r="H452" s="310" t="s">
        <v>4612</v>
      </c>
      <c r="J452" s="311">
        <v>499.29</v>
      </c>
    </row>
    <row r="453" spans="1:10" ht="15">
      <c r="A453" s="137" t="str">
        <f t="shared" ref="A453:A516" si="15">D453&amp;E453&amp;F453</f>
        <v>MKTCUOTAS Y SUSCRIPCIONESAPP</v>
      </c>
      <c r="B453" t="s">
        <v>4610</v>
      </c>
      <c r="C453" s="1">
        <v>45956</v>
      </c>
      <c r="D453" t="s">
        <v>19</v>
      </c>
      <c r="E453" t="s">
        <v>51</v>
      </c>
      <c r="F453" t="s">
        <v>70</v>
      </c>
      <c r="G453" t="s">
        <v>258</v>
      </c>
      <c r="H453" s="310" t="s">
        <v>4612</v>
      </c>
      <c r="J453" s="311">
        <v>499.29</v>
      </c>
    </row>
    <row r="454" spans="1:10" ht="15">
      <c r="A454" s="137" t="str">
        <f t="shared" si="15"/>
        <v>FINANZASTELEFONIATELEFONIA</v>
      </c>
      <c r="B454" t="s">
        <v>4610</v>
      </c>
      <c r="C454" s="1">
        <v>45956</v>
      </c>
      <c r="D454" t="s">
        <v>23</v>
      </c>
      <c r="E454" s="12" t="s">
        <v>181</v>
      </c>
      <c r="F454" t="s">
        <v>181</v>
      </c>
      <c r="H454" s="310" t="s">
        <v>4441</v>
      </c>
      <c r="J454" s="311">
        <v>5335</v>
      </c>
    </row>
    <row r="455" spans="1:10" ht="15">
      <c r="A455" s="137" t="str">
        <f t="shared" si="15"/>
        <v>MKTCUOTAS Y SUSCRIPCIONESAPP</v>
      </c>
      <c r="B455" t="s">
        <v>4610</v>
      </c>
      <c r="C455" s="1">
        <v>45956</v>
      </c>
      <c r="D455" t="s">
        <v>19</v>
      </c>
      <c r="E455" t="s">
        <v>51</v>
      </c>
      <c r="F455" t="s">
        <v>70</v>
      </c>
      <c r="G455" t="s">
        <v>258</v>
      </c>
      <c r="H455" s="310" t="s">
        <v>4612</v>
      </c>
      <c r="J455" s="311">
        <v>18336.88</v>
      </c>
    </row>
    <row r="456" spans="1:10" ht="15">
      <c r="A456" s="137" t="str">
        <f t="shared" si="15"/>
        <v>SGECUOTAS Y SUSCRIPCIONESOFFICE 365(GCOMPRAS)</v>
      </c>
      <c r="B456" t="s">
        <v>4610</v>
      </c>
      <c r="C456" s="1">
        <v>45956</v>
      </c>
      <c r="D456" s="133" t="s">
        <v>39</v>
      </c>
      <c r="E456" s="133" t="s">
        <v>51</v>
      </c>
      <c r="F456" s="133" t="s">
        <v>54</v>
      </c>
      <c r="H456" s="310" t="s">
        <v>4443</v>
      </c>
      <c r="J456" s="311">
        <v>399.99</v>
      </c>
    </row>
    <row r="457" spans="1:10" ht="15">
      <c r="A457" s="137" t="str">
        <f t="shared" si="15"/>
        <v>HRIMAGEN VISUALIMAGEN VISUAL HR</v>
      </c>
      <c r="B457" t="s">
        <v>4610</v>
      </c>
      <c r="C457" s="1">
        <v>45956</v>
      </c>
      <c r="D457" t="s">
        <v>29</v>
      </c>
      <c r="E457" t="s">
        <v>127</v>
      </c>
      <c r="F457" t="s">
        <v>128</v>
      </c>
      <c r="H457" s="310" t="s">
        <v>4618</v>
      </c>
      <c r="J457" s="311">
        <v>1090</v>
      </c>
    </row>
    <row r="458" spans="1:10" ht="15">
      <c r="A458" s="137" t="str">
        <f t="shared" si="15"/>
        <v>HRIMAGEN VISUALIMAGEN VISUAL HR</v>
      </c>
      <c r="B458" t="s">
        <v>4610</v>
      </c>
      <c r="C458" s="1">
        <v>45956</v>
      </c>
      <c r="D458" t="s">
        <v>29</v>
      </c>
      <c r="E458" t="s">
        <v>127</v>
      </c>
      <c r="F458" t="s">
        <v>128</v>
      </c>
      <c r="H458" s="310" t="s">
        <v>4618</v>
      </c>
      <c r="J458" s="311">
        <v>6801</v>
      </c>
    </row>
    <row r="459" spans="1:10" ht="15">
      <c r="A459" s="137" t="str">
        <f t="shared" si="15"/>
        <v>MMREDESMARKET MAX</v>
      </c>
      <c r="B459" t="s">
        <v>4610</v>
      </c>
      <c r="C459" s="1">
        <v>45956</v>
      </c>
      <c r="D459" t="s">
        <v>45</v>
      </c>
      <c r="E459" t="s">
        <v>167</v>
      </c>
      <c r="F459" t="s">
        <v>46</v>
      </c>
      <c r="H459" s="310" t="s">
        <v>4619</v>
      </c>
      <c r="J459" s="451">
        <v>1665.06</v>
      </c>
    </row>
    <row r="460" spans="1:10" ht="15">
      <c r="A460" s="137" t="str">
        <f t="shared" si="15"/>
        <v>MMREDESMARKET MAX</v>
      </c>
      <c r="B460" t="s">
        <v>4610</v>
      </c>
      <c r="C460" s="1">
        <v>45956</v>
      </c>
      <c r="D460" t="s">
        <v>45</v>
      </c>
      <c r="E460" t="s">
        <v>167</v>
      </c>
      <c r="F460" t="s">
        <v>46</v>
      </c>
      <c r="H460" s="310" t="s">
        <v>4620</v>
      </c>
      <c r="J460" s="451">
        <v>126.34</v>
      </c>
    </row>
    <row r="461" spans="1:10" ht="15">
      <c r="A461" s="137" t="str">
        <f t="shared" si="15"/>
        <v>MMREDESMARKET MAX</v>
      </c>
      <c r="B461" t="s">
        <v>4610</v>
      </c>
      <c r="C461" s="1">
        <v>45956</v>
      </c>
      <c r="D461" t="s">
        <v>45</v>
      </c>
      <c r="E461" t="s">
        <v>167</v>
      </c>
      <c r="F461" t="s">
        <v>46</v>
      </c>
      <c r="H461" s="310" t="s">
        <v>4621</v>
      </c>
      <c r="J461" s="451">
        <v>139</v>
      </c>
    </row>
    <row r="462" spans="1:10" ht="15">
      <c r="A462" s="137" t="str">
        <f t="shared" si="15"/>
        <v>FINANZASTELEFONIATELEFONIA</v>
      </c>
      <c r="B462" t="s">
        <v>4610</v>
      </c>
      <c r="C462" s="1">
        <v>45956</v>
      </c>
      <c r="D462" t="s">
        <v>23</v>
      </c>
      <c r="E462" t="s">
        <v>181</v>
      </c>
      <c r="F462" t="s">
        <v>181</v>
      </c>
      <c r="H462" s="307" t="s">
        <v>4444</v>
      </c>
      <c r="J462" s="311">
        <v>603.03</v>
      </c>
    </row>
    <row r="463" spans="1:10" ht="15">
      <c r="A463" s="137" t="str">
        <f t="shared" si="15"/>
        <v>CAPREDESCAPRICHOS</v>
      </c>
      <c r="B463" t="s">
        <v>4610</v>
      </c>
      <c r="C463" s="1">
        <v>45956</v>
      </c>
      <c r="D463" t="s">
        <v>31</v>
      </c>
      <c r="E463" t="s">
        <v>167</v>
      </c>
      <c r="F463" s="230" t="s">
        <v>33</v>
      </c>
      <c r="H463" s="430" t="s">
        <v>4442</v>
      </c>
      <c r="J463" s="311">
        <v>239</v>
      </c>
    </row>
    <row r="464" spans="1:10" ht="15">
      <c r="A464" s="137" t="str">
        <f t="shared" si="15"/>
        <v>CAPREDESCAPRICHOS</v>
      </c>
      <c r="B464" t="s">
        <v>4610</v>
      </c>
      <c r="C464" s="1">
        <v>45956</v>
      </c>
      <c r="D464" t="s">
        <v>31</v>
      </c>
      <c r="E464" t="s">
        <v>167</v>
      </c>
      <c r="F464" s="230" t="s">
        <v>33</v>
      </c>
      <c r="H464" s="430" t="s">
        <v>4442</v>
      </c>
      <c r="J464" s="311">
        <v>239</v>
      </c>
    </row>
    <row r="465" spans="1:10" ht="15">
      <c r="A465" s="137" t="str">
        <f t="shared" si="15"/>
        <v>FINANZASTELEFONIATELEFONIA</v>
      </c>
      <c r="B465" t="s">
        <v>4610</v>
      </c>
      <c r="C465" s="1">
        <v>45956</v>
      </c>
      <c r="D465" t="s">
        <v>23</v>
      </c>
      <c r="E465" t="s">
        <v>181</v>
      </c>
      <c r="F465" t="s">
        <v>181</v>
      </c>
      <c r="H465" s="310" t="s">
        <v>4462</v>
      </c>
      <c r="J465" s="311">
        <v>3184.61</v>
      </c>
    </row>
    <row r="466" spans="1:10" ht="15">
      <c r="A466" s="137" t="str">
        <f t="shared" si="15"/>
        <v>FINANZASTELEFONIATELEFONIA</v>
      </c>
      <c r="B466" t="s">
        <v>4610</v>
      </c>
      <c r="C466" s="1">
        <v>45956</v>
      </c>
      <c r="D466" t="s">
        <v>23</v>
      </c>
      <c r="E466" t="s">
        <v>181</v>
      </c>
      <c r="F466" t="s">
        <v>181</v>
      </c>
      <c r="H466" s="310" t="s">
        <v>4543</v>
      </c>
      <c r="J466" s="311">
        <v>7983.06</v>
      </c>
    </row>
    <row r="467" spans="1:10" ht="15">
      <c r="A467" s="137" t="str">
        <f t="shared" si="15"/>
        <v>SGECUOTAS Y SUSCRIPCIONESCHATGPT</v>
      </c>
      <c r="B467" t="s">
        <v>4610</v>
      </c>
      <c r="C467" s="1">
        <v>45956</v>
      </c>
      <c r="D467" s="133" t="s">
        <v>39</v>
      </c>
      <c r="E467" s="133" t="s">
        <v>51</v>
      </c>
      <c r="F467" s="133" t="s">
        <v>59</v>
      </c>
      <c r="H467" s="312" t="s">
        <v>4427</v>
      </c>
      <c r="J467" s="311">
        <v>1151.01</v>
      </c>
    </row>
    <row r="468" spans="1:10" ht="15">
      <c r="A468" s="137" t="str">
        <f t="shared" si="15"/>
        <v>SGECUOTAS Y SUSCRIPCIONESCHATGPT</v>
      </c>
      <c r="B468" t="s">
        <v>4610</v>
      </c>
      <c r="C468" s="1">
        <v>45956</v>
      </c>
      <c r="D468" s="133" t="s">
        <v>39</v>
      </c>
      <c r="E468" s="133" t="s">
        <v>51</v>
      </c>
      <c r="F468" s="133" t="s">
        <v>59</v>
      </c>
      <c r="H468" s="312" t="s">
        <v>4427</v>
      </c>
      <c r="J468" s="311">
        <v>377.57</v>
      </c>
    </row>
    <row r="469" spans="1:10" ht="15">
      <c r="A469" s="137" t="str">
        <f t="shared" si="15"/>
        <v>SGECUOTAS Y SUSCRIPCIONESCHATGPT</v>
      </c>
      <c r="B469" t="s">
        <v>4610</v>
      </c>
      <c r="C469" s="1">
        <v>45956</v>
      </c>
      <c r="D469" s="133" t="s">
        <v>39</v>
      </c>
      <c r="E469" s="133" t="s">
        <v>51</v>
      </c>
      <c r="F469" s="133" t="s">
        <v>59</v>
      </c>
      <c r="H469" s="312" t="s">
        <v>4427</v>
      </c>
      <c r="J469" s="311">
        <v>377.73</v>
      </c>
    </row>
    <row r="470" spans="1:10" ht="15">
      <c r="A470" s="137" t="str">
        <f t="shared" si="15"/>
        <v>SGECUOTAS Y SUSCRIPCIONESOFFICE 365(C1)</v>
      </c>
      <c r="B470" t="s">
        <v>4610</v>
      </c>
      <c r="C470" s="1">
        <v>45956</v>
      </c>
      <c r="D470" s="133" t="s">
        <v>39</v>
      </c>
      <c r="E470" s="133" t="s">
        <v>51</v>
      </c>
      <c r="F470" s="158" t="s">
        <v>53</v>
      </c>
      <c r="H470" s="312" t="s">
        <v>4428</v>
      </c>
      <c r="J470" s="311">
        <v>188.59</v>
      </c>
    </row>
    <row r="471" spans="1:10" ht="15">
      <c r="A471" s="137" t="str">
        <f t="shared" si="15"/>
        <v>SGECUOTAS Y SUSCRIPCIONESZOOM</v>
      </c>
      <c r="B471" t="s">
        <v>4610</v>
      </c>
      <c r="C471" s="1">
        <v>45956</v>
      </c>
      <c r="D471" s="133" t="s">
        <v>39</v>
      </c>
      <c r="E471" s="133" t="s">
        <v>51</v>
      </c>
      <c r="F471" s="133" t="s">
        <v>56</v>
      </c>
      <c r="H471" s="307" t="s">
        <v>4447</v>
      </c>
      <c r="J471" s="311">
        <v>1854.32</v>
      </c>
    </row>
    <row r="472" spans="1:10" ht="15">
      <c r="A472" s="137" t="str">
        <f t="shared" si="15"/>
        <v>SERVICIOSADQ DE EQ TECNOLOGICOADQ DE EQ TECNOLOGICO</v>
      </c>
      <c r="B472" t="s">
        <v>4610</v>
      </c>
      <c r="C472" s="1">
        <v>45956</v>
      </c>
      <c r="D472" t="s">
        <v>21</v>
      </c>
      <c r="E472" t="s">
        <v>22</v>
      </c>
      <c r="F472" s="158" t="s">
        <v>22</v>
      </c>
      <c r="H472" s="431" t="s">
        <v>4622</v>
      </c>
      <c r="J472" s="316">
        <v>7267.1</v>
      </c>
    </row>
    <row r="473" spans="1:10" ht="15">
      <c r="A473" s="137" t="str">
        <f t="shared" si="15"/>
        <v>SERVICIOSADQ DE EQ TECNOLOGICOADQ DE EQ TECNOLOGICO</v>
      </c>
      <c r="B473" t="s">
        <v>4610</v>
      </c>
      <c r="C473" s="1">
        <v>45956</v>
      </c>
      <c r="D473" t="s">
        <v>21</v>
      </c>
      <c r="E473" t="s">
        <v>22</v>
      </c>
      <c r="F473" s="158" t="s">
        <v>22</v>
      </c>
      <c r="H473" s="307" t="s">
        <v>4623</v>
      </c>
      <c r="J473" s="316">
        <v>709.12</v>
      </c>
    </row>
    <row r="474" spans="1:10" ht="15">
      <c r="A474" s="137" t="str">
        <f t="shared" si="15"/>
        <v>MKTINSUMOSINSUMOS</v>
      </c>
      <c r="B474" t="s">
        <v>4610</v>
      </c>
      <c r="C474" s="1">
        <v>45956</v>
      </c>
      <c r="D474" t="s">
        <v>19</v>
      </c>
      <c r="E474" t="s">
        <v>133</v>
      </c>
      <c r="F474" t="s">
        <v>133</v>
      </c>
      <c r="H474" s="307" t="s">
        <v>4624</v>
      </c>
      <c r="J474" s="316">
        <v>7.35</v>
      </c>
    </row>
    <row r="475" spans="1:10" ht="15">
      <c r="A475" s="137" t="str">
        <f t="shared" si="15"/>
        <v>MKTINSUMOSINSUMOS</v>
      </c>
      <c r="B475" t="s">
        <v>4610</v>
      </c>
      <c r="C475" s="1">
        <v>45956</v>
      </c>
      <c r="D475" t="s">
        <v>19</v>
      </c>
      <c r="E475" t="s">
        <v>133</v>
      </c>
      <c r="F475" t="s">
        <v>133</v>
      </c>
      <c r="H475" s="307" t="s">
        <v>4625</v>
      </c>
      <c r="J475" s="316">
        <v>758</v>
      </c>
    </row>
    <row r="476" spans="1:10" ht="15">
      <c r="A476" s="137" t="str">
        <f t="shared" si="15"/>
        <v>MKTINSUMOSINSUMOS</v>
      </c>
      <c r="B476" t="s">
        <v>4610</v>
      </c>
      <c r="C476" s="1">
        <v>45956</v>
      </c>
      <c r="D476" t="s">
        <v>19</v>
      </c>
      <c r="E476" t="s">
        <v>133</v>
      </c>
      <c r="F476" t="s">
        <v>133</v>
      </c>
      <c r="H476" s="307" t="s">
        <v>4626</v>
      </c>
      <c r="J476" s="316">
        <v>178.2</v>
      </c>
    </row>
    <row r="477" spans="1:10" ht="15">
      <c r="A477" s="137" t="str">
        <f t="shared" si="15"/>
        <v>MMFONDO Y REPOSICIONMARKET MAX</v>
      </c>
      <c r="B477" t="s">
        <v>4610</v>
      </c>
      <c r="C477" s="1">
        <v>45956</v>
      </c>
      <c r="D477" t="s">
        <v>45</v>
      </c>
      <c r="E477" s="12" t="s">
        <v>120</v>
      </c>
      <c r="F477" s="12" t="s">
        <v>46</v>
      </c>
      <c r="H477" s="307" t="s">
        <v>4627</v>
      </c>
      <c r="J477" s="452">
        <v>395.25</v>
      </c>
    </row>
    <row r="478" spans="1:10" ht="15">
      <c r="A478" s="137" t="str">
        <f t="shared" si="15"/>
        <v>MKTINSUMOSINSUMOS</v>
      </c>
      <c r="B478" t="s">
        <v>4610</v>
      </c>
      <c r="C478" s="1">
        <v>45956</v>
      </c>
      <c r="D478" t="s">
        <v>19</v>
      </c>
      <c r="E478" t="s">
        <v>133</v>
      </c>
      <c r="F478" t="s">
        <v>133</v>
      </c>
      <c r="H478" s="307" t="s">
        <v>4626</v>
      </c>
      <c r="J478" s="316">
        <v>634.95000000000005</v>
      </c>
    </row>
    <row r="479" spans="1:10" ht="15">
      <c r="A479" s="137" t="str">
        <f t="shared" si="15"/>
        <v>MKTINSUMOSINSUMOS</v>
      </c>
      <c r="B479" t="s">
        <v>4610</v>
      </c>
      <c r="C479" s="1">
        <v>45956</v>
      </c>
      <c r="D479" t="s">
        <v>19</v>
      </c>
      <c r="E479" t="s">
        <v>133</v>
      </c>
      <c r="F479" t="s">
        <v>133</v>
      </c>
      <c r="H479" s="307" t="s">
        <v>4626</v>
      </c>
      <c r="J479" s="316">
        <v>767.1</v>
      </c>
    </row>
    <row r="480" spans="1:10" ht="15">
      <c r="A480" s="137" t="str">
        <f t="shared" si="15"/>
        <v>MKTINSUMOSINSUMOS</v>
      </c>
      <c r="B480" t="s">
        <v>4610</v>
      </c>
      <c r="C480" s="1">
        <v>45956</v>
      </c>
      <c r="D480" t="s">
        <v>19</v>
      </c>
      <c r="E480" t="s">
        <v>133</v>
      </c>
      <c r="F480" t="s">
        <v>133</v>
      </c>
      <c r="H480" s="307" t="s">
        <v>4626</v>
      </c>
      <c r="J480" s="316">
        <v>117.6</v>
      </c>
    </row>
    <row r="481" spans="1:11" ht="15">
      <c r="A481" s="137" t="str">
        <f t="shared" si="15"/>
        <v>FINANZASRENTASCONTABILIDAD (WT)</v>
      </c>
      <c r="B481" t="s">
        <v>4610</v>
      </c>
      <c r="C481" s="1">
        <v>45956</v>
      </c>
      <c r="D481" t="s">
        <v>23</v>
      </c>
      <c r="E481" t="s">
        <v>169</v>
      </c>
      <c r="F481" t="s">
        <v>171</v>
      </c>
      <c r="H481" s="307" t="s">
        <v>4449</v>
      </c>
      <c r="J481" s="316">
        <v>4761.9799999999996</v>
      </c>
    </row>
    <row r="482" spans="1:11" ht="15">
      <c r="A482" s="137" t="str">
        <f t="shared" si="15"/>
        <v>SERVICIOSMTTO DE EDIFICIOMANTENIMIENTO</v>
      </c>
      <c r="B482" t="s">
        <v>2565</v>
      </c>
      <c r="C482" s="1">
        <v>45968</v>
      </c>
      <c r="D482" t="s">
        <v>21</v>
      </c>
      <c r="E482" t="s">
        <v>142</v>
      </c>
      <c r="F482" t="s">
        <v>35</v>
      </c>
      <c r="H482" s="390" t="s">
        <v>4628</v>
      </c>
      <c r="I482" s="442"/>
      <c r="J482" s="443">
        <v>1771.02</v>
      </c>
    </row>
    <row r="483" spans="1:11" ht="15">
      <c r="A483" s="137" t="str">
        <f>D483&amp;E483&amp;F483</f>
        <v>HRREDESHR</v>
      </c>
      <c r="B483" t="s">
        <v>2565</v>
      </c>
      <c r="C483" s="1">
        <v>45968</v>
      </c>
      <c r="D483" t="s">
        <v>29</v>
      </c>
      <c r="E483" t="s">
        <v>167</v>
      </c>
      <c r="F483" t="s">
        <v>29</v>
      </c>
      <c r="H483" s="390" t="s">
        <v>4629</v>
      </c>
      <c r="I483" s="442"/>
      <c r="J483" s="443">
        <v>239</v>
      </c>
    </row>
    <row r="484" spans="1:11" ht="15">
      <c r="A484" s="137" t="str">
        <f>D484&amp;E484&amp;F484</f>
        <v>HRREDESHR</v>
      </c>
      <c r="B484" t="s">
        <v>2565</v>
      </c>
      <c r="C484" s="1">
        <v>45968</v>
      </c>
      <c r="D484" t="s">
        <v>29</v>
      </c>
      <c r="E484" t="s">
        <v>167</v>
      </c>
      <c r="F484" t="s">
        <v>29</v>
      </c>
      <c r="H484" s="390" t="s">
        <v>4629</v>
      </c>
      <c r="I484" s="442"/>
      <c r="J484" s="443">
        <v>239</v>
      </c>
    </row>
    <row r="485" spans="1:11" s="229" customFormat="1" ht="15">
      <c r="A485" s="137" t="str">
        <f>D485&amp;E485&amp;F485</f>
        <v>SERVICIOSCUOTAS Y SUSCRIPCIONESAPP</v>
      </c>
      <c r="B485" s="229" t="s">
        <v>2565</v>
      </c>
      <c r="C485" s="244">
        <v>45968</v>
      </c>
      <c r="D485" s="229" t="s">
        <v>21</v>
      </c>
      <c r="E485" s="229" t="s">
        <v>51</v>
      </c>
      <c r="F485" s="229" t="s">
        <v>70</v>
      </c>
      <c r="G485" s="229" t="s">
        <v>258</v>
      </c>
      <c r="H485" s="307" t="s">
        <v>4630</v>
      </c>
      <c r="I485" s="308"/>
      <c r="J485" s="443">
        <v>239</v>
      </c>
      <c r="K485" s="160"/>
    </row>
    <row r="486" spans="1:11" ht="15">
      <c r="A486" s="137" t="str">
        <f>D486&amp;E486&amp;F486</f>
        <v>SERVICIOSMTTO DE EDIFICIOMANTENIMIENTO</v>
      </c>
      <c r="B486" t="s">
        <v>2565</v>
      </c>
      <c r="C486" s="1">
        <v>45968</v>
      </c>
      <c r="D486" t="s">
        <v>21</v>
      </c>
      <c r="E486" t="s">
        <v>142</v>
      </c>
      <c r="F486" t="s">
        <v>35</v>
      </c>
      <c r="H486" s="220" t="s">
        <v>4631</v>
      </c>
      <c r="I486" s="442"/>
      <c r="J486" s="443">
        <v>205</v>
      </c>
    </row>
    <row r="487" spans="1:11" ht="15">
      <c r="A487" s="137" t="str">
        <f>D487&amp;E487&amp;F487</f>
        <v>SERVICIOSMTTO DE EDIFICIOMANTENIMIENTO</v>
      </c>
      <c r="B487" t="s">
        <v>2565</v>
      </c>
      <c r="C487" s="1">
        <v>45968</v>
      </c>
      <c r="D487" t="s">
        <v>21</v>
      </c>
      <c r="E487" t="s">
        <v>142</v>
      </c>
      <c r="F487" t="s">
        <v>35</v>
      </c>
      <c r="H487" s="220" t="s">
        <v>4632</v>
      </c>
      <c r="I487" s="442"/>
      <c r="J487" s="443">
        <v>944.22</v>
      </c>
    </row>
    <row r="488" spans="1:11" ht="15">
      <c r="A488" s="137" t="str">
        <f>D488&amp;E488&amp;F488</f>
        <v>SGECUOTAS Y SUSCRIPCIONESMIDJOURNEY APP</v>
      </c>
      <c r="B488" t="s">
        <v>2565</v>
      </c>
      <c r="C488" s="1">
        <v>45968</v>
      </c>
      <c r="D488" t="s">
        <v>39</v>
      </c>
      <c r="E488" t="s">
        <v>51</v>
      </c>
      <c r="F488" t="s">
        <v>84</v>
      </c>
      <c r="G488" t="s">
        <v>258</v>
      </c>
      <c r="H488" s="220" t="s">
        <v>4633</v>
      </c>
      <c r="I488" s="442"/>
      <c r="J488" s="443">
        <v>223.36</v>
      </c>
    </row>
    <row r="489" spans="1:11" ht="15">
      <c r="A489" s="137" t="str">
        <f>D489&amp;E489&amp;F489</f>
        <v>SERVICIOSMTTO EQ DE TRANSPORTECEDIS</v>
      </c>
      <c r="B489" t="s">
        <v>2565</v>
      </c>
      <c r="C489" s="1">
        <v>45968</v>
      </c>
      <c r="D489" t="s">
        <v>21</v>
      </c>
      <c r="E489" t="s">
        <v>144</v>
      </c>
      <c r="F489" t="s">
        <v>28</v>
      </c>
      <c r="H489" s="220" t="s">
        <v>4634</v>
      </c>
      <c r="I489" s="442"/>
      <c r="J489" s="443">
        <v>7228.33</v>
      </c>
    </row>
    <row r="490" spans="1:11" s="229" customFormat="1" ht="15">
      <c r="A490" s="137" t="str">
        <f>D490&amp;E490&amp;F490</f>
        <v>SERVICIOSMTTO MOBILIARIOREPARACION</v>
      </c>
      <c r="B490" s="229" t="s">
        <v>2565</v>
      </c>
      <c r="C490" s="244">
        <v>45968</v>
      </c>
      <c r="D490" s="229" t="s">
        <v>21</v>
      </c>
      <c r="E490" s="229" t="s">
        <v>145</v>
      </c>
      <c r="F490" s="229" t="s">
        <v>146</v>
      </c>
      <c r="G490" s="229" t="s">
        <v>258</v>
      </c>
      <c r="H490" s="307" t="s">
        <v>4635</v>
      </c>
      <c r="I490" s="308"/>
      <c r="J490" s="443">
        <v>5982</v>
      </c>
      <c r="K490" s="160"/>
    </row>
    <row r="491" spans="1:11" ht="15">
      <c r="A491" s="137" t="str">
        <f>D491&amp;E491&amp;F491</f>
        <v>SGECUOTAS Y SUSCRIPCIONESWORKFORCE</v>
      </c>
      <c r="B491" t="s">
        <v>2565</v>
      </c>
      <c r="C491" s="1">
        <v>45968</v>
      </c>
      <c r="D491" t="s">
        <v>39</v>
      </c>
      <c r="E491" t="s">
        <v>51</v>
      </c>
      <c r="F491" t="s">
        <v>79</v>
      </c>
      <c r="G491" t="s">
        <v>258</v>
      </c>
      <c r="H491" s="220" t="s">
        <v>4636</v>
      </c>
      <c r="I491" s="442"/>
      <c r="J491" s="443">
        <v>32971.370000000003</v>
      </c>
    </row>
    <row r="492" spans="1:11" ht="15">
      <c r="A492" s="137" t="str">
        <f>D492&amp;E492&amp;F492</f>
        <v>SGECUOTAS Y SUSCRIPCIONESWORKFORCE</v>
      </c>
      <c r="B492" t="s">
        <v>2565</v>
      </c>
      <c r="C492" s="1">
        <v>45968</v>
      </c>
      <c r="D492" t="s">
        <v>39</v>
      </c>
      <c r="E492" t="s">
        <v>51</v>
      </c>
      <c r="F492" t="s">
        <v>79</v>
      </c>
      <c r="G492" t="s">
        <v>258</v>
      </c>
      <c r="H492" s="220" t="s">
        <v>4636</v>
      </c>
      <c r="I492" s="442"/>
      <c r="J492" s="443">
        <v>21980.92</v>
      </c>
    </row>
    <row r="493" spans="1:11" ht="15">
      <c r="A493" s="137" t="str">
        <f>D493&amp;E493&amp;F493</f>
        <v>SERVICIOSFONDO Y REPOSICIONMANTENIMIENTO</v>
      </c>
      <c r="B493" t="s">
        <v>2565</v>
      </c>
      <c r="C493" s="1">
        <v>45968</v>
      </c>
      <c r="D493" t="s">
        <v>21</v>
      </c>
      <c r="E493" t="s">
        <v>120</v>
      </c>
      <c r="F493" t="s">
        <v>35</v>
      </c>
      <c r="G493" t="s">
        <v>258</v>
      </c>
      <c r="H493" s="455" t="s">
        <v>4637</v>
      </c>
      <c r="I493" s="442"/>
      <c r="J493" s="316">
        <v>8281.65</v>
      </c>
    </row>
    <row r="494" spans="1:11" ht="15">
      <c r="A494" s="137" t="str">
        <f>D494&amp;E494&amp;F494</f>
        <v>SERVICIOSMTTO DE EDIFICIOMANTENIMIENTO</v>
      </c>
      <c r="B494" t="s">
        <v>2565</v>
      </c>
      <c r="C494" s="1">
        <v>45968</v>
      </c>
      <c r="D494" t="s">
        <v>21</v>
      </c>
      <c r="E494" t="s">
        <v>142</v>
      </c>
      <c r="F494" t="s">
        <v>35</v>
      </c>
      <c r="H494" s="220" t="s">
        <v>4638</v>
      </c>
      <c r="I494" s="442"/>
      <c r="J494" s="316">
        <v>1090.03</v>
      </c>
    </row>
    <row r="495" spans="1:11" ht="15">
      <c r="A495" s="137" t="str">
        <f>D495&amp;E495&amp;F495</f>
        <v>SGECUOTAS Y SUSCRIPCIONESCHATGPT</v>
      </c>
      <c r="B495" t="s">
        <v>2565</v>
      </c>
      <c r="C495" s="1">
        <v>45968</v>
      </c>
      <c r="D495" t="s">
        <v>39</v>
      </c>
      <c r="E495" t="s">
        <v>51</v>
      </c>
      <c r="F495" t="s">
        <v>59</v>
      </c>
      <c r="H495" s="220" t="s">
        <v>4639</v>
      </c>
      <c r="I495" s="442"/>
      <c r="J495" s="316">
        <v>385.82</v>
      </c>
    </row>
    <row r="496" spans="1:11" ht="15">
      <c r="A496" s="137" t="str">
        <f>D496&amp;E496&amp;F496</f>
        <v>SERVICIOSFONDO Y REPOSICIONMANTENIMIENTO</v>
      </c>
      <c r="B496" t="s">
        <v>2565</v>
      </c>
      <c r="C496" s="1">
        <v>45968</v>
      </c>
      <c r="D496" t="s">
        <v>21</v>
      </c>
      <c r="E496" t="s">
        <v>120</v>
      </c>
      <c r="F496" t="s">
        <v>35</v>
      </c>
      <c r="G496" t="s">
        <v>258</v>
      </c>
      <c r="H496" s="455" t="s">
        <v>4637</v>
      </c>
      <c r="I496" s="442"/>
      <c r="J496" s="316">
        <v>2287.31</v>
      </c>
    </row>
    <row r="497" spans="1:10" ht="15">
      <c r="A497" s="137" t="str">
        <f>D497&amp;E497&amp;F497</f>
        <v>SERVICIOSMTTO DE EDIFICIOMANTENIMIENTO</v>
      </c>
      <c r="B497" t="s">
        <v>2565</v>
      </c>
      <c r="C497" s="1">
        <v>45968</v>
      </c>
      <c r="D497" t="s">
        <v>21</v>
      </c>
      <c r="E497" t="s">
        <v>142</v>
      </c>
      <c r="F497" t="s">
        <v>35</v>
      </c>
      <c r="H497" s="220" t="s">
        <v>4640</v>
      </c>
      <c r="I497" s="442"/>
      <c r="J497" s="316">
        <v>231.33</v>
      </c>
    </row>
    <row r="498" spans="1:10" ht="15">
      <c r="A498" s="137" t="str">
        <f>D498&amp;E498&amp;F498</f>
        <v>SGECUOTAS Y SUSCRIPCIONESCANVA</v>
      </c>
      <c r="B498" t="s">
        <v>2565</v>
      </c>
      <c r="C498" s="1">
        <v>45968</v>
      </c>
      <c r="D498" t="s">
        <v>39</v>
      </c>
      <c r="E498" t="s">
        <v>51</v>
      </c>
      <c r="F498" t="s">
        <v>60</v>
      </c>
      <c r="H498" s="220" t="s">
        <v>4641</v>
      </c>
      <c r="I498" s="442"/>
      <c r="J498" s="316">
        <v>149</v>
      </c>
    </row>
    <row r="499" spans="1:10" ht="15">
      <c r="A499" s="137" t="str">
        <f>D499&amp;E499&amp;F499</f>
        <v>SERVICIOSMTTO DE EDIFICIOMANTENIMIENTO</v>
      </c>
      <c r="B499" t="s">
        <v>2565</v>
      </c>
      <c r="C499" s="1">
        <v>45968</v>
      </c>
      <c r="D499" t="s">
        <v>21</v>
      </c>
      <c r="E499" t="s">
        <v>142</v>
      </c>
      <c r="F499" t="s">
        <v>35</v>
      </c>
      <c r="H499" s="220" t="s">
        <v>4632</v>
      </c>
      <c r="I499" s="442"/>
      <c r="J499" s="316">
        <v>523.66999999999996</v>
      </c>
    </row>
    <row r="500" spans="1:10" ht="15">
      <c r="A500" s="137" t="str">
        <f>D500&amp;E500&amp;F500</f>
        <v>MKTCUOTAS Y SUSCRIPCIONESAPP</v>
      </c>
      <c r="B500" t="s">
        <v>2565</v>
      </c>
      <c r="C500" s="1">
        <v>45987</v>
      </c>
      <c r="D500" t="s">
        <v>19</v>
      </c>
      <c r="E500" t="s">
        <v>51</v>
      </c>
      <c r="F500" t="s">
        <v>70</v>
      </c>
      <c r="G500" t="s">
        <v>258</v>
      </c>
      <c r="H500" s="459" t="s">
        <v>4642</v>
      </c>
      <c r="I500" s="442"/>
      <c r="J500" s="460">
        <v>499.29</v>
      </c>
    </row>
    <row r="501" spans="1:10" ht="15">
      <c r="A501" s="137" t="str">
        <f>D501&amp;E501&amp;F501</f>
        <v>HRREDESHR</v>
      </c>
      <c r="B501" t="s">
        <v>2565</v>
      </c>
      <c r="C501" s="1">
        <v>45987</v>
      </c>
      <c r="D501" t="s">
        <v>29</v>
      </c>
      <c r="E501" t="s">
        <v>167</v>
      </c>
      <c r="F501" t="s">
        <v>29</v>
      </c>
      <c r="H501" s="459" t="s">
        <v>4615</v>
      </c>
      <c r="I501" s="442"/>
      <c r="J501" s="460">
        <v>5000</v>
      </c>
    </row>
    <row r="502" spans="1:10" ht="15">
      <c r="A502" s="137" t="str">
        <f>D502&amp;E502&amp;F502</f>
        <v>SERVICIOSMTTO DE EDIFICIOMANTENIMIENTO</v>
      </c>
      <c r="B502" t="s">
        <v>2565</v>
      </c>
      <c r="C502" s="1">
        <v>45987</v>
      </c>
      <c r="D502" t="s">
        <v>21</v>
      </c>
      <c r="E502" t="s">
        <v>142</v>
      </c>
      <c r="F502" t="s">
        <v>35</v>
      </c>
      <c r="H502" s="459" t="s">
        <v>4643</v>
      </c>
      <c r="I502" s="442"/>
      <c r="J502" s="460">
        <v>320.16000000000003</v>
      </c>
    </row>
    <row r="503" spans="1:10" ht="15">
      <c r="A503" s="137" t="str">
        <f t="shared" si="15"/>
        <v/>
      </c>
      <c r="B503" t="s">
        <v>2565</v>
      </c>
      <c r="C503" s="1">
        <v>45987</v>
      </c>
      <c r="H503" s="459" t="s">
        <v>4644</v>
      </c>
      <c r="I503" s="442"/>
      <c r="J503" s="460">
        <v>99</v>
      </c>
    </row>
    <row r="504" spans="1:10" ht="15">
      <c r="A504" s="137" t="str">
        <f>D504&amp;E504&amp;F504</f>
        <v>SERVICIOSADQ DE EQ TECNOLOGICOADQ DE EQ TECNOLOGICO</v>
      </c>
      <c r="B504" t="s">
        <v>2565</v>
      </c>
      <c r="C504" s="1">
        <v>45987</v>
      </c>
      <c r="D504" t="s">
        <v>21</v>
      </c>
      <c r="E504" t="s">
        <v>22</v>
      </c>
      <c r="F504" s="158" t="s">
        <v>22</v>
      </c>
      <c r="H504" s="459" t="s">
        <v>4644</v>
      </c>
      <c r="I504" s="442"/>
      <c r="J504" s="460">
        <v>816.62</v>
      </c>
    </row>
    <row r="505" spans="1:10" ht="15">
      <c r="A505" s="137" t="str">
        <f>D505&amp;E505&amp;F505</f>
        <v>SERVICIOSMTTO DE EDIFICIOMANTENIMIENTO</v>
      </c>
      <c r="B505" t="s">
        <v>2565</v>
      </c>
      <c r="C505" s="1">
        <v>45987</v>
      </c>
      <c r="D505" t="s">
        <v>21</v>
      </c>
      <c r="E505" t="s">
        <v>142</v>
      </c>
      <c r="F505" t="s">
        <v>35</v>
      </c>
      <c r="H505" s="459" t="s">
        <v>4643</v>
      </c>
      <c r="I505" s="442"/>
      <c r="J505" s="460">
        <v>2524.35</v>
      </c>
    </row>
    <row r="506" spans="1:10" ht="15">
      <c r="A506" s="137" t="str">
        <f>D506&amp;E506&amp;F506</f>
        <v>MKTINSUMOSINSUMOS</v>
      </c>
      <c r="B506" t="s">
        <v>2565</v>
      </c>
      <c r="C506" s="1">
        <v>45987</v>
      </c>
      <c r="D506" t="s">
        <v>19</v>
      </c>
      <c r="E506" t="s">
        <v>133</v>
      </c>
      <c r="F506" t="s">
        <v>133</v>
      </c>
      <c r="H506" s="459" t="s">
        <v>4644</v>
      </c>
      <c r="I506" s="442"/>
      <c r="J506" s="460">
        <v>1292.93</v>
      </c>
    </row>
    <row r="507" spans="1:10" ht="15">
      <c r="A507" s="137" t="str">
        <f>D507&amp;E507&amp;F507</f>
        <v>ELIREDESELILU</v>
      </c>
      <c r="B507" t="s">
        <v>2565</v>
      </c>
      <c r="C507" s="1">
        <v>45987</v>
      </c>
      <c r="D507" t="s">
        <v>130</v>
      </c>
      <c r="E507" t="s">
        <v>167</v>
      </c>
      <c r="F507" t="s">
        <v>168</v>
      </c>
      <c r="H507" s="459" t="s">
        <v>4474</v>
      </c>
      <c r="I507" s="442"/>
      <c r="J507" s="460">
        <v>2955</v>
      </c>
    </row>
    <row r="508" spans="1:10" ht="15">
      <c r="A508" s="137" t="str">
        <f>D508&amp;E508&amp;F508</f>
        <v>SERVICIOSMTTO DE EDIFICIOMANTENIMIENTO</v>
      </c>
      <c r="B508" t="s">
        <v>2565</v>
      </c>
      <c r="C508" s="1">
        <v>45987</v>
      </c>
      <c r="D508" t="s">
        <v>21</v>
      </c>
      <c r="E508" t="s">
        <v>142</v>
      </c>
      <c r="F508" t="s">
        <v>35</v>
      </c>
      <c r="H508" s="459" t="s">
        <v>4645</v>
      </c>
      <c r="I508" s="442"/>
      <c r="J508" s="460">
        <v>223.11</v>
      </c>
    </row>
    <row r="509" spans="1:10" ht="15">
      <c r="A509" s="137" t="str">
        <f>D509&amp;E509&amp;F509</f>
        <v>HRREDESHR</v>
      </c>
      <c r="B509" t="s">
        <v>2565</v>
      </c>
      <c r="C509" s="1">
        <v>45987</v>
      </c>
      <c r="D509" t="s">
        <v>29</v>
      </c>
      <c r="E509" t="s">
        <v>167</v>
      </c>
      <c r="F509" t="s">
        <v>29</v>
      </c>
      <c r="H509" s="459" t="s">
        <v>4437</v>
      </c>
      <c r="I509" s="442"/>
      <c r="J509" s="460">
        <v>2151.11</v>
      </c>
    </row>
    <row r="510" spans="1:10" ht="15">
      <c r="A510" s="137" t="str">
        <f>D510&amp;E510&amp;F510</f>
        <v>MMREDESMARKET MAX</v>
      </c>
      <c r="B510" t="s">
        <v>2565</v>
      </c>
      <c r="C510" s="1">
        <v>45987</v>
      </c>
      <c r="D510" t="s">
        <v>45</v>
      </c>
      <c r="E510" t="s">
        <v>167</v>
      </c>
      <c r="F510" t="s">
        <v>46</v>
      </c>
      <c r="H510" s="459" t="s">
        <v>4646</v>
      </c>
      <c r="I510" s="442"/>
      <c r="J510" s="460">
        <v>1214.71</v>
      </c>
    </row>
    <row r="511" spans="1:10" ht="15">
      <c r="A511" s="137" t="str">
        <f>D511&amp;E511&amp;F511</f>
        <v>MELREDESMELISSA</v>
      </c>
      <c r="B511" t="s">
        <v>2565</v>
      </c>
      <c r="C511" s="1">
        <v>45987</v>
      </c>
      <c r="D511" t="s">
        <v>43</v>
      </c>
      <c r="E511" t="s">
        <v>167</v>
      </c>
      <c r="F511" t="s">
        <v>44</v>
      </c>
      <c r="H511" s="459" t="s">
        <v>4616</v>
      </c>
      <c r="I511" s="442"/>
      <c r="J511" s="460">
        <v>273.83</v>
      </c>
    </row>
    <row r="512" spans="1:10" ht="15">
      <c r="A512" s="137" t="str">
        <f>D512&amp;E512&amp;F512</f>
        <v>ELIREDESELILU</v>
      </c>
      <c r="B512" t="s">
        <v>2565</v>
      </c>
      <c r="C512" s="1">
        <v>45987</v>
      </c>
      <c r="D512" t="s">
        <v>130</v>
      </c>
      <c r="E512" t="s">
        <v>167</v>
      </c>
      <c r="F512" t="s">
        <v>168</v>
      </c>
      <c r="H512" s="459" t="s">
        <v>4474</v>
      </c>
      <c r="I512" s="442"/>
      <c r="J512" s="460">
        <v>167.07</v>
      </c>
    </row>
    <row r="513" spans="1:10" ht="15">
      <c r="A513" s="137" t="str">
        <f>D513&amp;E513&amp;F513</f>
        <v>CAPREDESCAPRICHOS</v>
      </c>
      <c r="B513" t="s">
        <v>2565</v>
      </c>
      <c r="C513" s="1">
        <v>45987</v>
      </c>
      <c r="D513" t="s">
        <v>31</v>
      </c>
      <c r="E513" t="s">
        <v>167</v>
      </c>
      <c r="F513" s="230" t="s">
        <v>33</v>
      </c>
      <c r="H513" s="459" t="s">
        <v>4647</v>
      </c>
      <c r="I513" s="442"/>
      <c r="J513" s="460">
        <v>2847.09</v>
      </c>
    </row>
    <row r="514" spans="1:10" ht="15">
      <c r="A514" s="137" t="str">
        <f>D514&amp;E514&amp;F514</f>
        <v>FINANZASTELEFONIASTARLINK</v>
      </c>
      <c r="B514" t="s">
        <v>2565</v>
      </c>
      <c r="C514" s="1">
        <v>45987</v>
      </c>
      <c r="D514" t="s">
        <v>23</v>
      </c>
      <c r="E514" t="s">
        <v>181</v>
      </c>
      <c r="F514" t="s">
        <v>184</v>
      </c>
      <c r="G514" t="s">
        <v>258</v>
      </c>
      <c r="H514" s="459" t="s">
        <v>4421</v>
      </c>
      <c r="I514" s="442"/>
      <c r="J514" s="460">
        <v>3190</v>
      </c>
    </row>
    <row r="515" spans="1:10" ht="15">
      <c r="A515" s="137" t="str">
        <f>D515&amp;E515&amp;F515</f>
        <v>MKTCUOTAS Y SUSCRIPCIONESAPP</v>
      </c>
      <c r="B515" t="s">
        <v>2565</v>
      </c>
      <c r="C515" s="1">
        <v>45987</v>
      </c>
      <c r="D515" t="s">
        <v>19</v>
      </c>
      <c r="E515" t="s">
        <v>51</v>
      </c>
      <c r="F515" t="s">
        <v>70</v>
      </c>
      <c r="G515" t="s">
        <v>258</v>
      </c>
      <c r="H515" s="459" t="s">
        <v>4642</v>
      </c>
      <c r="I515" s="442"/>
      <c r="J515" s="460">
        <v>499.29</v>
      </c>
    </row>
    <row r="516" spans="1:10" ht="15">
      <c r="A516" s="137" t="str">
        <f>D516&amp;E516&amp;F516</f>
        <v>MKTCUOTAS Y SUSCRIPCIONESAPP</v>
      </c>
      <c r="B516" t="s">
        <v>2565</v>
      </c>
      <c r="C516" s="1">
        <v>45987</v>
      </c>
      <c r="D516" t="s">
        <v>19</v>
      </c>
      <c r="E516" t="s">
        <v>51</v>
      </c>
      <c r="F516" t="s">
        <v>70</v>
      </c>
      <c r="G516" t="s">
        <v>258</v>
      </c>
      <c r="H516" s="459" t="s">
        <v>4642</v>
      </c>
      <c r="I516" s="442"/>
      <c r="J516" s="460">
        <v>499.29</v>
      </c>
    </row>
    <row r="517" spans="1:10" ht="15">
      <c r="A517" s="137" t="str">
        <f>D517&amp;E517&amp;F517</f>
        <v>MKTCUOTAS Y SUSCRIPCIONESAPP</v>
      </c>
      <c r="B517" t="s">
        <v>2565</v>
      </c>
      <c r="C517" s="1">
        <v>45987</v>
      </c>
      <c r="D517" t="s">
        <v>19</v>
      </c>
      <c r="E517" t="s">
        <v>51</v>
      </c>
      <c r="F517" t="s">
        <v>70</v>
      </c>
      <c r="G517" t="s">
        <v>258</v>
      </c>
      <c r="H517" s="459" t="s">
        <v>4642</v>
      </c>
      <c r="I517" s="442"/>
      <c r="J517" s="460">
        <v>499.29</v>
      </c>
    </row>
    <row r="518" spans="1:10" ht="15">
      <c r="A518" s="137" t="str">
        <f>D518&amp;E518&amp;F518</f>
        <v>FINANZASTELEFONIASTARLINK</v>
      </c>
      <c r="B518" t="s">
        <v>2565</v>
      </c>
      <c r="C518" s="1">
        <v>45987</v>
      </c>
      <c r="D518" t="s">
        <v>23</v>
      </c>
      <c r="E518" t="s">
        <v>181</v>
      </c>
      <c r="F518" t="s">
        <v>184</v>
      </c>
      <c r="G518" t="s">
        <v>258</v>
      </c>
      <c r="H518" s="459" t="s">
        <v>4441</v>
      </c>
      <c r="I518" s="442"/>
      <c r="J518" s="460">
        <v>6380</v>
      </c>
    </row>
    <row r="519" spans="1:10" ht="15">
      <c r="A519" s="137" t="str">
        <f>D519&amp;E519&amp;F519</f>
        <v>MKTCUOTAS Y SUSCRIPCIONESAPP</v>
      </c>
      <c r="B519" t="s">
        <v>2565</v>
      </c>
      <c r="C519" s="1">
        <v>45987</v>
      </c>
      <c r="D519" t="s">
        <v>19</v>
      </c>
      <c r="E519" t="s">
        <v>51</v>
      </c>
      <c r="F519" t="s">
        <v>70</v>
      </c>
      <c r="G519" t="s">
        <v>258</v>
      </c>
      <c r="H519" s="459" t="s">
        <v>4642</v>
      </c>
      <c r="I519" s="442"/>
      <c r="J519" s="460">
        <v>18336.88</v>
      </c>
    </row>
    <row r="520" spans="1:10" ht="15">
      <c r="A520" s="137" t="str">
        <f>D520&amp;E520&amp;F520</f>
        <v>SERVICIOSVIATICOSASESORES</v>
      </c>
      <c r="B520" t="s">
        <v>2565</v>
      </c>
      <c r="C520" s="1">
        <v>45987</v>
      </c>
      <c r="D520" t="s">
        <v>21</v>
      </c>
      <c r="E520" t="s">
        <v>191</v>
      </c>
      <c r="F520" t="s">
        <v>192</v>
      </c>
      <c r="H520" s="459" t="s">
        <v>4648</v>
      </c>
      <c r="I520" s="442"/>
      <c r="J520" s="460">
        <v>1268.3</v>
      </c>
    </row>
    <row r="521" spans="1:10" ht="15">
      <c r="A521" s="137" t="str">
        <f>D521&amp;E521&amp;F521</f>
        <v>SERVICIOSVIATICOSASESORES</v>
      </c>
      <c r="B521" t="s">
        <v>2565</v>
      </c>
      <c r="C521" s="1">
        <v>45987</v>
      </c>
      <c r="D521" t="s">
        <v>21</v>
      </c>
      <c r="E521" t="s">
        <v>191</v>
      </c>
      <c r="F521" t="s">
        <v>192</v>
      </c>
      <c r="H521" s="459" t="s">
        <v>4649</v>
      </c>
      <c r="I521" s="442"/>
      <c r="J521" s="460">
        <v>780</v>
      </c>
    </row>
    <row r="522" spans="1:10" ht="15">
      <c r="A522" s="137" t="str">
        <f>D522&amp;E522&amp;F522</f>
        <v>SERVICIOSVIATICOSASESORES</v>
      </c>
      <c r="B522" t="s">
        <v>2565</v>
      </c>
      <c r="C522" s="1">
        <v>45987</v>
      </c>
      <c r="D522" t="s">
        <v>21</v>
      </c>
      <c r="E522" t="s">
        <v>191</v>
      </c>
      <c r="F522" t="s">
        <v>192</v>
      </c>
      <c r="H522" s="220" t="s">
        <v>4650</v>
      </c>
      <c r="I522" s="442"/>
      <c r="J522" s="460">
        <v>1580</v>
      </c>
    </row>
    <row r="523" spans="1:10" ht="15">
      <c r="A523" s="137" t="str">
        <f>D523&amp;E523&amp;F523</f>
        <v>SERVICIOSVIATICOSASESORES</v>
      </c>
      <c r="B523" t="s">
        <v>2565</v>
      </c>
      <c r="C523" s="1">
        <v>45987</v>
      </c>
      <c r="D523" t="s">
        <v>21</v>
      </c>
      <c r="E523" t="s">
        <v>191</v>
      </c>
      <c r="F523" t="s">
        <v>192</v>
      </c>
      <c r="H523" s="459" t="s">
        <v>4648</v>
      </c>
      <c r="I523" s="442"/>
      <c r="J523" s="460">
        <v>1711.2</v>
      </c>
    </row>
    <row r="524" spans="1:10" ht="15">
      <c r="A524" s="137" t="str">
        <f>D524&amp;E524&amp;F524</f>
        <v>SERVICIOSVIATICOSASESORES</v>
      </c>
      <c r="B524" t="s">
        <v>2565</v>
      </c>
      <c r="C524" s="1">
        <v>45987</v>
      </c>
      <c r="D524" t="s">
        <v>21</v>
      </c>
      <c r="E524" t="s">
        <v>191</v>
      </c>
      <c r="F524" t="s">
        <v>192</v>
      </c>
      <c r="H524" s="461" t="s">
        <v>4651</v>
      </c>
      <c r="I524" s="442"/>
      <c r="J524" s="460">
        <v>42</v>
      </c>
    </row>
    <row r="525" spans="1:10" ht="15">
      <c r="A525" s="137" t="str">
        <f>D525&amp;E525&amp;F525</f>
        <v>SERVICIOSMTTO EQ DE TRANSPORTECEDIS</v>
      </c>
      <c r="B525" t="s">
        <v>2565</v>
      </c>
      <c r="C525" s="1">
        <v>45987</v>
      </c>
      <c r="D525" t="s">
        <v>21</v>
      </c>
      <c r="E525" t="s">
        <v>144</v>
      </c>
      <c r="F525" t="s">
        <v>28</v>
      </c>
      <c r="H525" s="459" t="s">
        <v>4652</v>
      </c>
      <c r="I525" s="442"/>
      <c r="J525" s="460">
        <v>1843.99</v>
      </c>
    </row>
    <row r="526" spans="1:10" ht="15">
      <c r="A526" s="137" t="str">
        <f>D526&amp;E526&amp;F526</f>
        <v>SERVICIOSMTTO DE EDIFICIOMANTENIMIENTO</v>
      </c>
      <c r="B526" t="s">
        <v>2565</v>
      </c>
      <c r="C526" s="1">
        <v>45987</v>
      </c>
      <c r="D526" t="s">
        <v>21</v>
      </c>
      <c r="E526" t="s">
        <v>142</v>
      </c>
      <c r="F526" t="s">
        <v>35</v>
      </c>
      <c r="H526" s="459" t="s">
        <v>4653</v>
      </c>
      <c r="I526" s="442"/>
      <c r="J526" s="460">
        <v>390.34</v>
      </c>
    </row>
    <row r="527" spans="1:10" ht="15">
      <c r="A527" s="137" t="str">
        <f>D527&amp;E527&amp;F527</f>
        <v>HRREDESHR</v>
      </c>
      <c r="B527" t="s">
        <v>2565</v>
      </c>
      <c r="C527" s="1">
        <v>45987</v>
      </c>
      <c r="D527" t="s">
        <v>29</v>
      </c>
      <c r="E527" t="s">
        <v>167</v>
      </c>
      <c r="F527" t="s">
        <v>29</v>
      </c>
      <c r="H527" s="459" t="s">
        <v>4437</v>
      </c>
      <c r="I527" s="442"/>
      <c r="J527" s="460">
        <v>5000</v>
      </c>
    </row>
    <row r="528" spans="1:10" ht="15">
      <c r="A528" s="137" t="str">
        <f>D528&amp;E528&amp;F528</f>
        <v>SERVICIOSMTTO DE EDIFICIOMANTENIMIENTO</v>
      </c>
      <c r="B528" t="s">
        <v>2565</v>
      </c>
      <c r="C528" s="1">
        <v>45987</v>
      </c>
      <c r="D528" t="s">
        <v>21</v>
      </c>
      <c r="E528" t="s">
        <v>142</v>
      </c>
      <c r="F528" t="s">
        <v>35</v>
      </c>
      <c r="H528" s="459" t="s">
        <v>4653</v>
      </c>
      <c r="I528" s="442"/>
      <c r="J528" s="460">
        <v>395.84</v>
      </c>
    </row>
    <row r="529" spans="1:10" ht="15">
      <c r="A529" s="137" t="str">
        <f>D529&amp;E529&amp;F529</f>
        <v>SERVICIOSMTTO DE EDIFICIOMANTENIMIENTO</v>
      </c>
      <c r="B529" t="s">
        <v>2565</v>
      </c>
      <c r="C529" s="1">
        <v>45987</v>
      </c>
      <c r="D529" t="s">
        <v>21</v>
      </c>
      <c r="E529" t="s">
        <v>142</v>
      </c>
      <c r="F529" t="s">
        <v>35</v>
      </c>
      <c r="H529" s="462" t="s">
        <v>4654</v>
      </c>
      <c r="I529" s="442"/>
      <c r="J529" s="460">
        <v>3252.57</v>
      </c>
    </row>
    <row r="530" spans="1:10" ht="15">
      <c r="A530" s="137" t="str">
        <f>D530&amp;E530&amp;F530</f>
        <v>MELREDESMELISSA</v>
      </c>
      <c r="B530" t="s">
        <v>2565</v>
      </c>
      <c r="C530" s="1">
        <v>45987</v>
      </c>
      <c r="D530" t="s">
        <v>43</v>
      </c>
      <c r="E530" t="s">
        <v>167</v>
      </c>
      <c r="F530" t="s">
        <v>44</v>
      </c>
      <c r="H530" s="459" t="s">
        <v>4616</v>
      </c>
      <c r="I530" s="442"/>
      <c r="J530" s="460">
        <v>815.21</v>
      </c>
    </row>
    <row r="531" spans="1:10" ht="15">
      <c r="A531" s="137" t="str">
        <f>D531&amp;E531&amp;F531</f>
        <v>CAPREDESCAPRICHOS</v>
      </c>
      <c r="B531" t="s">
        <v>2565</v>
      </c>
      <c r="C531" s="1">
        <v>45987</v>
      </c>
      <c r="D531" t="s">
        <v>31</v>
      </c>
      <c r="E531" t="s">
        <v>167</v>
      </c>
      <c r="F531" s="230" t="s">
        <v>33</v>
      </c>
      <c r="H531" s="220" t="s">
        <v>4542</v>
      </c>
      <c r="I531" s="442"/>
      <c r="J531" s="460">
        <v>139</v>
      </c>
    </row>
    <row r="532" spans="1:10" ht="15">
      <c r="A532" s="137" t="str">
        <f>D532&amp;E532&amp;F532</f>
        <v>FINANZASTELEFONIATELEFONIA</v>
      </c>
      <c r="B532" t="s">
        <v>2565</v>
      </c>
      <c r="C532" s="1">
        <v>45987</v>
      </c>
      <c r="D532" t="s">
        <v>23</v>
      </c>
      <c r="E532" t="s">
        <v>181</v>
      </c>
      <c r="F532" t="s">
        <v>181</v>
      </c>
      <c r="H532" s="455" t="s">
        <v>4655</v>
      </c>
      <c r="I532" s="442"/>
      <c r="J532" s="463">
        <v>603.03</v>
      </c>
    </row>
    <row r="533" spans="1:10" ht="15">
      <c r="A533" s="137" t="str">
        <f>D533&amp;E533&amp;F533</f>
        <v>CAPREDESCAPRICHOS</v>
      </c>
      <c r="B533" t="s">
        <v>2565</v>
      </c>
      <c r="C533" s="1">
        <v>45987</v>
      </c>
      <c r="D533" t="s">
        <v>31</v>
      </c>
      <c r="E533" t="s">
        <v>167</v>
      </c>
      <c r="F533" s="230" t="s">
        <v>33</v>
      </c>
      <c r="H533" s="220" t="s">
        <v>4542</v>
      </c>
      <c r="I533" s="442"/>
      <c r="J533" s="463">
        <v>239</v>
      </c>
    </row>
    <row r="534" spans="1:10" ht="15">
      <c r="A534" s="137" t="str">
        <f>D534&amp;E534&amp;F534</f>
        <v>CAPREDESCAPRICHOS</v>
      </c>
      <c r="B534" t="s">
        <v>2565</v>
      </c>
      <c r="C534" s="1">
        <v>45987</v>
      </c>
      <c r="D534" t="s">
        <v>31</v>
      </c>
      <c r="E534" t="s">
        <v>167</v>
      </c>
      <c r="F534" s="230" t="s">
        <v>33</v>
      </c>
      <c r="H534" s="220" t="s">
        <v>4542</v>
      </c>
      <c r="I534" s="442"/>
      <c r="J534" s="463">
        <v>239</v>
      </c>
    </row>
    <row r="535" spans="1:10" ht="15">
      <c r="A535" s="137" t="str">
        <f>D535&amp;E535&amp;F535</f>
        <v>FINANZASTELEFONIATELEFONIA</v>
      </c>
      <c r="B535" t="s">
        <v>2565</v>
      </c>
      <c r="C535" s="1">
        <v>45987</v>
      </c>
      <c r="D535" t="s">
        <v>23</v>
      </c>
      <c r="E535" t="s">
        <v>181</v>
      </c>
      <c r="F535" t="s">
        <v>181</v>
      </c>
      <c r="H535" s="220" t="s">
        <v>4462</v>
      </c>
      <c r="I535" s="442"/>
      <c r="J535" s="463">
        <v>4169.6899999999996</v>
      </c>
    </row>
    <row r="536" spans="1:10" ht="15">
      <c r="A536" s="137" t="str">
        <f>D536&amp;E536&amp;F536</f>
        <v>FINANZASTELEFONIATELEFONIA</v>
      </c>
      <c r="B536" t="s">
        <v>2565</v>
      </c>
      <c r="C536" s="1">
        <v>45987</v>
      </c>
      <c r="D536" t="s">
        <v>23</v>
      </c>
      <c r="E536" t="s">
        <v>181</v>
      </c>
      <c r="F536" t="s">
        <v>181</v>
      </c>
      <c r="H536" s="220" t="s">
        <v>4479</v>
      </c>
      <c r="I536" s="442"/>
      <c r="J536" s="463">
        <v>8033.06</v>
      </c>
    </row>
    <row r="537" spans="1:10" ht="15">
      <c r="A537" s="137" t="str">
        <f>D537&amp;E537&amp;F537</f>
        <v>CAPCAPACITACIONCAPACITACION</v>
      </c>
      <c r="B537" t="s">
        <v>2565</v>
      </c>
      <c r="C537" s="1">
        <v>45987</v>
      </c>
      <c r="D537" t="s">
        <v>31</v>
      </c>
      <c r="E537" t="s">
        <v>30</v>
      </c>
      <c r="F537" t="s">
        <v>30</v>
      </c>
      <c r="H537" s="220" t="s">
        <v>4656</v>
      </c>
      <c r="I537" s="442"/>
      <c r="J537" s="463">
        <v>3335.58</v>
      </c>
    </row>
    <row r="538" spans="1:10" ht="15">
      <c r="A538" s="137" t="str">
        <f>D538&amp;E538&amp;F538</f>
        <v>SERVICIOSVIATICOSCOMPRAS</v>
      </c>
      <c r="B538" t="s">
        <v>2565</v>
      </c>
      <c r="C538" s="1">
        <v>45987</v>
      </c>
      <c r="D538" t="s">
        <v>21</v>
      </c>
      <c r="E538" t="s">
        <v>191</v>
      </c>
      <c r="F538" t="s">
        <v>148</v>
      </c>
      <c r="H538" s="220" t="s">
        <v>4657</v>
      </c>
      <c r="I538" s="442"/>
      <c r="J538" s="463">
        <v>900</v>
      </c>
    </row>
    <row r="539" spans="1:10" ht="15">
      <c r="A539" s="137" t="str">
        <f>D539&amp;E539&amp;F539</f>
        <v>SERVICIOSVIATICOSCOMPRAS</v>
      </c>
      <c r="B539" t="s">
        <v>2565</v>
      </c>
      <c r="C539" s="1">
        <v>45987</v>
      </c>
      <c r="D539" t="s">
        <v>21</v>
      </c>
      <c r="E539" t="s">
        <v>191</v>
      </c>
      <c r="F539" t="s">
        <v>148</v>
      </c>
      <c r="H539" s="220" t="s">
        <v>4657</v>
      </c>
      <c r="I539" s="442"/>
      <c r="J539" s="463">
        <v>6532</v>
      </c>
    </row>
    <row r="540" spans="1:10" ht="15">
      <c r="A540" s="137" t="str">
        <f>D540&amp;E540&amp;F540</f>
        <v>SERVICIOSVIATICOSCOMPRAS</v>
      </c>
      <c r="B540" t="s">
        <v>2565</v>
      </c>
      <c r="C540" s="1">
        <v>45987</v>
      </c>
      <c r="D540" t="s">
        <v>21</v>
      </c>
      <c r="E540" t="s">
        <v>191</v>
      </c>
      <c r="F540" t="s">
        <v>148</v>
      </c>
      <c r="H540" s="220" t="s">
        <v>4657</v>
      </c>
      <c r="I540" s="442"/>
      <c r="J540" s="463">
        <v>2241</v>
      </c>
    </row>
    <row r="541" spans="1:10" ht="15">
      <c r="A541" s="137" t="str">
        <f>D541&amp;E541&amp;F541</f>
        <v>SGECUOTAS Y SUSCRIPCIONESCHATGPT</v>
      </c>
      <c r="B541" t="s">
        <v>2565</v>
      </c>
      <c r="C541" s="1">
        <v>45987</v>
      </c>
      <c r="D541" t="s">
        <v>39</v>
      </c>
      <c r="E541" t="s">
        <v>51</v>
      </c>
      <c r="F541" t="s">
        <v>59</v>
      </c>
      <c r="H541" s="220" t="s">
        <v>4492</v>
      </c>
      <c r="I541" s="442"/>
      <c r="J541" s="392">
        <v>1130.9000000000001</v>
      </c>
    </row>
    <row r="542" spans="1:10" ht="15">
      <c r="A542" s="137" t="str">
        <f>D542&amp;E542&amp;F542</f>
        <v>SGECUOTAS Y SUSCRIPCIONESCHATGPT</v>
      </c>
      <c r="B542" t="s">
        <v>2565</v>
      </c>
      <c r="C542" s="1">
        <v>45987</v>
      </c>
      <c r="D542" t="s">
        <v>39</v>
      </c>
      <c r="E542" t="s">
        <v>51</v>
      </c>
      <c r="F542" t="s">
        <v>59</v>
      </c>
      <c r="H542" s="220" t="s">
        <v>4492</v>
      </c>
      <c r="I542" s="442"/>
      <c r="J542" s="392">
        <v>381.15</v>
      </c>
    </row>
    <row r="543" spans="1:10" ht="15">
      <c r="A543" s="137" t="str">
        <f>D543&amp;E543&amp;F543</f>
        <v>SGECUOTAS Y SUSCRIPCIONESCHATGPT</v>
      </c>
      <c r="B543" t="s">
        <v>2565</v>
      </c>
      <c r="C543" s="1">
        <v>45987</v>
      </c>
      <c r="D543" t="s">
        <v>39</v>
      </c>
      <c r="E543" t="s">
        <v>51</v>
      </c>
      <c r="F543" t="s">
        <v>59</v>
      </c>
      <c r="H543" s="220" t="s">
        <v>4492</v>
      </c>
      <c r="I543" s="442"/>
      <c r="J543" s="392">
        <v>190.58</v>
      </c>
    </row>
    <row r="544" spans="1:10" ht="15">
      <c r="A544" s="137" t="str">
        <f>D544&amp;E544&amp;F544</f>
        <v>SERVICIOSCUOTAS Y SUSCRIPCIONESAPP</v>
      </c>
      <c r="B544" t="s">
        <v>2565</v>
      </c>
      <c r="C544" s="1">
        <v>45987</v>
      </c>
      <c r="D544" t="s">
        <v>21</v>
      </c>
      <c r="E544" t="s">
        <v>51</v>
      </c>
      <c r="F544" t="s">
        <v>70</v>
      </c>
      <c r="H544" s="220" t="s">
        <v>4658</v>
      </c>
      <c r="I544" s="442"/>
      <c r="J544" s="392">
        <v>816.81</v>
      </c>
    </row>
    <row r="545" spans="1:10" ht="15">
      <c r="A545" s="137" t="str">
        <f>D545&amp;E545&amp;F545</f>
        <v>SGECUOTAS Y SUSCRIPCIONESCHATGPT</v>
      </c>
      <c r="B545" t="s">
        <v>2565</v>
      </c>
      <c r="C545" s="1">
        <v>45987</v>
      </c>
      <c r="D545" t="s">
        <v>39</v>
      </c>
      <c r="E545" t="s">
        <v>51</v>
      </c>
      <c r="F545" t="s">
        <v>59</v>
      </c>
      <c r="H545" s="220" t="s">
        <v>4492</v>
      </c>
      <c r="I545" s="442"/>
      <c r="J545" s="392">
        <v>377.83</v>
      </c>
    </row>
    <row r="546" spans="1:10" ht="15">
      <c r="A546" s="137" t="str">
        <f>D546&amp;E546&amp;F546</f>
        <v>SERVICIOSCUOTAS Y SUSCRIPCIONESAPP</v>
      </c>
      <c r="B546" t="s">
        <v>2565</v>
      </c>
      <c r="C546" s="1">
        <v>45987</v>
      </c>
      <c r="D546" t="s">
        <v>21</v>
      </c>
      <c r="E546" t="s">
        <v>51</v>
      </c>
      <c r="F546" t="s">
        <v>70</v>
      </c>
      <c r="H546" s="220" t="s">
        <v>4658</v>
      </c>
      <c r="I546" s="442"/>
      <c r="J546" s="392">
        <v>17504.78</v>
      </c>
    </row>
    <row r="547" spans="1:10" ht="15">
      <c r="A547" s="137" t="str">
        <f>D547&amp;E547&amp;F547</f>
        <v>SGECUOTAS Y SUSCRIPCIONESCHATGPT</v>
      </c>
      <c r="B547" t="s">
        <v>2565</v>
      </c>
      <c r="C547" s="1">
        <v>45987</v>
      </c>
      <c r="D547" t="s">
        <v>39</v>
      </c>
      <c r="E547" t="s">
        <v>51</v>
      </c>
      <c r="F547" t="s">
        <v>59</v>
      </c>
      <c r="H547" s="220" t="s">
        <v>4492</v>
      </c>
      <c r="I547" s="442"/>
      <c r="J547" s="392">
        <v>18.309999999999999</v>
      </c>
    </row>
    <row r="548" spans="1:10" ht="15">
      <c r="A548" s="137" t="str">
        <f>D548&amp;E548&amp;F548</f>
        <v>FINANZASRENTASCONTABILIDAD (WT)</v>
      </c>
      <c r="B548" t="s">
        <v>2565</v>
      </c>
      <c r="C548" s="1">
        <v>45987</v>
      </c>
      <c r="D548" t="s">
        <v>23</v>
      </c>
      <c r="E548" t="s">
        <v>169</v>
      </c>
      <c r="F548" t="s">
        <v>171</v>
      </c>
      <c r="H548" s="220" t="s">
        <v>4449</v>
      </c>
      <c r="I548" s="442"/>
      <c r="J548" s="392">
        <v>2237.37</v>
      </c>
    </row>
    <row r="549" spans="1:10" ht="15">
      <c r="A549" s="137" t="str">
        <f>D549&amp;E549&amp;F549</f>
        <v>SGECUOTAS Y SUSCRIPCIONESCHATGPT</v>
      </c>
      <c r="B549" t="s">
        <v>2565</v>
      </c>
      <c r="C549" s="1">
        <v>45987</v>
      </c>
      <c r="D549" t="s">
        <v>39</v>
      </c>
      <c r="E549" t="s">
        <v>51</v>
      </c>
      <c r="F549" t="s">
        <v>59</v>
      </c>
      <c r="H549" s="220" t="s">
        <v>4492</v>
      </c>
      <c r="I549" s="442"/>
      <c r="J549" s="392">
        <v>379.65</v>
      </c>
    </row>
    <row r="550" spans="1:10" ht="15">
      <c r="A550" s="137" t="str">
        <f>D550&amp;E550&amp;F550</f>
        <v>SGECUOTAS Y SUSCRIPCIONESCHATGPT</v>
      </c>
      <c r="B550" t="s">
        <v>2565</v>
      </c>
      <c r="C550" s="1">
        <v>45987</v>
      </c>
      <c r="D550" t="s">
        <v>39</v>
      </c>
      <c r="E550" t="s">
        <v>51</v>
      </c>
      <c r="F550" t="s">
        <v>59</v>
      </c>
      <c r="H550" s="220" t="s">
        <v>4492</v>
      </c>
      <c r="I550" s="442"/>
      <c r="J550" s="392">
        <v>847.93</v>
      </c>
    </row>
    <row r="551" spans="1:10" ht="15">
      <c r="A551" s="137" t="str">
        <f>D551&amp;E551&amp;F551</f>
        <v>SGECUOTAS Y SUSCRIPCIONESOFFICE 365(C1)</v>
      </c>
      <c r="B551" t="s">
        <v>2565</v>
      </c>
      <c r="C551" s="1">
        <v>45987</v>
      </c>
      <c r="D551" t="s">
        <v>39</v>
      </c>
      <c r="E551" t="s">
        <v>51</v>
      </c>
      <c r="F551" s="158" t="s">
        <v>53</v>
      </c>
      <c r="H551" s="220" t="s">
        <v>4443</v>
      </c>
      <c r="I551" s="442"/>
      <c r="J551" s="392">
        <v>189.08</v>
      </c>
    </row>
    <row r="552" spans="1:10" ht="15">
      <c r="A552" s="137" t="str">
        <f>D552&amp;E552&amp;F552</f>
        <v>SGECUOTAS Y SUSCRIPCIONESZOOM</v>
      </c>
      <c r="B552" t="s">
        <v>2565</v>
      </c>
      <c r="C552" s="1">
        <v>45987</v>
      </c>
      <c r="D552" t="s">
        <v>39</v>
      </c>
      <c r="E552" t="s">
        <v>51</v>
      </c>
      <c r="F552" t="s">
        <v>56</v>
      </c>
      <c r="H552" s="220" t="s">
        <v>4447</v>
      </c>
      <c r="I552" s="442"/>
      <c r="J552" s="392">
        <v>1892.42</v>
      </c>
    </row>
    <row r="553" spans="1:10" ht="15">
      <c r="A553" s="137" t="str">
        <f t="shared" ref="A553:A580" si="16">D553&amp;E553&amp;F553</f>
        <v>HRREDESHR</v>
      </c>
      <c r="B553" t="s">
        <v>2821</v>
      </c>
      <c r="C553" s="1">
        <v>45999</v>
      </c>
      <c r="D553" t="s">
        <v>29</v>
      </c>
      <c r="E553" t="s">
        <v>167</v>
      </c>
      <c r="F553" t="s">
        <v>29</v>
      </c>
      <c r="H553" s="390" t="s">
        <v>4442</v>
      </c>
      <c r="J553" s="443">
        <v>239</v>
      </c>
    </row>
    <row r="554" spans="1:10" ht="15">
      <c r="A554" s="137" t="str">
        <f t="shared" si="16"/>
        <v>HRREDESHR</v>
      </c>
      <c r="B554" t="s">
        <v>2821</v>
      </c>
      <c r="C554" s="1">
        <f>C553</f>
        <v>45999</v>
      </c>
      <c r="D554" t="s">
        <v>29</v>
      </c>
      <c r="E554" t="s">
        <v>167</v>
      </c>
      <c r="F554" t="s">
        <v>29</v>
      </c>
      <c r="H554" s="390" t="s">
        <v>4442</v>
      </c>
      <c r="J554" s="443">
        <v>239</v>
      </c>
    </row>
    <row r="555" spans="1:10" ht="15">
      <c r="A555" s="137" t="str">
        <f t="shared" si="16"/>
        <v>HRREDESHR</v>
      </c>
      <c r="B555" t="s">
        <v>2821</v>
      </c>
      <c r="C555" s="1">
        <f>C554</f>
        <v>45999</v>
      </c>
      <c r="D555" t="s">
        <v>29</v>
      </c>
      <c r="E555" t="s">
        <v>167</v>
      </c>
      <c r="F555" t="s">
        <v>29</v>
      </c>
      <c r="H555" s="390" t="s">
        <v>4442</v>
      </c>
      <c r="J555" s="443">
        <v>239</v>
      </c>
    </row>
    <row r="556" spans="1:10" ht="15">
      <c r="A556" s="137" t="str">
        <f t="shared" si="16"/>
        <v>SGECUOTAS Y SUSCRIPCIONESMIDJOURNEY APP</v>
      </c>
      <c r="B556" t="s">
        <v>2821</v>
      </c>
      <c r="C556" s="1">
        <f>C555</f>
        <v>45999</v>
      </c>
      <c r="D556" t="s">
        <v>39</v>
      </c>
      <c r="E556" t="s">
        <v>51</v>
      </c>
      <c r="F556" t="s">
        <v>84</v>
      </c>
      <c r="H556" s="220" t="s">
        <v>4659</v>
      </c>
      <c r="J556" s="443">
        <v>225.84</v>
      </c>
    </row>
    <row r="557" spans="1:10" ht="15">
      <c r="A557" s="137" t="str">
        <f t="shared" si="16"/>
        <v>SERVICIOSMTTO MOBILIARIOREPARACION</v>
      </c>
      <c r="B557" t="s">
        <v>2821</v>
      </c>
      <c r="C557" s="1">
        <f>C556</f>
        <v>45999</v>
      </c>
      <c r="D557" t="s">
        <v>21</v>
      </c>
      <c r="E557" t="s">
        <v>145</v>
      </c>
      <c r="F557" t="s">
        <v>146</v>
      </c>
      <c r="H557" s="220" t="s">
        <v>4660</v>
      </c>
      <c r="J557" s="443">
        <v>18474.400000000001</v>
      </c>
    </row>
    <row r="558" spans="1:10" ht="15">
      <c r="A558" s="137" t="str">
        <f t="shared" si="16"/>
        <v>SERVICIOSCOMBUSTIBLESERVICIOS</v>
      </c>
      <c r="B558" t="s">
        <v>2821</v>
      </c>
      <c r="C558" s="1">
        <f>C557</f>
        <v>45999</v>
      </c>
      <c r="D558" t="s">
        <v>21</v>
      </c>
      <c r="E558" t="s">
        <v>32</v>
      </c>
      <c r="F558" t="s">
        <v>21</v>
      </c>
      <c r="H558" s="220" t="s">
        <v>4661</v>
      </c>
      <c r="J558" s="443">
        <v>6000</v>
      </c>
    </row>
    <row r="559" spans="1:10" ht="15">
      <c r="A559" s="137" t="str">
        <f t="shared" si="16"/>
        <v>SERVICIOSCOMBUSTIBLESERVICIOS</v>
      </c>
      <c r="B559" t="s">
        <v>2821</v>
      </c>
      <c r="C559" s="1">
        <f>C558</f>
        <v>45999</v>
      </c>
      <c r="D559" t="s">
        <v>21</v>
      </c>
      <c r="E559" t="s">
        <v>32</v>
      </c>
      <c r="F559" t="s">
        <v>21</v>
      </c>
      <c r="H559" s="220" t="s">
        <v>4662</v>
      </c>
      <c r="J559" s="443">
        <v>4000</v>
      </c>
    </row>
    <row r="560" spans="1:10" ht="15">
      <c r="A560" s="137" t="str">
        <f t="shared" si="16"/>
        <v>SERVICIOSMTTO MOBILIARIOREPARACION</v>
      </c>
      <c r="B560" t="s">
        <v>2821</v>
      </c>
      <c r="C560" s="1">
        <f>C559</f>
        <v>45999</v>
      </c>
      <c r="D560" t="s">
        <v>21</v>
      </c>
      <c r="E560" t="s">
        <v>145</v>
      </c>
      <c r="F560" t="s">
        <v>146</v>
      </c>
      <c r="H560" s="220" t="s">
        <v>4660</v>
      </c>
      <c r="J560" s="443">
        <v>25402.3</v>
      </c>
    </row>
    <row r="561" spans="1:10" ht="15">
      <c r="A561" s="137" t="str">
        <f t="shared" si="16"/>
        <v>SERVICIOSCOMBUSTIBLESERVICIOS</v>
      </c>
      <c r="B561" t="s">
        <v>2821</v>
      </c>
      <c r="C561" s="1">
        <f>C560</f>
        <v>45999</v>
      </c>
      <c r="D561" t="s">
        <v>21</v>
      </c>
      <c r="E561" t="s">
        <v>32</v>
      </c>
      <c r="F561" t="s">
        <v>21</v>
      </c>
      <c r="H561" s="220" t="s">
        <v>4662</v>
      </c>
      <c r="J561" s="392">
        <v>500</v>
      </c>
    </row>
    <row r="562" spans="1:10" ht="15">
      <c r="A562" s="137" t="str">
        <f t="shared" si="16"/>
        <v>SGECUOTAS Y SUSCRIPCIONESWORKFORCE</v>
      </c>
      <c r="B562" t="s">
        <v>2821</v>
      </c>
      <c r="C562" s="1">
        <f>C561</f>
        <v>45999</v>
      </c>
      <c r="D562" t="s">
        <v>39</v>
      </c>
      <c r="E562" t="s">
        <v>51</v>
      </c>
      <c r="F562" t="s">
        <v>79</v>
      </c>
      <c r="H562" s="220" t="s">
        <v>4470</v>
      </c>
      <c r="J562" s="392">
        <v>34537.56</v>
      </c>
    </row>
    <row r="563" spans="1:10" ht="15">
      <c r="A563" s="137" t="str">
        <f t="shared" si="16"/>
        <v>SGECUOTAS Y SUSCRIPCIONESWORKFORCE</v>
      </c>
      <c r="B563" t="s">
        <v>2821</v>
      </c>
      <c r="C563" s="1">
        <f>C562</f>
        <v>45999</v>
      </c>
      <c r="D563" t="s">
        <v>39</v>
      </c>
      <c r="E563" t="s">
        <v>51</v>
      </c>
      <c r="F563" t="s">
        <v>79</v>
      </c>
      <c r="H563" s="220" t="s">
        <v>4470</v>
      </c>
      <c r="J563" s="392">
        <v>23025.040000000001</v>
      </c>
    </row>
    <row r="564" spans="1:10" ht="15">
      <c r="A564" s="137" t="str">
        <f t="shared" si="16"/>
        <v>SERVICIOSCOMBUSTIBLESERVICIOS</v>
      </c>
      <c r="B564" t="s">
        <v>2821</v>
      </c>
      <c r="C564" s="1">
        <f>C563</f>
        <v>45999</v>
      </c>
      <c r="D564" t="s">
        <v>21</v>
      </c>
      <c r="E564" t="s">
        <v>32</v>
      </c>
      <c r="F564" t="s">
        <v>21</v>
      </c>
      <c r="H564" s="220" t="s">
        <v>4663</v>
      </c>
      <c r="J564" s="392">
        <v>2500</v>
      </c>
    </row>
    <row r="565" spans="1:10" ht="15">
      <c r="A565" s="137" t="str">
        <f t="shared" si="16"/>
        <v>SERVICIOSINSUMOSCOFFE</v>
      </c>
      <c r="B565" t="s">
        <v>2821</v>
      </c>
      <c r="C565" s="1">
        <f>C564</f>
        <v>45999</v>
      </c>
      <c r="D565" t="s">
        <v>21</v>
      </c>
      <c r="E565" t="s">
        <v>133</v>
      </c>
      <c r="F565" t="s">
        <v>135</v>
      </c>
      <c r="H565" s="220" t="s">
        <v>4664</v>
      </c>
      <c r="J565" s="392">
        <v>897.48</v>
      </c>
    </row>
    <row r="566" spans="1:10" ht="15">
      <c r="A566" s="137" t="str">
        <f t="shared" si="16"/>
        <v>SERVICIOSINSUMOSCOFFE</v>
      </c>
      <c r="B566" t="s">
        <v>2821</v>
      </c>
      <c r="C566" s="1">
        <f>C565</f>
        <v>45999</v>
      </c>
      <c r="D566" t="s">
        <v>21</v>
      </c>
      <c r="E566" t="s">
        <v>133</v>
      </c>
      <c r="F566" t="s">
        <v>135</v>
      </c>
      <c r="H566" s="220" t="s">
        <v>4664</v>
      </c>
      <c r="J566" s="392">
        <v>102.3</v>
      </c>
    </row>
    <row r="567" spans="1:10" ht="15">
      <c r="A567" s="137" t="str">
        <f t="shared" si="16"/>
        <v>SERVICIOSINSUMOSCOFFE</v>
      </c>
      <c r="B567" t="s">
        <v>2821</v>
      </c>
      <c r="C567" s="1">
        <f>C566</f>
        <v>45999</v>
      </c>
      <c r="D567" t="s">
        <v>21</v>
      </c>
      <c r="E567" t="s">
        <v>133</v>
      </c>
      <c r="F567" t="s">
        <v>135</v>
      </c>
      <c r="H567" s="220" t="s">
        <v>4665</v>
      </c>
      <c r="J567" s="392">
        <v>906.79</v>
      </c>
    </row>
    <row r="568" spans="1:10" ht="15">
      <c r="A568" s="137" t="str">
        <f t="shared" si="16"/>
        <v>SERVICIOSVIATICOSSISTEMAS</v>
      </c>
      <c r="B568" t="s">
        <v>2821</v>
      </c>
      <c r="C568" s="1">
        <f>C567</f>
        <v>45999</v>
      </c>
      <c r="D568" t="s">
        <v>21</v>
      </c>
      <c r="E568" t="s">
        <v>191</v>
      </c>
      <c r="F568" t="s">
        <v>36</v>
      </c>
      <c r="H568" s="220" t="s">
        <v>4666</v>
      </c>
      <c r="J568" s="392">
        <v>1556.7739999999999</v>
      </c>
    </row>
    <row r="569" spans="1:10" ht="15">
      <c r="A569" s="137" t="str">
        <f t="shared" si="16"/>
        <v>SERVICIOSMTTO DE EDIFICIOMANTENIMIENTO</v>
      </c>
      <c r="B569" t="s">
        <v>2821</v>
      </c>
      <c r="C569" s="1">
        <f>C568</f>
        <v>45999</v>
      </c>
      <c r="D569" t="s">
        <v>21</v>
      </c>
      <c r="E569" t="s">
        <v>142</v>
      </c>
      <c r="F569" t="s">
        <v>35</v>
      </c>
      <c r="H569" s="220" t="s">
        <v>4667</v>
      </c>
      <c r="J569" s="392">
        <v>6493.4</v>
      </c>
    </row>
    <row r="570" spans="1:10" ht="15">
      <c r="A570" s="137" t="str">
        <f t="shared" si="16"/>
        <v>SGECUOTAS Y SUSCRIPCIONESCHATGPT</v>
      </c>
      <c r="B570" t="s">
        <v>2821</v>
      </c>
      <c r="C570" s="1">
        <f>C569</f>
        <v>45999</v>
      </c>
      <c r="D570" t="s">
        <v>39</v>
      </c>
      <c r="E570" t="s">
        <v>51</v>
      </c>
      <c r="F570" t="s">
        <v>59</v>
      </c>
      <c r="H570" s="220" t="s">
        <v>4427</v>
      </c>
      <c r="J570" s="392">
        <v>387.32</v>
      </c>
    </row>
    <row r="571" spans="1:10" ht="15">
      <c r="A571" s="137" t="str">
        <f t="shared" si="16"/>
        <v>SERVICIOSMTTO DE EDIFICIOMANTENIMIENTO</v>
      </c>
      <c r="B571" t="s">
        <v>2821</v>
      </c>
      <c r="C571" s="1">
        <f>C570</f>
        <v>45999</v>
      </c>
      <c r="D571" t="s">
        <v>21</v>
      </c>
      <c r="E571" t="s">
        <v>142</v>
      </c>
      <c r="F571" t="s">
        <v>35</v>
      </c>
      <c r="H571" s="220" t="s">
        <v>4668</v>
      </c>
      <c r="J571" s="392">
        <v>6436.49</v>
      </c>
    </row>
    <row r="572" spans="1:10" ht="15">
      <c r="A572" s="137" t="str">
        <f t="shared" si="16"/>
        <v>SERVICIOSCUOTAS Y SUSCRIPCIONESAPP</v>
      </c>
      <c r="B572" t="s">
        <v>2821</v>
      </c>
      <c r="C572" s="1">
        <f>C571</f>
        <v>45999</v>
      </c>
      <c r="D572" t="s">
        <v>21</v>
      </c>
      <c r="E572" t="s">
        <v>51</v>
      </c>
      <c r="F572" t="s">
        <v>70</v>
      </c>
      <c r="H572" s="220" t="s">
        <v>4485</v>
      </c>
      <c r="J572" s="392">
        <v>149</v>
      </c>
    </row>
    <row r="573" spans="1:10" ht="15">
      <c r="A573" s="137" t="str">
        <f t="shared" si="16"/>
        <v>SERVICIOSINSUMOSCOFFE</v>
      </c>
      <c r="B573" t="s">
        <v>2821</v>
      </c>
      <c r="C573" s="1">
        <f>C572</f>
        <v>45999</v>
      </c>
      <c r="D573" t="s">
        <v>21</v>
      </c>
      <c r="E573" t="s">
        <v>133</v>
      </c>
      <c r="F573" t="s">
        <v>135</v>
      </c>
      <c r="H573" s="220" t="s">
        <v>4665</v>
      </c>
      <c r="J573" s="392">
        <v>1878.27</v>
      </c>
    </row>
    <row r="574" spans="1:10" ht="15">
      <c r="A574" s="137" t="str">
        <f t="shared" si="16"/>
        <v>SERVICIOSVIATICOSSISTEMAS</v>
      </c>
      <c r="B574" t="s">
        <v>2821</v>
      </c>
      <c r="C574" s="1">
        <f>C573</f>
        <v>45999</v>
      </c>
      <c r="D574" t="s">
        <v>21</v>
      </c>
      <c r="E574" t="s">
        <v>191</v>
      </c>
      <c r="F574" t="s">
        <v>36</v>
      </c>
      <c r="H574" s="220" t="s">
        <v>4669</v>
      </c>
      <c r="J574" s="392">
        <v>1419</v>
      </c>
    </row>
    <row r="575" spans="1:10" ht="15">
      <c r="A575" s="137" t="str">
        <f t="shared" si="16"/>
        <v>SERVICIOSMTTO EQ DE TRANSPORTECEDIS</v>
      </c>
      <c r="B575" t="s">
        <v>2821</v>
      </c>
      <c r="C575" s="1">
        <f>C574</f>
        <v>45999</v>
      </c>
      <c r="D575" t="s">
        <v>21</v>
      </c>
      <c r="E575" t="s">
        <v>144</v>
      </c>
      <c r="F575" t="s">
        <v>28</v>
      </c>
      <c r="H575" s="220" t="s">
        <v>4670</v>
      </c>
      <c r="J575" s="392">
        <v>32836.410000000003</v>
      </c>
    </row>
    <row r="576" spans="1:10" ht="15">
      <c r="A576" s="137" t="str">
        <f>D576&amp;E576&amp;F576</f>
        <v>SERVICIOSMTTO EQ DE TRANSPORTECEDIS</v>
      </c>
      <c r="B576" s="502" t="s">
        <v>2821</v>
      </c>
      <c r="C576" s="503">
        <v>46000</v>
      </c>
      <c r="D576" t="s">
        <v>21</v>
      </c>
      <c r="E576" t="s">
        <v>144</v>
      </c>
      <c r="F576" t="s">
        <v>28</v>
      </c>
      <c r="H576" s="304" t="s">
        <v>4671</v>
      </c>
      <c r="J576" s="81">
        <v>3130.03</v>
      </c>
    </row>
    <row r="577" spans="1:10" ht="15">
      <c r="A577" s="137" t="str">
        <f t="shared" si="16"/>
        <v>MKTCUOTAS Y SUSCRIPCIONESAPP</v>
      </c>
      <c r="B577" t="s">
        <v>2821</v>
      </c>
      <c r="C577" s="1">
        <v>46000</v>
      </c>
      <c r="D577" t="s">
        <v>19</v>
      </c>
      <c r="E577" t="s">
        <v>51</v>
      </c>
      <c r="F577" t="s">
        <v>70</v>
      </c>
      <c r="G577" t="s">
        <v>258</v>
      </c>
      <c r="H577" s="304" t="s">
        <v>4672</v>
      </c>
      <c r="J577" s="81">
        <v>900</v>
      </c>
    </row>
    <row r="578" spans="1:10" ht="15">
      <c r="A578" s="137" t="str">
        <f t="shared" si="16"/>
        <v>MKTCUOTAS Y SUSCRIPCIONESAPP</v>
      </c>
      <c r="B578" t="s">
        <v>2821</v>
      </c>
      <c r="C578" s="1">
        <v>46017</v>
      </c>
      <c r="D578" t="s">
        <v>19</v>
      </c>
      <c r="E578" t="s">
        <v>51</v>
      </c>
      <c r="F578" t="s">
        <v>70</v>
      </c>
      <c r="G578" t="s">
        <v>258</v>
      </c>
      <c r="H578" t="s">
        <v>4673</v>
      </c>
      <c r="J578" s="81">
        <v>499.29</v>
      </c>
    </row>
    <row r="579" spans="1:10" ht="15">
      <c r="A579" s="137" t="str">
        <f t="shared" si="16"/>
        <v>SERVICIOSMTTO DE EDIFICIOMANTENIMIENTO</v>
      </c>
      <c r="B579" t="s">
        <v>2821</v>
      </c>
      <c r="C579" s="1">
        <v>46017</v>
      </c>
      <c r="D579" t="s">
        <v>21</v>
      </c>
      <c r="E579" t="s">
        <v>142</v>
      </c>
      <c r="F579" t="s">
        <v>35</v>
      </c>
      <c r="H579" t="s">
        <v>4574</v>
      </c>
      <c r="J579" s="81">
        <v>4403.95</v>
      </c>
    </row>
    <row r="580" spans="1:10" ht="15">
      <c r="A580" s="137" t="str">
        <f t="shared" si="16"/>
        <v>CAPREDESCAPRICHOS</v>
      </c>
      <c r="B580" t="s">
        <v>2821</v>
      </c>
      <c r="C580" s="1">
        <v>46017</v>
      </c>
      <c r="D580" t="s">
        <v>31</v>
      </c>
      <c r="E580" t="s">
        <v>167</v>
      </c>
      <c r="F580" s="229" t="s">
        <v>33</v>
      </c>
      <c r="H580" s="89" t="s">
        <v>4674</v>
      </c>
      <c r="J580" s="81">
        <v>4303.3999999999996</v>
      </c>
    </row>
    <row r="581" spans="1:10" ht="15">
      <c r="A581" s="137" t="str">
        <f t="shared" ref="A581:A583" si="17">D581&amp;E581&amp;F581</f>
        <v>MELREDESMELISSA</v>
      </c>
      <c r="B581" t="s">
        <v>2821</v>
      </c>
      <c r="C581" s="1">
        <v>46017</v>
      </c>
      <c r="D581" t="s">
        <v>43</v>
      </c>
      <c r="E581" t="s">
        <v>167</v>
      </c>
      <c r="F581" s="229" t="s">
        <v>44</v>
      </c>
      <c r="H581" s="89" t="s">
        <v>4675</v>
      </c>
      <c r="J581" s="81">
        <v>1618.95</v>
      </c>
    </row>
    <row r="582" spans="1:10" ht="15">
      <c r="A582" s="137" t="str">
        <f t="shared" si="17"/>
        <v>MMREDESMARKET MAX</v>
      </c>
      <c r="B582" t="s">
        <v>2821</v>
      </c>
      <c r="C582" s="1">
        <v>46017</v>
      </c>
      <c r="D582" t="s">
        <v>45</v>
      </c>
      <c r="E582" t="s">
        <v>167</v>
      </c>
      <c r="F582" s="229" t="s">
        <v>46</v>
      </c>
      <c r="H582" s="89" t="s">
        <v>4676</v>
      </c>
      <c r="J582" s="81">
        <v>2437.1999999999998</v>
      </c>
    </row>
    <row r="583" spans="1:10" ht="15">
      <c r="A583" s="137" t="str">
        <f t="shared" si="17"/>
        <v>HRREDESHR</v>
      </c>
      <c r="B583" t="s">
        <v>2821</v>
      </c>
      <c r="C583" s="1">
        <v>46017</v>
      </c>
      <c r="D583" t="s">
        <v>29</v>
      </c>
      <c r="E583" t="s">
        <v>167</v>
      </c>
      <c r="F583" s="229" t="s">
        <v>29</v>
      </c>
      <c r="H583" s="89" t="s">
        <v>4677</v>
      </c>
      <c r="J583" s="81">
        <v>2895.08</v>
      </c>
    </row>
    <row r="584" spans="1:10" ht="15">
      <c r="A584" s="137" t="str">
        <f t="shared" ref="A584:A607" si="18">D584&amp;E584&amp;F584</f>
        <v>SERVICIOSVIATICOSASESORES</v>
      </c>
      <c r="B584" t="s">
        <v>2821</v>
      </c>
      <c r="C584" s="1">
        <v>46017</v>
      </c>
      <c r="D584" t="s">
        <v>21</v>
      </c>
      <c r="E584" t="s">
        <v>191</v>
      </c>
      <c r="F584" t="s">
        <v>192</v>
      </c>
      <c r="H584" t="s">
        <v>4678</v>
      </c>
      <c r="J584" s="81">
        <v>1384</v>
      </c>
    </row>
    <row r="585" spans="1:10" ht="15">
      <c r="A585" s="137" t="str">
        <f t="shared" si="18"/>
        <v>SERVICIOSVIATICOSASESORES</v>
      </c>
      <c r="B585" t="s">
        <v>2821</v>
      </c>
      <c r="C585" s="1">
        <v>46017</v>
      </c>
      <c r="D585" t="s">
        <v>21</v>
      </c>
      <c r="E585" t="s">
        <v>191</v>
      </c>
      <c r="F585" t="s">
        <v>192</v>
      </c>
      <c r="H585" t="s">
        <v>4678</v>
      </c>
      <c r="J585" s="81">
        <v>224</v>
      </c>
    </row>
    <row r="586" spans="1:10" ht="15">
      <c r="A586" s="137" t="str">
        <f t="shared" si="18"/>
        <v xml:space="preserve">ELIREDESELILU  </v>
      </c>
      <c r="B586" t="s">
        <v>2821</v>
      </c>
      <c r="C586" s="1">
        <v>46017</v>
      </c>
      <c r="D586" t="s">
        <v>130</v>
      </c>
      <c r="E586" t="s">
        <v>167</v>
      </c>
      <c r="F586" s="229" t="s">
        <v>4679</v>
      </c>
      <c r="H586" s="89" t="s">
        <v>4680</v>
      </c>
      <c r="J586" s="81">
        <v>3127</v>
      </c>
    </row>
    <row r="587" spans="1:10" ht="15">
      <c r="A587" s="137" t="str">
        <f t="shared" si="18"/>
        <v>FINANZASTELEFONIATELCEL</v>
      </c>
      <c r="B587" t="s">
        <v>2821</v>
      </c>
      <c r="C587" s="1">
        <v>46017</v>
      </c>
      <c r="D587" t="s">
        <v>23</v>
      </c>
      <c r="E587" t="s">
        <v>181</v>
      </c>
      <c r="F587" t="s">
        <v>183</v>
      </c>
      <c r="H587" t="s">
        <v>4681</v>
      </c>
      <c r="J587" s="81">
        <v>83000</v>
      </c>
    </row>
    <row r="588" spans="1:10" ht="15">
      <c r="A588" s="137" t="str">
        <f t="shared" si="18"/>
        <v>FINANZASTELEFONIATELCEL</v>
      </c>
      <c r="B588" t="s">
        <v>2821</v>
      </c>
      <c r="C588" s="1">
        <v>46017</v>
      </c>
      <c r="D588" t="s">
        <v>23</v>
      </c>
      <c r="E588" t="s">
        <v>181</v>
      </c>
      <c r="F588" t="s">
        <v>183</v>
      </c>
      <c r="H588" t="s">
        <v>4681</v>
      </c>
      <c r="J588" s="81">
        <v>46000</v>
      </c>
    </row>
    <row r="589" spans="1:10" ht="15">
      <c r="A589" s="137" t="str">
        <f t="shared" si="18"/>
        <v>FINANZASTELEFONIATELCEL</v>
      </c>
      <c r="B589" t="s">
        <v>2821</v>
      </c>
      <c r="C589" s="1">
        <v>46017</v>
      </c>
      <c r="D589" t="s">
        <v>23</v>
      </c>
      <c r="E589" t="s">
        <v>181</v>
      </c>
      <c r="F589" t="s">
        <v>183</v>
      </c>
      <c r="H589" t="s">
        <v>4681</v>
      </c>
      <c r="J589" s="81">
        <v>20000</v>
      </c>
    </row>
    <row r="590" spans="1:10" ht="15">
      <c r="A590" s="137" t="str">
        <f t="shared" si="18"/>
        <v>FINANZASTELEFONIATELCEL</v>
      </c>
      <c r="B590" t="s">
        <v>2821</v>
      </c>
      <c r="C590" s="1">
        <v>46017</v>
      </c>
      <c r="D590" t="s">
        <v>23</v>
      </c>
      <c r="E590" t="s">
        <v>181</v>
      </c>
      <c r="F590" t="s">
        <v>183</v>
      </c>
      <c r="H590" t="s">
        <v>4681</v>
      </c>
      <c r="J590" s="81">
        <v>80000</v>
      </c>
    </row>
    <row r="591" spans="1:10" ht="15">
      <c r="A591" s="137" t="str">
        <f>D591&amp;E591&amp;F591</f>
        <v>FINANZASPOSADASPOSADAS</v>
      </c>
      <c r="B591" t="s">
        <v>2821</v>
      </c>
      <c r="C591" s="1">
        <v>46017</v>
      </c>
      <c r="D591" s="242" t="s">
        <v>23</v>
      </c>
      <c r="E591" s="71" t="s">
        <v>163</v>
      </c>
      <c r="F591" s="71" t="s">
        <v>163</v>
      </c>
      <c r="H591" t="s">
        <v>4682</v>
      </c>
      <c r="J591" s="81">
        <v>46028.87</v>
      </c>
    </row>
    <row r="592" spans="1:10" ht="15">
      <c r="A592" s="137" t="str">
        <f>D592&amp;E592&amp;F592</f>
        <v>FINANZASPOSADASPOSADAS</v>
      </c>
      <c r="B592" t="s">
        <v>2821</v>
      </c>
      <c r="C592" s="1">
        <v>46017</v>
      </c>
      <c r="D592" s="242" t="s">
        <v>23</v>
      </c>
      <c r="E592" s="71" t="s">
        <v>163</v>
      </c>
      <c r="F592" s="71" t="s">
        <v>163</v>
      </c>
      <c r="H592" t="s">
        <v>4682</v>
      </c>
      <c r="J592" s="81">
        <v>41494.94</v>
      </c>
    </row>
    <row r="593" spans="1:10" ht="15">
      <c r="A593" s="137" t="str">
        <f t="shared" si="18"/>
        <v>FINANZASPOSADASPOSADAS</v>
      </c>
      <c r="B593" t="s">
        <v>2821</v>
      </c>
      <c r="C593" s="1">
        <v>46017</v>
      </c>
      <c r="D593" s="242" t="s">
        <v>23</v>
      </c>
      <c r="E593" s="71" t="s">
        <v>163</v>
      </c>
      <c r="F593" s="71" t="s">
        <v>163</v>
      </c>
      <c r="H593" t="s">
        <v>4682</v>
      </c>
      <c r="J593" s="81">
        <v>21201.72</v>
      </c>
    </row>
    <row r="594" spans="1:10" ht="15">
      <c r="A594" s="137" t="str">
        <f>D594&amp;E594&amp;F594</f>
        <v>FINANZASPOSADASPOSADAS</v>
      </c>
      <c r="B594" t="s">
        <v>2821</v>
      </c>
      <c r="C594" s="1">
        <v>46017</v>
      </c>
      <c r="D594" s="242" t="s">
        <v>23</v>
      </c>
      <c r="E594" s="71" t="s">
        <v>163</v>
      </c>
      <c r="F594" s="71" t="s">
        <v>163</v>
      </c>
      <c r="H594" t="s">
        <v>4683</v>
      </c>
      <c r="J594" s="81">
        <v>5090.91</v>
      </c>
    </row>
    <row r="595" spans="1:10" ht="15">
      <c r="A595" s="137" t="str">
        <f t="shared" si="18"/>
        <v>FINANZASPOSADASPOSADAS</v>
      </c>
      <c r="B595" t="s">
        <v>2821</v>
      </c>
      <c r="C595" s="1">
        <v>46017</v>
      </c>
      <c r="D595" s="242" t="s">
        <v>23</v>
      </c>
      <c r="E595" s="71" t="s">
        <v>163</v>
      </c>
      <c r="F595" s="71" t="s">
        <v>163</v>
      </c>
      <c r="H595" t="s">
        <v>4683</v>
      </c>
      <c r="J595" s="81">
        <v>720</v>
      </c>
    </row>
    <row r="596" spans="1:10" ht="15">
      <c r="A596" s="137" t="str">
        <f t="shared" si="18"/>
        <v>FINANZASPOSADASPOSADAS</v>
      </c>
      <c r="B596" t="s">
        <v>2821</v>
      </c>
      <c r="C596" s="1">
        <v>46017</v>
      </c>
      <c r="D596" s="242" t="s">
        <v>23</v>
      </c>
      <c r="E596" s="71" t="s">
        <v>163</v>
      </c>
      <c r="F596" s="71" t="s">
        <v>163</v>
      </c>
      <c r="H596" t="s">
        <v>4683</v>
      </c>
      <c r="J596" s="81">
        <v>481.86</v>
      </c>
    </row>
    <row r="597" spans="1:10" ht="15">
      <c r="A597" s="137" t="str">
        <f t="shared" si="18"/>
        <v>FINANZASPOSADASPOSADAS</v>
      </c>
      <c r="B597" t="s">
        <v>2821</v>
      </c>
      <c r="C597" s="1">
        <v>46017</v>
      </c>
      <c r="D597" s="242" t="s">
        <v>23</v>
      </c>
      <c r="E597" s="71" t="s">
        <v>163</v>
      </c>
      <c r="F597" s="71" t="s">
        <v>163</v>
      </c>
      <c r="H597" t="s">
        <v>4683</v>
      </c>
      <c r="J597" s="81">
        <v>3040</v>
      </c>
    </row>
    <row r="598" spans="1:10" ht="15">
      <c r="A598" s="137" t="str">
        <f t="shared" si="18"/>
        <v>FINANZASTELEFONIASTARLINK</v>
      </c>
      <c r="B598" t="s">
        <v>2821</v>
      </c>
      <c r="C598" s="1">
        <v>46017</v>
      </c>
      <c r="D598" t="s">
        <v>23</v>
      </c>
      <c r="E598" t="s">
        <v>181</v>
      </c>
      <c r="F598" t="s">
        <v>184</v>
      </c>
      <c r="H598" t="s">
        <v>4421</v>
      </c>
      <c r="J598" s="81">
        <v>3190</v>
      </c>
    </row>
    <row r="599" spans="1:10" ht="15">
      <c r="A599" s="137" t="str">
        <f t="shared" si="18"/>
        <v xml:space="preserve">ELIREDESELILU  </v>
      </c>
      <c r="B599" t="s">
        <v>2821</v>
      </c>
      <c r="C599" s="1">
        <v>46017</v>
      </c>
      <c r="D599" t="s">
        <v>130</v>
      </c>
      <c r="E599" t="s">
        <v>167</v>
      </c>
      <c r="F599" s="229" t="s">
        <v>4679</v>
      </c>
      <c r="H599" s="89" t="s">
        <v>4684</v>
      </c>
      <c r="J599" s="81">
        <v>298.10000000000002</v>
      </c>
    </row>
    <row r="600" spans="1:10" ht="15">
      <c r="A600" s="137" t="str">
        <f t="shared" si="18"/>
        <v>FINANZASTELEFONIASTARLINK</v>
      </c>
      <c r="B600" t="s">
        <v>2821</v>
      </c>
      <c r="C600" s="1">
        <v>46017</v>
      </c>
      <c r="D600" t="s">
        <v>23</v>
      </c>
      <c r="E600" t="s">
        <v>181</v>
      </c>
      <c r="F600" t="s">
        <v>184</v>
      </c>
      <c r="H600" t="s">
        <v>4421</v>
      </c>
      <c r="J600" s="81">
        <v>6380</v>
      </c>
    </row>
    <row r="601" spans="1:10" ht="15">
      <c r="A601" s="137" t="str">
        <f t="shared" si="18"/>
        <v>FINANZASPOSADASPOSADAS</v>
      </c>
      <c r="B601" t="s">
        <v>2821</v>
      </c>
      <c r="C601" s="1">
        <v>46017</v>
      </c>
      <c r="D601" s="242" t="s">
        <v>23</v>
      </c>
      <c r="E601" s="71" t="s">
        <v>163</v>
      </c>
      <c r="F601" s="71" t="s">
        <v>163</v>
      </c>
      <c r="H601" t="s">
        <v>4682</v>
      </c>
      <c r="J601" s="81">
        <v>10297.49</v>
      </c>
    </row>
    <row r="602" spans="1:10" ht="15">
      <c r="A602" s="137" t="str">
        <f t="shared" si="18"/>
        <v>MKTCUOTAS Y SUSCRIPCIONESAPP</v>
      </c>
      <c r="B602" t="s">
        <v>2821</v>
      </c>
      <c r="C602" s="1">
        <v>46017</v>
      </c>
      <c r="D602" t="s">
        <v>19</v>
      </c>
      <c r="E602" t="s">
        <v>51</v>
      </c>
      <c r="F602" t="s">
        <v>70</v>
      </c>
      <c r="G602" t="s">
        <v>258</v>
      </c>
      <c r="H602" t="s">
        <v>4673</v>
      </c>
      <c r="J602" s="81">
        <v>499.29</v>
      </c>
    </row>
    <row r="603" spans="1:10" ht="15">
      <c r="A603" s="137" t="str">
        <f t="shared" si="18"/>
        <v>MKTCUOTAS Y SUSCRIPCIONESAPP</v>
      </c>
      <c r="B603" t="s">
        <v>2821</v>
      </c>
      <c r="C603" s="1">
        <v>46017</v>
      </c>
      <c r="D603" t="s">
        <v>19</v>
      </c>
      <c r="E603" t="s">
        <v>51</v>
      </c>
      <c r="F603" t="s">
        <v>70</v>
      </c>
      <c r="G603" t="s">
        <v>258</v>
      </c>
      <c r="H603" t="s">
        <v>4673</v>
      </c>
      <c r="J603" s="81">
        <v>499.29</v>
      </c>
    </row>
    <row r="604" spans="1:10" ht="15">
      <c r="A604" s="137" t="str">
        <f t="shared" si="18"/>
        <v>MKTCUOTAS Y SUSCRIPCIONESAPP</v>
      </c>
      <c r="B604" t="s">
        <v>2821</v>
      </c>
      <c r="C604" s="1">
        <v>46017</v>
      </c>
      <c r="D604" t="s">
        <v>19</v>
      </c>
      <c r="E604" t="s">
        <v>51</v>
      </c>
      <c r="F604" t="s">
        <v>70</v>
      </c>
      <c r="G604" t="s">
        <v>258</v>
      </c>
      <c r="H604" t="s">
        <v>4673</v>
      </c>
      <c r="J604" s="81">
        <v>499.29</v>
      </c>
    </row>
    <row r="605" spans="1:10" ht="15">
      <c r="A605" s="137" t="str">
        <f t="shared" si="18"/>
        <v>MKTCUOTAS Y SUSCRIPCIONESAPP</v>
      </c>
      <c r="B605" t="s">
        <v>2821</v>
      </c>
      <c r="C605" s="1">
        <v>46017</v>
      </c>
      <c r="D605" t="s">
        <v>19</v>
      </c>
      <c r="E605" t="s">
        <v>51</v>
      </c>
      <c r="F605" t="s">
        <v>70</v>
      </c>
      <c r="G605" t="s">
        <v>258</v>
      </c>
      <c r="H605" t="s">
        <v>4673</v>
      </c>
      <c r="J605" s="81">
        <v>9667.73</v>
      </c>
    </row>
    <row r="606" spans="1:10" ht="15">
      <c r="A606" s="137" t="str">
        <f t="shared" si="18"/>
        <v>SGECUOTAS Y SUSCRIPCIONESCANVA</v>
      </c>
      <c r="B606" t="s">
        <v>2821</v>
      </c>
      <c r="C606" s="1">
        <v>46017</v>
      </c>
      <c r="D606" t="s">
        <v>39</v>
      </c>
      <c r="E606" t="s">
        <v>51</v>
      </c>
      <c r="F606" t="s">
        <v>60</v>
      </c>
      <c r="H606" t="s">
        <v>4570</v>
      </c>
      <c r="J606" s="81">
        <v>59</v>
      </c>
    </row>
    <row r="607" spans="1:10" ht="15">
      <c r="A607" s="137" t="str">
        <f t="shared" si="18"/>
        <v>SERVICIOSMTTO DE EDIFICIOMANTENIMIENTO</v>
      </c>
      <c r="B607" t="s">
        <v>2821</v>
      </c>
      <c r="C607" s="1">
        <v>46017</v>
      </c>
      <c r="D607" t="s">
        <v>21</v>
      </c>
      <c r="E607" t="s">
        <v>142</v>
      </c>
      <c r="F607" t="s">
        <v>35</v>
      </c>
      <c r="H607" t="s">
        <v>4685</v>
      </c>
      <c r="J607" s="81">
        <v>1027.3</v>
      </c>
    </row>
    <row r="608" spans="1:10" ht="15">
      <c r="A608" s="137" t="str">
        <f t="shared" ref="A608:A671" si="19">D608&amp;E608&amp;F608</f>
        <v>SERVICIOSMTTO DE EDIFICIOMANTENIMIENTO</v>
      </c>
      <c r="B608" t="s">
        <v>2821</v>
      </c>
      <c r="C608" s="1">
        <v>46017</v>
      </c>
      <c r="D608" t="s">
        <v>21</v>
      </c>
      <c r="E608" t="s">
        <v>142</v>
      </c>
      <c r="F608" t="s">
        <v>35</v>
      </c>
      <c r="H608" t="s">
        <v>4685</v>
      </c>
      <c r="J608" s="81">
        <v>12</v>
      </c>
    </row>
    <row r="609" spans="1:10" ht="15">
      <c r="A609" s="137" t="str">
        <f t="shared" si="19"/>
        <v>SERVICIOSMTTO DE EDIFICIOMANTENIMIENTO</v>
      </c>
      <c r="B609" t="s">
        <v>2821</v>
      </c>
      <c r="C609" s="1">
        <v>46017</v>
      </c>
      <c r="D609" t="s">
        <v>21</v>
      </c>
      <c r="E609" t="s">
        <v>142</v>
      </c>
      <c r="F609" t="s">
        <v>35</v>
      </c>
      <c r="H609" t="s">
        <v>4685</v>
      </c>
      <c r="J609" s="81">
        <v>481</v>
      </c>
    </row>
    <row r="610" spans="1:10" ht="15">
      <c r="A610" s="137" t="str">
        <f t="shared" si="19"/>
        <v>MKTINSUMOSINSUMOS</v>
      </c>
      <c r="B610" t="s">
        <v>2821</v>
      </c>
      <c r="C610" s="1">
        <v>46017</v>
      </c>
      <c r="D610" t="s">
        <v>19</v>
      </c>
      <c r="E610" t="s">
        <v>133</v>
      </c>
      <c r="F610" t="s">
        <v>133</v>
      </c>
      <c r="H610" t="s">
        <v>4686</v>
      </c>
      <c r="J610" s="81">
        <v>120.84</v>
      </c>
    </row>
    <row r="611" spans="1:10" ht="15">
      <c r="A611" s="137" t="str">
        <f t="shared" si="19"/>
        <v>MKTINSUMOSINSUMOS</v>
      </c>
      <c r="B611" t="s">
        <v>2821</v>
      </c>
      <c r="C611" s="1">
        <v>46017</v>
      </c>
      <c r="D611" t="s">
        <v>19</v>
      </c>
      <c r="E611" t="s">
        <v>133</v>
      </c>
      <c r="F611" t="s">
        <v>133</v>
      </c>
      <c r="H611" t="s">
        <v>4687</v>
      </c>
      <c r="J611" s="81">
        <v>1390.4</v>
      </c>
    </row>
    <row r="612" spans="1:10" ht="15">
      <c r="A612" s="137" t="str">
        <f t="shared" si="19"/>
        <v>SERVICIOSINSUMOSCOFFE</v>
      </c>
      <c r="B612" t="s">
        <v>2821</v>
      </c>
      <c r="C612" s="1">
        <v>46017</v>
      </c>
      <c r="D612" t="s">
        <v>21</v>
      </c>
      <c r="E612" t="s">
        <v>133</v>
      </c>
      <c r="F612" t="s">
        <v>135</v>
      </c>
      <c r="H612" t="s">
        <v>4688</v>
      </c>
      <c r="J612" s="81">
        <v>384.65</v>
      </c>
    </row>
    <row r="613" spans="1:10" ht="15">
      <c r="A613" s="137" t="str">
        <f t="shared" si="19"/>
        <v>CAPREDESCAPRICHOS</v>
      </c>
      <c r="B613" t="s">
        <v>2821</v>
      </c>
      <c r="C613" s="1">
        <v>46017</v>
      </c>
      <c r="D613" t="s">
        <v>31</v>
      </c>
      <c r="E613" t="s">
        <v>167</v>
      </c>
      <c r="F613" s="229" t="s">
        <v>33</v>
      </c>
      <c r="H613" s="89" t="s">
        <v>4674</v>
      </c>
      <c r="J613" s="81">
        <v>2265.75</v>
      </c>
    </row>
    <row r="614" spans="1:10" ht="15">
      <c r="A614" s="137" t="str">
        <f t="shared" si="19"/>
        <v>CAPREDESCAPRICHOS</v>
      </c>
      <c r="B614" t="s">
        <v>2821</v>
      </c>
      <c r="C614" s="1">
        <v>46017</v>
      </c>
      <c r="D614" t="s">
        <v>31</v>
      </c>
      <c r="E614" t="s">
        <v>167</v>
      </c>
      <c r="F614" t="s">
        <v>33</v>
      </c>
      <c r="H614" t="s">
        <v>4542</v>
      </c>
      <c r="J614" s="81">
        <v>139</v>
      </c>
    </row>
    <row r="615" spans="1:10" ht="15">
      <c r="A615" s="137" t="str">
        <f t="shared" si="19"/>
        <v>FINANZASTELEFONIATOTAL PLAY (CONTA)</v>
      </c>
      <c r="B615" t="s">
        <v>2821</v>
      </c>
      <c r="C615" s="1">
        <v>46017</v>
      </c>
      <c r="D615" t="s">
        <v>23</v>
      </c>
      <c r="E615" s="12" t="s">
        <v>181</v>
      </c>
      <c r="F615" s="12" t="s">
        <v>185</v>
      </c>
      <c r="H615" t="s">
        <v>4444</v>
      </c>
      <c r="J615" s="81">
        <v>603.04</v>
      </c>
    </row>
    <row r="616" spans="1:10" ht="15">
      <c r="A616" s="137" t="str">
        <f t="shared" si="19"/>
        <v>CAPREDESCAPRICHOS</v>
      </c>
      <c r="B616" t="s">
        <v>2821</v>
      </c>
      <c r="C616" s="1">
        <v>46017</v>
      </c>
      <c r="D616" t="s">
        <v>31</v>
      </c>
      <c r="E616" t="s">
        <v>167</v>
      </c>
      <c r="F616" t="s">
        <v>33</v>
      </c>
      <c r="H616" t="s">
        <v>4542</v>
      </c>
      <c r="J616" s="81">
        <v>239</v>
      </c>
    </row>
    <row r="617" spans="1:10" ht="15">
      <c r="A617" s="137" t="str">
        <f t="shared" si="19"/>
        <v>CAPREDESCAPRICHOS</v>
      </c>
      <c r="B617" t="s">
        <v>2821</v>
      </c>
      <c r="C617" s="1">
        <v>46017</v>
      </c>
      <c r="D617" t="s">
        <v>31</v>
      </c>
      <c r="E617" t="s">
        <v>167</v>
      </c>
      <c r="F617" t="s">
        <v>33</v>
      </c>
      <c r="H617" t="s">
        <v>4542</v>
      </c>
      <c r="J617" s="81">
        <v>239</v>
      </c>
    </row>
    <row r="618" spans="1:10" ht="15">
      <c r="A618" s="137" t="str">
        <f t="shared" si="19"/>
        <v>FINANZASTELEFONIATELCEL</v>
      </c>
      <c r="B618" t="s">
        <v>2821</v>
      </c>
      <c r="C618" s="1">
        <v>46017</v>
      </c>
      <c r="D618" t="s">
        <v>23</v>
      </c>
      <c r="E618" t="s">
        <v>181</v>
      </c>
      <c r="F618" t="s">
        <v>183</v>
      </c>
      <c r="H618" t="s">
        <v>4681</v>
      </c>
      <c r="J618" s="81">
        <v>3983.96</v>
      </c>
    </row>
    <row r="619" spans="1:10" ht="15">
      <c r="A619" s="137" t="str">
        <f t="shared" si="19"/>
        <v>FINANZASTELEFONIATELCEL</v>
      </c>
      <c r="B619" t="s">
        <v>2821</v>
      </c>
      <c r="C619" s="1">
        <v>46017</v>
      </c>
      <c r="D619" t="s">
        <v>23</v>
      </c>
      <c r="E619" t="s">
        <v>181</v>
      </c>
      <c r="F619" t="s">
        <v>183</v>
      </c>
      <c r="H619" t="s">
        <v>4689</v>
      </c>
      <c r="J619" s="81">
        <v>9728.06</v>
      </c>
    </row>
    <row r="620" spans="1:10" ht="15">
      <c r="A620" s="137" t="str">
        <f t="shared" si="19"/>
        <v>SGECUOTAS Y SUSCRIPCIONESCHATGPT</v>
      </c>
      <c r="B620" t="s">
        <v>2821</v>
      </c>
      <c r="C620" s="1">
        <v>46017</v>
      </c>
      <c r="D620" t="s">
        <v>39</v>
      </c>
      <c r="E620" t="s">
        <v>51</v>
      </c>
      <c r="F620" t="s">
        <v>59</v>
      </c>
      <c r="H620" t="s">
        <v>4690</v>
      </c>
      <c r="J620" s="81">
        <v>379.99</v>
      </c>
    </row>
    <row r="621" spans="1:10" ht="15">
      <c r="A621" s="137" t="str">
        <f t="shared" si="19"/>
        <v>SERVICIOSCUOTAS Y SUSCRIPCIONESAPP</v>
      </c>
      <c r="B621" t="s">
        <v>2821</v>
      </c>
      <c r="C621" s="1">
        <v>46017</v>
      </c>
      <c r="D621" t="s">
        <v>21</v>
      </c>
      <c r="E621" t="s">
        <v>51</v>
      </c>
      <c r="F621" t="s">
        <v>70</v>
      </c>
      <c r="H621" t="s">
        <v>4658</v>
      </c>
      <c r="J621" s="81">
        <v>187.74</v>
      </c>
    </row>
    <row r="622" spans="1:10" ht="15">
      <c r="A622" s="137" t="str">
        <f t="shared" si="19"/>
        <v>SGECUOTAS Y SUSCRIPCIONESCHATGPT</v>
      </c>
      <c r="B622" t="s">
        <v>2821</v>
      </c>
      <c r="C622" s="1">
        <v>46017</v>
      </c>
      <c r="D622" t="s">
        <v>39</v>
      </c>
      <c r="E622" t="s">
        <v>51</v>
      </c>
      <c r="F622" t="s">
        <v>59</v>
      </c>
      <c r="H622" t="s">
        <v>4690</v>
      </c>
      <c r="J622" s="81">
        <v>377.03</v>
      </c>
    </row>
    <row r="623" spans="1:10" ht="15">
      <c r="A623" s="137" t="str">
        <f t="shared" si="19"/>
        <v/>
      </c>
      <c r="B623" t="s">
        <v>2821</v>
      </c>
      <c r="C623" s="1">
        <v>46017</v>
      </c>
      <c r="H623" t="s">
        <v>4429</v>
      </c>
      <c r="J623" s="81">
        <v>559.35</v>
      </c>
    </row>
    <row r="624" spans="1:10" ht="15">
      <c r="A624" s="137" t="str">
        <f t="shared" si="19"/>
        <v>SGECUOTAS Y SUSCRIPCIONESCHATGPT</v>
      </c>
      <c r="B624" t="s">
        <v>2821</v>
      </c>
      <c r="C624" s="1">
        <v>46017</v>
      </c>
      <c r="D624" t="s">
        <v>39</v>
      </c>
      <c r="E624" t="s">
        <v>51</v>
      </c>
      <c r="F624" t="s">
        <v>59</v>
      </c>
      <c r="H624" t="s">
        <v>4690</v>
      </c>
      <c r="J624" s="81">
        <v>375.14</v>
      </c>
    </row>
    <row r="625" spans="1:10" ht="15">
      <c r="A625" s="137" t="str">
        <f t="shared" si="19"/>
        <v>SGECUOTAS Y SUSCRIPCIONESCHATGPT</v>
      </c>
      <c r="B625" t="s">
        <v>2821</v>
      </c>
      <c r="C625" s="1">
        <v>46017</v>
      </c>
      <c r="D625" t="s">
        <v>39</v>
      </c>
      <c r="E625" t="s">
        <v>51</v>
      </c>
      <c r="F625" t="s">
        <v>59</v>
      </c>
      <c r="H625" t="s">
        <v>4690</v>
      </c>
      <c r="J625" s="81">
        <v>1120.6199999999999</v>
      </c>
    </row>
    <row r="626" spans="1:10" ht="15">
      <c r="A626" s="137" t="str">
        <f t="shared" si="19"/>
        <v>SERVICIOSCUOTAS Y SUSCRIPCIONESAPP</v>
      </c>
      <c r="B626" t="s">
        <v>2821</v>
      </c>
      <c r="C626" s="1">
        <v>46017</v>
      </c>
      <c r="D626" t="s">
        <v>21</v>
      </c>
      <c r="E626" t="s">
        <v>51</v>
      </c>
      <c r="F626" t="s">
        <v>70</v>
      </c>
      <c r="H626" t="s">
        <v>4691</v>
      </c>
      <c r="J626" s="81">
        <v>944.62</v>
      </c>
    </row>
    <row r="627" spans="1:10" ht="15">
      <c r="A627" s="137" t="str">
        <f t="shared" si="19"/>
        <v/>
      </c>
      <c r="B627" t="s">
        <v>2821</v>
      </c>
      <c r="C627" s="1">
        <v>46017</v>
      </c>
      <c r="H627" t="s">
        <v>4692</v>
      </c>
      <c r="J627" s="81">
        <v>188.2</v>
      </c>
    </row>
    <row r="628" spans="1:10" ht="15">
      <c r="A628" s="137" t="str">
        <f t="shared" si="19"/>
        <v>SGECUOTAS Y SUSCRIPCIONESZOOM</v>
      </c>
      <c r="B628" t="s">
        <v>2821</v>
      </c>
      <c r="C628" s="1">
        <v>46017</v>
      </c>
      <c r="D628" t="s">
        <v>39</v>
      </c>
      <c r="E628" t="s">
        <v>51</v>
      </c>
      <c r="F628" t="s">
        <v>56</v>
      </c>
      <c r="H628" t="s">
        <v>4447</v>
      </c>
      <c r="J628" s="81">
        <v>1871.86</v>
      </c>
    </row>
    <row r="629" spans="1:10" ht="15">
      <c r="A629" s="137" t="str">
        <f t="shared" si="19"/>
        <v>SERVICIOSADQ DE EQ TECNOLOGICOADQ DE EQ TECNOLOGICO</v>
      </c>
      <c r="B629" t="s">
        <v>2821</v>
      </c>
      <c r="C629" s="1">
        <v>46017</v>
      </c>
      <c r="D629" t="s">
        <v>21</v>
      </c>
      <c r="E629" t="s">
        <v>22</v>
      </c>
      <c r="F629" t="s">
        <v>22</v>
      </c>
      <c r="H629" t="s">
        <v>4693</v>
      </c>
      <c r="J629" s="81">
        <v>3091</v>
      </c>
    </row>
    <row r="630" spans="1:10" ht="15">
      <c r="A630" s="137" t="str">
        <f t="shared" si="19"/>
        <v>FINANZASCOMISIONES BANCARIAS</v>
      </c>
      <c r="B630" t="s">
        <v>2821</v>
      </c>
      <c r="C630" s="1">
        <v>46017</v>
      </c>
      <c r="D630" s="89" t="s">
        <v>23</v>
      </c>
      <c r="E630" s="89" t="s">
        <v>48</v>
      </c>
      <c r="F630" s="89"/>
      <c r="H630" t="s">
        <v>4694</v>
      </c>
      <c r="J630" s="81">
        <v>484.96</v>
      </c>
    </row>
    <row r="631" spans="1:10" ht="15">
      <c r="A631" s="137" t="str">
        <f t="shared" si="19"/>
        <v>SERVICIOSADQ DE EQ TECNOLOGICOADQ DE EQ TECNOLOGICO</v>
      </c>
      <c r="B631" t="s">
        <v>2821</v>
      </c>
      <c r="C631" s="1">
        <v>46017</v>
      </c>
      <c r="D631" t="s">
        <v>21</v>
      </c>
      <c r="E631" t="s">
        <v>22</v>
      </c>
      <c r="F631" t="s">
        <v>22</v>
      </c>
      <c r="H631" t="s">
        <v>4695</v>
      </c>
      <c r="J631" s="81">
        <v>27611.3</v>
      </c>
    </row>
    <row r="632" spans="1:10" ht="15">
      <c r="A632" s="137" t="str">
        <f t="shared" si="19"/>
        <v>SERVICIOSADQ DE EQ TECNOLOGICOADQ DE EQ TECNOLOGICO</v>
      </c>
      <c r="B632" t="s">
        <v>2821</v>
      </c>
      <c r="C632" s="1">
        <v>46017</v>
      </c>
      <c r="D632" t="s">
        <v>21</v>
      </c>
      <c r="E632" t="s">
        <v>22</v>
      </c>
      <c r="F632" t="s">
        <v>22</v>
      </c>
      <c r="H632" t="s">
        <v>4696</v>
      </c>
      <c r="J632" s="81">
        <v>8854.65</v>
      </c>
    </row>
    <row r="633" spans="1:10" ht="15">
      <c r="A633" s="137" t="str">
        <f t="shared" si="19"/>
        <v>SERVICIOSADQ DE EQ TECNOLOGICOADQ DE EQ TECNOLOGICO</v>
      </c>
      <c r="B633" t="s">
        <v>2821</v>
      </c>
      <c r="C633" s="1">
        <v>46017</v>
      </c>
      <c r="D633" t="s">
        <v>21</v>
      </c>
      <c r="E633" t="s">
        <v>22</v>
      </c>
      <c r="F633" t="s">
        <v>22</v>
      </c>
      <c r="H633" t="s">
        <v>4697</v>
      </c>
      <c r="J633" s="81">
        <v>2676</v>
      </c>
    </row>
    <row r="634" spans="1:10" ht="15">
      <c r="A634" s="137" t="str">
        <f t="shared" si="19"/>
        <v>MKTCUOTAS Y SUSCRIPCIONESAPP</v>
      </c>
      <c r="B634" t="s">
        <v>2821</v>
      </c>
      <c r="C634" s="1">
        <v>46017</v>
      </c>
      <c r="D634" t="s">
        <v>19</v>
      </c>
      <c r="E634" t="s">
        <v>51</v>
      </c>
      <c r="F634" t="s">
        <v>70</v>
      </c>
      <c r="G634" t="s">
        <v>258</v>
      </c>
      <c r="H634" t="s">
        <v>4698</v>
      </c>
      <c r="J634" s="81">
        <v>122.85</v>
      </c>
    </row>
    <row r="635" spans="1:10" ht="15">
      <c r="A635" s="137" t="str">
        <f t="shared" si="19"/>
        <v>MKT</v>
      </c>
      <c r="B635" t="s">
        <v>2821</v>
      </c>
      <c r="C635" s="1">
        <v>46017</v>
      </c>
      <c r="D635" t="s">
        <v>19</v>
      </c>
      <c r="H635" t="s">
        <v>4598</v>
      </c>
      <c r="J635" s="81">
        <v>1701</v>
      </c>
    </row>
    <row r="636" spans="1:10" ht="15">
      <c r="A636" s="137" t="str">
        <f t="shared" si="19"/>
        <v/>
      </c>
      <c r="B636" t="s">
        <v>2821</v>
      </c>
      <c r="C636" s="1">
        <v>46017</v>
      </c>
      <c r="H636" t="s">
        <v>4699</v>
      </c>
      <c r="J636" s="81">
        <v>1890</v>
      </c>
    </row>
    <row r="637" spans="1:10" ht="15">
      <c r="A637" s="137" t="str">
        <f t="shared" si="19"/>
        <v/>
      </c>
      <c r="B637" t="s">
        <v>2821</v>
      </c>
      <c r="C637" s="1">
        <v>46017</v>
      </c>
      <c r="H637" t="s">
        <v>4598</v>
      </c>
      <c r="J637" s="81">
        <v>239.37</v>
      </c>
    </row>
    <row r="638" spans="1:10" ht="15">
      <c r="A638" s="137" t="str">
        <f t="shared" si="19"/>
        <v/>
      </c>
      <c r="B638" t="s">
        <v>2821</v>
      </c>
      <c r="C638" s="1">
        <v>46017</v>
      </c>
      <c r="H638" t="s">
        <v>4598</v>
      </c>
      <c r="J638" s="81">
        <v>246.89</v>
      </c>
    </row>
    <row r="639" spans="1:10" ht="15">
      <c r="A639" s="137" t="str">
        <f t="shared" si="19"/>
        <v>MKTCUOTAS Y SUSCRIPCIONESAPP</v>
      </c>
      <c r="B639" t="s">
        <v>2821</v>
      </c>
      <c r="C639" s="1">
        <v>46017</v>
      </c>
      <c r="D639" t="s">
        <v>19</v>
      </c>
      <c r="E639" t="s">
        <v>51</v>
      </c>
      <c r="F639" t="s">
        <v>70</v>
      </c>
      <c r="G639" t="s">
        <v>258</v>
      </c>
      <c r="H639" t="s">
        <v>4698</v>
      </c>
      <c r="J639" s="81">
        <v>133.35</v>
      </c>
    </row>
    <row r="640" spans="1:10" ht="15">
      <c r="A640" s="137" t="str">
        <f t="shared" si="19"/>
        <v/>
      </c>
      <c r="B640" t="s">
        <v>2821</v>
      </c>
      <c r="C640" s="1">
        <v>46017</v>
      </c>
      <c r="H640" t="s">
        <v>4699</v>
      </c>
      <c r="J640" s="81">
        <v>1007.6</v>
      </c>
    </row>
    <row r="641" spans="1:10" ht="15">
      <c r="A641" s="137" t="str">
        <f t="shared" si="19"/>
        <v/>
      </c>
      <c r="B641" t="s">
        <v>2821</v>
      </c>
      <c r="C641" s="1">
        <v>46017</v>
      </c>
      <c r="H641" t="s">
        <v>4644</v>
      </c>
      <c r="J641" s="81">
        <v>1797</v>
      </c>
    </row>
    <row r="642" spans="1:10" ht="15">
      <c r="A642" s="137" t="str">
        <f t="shared" si="19"/>
        <v/>
      </c>
      <c r="B642" t="s">
        <v>2821</v>
      </c>
      <c r="C642" s="1">
        <v>46017</v>
      </c>
      <c r="H642" t="s">
        <v>4644</v>
      </c>
      <c r="J642" s="81">
        <v>1198</v>
      </c>
    </row>
    <row r="643" spans="1:10" ht="15">
      <c r="A643" s="137" t="str">
        <f t="shared" si="19"/>
        <v/>
      </c>
      <c r="B643" t="s">
        <v>2821</v>
      </c>
      <c r="C643" s="1">
        <v>46017</v>
      </c>
      <c r="H643" t="s">
        <v>4700</v>
      </c>
      <c r="J643" s="81">
        <v>13.33</v>
      </c>
    </row>
    <row r="644" spans="1:10" ht="15">
      <c r="A644" s="137" t="str">
        <f t="shared" si="19"/>
        <v>SGECUOTAS Y SUSCRIPCIONESOFFICE 365(C1)</v>
      </c>
      <c r="B644" t="s">
        <v>2821</v>
      </c>
      <c r="C644" s="1">
        <v>46017</v>
      </c>
      <c r="D644" t="s">
        <v>39</v>
      </c>
      <c r="E644" t="s">
        <v>51</v>
      </c>
      <c r="F644" s="158" t="s">
        <v>53</v>
      </c>
      <c r="H644" t="s">
        <v>4460</v>
      </c>
      <c r="J644" s="81">
        <v>2299</v>
      </c>
    </row>
    <row r="645" spans="1:10" ht="15">
      <c r="A645" s="137" t="str">
        <f t="shared" si="19"/>
        <v>SERVICIOSCOMBUSTIBLEMANTENIMIENTO</v>
      </c>
      <c r="B645" t="s">
        <v>2821</v>
      </c>
      <c r="C645" s="1">
        <v>46017</v>
      </c>
      <c r="D645" t="s">
        <v>21</v>
      </c>
      <c r="E645" t="s">
        <v>32</v>
      </c>
      <c r="F645" t="s">
        <v>35</v>
      </c>
      <c r="H645" t="s">
        <v>4701</v>
      </c>
      <c r="J645" s="81">
        <v>400</v>
      </c>
    </row>
    <row r="646" spans="1:10" ht="15">
      <c r="A646" s="137" t="str">
        <f t="shared" si="19"/>
        <v>MKTINSUMOSINSUMOS</v>
      </c>
      <c r="B646" t="s">
        <v>2821</v>
      </c>
      <c r="C646" s="1">
        <v>46017</v>
      </c>
      <c r="D646" t="s">
        <v>19</v>
      </c>
      <c r="E646" t="s">
        <v>133</v>
      </c>
      <c r="F646" t="s">
        <v>133</v>
      </c>
      <c r="H646" t="s">
        <v>4702</v>
      </c>
      <c r="J646" s="81">
        <v>1129.82</v>
      </c>
    </row>
    <row r="647" spans="1:10" ht="15">
      <c r="A647" s="137" t="str">
        <f t="shared" si="19"/>
        <v>SERVICIOSCUOTAS Y SUSCRIPCIONESAPP</v>
      </c>
      <c r="B647" t="s">
        <v>2821</v>
      </c>
      <c r="C647" s="1">
        <v>46017</v>
      </c>
      <c r="D647" t="s">
        <v>21</v>
      </c>
      <c r="E647" t="s">
        <v>51</v>
      </c>
      <c r="F647" t="s">
        <v>70</v>
      </c>
      <c r="H647" s="220" t="s">
        <v>4703</v>
      </c>
      <c r="I647" s="442"/>
      <c r="J647" s="81">
        <v>1696.64</v>
      </c>
    </row>
    <row r="648" spans="1:10" ht="15">
      <c r="A648" s="137" t="str">
        <f t="shared" si="19"/>
        <v/>
      </c>
      <c r="B648" t="s">
        <v>3214</v>
      </c>
      <c r="C648" s="1">
        <v>46048</v>
      </c>
      <c r="H648" s="550" t="s">
        <v>4664</v>
      </c>
      <c r="I648" s="442"/>
      <c r="J648" s="548">
        <v>3886.72</v>
      </c>
    </row>
    <row r="649" spans="1:10" ht="15">
      <c r="A649" s="137" t="str">
        <f t="shared" si="19"/>
        <v/>
      </c>
      <c r="B649" t="s">
        <v>3214</v>
      </c>
      <c r="C649" s="1">
        <v>46048</v>
      </c>
      <c r="H649" s="550" t="s">
        <v>4664</v>
      </c>
      <c r="I649" s="442"/>
      <c r="J649" s="548">
        <v>5266.39</v>
      </c>
    </row>
    <row r="650" spans="1:10" ht="15">
      <c r="A650" s="137" t="str">
        <f t="shared" si="19"/>
        <v>SGECUOTAS Y SUSCRIPCIONESCANVA</v>
      </c>
      <c r="B650" t="s">
        <v>3214</v>
      </c>
      <c r="C650" s="1">
        <v>46048</v>
      </c>
      <c r="D650" t="s">
        <v>39</v>
      </c>
      <c r="E650" t="s">
        <v>51</v>
      </c>
      <c r="F650" t="s">
        <v>60</v>
      </c>
      <c r="H650" s="550" t="s">
        <v>4570</v>
      </c>
      <c r="I650" s="442"/>
      <c r="J650" s="548">
        <v>150</v>
      </c>
    </row>
    <row r="651" spans="1:10" ht="15">
      <c r="A651" s="137" t="str">
        <f>D651&amp;E651&amp;F651</f>
        <v>MKTCUOTAS Y SUSCRIPCIONESAPP</v>
      </c>
      <c r="B651" t="s">
        <v>3214</v>
      </c>
      <c r="C651" s="1">
        <v>46048</v>
      </c>
      <c r="D651" t="s">
        <v>19</v>
      </c>
      <c r="E651" t="s">
        <v>51</v>
      </c>
      <c r="F651" t="s">
        <v>70</v>
      </c>
      <c r="H651" s="550" t="s">
        <v>4704</v>
      </c>
      <c r="I651" s="442"/>
      <c r="J651" s="548">
        <v>499.29</v>
      </c>
    </row>
    <row r="652" spans="1:10" ht="15">
      <c r="A652" s="137" t="str">
        <f>D652&amp;E652&amp;F652</f>
        <v>SGECUOTAS Y SUSCRIPCIONESCHATGPT</v>
      </c>
      <c r="B652" t="s">
        <v>3214</v>
      </c>
      <c r="C652" s="1">
        <v>46048</v>
      </c>
      <c r="D652" t="s">
        <v>39</v>
      </c>
      <c r="E652" t="s">
        <v>51</v>
      </c>
      <c r="F652" t="s">
        <v>59</v>
      </c>
      <c r="H652" s="550" t="s">
        <v>4705</v>
      </c>
      <c r="I652" s="442"/>
      <c r="J652" s="548">
        <v>399</v>
      </c>
    </row>
    <row r="653" spans="1:10" ht="15">
      <c r="A653" s="137" t="str">
        <f>D653&amp;E653&amp;F653</f>
        <v>MMREDESMARKET MAX</v>
      </c>
      <c r="B653" t="s">
        <v>3214</v>
      </c>
      <c r="C653" s="1">
        <v>46048</v>
      </c>
      <c r="D653" t="s">
        <v>45</v>
      </c>
      <c r="E653" t="s">
        <v>167</v>
      </c>
      <c r="F653" t="s">
        <v>46</v>
      </c>
      <c r="H653" s="550" t="s">
        <v>4706</v>
      </c>
      <c r="I653" s="442"/>
      <c r="J653" s="548">
        <v>2951</v>
      </c>
    </row>
    <row r="654" spans="1:10" ht="15">
      <c r="A654" s="137" t="str">
        <f>D654&amp;E654&amp;F654</f>
        <v>HRREDESHR</v>
      </c>
      <c r="B654" t="s">
        <v>3214</v>
      </c>
      <c r="C654" s="1">
        <v>46048</v>
      </c>
      <c r="D654" t="s">
        <v>29</v>
      </c>
      <c r="E654" t="s">
        <v>167</v>
      </c>
      <c r="F654" t="s">
        <v>29</v>
      </c>
      <c r="H654" s="550" t="s">
        <v>4437</v>
      </c>
      <c r="I654" s="442"/>
      <c r="J654" s="548">
        <v>2646.5</v>
      </c>
    </row>
    <row r="655" spans="1:10" ht="15">
      <c r="A655" s="137" t="str">
        <f>D655&amp;E655&amp;F655</f>
        <v>ELIREDESL1</v>
      </c>
      <c r="B655" t="s">
        <v>3214</v>
      </c>
      <c r="C655" s="1">
        <v>46048</v>
      </c>
      <c r="D655" t="s">
        <v>130</v>
      </c>
      <c r="E655" t="s">
        <v>167</v>
      </c>
      <c r="F655" t="s">
        <v>136</v>
      </c>
      <c r="H655" s="550" t="s">
        <v>4707</v>
      </c>
      <c r="I655" s="442"/>
      <c r="J655" s="548">
        <v>2557.06</v>
      </c>
    </row>
    <row r="656" spans="1:10" ht="15">
      <c r="A656" s="137" t="str">
        <f>D656&amp;E656&amp;F656</f>
        <v>CAPREDESCAPRICHOS</v>
      </c>
      <c r="B656" t="s">
        <v>3214</v>
      </c>
      <c r="C656" s="1">
        <v>46048</v>
      </c>
      <c r="D656" t="s">
        <v>31</v>
      </c>
      <c r="E656" t="s">
        <v>167</v>
      </c>
      <c r="F656" t="s">
        <v>33</v>
      </c>
      <c r="H656" s="550" t="s">
        <v>4617</v>
      </c>
      <c r="I656" s="442"/>
      <c r="J656" s="548">
        <v>3241.08</v>
      </c>
    </row>
    <row r="657" spans="1:10" ht="15">
      <c r="A657" s="137" t="str">
        <f>D657&amp;E657&amp;F657</f>
        <v>MELREDESMELISSA</v>
      </c>
      <c r="B657" t="s">
        <v>3214</v>
      </c>
      <c r="C657" s="1">
        <v>46048</v>
      </c>
      <c r="D657" t="s">
        <v>43</v>
      </c>
      <c r="E657" t="s">
        <v>167</v>
      </c>
      <c r="F657" t="s">
        <v>44</v>
      </c>
      <c r="H657" s="550" t="s">
        <v>4708</v>
      </c>
      <c r="I657" s="442"/>
      <c r="J657" s="548">
        <v>2286.71</v>
      </c>
    </row>
    <row r="658" spans="1:10" ht="15">
      <c r="A658" s="137" t="str">
        <f>D658&amp;E658&amp;F658</f>
        <v>FINANZASTELEFONIASTARLINK</v>
      </c>
      <c r="B658" t="s">
        <v>3214</v>
      </c>
      <c r="C658" s="1">
        <v>46048</v>
      </c>
      <c r="D658" t="s">
        <v>23</v>
      </c>
      <c r="E658" t="s">
        <v>181</v>
      </c>
      <c r="F658" t="s">
        <v>184</v>
      </c>
      <c r="H658" s="550" t="s">
        <v>4421</v>
      </c>
      <c r="I658" s="442"/>
      <c r="J658" s="548">
        <v>3190</v>
      </c>
    </row>
    <row r="659" spans="1:10" ht="15">
      <c r="A659" s="137" t="str">
        <f>D659&amp;E659&amp;F659</f>
        <v>MKTCUOTAS Y SUSCRIPCIONESAPP</v>
      </c>
      <c r="B659" t="s">
        <v>3214</v>
      </c>
      <c r="C659" s="1">
        <v>46048</v>
      </c>
      <c r="D659" t="s">
        <v>19</v>
      </c>
      <c r="E659" t="s">
        <v>51</v>
      </c>
      <c r="F659" t="s">
        <v>70</v>
      </c>
      <c r="H659" s="550" t="s">
        <v>4704</v>
      </c>
      <c r="I659" s="442"/>
      <c r="J659" s="548">
        <v>499.29</v>
      </c>
    </row>
    <row r="660" spans="1:10" ht="15">
      <c r="A660" s="137" t="str">
        <f>D660&amp;E660&amp;F660</f>
        <v>MKTCUOTAS Y SUSCRIPCIONESAPP</v>
      </c>
      <c r="B660" t="s">
        <v>3214</v>
      </c>
      <c r="C660" s="1">
        <v>46048</v>
      </c>
      <c r="D660" t="s">
        <v>19</v>
      </c>
      <c r="E660" t="s">
        <v>51</v>
      </c>
      <c r="F660" t="s">
        <v>70</v>
      </c>
      <c r="H660" s="550" t="s">
        <v>4704</v>
      </c>
      <c r="I660" s="442"/>
      <c r="J660" s="548">
        <v>499.29</v>
      </c>
    </row>
    <row r="661" spans="1:10" ht="15">
      <c r="A661" s="137" t="str">
        <f>D661&amp;E661&amp;F661</f>
        <v>MKTCUOTAS Y SUSCRIPCIONESAPP</v>
      </c>
      <c r="B661" t="s">
        <v>3214</v>
      </c>
      <c r="C661" s="1">
        <v>46048</v>
      </c>
      <c r="D661" t="s">
        <v>19</v>
      </c>
      <c r="E661" t="s">
        <v>51</v>
      </c>
      <c r="F661" t="s">
        <v>70</v>
      </c>
      <c r="H661" s="550" t="s">
        <v>4704</v>
      </c>
      <c r="I661" s="442"/>
      <c r="J661" s="548">
        <v>499.29</v>
      </c>
    </row>
    <row r="662" spans="1:10" ht="15">
      <c r="A662" s="137" t="str">
        <f>D662&amp;E662&amp;F662</f>
        <v>FINANZASTELEFONIASTARLINK</v>
      </c>
      <c r="B662" t="s">
        <v>3214</v>
      </c>
      <c r="C662" s="1">
        <v>46048</v>
      </c>
      <c r="D662" t="s">
        <v>23</v>
      </c>
      <c r="E662" t="s">
        <v>181</v>
      </c>
      <c r="F662" t="s">
        <v>184</v>
      </c>
      <c r="H662" s="550" t="s">
        <v>4421</v>
      </c>
      <c r="I662" s="442"/>
      <c r="J662" s="548">
        <v>6380</v>
      </c>
    </row>
    <row r="663" spans="1:10" ht="15">
      <c r="A663" s="137" t="str">
        <f>D663&amp;E663&amp;F663</f>
        <v>MKTCUOTAS Y SUSCRIPCIONESAPP</v>
      </c>
      <c r="B663" t="s">
        <v>3214</v>
      </c>
      <c r="C663" s="1">
        <v>46048</v>
      </c>
      <c r="D663" t="s">
        <v>19</v>
      </c>
      <c r="E663" t="s">
        <v>51</v>
      </c>
      <c r="F663" t="s">
        <v>70</v>
      </c>
      <c r="H663" s="550" t="s">
        <v>4704</v>
      </c>
      <c r="I663" s="442"/>
      <c r="J663" s="548">
        <v>9667.73</v>
      </c>
    </row>
    <row r="664" spans="1:10" ht="15">
      <c r="A664" s="137" t="str">
        <f>D664&amp;E664&amp;F664</f>
        <v>SGECUOTAS Y SUSCRIPCIONESCANVA</v>
      </c>
      <c r="B664" t="s">
        <v>3214</v>
      </c>
      <c r="C664" s="1">
        <v>46048</v>
      </c>
      <c r="D664" t="s">
        <v>39</v>
      </c>
      <c r="E664" t="s">
        <v>51</v>
      </c>
      <c r="F664" t="s">
        <v>60</v>
      </c>
      <c r="H664" s="550" t="s">
        <v>4570</v>
      </c>
      <c r="I664" s="442"/>
      <c r="J664" s="548">
        <v>150</v>
      </c>
    </row>
    <row r="665" spans="1:10" ht="15">
      <c r="A665" s="137" t="str">
        <f>D665&amp;E665&amp;F665</f>
        <v>MKTCUOTAS Y SUSCRIPCIONESAPP</v>
      </c>
      <c r="B665" t="s">
        <v>3214</v>
      </c>
      <c r="C665" s="1">
        <v>46048</v>
      </c>
      <c r="D665" t="s">
        <v>19</v>
      </c>
      <c r="E665" t="s">
        <v>51</v>
      </c>
      <c r="F665" t="s">
        <v>70</v>
      </c>
      <c r="H665" s="550" t="s">
        <v>4709</v>
      </c>
      <c r="I665" s="442"/>
      <c r="J665" s="548">
        <v>122.85</v>
      </c>
    </row>
    <row r="666" spans="1:10" ht="15">
      <c r="A666" s="137" t="str">
        <f>D666&amp;E666&amp;F666</f>
        <v>ELIREDESL1</v>
      </c>
      <c r="B666" t="s">
        <v>3214</v>
      </c>
      <c r="C666" s="1">
        <v>46048</v>
      </c>
      <c r="D666" t="s">
        <v>130</v>
      </c>
      <c r="E666" t="s">
        <v>167</v>
      </c>
      <c r="F666" t="s">
        <v>136</v>
      </c>
      <c r="H666" s="550" t="s">
        <v>4474</v>
      </c>
      <c r="I666" s="442"/>
      <c r="J666" s="548">
        <v>3127</v>
      </c>
    </row>
    <row r="667" spans="1:10" ht="15">
      <c r="A667" s="137" t="str">
        <f>D667&amp;E667&amp;F667</f>
        <v>SERVICIOSADQ DE EQ TECNOLOGICOADQ DE EQ TECNOLOGICO</v>
      </c>
      <c r="B667" t="s">
        <v>3214</v>
      </c>
      <c r="C667" s="1">
        <v>46048</v>
      </c>
      <c r="D667" t="s">
        <v>21</v>
      </c>
      <c r="E667" t="s">
        <v>22</v>
      </c>
      <c r="F667" t="s">
        <v>22</v>
      </c>
      <c r="H667" s="550" t="s">
        <v>4710</v>
      </c>
      <c r="I667" s="442"/>
      <c r="J667" s="548">
        <v>4699</v>
      </c>
    </row>
    <row r="668" spans="1:10" ht="15">
      <c r="A668" s="137" t="str">
        <f>D668&amp;E668&amp;F668</f>
        <v>MELREDESMELISSA</v>
      </c>
      <c r="B668" t="s">
        <v>3214</v>
      </c>
      <c r="C668" s="1">
        <v>46048</v>
      </c>
      <c r="D668" t="s">
        <v>43</v>
      </c>
      <c r="E668" t="s">
        <v>167</v>
      </c>
      <c r="F668" t="s">
        <v>44</v>
      </c>
      <c r="H668" s="550" t="s">
        <v>4616</v>
      </c>
      <c r="I668" s="442"/>
      <c r="J668" s="548">
        <v>3506</v>
      </c>
    </row>
    <row r="669" spans="1:10" ht="15">
      <c r="A669" s="137" t="str">
        <f>D669&amp;E669&amp;F669</f>
        <v>FINANZASPOSADASPOSADAS</v>
      </c>
      <c r="B669" t="s">
        <v>3214</v>
      </c>
      <c r="C669" s="1">
        <v>46048</v>
      </c>
      <c r="D669" t="s">
        <v>23</v>
      </c>
      <c r="E669" t="s">
        <v>163</v>
      </c>
      <c r="F669" t="s">
        <v>163</v>
      </c>
      <c r="H669" s="550" t="s">
        <v>4711</v>
      </c>
      <c r="I669" s="442"/>
      <c r="J669" s="548">
        <v>3036</v>
      </c>
    </row>
    <row r="670" spans="1:10" ht="15">
      <c r="A670" s="137" t="str">
        <f>D670&amp;E670&amp;F670</f>
        <v>FINANZASPOSADASPOSADAS</v>
      </c>
      <c r="B670" t="s">
        <v>3214</v>
      </c>
      <c r="C670" s="1">
        <v>46048</v>
      </c>
      <c r="D670" t="s">
        <v>23</v>
      </c>
      <c r="E670" t="s">
        <v>163</v>
      </c>
      <c r="F670" t="s">
        <v>163</v>
      </c>
      <c r="H670" s="550" t="s">
        <v>4712</v>
      </c>
      <c r="I670" s="442"/>
      <c r="J670" s="548">
        <v>1297</v>
      </c>
    </row>
    <row r="671" spans="1:10" ht="15">
      <c r="A671" s="137" t="str">
        <f>D671&amp;E671&amp;F671</f>
        <v>SERVICIOSINSUMOSCOFFE</v>
      </c>
      <c r="B671" t="s">
        <v>3214</v>
      </c>
      <c r="C671" s="1">
        <v>46048</v>
      </c>
      <c r="D671" t="s">
        <v>21</v>
      </c>
      <c r="E671" t="s">
        <v>133</v>
      </c>
      <c r="F671" t="s">
        <v>135</v>
      </c>
      <c r="H671" s="550" t="s">
        <v>4664</v>
      </c>
      <c r="I671" s="442"/>
      <c r="J671" s="548">
        <v>2111.48</v>
      </c>
    </row>
    <row r="672" spans="1:10" ht="15">
      <c r="A672" s="137" t="str">
        <f>D672&amp;E672&amp;F672</f>
        <v>HRREDESHR</v>
      </c>
      <c r="B672" t="s">
        <v>3214</v>
      </c>
      <c r="C672" s="1">
        <v>46048</v>
      </c>
      <c r="D672" t="s">
        <v>29</v>
      </c>
      <c r="E672" t="s">
        <v>167</v>
      </c>
      <c r="F672" t="s">
        <v>29</v>
      </c>
      <c r="H672" s="550" t="s">
        <v>4437</v>
      </c>
      <c r="I672" s="442"/>
      <c r="J672" s="548">
        <v>5000</v>
      </c>
    </row>
    <row r="673" spans="1:10" ht="15">
      <c r="A673" s="137" t="str">
        <f>D673&amp;E673&amp;F673</f>
        <v>MKTCUOTAS Y SUSCRIPCIONESAPP</v>
      </c>
      <c r="B673" t="s">
        <v>3214</v>
      </c>
      <c r="C673" s="1">
        <v>46048</v>
      </c>
      <c r="D673" t="s">
        <v>19</v>
      </c>
      <c r="E673" t="s">
        <v>51</v>
      </c>
      <c r="F673" t="s">
        <v>70</v>
      </c>
      <c r="H673" s="550" t="s">
        <v>4709</v>
      </c>
      <c r="I673" s="442"/>
      <c r="J673" s="548">
        <v>128.1</v>
      </c>
    </row>
    <row r="674" spans="1:10" ht="15">
      <c r="A674" s="137" t="str">
        <f>D674&amp;E674&amp;F674</f>
        <v>CAPREDESCAPRICHOS</v>
      </c>
      <c r="B674" t="s">
        <v>3214</v>
      </c>
      <c r="C674" s="1">
        <v>46048</v>
      </c>
      <c r="D674" t="s">
        <v>31</v>
      </c>
      <c r="E674" t="s">
        <v>167</v>
      </c>
      <c r="F674" t="s">
        <v>33</v>
      </c>
      <c r="H674" s="550" t="s">
        <v>4713</v>
      </c>
      <c r="I674" s="442"/>
      <c r="J674" s="548">
        <v>3127</v>
      </c>
    </row>
    <row r="675" spans="1:10" ht="15">
      <c r="A675" s="137" t="str">
        <f>D675&amp;E675&amp;F675</f>
        <v>MKTCUOTAS Y SUSCRIPCIONESAPP</v>
      </c>
      <c r="B675" t="s">
        <v>3214</v>
      </c>
      <c r="C675" s="1">
        <v>46048</v>
      </c>
      <c r="D675" t="s">
        <v>19</v>
      </c>
      <c r="E675" t="s">
        <v>51</v>
      </c>
      <c r="F675" t="s">
        <v>70</v>
      </c>
      <c r="H675" s="550" t="s">
        <v>4709</v>
      </c>
      <c r="I675" s="442"/>
      <c r="J675" s="548">
        <v>634.95000000000005</v>
      </c>
    </row>
    <row r="676" spans="1:10" ht="15">
      <c r="A676" s="137" t="str">
        <f>D676&amp;E676&amp;F676</f>
        <v>ELIREDESL1</v>
      </c>
      <c r="B676" t="s">
        <v>3214</v>
      </c>
      <c r="C676" s="1">
        <v>46048</v>
      </c>
      <c r="D676" t="s">
        <v>130</v>
      </c>
      <c r="E676" t="s">
        <v>167</v>
      </c>
      <c r="F676" t="s">
        <v>136</v>
      </c>
      <c r="H676" s="550" t="s">
        <v>4474</v>
      </c>
      <c r="I676" s="442"/>
      <c r="J676" s="548">
        <v>3000</v>
      </c>
    </row>
    <row r="677" spans="1:10" ht="15">
      <c r="A677" s="137" t="str">
        <f>D677&amp;E677&amp;F677</f>
        <v>ELIREDESL1</v>
      </c>
      <c r="B677" t="s">
        <v>3214</v>
      </c>
      <c r="C677" s="1">
        <v>46048</v>
      </c>
      <c r="D677" t="s">
        <v>130</v>
      </c>
      <c r="E677" t="s">
        <v>167</v>
      </c>
      <c r="F677" t="s">
        <v>136</v>
      </c>
      <c r="H677" s="550" t="s">
        <v>4714</v>
      </c>
      <c r="I677" s="442"/>
      <c r="J677" s="548">
        <v>79.05</v>
      </c>
    </row>
    <row r="678" spans="1:10" ht="15">
      <c r="A678" s="137" t="str">
        <f>D678&amp;E678&amp;F678</f>
        <v>CAPREDESCAPRICHOS</v>
      </c>
      <c r="B678" t="s">
        <v>3214</v>
      </c>
      <c r="C678" s="1">
        <v>46048</v>
      </c>
      <c r="D678" t="s">
        <v>31</v>
      </c>
      <c r="E678" t="s">
        <v>167</v>
      </c>
      <c r="F678" t="s">
        <v>33</v>
      </c>
      <c r="H678" s="550" t="s">
        <v>4647</v>
      </c>
      <c r="I678" s="442"/>
      <c r="J678" s="548">
        <v>139</v>
      </c>
    </row>
    <row r="679" spans="1:10" ht="15">
      <c r="A679" s="137" t="str">
        <f>D679&amp;E679&amp;F679</f>
        <v>FINANZASTELEFONIATOTAL PLAY (CONTA)</v>
      </c>
      <c r="B679" t="s">
        <v>3214</v>
      </c>
      <c r="C679" s="1">
        <v>46048</v>
      </c>
      <c r="D679" t="s">
        <v>23</v>
      </c>
      <c r="E679" t="s">
        <v>181</v>
      </c>
      <c r="F679" t="s">
        <v>185</v>
      </c>
      <c r="H679" s="551" t="s">
        <v>4715</v>
      </c>
      <c r="I679" s="442"/>
      <c r="J679" s="548">
        <v>603.03</v>
      </c>
    </row>
    <row r="680" spans="1:10" ht="15">
      <c r="A680" s="137" t="str">
        <f>D680&amp;E680&amp;F680</f>
        <v>CAPREDESCAPRICHOS</v>
      </c>
      <c r="B680" t="s">
        <v>3214</v>
      </c>
      <c r="C680" s="1">
        <v>46048</v>
      </c>
      <c r="D680" t="s">
        <v>31</v>
      </c>
      <c r="E680" t="s">
        <v>167</v>
      </c>
      <c r="F680" t="s">
        <v>33</v>
      </c>
      <c r="H680" s="551" t="s">
        <v>4442</v>
      </c>
      <c r="I680" s="442"/>
      <c r="J680" s="548">
        <v>239</v>
      </c>
    </row>
    <row r="681" spans="1:10" ht="15">
      <c r="A681" s="137" t="str">
        <f>D681&amp;E681&amp;F681</f>
        <v>CAPREDESCAPRICHOS</v>
      </c>
      <c r="B681" t="s">
        <v>3214</v>
      </c>
      <c r="C681" s="1">
        <v>46048</v>
      </c>
      <c r="D681" t="s">
        <v>31</v>
      </c>
      <c r="E681" t="s">
        <v>167</v>
      </c>
      <c r="F681" t="s">
        <v>33</v>
      </c>
      <c r="H681" s="551" t="s">
        <v>4442</v>
      </c>
      <c r="I681" s="442"/>
      <c r="J681" s="548">
        <v>239</v>
      </c>
    </row>
    <row r="682" spans="1:10" ht="15">
      <c r="A682" s="137" t="str">
        <f>D682&amp;E682&amp;F682</f>
        <v>FINANZASTELEFONIATELCEL</v>
      </c>
      <c r="B682" t="s">
        <v>3214</v>
      </c>
      <c r="C682" s="1">
        <v>46048</v>
      </c>
      <c r="D682" t="s">
        <v>23</v>
      </c>
      <c r="E682" t="s">
        <v>181</v>
      </c>
      <c r="F682" t="s">
        <v>183</v>
      </c>
      <c r="H682" s="550" t="s">
        <v>4479</v>
      </c>
      <c r="I682" s="442"/>
      <c r="J682" s="548">
        <v>9129.06</v>
      </c>
    </row>
    <row r="683" spans="1:10" ht="15">
      <c r="A683" s="137" t="str">
        <f>D683&amp;E683&amp;F683</f>
        <v>FINANZASTELEFONIATELCEL</v>
      </c>
      <c r="B683" t="s">
        <v>3214</v>
      </c>
      <c r="C683" s="1">
        <v>46048</v>
      </c>
      <c r="D683" t="s">
        <v>23</v>
      </c>
      <c r="E683" t="s">
        <v>181</v>
      </c>
      <c r="F683" t="s">
        <v>183</v>
      </c>
      <c r="H683" s="550" t="s">
        <v>4462</v>
      </c>
      <c r="I683" s="442"/>
      <c r="J683" s="548">
        <v>3983.96</v>
      </c>
    </row>
    <row r="684" spans="1:10" ht="15">
      <c r="A684" s="137" t="str">
        <f>D684&amp;E684&amp;F684</f>
        <v>SGECUOTAS Y SUSCRIPCIONESCHATGPT</v>
      </c>
      <c r="B684" t="s">
        <v>3214</v>
      </c>
      <c r="C684" s="1">
        <v>46048</v>
      </c>
      <c r="D684" t="s">
        <v>39</v>
      </c>
      <c r="E684" t="s">
        <v>51</v>
      </c>
      <c r="F684" t="s">
        <v>59</v>
      </c>
      <c r="H684" s="550" t="s">
        <v>4705</v>
      </c>
      <c r="I684" s="442"/>
      <c r="J684" s="548">
        <v>374.57</v>
      </c>
    </row>
    <row r="685" spans="1:10" ht="15">
      <c r="A685" s="137" t="str">
        <f>D685&amp;E685&amp;F685</f>
        <v>SGECUOTAS Y SUSCRIPCIONESCHATGPT</v>
      </c>
      <c r="B685" t="s">
        <v>3214</v>
      </c>
      <c r="C685" s="1">
        <v>46048</v>
      </c>
      <c r="D685" t="s">
        <v>39</v>
      </c>
      <c r="E685" t="s">
        <v>51</v>
      </c>
      <c r="F685" t="s">
        <v>59</v>
      </c>
      <c r="H685" s="550" t="s">
        <v>4705</v>
      </c>
      <c r="I685" s="442"/>
      <c r="J685" s="548">
        <v>373.7</v>
      </c>
    </row>
    <row r="686" spans="1:10" ht="15">
      <c r="A686" s="137" t="str">
        <f>D686&amp;E686&amp;F686</f>
        <v>SGECUOTAS Y SUSCRIPCIONESCHATGPT</v>
      </c>
      <c r="B686" t="s">
        <v>3214</v>
      </c>
      <c r="C686" s="1">
        <v>46048</v>
      </c>
      <c r="D686" t="s">
        <v>39</v>
      </c>
      <c r="E686" t="s">
        <v>51</v>
      </c>
      <c r="F686" t="s">
        <v>59</v>
      </c>
      <c r="H686" s="550" t="s">
        <v>4705</v>
      </c>
      <c r="I686" s="442"/>
      <c r="J686" s="548">
        <v>373.7</v>
      </c>
    </row>
    <row r="687" spans="1:10" ht="15">
      <c r="A687" s="137" t="str">
        <f>D687&amp;E687&amp;F687</f>
        <v>SERVICIOSCUOTAS Y SUSCRIPCIONESAPP</v>
      </c>
      <c r="B687" t="s">
        <v>3214</v>
      </c>
      <c r="C687" s="1">
        <v>46048</v>
      </c>
      <c r="D687" t="s">
        <v>21</v>
      </c>
      <c r="E687" t="s">
        <v>51</v>
      </c>
      <c r="F687" t="s">
        <v>70</v>
      </c>
      <c r="H687" s="550" t="s">
        <v>4716</v>
      </c>
      <c r="I687" s="442"/>
      <c r="J687" s="548">
        <v>368.74</v>
      </c>
    </row>
    <row r="688" spans="1:10" ht="15">
      <c r="A688" s="137" t="str">
        <f>D688&amp;E688&amp;F688</f>
        <v>SERVICIOSCUOTAS Y SUSCRIPCIONESAPP</v>
      </c>
      <c r="B688" t="s">
        <v>3214</v>
      </c>
      <c r="C688" s="1">
        <v>46048</v>
      </c>
      <c r="D688" t="s">
        <v>21</v>
      </c>
      <c r="E688" t="s">
        <v>51</v>
      </c>
      <c r="F688" t="s">
        <v>70</v>
      </c>
      <c r="H688" s="550" t="s">
        <v>4716</v>
      </c>
      <c r="I688" s="442"/>
      <c r="J688" s="548">
        <v>7623.77</v>
      </c>
    </row>
    <row r="689" spans="1:10" ht="15">
      <c r="A689" s="137" t="str">
        <f t="shared" ref="A689:A735" si="20">D689&amp;E689&amp;F689</f>
        <v/>
      </c>
      <c r="B689" t="s">
        <v>3214</v>
      </c>
      <c r="C689" s="1">
        <v>46048</v>
      </c>
      <c r="H689" s="550" t="s">
        <v>4717</v>
      </c>
      <c r="I689" s="442"/>
      <c r="J689" s="548">
        <v>664.54</v>
      </c>
    </row>
    <row r="690" spans="1:10" ht="15">
      <c r="A690" s="137" t="str">
        <f>D690&amp;E690&amp;F690</f>
        <v>SERVICIOSCUOTAS Y SUSCRIPCIONESAPP</v>
      </c>
      <c r="B690" t="s">
        <v>3214</v>
      </c>
      <c r="C690" s="1">
        <v>46048</v>
      </c>
      <c r="D690" t="s">
        <v>21</v>
      </c>
      <c r="E690" t="s">
        <v>51</v>
      </c>
      <c r="F690" t="s">
        <v>70</v>
      </c>
      <c r="H690" s="550" t="s">
        <v>4716</v>
      </c>
      <c r="I690" s="442"/>
      <c r="J690" s="548">
        <v>367.74</v>
      </c>
    </row>
    <row r="691" spans="1:10" ht="15">
      <c r="A691" s="137" t="str">
        <f>D691&amp;E691&amp;F691</f>
        <v>SERVICIOSCUOTAS Y SUSCRIPCIONESAPP</v>
      </c>
      <c r="B691" t="s">
        <v>3214</v>
      </c>
      <c r="C691" s="1">
        <v>46048</v>
      </c>
      <c r="D691" t="s">
        <v>21</v>
      </c>
      <c r="E691" t="s">
        <v>51</v>
      </c>
      <c r="F691" t="s">
        <v>70</v>
      </c>
      <c r="H691" s="550" t="s">
        <v>4716</v>
      </c>
      <c r="I691" s="442"/>
      <c r="J691" s="548">
        <v>367.74</v>
      </c>
    </row>
    <row r="692" spans="1:10" ht="15">
      <c r="A692" s="137" t="str">
        <f>D692&amp;E692&amp;F692</f>
        <v>MKTINSUMOSINSUMOS</v>
      </c>
      <c r="B692" t="s">
        <v>3214</v>
      </c>
      <c r="C692" s="1">
        <v>46048</v>
      </c>
      <c r="D692" t="s">
        <v>19</v>
      </c>
      <c r="E692" t="s">
        <v>133</v>
      </c>
      <c r="F692" t="s">
        <v>133</v>
      </c>
      <c r="H692" s="550" t="s">
        <v>4580</v>
      </c>
      <c r="I692" s="442"/>
      <c r="J692" s="548">
        <v>10.35</v>
      </c>
    </row>
    <row r="693" spans="1:10" ht="15">
      <c r="A693" s="137" t="str">
        <f t="shared" si="20"/>
        <v/>
      </c>
      <c r="B693" t="s">
        <v>3214</v>
      </c>
      <c r="C693" s="1">
        <v>46048</v>
      </c>
      <c r="H693" s="550" t="s">
        <v>4449</v>
      </c>
      <c r="I693" s="442"/>
      <c r="J693" s="548">
        <v>2447.79</v>
      </c>
    </row>
    <row r="694" spans="1:10" ht="15">
      <c r="A694" s="137" t="str">
        <f t="shared" si="20"/>
        <v/>
      </c>
      <c r="B694" t="s">
        <v>3214</v>
      </c>
      <c r="C694" s="1">
        <v>46048</v>
      </c>
      <c r="H694" s="550" t="s">
        <v>4718</v>
      </c>
      <c r="I694" s="442"/>
      <c r="J694" s="548">
        <v>2754.46</v>
      </c>
    </row>
    <row r="695" spans="1:10" ht="15">
      <c r="A695" s="137" t="str">
        <f t="shared" si="20"/>
        <v>SGECUOTAS Y SUSCRIPCIONESAPP</v>
      </c>
      <c r="B695" t="s">
        <v>3214</v>
      </c>
      <c r="C695" s="1">
        <v>46048</v>
      </c>
      <c r="D695" t="s">
        <v>39</v>
      </c>
      <c r="E695" t="s">
        <v>51</v>
      </c>
      <c r="F695" t="s">
        <v>70</v>
      </c>
      <c r="H695" s="550" t="s">
        <v>4705</v>
      </c>
      <c r="I695" s="442"/>
      <c r="J695" s="548">
        <v>367.26</v>
      </c>
    </row>
    <row r="696" spans="1:10" ht="15">
      <c r="A696" s="137" t="str">
        <f t="shared" si="20"/>
        <v>SGECUOTAS Y SUSCRIPCIONESAPP</v>
      </c>
      <c r="B696" t="s">
        <v>3214</v>
      </c>
      <c r="C696" s="1">
        <v>46048</v>
      </c>
      <c r="D696" t="s">
        <v>39</v>
      </c>
      <c r="E696" t="s">
        <v>51</v>
      </c>
      <c r="F696" t="s">
        <v>70</v>
      </c>
      <c r="H696" s="550" t="s">
        <v>4716</v>
      </c>
      <c r="I696" s="442"/>
      <c r="J696" s="548">
        <v>183.74</v>
      </c>
    </row>
    <row r="697" spans="1:10" ht="15">
      <c r="A697" s="137" t="str">
        <f t="shared" si="20"/>
        <v>SGECUOTAS Y SUSCRIPCIONESOFFICE 365 (DE)</v>
      </c>
      <c r="B697" t="s">
        <v>3214</v>
      </c>
      <c r="C697" s="1">
        <v>46048</v>
      </c>
      <c r="D697" t="s">
        <v>39</v>
      </c>
      <c r="E697" t="s">
        <v>51</v>
      </c>
      <c r="F697" t="s">
        <v>4719</v>
      </c>
      <c r="H697" s="550" t="s">
        <v>4443</v>
      </c>
      <c r="I697" s="442"/>
      <c r="J697" s="548">
        <v>184.37</v>
      </c>
    </row>
    <row r="698" spans="1:10" ht="15">
      <c r="A698" s="137" t="str">
        <f t="shared" si="20"/>
        <v/>
      </c>
      <c r="B698" t="s">
        <v>3214</v>
      </c>
      <c r="C698" s="1">
        <v>46048</v>
      </c>
      <c r="H698" s="550" t="s">
        <v>4720</v>
      </c>
      <c r="I698" s="442"/>
      <c r="J698" s="548">
        <v>3031</v>
      </c>
    </row>
    <row r="699" spans="1:10" ht="15">
      <c r="A699" s="137" t="str">
        <f t="shared" si="20"/>
        <v/>
      </c>
      <c r="B699" t="s">
        <v>3214</v>
      </c>
      <c r="C699" s="1">
        <v>46048</v>
      </c>
      <c r="H699" s="550" t="s">
        <v>4721</v>
      </c>
      <c r="I699" s="442"/>
      <c r="J699" s="548">
        <v>484.96</v>
      </c>
    </row>
    <row r="700" spans="1:10" ht="15">
      <c r="A700" s="137" t="str">
        <f t="shared" si="20"/>
        <v>SERVICIOSADQ DE EQ TECNOLOGICOADQ DE EQ TECNOLOGICO</v>
      </c>
      <c r="B700" t="s">
        <v>3214</v>
      </c>
      <c r="C700" s="1">
        <v>46048</v>
      </c>
      <c r="D700" t="s">
        <v>21</v>
      </c>
      <c r="E700" t="s">
        <v>22</v>
      </c>
      <c r="F700" t="s">
        <v>22</v>
      </c>
      <c r="H700" s="550" t="s">
        <v>4722</v>
      </c>
      <c r="I700" s="442"/>
      <c r="J700" s="548">
        <v>6365</v>
      </c>
    </row>
    <row r="701" spans="1:10" ht="15">
      <c r="A701" s="137" t="str">
        <f t="shared" si="20"/>
        <v>FINANZASPOSADASPOSADAS</v>
      </c>
      <c r="B701" t="s">
        <v>3214</v>
      </c>
      <c r="C701" s="1">
        <v>46048</v>
      </c>
      <c r="D701" t="s">
        <v>23</v>
      </c>
      <c r="E701" t="s">
        <v>163</v>
      </c>
      <c r="F701" t="s">
        <v>163</v>
      </c>
      <c r="H701" s="550" t="s">
        <v>4723</v>
      </c>
      <c r="I701" s="442"/>
      <c r="J701" s="548">
        <v>2000</v>
      </c>
    </row>
    <row r="702" spans="1:10" ht="15">
      <c r="A702" s="137" t="str">
        <f t="shared" si="20"/>
        <v>FINANZASPOSADASPOSADAS</v>
      </c>
      <c r="B702" t="s">
        <v>3214</v>
      </c>
      <c r="C702" s="1">
        <v>46048</v>
      </c>
      <c r="D702" t="s">
        <v>23</v>
      </c>
      <c r="E702" t="s">
        <v>163</v>
      </c>
      <c r="F702" t="s">
        <v>163</v>
      </c>
      <c r="H702" s="550" t="s">
        <v>4724</v>
      </c>
      <c r="I702" s="442"/>
      <c r="J702" s="548">
        <v>3000</v>
      </c>
    </row>
    <row r="703" spans="1:10" ht="15">
      <c r="A703" s="137" t="str">
        <f t="shared" si="20"/>
        <v>MKTINSUMOSMKT</v>
      </c>
      <c r="B703" t="s">
        <v>3214</v>
      </c>
      <c r="C703" s="1">
        <v>46048</v>
      </c>
      <c r="D703" t="s">
        <v>19</v>
      </c>
      <c r="E703" t="s">
        <v>133</v>
      </c>
      <c r="F703" t="s">
        <v>19</v>
      </c>
      <c r="H703" s="550" t="s">
        <v>4580</v>
      </c>
      <c r="I703" s="442"/>
      <c r="J703" s="548">
        <v>899</v>
      </c>
    </row>
    <row r="704" spans="1:10" ht="15">
      <c r="A704" s="137" t="str">
        <f t="shared" si="20"/>
        <v>MKTINSUMOSMKT</v>
      </c>
      <c r="B704" t="s">
        <v>3214</v>
      </c>
      <c r="C704" s="1">
        <v>46048</v>
      </c>
      <c r="D704" t="s">
        <v>19</v>
      </c>
      <c r="E704" t="s">
        <v>133</v>
      </c>
      <c r="F704" t="s">
        <v>19</v>
      </c>
      <c r="H704" s="550" t="s">
        <v>4725</v>
      </c>
      <c r="I704" s="442"/>
      <c r="J704" s="548">
        <v>1727.45</v>
      </c>
    </row>
    <row r="705" spans="1:10" ht="15">
      <c r="A705" s="137" t="e">
        <f>#REF!&amp;#REF!&amp;#REF!</f>
        <v>#REF!</v>
      </c>
      <c r="B705" t="s">
        <v>3214</v>
      </c>
      <c r="C705" s="1">
        <v>46048</v>
      </c>
      <c r="D705" t="s">
        <v>19</v>
      </c>
      <c r="E705" t="s">
        <v>133</v>
      </c>
      <c r="F705" t="s">
        <v>19</v>
      </c>
      <c r="H705" s="550" t="s">
        <v>4725</v>
      </c>
      <c r="I705" s="442"/>
      <c r="J705" s="549">
        <v>1693.45</v>
      </c>
    </row>
    <row r="706" spans="1:10" ht="15">
      <c r="A706" s="137" t="str">
        <f>D705&amp;E705&amp;F705</f>
        <v>MKTINSUMOSMKT</v>
      </c>
      <c r="B706" t="s">
        <v>3214</v>
      </c>
      <c r="C706" s="1">
        <v>46048</v>
      </c>
    </row>
    <row r="707" spans="1:10" ht="15">
      <c r="A707" s="137" t="str">
        <f t="shared" si="20"/>
        <v/>
      </c>
      <c r="H707" s="550"/>
      <c r="I707" s="547"/>
      <c r="J707" s="391"/>
    </row>
    <row r="708" spans="1:10" ht="15">
      <c r="A708" s="137" t="str">
        <f t="shared" si="20"/>
        <v/>
      </c>
      <c r="H708" s="220"/>
      <c r="I708" s="442"/>
    </row>
    <row r="709" spans="1:10" ht="15">
      <c r="A709" s="137" t="str">
        <f t="shared" si="20"/>
        <v/>
      </c>
      <c r="H709" s="220"/>
      <c r="I709" s="442"/>
    </row>
    <row r="710" spans="1:10" ht="15">
      <c r="A710" s="137" t="str">
        <f t="shared" si="20"/>
        <v/>
      </c>
      <c r="H710" s="220"/>
      <c r="I710" s="442"/>
    </row>
    <row r="711" spans="1:10" ht="15">
      <c r="A711" s="137" t="str">
        <f t="shared" si="20"/>
        <v/>
      </c>
    </row>
    <row r="712" spans="1:10" ht="15">
      <c r="A712" s="137" t="str">
        <f t="shared" si="20"/>
        <v/>
      </c>
    </row>
    <row r="713" spans="1:10" ht="15">
      <c r="A713" s="137" t="str">
        <f t="shared" si="20"/>
        <v/>
      </c>
    </row>
    <row r="714" spans="1:10" ht="15">
      <c r="A714" s="137" t="str">
        <f t="shared" si="20"/>
        <v/>
      </c>
    </row>
    <row r="715" spans="1:10" ht="15">
      <c r="A715" s="137" t="str">
        <f t="shared" si="20"/>
        <v/>
      </c>
    </row>
    <row r="716" spans="1:10" ht="15">
      <c r="A716" s="137" t="str">
        <f t="shared" si="20"/>
        <v/>
      </c>
    </row>
    <row r="717" spans="1:10" ht="15">
      <c r="A717" s="137" t="str">
        <f t="shared" si="20"/>
        <v/>
      </c>
    </row>
    <row r="718" spans="1:10" ht="15">
      <c r="A718" s="137" t="str">
        <f t="shared" si="20"/>
        <v/>
      </c>
    </row>
    <row r="719" spans="1:10" ht="15">
      <c r="A719" s="137" t="str">
        <f t="shared" si="20"/>
        <v/>
      </c>
    </row>
    <row r="720" spans="1:10" ht="15">
      <c r="A720" s="137" t="str">
        <f t="shared" si="20"/>
        <v/>
      </c>
    </row>
    <row r="721" spans="1:1" ht="15">
      <c r="A721" s="137" t="str">
        <f t="shared" si="20"/>
        <v/>
      </c>
    </row>
    <row r="722" spans="1:1" ht="15">
      <c r="A722" s="137" t="str">
        <f t="shared" si="20"/>
        <v/>
      </c>
    </row>
    <row r="723" spans="1:1" ht="15">
      <c r="A723" s="137" t="str">
        <f t="shared" si="20"/>
        <v/>
      </c>
    </row>
    <row r="724" spans="1:1" ht="15">
      <c r="A724" s="137" t="str">
        <f t="shared" si="20"/>
        <v/>
      </c>
    </row>
    <row r="725" spans="1:1" ht="15">
      <c r="A725" s="137" t="str">
        <f t="shared" si="20"/>
        <v/>
      </c>
    </row>
    <row r="726" spans="1:1" ht="15">
      <c r="A726" s="137" t="str">
        <f t="shared" si="20"/>
        <v/>
      </c>
    </row>
    <row r="727" spans="1:1" ht="15">
      <c r="A727" s="137" t="str">
        <f t="shared" si="20"/>
        <v/>
      </c>
    </row>
    <row r="728" spans="1:1" ht="15">
      <c r="A728" s="137" t="str">
        <f t="shared" si="20"/>
        <v/>
      </c>
    </row>
    <row r="729" spans="1:1" ht="15">
      <c r="A729" s="137" t="str">
        <f t="shared" si="20"/>
        <v/>
      </c>
    </row>
    <row r="730" spans="1:1" ht="15">
      <c r="A730" s="137" t="str">
        <f t="shared" si="20"/>
        <v/>
      </c>
    </row>
    <row r="731" spans="1:1" ht="15">
      <c r="A731" s="137" t="str">
        <f t="shared" si="20"/>
        <v/>
      </c>
    </row>
    <row r="732" spans="1:1" ht="15">
      <c r="A732" s="137" t="str">
        <f t="shared" si="20"/>
        <v/>
      </c>
    </row>
    <row r="733" spans="1:1" ht="15">
      <c r="A733" s="137" t="str">
        <f t="shared" si="20"/>
        <v/>
      </c>
    </row>
    <row r="734" spans="1:1" ht="15">
      <c r="A734" s="137" t="str">
        <f t="shared" si="20"/>
        <v/>
      </c>
    </row>
    <row r="735" spans="1:1" ht="15">
      <c r="A735" s="137" t="str">
        <f t="shared" si="20"/>
        <v/>
      </c>
    </row>
    <row r="736" spans="1:1" ht="15">
      <c r="A736" s="137" t="str">
        <f t="shared" ref="A736:A741" si="21">D736&amp;E736&amp;F736</f>
        <v/>
      </c>
    </row>
    <row r="737" spans="1:1" ht="15">
      <c r="A737" s="137" t="str">
        <f t="shared" si="21"/>
        <v/>
      </c>
    </row>
    <row r="738" spans="1:1" ht="15">
      <c r="A738" s="137" t="str">
        <f t="shared" si="21"/>
        <v/>
      </c>
    </row>
    <row r="739" spans="1:1" ht="15">
      <c r="A739" s="137" t="str">
        <f t="shared" si="21"/>
        <v/>
      </c>
    </row>
    <row r="740" spans="1:1" ht="15">
      <c r="A740" s="137" t="str">
        <f t="shared" si="21"/>
        <v/>
      </c>
    </row>
    <row r="741" spans="1:1" ht="15">
      <c r="A741" s="137" t="str">
        <f t="shared" si="21"/>
        <v/>
      </c>
    </row>
    <row r="742" spans="1:1" ht="15">
      <c r="A742" s="137" t="str">
        <f>D742&amp;E742&amp;F742</f>
        <v/>
      </c>
    </row>
    <row r="743" spans="1:1" ht="15">
      <c r="A743" s="137" t="str">
        <f>D743&amp;E743&amp;F743</f>
        <v/>
      </c>
    </row>
    <row r="744" spans="1:1" ht="15">
      <c r="A744" s="137" t="str">
        <f>D744&amp;E744&amp;F744</f>
        <v/>
      </c>
    </row>
    <row r="745" spans="1:1" ht="15">
      <c r="A745" s="137" t="str">
        <f>D745&amp;E745&amp;F745</f>
        <v/>
      </c>
    </row>
    <row r="746" spans="1:1" ht="15">
      <c r="A746" s="137" t="str">
        <f>D746&amp;E746&amp;F746</f>
        <v/>
      </c>
    </row>
    <row r="747" spans="1:1" ht="15">
      <c r="A747" s="137" t="str">
        <f>D747&amp;E747&amp;F747</f>
        <v/>
      </c>
    </row>
    <row r="748" spans="1:1" ht="15">
      <c r="A748" s="137" t="str">
        <f>D748&amp;E748&amp;F748</f>
        <v/>
      </c>
    </row>
    <row r="749" spans="1:1" ht="15">
      <c r="A749" s="137" t="str">
        <f>D749&amp;E749&amp;F749</f>
        <v/>
      </c>
    </row>
    <row r="750" spans="1:1" ht="15">
      <c r="A750" s="137" t="str">
        <f>D750&amp;E750&amp;F750</f>
        <v/>
      </c>
    </row>
    <row r="751" spans="1:1" ht="15">
      <c r="A751" s="137" t="str">
        <f>D751&amp;E751&amp;F751</f>
        <v/>
      </c>
    </row>
    <row r="752" spans="1:1" ht="15">
      <c r="A752" s="137" t="str">
        <f>D752&amp;E752&amp;F752</f>
        <v/>
      </c>
    </row>
    <row r="753" spans="1:1" ht="15">
      <c r="A753" s="137" t="str">
        <f>D753&amp;E753&amp;F753</f>
        <v/>
      </c>
    </row>
    <row r="754" spans="1:1" ht="15">
      <c r="A754" s="137" t="str">
        <f>D754&amp;E754&amp;F754</f>
        <v/>
      </c>
    </row>
    <row r="755" spans="1:1" ht="15">
      <c r="A755" s="137" t="str">
        <f>D755&amp;E755&amp;F755</f>
        <v/>
      </c>
    </row>
    <row r="756" spans="1:1" ht="15">
      <c r="A756" s="137" t="str">
        <f>D756&amp;E756&amp;F756</f>
        <v/>
      </c>
    </row>
    <row r="757" spans="1:1" ht="15">
      <c r="A757" s="137" t="str">
        <f>D757&amp;E757&amp;F757</f>
        <v/>
      </c>
    </row>
    <row r="758" spans="1:1" ht="15">
      <c r="A758" s="137" t="str">
        <f>D758&amp;E758&amp;F758</f>
        <v/>
      </c>
    </row>
    <row r="759" spans="1:1" ht="15">
      <c r="A759" s="137" t="str">
        <f>D759&amp;E759&amp;F759</f>
        <v/>
      </c>
    </row>
    <row r="760" spans="1:1" ht="15">
      <c r="A760" s="137" t="str">
        <f>D760&amp;E760&amp;F760</f>
        <v/>
      </c>
    </row>
    <row r="761" spans="1:1" ht="15">
      <c r="A761" s="137" t="str">
        <f>D761&amp;E761&amp;F761</f>
        <v/>
      </c>
    </row>
    <row r="762" spans="1:1" ht="15">
      <c r="A762" s="137" t="str">
        <f>D762&amp;E762&amp;F762</f>
        <v/>
      </c>
    </row>
    <row r="763" spans="1:1" ht="15">
      <c r="A763" s="137" t="str">
        <f>D763&amp;E763&amp;F763</f>
        <v/>
      </c>
    </row>
    <row r="764" spans="1:1" ht="15">
      <c r="A764" s="137" t="str">
        <f>D764&amp;E764&amp;F764</f>
        <v/>
      </c>
    </row>
    <row r="765" spans="1:1" ht="15">
      <c r="A765" s="137" t="str">
        <f>D765&amp;E765&amp;F765</f>
        <v/>
      </c>
    </row>
    <row r="766" spans="1:1" ht="15">
      <c r="A766" s="137" t="str">
        <f>D766&amp;E766&amp;F766</f>
        <v/>
      </c>
    </row>
    <row r="767" spans="1:1" ht="15">
      <c r="A767" s="137" t="str">
        <f>D767&amp;E767&amp;F767</f>
        <v/>
      </c>
    </row>
    <row r="768" spans="1:1" ht="15">
      <c r="A768" s="137" t="str">
        <f>D768&amp;E768&amp;F768</f>
        <v/>
      </c>
    </row>
    <row r="769" spans="1:1" ht="15">
      <c r="A769" s="137" t="str">
        <f>D769&amp;E769&amp;F769</f>
        <v/>
      </c>
    </row>
    <row r="770" spans="1:1" ht="15">
      <c r="A770" s="137" t="str">
        <f>D770&amp;E770&amp;F770</f>
        <v/>
      </c>
    </row>
    <row r="771" spans="1:1" ht="15">
      <c r="A771" s="137" t="str">
        <f>D771&amp;E771&amp;F771</f>
        <v/>
      </c>
    </row>
    <row r="772" spans="1:1" ht="15">
      <c r="A772" s="137" t="str">
        <f>D772&amp;E772&amp;F772</f>
        <v/>
      </c>
    </row>
    <row r="773" spans="1:1" ht="15">
      <c r="A773" s="137" t="str">
        <f>D773&amp;E773&amp;F773</f>
        <v/>
      </c>
    </row>
    <row r="774" spans="1:1" ht="15">
      <c r="A774" s="137" t="str">
        <f>D774&amp;E774&amp;F774</f>
        <v/>
      </c>
    </row>
    <row r="775" spans="1:1" ht="15">
      <c r="A775" s="137" t="str">
        <f>D775&amp;E775&amp;F775</f>
        <v/>
      </c>
    </row>
    <row r="776" spans="1:1" ht="15">
      <c r="A776" s="137" t="str">
        <f>D776&amp;E776&amp;F776</f>
        <v/>
      </c>
    </row>
    <row r="777" spans="1:1" ht="15">
      <c r="A777" s="137" t="str">
        <f>D777&amp;E777&amp;F777</f>
        <v/>
      </c>
    </row>
    <row r="778" spans="1:1" ht="15">
      <c r="A778" s="137" t="str">
        <f>D778&amp;E778&amp;F778</f>
        <v/>
      </c>
    </row>
    <row r="779" spans="1:1" ht="15">
      <c r="A779" s="137" t="str">
        <f>D779&amp;E779&amp;F779</f>
        <v/>
      </c>
    </row>
    <row r="780" spans="1:1" ht="15">
      <c r="A780" s="137" t="str">
        <f>D780&amp;E780&amp;F780</f>
        <v/>
      </c>
    </row>
    <row r="781" spans="1:1" ht="15">
      <c r="A781" s="137" t="str">
        <f>D781&amp;E781&amp;F781</f>
        <v/>
      </c>
    </row>
    <row r="782" spans="1:1" ht="15">
      <c r="A782" s="137" t="str">
        <f>D782&amp;E782&amp;F782</f>
        <v/>
      </c>
    </row>
    <row r="783" spans="1:1" ht="15">
      <c r="A783" s="137" t="str">
        <f>D783&amp;E783&amp;F783</f>
        <v/>
      </c>
    </row>
    <row r="784" spans="1:1" ht="15">
      <c r="A784" s="137" t="str">
        <f>D784&amp;E784&amp;F784</f>
        <v/>
      </c>
    </row>
    <row r="785" spans="1:1" ht="15">
      <c r="A785" s="137" t="str">
        <f>D785&amp;E785&amp;F785</f>
        <v/>
      </c>
    </row>
    <row r="786" spans="1:1" ht="15">
      <c r="A786" s="137" t="str">
        <f>D786&amp;E786&amp;F786</f>
        <v/>
      </c>
    </row>
    <row r="787" spans="1:1" ht="15">
      <c r="A787" s="137" t="str">
        <f>D787&amp;E787&amp;F787</f>
        <v/>
      </c>
    </row>
    <row r="788" spans="1:1" ht="15">
      <c r="A788" s="137" t="str">
        <f>D788&amp;E788&amp;F788</f>
        <v/>
      </c>
    </row>
    <row r="789" spans="1:1" ht="15">
      <c r="A789" s="137" t="str">
        <f>D789&amp;E789&amp;F789</f>
        <v/>
      </c>
    </row>
    <row r="790" spans="1:1" ht="15">
      <c r="A790" s="137" t="str">
        <f>D790&amp;E790&amp;F790</f>
        <v/>
      </c>
    </row>
    <row r="791" spans="1:1" ht="15">
      <c r="A791" s="137" t="str">
        <f>D791&amp;E791&amp;F791</f>
        <v/>
      </c>
    </row>
    <row r="792" spans="1:1" ht="15">
      <c r="A792" s="137" t="str">
        <f>D792&amp;E792&amp;F792</f>
        <v/>
      </c>
    </row>
    <row r="793" spans="1:1" ht="15">
      <c r="A793" s="137" t="str">
        <f>D793&amp;E793&amp;F793</f>
        <v/>
      </c>
    </row>
    <row r="794" spans="1:1" ht="15">
      <c r="A794" s="137" t="str">
        <f>D794&amp;E794&amp;F794</f>
        <v/>
      </c>
    </row>
    <row r="795" spans="1:1" ht="15">
      <c r="A795" s="137" t="str">
        <f>D795&amp;E795&amp;F795</f>
        <v/>
      </c>
    </row>
    <row r="796" spans="1:1" ht="15">
      <c r="A796" s="137" t="str">
        <f>D796&amp;E796&amp;F796</f>
        <v/>
      </c>
    </row>
    <row r="797" spans="1:1" ht="15">
      <c r="A797" s="137" t="str">
        <f>D797&amp;E797&amp;F797</f>
        <v/>
      </c>
    </row>
    <row r="798" spans="1:1" ht="15">
      <c r="A798" s="137" t="str">
        <f>D798&amp;E798&amp;F798</f>
        <v/>
      </c>
    </row>
    <row r="799" spans="1:1" ht="15">
      <c r="A799" s="137" t="str">
        <f>D799&amp;E799&amp;F799</f>
        <v/>
      </c>
    </row>
    <row r="800" spans="1:1" ht="15">
      <c r="A800" s="137" t="str">
        <f>D800&amp;E800&amp;F800</f>
        <v/>
      </c>
    </row>
    <row r="801" spans="1:1" ht="15">
      <c r="A801" s="137" t="str">
        <f>D801&amp;E801&amp;F801</f>
        <v/>
      </c>
    </row>
    <row r="802" spans="1:1" ht="15">
      <c r="A802" s="137" t="str">
        <f>D802&amp;E802&amp;F802</f>
        <v/>
      </c>
    </row>
    <row r="803" spans="1:1" ht="15">
      <c r="A803" s="137" t="str">
        <f>D803&amp;E803&amp;F803</f>
        <v/>
      </c>
    </row>
    <row r="804" spans="1:1" ht="15">
      <c r="A804" s="137" t="str">
        <f>D804&amp;E804&amp;F804</f>
        <v/>
      </c>
    </row>
    <row r="805" spans="1:1" ht="15">
      <c r="A805" s="137" t="str">
        <f>D805&amp;E805&amp;F805</f>
        <v/>
      </c>
    </row>
    <row r="806" spans="1:1" ht="15">
      <c r="A806" s="137" t="str">
        <f>D806&amp;E806&amp;F806</f>
        <v/>
      </c>
    </row>
    <row r="807" spans="1:1" ht="15">
      <c r="A807" s="137" t="str">
        <f>D807&amp;E807&amp;F807</f>
        <v/>
      </c>
    </row>
    <row r="808" spans="1:1" ht="15">
      <c r="A808" s="137" t="str">
        <f>D808&amp;E808&amp;F808</f>
        <v/>
      </c>
    </row>
    <row r="809" spans="1:1" ht="15">
      <c r="A809" s="137" t="str">
        <f>D809&amp;E809&amp;F809</f>
        <v/>
      </c>
    </row>
    <row r="810" spans="1:1" ht="15">
      <c r="A810" s="137" t="str">
        <f>D810&amp;E810&amp;F810</f>
        <v/>
      </c>
    </row>
    <row r="811" spans="1:1" ht="15">
      <c r="A811" s="137" t="str">
        <f>D811&amp;E811&amp;F811</f>
        <v/>
      </c>
    </row>
    <row r="812" spans="1:1" ht="15">
      <c r="A812" s="137" t="str">
        <f>D812&amp;E812&amp;F812</f>
        <v/>
      </c>
    </row>
    <row r="813" spans="1:1" ht="15">
      <c r="A813" s="137" t="str">
        <f>D813&amp;E813&amp;F813</f>
        <v/>
      </c>
    </row>
    <row r="814" spans="1:1" ht="15">
      <c r="A814" s="137" t="str">
        <f>D814&amp;E814&amp;F814</f>
        <v/>
      </c>
    </row>
    <row r="815" spans="1:1" ht="15">
      <c r="A815" s="137" t="str">
        <f>D815&amp;E815&amp;F815</f>
        <v/>
      </c>
    </row>
    <row r="816" spans="1:1" ht="15">
      <c r="A816" s="137" t="str">
        <f>D816&amp;E816&amp;F816</f>
        <v/>
      </c>
    </row>
    <row r="817" spans="1:1" ht="15">
      <c r="A817" s="137" t="str">
        <f>D817&amp;E817&amp;F817</f>
        <v/>
      </c>
    </row>
    <row r="818" spans="1:1" ht="15">
      <c r="A818" s="137" t="str">
        <f>D818&amp;E818&amp;F818</f>
        <v/>
      </c>
    </row>
    <row r="819" spans="1:1" ht="15">
      <c r="A819" s="137" t="str">
        <f>D819&amp;E819&amp;F819</f>
        <v/>
      </c>
    </row>
    <row r="820" spans="1:1" ht="15">
      <c r="A820" s="137" t="str">
        <f>D820&amp;E820&amp;F820</f>
        <v/>
      </c>
    </row>
    <row r="821" spans="1:1" ht="15">
      <c r="A821" s="137" t="str">
        <f>D821&amp;E821&amp;F821</f>
        <v/>
      </c>
    </row>
    <row r="822" spans="1:1" ht="15">
      <c r="A822" s="137" t="str">
        <f>D822&amp;E822&amp;F822</f>
        <v/>
      </c>
    </row>
    <row r="823" spans="1:1" ht="15">
      <c r="A823" s="137" t="str">
        <f>D823&amp;E823&amp;F823</f>
        <v/>
      </c>
    </row>
    <row r="824" spans="1:1" ht="15">
      <c r="A824" s="137" t="str">
        <f>D824&amp;E824&amp;F824</f>
        <v/>
      </c>
    </row>
    <row r="825" spans="1:1" ht="15">
      <c r="A825" s="137" t="str">
        <f>D825&amp;E825&amp;F825</f>
        <v/>
      </c>
    </row>
    <row r="826" spans="1:1" ht="15">
      <c r="A826" s="137" t="str">
        <f>D826&amp;E826&amp;F826</f>
        <v/>
      </c>
    </row>
    <row r="827" spans="1:1" ht="15">
      <c r="A827" s="137" t="str">
        <f>D827&amp;E827&amp;F827</f>
        <v/>
      </c>
    </row>
    <row r="828" spans="1:1" ht="15">
      <c r="A828" s="137" t="str">
        <f>D828&amp;E828&amp;F828</f>
        <v/>
      </c>
    </row>
    <row r="829" spans="1:1" ht="15">
      <c r="A829" s="137" t="str">
        <f>D829&amp;E829&amp;F829</f>
        <v/>
      </c>
    </row>
    <row r="830" spans="1:1" ht="15">
      <c r="A830" s="137" t="str">
        <f>D830&amp;E830&amp;F830</f>
        <v/>
      </c>
    </row>
    <row r="831" spans="1:1" ht="15">
      <c r="A831" s="137" t="str">
        <f>D831&amp;E831&amp;F831</f>
        <v/>
      </c>
    </row>
    <row r="832" spans="1:1" ht="15">
      <c r="A832" s="137" t="str">
        <f>D832&amp;E832&amp;F832</f>
        <v/>
      </c>
    </row>
    <row r="833" spans="1:1" ht="15">
      <c r="A833" s="137" t="str">
        <f>D833&amp;E833&amp;F833</f>
        <v/>
      </c>
    </row>
    <row r="834" spans="1:1" ht="15">
      <c r="A834" s="137" t="str">
        <f>D834&amp;E834&amp;F834</f>
        <v/>
      </c>
    </row>
    <row r="835" spans="1:1" ht="15">
      <c r="A835" s="137" t="str">
        <f>D835&amp;E835&amp;F835</f>
        <v/>
      </c>
    </row>
    <row r="836" spans="1:1" ht="15">
      <c r="A836" s="137" t="str">
        <f>D836&amp;E836&amp;F836</f>
        <v/>
      </c>
    </row>
    <row r="837" spans="1:1" ht="15">
      <c r="A837" s="137" t="str">
        <f>D837&amp;E837&amp;F837</f>
        <v/>
      </c>
    </row>
    <row r="838" spans="1:1" ht="15">
      <c r="A838" s="137" t="str">
        <f>D838&amp;E838&amp;F838</f>
        <v/>
      </c>
    </row>
    <row r="839" spans="1:1" ht="15">
      <c r="A839" s="137" t="str">
        <f>D839&amp;E839&amp;F839</f>
        <v/>
      </c>
    </row>
    <row r="840" spans="1:1" ht="15">
      <c r="A840" s="137" t="str">
        <f>D840&amp;E840&amp;F840</f>
        <v/>
      </c>
    </row>
    <row r="841" spans="1:1" ht="15">
      <c r="A841" s="137" t="str">
        <f>D841&amp;E841&amp;F841</f>
        <v/>
      </c>
    </row>
    <row r="842" spans="1:1" ht="15">
      <c r="A842" s="137" t="str">
        <f>D842&amp;E842&amp;F842</f>
        <v/>
      </c>
    </row>
    <row r="843" spans="1:1" ht="15">
      <c r="A843" s="137" t="str">
        <f>D843&amp;E843&amp;F843</f>
        <v/>
      </c>
    </row>
    <row r="844" spans="1:1" ht="15">
      <c r="A844" s="137" t="str">
        <f>D844&amp;E844&amp;F844</f>
        <v/>
      </c>
    </row>
    <row r="845" spans="1:1" ht="15">
      <c r="A845" s="137" t="str">
        <f>D845&amp;E845&amp;F845</f>
        <v/>
      </c>
    </row>
    <row r="846" spans="1:1" ht="15">
      <c r="A846" s="137" t="str">
        <f>D846&amp;E846&amp;F846</f>
        <v/>
      </c>
    </row>
    <row r="847" spans="1:1" ht="15">
      <c r="A847" s="137" t="str">
        <f>D847&amp;E847&amp;F847</f>
        <v/>
      </c>
    </row>
    <row r="848" spans="1:1" ht="15">
      <c r="A848" s="137" t="str">
        <f>D848&amp;E848&amp;F848</f>
        <v/>
      </c>
    </row>
    <row r="849" spans="1:1" ht="15">
      <c r="A849" s="137" t="str">
        <f>D849&amp;E849&amp;F849</f>
        <v/>
      </c>
    </row>
    <row r="850" spans="1:1" ht="15">
      <c r="A850" s="137" t="str">
        <f>D850&amp;E850&amp;F850</f>
        <v/>
      </c>
    </row>
    <row r="851" spans="1:1" ht="15">
      <c r="A851" s="137" t="str">
        <f>D851&amp;E851&amp;F851</f>
        <v/>
      </c>
    </row>
    <row r="852" spans="1:1" ht="15">
      <c r="A852" s="137" t="str">
        <f>D852&amp;E852&amp;F852</f>
        <v/>
      </c>
    </row>
    <row r="853" spans="1:1" ht="15">
      <c r="A853" s="137" t="str">
        <f>D853&amp;E853&amp;F853</f>
        <v/>
      </c>
    </row>
    <row r="854" spans="1:1" ht="15">
      <c r="A854" s="137" t="str">
        <f t="shared" ref="A854:A917" si="22">D854&amp;E854&amp;F854</f>
        <v/>
      </c>
    </row>
    <row r="855" spans="1:1" ht="15">
      <c r="A855" s="137" t="str">
        <f t="shared" si="22"/>
        <v/>
      </c>
    </row>
    <row r="856" spans="1:1" ht="15">
      <c r="A856" s="137" t="str">
        <f t="shared" si="22"/>
        <v/>
      </c>
    </row>
    <row r="857" spans="1:1" ht="15">
      <c r="A857" s="137" t="str">
        <f t="shared" si="22"/>
        <v/>
      </c>
    </row>
    <row r="858" spans="1:1" ht="15">
      <c r="A858" s="137" t="str">
        <f t="shared" si="22"/>
        <v/>
      </c>
    </row>
    <row r="859" spans="1:1" ht="15">
      <c r="A859" s="137" t="str">
        <f t="shared" si="22"/>
        <v/>
      </c>
    </row>
    <row r="860" spans="1:1" ht="15">
      <c r="A860" s="137" t="str">
        <f t="shared" si="22"/>
        <v/>
      </c>
    </row>
    <row r="861" spans="1:1" ht="15">
      <c r="A861" s="137" t="str">
        <f t="shared" si="22"/>
        <v/>
      </c>
    </row>
    <row r="862" spans="1:1" ht="15">
      <c r="A862" s="137" t="str">
        <f t="shared" si="22"/>
        <v/>
      </c>
    </row>
    <row r="863" spans="1:1" ht="15">
      <c r="A863" s="137" t="str">
        <f t="shared" si="22"/>
        <v/>
      </c>
    </row>
    <row r="864" spans="1:1" ht="15">
      <c r="A864" s="137" t="str">
        <f t="shared" si="22"/>
        <v/>
      </c>
    </row>
    <row r="865" spans="1:10" ht="15">
      <c r="A865" s="137" t="str">
        <f t="shared" si="22"/>
        <v/>
      </c>
    </row>
    <row r="866" spans="1:10" ht="15">
      <c r="A866" s="137" t="str">
        <f t="shared" si="22"/>
        <v/>
      </c>
    </row>
    <row r="867" spans="1:10" ht="15">
      <c r="A867" s="137" t="str">
        <f t="shared" si="22"/>
        <v/>
      </c>
    </row>
    <row r="868" spans="1:10" ht="15">
      <c r="A868" s="137" t="str">
        <f t="shared" si="22"/>
        <v/>
      </c>
    </row>
    <row r="869" spans="1:10" ht="15">
      <c r="A869" s="137" t="str">
        <f t="shared" si="22"/>
        <v/>
      </c>
    </row>
    <row r="870" spans="1:10" ht="15">
      <c r="A870" s="137" t="str">
        <f t="shared" si="22"/>
        <v/>
      </c>
    </row>
    <row r="871" spans="1:10" ht="15">
      <c r="A871" s="137" t="str">
        <f t="shared" si="22"/>
        <v/>
      </c>
      <c r="H871" s="220"/>
      <c r="I871" s="442"/>
      <c r="J871" s="442"/>
    </row>
    <row r="872" spans="1:10" ht="15">
      <c r="A872" s="137" t="str">
        <f t="shared" si="22"/>
        <v/>
      </c>
    </row>
    <row r="873" spans="1:10" ht="15">
      <c r="A873" s="137" t="str">
        <f t="shared" si="22"/>
        <v/>
      </c>
    </row>
    <row r="874" spans="1:10" ht="15">
      <c r="A874" s="137" t="str">
        <f t="shared" si="22"/>
        <v/>
      </c>
    </row>
    <row r="875" spans="1:10" ht="15">
      <c r="A875" s="137" t="str">
        <f t="shared" si="22"/>
        <v/>
      </c>
    </row>
    <row r="876" spans="1:10" ht="15">
      <c r="A876" s="137" t="str">
        <f t="shared" si="22"/>
        <v/>
      </c>
    </row>
    <row r="877" spans="1:10" ht="15">
      <c r="A877" s="137" t="str">
        <f t="shared" si="22"/>
        <v/>
      </c>
    </row>
    <row r="878" spans="1:10" ht="15">
      <c r="A878" s="137" t="str">
        <f t="shared" si="22"/>
        <v/>
      </c>
    </row>
    <row r="879" spans="1:10" ht="15">
      <c r="A879" s="137" t="str">
        <f t="shared" si="22"/>
        <v/>
      </c>
    </row>
    <row r="880" spans="1:10" ht="15">
      <c r="A880" s="137" t="str">
        <f t="shared" si="22"/>
        <v/>
      </c>
    </row>
    <row r="881" spans="1:1" ht="15">
      <c r="A881" s="137" t="str">
        <f t="shared" si="22"/>
        <v/>
      </c>
    </row>
    <row r="882" spans="1:1" ht="15">
      <c r="A882" s="137" t="str">
        <f t="shared" si="22"/>
        <v/>
      </c>
    </row>
    <row r="883" spans="1:1" ht="15">
      <c r="A883" s="137" t="str">
        <f t="shared" si="22"/>
        <v/>
      </c>
    </row>
    <row r="884" spans="1:1" ht="15">
      <c r="A884" s="137" t="str">
        <f t="shared" si="22"/>
        <v/>
      </c>
    </row>
    <row r="885" spans="1:1" ht="15">
      <c r="A885" s="137" t="str">
        <f t="shared" si="22"/>
        <v/>
      </c>
    </row>
    <row r="886" spans="1:1" ht="15">
      <c r="A886" s="137" t="str">
        <f t="shared" si="22"/>
        <v/>
      </c>
    </row>
    <row r="887" spans="1:1" ht="15">
      <c r="A887" s="137" t="str">
        <f t="shared" si="22"/>
        <v/>
      </c>
    </row>
    <row r="888" spans="1:1" ht="15">
      <c r="A888" s="137" t="str">
        <f t="shared" si="22"/>
        <v/>
      </c>
    </row>
    <row r="889" spans="1:1" ht="15">
      <c r="A889" s="137" t="str">
        <f t="shared" si="22"/>
        <v/>
      </c>
    </row>
    <row r="890" spans="1:1" ht="15">
      <c r="A890" s="137" t="str">
        <f t="shared" si="22"/>
        <v/>
      </c>
    </row>
    <row r="891" spans="1:1" ht="15">
      <c r="A891" s="137" t="str">
        <f t="shared" si="22"/>
        <v/>
      </c>
    </row>
    <row r="892" spans="1:1" ht="15">
      <c r="A892" s="137" t="str">
        <f t="shared" si="22"/>
        <v/>
      </c>
    </row>
    <row r="893" spans="1:1" ht="15">
      <c r="A893" s="137" t="str">
        <f t="shared" si="22"/>
        <v/>
      </c>
    </row>
    <row r="894" spans="1:1" ht="15">
      <c r="A894" s="137" t="str">
        <f t="shared" si="22"/>
        <v/>
      </c>
    </row>
    <row r="895" spans="1:1" ht="15">
      <c r="A895" s="137" t="str">
        <f t="shared" si="22"/>
        <v/>
      </c>
    </row>
    <row r="896" spans="1:1" ht="15">
      <c r="A896" s="137" t="str">
        <f t="shared" si="22"/>
        <v/>
      </c>
    </row>
    <row r="897" spans="1:1" ht="15">
      <c r="A897" s="137" t="str">
        <f t="shared" si="22"/>
        <v/>
      </c>
    </row>
    <row r="898" spans="1:1" ht="15">
      <c r="A898" s="137" t="str">
        <f t="shared" si="22"/>
        <v/>
      </c>
    </row>
    <row r="899" spans="1:1" ht="15">
      <c r="A899" s="137" t="str">
        <f t="shared" si="22"/>
        <v/>
      </c>
    </row>
    <row r="900" spans="1:1" ht="15">
      <c r="A900" s="137" t="str">
        <f t="shared" si="22"/>
        <v/>
      </c>
    </row>
    <row r="901" spans="1:1" ht="15">
      <c r="A901" s="137" t="str">
        <f t="shared" si="22"/>
        <v/>
      </c>
    </row>
    <row r="902" spans="1:1" ht="15">
      <c r="A902" s="137" t="str">
        <f t="shared" si="22"/>
        <v/>
      </c>
    </row>
    <row r="903" spans="1:1" ht="15">
      <c r="A903" s="137" t="str">
        <f t="shared" si="22"/>
        <v/>
      </c>
    </row>
    <row r="904" spans="1:1" ht="15">
      <c r="A904" s="137" t="str">
        <f t="shared" si="22"/>
        <v/>
      </c>
    </row>
    <row r="905" spans="1:1" ht="15">
      <c r="A905" s="137" t="str">
        <f t="shared" si="22"/>
        <v/>
      </c>
    </row>
    <row r="906" spans="1:1" ht="15">
      <c r="A906" s="137" t="str">
        <f t="shared" si="22"/>
        <v/>
      </c>
    </row>
    <row r="907" spans="1:1" ht="15">
      <c r="A907" s="137" t="str">
        <f t="shared" si="22"/>
        <v/>
      </c>
    </row>
    <row r="908" spans="1:1" ht="15">
      <c r="A908" s="137" t="str">
        <f t="shared" si="22"/>
        <v/>
      </c>
    </row>
    <row r="909" spans="1:1" ht="15">
      <c r="A909" s="137" t="str">
        <f t="shared" si="22"/>
        <v/>
      </c>
    </row>
    <row r="910" spans="1:1" ht="15">
      <c r="A910" s="137" t="str">
        <f t="shared" si="22"/>
        <v/>
      </c>
    </row>
    <row r="911" spans="1:1" ht="15">
      <c r="A911" s="137" t="str">
        <f t="shared" si="22"/>
        <v/>
      </c>
    </row>
    <row r="912" spans="1:1" ht="15">
      <c r="A912" s="137" t="str">
        <f t="shared" si="22"/>
        <v/>
      </c>
    </row>
    <row r="913" spans="1:1" ht="15">
      <c r="A913" s="137" t="str">
        <f t="shared" si="22"/>
        <v/>
      </c>
    </row>
    <row r="914" spans="1:1" ht="15">
      <c r="A914" s="137" t="str">
        <f t="shared" si="22"/>
        <v/>
      </c>
    </row>
    <row r="915" spans="1:1" ht="15">
      <c r="A915" s="137" t="str">
        <f t="shared" si="22"/>
        <v/>
      </c>
    </row>
    <row r="916" spans="1:1" ht="15">
      <c r="A916" s="137" t="str">
        <f t="shared" si="22"/>
        <v/>
      </c>
    </row>
    <row r="917" spans="1:1" ht="15">
      <c r="A917" s="137" t="str">
        <f t="shared" si="22"/>
        <v/>
      </c>
    </row>
    <row r="918" spans="1:1" ht="15">
      <c r="A918" s="137" t="str">
        <f t="shared" ref="A918:A952" si="23">D918&amp;E918&amp;F918</f>
        <v/>
      </c>
    </row>
    <row r="919" spans="1:1" ht="15">
      <c r="A919" s="137" t="str">
        <f t="shared" si="23"/>
        <v/>
      </c>
    </row>
    <row r="920" spans="1:1" ht="15">
      <c r="A920" s="137" t="str">
        <f t="shared" si="23"/>
        <v/>
      </c>
    </row>
    <row r="921" spans="1:1" ht="15">
      <c r="A921" s="137" t="str">
        <f t="shared" si="23"/>
        <v/>
      </c>
    </row>
    <row r="922" spans="1:1" ht="15">
      <c r="A922" s="137" t="str">
        <f t="shared" si="23"/>
        <v/>
      </c>
    </row>
    <row r="923" spans="1:1" ht="15">
      <c r="A923" s="137" t="str">
        <f t="shared" si="23"/>
        <v/>
      </c>
    </row>
    <row r="924" spans="1:1" ht="15">
      <c r="A924" s="137" t="str">
        <f t="shared" si="23"/>
        <v/>
      </c>
    </row>
    <row r="925" spans="1:1" ht="15">
      <c r="A925" s="137" t="str">
        <f t="shared" si="23"/>
        <v/>
      </c>
    </row>
    <row r="926" spans="1:1" ht="15">
      <c r="A926" s="137" t="str">
        <f t="shared" si="23"/>
        <v/>
      </c>
    </row>
    <row r="927" spans="1:1" ht="15">
      <c r="A927" s="137" t="str">
        <f t="shared" si="23"/>
        <v/>
      </c>
    </row>
    <row r="928" spans="1:1" ht="15">
      <c r="A928" s="137" t="str">
        <f t="shared" si="23"/>
        <v/>
      </c>
    </row>
    <row r="929" spans="1:1" ht="15">
      <c r="A929" s="137" t="str">
        <f t="shared" si="23"/>
        <v/>
      </c>
    </row>
    <row r="930" spans="1:1" ht="15">
      <c r="A930" s="137" t="str">
        <f t="shared" si="23"/>
        <v/>
      </c>
    </row>
    <row r="931" spans="1:1" ht="15">
      <c r="A931" s="137" t="str">
        <f t="shared" si="23"/>
        <v/>
      </c>
    </row>
    <row r="932" spans="1:1" ht="15">
      <c r="A932" s="137" t="str">
        <f t="shared" si="23"/>
        <v/>
      </c>
    </row>
    <row r="933" spans="1:1" ht="15">
      <c r="A933" s="137" t="str">
        <f t="shared" si="23"/>
        <v/>
      </c>
    </row>
    <row r="934" spans="1:1" ht="15">
      <c r="A934" s="137" t="str">
        <f t="shared" si="23"/>
        <v/>
      </c>
    </row>
    <row r="935" spans="1:1" ht="15">
      <c r="A935" s="137" t="str">
        <f t="shared" si="23"/>
        <v/>
      </c>
    </row>
    <row r="936" spans="1:1" ht="15">
      <c r="A936" s="137" t="str">
        <f t="shared" si="23"/>
        <v/>
      </c>
    </row>
    <row r="937" spans="1:1" ht="15">
      <c r="A937" s="137" t="str">
        <f t="shared" si="23"/>
        <v/>
      </c>
    </row>
    <row r="938" spans="1:1" ht="15">
      <c r="A938" s="137" t="str">
        <f t="shared" si="23"/>
        <v/>
      </c>
    </row>
    <row r="939" spans="1:1" ht="15">
      <c r="A939" s="137" t="str">
        <f t="shared" si="23"/>
        <v/>
      </c>
    </row>
    <row r="940" spans="1:1" ht="15">
      <c r="A940" s="137" t="str">
        <f t="shared" si="23"/>
        <v/>
      </c>
    </row>
    <row r="941" spans="1:1" ht="15">
      <c r="A941" s="137" t="str">
        <f t="shared" si="23"/>
        <v/>
      </c>
    </row>
    <row r="942" spans="1:1" ht="15">
      <c r="A942" s="137" t="str">
        <f t="shared" si="23"/>
        <v/>
      </c>
    </row>
    <row r="943" spans="1:1" ht="15">
      <c r="A943" s="137" t="str">
        <f t="shared" si="23"/>
        <v/>
      </c>
    </row>
    <row r="944" spans="1:1" ht="15">
      <c r="A944" s="137" t="str">
        <f t="shared" si="23"/>
        <v/>
      </c>
    </row>
    <row r="945" spans="1:1" ht="15">
      <c r="A945" s="137" t="str">
        <f t="shared" si="23"/>
        <v/>
      </c>
    </row>
    <row r="946" spans="1:1" ht="15">
      <c r="A946" s="137" t="str">
        <f t="shared" si="23"/>
        <v/>
      </c>
    </row>
    <row r="947" spans="1:1" ht="15">
      <c r="A947" s="137" t="str">
        <f t="shared" si="23"/>
        <v/>
      </c>
    </row>
    <row r="948" spans="1:1" ht="15">
      <c r="A948" s="137" t="str">
        <f t="shared" si="23"/>
        <v/>
      </c>
    </row>
    <row r="949" spans="1:1" ht="15">
      <c r="A949" s="137" t="str">
        <f t="shared" si="23"/>
        <v/>
      </c>
    </row>
    <row r="950" spans="1:1" ht="15">
      <c r="A950" s="137" t="str">
        <f t="shared" si="23"/>
        <v/>
      </c>
    </row>
    <row r="951" spans="1:1" ht="15">
      <c r="A951" s="137" t="str">
        <f t="shared" si="23"/>
        <v/>
      </c>
    </row>
    <row r="952" spans="1:1" ht="15">
      <c r="A952" s="137" t="str">
        <f t="shared" si="23"/>
        <v/>
      </c>
    </row>
    <row r="953" spans="1:1" ht="15">
      <c r="A953" s="137" t="str">
        <f>D953&amp;E953&amp;F953</f>
        <v/>
      </c>
    </row>
    <row r="954" spans="1:1" ht="15">
      <c r="A954" s="137" t="str">
        <f>D954&amp;E954&amp;F954</f>
        <v/>
      </c>
    </row>
    <row r="955" spans="1:1" ht="15">
      <c r="A955" s="137" t="str">
        <f>D955&amp;E955&amp;F955</f>
        <v/>
      </c>
    </row>
    <row r="956" spans="1:1" ht="15">
      <c r="A956" s="137" t="str">
        <f>D956&amp;E956&amp;F956</f>
        <v/>
      </c>
    </row>
    <row r="957" spans="1:1" ht="15">
      <c r="A957" s="137" t="str">
        <f>D957&amp;E957&amp;F957</f>
        <v/>
      </c>
    </row>
    <row r="958" spans="1:1" ht="15">
      <c r="A958" s="137" t="str">
        <f>D958&amp;E958&amp;F958</f>
        <v/>
      </c>
    </row>
    <row r="959" spans="1:1" ht="15">
      <c r="A959" s="137" t="str">
        <f>D959&amp;E959&amp;F959</f>
        <v/>
      </c>
    </row>
    <row r="960" spans="1:1" ht="15">
      <c r="A960" s="137" t="str">
        <f>D960&amp;E960&amp;F960</f>
        <v/>
      </c>
    </row>
    <row r="961" spans="1:1" ht="15">
      <c r="A961" s="137" t="str">
        <f>D961&amp;E961&amp;F961</f>
        <v/>
      </c>
    </row>
    <row r="962" spans="1:1" ht="15">
      <c r="A962" s="137" t="str">
        <f>D962&amp;E962&amp;F962</f>
        <v/>
      </c>
    </row>
    <row r="963" spans="1:1" ht="15">
      <c r="A963" s="137" t="str">
        <f>D963&amp;E963&amp;F963</f>
        <v/>
      </c>
    </row>
    <row r="964" spans="1:1" ht="15">
      <c r="A964" s="137" t="str">
        <f>D964&amp;E964&amp;F964</f>
        <v/>
      </c>
    </row>
  </sheetData>
  <protectedRanges>
    <protectedRange sqref="D179:F179" name="Rango1"/>
    <protectedRange sqref="D182:F182" name="Rango1_1"/>
    <protectedRange sqref="D185:F185" name="Rango1_2"/>
    <protectedRange sqref="D199:F199 D243:F243 D254:F254 D258:F258 D261:F261" name="Rango1_3"/>
    <protectedRange sqref="D180:F180 D260:F260 D246:F246" name="Rango1_4"/>
    <protectedRange sqref="D184:F184" name="Rango1_5"/>
    <protectedRange sqref="D192:F192" name="Rango1_6"/>
    <protectedRange sqref="D181:F181" name="Rango1_7"/>
    <protectedRange sqref="D186:F186" name="Rango1_8"/>
    <protectedRange sqref="D178:F178" name="Rango1_9"/>
    <protectedRange sqref="D188:F189" name="Rango1_10"/>
    <protectedRange sqref="D196:F196" name="Rango1_11"/>
    <protectedRange sqref="D187:F187" name="Rango1_12"/>
    <protectedRange sqref="D190:F190" name="Rango1_13"/>
    <protectedRange sqref="D191:F191 D203:F204 D251:F251" name="Rango1_14"/>
    <protectedRange sqref="D205:F205 D208:F208 D225:F225 D278:F278 D275:F275 D298:F300 D332:F333" name="Rango1_15"/>
    <protectedRange sqref="D207:F207 D281:F281 D336:F336" name="Rango1_16"/>
    <protectedRange sqref="D206:F206" name="Rango1_17"/>
    <protectedRange sqref="E200:F200" name="Rango1_18"/>
    <protectedRange sqref="E201:F201" name="Rango1_19"/>
    <protectedRange sqref="E183:F183" name="Rango1_20"/>
    <protectedRange sqref="E193:F193 E249:F250" name="Rango1_21"/>
    <protectedRange sqref="E217" name="Rango1_24"/>
    <protectedRange sqref="E218" name="Rango1_25"/>
    <protectedRange sqref="E227 E292:E293" name="Rango1_26"/>
    <protectedRange sqref="D253:F253" name="Rango1_27"/>
    <protectedRange sqref="D282:F287 D288:E288 D289:F291 D294:F297 D301:F302 D337:F339 D350:F355 D367:F367 D370:F377 D380:E380 D392:F392 D391:E391 D394:F394 D393:E393 D311:F314 D310:E310 D316:F317 D315:E315 D343:F343 F425 D381:F381 F405 F407:F408 F432:F433 F444 F450 F463:F464 F513 F531 F533:F534 D304:F306 D383:F384 D357:F365 D324:F325 D308:F309 E307:F307 D319:F321 E318:F318 E322:F322 D327:F328 E326:F326 D331:F331 E329:F330 D379:F379 E378:F378 E395:F396 D386:F390 D385:E385" name="Rango1_28"/>
    <protectedRange sqref="D245:F245" name="Rango1_22"/>
    <protectedRange sqref="D255:F257" name="Rango1_29"/>
    <protectedRange sqref="D259:F259" name="Rango1_30"/>
    <protectedRange sqref="D262:F263" name="Rango1_31"/>
    <protectedRange sqref="D266:F266" name="Rango1_32"/>
    <protectedRange sqref="D356:F356" name="Rango1_33"/>
    <protectedRange sqref="D544:F544" name="Rango1_34"/>
    <protectedRange sqref="D546:F546" name="Rango1_35"/>
    <protectedRange sqref="E323" name="Rango1_36"/>
    <protectedRange sqref="D615:F615" name="Rango1_23"/>
  </protectedRanges>
  <autoFilter ref="B2:N964" xr:uid="{1E23ED3C-1967-42BB-ABA1-23A98E4AEDDB}"/>
  <dataValidations count="4">
    <dataValidation type="list" allowBlank="1" showInputMessage="1" showErrorMessage="1" sqref="F75 F62:F65 F70:F71 F68 F9:F22 F26:F28 F24 F3:F7 F276 F55 F279:F280 F30:F53 F124:F126 F168 F210 F268:F270 F303 F341:F342 F345:F349 F382 F400 F402 F422:F424 F426:F429 F472:F473 F504 F109 F153 F252 F335 F420 F470 F551 F644" xr:uid="{A4704CCC-F4CF-422E-81E7-DE17DFA0A8DA}">
      <formula1>CONCEPTO</formula1>
    </dataValidation>
    <dataValidation type="list" allowBlank="1" showInputMessage="1" showErrorMessage="1" sqref="E75 E62:E65 E70:E71 E68 E9:E22 E26:E28 E24 E3:E7 E276 E55 E279 E30:E53 E124:E126 E168 E210 E268:E270 E303 E341:E342 E345:E349 E382 E400 E402 E422:E424 E426:E429 E472:E473 E504" xr:uid="{0DF18063-835E-47C9-84C1-26A6324E78BF}">
      <formula1>PRESUPUESTO</formula1>
    </dataValidation>
    <dataValidation type="list" allowBlank="1" showInputMessage="1" showErrorMessage="1" sqref="D62:D71 D9:D22 D26:D28 D24 D3:D7 D276 D55:D56 D279 D504 D124:D126 D168 D210 D268:D270 D303 D341:D342 D345:D349 D382 D400 D402 D422:D424 D426:D429 D472:D473 D30:D53 D73:D75 D105:D106 D111 D117:D118 D151:D152 D159 D164 D183 D193 D195 D200:D201 D249:D250 D265 D272:D273 D307 D318 D322 D326 D329:D330 D378 D395:D396 D406 D409:D410 D441 D454 D462 D465:D466 D514 D518 D532 D535:D536" xr:uid="{F12F9670-1981-4807-BD8F-F7569E3D1758}">
      <formula1>MARCA</formula1>
    </dataValidation>
    <dataValidation type="list" allowBlank="1" showInputMessage="1" showErrorMessage="1" sqref="G3:G52" xr:uid="{C4F4D5A0-2298-41D9-954F-3F98DEEEDAB7}">
      <formula1>APARTADO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3F657D9F-9D8B-48AD-A6F1-D34C1360FCAC}">
          <x14:formula1>
            <xm:f>CATALOGOS!$A$2:$A$11</xm:f>
          </x14:formula1>
          <xm:sqref>D215:D224 D259 D255:D257 D245 D262:D263 D266 D253 D247:D248 D211 D226:D235 D237:D242 D282:D297 D316:D317 D301:D302 D336:D340 D311:D314 D308:D309 D325 D327:D328</xm:sqref>
        </x14:dataValidation>
        <x14:dataValidation type="list" allowBlank="1" showInputMessage="1" showErrorMessage="1" xr:uid="{B5919E19-5437-4FC0-973F-09745FEC074D}">
          <x14:formula1>
            <xm:f>CATALOGOS!$C$2:$C$46</xm:f>
          </x14:formula1>
          <xm:sqref>E215:E224 E259 E255:E257 E245 E262:E263 E266 E253 E247:E248 E211 E226:E235 E237:E242 E282:E297 E325:E330 E304 E307:E309 E311:E314 E316:E322 E336:E340 E301:E302</xm:sqref>
        </x14:dataValidation>
        <x14:dataValidation type="list" allowBlank="1" showInputMessage="1" showErrorMessage="1" xr:uid="{5E309F50-0325-4A4B-936F-5943258E59DB}">
          <x14:formula1>
            <xm:f>CATALOGOS!$E$4:$E$124</xm:f>
          </x14:formula1>
          <xm:sqref>F215:F224 F259 F255:F257 F245 F262:F263 F266 F253 F247:F248 F211 F226:F235 F237:F242 F282:F297 F325:F330 F533:F534 F307:F309 F311:F314 F316:F318 F322 F336 F340 F301:F302 F387:F388 F405 F407:F408 F432:F433 F444 F450 F463:F464 F513 F531</xm:sqref>
        </x14:dataValidation>
        <x14:dataValidation type="list" allowBlank="1" showInputMessage="1" showErrorMessage="1" xr:uid="{909E0998-4924-4FD5-BE57-ED9359698C4B}">
          <x14:formula1>
            <xm:f>CATALOGOS!$A$2:$A$12</xm:f>
          </x14:formula1>
          <xm:sqref>D304:D306 D310 D315 D319:D321 D323:D324 D331 D411:D419 D343:D344 D455 D397:D399 D467:D469 D379:D381 D401 D421 D425 D471 D474:D503 D350:D377 D383:D394 D403:D405 D407:D408 D430:D440 D442:D453 D457:D461 D463:D464 D505:D513 D515:D517 D519:D531 D533:D534 D598:D600 D537:D590 D602:D705 D707:D991</xm:sqref>
        </x14:dataValidation>
        <x14:dataValidation type="list" allowBlank="1" showInputMessage="1" showErrorMessage="1" xr:uid="{675298EC-D42B-4790-BD6B-ED95C12CD8D7}">
          <x14:formula1>
            <xm:f>CATALOGOS!$C$2:$C$69</xm:f>
          </x14:formula1>
          <xm:sqref>E305:E306 E310 E315 E323:E324 E331 E430:E455 E343:E344 E457:E469 F478:F480 E403:E419 F343 F381 F474:F476 E350:E381 E383:E399 E401 E421 E425:F425 E471 E474:E503 F506 E598:E600 E505:E590 E602:E705 E707:E948</xm:sqref>
        </x14:dataValidation>
        <x14:dataValidation type="list" allowBlank="1" showInputMessage="1" showErrorMessage="1" xr:uid="{38E204A6-5FB8-47C9-8DBD-4B0018F438AC}">
          <x14:formula1>
            <xm:f>CATALOGOS!$E$2:$E$170</xm:f>
          </x14:formula1>
          <xm:sqref>F304:F306 F310 F315 F319:F321 F323:F324 F331 F337:F339 F409:F419 F532 F451:F455 F465:F469 F525:F530 F350:F380 F403:F404 F430:F431 F477 F344 F535:F550 F406 F421 F434:F443 F445:F449 F457:F462 F471 F386 F389:F399 F401 F481:F503 F507:F512 F505 F383:F384 F514:F519 F598:F600 F552:F590 F602:F643 F645:F705 F707:F983</xm:sqref>
        </x14:dataValidation>
        <x14:dataValidation type="list" allowBlank="1" showInputMessage="1" showErrorMessage="1" xr:uid="{BC031848-775C-49B2-B993-58AB788FC3E5}">
          <x14:formula1>
            <xm:f>CATALOGOS!$E$2:$E$155</xm:f>
          </x14:formula1>
          <xm:sqref>F591:F597 F601</xm:sqref>
        </x14:dataValidation>
        <x14:dataValidation type="list" allowBlank="1" showInputMessage="1" showErrorMessage="1" xr:uid="{03D6F7B7-70D1-40CB-95AC-6FD68501B917}">
          <x14:formula1>
            <xm:f>CATALOGOS!$A$2:$A$15</xm:f>
          </x14:formula1>
          <xm:sqref>D591:D597 D601</xm:sqref>
        </x14:dataValidation>
        <x14:dataValidation type="list" allowBlank="1" showInputMessage="1" showErrorMessage="1" xr:uid="{BD0E43EA-74AD-4552-AFF7-C6B208B2D288}">
          <x14:formula1>
            <xm:f>CATALOGOS!$C$2:$C$60</xm:f>
          </x14:formula1>
          <xm:sqref>E591:E597 E601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E0C78-F6CE-411E-82C1-2EA4BE9D0593}">
  <sheetPr filterMode="1">
    <tabColor theme="1" tint="0.249977111117893"/>
  </sheetPr>
  <dimension ref="A1:N1038"/>
  <sheetViews>
    <sheetView workbookViewId="0">
      <pane xSplit="3" ySplit="2" topLeftCell="G704" activePane="bottomRight" state="frozen"/>
      <selection pane="bottomRight" activeCell="H711" sqref="H711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13.7109375" style="28" hidden="1" customWidth="1" outlineLevel="1"/>
    <col min="2" max="2" width="5.85546875" bestFit="1" customWidth="1" collapsed="1"/>
    <col min="3" max="4" width="11.42578125" customWidth="1"/>
    <col min="5" max="5" width="23" bestFit="1" customWidth="1"/>
    <col min="6" max="6" width="21.42578125" customWidth="1"/>
    <col min="7" max="7" width="13.7109375" customWidth="1"/>
    <col min="8" max="8" width="53.42578125" customWidth="1"/>
    <col min="9" max="9" width="19.5703125" style="81" customWidth="1"/>
    <col min="10" max="10" width="17.5703125" style="81" customWidth="1"/>
    <col min="11" max="11" width="15" style="62" customWidth="1"/>
  </cols>
  <sheetData>
    <row r="1" spans="1:14" ht="26.25">
      <c r="C1" s="57" t="s">
        <v>4726</v>
      </c>
      <c r="I1" s="79"/>
      <c r="J1" s="79"/>
    </row>
    <row r="2" spans="1:14" s="52" customFormat="1" ht="15">
      <c r="A2" s="49" t="s">
        <v>203</v>
      </c>
      <c r="B2" s="195" t="s">
        <v>204</v>
      </c>
      <c r="C2" s="195" t="s">
        <v>205</v>
      </c>
      <c r="D2" s="196" t="s">
        <v>16</v>
      </c>
      <c r="E2" s="196" t="s">
        <v>17</v>
      </c>
      <c r="F2" s="196" t="s">
        <v>18</v>
      </c>
      <c r="G2" s="197" t="s">
        <v>207</v>
      </c>
      <c r="H2" s="195" t="s">
        <v>208</v>
      </c>
      <c r="I2" s="198" t="s">
        <v>209</v>
      </c>
      <c r="J2" s="198" t="s">
        <v>210</v>
      </c>
      <c r="K2" s="194" t="s">
        <v>211</v>
      </c>
      <c r="L2" s="51"/>
    </row>
    <row r="3" spans="1:14" ht="15" hidden="1">
      <c r="A3" s="137" t="str">
        <f>D3&amp;E3&amp;F3&amp;G3</f>
        <v/>
      </c>
      <c r="B3" t="s">
        <v>815</v>
      </c>
      <c r="C3" s="1"/>
      <c r="D3" s="71"/>
      <c r="E3" s="71"/>
      <c r="F3" s="143"/>
      <c r="G3" s="158"/>
      <c r="H3" s="77" t="s">
        <v>4052</v>
      </c>
      <c r="I3" s="144">
        <v>22655</v>
      </c>
      <c r="J3" s="144"/>
      <c r="K3" s="159">
        <f>I3-J3</f>
        <v>22655</v>
      </c>
      <c r="N3" s="187"/>
    </row>
    <row r="4" spans="1:14" ht="15" hidden="1">
      <c r="A4" s="137" t="str">
        <f>D4&amp;E4&amp;F4</f>
        <v>HRCOMBUSTIBLEHR</v>
      </c>
      <c r="B4" t="s">
        <v>212</v>
      </c>
      <c r="C4" s="1">
        <v>45691</v>
      </c>
      <c r="D4" t="s">
        <v>29</v>
      </c>
      <c r="E4" t="s">
        <v>32</v>
      </c>
      <c r="F4" s="158" t="s">
        <v>29</v>
      </c>
      <c r="G4" s="158"/>
      <c r="H4" t="s">
        <v>4727</v>
      </c>
      <c r="I4" s="161"/>
      <c r="J4" s="161">
        <v>800</v>
      </c>
      <c r="K4" s="159">
        <f t="shared" ref="K4:K62" si="0">K3+I4-J4</f>
        <v>21855</v>
      </c>
      <c r="N4" s="187"/>
    </row>
    <row r="5" spans="1:14" ht="15" hidden="1">
      <c r="A5" s="137" t="str">
        <f t="shared" ref="A5:A68" si="1">D5&amp;E5&amp;F5</f>
        <v>HRCOMBUSTIBLEHR</v>
      </c>
      <c r="B5" t="s">
        <v>212</v>
      </c>
      <c r="C5" s="1">
        <v>45691</v>
      </c>
      <c r="D5" t="s">
        <v>29</v>
      </c>
      <c r="E5" t="s">
        <v>32</v>
      </c>
      <c r="F5" s="158" t="s">
        <v>29</v>
      </c>
      <c r="G5" s="158"/>
      <c r="H5" t="s">
        <v>4728</v>
      </c>
      <c r="I5" s="161"/>
      <c r="J5" s="161">
        <v>1200</v>
      </c>
      <c r="K5" s="159">
        <f t="shared" si="0"/>
        <v>20655</v>
      </c>
    </row>
    <row r="6" spans="1:14" ht="15" hidden="1">
      <c r="A6" s="137" t="str">
        <f t="shared" si="1"/>
        <v>HRCOMBUSTIBLEHR</v>
      </c>
      <c r="B6" t="s">
        <v>212</v>
      </c>
      <c r="C6" s="1">
        <v>45691</v>
      </c>
      <c r="D6" t="s">
        <v>29</v>
      </c>
      <c r="E6" t="s">
        <v>32</v>
      </c>
      <c r="F6" s="158" t="s">
        <v>29</v>
      </c>
      <c r="G6" s="158"/>
      <c r="H6" t="s">
        <v>4729</v>
      </c>
      <c r="I6" s="161"/>
      <c r="J6" s="161">
        <v>750</v>
      </c>
      <c r="K6" s="159">
        <f t="shared" si="0"/>
        <v>19905</v>
      </c>
    </row>
    <row r="7" spans="1:14" ht="15" hidden="1">
      <c r="A7" s="137" t="str">
        <f t="shared" si="1"/>
        <v>CAPCOMBUSTIBLECAPRICHOS</v>
      </c>
      <c r="B7" t="s">
        <v>212</v>
      </c>
      <c r="C7" s="1">
        <v>45692</v>
      </c>
      <c r="D7" t="s">
        <v>31</v>
      </c>
      <c r="E7" t="s">
        <v>32</v>
      </c>
      <c r="F7" s="158" t="s">
        <v>33</v>
      </c>
      <c r="G7" s="158"/>
      <c r="H7" s="71" t="s">
        <v>4730</v>
      </c>
      <c r="I7" s="161"/>
      <c r="J7" s="161">
        <v>1300</v>
      </c>
      <c r="K7" s="159">
        <f t="shared" si="0"/>
        <v>18605</v>
      </c>
    </row>
    <row r="8" spans="1:14" ht="15" hidden="1">
      <c r="A8" s="137" t="str">
        <f t="shared" si="1"/>
        <v>CAPCOMBUSTIBLECAPRICHOS</v>
      </c>
      <c r="B8" t="s">
        <v>212</v>
      </c>
      <c r="C8" s="1">
        <v>45692</v>
      </c>
      <c r="D8" t="s">
        <v>31</v>
      </c>
      <c r="E8" t="s">
        <v>32</v>
      </c>
      <c r="F8" s="158" t="s">
        <v>33</v>
      </c>
      <c r="G8" s="158"/>
      <c r="H8" s="71" t="s">
        <v>4731</v>
      </c>
      <c r="I8" s="161"/>
      <c r="J8" s="161">
        <v>700</v>
      </c>
      <c r="K8" s="159">
        <f t="shared" si="0"/>
        <v>17905</v>
      </c>
    </row>
    <row r="9" spans="1:14" ht="15" hidden="1">
      <c r="A9" s="137" t="str">
        <f t="shared" si="1"/>
        <v>SERVICIOSCOMBUSTIBLESERVICIOS</v>
      </c>
      <c r="B9" t="s">
        <v>212</v>
      </c>
      <c r="C9" s="1">
        <v>45693</v>
      </c>
      <c r="D9" t="s">
        <v>21</v>
      </c>
      <c r="E9" t="s">
        <v>32</v>
      </c>
      <c r="F9" s="158" t="s">
        <v>21</v>
      </c>
      <c r="G9" s="158"/>
      <c r="H9" s="71" t="s">
        <v>4732</v>
      </c>
      <c r="I9" s="161"/>
      <c r="J9" s="161">
        <v>400</v>
      </c>
      <c r="K9" s="159">
        <f t="shared" si="0"/>
        <v>17505</v>
      </c>
    </row>
    <row r="10" spans="1:14" ht="15" hidden="1">
      <c r="A10" s="137" t="str">
        <f t="shared" si="1"/>
        <v>SERVICIOSCOMBUSTIBLECEDIS</v>
      </c>
      <c r="B10" t="s">
        <v>212</v>
      </c>
      <c r="C10" s="1">
        <v>45693</v>
      </c>
      <c r="D10" t="s">
        <v>21</v>
      </c>
      <c r="E10" t="s">
        <v>32</v>
      </c>
      <c r="F10" s="158" t="s">
        <v>28</v>
      </c>
      <c r="G10" s="158"/>
      <c r="H10" t="s">
        <v>28</v>
      </c>
      <c r="I10" s="161"/>
      <c r="J10" s="161">
        <v>15500</v>
      </c>
      <c r="K10" s="159">
        <f t="shared" si="0"/>
        <v>2005</v>
      </c>
    </row>
    <row r="11" spans="1:14" ht="15" hidden="1">
      <c r="A11" s="137" t="str">
        <f t="shared" si="1"/>
        <v>SERVICIOSCOMBUSTIBLEMANTENIMIENTO</v>
      </c>
      <c r="B11" t="s">
        <v>212</v>
      </c>
      <c r="C11" s="1">
        <v>45693</v>
      </c>
      <c r="D11" t="s">
        <v>21</v>
      </c>
      <c r="E11" t="s">
        <v>32</v>
      </c>
      <c r="F11" s="158" t="s">
        <v>35</v>
      </c>
      <c r="G11" s="158"/>
      <c r="H11" t="s">
        <v>4733</v>
      </c>
      <c r="I11" s="161"/>
      <c r="J11" s="161">
        <v>1000</v>
      </c>
      <c r="K11" s="159">
        <f t="shared" si="0"/>
        <v>1005</v>
      </c>
    </row>
    <row r="12" spans="1:14" ht="15" hidden="1">
      <c r="A12" s="137" t="str">
        <f t="shared" si="1"/>
        <v>FINANZASCOMBUSTIBLECONTABILIDAD</v>
      </c>
      <c r="B12" t="s">
        <v>212</v>
      </c>
      <c r="C12" s="1">
        <v>45693</v>
      </c>
      <c r="D12" t="s">
        <v>23</v>
      </c>
      <c r="E12" t="s">
        <v>32</v>
      </c>
      <c r="F12" s="219" t="s">
        <v>37</v>
      </c>
      <c r="G12" s="158"/>
      <c r="H12" t="s">
        <v>4734</v>
      </c>
      <c r="I12" s="161"/>
      <c r="J12" s="161">
        <v>2000</v>
      </c>
      <c r="K12" s="159">
        <f t="shared" si="0"/>
        <v>-995</v>
      </c>
    </row>
    <row r="13" spans="1:14" ht="15" hidden="1">
      <c r="A13" s="137" t="str">
        <f t="shared" si="1"/>
        <v>FINANZASCOMBUSTIBLEFINANZAS</v>
      </c>
      <c r="B13" t="s">
        <v>212</v>
      </c>
      <c r="C13" s="1">
        <v>45694</v>
      </c>
      <c r="D13" t="s">
        <v>23</v>
      </c>
      <c r="E13" t="s">
        <v>32</v>
      </c>
      <c r="F13" s="158" t="s">
        <v>23</v>
      </c>
      <c r="G13" s="158"/>
      <c r="H13" t="s">
        <v>4735</v>
      </c>
      <c r="I13" s="161"/>
      <c r="J13" s="161">
        <v>700</v>
      </c>
      <c r="K13" s="159">
        <f t="shared" si="0"/>
        <v>-1695</v>
      </c>
    </row>
    <row r="14" spans="1:14" ht="15" hidden="1">
      <c r="A14" s="137" t="str">
        <f t="shared" si="1"/>
        <v>FINANZASCOMBUSTIBLETESORERIA</v>
      </c>
      <c r="B14" t="s">
        <v>212</v>
      </c>
      <c r="C14" s="1">
        <v>45694</v>
      </c>
      <c r="D14" t="s">
        <v>23</v>
      </c>
      <c r="E14" t="s">
        <v>32</v>
      </c>
      <c r="F14" s="158" t="s">
        <v>38</v>
      </c>
      <c r="G14" s="158"/>
      <c r="H14" t="s">
        <v>4736</v>
      </c>
      <c r="I14" s="161"/>
      <c r="J14" s="161">
        <v>1500</v>
      </c>
      <c r="K14" s="159">
        <f t="shared" si="0"/>
        <v>-3195</v>
      </c>
    </row>
    <row r="15" spans="1:14" ht="15" hidden="1">
      <c r="A15" s="137" t="str">
        <f t="shared" si="1"/>
        <v>DECOMBUSTIBLEDIRECCION</v>
      </c>
      <c r="B15" t="s">
        <v>212</v>
      </c>
      <c r="C15" s="1">
        <v>45695</v>
      </c>
      <c r="D15" t="s">
        <v>41</v>
      </c>
      <c r="E15" t="s">
        <v>32</v>
      </c>
      <c r="F15" s="158" t="s">
        <v>42</v>
      </c>
      <c r="G15" s="158"/>
      <c r="H15" s="77" t="s">
        <v>4737</v>
      </c>
      <c r="I15" s="161"/>
      <c r="J15" s="161">
        <v>1000</v>
      </c>
      <c r="K15" s="159">
        <f t="shared" si="0"/>
        <v>-4195</v>
      </c>
    </row>
    <row r="16" spans="1:14" ht="15" hidden="1">
      <c r="A16" s="137" t="str">
        <f t="shared" si="1"/>
        <v>SGECOMBUSTIBLEGESTION EMPRESARIAL</v>
      </c>
      <c r="B16" t="s">
        <v>212</v>
      </c>
      <c r="C16" s="1">
        <v>45695</v>
      </c>
      <c r="D16" t="s">
        <v>39</v>
      </c>
      <c r="E16" t="s">
        <v>32</v>
      </c>
      <c r="F16" s="158" t="s">
        <v>40</v>
      </c>
      <c r="G16" s="158"/>
      <c r="H16" s="77" t="s">
        <v>4738</v>
      </c>
      <c r="I16" s="161"/>
      <c r="J16" s="161">
        <v>500</v>
      </c>
      <c r="K16" s="159">
        <f t="shared" si="0"/>
        <v>-4695</v>
      </c>
    </row>
    <row r="17" spans="1:11" ht="15" hidden="1">
      <c r="A17" s="137" t="str">
        <f t="shared" si="1"/>
        <v>MMCOMBUSTIBLEMARKET MAX</v>
      </c>
      <c r="B17" t="s">
        <v>212</v>
      </c>
      <c r="C17" s="1">
        <v>45695</v>
      </c>
      <c r="D17" t="s">
        <v>45</v>
      </c>
      <c r="E17" t="s">
        <v>32</v>
      </c>
      <c r="F17" s="158" t="s">
        <v>46</v>
      </c>
      <c r="G17" s="158"/>
      <c r="H17" s="193" t="s">
        <v>4739</v>
      </c>
      <c r="I17" s="161"/>
      <c r="J17" s="161">
        <v>700</v>
      </c>
      <c r="K17" s="159">
        <f t="shared" si="0"/>
        <v>-5395</v>
      </c>
    </row>
    <row r="18" spans="1:11" ht="15" hidden="1">
      <c r="A18" s="137" t="str">
        <f t="shared" si="1"/>
        <v>MELCOMBUSTIBLEMELISSA</v>
      </c>
      <c r="B18" t="s">
        <v>212</v>
      </c>
      <c r="C18" s="1">
        <v>45695</v>
      </c>
      <c r="D18" t="s">
        <v>43</v>
      </c>
      <c r="E18" t="s">
        <v>32</v>
      </c>
      <c r="F18" s="158" t="s">
        <v>44</v>
      </c>
      <c r="G18" s="158"/>
      <c r="H18" s="193" t="s">
        <v>4740</v>
      </c>
      <c r="I18" s="161"/>
      <c r="J18" s="161">
        <v>1000</v>
      </c>
      <c r="K18" s="159">
        <f t="shared" si="0"/>
        <v>-6395</v>
      </c>
    </row>
    <row r="19" spans="1:11" ht="15" hidden="1">
      <c r="A19" s="137" t="str">
        <f t="shared" si="1"/>
        <v/>
      </c>
      <c r="B19" t="s">
        <v>212</v>
      </c>
      <c r="C19" s="1">
        <v>45697</v>
      </c>
      <c r="F19" s="158"/>
      <c r="G19" s="158"/>
      <c r="H19" s="77" t="s">
        <v>4741</v>
      </c>
      <c r="I19" s="81">
        <v>31566</v>
      </c>
      <c r="K19" s="159">
        <f t="shared" si="0"/>
        <v>25171</v>
      </c>
    </row>
    <row r="20" spans="1:11" ht="15" hidden="1">
      <c r="A20" s="137" t="str">
        <f t="shared" si="1"/>
        <v>FINANZASCOMBUSTIBLECOMISION SI VALE</v>
      </c>
      <c r="B20" t="s">
        <v>212</v>
      </c>
      <c r="C20" s="1">
        <v>45697</v>
      </c>
      <c r="D20" t="s">
        <v>23</v>
      </c>
      <c r="E20" t="s">
        <v>32</v>
      </c>
      <c r="F20" s="219" t="s">
        <v>47</v>
      </c>
      <c r="G20" s="158"/>
      <c r="H20" s="77" t="s">
        <v>4742</v>
      </c>
      <c r="I20" s="144"/>
      <c r="J20" s="144">
        <v>1566</v>
      </c>
      <c r="K20" s="159">
        <f t="shared" si="0"/>
        <v>23605</v>
      </c>
    </row>
    <row r="21" spans="1:11" ht="15" hidden="1">
      <c r="A21" s="137" t="str">
        <f t="shared" si="1"/>
        <v>HRCOMBUSTIBLEHR</v>
      </c>
      <c r="B21" t="s">
        <v>212</v>
      </c>
      <c r="C21" s="1">
        <v>45697</v>
      </c>
      <c r="D21" t="s">
        <v>29</v>
      </c>
      <c r="E21" t="s">
        <v>32</v>
      </c>
      <c r="F21" s="158" t="s">
        <v>29</v>
      </c>
      <c r="G21" s="158"/>
      <c r="H21" t="s">
        <v>4727</v>
      </c>
      <c r="I21" s="161"/>
      <c r="J21" s="161">
        <v>800</v>
      </c>
      <c r="K21" s="159">
        <f t="shared" si="0"/>
        <v>22805</v>
      </c>
    </row>
    <row r="22" spans="1:11" ht="15" hidden="1">
      <c r="A22" s="137" t="str">
        <f t="shared" si="1"/>
        <v>HRCOMBUSTIBLEHR</v>
      </c>
      <c r="B22" t="s">
        <v>212</v>
      </c>
      <c r="C22" s="1">
        <v>45697</v>
      </c>
      <c r="D22" t="s">
        <v>29</v>
      </c>
      <c r="E22" t="s">
        <v>32</v>
      </c>
      <c r="F22" s="158" t="s">
        <v>29</v>
      </c>
      <c r="G22" s="158"/>
      <c r="H22" t="s">
        <v>4728</v>
      </c>
      <c r="I22" s="161"/>
      <c r="J22" s="161">
        <v>1500</v>
      </c>
      <c r="K22" s="159">
        <f t="shared" si="0"/>
        <v>21305</v>
      </c>
    </row>
    <row r="23" spans="1:11" ht="15" hidden="1">
      <c r="A23" s="137" t="str">
        <f t="shared" si="1"/>
        <v>HRCOMBUSTIBLEHR</v>
      </c>
      <c r="B23" t="s">
        <v>212</v>
      </c>
      <c r="C23" s="1">
        <v>45697</v>
      </c>
      <c r="D23" t="s">
        <v>29</v>
      </c>
      <c r="E23" t="s">
        <v>32</v>
      </c>
      <c r="F23" s="158" t="s">
        <v>29</v>
      </c>
      <c r="G23" s="158"/>
      <c r="H23" t="s">
        <v>4729</v>
      </c>
      <c r="I23" s="161"/>
      <c r="J23" s="161">
        <v>750</v>
      </c>
      <c r="K23" s="159">
        <f t="shared" si="0"/>
        <v>20555</v>
      </c>
    </row>
    <row r="24" spans="1:11" ht="15" hidden="1">
      <c r="A24" s="137" t="str">
        <f t="shared" si="1"/>
        <v>CAPCOMBUSTIBLECAPRICHOS</v>
      </c>
      <c r="B24" t="s">
        <v>212</v>
      </c>
      <c r="C24" s="1">
        <v>45698</v>
      </c>
      <c r="D24" t="s">
        <v>31</v>
      </c>
      <c r="E24" t="s">
        <v>32</v>
      </c>
      <c r="F24" s="158" t="s">
        <v>33</v>
      </c>
      <c r="G24" s="158"/>
      <c r="H24" s="71" t="s">
        <v>4730</v>
      </c>
      <c r="I24" s="161"/>
      <c r="J24" s="161">
        <v>1300</v>
      </c>
      <c r="K24" s="159">
        <f t="shared" si="0"/>
        <v>19255</v>
      </c>
    </row>
    <row r="25" spans="1:11" ht="15" hidden="1">
      <c r="A25" s="137" t="str">
        <f t="shared" si="1"/>
        <v>CAPCOMBUSTIBLECAPRICHOS</v>
      </c>
      <c r="B25" t="s">
        <v>212</v>
      </c>
      <c r="C25" s="1">
        <v>45698</v>
      </c>
      <c r="D25" t="s">
        <v>31</v>
      </c>
      <c r="E25" t="s">
        <v>32</v>
      </c>
      <c r="F25" s="158" t="s">
        <v>33</v>
      </c>
      <c r="G25" s="158"/>
      <c r="H25" s="71" t="s">
        <v>4731</v>
      </c>
      <c r="I25" s="161"/>
      <c r="J25" s="161">
        <v>700</v>
      </c>
      <c r="K25" s="159">
        <f t="shared" si="0"/>
        <v>18555</v>
      </c>
    </row>
    <row r="26" spans="1:11" ht="15" hidden="1">
      <c r="A26" s="137" t="str">
        <f t="shared" si="1"/>
        <v>SERVICIOSCOMBUSTIBLESERVICIOS</v>
      </c>
      <c r="B26" t="s">
        <v>212</v>
      </c>
      <c r="C26" s="1">
        <v>45698</v>
      </c>
      <c r="D26" t="s">
        <v>21</v>
      </c>
      <c r="E26" t="s">
        <v>32</v>
      </c>
      <c r="F26" s="158" t="s">
        <v>21</v>
      </c>
      <c r="G26" s="158"/>
      <c r="H26" s="71" t="s">
        <v>4732</v>
      </c>
      <c r="I26" s="161"/>
      <c r="J26" s="161">
        <v>500</v>
      </c>
      <c r="K26" s="159">
        <f t="shared" si="0"/>
        <v>18055</v>
      </c>
    </row>
    <row r="27" spans="1:11" ht="15" hidden="1">
      <c r="A27" s="137" t="str">
        <f t="shared" si="1"/>
        <v>SERVICIOSCOMBUSTIBLECEDIS</v>
      </c>
      <c r="B27" t="s">
        <v>212</v>
      </c>
      <c r="C27" s="1">
        <v>45698</v>
      </c>
      <c r="D27" t="s">
        <v>21</v>
      </c>
      <c r="E27" t="s">
        <v>32</v>
      </c>
      <c r="F27" s="158" t="s">
        <v>28</v>
      </c>
      <c r="G27" s="158"/>
      <c r="H27" t="s">
        <v>28</v>
      </c>
      <c r="I27" s="72"/>
      <c r="J27" s="72">
        <v>16500</v>
      </c>
      <c r="K27" s="159">
        <f t="shared" si="0"/>
        <v>1555</v>
      </c>
    </row>
    <row r="28" spans="1:11" ht="15" hidden="1">
      <c r="A28" s="137" t="str">
        <f t="shared" si="1"/>
        <v>SERVICIOSCOMBUSTIBLEMANTENIMIENTO</v>
      </c>
      <c r="B28" t="s">
        <v>212</v>
      </c>
      <c r="C28" s="1">
        <v>45704</v>
      </c>
      <c r="D28" t="s">
        <v>21</v>
      </c>
      <c r="E28" t="s">
        <v>32</v>
      </c>
      <c r="F28" s="158" t="s">
        <v>35</v>
      </c>
      <c r="G28" s="158"/>
      <c r="H28" t="s">
        <v>4733</v>
      </c>
      <c r="I28" s="72"/>
      <c r="J28" s="72">
        <v>1500</v>
      </c>
      <c r="K28" s="159">
        <f t="shared" si="0"/>
        <v>55</v>
      </c>
    </row>
    <row r="29" spans="1:11" ht="15" hidden="1">
      <c r="A29" s="137" t="str">
        <f t="shared" si="1"/>
        <v>FINANZASCOMBUSTIBLETESORERIA</v>
      </c>
      <c r="B29" t="s">
        <v>212</v>
      </c>
      <c r="C29" s="1">
        <v>45704</v>
      </c>
      <c r="D29" t="s">
        <v>23</v>
      </c>
      <c r="E29" t="s">
        <v>32</v>
      </c>
      <c r="F29" s="158" t="s">
        <v>38</v>
      </c>
      <c r="G29" s="158"/>
      <c r="H29" t="s">
        <v>4743</v>
      </c>
      <c r="I29" s="72"/>
      <c r="J29" s="72">
        <v>700</v>
      </c>
      <c r="K29" s="159">
        <f t="shared" si="0"/>
        <v>-645</v>
      </c>
    </row>
    <row r="30" spans="1:11" ht="15" hidden="1">
      <c r="A30" s="137" t="str">
        <f t="shared" si="1"/>
        <v>DECOMBUSTIBLEDIRECCION</v>
      </c>
      <c r="B30" t="s">
        <v>212</v>
      </c>
      <c r="C30" s="1">
        <v>45704</v>
      </c>
      <c r="D30" t="s">
        <v>41</v>
      </c>
      <c r="E30" t="s">
        <v>32</v>
      </c>
      <c r="F30" s="158" t="s">
        <v>42</v>
      </c>
      <c r="G30" s="158"/>
      <c r="H30" s="77" t="s">
        <v>4737</v>
      </c>
      <c r="I30" s="72"/>
      <c r="J30" s="72">
        <v>1200</v>
      </c>
      <c r="K30" s="159">
        <f t="shared" si="0"/>
        <v>-1845</v>
      </c>
    </row>
    <row r="31" spans="1:11" ht="15" hidden="1">
      <c r="A31" s="137" t="str">
        <f t="shared" si="1"/>
        <v>SGECOMBUSTIBLEGESTION EMPRESARIAL</v>
      </c>
      <c r="B31" t="s">
        <v>212</v>
      </c>
      <c r="C31" s="1">
        <v>45704</v>
      </c>
      <c r="D31" t="s">
        <v>39</v>
      </c>
      <c r="E31" t="s">
        <v>32</v>
      </c>
      <c r="F31" s="158" t="s">
        <v>40</v>
      </c>
      <c r="G31" s="158"/>
      <c r="H31" s="77" t="s">
        <v>4738</v>
      </c>
      <c r="I31" s="72"/>
      <c r="J31" s="72">
        <v>500</v>
      </c>
      <c r="K31" s="159">
        <f t="shared" si="0"/>
        <v>-2345</v>
      </c>
    </row>
    <row r="32" spans="1:11" ht="15" hidden="1">
      <c r="A32" s="137" t="str">
        <f t="shared" si="1"/>
        <v>MMCOMBUSTIBLEMARKET MAX</v>
      </c>
      <c r="B32" t="s">
        <v>212</v>
      </c>
      <c r="C32" s="1">
        <v>45704</v>
      </c>
      <c r="D32" t="s">
        <v>45</v>
      </c>
      <c r="E32" t="s">
        <v>32</v>
      </c>
      <c r="F32" s="158" t="s">
        <v>46</v>
      </c>
      <c r="G32" s="158"/>
      <c r="H32" s="193" t="s">
        <v>4739</v>
      </c>
      <c r="I32" s="72"/>
      <c r="J32" s="72">
        <v>700</v>
      </c>
      <c r="K32" s="159">
        <f t="shared" si="0"/>
        <v>-3045</v>
      </c>
    </row>
    <row r="33" spans="1:11" ht="15" hidden="1">
      <c r="A33" s="137" t="str">
        <f t="shared" si="1"/>
        <v/>
      </c>
      <c r="B33" t="s">
        <v>212</v>
      </c>
      <c r="C33" s="1">
        <v>45705</v>
      </c>
      <c r="F33" s="219"/>
      <c r="G33" s="158"/>
      <c r="H33" s="77" t="s">
        <v>4741</v>
      </c>
      <c r="I33" s="72">
        <v>33670</v>
      </c>
      <c r="J33" s="72"/>
      <c r="K33" s="159">
        <f t="shared" si="0"/>
        <v>30625</v>
      </c>
    </row>
    <row r="34" spans="1:11" ht="15" hidden="1">
      <c r="A34" s="137" t="str">
        <f t="shared" si="1"/>
        <v>FINANZASCOMBUSTIBLECOMISION SI VALE</v>
      </c>
      <c r="B34" t="s">
        <v>212</v>
      </c>
      <c r="C34" s="1">
        <v>45705</v>
      </c>
      <c r="D34" t="s">
        <v>23</v>
      </c>
      <c r="E34" t="s">
        <v>32</v>
      </c>
      <c r="F34" s="158" t="s">
        <v>47</v>
      </c>
      <c r="G34" s="158"/>
      <c r="H34" s="77" t="s">
        <v>4742</v>
      </c>
      <c r="I34" s="72"/>
      <c r="J34" s="72">
        <v>1670</v>
      </c>
      <c r="K34" s="159">
        <f t="shared" si="0"/>
        <v>28955</v>
      </c>
    </row>
    <row r="35" spans="1:11" ht="15" hidden="1">
      <c r="A35" s="137" t="str">
        <f t="shared" si="1"/>
        <v>HRCOMBUSTIBLEHR</v>
      </c>
      <c r="B35" t="s">
        <v>212</v>
      </c>
      <c r="C35" s="1">
        <v>45705</v>
      </c>
      <c r="D35" t="s">
        <v>29</v>
      </c>
      <c r="E35" t="s">
        <v>32</v>
      </c>
      <c r="F35" s="158" t="s">
        <v>29</v>
      </c>
      <c r="G35" s="158"/>
      <c r="H35" t="s">
        <v>4727</v>
      </c>
      <c r="I35" s="72"/>
      <c r="J35" s="72">
        <v>0</v>
      </c>
      <c r="K35" s="159">
        <f t="shared" si="0"/>
        <v>28955</v>
      </c>
    </row>
    <row r="36" spans="1:11" ht="15" hidden="1">
      <c r="A36" s="137" t="str">
        <f t="shared" si="1"/>
        <v>HRCOMBUSTIBLEHR</v>
      </c>
      <c r="B36" t="s">
        <v>212</v>
      </c>
      <c r="C36" s="1">
        <v>45705</v>
      </c>
      <c r="D36" t="s">
        <v>29</v>
      </c>
      <c r="E36" t="s">
        <v>32</v>
      </c>
      <c r="F36" s="158" t="s">
        <v>29</v>
      </c>
      <c r="G36" s="158"/>
      <c r="H36" t="s">
        <v>4728</v>
      </c>
      <c r="I36" s="72"/>
      <c r="J36" s="72">
        <v>1000</v>
      </c>
      <c r="K36" s="159">
        <f t="shared" si="0"/>
        <v>27955</v>
      </c>
    </row>
    <row r="37" spans="1:11" ht="15" hidden="1">
      <c r="A37" s="137" t="str">
        <f t="shared" si="1"/>
        <v>HRCOMBUSTIBLEHR</v>
      </c>
      <c r="B37" t="s">
        <v>212</v>
      </c>
      <c r="C37" s="1">
        <v>45705</v>
      </c>
      <c r="D37" t="s">
        <v>29</v>
      </c>
      <c r="E37" t="s">
        <v>32</v>
      </c>
      <c r="F37" s="158" t="s">
        <v>29</v>
      </c>
      <c r="G37" s="158"/>
      <c r="H37" t="s">
        <v>4729</v>
      </c>
      <c r="I37" s="72"/>
      <c r="J37" s="72">
        <v>750</v>
      </c>
      <c r="K37" s="159">
        <f t="shared" si="0"/>
        <v>27205</v>
      </c>
    </row>
    <row r="38" spans="1:11" ht="15" hidden="1">
      <c r="A38" s="137" t="str">
        <f t="shared" si="1"/>
        <v>CAPCOMBUSTIBLECAPRICHOS</v>
      </c>
      <c r="B38" t="s">
        <v>212</v>
      </c>
      <c r="C38" s="1">
        <v>45705</v>
      </c>
      <c r="D38" t="s">
        <v>31</v>
      </c>
      <c r="E38" t="s">
        <v>32</v>
      </c>
      <c r="F38" s="158" t="s">
        <v>33</v>
      </c>
      <c r="G38" s="158"/>
      <c r="H38" s="71" t="s">
        <v>4730</v>
      </c>
      <c r="I38" s="161"/>
      <c r="J38" s="161">
        <v>1000</v>
      </c>
      <c r="K38" s="159">
        <f t="shared" si="0"/>
        <v>26205</v>
      </c>
    </row>
    <row r="39" spans="1:11" ht="15" hidden="1">
      <c r="A39" s="137" t="str">
        <f t="shared" si="1"/>
        <v>CAPCOMBUSTIBLECAPRICHOS</v>
      </c>
      <c r="B39" t="s">
        <v>212</v>
      </c>
      <c r="C39" s="1">
        <v>45705</v>
      </c>
      <c r="D39" t="s">
        <v>31</v>
      </c>
      <c r="E39" t="s">
        <v>32</v>
      </c>
      <c r="F39" s="158" t="s">
        <v>33</v>
      </c>
      <c r="G39" s="158"/>
      <c r="H39" s="71" t="s">
        <v>4731</v>
      </c>
      <c r="I39" s="161"/>
      <c r="J39" s="161">
        <v>700</v>
      </c>
      <c r="K39" s="159">
        <f t="shared" si="0"/>
        <v>25505</v>
      </c>
    </row>
    <row r="40" spans="1:11" ht="15" hidden="1">
      <c r="A40" s="137" t="str">
        <f t="shared" si="1"/>
        <v>SERVICIOSCOMBUSTIBLESERVICIOS</v>
      </c>
      <c r="B40" t="s">
        <v>212</v>
      </c>
      <c r="C40" s="1">
        <v>45705</v>
      </c>
      <c r="D40" t="s">
        <v>21</v>
      </c>
      <c r="E40" t="s">
        <v>32</v>
      </c>
      <c r="F40" s="158" t="s">
        <v>21</v>
      </c>
      <c r="G40" s="158"/>
      <c r="H40" s="71" t="s">
        <v>4732</v>
      </c>
      <c r="I40" s="161"/>
      <c r="J40" s="161">
        <v>0</v>
      </c>
      <c r="K40" s="159">
        <f t="shared" si="0"/>
        <v>25505</v>
      </c>
    </row>
    <row r="41" spans="1:11" ht="15" hidden="1">
      <c r="A41" s="137" t="str">
        <f t="shared" si="1"/>
        <v>SERVICIOSCOMBUSTIBLECEDIS</v>
      </c>
      <c r="B41" t="s">
        <v>212</v>
      </c>
      <c r="C41" s="1">
        <v>45705</v>
      </c>
      <c r="D41" t="s">
        <v>21</v>
      </c>
      <c r="E41" t="s">
        <v>32</v>
      </c>
      <c r="F41" s="158" t="s">
        <v>28</v>
      </c>
      <c r="G41" s="158"/>
      <c r="H41" t="s">
        <v>28</v>
      </c>
      <c r="I41" s="161"/>
      <c r="J41" s="161">
        <v>15500</v>
      </c>
      <c r="K41" s="159">
        <f t="shared" si="0"/>
        <v>10005</v>
      </c>
    </row>
    <row r="42" spans="1:11" ht="15" hidden="1">
      <c r="A42" s="137" t="str">
        <f t="shared" si="1"/>
        <v>SERVICIOSCOMBUSTIBLEMANTENIMIENTO</v>
      </c>
      <c r="B42" t="s">
        <v>212</v>
      </c>
      <c r="C42" s="1">
        <v>45708</v>
      </c>
      <c r="D42" t="s">
        <v>21</v>
      </c>
      <c r="E42" t="s">
        <v>32</v>
      </c>
      <c r="F42" s="158" t="s">
        <v>35</v>
      </c>
      <c r="G42" s="158"/>
      <c r="H42" t="s">
        <v>4733</v>
      </c>
      <c r="I42" s="188"/>
      <c r="J42" s="72">
        <v>500</v>
      </c>
      <c r="K42" s="159">
        <f t="shared" si="0"/>
        <v>9505</v>
      </c>
    </row>
    <row r="43" spans="1:11" ht="15" hidden="1">
      <c r="A43" s="137" t="str">
        <f t="shared" si="1"/>
        <v>FINANZASCOMBUSTIBLETESORERIA</v>
      </c>
      <c r="B43" t="s">
        <v>212</v>
      </c>
      <c r="C43" s="1">
        <v>45709</v>
      </c>
      <c r="D43" t="s">
        <v>23</v>
      </c>
      <c r="E43" t="s">
        <v>32</v>
      </c>
      <c r="F43" s="158" t="s">
        <v>38</v>
      </c>
      <c r="G43" s="158"/>
      <c r="H43" t="s">
        <v>4744</v>
      </c>
      <c r="I43" s="188"/>
      <c r="J43" s="72">
        <v>1500</v>
      </c>
      <c r="K43" s="159">
        <f t="shared" si="0"/>
        <v>8005</v>
      </c>
    </row>
    <row r="44" spans="1:11" ht="15" hidden="1">
      <c r="A44" s="137" t="str">
        <f t="shared" si="1"/>
        <v>FINANZASCOMBUSTIBLETESORERIA</v>
      </c>
      <c r="B44" t="s">
        <v>212</v>
      </c>
      <c r="C44" s="1">
        <v>45709</v>
      </c>
      <c r="D44" t="s">
        <v>23</v>
      </c>
      <c r="E44" t="s">
        <v>32</v>
      </c>
      <c r="F44" s="158" t="s">
        <v>38</v>
      </c>
      <c r="G44" s="158"/>
      <c r="H44" t="s">
        <v>4743</v>
      </c>
      <c r="I44" s="188"/>
      <c r="J44" s="72">
        <v>700</v>
      </c>
      <c r="K44" s="159">
        <f t="shared" si="0"/>
        <v>7305</v>
      </c>
    </row>
    <row r="45" spans="1:11" ht="15" hidden="1">
      <c r="A45" s="137" t="str">
        <f t="shared" si="1"/>
        <v>DECOMBUSTIBLEDIRECCION</v>
      </c>
      <c r="B45" t="s">
        <v>212</v>
      </c>
      <c r="C45" s="1">
        <v>45709</v>
      </c>
      <c r="D45" t="s">
        <v>41</v>
      </c>
      <c r="E45" t="s">
        <v>32</v>
      </c>
      <c r="F45" s="158" t="s">
        <v>42</v>
      </c>
      <c r="G45" s="158"/>
      <c r="H45" s="77" t="s">
        <v>4737</v>
      </c>
      <c r="I45" s="188"/>
      <c r="J45" s="72">
        <v>2000</v>
      </c>
      <c r="K45" s="159">
        <f t="shared" si="0"/>
        <v>5305</v>
      </c>
    </row>
    <row r="46" spans="1:11" ht="15" hidden="1">
      <c r="A46" s="137" t="str">
        <f t="shared" si="1"/>
        <v>SGECOMBUSTIBLEGESTION EMPRESARIAL</v>
      </c>
      <c r="B46" t="s">
        <v>212</v>
      </c>
      <c r="C46" s="1">
        <v>45709</v>
      </c>
      <c r="D46" t="s">
        <v>39</v>
      </c>
      <c r="E46" t="s">
        <v>32</v>
      </c>
      <c r="F46" s="219" t="s">
        <v>40</v>
      </c>
      <c r="G46" s="158"/>
      <c r="H46" s="77" t="s">
        <v>4738</v>
      </c>
      <c r="I46" s="188"/>
      <c r="J46" s="72">
        <v>0</v>
      </c>
      <c r="K46" s="159">
        <f t="shared" si="0"/>
        <v>5305</v>
      </c>
    </row>
    <row r="47" spans="1:11" ht="15" hidden="1">
      <c r="A47" s="137" t="str">
        <f t="shared" si="1"/>
        <v>MMCOMBUSTIBLEMARKET MAX</v>
      </c>
      <c r="B47" t="s">
        <v>212</v>
      </c>
      <c r="C47" s="1">
        <v>45709</v>
      </c>
      <c r="D47" t="s">
        <v>45</v>
      </c>
      <c r="E47" t="s">
        <v>32</v>
      </c>
      <c r="F47" s="158" t="s">
        <v>46</v>
      </c>
      <c r="G47" s="158"/>
      <c r="H47" s="193" t="s">
        <v>4739</v>
      </c>
      <c r="I47" s="188"/>
      <c r="J47" s="72">
        <v>700</v>
      </c>
      <c r="K47" s="159">
        <f t="shared" si="0"/>
        <v>4605</v>
      </c>
    </row>
    <row r="48" spans="1:11" ht="15" hidden="1">
      <c r="A48" s="137" t="str">
        <f t="shared" si="1"/>
        <v/>
      </c>
      <c r="B48" t="s">
        <v>212</v>
      </c>
      <c r="C48" s="1">
        <v>45709</v>
      </c>
      <c r="F48" s="158"/>
      <c r="G48" s="158"/>
      <c r="H48" s="77" t="s">
        <v>4741</v>
      </c>
      <c r="I48" s="188">
        <v>22096.2</v>
      </c>
      <c r="J48" s="72"/>
      <c r="K48" s="159">
        <f t="shared" si="0"/>
        <v>26701.200000000001</v>
      </c>
    </row>
    <row r="49" spans="1:11" ht="15" hidden="1">
      <c r="A49" s="137" t="str">
        <f t="shared" si="1"/>
        <v>FINANZASCOMBUSTIBLECOMISION SI VALE</v>
      </c>
      <c r="B49" t="s">
        <v>212</v>
      </c>
      <c r="C49" s="1">
        <v>45709</v>
      </c>
      <c r="D49" s="1" t="s">
        <v>23</v>
      </c>
      <c r="E49" t="s">
        <v>32</v>
      </c>
      <c r="F49" s="158" t="s">
        <v>47</v>
      </c>
      <c r="G49" s="158"/>
      <c r="H49" s="77" t="s">
        <v>4742</v>
      </c>
      <c r="I49" s="188"/>
      <c r="J49" s="72">
        <v>1096.2</v>
      </c>
      <c r="K49" s="159">
        <f>K48+I49-J49</f>
        <v>25605</v>
      </c>
    </row>
    <row r="50" spans="1:11" ht="15" hidden="1">
      <c r="A50" s="137" t="str">
        <f t="shared" si="1"/>
        <v>HRCOMBUSTIBLEHR</v>
      </c>
      <c r="B50" t="s">
        <v>212</v>
      </c>
      <c r="C50" s="214">
        <v>45712</v>
      </c>
      <c r="D50" t="s">
        <v>29</v>
      </c>
      <c r="E50" t="s">
        <v>32</v>
      </c>
      <c r="F50" s="158" t="s">
        <v>29</v>
      </c>
      <c r="G50" s="158"/>
      <c r="H50" t="s">
        <v>4727</v>
      </c>
      <c r="I50" s="188"/>
      <c r="J50" s="72">
        <v>1200</v>
      </c>
      <c r="K50" s="159">
        <f>K49+I50-J50</f>
        <v>24405</v>
      </c>
    </row>
    <row r="51" spans="1:11" ht="15" hidden="1">
      <c r="A51" s="137" t="str">
        <f t="shared" si="1"/>
        <v>HRCOMBUSTIBLEHR</v>
      </c>
      <c r="B51" t="s">
        <v>212</v>
      </c>
      <c r="C51" s="214">
        <v>45712</v>
      </c>
      <c r="D51" t="s">
        <v>29</v>
      </c>
      <c r="E51" t="s">
        <v>32</v>
      </c>
      <c r="F51" s="158" t="s">
        <v>29</v>
      </c>
      <c r="G51" s="158"/>
      <c r="H51" t="s">
        <v>4728</v>
      </c>
      <c r="I51" s="188"/>
      <c r="J51" s="72">
        <v>1000</v>
      </c>
      <c r="K51" s="159">
        <f>K50+I51-J51</f>
        <v>23405</v>
      </c>
    </row>
    <row r="52" spans="1:11" ht="15" hidden="1">
      <c r="A52" s="137" t="str">
        <f t="shared" si="1"/>
        <v>CAPCOMBUSTIBLECAPRICHOS</v>
      </c>
      <c r="B52" t="s">
        <v>212</v>
      </c>
      <c r="C52" s="214">
        <v>45712</v>
      </c>
      <c r="D52" t="s">
        <v>31</v>
      </c>
      <c r="E52" t="s">
        <v>32</v>
      </c>
      <c r="F52" s="158" t="s">
        <v>33</v>
      </c>
      <c r="G52" s="158"/>
      <c r="H52" s="71" t="s">
        <v>4730</v>
      </c>
      <c r="I52" s="188"/>
      <c r="J52" s="72">
        <v>1300</v>
      </c>
      <c r="K52" s="159">
        <f>K51+I52-J52</f>
        <v>22105</v>
      </c>
    </row>
    <row r="53" spans="1:11" ht="15" hidden="1">
      <c r="A53" s="137" t="str">
        <f t="shared" si="1"/>
        <v>SERVICIOSCOMBUSTIBLESERVICIOS</v>
      </c>
      <c r="B53" t="s">
        <v>212</v>
      </c>
      <c r="C53" s="214">
        <v>45712</v>
      </c>
      <c r="D53" t="s">
        <v>21</v>
      </c>
      <c r="E53" t="s">
        <v>32</v>
      </c>
      <c r="F53" s="158" t="s">
        <v>21</v>
      </c>
      <c r="G53" s="158"/>
      <c r="H53" s="71" t="s">
        <v>4745</v>
      </c>
      <c r="I53" s="188"/>
      <c r="J53" s="72">
        <v>400</v>
      </c>
      <c r="K53" s="159">
        <f>K52+I53-J53</f>
        <v>21705</v>
      </c>
    </row>
    <row r="54" spans="1:11" ht="15" hidden="1">
      <c r="A54" s="137" t="str">
        <f t="shared" si="1"/>
        <v>SERVICIOSCOMBUSTIBLECEDIS</v>
      </c>
      <c r="B54" t="s">
        <v>212</v>
      </c>
      <c r="C54" s="1">
        <v>45713</v>
      </c>
      <c r="D54" t="s">
        <v>21</v>
      </c>
      <c r="E54" t="s">
        <v>32</v>
      </c>
      <c r="F54" s="158" t="s">
        <v>28</v>
      </c>
      <c r="G54" s="158"/>
      <c r="H54" t="s">
        <v>28</v>
      </c>
      <c r="J54" s="144">
        <v>16300</v>
      </c>
      <c r="K54" s="159">
        <f>K53+I54-J54</f>
        <v>5405</v>
      </c>
    </row>
    <row r="55" spans="1:11" ht="15" hidden="1">
      <c r="A55" s="137" t="str">
        <f t="shared" si="1"/>
        <v>SERVICIOSCOMBUSTIBLEMANTENIMIENTO</v>
      </c>
      <c r="B55" t="s">
        <v>212</v>
      </c>
      <c r="C55" s="1">
        <v>45713</v>
      </c>
      <c r="D55" t="s">
        <v>21</v>
      </c>
      <c r="E55" t="s">
        <v>32</v>
      </c>
      <c r="F55" s="158" t="s">
        <v>35</v>
      </c>
      <c r="G55" s="158"/>
      <c r="H55" t="s">
        <v>4733</v>
      </c>
      <c r="I55" s="144"/>
      <c r="J55" s="144">
        <v>500</v>
      </c>
      <c r="K55" s="159">
        <f>K54+I55-J55</f>
        <v>4905</v>
      </c>
    </row>
    <row r="56" spans="1:11" ht="15" hidden="1">
      <c r="A56" s="137" t="str">
        <f t="shared" si="1"/>
        <v>FINANZASCOMBUSTIBLECONTABILIDAD</v>
      </c>
      <c r="B56" t="s">
        <v>212</v>
      </c>
      <c r="C56" s="1">
        <v>45713</v>
      </c>
      <c r="D56" t="s">
        <v>23</v>
      </c>
      <c r="E56" t="s">
        <v>32</v>
      </c>
      <c r="F56" s="158" t="s">
        <v>37</v>
      </c>
      <c r="G56" s="158"/>
      <c r="H56" s="71" t="s">
        <v>4746</v>
      </c>
      <c r="I56" s="144"/>
      <c r="J56" s="144">
        <v>1000</v>
      </c>
      <c r="K56" s="159">
        <f>K55+I56-J56</f>
        <v>3905</v>
      </c>
    </row>
    <row r="57" spans="1:11" ht="15" hidden="1">
      <c r="A57" s="137" t="str">
        <f t="shared" si="1"/>
        <v>FINANZASCOMBUSTIBLETESORERIA</v>
      </c>
      <c r="B57" t="s">
        <v>212</v>
      </c>
      <c r="C57" s="1">
        <v>45713</v>
      </c>
      <c r="D57" t="s">
        <v>23</v>
      </c>
      <c r="E57" t="s">
        <v>32</v>
      </c>
      <c r="F57" s="158" t="s">
        <v>38</v>
      </c>
      <c r="G57" s="158"/>
      <c r="H57" t="s">
        <v>4747</v>
      </c>
      <c r="I57" s="144"/>
      <c r="J57" s="81">
        <v>1500</v>
      </c>
      <c r="K57" s="159">
        <f>K56+I57-J57</f>
        <v>2405</v>
      </c>
    </row>
    <row r="58" spans="1:11" ht="15" hidden="1">
      <c r="A58" s="137" t="str">
        <f t="shared" si="1"/>
        <v>FINANZASCOMBUSTIBLETESORERIA</v>
      </c>
      <c r="B58" t="s">
        <v>212</v>
      </c>
      <c r="C58" s="1">
        <v>45715</v>
      </c>
      <c r="D58" t="s">
        <v>23</v>
      </c>
      <c r="E58" t="s">
        <v>32</v>
      </c>
      <c r="F58" s="158" t="s">
        <v>38</v>
      </c>
      <c r="G58" s="158"/>
      <c r="H58" t="s">
        <v>4743</v>
      </c>
      <c r="I58" s="144"/>
      <c r="J58" s="81">
        <v>700</v>
      </c>
      <c r="K58" s="159">
        <f>K57+I58-J58</f>
        <v>1705</v>
      </c>
    </row>
    <row r="59" spans="1:11" ht="15" hidden="1">
      <c r="A59" s="137" t="str">
        <f t="shared" si="1"/>
        <v>DECOMBUSTIBLEDIRECCION</v>
      </c>
      <c r="B59" t="s">
        <v>212</v>
      </c>
      <c r="C59" s="1">
        <v>45715</v>
      </c>
      <c r="D59" t="s">
        <v>41</v>
      </c>
      <c r="E59" t="s">
        <v>32</v>
      </c>
      <c r="F59" s="158" t="s">
        <v>42</v>
      </c>
      <c r="G59" s="158"/>
      <c r="H59" s="77" t="s">
        <v>4737</v>
      </c>
      <c r="I59" s="144"/>
      <c r="J59" s="144">
        <v>1000</v>
      </c>
      <c r="K59" s="159">
        <f>K58+I59-J59</f>
        <v>705</v>
      </c>
    </row>
    <row r="60" spans="1:11" ht="15" hidden="1">
      <c r="A60" s="137" t="str">
        <f t="shared" si="1"/>
        <v>SGECOMBUSTIBLEGESTION EMPRESARIAL</v>
      </c>
      <c r="B60" t="s">
        <v>212</v>
      </c>
      <c r="C60" s="1">
        <v>45715</v>
      </c>
      <c r="D60" t="s">
        <v>39</v>
      </c>
      <c r="E60" t="s">
        <v>32</v>
      </c>
      <c r="F60" s="3" t="s">
        <v>40</v>
      </c>
      <c r="G60" s="158"/>
      <c r="H60" s="77" t="s">
        <v>4738</v>
      </c>
      <c r="I60" s="144"/>
      <c r="J60" s="144">
        <v>500</v>
      </c>
      <c r="K60" s="159">
        <f t="shared" si="0"/>
        <v>205</v>
      </c>
    </row>
    <row r="61" spans="1:11" ht="15" hidden="1">
      <c r="A61" s="137" t="str">
        <f t="shared" si="1"/>
        <v>MELCOMBUSTIBLEMELISSA</v>
      </c>
      <c r="B61" t="s">
        <v>212</v>
      </c>
      <c r="C61" s="1">
        <v>45715</v>
      </c>
      <c r="D61" t="s">
        <v>43</v>
      </c>
      <c r="E61" t="s">
        <v>32</v>
      </c>
      <c r="F61" s="158" t="s">
        <v>44</v>
      </c>
      <c r="G61" s="158"/>
      <c r="H61" t="s">
        <v>4748</v>
      </c>
      <c r="I61" s="144"/>
      <c r="J61" s="144">
        <v>1500</v>
      </c>
      <c r="K61" s="159">
        <f t="shared" si="0"/>
        <v>-1295</v>
      </c>
    </row>
    <row r="62" spans="1:11" ht="15" hidden="1">
      <c r="A62" s="137" t="str">
        <f t="shared" si="1"/>
        <v>MMCOMBUSTIBLEMARKET MAX</v>
      </c>
      <c r="B62" t="s">
        <v>212</v>
      </c>
      <c r="C62" s="1">
        <v>45716</v>
      </c>
      <c r="D62" t="s">
        <v>45</v>
      </c>
      <c r="E62" t="s">
        <v>32</v>
      </c>
      <c r="F62" s="158" t="s">
        <v>46</v>
      </c>
      <c r="G62" s="158"/>
      <c r="H62" s="193" t="s">
        <v>4739</v>
      </c>
      <c r="I62" s="144"/>
      <c r="J62" s="144">
        <v>700</v>
      </c>
      <c r="K62" s="159">
        <f t="shared" si="0"/>
        <v>-1995</v>
      </c>
    </row>
    <row r="63" spans="1:11" ht="15" hidden="1">
      <c r="A63" s="137" t="str">
        <f t="shared" si="1"/>
        <v>SERVICIOSCOMBUSTIBLEINVENTARIOS</v>
      </c>
      <c r="B63" t="s">
        <v>212</v>
      </c>
      <c r="C63" s="1">
        <v>45716</v>
      </c>
      <c r="D63" t="s">
        <v>21</v>
      </c>
      <c r="E63" t="s">
        <v>32</v>
      </c>
      <c r="F63" s="158" t="s">
        <v>34</v>
      </c>
      <c r="G63" s="158"/>
      <c r="H63" s="77" t="s">
        <v>4749</v>
      </c>
      <c r="I63" s="144"/>
      <c r="J63" s="144">
        <v>2500</v>
      </c>
      <c r="K63" s="159">
        <f>K62+I63-J63</f>
        <v>-4495</v>
      </c>
    </row>
    <row r="64" spans="1:11" ht="15" hidden="1">
      <c r="A64" s="137" t="str">
        <f t="shared" si="1"/>
        <v>SERVICIOSCOMBUSTIBLESERVICIOS</v>
      </c>
      <c r="B64" t="s">
        <v>212</v>
      </c>
      <c r="C64" s="1">
        <v>45716</v>
      </c>
      <c r="D64" t="s">
        <v>21</v>
      </c>
      <c r="E64" t="s">
        <v>32</v>
      </c>
      <c r="F64" s="158" t="s">
        <v>21</v>
      </c>
      <c r="G64" s="158"/>
      <c r="H64" s="77" t="s">
        <v>4750</v>
      </c>
      <c r="I64" s="144"/>
      <c r="J64" s="144">
        <v>500</v>
      </c>
      <c r="K64" s="159">
        <f>K63+I64-J64</f>
        <v>-4995</v>
      </c>
    </row>
    <row r="65" spans="1:11" ht="15" hidden="1">
      <c r="A65" s="137" t="str">
        <f t="shared" si="1"/>
        <v/>
      </c>
      <c r="B65" t="s">
        <v>212</v>
      </c>
      <c r="C65" s="1">
        <v>45716</v>
      </c>
      <c r="F65" s="158"/>
      <c r="G65" s="158"/>
      <c r="H65" s="77" t="s">
        <v>4741</v>
      </c>
      <c r="I65" s="144">
        <v>33670.400000000001</v>
      </c>
      <c r="J65" s="144"/>
      <c r="K65" s="159">
        <f>K64+I65-J65</f>
        <v>28675.4</v>
      </c>
    </row>
    <row r="66" spans="1:11" ht="15" hidden="1">
      <c r="A66" s="137" t="str">
        <f t="shared" si="1"/>
        <v>FINANZASCOMBUSTIBLECOMISION SI VALE</v>
      </c>
      <c r="B66" t="s">
        <v>212</v>
      </c>
      <c r="C66" s="1">
        <v>45716</v>
      </c>
      <c r="D66" t="s">
        <v>23</v>
      </c>
      <c r="E66" t="s">
        <v>32</v>
      </c>
      <c r="F66" s="3" t="s">
        <v>47</v>
      </c>
      <c r="G66" s="158"/>
      <c r="H66" s="77" t="s">
        <v>4742</v>
      </c>
      <c r="I66" s="144"/>
      <c r="J66" s="144">
        <v>1670.4</v>
      </c>
      <c r="K66" s="159">
        <f>K65+I66-J66</f>
        <v>27005</v>
      </c>
    </row>
    <row r="67" spans="1:11" ht="15" hidden="1">
      <c r="A67" s="137" t="str">
        <f t="shared" si="1"/>
        <v>HRCOMBUSTIBLEHR</v>
      </c>
      <c r="B67" t="s">
        <v>3498</v>
      </c>
      <c r="C67" s="1">
        <v>45719</v>
      </c>
      <c r="D67" t="s">
        <v>29</v>
      </c>
      <c r="E67" t="s">
        <v>32</v>
      </c>
      <c r="F67" s="158" t="s">
        <v>29</v>
      </c>
      <c r="G67" s="158"/>
      <c r="H67" t="s">
        <v>4751</v>
      </c>
      <c r="J67" s="144">
        <v>600</v>
      </c>
      <c r="K67" s="159">
        <f>K66+I67-J67</f>
        <v>26405</v>
      </c>
    </row>
    <row r="68" spans="1:11" ht="15" hidden="1">
      <c r="A68" s="137" t="str">
        <f t="shared" si="1"/>
        <v>HRCOMBUSTIBLEHR</v>
      </c>
      <c r="B68" t="s">
        <v>3498</v>
      </c>
      <c r="C68" s="1">
        <v>45719</v>
      </c>
      <c r="D68" t="s">
        <v>29</v>
      </c>
      <c r="E68" t="s">
        <v>32</v>
      </c>
      <c r="F68" s="158" t="s">
        <v>29</v>
      </c>
      <c r="G68" s="158"/>
      <c r="H68" t="s">
        <v>4752</v>
      </c>
      <c r="J68" s="144">
        <v>1500</v>
      </c>
      <c r="K68" s="159">
        <f>K67+I68-J68</f>
        <v>24905</v>
      </c>
    </row>
    <row r="69" spans="1:11" ht="15" hidden="1">
      <c r="A69" s="137" t="str">
        <f t="shared" ref="A69:A132" si="2">D69&amp;E69&amp;F69</f>
        <v>HRCOMBUSTIBLEHR</v>
      </c>
      <c r="B69" t="s">
        <v>3498</v>
      </c>
      <c r="C69" s="1">
        <v>45719</v>
      </c>
      <c r="D69" t="s">
        <v>29</v>
      </c>
      <c r="E69" t="s">
        <v>32</v>
      </c>
      <c r="F69" s="158" t="s">
        <v>29</v>
      </c>
      <c r="G69" s="158"/>
      <c r="H69" t="s">
        <v>4753</v>
      </c>
      <c r="J69" s="144">
        <v>1000</v>
      </c>
      <c r="K69" s="159">
        <f>K68+I69-J69</f>
        <v>23905</v>
      </c>
    </row>
    <row r="70" spans="1:11" ht="15" hidden="1">
      <c r="A70" s="137" t="str">
        <f t="shared" si="2"/>
        <v>CAPCOMBUSTIBLECAPRICHOS</v>
      </c>
      <c r="B70" t="s">
        <v>3498</v>
      </c>
      <c r="C70" s="1">
        <v>45719</v>
      </c>
      <c r="D70" t="s">
        <v>31</v>
      </c>
      <c r="E70" t="s">
        <v>32</v>
      </c>
      <c r="F70" s="158" t="s">
        <v>33</v>
      </c>
      <c r="G70" s="158"/>
      <c r="H70" t="s">
        <v>4754</v>
      </c>
      <c r="J70" s="78">
        <v>1000</v>
      </c>
      <c r="K70" s="159">
        <f>K69+I70-J70</f>
        <v>22905</v>
      </c>
    </row>
    <row r="71" spans="1:11" ht="15" hidden="1">
      <c r="A71" s="137" t="str">
        <f t="shared" si="2"/>
        <v>CAPCOMBUSTIBLECAPRICHOS</v>
      </c>
      <c r="B71" t="s">
        <v>3498</v>
      </c>
      <c r="C71" s="1">
        <v>45719</v>
      </c>
      <c r="D71" t="s">
        <v>31</v>
      </c>
      <c r="E71" t="s">
        <v>32</v>
      </c>
      <c r="F71" s="158" t="s">
        <v>33</v>
      </c>
      <c r="G71" s="158"/>
      <c r="H71" t="s">
        <v>4755</v>
      </c>
      <c r="J71" s="78">
        <v>700</v>
      </c>
      <c r="K71" s="159">
        <f>K70+I71-J71</f>
        <v>22205</v>
      </c>
    </row>
    <row r="72" spans="1:11" ht="15" hidden="1">
      <c r="A72" s="137" t="str">
        <f t="shared" si="2"/>
        <v>SERVICIOSCOMBUSTIBLESERVICIOS</v>
      </c>
      <c r="B72" t="s">
        <v>3498</v>
      </c>
      <c r="C72" s="1">
        <v>45719</v>
      </c>
      <c r="D72" t="s">
        <v>21</v>
      </c>
      <c r="E72" t="s">
        <v>32</v>
      </c>
      <c r="F72" s="158" t="s">
        <v>21</v>
      </c>
      <c r="G72" s="158"/>
      <c r="H72" t="s">
        <v>4756</v>
      </c>
      <c r="J72" s="78">
        <v>400</v>
      </c>
      <c r="K72" s="159">
        <f>K71+I72-J72</f>
        <v>21805</v>
      </c>
    </row>
    <row r="73" spans="1:11" ht="15" hidden="1">
      <c r="A73" s="137" t="str">
        <f t="shared" si="2"/>
        <v>SERVICIOSCOMBUSTIBLECEDIS</v>
      </c>
      <c r="B73" t="s">
        <v>3498</v>
      </c>
      <c r="C73" s="1">
        <v>45720</v>
      </c>
      <c r="D73" t="s">
        <v>21</v>
      </c>
      <c r="E73" t="s">
        <v>32</v>
      </c>
      <c r="F73" s="158" t="s">
        <v>28</v>
      </c>
      <c r="G73" s="158"/>
      <c r="H73" t="s">
        <v>28</v>
      </c>
      <c r="J73" s="78">
        <v>15500</v>
      </c>
      <c r="K73" s="159">
        <f>K72+I73-J73</f>
        <v>6305</v>
      </c>
    </row>
    <row r="74" spans="1:11" ht="15.75" hidden="1" customHeight="1">
      <c r="A74" s="137" t="str">
        <f t="shared" si="2"/>
        <v>SERVICIOSMTTO DE EDIFICIOMANTENIMIENTO</v>
      </c>
      <c r="B74" t="s">
        <v>3498</v>
      </c>
      <c r="C74" s="1">
        <v>45720</v>
      </c>
      <c r="D74" t="s">
        <v>21</v>
      </c>
      <c r="E74" t="s">
        <v>142</v>
      </c>
      <c r="F74" s="221" t="s">
        <v>35</v>
      </c>
      <c r="G74" s="158"/>
      <c r="H74" t="s">
        <v>4733</v>
      </c>
      <c r="J74" s="78">
        <v>500</v>
      </c>
      <c r="K74" s="159">
        <f>K73+I74-J74</f>
        <v>5805</v>
      </c>
    </row>
    <row r="75" spans="1:11" ht="15" hidden="1">
      <c r="A75" s="137" t="str">
        <f t="shared" si="2"/>
        <v>FINANZASCOMBUSTIBLECONTABILIDAD</v>
      </c>
      <c r="B75" t="s">
        <v>3498</v>
      </c>
      <c r="C75" s="1">
        <v>45721</v>
      </c>
      <c r="D75" t="s">
        <v>23</v>
      </c>
      <c r="E75" t="s">
        <v>32</v>
      </c>
      <c r="F75" s="158" t="s">
        <v>37</v>
      </c>
      <c r="G75" s="158"/>
      <c r="H75" t="s">
        <v>4757</v>
      </c>
      <c r="J75" s="78">
        <v>3000</v>
      </c>
      <c r="K75" s="159">
        <f>K74+I75-J75</f>
        <v>2805</v>
      </c>
    </row>
    <row r="76" spans="1:11" ht="15" hidden="1">
      <c r="A76" s="137" t="str">
        <f t="shared" si="2"/>
        <v>FINANZASCOMBUSTIBLETESORERIA</v>
      </c>
      <c r="B76" t="s">
        <v>3498</v>
      </c>
      <c r="C76" s="1">
        <v>45722</v>
      </c>
      <c r="D76" t="s">
        <v>23</v>
      </c>
      <c r="E76" t="s">
        <v>32</v>
      </c>
      <c r="F76" s="158" t="s">
        <v>38</v>
      </c>
      <c r="G76" s="158"/>
      <c r="H76" t="s">
        <v>4758</v>
      </c>
      <c r="J76" s="78">
        <v>1500</v>
      </c>
      <c r="K76" s="159">
        <f>K75+I76-J76</f>
        <v>1305</v>
      </c>
    </row>
    <row r="77" spans="1:11" ht="15" hidden="1">
      <c r="A77" s="137" t="str">
        <f t="shared" si="2"/>
        <v>FINANZASCOMBUSTIBLETESORERIA</v>
      </c>
      <c r="B77" t="s">
        <v>3498</v>
      </c>
      <c r="C77" s="1">
        <v>45723</v>
      </c>
      <c r="D77" t="s">
        <v>23</v>
      </c>
      <c r="E77" t="s">
        <v>32</v>
      </c>
      <c r="F77" s="158" t="s">
        <v>38</v>
      </c>
      <c r="G77" s="158"/>
      <c r="H77" t="s">
        <v>4759</v>
      </c>
      <c r="J77" s="78">
        <v>700</v>
      </c>
      <c r="K77" s="159">
        <f>K76+I77-J77</f>
        <v>605</v>
      </c>
    </row>
    <row r="78" spans="1:11" ht="15" hidden="1">
      <c r="A78" s="137" t="str">
        <f t="shared" si="2"/>
        <v>MELCOMBUSTIBLEMELISSA</v>
      </c>
      <c r="B78" t="s">
        <v>3498</v>
      </c>
      <c r="C78" s="1">
        <v>45723</v>
      </c>
      <c r="D78" t="s">
        <v>43</v>
      </c>
      <c r="E78" t="s">
        <v>32</v>
      </c>
      <c r="F78" s="158" t="s">
        <v>44</v>
      </c>
      <c r="G78" s="158"/>
      <c r="H78" t="s">
        <v>4760</v>
      </c>
      <c r="J78" s="78">
        <v>1500</v>
      </c>
      <c r="K78" s="159">
        <f>K77+I78-J78</f>
        <v>-895</v>
      </c>
    </row>
    <row r="79" spans="1:11" ht="15" hidden="1">
      <c r="A79" s="137" t="str">
        <f t="shared" si="2"/>
        <v>MMCOMBUSTIBLEMARKET MAX</v>
      </c>
      <c r="B79" t="s">
        <v>3498</v>
      </c>
      <c r="C79" s="1">
        <v>45723</v>
      </c>
      <c r="D79" t="s">
        <v>45</v>
      </c>
      <c r="E79" t="s">
        <v>32</v>
      </c>
      <c r="F79" s="158" t="s">
        <v>46</v>
      </c>
      <c r="G79" s="158"/>
      <c r="H79" t="s">
        <v>4761</v>
      </c>
      <c r="J79" s="78">
        <v>700</v>
      </c>
      <c r="K79" s="159">
        <f>K78+I79-J79</f>
        <v>-1595</v>
      </c>
    </row>
    <row r="80" spans="1:11" ht="15" hidden="1">
      <c r="A80" s="137" t="str">
        <f t="shared" si="2"/>
        <v>SERVICIOSCOMBUSTIBLEINVENTARIOS</v>
      </c>
      <c r="B80" t="s">
        <v>3498</v>
      </c>
      <c r="C80" s="1">
        <v>45723</v>
      </c>
      <c r="D80" t="s">
        <v>21</v>
      </c>
      <c r="E80" t="s">
        <v>32</v>
      </c>
      <c r="F80" s="158" t="s">
        <v>34</v>
      </c>
      <c r="G80" s="158"/>
      <c r="H80" t="s">
        <v>34</v>
      </c>
      <c r="J80" s="78">
        <v>1500</v>
      </c>
      <c r="K80" s="159">
        <f>K79+I80-J80</f>
        <v>-3095</v>
      </c>
    </row>
    <row r="81" spans="1:11" ht="15" hidden="1">
      <c r="A81" s="137" t="str">
        <f t="shared" si="2"/>
        <v/>
      </c>
      <c r="B81" t="s">
        <v>3498</v>
      </c>
      <c r="C81" s="1">
        <v>45723</v>
      </c>
      <c r="F81" s="158"/>
      <c r="G81" s="158"/>
      <c r="H81" t="s">
        <v>4741</v>
      </c>
      <c r="I81" s="78">
        <v>32618.2</v>
      </c>
      <c r="J81" s="78"/>
      <c r="K81" s="159">
        <f>K80+I81-J81</f>
        <v>29523.200000000001</v>
      </c>
    </row>
    <row r="82" spans="1:11" ht="16.5" hidden="1" customHeight="1">
      <c r="A82" s="137" t="str">
        <f t="shared" si="2"/>
        <v>FINANZASCOMBUSTIBLECOMISION SI VALE</v>
      </c>
      <c r="B82" t="s">
        <v>3498</v>
      </c>
      <c r="C82" s="1">
        <v>45723</v>
      </c>
      <c r="D82" t="s">
        <v>23</v>
      </c>
      <c r="E82" t="s">
        <v>32</v>
      </c>
      <c r="F82" s="221" t="s">
        <v>47</v>
      </c>
      <c r="G82" s="158"/>
      <c r="H82" t="s">
        <v>4742</v>
      </c>
      <c r="I82" s="78"/>
      <c r="J82" s="78">
        <v>1618.2</v>
      </c>
      <c r="K82" s="159">
        <f>K81+I82-J82</f>
        <v>27905</v>
      </c>
    </row>
    <row r="83" spans="1:11" ht="15" hidden="1">
      <c r="A83" s="137" t="str">
        <f t="shared" si="2"/>
        <v>HRCOMBUSTIBLEHR</v>
      </c>
      <c r="B83" t="s">
        <v>3498</v>
      </c>
      <c r="C83" s="1">
        <v>45726</v>
      </c>
      <c r="D83" t="s">
        <v>29</v>
      </c>
      <c r="E83" t="s">
        <v>32</v>
      </c>
      <c r="F83" s="158" t="s">
        <v>29</v>
      </c>
      <c r="G83" s="158"/>
      <c r="H83" t="s">
        <v>4751</v>
      </c>
      <c r="I83" s="161"/>
      <c r="J83" s="78">
        <v>800</v>
      </c>
      <c r="K83" s="159">
        <f>K82+I83-J83</f>
        <v>27105</v>
      </c>
    </row>
    <row r="84" spans="1:11" ht="15" hidden="1">
      <c r="A84" s="137" t="str">
        <f t="shared" si="2"/>
        <v>HRCOMBUSTIBLEHR</v>
      </c>
      <c r="B84" t="s">
        <v>3498</v>
      </c>
      <c r="C84" s="1">
        <v>45726</v>
      </c>
      <c r="D84" t="s">
        <v>29</v>
      </c>
      <c r="E84" t="s">
        <v>32</v>
      </c>
      <c r="F84" s="158" t="s">
        <v>29</v>
      </c>
      <c r="G84" s="158"/>
      <c r="H84" t="s">
        <v>4753</v>
      </c>
      <c r="I84" s="161"/>
      <c r="J84" s="78">
        <v>1200</v>
      </c>
      <c r="K84" s="159">
        <f>K83+I84-J84</f>
        <v>25905</v>
      </c>
    </row>
    <row r="85" spans="1:11" ht="15" hidden="1">
      <c r="A85" s="137" t="str">
        <f t="shared" si="2"/>
        <v>CAPCOMBUSTIBLECAPRICHOS</v>
      </c>
      <c r="B85" t="s">
        <v>3498</v>
      </c>
      <c r="C85" s="1">
        <v>45726</v>
      </c>
      <c r="D85" t="s">
        <v>31</v>
      </c>
      <c r="E85" t="s">
        <v>32</v>
      </c>
      <c r="F85" s="158" t="s">
        <v>33</v>
      </c>
      <c r="G85" s="158"/>
      <c r="H85" t="s">
        <v>4754</v>
      </c>
      <c r="I85" s="161"/>
      <c r="J85" s="78">
        <v>1500</v>
      </c>
      <c r="K85" s="159">
        <f>K84+I85-J85</f>
        <v>24405</v>
      </c>
    </row>
    <row r="86" spans="1:11" ht="15" hidden="1">
      <c r="A86" s="137" t="str">
        <f t="shared" si="2"/>
        <v>SERVICIOSCOMBUSTIBLECEDIS</v>
      </c>
      <c r="B86" t="s">
        <v>3498</v>
      </c>
      <c r="C86" s="1">
        <v>45726</v>
      </c>
      <c r="D86" t="s">
        <v>21</v>
      </c>
      <c r="E86" t="s">
        <v>32</v>
      </c>
      <c r="F86" s="158" t="s">
        <v>28</v>
      </c>
      <c r="G86" s="158"/>
      <c r="H86" t="s">
        <v>28</v>
      </c>
      <c r="I86" s="144"/>
      <c r="J86" s="144">
        <v>23500</v>
      </c>
      <c r="K86" s="159">
        <f>K85+I86-J86</f>
        <v>905</v>
      </c>
    </row>
    <row r="87" spans="1:11" ht="15" hidden="1">
      <c r="A87" s="137" t="str">
        <f t="shared" si="2"/>
        <v>SERVICIOSMTTO DE EDIFICIOMANTENIMIENTO</v>
      </c>
      <c r="B87" t="s">
        <v>3498</v>
      </c>
      <c r="C87" s="1">
        <v>45726</v>
      </c>
      <c r="D87" t="s">
        <v>21</v>
      </c>
      <c r="E87" t="s">
        <v>142</v>
      </c>
      <c r="F87" s="241" t="s">
        <v>35</v>
      </c>
      <c r="G87" s="158"/>
      <c r="H87" t="s">
        <v>4762</v>
      </c>
      <c r="J87" s="144">
        <v>1000</v>
      </c>
      <c r="K87" s="159">
        <f>K86+I87-J87</f>
        <v>-95</v>
      </c>
    </row>
    <row r="88" spans="1:11" ht="15" hidden="1">
      <c r="A88" s="137" t="str">
        <f t="shared" si="2"/>
        <v>FINANZASCOMBUSTIBLECONTABILIDAD</v>
      </c>
      <c r="B88" t="s">
        <v>3498</v>
      </c>
      <c r="C88" s="1">
        <v>45726</v>
      </c>
      <c r="D88" t="s">
        <v>23</v>
      </c>
      <c r="E88" t="s">
        <v>32</v>
      </c>
      <c r="F88" s="158" t="s">
        <v>37</v>
      </c>
      <c r="G88" s="158"/>
      <c r="H88" t="s">
        <v>4763</v>
      </c>
      <c r="J88" s="78">
        <v>1100</v>
      </c>
      <c r="K88" s="159">
        <f>K87+I88-J88</f>
        <v>-1195</v>
      </c>
    </row>
    <row r="89" spans="1:11" ht="15" hidden="1">
      <c r="A89" s="137" t="str">
        <f t="shared" si="2"/>
        <v>FINANZASCOMBUSTIBLETESORERIA</v>
      </c>
      <c r="B89" t="s">
        <v>3498</v>
      </c>
      <c r="C89" s="1">
        <v>45726</v>
      </c>
      <c r="D89" t="s">
        <v>23</v>
      </c>
      <c r="E89" t="s">
        <v>32</v>
      </c>
      <c r="F89" s="158" t="s">
        <v>38</v>
      </c>
      <c r="G89" s="158"/>
      <c r="H89" t="s">
        <v>4759</v>
      </c>
      <c r="J89" s="78">
        <v>700</v>
      </c>
      <c r="K89" s="159">
        <f>K88+I89-J89</f>
        <v>-1895</v>
      </c>
    </row>
    <row r="90" spans="1:11" ht="15" hidden="1">
      <c r="A90" s="137" t="str">
        <f t="shared" si="2"/>
        <v>FINANZASCOMBUSTIBLETESORERIA</v>
      </c>
      <c r="B90" t="s">
        <v>3498</v>
      </c>
      <c r="C90" s="1">
        <v>45726</v>
      </c>
      <c r="D90" t="s">
        <v>23</v>
      </c>
      <c r="E90" t="s">
        <v>32</v>
      </c>
      <c r="F90" s="158" t="s">
        <v>38</v>
      </c>
      <c r="G90" s="158"/>
      <c r="H90" t="s">
        <v>4758</v>
      </c>
      <c r="J90" s="78">
        <v>1500</v>
      </c>
      <c r="K90" s="159">
        <f>K89+I90-J90</f>
        <v>-3395</v>
      </c>
    </row>
    <row r="91" spans="1:11" ht="15" hidden="1">
      <c r="A91" s="137" t="str">
        <f t="shared" si="2"/>
        <v>FINANZASCOMBUSTIBLEFINANZAS</v>
      </c>
      <c r="B91" t="s">
        <v>3498</v>
      </c>
      <c r="C91" s="1">
        <v>45726</v>
      </c>
      <c r="D91" t="s">
        <v>23</v>
      </c>
      <c r="E91" t="s">
        <v>32</v>
      </c>
      <c r="F91" s="158" t="s">
        <v>23</v>
      </c>
      <c r="G91" s="158"/>
      <c r="H91" t="s">
        <v>4764</v>
      </c>
      <c r="J91" s="78">
        <v>700</v>
      </c>
      <c r="K91" s="159">
        <f>K90+I91-J91</f>
        <v>-4095</v>
      </c>
    </row>
    <row r="92" spans="1:11" ht="15" hidden="1">
      <c r="A92" s="137" t="str">
        <f t="shared" si="2"/>
        <v>DECOMBUSTIBLEDIRECCION</v>
      </c>
      <c r="B92" t="s">
        <v>3498</v>
      </c>
      <c r="C92" s="1">
        <v>45726</v>
      </c>
      <c r="D92" t="s">
        <v>41</v>
      </c>
      <c r="E92" t="s">
        <v>32</v>
      </c>
      <c r="F92" s="158" t="s">
        <v>42</v>
      </c>
      <c r="G92" s="158"/>
      <c r="H92" t="s">
        <v>4765</v>
      </c>
      <c r="J92" s="78">
        <v>1000</v>
      </c>
      <c r="K92" s="159">
        <f>K91+I92-J92</f>
        <v>-5095</v>
      </c>
    </row>
    <row r="93" spans="1:11" ht="15" hidden="1">
      <c r="A93" s="137" t="str">
        <f t="shared" si="2"/>
        <v>SGECOMBUSTIBLEGESTION EMPRESARIAL</v>
      </c>
      <c r="B93" t="s">
        <v>3498</v>
      </c>
      <c r="C93" s="1">
        <v>45726</v>
      </c>
      <c r="D93" t="s">
        <v>39</v>
      </c>
      <c r="E93" t="s">
        <v>32</v>
      </c>
      <c r="F93" s="158" t="s">
        <v>40</v>
      </c>
      <c r="G93" s="158"/>
      <c r="H93" t="s">
        <v>40</v>
      </c>
      <c r="J93" s="78">
        <v>1000</v>
      </c>
      <c r="K93" s="159">
        <f>K92+I93-J93</f>
        <v>-6095</v>
      </c>
    </row>
    <row r="94" spans="1:11" ht="15" hidden="1">
      <c r="A94" s="137" t="str">
        <f t="shared" si="2"/>
        <v>MMCOMBUSTIBLEMARKET MAX</v>
      </c>
      <c r="B94" t="s">
        <v>3498</v>
      </c>
      <c r="C94" s="1">
        <v>45726</v>
      </c>
      <c r="D94" t="s">
        <v>45</v>
      </c>
      <c r="E94" t="s">
        <v>32</v>
      </c>
      <c r="F94" s="158" t="s">
        <v>46</v>
      </c>
      <c r="G94" s="158"/>
      <c r="H94" t="s">
        <v>4761</v>
      </c>
      <c r="J94" s="78">
        <v>700</v>
      </c>
      <c r="K94" s="159">
        <f>K93+I94-J94</f>
        <v>-6795</v>
      </c>
    </row>
    <row r="95" spans="1:11" ht="15" hidden="1">
      <c r="A95" s="137" t="str">
        <f t="shared" si="2"/>
        <v>MELCOMBUSTIBLEMELISSA</v>
      </c>
      <c r="B95" t="s">
        <v>3498</v>
      </c>
      <c r="C95" s="1">
        <v>45726</v>
      </c>
      <c r="D95" t="s">
        <v>43</v>
      </c>
      <c r="E95" t="s">
        <v>32</v>
      </c>
      <c r="F95" s="158" t="s">
        <v>44</v>
      </c>
      <c r="G95" s="158"/>
      <c r="H95" t="s">
        <v>4760</v>
      </c>
      <c r="J95" s="78">
        <v>1600</v>
      </c>
      <c r="K95" s="159">
        <f>K94+I95-J95</f>
        <v>-8395</v>
      </c>
    </row>
    <row r="96" spans="1:11" ht="15" hidden="1">
      <c r="A96" s="137" t="str">
        <f t="shared" si="2"/>
        <v>SERVICIOSCOMBUSTIBLEINVENTARIOS</v>
      </c>
      <c r="B96" t="s">
        <v>3498</v>
      </c>
      <c r="C96" s="1">
        <v>45726</v>
      </c>
      <c r="D96" t="s">
        <v>21</v>
      </c>
      <c r="E96" t="s">
        <v>32</v>
      </c>
      <c r="F96" s="158" t="s">
        <v>34</v>
      </c>
      <c r="G96" s="158"/>
      <c r="H96" t="s">
        <v>34</v>
      </c>
      <c r="I96" s="161"/>
      <c r="J96" s="144">
        <v>2500</v>
      </c>
      <c r="K96" s="159">
        <f>K95+I96-J96</f>
        <v>-10895</v>
      </c>
    </row>
    <row r="97" spans="1:11" ht="15" hidden="1">
      <c r="A97" s="137" t="str">
        <f t="shared" si="2"/>
        <v/>
      </c>
      <c r="B97" t="s">
        <v>3498</v>
      </c>
      <c r="C97" s="1">
        <v>45726</v>
      </c>
      <c r="F97" s="158"/>
      <c r="G97" s="158"/>
      <c r="H97" t="s">
        <v>4741</v>
      </c>
      <c r="I97" s="78">
        <v>31566</v>
      </c>
      <c r="J97" s="144"/>
      <c r="K97" s="159">
        <f>K96+I97-J97</f>
        <v>20671</v>
      </c>
    </row>
    <row r="98" spans="1:11" ht="15" hidden="1">
      <c r="A98" s="137" t="str">
        <f t="shared" si="2"/>
        <v>FINANZASCOMBUSTIBLECOMISION SI VALE</v>
      </c>
      <c r="B98" t="s">
        <v>3498</v>
      </c>
      <c r="C98" s="1">
        <v>45726</v>
      </c>
      <c r="D98" t="s">
        <v>23</v>
      </c>
      <c r="E98" t="s">
        <v>32</v>
      </c>
      <c r="F98" s="241" t="s">
        <v>47</v>
      </c>
      <c r="G98" s="158"/>
      <c r="H98" t="s">
        <v>4742</v>
      </c>
      <c r="I98" s="161"/>
      <c r="J98" s="144">
        <v>1566</v>
      </c>
      <c r="K98" s="159">
        <f>K97+I98-J98</f>
        <v>19105</v>
      </c>
    </row>
    <row r="99" spans="1:11" ht="15" hidden="1">
      <c r="A99" s="137" t="str">
        <f t="shared" si="2"/>
        <v>HRCOMBUSTIBLEHR</v>
      </c>
      <c r="B99" t="s">
        <v>3498</v>
      </c>
      <c r="C99" s="1">
        <v>45733</v>
      </c>
      <c r="D99" t="s">
        <v>29</v>
      </c>
      <c r="E99" t="s">
        <v>32</v>
      </c>
      <c r="F99" s="158" t="s">
        <v>29</v>
      </c>
      <c r="G99" s="158"/>
      <c r="H99" t="s">
        <v>4752</v>
      </c>
      <c r="J99" s="78">
        <v>1200</v>
      </c>
      <c r="K99" s="159">
        <f>K98+I99-J99</f>
        <v>17905</v>
      </c>
    </row>
    <row r="100" spans="1:11" ht="15" hidden="1">
      <c r="A100" s="137" t="str">
        <f t="shared" si="2"/>
        <v>HRCOMBUSTIBLEHR</v>
      </c>
      <c r="B100" t="s">
        <v>3498</v>
      </c>
      <c r="C100" s="1">
        <v>45733</v>
      </c>
      <c r="D100" t="s">
        <v>29</v>
      </c>
      <c r="E100" t="s">
        <v>32</v>
      </c>
      <c r="F100" s="158" t="s">
        <v>29</v>
      </c>
      <c r="G100" s="158"/>
      <c r="H100" t="s">
        <v>4753</v>
      </c>
      <c r="J100" s="78">
        <v>950</v>
      </c>
      <c r="K100" s="159">
        <f>K99+I100-J100</f>
        <v>16955</v>
      </c>
    </row>
    <row r="101" spans="1:11" ht="15" hidden="1">
      <c r="A101" s="137" t="str">
        <f t="shared" si="2"/>
        <v>CAPCOMBUSTIBLECAPRICHOS</v>
      </c>
      <c r="B101" t="s">
        <v>3498</v>
      </c>
      <c r="C101" s="1">
        <v>45733</v>
      </c>
      <c r="D101" t="s">
        <v>31</v>
      </c>
      <c r="E101" t="s">
        <v>32</v>
      </c>
      <c r="F101" s="158" t="s">
        <v>33</v>
      </c>
      <c r="G101" s="158"/>
      <c r="H101" t="s">
        <v>4754</v>
      </c>
      <c r="J101" s="78">
        <v>1500</v>
      </c>
      <c r="K101" s="159">
        <f>K100+I101-J101</f>
        <v>15455</v>
      </c>
    </row>
    <row r="102" spans="1:11" ht="15" hidden="1">
      <c r="A102" s="137" t="str">
        <f t="shared" si="2"/>
        <v>CAPCOMBUSTIBLECAPRICHOS</v>
      </c>
      <c r="B102" t="s">
        <v>3498</v>
      </c>
      <c r="C102" s="1">
        <v>45733</v>
      </c>
      <c r="D102" t="s">
        <v>31</v>
      </c>
      <c r="E102" t="s">
        <v>32</v>
      </c>
      <c r="F102" s="158" t="s">
        <v>33</v>
      </c>
      <c r="G102" s="158"/>
      <c r="H102" t="s">
        <v>4755</v>
      </c>
      <c r="J102" s="144">
        <v>700</v>
      </c>
      <c r="K102" s="159">
        <f>K101+I102-J102</f>
        <v>14755</v>
      </c>
    </row>
    <row r="103" spans="1:11" ht="15" hidden="1">
      <c r="A103" s="137" t="str">
        <f t="shared" si="2"/>
        <v>SERVICIOSCOMBUSTIBLESERVICIOS</v>
      </c>
      <c r="B103" t="s">
        <v>3498</v>
      </c>
      <c r="C103" s="1">
        <v>45733</v>
      </c>
      <c r="D103" t="s">
        <v>21</v>
      </c>
      <c r="E103" t="s">
        <v>32</v>
      </c>
      <c r="F103" s="158" t="s">
        <v>21</v>
      </c>
      <c r="G103" s="158"/>
      <c r="H103" t="s">
        <v>4756</v>
      </c>
      <c r="J103" s="144">
        <v>2500</v>
      </c>
      <c r="K103" s="159">
        <f>K102+I103-J103</f>
        <v>12255</v>
      </c>
    </row>
    <row r="104" spans="1:11" ht="15" hidden="1">
      <c r="A104" s="137" t="str">
        <f t="shared" si="2"/>
        <v>SERVICIOSCOMBUSTIBLECEDIS</v>
      </c>
      <c r="B104" t="s">
        <v>3498</v>
      </c>
      <c r="C104" s="1">
        <v>45733</v>
      </c>
      <c r="D104" t="s">
        <v>21</v>
      </c>
      <c r="E104" t="s">
        <v>32</v>
      </c>
      <c r="F104" s="158" t="s">
        <v>28</v>
      </c>
      <c r="G104" s="158"/>
      <c r="H104" t="s">
        <v>28</v>
      </c>
      <c r="J104" s="78">
        <v>22500</v>
      </c>
      <c r="K104" s="159">
        <f>K103+I104-J104</f>
        <v>-10245</v>
      </c>
    </row>
    <row r="105" spans="1:11" ht="15" hidden="1">
      <c r="A105" s="137" t="str">
        <f t="shared" si="2"/>
        <v>SERVICIOSMTTO DE EDIFICIOMANTENIMIENTO</v>
      </c>
      <c r="B105" t="s">
        <v>3498</v>
      </c>
      <c r="C105" s="1">
        <v>45733</v>
      </c>
      <c r="D105" t="s">
        <v>21</v>
      </c>
      <c r="E105" t="s">
        <v>142</v>
      </c>
      <c r="F105" s="241" t="s">
        <v>35</v>
      </c>
      <c r="G105" s="158"/>
      <c r="H105" t="s">
        <v>4762</v>
      </c>
      <c r="J105" s="78">
        <v>1000</v>
      </c>
      <c r="K105" s="159">
        <f>K104+I105-J105</f>
        <v>-11245</v>
      </c>
    </row>
    <row r="106" spans="1:11" ht="15" hidden="1">
      <c r="A106" s="137" t="str">
        <f t="shared" si="2"/>
        <v>FINANZASCOMBUSTIBLETESORERIA</v>
      </c>
      <c r="B106" t="s">
        <v>3498</v>
      </c>
      <c r="C106" s="1">
        <v>45733</v>
      </c>
      <c r="D106" t="s">
        <v>23</v>
      </c>
      <c r="E106" t="s">
        <v>32</v>
      </c>
      <c r="F106" s="158" t="s">
        <v>38</v>
      </c>
      <c r="G106" s="158"/>
      <c r="H106" t="s">
        <v>4759</v>
      </c>
      <c r="J106" s="78">
        <v>700</v>
      </c>
      <c r="K106" s="159">
        <f>K105+I106-J106</f>
        <v>-11945</v>
      </c>
    </row>
    <row r="107" spans="1:11" ht="15" hidden="1">
      <c r="A107" s="137" t="str">
        <f t="shared" si="2"/>
        <v>FINANZASCOMBUSTIBLETESORERIA</v>
      </c>
      <c r="B107" t="s">
        <v>3498</v>
      </c>
      <c r="C107" s="1">
        <v>45733</v>
      </c>
      <c r="D107" t="s">
        <v>23</v>
      </c>
      <c r="E107" t="s">
        <v>32</v>
      </c>
      <c r="F107" s="158" t="s">
        <v>38</v>
      </c>
      <c r="G107" s="158"/>
      <c r="H107" t="s">
        <v>4758</v>
      </c>
      <c r="J107" s="78">
        <v>1500</v>
      </c>
      <c r="K107" s="159">
        <f>K106+I107-J107</f>
        <v>-13445</v>
      </c>
    </row>
    <row r="108" spans="1:11" ht="15" hidden="1">
      <c r="A108" s="137" t="str">
        <f t="shared" si="2"/>
        <v>FINANZASCOMBUSTIBLEFINANZAS</v>
      </c>
      <c r="B108" t="s">
        <v>3498</v>
      </c>
      <c r="C108" s="1">
        <v>45733</v>
      </c>
      <c r="D108" t="s">
        <v>23</v>
      </c>
      <c r="E108" t="s">
        <v>32</v>
      </c>
      <c r="F108" s="158" t="s">
        <v>23</v>
      </c>
      <c r="G108" s="158"/>
      <c r="H108" t="s">
        <v>4764</v>
      </c>
      <c r="J108" s="78">
        <v>700</v>
      </c>
      <c r="K108" s="159">
        <f>K107+I108-J108</f>
        <v>-14145</v>
      </c>
    </row>
    <row r="109" spans="1:11" ht="15" hidden="1">
      <c r="A109" s="137" t="str">
        <f t="shared" si="2"/>
        <v>DECOMBUSTIBLEDIRECCION</v>
      </c>
      <c r="B109" t="s">
        <v>3498</v>
      </c>
      <c r="C109" s="1">
        <v>45733</v>
      </c>
      <c r="D109" t="s">
        <v>41</v>
      </c>
      <c r="E109" t="s">
        <v>32</v>
      </c>
      <c r="F109" s="158" t="s">
        <v>42</v>
      </c>
      <c r="G109" s="158"/>
      <c r="H109" t="s">
        <v>4765</v>
      </c>
      <c r="J109" s="78">
        <v>2000</v>
      </c>
      <c r="K109" s="159">
        <f>K108+I109-J109</f>
        <v>-16145</v>
      </c>
    </row>
    <row r="110" spans="1:11" ht="15" hidden="1">
      <c r="A110" s="137" t="str">
        <f t="shared" si="2"/>
        <v>MMCOMBUSTIBLEMARKET MAX</v>
      </c>
      <c r="B110" t="s">
        <v>3498</v>
      </c>
      <c r="C110" s="1">
        <v>45733</v>
      </c>
      <c r="D110" t="s">
        <v>45</v>
      </c>
      <c r="E110" t="s">
        <v>32</v>
      </c>
      <c r="F110" s="158" t="s">
        <v>46</v>
      </c>
      <c r="G110" s="158"/>
      <c r="H110" t="s">
        <v>4761</v>
      </c>
      <c r="J110" s="78">
        <v>700</v>
      </c>
      <c r="K110" s="159">
        <f>K109+I110-J110</f>
        <v>-16845</v>
      </c>
    </row>
    <row r="111" spans="1:11" ht="15" hidden="1">
      <c r="A111" s="137" t="str">
        <f t="shared" si="2"/>
        <v>MELCOMBUSTIBLEMELISSA</v>
      </c>
      <c r="B111" t="s">
        <v>3498</v>
      </c>
      <c r="C111" s="1">
        <v>45733</v>
      </c>
      <c r="D111" t="s">
        <v>43</v>
      </c>
      <c r="E111" t="s">
        <v>32</v>
      </c>
      <c r="F111" s="158" t="s">
        <v>44</v>
      </c>
      <c r="G111" s="158"/>
      <c r="H111" t="s">
        <v>4760</v>
      </c>
      <c r="J111" s="78">
        <v>1000</v>
      </c>
      <c r="K111" s="159">
        <f>K110+I111-J111</f>
        <v>-17845</v>
      </c>
    </row>
    <row r="112" spans="1:11" ht="15" hidden="1">
      <c r="A112" s="137" t="str">
        <f t="shared" si="2"/>
        <v>SERVICIOSCOMBUSTIBLEINVENTARIOS</v>
      </c>
      <c r="B112" t="s">
        <v>3498</v>
      </c>
      <c r="C112" s="1">
        <v>45733</v>
      </c>
      <c r="D112" t="s">
        <v>21</v>
      </c>
      <c r="E112" t="s">
        <v>32</v>
      </c>
      <c r="F112" s="158" t="s">
        <v>34</v>
      </c>
      <c r="G112" s="158"/>
      <c r="H112" t="s">
        <v>34</v>
      </c>
      <c r="J112" s="78">
        <v>1000</v>
      </c>
      <c r="K112" s="159">
        <f>K111+I112-J112</f>
        <v>-18845</v>
      </c>
    </row>
    <row r="113" spans="1:11" ht="15" hidden="1">
      <c r="A113" s="137" t="str">
        <f t="shared" si="2"/>
        <v/>
      </c>
      <c r="B113" t="s">
        <v>3498</v>
      </c>
      <c r="C113" s="1">
        <v>45733</v>
      </c>
      <c r="F113" s="158"/>
      <c r="G113" s="158"/>
      <c r="H113" t="s">
        <v>4741</v>
      </c>
      <c r="I113" s="78">
        <v>21044</v>
      </c>
      <c r="J113" s="78"/>
      <c r="K113" s="159">
        <f>K112+I113-J113</f>
        <v>2199</v>
      </c>
    </row>
    <row r="114" spans="1:11" ht="15" hidden="1">
      <c r="A114" s="137" t="str">
        <f t="shared" si="2"/>
        <v>FINANZASCOMBUSTIBLECOMISION SI VALE</v>
      </c>
      <c r="B114" t="s">
        <v>3498</v>
      </c>
      <c r="C114" s="1">
        <v>45733</v>
      </c>
      <c r="D114" t="s">
        <v>23</v>
      </c>
      <c r="E114" t="s">
        <v>32</v>
      </c>
      <c r="F114" s="241" t="s">
        <v>47</v>
      </c>
      <c r="G114" s="158"/>
      <c r="H114" t="s">
        <v>4742</v>
      </c>
      <c r="J114" s="78">
        <v>1044</v>
      </c>
      <c r="K114" s="159">
        <f>K113+I114-J114</f>
        <v>1155</v>
      </c>
    </row>
    <row r="115" spans="1:11" ht="15" hidden="1">
      <c r="A115" s="137" t="str">
        <f t="shared" si="2"/>
        <v>HRCOMBUSTIBLEHR</v>
      </c>
      <c r="B115" t="s">
        <v>3498</v>
      </c>
      <c r="C115" s="1">
        <v>45740</v>
      </c>
      <c r="D115" t="s">
        <v>29</v>
      </c>
      <c r="E115" t="s">
        <v>32</v>
      </c>
      <c r="F115" s="158" t="s">
        <v>29</v>
      </c>
      <c r="G115" s="158"/>
      <c r="H115" t="s">
        <v>4751</v>
      </c>
      <c r="I115" s="161"/>
      <c r="J115" s="78">
        <v>775</v>
      </c>
      <c r="K115" s="159">
        <f>K114+I115-J115</f>
        <v>380</v>
      </c>
    </row>
    <row r="116" spans="1:11" ht="14.25" hidden="1" customHeight="1">
      <c r="A116" s="137" t="str">
        <f t="shared" si="2"/>
        <v>HRCOMBUSTIBLEHR</v>
      </c>
      <c r="B116" t="s">
        <v>3498</v>
      </c>
      <c r="C116" s="1">
        <v>45740</v>
      </c>
      <c r="D116" t="s">
        <v>29</v>
      </c>
      <c r="E116" t="s">
        <v>32</v>
      </c>
      <c r="F116" s="158" t="s">
        <v>29</v>
      </c>
      <c r="G116" s="158"/>
      <c r="H116" t="s">
        <v>4752</v>
      </c>
      <c r="I116" s="161"/>
      <c r="J116" s="78">
        <v>775</v>
      </c>
      <c r="K116" s="159">
        <f>K115+I116-J116</f>
        <v>-395</v>
      </c>
    </row>
    <row r="117" spans="1:11" ht="15" hidden="1">
      <c r="A117" s="137" t="str">
        <f t="shared" si="2"/>
        <v>HRCOMBUSTIBLEHR</v>
      </c>
      <c r="B117" t="s">
        <v>3498</v>
      </c>
      <c r="C117" s="1">
        <v>45740</v>
      </c>
      <c r="D117" t="s">
        <v>29</v>
      </c>
      <c r="E117" t="s">
        <v>32</v>
      </c>
      <c r="F117" s="158" t="s">
        <v>29</v>
      </c>
      <c r="G117" s="158"/>
      <c r="H117" t="s">
        <v>4753</v>
      </c>
      <c r="I117" s="161"/>
      <c r="J117" s="78">
        <v>775</v>
      </c>
      <c r="K117" s="159">
        <f>K116+I117-J117</f>
        <v>-1170</v>
      </c>
    </row>
    <row r="118" spans="1:11" ht="15" hidden="1">
      <c r="A118" s="137" t="str">
        <f t="shared" si="2"/>
        <v>HRCOMBUSTIBLEHR</v>
      </c>
      <c r="B118" t="s">
        <v>3498</v>
      </c>
      <c r="C118" s="1">
        <v>45740</v>
      </c>
      <c r="D118" t="s">
        <v>29</v>
      </c>
      <c r="E118" t="s">
        <v>32</v>
      </c>
      <c r="F118" s="158" t="s">
        <v>29</v>
      </c>
      <c r="G118" s="158"/>
      <c r="H118" t="s">
        <v>4766</v>
      </c>
      <c r="I118" s="161"/>
      <c r="J118" s="78">
        <v>775</v>
      </c>
      <c r="K118" s="159">
        <f>K117+I118-J118</f>
        <v>-1945</v>
      </c>
    </row>
    <row r="119" spans="1:11" ht="15" hidden="1">
      <c r="A119" s="137" t="str">
        <f t="shared" si="2"/>
        <v>CAPCOMBUSTIBLECAPRICHOS</v>
      </c>
      <c r="B119" t="s">
        <v>3498</v>
      </c>
      <c r="C119" s="1">
        <v>45740</v>
      </c>
      <c r="D119" t="s">
        <v>31</v>
      </c>
      <c r="E119" t="s">
        <v>32</v>
      </c>
      <c r="F119" s="158" t="s">
        <v>33</v>
      </c>
      <c r="G119" s="158"/>
      <c r="H119" t="s">
        <v>4754</v>
      </c>
      <c r="I119" s="144"/>
      <c r="J119" s="78">
        <v>1250</v>
      </c>
      <c r="K119" s="159">
        <f>K118+I119-J119</f>
        <v>-3195</v>
      </c>
    </row>
    <row r="120" spans="1:11" ht="15" hidden="1">
      <c r="A120" s="137" t="str">
        <f t="shared" si="2"/>
        <v>CAPCOMBUSTIBLECAPRICHOS</v>
      </c>
      <c r="B120" t="s">
        <v>3498</v>
      </c>
      <c r="C120" s="1">
        <v>45740</v>
      </c>
      <c r="D120" t="s">
        <v>31</v>
      </c>
      <c r="E120" t="s">
        <v>32</v>
      </c>
      <c r="F120" s="158" t="s">
        <v>33</v>
      </c>
      <c r="G120" s="158"/>
      <c r="H120" t="s">
        <v>4755</v>
      </c>
      <c r="I120" s="144"/>
      <c r="J120" s="78">
        <v>1250</v>
      </c>
      <c r="K120" s="159">
        <f>K119+I120-J120</f>
        <v>-4445</v>
      </c>
    </row>
    <row r="121" spans="1:11" ht="15" hidden="1">
      <c r="A121" s="137" t="str">
        <f t="shared" si="2"/>
        <v>SERVICIOSCOMBUSTIBLECEDIS</v>
      </c>
      <c r="B121" t="s">
        <v>3498</v>
      </c>
      <c r="C121" s="1">
        <v>45740</v>
      </c>
      <c r="D121" t="s">
        <v>21</v>
      </c>
      <c r="E121" t="s">
        <v>32</v>
      </c>
      <c r="F121" s="158" t="s">
        <v>28</v>
      </c>
      <c r="G121" s="158"/>
      <c r="H121" t="s">
        <v>28</v>
      </c>
      <c r="I121" s="144"/>
      <c r="J121" s="78">
        <v>15500</v>
      </c>
      <c r="K121" s="159">
        <f>K120+I121-J121</f>
        <v>-19945</v>
      </c>
    </row>
    <row r="122" spans="1:11" ht="15" hidden="1">
      <c r="A122" s="137" t="str">
        <f t="shared" si="2"/>
        <v>FINANZASCOMBUSTIBLETESORERIA</v>
      </c>
      <c r="B122" t="s">
        <v>3498</v>
      </c>
      <c r="C122" s="1">
        <v>45740</v>
      </c>
      <c r="D122" t="s">
        <v>23</v>
      </c>
      <c r="E122" t="s">
        <v>32</v>
      </c>
      <c r="F122" s="158" t="s">
        <v>38</v>
      </c>
      <c r="G122" s="158"/>
      <c r="H122" t="s">
        <v>4759</v>
      </c>
      <c r="I122" s="161"/>
      <c r="J122" s="78">
        <v>700</v>
      </c>
      <c r="K122" s="159">
        <f>K121+I122-J122</f>
        <v>-20645</v>
      </c>
    </row>
    <row r="123" spans="1:11" ht="15" hidden="1">
      <c r="A123" s="137" t="str">
        <f t="shared" si="2"/>
        <v>FINANZASCOMBUSTIBLETESORERIA</v>
      </c>
      <c r="B123" t="s">
        <v>3498</v>
      </c>
      <c r="C123" s="1">
        <v>45740</v>
      </c>
      <c r="D123" t="s">
        <v>23</v>
      </c>
      <c r="E123" t="s">
        <v>32</v>
      </c>
      <c r="F123" s="158" t="s">
        <v>38</v>
      </c>
      <c r="G123" s="158"/>
      <c r="H123" t="s">
        <v>4758</v>
      </c>
      <c r="I123" s="161"/>
      <c r="J123" s="78">
        <v>1500</v>
      </c>
      <c r="K123" s="159">
        <f>K122+I123-J123</f>
        <v>-22145</v>
      </c>
    </row>
    <row r="124" spans="1:11" ht="15" hidden="1">
      <c r="A124" s="137" t="str">
        <f t="shared" si="2"/>
        <v/>
      </c>
      <c r="B124" t="s">
        <v>3498</v>
      </c>
      <c r="C124" s="1">
        <v>45740</v>
      </c>
      <c r="F124" s="158"/>
      <c r="G124" s="158"/>
      <c r="H124" t="s">
        <v>4741</v>
      </c>
      <c r="I124" s="78">
        <v>21044</v>
      </c>
      <c r="J124" s="78"/>
      <c r="K124" s="159">
        <f>K123+I124-J124</f>
        <v>-1101</v>
      </c>
    </row>
    <row r="125" spans="1:11" ht="15" hidden="1">
      <c r="A125" s="137" t="str">
        <f t="shared" si="2"/>
        <v>FINANZASCOMBUSTIBLECOMISION SI VALE</v>
      </c>
      <c r="B125" t="s">
        <v>3498</v>
      </c>
      <c r="C125" s="1">
        <v>45740</v>
      </c>
      <c r="D125" t="s">
        <v>23</v>
      </c>
      <c r="E125" t="s">
        <v>32</v>
      </c>
      <c r="F125" s="241" t="s">
        <v>47</v>
      </c>
      <c r="G125" s="158"/>
      <c r="H125" t="s">
        <v>4742</v>
      </c>
      <c r="I125" s="161"/>
      <c r="J125" s="78">
        <v>1044</v>
      </c>
      <c r="K125" s="159">
        <f>K124+I125-J125</f>
        <v>-2145</v>
      </c>
    </row>
    <row r="126" spans="1:11" ht="15" hidden="1">
      <c r="A126" s="137" t="str">
        <f t="shared" si="2"/>
        <v>HRCOMBUSTIBLEHR</v>
      </c>
      <c r="B126" t="s">
        <v>3498</v>
      </c>
      <c r="C126" s="1">
        <v>45741</v>
      </c>
      <c r="D126" t="s">
        <v>29</v>
      </c>
      <c r="E126" t="s">
        <v>32</v>
      </c>
      <c r="F126" s="158" t="s">
        <v>29</v>
      </c>
      <c r="G126" s="158"/>
      <c r="H126" t="s">
        <v>4751</v>
      </c>
      <c r="I126" s="161"/>
      <c r="J126" s="78">
        <v>800</v>
      </c>
      <c r="K126" s="159">
        <f>K125+I126-J126</f>
        <v>-2945</v>
      </c>
    </row>
    <row r="127" spans="1:11" ht="15" hidden="1">
      <c r="A127" s="137" t="str">
        <f t="shared" si="2"/>
        <v>HRCOMBUSTIBLEHR</v>
      </c>
      <c r="B127" t="s">
        <v>3498</v>
      </c>
      <c r="C127" s="1">
        <v>45741</v>
      </c>
      <c r="D127" t="s">
        <v>29</v>
      </c>
      <c r="E127" t="s">
        <v>32</v>
      </c>
      <c r="F127" s="158" t="s">
        <v>29</v>
      </c>
      <c r="G127" s="158"/>
      <c r="H127" t="s">
        <v>4752</v>
      </c>
      <c r="I127" s="161"/>
      <c r="J127" s="78">
        <v>1000</v>
      </c>
      <c r="K127" s="159">
        <f>K126+I127-J127</f>
        <v>-3945</v>
      </c>
    </row>
    <row r="128" spans="1:11" ht="15" hidden="1">
      <c r="A128" s="137" t="str">
        <f t="shared" si="2"/>
        <v>HRCOMBUSTIBLEHR</v>
      </c>
      <c r="B128" t="s">
        <v>3498</v>
      </c>
      <c r="C128" s="1">
        <v>45741</v>
      </c>
      <c r="D128" t="s">
        <v>29</v>
      </c>
      <c r="E128" t="s">
        <v>32</v>
      </c>
      <c r="F128" s="158" t="s">
        <v>29</v>
      </c>
      <c r="G128" s="158"/>
      <c r="H128" t="s">
        <v>4753</v>
      </c>
      <c r="I128" s="161"/>
      <c r="J128" s="78">
        <v>1200</v>
      </c>
      <c r="K128" s="159">
        <f>K127+I128-J128</f>
        <v>-5145</v>
      </c>
    </row>
    <row r="129" spans="1:11" ht="15" hidden="1">
      <c r="A129" s="137" t="str">
        <f t="shared" si="2"/>
        <v>CAPCOMBUSTIBLECAPRICHOS</v>
      </c>
      <c r="B129" t="s">
        <v>3498</v>
      </c>
      <c r="C129" s="1">
        <v>45741</v>
      </c>
      <c r="D129" t="s">
        <v>31</v>
      </c>
      <c r="E129" t="s">
        <v>32</v>
      </c>
      <c r="F129" s="158" t="s">
        <v>33</v>
      </c>
      <c r="G129" s="158"/>
      <c r="H129" t="s">
        <v>4767</v>
      </c>
      <c r="I129" s="161"/>
      <c r="J129" s="78">
        <v>1250</v>
      </c>
      <c r="K129" s="159">
        <f>K128+I129-J129</f>
        <v>-6395</v>
      </c>
    </row>
    <row r="130" spans="1:11" ht="15" hidden="1">
      <c r="A130" s="137" t="str">
        <f t="shared" si="2"/>
        <v>CAPCOMBUSTIBLECAPRICHOS</v>
      </c>
      <c r="B130" t="s">
        <v>3498</v>
      </c>
      <c r="C130" s="1">
        <v>45741</v>
      </c>
      <c r="D130" t="s">
        <v>31</v>
      </c>
      <c r="E130" t="s">
        <v>32</v>
      </c>
      <c r="F130" s="158" t="s">
        <v>33</v>
      </c>
      <c r="G130" s="158"/>
      <c r="H130" t="s">
        <v>4755</v>
      </c>
      <c r="I130" s="161"/>
      <c r="J130" s="78">
        <v>1250</v>
      </c>
      <c r="K130" s="159">
        <f>K129+I130-J130</f>
        <v>-7645</v>
      </c>
    </row>
    <row r="131" spans="1:11" ht="15" hidden="1">
      <c r="A131" s="137" t="str">
        <f t="shared" si="2"/>
        <v>SERVICIOSCOMBUSTIBLECEDIS</v>
      </c>
      <c r="B131" t="s">
        <v>3498</v>
      </c>
      <c r="C131" s="1">
        <v>45741</v>
      </c>
      <c r="D131" t="s">
        <v>21</v>
      </c>
      <c r="E131" t="s">
        <v>32</v>
      </c>
      <c r="F131" s="158" t="s">
        <v>28</v>
      </c>
      <c r="G131" s="158"/>
      <c r="H131" t="s">
        <v>28</v>
      </c>
      <c r="I131" s="161"/>
      <c r="J131" s="78">
        <v>27500</v>
      </c>
      <c r="K131" s="159">
        <f t="shared" ref="K131:K152" si="3">K130+I131-J131</f>
        <v>-35145</v>
      </c>
    </row>
    <row r="132" spans="1:11" ht="15" hidden="1">
      <c r="A132" s="137" t="str">
        <f t="shared" si="2"/>
        <v>SERVICIOSCOMBUSTIBLESERVICIOS</v>
      </c>
      <c r="B132" t="s">
        <v>3498</v>
      </c>
      <c r="C132" s="1">
        <v>45741</v>
      </c>
      <c r="D132" t="s">
        <v>21</v>
      </c>
      <c r="E132" t="s">
        <v>32</v>
      </c>
      <c r="F132" s="158" t="s">
        <v>21</v>
      </c>
      <c r="G132" s="158"/>
      <c r="H132" t="s">
        <v>4756</v>
      </c>
      <c r="I132" s="161"/>
      <c r="J132" s="78">
        <v>2500</v>
      </c>
      <c r="K132" s="159">
        <f t="shared" si="3"/>
        <v>-37645</v>
      </c>
    </row>
    <row r="133" spans="1:11" ht="15" hidden="1">
      <c r="A133" s="137" t="str">
        <f t="shared" ref="A133:A196" si="4">D133&amp;E133&amp;F133</f>
        <v>SERVICIOSCOMBUSTIBLEMANTENIMIENTO</v>
      </c>
      <c r="B133" t="s">
        <v>3498</v>
      </c>
      <c r="C133" s="1">
        <v>45741</v>
      </c>
      <c r="D133" t="s">
        <v>21</v>
      </c>
      <c r="E133" t="s">
        <v>32</v>
      </c>
      <c r="F133" s="241" t="s">
        <v>35</v>
      </c>
      <c r="G133" s="158"/>
      <c r="H133" t="s">
        <v>4768</v>
      </c>
      <c r="I133" s="161"/>
      <c r="J133" s="78">
        <v>1000</v>
      </c>
      <c r="K133" s="159">
        <f t="shared" si="3"/>
        <v>-38645</v>
      </c>
    </row>
    <row r="134" spans="1:11" ht="15" hidden="1">
      <c r="A134" s="137" t="str">
        <f t="shared" si="4"/>
        <v>FINANZASCOMBUSTIBLETESORERIA</v>
      </c>
      <c r="B134" t="s">
        <v>3498</v>
      </c>
      <c r="C134" s="1">
        <v>45743</v>
      </c>
      <c r="D134" t="s">
        <v>23</v>
      </c>
      <c r="E134" t="s">
        <v>32</v>
      </c>
      <c r="F134" s="158" t="s">
        <v>38</v>
      </c>
      <c r="G134" s="158"/>
      <c r="H134" t="s">
        <v>4759</v>
      </c>
      <c r="I134" s="161"/>
      <c r="J134" s="78">
        <v>700</v>
      </c>
      <c r="K134" s="159">
        <f t="shared" si="3"/>
        <v>-39345</v>
      </c>
    </row>
    <row r="135" spans="1:11" ht="15" hidden="1">
      <c r="A135" s="137" t="str">
        <f t="shared" si="4"/>
        <v>FINANZASCOMBUSTIBLETESORERIA</v>
      </c>
      <c r="B135" t="s">
        <v>3498</v>
      </c>
      <c r="C135" s="1">
        <v>45743</v>
      </c>
      <c r="D135" t="s">
        <v>23</v>
      </c>
      <c r="E135" t="s">
        <v>32</v>
      </c>
      <c r="F135" s="158" t="s">
        <v>38</v>
      </c>
      <c r="G135" s="158"/>
      <c r="H135" t="s">
        <v>4758</v>
      </c>
      <c r="I135" s="161"/>
      <c r="J135" s="78">
        <v>1500</v>
      </c>
      <c r="K135" s="159">
        <f t="shared" si="3"/>
        <v>-40845</v>
      </c>
    </row>
    <row r="136" spans="1:11" ht="15" hidden="1">
      <c r="A136" s="137" t="str">
        <f t="shared" si="4"/>
        <v>SGECOMBUSTIBLEGESTION EMPRESARIAL</v>
      </c>
      <c r="B136" t="s">
        <v>3498</v>
      </c>
      <c r="C136" s="1">
        <v>45743</v>
      </c>
      <c r="D136" t="s">
        <v>39</v>
      </c>
      <c r="E136" t="s">
        <v>32</v>
      </c>
      <c r="F136" s="158" t="s">
        <v>40</v>
      </c>
      <c r="G136" s="158"/>
      <c r="H136" t="s">
        <v>40</v>
      </c>
      <c r="I136" s="161"/>
      <c r="J136" s="78">
        <v>1000</v>
      </c>
      <c r="K136" s="159">
        <f t="shared" si="3"/>
        <v>-41845</v>
      </c>
    </row>
    <row r="137" spans="1:11" ht="15" hidden="1">
      <c r="A137" s="137" t="str">
        <f t="shared" si="4"/>
        <v>MMCOMBUSTIBLEMARKET MAX</v>
      </c>
      <c r="B137" t="s">
        <v>3498</v>
      </c>
      <c r="C137" s="1">
        <v>45743</v>
      </c>
      <c r="D137" t="s">
        <v>45</v>
      </c>
      <c r="E137" t="s">
        <v>32</v>
      </c>
      <c r="F137" s="158" t="s">
        <v>46</v>
      </c>
      <c r="G137" s="158"/>
      <c r="H137" t="s">
        <v>4761</v>
      </c>
      <c r="I137" s="161"/>
      <c r="J137" s="78">
        <v>700</v>
      </c>
      <c r="K137" s="159">
        <f t="shared" si="3"/>
        <v>-42545</v>
      </c>
    </row>
    <row r="138" spans="1:11" ht="15" hidden="1">
      <c r="A138" s="137" t="str">
        <f t="shared" si="4"/>
        <v>MELCOMBUSTIBLEMELISSA</v>
      </c>
      <c r="B138" t="s">
        <v>3498</v>
      </c>
      <c r="C138" s="1">
        <v>45743</v>
      </c>
      <c r="D138" t="s">
        <v>43</v>
      </c>
      <c r="E138" t="s">
        <v>32</v>
      </c>
      <c r="F138" s="158" t="s">
        <v>44</v>
      </c>
      <c r="G138" s="158"/>
      <c r="H138" t="s">
        <v>4760</v>
      </c>
      <c r="I138" s="161"/>
      <c r="J138" s="78">
        <v>3500</v>
      </c>
      <c r="K138" s="159">
        <f t="shared" si="3"/>
        <v>-46045</v>
      </c>
    </row>
    <row r="139" spans="1:11" ht="15" hidden="1">
      <c r="A139" s="137" t="str">
        <f t="shared" si="4"/>
        <v>SERVICIOSCOMBUSTIBLEINVENTARIOS</v>
      </c>
      <c r="B139" t="s">
        <v>3498</v>
      </c>
      <c r="C139" s="1">
        <v>45743</v>
      </c>
      <c r="D139" t="s">
        <v>21</v>
      </c>
      <c r="E139" t="s">
        <v>32</v>
      </c>
      <c r="F139" s="158" t="s">
        <v>34</v>
      </c>
      <c r="G139" s="158"/>
      <c r="H139" t="s">
        <v>34</v>
      </c>
      <c r="I139" s="161"/>
      <c r="J139" s="78">
        <v>1500</v>
      </c>
      <c r="K139" s="159">
        <f t="shared" si="3"/>
        <v>-47545</v>
      </c>
    </row>
    <row r="140" spans="1:11" ht="15" hidden="1">
      <c r="A140" s="137" t="str">
        <f t="shared" si="4"/>
        <v/>
      </c>
      <c r="B140" t="s">
        <v>3498</v>
      </c>
      <c r="C140" s="1">
        <v>45744</v>
      </c>
      <c r="F140" s="158"/>
      <c r="G140" s="158"/>
      <c r="H140" t="s">
        <v>4741</v>
      </c>
      <c r="I140" s="78">
        <v>28737.5</v>
      </c>
      <c r="J140" s="78"/>
      <c r="K140" s="159">
        <f t="shared" si="3"/>
        <v>-18807.5</v>
      </c>
    </row>
    <row r="141" spans="1:11" ht="15" hidden="1">
      <c r="A141" s="137" t="str">
        <f t="shared" si="4"/>
        <v>FINANZASCOMBUSTIBLECOMISION SI VALE</v>
      </c>
      <c r="B141" t="s">
        <v>3498</v>
      </c>
      <c r="C141" s="1">
        <v>45744</v>
      </c>
      <c r="D141" t="s">
        <v>23</v>
      </c>
      <c r="E141" t="s">
        <v>32</v>
      </c>
      <c r="F141" s="241" t="s">
        <v>47</v>
      </c>
      <c r="G141" s="158"/>
      <c r="H141" t="s">
        <v>4742</v>
      </c>
      <c r="I141" s="78"/>
      <c r="J141" s="78">
        <v>1237.5</v>
      </c>
      <c r="K141" s="159">
        <f t="shared" si="3"/>
        <v>-20045</v>
      </c>
    </row>
    <row r="142" spans="1:11" ht="15" hidden="1">
      <c r="A142" s="137" t="str">
        <f t="shared" si="4"/>
        <v>HRCOMBUSTIBLEHR</v>
      </c>
      <c r="B142" t="s">
        <v>3498</v>
      </c>
      <c r="C142" s="1">
        <v>45747</v>
      </c>
      <c r="D142" t="s">
        <v>29</v>
      </c>
      <c r="E142" t="s">
        <v>32</v>
      </c>
      <c r="F142" s="158" t="s">
        <v>29</v>
      </c>
      <c r="G142" s="158"/>
      <c r="H142" t="s">
        <v>4751</v>
      </c>
      <c r="I142" s="161"/>
      <c r="J142" s="78">
        <v>600</v>
      </c>
      <c r="K142" s="159">
        <f t="shared" si="3"/>
        <v>-20645</v>
      </c>
    </row>
    <row r="143" spans="1:11" ht="15" hidden="1">
      <c r="A143" s="137" t="str">
        <f t="shared" si="4"/>
        <v>HRCOMBUSTIBLEHR</v>
      </c>
      <c r="B143" t="s">
        <v>3498</v>
      </c>
      <c r="C143" s="1">
        <v>45747</v>
      </c>
      <c r="D143" t="s">
        <v>29</v>
      </c>
      <c r="E143" t="s">
        <v>32</v>
      </c>
      <c r="F143" s="158" t="s">
        <v>29</v>
      </c>
      <c r="G143" s="158"/>
      <c r="H143" t="s">
        <v>4769</v>
      </c>
      <c r="I143" s="161"/>
      <c r="J143" s="78">
        <v>1200</v>
      </c>
      <c r="K143" s="159">
        <f t="shared" si="3"/>
        <v>-21845</v>
      </c>
    </row>
    <row r="144" spans="1:11" ht="15" hidden="1">
      <c r="A144" s="137" t="str">
        <f t="shared" si="4"/>
        <v>HRCOMBUSTIBLEHR</v>
      </c>
      <c r="B144" t="s">
        <v>3498</v>
      </c>
      <c r="C144" s="1">
        <v>45747</v>
      </c>
      <c r="D144" t="s">
        <v>29</v>
      </c>
      <c r="E144" t="s">
        <v>32</v>
      </c>
      <c r="F144" s="158" t="s">
        <v>29</v>
      </c>
      <c r="G144" s="158"/>
      <c r="H144" t="s">
        <v>4753</v>
      </c>
      <c r="I144" s="161"/>
      <c r="J144" s="78">
        <v>1100</v>
      </c>
      <c r="K144" s="159">
        <f t="shared" si="3"/>
        <v>-22945</v>
      </c>
    </row>
    <row r="145" spans="1:11" ht="15" hidden="1">
      <c r="A145" s="137" t="str">
        <f t="shared" si="4"/>
        <v>CAPCOMBUSTIBLECAPRICHOS</v>
      </c>
      <c r="B145" t="s">
        <v>3498</v>
      </c>
      <c r="C145" s="1">
        <v>45747</v>
      </c>
      <c r="D145" t="s">
        <v>31</v>
      </c>
      <c r="E145" t="s">
        <v>32</v>
      </c>
      <c r="F145" s="158" t="s">
        <v>33</v>
      </c>
      <c r="G145" s="158"/>
      <c r="H145" t="s">
        <v>4770</v>
      </c>
      <c r="I145" s="161"/>
      <c r="J145" s="78">
        <v>1000</v>
      </c>
      <c r="K145" s="159">
        <f t="shared" si="3"/>
        <v>-23945</v>
      </c>
    </row>
    <row r="146" spans="1:11" ht="15" hidden="1">
      <c r="A146" s="137" t="str">
        <f t="shared" si="4"/>
        <v>SERVICIOSCOMBUSTIBLESERVICIOS</v>
      </c>
      <c r="B146" t="s">
        <v>3498</v>
      </c>
      <c r="C146" s="1">
        <v>45747</v>
      </c>
      <c r="D146" t="s">
        <v>21</v>
      </c>
      <c r="E146" t="s">
        <v>32</v>
      </c>
      <c r="F146" s="158" t="s">
        <v>21</v>
      </c>
      <c r="G146" s="158"/>
      <c r="H146" t="s">
        <v>4771</v>
      </c>
      <c r="I146" s="161"/>
      <c r="J146" s="78">
        <v>300</v>
      </c>
      <c r="K146" s="159">
        <f t="shared" si="3"/>
        <v>-24245</v>
      </c>
    </row>
    <row r="147" spans="1:11" ht="15" hidden="1">
      <c r="A147" s="137" t="str">
        <f t="shared" si="4"/>
        <v>SERVICIOSCOMBUSTIBLECEDIS</v>
      </c>
      <c r="B147" t="s">
        <v>3498</v>
      </c>
      <c r="C147" s="1">
        <v>45747</v>
      </c>
      <c r="D147" t="s">
        <v>21</v>
      </c>
      <c r="E147" t="s">
        <v>32</v>
      </c>
      <c r="F147" s="158" t="s">
        <v>28</v>
      </c>
      <c r="G147" s="158"/>
      <c r="H147" t="s">
        <v>28</v>
      </c>
      <c r="I147" s="161"/>
      <c r="J147" s="78">
        <v>20300</v>
      </c>
      <c r="K147" s="159">
        <f t="shared" si="3"/>
        <v>-44545</v>
      </c>
    </row>
    <row r="148" spans="1:11" ht="15" hidden="1">
      <c r="A148" s="137" t="str">
        <f t="shared" si="4"/>
        <v>SERVICIOSMTTO DE EDIFICIOMANTENIMIENTO</v>
      </c>
      <c r="B148" t="s">
        <v>3498</v>
      </c>
      <c r="C148" s="1">
        <v>45747</v>
      </c>
      <c r="D148" t="s">
        <v>21</v>
      </c>
      <c r="E148" t="s">
        <v>142</v>
      </c>
      <c r="F148" s="241" t="s">
        <v>35</v>
      </c>
      <c r="G148" s="158"/>
      <c r="H148" t="s">
        <v>4762</v>
      </c>
      <c r="I148" s="161"/>
      <c r="J148" s="78">
        <v>500</v>
      </c>
      <c r="K148" s="159">
        <f t="shared" si="3"/>
        <v>-45045</v>
      </c>
    </row>
    <row r="149" spans="1:11" ht="15" hidden="1">
      <c r="A149" s="137" t="str">
        <f t="shared" si="4"/>
        <v>FINANZASCOMBUSTIBLECONTABILIDAD</v>
      </c>
      <c r="B149" t="s">
        <v>3498</v>
      </c>
      <c r="C149" s="1">
        <v>45747</v>
      </c>
      <c r="D149" t="s">
        <v>23</v>
      </c>
      <c r="E149" t="s">
        <v>32</v>
      </c>
      <c r="F149" s="158" t="s">
        <v>37</v>
      </c>
      <c r="G149" s="158"/>
      <c r="H149" t="s">
        <v>4763</v>
      </c>
      <c r="I149" s="161"/>
      <c r="J149" s="78">
        <v>1500</v>
      </c>
      <c r="K149" s="159">
        <f t="shared" si="3"/>
        <v>-46545</v>
      </c>
    </row>
    <row r="150" spans="1:11" ht="15" hidden="1">
      <c r="A150" s="137" t="str">
        <f t="shared" si="4"/>
        <v>FINANZASCOMBUSTIBLETESORERIA</v>
      </c>
      <c r="B150" t="s">
        <v>3498</v>
      </c>
      <c r="C150" s="1">
        <v>45747</v>
      </c>
      <c r="D150" t="s">
        <v>23</v>
      </c>
      <c r="E150" t="s">
        <v>32</v>
      </c>
      <c r="F150" s="158" t="s">
        <v>38</v>
      </c>
      <c r="G150" s="158"/>
      <c r="H150" t="s">
        <v>4772</v>
      </c>
      <c r="I150" s="161"/>
      <c r="J150" s="78">
        <v>700</v>
      </c>
      <c r="K150" s="159">
        <f t="shared" si="3"/>
        <v>-47245</v>
      </c>
    </row>
    <row r="151" spans="1:11" ht="15" hidden="1">
      <c r="A151" s="137" t="str">
        <f t="shared" si="4"/>
        <v>FINANZASCOMBUSTIBLETESORERIA</v>
      </c>
      <c r="B151" t="s">
        <v>3498</v>
      </c>
      <c r="C151" s="1">
        <v>45747</v>
      </c>
      <c r="D151" t="s">
        <v>23</v>
      </c>
      <c r="E151" t="s">
        <v>32</v>
      </c>
      <c r="F151" s="158" t="s">
        <v>38</v>
      </c>
      <c r="G151" s="158"/>
      <c r="H151" t="s">
        <v>4773</v>
      </c>
      <c r="I151" s="161"/>
      <c r="J151" s="78">
        <v>1500</v>
      </c>
      <c r="K151" s="159">
        <f t="shared" si="3"/>
        <v>-48745</v>
      </c>
    </row>
    <row r="152" spans="1:11" ht="15" hidden="1">
      <c r="A152" s="137" t="str">
        <f t="shared" si="4"/>
        <v>DECOMBUSTIBLEDIRECCION</v>
      </c>
      <c r="B152" t="s">
        <v>3498</v>
      </c>
      <c r="C152" s="1">
        <v>45747</v>
      </c>
      <c r="D152" t="s">
        <v>41</v>
      </c>
      <c r="E152" t="s">
        <v>32</v>
      </c>
      <c r="F152" s="158" t="s">
        <v>42</v>
      </c>
      <c r="G152" s="158"/>
      <c r="H152" t="s">
        <v>4774</v>
      </c>
      <c r="I152" s="161"/>
      <c r="J152" s="78">
        <v>1000</v>
      </c>
      <c r="K152" s="159">
        <f t="shared" si="3"/>
        <v>-49745</v>
      </c>
    </row>
    <row r="153" spans="1:11" ht="15" hidden="1">
      <c r="A153" s="137" t="str">
        <f t="shared" si="4"/>
        <v>MELCOMBUSTIBLEMELISSA</v>
      </c>
      <c r="B153" t="s">
        <v>3498</v>
      </c>
      <c r="C153" s="1">
        <v>45747</v>
      </c>
      <c r="D153" t="s">
        <v>43</v>
      </c>
      <c r="E153" t="s">
        <v>32</v>
      </c>
      <c r="F153" s="158" t="s">
        <v>44</v>
      </c>
      <c r="G153" s="158"/>
      <c r="H153" t="s">
        <v>4760</v>
      </c>
      <c r="I153" s="161"/>
      <c r="J153" s="78">
        <v>700</v>
      </c>
      <c r="K153" s="159">
        <f>K152+I153-J153</f>
        <v>-50445</v>
      </c>
    </row>
    <row r="154" spans="1:11" ht="15" hidden="1">
      <c r="A154" s="137" t="str">
        <f t="shared" si="4"/>
        <v>SERVICIOSCOMBUSTIBLEINVENTARIOS</v>
      </c>
      <c r="B154" t="s">
        <v>3498</v>
      </c>
      <c r="C154" s="1">
        <v>45747</v>
      </c>
      <c r="D154" t="s">
        <v>21</v>
      </c>
      <c r="E154" t="s">
        <v>32</v>
      </c>
      <c r="F154" s="158" t="s">
        <v>34</v>
      </c>
      <c r="G154" s="158"/>
      <c r="H154" t="s">
        <v>34</v>
      </c>
      <c r="I154" s="161"/>
      <c r="J154" s="78">
        <v>2500</v>
      </c>
      <c r="K154" s="159">
        <f>K153+I154-J154</f>
        <v>-52945</v>
      </c>
    </row>
    <row r="155" spans="1:11" ht="15" hidden="1">
      <c r="A155" s="137" t="str">
        <f t="shared" si="4"/>
        <v/>
      </c>
      <c r="B155" t="s">
        <v>3498</v>
      </c>
      <c r="C155" s="1">
        <v>45751</v>
      </c>
      <c r="F155" s="158"/>
      <c r="G155" s="158"/>
      <c r="H155" t="s">
        <v>4741</v>
      </c>
      <c r="I155" s="161">
        <v>31566</v>
      </c>
      <c r="J155" s="78"/>
      <c r="K155" s="159">
        <f>K154+I155-J155</f>
        <v>-21379</v>
      </c>
    </row>
    <row r="156" spans="1:11" ht="15" hidden="1">
      <c r="A156" s="137" t="str">
        <f t="shared" si="4"/>
        <v>FINANZASCOMBUSTIBLECOMISION SI VALE</v>
      </c>
      <c r="B156" t="s">
        <v>3498</v>
      </c>
      <c r="C156" s="1">
        <v>45751</v>
      </c>
      <c r="D156" t="s">
        <v>23</v>
      </c>
      <c r="E156" t="s">
        <v>32</v>
      </c>
      <c r="F156" s="241" t="s">
        <v>47</v>
      </c>
      <c r="G156" s="158"/>
      <c r="H156" t="s">
        <v>4742</v>
      </c>
      <c r="I156" s="161"/>
      <c r="J156" s="78">
        <v>1566</v>
      </c>
      <c r="K156" s="159">
        <f>K155+I156-J156</f>
        <v>-22945</v>
      </c>
    </row>
    <row r="157" spans="1:11" ht="15" hidden="1">
      <c r="A157" s="137" t="str">
        <f t="shared" si="4"/>
        <v>HRCOMBUSTIBLEHR</v>
      </c>
      <c r="B157" t="s">
        <v>814</v>
      </c>
      <c r="C157" s="1">
        <v>45754</v>
      </c>
      <c r="D157" t="s">
        <v>29</v>
      </c>
      <c r="E157" t="s">
        <v>32</v>
      </c>
      <c r="F157" s="158" t="s">
        <v>29</v>
      </c>
      <c r="G157" s="158"/>
      <c r="H157" s="193" t="s">
        <v>4775</v>
      </c>
      <c r="I157" s="161"/>
      <c r="J157" s="78">
        <v>800</v>
      </c>
      <c r="K157" s="159">
        <f t="shared" ref="K153:K216" si="5">K156+I157-J157</f>
        <v>-23745</v>
      </c>
    </row>
    <row r="158" spans="1:11" ht="15" hidden="1">
      <c r="A158" s="137" t="str">
        <f t="shared" si="4"/>
        <v>HRCOMBUSTIBLEHR</v>
      </c>
      <c r="B158" t="s">
        <v>814</v>
      </c>
      <c r="C158" s="1">
        <v>45754</v>
      </c>
      <c r="D158" t="s">
        <v>29</v>
      </c>
      <c r="E158" t="s">
        <v>32</v>
      </c>
      <c r="F158" s="158" t="s">
        <v>29</v>
      </c>
      <c r="G158" s="158"/>
      <c r="H158" s="193" t="s">
        <v>4776</v>
      </c>
      <c r="I158" s="161"/>
      <c r="J158" s="78">
        <v>1200</v>
      </c>
      <c r="K158" s="159">
        <f t="shared" si="5"/>
        <v>-24945</v>
      </c>
    </row>
    <row r="159" spans="1:11" hidden="1">
      <c r="A159" s="137" t="str">
        <f t="shared" si="4"/>
        <v>HRCOMBUSTIBLEHR</v>
      </c>
      <c r="B159" t="s">
        <v>814</v>
      </c>
      <c r="C159" s="1">
        <v>45754</v>
      </c>
      <c r="D159" t="s">
        <v>29</v>
      </c>
      <c r="E159" t="s">
        <v>32</v>
      </c>
      <c r="F159" s="158" t="s">
        <v>29</v>
      </c>
      <c r="G159" s="158"/>
      <c r="H159" t="s">
        <v>4753</v>
      </c>
      <c r="I159" s="161"/>
      <c r="J159" s="78">
        <v>1100</v>
      </c>
      <c r="K159" s="159">
        <f t="shared" si="5"/>
        <v>-26045</v>
      </c>
    </row>
    <row r="160" spans="1:11" hidden="1">
      <c r="A160" s="137" t="str">
        <f t="shared" si="4"/>
        <v>CAPCOMBUSTIBLECAPRICHOS</v>
      </c>
      <c r="B160" t="s">
        <v>814</v>
      </c>
      <c r="C160" s="1">
        <v>45754</v>
      </c>
      <c r="D160" t="s">
        <v>31</v>
      </c>
      <c r="E160" t="s">
        <v>32</v>
      </c>
      <c r="F160" s="158" t="s">
        <v>33</v>
      </c>
      <c r="G160" s="158"/>
      <c r="H160" t="s">
        <v>4777</v>
      </c>
      <c r="I160" s="161"/>
      <c r="J160" s="78">
        <v>1000</v>
      </c>
      <c r="K160" s="159">
        <f t="shared" si="5"/>
        <v>-27045</v>
      </c>
    </row>
    <row r="161" spans="1:11" hidden="1">
      <c r="A161" s="137" t="str">
        <f t="shared" si="4"/>
        <v>SERVICIOSCOMBUSTIBLESERVICIOS</v>
      </c>
      <c r="B161" t="s">
        <v>814</v>
      </c>
      <c r="C161" s="1">
        <v>45754</v>
      </c>
      <c r="D161" t="s">
        <v>21</v>
      </c>
      <c r="E161" t="s">
        <v>32</v>
      </c>
      <c r="F161" s="158" t="s">
        <v>21</v>
      </c>
      <c r="G161" s="158"/>
      <c r="H161" t="s">
        <v>4756</v>
      </c>
      <c r="I161" s="161"/>
      <c r="J161" s="78">
        <v>900</v>
      </c>
      <c r="K161" s="159">
        <f t="shared" si="5"/>
        <v>-27945</v>
      </c>
    </row>
    <row r="162" spans="1:11" hidden="1">
      <c r="A162" s="137" t="str">
        <f t="shared" si="4"/>
        <v>SERVICIOSCOMBUSTIBLEMANTENIMIENTO</v>
      </c>
      <c r="B162" t="s">
        <v>814</v>
      </c>
      <c r="C162" s="1">
        <v>45754</v>
      </c>
      <c r="D162" t="s">
        <v>21</v>
      </c>
      <c r="E162" t="s">
        <v>32</v>
      </c>
      <c r="F162" s="158" t="s">
        <v>35</v>
      </c>
      <c r="G162" s="158"/>
      <c r="H162" t="s">
        <v>4778</v>
      </c>
      <c r="I162" s="161"/>
      <c r="J162" s="78">
        <v>2000</v>
      </c>
      <c r="K162" s="159">
        <f t="shared" si="5"/>
        <v>-29945</v>
      </c>
    </row>
    <row r="163" spans="1:11" hidden="1">
      <c r="A163" s="137" t="str">
        <f t="shared" si="4"/>
        <v>SERVICIOSCOMBUSTIBLECEDIS</v>
      </c>
      <c r="B163" t="s">
        <v>814</v>
      </c>
      <c r="C163" s="1">
        <v>45754</v>
      </c>
      <c r="D163" t="s">
        <v>21</v>
      </c>
      <c r="E163" t="s">
        <v>32</v>
      </c>
      <c r="F163" s="158" t="s">
        <v>28</v>
      </c>
      <c r="G163" s="158"/>
      <c r="H163" s="71" t="s">
        <v>28</v>
      </c>
      <c r="I163" s="161"/>
      <c r="J163" s="78">
        <v>21500</v>
      </c>
      <c r="K163" s="159">
        <f t="shared" si="5"/>
        <v>-51445</v>
      </c>
    </row>
    <row r="164" spans="1:11" hidden="1">
      <c r="A164" s="137" t="str">
        <f t="shared" si="4"/>
        <v>FINANZASCOMBUSTIBLECONTABILIDAD</v>
      </c>
      <c r="B164" t="s">
        <v>814</v>
      </c>
      <c r="C164" s="1">
        <v>45754</v>
      </c>
      <c r="D164" t="s">
        <v>23</v>
      </c>
      <c r="E164" t="s">
        <v>32</v>
      </c>
      <c r="F164" s="158" t="s">
        <v>37</v>
      </c>
      <c r="G164" s="158"/>
      <c r="H164" s="71" t="s">
        <v>4763</v>
      </c>
      <c r="I164" s="161"/>
      <c r="J164" s="161">
        <v>1500</v>
      </c>
      <c r="K164" s="159">
        <f t="shared" si="5"/>
        <v>-52945</v>
      </c>
    </row>
    <row r="165" spans="1:11" hidden="1">
      <c r="A165" s="137" t="str">
        <f t="shared" si="4"/>
        <v>FINANZASCOMBUSTIBLETESORERIA</v>
      </c>
      <c r="B165" t="s">
        <v>814</v>
      </c>
      <c r="C165" s="1">
        <v>45754</v>
      </c>
      <c r="D165" t="s">
        <v>23</v>
      </c>
      <c r="E165" t="s">
        <v>32</v>
      </c>
      <c r="F165" s="158" t="s">
        <v>38</v>
      </c>
      <c r="G165" s="158"/>
      <c r="H165" s="71" t="s">
        <v>4759</v>
      </c>
      <c r="I165" s="161"/>
      <c r="J165" s="161">
        <v>700</v>
      </c>
      <c r="K165" s="159">
        <f t="shared" si="5"/>
        <v>-53645</v>
      </c>
    </row>
    <row r="166" spans="1:11" hidden="1">
      <c r="A166" s="137" t="str">
        <f t="shared" si="4"/>
        <v>FINANZASCOMBUSTIBLETESORERIA</v>
      </c>
      <c r="B166" t="s">
        <v>814</v>
      </c>
      <c r="C166" s="1">
        <v>45754</v>
      </c>
      <c r="D166" t="s">
        <v>23</v>
      </c>
      <c r="E166" t="s">
        <v>32</v>
      </c>
      <c r="F166" s="158" t="s">
        <v>38</v>
      </c>
      <c r="G166" s="158"/>
      <c r="H166" t="s">
        <v>4758</v>
      </c>
      <c r="I166" s="161"/>
      <c r="J166" s="161">
        <v>1500</v>
      </c>
      <c r="K166" s="159">
        <f t="shared" si="5"/>
        <v>-55145</v>
      </c>
    </row>
    <row r="167" spans="1:11" hidden="1">
      <c r="A167" s="137" t="str">
        <f t="shared" si="4"/>
        <v>DECOMBUSTIBLEDIRECCION</v>
      </c>
      <c r="B167" t="s">
        <v>814</v>
      </c>
      <c r="C167" s="1">
        <v>45754</v>
      </c>
      <c r="D167" t="s">
        <v>41</v>
      </c>
      <c r="E167" t="s">
        <v>32</v>
      </c>
      <c r="F167" s="158" t="s">
        <v>42</v>
      </c>
      <c r="G167" s="158"/>
      <c r="H167" t="s">
        <v>4765</v>
      </c>
      <c r="I167" s="161"/>
      <c r="J167" s="161">
        <v>2000</v>
      </c>
      <c r="K167" s="159">
        <f t="shared" si="5"/>
        <v>-57145</v>
      </c>
    </row>
    <row r="168" spans="1:11" ht="28.5" hidden="1">
      <c r="A168" s="137" t="str">
        <f t="shared" si="4"/>
        <v>SGECOMBUSTIBLEGESTION EMPRESARIAL</v>
      </c>
      <c r="B168" t="s">
        <v>814</v>
      </c>
      <c r="C168" s="1">
        <v>45754</v>
      </c>
      <c r="D168" t="s">
        <v>39</v>
      </c>
      <c r="E168" t="s">
        <v>32</v>
      </c>
      <c r="F168" s="221" t="s">
        <v>40</v>
      </c>
      <c r="G168" s="158"/>
      <c r="H168" t="s">
        <v>4779</v>
      </c>
      <c r="I168" s="161"/>
      <c r="J168" s="161">
        <v>500</v>
      </c>
      <c r="K168" s="159">
        <f t="shared" si="5"/>
        <v>-57645</v>
      </c>
    </row>
    <row r="169" spans="1:11" hidden="1">
      <c r="A169" s="137" t="str">
        <f t="shared" si="4"/>
        <v>MMCOMBUSTIBLEMARKET MAX</v>
      </c>
      <c r="B169" t="s">
        <v>814</v>
      </c>
      <c r="C169" s="1">
        <v>45754</v>
      </c>
      <c r="D169" t="s">
        <v>45</v>
      </c>
      <c r="E169" t="s">
        <v>32</v>
      </c>
      <c r="F169" s="158" t="s">
        <v>46</v>
      </c>
      <c r="G169" s="158"/>
      <c r="H169" t="s">
        <v>4780</v>
      </c>
      <c r="I169" s="161"/>
      <c r="J169" s="161">
        <v>700</v>
      </c>
      <c r="K169" s="159">
        <f t="shared" si="5"/>
        <v>-58345</v>
      </c>
    </row>
    <row r="170" spans="1:11" hidden="1">
      <c r="A170" s="137" t="str">
        <f t="shared" si="4"/>
        <v>SERVICIOSCOMBUSTIBLEINVENTARIOS</v>
      </c>
      <c r="B170" t="s">
        <v>814</v>
      </c>
      <c r="C170" s="1">
        <v>45754</v>
      </c>
      <c r="D170" t="s">
        <v>21</v>
      </c>
      <c r="E170" t="s">
        <v>32</v>
      </c>
      <c r="F170" s="158" t="s">
        <v>34</v>
      </c>
      <c r="G170" s="158"/>
      <c r="H170" t="s">
        <v>4781</v>
      </c>
      <c r="I170" s="161"/>
      <c r="J170" s="161">
        <v>1500</v>
      </c>
      <c r="K170" s="159">
        <f t="shared" si="5"/>
        <v>-59845</v>
      </c>
    </row>
    <row r="171" spans="1:11" hidden="1">
      <c r="A171" s="137" t="str">
        <f t="shared" si="4"/>
        <v/>
      </c>
      <c r="B171" t="s">
        <v>814</v>
      </c>
      <c r="C171" s="1">
        <v>45758</v>
      </c>
      <c r="F171" s="158"/>
      <c r="G171" s="158"/>
      <c r="H171" t="s">
        <v>4741</v>
      </c>
      <c r="I171" s="161">
        <v>31566</v>
      </c>
      <c r="J171" s="161"/>
      <c r="K171" s="159">
        <f t="shared" si="5"/>
        <v>-28279</v>
      </c>
    </row>
    <row r="172" spans="1:11" hidden="1">
      <c r="A172" s="137" t="str">
        <f t="shared" si="4"/>
        <v>FINANZASCOMBUSTIBLECOMISION SI VALE</v>
      </c>
      <c r="B172" t="s">
        <v>814</v>
      </c>
      <c r="C172" s="1">
        <v>45758</v>
      </c>
      <c r="D172" t="s">
        <v>23</v>
      </c>
      <c r="E172" t="s">
        <v>32</v>
      </c>
      <c r="F172" s="241" t="s">
        <v>47</v>
      </c>
      <c r="G172" s="158"/>
      <c r="H172" t="s">
        <v>4742</v>
      </c>
      <c r="I172" s="161"/>
      <c r="J172" s="161">
        <v>1566</v>
      </c>
      <c r="K172" s="159">
        <f t="shared" si="5"/>
        <v>-29845</v>
      </c>
    </row>
    <row r="173" spans="1:11" hidden="1">
      <c r="A173" s="137" t="str">
        <f t="shared" si="4"/>
        <v>HRCOMBUSTIBLEHR</v>
      </c>
      <c r="B173" t="s">
        <v>814</v>
      </c>
      <c r="C173" s="1">
        <v>45761</v>
      </c>
      <c r="D173" t="s">
        <v>29</v>
      </c>
      <c r="E173" t="s">
        <v>32</v>
      </c>
      <c r="F173" s="158" t="s">
        <v>29</v>
      </c>
      <c r="G173" s="158"/>
      <c r="H173" t="s">
        <v>4775</v>
      </c>
      <c r="I173" s="161"/>
      <c r="J173" s="161">
        <v>1000</v>
      </c>
      <c r="K173" s="159">
        <f t="shared" si="5"/>
        <v>-30845</v>
      </c>
    </row>
    <row r="174" spans="1:11" hidden="1">
      <c r="A174" s="137" t="str">
        <f t="shared" si="4"/>
        <v>HRCOMBUSTIBLEHR</v>
      </c>
      <c r="B174" t="s">
        <v>814</v>
      </c>
      <c r="C174" s="1">
        <v>45761</v>
      </c>
      <c r="D174" t="s">
        <v>29</v>
      </c>
      <c r="E174" t="s">
        <v>32</v>
      </c>
      <c r="F174" s="158" t="s">
        <v>29</v>
      </c>
      <c r="G174" s="158"/>
      <c r="H174" t="s">
        <v>4753</v>
      </c>
      <c r="I174" s="161"/>
      <c r="J174" s="161">
        <v>750</v>
      </c>
      <c r="K174" s="159">
        <f t="shared" si="5"/>
        <v>-31595</v>
      </c>
    </row>
    <row r="175" spans="1:11" hidden="1">
      <c r="A175" s="137" t="str">
        <f t="shared" si="4"/>
        <v>CAPCOMBUSTIBLECAPRICHOS</v>
      </c>
      <c r="B175" t="s">
        <v>814</v>
      </c>
      <c r="C175" s="1">
        <v>45761</v>
      </c>
      <c r="D175" t="s">
        <v>31</v>
      </c>
      <c r="E175" t="s">
        <v>32</v>
      </c>
      <c r="F175" s="158" t="s">
        <v>33</v>
      </c>
      <c r="G175" s="158"/>
      <c r="H175" t="s">
        <v>4777</v>
      </c>
      <c r="I175" s="161"/>
      <c r="J175" s="161">
        <v>1300</v>
      </c>
      <c r="K175" s="159">
        <f t="shared" si="5"/>
        <v>-32895</v>
      </c>
    </row>
    <row r="176" spans="1:11" hidden="1">
      <c r="A176" s="137" t="str">
        <f t="shared" si="4"/>
        <v>CAPCOMBUSTIBLECAPRICHOS</v>
      </c>
      <c r="B176" t="s">
        <v>814</v>
      </c>
      <c r="C176" s="1">
        <v>45761</v>
      </c>
      <c r="D176" t="s">
        <v>31</v>
      </c>
      <c r="E176" t="s">
        <v>32</v>
      </c>
      <c r="F176" s="158" t="s">
        <v>33</v>
      </c>
      <c r="G176" s="158"/>
      <c r="H176" t="s">
        <v>4782</v>
      </c>
      <c r="I176" s="161"/>
      <c r="J176" s="161">
        <v>700</v>
      </c>
      <c r="K176" s="159">
        <f t="shared" si="5"/>
        <v>-33595</v>
      </c>
    </row>
    <row r="177" spans="1:11" hidden="1">
      <c r="A177" s="137" t="str">
        <f t="shared" si="4"/>
        <v>SERVICIOSCOMBUSTIBLECEDIS</v>
      </c>
      <c r="B177" t="s">
        <v>814</v>
      </c>
      <c r="C177" s="1">
        <v>45761</v>
      </c>
      <c r="D177" t="s">
        <v>21</v>
      </c>
      <c r="E177" t="s">
        <v>32</v>
      </c>
      <c r="F177" s="158" t="s">
        <v>28</v>
      </c>
      <c r="G177" s="158"/>
      <c r="H177" t="s">
        <v>28</v>
      </c>
      <c r="I177" s="161"/>
      <c r="J177" s="161">
        <v>17500</v>
      </c>
      <c r="K177" s="159">
        <f t="shared" si="5"/>
        <v>-51095</v>
      </c>
    </row>
    <row r="178" spans="1:11" hidden="1">
      <c r="A178" s="137" t="str">
        <f t="shared" si="4"/>
        <v>SERVICIOSCOMBUSTIBLEMANTENIMIENTO</v>
      </c>
      <c r="B178" t="s">
        <v>814</v>
      </c>
      <c r="C178" s="1">
        <v>45761</v>
      </c>
      <c r="D178" t="s">
        <v>21</v>
      </c>
      <c r="E178" t="s">
        <v>32</v>
      </c>
      <c r="F178" s="158" t="s">
        <v>35</v>
      </c>
      <c r="G178" s="158"/>
      <c r="H178" t="s">
        <v>4762</v>
      </c>
      <c r="I178" s="161"/>
      <c r="J178" s="161">
        <v>500</v>
      </c>
      <c r="K178" s="159">
        <f t="shared" si="5"/>
        <v>-51595</v>
      </c>
    </row>
    <row r="179" spans="1:11" hidden="1">
      <c r="A179" s="137" t="str">
        <f t="shared" si="4"/>
        <v>FINANZASCOMBUSTIBLECONTABILIDAD</v>
      </c>
      <c r="B179" t="s">
        <v>814</v>
      </c>
      <c r="C179" s="1">
        <v>45761</v>
      </c>
      <c r="D179" t="s">
        <v>23</v>
      </c>
      <c r="E179" t="s">
        <v>32</v>
      </c>
      <c r="F179" s="158" t="s">
        <v>37</v>
      </c>
      <c r="G179" s="158"/>
      <c r="H179" t="s">
        <v>4757</v>
      </c>
      <c r="I179" s="161"/>
      <c r="J179" s="161">
        <v>1500</v>
      </c>
      <c r="K179" s="159">
        <f t="shared" si="5"/>
        <v>-53095</v>
      </c>
    </row>
    <row r="180" spans="1:11" hidden="1">
      <c r="A180" s="137" t="str">
        <f t="shared" si="4"/>
        <v>MMCOMBUSTIBLEMARKET MAX</v>
      </c>
      <c r="B180" t="s">
        <v>814</v>
      </c>
      <c r="C180" s="1">
        <v>45761</v>
      </c>
      <c r="D180" t="s">
        <v>45</v>
      </c>
      <c r="E180" t="s">
        <v>32</v>
      </c>
      <c r="F180" s="158" t="s">
        <v>46</v>
      </c>
      <c r="G180" s="158"/>
      <c r="H180" t="s">
        <v>4780</v>
      </c>
      <c r="I180" s="161"/>
      <c r="J180" s="161">
        <v>700</v>
      </c>
      <c r="K180" s="159">
        <f t="shared" si="5"/>
        <v>-53795</v>
      </c>
    </row>
    <row r="181" spans="1:11" hidden="1">
      <c r="A181" s="137" t="str">
        <f t="shared" si="4"/>
        <v>SERVICIOSCOMBUSTIBLEINVENTARIOS</v>
      </c>
      <c r="B181" t="s">
        <v>814</v>
      </c>
      <c r="C181" s="1">
        <v>45761</v>
      </c>
      <c r="D181" t="s">
        <v>21</v>
      </c>
      <c r="E181" t="s">
        <v>32</v>
      </c>
      <c r="F181" s="158" t="s">
        <v>34</v>
      </c>
      <c r="G181" s="158"/>
      <c r="H181" t="s">
        <v>4783</v>
      </c>
      <c r="I181" s="161"/>
      <c r="J181" s="161">
        <v>1000</v>
      </c>
      <c r="K181" s="159">
        <f t="shared" si="5"/>
        <v>-54795</v>
      </c>
    </row>
    <row r="182" spans="1:11" hidden="1">
      <c r="A182" s="137" t="str">
        <f t="shared" si="4"/>
        <v/>
      </c>
      <c r="B182" t="s">
        <v>814</v>
      </c>
      <c r="C182" s="1">
        <v>45762</v>
      </c>
      <c r="F182" s="158"/>
      <c r="G182" s="158"/>
      <c r="H182" t="s">
        <v>4741</v>
      </c>
      <c r="I182" s="161">
        <v>31566</v>
      </c>
      <c r="J182" s="161"/>
      <c r="K182" s="159">
        <f t="shared" si="5"/>
        <v>-23229</v>
      </c>
    </row>
    <row r="183" spans="1:11" hidden="1">
      <c r="A183" s="137" t="str">
        <f t="shared" si="4"/>
        <v>FINANZASCOMBUSTIBLECOMISION SI VALE</v>
      </c>
      <c r="B183" t="s">
        <v>814</v>
      </c>
      <c r="C183" s="1">
        <v>45762</v>
      </c>
      <c r="D183" t="s">
        <v>23</v>
      </c>
      <c r="E183" t="s">
        <v>32</v>
      </c>
      <c r="F183" s="241" t="s">
        <v>47</v>
      </c>
      <c r="G183" s="158"/>
      <c r="H183" t="s">
        <v>4742</v>
      </c>
      <c r="I183" s="161"/>
      <c r="J183" s="161">
        <v>1566</v>
      </c>
      <c r="K183" s="159">
        <f t="shared" si="5"/>
        <v>-24795</v>
      </c>
    </row>
    <row r="184" spans="1:11" hidden="1">
      <c r="A184" s="137" t="str">
        <f t="shared" si="4"/>
        <v>HRCOMBUSTIBLEHR</v>
      </c>
      <c r="B184" t="s">
        <v>814</v>
      </c>
      <c r="C184" s="1">
        <v>45768</v>
      </c>
      <c r="D184" t="s">
        <v>29</v>
      </c>
      <c r="E184" t="s">
        <v>32</v>
      </c>
      <c r="F184" s="158" t="s">
        <v>29</v>
      </c>
      <c r="G184" s="158"/>
      <c r="H184" t="s">
        <v>4775</v>
      </c>
      <c r="I184" s="161"/>
      <c r="J184" s="161">
        <v>1000</v>
      </c>
      <c r="K184" s="159">
        <f t="shared" si="5"/>
        <v>-25795</v>
      </c>
    </row>
    <row r="185" spans="1:11" hidden="1">
      <c r="A185" s="137" t="str">
        <f t="shared" si="4"/>
        <v>HRCOMBUSTIBLEHR</v>
      </c>
      <c r="B185" t="s">
        <v>814</v>
      </c>
      <c r="C185" s="1">
        <v>45768</v>
      </c>
      <c r="D185" t="s">
        <v>29</v>
      </c>
      <c r="E185" t="s">
        <v>32</v>
      </c>
      <c r="F185" s="158" t="s">
        <v>29</v>
      </c>
      <c r="G185" s="158"/>
      <c r="H185" t="s">
        <v>4769</v>
      </c>
      <c r="I185" s="161"/>
      <c r="J185" s="161">
        <v>1200</v>
      </c>
      <c r="K185" s="159">
        <f t="shared" si="5"/>
        <v>-26995</v>
      </c>
    </row>
    <row r="186" spans="1:11" hidden="1">
      <c r="A186" s="137" t="str">
        <f t="shared" si="4"/>
        <v>HRCOMBUSTIBLEHR</v>
      </c>
      <c r="B186" t="s">
        <v>814</v>
      </c>
      <c r="C186" s="1">
        <v>45768</v>
      </c>
      <c r="D186" t="s">
        <v>29</v>
      </c>
      <c r="E186" t="s">
        <v>32</v>
      </c>
      <c r="F186" s="158" t="s">
        <v>29</v>
      </c>
      <c r="G186" s="158"/>
      <c r="H186" t="s">
        <v>4753</v>
      </c>
      <c r="I186" s="161"/>
      <c r="J186" s="161">
        <v>1200</v>
      </c>
      <c r="K186" s="159">
        <f t="shared" si="5"/>
        <v>-28195</v>
      </c>
    </row>
    <row r="187" spans="1:11" hidden="1">
      <c r="A187" s="137" t="str">
        <f t="shared" si="4"/>
        <v>CAPCOMBUSTIBLECAPRICHOS</v>
      </c>
      <c r="B187" t="s">
        <v>814</v>
      </c>
      <c r="C187" s="1">
        <v>45768</v>
      </c>
      <c r="D187" t="s">
        <v>31</v>
      </c>
      <c r="E187" t="s">
        <v>32</v>
      </c>
      <c r="F187" s="158" t="s">
        <v>33</v>
      </c>
      <c r="G187" s="158"/>
      <c r="H187" t="s">
        <v>4784</v>
      </c>
      <c r="I187" s="161"/>
      <c r="J187" s="161">
        <v>1300</v>
      </c>
      <c r="K187" s="159">
        <f t="shared" si="5"/>
        <v>-29495</v>
      </c>
    </row>
    <row r="188" spans="1:11" hidden="1">
      <c r="A188" s="137" t="str">
        <f t="shared" si="4"/>
        <v>CAPCOMBUSTIBLECAPRICHOS</v>
      </c>
      <c r="B188" t="s">
        <v>814</v>
      </c>
      <c r="C188" s="1">
        <v>45768</v>
      </c>
      <c r="D188" t="s">
        <v>31</v>
      </c>
      <c r="E188" t="s">
        <v>32</v>
      </c>
      <c r="F188" s="158" t="s">
        <v>33</v>
      </c>
      <c r="G188" s="158"/>
      <c r="H188" t="s">
        <v>4785</v>
      </c>
      <c r="I188" s="161"/>
      <c r="J188" s="161">
        <v>1500</v>
      </c>
      <c r="K188" s="159">
        <f t="shared" si="5"/>
        <v>-30995</v>
      </c>
    </row>
    <row r="189" spans="1:11" hidden="1">
      <c r="A189" s="137" t="str">
        <f t="shared" si="4"/>
        <v>SERVICIOSCOMBUSTIBLESERVICIOS</v>
      </c>
      <c r="B189" t="s">
        <v>814</v>
      </c>
      <c r="C189" s="1">
        <v>45768</v>
      </c>
      <c r="D189" t="s">
        <v>21</v>
      </c>
      <c r="E189" t="s">
        <v>32</v>
      </c>
      <c r="F189" s="158" t="s">
        <v>21</v>
      </c>
      <c r="G189" s="158"/>
      <c r="H189" t="s">
        <v>4756</v>
      </c>
      <c r="I189" s="161"/>
      <c r="J189" s="161">
        <v>400</v>
      </c>
      <c r="K189" s="159">
        <f t="shared" si="5"/>
        <v>-31395</v>
      </c>
    </row>
    <row r="190" spans="1:11" hidden="1">
      <c r="A190" s="137" t="str">
        <f t="shared" si="4"/>
        <v>SERVICIOSCOMBUSTIBLECEDIS</v>
      </c>
      <c r="B190" t="s">
        <v>814</v>
      </c>
      <c r="C190" s="1">
        <v>45768</v>
      </c>
      <c r="D190" t="s">
        <v>21</v>
      </c>
      <c r="E190" t="s">
        <v>32</v>
      </c>
      <c r="F190" s="158" t="s">
        <v>28</v>
      </c>
      <c r="G190" s="158"/>
      <c r="H190" s="71" t="s">
        <v>28</v>
      </c>
      <c r="I190" s="161"/>
      <c r="J190" s="161">
        <v>15500</v>
      </c>
      <c r="K190" s="159">
        <f t="shared" si="5"/>
        <v>-46895</v>
      </c>
    </row>
    <row r="191" spans="1:11" hidden="1">
      <c r="A191" s="137" t="str">
        <f t="shared" si="4"/>
        <v>SERVICIOSCOMBUSTIBLEMANTENIMIENTO</v>
      </c>
      <c r="B191" t="s">
        <v>814</v>
      </c>
      <c r="C191" s="1">
        <v>45768</v>
      </c>
      <c r="D191" t="s">
        <v>21</v>
      </c>
      <c r="E191" t="s">
        <v>32</v>
      </c>
      <c r="F191" s="158" t="s">
        <v>35</v>
      </c>
      <c r="G191" s="158"/>
      <c r="H191" t="s">
        <v>4762</v>
      </c>
      <c r="I191" s="161"/>
      <c r="J191" s="161">
        <v>1000</v>
      </c>
      <c r="K191" s="159">
        <f t="shared" si="5"/>
        <v>-47895</v>
      </c>
    </row>
    <row r="192" spans="1:11" hidden="1">
      <c r="A192" s="137" t="str">
        <f t="shared" si="4"/>
        <v>FINANZASCOMBUSTIBLECONTABILIDAD</v>
      </c>
      <c r="B192" t="s">
        <v>814</v>
      </c>
      <c r="C192" s="1">
        <v>45768</v>
      </c>
      <c r="D192" t="s">
        <v>23</v>
      </c>
      <c r="E192" t="s">
        <v>32</v>
      </c>
      <c r="F192" s="158" t="s">
        <v>37</v>
      </c>
      <c r="G192" s="158"/>
      <c r="H192" t="s">
        <v>4757</v>
      </c>
      <c r="I192" s="161"/>
      <c r="J192" s="161">
        <v>1500</v>
      </c>
      <c r="K192" s="159">
        <f t="shared" si="5"/>
        <v>-49395</v>
      </c>
    </row>
    <row r="193" spans="1:11" hidden="1">
      <c r="A193" s="137" t="str">
        <f t="shared" si="4"/>
        <v>FINANZASCOMBUSTIBLETESORERIA</v>
      </c>
      <c r="B193" t="s">
        <v>814</v>
      </c>
      <c r="C193" s="1">
        <v>45768</v>
      </c>
      <c r="D193" t="s">
        <v>23</v>
      </c>
      <c r="E193" t="s">
        <v>32</v>
      </c>
      <c r="F193" s="158" t="s">
        <v>38</v>
      </c>
      <c r="G193" s="158"/>
      <c r="H193" s="71" t="s">
        <v>4759</v>
      </c>
      <c r="I193" s="161"/>
      <c r="J193" s="161">
        <v>700</v>
      </c>
      <c r="K193" s="159">
        <f t="shared" si="5"/>
        <v>-50095</v>
      </c>
    </row>
    <row r="194" spans="1:11" hidden="1">
      <c r="A194" s="137" t="str">
        <f t="shared" si="4"/>
        <v>FINANZASCOMBUSTIBLETESORERIA</v>
      </c>
      <c r="B194" t="s">
        <v>814</v>
      </c>
      <c r="C194" s="1">
        <v>45768</v>
      </c>
      <c r="D194" t="s">
        <v>23</v>
      </c>
      <c r="E194" t="s">
        <v>32</v>
      </c>
      <c r="F194" s="158" t="s">
        <v>38</v>
      </c>
      <c r="G194" s="158"/>
      <c r="H194" t="s">
        <v>4758</v>
      </c>
      <c r="I194" s="161"/>
      <c r="J194" s="161">
        <v>1500</v>
      </c>
      <c r="K194" s="159">
        <f t="shared" si="5"/>
        <v>-51595</v>
      </c>
    </row>
    <row r="195" spans="1:11" hidden="1">
      <c r="A195" s="137" t="str">
        <f t="shared" si="4"/>
        <v>FINANZASCOMBUSTIBLEFINANZAS</v>
      </c>
      <c r="B195" t="s">
        <v>814</v>
      </c>
      <c r="C195" s="1">
        <v>45768</v>
      </c>
      <c r="D195" t="s">
        <v>23</v>
      </c>
      <c r="E195" t="s">
        <v>32</v>
      </c>
      <c r="F195" s="158" t="s">
        <v>23</v>
      </c>
      <c r="G195" s="158"/>
      <c r="H195" t="s">
        <v>4764</v>
      </c>
      <c r="I195" s="161"/>
      <c r="J195" s="161">
        <v>700</v>
      </c>
      <c r="K195" s="159">
        <f t="shared" si="5"/>
        <v>-52295</v>
      </c>
    </row>
    <row r="196" spans="1:11" hidden="1">
      <c r="A196" s="137" t="str">
        <f t="shared" si="4"/>
        <v>DECOMBUSTIBLEDIRECCION</v>
      </c>
      <c r="B196" t="s">
        <v>814</v>
      </c>
      <c r="C196" s="1">
        <v>45768</v>
      </c>
      <c r="D196" t="s">
        <v>41</v>
      </c>
      <c r="E196" t="s">
        <v>32</v>
      </c>
      <c r="F196" s="158" t="s">
        <v>42</v>
      </c>
      <c r="G196" s="158"/>
      <c r="H196" t="s">
        <v>4765</v>
      </c>
      <c r="I196" s="161"/>
      <c r="J196" s="161">
        <v>1000</v>
      </c>
      <c r="K196" s="159">
        <f t="shared" si="5"/>
        <v>-53295</v>
      </c>
    </row>
    <row r="197" spans="1:11" hidden="1">
      <c r="A197" s="137" t="str">
        <f t="shared" ref="A197:A234" si="6">D197&amp;E197&amp;F197</f>
        <v>SGECOMBUSTIBLEGESTION EMPRESARIAL</v>
      </c>
      <c r="B197" t="s">
        <v>814</v>
      </c>
      <c r="C197" s="1">
        <v>45768</v>
      </c>
      <c r="D197" t="s">
        <v>39</v>
      </c>
      <c r="E197" t="s">
        <v>32</v>
      </c>
      <c r="F197" s="158" t="s">
        <v>40</v>
      </c>
      <c r="G197" s="158"/>
      <c r="H197" t="s">
        <v>40</v>
      </c>
      <c r="I197" s="161"/>
      <c r="J197" s="161">
        <v>1000</v>
      </c>
      <c r="K197" s="159">
        <f t="shared" si="5"/>
        <v>-54295</v>
      </c>
    </row>
    <row r="198" spans="1:11" hidden="1">
      <c r="A198" s="137" t="str">
        <f t="shared" si="6"/>
        <v>MMCOMBUSTIBLEMARKET MAX</v>
      </c>
      <c r="B198" t="s">
        <v>814</v>
      </c>
      <c r="C198" s="1">
        <v>45768</v>
      </c>
      <c r="D198" t="s">
        <v>45</v>
      </c>
      <c r="E198" t="s">
        <v>32</v>
      </c>
      <c r="F198" s="158" t="s">
        <v>46</v>
      </c>
      <c r="G198" s="158"/>
      <c r="H198" t="s">
        <v>4780</v>
      </c>
      <c r="I198" s="161"/>
      <c r="J198" s="161">
        <v>700</v>
      </c>
      <c r="K198" s="159">
        <f t="shared" si="5"/>
        <v>-54995</v>
      </c>
    </row>
    <row r="199" spans="1:11" hidden="1">
      <c r="A199" s="137" t="str">
        <f t="shared" si="6"/>
        <v>MELCOMBUSTIBLEMELISSA</v>
      </c>
      <c r="B199" t="s">
        <v>814</v>
      </c>
      <c r="C199" s="1">
        <v>45768</v>
      </c>
      <c r="D199" t="s">
        <v>43</v>
      </c>
      <c r="E199" t="s">
        <v>32</v>
      </c>
      <c r="F199" s="158" t="s">
        <v>44</v>
      </c>
      <c r="G199" s="158"/>
      <c r="H199" t="s">
        <v>4760</v>
      </c>
      <c r="I199" s="161"/>
      <c r="J199" s="161">
        <v>1000</v>
      </c>
      <c r="K199" s="159">
        <f t="shared" si="5"/>
        <v>-55995</v>
      </c>
    </row>
    <row r="200" spans="1:11" hidden="1">
      <c r="A200" s="137" t="str">
        <f t="shared" si="6"/>
        <v/>
      </c>
      <c r="B200" t="s">
        <v>814</v>
      </c>
      <c r="C200" s="1">
        <v>45772</v>
      </c>
      <c r="F200" s="158"/>
      <c r="G200" s="158"/>
      <c r="H200" t="s">
        <v>4741</v>
      </c>
      <c r="I200" s="161">
        <v>31566</v>
      </c>
      <c r="J200" s="161"/>
      <c r="K200" s="159">
        <f t="shared" si="5"/>
        <v>-24429</v>
      </c>
    </row>
    <row r="201" spans="1:11" hidden="1">
      <c r="A201" s="137" t="str">
        <f t="shared" si="6"/>
        <v>FINANZASCOMBUSTIBLECOMISION SI VALE</v>
      </c>
      <c r="B201" t="s">
        <v>814</v>
      </c>
      <c r="C201" s="1">
        <v>45772</v>
      </c>
      <c r="D201" t="s">
        <v>23</v>
      </c>
      <c r="E201" t="s">
        <v>32</v>
      </c>
      <c r="F201" s="241" t="s">
        <v>47</v>
      </c>
      <c r="G201" s="158"/>
      <c r="H201" t="s">
        <v>4742</v>
      </c>
      <c r="I201" s="161"/>
      <c r="J201" s="161">
        <v>1566</v>
      </c>
      <c r="K201" s="159">
        <f t="shared" si="5"/>
        <v>-25995</v>
      </c>
    </row>
    <row r="202" spans="1:11" ht="15" hidden="1">
      <c r="A202" s="137" t="str">
        <f t="shared" si="6"/>
        <v>HRCOMBUSTIBLEHR</v>
      </c>
      <c r="B202" t="s">
        <v>814</v>
      </c>
      <c r="C202" s="1">
        <v>45775</v>
      </c>
      <c r="D202" t="s">
        <v>29</v>
      </c>
      <c r="E202" t="s">
        <v>32</v>
      </c>
      <c r="F202" s="158" t="s">
        <v>29</v>
      </c>
      <c r="G202" s="158"/>
      <c r="H202" s="193" t="s">
        <v>4775</v>
      </c>
      <c r="I202" s="161"/>
      <c r="J202" s="161">
        <v>1000</v>
      </c>
      <c r="K202" s="159">
        <f t="shared" si="5"/>
        <v>-26995</v>
      </c>
    </row>
    <row r="203" spans="1:11" hidden="1">
      <c r="A203" s="137" t="str">
        <f t="shared" si="6"/>
        <v>HRCOMBUSTIBLEHR</v>
      </c>
      <c r="B203" t="s">
        <v>814</v>
      </c>
      <c r="C203" s="1">
        <v>45775</v>
      </c>
      <c r="D203" t="s">
        <v>29</v>
      </c>
      <c r="E203" t="s">
        <v>32</v>
      </c>
      <c r="F203" s="158" t="s">
        <v>29</v>
      </c>
      <c r="G203" s="158"/>
      <c r="H203" t="s">
        <v>4769</v>
      </c>
      <c r="I203" s="161"/>
      <c r="J203" s="161">
        <v>800</v>
      </c>
      <c r="K203" s="159">
        <f t="shared" si="5"/>
        <v>-27795</v>
      </c>
    </row>
    <row r="204" spans="1:11" hidden="1">
      <c r="A204" s="137" t="str">
        <f t="shared" si="6"/>
        <v>HRCOMBUSTIBLEHR</v>
      </c>
      <c r="B204" t="s">
        <v>814</v>
      </c>
      <c r="C204" s="1">
        <v>45775</v>
      </c>
      <c r="D204" t="s">
        <v>29</v>
      </c>
      <c r="E204" t="s">
        <v>32</v>
      </c>
      <c r="F204" s="158" t="s">
        <v>29</v>
      </c>
      <c r="G204" s="158"/>
      <c r="H204" t="s">
        <v>4753</v>
      </c>
      <c r="I204" s="161"/>
      <c r="J204" s="161">
        <v>500</v>
      </c>
      <c r="K204" s="159">
        <f t="shared" si="5"/>
        <v>-28295</v>
      </c>
    </row>
    <row r="205" spans="1:11" hidden="1">
      <c r="A205" s="137" t="str">
        <f t="shared" si="6"/>
        <v>CAPCOMBUSTIBLECAPRICHOS</v>
      </c>
      <c r="B205" t="s">
        <v>814</v>
      </c>
      <c r="C205" s="1">
        <v>45775</v>
      </c>
      <c r="D205" t="s">
        <v>31</v>
      </c>
      <c r="E205" t="s">
        <v>32</v>
      </c>
      <c r="F205" s="158" t="s">
        <v>33</v>
      </c>
      <c r="G205" s="158"/>
      <c r="H205" t="s">
        <v>4784</v>
      </c>
      <c r="I205" s="161"/>
      <c r="J205" s="161">
        <v>1300</v>
      </c>
      <c r="K205" s="159">
        <f t="shared" si="5"/>
        <v>-29595</v>
      </c>
    </row>
    <row r="206" spans="1:11" hidden="1">
      <c r="A206" s="137" t="str">
        <f t="shared" si="6"/>
        <v>CAPCOMBUSTIBLECAPRICHOS</v>
      </c>
      <c r="B206" t="s">
        <v>814</v>
      </c>
      <c r="C206" s="1">
        <v>45775</v>
      </c>
      <c r="D206" t="s">
        <v>31</v>
      </c>
      <c r="E206" t="s">
        <v>32</v>
      </c>
      <c r="F206" s="158" t="s">
        <v>33</v>
      </c>
      <c r="G206" s="158"/>
      <c r="H206" t="s">
        <v>4782</v>
      </c>
      <c r="I206" s="161"/>
      <c r="J206" s="161">
        <v>700</v>
      </c>
      <c r="K206" s="159">
        <f t="shared" si="5"/>
        <v>-30295</v>
      </c>
    </row>
    <row r="207" spans="1:11" hidden="1">
      <c r="A207" s="137" t="str">
        <f t="shared" si="6"/>
        <v>SERVICIOSCOMBUSTIBLESERVICIOS</v>
      </c>
      <c r="B207" t="s">
        <v>814</v>
      </c>
      <c r="C207" s="1">
        <v>45775</v>
      </c>
      <c r="D207" t="s">
        <v>21</v>
      </c>
      <c r="E207" t="s">
        <v>32</v>
      </c>
      <c r="F207" s="158" t="s">
        <v>21</v>
      </c>
      <c r="G207" s="158"/>
      <c r="H207" t="s">
        <v>4756</v>
      </c>
      <c r="I207" s="161"/>
      <c r="J207" s="161">
        <v>400</v>
      </c>
      <c r="K207" s="159">
        <f t="shared" si="5"/>
        <v>-30695</v>
      </c>
    </row>
    <row r="208" spans="1:11" hidden="1">
      <c r="A208" s="137" t="str">
        <f t="shared" si="6"/>
        <v>SERVICIOSCOMBUSTIBLECEDIS</v>
      </c>
      <c r="B208" t="s">
        <v>814</v>
      </c>
      <c r="C208" s="1">
        <v>45775</v>
      </c>
      <c r="D208" t="s">
        <v>21</v>
      </c>
      <c r="E208" t="s">
        <v>32</v>
      </c>
      <c r="F208" s="158" t="s">
        <v>28</v>
      </c>
      <c r="G208" s="158"/>
      <c r="H208" s="71" t="s">
        <v>28</v>
      </c>
      <c r="I208" s="161"/>
      <c r="J208" s="161">
        <v>19500</v>
      </c>
      <c r="K208" s="159">
        <f t="shared" si="5"/>
        <v>-50195</v>
      </c>
    </row>
    <row r="209" spans="1:11" hidden="1">
      <c r="A209" s="137" t="str">
        <f t="shared" si="6"/>
        <v>SERVICIOSCOMBUSTIBLEMANTENIMIENTO</v>
      </c>
      <c r="B209" t="s">
        <v>814</v>
      </c>
      <c r="C209" s="1">
        <v>45775</v>
      </c>
      <c r="D209" t="s">
        <v>21</v>
      </c>
      <c r="E209" t="s">
        <v>32</v>
      </c>
      <c r="F209" s="158" t="s">
        <v>35</v>
      </c>
      <c r="G209" s="158"/>
      <c r="H209" t="s">
        <v>4762</v>
      </c>
      <c r="I209" s="161"/>
      <c r="J209" s="161">
        <v>1500</v>
      </c>
      <c r="K209" s="159">
        <f t="shared" si="5"/>
        <v>-51695</v>
      </c>
    </row>
    <row r="210" spans="1:11" hidden="1">
      <c r="A210" s="137" t="str">
        <f t="shared" si="6"/>
        <v>FINANZASCOMBUSTIBLECONTABILIDAD</v>
      </c>
      <c r="B210" t="s">
        <v>814</v>
      </c>
      <c r="C210" s="1">
        <v>45775</v>
      </c>
      <c r="D210" t="s">
        <v>23</v>
      </c>
      <c r="E210" t="s">
        <v>32</v>
      </c>
      <c r="F210" s="158" t="s">
        <v>37</v>
      </c>
      <c r="G210" s="158"/>
      <c r="H210" t="s">
        <v>4757</v>
      </c>
      <c r="I210" s="161"/>
      <c r="J210" s="161">
        <v>1400</v>
      </c>
      <c r="K210" s="159">
        <f t="shared" si="5"/>
        <v>-53095</v>
      </c>
    </row>
    <row r="211" spans="1:11" hidden="1">
      <c r="A211" s="137" t="str">
        <f t="shared" si="6"/>
        <v>FINANZASCOMBUSTIBLETESORERIA</v>
      </c>
      <c r="B211" t="s">
        <v>814</v>
      </c>
      <c r="C211" s="1">
        <v>45775</v>
      </c>
      <c r="D211" t="s">
        <v>23</v>
      </c>
      <c r="E211" t="s">
        <v>32</v>
      </c>
      <c r="F211" s="158" t="s">
        <v>38</v>
      </c>
      <c r="G211" s="158"/>
      <c r="H211" s="71" t="s">
        <v>4759</v>
      </c>
      <c r="I211" s="161"/>
      <c r="J211" s="161">
        <v>700</v>
      </c>
      <c r="K211" s="159">
        <f t="shared" si="5"/>
        <v>-53795</v>
      </c>
    </row>
    <row r="212" spans="1:11" hidden="1">
      <c r="A212" s="137" t="str">
        <f t="shared" si="6"/>
        <v>FINANZASCOMBUSTIBLETESORERIA</v>
      </c>
      <c r="B212" t="s">
        <v>814</v>
      </c>
      <c r="C212" s="1">
        <v>45775</v>
      </c>
      <c r="D212" t="s">
        <v>23</v>
      </c>
      <c r="E212" t="s">
        <v>32</v>
      </c>
      <c r="F212" s="158" t="s">
        <v>38</v>
      </c>
      <c r="G212" s="158"/>
      <c r="H212" t="s">
        <v>4758</v>
      </c>
      <c r="I212" s="161"/>
      <c r="J212" s="161">
        <v>1500</v>
      </c>
      <c r="K212" s="159">
        <f t="shared" si="5"/>
        <v>-55295</v>
      </c>
    </row>
    <row r="213" spans="1:11" hidden="1">
      <c r="A213" s="137" t="str">
        <f t="shared" si="6"/>
        <v>FINANZASCOMBUSTIBLEFINANZAS</v>
      </c>
      <c r="B213" t="s">
        <v>814</v>
      </c>
      <c r="C213" s="1">
        <v>45775</v>
      </c>
      <c r="D213" t="s">
        <v>23</v>
      </c>
      <c r="E213" t="s">
        <v>32</v>
      </c>
      <c r="F213" s="158" t="s">
        <v>23</v>
      </c>
      <c r="G213" s="158"/>
      <c r="H213" t="s">
        <v>4764</v>
      </c>
      <c r="I213" s="161"/>
      <c r="J213" s="161">
        <v>700</v>
      </c>
      <c r="K213" s="159">
        <f t="shared" si="5"/>
        <v>-55995</v>
      </c>
    </row>
    <row r="214" spans="1:11" hidden="1">
      <c r="A214" s="137" t="str">
        <f t="shared" si="6"/>
        <v>DECOMBUSTIBLEDIRECCION</v>
      </c>
      <c r="B214" t="s">
        <v>814</v>
      </c>
      <c r="C214" s="1">
        <v>45775</v>
      </c>
      <c r="D214" t="s">
        <v>41</v>
      </c>
      <c r="E214" t="s">
        <v>32</v>
      </c>
      <c r="F214" s="158" t="s">
        <v>42</v>
      </c>
      <c r="G214" s="158"/>
      <c r="H214" t="s">
        <v>4765</v>
      </c>
      <c r="I214" s="161"/>
      <c r="J214" s="161">
        <v>1000</v>
      </c>
      <c r="K214" s="159">
        <f t="shared" si="5"/>
        <v>-56995</v>
      </c>
    </row>
    <row r="215" spans="1:11" hidden="1">
      <c r="A215" s="137" t="str">
        <f t="shared" si="6"/>
        <v>SGECOMBUSTIBLEGESTION EMPRESARIAL</v>
      </c>
      <c r="B215" t="s">
        <v>814</v>
      </c>
      <c r="C215" s="1">
        <v>45775</v>
      </c>
      <c r="D215" t="s">
        <v>39</v>
      </c>
      <c r="E215" t="s">
        <v>32</v>
      </c>
      <c r="F215" s="158" t="s">
        <v>40</v>
      </c>
      <c r="G215" s="158"/>
      <c r="H215" t="s">
        <v>40</v>
      </c>
      <c r="I215" s="161"/>
      <c r="J215" s="161">
        <v>600</v>
      </c>
      <c r="K215" s="159">
        <f t="shared" si="5"/>
        <v>-57595</v>
      </c>
    </row>
    <row r="216" spans="1:11" hidden="1">
      <c r="A216" s="137" t="str">
        <f t="shared" si="6"/>
        <v>MMCOMBUSTIBLEMARKET MAX</v>
      </c>
      <c r="B216" t="s">
        <v>814</v>
      </c>
      <c r="C216" s="1">
        <v>45775</v>
      </c>
      <c r="D216" t="s">
        <v>45</v>
      </c>
      <c r="E216" t="s">
        <v>32</v>
      </c>
      <c r="F216" s="158" t="s">
        <v>46</v>
      </c>
      <c r="G216" s="158"/>
      <c r="H216" t="s">
        <v>4780</v>
      </c>
      <c r="I216" s="161"/>
      <c r="J216" s="161">
        <v>700</v>
      </c>
      <c r="K216" s="159">
        <f t="shared" si="5"/>
        <v>-58295</v>
      </c>
    </row>
    <row r="217" spans="1:11" hidden="1">
      <c r="A217" s="137" t="str">
        <f t="shared" si="6"/>
        <v>MELCOMBUSTIBLEMELISSA</v>
      </c>
      <c r="B217" t="s">
        <v>814</v>
      </c>
      <c r="C217" s="1">
        <v>45775</v>
      </c>
      <c r="D217" t="s">
        <v>43</v>
      </c>
      <c r="E217" t="s">
        <v>32</v>
      </c>
      <c r="F217" s="158" t="s">
        <v>44</v>
      </c>
      <c r="G217" s="158"/>
      <c r="H217" t="s">
        <v>4760</v>
      </c>
      <c r="I217" s="161"/>
      <c r="J217" s="161">
        <v>1000</v>
      </c>
      <c r="K217" s="159">
        <f t="shared" ref="K217:K234" si="7">K216+I217-J217</f>
        <v>-59295</v>
      </c>
    </row>
    <row r="218" spans="1:11" hidden="1">
      <c r="A218" s="137" t="str">
        <f t="shared" si="6"/>
        <v>SERVICIOSCOMBUSTIBLEINVENTARIOS</v>
      </c>
      <c r="B218" t="s">
        <v>814</v>
      </c>
      <c r="C218" s="1">
        <v>45775</v>
      </c>
      <c r="D218" t="s">
        <v>21</v>
      </c>
      <c r="E218" t="s">
        <v>32</v>
      </c>
      <c r="F218" s="158" t="s">
        <v>34</v>
      </c>
      <c r="G218" s="158"/>
      <c r="H218" t="s">
        <v>4786</v>
      </c>
      <c r="I218" s="161"/>
      <c r="J218" s="161">
        <v>1500</v>
      </c>
      <c r="K218" s="159">
        <f t="shared" si="7"/>
        <v>-60795</v>
      </c>
    </row>
    <row r="219" spans="1:11" hidden="1">
      <c r="A219" s="137" t="str">
        <f t="shared" si="6"/>
        <v/>
      </c>
      <c r="B219" t="s">
        <v>1049</v>
      </c>
      <c r="C219" s="1">
        <v>45782</v>
      </c>
      <c r="F219" s="158"/>
      <c r="G219" s="158"/>
      <c r="H219" t="s">
        <v>4741</v>
      </c>
      <c r="I219" s="161">
        <v>32618.2</v>
      </c>
      <c r="J219" s="161"/>
      <c r="K219" s="159">
        <f t="shared" si="7"/>
        <v>-28176.799999999999</v>
      </c>
    </row>
    <row r="220" spans="1:11" hidden="1">
      <c r="A220" s="137" t="str">
        <f t="shared" si="6"/>
        <v>FINANZASCOMBUSTIBLECOMISION SI VALE</v>
      </c>
      <c r="B220" t="s">
        <v>1049</v>
      </c>
      <c r="C220" s="1">
        <v>45782</v>
      </c>
      <c r="D220" t="s">
        <v>23</v>
      </c>
      <c r="E220" t="s">
        <v>32</v>
      </c>
      <c r="F220" s="241" t="s">
        <v>47</v>
      </c>
      <c r="G220" s="158"/>
      <c r="H220" t="s">
        <v>4742</v>
      </c>
      <c r="I220" s="161"/>
      <c r="J220" s="161">
        <v>1618.2</v>
      </c>
      <c r="K220" s="159">
        <f t="shared" si="7"/>
        <v>-29795</v>
      </c>
    </row>
    <row r="221" spans="1:11" hidden="1">
      <c r="A221" s="137" t="str">
        <f t="shared" si="6"/>
        <v>HRCOMBUSTIBLEHR</v>
      </c>
      <c r="B221" t="s">
        <v>1049</v>
      </c>
      <c r="C221" s="1">
        <v>45782</v>
      </c>
      <c r="D221" t="s">
        <v>29</v>
      </c>
      <c r="E221" t="s">
        <v>32</v>
      </c>
      <c r="F221" s="158" t="s">
        <v>29</v>
      </c>
      <c r="G221" s="158"/>
      <c r="H221" t="s">
        <v>4769</v>
      </c>
      <c r="I221" s="161"/>
      <c r="J221" s="161">
        <v>1000</v>
      </c>
      <c r="K221" s="159">
        <f t="shared" si="7"/>
        <v>-30795</v>
      </c>
    </row>
    <row r="222" spans="1:11" hidden="1">
      <c r="A222" s="137" t="str">
        <f t="shared" si="6"/>
        <v>HRCOMBUSTIBLEHR</v>
      </c>
      <c r="B222" t="s">
        <v>1049</v>
      </c>
      <c r="C222" s="1">
        <v>45782</v>
      </c>
      <c r="D222" t="s">
        <v>29</v>
      </c>
      <c r="E222" t="s">
        <v>32</v>
      </c>
      <c r="F222" s="158" t="s">
        <v>29</v>
      </c>
      <c r="G222" s="158"/>
      <c r="H222" t="s">
        <v>4753</v>
      </c>
      <c r="I222" s="161"/>
      <c r="J222" s="161">
        <v>1300</v>
      </c>
      <c r="K222" s="159">
        <f t="shared" si="7"/>
        <v>-32095</v>
      </c>
    </row>
    <row r="223" spans="1:11" hidden="1">
      <c r="A223" s="137" t="str">
        <f t="shared" si="6"/>
        <v>CAPCOMBUSTIBLECAPRICHOS</v>
      </c>
      <c r="B223" t="s">
        <v>1049</v>
      </c>
      <c r="C223" s="1">
        <v>45782</v>
      </c>
      <c r="D223" t="s">
        <v>31</v>
      </c>
      <c r="E223" t="s">
        <v>32</v>
      </c>
      <c r="F223" s="158" t="s">
        <v>33</v>
      </c>
      <c r="G223" s="158"/>
      <c r="H223" t="s">
        <v>4784</v>
      </c>
      <c r="I223" s="161"/>
      <c r="J223" s="161">
        <v>1300</v>
      </c>
      <c r="K223" s="159">
        <f t="shared" si="7"/>
        <v>-33395</v>
      </c>
    </row>
    <row r="224" spans="1:11" hidden="1">
      <c r="A224" s="137" t="str">
        <f t="shared" si="6"/>
        <v>SERVICIOSCOMBUSTIBLESERVICIOS</v>
      </c>
      <c r="B224" t="s">
        <v>1049</v>
      </c>
      <c r="C224" s="1">
        <v>45782</v>
      </c>
      <c r="D224" t="s">
        <v>21</v>
      </c>
      <c r="E224" t="s">
        <v>32</v>
      </c>
      <c r="F224" s="158" t="s">
        <v>21</v>
      </c>
      <c r="G224" s="158"/>
      <c r="H224" t="s">
        <v>4756</v>
      </c>
      <c r="I224" s="161"/>
      <c r="J224" s="161">
        <v>1500</v>
      </c>
      <c r="K224" s="159">
        <f t="shared" si="7"/>
        <v>-34895</v>
      </c>
    </row>
    <row r="225" spans="1:11" hidden="1">
      <c r="A225" s="137" t="str">
        <f t="shared" si="6"/>
        <v>SERVICIOSCOMBUSTIBLECEDIS</v>
      </c>
      <c r="B225" t="s">
        <v>1049</v>
      </c>
      <c r="C225" s="1">
        <v>45782</v>
      </c>
      <c r="D225" t="s">
        <v>21</v>
      </c>
      <c r="E225" t="s">
        <v>32</v>
      </c>
      <c r="F225" s="158" t="s">
        <v>28</v>
      </c>
      <c r="G225" s="158"/>
      <c r="H225" s="71" t="s">
        <v>28</v>
      </c>
      <c r="I225" s="161"/>
      <c r="J225" s="161">
        <v>11500</v>
      </c>
      <c r="K225" s="159">
        <f t="shared" si="7"/>
        <v>-46395</v>
      </c>
    </row>
    <row r="226" spans="1:11" hidden="1">
      <c r="A226" s="137" t="str">
        <f t="shared" si="6"/>
        <v>SERVICIOSCOMBUSTIBLEMANTENIMIENTO</v>
      </c>
      <c r="B226" t="s">
        <v>1049</v>
      </c>
      <c r="C226" s="1">
        <v>45782</v>
      </c>
      <c r="D226" t="s">
        <v>21</v>
      </c>
      <c r="E226" t="s">
        <v>32</v>
      </c>
      <c r="F226" s="158" t="s">
        <v>35</v>
      </c>
      <c r="G226" s="158"/>
      <c r="H226" t="s">
        <v>4762</v>
      </c>
      <c r="I226" s="161"/>
      <c r="J226" s="161">
        <v>1000</v>
      </c>
      <c r="K226" s="159">
        <f t="shared" si="7"/>
        <v>-47395</v>
      </c>
    </row>
    <row r="227" spans="1:11" hidden="1">
      <c r="A227" s="137" t="str">
        <f t="shared" si="6"/>
        <v>FINANZASCOMBUSTIBLETESORERIA</v>
      </c>
      <c r="B227" t="s">
        <v>1049</v>
      </c>
      <c r="C227" s="1">
        <v>45782</v>
      </c>
      <c r="D227" t="s">
        <v>23</v>
      </c>
      <c r="E227" t="s">
        <v>32</v>
      </c>
      <c r="F227" s="158" t="s">
        <v>38</v>
      </c>
      <c r="G227" s="158"/>
      <c r="H227" t="s">
        <v>4758</v>
      </c>
      <c r="I227" s="161"/>
      <c r="J227" s="161">
        <v>1500</v>
      </c>
      <c r="K227" s="159">
        <f t="shared" si="7"/>
        <v>-48895</v>
      </c>
    </row>
    <row r="228" spans="1:11" hidden="1">
      <c r="A228" s="137" t="str">
        <f t="shared" si="6"/>
        <v>DECOMBUSTIBLEDIRECCION</v>
      </c>
      <c r="B228" t="s">
        <v>1049</v>
      </c>
      <c r="C228" s="1">
        <v>45782</v>
      </c>
      <c r="D228" t="s">
        <v>41</v>
      </c>
      <c r="E228" t="s">
        <v>32</v>
      </c>
      <c r="F228" s="158" t="s">
        <v>42</v>
      </c>
      <c r="G228" s="158"/>
      <c r="H228" t="s">
        <v>4765</v>
      </c>
      <c r="I228" s="161"/>
      <c r="J228" s="161">
        <v>1000</v>
      </c>
      <c r="K228" s="159">
        <f t="shared" si="7"/>
        <v>-49895</v>
      </c>
    </row>
    <row r="229" spans="1:11" hidden="1">
      <c r="A229" s="137" t="str">
        <f t="shared" si="6"/>
        <v>SGECOMBUSTIBLEGESTION EMPRESARIAL</v>
      </c>
      <c r="B229" t="s">
        <v>1049</v>
      </c>
      <c r="C229" s="1">
        <v>45782</v>
      </c>
      <c r="D229" t="s">
        <v>39</v>
      </c>
      <c r="E229" t="s">
        <v>32</v>
      </c>
      <c r="F229" s="158" t="s">
        <v>40</v>
      </c>
      <c r="G229" s="158"/>
      <c r="H229" t="s">
        <v>40</v>
      </c>
      <c r="I229" s="161"/>
      <c r="J229" s="161">
        <v>1000</v>
      </c>
      <c r="K229" s="159">
        <f t="shared" si="7"/>
        <v>-50895</v>
      </c>
    </row>
    <row r="230" spans="1:11" hidden="1">
      <c r="A230" s="137" t="str">
        <f t="shared" si="6"/>
        <v>MMCOMBUSTIBLEMARKET MAX</v>
      </c>
      <c r="B230" t="s">
        <v>1049</v>
      </c>
      <c r="C230" s="1">
        <v>45782</v>
      </c>
      <c r="D230" t="s">
        <v>45</v>
      </c>
      <c r="E230" t="s">
        <v>32</v>
      </c>
      <c r="F230" s="158" t="s">
        <v>46</v>
      </c>
      <c r="G230" s="158"/>
      <c r="H230" t="s">
        <v>4780</v>
      </c>
      <c r="I230" s="161"/>
      <c r="J230" s="161">
        <v>700</v>
      </c>
      <c r="K230" s="159">
        <f t="shared" si="7"/>
        <v>-51595</v>
      </c>
    </row>
    <row r="231" spans="1:11" hidden="1">
      <c r="A231" s="137" t="str">
        <f t="shared" si="6"/>
        <v>MELCOMBUSTIBLEMELISSA</v>
      </c>
      <c r="B231" t="s">
        <v>1049</v>
      </c>
      <c r="C231" s="1">
        <v>45782</v>
      </c>
      <c r="D231" t="s">
        <v>43</v>
      </c>
      <c r="E231" t="s">
        <v>32</v>
      </c>
      <c r="F231" s="158" t="s">
        <v>44</v>
      </c>
      <c r="G231" s="158"/>
      <c r="H231" t="s">
        <v>4760</v>
      </c>
      <c r="I231" s="161"/>
      <c r="J231" s="161">
        <v>1000</v>
      </c>
      <c r="K231" s="159">
        <f t="shared" si="7"/>
        <v>-52595</v>
      </c>
    </row>
    <row r="232" spans="1:11" hidden="1">
      <c r="A232" s="137" t="str">
        <f t="shared" si="6"/>
        <v>SERVICIOSCOMBUSTIBLEINVENTARIOS</v>
      </c>
      <c r="B232" t="s">
        <v>1049</v>
      </c>
      <c r="C232" s="1">
        <v>45782</v>
      </c>
      <c r="D232" t="s">
        <v>21</v>
      </c>
      <c r="E232" t="s">
        <v>32</v>
      </c>
      <c r="F232" s="158" t="s">
        <v>34</v>
      </c>
      <c r="G232" s="158"/>
      <c r="H232" t="s">
        <v>4786</v>
      </c>
      <c r="I232" s="161"/>
      <c r="J232" s="161">
        <v>1500</v>
      </c>
      <c r="K232" s="159">
        <f t="shared" si="7"/>
        <v>-54095</v>
      </c>
    </row>
    <row r="233" spans="1:11" ht="15" hidden="1">
      <c r="A233" s="137" t="str">
        <f t="shared" si="6"/>
        <v/>
      </c>
      <c r="B233" t="s">
        <v>1049</v>
      </c>
      <c r="C233" s="1">
        <v>45786</v>
      </c>
      <c r="H233" t="s">
        <v>4787</v>
      </c>
      <c r="I233" s="81">
        <v>32618.2</v>
      </c>
      <c r="K233" s="69">
        <f t="shared" si="7"/>
        <v>-21476.799999999999</v>
      </c>
    </row>
    <row r="234" spans="1:11" hidden="1">
      <c r="A234" s="137" t="str">
        <f t="shared" si="6"/>
        <v>FINANZASCOMBUSTIBLECOMISION SI VALE</v>
      </c>
      <c r="B234" t="s">
        <v>1049</v>
      </c>
      <c r="C234" s="1">
        <v>45786</v>
      </c>
      <c r="D234" t="s">
        <v>23</v>
      </c>
      <c r="E234" t="s">
        <v>32</v>
      </c>
      <c r="F234" s="158" t="s">
        <v>47</v>
      </c>
      <c r="G234" s="158"/>
      <c r="H234" t="s">
        <v>47</v>
      </c>
      <c r="I234" s="161"/>
      <c r="J234" s="161">
        <v>1618.2</v>
      </c>
      <c r="K234" s="159">
        <f t="shared" si="7"/>
        <v>-23095</v>
      </c>
    </row>
    <row r="235" spans="1:11" ht="15" hidden="1">
      <c r="A235" s="137" t="str">
        <f t="shared" ref="A235:A248" si="8">D235&amp;E235&amp;F235</f>
        <v/>
      </c>
      <c r="B235" t="s">
        <v>1049</v>
      </c>
      <c r="C235" s="1">
        <v>45786</v>
      </c>
      <c r="H235" t="s">
        <v>4787</v>
      </c>
      <c r="I235" s="81">
        <v>31618.2</v>
      </c>
      <c r="K235" s="69">
        <f>K234+I235-J235</f>
        <v>8523.2000000000007</v>
      </c>
    </row>
    <row r="236" spans="1:11" ht="15" hidden="1">
      <c r="A236" s="137" t="str">
        <f t="shared" si="8"/>
        <v>FINANZASCOMBUSTIBLECOMISION SI VALE</v>
      </c>
      <c r="B236" t="s">
        <v>1049</v>
      </c>
      <c r="C236" s="1">
        <v>45786</v>
      </c>
      <c r="D236" t="s">
        <v>23</v>
      </c>
      <c r="E236" t="s">
        <v>32</v>
      </c>
      <c r="F236" s="158" t="s">
        <v>47</v>
      </c>
      <c r="G236" s="158"/>
      <c r="H236" t="s">
        <v>47</v>
      </c>
      <c r="I236" s="161"/>
      <c r="J236" s="161">
        <v>1618.2</v>
      </c>
      <c r="K236" s="159">
        <f>K235+I236-J236</f>
        <v>6905.0000000000009</v>
      </c>
    </row>
    <row r="237" spans="1:11" ht="15" hidden="1">
      <c r="A237" s="137" t="str">
        <f t="shared" si="8"/>
        <v>HRCOMBUSTIBLEHR</v>
      </c>
      <c r="B237" t="s">
        <v>1049</v>
      </c>
      <c r="C237" s="1">
        <v>45789</v>
      </c>
      <c r="D237" t="s">
        <v>29</v>
      </c>
      <c r="E237" t="s">
        <v>32</v>
      </c>
      <c r="F237" s="158" t="s">
        <v>29</v>
      </c>
      <c r="G237" s="158"/>
      <c r="H237" s="193" t="s">
        <v>4775</v>
      </c>
      <c r="I237" s="161"/>
      <c r="J237" s="161">
        <v>800</v>
      </c>
      <c r="K237" s="159">
        <f>K236+I237-J237</f>
        <v>6105.0000000000009</v>
      </c>
    </row>
    <row r="238" spans="1:11" ht="15" hidden="1">
      <c r="A238" s="137" t="str">
        <f t="shared" si="8"/>
        <v>HRCOMBUSTIBLEHR</v>
      </c>
      <c r="B238" t="s">
        <v>1049</v>
      </c>
      <c r="C238" s="1">
        <v>45789</v>
      </c>
      <c r="D238" t="s">
        <v>29</v>
      </c>
      <c r="E238" t="s">
        <v>32</v>
      </c>
      <c r="F238" s="158" t="s">
        <v>29</v>
      </c>
      <c r="G238" s="158"/>
      <c r="H238" t="s">
        <v>4769</v>
      </c>
      <c r="I238" s="161"/>
      <c r="J238" s="161">
        <v>1600</v>
      </c>
      <c r="K238" s="159">
        <f>K237+I238-J238</f>
        <v>4505.0000000000009</v>
      </c>
    </row>
    <row r="239" spans="1:11" ht="15" hidden="1">
      <c r="A239" s="137" t="str">
        <f t="shared" si="8"/>
        <v>HRCOMBUSTIBLEHR</v>
      </c>
      <c r="B239" t="s">
        <v>1049</v>
      </c>
      <c r="C239" s="1">
        <v>45789</v>
      </c>
      <c r="D239" t="s">
        <v>29</v>
      </c>
      <c r="E239" t="s">
        <v>32</v>
      </c>
      <c r="F239" s="158" t="s">
        <v>29</v>
      </c>
      <c r="G239" s="158"/>
      <c r="H239" t="s">
        <v>4753</v>
      </c>
      <c r="I239" s="161"/>
      <c r="J239" s="161">
        <v>1000</v>
      </c>
      <c r="K239" s="159">
        <f>K238+I239-J239</f>
        <v>3505.0000000000009</v>
      </c>
    </row>
    <row r="240" spans="1:11" ht="15" hidden="1">
      <c r="A240" s="137" t="str">
        <f t="shared" si="8"/>
        <v>CAPCOMBUSTIBLECAPRICHOS</v>
      </c>
      <c r="B240" t="s">
        <v>1049</v>
      </c>
      <c r="C240" s="1">
        <v>45789</v>
      </c>
      <c r="D240" t="s">
        <v>31</v>
      </c>
      <c r="E240" t="s">
        <v>32</v>
      </c>
      <c r="F240" s="158" t="s">
        <v>33</v>
      </c>
      <c r="G240" s="158"/>
      <c r="H240" t="s">
        <v>4784</v>
      </c>
      <c r="I240" s="161"/>
      <c r="J240" s="161">
        <v>1300</v>
      </c>
      <c r="K240" s="159">
        <f>K239+I240-J240</f>
        <v>2205.0000000000009</v>
      </c>
    </row>
    <row r="241" spans="1:11" ht="15" hidden="1">
      <c r="A241" s="137" t="str">
        <f t="shared" si="8"/>
        <v>CAPCOMBUSTIBLECAPRICHOS</v>
      </c>
      <c r="B241" t="s">
        <v>1049</v>
      </c>
      <c r="C241" s="1">
        <v>45789</v>
      </c>
      <c r="D241" t="s">
        <v>31</v>
      </c>
      <c r="E241" t="s">
        <v>32</v>
      </c>
      <c r="F241" s="158" t="s">
        <v>33</v>
      </c>
      <c r="G241" s="158"/>
      <c r="H241" t="s">
        <v>4782</v>
      </c>
      <c r="I241" s="161"/>
      <c r="J241" s="161">
        <v>700</v>
      </c>
      <c r="K241" s="159">
        <f>K240+I241-J241</f>
        <v>1505.0000000000009</v>
      </c>
    </row>
    <row r="242" spans="1:11" ht="15" hidden="1">
      <c r="A242" s="137" t="str">
        <f t="shared" si="8"/>
        <v>CAPCOMBUSTIBLECAPRICHOS</v>
      </c>
      <c r="B242" t="s">
        <v>1049</v>
      </c>
      <c r="C242" s="1">
        <v>45789</v>
      </c>
      <c r="D242" t="s">
        <v>31</v>
      </c>
      <c r="E242" t="s">
        <v>32</v>
      </c>
      <c r="F242" s="158" t="s">
        <v>33</v>
      </c>
      <c r="G242" s="158"/>
      <c r="H242" t="s">
        <v>4785</v>
      </c>
      <c r="I242" s="161"/>
      <c r="J242" s="161">
        <v>1500</v>
      </c>
      <c r="K242" s="159">
        <f>K241+I242-J242</f>
        <v>5.0000000000009095</v>
      </c>
    </row>
    <row r="243" spans="1:11" ht="15" hidden="1">
      <c r="A243" s="137" t="str">
        <f t="shared" si="8"/>
        <v>SERVICIOSCOMBUSTIBLECEDIS</v>
      </c>
      <c r="B243" t="s">
        <v>1049</v>
      </c>
      <c r="C243" s="1">
        <v>45789</v>
      </c>
      <c r="D243" t="s">
        <v>21</v>
      </c>
      <c r="E243" t="s">
        <v>32</v>
      </c>
      <c r="F243" s="158" t="s">
        <v>28</v>
      </c>
      <c r="G243" s="158"/>
      <c r="H243" s="71" t="s">
        <v>28</v>
      </c>
      <c r="J243" s="81">
        <v>17500</v>
      </c>
      <c r="K243" s="69">
        <f>K242+I243-J243</f>
        <v>-17495</v>
      </c>
    </row>
    <row r="244" spans="1:11" ht="15" hidden="1">
      <c r="A244" s="137" t="str">
        <f t="shared" si="8"/>
        <v>FINANZASCOMBUSTIBLECONTABILIDAD</v>
      </c>
      <c r="B244" t="s">
        <v>1049</v>
      </c>
      <c r="C244" s="1">
        <v>45789</v>
      </c>
      <c r="D244" t="s">
        <v>23</v>
      </c>
      <c r="E244" t="s">
        <v>32</v>
      </c>
      <c r="F244" s="158" t="s">
        <v>37</v>
      </c>
      <c r="G244" s="158"/>
      <c r="H244" t="s">
        <v>4757</v>
      </c>
      <c r="J244" s="81">
        <v>900</v>
      </c>
      <c r="K244" s="69">
        <f>K243+I244-J244</f>
        <v>-18395</v>
      </c>
    </row>
    <row r="245" spans="1:11" ht="15" hidden="1">
      <c r="A245" s="137" t="str">
        <f t="shared" si="8"/>
        <v>FINANZASCOMBUSTIBLETESORERIA</v>
      </c>
      <c r="B245" t="s">
        <v>1049</v>
      </c>
      <c r="C245" s="1">
        <v>45789</v>
      </c>
      <c r="D245" t="s">
        <v>23</v>
      </c>
      <c r="E245" t="s">
        <v>32</v>
      </c>
      <c r="F245" s="158" t="s">
        <v>38</v>
      </c>
      <c r="G245" s="158"/>
      <c r="H245" s="71" t="s">
        <v>4759</v>
      </c>
      <c r="J245" s="81">
        <v>700</v>
      </c>
      <c r="K245" s="69">
        <f>K244+I245-J245</f>
        <v>-19095</v>
      </c>
    </row>
    <row r="246" spans="1:11" ht="15" hidden="1">
      <c r="A246" s="137" t="str">
        <f t="shared" si="8"/>
        <v>FINANZASCOMBUSTIBLETESORERIA</v>
      </c>
      <c r="B246" t="s">
        <v>1049</v>
      </c>
      <c r="C246" s="1">
        <v>45789</v>
      </c>
      <c r="D246" t="s">
        <v>23</v>
      </c>
      <c r="E246" t="s">
        <v>32</v>
      </c>
      <c r="F246" s="158" t="s">
        <v>38</v>
      </c>
      <c r="G246" s="158"/>
      <c r="H246" t="s">
        <v>4758</v>
      </c>
      <c r="J246" s="81">
        <v>1500</v>
      </c>
      <c r="K246" s="69">
        <f>K245+I246-J246</f>
        <v>-20595</v>
      </c>
    </row>
    <row r="247" spans="1:11" ht="15" hidden="1">
      <c r="A247" s="137" t="str">
        <f t="shared" si="8"/>
        <v>FINANZASCOMBUSTIBLEFINANZAS</v>
      </c>
      <c r="B247" t="s">
        <v>1049</v>
      </c>
      <c r="C247" s="1">
        <v>45789</v>
      </c>
      <c r="D247" t="s">
        <v>23</v>
      </c>
      <c r="E247" t="s">
        <v>32</v>
      </c>
      <c r="F247" s="158" t="s">
        <v>23</v>
      </c>
      <c r="G247" s="158"/>
      <c r="H247" t="s">
        <v>4764</v>
      </c>
      <c r="J247" s="81">
        <v>700</v>
      </c>
      <c r="K247" s="69">
        <f>K246+I247-J247</f>
        <v>-21295</v>
      </c>
    </row>
    <row r="248" spans="1:11" ht="15" hidden="1">
      <c r="A248" s="137" t="str">
        <f t="shared" si="8"/>
        <v>MMCOMBUSTIBLEMARKET MAX</v>
      </c>
      <c r="B248" t="s">
        <v>1049</v>
      </c>
      <c r="C248" s="1">
        <v>45789</v>
      </c>
      <c r="D248" t="s">
        <v>45</v>
      </c>
      <c r="E248" t="s">
        <v>32</v>
      </c>
      <c r="F248" s="158" t="s">
        <v>46</v>
      </c>
      <c r="G248" s="158"/>
      <c r="H248" t="s">
        <v>4780</v>
      </c>
      <c r="I248" s="3"/>
      <c r="J248" s="299">
        <v>700</v>
      </c>
      <c r="K248" s="69">
        <f>K247+I248-J248</f>
        <v>-21995</v>
      </c>
    </row>
    <row r="249" spans="1:11" ht="15" hidden="1">
      <c r="A249" s="137" t="str">
        <f t="shared" ref="A249:A312" si="9">D249&amp;E249&amp;F249</f>
        <v>MELCOMBUSTIBLEMELISSA</v>
      </c>
      <c r="B249" t="s">
        <v>1049</v>
      </c>
      <c r="C249" s="1">
        <v>45789</v>
      </c>
      <c r="D249" t="s">
        <v>43</v>
      </c>
      <c r="E249" t="s">
        <v>32</v>
      </c>
      <c r="F249" s="158" t="s">
        <v>44</v>
      </c>
      <c r="G249" s="158"/>
      <c r="H249" t="s">
        <v>4760</v>
      </c>
      <c r="I249" s="3"/>
      <c r="J249" s="299">
        <v>1000</v>
      </c>
      <c r="K249" s="69">
        <f>K248+I249-J249</f>
        <v>-22995</v>
      </c>
    </row>
    <row r="250" spans="1:11" ht="15" hidden="1">
      <c r="A250" s="137" t="str">
        <f t="shared" si="9"/>
        <v/>
      </c>
      <c r="B250" t="s">
        <v>1049</v>
      </c>
      <c r="C250" s="1">
        <v>45793</v>
      </c>
      <c r="F250" s="158"/>
      <c r="G250" s="158"/>
      <c r="H250" t="s">
        <v>4787</v>
      </c>
      <c r="I250" s="81">
        <v>31618.2</v>
      </c>
      <c r="K250" s="69">
        <f>K249+I250-J250</f>
        <v>8623.2000000000007</v>
      </c>
    </row>
    <row r="251" spans="1:11" ht="15" hidden="1">
      <c r="A251" s="137" t="str">
        <f t="shared" si="9"/>
        <v>CAPCOMBUSTIBLECAPRICHOS</v>
      </c>
      <c r="B251" t="s">
        <v>1049</v>
      </c>
      <c r="C251" s="1">
        <v>45796</v>
      </c>
      <c r="D251" t="s">
        <v>31</v>
      </c>
      <c r="E251" t="s">
        <v>32</v>
      </c>
      <c r="F251" s="158" t="s">
        <v>33</v>
      </c>
      <c r="G251" s="158"/>
      <c r="H251" t="s">
        <v>4784</v>
      </c>
      <c r="J251" s="81">
        <v>1300</v>
      </c>
      <c r="K251" s="69">
        <f>K250+I251-J251</f>
        <v>7323.2000000000007</v>
      </c>
    </row>
    <row r="252" spans="1:11" ht="15" hidden="1">
      <c r="A252" s="137" t="str">
        <f t="shared" si="9"/>
        <v>CAPCOMBUSTIBLECAPRICHOS</v>
      </c>
      <c r="B252" t="s">
        <v>1049</v>
      </c>
      <c r="C252" s="1">
        <v>45796</v>
      </c>
      <c r="D252" t="s">
        <v>31</v>
      </c>
      <c r="E252" t="s">
        <v>32</v>
      </c>
      <c r="F252" s="158" t="s">
        <v>33</v>
      </c>
      <c r="G252" s="158"/>
      <c r="H252" t="s">
        <v>4782</v>
      </c>
      <c r="J252" s="81">
        <v>700</v>
      </c>
      <c r="K252" s="69">
        <f>K251+I252-J252</f>
        <v>6623.2000000000007</v>
      </c>
    </row>
    <row r="253" spans="1:11" ht="15" hidden="1">
      <c r="A253" s="137" t="str">
        <f t="shared" si="9"/>
        <v>SERVICIOSCOMBUSTIBLESERVICIOS</v>
      </c>
      <c r="B253" t="s">
        <v>1049</v>
      </c>
      <c r="C253" s="1">
        <v>45796</v>
      </c>
      <c r="D253" t="s">
        <v>21</v>
      </c>
      <c r="E253" t="s">
        <v>32</v>
      </c>
      <c r="F253" s="158" t="s">
        <v>21</v>
      </c>
      <c r="G253" s="158"/>
      <c r="H253" t="s">
        <v>4756</v>
      </c>
      <c r="J253" s="81">
        <v>400</v>
      </c>
      <c r="K253" s="69">
        <f>K252+I253-J253</f>
        <v>6223.2000000000007</v>
      </c>
    </row>
    <row r="254" spans="1:11" ht="15" hidden="1">
      <c r="A254" s="137" t="str">
        <f t="shared" si="9"/>
        <v>SERVICIOSCOMBUSTIBLECEDIS</v>
      </c>
      <c r="B254" t="s">
        <v>1049</v>
      </c>
      <c r="C254" s="1">
        <v>45796</v>
      </c>
      <c r="D254" t="s">
        <v>21</v>
      </c>
      <c r="E254" t="s">
        <v>32</v>
      </c>
      <c r="F254" s="158" t="s">
        <v>28</v>
      </c>
      <c r="G254" s="158"/>
      <c r="H254" s="71" t="s">
        <v>28</v>
      </c>
      <c r="J254" s="81">
        <v>13800</v>
      </c>
      <c r="K254" s="69">
        <f>K253+I254-J254</f>
        <v>-7576.7999999999993</v>
      </c>
    </row>
    <row r="255" spans="1:11" ht="15" hidden="1">
      <c r="A255" s="137" t="str">
        <f t="shared" si="9"/>
        <v>FINANZASCOMBUSTIBLETESORERIA</v>
      </c>
      <c r="B255" t="s">
        <v>1049</v>
      </c>
      <c r="C255" s="1">
        <v>45796</v>
      </c>
      <c r="D255" t="s">
        <v>23</v>
      </c>
      <c r="E255" t="s">
        <v>32</v>
      </c>
      <c r="F255" s="158" t="s">
        <v>38</v>
      </c>
      <c r="G255" s="158"/>
      <c r="H255" s="71" t="s">
        <v>4759</v>
      </c>
      <c r="J255" s="81">
        <v>700</v>
      </c>
      <c r="K255" s="69">
        <f>K254+I255-J255</f>
        <v>-8276.7999999999993</v>
      </c>
    </row>
    <row r="256" spans="1:11" ht="15" hidden="1">
      <c r="A256" s="137" t="str">
        <f t="shared" si="9"/>
        <v>FINANZASCOMBUSTIBLETESORERIA</v>
      </c>
      <c r="B256" t="s">
        <v>1049</v>
      </c>
      <c r="C256" s="1">
        <v>45796</v>
      </c>
      <c r="D256" t="s">
        <v>23</v>
      </c>
      <c r="E256" t="s">
        <v>32</v>
      </c>
      <c r="F256" s="158" t="s">
        <v>38</v>
      </c>
      <c r="G256" s="158"/>
      <c r="H256" t="s">
        <v>4758</v>
      </c>
      <c r="J256" s="81">
        <v>2000</v>
      </c>
      <c r="K256" s="69">
        <f>K255+I256-J256</f>
        <v>-10276.799999999999</v>
      </c>
    </row>
    <row r="257" spans="1:11" ht="15" hidden="1">
      <c r="A257" s="137" t="str">
        <f t="shared" si="9"/>
        <v>MMCOMBUSTIBLEMARKET MAX</v>
      </c>
      <c r="B257" t="s">
        <v>1049</v>
      </c>
      <c r="C257" s="1">
        <v>45796</v>
      </c>
      <c r="D257" t="s">
        <v>45</v>
      </c>
      <c r="E257" t="s">
        <v>32</v>
      </c>
      <c r="F257" s="158" t="s">
        <v>46</v>
      </c>
      <c r="G257" s="158"/>
      <c r="H257" t="s">
        <v>4780</v>
      </c>
      <c r="J257" s="81">
        <v>700</v>
      </c>
      <c r="K257" s="69">
        <f>K256+I257-J257</f>
        <v>-10976.8</v>
      </c>
    </row>
    <row r="258" spans="1:11" ht="15" hidden="1">
      <c r="A258" s="137" t="str">
        <f t="shared" si="9"/>
        <v>HRCOMBUSTIBLEHR</v>
      </c>
      <c r="B258" t="s">
        <v>1049</v>
      </c>
      <c r="C258" s="1">
        <v>45803</v>
      </c>
      <c r="D258" t="s">
        <v>29</v>
      </c>
      <c r="E258" t="s">
        <v>32</v>
      </c>
      <c r="F258" s="158" t="s">
        <v>29</v>
      </c>
      <c r="G258" s="158"/>
      <c r="H258" t="s">
        <v>4769</v>
      </c>
      <c r="J258" s="81">
        <v>1600</v>
      </c>
      <c r="K258" s="69">
        <f>K257+I258-J258</f>
        <v>-12576.8</v>
      </c>
    </row>
    <row r="259" spans="1:11" ht="15" hidden="1">
      <c r="A259" s="137" t="str">
        <f t="shared" si="9"/>
        <v>HRCOMBUSTIBLEHR</v>
      </c>
      <c r="B259" t="s">
        <v>1049</v>
      </c>
      <c r="C259" s="1">
        <v>45803</v>
      </c>
      <c r="D259" t="s">
        <v>29</v>
      </c>
      <c r="E259" t="s">
        <v>32</v>
      </c>
      <c r="F259" s="158" t="s">
        <v>29</v>
      </c>
      <c r="G259" s="158"/>
      <c r="H259" t="s">
        <v>4753</v>
      </c>
      <c r="J259" s="81">
        <v>1500</v>
      </c>
      <c r="K259" s="69">
        <f>K258+I259-J259</f>
        <v>-14076.8</v>
      </c>
    </row>
    <row r="260" spans="1:11" ht="15" hidden="1">
      <c r="A260" s="137" t="str">
        <f t="shared" si="9"/>
        <v>CAPCOMBUSTIBLECAPRICHOS</v>
      </c>
      <c r="B260" t="s">
        <v>1049</v>
      </c>
      <c r="C260" s="1">
        <v>45803</v>
      </c>
      <c r="D260" t="s">
        <v>31</v>
      </c>
      <c r="E260" t="s">
        <v>32</v>
      </c>
      <c r="F260" s="158" t="s">
        <v>33</v>
      </c>
      <c r="G260" s="158"/>
      <c r="H260" t="s">
        <v>4782</v>
      </c>
      <c r="J260" s="81">
        <v>700</v>
      </c>
      <c r="K260" s="69">
        <f>K259+I260-J260</f>
        <v>-14776.8</v>
      </c>
    </row>
    <row r="261" spans="1:11" ht="15" hidden="1">
      <c r="A261" s="137" t="str">
        <f t="shared" si="9"/>
        <v>SERVICIOSCOMBUSTIBLESERVICIOS</v>
      </c>
      <c r="B261" t="s">
        <v>1049</v>
      </c>
      <c r="C261" s="1">
        <v>45803</v>
      </c>
      <c r="D261" t="s">
        <v>21</v>
      </c>
      <c r="E261" t="s">
        <v>32</v>
      </c>
      <c r="F261" s="158" t="s">
        <v>21</v>
      </c>
      <c r="G261" s="158"/>
      <c r="H261" t="s">
        <v>4756</v>
      </c>
      <c r="J261" s="81">
        <v>1400</v>
      </c>
      <c r="K261" s="69">
        <f>K260+I261-J261</f>
        <v>-16176.8</v>
      </c>
    </row>
    <row r="262" spans="1:11" ht="15" hidden="1">
      <c r="A262" s="137" t="str">
        <f t="shared" si="9"/>
        <v>SERVICIOSCOMBUSTIBLECEDIS</v>
      </c>
      <c r="B262" t="s">
        <v>1049</v>
      </c>
      <c r="C262" s="1">
        <v>45803</v>
      </c>
      <c r="D262" t="s">
        <v>21</v>
      </c>
      <c r="E262" t="s">
        <v>32</v>
      </c>
      <c r="F262" s="158" t="s">
        <v>28</v>
      </c>
      <c r="G262" s="158"/>
      <c r="H262" s="71" t="s">
        <v>28</v>
      </c>
      <c r="J262" s="81">
        <v>17500</v>
      </c>
      <c r="K262" s="69">
        <f>K261+I262-J262</f>
        <v>-33676.800000000003</v>
      </c>
    </row>
    <row r="263" spans="1:11" ht="15" hidden="1">
      <c r="A263" s="137" t="str">
        <f t="shared" si="9"/>
        <v>FINANZASCOMBUSTIBLETESORERIA</v>
      </c>
      <c r="B263" t="s">
        <v>1049</v>
      </c>
      <c r="C263" s="1">
        <v>45803</v>
      </c>
      <c r="D263" t="s">
        <v>23</v>
      </c>
      <c r="E263" t="s">
        <v>32</v>
      </c>
      <c r="F263" s="158" t="s">
        <v>38</v>
      </c>
      <c r="G263" s="158"/>
      <c r="H263" s="71" t="s">
        <v>4759</v>
      </c>
      <c r="J263" s="81">
        <v>700</v>
      </c>
      <c r="K263" s="69">
        <f>K262+I263-J263</f>
        <v>-34376.800000000003</v>
      </c>
    </row>
    <row r="264" spans="1:11" ht="15" hidden="1">
      <c r="A264" s="137" t="str">
        <f t="shared" si="9"/>
        <v>FINANZASCOMBUSTIBLETESORERIA</v>
      </c>
      <c r="B264" t="s">
        <v>1049</v>
      </c>
      <c r="C264" s="1">
        <v>45803</v>
      </c>
      <c r="D264" t="s">
        <v>23</v>
      </c>
      <c r="E264" t="s">
        <v>32</v>
      </c>
      <c r="F264" s="158" t="s">
        <v>38</v>
      </c>
      <c r="G264" s="158"/>
      <c r="H264" t="s">
        <v>4758</v>
      </c>
      <c r="J264" s="81">
        <v>2000</v>
      </c>
      <c r="K264" s="69">
        <f>K263+I264-J264</f>
        <v>-36376.800000000003</v>
      </c>
    </row>
    <row r="265" spans="1:11" ht="15" hidden="1">
      <c r="A265" s="137" t="str">
        <f t="shared" si="9"/>
        <v>FINANZASCOMBUSTIBLEFINANZAS</v>
      </c>
      <c r="B265" t="s">
        <v>1049</v>
      </c>
      <c r="C265" s="1">
        <v>45803</v>
      </c>
      <c r="D265" t="s">
        <v>23</v>
      </c>
      <c r="E265" t="s">
        <v>32</v>
      </c>
      <c r="F265" s="158" t="s">
        <v>23</v>
      </c>
      <c r="G265" s="158"/>
      <c r="H265" t="s">
        <v>4764</v>
      </c>
      <c r="J265" s="81">
        <v>700</v>
      </c>
      <c r="K265" s="69">
        <f>K264+I265-J265</f>
        <v>-37076.800000000003</v>
      </c>
    </row>
    <row r="266" spans="1:11" ht="15" hidden="1">
      <c r="A266" s="137" t="str">
        <f t="shared" si="9"/>
        <v>DECOMBUSTIBLEDIRECCION</v>
      </c>
      <c r="B266" t="s">
        <v>1049</v>
      </c>
      <c r="C266" s="1">
        <v>45803</v>
      </c>
      <c r="D266" t="s">
        <v>41</v>
      </c>
      <c r="E266" t="s">
        <v>32</v>
      </c>
      <c r="F266" s="158" t="s">
        <v>42</v>
      </c>
      <c r="G266" s="158"/>
      <c r="H266" t="s">
        <v>4765</v>
      </c>
      <c r="J266" s="81">
        <v>1000</v>
      </c>
      <c r="K266" s="69">
        <f>K265+I266-J266</f>
        <v>-38076.800000000003</v>
      </c>
    </row>
    <row r="267" spans="1:11" ht="15" hidden="1">
      <c r="A267" s="137" t="str">
        <f t="shared" si="9"/>
        <v>MMCOMBUSTIBLEMARKET MAX</v>
      </c>
      <c r="B267" t="s">
        <v>1049</v>
      </c>
      <c r="C267" s="1">
        <v>45803</v>
      </c>
      <c r="D267" t="s">
        <v>45</v>
      </c>
      <c r="E267" t="s">
        <v>32</v>
      </c>
      <c r="F267" s="158" t="s">
        <v>46</v>
      </c>
      <c r="G267" s="158"/>
      <c r="H267" t="s">
        <v>4780</v>
      </c>
      <c r="J267" s="81">
        <v>700</v>
      </c>
      <c r="K267" s="69">
        <f>K266+I267-J267</f>
        <v>-38776.800000000003</v>
      </c>
    </row>
    <row r="268" spans="1:11" ht="15" hidden="1">
      <c r="A268" s="137" t="str">
        <f t="shared" si="9"/>
        <v>MELCOMBUSTIBLEMELISSA</v>
      </c>
      <c r="B268" t="s">
        <v>1049</v>
      </c>
      <c r="C268" s="1">
        <v>45803</v>
      </c>
      <c r="D268" t="s">
        <v>43</v>
      </c>
      <c r="E268" t="s">
        <v>32</v>
      </c>
      <c r="F268" s="158" t="s">
        <v>44</v>
      </c>
      <c r="G268" s="158"/>
      <c r="H268" t="s">
        <v>4760</v>
      </c>
      <c r="J268" s="81">
        <v>1000</v>
      </c>
      <c r="K268" s="69">
        <f>K267+I268-J268</f>
        <v>-39776.800000000003</v>
      </c>
    </row>
    <row r="269" spans="1:11" ht="15" hidden="1">
      <c r="A269" s="137" t="str">
        <f t="shared" si="9"/>
        <v>HRCOMBUSTIBLEHR</v>
      </c>
      <c r="B269" t="s">
        <v>1049</v>
      </c>
      <c r="C269" s="1">
        <v>45803</v>
      </c>
      <c r="D269" t="s">
        <v>29</v>
      </c>
      <c r="E269" t="s">
        <v>32</v>
      </c>
      <c r="F269" s="158" t="s">
        <v>29</v>
      </c>
      <c r="G269" s="158"/>
      <c r="H269" t="s">
        <v>4766</v>
      </c>
      <c r="J269" s="81">
        <v>300</v>
      </c>
      <c r="K269" s="69">
        <f>K268+I269-J269</f>
        <v>-40076.800000000003</v>
      </c>
    </row>
    <row r="270" spans="1:11" ht="15" hidden="1">
      <c r="A270" s="137" t="str">
        <f t="shared" si="9"/>
        <v>HRCOMBUSTIBLEHR</v>
      </c>
      <c r="B270" t="s">
        <v>1277</v>
      </c>
      <c r="C270" s="1">
        <v>45810</v>
      </c>
      <c r="D270" t="s">
        <v>29</v>
      </c>
      <c r="E270" t="s">
        <v>32</v>
      </c>
      <c r="F270" s="158" t="s">
        <v>29</v>
      </c>
      <c r="G270" s="158"/>
      <c r="H270" s="193" t="s">
        <v>4775</v>
      </c>
      <c r="J270" s="81">
        <v>1000</v>
      </c>
      <c r="K270" s="69">
        <f>K269+I270-J270</f>
        <v>-41076.800000000003</v>
      </c>
    </row>
    <row r="271" spans="1:11" ht="15" hidden="1">
      <c r="A271" s="137" t="str">
        <f t="shared" si="9"/>
        <v>HRCOMBUSTIBLEHR</v>
      </c>
      <c r="B271" t="s">
        <v>1277</v>
      </c>
      <c r="C271" s="1">
        <v>45810</v>
      </c>
      <c r="D271" t="s">
        <v>29</v>
      </c>
      <c r="E271" t="s">
        <v>32</v>
      </c>
      <c r="F271" s="158" t="s">
        <v>29</v>
      </c>
      <c r="G271" s="158"/>
      <c r="H271" t="s">
        <v>4769</v>
      </c>
      <c r="J271" s="81">
        <v>1200</v>
      </c>
      <c r="K271" s="69">
        <f>K270+I271-J271</f>
        <v>-42276.800000000003</v>
      </c>
    </row>
    <row r="272" spans="1:11" ht="15" hidden="1">
      <c r="A272" s="137" t="str">
        <f t="shared" si="9"/>
        <v>HRCOMBUSTIBLEHR</v>
      </c>
      <c r="B272" t="s">
        <v>1277</v>
      </c>
      <c r="C272" s="1">
        <v>45810</v>
      </c>
      <c r="D272" t="s">
        <v>29</v>
      </c>
      <c r="E272" t="s">
        <v>32</v>
      </c>
      <c r="F272" s="158" t="s">
        <v>29</v>
      </c>
      <c r="G272" s="158"/>
      <c r="H272" t="s">
        <v>4753</v>
      </c>
      <c r="J272" s="81">
        <v>1100</v>
      </c>
      <c r="K272" s="69">
        <f>K271+I272-J272</f>
        <v>-43376.800000000003</v>
      </c>
    </row>
    <row r="273" spans="1:11" ht="15" hidden="1">
      <c r="A273" s="137" t="str">
        <f t="shared" si="9"/>
        <v>CAPCOMBUSTIBLECAPRICHOS</v>
      </c>
      <c r="B273" t="s">
        <v>1277</v>
      </c>
      <c r="C273" s="1">
        <v>45810</v>
      </c>
      <c r="D273" t="s">
        <v>31</v>
      </c>
      <c r="E273" t="s">
        <v>32</v>
      </c>
      <c r="F273" s="158" t="s">
        <v>33</v>
      </c>
      <c r="G273" s="158"/>
      <c r="H273" t="s">
        <v>4784</v>
      </c>
      <c r="J273" s="81">
        <v>1300</v>
      </c>
      <c r="K273" s="69">
        <f>K272+I273-J273</f>
        <v>-44676.800000000003</v>
      </c>
    </row>
    <row r="274" spans="1:11" ht="15" hidden="1">
      <c r="A274" s="137" t="str">
        <f t="shared" si="9"/>
        <v>CAPCOMBUSTIBLECAPRICHOS</v>
      </c>
      <c r="B274" t="s">
        <v>1277</v>
      </c>
      <c r="C274" s="1">
        <v>45810</v>
      </c>
      <c r="D274" t="s">
        <v>31</v>
      </c>
      <c r="E274" t="s">
        <v>32</v>
      </c>
      <c r="F274" s="158" t="s">
        <v>33</v>
      </c>
      <c r="G274" s="158"/>
      <c r="H274" t="s">
        <v>4782</v>
      </c>
      <c r="J274" s="81">
        <v>700</v>
      </c>
      <c r="K274" s="69">
        <f>K273+I274-J274</f>
        <v>-45376.800000000003</v>
      </c>
    </row>
    <row r="275" spans="1:11" ht="15" hidden="1">
      <c r="A275" s="137" t="str">
        <f t="shared" si="9"/>
        <v>SERVICIOSCOMBUSTIBLESERVICIOS</v>
      </c>
      <c r="B275" t="s">
        <v>1277</v>
      </c>
      <c r="C275" s="1">
        <v>45810</v>
      </c>
      <c r="D275" t="s">
        <v>21</v>
      </c>
      <c r="E275" t="s">
        <v>32</v>
      </c>
      <c r="F275" s="158" t="s">
        <v>21</v>
      </c>
      <c r="G275" s="158"/>
      <c r="H275" t="s">
        <v>4756</v>
      </c>
      <c r="J275" s="81">
        <v>1900</v>
      </c>
      <c r="K275" s="69">
        <f>K274+I275-J275</f>
        <v>-47276.800000000003</v>
      </c>
    </row>
    <row r="276" spans="1:11" ht="15" hidden="1">
      <c r="A276" s="137" t="str">
        <f t="shared" si="9"/>
        <v>SERVICIOSCOMBUSTIBLECEDIS</v>
      </c>
      <c r="B276" t="s">
        <v>1277</v>
      </c>
      <c r="C276" s="1">
        <v>45810</v>
      </c>
      <c r="D276" t="s">
        <v>21</v>
      </c>
      <c r="E276" t="s">
        <v>32</v>
      </c>
      <c r="F276" s="158" t="s">
        <v>28</v>
      </c>
      <c r="G276" s="158"/>
      <c r="H276" s="71" t="s">
        <v>28</v>
      </c>
      <c r="J276" s="81">
        <v>13700</v>
      </c>
      <c r="K276" s="69">
        <f>K275+I276-J276</f>
        <v>-60976.800000000003</v>
      </c>
    </row>
    <row r="277" spans="1:11" ht="15" hidden="1">
      <c r="A277" s="137" t="str">
        <f t="shared" si="9"/>
        <v>SERVICIOSCOMBUSTIBLEMANTENIMIENTO</v>
      </c>
      <c r="B277" t="s">
        <v>1277</v>
      </c>
      <c r="C277" s="1">
        <v>45810</v>
      </c>
      <c r="D277" t="s">
        <v>21</v>
      </c>
      <c r="E277" t="s">
        <v>32</v>
      </c>
      <c r="F277" s="158" t="s">
        <v>35</v>
      </c>
      <c r="G277" s="158"/>
      <c r="H277" t="s">
        <v>4762</v>
      </c>
      <c r="J277" s="81">
        <v>500</v>
      </c>
      <c r="K277" s="69">
        <f>K276+I277-J277</f>
        <v>-61476.800000000003</v>
      </c>
    </row>
    <row r="278" spans="1:11" ht="15" hidden="1">
      <c r="A278" s="137" t="str">
        <f t="shared" si="9"/>
        <v>FINANZASCOMBUSTIBLETESORERIA</v>
      </c>
      <c r="B278" t="s">
        <v>1277</v>
      </c>
      <c r="C278" s="1">
        <v>45810</v>
      </c>
      <c r="D278" t="s">
        <v>23</v>
      </c>
      <c r="E278" t="s">
        <v>32</v>
      </c>
      <c r="F278" s="158" t="s">
        <v>38</v>
      </c>
      <c r="G278" s="158"/>
      <c r="H278" s="71" t="s">
        <v>4759</v>
      </c>
      <c r="J278" s="81">
        <v>700</v>
      </c>
      <c r="K278" s="69">
        <f>K277+I278-J278</f>
        <v>-62176.800000000003</v>
      </c>
    </row>
    <row r="279" spans="1:11" ht="15" hidden="1">
      <c r="A279" s="137" t="str">
        <f t="shared" si="9"/>
        <v>FINANZASCOMBUSTIBLETESORERIA</v>
      </c>
      <c r="B279" t="s">
        <v>1277</v>
      </c>
      <c r="C279" s="1">
        <v>45810</v>
      </c>
      <c r="D279" t="s">
        <v>23</v>
      </c>
      <c r="E279" t="s">
        <v>32</v>
      </c>
      <c r="F279" s="158" t="s">
        <v>38</v>
      </c>
      <c r="G279" s="158"/>
      <c r="H279" t="s">
        <v>4758</v>
      </c>
      <c r="J279" s="81">
        <v>2000</v>
      </c>
      <c r="K279" s="69">
        <f>K278+I279-J279</f>
        <v>-64176.800000000003</v>
      </c>
    </row>
    <row r="280" spans="1:11" ht="15" hidden="1">
      <c r="A280" s="137" t="str">
        <f t="shared" si="9"/>
        <v>FINANZASCOMBUSTIBLEFINANZAS</v>
      </c>
      <c r="B280" t="s">
        <v>1277</v>
      </c>
      <c r="C280" s="1">
        <v>45810</v>
      </c>
      <c r="D280" t="s">
        <v>23</v>
      </c>
      <c r="E280" t="s">
        <v>32</v>
      </c>
      <c r="F280" s="158" t="s">
        <v>23</v>
      </c>
      <c r="G280" s="158"/>
      <c r="H280" t="s">
        <v>4764</v>
      </c>
      <c r="J280" s="81">
        <v>700</v>
      </c>
      <c r="K280" s="69">
        <f>K279+I280-J280</f>
        <v>-64876.800000000003</v>
      </c>
    </row>
    <row r="281" spans="1:11" ht="15" hidden="1">
      <c r="A281" s="137" t="str">
        <f t="shared" si="9"/>
        <v>DECOMBUSTIBLEDIRECCION</v>
      </c>
      <c r="B281" t="s">
        <v>1277</v>
      </c>
      <c r="C281" s="1">
        <v>45810</v>
      </c>
      <c r="D281" t="s">
        <v>41</v>
      </c>
      <c r="E281" t="s">
        <v>32</v>
      </c>
      <c r="F281" s="158" t="s">
        <v>42</v>
      </c>
      <c r="G281" s="158"/>
      <c r="H281" t="s">
        <v>4765</v>
      </c>
      <c r="J281" s="81">
        <v>1000</v>
      </c>
      <c r="K281" s="69">
        <f>K280+I281-J281</f>
        <v>-65876.800000000003</v>
      </c>
    </row>
    <row r="282" spans="1:11" ht="15" hidden="1">
      <c r="A282" s="137" t="str">
        <f t="shared" si="9"/>
        <v>MMCOMBUSTIBLEMARKET MAX</v>
      </c>
      <c r="B282" t="s">
        <v>1277</v>
      </c>
      <c r="C282" s="1">
        <v>45810</v>
      </c>
      <c r="D282" t="s">
        <v>45</v>
      </c>
      <c r="E282" t="s">
        <v>32</v>
      </c>
      <c r="F282" s="158" t="s">
        <v>46</v>
      </c>
      <c r="G282" s="158"/>
      <c r="H282" t="s">
        <v>4780</v>
      </c>
      <c r="J282" s="81">
        <v>700</v>
      </c>
      <c r="K282" s="69">
        <f>K281+I282-J282</f>
        <v>-66576.800000000003</v>
      </c>
    </row>
    <row r="283" spans="1:11" ht="15" hidden="1">
      <c r="A283" s="137" t="str">
        <f t="shared" si="9"/>
        <v>MELCOMBUSTIBLEMELISSA</v>
      </c>
      <c r="B283" t="s">
        <v>1277</v>
      </c>
      <c r="C283" s="1">
        <v>45810</v>
      </c>
      <c r="D283" t="s">
        <v>43</v>
      </c>
      <c r="E283" t="s">
        <v>32</v>
      </c>
      <c r="F283" s="158" t="s">
        <v>44</v>
      </c>
      <c r="G283" s="158"/>
      <c r="H283" t="s">
        <v>4760</v>
      </c>
      <c r="J283" s="81">
        <v>1000</v>
      </c>
      <c r="K283" s="69">
        <f>K282+I283-J283</f>
        <v>-67576.800000000003</v>
      </c>
    </row>
    <row r="284" spans="1:11" ht="15" hidden="1">
      <c r="A284" s="137" t="str">
        <f t="shared" si="9"/>
        <v>HRCOMBUSTIBLEHR</v>
      </c>
      <c r="B284" t="s">
        <v>1277</v>
      </c>
      <c r="C284" s="1">
        <v>45817</v>
      </c>
      <c r="D284" t="s">
        <v>29</v>
      </c>
      <c r="E284" t="s">
        <v>32</v>
      </c>
      <c r="F284" s="158" t="s">
        <v>29</v>
      </c>
      <c r="G284" s="158"/>
      <c r="H284" s="193" t="s">
        <v>4775</v>
      </c>
      <c r="J284" s="81">
        <v>1000</v>
      </c>
      <c r="K284" s="69">
        <f>K283+I284-J284</f>
        <v>-68576.800000000003</v>
      </c>
    </row>
    <row r="285" spans="1:11" ht="15" hidden="1">
      <c r="A285" s="137" t="str">
        <f t="shared" si="9"/>
        <v>HRCOMBUSTIBLEHR</v>
      </c>
      <c r="B285" t="s">
        <v>1277</v>
      </c>
      <c r="C285" s="1">
        <v>45817</v>
      </c>
      <c r="D285" t="s">
        <v>29</v>
      </c>
      <c r="E285" t="s">
        <v>32</v>
      </c>
      <c r="F285" s="158" t="s">
        <v>29</v>
      </c>
      <c r="G285" s="158"/>
      <c r="H285" t="s">
        <v>4769</v>
      </c>
      <c r="J285" s="81">
        <v>1200</v>
      </c>
      <c r="K285" s="69">
        <f>K284+I285-J285</f>
        <v>-69776.800000000003</v>
      </c>
    </row>
    <row r="286" spans="1:11" ht="15" hidden="1">
      <c r="A286" s="137" t="str">
        <f t="shared" si="9"/>
        <v>HRCOMBUSTIBLEHR</v>
      </c>
      <c r="B286" t="s">
        <v>1277</v>
      </c>
      <c r="C286" s="1">
        <v>45817</v>
      </c>
      <c r="D286" t="s">
        <v>29</v>
      </c>
      <c r="E286" t="s">
        <v>32</v>
      </c>
      <c r="F286" s="158" t="s">
        <v>29</v>
      </c>
      <c r="G286" s="158"/>
      <c r="H286" t="s">
        <v>4753</v>
      </c>
      <c r="J286" s="81">
        <v>1700</v>
      </c>
      <c r="K286" s="69">
        <f>K285+I286-J286</f>
        <v>-71476.800000000003</v>
      </c>
    </row>
    <row r="287" spans="1:11" ht="15" hidden="1">
      <c r="A287" s="137" t="str">
        <f t="shared" si="9"/>
        <v>CAPCOMBUSTIBLECAPRICHOS</v>
      </c>
      <c r="B287" t="s">
        <v>1277</v>
      </c>
      <c r="C287" s="1">
        <v>45817</v>
      </c>
      <c r="D287" t="s">
        <v>31</v>
      </c>
      <c r="E287" t="s">
        <v>32</v>
      </c>
      <c r="F287" s="158" t="s">
        <v>33</v>
      </c>
      <c r="G287" s="158"/>
      <c r="H287" t="s">
        <v>4784</v>
      </c>
      <c r="J287" s="81">
        <v>1300</v>
      </c>
      <c r="K287" s="69">
        <f>K286+I287-J287</f>
        <v>-72776.800000000003</v>
      </c>
    </row>
    <row r="288" spans="1:11" ht="15" hidden="1">
      <c r="A288" s="137" t="str">
        <f t="shared" si="9"/>
        <v>CAPCOMBUSTIBLECAPRICHOS</v>
      </c>
      <c r="B288" t="s">
        <v>1277</v>
      </c>
      <c r="C288" s="1">
        <v>45817</v>
      </c>
      <c r="D288" t="s">
        <v>31</v>
      </c>
      <c r="E288" t="s">
        <v>32</v>
      </c>
      <c r="F288" s="158" t="s">
        <v>33</v>
      </c>
      <c r="G288" s="158"/>
      <c r="H288" t="s">
        <v>4782</v>
      </c>
      <c r="J288" s="81">
        <v>1000</v>
      </c>
      <c r="K288" s="69">
        <f>K287+I288-J288</f>
        <v>-73776.800000000003</v>
      </c>
    </row>
    <row r="289" spans="1:11" ht="15" hidden="1">
      <c r="A289" s="137" t="str">
        <f t="shared" si="9"/>
        <v>CAPCOMBUSTIBLECAPRICHOS</v>
      </c>
      <c r="B289" t="s">
        <v>1277</v>
      </c>
      <c r="C289" s="1">
        <v>45817</v>
      </c>
      <c r="D289" t="s">
        <v>31</v>
      </c>
      <c r="E289" t="s">
        <v>32</v>
      </c>
      <c r="F289" s="3" t="s">
        <v>33</v>
      </c>
      <c r="G289" s="158"/>
      <c r="H289" t="s">
        <v>4785</v>
      </c>
      <c r="J289" s="81">
        <v>1500</v>
      </c>
      <c r="K289" s="69">
        <f>K288+I289-J289</f>
        <v>-75276.800000000003</v>
      </c>
    </row>
    <row r="290" spans="1:11" ht="15" hidden="1">
      <c r="A290" s="137" t="str">
        <f t="shared" si="9"/>
        <v>SERVICIOSCOMBUSTIBLESERVICIOS</v>
      </c>
      <c r="B290" t="s">
        <v>1277</v>
      </c>
      <c r="C290" s="1">
        <v>45817</v>
      </c>
      <c r="D290" t="s">
        <v>21</v>
      </c>
      <c r="E290" t="s">
        <v>32</v>
      </c>
      <c r="F290" s="3" t="s">
        <v>21</v>
      </c>
      <c r="G290" s="158"/>
      <c r="H290" t="s">
        <v>4756</v>
      </c>
      <c r="J290" s="81">
        <v>400</v>
      </c>
      <c r="K290" s="69">
        <f>K289+I290-J290</f>
        <v>-75676.800000000003</v>
      </c>
    </row>
    <row r="291" spans="1:11" ht="15" hidden="1">
      <c r="A291" s="137" t="str">
        <f t="shared" si="9"/>
        <v>SERVICIOSCOMBUSTIBLECEDIS</v>
      </c>
      <c r="B291" t="s">
        <v>1277</v>
      </c>
      <c r="C291" s="1">
        <v>45817</v>
      </c>
      <c r="D291" t="s">
        <v>21</v>
      </c>
      <c r="E291" t="s">
        <v>32</v>
      </c>
      <c r="F291" s="3" t="s">
        <v>28</v>
      </c>
      <c r="G291" s="158"/>
      <c r="H291" s="71" t="s">
        <v>28</v>
      </c>
      <c r="J291" s="81">
        <v>17500</v>
      </c>
      <c r="K291" s="69">
        <f>K290+I291-J291</f>
        <v>-93176.8</v>
      </c>
    </row>
    <row r="292" spans="1:11" ht="15" hidden="1">
      <c r="A292" s="137" t="str">
        <f t="shared" si="9"/>
        <v>SERVICIOSCOMBUSTIBLEMANTENIMIENTO</v>
      </c>
      <c r="B292" t="s">
        <v>1277</v>
      </c>
      <c r="C292" s="1">
        <v>45817</v>
      </c>
      <c r="D292" t="s">
        <v>21</v>
      </c>
      <c r="E292" t="s">
        <v>32</v>
      </c>
      <c r="F292" s="3" t="s">
        <v>35</v>
      </c>
      <c r="G292" s="158"/>
      <c r="H292" t="s">
        <v>4762</v>
      </c>
      <c r="J292" s="81">
        <v>500</v>
      </c>
      <c r="K292" s="69">
        <f>K291+I292-J292</f>
        <v>-93676.800000000003</v>
      </c>
    </row>
    <row r="293" spans="1:11" ht="15" hidden="1">
      <c r="A293" s="137" t="str">
        <f t="shared" si="9"/>
        <v>FINANZASCOMBUSTIBLETESORERIA</v>
      </c>
      <c r="B293" t="s">
        <v>1277</v>
      </c>
      <c r="C293" s="1">
        <v>45817</v>
      </c>
      <c r="D293" t="s">
        <v>23</v>
      </c>
      <c r="E293" t="s">
        <v>32</v>
      </c>
      <c r="F293" s="3" t="s">
        <v>38</v>
      </c>
      <c r="G293" s="158"/>
      <c r="H293" s="71" t="s">
        <v>4759</v>
      </c>
      <c r="J293" s="81">
        <v>700</v>
      </c>
      <c r="K293" s="69">
        <f>K292+I293-J293</f>
        <v>-94376.8</v>
      </c>
    </row>
    <row r="294" spans="1:11" ht="15" hidden="1">
      <c r="A294" s="137" t="str">
        <f t="shared" si="9"/>
        <v>FINANZASCOMBUSTIBLETESORERIA</v>
      </c>
      <c r="B294" t="s">
        <v>1277</v>
      </c>
      <c r="C294" s="1">
        <v>45817</v>
      </c>
      <c r="D294" t="s">
        <v>23</v>
      </c>
      <c r="E294" t="s">
        <v>32</v>
      </c>
      <c r="F294" s="3" t="s">
        <v>38</v>
      </c>
      <c r="G294" s="158"/>
      <c r="H294" t="s">
        <v>4758</v>
      </c>
      <c r="J294" s="81">
        <v>2000</v>
      </c>
      <c r="K294" s="69">
        <f>K293+I294-J294</f>
        <v>-96376.8</v>
      </c>
    </row>
    <row r="295" spans="1:11" ht="15" hidden="1">
      <c r="A295" s="137" t="str">
        <f t="shared" si="9"/>
        <v>FINANZASCOMBUSTIBLEFINANZAS</v>
      </c>
      <c r="B295" t="s">
        <v>1277</v>
      </c>
      <c r="C295" s="1">
        <v>45817</v>
      </c>
      <c r="D295" t="s">
        <v>23</v>
      </c>
      <c r="E295" t="s">
        <v>32</v>
      </c>
      <c r="F295" s="3" t="s">
        <v>23</v>
      </c>
      <c r="G295" s="158"/>
      <c r="H295" t="s">
        <v>4764</v>
      </c>
      <c r="J295" s="81">
        <v>700</v>
      </c>
      <c r="K295" s="69">
        <f>K294+I295-J295</f>
        <v>-97076.800000000003</v>
      </c>
    </row>
    <row r="296" spans="1:11" ht="15" hidden="1">
      <c r="A296" s="137" t="str">
        <f t="shared" si="9"/>
        <v>DECOMBUSTIBLEDIRECCION</v>
      </c>
      <c r="B296" t="s">
        <v>1277</v>
      </c>
      <c r="C296" s="1">
        <v>45817</v>
      </c>
      <c r="D296" t="s">
        <v>41</v>
      </c>
      <c r="E296" t="s">
        <v>32</v>
      </c>
      <c r="F296" s="3" t="s">
        <v>42</v>
      </c>
      <c r="G296" s="158"/>
      <c r="H296" t="s">
        <v>4765</v>
      </c>
      <c r="J296" s="81">
        <v>1000</v>
      </c>
      <c r="K296" s="69">
        <f>K295+I296-J296</f>
        <v>-98076.800000000003</v>
      </c>
    </row>
    <row r="297" spans="1:11" ht="15" hidden="1">
      <c r="A297" s="137" t="str">
        <f t="shared" si="9"/>
        <v>SGECOMBUSTIBLEGESTION EMPRESARIAL</v>
      </c>
      <c r="B297" t="s">
        <v>1277</v>
      </c>
      <c r="C297" s="1">
        <v>45817</v>
      </c>
      <c r="D297" t="s">
        <v>39</v>
      </c>
      <c r="E297" t="s">
        <v>32</v>
      </c>
      <c r="F297" s="3" t="s">
        <v>40</v>
      </c>
      <c r="G297" s="158"/>
      <c r="H297" t="s">
        <v>40</v>
      </c>
      <c r="J297" s="81">
        <v>800</v>
      </c>
      <c r="K297" s="69">
        <f>K296+I297-J297</f>
        <v>-98876.800000000003</v>
      </c>
    </row>
    <row r="298" spans="1:11" ht="15" hidden="1">
      <c r="A298" s="137" t="str">
        <f t="shared" si="9"/>
        <v>MMCOMBUSTIBLEMARKET MAX</v>
      </c>
      <c r="B298" t="s">
        <v>1277</v>
      </c>
      <c r="C298" s="1">
        <v>45817</v>
      </c>
      <c r="D298" t="s">
        <v>45</v>
      </c>
      <c r="E298" t="s">
        <v>32</v>
      </c>
      <c r="F298" s="3" t="s">
        <v>46</v>
      </c>
      <c r="G298" s="158"/>
      <c r="H298" t="s">
        <v>4780</v>
      </c>
      <c r="J298" s="81">
        <v>700</v>
      </c>
      <c r="K298" s="69">
        <f>K297+I298-J298</f>
        <v>-99576.8</v>
      </c>
    </row>
    <row r="299" spans="1:11" ht="15" hidden="1">
      <c r="A299" s="137" t="str">
        <f t="shared" si="9"/>
        <v>MELCOMBUSTIBLEMELISSA</v>
      </c>
      <c r="B299" t="s">
        <v>1277</v>
      </c>
      <c r="C299" s="1">
        <v>45817</v>
      </c>
      <c r="D299" t="s">
        <v>43</v>
      </c>
      <c r="E299" t="s">
        <v>32</v>
      </c>
      <c r="F299" s="3" t="s">
        <v>44</v>
      </c>
      <c r="G299" s="158"/>
      <c r="H299" t="s">
        <v>4760</v>
      </c>
      <c r="J299" s="81">
        <v>1000</v>
      </c>
      <c r="K299" s="69">
        <f>K298+I299-J299</f>
        <v>-100576.8</v>
      </c>
    </row>
    <row r="300" spans="1:11" ht="15" hidden="1">
      <c r="A300" s="137" t="str">
        <f t="shared" si="9"/>
        <v>SERVICIOSCOMBUSTIBLEINVENTARIOS</v>
      </c>
      <c r="B300" t="s">
        <v>1277</v>
      </c>
      <c r="C300" s="1">
        <v>45817</v>
      </c>
      <c r="D300" t="s">
        <v>21</v>
      </c>
      <c r="E300" t="s">
        <v>32</v>
      </c>
      <c r="F300" s="3" t="s">
        <v>34</v>
      </c>
      <c r="G300" s="158"/>
      <c r="H300" t="s">
        <v>4786</v>
      </c>
      <c r="J300" s="81">
        <v>500</v>
      </c>
      <c r="K300" s="69">
        <f>K299+I300-J300</f>
        <v>-101076.8</v>
      </c>
    </row>
    <row r="301" spans="1:11" ht="15" hidden="1">
      <c r="A301" s="137" t="str">
        <f t="shared" si="9"/>
        <v>HRCOMBUSTIBLEHR</v>
      </c>
      <c r="B301" t="s">
        <v>1277</v>
      </c>
      <c r="C301" s="1">
        <v>45824</v>
      </c>
      <c r="D301" t="s">
        <v>29</v>
      </c>
      <c r="E301" t="s">
        <v>32</v>
      </c>
      <c r="F301" s="3" t="s">
        <v>29</v>
      </c>
      <c r="G301" s="158"/>
      <c r="H301" s="193" t="s">
        <v>4775</v>
      </c>
      <c r="J301" s="81">
        <v>1000</v>
      </c>
      <c r="K301" s="69">
        <f>K300+I301-J301</f>
        <v>-102076.8</v>
      </c>
    </row>
    <row r="302" spans="1:11" hidden="1">
      <c r="A302" s="137" t="str">
        <f t="shared" si="9"/>
        <v>HRCOMBUSTIBLEHR</v>
      </c>
      <c r="B302" t="s">
        <v>1277</v>
      </c>
      <c r="C302" s="1">
        <f t="shared" ref="C302:C315" si="10">C301</f>
        <v>45824</v>
      </c>
      <c r="D302" t="s">
        <v>29</v>
      </c>
      <c r="E302" t="s">
        <v>32</v>
      </c>
      <c r="F302" s="3" t="s">
        <v>29</v>
      </c>
      <c r="G302" s="158"/>
      <c r="H302" t="s">
        <v>4769</v>
      </c>
      <c r="J302" s="81">
        <v>1800</v>
      </c>
      <c r="K302" s="69">
        <f>K301+I302-J302</f>
        <v>-103876.8</v>
      </c>
    </row>
    <row r="303" spans="1:11" hidden="1">
      <c r="A303" s="137" t="str">
        <f t="shared" si="9"/>
        <v>HRCOMBUSTIBLEHR</v>
      </c>
      <c r="B303" t="s">
        <v>1277</v>
      </c>
      <c r="C303" s="1">
        <f t="shared" si="10"/>
        <v>45824</v>
      </c>
      <c r="D303" t="s">
        <v>29</v>
      </c>
      <c r="E303" t="s">
        <v>32</v>
      </c>
      <c r="F303" s="3" t="s">
        <v>29</v>
      </c>
      <c r="G303" s="158"/>
      <c r="H303" t="s">
        <v>4753</v>
      </c>
      <c r="J303" s="81">
        <v>1350</v>
      </c>
      <c r="K303" s="69">
        <f>K302+I303-J303</f>
        <v>-105226.8</v>
      </c>
    </row>
    <row r="304" spans="1:11" hidden="1">
      <c r="A304" s="137" t="str">
        <f t="shared" si="9"/>
        <v>CAPCOMBUSTIBLECAPRICHOS</v>
      </c>
      <c r="B304" t="s">
        <v>1277</v>
      </c>
      <c r="C304" s="1">
        <f t="shared" si="10"/>
        <v>45824</v>
      </c>
      <c r="D304" t="s">
        <v>31</v>
      </c>
      <c r="E304" t="s">
        <v>32</v>
      </c>
      <c r="F304" s="3" t="s">
        <v>33</v>
      </c>
      <c r="G304" s="158"/>
      <c r="H304" t="s">
        <v>4784</v>
      </c>
      <c r="J304" s="81">
        <v>1300</v>
      </c>
      <c r="K304" s="69">
        <f>K303+I304-J304</f>
        <v>-106526.8</v>
      </c>
    </row>
    <row r="305" spans="1:11" hidden="1">
      <c r="A305" s="137" t="str">
        <f t="shared" si="9"/>
        <v>CAPCOMBUSTIBLECAPRICHOS</v>
      </c>
      <c r="B305" t="s">
        <v>1277</v>
      </c>
      <c r="C305" s="1">
        <f t="shared" si="10"/>
        <v>45824</v>
      </c>
      <c r="D305" t="s">
        <v>31</v>
      </c>
      <c r="E305" t="s">
        <v>32</v>
      </c>
      <c r="F305" s="3" t="s">
        <v>33</v>
      </c>
      <c r="G305" s="158"/>
      <c r="H305" t="s">
        <v>4782</v>
      </c>
      <c r="J305" s="81">
        <v>1000</v>
      </c>
      <c r="K305" s="69">
        <f>K304+I305-J305</f>
        <v>-107526.8</v>
      </c>
    </row>
    <row r="306" spans="1:11" hidden="1">
      <c r="A306" s="137" t="str">
        <f t="shared" si="9"/>
        <v>SERVICIOSCOMBUSTIBLESERVICIOS</v>
      </c>
      <c r="B306" t="s">
        <v>1277</v>
      </c>
      <c r="C306" s="1">
        <f t="shared" si="10"/>
        <v>45824</v>
      </c>
      <c r="D306" t="s">
        <v>21</v>
      </c>
      <c r="E306" t="s">
        <v>32</v>
      </c>
      <c r="F306" s="3" t="s">
        <v>21</v>
      </c>
      <c r="G306" s="158"/>
      <c r="H306" t="s">
        <v>4756</v>
      </c>
      <c r="J306" s="81">
        <v>900</v>
      </c>
      <c r="K306" s="69">
        <f>K305+I306-J306</f>
        <v>-108426.8</v>
      </c>
    </row>
    <row r="307" spans="1:11" ht="15" hidden="1">
      <c r="A307" s="137" t="str">
        <f t="shared" si="9"/>
        <v>SERVICIOSCOMBUSTIBLECEDIS</v>
      </c>
      <c r="B307" t="s">
        <v>1277</v>
      </c>
      <c r="C307" s="1">
        <f t="shared" si="10"/>
        <v>45824</v>
      </c>
      <c r="D307" t="s">
        <v>21</v>
      </c>
      <c r="E307" t="s">
        <v>32</v>
      </c>
      <c r="F307" s="3" t="s">
        <v>28</v>
      </c>
      <c r="G307" s="158"/>
      <c r="H307" s="71" t="s">
        <v>28</v>
      </c>
      <c r="J307" s="81">
        <v>18700</v>
      </c>
      <c r="K307" s="69">
        <f>K306+I307-J307</f>
        <v>-127126.8</v>
      </c>
    </row>
    <row r="308" spans="1:11" hidden="1">
      <c r="A308" s="137" t="str">
        <f t="shared" si="9"/>
        <v>FINANZASCOMBUSTIBLECONTABILIDAD</v>
      </c>
      <c r="B308" t="s">
        <v>1277</v>
      </c>
      <c r="C308" s="1">
        <f t="shared" si="10"/>
        <v>45824</v>
      </c>
      <c r="D308" t="s">
        <v>23</v>
      </c>
      <c r="E308" t="s">
        <v>32</v>
      </c>
      <c r="F308" s="3" t="s">
        <v>37</v>
      </c>
      <c r="G308" s="158"/>
      <c r="H308" t="s">
        <v>4757</v>
      </c>
      <c r="J308" s="81">
        <v>500</v>
      </c>
      <c r="K308" s="69">
        <f>K307+I308-J308</f>
        <v>-127626.8</v>
      </c>
    </row>
    <row r="309" spans="1:11" ht="15">
      <c r="A309" s="137" t="str">
        <f t="shared" si="9"/>
        <v>FINANZASCOMBUSTIBLETESORERIA</v>
      </c>
      <c r="B309" t="s">
        <v>1277</v>
      </c>
      <c r="C309" s="1">
        <f t="shared" si="10"/>
        <v>45824</v>
      </c>
      <c r="D309" t="s">
        <v>23</v>
      </c>
      <c r="E309" t="s">
        <v>32</v>
      </c>
      <c r="F309" s="3" t="s">
        <v>38</v>
      </c>
      <c r="G309" s="158" t="s">
        <v>258</v>
      </c>
      <c r="H309" s="71" t="s">
        <v>4759</v>
      </c>
      <c r="J309" s="81">
        <v>700</v>
      </c>
      <c r="K309" s="69">
        <f>K308+I309-J309</f>
        <v>-128326.8</v>
      </c>
    </row>
    <row r="310" spans="1:11">
      <c r="A310" s="137" t="str">
        <f t="shared" si="9"/>
        <v>FINANZASCOMBUSTIBLETESORERIA</v>
      </c>
      <c r="B310" t="s">
        <v>1277</v>
      </c>
      <c r="C310" s="1">
        <f t="shared" si="10"/>
        <v>45824</v>
      </c>
      <c r="D310" t="s">
        <v>23</v>
      </c>
      <c r="E310" t="s">
        <v>32</v>
      </c>
      <c r="F310" s="3" t="s">
        <v>38</v>
      </c>
      <c r="G310" s="158" t="s">
        <v>258</v>
      </c>
      <c r="H310" t="s">
        <v>4758</v>
      </c>
      <c r="J310" s="81">
        <v>1500</v>
      </c>
      <c r="K310" s="69">
        <f>K309+I310-J310</f>
        <v>-129826.8</v>
      </c>
    </row>
    <row r="311" spans="1:11" hidden="1">
      <c r="A311" s="137" t="str">
        <f t="shared" si="9"/>
        <v>FINANZASCOMBUSTIBLEFINANZAS</v>
      </c>
      <c r="B311" t="s">
        <v>1277</v>
      </c>
      <c r="C311" s="1">
        <f t="shared" si="10"/>
        <v>45824</v>
      </c>
      <c r="D311" t="s">
        <v>23</v>
      </c>
      <c r="E311" t="s">
        <v>32</v>
      </c>
      <c r="F311" s="3" t="s">
        <v>23</v>
      </c>
      <c r="G311" s="158"/>
      <c r="H311" t="s">
        <v>4764</v>
      </c>
      <c r="J311" s="81">
        <v>700</v>
      </c>
      <c r="K311" s="69">
        <f>K310+I311-J311</f>
        <v>-130526.8</v>
      </c>
    </row>
    <row r="312" spans="1:11" hidden="1">
      <c r="A312" s="137" t="str">
        <f t="shared" si="9"/>
        <v>SGECOMBUSTIBLEGESTION EMPRESARIAL</v>
      </c>
      <c r="B312" t="s">
        <v>1277</v>
      </c>
      <c r="C312" s="1">
        <f t="shared" si="10"/>
        <v>45824</v>
      </c>
      <c r="D312" t="s">
        <v>39</v>
      </c>
      <c r="E312" t="s">
        <v>32</v>
      </c>
      <c r="F312" s="3" t="s">
        <v>40</v>
      </c>
      <c r="G312" s="158"/>
      <c r="H312" t="s">
        <v>40</v>
      </c>
      <c r="J312" s="81">
        <v>1000</v>
      </c>
      <c r="K312" s="69">
        <f>K311+I312-J312</f>
        <v>-131526.79999999999</v>
      </c>
    </row>
    <row r="313" spans="1:11" hidden="1">
      <c r="A313" s="137" t="str">
        <f t="shared" ref="A313:A376" si="11">D313&amp;E313&amp;F313</f>
        <v>MMCOMBUSTIBLEMARKET MAX</v>
      </c>
      <c r="B313" t="s">
        <v>1277</v>
      </c>
      <c r="C313" s="1">
        <f t="shared" si="10"/>
        <v>45824</v>
      </c>
      <c r="D313" t="s">
        <v>45</v>
      </c>
      <c r="E313" t="s">
        <v>32</v>
      </c>
      <c r="F313" s="3" t="s">
        <v>46</v>
      </c>
      <c r="G313" s="158"/>
      <c r="H313" t="s">
        <v>4780</v>
      </c>
      <c r="J313" s="81">
        <v>700</v>
      </c>
      <c r="K313" s="69">
        <f>K312+I313-J313</f>
        <v>-132226.79999999999</v>
      </c>
    </row>
    <row r="314" spans="1:11" hidden="1">
      <c r="A314" s="137" t="str">
        <f t="shared" si="11"/>
        <v>MELCOMBUSTIBLEMELISSA</v>
      </c>
      <c r="B314" t="s">
        <v>1277</v>
      </c>
      <c r="C314" s="1">
        <f t="shared" si="10"/>
        <v>45824</v>
      </c>
      <c r="D314" t="s">
        <v>43</v>
      </c>
      <c r="E314" t="s">
        <v>32</v>
      </c>
      <c r="F314" s="3" t="s">
        <v>44</v>
      </c>
      <c r="G314" s="158"/>
      <c r="H314" t="s">
        <v>4760</v>
      </c>
      <c r="J314" s="81">
        <v>1000</v>
      </c>
      <c r="K314" s="69">
        <f>K313+I314-J314</f>
        <v>-133226.79999999999</v>
      </c>
    </row>
    <row r="315" spans="1:11" hidden="1">
      <c r="A315" s="137" t="str">
        <f t="shared" si="11"/>
        <v>SERVICIOSCOMBUSTIBLEINVENTARIOS</v>
      </c>
      <c r="B315" t="s">
        <v>1277</v>
      </c>
      <c r="C315" s="1">
        <f t="shared" si="10"/>
        <v>45824</v>
      </c>
      <c r="D315" t="s">
        <v>21</v>
      </c>
      <c r="E315" t="s">
        <v>32</v>
      </c>
      <c r="F315" s="3" t="s">
        <v>34</v>
      </c>
      <c r="G315" s="158"/>
      <c r="H315" t="s">
        <v>4786</v>
      </c>
      <c r="J315" s="81">
        <v>500</v>
      </c>
      <c r="K315" s="69">
        <f>K314+I315-J315</f>
        <v>-133726.79999999999</v>
      </c>
    </row>
    <row r="316" spans="1:11" hidden="1">
      <c r="A316" s="137" t="str">
        <f t="shared" si="11"/>
        <v>HRCOMBUSTIBLEHR</v>
      </c>
      <c r="B316" t="s">
        <v>1277</v>
      </c>
      <c r="C316" s="1">
        <v>45831</v>
      </c>
      <c r="D316" t="s">
        <v>29</v>
      </c>
      <c r="E316" t="s">
        <v>32</v>
      </c>
      <c r="F316" s="3" t="s">
        <v>29</v>
      </c>
      <c r="G316" s="158"/>
      <c r="H316" t="s">
        <v>4769</v>
      </c>
      <c r="J316" s="81">
        <v>1000</v>
      </c>
      <c r="K316" s="69">
        <f>K315+I316-J316</f>
        <v>-134726.79999999999</v>
      </c>
    </row>
    <row r="317" spans="1:11" hidden="1">
      <c r="A317" s="137" t="str">
        <f t="shared" si="11"/>
        <v>HRCOMBUSTIBLEHR</v>
      </c>
      <c r="B317" t="s">
        <v>1277</v>
      </c>
      <c r="C317" s="1">
        <f t="shared" ref="C317:C380" si="12">C316</f>
        <v>45831</v>
      </c>
      <c r="D317" t="s">
        <v>29</v>
      </c>
      <c r="E317" t="s">
        <v>32</v>
      </c>
      <c r="F317" s="3" t="s">
        <v>29</v>
      </c>
      <c r="G317" s="158"/>
      <c r="H317" t="s">
        <v>4753</v>
      </c>
      <c r="J317" s="81">
        <v>750</v>
      </c>
      <c r="K317" s="69">
        <f>K316+I317-J317</f>
        <v>-135476.79999999999</v>
      </c>
    </row>
    <row r="318" spans="1:11" hidden="1">
      <c r="A318" s="137" t="str">
        <f t="shared" si="11"/>
        <v>CAPCOMBUSTIBLECAPRICHOS</v>
      </c>
      <c r="B318" t="s">
        <v>1277</v>
      </c>
      <c r="C318" s="1">
        <f t="shared" si="12"/>
        <v>45831</v>
      </c>
      <c r="D318" t="s">
        <v>31</v>
      </c>
      <c r="E318" t="s">
        <v>32</v>
      </c>
      <c r="F318" s="3" t="s">
        <v>33</v>
      </c>
      <c r="G318" s="158"/>
      <c r="H318" t="s">
        <v>4784</v>
      </c>
      <c r="J318" s="81">
        <v>1000</v>
      </c>
      <c r="K318" s="69">
        <f>K317+I318-J318</f>
        <v>-136476.79999999999</v>
      </c>
    </row>
    <row r="319" spans="1:11" hidden="1">
      <c r="A319" s="137" t="str">
        <f t="shared" si="11"/>
        <v>CAPCOMBUSTIBLECAPRICHOS</v>
      </c>
      <c r="B319" t="s">
        <v>1277</v>
      </c>
      <c r="C319" s="1">
        <f t="shared" si="12"/>
        <v>45831</v>
      </c>
      <c r="D319" t="s">
        <v>31</v>
      </c>
      <c r="E319" t="s">
        <v>32</v>
      </c>
      <c r="F319" s="3" t="s">
        <v>33</v>
      </c>
      <c r="G319" s="158"/>
      <c r="H319" t="s">
        <v>4782</v>
      </c>
      <c r="J319" s="81">
        <v>1000</v>
      </c>
      <c r="K319" s="69">
        <f>K318+I319-J319</f>
        <v>-137476.79999999999</v>
      </c>
    </row>
    <row r="320" spans="1:11" hidden="1">
      <c r="A320" s="137" t="str">
        <f t="shared" si="11"/>
        <v>SERVICIOSCOMBUSTIBLESERVICIOS</v>
      </c>
      <c r="B320" t="s">
        <v>1277</v>
      </c>
      <c r="C320" s="1">
        <f t="shared" si="12"/>
        <v>45831</v>
      </c>
      <c r="D320" t="s">
        <v>21</v>
      </c>
      <c r="E320" t="s">
        <v>32</v>
      </c>
      <c r="F320" s="3" t="s">
        <v>21</v>
      </c>
      <c r="G320" s="158"/>
      <c r="H320" t="s">
        <v>4756</v>
      </c>
      <c r="J320" s="81">
        <v>400</v>
      </c>
      <c r="K320" s="69">
        <f>K319+I320-J320</f>
        <v>-137876.79999999999</v>
      </c>
    </row>
    <row r="321" spans="1:11" ht="15" hidden="1">
      <c r="A321" s="137" t="str">
        <f t="shared" si="11"/>
        <v>SERVICIOSCOMBUSTIBLECEDIS</v>
      </c>
      <c r="B321" t="s">
        <v>1277</v>
      </c>
      <c r="C321" s="1">
        <f t="shared" si="12"/>
        <v>45831</v>
      </c>
      <c r="D321" t="s">
        <v>21</v>
      </c>
      <c r="E321" t="s">
        <v>32</v>
      </c>
      <c r="F321" s="3" t="s">
        <v>28</v>
      </c>
      <c r="G321" s="158"/>
      <c r="H321" s="71" t="s">
        <v>28</v>
      </c>
      <c r="J321" s="81">
        <v>15700</v>
      </c>
      <c r="K321" s="69">
        <f>K320+I321-J321</f>
        <v>-153576.79999999999</v>
      </c>
    </row>
    <row r="322" spans="1:11" ht="15">
      <c r="A322" s="137" t="str">
        <f>D322&amp;E322&amp;F322</f>
        <v>FINANZASCOMBUSTIBLETESORERIA</v>
      </c>
      <c r="B322" t="s">
        <v>1277</v>
      </c>
      <c r="C322" s="1">
        <f t="shared" si="12"/>
        <v>45831</v>
      </c>
      <c r="D322" t="s">
        <v>23</v>
      </c>
      <c r="E322" t="s">
        <v>32</v>
      </c>
      <c r="F322" s="3" t="s">
        <v>38</v>
      </c>
      <c r="G322" s="158" t="s">
        <v>258</v>
      </c>
      <c r="H322" s="71" t="s">
        <v>4759</v>
      </c>
      <c r="J322" s="81">
        <v>700</v>
      </c>
      <c r="K322" s="69">
        <f>K321+I322-J322</f>
        <v>-154276.79999999999</v>
      </c>
    </row>
    <row r="323" spans="1:11">
      <c r="A323" s="137" t="str">
        <f t="shared" si="11"/>
        <v>FINANZASCOMBUSTIBLETESORERIA</v>
      </c>
      <c r="B323" t="s">
        <v>1277</v>
      </c>
      <c r="C323" s="1">
        <f t="shared" si="12"/>
        <v>45831</v>
      </c>
      <c r="D323" t="s">
        <v>23</v>
      </c>
      <c r="E323" t="s">
        <v>32</v>
      </c>
      <c r="F323" s="3" t="s">
        <v>38</v>
      </c>
      <c r="G323" s="158" t="s">
        <v>258</v>
      </c>
      <c r="H323" t="s">
        <v>4758</v>
      </c>
      <c r="J323" s="81">
        <v>1500</v>
      </c>
      <c r="K323" s="69">
        <f>K322+I323-J323</f>
        <v>-155776.79999999999</v>
      </c>
    </row>
    <row r="324" spans="1:11" hidden="1">
      <c r="A324" s="137" t="str">
        <f t="shared" si="11"/>
        <v>DECOMBUSTIBLEDIRECCION</v>
      </c>
      <c r="B324" t="s">
        <v>1277</v>
      </c>
      <c r="C324" s="1">
        <f t="shared" si="12"/>
        <v>45831</v>
      </c>
      <c r="D324" t="s">
        <v>41</v>
      </c>
      <c r="E324" t="s">
        <v>32</v>
      </c>
      <c r="F324" s="3" t="s">
        <v>42</v>
      </c>
      <c r="G324" s="158"/>
      <c r="H324" t="s">
        <v>4765</v>
      </c>
      <c r="J324" s="81">
        <v>1000</v>
      </c>
      <c r="K324" s="69">
        <f>K323+I324-J324</f>
        <v>-156776.79999999999</v>
      </c>
    </row>
    <row r="325" spans="1:11" hidden="1">
      <c r="A325" s="137" t="str">
        <f t="shared" si="11"/>
        <v>SGECOMBUSTIBLEGESTION EMPRESARIAL</v>
      </c>
      <c r="B325" t="s">
        <v>1277</v>
      </c>
      <c r="C325" s="1">
        <f t="shared" si="12"/>
        <v>45831</v>
      </c>
      <c r="D325" t="s">
        <v>39</v>
      </c>
      <c r="E325" t="s">
        <v>32</v>
      </c>
      <c r="F325" s="3" t="s">
        <v>40</v>
      </c>
      <c r="G325" s="158"/>
      <c r="H325" t="s">
        <v>40</v>
      </c>
      <c r="J325" s="81">
        <v>1000</v>
      </c>
      <c r="K325" s="69">
        <f>K324+I325-J325</f>
        <v>-157776.79999999999</v>
      </c>
    </row>
    <row r="326" spans="1:11" hidden="1">
      <c r="A326" s="137" t="str">
        <f t="shared" si="11"/>
        <v>MMCOMBUSTIBLEMARKET MAX</v>
      </c>
      <c r="B326" t="s">
        <v>1277</v>
      </c>
      <c r="C326" s="1">
        <f t="shared" si="12"/>
        <v>45831</v>
      </c>
      <c r="D326" t="s">
        <v>45</v>
      </c>
      <c r="E326" t="s">
        <v>32</v>
      </c>
      <c r="F326" s="3" t="s">
        <v>46</v>
      </c>
      <c r="G326" s="158"/>
      <c r="H326" t="s">
        <v>4780</v>
      </c>
      <c r="J326" s="81">
        <v>700</v>
      </c>
      <c r="K326" s="69">
        <f>K325+I326-J326</f>
        <v>-158476.79999999999</v>
      </c>
    </row>
    <row r="327" spans="1:11" hidden="1">
      <c r="A327" s="137" t="str">
        <f t="shared" si="11"/>
        <v>MELCOMBUSTIBLEMELISSA</v>
      </c>
      <c r="B327" t="s">
        <v>1277</v>
      </c>
      <c r="C327" s="1">
        <f t="shared" si="12"/>
        <v>45831</v>
      </c>
      <c r="D327" t="s">
        <v>43</v>
      </c>
      <c r="E327" t="s">
        <v>32</v>
      </c>
      <c r="F327" s="3" t="s">
        <v>44</v>
      </c>
      <c r="G327" s="158"/>
      <c r="H327" t="s">
        <v>4760</v>
      </c>
      <c r="J327" s="81">
        <v>1000</v>
      </c>
      <c r="K327" s="69">
        <f>K326+I327-J327</f>
        <v>-159476.79999999999</v>
      </c>
    </row>
    <row r="328" spans="1:11" hidden="1">
      <c r="A328" s="137" t="str">
        <f t="shared" si="11"/>
        <v>SERVICIOSCOMBUSTIBLEINVENTARIOS</v>
      </c>
      <c r="B328" t="s">
        <v>1277</v>
      </c>
      <c r="C328" s="1">
        <f t="shared" si="12"/>
        <v>45831</v>
      </c>
      <c r="D328" t="s">
        <v>21</v>
      </c>
      <c r="E328" t="s">
        <v>32</v>
      </c>
      <c r="F328" s="3" t="s">
        <v>34</v>
      </c>
      <c r="G328" s="158"/>
      <c r="H328" t="s">
        <v>4786</v>
      </c>
      <c r="J328" s="81">
        <v>200</v>
      </c>
      <c r="K328" s="69">
        <f>K327+I328-J328</f>
        <v>-159676.79999999999</v>
      </c>
    </row>
    <row r="329" spans="1:11" ht="15" hidden="1">
      <c r="A329" s="137" t="str">
        <f t="shared" si="11"/>
        <v>HRCOMBUSTIBLEHR</v>
      </c>
      <c r="B329" t="s">
        <v>1277</v>
      </c>
      <c r="C329" s="1">
        <v>45838</v>
      </c>
      <c r="D329" t="s">
        <v>29</v>
      </c>
      <c r="E329" t="s">
        <v>32</v>
      </c>
      <c r="F329" s="3" t="s">
        <v>29</v>
      </c>
      <c r="G329" s="158"/>
      <c r="H329" s="193" t="s">
        <v>4775</v>
      </c>
      <c r="J329" s="81">
        <v>1200</v>
      </c>
      <c r="K329" s="69">
        <f>K328+I329-J329</f>
        <v>-160876.79999999999</v>
      </c>
    </row>
    <row r="330" spans="1:11" hidden="1">
      <c r="A330" s="137" t="str">
        <f t="shared" si="11"/>
        <v>HRCOMBUSTIBLEHR</v>
      </c>
      <c r="B330" t="s">
        <v>1277</v>
      </c>
      <c r="C330" s="1">
        <v>45838</v>
      </c>
      <c r="D330" t="s">
        <v>29</v>
      </c>
      <c r="E330" t="s">
        <v>32</v>
      </c>
      <c r="F330" s="3" t="s">
        <v>29</v>
      </c>
      <c r="G330" s="158"/>
      <c r="H330" t="s">
        <v>4769</v>
      </c>
      <c r="J330" s="81">
        <v>1200</v>
      </c>
      <c r="K330" s="69">
        <f>K329+I330-J330</f>
        <v>-162076.79999999999</v>
      </c>
    </row>
    <row r="331" spans="1:11" hidden="1">
      <c r="A331" s="137" t="str">
        <f t="shared" si="11"/>
        <v>HRCOMBUSTIBLEHR</v>
      </c>
      <c r="B331" t="s">
        <v>1277</v>
      </c>
      <c r="C331" s="1">
        <f t="shared" si="12"/>
        <v>45838</v>
      </c>
      <c r="D331" t="s">
        <v>29</v>
      </c>
      <c r="E331" t="s">
        <v>32</v>
      </c>
      <c r="F331" s="3" t="s">
        <v>29</v>
      </c>
      <c r="G331" s="158"/>
      <c r="H331" t="s">
        <v>4753</v>
      </c>
      <c r="J331" s="81">
        <v>750</v>
      </c>
      <c r="K331" s="69">
        <f>K330+I331-J331</f>
        <v>-162826.79999999999</v>
      </c>
    </row>
    <row r="332" spans="1:11" hidden="1">
      <c r="A332" s="137" t="str">
        <f t="shared" si="11"/>
        <v>CAPCOMBUSTIBLECAPRICHOS</v>
      </c>
      <c r="B332" t="s">
        <v>1277</v>
      </c>
      <c r="C332" s="1">
        <f t="shared" si="12"/>
        <v>45838</v>
      </c>
      <c r="D332" t="s">
        <v>31</v>
      </c>
      <c r="E332" t="s">
        <v>32</v>
      </c>
      <c r="F332" s="3" t="s">
        <v>33</v>
      </c>
      <c r="G332" s="158"/>
      <c r="H332" t="s">
        <v>4784</v>
      </c>
      <c r="J332" s="81">
        <v>1300</v>
      </c>
      <c r="K332" s="69">
        <f>K331+I332-J332</f>
        <v>-164126.79999999999</v>
      </c>
    </row>
    <row r="333" spans="1:11" hidden="1">
      <c r="A333" s="137" t="str">
        <f t="shared" si="11"/>
        <v>CAPCOMBUSTIBLECAPRICHOS</v>
      </c>
      <c r="B333" t="s">
        <v>1277</v>
      </c>
      <c r="C333" s="1">
        <f t="shared" si="12"/>
        <v>45838</v>
      </c>
      <c r="D333" t="s">
        <v>31</v>
      </c>
      <c r="E333" t="s">
        <v>32</v>
      </c>
      <c r="F333" s="3" t="s">
        <v>33</v>
      </c>
      <c r="G333" s="158"/>
      <c r="H333" t="s">
        <v>4782</v>
      </c>
      <c r="J333" s="81">
        <v>1000</v>
      </c>
      <c r="K333" s="69">
        <f>K332+I333-J333</f>
        <v>-165126.79999999999</v>
      </c>
    </row>
    <row r="334" spans="1:11" ht="15" hidden="1">
      <c r="A334" s="137" t="str">
        <f t="shared" si="11"/>
        <v>SERVICIOSCOMBUSTIBLECEDIS</v>
      </c>
      <c r="B334" t="s">
        <v>1277</v>
      </c>
      <c r="C334" s="1">
        <f t="shared" si="12"/>
        <v>45838</v>
      </c>
      <c r="D334" t="s">
        <v>21</v>
      </c>
      <c r="E334" t="s">
        <v>32</v>
      </c>
      <c r="F334" s="3" t="s">
        <v>28</v>
      </c>
      <c r="G334" s="158"/>
      <c r="H334" s="71" t="s">
        <v>28</v>
      </c>
      <c r="J334" s="81">
        <v>13800</v>
      </c>
      <c r="K334" s="69">
        <f>K333+I334-J334</f>
        <v>-178926.8</v>
      </c>
    </row>
    <row r="335" spans="1:11" hidden="1">
      <c r="A335" s="137" t="str">
        <f t="shared" si="11"/>
        <v>SERVICIOSCOMBUSTIBLEMANTENIMIENTO</v>
      </c>
      <c r="B335" t="s">
        <v>1277</v>
      </c>
      <c r="C335" s="1">
        <f t="shared" si="12"/>
        <v>45838</v>
      </c>
      <c r="D335" t="s">
        <v>21</v>
      </c>
      <c r="E335" t="s">
        <v>32</v>
      </c>
      <c r="F335" s="3" t="s">
        <v>35</v>
      </c>
      <c r="G335" s="158"/>
      <c r="H335" t="s">
        <v>4762</v>
      </c>
      <c r="J335" s="81">
        <v>500</v>
      </c>
      <c r="K335" s="69">
        <f>K334+I335-J335</f>
        <v>-179426.8</v>
      </c>
    </row>
    <row r="336" spans="1:11">
      <c r="A336" s="137" t="str">
        <f>D336&amp;E336&amp;F336</f>
        <v>FINANZASCOMBUSTIBLETESORERIA</v>
      </c>
      <c r="B336" t="s">
        <v>1277</v>
      </c>
      <c r="C336" s="1">
        <f t="shared" si="12"/>
        <v>45838</v>
      </c>
      <c r="D336" t="s">
        <v>23</v>
      </c>
      <c r="E336" t="s">
        <v>32</v>
      </c>
      <c r="F336" s="3" t="s">
        <v>38</v>
      </c>
      <c r="G336" s="158" t="s">
        <v>258</v>
      </c>
      <c r="H336" t="s">
        <v>4758</v>
      </c>
      <c r="J336" s="81">
        <v>1500</v>
      </c>
      <c r="K336" s="69">
        <f>K335+I336-J336</f>
        <v>-180926.8</v>
      </c>
    </row>
    <row r="337" spans="1:11" hidden="1">
      <c r="A337" s="137" t="str">
        <f t="shared" si="11"/>
        <v>FINANZASCOMBUSTIBLEFINANZAS</v>
      </c>
      <c r="B337" t="s">
        <v>1277</v>
      </c>
      <c r="C337" s="1">
        <f t="shared" si="12"/>
        <v>45838</v>
      </c>
      <c r="D337" t="s">
        <v>23</v>
      </c>
      <c r="E337" t="s">
        <v>32</v>
      </c>
      <c r="F337" s="3" t="s">
        <v>23</v>
      </c>
      <c r="G337" s="158"/>
      <c r="H337" t="s">
        <v>4764</v>
      </c>
      <c r="J337" s="81">
        <v>700</v>
      </c>
      <c r="K337" s="69">
        <f>K336+I337-J337</f>
        <v>-181626.8</v>
      </c>
    </row>
    <row r="338" spans="1:11" hidden="1">
      <c r="A338" s="137" t="str">
        <f t="shared" si="11"/>
        <v>DECOMBUSTIBLEDIRECCION</v>
      </c>
      <c r="B338" t="s">
        <v>1277</v>
      </c>
      <c r="C338" s="1">
        <f t="shared" si="12"/>
        <v>45838</v>
      </c>
      <c r="D338" t="s">
        <v>41</v>
      </c>
      <c r="E338" t="s">
        <v>32</v>
      </c>
      <c r="F338" s="3" t="s">
        <v>42</v>
      </c>
      <c r="G338" s="158"/>
      <c r="H338" t="s">
        <v>4765</v>
      </c>
      <c r="J338" s="81">
        <v>1000</v>
      </c>
      <c r="K338" s="69">
        <f>K337+I338-J338</f>
        <v>-182626.8</v>
      </c>
    </row>
    <row r="339" spans="1:11" hidden="1">
      <c r="A339" s="137" t="str">
        <f t="shared" si="11"/>
        <v>MMCOMBUSTIBLEMARKET MAX</v>
      </c>
      <c r="B339" t="s">
        <v>1277</v>
      </c>
      <c r="C339" s="1">
        <f t="shared" si="12"/>
        <v>45838</v>
      </c>
      <c r="D339" t="s">
        <v>45</v>
      </c>
      <c r="E339" t="s">
        <v>32</v>
      </c>
      <c r="F339" s="3" t="s">
        <v>46</v>
      </c>
      <c r="G339" s="158"/>
      <c r="H339" t="s">
        <v>4780</v>
      </c>
      <c r="J339" s="81">
        <v>700</v>
      </c>
      <c r="K339" s="69">
        <f>K338+I339-J339</f>
        <v>-183326.8</v>
      </c>
    </row>
    <row r="340" spans="1:11" hidden="1">
      <c r="A340" s="137" t="str">
        <f t="shared" si="11"/>
        <v>MELCOMBUSTIBLEMELISSA</v>
      </c>
      <c r="B340" t="s">
        <v>1277</v>
      </c>
      <c r="C340" s="1">
        <f t="shared" si="12"/>
        <v>45838</v>
      </c>
      <c r="D340" t="s">
        <v>43</v>
      </c>
      <c r="E340" t="s">
        <v>32</v>
      </c>
      <c r="F340" s="3" t="s">
        <v>44</v>
      </c>
      <c r="G340" s="158"/>
      <c r="H340" t="s">
        <v>4760</v>
      </c>
      <c r="J340" s="81">
        <v>1000</v>
      </c>
      <c r="K340" s="69">
        <f>K339+I340-J340</f>
        <v>-184326.8</v>
      </c>
    </row>
    <row r="341" spans="1:11" ht="15" hidden="1">
      <c r="A341" s="137" t="str">
        <f t="shared" si="11"/>
        <v>HRCOMBUSTIBLEHR</v>
      </c>
      <c r="B341" t="s">
        <v>1560</v>
      </c>
      <c r="C341" s="1">
        <v>45845</v>
      </c>
      <c r="D341" t="s">
        <v>29</v>
      </c>
      <c r="E341" t="s">
        <v>32</v>
      </c>
      <c r="F341" s="3" t="s">
        <v>29</v>
      </c>
      <c r="G341" s="158"/>
      <c r="H341" s="193" t="s">
        <v>4775</v>
      </c>
      <c r="J341" s="81">
        <v>1400</v>
      </c>
      <c r="K341" s="69">
        <f>K340+I341-J341</f>
        <v>-185726.8</v>
      </c>
    </row>
    <row r="342" spans="1:11" hidden="1">
      <c r="A342" s="137" t="str">
        <f t="shared" si="11"/>
        <v>HRCOMBUSTIBLEHR</v>
      </c>
      <c r="B342" t="s">
        <v>1560</v>
      </c>
      <c r="C342" s="1">
        <f t="shared" si="12"/>
        <v>45845</v>
      </c>
      <c r="D342" t="s">
        <v>29</v>
      </c>
      <c r="E342" t="s">
        <v>32</v>
      </c>
      <c r="F342" s="3" t="s">
        <v>29</v>
      </c>
      <c r="G342" s="158"/>
      <c r="H342" t="s">
        <v>4769</v>
      </c>
      <c r="J342" s="81">
        <v>1800</v>
      </c>
      <c r="K342" s="69">
        <f>K341+I342-J342</f>
        <v>-187526.8</v>
      </c>
    </row>
    <row r="343" spans="1:11" hidden="1">
      <c r="A343" s="137" t="str">
        <f t="shared" si="11"/>
        <v>HRCOMBUSTIBLEHR</v>
      </c>
      <c r="B343" t="s">
        <v>1560</v>
      </c>
      <c r="C343" s="1">
        <f t="shared" si="12"/>
        <v>45845</v>
      </c>
      <c r="D343" t="s">
        <v>29</v>
      </c>
      <c r="E343" t="s">
        <v>32</v>
      </c>
      <c r="F343" s="3" t="s">
        <v>29</v>
      </c>
      <c r="G343" s="158"/>
      <c r="H343" t="s">
        <v>4753</v>
      </c>
      <c r="J343" s="81">
        <v>1100</v>
      </c>
      <c r="K343" s="69">
        <f>K342+I343-J343</f>
        <v>-188626.8</v>
      </c>
    </row>
    <row r="344" spans="1:11" hidden="1">
      <c r="A344" s="137" t="str">
        <f t="shared" si="11"/>
        <v>CAPCOMBUSTIBLECAPRICHOS</v>
      </c>
      <c r="B344" t="s">
        <v>1560</v>
      </c>
      <c r="C344" s="1">
        <f t="shared" si="12"/>
        <v>45845</v>
      </c>
      <c r="D344" t="s">
        <v>31</v>
      </c>
      <c r="E344" t="s">
        <v>32</v>
      </c>
      <c r="F344" s="3" t="s">
        <v>33</v>
      </c>
      <c r="G344" s="158"/>
      <c r="H344" t="s">
        <v>4784</v>
      </c>
      <c r="J344" s="81">
        <v>1300</v>
      </c>
      <c r="K344" s="69">
        <f>K343+I344-J344</f>
        <v>-189926.8</v>
      </c>
    </row>
    <row r="345" spans="1:11" hidden="1">
      <c r="A345" s="137" t="str">
        <f t="shared" si="11"/>
        <v>CAPCOMBUSTIBLECAPRICHOS</v>
      </c>
      <c r="B345" t="s">
        <v>1560</v>
      </c>
      <c r="C345" s="1">
        <f t="shared" si="12"/>
        <v>45845</v>
      </c>
      <c r="D345" t="s">
        <v>31</v>
      </c>
      <c r="E345" t="s">
        <v>32</v>
      </c>
      <c r="F345" s="3" t="s">
        <v>33</v>
      </c>
      <c r="G345" s="158"/>
      <c r="H345" t="s">
        <v>4782</v>
      </c>
      <c r="J345" s="81">
        <v>1000</v>
      </c>
      <c r="K345" s="69">
        <f>K344+I345-J345</f>
        <v>-190926.8</v>
      </c>
    </row>
    <row r="346" spans="1:11" hidden="1">
      <c r="A346" s="137" t="str">
        <f t="shared" si="11"/>
        <v>CAPCOMBUSTIBLECAPRICHOS</v>
      </c>
      <c r="B346" t="s">
        <v>1560</v>
      </c>
      <c r="C346" s="1">
        <f t="shared" si="12"/>
        <v>45845</v>
      </c>
      <c r="D346" t="s">
        <v>31</v>
      </c>
      <c r="E346" t="s">
        <v>32</v>
      </c>
      <c r="F346" s="3" t="s">
        <v>33</v>
      </c>
      <c r="G346" s="158"/>
      <c r="H346" t="s">
        <v>4785</v>
      </c>
      <c r="J346" s="81">
        <v>1500</v>
      </c>
      <c r="K346" s="69">
        <f>K345+I346-J346</f>
        <v>-192426.8</v>
      </c>
    </row>
    <row r="347" spans="1:11" hidden="1">
      <c r="A347" s="137" t="str">
        <f t="shared" si="11"/>
        <v>SERVICIOSCOMBUSTIBLESERVICIOS</v>
      </c>
      <c r="B347" t="s">
        <v>1560</v>
      </c>
      <c r="C347" s="1">
        <f t="shared" si="12"/>
        <v>45845</v>
      </c>
      <c r="D347" t="s">
        <v>21</v>
      </c>
      <c r="E347" t="s">
        <v>32</v>
      </c>
      <c r="F347" s="3" t="s">
        <v>21</v>
      </c>
      <c r="G347" s="158"/>
      <c r="H347" t="s">
        <v>4756</v>
      </c>
      <c r="J347" s="81">
        <v>1500</v>
      </c>
      <c r="K347" s="69">
        <f>K346+I347-J347</f>
        <v>-193926.8</v>
      </c>
    </row>
    <row r="348" spans="1:11" ht="15" hidden="1">
      <c r="A348" s="137" t="str">
        <f t="shared" si="11"/>
        <v>SERVICIOSCOMBUSTIBLECEDIS</v>
      </c>
      <c r="B348" t="s">
        <v>1560</v>
      </c>
      <c r="C348" s="1">
        <f t="shared" si="12"/>
        <v>45845</v>
      </c>
      <c r="D348" t="s">
        <v>21</v>
      </c>
      <c r="E348" t="s">
        <v>32</v>
      </c>
      <c r="F348" s="3" t="s">
        <v>28</v>
      </c>
      <c r="G348" s="158"/>
      <c r="H348" s="71" t="s">
        <v>28</v>
      </c>
      <c r="J348" s="81">
        <v>17700</v>
      </c>
      <c r="K348" s="69">
        <f>K347+I348-J348</f>
        <v>-211626.8</v>
      </c>
    </row>
    <row r="349" spans="1:11" hidden="1">
      <c r="A349" s="137" t="str">
        <f t="shared" si="11"/>
        <v>SERVICIOSCOMBUSTIBLEMANTENIMIENTO</v>
      </c>
      <c r="B349" t="s">
        <v>1560</v>
      </c>
      <c r="C349" s="1">
        <f t="shared" si="12"/>
        <v>45845</v>
      </c>
      <c r="D349" t="s">
        <v>21</v>
      </c>
      <c r="E349" t="s">
        <v>32</v>
      </c>
      <c r="F349" s="3" t="s">
        <v>35</v>
      </c>
      <c r="G349" s="158"/>
      <c r="H349" t="s">
        <v>4762</v>
      </c>
      <c r="J349" s="81">
        <v>1000</v>
      </c>
      <c r="K349" s="69">
        <f>K348+I349-J349</f>
        <v>-212626.8</v>
      </c>
    </row>
    <row r="350" spans="1:11" ht="15" hidden="1">
      <c r="A350" s="137" t="str">
        <f t="shared" si="11"/>
        <v>FINANZASCOMBUSTIBLETESORERIA</v>
      </c>
      <c r="B350" t="s">
        <v>1560</v>
      </c>
      <c r="C350" s="1">
        <f t="shared" si="12"/>
        <v>45845</v>
      </c>
      <c r="D350" t="s">
        <v>23</v>
      </c>
      <c r="E350" t="s">
        <v>32</v>
      </c>
      <c r="F350" s="3" t="s">
        <v>38</v>
      </c>
      <c r="G350" s="158"/>
      <c r="H350" s="71" t="s">
        <v>4759</v>
      </c>
      <c r="J350" s="81">
        <v>700</v>
      </c>
      <c r="K350" s="69">
        <f>K349+I350-J350</f>
        <v>-213326.8</v>
      </c>
    </row>
    <row r="351" spans="1:11" hidden="1">
      <c r="A351" s="137" t="str">
        <f t="shared" si="11"/>
        <v>FINANZASCOMBUSTIBLETESORERIA</v>
      </c>
      <c r="B351" t="s">
        <v>1560</v>
      </c>
      <c r="C351" s="1">
        <f t="shared" si="12"/>
        <v>45845</v>
      </c>
      <c r="D351" t="s">
        <v>23</v>
      </c>
      <c r="E351" t="s">
        <v>32</v>
      </c>
      <c r="F351" s="3" t="s">
        <v>38</v>
      </c>
      <c r="G351" s="158"/>
      <c r="H351" t="s">
        <v>4758</v>
      </c>
      <c r="J351" s="81">
        <v>1500</v>
      </c>
      <c r="K351" s="69">
        <f>K350+I351-J351</f>
        <v>-214826.8</v>
      </c>
    </row>
    <row r="352" spans="1:11" hidden="1">
      <c r="A352" s="137" t="str">
        <f t="shared" si="11"/>
        <v>FINANZASCOMBUSTIBLEFINANZAS</v>
      </c>
      <c r="B352" t="s">
        <v>1560</v>
      </c>
      <c r="C352" s="1">
        <f t="shared" si="12"/>
        <v>45845</v>
      </c>
      <c r="D352" t="s">
        <v>23</v>
      </c>
      <c r="E352" t="s">
        <v>32</v>
      </c>
      <c r="F352" s="3" t="s">
        <v>23</v>
      </c>
      <c r="G352" s="158"/>
      <c r="H352" t="s">
        <v>4764</v>
      </c>
      <c r="J352" s="81">
        <v>700</v>
      </c>
      <c r="K352" s="69">
        <f>K351+I352-J352</f>
        <v>-215526.8</v>
      </c>
    </row>
    <row r="353" spans="1:11" hidden="1">
      <c r="A353" s="137" t="str">
        <f t="shared" si="11"/>
        <v>MMCOMBUSTIBLEMARKET MAX</v>
      </c>
      <c r="B353" t="s">
        <v>1560</v>
      </c>
      <c r="C353" s="1">
        <f t="shared" si="12"/>
        <v>45845</v>
      </c>
      <c r="D353" t="s">
        <v>45</v>
      </c>
      <c r="E353" t="s">
        <v>32</v>
      </c>
      <c r="F353" s="3" t="s">
        <v>46</v>
      </c>
      <c r="G353" s="158"/>
      <c r="H353" t="s">
        <v>4780</v>
      </c>
      <c r="J353" s="81">
        <v>700</v>
      </c>
      <c r="K353" s="69">
        <f>K352+I353-J353</f>
        <v>-216226.8</v>
      </c>
    </row>
    <row r="354" spans="1:11" hidden="1">
      <c r="A354" s="137" t="str">
        <f t="shared" si="11"/>
        <v>SERVICIOSCOMBUSTIBLEINVENTARIOS</v>
      </c>
      <c r="B354" t="s">
        <v>1560</v>
      </c>
      <c r="C354" s="1">
        <f t="shared" si="12"/>
        <v>45845</v>
      </c>
      <c r="D354" t="s">
        <v>21</v>
      </c>
      <c r="E354" t="s">
        <v>32</v>
      </c>
      <c r="F354" s="3" t="s">
        <v>34</v>
      </c>
      <c r="G354" s="158"/>
      <c r="H354" t="s">
        <v>4786</v>
      </c>
      <c r="J354" s="81">
        <v>1000</v>
      </c>
      <c r="K354" s="69">
        <f>K353+I354-J354</f>
        <v>-217226.8</v>
      </c>
    </row>
    <row r="355" spans="1:11" hidden="1">
      <c r="A355" s="137" t="str">
        <f t="shared" si="11"/>
        <v>HRCOMBUSTIBLEHR</v>
      </c>
      <c r="B355" t="s">
        <v>1560</v>
      </c>
      <c r="C355" s="1">
        <f t="shared" si="12"/>
        <v>45845</v>
      </c>
      <c r="D355" t="s">
        <v>29</v>
      </c>
      <c r="E355" t="s">
        <v>32</v>
      </c>
      <c r="F355" s="3" t="s">
        <v>29</v>
      </c>
      <c r="G355" s="158"/>
      <c r="H355" t="s">
        <v>4766</v>
      </c>
      <c r="J355" s="81">
        <v>300</v>
      </c>
      <c r="K355" s="69">
        <f>K354+I355-J355</f>
        <v>-217526.8</v>
      </c>
    </row>
    <row r="356" spans="1:11" ht="15" hidden="1">
      <c r="A356" s="137" t="str">
        <f t="shared" si="11"/>
        <v>HRCOMBUSTIBLEHR</v>
      </c>
      <c r="B356" t="s">
        <v>1560</v>
      </c>
      <c r="C356" s="1">
        <v>45852</v>
      </c>
      <c r="D356" t="s">
        <v>29</v>
      </c>
      <c r="E356" t="s">
        <v>32</v>
      </c>
      <c r="F356" s="3" t="s">
        <v>29</v>
      </c>
      <c r="G356" s="158"/>
      <c r="H356" s="193" t="s">
        <v>4775</v>
      </c>
      <c r="J356" s="81">
        <v>2600</v>
      </c>
      <c r="K356" s="69">
        <f>K355+I356-J356</f>
        <v>-220126.8</v>
      </c>
    </row>
    <row r="357" spans="1:11" hidden="1">
      <c r="A357" s="137" t="str">
        <f t="shared" si="11"/>
        <v>HRCOMBUSTIBLEHR</v>
      </c>
      <c r="B357" t="s">
        <v>1560</v>
      </c>
      <c r="C357" s="1">
        <f t="shared" si="12"/>
        <v>45852</v>
      </c>
      <c r="D357" t="s">
        <v>29</v>
      </c>
      <c r="E357" t="s">
        <v>32</v>
      </c>
      <c r="F357" s="3" t="s">
        <v>29</v>
      </c>
      <c r="G357" s="158"/>
      <c r="H357" t="s">
        <v>4769</v>
      </c>
      <c r="J357" s="81">
        <v>1700</v>
      </c>
      <c r="K357" s="69">
        <f>K356+I357-J357</f>
        <v>-221826.8</v>
      </c>
    </row>
    <row r="358" spans="1:11" hidden="1">
      <c r="A358" s="137" t="str">
        <f t="shared" si="11"/>
        <v>HRCOMBUSTIBLEHR</v>
      </c>
      <c r="B358" t="s">
        <v>1560</v>
      </c>
      <c r="C358" s="1">
        <f t="shared" si="12"/>
        <v>45852</v>
      </c>
      <c r="D358" t="s">
        <v>29</v>
      </c>
      <c r="E358" t="s">
        <v>32</v>
      </c>
      <c r="F358" s="3" t="s">
        <v>29</v>
      </c>
      <c r="G358" s="158"/>
      <c r="H358" t="s">
        <v>4753</v>
      </c>
      <c r="J358" s="81">
        <v>1000</v>
      </c>
      <c r="K358" s="69">
        <f>K357+I358-J358</f>
        <v>-222826.8</v>
      </c>
    </row>
    <row r="359" spans="1:11" hidden="1">
      <c r="A359" s="137" t="str">
        <f t="shared" si="11"/>
        <v>CAPCOMBUSTIBLECAPRICHOS</v>
      </c>
      <c r="B359" t="s">
        <v>1560</v>
      </c>
      <c r="C359" s="1">
        <f t="shared" si="12"/>
        <v>45852</v>
      </c>
      <c r="D359" t="s">
        <v>31</v>
      </c>
      <c r="E359" t="s">
        <v>32</v>
      </c>
      <c r="F359" s="3" t="s">
        <v>33</v>
      </c>
      <c r="G359" s="158"/>
      <c r="H359" t="s">
        <v>4784</v>
      </c>
      <c r="J359" s="81">
        <v>1300</v>
      </c>
      <c r="K359" s="69">
        <f>K358+I359-J359</f>
        <v>-224126.8</v>
      </c>
    </row>
    <row r="360" spans="1:11" hidden="1">
      <c r="A360" s="137" t="str">
        <f t="shared" si="11"/>
        <v>CAPCOMBUSTIBLECAPRICHOS</v>
      </c>
      <c r="B360" t="s">
        <v>1560</v>
      </c>
      <c r="C360" s="1">
        <f t="shared" si="12"/>
        <v>45852</v>
      </c>
      <c r="D360" t="s">
        <v>31</v>
      </c>
      <c r="E360" t="s">
        <v>32</v>
      </c>
      <c r="F360" s="3" t="s">
        <v>33</v>
      </c>
      <c r="G360" s="158"/>
      <c r="H360" t="s">
        <v>4782</v>
      </c>
      <c r="J360" s="81">
        <v>1000</v>
      </c>
      <c r="K360" s="69">
        <f>K359+I360-J360</f>
        <v>-225126.8</v>
      </c>
    </row>
    <row r="361" spans="1:11" hidden="1">
      <c r="A361" s="137" t="str">
        <f t="shared" si="11"/>
        <v>SERVICIOSCOMBUSTIBLESERVICIOS</v>
      </c>
      <c r="B361" t="s">
        <v>1560</v>
      </c>
      <c r="C361" s="1">
        <f t="shared" si="12"/>
        <v>45852</v>
      </c>
      <c r="D361" t="s">
        <v>21</v>
      </c>
      <c r="E361" t="s">
        <v>32</v>
      </c>
      <c r="F361" s="3" t="s">
        <v>21</v>
      </c>
      <c r="G361" s="158"/>
      <c r="H361" t="s">
        <v>4756</v>
      </c>
      <c r="J361" s="81">
        <v>400</v>
      </c>
      <c r="K361" s="69">
        <f>K360+I361-J361</f>
        <v>-225526.8</v>
      </c>
    </row>
    <row r="362" spans="1:11" ht="15" hidden="1">
      <c r="A362" s="137" t="str">
        <f t="shared" si="11"/>
        <v>SERVICIOSCOMBUSTIBLECEDIS</v>
      </c>
      <c r="B362" t="s">
        <v>1560</v>
      </c>
      <c r="C362" s="1">
        <f t="shared" si="12"/>
        <v>45852</v>
      </c>
      <c r="D362" t="s">
        <v>21</v>
      </c>
      <c r="E362" t="s">
        <v>32</v>
      </c>
      <c r="F362" s="3" t="s">
        <v>28</v>
      </c>
      <c r="G362" s="158"/>
      <c r="H362" s="71" t="s">
        <v>28</v>
      </c>
      <c r="J362" s="81">
        <v>13800</v>
      </c>
      <c r="K362" s="69">
        <f>K361+I362-J362</f>
        <v>-239326.8</v>
      </c>
    </row>
    <row r="363" spans="1:11" ht="15" hidden="1">
      <c r="A363" s="137" t="str">
        <f t="shared" si="11"/>
        <v>FINANZASCOMBUSTIBLETESORERIA</v>
      </c>
      <c r="B363" t="s">
        <v>1560</v>
      </c>
      <c r="C363" s="1">
        <f t="shared" si="12"/>
        <v>45852</v>
      </c>
      <c r="D363" t="s">
        <v>23</v>
      </c>
      <c r="E363" t="s">
        <v>32</v>
      </c>
      <c r="F363" s="3" t="s">
        <v>38</v>
      </c>
      <c r="G363" s="158"/>
      <c r="H363" s="71" t="s">
        <v>4759</v>
      </c>
      <c r="J363" s="81">
        <v>700</v>
      </c>
      <c r="K363" s="69">
        <f>K362+I363-J363</f>
        <v>-240026.8</v>
      </c>
    </row>
    <row r="364" spans="1:11" hidden="1">
      <c r="A364" s="137" t="str">
        <f t="shared" si="11"/>
        <v>FINANZASCOMBUSTIBLETESORERIA</v>
      </c>
      <c r="B364" t="s">
        <v>1560</v>
      </c>
      <c r="C364" s="1">
        <f t="shared" si="12"/>
        <v>45852</v>
      </c>
      <c r="D364" t="s">
        <v>23</v>
      </c>
      <c r="E364" t="s">
        <v>32</v>
      </c>
      <c r="F364" s="3" t="s">
        <v>38</v>
      </c>
      <c r="G364" s="158"/>
      <c r="H364" t="s">
        <v>4758</v>
      </c>
      <c r="J364" s="81">
        <v>1500</v>
      </c>
      <c r="K364" s="69">
        <f>K363+I364-J364</f>
        <v>-241526.8</v>
      </c>
    </row>
    <row r="365" spans="1:11" hidden="1">
      <c r="A365" s="137" t="str">
        <f t="shared" si="11"/>
        <v>DECOMBUSTIBLEDIRECCION</v>
      </c>
      <c r="B365" t="s">
        <v>1560</v>
      </c>
      <c r="C365" s="1">
        <f t="shared" si="12"/>
        <v>45852</v>
      </c>
      <c r="D365" t="s">
        <v>41</v>
      </c>
      <c r="E365" t="s">
        <v>32</v>
      </c>
      <c r="F365" s="3" t="s">
        <v>42</v>
      </c>
      <c r="G365" s="158"/>
      <c r="H365" t="s">
        <v>4765</v>
      </c>
      <c r="J365" s="81">
        <v>2000</v>
      </c>
      <c r="K365" s="69">
        <f>K364+I365-J365</f>
        <v>-243526.8</v>
      </c>
    </row>
    <row r="366" spans="1:11" hidden="1">
      <c r="A366" s="137" t="str">
        <f t="shared" si="11"/>
        <v>SGECOMBUSTIBLEGESTION EMPRESARIAL</v>
      </c>
      <c r="B366" t="s">
        <v>1560</v>
      </c>
      <c r="C366" s="1">
        <f t="shared" si="12"/>
        <v>45852</v>
      </c>
      <c r="D366" t="s">
        <v>39</v>
      </c>
      <c r="E366" t="s">
        <v>32</v>
      </c>
      <c r="F366" s="3" t="s">
        <v>40</v>
      </c>
      <c r="G366" s="158"/>
      <c r="H366" t="s">
        <v>40</v>
      </c>
      <c r="J366" s="81">
        <v>1000</v>
      </c>
      <c r="K366" s="69">
        <f>K365+I366-J366</f>
        <v>-244526.8</v>
      </c>
    </row>
    <row r="367" spans="1:11" hidden="1">
      <c r="A367" s="137" t="str">
        <f t="shared" si="11"/>
        <v>MMCOMBUSTIBLEMARKET MAX</v>
      </c>
      <c r="B367" t="s">
        <v>1560</v>
      </c>
      <c r="C367" s="1">
        <f t="shared" si="12"/>
        <v>45852</v>
      </c>
      <c r="D367" t="s">
        <v>45</v>
      </c>
      <c r="E367" t="s">
        <v>32</v>
      </c>
      <c r="F367" s="3" t="s">
        <v>46</v>
      </c>
      <c r="G367" s="158"/>
      <c r="H367" t="s">
        <v>4780</v>
      </c>
      <c r="J367" s="81">
        <v>700</v>
      </c>
      <c r="K367" s="69">
        <f>K366+I367-J367</f>
        <v>-245226.8</v>
      </c>
    </row>
    <row r="368" spans="1:11" hidden="1">
      <c r="A368" s="137" t="str">
        <f t="shared" si="11"/>
        <v>MELCOMBUSTIBLEMELISSA</v>
      </c>
      <c r="B368" t="s">
        <v>1560</v>
      </c>
      <c r="C368" s="1">
        <f t="shared" si="12"/>
        <v>45852</v>
      </c>
      <c r="D368" t="s">
        <v>43</v>
      </c>
      <c r="E368" t="s">
        <v>32</v>
      </c>
      <c r="F368" s="3" t="s">
        <v>44</v>
      </c>
      <c r="G368" s="158"/>
      <c r="H368" t="s">
        <v>4760</v>
      </c>
      <c r="J368" s="81">
        <v>2000</v>
      </c>
      <c r="K368" s="69">
        <f>K367+I368-J368</f>
        <v>-247226.8</v>
      </c>
    </row>
    <row r="369" spans="1:11" hidden="1">
      <c r="A369" s="137" t="str">
        <f t="shared" si="11"/>
        <v>SERVICIOSCOMBUSTIBLEINVENTARIOS</v>
      </c>
      <c r="B369" t="s">
        <v>1560</v>
      </c>
      <c r="C369" s="1">
        <f t="shared" si="12"/>
        <v>45852</v>
      </c>
      <c r="D369" t="s">
        <v>21</v>
      </c>
      <c r="E369" t="s">
        <v>32</v>
      </c>
      <c r="F369" s="3" t="s">
        <v>34</v>
      </c>
      <c r="G369" s="158"/>
      <c r="H369" t="s">
        <v>4786</v>
      </c>
      <c r="J369" s="81">
        <v>500</v>
      </c>
      <c r="K369" s="69">
        <f>K368+I369-J369</f>
        <v>-247726.8</v>
      </c>
    </row>
    <row r="370" spans="1:11" hidden="1">
      <c r="A370" s="137" t="str">
        <f t="shared" si="11"/>
        <v>HRCOMBUSTIBLEHR</v>
      </c>
      <c r="B370" t="s">
        <v>1560</v>
      </c>
      <c r="C370" s="1">
        <v>45859</v>
      </c>
      <c r="D370" t="s">
        <v>29</v>
      </c>
      <c r="E370" t="s">
        <v>32</v>
      </c>
      <c r="F370" s="3" t="s">
        <v>29</v>
      </c>
      <c r="G370" s="158"/>
      <c r="H370" t="s">
        <v>4753</v>
      </c>
      <c r="J370" s="81">
        <v>750</v>
      </c>
      <c r="K370" s="69">
        <f>K369+I370-J370</f>
        <v>-248476.79999999999</v>
      </c>
    </row>
    <row r="371" spans="1:11" hidden="1">
      <c r="A371" s="137" t="str">
        <f t="shared" si="11"/>
        <v>CAPCOMBUSTIBLECAPRICHOS</v>
      </c>
      <c r="B371" t="s">
        <v>1560</v>
      </c>
      <c r="C371" s="1">
        <f t="shared" si="12"/>
        <v>45859</v>
      </c>
      <c r="D371" t="s">
        <v>31</v>
      </c>
      <c r="E371" t="s">
        <v>32</v>
      </c>
      <c r="F371" s="3" t="s">
        <v>33</v>
      </c>
      <c r="G371" s="158"/>
      <c r="H371" t="s">
        <v>4784</v>
      </c>
      <c r="J371" s="81">
        <v>1300</v>
      </c>
      <c r="K371" s="69">
        <f>K370+I371-J371</f>
        <v>-249776.8</v>
      </c>
    </row>
    <row r="372" spans="1:11" hidden="1">
      <c r="A372" s="137" t="str">
        <f t="shared" si="11"/>
        <v>CAPCOMBUSTIBLECAPRICHOS</v>
      </c>
      <c r="B372" t="s">
        <v>1560</v>
      </c>
      <c r="C372" s="1">
        <f t="shared" si="12"/>
        <v>45859</v>
      </c>
      <c r="D372" t="s">
        <v>31</v>
      </c>
      <c r="E372" t="s">
        <v>32</v>
      </c>
      <c r="F372" s="3" t="s">
        <v>33</v>
      </c>
      <c r="G372" s="158"/>
      <c r="H372" t="s">
        <v>4782</v>
      </c>
      <c r="J372" s="81">
        <v>1000</v>
      </c>
      <c r="K372" s="69">
        <f>K371+I372-J372</f>
        <v>-250776.8</v>
      </c>
    </row>
    <row r="373" spans="1:11" ht="15" hidden="1">
      <c r="A373" s="137" t="str">
        <f t="shared" si="11"/>
        <v>SERVICIOSCOMBUSTIBLECEDIS</v>
      </c>
      <c r="B373" t="s">
        <v>1560</v>
      </c>
      <c r="C373" s="1">
        <f t="shared" si="12"/>
        <v>45859</v>
      </c>
      <c r="D373" t="s">
        <v>21</v>
      </c>
      <c r="E373" t="s">
        <v>32</v>
      </c>
      <c r="F373" s="3" t="s">
        <v>28</v>
      </c>
      <c r="G373" s="158"/>
      <c r="H373" s="71" t="s">
        <v>28</v>
      </c>
      <c r="J373" s="81">
        <v>20500</v>
      </c>
      <c r="K373" s="69">
        <f>K372+I373-J373</f>
        <v>-271276.79999999999</v>
      </c>
    </row>
    <row r="374" spans="1:11" hidden="1">
      <c r="A374" s="137" t="str">
        <f t="shared" si="11"/>
        <v>FINANZASCOMBUSTIBLECONTABILIDAD</v>
      </c>
      <c r="B374" t="s">
        <v>1560</v>
      </c>
      <c r="C374" s="1">
        <f t="shared" si="12"/>
        <v>45859</v>
      </c>
      <c r="D374" t="s">
        <v>23</v>
      </c>
      <c r="E374" t="s">
        <v>32</v>
      </c>
      <c r="F374" s="3" t="s">
        <v>37</v>
      </c>
      <c r="G374" s="158"/>
      <c r="H374" t="s">
        <v>4757</v>
      </c>
      <c r="J374" s="81">
        <v>1000</v>
      </c>
      <c r="K374" s="69">
        <f>K373+I374-J374</f>
        <v>-272276.8</v>
      </c>
    </row>
    <row r="375" spans="1:11" ht="15" hidden="1">
      <c r="A375" s="137" t="str">
        <f t="shared" si="11"/>
        <v>FINANZASCOMBUSTIBLETESORERIA</v>
      </c>
      <c r="B375" t="s">
        <v>1560</v>
      </c>
      <c r="C375" s="1">
        <f t="shared" si="12"/>
        <v>45859</v>
      </c>
      <c r="D375" t="s">
        <v>23</v>
      </c>
      <c r="E375" t="s">
        <v>32</v>
      </c>
      <c r="F375" s="3" t="s">
        <v>38</v>
      </c>
      <c r="G375" s="158"/>
      <c r="H375" s="71" t="s">
        <v>4759</v>
      </c>
      <c r="J375" s="81">
        <v>700</v>
      </c>
      <c r="K375" s="69">
        <f>K374+I375-J375</f>
        <v>-272976.8</v>
      </c>
    </row>
    <row r="376" spans="1:11" hidden="1">
      <c r="A376" s="137" t="str">
        <f t="shared" si="11"/>
        <v>FINANZASCOMBUSTIBLETESORERIA</v>
      </c>
      <c r="B376" t="s">
        <v>1560</v>
      </c>
      <c r="C376" s="1">
        <f t="shared" si="12"/>
        <v>45859</v>
      </c>
      <c r="D376" t="s">
        <v>23</v>
      </c>
      <c r="E376" t="s">
        <v>32</v>
      </c>
      <c r="F376" s="3" t="s">
        <v>38</v>
      </c>
      <c r="G376" s="158"/>
      <c r="H376" t="s">
        <v>4758</v>
      </c>
      <c r="J376" s="81">
        <v>1500</v>
      </c>
      <c r="K376" s="69">
        <f>K375+I376-J376</f>
        <v>-274476.79999999999</v>
      </c>
    </row>
    <row r="377" spans="1:11" hidden="1">
      <c r="A377" s="137" t="str">
        <f t="shared" ref="A377:A440" si="13">D377&amp;E377&amp;F377</f>
        <v>FINANZASCOMBUSTIBLEFINANZAS</v>
      </c>
      <c r="B377" t="s">
        <v>1560</v>
      </c>
      <c r="C377" s="1">
        <f t="shared" si="12"/>
        <v>45859</v>
      </c>
      <c r="D377" t="s">
        <v>23</v>
      </c>
      <c r="E377" t="s">
        <v>32</v>
      </c>
      <c r="F377" s="3" t="s">
        <v>23</v>
      </c>
      <c r="G377" s="158"/>
      <c r="H377" t="s">
        <v>4764</v>
      </c>
      <c r="J377" s="81">
        <v>700</v>
      </c>
      <c r="K377" s="69">
        <f>K376+I377-J377</f>
        <v>-275176.8</v>
      </c>
    </row>
    <row r="378" spans="1:11" hidden="1">
      <c r="A378" s="137" t="str">
        <f t="shared" si="13"/>
        <v>MMCOMBUSTIBLEMARKET MAX</v>
      </c>
      <c r="B378" t="s">
        <v>1560</v>
      </c>
      <c r="C378" s="1">
        <f t="shared" si="12"/>
        <v>45859</v>
      </c>
      <c r="D378" t="s">
        <v>45</v>
      </c>
      <c r="E378" t="s">
        <v>32</v>
      </c>
      <c r="F378" s="3" t="s">
        <v>46</v>
      </c>
      <c r="G378" s="158"/>
      <c r="H378" t="s">
        <v>4780</v>
      </c>
      <c r="J378" s="81">
        <v>700</v>
      </c>
      <c r="K378" s="69">
        <f>K377+I378-J378</f>
        <v>-275876.8</v>
      </c>
    </row>
    <row r="379" spans="1:11" hidden="1">
      <c r="A379" s="137" t="str">
        <f t="shared" si="13"/>
        <v>MELCOMBUSTIBLEMELISSA</v>
      </c>
      <c r="B379" t="s">
        <v>1560</v>
      </c>
      <c r="C379" s="1">
        <f t="shared" si="12"/>
        <v>45859</v>
      </c>
      <c r="D379" t="s">
        <v>43</v>
      </c>
      <c r="E379" t="s">
        <v>32</v>
      </c>
      <c r="F379" s="3" t="s">
        <v>44</v>
      </c>
      <c r="G379" s="158"/>
      <c r="H379" t="s">
        <v>4760</v>
      </c>
      <c r="J379" s="81">
        <v>1000</v>
      </c>
      <c r="K379" s="69">
        <f>K378+I379-J379</f>
        <v>-276876.79999999999</v>
      </c>
    </row>
    <row r="380" spans="1:11" hidden="1">
      <c r="A380" s="137" t="str">
        <f t="shared" si="13"/>
        <v>SERVICIOSCOMBUSTIBLEINVENTARIOS</v>
      </c>
      <c r="B380" t="s">
        <v>1560</v>
      </c>
      <c r="C380" s="1">
        <f t="shared" si="12"/>
        <v>45859</v>
      </c>
      <c r="D380" t="s">
        <v>21</v>
      </c>
      <c r="E380" t="s">
        <v>32</v>
      </c>
      <c r="F380" s="3" t="s">
        <v>34</v>
      </c>
      <c r="G380" s="158"/>
      <c r="H380" t="s">
        <v>4786</v>
      </c>
      <c r="J380" s="81">
        <v>500</v>
      </c>
      <c r="K380" s="69">
        <f>K379+I380-J380</f>
        <v>-277376.8</v>
      </c>
    </row>
    <row r="381" spans="1:11" ht="15" hidden="1">
      <c r="A381" s="137" t="str">
        <f t="shared" si="13"/>
        <v>HRCOMBUSTIBLEHR</v>
      </c>
      <c r="B381" t="s">
        <v>1560</v>
      </c>
      <c r="C381" s="1">
        <v>45866</v>
      </c>
      <c r="D381" t="s">
        <v>29</v>
      </c>
      <c r="E381" t="s">
        <v>32</v>
      </c>
      <c r="F381" s="3" t="s">
        <v>29</v>
      </c>
      <c r="G381" s="158"/>
      <c r="H381" s="193" t="s">
        <v>4775</v>
      </c>
      <c r="J381" s="81">
        <v>1500</v>
      </c>
      <c r="K381" s="69">
        <f>K380+I381-J381</f>
        <v>-278876.79999999999</v>
      </c>
    </row>
    <row r="382" spans="1:11" hidden="1">
      <c r="A382" s="137" t="str">
        <f t="shared" si="13"/>
        <v>HRCOMBUSTIBLEHR</v>
      </c>
      <c r="B382" t="s">
        <v>1560</v>
      </c>
      <c r="C382" s="1">
        <f t="shared" ref="C381:C444" si="14">C381</f>
        <v>45866</v>
      </c>
      <c r="D382" t="s">
        <v>29</v>
      </c>
      <c r="E382" t="s">
        <v>32</v>
      </c>
      <c r="F382" s="3" t="s">
        <v>29</v>
      </c>
      <c r="G382" s="158"/>
      <c r="H382" t="s">
        <v>4753</v>
      </c>
      <c r="J382" s="81">
        <v>1000</v>
      </c>
      <c r="K382" s="69">
        <f>K381+I382-J382</f>
        <v>-279876.8</v>
      </c>
    </row>
    <row r="383" spans="1:11" hidden="1">
      <c r="A383" s="137" t="str">
        <f t="shared" si="13"/>
        <v>CAPCOMBUSTIBLECAPRICHOS</v>
      </c>
      <c r="B383" t="s">
        <v>1560</v>
      </c>
      <c r="C383" s="1">
        <f t="shared" si="14"/>
        <v>45866</v>
      </c>
      <c r="D383" t="s">
        <v>31</v>
      </c>
      <c r="E383" t="s">
        <v>32</v>
      </c>
      <c r="F383" s="3" t="s">
        <v>33</v>
      </c>
      <c r="G383" s="158"/>
      <c r="H383" t="s">
        <v>4784</v>
      </c>
      <c r="J383" s="81">
        <v>1300</v>
      </c>
      <c r="K383" s="69">
        <f>K382+I383-J383</f>
        <v>-281176.8</v>
      </c>
    </row>
    <row r="384" spans="1:11" hidden="1">
      <c r="A384" s="137" t="str">
        <f t="shared" si="13"/>
        <v>CAPCOMBUSTIBLECAPRICHOS</v>
      </c>
      <c r="B384" t="s">
        <v>1560</v>
      </c>
      <c r="C384" s="1">
        <f t="shared" si="14"/>
        <v>45866</v>
      </c>
      <c r="D384" t="s">
        <v>31</v>
      </c>
      <c r="E384" t="s">
        <v>32</v>
      </c>
      <c r="F384" s="3" t="s">
        <v>33</v>
      </c>
      <c r="G384" s="158"/>
      <c r="H384" t="s">
        <v>4782</v>
      </c>
      <c r="J384" s="81">
        <v>350</v>
      </c>
      <c r="K384" s="69">
        <f>K383+I384-J384</f>
        <v>-281526.8</v>
      </c>
    </row>
    <row r="385" spans="1:11" ht="15" hidden="1">
      <c r="A385" s="137" t="str">
        <f t="shared" si="13"/>
        <v>SERVICIOSCOMBUSTIBLECEDIS</v>
      </c>
      <c r="B385" t="s">
        <v>1560</v>
      </c>
      <c r="C385" s="1">
        <f t="shared" si="14"/>
        <v>45866</v>
      </c>
      <c r="D385" t="s">
        <v>21</v>
      </c>
      <c r="E385" t="s">
        <v>32</v>
      </c>
      <c r="F385" s="3" t="s">
        <v>28</v>
      </c>
      <c r="G385" s="158"/>
      <c r="H385" s="71" t="s">
        <v>28</v>
      </c>
      <c r="J385" s="81">
        <v>18700</v>
      </c>
      <c r="K385" s="69">
        <f>K384+I385-J385</f>
        <v>-300226.8</v>
      </c>
    </row>
    <row r="386" spans="1:11" hidden="1">
      <c r="A386" s="137" t="str">
        <f t="shared" si="13"/>
        <v>SERVICIOSCOMBUSTIBLEMANTENIMIENTO</v>
      </c>
      <c r="B386" t="s">
        <v>1560</v>
      </c>
      <c r="C386" s="1">
        <f t="shared" si="14"/>
        <v>45866</v>
      </c>
      <c r="D386" t="s">
        <v>21</v>
      </c>
      <c r="E386" t="s">
        <v>32</v>
      </c>
      <c r="F386" s="3" t="s">
        <v>35</v>
      </c>
      <c r="G386" s="158"/>
      <c r="H386" t="s">
        <v>4762</v>
      </c>
      <c r="J386" s="81">
        <v>700</v>
      </c>
      <c r="K386" s="69">
        <f>K385+I386-J386</f>
        <v>-300926.8</v>
      </c>
    </row>
    <row r="387" spans="1:11" ht="15" hidden="1">
      <c r="A387" s="137" t="str">
        <f t="shared" si="13"/>
        <v>FINANZASCOMBUSTIBLETESORERIA</v>
      </c>
      <c r="B387" t="s">
        <v>1560</v>
      </c>
      <c r="C387" s="1">
        <f t="shared" si="14"/>
        <v>45866</v>
      </c>
      <c r="D387" t="s">
        <v>23</v>
      </c>
      <c r="E387" t="s">
        <v>32</v>
      </c>
      <c r="F387" s="3" t="s">
        <v>38</v>
      </c>
      <c r="G387" s="158"/>
      <c r="H387" s="71" t="s">
        <v>4759</v>
      </c>
      <c r="J387" s="81">
        <v>700</v>
      </c>
      <c r="K387" s="69">
        <f>K386+I387-J387</f>
        <v>-301626.8</v>
      </c>
    </row>
    <row r="388" spans="1:11" hidden="1">
      <c r="A388" s="137" t="str">
        <f t="shared" si="13"/>
        <v>FINANZASCOMBUSTIBLETESORERIA</v>
      </c>
      <c r="B388" t="s">
        <v>1560</v>
      </c>
      <c r="C388" s="1">
        <f t="shared" si="14"/>
        <v>45866</v>
      </c>
      <c r="D388" t="s">
        <v>23</v>
      </c>
      <c r="E388" t="s">
        <v>32</v>
      </c>
      <c r="F388" s="3" t="s">
        <v>38</v>
      </c>
      <c r="G388" s="158"/>
      <c r="H388" t="s">
        <v>4758</v>
      </c>
      <c r="J388" s="81">
        <v>1500</v>
      </c>
      <c r="K388" s="69">
        <f>K387+I388-J388</f>
        <v>-303126.8</v>
      </c>
    </row>
    <row r="389" spans="1:11" hidden="1">
      <c r="A389" s="137" t="str">
        <f t="shared" si="13"/>
        <v>FINANZASCOMBUSTIBLEFINANZAS</v>
      </c>
      <c r="B389" t="s">
        <v>1560</v>
      </c>
      <c r="C389" s="1">
        <f t="shared" si="14"/>
        <v>45866</v>
      </c>
      <c r="D389" t="s">
        <v>23</v>
      </c>
      <c r="E389" t="s">
        <v>32</v>
      </c>
      <c r="F389" s="3" t="s">
        <v>23</v>
      </c>
      <c r="G389" s="158"/>
      <c r="H389" t="s">
        <v>4764</v>
      </c>
      <c r="J389" s="81">
        <v>700</v>
      </c>
      <c r="K389" s="69">
        <f>K388+I389-J389</f>
        <v>-303826.8</v>
      </c>
    </row>
    <row r="390" spans="1:11" hidden="1">
      <c r="A390" s="137" t="str">
        <f t="shared" si="13"/>
        <v>DECOMBUSTIBLEDIRECCION</v>
      </c>
      <c r="B390" t="s">
        <v>1560</v>
      </c>
      <c r="C390" s="1">
        <f t="shared" si="14"/>
        <v>45866</v>
      </c>
      <c r="D390" t="s">
        <v>41</v>
      </c>
      <c r="E390" t="s">
        <v>32</v>
      </c>
      <c r="F390" s="3" t="s">
        <v>42</v>
      </c>
      <c r="G390" s="158"/>
      <c r="H390" t="s">
        <v>4765</v>
      </c>
      <c r="J390" s="81">
        <v>1000</v>
      </c>
      <c r="K390" s="69">
        <f>K389+I390-J390</f>
        <v>-304826.8</v>
      </c>
    </row>
    <row r="391" spans="1:11" hidden="1">
      <c r="A391" s="137" t="str">
        <f t="shared" si="13"/>
        <v>MMCOMBUSTIBLEMARKET MAX</v>
      </c>
      <c r="B391" t="s">
        <v>1560</v>
      </c>
      <c r="C391" s="1">
        <f t="shared" si="14"/>
        <v>45866</v>
      </c>
      <c r="D391" t="s">
        <v>45</v>
      </c>
      <c r="E391" t="s">
        <v>32</v>
      </c>
      <c r="F391" s="3" t="s">
        <v>46</v>
      </c>
      <c r="G391" s="158"/>
      <c r="H391" t="s">
        <v>4780</v>
      </c>
      <c r="J391" s="81">
        <v>700</v>
      </c>
      <c r="K391" s="69">
        <f>K390+I391-J391</f>
        <v>-305526.8</v>
      </c>
    </row>
    <row r="392" spans="1:11" hidden="1">
      <c r="A392" s="137" t="str">
        <f t="shared" si="13"/>
        <v>MELCOMBUSTIBLEMELISSA</v>
      </c>
      <c r="B392" t="s">
        <v>1560</v>
      </c>
      <c r="C392" s="1">
        <f t="shared" si="14"/>
        <v>45866</v>
      </c>
      <c r="D392" t="s">
        <v>43</v>
      </c>
      <c r="E392" t="s">
        <v>32</v>
      </c>
      <c r="F392" s="3" t="s">
        <v>44</v>
      </c>
      <c r="G392" s="158"/>
      <c r="H392" t="s">
        <v>4760</v>
      </c>
      <c r="J392" s="81">
        <v>1000</v>
      </c>
      <c r="K392" s="69">
        <f>K391+I392-J392</f>
        <v>-306526.8</v>
      </c>
    </row>
    <row r="393" spans="1:11" hidden="1">
      <c r="A393" s="137" t="str">
        <f t="shared" si="13"/>
        <v>SERVICIOSCOMBUSTIBLEINVENTARIOS</v>
      </c>
      <c r="B393" t="s">
        <v>1560</v>
      </c>
      <c r="C393" s="1">
        <f t="shared" si="14"/>
        <v>45866</v>
      </c>
      <c r="D393" t="s">
        <v>21</v>
      </c>
      <c r="E393" t="s">
        <v>32</v>
      </c>
      <c r="F393" s="3" t="s">
        <v>34</v>
      </c>
      <c r="G393" s="158"/>
      <c r="H393" t="s">
        <v>4786</v>
      </c>
      <c r="J393" s="81">
        <v>500</v>
      </c>
      <c r="K393" s="69">
        <f>K392+I393-J393</f>
        <v>-307026.8</v>
      </c>
    </row>
    <row r="394" spans="1:11" ht="15" hidden="1">
      <c r="A394" s="137" t="str">
        <f t="shared" si="13"/>
        <v>HRCOMBUSTIBLEHR</v>
      </c>
      <c r="B394" t="s">
        <v>1807</v>
      </c>
      <c r="C394" s="1">
        <v>45873</v>
      </c>
      <c r="D394" t="s">
        <v>29</v>
      </c>
      <c r="E394" t="s">
        <v>32</v>
      </c>
      <c r="F394" s="3" t="s">
        <v>29</v>
      </c>
      <c r="G394" s="158"/>
      <c r="H394" s="193" t="s">
        <v>4775</v>
      </c>
      <c r="J394" s="81">
        <v>800</v>
      </c>
      <c r="K394" s="69">
        <f>K393+I394-J394</f>
        <v>-307826.8</v>
      </c>
    </row>
    <row r="395" spans="1:11" hidden="1">
      <c r="A395" s="137" t="str">
        <f>D395&amp;E395&amp;F395</f>
        <v>HRCOMBUSTIBLEHR</v>
      </c>
      <c r="B395" t="s">
        <v>1807</v>
      </c>
      <c r="C395" s="1">
        <f t="shared" si="14"/>
        <v>45873</v>
      </c>
      <c r="D395" t="s">
        <v>29</v>
      </c>
      <c r="E395" t="s">
        <v>32</v>
      </c>
      <c r="F395" s="3" t="s">
        <v>29</v>
      </c>
      <c r="G395" s="158"/>
      <c r="H395" t="s">
        <v>4769</v>
      </c>
      <c r="J395" s="81">
        <v>1200</v>
      </c>
      <c r="K395" s="69">
        <f>K394+I395-J395</f>
        <v>-309026.8</v>
      </c>
    </row>
    <row r="396" spans="1:11" hidden="1">
      <c r="A396" s="137" t="str">
        <f>D396&amp;E396&amp;F396</f>
        <v>HRCOMBUSTIBLEHR</v>
      </c>
      <c r="B396" t="s">
        <v>1807</v>
      </c>
      <c r="C396" s="1">
        <f t="shared" si="14"/>
        <v>45873</v>
      </c>
      <c r="D396" t="s">
        <v>29</v>
      </c>
      <c r="E396" t="s">
        <v>32</v>
      </c>
      <c r="F396" s="3" t="s">
        <v>29</v>
      </c>
      <c r="G396" s="158"/>
      <c r="H396" t="s">
        <v>4753</v>
      </c>
      <c r="J396" s="81">
        <v>1100</v>
      </c>
      <c r="K396" s="69">
        <f>K395+I396-J396</f>
        <v>-310126.8</v>
      </c>
    </row>
    <row r="397" spans="1:11" hidden="1">
      <c r="A397" s="137" t="str">
        <f>D397&amp;E397&amp;F397</f>
        <v>CAPCOMBUSTIBLECAPRICHOS</v>
      </c>
      <c r="B397" t="s">
        <v>1807</v>
      </c>
      <c r="C397" s="1">
        <f t="shared" si="14"/>
        <v>45873</v>
      </c>
      <c r="D397" t="s">
        <v>31</v>
      </c>
      <c r="E397" t="s">
        <v>32</v>
      </c>
      <c r="F397" s="3" t="s">
        <v>33</v>
      </c>
      <c r="G397" s="158"/>
      <c r="H397" t="s">
        <v>4784</v>
      </c>
      <c r="J397" s="81">
        <v>1300</v>
      </c>
      <c r="K397" s="69">
        <f>K396+I397-J397</f>
        <v>-311426.8</v>
      </c>
    </row>
    <row r="398" spans="1:11" hidden="1">
      <c r="A398" s="137" t="str">
        <f>D398&amp;E398&amp;F398</f>
        <v>CAPCOMBUSTIBLECAPRICHOS</v>
      </c>
      <c r="B398" t="s">
        <v>1807</v>
      </c>
      <c r="C398" s="1">
        <f t="shared" si="14"/>
        <v>45873</v>
      </c>
      <c r="D398" t="s">
        <v>31</v>
      </c>
      <c r="E398" t="s">
        <v>32</v>
      </c>
      <c r="F398" s="3" t="s">
        <v>33</v>
      </c>
      <c r="G398" s="158"/>
      <c r="H398" t="s">
        <v>4782</v>
      </c>
      <c r="J398" s="81">
        <v>1000</v>
      </c>
      <c r="K398" s="69">
        <f>K397+I398-J398</f>
        <v>-312426.8</v>
      </c>
    </row>
    <row r="399" spans="1:11" hidden="1">
      <c r="A399" s="137" t="str">
        <f>D399&amp;E399&amp;F399</f>
        <v>CAPCOMBUSTIBLECAPRICHOS</v>
      </c>
      <c r="B399" t="s">
        <v>1807</v>
      </c>
      <c r="C399" s="1">
        <f t="shared" si="14"/>
        <v>45873</v>
      </c>
      <c r="D399" t="s">
        <v>31</v>
      </c>
      <c r="E399" t="s">
        <v>32</v>
      </c>
      <c r="F399" s="3" t="s">
        <v>33</v>
      </c>
      <c r="G399" s="158"/>
      <c r="H399" t="s">
        <v>4785</v>
      </c>
      <c r="J399" s="81">
        <v>1500</v>
      </c>
      <c r="K399" s="69">
        <f>K398+I399-J399</f>
        <v>-313926.8</v>
      </c>
    </row>
    <row r="400" spans="1:11" hidden="1">
      <c r="A400" s="137" t="str">
        <f>D400&amp;E400&amp;F400</f>
        <v>SERVICIOSCOMBUSTIBLESERVICIOS</v>
      </c>
      <c r="B400" t="s">
        <v>1807</v>
      </c>
      <c r="C400" s="1">
        <f t="shared" si="14"/>
        <v>45873</v>
      </c>
      <c r="D400" t="s">
        <v>21</v>
      </c>
      <c r="E400" t="s">
        <v>32</v>
      </c>
      <c r="F400" s="3" t="s">
        <v>21</v>
      </c>
      <c r="G400" s="158"/>
      <c r="H400" t="s">
        <v>4756</v>
      </c>
      <c r="J400" s="81">
        <v>400</v>
      </c>
      <c r="K400" s="69">
        <f>K399+I400-J400</f>
        <v>-314326.8</v>
      </c>
    </row>
    <row r="401" spans="1:11" ht="15" hidden="1">
      <c r="A401" s="137" t="str">
        <f>D401&amp;E401&amp;F401</f>
        <v>SERVICIOSCOMBUSTIBLECEDIS</v>
      </c>
      <c r="B401" t="s">
        <v>1807</v>
      </c>
      <c r="C401" s="1">
        <f t="shared" si="14"/>
        <v>45873</v>
      </c>
      <c r="D401" t="s">
        <v>21</v>
      </c>
      <c r="E401" t="s">
        <v>32</v>
      </c>
      <c r="F401" s="3" t="s">
        <v>28</v>
      </c>
      <c r="G401" s="158"/>
      <c r="H401" s="71" t="s">
        <v>28</v>
      </c>
      <c r="J401" s="81">
        <v>20500</v>
      </c>
      <c r="K401" s="69">
        <f>K400+I401-J401</f>
        <v>-334826.8</v>
      </c>
    </row>
    <row r="402" spans="1:11" hidden="1">
      <c r="A402" s="137" t="str">
        <f>D402&amp;E402&amp;F402</f>
        <v>SERVICIOSCOMBUSTIBLEMANTENIMIENTO</v>
      </c>
      <c r="B402" t="s">
        <v>1807</v>
      </c>
      <c r="C402" s="1">
        <f t="shared" si="14"/>
        <v>45873</v>
      </c>
      <c r="D402" t="s">
        <v>21</v>
      </c>
      <c r="E402" t="s">
        <v>32</v>
      </c>
      <c r="F402" s="3" t="s">
        <v>35</v>
      </c>
      <c r="G402" s="158"/>
      <c r="H402" t="s">
        <v>4762</v>
      </c>
      <c r="J402" s="81">
        <v>500</v>
      </c>
      <c r="K402" s="69">
        <f>K401+I402-J402</f>
        <v>-335326.8</v>
      </c>
    </row>
    <row r="403" spans="1:11" ht="15" hidden="1">
      <c r="A403" s="137" t="str">
        <f>D403&amp;E403&amp;F403</f>
        <v>FINANZASCOMBUSTIBLETESORERIA</v>
      </c>
      <c r="B403" t="s">
        <v>1807</v>
      </c>
      <c r="C403" s="1">
        <f t="shared" si="14"/>
        <v>45873</v>
      </c>
      <c r="D403" t="s">
        <v>23</v>
      </c>
      <c r="E403" t="s">
        <v>32</v>
      </c>
      <c r="F403" s="3" t="s">
        <v>38</v>
      </c>
      <c r="G403" s="158"/>
      <c r="H403" s="71" t="s">
        <v>4759</v>
      </c>
      <c r="J403" s="81">
        <v>700</v>
      </c>
      <c r="K403" s="69">
        <f>K402+I403-J403</f>
        <v>-336026.8</v>
      </c>
    </row>
    <row r="404" spans="1:11" hidden="1">
      <c r="A404" s="137" t="str">
        <f>D404&amp;E404&amp;F404</f>
        <v>FINANZASCOMBUSTIBLETESORERIA</v>
      </c>
      <c r="B404" t="s">
        <v>1807</v>
      </c>
      <c r="C404" s="1">
        <f t="shared" si="14"/>
        <v>45873</v>
      </c>
      <c r="D404" t="s">
        <v>23</v>
      </c>
      <c r="E404" t="s">
        <v>32</v>
      </c>
      <c r="F404" s="3" t="s">
        <v>38</v>
      </c>
      <c r="G404" s="158"/>
      <c r="H404" t="s">
        <v>4758</v>
      </c>
      <c r="J404" s="81">
        <v>1500</v>
      </c>
      <c r="K404" s="69">
        <f>K403+I404-J404</f>
        <v>-337526.8</v>
      </c>
    </row>
    <row r="405" spans="1:11" hidden="1">
      <c r="A405" s="137" t="str">
        <f>D405&amp;E405&amp;F405</f>
        <v>FINANZASCOMBUSTIBLEFINANZAS</v>
      </c>
      <c r="B405" t="s">
        <v>1807</v>
      </c>
      <c r="C405" s="1">
        <f t="shared" si="14"/>
        <v>45873</v>
      </c>
      <c r="D405" t="s">
        <v>23</v>
      </c>
      <c r="E405" t="s">
        <v>32</v>
      </c>
      <c r="F405" s="3" t="s">
        <v>23</v>
      </c>
      <c r="G405" s="158"/>
      <c r="H405" t="s">
        <v>4764</v>
      </c>
      <c r="J405" s="81">
        <v>700</v>
      </c>
      <c r="K405" s="69">
        <f>K404+I405-J405</f>
        <v>-338226.8</v>
      </c>
    </row>
    <row r="406" spans="1:11" hidden="1">
      <c r="A406" s="137" t="str">
        <f>D406&amp;E406&amp;F406</f>
        <v>DECOMBUSTIBLEDIRECCION</v>
      </c>
      <c r="B406" t="s">
        <v>1807</v>
      </c>
      <c r="C406" s="1">
        <f t="shared" si="14"/>
        <v>45873</v>
      </c>
      <c r="D406" t="s">
        <v>41</v>
      </c>
      <c r="E406" t="s">
        <v>32</v>
      </c>
      <c r="F406" s="3" t="s">
        <v>42</v>
      </c>
      <c r="G406" s="158"/>
      <c r="H406" t="s">
        <v>4765</v>
      </c>
      <c r="J406" s="81">
        <v>1000</v>
      </c>
      <c r="K406" s="69">
        <f>K405+I406-J406</f>
        <v>-339226.8</v>
      </c>
    </row>
    <row r="407" spans="1:11" hidden="1">
      <c r="A407" s="137" t="str">
        <f>D407&amp;E407&amp;F407</f>
        <v>MMCOMBUSTIBLEMARKET MAX</v>
      </c>
      <c r="B407" t="s">
        <v>1807</v>
      </c>
      <c r="C407" s="1">
        <f t="shared" si="14"/>
        <v>45873</v>
      </c>
      <c r="D407" t="s">
        <v>45</v>
      </c>
      <c r="E407" t="s">
        <v>32</v>
      </c>
      <c r="F407" s="3" t="s">
        <v>46</v>
      </c>
      <c r="G407" s="158"/>
      <c r="H407" t="s">
        <v>4780</v>
      </c>
      <c r="J407" s="81">
        <v>700</v>
      </c>
      <c r="K407" s="69">
        <f>K406+I407-J407</f>
        <v>-339926.8</v>
      </c>
    </row>
    <row r="408" spans="1:11" hidden="1">
      <c r="A408" s="137" t="str">
        <f>D408&amp;E408&amp;F408</f>
        <v>MELCOMBUSTIBLEMELISSA</v>
      </c>
      <c r="B408" t="s">
        <v>1807</v>
      </c>
      <c r="C408" s="1">
        <f t="shared" si="14"/>
        <v>45873</v>
      </c>
      <c r="D408" t="s">
        <v>43</v>
      </c>
      <c r="E408" t="s">
        <v>32</v>
      </c>
      <c r="F408" s="3" t="s">
        <v>44</v>
      </c>
      <c r="G408" s="158"/>
      <c r="H408" t="s">
        <v>4760</v>
      </c>
      <c r="J408" s="81">
        <v>1000</v>
      </c>
      <c r="K408" s="69">
        <f>K407+I408-J408</f>
        <v>-340926.8</v>
      </c>
    </row>
    <row r="409" spans="1:11" ht="15" hidden="1">
      <c r="A409" s="137" t="str">
        <f>D409&amp;E409&amp;F409</f>
        <v>HRCOMBUSTIBLEHR</v>
      </c>
      <c r="B409" t="s">
        <v>1807</v>
      </c>
      <c r="C409" s="1">
        <v>45880</v>
      </c>
      <c r="D409" t="s">
        <v>29</v>
      </c>
      <c r="E409" t="s">
        <v>32</v>
      </c>
      <c r="F409" s="3" t="s">
        <v>29</v>
      </c>
      <c r="G409" s="158"/>
      <c r="H409" s="193" t="s">
        <v>4775</v>
      </c>
      <c r="J409" s="81">
        <v>1400</v>
      </c>
      <c r="K409" s="69">
        <f>K408+I409-J409</f>
        <v>-342326.8</v>
      </c>
    </row>
    <row r="410" spans="1:11" hidden="1">
      <c r="A410" s="137" t="str">
        <f>D410&amp;E410&amp;F410</f>
        <v>HRCOMBUSTIBLEHR</v>
      </c>
      <c r="B410" t="s">
        <v>1807</v>
      </c>
      <c r="C410" s="1">
        <f t="shared" si="14"/>
        <v>45880</v>
      </c>
      <c r="D410" t="s">
        <v>29</v>
      </c>
      <c r="E410" t="s">
        <v>32</v>
      </c>
      <c r="F410" s="3" t="s">
        <v>29</v>
      </c>
      <c r="G410" s="158"/>
      <c r="H410" t="s">
        <v>4769</v>
      </c>
      <c r="J410" s="81">
        <v>1000</v>
      </c>
      <c r="K410" s="69">
        <f>K409+I410-J410</f>
        <v>-343326.8</v>
      </c>
    </row>
    <row r="411" spans="1:11" hidden="1">
      <c r="A411" s="137" t="str">
        <f>D411&amp;E411&amp;F411</f>
        <v>HRCOMBUSTIBLEHR</v>
      </c>
      <c r="B411" t="s">
        <v>1807</v>
      </c>
      <c r="C411" s="1">
        <f t="shared" si="14"/>
        <v>45880</v>
      </c>
      <c r="D411" t="s">
        <v>29</v>
      </c>
      <c r="E411" t="s">
        <v>32</v>
      </c>
      <c r="F411" s="3" t="s">
        <v>29</v>
      </c>
      <c r="G411" s="158"/>
      <c r="H411" t="s">
        <v>4753</v>
      </c>
      <c r="J411" s="81">
        <v>1200</v>
      </c>
      <c r="K411" s="69">
        <f>K410+I411-J411</f>
        <v>-344526.8</v>
      </c>
    </row>
    <row r="412" spans="1:11" hidden="1">
      <c r="A412" s="137" t="str">
        <f>D412&amp;E412&amp;F412</f>
        <v>CAPCOMBUSTIBLECAPRICHOS</v>
      </c>
      <c r="B412" t="s">
        <v>1807</v>
      </c>
      <c r="C412" s="1">
        <f t="shared" si="14"/>
        <v>45880</v>
      </c>
      <c r="D412" t="s">
        <v>31</v>
      </c>
      <c r="E412" t="s">
        <v>32</v>
      </c>
      <c r="F412" s="3" t="s">
        <v>33</v>
      </c>
      <c r="G412" s="158"/>
      <c r="H412" t="s">
        <v>4782</v>
      </c>
      <c r="J412" s="81">
        <v>1000</v>
      </c>
      <c r="K412" s="69">
        <f>K411+I412-J412</f>
        <v>-345526.8</v>
      </c>
    </row>
    <row r="413" spans="1:11" hidden="1">
      <c r="A413" s="137" t="str">
        <f>D413&amp;E413&amp;F413</f>
        <v>SERVICIOSCOMBUSTIBLESERVICIOS</v>
      </c>
      <c r="B413" t="s">
        <v>1807</v>
      </c>
      <c r="C413" s="1">
        <f t="shared" si="14"/>
        <v>45880</v>
      </c>
      <c r="D413" t="s">
        <v>21</v>
      </c>
      <c r="E413" t="s">
        <v>32</v>
      </c>
      <c r="F413" s="3" t="s">
        <v>21</v>
      </c>
      <c r="G413" s="158"/>
      <c r="H413" t="s">
        <v>4756</v>
      </c>
      <c r="J413" s="81">
        <v>2000</v>
      </c>
      <c r="K413" s="69">
        <f>K412+I413-J413</f>
        <v>-347526.8</v>
      </c>
    </row>
    <row r="414" spans="1:11" ht="15" hidden="1">
      <c r="A414" s="137" t="str">
        <f>D414&amp;E414&amp;F414</f>
        <v>SERVICIOSCOMBUSTIBLECEDIS</v>
      </c>
      <c r="B414" t="s">
        <v>1807</v>
      </c>
      <c r="C414" s="1">
        <f t="shared" si="14"/>
        <v>45880</v>
      </c>
      <c r="D414" t="s">
        <v>21</v>
      </c>
      <c r="E414" t="s">
        <v>32</v>
      </c>
      <c r="F414" s="3" t="s">
        <v>28</v>
      </c>
      <c r="G414" s="158"/>
      <c r="H414" s="71" t="s">
        <v>28</v>
      </c>
      <c r="J414" s="81">
        <v>13500</v>
      </c>
      <c r="K414" s="69">
        <f>K413+I414-J414</f>
        <v>-361026.8</v>
      </c>
    </row>
    <row r="415" spans="1:11" hidden="1">
      <c r="A415" s="137" t="str">
        <f>D415&amp;E415&amp;F415</f>
        <v>SERVICIOSCOMBUSTIBLEMANTENIMIENTO</v>
      </c>
      <c r="B415" t="s">
        <v>1807</v>
      </c>
      <c r="C415" s="1">
        <f t="shared" si="14"/>
        <v>45880</v>
      </c>
      <c r="D415" t="s">
        <v>21</v>
      </c>
      <c r="E415" t="s">
        <v>32</v>
      </c>
      <c r="F415" s="3" t="s">
        <v>35</v>
      </c>
      <c r="G415" s="158"/>
      <c r="H415" t="s">
        <v>4762</v>
      </c>
      <c r="J415" s="81">
        <v>500</v>
      </c>
      <c r="K415" s="69">
        <f>K414+I415-J415</f>
        <v>-361526.8</v>
      </c>
    </row>
    <row r="416" spans="1:11" ht="15" hidden="1">
      <c r="A416" s="137" t="str">
        <f>D416&amp;E416&amp;F416</f>
        <v>FINANZASCOMBUSTIBLETESORERIA</v>
      </c>
      <c r="B416" t="s">
        <v>1807</v>
      </c>
      <c r="C416" s="1">
        <f t="shared" si="14"/>
        <v>45880</v>
      </c>
      <c r="D416" t="s">
        <v>23</v>
      </c>
      <c r="E416" t="s">
        <v>32</v>
      </c>
      <c r="F416" s="3" t="s">
        <v>38</v>
      </c>
      <c r="G416" s="158"/>
      <c r="H416" s="71" t="s">
        <v>4759</v>
      </c>
      <c r="J416" s="81">
        <v>700</v>
      </c>
      <c r="K416" s="69">
        <f>K415+I416-J416</f>
        <v>-362226.8</v>
      </c>
    </row>
    <row r="417" spans="1:11" hidden="1">
      <c r="A417" s="137" t="str">
        <f>D417&amp;E417&amp;F417</f>
        <v>FINANZASCOMBUSTIBLETESORERIA</v>
      </c>
      <c r="B417" t="s">
        <v>1807</v>
      </c>
      <c r="C417" s="1">
        <f t="shared" si="14"/>
        <v>45880</v>
      </c>
      <c r="D417" t="s">
        <v>23</v>
      </c>
      <c r="E417" t="s">
        <v>32</v>
      </c>
      <c r="F417" s="3" t="s">
        <v>38</v>
      </c>
      <c r="G417" s="158"/>
      <c r="H417" t="s">
        <v>4758</v>
      </c>
      <c r="J417" s="81">
        <v>1500</v>
      </c>
      <c r="K417" s="69">
        <f>K416+I417-J417</f>
        <v>-363726.8</v>
      </c>
    </row>
    <row r="418" spans="1:11" hidden="1">
      <c r="A418" s="137" t="str">
        <f>D418&amp;E418&amp;F418</f>
        <v>DECOMBUSTIBLEDIRECCION</v>
      </c>
      <c r="B418" t="s">
        <v>1807</v>
      </c>
      <c r="C418" s="1">
        <f t="shared" si="14"/>
        <v>45880</v>
      </c>
      <c r="D418" t="s">
        <v>41</v>
      </c>
      <c r="E418" t="s">
        <v>32</v>
      </c>
      <c r="F418" s="3" t="s">
        <v>42</v>
      </c>
      <c r="G418" s="158"/>
      <c r="H418" t="s">
        <v>4765</v>
      </c>
      <c r="J418" s="81">
        <v>1500</v>
      </c>
      <c r="K418" s="69">
        <f>K417+I418-J418</f>
        <v>-365226.8</v>
      </c>
    </row>
    <row r="419" spans="1:11" hidden="1">
      <c r="A419" s="137" t="str">
        <f>D419&amp;E419&amp;F419</f>
        <v>SGECOMBUSTIBLEGESTION EMPRESARIAL</v>
      </c>
      <c r="B419" t="s">
        <v>1807</v>
      </c>
      <c r="C419" s="1">
        <f t="shared" si="14"/>
        <v>45880</v>
      </c>
      <c r="D419" t="s">
        <v>39</v>
      </c>
      <c r="E419" t="s">
        <v>32</v>
      </c>
      <c r="F419" s="3" t="s">
        <v>40</v>
      </c>
      <c r="G419" s="158"/>
      <c r="H419" t="s">
        <v>40</v>
      </c>
      <c r="J419" s="81">
        <v>1000</v>
      </c>
      <c r="K419" s="69">
        <f>K418+I419-J419</f>
        <v>-366226.8</v>
      </c>
    </row>
    <row r="420" spans="1:11" hidden="1">
      <c r="A420" s="137" t="str">
        <f>D420&amp;E420&amp;F420</f>
        <v>MMCOMBUSTIBLEMARKET MAX</v>
      </c>
      <c r="B420" t="s">
        <v>1807</v>
      </c>
      <c r="C420" s="1">
        <f t="shared" si="14"/>
        <v>45880</v>
      </c>
      <c r="D420" t="s">
        <v>45</v>
      </c>
      <c r="E420" t="s">
        <v>32</v>
      </c>
      <c r="F420" s="3" t="s">
        <v>46</v>
      </c>
      <c r="G420" s="158"/>
      <c r="H420" t="s">
        <v>4780</v>
      </c>
      <c r="J420" s="81">
        <v>700</v>
      </c>
      <c r="K420" s="69">
        <f>K419+I420-J420</f>
        <v>-366926.8</v>
      </c>
    </row>
    <row r="421" spans="1:11" hidden="1">
      <c r="A421" s="137" t="str">
        <f>D421&amp;E421&amp;F421</f>
        <v>MELCOMBUSTIBLEMELISSA</v>
      </c>
      <c r="B421" t="s">
        <v>1807</v>
      </c>
      <c r="C421" s="1">
        <f t="shared" si="14"/>
        <v>45880</v>
      </c>
      <c r="D421" t="s">
        <v>43</v>
      </c>
      <c r="E421" t="s">
        <v>32</v>
      </c>
      <c r="F421" s="3" t="s">
        <v>44</v>
      </c>
      <c r="G421" s="158"/>
      <c r="H421" t="s">
        <v>4760</v>
      </c>
      <c r="J421" s="81">
        <v>1000</v>
      </c>
      <c r="K421" s="69">
        <f>K420+I421-J421</f>
        <v>-367926.8</v>
      </c>
    </row>
    <row r="422" spans="1:11" hidden="1">
      <c r="A422" s="137" t="str">
        <f>D422&amp;E422&amp;F422</f>
        <v>SERVICIOSCOMBUSTIBLEINVENTARIOS</v>
      </c>
      <c r="B422" t="s">
        <v>1807</v>
      </c>
      <c r="C422" s="1">
        <f t="shared" si="14"/>
        <v>45880</v>
      </c>
      <c r="D422" t="s">
        <v>21</v>
      </c>
      <c r="E422" t="s">
        <v>32</v>
      </c>
      <c r="F422" s="3" t="s">
        <v>34</v>
      </c>
      <c r="G422" s="158"/>
      <c r="H422" t="s">
        <v>4786</v>
      </c>
      <c r="J422" s="81">
        <v>1000</v>
      </c>
      <c r="K422" s="69">
        <f>K421+I422-J422</f>
        <v>-368926.8</v>
      </c>
    </row>
    <row r="423" spans="1:11" hidden="1">
      <c r="A423" s="137" t="str">
        <f>D423&amp;E423&amp;F423</f>
        <v>SERVICIOSCOMBUSTIBLECEDIS</v>
      </c>
      <c r="B423" t="s">
        <v>1807</v>
      </c>
      <c r="C423" s="1">
        <v>45887</v>
      </c>
      <c r="D423" t="s">
        <v>21</v>
      </c>
      <c r="E423" t="s">
        <v>32</v>
      </c>
      <c r="F423" s="3" t="s">
        <v>28</v>
      </c>
      <c r="G423" s="158"/>
      <c r="H423" s="71" t="s">
        <v>28</v>
      </c>
      <c r="J423" s="81">
        <v>18000</v>
      </c>
      <c r="K423" s="69">
        <f>K422+I423-J423</f>
        <v>-386926.8</v>
      </c>
    </row>
    <row r="424" spans="1:11" hidden="1">
      <c r="A424" s="137" t="str">
        <f>D424&amp;E424&amp;F424</f>
        <v>FINANZASCOMBUSTIBLETESORERIA</v>
      </c>
      <c r="B424" t="s">
        <v>1807</v>
      </c>
      <c r="C424" s="1">
        <f>C423</f>
        <v>45887</v>
      </c>
      <c r="D424" t="s">
        <v>23</v>
      </c>
      <c r="E424" t="s">
        <v>32</v>
      </c>
      <c r="F424" s="3" t="s">
        <v>38</v>
      </c>
      <c r="G424" s="158"/>
      <c r="H424" s="71" t="s">
        <v>4759</v>
      </c>
      <c r="J424" s="81">
        <v>700</v>
      </c>
      <c r="K424" s="69">
        <f>K423+I424-J424</f>
        <v>-387626.8</v>
      </c>
    </row>
    <row r="425" spans="1:11" hidden="1">
      <c r="A425" s="137" t="str">
        <f>D425&amp;E425&amp;F425</f>
        <v>FINANZASCOMBUSTIBLETESORERIA</v>
      </c>
      <c r="B425" t="s">
        <v>1807</v>
      </c>
      <c r="C425" s="1">
        <f>C424</f>
        <v>45887</v>
      </c>
      <c r="D425" t="s">
        <v>23</v>
      </c>
      <c r="E425" t="s">
        <v>32</v>
      </c>
      <c r="F425" s="3" t="s">
        <v>38</v>
      </c>
      <c r="G425" s="158"/>
      <c r="H425" t="s">
        <v>4758</v>
      </c>
      <c r="J425" s="81">
        <v>1500</v>
      </c>
      <c r="K425" s="69">
        <f>K424+I425-J425</f>
        <v>-389126.8</v>
      </c>
    </row>
    <row r="426" spans="1:11" hidden="1">
      <c r="A426" s="137" t="str">
        <f>D426&amp;E426&amp;F426</f>
        <v>DECOMBUSTIBLEDIRECCION</v>
      </c>
      <c r="B426" t="s">
        <v>1807</v>
      </c>
      <c r="C426" s="1">
        <f>C425</f>
        <v>45887</v>
      </c>
      <c r="D426" t="s">
        <v>41</v>
      </c>
      <c r="E426" t="s">
        <v>32</v>
      </c>
      <c r="F426" s="3" t="s">
        <v>42</v>
      </c>
      <c r="G426" s="158"/>
      <c r="H426" t="s">
        <v>4765</v>
      </c>
      <c r="J426" s="81">
        <v>4000</v>
      </c>
      <c r="K426" s="69">
        <f>K425+I426-J426</f>
        <v>-393126.8</v>
      </c>
    </row>
    <row r="427" spans="1:11" hidden="1">
      <c r="A427" s="137" t="str">
        <f>D427&amp;E427&amp;F427</f>
        <v>HRCOMBUSTIBLEHR</v>
      </c>
      <c r="B427" t="s">
        <v>1807</v>
      </c>
      <c r="C427" s="1">
        <f t="shared" si="14"/>
        <v>45887</v>
      </c>
      <c r="D427" t="s">
        <v>29</v>
      </c>
      <c r="E427" t="s">
        <v>32</v>
      </c>
      <c r="F427" s="3" t="s">
        <v>29</v>
      </c>
      <c r="G427" s="158"/>
      <c r="H427" t="s">
        <v>4769</v>
      </c>
      <c r="J427" s="81">
        <v>1200</v>
      </c>
      <c r="K427" s="69">
        <f>K426+I427-J427</f>
        <v>-394326.8</v>
      </c>
    </row>
    <row r="428" spans="1:11" hidden="1">
      <c r="A428" s="137" t="str">
        <f>D428&amp;E428&amp;F428</f>
        <v>HRCOMBUSTIBLEHR</v>
      </c>
      <c r="B428" t="s">
        <v>1807</v>
      </c>
      <c r="C428" s="1">
        <f t="shared" si="14"/>
        <v>45887</v>
      </c>
      <c r="D428" t="s">
        <v>29</v>
      </c>
      <c r="E428" t="s">
        <v>32</v>
      </c>
      <c r="F428" s="3" t="s">
        <v>29</v>
      </c>
      <c r="G428" s="158"/>
      <c r="H428" t="s">
        <v>4753</v>
      </c>
      <c r="J428" s="81">
        <v>1100</v>
      </c>
      <c r="K428" s="69">
        <f>K427+I428-J428</f>
        <v>-395426.8</v>
      </c>
    </row>
    <row r="429" spans="1:11" hidden="1">
      <c r="A429" s="137" t="str">
        <f>D429&amp;E429&amp;F429</f>
        <v>CAPCOMBUSTIBLECAPRICHOS</v>
      </c>
      <c r="B429" t="s">
        <v>1807</v>
      </c>
      <c r="C429" s="1">
        <f t="shared" si="14"/>
        <v>45887</v>
      </c>
      <c r="D429" t="s">
        <v>31</v>
      </c>
      <c r="E429" t="s">
        <v>32</v>
      </c>
      <c r="F429" s="3" t="s">
        <v>33</v>
      </c>
      <c r="G429" s="158"/>
      <c r="H429" t="s">
        <v>4754</v>
      </c>
      <c r="J429" s="81">
        <v>1300</v>
      </c>
      <c r="K429" s="69">
        <f>K428+I429-J429</f>
        <v>-396726.8</v>
      </c>
    </row>
    <row r="430" spans="1:11" hidden="1">
      <c r="A430" s="137" t="str">
        <f>D430&amp;E430&amp;F430</f>
        <v>SERVICIOSCOMBUSTIBLEMANTENIMIENTO</v>
      </c>
      <c r="B430" t="s">
        <v>1807</v>
      </c>
      <c r="C430" s="1">
        <f t="shared" si="14"/>
        <v>45887</v>
      </c>
      <c r="D430" t="s">
        <v>21</v>
      </c>
      <c r="E430" t="s">
        <v>32</v>
      </c>
      <c r="F430" s="3" t="s">
        <v>35</v>
      </c>
      <c r="G430" s="158"/>
      <c r="H430" t="s">
        <v>4762</v>
      </c>
      <c r="J430" s="81">
        <v>1000</v>
      </c>
      <c r="K430" s="69">
        <f>K429+I430-J430</f>
        <v>-397726.8</v>
      </c>
    </row>
    <row r="431" spans="1:11" hidden="1">
      <c r="A431" s="137" t="str">
        <f>D431&amp;E431&amp;F431</f>
        <v>SGECOMBUSTIBLEGESTION EMPRESARIAL</v>
      </c>
      <c r="B431" t="s">
        <v>1807</v>
      </c>
      <c r="C431" s="1">
        <f t="shared" si="14"/>
        <v>45887</v>
      </c>
      <c r="D431" t="s">
        <v>39</v>
      </c>
      <c r="E431" t="s">
        <v>32</v>
      </c>
      <c r="F431" s="3" t="s">
        <v>40</v>
      </c>
      <c r="G431" s="158"/>
      <c r="H431" t="s">
        <v>40</v>
      </c>
      <c r="J431" s="81">
        <v>1000</v>
      </c>
      <c r="K431" s="69">
        <f>K430+I431-J431</f>
        <v>-398726.8</v>
      </c>
    </row>
    <row r="432" spans="1:11" hidden="1">
      <c r="A432" s="137" t="str">
        <f>D432&amp;E432&amp;F432</f>
        <v>MMCOMBUSTIBLEMARKET MAX</v>
      </c>
      <c r="B432" t="s">
        <v>1807</v>
      </c>
      <c r="C432" s="1">
        <f t="shared" si="14"/>
        <v>45887</v>
      </c>
      <c r="D432" t="s">
        <v>45</v>
      </c>
      <c r="E432" t="s">
        <v>32</v>
      </c>
      <c r="F432" s="3" t="s">
        <v>46</v>
      </c>
      <c r="G432" s="158"/>
      <c r="H432" t="s">
        <v>4780</v>
      </c>
      <c r="J432" s="81">
        <v>700</v>
      </c>
      <c r="K432" s="69">
        <f>K431+I432-J432</f>
        <v>-399426.8</v>
      </c>
    </row>
    <row r="433" spans="1:11" hidden="1">
      <c r="A433" s="137" t="str">
        <f>D433&amp;E433&amp;F433</f>
        <v>SERVICIOSCOMBUSTIBLEINVENTARIOS</v>
      </c>
      <c r="B433" t="s">
        <v>1807</v>
      </c>
      <c r="C433" s="1">
        <f t="shared" si="14"/>
        <v>45887</v>
      </c>
      <c r="D433" t="s">
        <v>21</v>
      </c>
      <c r="E433" t="s">
        <v>32</v>
      </c>
      <c r="F433" s="3" t="s">
        <v>34</v>
      </c>
      <c r="G433" s="158"/>
      <c r="H433" t="s">
        <v>4783</v>
      </c>
      <c r="J433" s="81">
        <v>700</v>
      </c>
      <c r="K433" s="69">
        <f>K432+I433-J433</f>
        <v>-400126.8</v>
      </c>
    </row>
    <row r="434" spans="1:11" hidden="1">
      <c r="A434" s="137" t="str">
        <f>D434&amp;E434&amp;F434</f>
        <v>SERVICIOSCOMBUSTIBLECEDIS</v>
      </c>
      <c r="B434" t="s">
        <v>1807</v>
      </c>
      <c r="C434" s="1">
        <v>45894</v>
      </c>
      <c r="D434" t="s">
        <v>21</v>
      </c>
      <c r="E434" t="s">
        <v>32</v>
      </c>
      <c r="F434" s="3" t="s">
        <v>28</v>
      </c>
      <c r="G434" s="158"/>
      <c r="H434" t="s">
        <v>28</v>
      </c>
      <c r="J434" s="81">
        <v>14500</v>
      </c>
      <c r="K434" s="69">
        <f>K433+I434-J434</f>
        <v>-414626.8</v>
      </c>
    </row>
    <row r="435" spans="1:11" hidden="1">
      <c r="A435" s="137" t="str">
        <f>D435&amp;E435&amp;F435</f>
        <v>HRCOMBUSTIBLEHR</v>
      </c>
      <c r="B435" t="s">
        <v>1807</v>
      </c>
      <c r="C435" s="1">
        <f t="shared" si="14"/>
        <v>45894</v>
      </c>
      <c r="D435" t="s">
        <v>29</v>
      </c>
      <c r="E435" t="s">
        <v>32</v>
      </c>
      <c r="F435" s="3" t="s">
        <v>29</v>
      </c>
      <c r="G435" s="158"/>
      <c r="H435" t="s">
        <v>4751</v>
      </c>
      <c r="J435" s="81">
        <v>1600</v>
      </c>
      <c r="K435" s="69">
        <f>K434+I435-J435</f>
        <v>-416226.8</v>
      </c>
    </row>
    <row r="436" spans="1:11" hidden="1">
      <c r="A436" s="137" t="str">
        <f>D436&amp;E436&amp;F436</f>
        <v>HRCOMBUSTIBLEHR</v>
      </c>
      <c r="B436" t="s">
        <v>1807</v>
      </c>
      <c r="C436" s="1">
        <f t="shared" si="14"/>
        <v>45894</v>
      </c>
      <c r="D436" t="s">
        <v>29</v>
      </c>
      <c r="E436" t="s">
        <v>32</v>
      </c>
      <c r="F436" s="3" t="s">
        <v>29</v>
      </c>
      <c r="G436" s="158"/>
      <c r="H436" t="s">
        <v>4769</v>
      </c>
      <c r="J436" s="81">
        <v>1200</v>
      </c>
      <c r="K436" s="69">
        <f>K435+I436-J436</f>
        <v>-417426.8</v>
      </c>
    </row>
    <row r="437" spans="1:11" hidden="1">
      <c r="A437" s="137" t="str">
        <f>D437&amp;E437&amp;F437</f>
        <v>HRCOMBUSTIBLEHR</v>
      </c>
      <c r="B437" t="s">
        <v>1807</v>
      </c>
      <c r="C437" s="1">
        <f t="shared" si="14"/>
        <v>45894</v>
      </c>
      <c r="D437" t="s">
        <v>29</v>
      </c>
      <c r="E437" t="s">
        <v>32</v>
      </c>
      <c r="F437" s="3" t="s">
        <v>29</v>
      </c>
      <c r="G437" s="158"/>
      <c r="H437" t="s">
        <v>4753</v>
      </c>
      <c r="J437" s="81">
        <v>750</v>
      </c>
      <c r="K437" s="69">
        <f>K436+I437-J437</f>
        <v>-418176.8</v>
      </c>
    </row>
    <row r="438" spans="1:11" hidden="1">
      <c r="A438" s="137" t="str">
        <f>D438&amp;E438&amp;F438</f>
        <v>CAPCOMBUSTIBLECAPRICHOS</v>
      </c>
      <c r="B438" t="s">
        <v>1807</v>
      </c>
      <c r="C438" s="1">
        <f t="shared" si="14"/>
        <v>45894</v>
      </c>
      <c r="D438" t="s">
        <v>31</v>
      </c>
      <c r="E438" t="s">
        <v>32</v>
      </c>
      <c r="F438" s="3" t="s">
        <v>33</v>
      </c>
      <c r="G438" s="158"/>
      <c r="H438" t="s">
        <v>4770</v>
      </c>
      <c r="J438" s="81">
        <v>1200</v>
      </c>
      <c r="K438" s="69">
        <f>K437+I438-J438</f>
        <v>-419376.8</v>
      </c>
    </row>
    <row r="439" spans="1:11" hidden="1">
      <c r="A439" s="137" t="str">
        <f>D439&amp;E439&amp;F439</f>
        <v>CAPCOMBUSTIBLECAPRICHOS</v>
      </c>
      <c r="B439" t="s">
        <v>1807</v>
      </c>
      <c r="C439" s="1">
        <f t="shared" si="14"/>
        <v>45894</v>
      </c>
      <c r="D439" t="s">
        <v>31</v>
      </c>
      <c r="E439" t="s">
        <v>32</v>
      </c>
      <c r="F439" s="3" t="s">
        <v>33</v>
      </c>
      <c r="G439" s="158"/>
      <c r="H439" t="s">
        <v>4767</v>
      </c>
      <c r="J439" s="81">
        <v>1500</v>
      </c>
      <c r="K439" s="69">
        <f>K438+I439-J439</f>
        <v>-420876.79999999999</v>
      </c>
    </row>
    <row r="440" spans="1:11" hidden="1">
      <c r="A440" s="137" t="str">
        <f>D440&amp;E440&amp;F440</f>
        <v>SERVICIOSCOMBUSTIBLESERVICIOS</v>
      </c>
      <c r="B440" t="s">
        <v>1807</v>
      </c>
      <c r="C440" s="1">
        <f t="shared" si="14"/>
        <v>45894</v>
      </c>
      <c r="D440" t="s">
        <v>21</v>
      </c>
      <c r="E440" t="s">
        <v>32</v>
      </c>
      <c r="F440" s="3" t="s">
        <v>21</v>
      </c>
      <c r="G440" s="158"/>
      <c r="H440" t="s">
        <v>4771</v>
      </c>
      <c r="J440" s="81">
        <v>500</v>
      </c>
      <c r="K440" s="69">
        <f>K439+I440-J440</f>
        <v>-421376.8</v>
      </c>
    </row>
    <row r="441" spans="1:11" hidden="1">
      <c r="A441" s="137" t="str">
        <f>D441&amp;E441&amp;F441</f>
        <v>SERVICIOSCOMBUSTIBLEMANTENIMIENTO</v>
      </c>
      <c r="B441" t="s">
        <v>1807</v>
      </c>
      <c r="C441" s="1">
        <f t="shared" si="14"/>
        <v>45894</v>
      </c>
      <c r="D441" t="s">
        <v>21</v>
      </c>
      <c r="E441" t="s">
        <v>32</v>
      </c>
      <c r="F441" s="3" t="s">
        <v>35</v>
      </c>
      <c r="G441" s="158"/>
      <c r="H441" t="s">
        <v>4762</v>
      </c>
      <c r="J441" s="81">
        <v>300</v>
      </c>
      <c r="K441" s="69">
        <f>K440+I441-J441</f>
        <v>-421676.79999999999</v>
      </c>
    </row>
    <row r="442" spans="1:11" hidden="1">
      <c r="A442" s="137" t="str">
        <f>D442&amp;E442&amp;F442</f>
        <v>FINANZASCOMBUSTIBLECONTABILIDAD</v>
      </c>
      <c r="B442" t="s">
        <v>1807</v>
      </c>
      <c r="C442" s="1">
        <f t="shared" si="14"/>
        <v>45894</v>
      </c>
      <c r="D442" t="s">
        <v>23</v>
      </c>
      <c r="E442" t="s">
        <v>32</v>
      </c>
      <c r="F442" s="3" t="s">
        <v>37</v>
      </c>
      <c r="G442" s="158"/>
      <c r="H442" t="s">
        <v>4757</v>
      </c>
      <c r="J442" s="81">
        <v>900</v>
      </c>
      <c r="K442" s="69">
        <f>K441+I442-J442</f>
        <v>-422576.8</v>
      </c>
    </row>
    <row r="443" spans="1:11" hidden="1">
      <c r="A443" s="137" t="str">
        <f>D443&amp;E443&amp;F443</f>
        <v>FINANZASCOMBUSTIBLETESORERIA</v>
      </c>
      <c r="B443" t="s">
        <v>1807</v>
      </c>
      <c r="C443" s="1">
        <f t="shared" si="14"/>
        <v>45894</v>
      </c>
      <c r="D443" t="s">
        <v>23</v>
      </c>
      <c r="E443" t="s">
        <v>32</v>
      </c>
      <c r="F443" s="3" t="s">
        <v>38</v>
      </c>
      <c r="G443" s="158"/>
      <c r="H443" t="s">
        <v>4772</v>
      </c>
      <c r="J443" s="81">
        <v>700</v>
      </c>
      <c r="K443" s="69">
        <f>K442+I443-J443</f>
        <v>-423276.79999999999</v>
      </c>
    </row>
    <row r="444" spans="1:11" hidden="1">
      <c r="A444" s="137" t="str">
        <f>D444&amp;E444&amp;F444</f>
        <v>FINANZASCOMBUSTIBLETESORERIA</v>
      </c>
      <c r="B444" t="s">
        <v>1807</v>
      </c>
      <c r="C444" s="1">
        <f t="shared" si="14"/>
        <v>45894</v>
      </c>
      <c r="D444" t="s">
        <v>23</v>
      </c>
      <c r="E444" t="s">
        <v>32</v>
      </c>
      <c r="F444" s="3" t="s">
        <v>38</v>
      </c>
      <c r="G444" s="158"/>
      <c r="H444" t="s">
        <v>4773</v>
      </c>
      <c r="J444" s="81">
        <v>1500</v>
      </c>
      <c r="K444" s="69">
        <f>K443+I444-J444</f>
        <v>-424776.8</v>
      </c>
    </row>
    <row r="445" spans="1:11" hidden="1">
      <c r="A445" s="137" t="str">
        <f>D445&amp;E445&amp;F445</f>
        <v>DECOMBUSTIBLEDIRECCION</v>
      </c>
      <c r="B445" t="s">
        <v>1807</v>
      </c>
      <c r="C445" s="1">
        <f t="shared" ref="C445:C508" si="15">C444</f>
        <v>45894</v>
      </c>
      <c r="D445" t="s">
        <v>41</v>
      </c>
      <c r="E445" t="s">
        <v>32</v>
      </c>
      <c r="F445" s="3" t="s">
        <v>42</v>
      </c>
      <c r="G445" s="158"/>
      <c r="J445" s="81">
        <v>1000</v>
      </c>
      <c r="K445" s="69">
        <f>K444+I445-J445</f>
        <v>-425776.8</v>
      </c>
    </row>
    <row r="446" spans="1:11" hidden="1">
      <c r="A446" s="137" t="str">
        <f>D446&amp;E446&amp;F446</f>
        <v>SGECOMBUSTIBLEGESTION EMPRESARIAL</v>
      </c>
      <c r="B446" t="s">
        <v>1807</v>
      </c>
      <c r="C446" s="1">
        <f t="shared" si="15"/>
        <v>45894</v>
      </c>
      <c r="D446" t="s">
        <v>39</v>
      </c>
      <c r="E446" t="s">
        <v>32</v>
      </c>
      <c r="F446" s="3" t="s">
        <v>40</v>
      </c>
      <c r="G446" s="158"/>
      <c r="J446" s="81">
        <v>1000</v>
      </c>
      <c r="K446" s="69">
        <f>K445+I446-J446</f>
        <v>-426776.8</v>
      </c>
    </row>
    <row r="447" spans="1:11" hidden="1">
      <c r="A447" s="137" t="str">
        <f>D447&amp;E447&amp;F447</f>
        <v>SERVICIOSCOMBUSTIBLEINVENTARIOS</v>
      </c>
      <c r="B447" t="s">
        <v>1807</v>
      </c>
      <c r="C447" s="1">
        <f t="shared" si="15"/>
        <v>45894</v>
      </c>
      <c r="D447" t="s">
        <v>21</v>
      </c>
      <c r="E447" t="s">
        <v>32</v>
      </c>
      <c r="F447" s="3" t="s">
        <v>34</v>
      </c>
      <c r="G447" s="158"/>
      <c r="H447" t="s">
        <v>4783</v>
      </c>
      <c r="J447" s="81">
        <v>2000</v>
      </c>
      <c r="K447" s="69">
        <f>K446+I447-J447</f>
        <v>-428776.8</v>
      </c>
    </row>
    <row r="448" spans="1:11" hidden="1">
      <c r="A448" s="137" t="str">
        <f t="shared" ref="A441:A504" si="16">D448&amp;E448&amp;F448</f>
        <v>HRCOMBUSTIBLEHR</v>
      </c>
      <c r="B448" t="s">
        <v>2028</v>
      </c>
      <c r="C448" s="1">
        <v>45901</v>
      </c>
      <c r="D448" t="s">
        <v>29</v>
      </c>
      <c r="E448" t="s">
        <v>32</v>
      </c>
      <c r="F448" s="3" t="s">
        <v>29</v>
      </c>
      <c r="G448" s="158"/>
      <c r="H448" t="s">
        <v>4788</v>
      </c>
      <c r="J448" s="81">
        <v>1500</v>
      </c>
      <c r="K448" s="69">
        <f>K447+I448-J448</f>
        <v>-430276.8</v>
      </c>
    </row>
    <row r="449" spans="1:11" hidden="1">
      <c r="A449" s="137" t="str">
        <f t="shared" si="16"/>
        <v>CAPCOMBUSTIBLECAPRICHOS</v>
      </c>
      <c r="B449" t="s">
        <v>2028</v>
      </c>
      <c r="C449" s="1">
        <f t="shared" si="15"/>
        <v>45901</v>
      </c>
      <c r="D449" t="s">
        <v>31</v>
      </c>
      <c r="E449" t="s">
        <v>32</v>
      </c>
      <c r="F449" s="3" t="s">
        <v>33</v>
      </c>
      <c r="G449" s="158"/>
      <c r="H449" t="s">
        <v>4770</v>
      </c>
      <c r="J449" s="81">
        <v>1300</v>
      </c>
      <c r="K449" s="69">
        <f>K448+I449-J449</f>
        <v>-431576.8</v>
      </c>
    </row>
    <row r="450" spans="1:11" hidden="1">
      <c r="A450" s="137" t="str">
        <f t="shared" si="16"/>
        <v>CAPCOMBUSTIBLECAPRICHOS</v>
      </c>
      <c r="B450" t="s">
        <v>2028</v>
      </c>
      <c r="C450" s="1">
        <f t="shared" si="15"/>
        <v>45901</v>
      </c>
      <c r="D450" t="s">
        <v>31</v>
      </c>
      <c r="E450" t="s">
        <v>32</v>
      </c>
      <c r="F450" s="3" t="s">
        <v>33</v>
      </c>
      <c r="G450" s="158"/>
      <c r="H450" t="s">
        <v>4782</v>
      </c>
      <c r="J450" s="81">
        <v>1000</v>
      </c>
      <c r="K450" s="69">
        <f>K449+I450-J450</f>
        <v>-432576.8</v>
      </c>
    </row>
    <row r="451" spans="1:11" hidden="1">
      <c r="A451" s="137" t="str">
        <f t="shared" si="16"/>
        <v>SERVICIOSCOMBUSTIBLESERVICIOS</v>
      </c>
      <c r="B451" t="s">
        <v>2028</v>
      </c>
      <c r="C451" s="1">
        <f t="shared" si="15"/>
        <v>45901</v>
      </c>
      <c r="D451" t="s">
        <v>21</v>
      </c>
      <c r="E451" t="s">
        <v>32</v>
      </c>
      <c r="F451" s="3" t="s">
        <v>21</v>
      </c>
      <c r="G451" s="158"/>
      <c r="H451" t="s">
        <v>4771</v>
      </c>
      <c r="J451" s="81">
        <v>400</v>
      </c>
      <c r="K451" s="69">
        <f>K450+I451-J451</f>
        <v>-432976.8</v>
      </c>
    </row>
    <row r="452" spans="1:11" hidden="1">
      <c r="A452" s="137" t="str">
        <f t="shared" si="16"/>
        <v>SERVICIOSCOMBUSTIBLECEDIS</v>
      </c>
      <c r="B452" t="s">
        <v>2028</v>
      </c>
      <c r="C452" s="1">
        <f t="shared" si="15"/>
        <v>45901</v>
      </c>
      <c r="D452" t="s">
        <v>21</v>
      </c>
      <c r="E452" t="s">
        <v>32</v>
      </c>
      <c r="F452" s="3" t="s">
        <v>28</v>
      </c>
      <c r="G452" s="158"/>
      <c r="H452" t="s">
        <v>28</v>
      </c>
      <c r="J452" s="81">
        <v>19500</v>
      </c>
      <c r="K452" s="69">
        <f>K451+I452-J452</f>
        <v>-452476.8</v>
      </c>
    </row>
    <row r="453" spans="1:11" hidden="1">
      <c r="A453" s="137" t="str">
        <f t="shared" si="16"/>
        <v>FINANZASCOMBUSTIBLETESORERIA</v>
      </c>
      <c r="B453" t="s">
        <v>2028</v>
      </c>
      <c r="C453" s="1">
        <f t="shared" si="15"/>
        <v>45901</v>
      </c>
      <c r="D453" t="s">
        <v>23</v>
      </c>
      <c r="E453" t="s">
        <v>32</v>
      </c>
      <c r="F453" s="3" t="s">
        <v>38</v>
      </c>
      <c r="G453" s="158"/>
      <c r="H453" t="s">
        <v>4772</v>
      </c>
      <c r="J453" s="81">
        <v>700</v>
      </c>
      <c r="K453" s="69">
        <f>K452+I453-J453</f>
        <v>-453176.8</v>
      </c>
    </row>
    <row r="454" spans="1:11" hidden="1">
      <c r="A454" s="137" t="str">
        <f t="shared" si="16"/>
        <v>FINANZASCOMBUSTIBLETESORERIA</v>
      </c>
      <c r="B454" t="s">
        <v>2028</v>
      </c>
      <c r="C454" s="1">
        <f t="shared" si="15"/>
        <v>45901</v>
      </c>
      <c r="D454" t="s">
        <v>23</v>
      </c>
      <c r="E454" t="s">
        <v>32</v>
      </c>
      <c r="F454" s="3" t="s">
        <v>38</v>
      </c>
      <c r="G454" s="158"/>
      <c r="H454" t="s">
        <v>4773</v>
      </c>
      <c r="J454" s="81">
        <v>1000</v>
      </c>
      <c r="K454" s="69">
        <f>K453+I454-J454</f>
        <v>-454176.8</v>
      </c>
    </row>
    <row r="455" spans="1:11" hidden="1">
      <c r="A455" s="137" t="str">
        <f t="shared" si="16"/>
        <v>MMCOMBUSTIBLEMARKET MAX</v>
      </c>
      <c r="B455" t="s">
        <v>2028</v>
      </c>
      <c r="C455" s="1">
        <f t="shared" si="15"/>
        <v>45901</v>
      </c>
      <c r="D455" t="s">
        <v>45</v>
      </c>
      <c r="E455" t="s">
        <v>32</v>
      </c>
      <c r="F455" s="3" t="s">
        <v>46</v>
      </c>
      <c r="G455" s="158"/>
      <c r="H455" t="s">
        <v>4789</v>
      </c>
      <c r="J455" s="81">
        <v>700</v>
      </c>
      <c r="K455" s="69">
        <f>K454+I455-J455</f>
        <v>-454876.8</v>
      </c>
    </row>
    <row r="456" spans="1:11" hidden="1">
      <c r="A456" s="137" t="str">
        <f t="shared" si="16"/>
        <v>SERVICIOSCOMBUSTIBLEINVENTARIOS</v>
      </c>
      <c r="B456" t="s">
        <v>2028</v>
      </c>
      <c r="C456" s="1">
        <f t="shared" si="15"/>
        <v>45901</v>
      </c>
      <c r="D456" t="s">
        <v>21</v>
      </c>
      <c r="E456" t="s">
        <v>32</v>
      </c>
      <c r="F456" s="3" t="s">
        <v>34</v>
      </c>
      <c r="G456" s="158"/>
      <c r="H456" t="s">
        <v>34</v>
      </c>
      <c r="J456" s="81">
        <v>1500</v>
      </c>
      <c r="K456" s="69">
        <f>K455+I456-J456</f>
        <v>-456376.8</v>
      </c>
    </row>
    <row r="457" spans="1:11" hidden="1">
      <c r="A457" s="137" t="str">
        <f t="shared" si="16"/>
        <v>HRCOMBUSTIBLEHR</v>
      </c>
      <c r="B457" t="s">
        <v>2028</v>
      </c>
      <c r="C457" s="1">
        <f t="shared" si="15"/>
        <v>45901</v>
      </c>
      <c r="D457" t="s">
        <v>29</v>
      </c>
      <c r="E457" t="s">
        <v>32</v>
      </c>
      <c r="F457" s="3" t="s">
        <v>29</v>
      </c>
      <c r="G457" s="158"/>
      <c r="H457" t="s">
        <v>4769</v>
      </c>
      <c r="J457" s="81">
        <v>1200</v>
      </c>
      <c r="K457" s="69">
        <f>K456+I457-J457</f>
        <v>-457576.8</v>
      </c>
    </row>
    <row r="458" spans="1:11" hidden="1">
      <c r="A458" s="137" t="str">
        <f t="shared" si="16"/>
        <v>HRCOMBUSTIBLEHR</v>
      </c>
      <c r="B458" t="s">
        <v>2028</v>
      </c>
      <c r="C458" s="1">
        <f t="shared" si="15"/>
        <v>45901</v>
      </c>
      <c r="D458" t="s">
        <v>29</v>
      </c>
      <c r="E458" t="s">
        <v>32</v>
      </c>
      <c r="F458" s="3" t="s">
        <v>29</v>
      </c>
      <c r="G458" s="158"/>
      <c r="H458" t="s">
        <v>4790</v>
      </c>
      <c r="J458" s="81">
        <v>1100</v>
      </c>
      <c r="K458" s="69">
        <f>K457+I458-J458</f>
        <v>-458676.8</v>
      </c>
    </row>
    <row r="459" spans="1:11" hidden="1">
      <c r="A459" s="137" t="str">
        <f t="shared" si="16"/>
        <v>SERVICIOSCOMBUSTIBLEMANTENIMIENTO</v>
      </c>
      <c r="B459" t="s">
        <v>2028</v>
      </c>
      <c r="C459" s="1">
        <f t="shared" si="15"/>
        <v>45901</v>
      </c>
      <c r="D459" t="s">
        <v>21</v>
      </c>
      <c r="E459" t="s">
        <v>32</v>
      </c>
      <c r="F459" s="3" t="s">
        <v>35</v>
      </c>
      <c r="G459" s="158"/>
      <c r="H459" t="s">
        <v>4791</v>
      </c>
      <c r="J459" s="81">
        <v>2000</v>
      </c>
      <c r="K459" s="69">
        <f>K458+I459-J459</f>
        <v>-460676.8</v>
      </c>
    </row>
    <row r="460" spans="1:11" hidden="1">
      <c r="A460" s="137" t="str">
        <f t="shared" si="16"/>
        <v>FINANZASCOMBUSTIBLECONTABILIDAD</v>
      </c>
      <c r="B460" t="s">
        <v>2028</v>
      </c>
      <c r="C460" s="1">
        <f t="shared" si="15"/>
        <v>45901</v>
      </c>
      <c r="D460" t="s">
        <v>23</v>
      </c>
      <c r="E460" t="s">
        <v>32</v>
      </c>
      <c r="F460" s="3" t="s">
        <v>37</v>
      </c>
      <c r="G460" s="158"/>
      <c r="H460" t="s">
        <v>4792</v>
      </c>
      <c r="J460" s="81">
        <v>500</v>
      </c>
      <c r="K460" s="69">
        <f>K459+I460-J460</f>
        <v>-461176.8</v>
      </c>
    </row>
    <row r="461" spans="1:11" hidden="1">
      <c r="A461" s="137" t="str">
        <f t="shared" si="16"/>
        <v>FINANZASCOMBUSTIBLEFINANZAS</v>
      </c>
      <c r="B461" t="s">
        <v>2028</v>
      </c>
      <c r="C461" s="1">
        <f t="shared" si="15"/>
        <v>45901</v>
      </c>
      <c r="D461" t="s">
        <v>23</v>
      </c>
      <c r="E461" t="s">
        <v>32</v>
      </c>
      <c r="F461" s="3" t="s">
        <v>23</v>
      </c>
      <c r="G461" s="158"/>
      <c r="H461" t="s">
        <v>4793</v>
      </c>
      <c r="J461" s="81">
        <v>700</v>
      </c>
      <c r="K461" s="69">
        <f>K460+I461-J461</f>
        <v>-461876.8</v>
      </c>
    </row>
    <row r="462" spans="1:11" hidden="1">
      <c r="A462" s="137" t="str">
        <f t="shared" si="16"/>
        <v>DECOMBUSTIBLEDIRECCION</v>
      </c>
      <c r="B462" t="s">
        <v>2028</v>
      </c>
      <c r="C462" s="1">
        <f t="shared" si="15"/>
        <v>45901</v>
      </c>
      <c r="D462" t="s">
        <v>41</v>
      </c>
      <c r="E462" t="s">
        <v>32</v>
      </c>
      <c r="F462" s="3" t="s">
        <v>42</v>
      </c>
      <c r="G462" s="158"/>
      <c r="H462" t="s">
        <v>4774</v>
      </c>
      <c r="J462" s="81">
        <v>1000</v>
      </c>
      <c r="K462" s="69">
        <f>K461+I462-J462</f>
        <v>-462876.8</v>
      </c>
    </row>
    <row r="463" spans="1:11" ht="15" hidden="1">
      <c r="A463" s="137" t="str">
        <f t="shared" si="16"/>
        <v>MELCOMBUSTIBLEMELISSA</v>
      </c>
      <c r="B463" t="s">
        <v>2028</v>
      </c>
      <c r="C463" s="1">
        <f t="shared" si="15"/>
        <v>45901</v>
      </c>
      <c r="D463" t="s">
        <v>43</v>
      </c>
      <c r="E463" s="12" t="s">
        <v>32</v>
      </c>
      <c r="F463" s="12" t="s">
        <v>44</v>
      </c>
      <c r="G463" s="158"/>
      <c r="H463" t="s">
        <v>4794</v>
      </c>
      <c r="J463" s="81">
        <v>1000</v>
      </c>
      <c r="K463" s="69">
        <f>K462+I463-J463</f>
        <v>-463876.8</v>
      </c>
    </row>
    <row r="464" spans="1:11" hidden="1">
      <c r="A464" s="137" t="str">
        <f t="shared" si="16"/>
        <v>HRCOMBUSTIBLEHR</v>
      </c>
      <c r="B464" t="s">
        <v>2028</v>
      </c>
      <c r="C464" s="1">
        <f t="shared" si="15"/>
        <v>45901</v>
      </c>
      <c r="D464" t="s">
        <v>29</v>
      </c>
      <c r="E464" t="s">
        <v>32</v>
      </c>
      <c r="F464" s="3" t="s">
        <v>29</v>
      </c>
      <c r="G464" s="158"/>
      <c r="H464" t="s">
        <v>4795</v>
      </c>
      <c r="J464" s="81">
        <v>1000</v>
      </c>
      <c r="K464" s="69">
        <f>K463+I464-J464</f>
        <v>-464876.79999999999</v>
      </c>
    </row>
    <row r="465" spans="1:11" hidden="1">
      <c r="A465" s="137" t="str">
        <f t="shared" si="16"/>
        <v>HRCOMBUSTIBLEHR</v>
      </c>
      <c r="B465" t="s">
        <v>2028</v>
      </c>
      <c r="C465" s="1">
        <v>45908</v>
      </c>
      <c r="D465" t="s">
        <v>29</v>
      </c>
      <c r="E465" t="s">
        <v>32</v>
      </c>
      <c r="F465" s="3" t="s">
        <v>29</v>
      </c>
      <c r="G465" s="158"/>
      <c r="H465" t="s">
        <v>4788</v>
      </c>
      <c r="J465" s="81">
        <v>900</v>
      </c>
      <c r="K465" s="69">
        <f>K464+I465-J465</f>
        <v>-465776.8</v>
      </c>
    </row>
    <row r="466" spans="1:11" hidden="1">
      <c r="A466" s="137" t="str">
        <f t="shared" si="16"/>
        <v>HRCOMBUSTIBLEHR</v>
      </c>
      <c r="B466" t="s">
        <v>2028</v>
      </c>
      <c r="C466" s="1">
        <f t="shared" si="15"/>
        <v>45908</v>
      </c>
      <c r="D466" t="s">
        <v>29</v>
      </c>
      <c r="E466" t="s">
        <v>32</v>
      </c>
      <c r="F466" s="3" t="s">
        <v>29</v>
      </c>
      <c r="G466" s="158"/>
      <c r="H466" t="s">
        <v>4769</v>
      </c>
      <c r="J466" s="81">
        <v>1000</v>
      </c>
      <c r="K466" s="69">
        <f>K465+I466-J466</f>
        <v>-466776.8</v>
      </c>
    </row>
    <row r="467" spans="1:11" hidden="1">
      <c r="A467" s="137" t="str">
        <f t="shared" si="16"/>
        <v>CAPCOMBUSTIBLECAPRICHOS</v>
      </c>
      <c r="B467" t="s">
        <v>2028</v>
      </c>
      <c r="C467" s="1">
        <f t="shared" si="15"/>
        <v>45908</v>
      </c>
      <c r="D467" t="s">
        <v>31</v>
      </c>
      <c r="E467" t="s">
        <v>32</v>
      </c>
      <c r="F467" s="3" t="s">
        <v>33</v>
      </c>
      <c r="G467" s="158"/>
      <c r="H467" t="s">
        <v>4770</v>
      </c>
      <c r="J467" s="81">
        <v>1200</v>
      </c>
      <c r="K467" s="69">
        <f>K466+I467-J467</f>
        <v>-467976.8</v>
      </c>
    </row>
    <row r="468" spans="1:11" hidden="1">
      <c r="A468" s="137" t="str">
        <f t="shared" si="16"/>
        <v>CAPCOMBUSTIBLECAPRICHOS</v>
      </c>
      <c r="B468" t="s">
        <v>2028</v>
      </c>
      <c r="C468" s="1">
        <f t="shared" si="15"/>
        <v>45908</v>
      </c>
      <c r="D468" t="s">
        <v>31</v>
      </c>
      <c r="E468" t="s">
        <v>32</v>
      </c>
      <c r="F468" s="3" t="s">
        <v>33</v>
      </c>
      <c r="G468" s="158"/>
      <c r="H468" t="s">
        <v>4782</v>
      </c>
      <c r="J468" s="81">
        <v>1000</v>
      </c>
      <c r="K468" s="69">
        <f>K467+I468-J468</f>
        <v>-468976.8</v>
      </c>
    </row>
    <row r="469" spans="1:11" hidden="1">
      <c r="A469" s="137" t="str">
        <f t="shared" si="16"/>
        <v>SERVICIOSCOMBUSTIBLESERVICIOS</v>
      </c>
      <c r="B469" t="s">
        <v>2028</v>
      </c>
      <c r="C469" s="1">
        <f t="shared" si="15"/>
        <v>45908</v>
      </c>
      <c r="D469" t="s">
        <v>21</v>
      </c>
      <c r="E469" t="s">
        <v>32</v>
      </c>
      <c r="F469" s="3" t="s">
        <v>21</v>
      </c>
      <c r="G469" s="158"/>
      <c r="H469" t="s">
        <v>4771</v>
      </c>
      <c r="J469" s="81">
        <v>1400</v>
      </c>
      <c r="K469" s="69">
        <f>K468+I469-J469</f>
        <v>-470376.8</v>
      </c>
    </row>
    <row r="470" spans="1:11" hidden="1">
      <c r="A470" s="137" t="str">
        <f t="shared" si="16"/>
        <v>SERVICIOSCOMBUSTIBLECEDIS</v>
      </c>
      <c r="B470" t="s">
        <v>2028</v>
      </c>
      <c r="C470" s="1">
        <f t="shared" si="15"/>
        <v>45908</v>
      </c>
      <c r="D470" t="s">
        <v>21</v>
      </c>
      <c r="E470" t="s">
        <v>32</v>
      </c>
      <c r="F470" s="3" t="s">
        <v>28</v>
      </c>
      <c r="G470" s="158"/>
      <c r="H470" t="s">
        <v>28</v>
      </c>
      <c r="J470" s="81">
        <v>18700</v>
      </c>
      <c r="K470" s="69">
        <f>K469+I470-J470</f>
        <v>-489076.8</v>
      </c>
    </row>
    <row r="471" spans="1:11" hidden="1">
      <c r="A471" s="137" t="str">
        <f t="shared" si="16"/>
        <v>SERVICIOSCOMBUSTIBLEMANTENIMIENTO</v>
      </c>
      <c r="B471" t="s">
        <v>2028</v>
      </c>
      <c r="C471" s="1">
        <f t="shared" si="15"/>
        <v>45908</v>
      </c>
      <c r="D471" t="s">
        <v>21</v>
      </c>
      <c r="E471" t="s">
        <v>32</v>
      </c>
      <c r="F471" s="3" t="s">
        <v>35</v>
      </c>
      <c r="G471" s="158"/>
      <c r="H471" t="s">
        <v>4791</v>
      </c>
      <c r="J471" s="81">
        <v>1500</v>
      </c>
      <c r="K471" s="69">
        <f>K470+I471-J471</f>
        <v>-490576.8</v>
      </c>
    </row>
    <row r="472" spans="1:11" hidden="1">
      <c r="A472" s="137" t="str">
        <f t="shared" si="16"/>
        <v>FINANZASCOMBUSTIBLETESORERIA</v>
      </c>
      <c r="B472" t="s">
        <v>2028</v>
      </c>
      <c r="C472" s="1">
        <f t="shared" si="15"/>
        <v>45908</v>
      </c>
      <c r="D472" t="s">
        <v>23</v>
      </c>
      <c r="E472" t="s">
        <v>32</v>
      </c>
      <c r="F472" s="3" t="s">
        <v>38</v>
      </c>
      <c r="G472" s="158"/>
      <c r="H472" t="s">
        <v>4772</v>
      </c>
      <c r="J472" s="81">
        <v>700</v>
      </c>
      <c r="K472" s="69">
        <f>K471+I472-J472</f>
        <v>-491276.79999999999</v>
      </c>
    </row>
    <row r="473" spans="1:11" hidden="1">
      <c r="A473" s="137" t="str">
        <f t="shared" si="16"/>
        <v>FINANZASCOMBUSTIBLETESORERIA</v>
      </c>
      <c r="B473" t="s">
        <v>2028</v>
      </c>
      <c r="C473" s="1">
        <f t="shared" si="15"/>
        <v>45908</v>
      </c>
      <c r="D473" t="s">
        <v>23</v>
      </c>
      <c r="E473" t="s">
        <v>32</v>
      </c>
      <c r="F473" s="3" t="s">
        <v>38</v>
      </c>
      <c r="G473" s="158"/>
      <c r="H473" t="s">
        <v>4773</v>
      </c>
      <c r="J473" s="81">
        <v>1500</v>
      </c>
      <c r="K473" s="69">
        <f>K472+I473-J473</f>
        <v>-492776.8</v>
      </c>
    </row>
    <row r="474" spans="1:11" hidden="1">
      <c r="A474" s="137" t="str">
        <f t="shared" si="16"/>
        <v>FINANZASCOMBUSTIBLEFINANZAS</v>
      </c>
      <c r="B474" t="s">
        <v>2028</v>
      </c>
      <c r="C474" s="1">
        <f t="shared" si="15"/>
        <v>45908</v>
      </c>
      <c r="D474" t="s">
        <v>23</v>
      </c>
      <c r="E474" t="s">
        <v>32</v>
      </c>
      <c r="F474" s="3" t="s">
        <v>23</v>
      </c>
      <c r="G474" s="158"/>
      <c r="H474" t="s">
        <v>4793</v>
      </c>
      <c r="J474" s="81">
        <v>700</v>
      </c>
      <c r="K474" s="69">
        <f>K473+I474-J474</f>
        <v>-493476.8</v>
      </c>
    </row>
    <row r="475" spans="1:11" hidden="1">
      <c r="A475" s="137" t="str">
        <f t="shared" si="16"/>
        <v>DECOMBUSTIBLEDIRECCION</v>
      </c>
      <c r="B475" t="s">
        <v>2028</v>
      </c>
      <c r="C475" s="1">
        <f t="shared" si="15"/>
        <v>45908</v>
      </c>
      <c r="D475" t="s">
        <v>41</v>
      </c>
      <c r="E475" t="s">
        <v>32</v>
      </c>
      <c r="F475" s="3" t="s">
        <v>42</v>
      </c>
      <c r="G475" s="158"/>
      <c r="H475" t="s">
        <v>4774</v>
      </c>
      <c r="J475" s="81">
        <v>1000</v>
      </c>
      <c r="K475" s="69">
        <f>K474+I475-J475</f>
        <v>-494476.79999999999</v>
      </c>
    </row>
    <row r="476" spans="1:11" hidden="1">
      <c r="A476" s="137" t="str">
        <f t="shared" si="16"/>
        <v>MMCOMBUSTIBLEMARKET MAX</v>
      </c>
      <c r="B476" t="s">
        <v>2028</v>
      </c>
      <c r="C476" s="1">
        <f t="shared" si="15"/>
        <v>45908</v>
      </c>
      <c r="D476" t="s">
        <v>45</v>
      </c>
      <c r="E476" t="s">
        <v>32</v>
      </c>
      <c r="F476" s="3" t="s">
        <v>46</v>
      </c>
      <c r="G476" s="158"/>
      <c r="H476" t="s">
        <v>4789</v>
      </c>
      <c r="J476" s="81">
        <v>750</v>
      </c>
      <c r="K476" s="69">
        <f>K475+I476-J476</f>
        <v>-495226.8</v>
      </c>
    </row>
    <row r="477" spans="1:11" ht="15" hidden="1">
      <c r="A477" s="137" t="str">
        <f t="shared" si="16"/>
        <v>MELCOMBUSTIBLEMELISSA</v>
      </c>
      <c r="B477" t="s">
        <v>2028</v>
      </c>
      <c r="C477" s="1">
        <f t="shared" si="15"/>
        <v>45908</v>
      </c>
      <c r="D477" t="s">
        <v>43</v>
      </c>
      <c r="E477" s="12" t="s">
        <v>32</v>
      </c>
      <c r="F477" s="12" t="s">
        <v>44</v>
      </c>
      <c r="G477" s="158"/>
      <c r="H477" t="s">
        <v>4794</v>
      </c>
      <c r="J477" s="81">
        <v>1400</v>
      </c>
      <c r="K477" s="69">
        <f>K476+I477-J477</f>
        <v>-496626.8</v>
      </c>
    </row>
    <row r="478" spans="1:11" hidden="1">
      <c r="A478" s="137" t="str">
        <f t="shared" si="16"/>
        <v>HRCOMBUSTIBLEHR</v>
      </c>
      <c r="B478" t="s">
        <v>2028</v>
      </c>
      <c r="C478" s="1">
        <f t="shared" si="15"/>
        <v>45908</v>
      </c>
      <c r="D478" t="s">
        <v>29</v>
      </c>
      <c r="E478" t="s">
        <v>32</v>
      </c>
      <c r="F478" s="3" t="s">
        <v>29</v>
      </c>
      <c r="G478" s="158"/>
      <c r="H478" t="s">
        <v>4795</v>
      </c>
      <c r="J478" s="81">
        <v>1400</v>
      </c>
      <c r="K478" s="69">
        <f>K477+I478-J478</f>
        <v>-498026.8</v>
      </c>
    </row>
    <row r="479" spans="1:11" hidden="1">
      <c r="A479" s="137" t="str">
        <f t="shared" si="16"/>
        <v>HRCOMBUSTIBLEHR</v>
      </c>
      <c r="B479" t="s">
        <v>2028</v>
      </c>
      <c r="C479" s="1">
        <v>45915</v>
      </c>
      <c r="D479" t="s">
        <v>29</v>
      </c>
      <c r="E479" t="s">
        <v>32</v>
      </c>
      <c r="F479" s="3" t="s">
        <v>29</v>
      </c>
      <c r="G479" s="158"/>
      <c r="H479" t="s">
        <v>4788</v>
      </c>
      <c r="J479" s="81">
        <v>1400</v>
      </c>
      <c r="K479" s="69">
        <f>K478+I479-J479</f>
        <v>-499426.8</v>
      </c>
    </row>
    <row r="480" spans="1:11" hidden="1">
      <c r="A480" s="137" t="str">
        <f t="shared" si="16"/>
        <v>HRCOMBUSTIBLEHR</v>
      </c>
      <c r="B480" t="s">
        <v>2028</v>
      </c>
      <c r="C480" s="1">
        <f t="shared" si="15"/>
        <v>45915</v>
      </c>
      <c r="D480" t="s">
        <v>29</v>
      </c>
      <c r="E480" t="s">
        <v>32</v>
      </c>
      <c r="F480" s="3" t="s">
        <v>29</v>
      </c>
      <c r="G480" s="158"/>
      <c r="H480" t="s">
        <v>4769</v>
      </c>
      <c r="J480" s="81">
        <v>500</v>
      </c>
      <c r="K480" s="69">
        <f>K479+I480-J480</f>
        <v>-499926.8</v>
      </c>
    </row>
    <row r="481" spans="1:11" hidden="1">
      <c r="A481" s="137" t="str">
        <f t="shared" si="16"/>
        <v>HRCOMBUSTIBLEHR</v>
      </c>
      <c r="B481" t="s">
        <v>2028</v>
      </c>
      <c r="C481" s="1">
        <f t="shared" si="15"/>
        <v>45915</v>
      </c>
      <c r="D481" t="s">
        <v>29</v>
      </c>
      <c r="E481" t="s">
        <v>32</v>
      </c>
      <c r="F481" s="3" t="s">
        <v>29</v>
      </c>
      <c r="G481" s="158"/>
      <c r="H481" t="s">
        <v>4790</v>
      </c>
      <c r="J481" s="81">
        <v>700</v>
      </c>
      <c r="K481" s="69">
        <f>K480+I481-J481</f>
        <v>-500626.8</v>
      </c>
    </row>
    <row r="482" spans="1:11" hidden="1">
      <c r="A482" s="137" t="str">
        <f t="shared" si="16"/>
        <v>CAPCOMBUSTIBLECAPRICHOS</v>
      </c>
      <c r="B482" t="s">
        <v>2028</v>
      </c>
      <c r="C482" s="1">
        <f t="shared" si="15"/>
        <v>45915</v>
      </c>
      <c r="D482" t="s">
        <v>31</v>
      </c>
      <c r="E482" t="s">
        <v>32</v>
      </c>
      <c r="F482" s="3" t="s">
        <v>33</v>
      </c>
      <c r="G482" s="158"/>
      <c r="H482" t="s">
        <v>4770</v>
      </c>
      <c r="J482" s="81">
        <v>1300</v>
      </c>
      <c r="K482" s="69">
        <f>K481+I482-J482</f>
        <v>-501926.8</v>
      </c>
    </row>
    <row r="483" spans="1:11" hidden="1">
      <c r="A483" s="137" t="str">
        <f t="shared" si="16"/>
        <v>CAPCOMBUSTIBLECAPRICHOS</v>
      </c>
      <c r="B483" t="s">
        <v>2028</v>
      </c>
      <c r="C483" s="1">
        <f t="shared" si="15"/>
        <v>45915</v>
      </c>
      <c r="D483" t="s">
        <v>31</v>
      </c>
      <c r="E483" t="s">
        <v>32</v>
      </c>
      <c r="F483" s="3" t="s">
        <v>33</v>
      </c>
      <c r="G483" s="158"/>
      <c r="H483" t="s">
        <v>4782</v>
      </c>
      <c r="J483" s="81">
        <v>1000</v>
      </c>
      <c r="K483" s="69">
        <f>K482+I483-J483</f>
        <v>-502926.8</v>
      </c>
    </row>
    <row r="484" spans="1:11" hidden="1">
      <c r="A484" s="137" t="str">
        <f t="shared" si="16"/>
        <v>SERVICIOSCOMBUSTIBLESERVICIOS</v>
      </c>
      <c r="B484" t="s">
        <v>2028</v>
      </c>
      <c r="C484" s="1">
        <f t="shared" si="15"/>
        <v>45915</v>
      </c>
      <c r="D484" t="s">
        <v>21</v>
      </c>
      <c r="E484" t="s">
        <v>32</v>
      </c>
      <c r="F484" s="3" t="s">
        <v>21</v>
      </c>
      <c r="G484" s="158"/>
      <c r="H484" t="s">
        <v>4771</v>
      </c>
      <c r="J484" s="81">
        <v>400</v>
      </c>
      <c r="K484" s="69">
        <f>K483+I484-J484</f>
        <v>-503326.8</v>
      </c>
    </row>
    <row r="485" spans="1:11" hidden="1">
      <c r="A485" s="137" t="str">
        <f t="shared" si="16"/>
        <v>SERVICIOSCOMBUSTIBLECEDIS</v>
      </c>
      <c r="B485" t="s">
        <v>2028</v>
      </c>
      <c r="C485" s="1">
        <f t="shared" si="15"/>
        <v>45915</v>
      </c>
      <c r="D485" t="s">
        <v>21</v>
      </c>
      <c r="E485" t="s">
        <v>32</v>
      </c>
      <c r="F485" s="3" t="s">
        <v>28</v>
      </c>
      <c r="G485" s="158"/>
      <c r="H485" t="s">
        <v>28</v>
      </c>
      <c r="J485" s="81">
        <v>20500</v>
      </c>
      <c r="K485" s="69">
        <f>K484+I485-J485</f>
        <v>-523826.8</v>
      </c>
    </row>
    <row r="486" spans="1:11" hidden="1">
      <c r="A486" s="137" t="str">
        <f t="shared" si="16"/>
        <v>SERVICIOSCOMBUSTIBLEMANTENIMIENTO</v>
      </c>
      <c r="B486" t="s">
        <v>2028</v>
      </c>
      <c r="C486" s="1">
        <f t="shared" si="15"/>
        <v>45915</v>
      </c>
      <c r="D486" t="s">
        <v>21</v>
      </c>
      <c r="E486" t="s">
        <v>32</v>
      </c>
      <c r="F486" s="3" t="s">
        <v>35</v>
      </c>
      <c r="G486" s="158"/>
      <c r="H486" t="s">
        <v>4791</v>
      </c>
      <c r="J486" s="81">
        <v>1500</v>
      </c>
      <c r="K486" s="69">
        <f>K485+I486-J486</f>
        <v>-525326.80000000005</v>
      </c>
    </row>
    <row r="487" spans="1:11" hidden="1">
      <c r="A487" s="137" t="str">
        <f t="shared" si="16"/>
        <v>FINANZASCOMBUSTIBLECONTABILIDAD</v>
      </c>
      <c r="B487" t="s">
        <v>2028</v>
      </c>
      <c r="C487" s="1">
        <f t="shared" si="15"/>
        <v>45915</v>
      </c>
      <c r="D487" t="s">
        <v>23</v>
      </c>
      <c r="E487" t="s">
        <v>32</v>
      </c>
      <c r="F487" s="3" t="s">
        <v>37</v>
      </c>
      <c r="G487" s="158"/>
      <c r="H487" t="s">
        <v>4792</v>
      </c>
      <c r="J487" s="81">
        <v>500</v>
      </c>
      <c r="K487" s="69">
        <f>K486+I487-J487</f>
        <v>-525826.80000000005</v>
      </c>
    </row>
    <row r="488" spans="1:11" hidden="1">
      <c r="A488" s="137" t="str">
        <f t="shared" si="16"/>
        <v>FINANZASCOMBUSTIBLETESORERIA</v>
      </c>
      <c r="B488" t="s">
        <v>2028</v>
      </c>
      <c r="C488" s="1">
        <f t="shared" si="15"/>
        <v>45915</v>
      </c>
      <c r="D488" t="s">
        <v>23</v>
      </c>
      <c r="E488" t="s">
        <v>32</v>
      </c>
      <c r="F488" s="3" t="s">
        <v>38</v>
      </c>
      <c r="G488" s="158"/>
      <c r="H488" t="s">
        <v>4772</v>
      </c>
      <c r="J488" s="81">
        <v>700</v>
      </c>
      <c r="K488" s="69">
        <f>K487+I488-J488</f>
        <v>-526526.80000000005</v>
      </c>
    </row>
    <row r="489" spans="1:11" hidden="1">
      <c r="A489" s="137" t="str">
        <f t="shared" si="16"/>
        <v>FINANZASCOMBUSTIBLETESORERIA</v>
      </c>
      <c r="B489" t="s">
        <v>2028</v>
      </c>
      <c r="C489" s="1">
        <f t="shared" si="15"/>
        <v>45915</v>
      </c>
      <c r="D489" t="s">
        <v>23</v>
      </c>
      <c r="E489" t="s">
        <v>32</v>
      </c>
      <c r="F489" s="3" t="s">
        <v>38</v>
      </c>
      <c r="G489" s="158"/>
      <c r="H489" t="s">
        <v>4773</v>
      </c>
      <c r="J489" s="81">
        <v>1500</v>
      </c>
      <c r="K489" s="69">
        <f>K488+I489-J489</f>
        <v>-528026.80000000005</v>
      </c>
    </row>
    <row r="490" spans="1:11" hidden="1">
      <c r="A490" s="137" t="str">
        <f t="shared" si="16"/>
        <v>FINANZASCOMBUSTIBLEFINANZAS</v>
      </c>
      <c r="B490" t="s">
        <v>2028</v>
      </c>
      <c r="C490" s="1">
        <f t="shared" si="15"/>
        <v>45915</v>
      </c>
      <c r="D490" t="s">
        <v>23</v>
      </c>
      <c r="E490" t="s">
        <v>32</v>
      </c>
      <c r="F490" s="3" t="s">
        <v>23</v>
      </c>
      <c r="G490" s="158"/>
      <c r="H490" t="s">
        <v>4796</v>
      </c>
      <c r="J490" s="81">
        <v>700</v>
      </c>
      <c r="K490" s="69">
        <f>K489+I490-J490</f>
        <v>-528726.80000000005</v>
      </c>
    </row>
    <row r="491" spans="1:11" hidden="1">
      <c r="A491" s="137" t="str">
        <f t="shared" si="16"/>
        <v>DECOMBUSTIBLEDIRECCION</v>
      </c>
      <c r="B491" t="s">
        <v>2028</v>
      </c>
      <c r="C491" s="1">
        <f t="shared" si="15"/>
        <v>45915</v>
      </c>
      <c r="D491" t="s">
        <v>41</v>
      </c>
      <c r="E491" t="s">
        <v>32</v>
      </c>
      <c r="F491" s="3" t="s">
        <v>42</v>
      </c>
      <c r="G491" s="158"/>
      <c r="H491" t="s">
        <v>4774</v>
      </c>
      <c r="J491" s="81">
        <v>1000</v>
      </c>
      <c r="K491" s="69">
        <f>K490+I491-J491</f>
        <v>-529726.80000000005</v>
      </c>
    </row>
    <row r="492" spans="1:11" hidden="1">
      <c r="A492" s="137" t="str">
        <f t="shared" si="16"/>
        <v>MMCOMBUSTIBLEMARKET MAX</v>
      </c>
      <c r="B492" t="s">
        <v>2028</v>
      </c>
      <c r="C492" s="1">
        <f t="shared" si="15"/>
        <v>45915</v>
      </c>
      <c r="D492" t="s">
        <v>45</v>
      </c>
      <c r="E492" t="s">
        <v>32</v>
      </c>
      <c r="F492" s="3" t="s">
        <v>46</v>
      </c>
      <c r="G492" s="158"/>
      <c r="H492" t="s">
        <v>4789</v>
      </c>
      <c r="J492" s="81">
        <v>700</v>
      </c>
      <c r="K492" s="69">
        <f>K491+I492-J492</f>
        <v>-530426.80000000005</v>
      </c>
    </row>
    <row r="493" spans="1:11" ht="15" hidden="1">
      <c r="A493" s="137" t="str">
        <f t="shared" si="16"/>
        <v>MELCOMBUSTIBLEMELISSA</v>
      </c>
      <c r="B493" t="s">
        <v>2028</v>
      </c>
      <c r="C493" s="1">
        <f t="shared" si="15"/>
        <v>45915</v>
      </c>
      <c r="D493" t="s">
        <v>43</v>
      </c>
      <c r="E493" s="12" t="s">
        <v>32</v>
      </c>
      <c r="F493" s="12" t="s">
        <v>44</v>
      </c>
      <c r="G493" s="158"/>
      <c r="H493" t="s">
        <v>4794</v>
      </c>
      <c r="J493" s="81">
        <v>1000</v>
      </c>
      <c r="K493" s="69">
        <f>K492+I493-J493</f>
        <v>-531426.80000000005</v>
      </c>
    </row>
    <row r="494" spans="1:11" hidden="1">
      <c r="A494" s="137" t="str">
        <f t="shared" si="16"/>
        <v>SERVICIOSCOMBUSTIBLEINVENTARIOS</v>
      </c>
      <c r="B494" t="s">
        <v>2028</v>
      </c>
      <c r="C494" s="1">
        <f t="shared" si="15"/>
        <v>45915</v>
      </c>
      <c r="D494" t="s">
        <v>21</v>
      </c>
      <c r="E494" t="s">
        <v>32</v>
      </c>
      <c r="F494" s="3" t="s">
        <v>34</v>
      </c>
      <c r="G494" s="158"/>
      <c r="H494" t="s">
        <v>34</v>
      </c>
      <c r="J494" s="81">
        <v>500</v>
      </c>
      <c r="K494" s="69">
        <f>K493+I494-J494</f>
        <v>-531926.80000000005</v>
      </c>
    </row>
    <row r="495" spans="1:11" hidden="1">
      <c r="A495" s="137" t="str">
        <f t="shared" si="16"/>
        <v>SGECOMBUSTIBLEGESTION EMPRESARIAL</v>
      </c>
      <c r="B495" t="s">
        <v>2028</v>
      </c>
      <c r="C495" s="1">
        <f t="shared" si="15"/>
        <v>45915</v>
      </c>
      <c r="D495" t="s">
        <v>39</v>
      </c>
      <c r="E495" t="s">
        <v>32</v>
      </c>
      <c r="F495" s="3" t="s">
        <v>40</v>
      </c>
      <c r="G495" s="158"/>
      <c r="J495" s="81">
        <v>500</v>
      </c>
      <c r="K495" s="69">
        <f>K494+I495-J495</f>
        <v>-532426.80000000005</v>
      </c>
    </row>
    <row r="496" spans="1:11" hidden="1">
      <c r="A496" s="137" t="str">
        <f t="shared" si="16"/>
        <v>HRCOMBUSTIBLEHR</v>
      </c>
      <c r="B496" t="s">
        <v>2028</v>
      </c>
      <c r="C496" s="1">
        <v>45922</v>
      </c>
      <c r="D496" t="s">
        <v>29</v>
      </c>
      <c r="E496" t="s">
        <v>32</v>
      </c>
      <c r="F496" s="3" t="s">
        <v>29</v>
      </c>
      <c r="G496" s="158"/>
      <c r="H496" t="s">
        <v>4788</v>
      </c>
      <c r="J496" s="81">
        <v>900</v>
      </c>
      <c r="K496" s="69">
        <f>K495+I496-J496</f>
        <v>-533326.80000000005</v>
      </c>
    </row>
    <row r="497" spans="1:11" hidden="1">
      <c r="A497" s="137" t="str">
        <f t="shared" si="16"/>
        <v>HRCOMBUSTIBLEHR</v>
      </c>
      <c r="B497" t="s">
        <v>2028</v>
      </c>
      <c r="C497" s="1">
        <f t="shared" si="15"/>
        <v>45922</v>
      </c>
      <c r="D497" t="s">
        <v>29</v>
      </c>
      <c r="E497" t="s">
        <v>32</v>
      </c>
      <c r="F497" s="3" t="s">
        <v>29</v>
      </c>
      <c r="G497" s="158"/>
      <c r="H497" t="s">
        <v>4797</v>
      </c>
      <c r="J497" s="81">
        <v>1200</v>
      </c>
      <c r="K497" s="69">
        <f>K496+I497-J497</f>
        <v>-534526.80000000005</v>
      </c>
    </row>
    <row r="498" spans="1:11" hidden="1">
      <c r="A498" s="137" t="str">
        <f t="shared" si="16"/>
        <v>HRCOMBUSTIBLEHR</v>
      </c>
      <c r="B498" t="s">
        <v>2028</v>
      </c>
      <c r="C498" s="1">
        <f t="shared" si="15"/>
        <v>45922</v>
      </c>
      <c r="D498" t="s">
        <v>29</v>
      </c>
      <c r="E498" t="s">
        <v>32</v>
      </c>
      <c r="F498" s="3" t="s">
        <v>29</v>
      </c>
      <c r="G498" s="158"/>
      <c r="H498" t="s">
        <v>4790</v>
      </c>
      <c r="J498" s="81">
        <v>500</v>
      </c>
      <c r="K498" s="69">
        <f>K497+I498-J498</f>
        <v>-535026.80000000005</v>
      </c>
    </row>
    <row r="499" spans="1:11" hidden="1">
      <c r="A499" s="137" t="str">
        <f t="shared" si="16"/>
        <v>CAPCOMBUSTIBLECAPRICHOS</v>
      </c>
      <c r="B499" t="s">
        <v>2028</v>
      </c>
      <c r="C499" s="1">
        <f t="shared" si="15"/>
        <v>45922</v>
      </c>
      <c r="D499" t="s">
        <v>31</v>
      </c>
      <c r="E499" t="s">
        <v>32</v>
      </c>
      <c r="F499" s="3" t="s">
        <v>33</v>
      </c>
      <c r="G499" s="158"/>
      <c r="H499" t="s">
        <v>4770</v>
      </c>
      <c r="J499" s="81">
        <v>1300</v>
      </c>
      <c r="K499" s="69">
        <f>K498+I499-J499</f>
        <v>-536326.80000000005</v>
      </c>
    </row>
    <row r="500" spans="1:11" hidden="1">
      <c r="A500" s="137" t="str">
        <f t="shared" si="16"/>
        <v>CAPCOMBUSTIBLECAPRICHOS</v>
      </c>
      <c r="B500" t="s">
        <v>2028</v>
      </c>
      <c r="C500" s="1">
        <f t="shared" si="15"/>
        <v>45922</v>
      </c>
      <c r="D500" t="s">
        <v>31</v>
      </c>
      <c r="E500" t="s">
        <v>32</v>
      </c>
      <c r="F500" s="3" t="s">
        <v>33</v>
      </c>
      <c r="G500" s="158"/>
      <c r="H500" t="s">
        <v>4782</v>
      </c>
      <c r="J500" s="81">
        <v>1000</v>
      </c>
      <c r="K500" s="69">
        <f>K499+I500-J500</f>
        <v>-537326.80000000005</v>
      </c>
    </row>
    <row r="501" spans="1:11" hidden="1">
      <c r="A501" s="137" t="str">
        <f t="shared" si="16"/>
        <v>SERVICIOSCOMBUSTIBLESERVICIOS</v>
      </c>
      <c r="B501" t="s">
        <v>2028</v>
      </c>
      <c r="C501" s="1">
        <f t="shared" si="15"/>
        <v>45922</v>
      </c>
      <c r="D501" t="s">
        <v>21</v>
      </c>
      <c r="E501" t="s">
        <v>32</v>
      </c>
      <c r="F501" s="3" t="s">
        <v>21</v>
      </c>
      <c r="G501" s="158"/>
      <c r="H501" t="s">
        <v>4771</v>
      </c>
      <c r="J501" s="81">
        <v>400</v>
      </c>
      <c r="K501" s="69">
        <f>K500+I501-J501</f>
        <v>-537726.80000000005</v>
      </c>
    </row>
    <row r="502" spans="1:11" hidden="1">
      <c r="A502" s="137" t="str">
        <f t="shared" si="16"/>
        <v>SERVICIOSCOMBUSTIBLECEDIS</v>
      </c>
      <c r="B502" t="s">
        <v>2028</v>
      </c>
      <c r="C502" s="1">
        <f t="shared" si="15"/>
        <v>45922</v>
      </c>
      <c r="D502" t="s">
        <v>21</v>
      </c>
      <c r="E502" t="s">
        <v>32</v>
      </c>
      <c r="F502" s="3" t="s">
        <v>28</v>
      </c>
      <c r="G502" s="158"/>
      <c r="H502" t="s">
        <v>28</v>
      </c>
      <c r="J502" s="81">
        <v>21700</v>
      </c>
      <c r="K502" s="69">
        <f>K501+I502-J502</f>
        <v>-559426.80000000005</v>
      </c>
    </row>
    <row r="503" spans="1:11" hidden="1">
      <c r="A503" s="137" t="str">
        <f t="shared" si="16"/>
        <v>FINANZASCOMBUSTIBLECONTABILIDAD</v>
      </c>
      <c r="B503" t="s">
        <v>2028</v>
      </c>
      <c r="C503" s="1">
        <f t="shared" si="15"/>
        <v>45922</v>
      </c>
      <c r="D503" t="s">
        <v>23</v>
      </c>
      <c r="E503" t="s">
        <v>32</v>
      </c>
      <c r="F503" s="3" t="s">
        <v>37</v>
      </c>
      <c r="G503" s="158"/>
      <c r="H503" t="s">
        <v>4792</v>
      </c>
      <c r="J503" s="81">
        <v>500</v>
      </c>
      <c r="K503" s="69">
        <f>K502+I503-J503</f>
        <v>-559926.80000000005</v>
      </c>
    </row>
    <row r="504" spans="1:11" hidden="1">
      <c r="A504" s="137" t="str">
        <f t="shared" si="16"/>
        <v>FINANZASCOMBUSTIBLETESORERIA</v>
      </c>
      <c r="B504" t="s">
        <v>2028</v>
      </c>
      <c r="C504" s="1">
        <f t="shared" si="15"/>
        <v>45922</v>
      </c>
      <c r="D504" t="s">
        <v>23</v>
      </c>
      <c r="E504" t="s">
        <v>32</v>
      </c>
      <c r="F504" s="3" t="s">
        <v>38</v>
      </c>
      <c r="G504" s="158"/>
      <c r="H504" t="s">
        <v>4772</v>
      </c>
      <c r="J504" s="81">
        <v>700</v>
      </c>
      <c r="K504" s="69">
        <f>K503+I504-J504</f>
        <v>-560626.80000000005</v>
      </c>
    </row>
    <row r="505" spans="1:11" hidden="1">
      <c r="A505" s="137" t="str">
        <f t="shared" ref="A505:A568" si="17">D505&amp;E505&amp;F505</f>
        <v>FINANZASCOMBUSTIBLETESORERIA</v>
      </c>
      <c r="B505" t="s">
        <v>2028</v>
      </c>
      <c r="C505" s="1">
        <f t="shared" si="15"/>
        <v>45922</v>
      </c>
      <c r="D505" t="s">
        <v>23</v>
      </c>
      <c r="E505" t="s">
        <v>32</v>
      </c>
      <c r="F505" s="3" t="s">
        <v>38</v>
      </c>
      <c r="G505" s="158"/>
      <c r="H505" t="s">
        <v>4773</v>
      </c>
      <c r="J505" s="81">
        <v>1500</v>
      </c>
      <c r="K505" s="69">
        <f>K504+I505-J505</f>
        <v>-562126.80000000005</v>
      </c>
    </row>
    <row r="506" spans="1:11" hidden="1">
      <c r="A506" s="137" t="str">
        <f t="shared" si="17"/>
        <v>FINANZASCOMBUSTIBLEFINANZAS</v>
      </c>
      <c r="B506" t="s">
        <v>2028</v>
      </c>
      <c r="C506" s="1">
        <f t="shared" si="15"/>
        <v>45922</v>
      </c>
      <c r="D506" t="s">
        <v>23</v>
      </c>
      <c r="E506" t="s">
        <v>32</v>
      </c>
      <c r="F506" s="3" t="s">
        <v>23</v>
      </c>
      <c r="G506" s="158"/>
      <c r="H506" t="s">
        <v>4793</v>
      </c>
      <c r="J506" s="81">
        <v>700</v>
      </c>
      <c r="K506" s="69">
        <f>K505+I506-J506</f>
        <v>-562826.80000000005</v>
      </c>
    </row>
    <row r="507" spans="1:11" ht="15" hidden="1">
      <c r="A507" s="137" t="str">
        <f t="shared" si="17"/>
        <v>DECOMBUSTIBLEDIRECCION</v>
      </c>
      <c r="B507" t="s">
        <v>2028</v>
      </c>
      <c r="C507" s="1">
        <f t="shared" si="15"/>
        <v>45922</v>
      </c>
      <c r="D507" t="s">
        <v>41</v>
      </c>
      <c r="E507" t="s">
        <v>32</v>
      </c>
      <c r="F507" s="3" t="s">
        <v>42</v>
      </c>
      <c r="G507" s="158"/>
      <c r="H507" t="s">
        <v>4774</v>
      </c>
      <c r="J507" s="81">
        <v>1021</v>
      </c>
      <c r="K507" s="69">
        <f>K506+I507-J507</f>
        <v>-563847.80000000005</v>
      </c>
    </row>
    <row r="508" spans="1:11" ht="15" hidden="1">
      <c r="A508" s="137" t="str">
        <f t="shared" si="17"/>
        <v>SGECOMBUSTIBLEGESTION EMPRESARIAL</v>
      </c>
      <c r="B508" t="s">
        <v>2028</v>
      </c>
      <c r="C508" s="1">
        <f t="shared" si="15"/>
        <v>45922</v>
      </c>
      <c r="D508" t="s">
        <v>39</v>
      </c>
      <c r="E508" t="s">
        <v>32</v>
      </c>
      <c r="F508" s="3" t="s">
        <v>40</v>
      </c>
      <c r="G508" s="158"/>
      <c r="H508" t="s">
        <v>4798</v>
      </c>
      <c r="J508" s="81">
        <v>800</v>
      </c>
      <c r="K508" s="69">
        <f>K507+I508-J508</f>
        <v>-564647.80000000005</v>
      </c>
    </row>
    <row r="509" spans="1:11" ht="15" hidden="1">
      <c r="A509" s="137" t="str">
        <f t="shared" si="17"/>
        <v>MMCOMBUSTIBLEMARKET MAX</v>
      </c>
      <c r="B509" t="s">
        <v>2028</v>
      </c>
      <c r="C509" s="1">
        <v>45922</v>
      </c>
      <c r="D509" t="s">
        <v>45</v>
      </c>
      <c r="E509" t="s">
        <v>32</v>
      </c>
      <c r="F509" s="3" t="s">
        <v>46</v>
      </c>
      <c r="G509" s="158"/>
      <c r="H509" t="s">
        <v>4780</v>
      </c>
      <c r="J509" s="81">
        <v>700</v>
      </c>
      <c r="K509" s="69">
        <f>K508+I509-J509</f>
        <v>-565347.80000000005</v>
      </c>
    </row>
    <row r="510" spans="1:11" ht="15" hidden="1">
      <c r="A510" s="137" t="str">
        <f t="shared" si="17"/>
        <v>MELCOMBUSTIBLEMELISSA</v>
      </c>
      <c r="B510" t="s">
        <v>2028</v>
      </c>
      <c r="C510" s="1">
        <f t="shared" ref="C509:C572" si="18">C509</f>
        <v>45922</v>
      </c>
      <c r="D510" t="s">
        <v>43</v>
      </c>
      <c r="E510" s="12" t="s">
        <v>32</v>
      </c>
      <c r="F510" s="12" t="s">
        <v>44</v>
      </c>
      <c r="G510" s="158"/>
      <c r="H510" t="s">
        <v>4760</v>
      </c>
      <c r="J510" s="81">
        <v>1300</v>
      </c>
      <c r="K510" s="69">
        <f>K509+I510-J510</f>
        <v>-566647.80000000005</v>
      </c>
    </row>
    <row r="511" spans="1:11" hidden="1">
      <c r="A511" s="137" t="str">
        <f t="shared" si="17"/>
        <v>SERVICIOSCOMBUSTIBLEINVENTARIOS</v>
      </c>
      <c r="B511" t="s">
        <v>2028</v>
      </c>
      <c r="C511" s="1">
        <f t="shared" si="18"/>
        <v>45922</v>
      </c>
      <c r="D511" t="s">
        <v>21</v>
      </c>
      <c r="E511" t="s">
        <v>32</v>
      </c>
      <c r="F511" s="3" t="s">
        <v>34</v>
      </c>
      <c r="G511" s="158"/>
      <c r="H511" t="s">
        <v>4783</v>
      </c>
      <c r="J511" s="81">
        <v>500</v>
      </c>
      <c r="K511" s="69">
        <f>K510+I511-J511</f>
        <v>-567147.80000000005</v>
      </c>
    </row>
    <row r="512" spans="1:11" hidden="1">
      <c r="A512" s="137" t="str">
        <f t="shared" si="17"/>
        <v>HRCOMBUSTIBLEHR</v>
      </c>
      <c r="B512" t="s">
        <v>2028</v>
      </c>
      <c r="C512" s="1">
        <f t="shared" si="18"/>
        <v>45922</v>
      </c>
      <c r="D512" t="s">
        <v>29</v>
      </c>
      <c r="E512" t="s">
        <v>32</v>
      </c>
      <c r="F512" s="3" t="s">
        <v>29</v>
      </c>
      <c r="G512" s="158"/>
      <c r="H512" t="s">
        <v>4799</v>
      </c>
      <c r="J512" s="81">
        <v>1000</v>
      </c>
      <c r="K512" s="69">
        <f>K511+I512-J512</f>
        <v>-568147.80000000005</v>
      </c>
    </row>
    <row r="513" spans="1:11" hidden="1">
      <c r="A513" s="137" t="str">
        <f t="shared" si="17"/>
        <v>HRCOMBUSTIBLEHR</v>
      </c>
      <c r="B513" t="s">
        <v>2028</v>
      </c>
      <c r="C513" s="1">
        <v>45929</v>
      </c>
      <c r="D513" t="s">
        <v>29</v>
      </c>
      <c r="E513" t="s">
        <v>32</v>
      </c>
      <c r="F513" s="3" t="s">
        <v>29</v>
      </c>
      <c r="G513" s="158"/>
      <c r="H513" t="s">
        <v>4788</v>
      </c>
      <c r="J513" s="81">
        <v>600</v>
      </c>
      <c r="K513" s="69">
        <f>K512+I513-J513</f>
        <v>-568747.80000000005</v>
      </c>
    </row>
    <row r="514" spans="1:11" hidden="1">
      <c r="A514" s="137" t="str">
        <f t="shared" si="17"/>
        <v>HRCOMBUSTIBLEHR</v>
      </c>
      <c r="B514" t="s">
        <v>2028</v>
      </c>
      <c r="C514" s="1">
        <f t="shared" si="18"/>
        <v>45929</v>
      </c>
      <c r="D514" t="s">
        <v>29</v>
      </c>
      <c r="E514" t="s">
        <v>32</v>
      </c>
      <c r="F514" s="3" t="s">
        <v>29</v>
      </c>
      <c r="G514" s="158"/>
      <c r="H514" t="s">
        <v>4769</v>
      </c>
      <c r="J514" s="81">
        <v>1200</v>
      </c>
      <c r="K514" s="69">
        <f>K513+I514-J514</f>
        <v>-569947.80000000005</v>
      </c>
    </row>
    <row r="515" spans="1:11" hidden="1">
      <c r="A515" s="137" t="str">
        <f t="shared" si="17"/>
        <v>HRCOMBUSTIBLEHR</v>
      </c>
      <c r="B515" t="s">
        <v>2028</v>
      </c>
      <c r="C515" s="1">
        <f t="shared" si="18"/>
        <v>45929</v>
      </c>
      <c r="D515" t="s">
        <v>29</v>
      </c>
      <c r="E515" t="s">
        <v>32</v>
      </c>
      <c r="F515" s="3" t="s">
        <v>29</v>
      </c>
      <c r="G515" s="158"/>
      <c r="H515" t="s">
        <v>4790</v>
      </c>
      <c r="J515" s="81">
        <v>1100</v>
      </c>
      <c r="K515" s="69">
        <f>K514+I515-J515</f>
        <v>-571047.80000000005</v>
      </c>
    </row>
    <row r="516" spans="1:11" hidden="1">
      <c r="A516" s="137" t="str">
        <f t="shared" si="17"/>
        <v>CAPCOMBUSTIBLECAPRICHOS</v>
      </c>
      <c r="B516" t="s">
        <v>2028</v>
      </c>
      <c r="C516" s="1">
        <f t="shared" si="18"/>
        <v>45929</v>
      </c>
      <c r="D516" t="s">
        <v>31</v>
      </c>
      <c r="E516" t="s">
        <v>32</v>
      </c>
      <c r="F516" s="3" t="s">
        <v>33</v>
      </c>
      <c r="G516" s="158"/>
      <c r="H516" t="s">
        <v>4770</v>
      </c>
      <c r="J516" s="81">
        <v>1300</v>
      </c>
      <c r="K516" s="69">
        <f>K515+I516-J516</f>
        <v>-572347.80000000005</v>
      </c>
    </row>
    <row r="517" spans="1:11" hidden="1">
      <c r="A517" s="137" t="str">
        <f t="shared" si="17"/>
        <v>CAPCOMBUSTIBLECAPRICHOS</v>
      </c>
      <c r="B517" t="s">
        <v>2028</v>
      </c>
      <c r="C517" s="1">
        <f t="shared" si="18"/>
        <v>45929</v>
      </c>
      <c r="D517" t="s">
        <v>31</v>
      </c>
      <c r="E517" t="s">
        <v>32</v>
      </c>
      <c r="F517" s="3" t="s">
        <v>33</v>
      </c>
      <c r="G517" s="158"/>
      <c r="H517" t="s">
        <v>4782</v>
      </c>
      <c r="J517" s="81">
        <v>1000</v>
      </c>
      <c r="K517" s="69">
        <f>K516+I517-J517</f>
        <v>-573347.80000000005</v>
      </c>
    </row>
    <row r="518" spans="1:11" hidden="1">
      <c r="A518" s="137" t="str">
        <f t="shared" si="17"/>
        <v>CAPCOMBUSTIBLECAPRICHOS</v>
      </c>
      <c r="B518" t="s">
        <v>2028</v>
      </c>
      <c r="C518" s="1">
        <f t="shared" si="18"/>
        <v>45929</v>
      </c>
      <c r="D518" t="s">
        <v>31</v>
      </c>
      <c r="E518" t="s">
        <v>32</v>
      </c>
      <c r="F518" s="3" t="s">
        <v>33</v>
      </c>
      <c r="G518" s="158"/>
      <c r="H518" t="s">
        <v>4800</v>
      </c>
      <c r="J518" s="81">
        <v>1500</v>
      </c>
      <c r="K518" s="69">
        <f>K517+I518-J518</f>
        <v>-574847.80000000005</v>
      </c>
    </row>
    <row r="519" spans="1:11" hidden="1">
      <c r="A519" s="137" t="str">
        <f t="shared" si="17"/>
        <v>SERVICIOSCOMBUSTIBLECEDIS</v>
      </c>
      <c r="B519" t="s">
        <v>2028</v>
      </c>
      <c r="C519" s="1">
        <f t="shared" si="18"/>
        <v>45929</v>
      </c>
      <c r="D519" t="s">
        <v>21</v>
      </c>
      <c r="E519" t="s">
        <v>32</v>
      </c>
      <c r="F519" s="3" t="s">
        <v>28</v>
      </c>
      <c r="G519" s="158"/>
      <c r="H519" t="s">
        <v>28</v>
      </c>
      <c r="J519" s="81">
        <v>18500</v>
      </c>
      <c r="K519" s="69">
        <f>K518+I519-J519</f>
        <v>-593347.80000000005</v>
      </c>
    </row>
    <row r="520" spans="1:11" hidden="1">
      <c r="A520" s="137" t="str">
        <f t="shared" si="17"/>
        <v>FINANZASCOMBUSTIBLETESORERIA</v>
      </c>
      <c r="B520" t="s">
        <v>2028</v>
      </c>
      <c r="C520" s="1">
        <f t="shared" si="18"/>
        <v>45929</v>
      </c>
      <c r="D520" t="s">
        <v>23</v>
      </c>
      <c r="E520" t="s">
        <v>32</v>
      </c>
      <c r="F520" s="3" t="s">
        <v>38</v>
      </c>
      <c r="G520" s="158"/>
      <c r="H520" t="s">
        <v>4772</v>
      </c>
      <c r="J520" s="81">
        <v>700</v>
      </c>
      <c r="K520" s="69">
        <f>K519+I520-J520</f>
        <v>-594047.80000000005</v>
      </c>
    </row>
    <row r="521" spans="1:11" hidden="1">
      <c r="A521" s="137" t="str">
        <f t="shared" si="17"/>
        <v>FINANZASCOMBUSTIBLETESORERIA</v>
      </c>
      <c r="B521" t="s">
        <v>2028</v>
      </c>
      <c r="C521" s="1">
        <f t="shared" si="18"/>
        <v>45929</v>
      </c>
      <c r="D521" t="s">
        <v>23</v>
      </c>
      <c r="E521" t="s">
        <v>32</v>
      </c>
      <c r="F521" s="3" t="s">
        <v>38</v>
      </c>
      <c r="G521" s="158"/>
      <c r="H521" t="s">
        <v>4773</v>
      </c>
      <c r="J521" s="81">
        <v>1500</v>
      </c>
      <c r="K521" s="69">
        <f>K520+I521-J521</f>
        <v>-595547.80000000005</v>
      </c>
    </row>
    <row r="522" spans="1:11" hidden="1">
      <c r="A522" s="137" t="str">
        <f t="shared" si="17"/>
        <v>DECOMBUSTIBLEDIRECCION</v>
      </c>
      <c r="B522" t="s">
        <v>2028</v>
      </c>
      <c r="C522" s="1">
        <f t="shared" si="18"/>
        <v>45929</v>
      </c>
      <c r="D522" t="s">
        <v>41</v>
      </c>
      <c r="E522" t="s">
        <v>32</v>
      </c>
      <c r="F522" s="3" t="s">
        <v>42</v>
      </c>
      <c r="G522" s="158"/>
      <c r="H522" t="s">
        <v>4774</v>
      </c>
      <c r="J522" s="81">
        <v>1000</v>
      </c>
      <c r="K522" s="69">
        <f>K521+I522-J522</f>
        <v>-596547.80000000005</v>
      </c>
    </row>
    <row r="523" spans="1:11" hidden="1">
      <c r="A523" s="137" t="str">
        <f t="shared" si="17"/>
        <v>MMCOMBUSTIBLEMARKET MAX</v>
      </c>
      <c r="B523" t="s">
        <v>2028</v>
      </c>
      <c r="C523" s="1">
        <f t="shared" si="18"/>
        <v>45929</v>
      </c>
      <c r="D523" t="s">
        <v>45</v>
      </c>
      <c r="E523" t="s">
        <v>32</v>
      </c>
      <c r="F523" s="3" t="s">
        <v>46</v>
      </c>
      <c r="G523" s="158"/>
      <c r="H523" t="s">
        <v>4780</v>
      </c>
      <c r="J523" s="81">
        <v>700</v>
      </c>
      <c r="K523" s="69">
        <f>K522+I523-J523</f>
        <v>-597247.80000000005</v>
      </c>
    </row>
    <row r="524" spans="1:11" ht="15" hidden="1">
      <c r="A524" s="137" t="str">
        <f t="shared" si="17"/>
        <v>MELCOMBUSTIBLEMELISSA</v>
      </c>
      <c r="B524" t="s">
        <v>2028</v>
      </c>
      <c r="C524" s="1">
        <f t="shared" si="18"/>
        <v>45929</v>
      </c>
      <c r="D524" t="s">
        <v>43</v>
      </c>
      <c r="E524" s="12" t="s">
        <v>32</v>
      </c>
      <c r="F524" s="12" t="s">
        <v>44</v>
      </c>
      <c r="G524" s="158"/>
      <c r="H524" t="s">
        <v>4760</v>
      </c>
      <c r="J524" s="81">
        <v>1000</v>
      </c>
      <c r="K524" s="69">
        <f>K523+I524-J524</f>
        <v>-598247.80000000005</v>
      </c>
    </row>
    <row r="525" spans="1:11" hidden="1">
      <c r="A525" s="137" t="str">
        <f t="shared" si="17"/>
        <v>SERVICIOSCOMBUSTIBLEINVENTARIOS</v>
      </c>
      <c r="B525" t="s">
        <v>2028</v>
      </c>
      <c r="C525" s="1">
        <f t="shared" si="18"/>
        <v>45929</v>
      </c>
      <c r="D525" t="s">
        <v>21</v>
      </c>
      <c r="E525" t="s">
        <v>32</v>
      </c>
      <c r="F525" s="3" t="s">
        <v>34</v>
      </c>
      <c r="G525" s="158"/>
      <c r="H525" t="s">
        <v>34</v>
      </c>
      <c r="J525" s="81">
        <v>1000</v>
      </c>
      <c r="K525" s="69">
        <f>K524+I525-J525</f>
        <v>-599247.80000000005</v>
      </c>
    </row>
    <row r="526" spans="1:11" hidden="1">
      <c r="A526" s="137" t="str">
        <f t="shared" si="17"/>
        <v>HRCOMBUSTIBLEHR</v>
      </c>
      <c r="B526" t="s">
        <v>2028</v>
      </c>
      <c r="C526" s="1">
        <f t="shared" si="18"/>
        <v>45929</v>
      </c>
      <c r="D526" t="s">
        <v>29</v>
      </c>
      <c r="E526" t="s">
        <v>32</v>
      </c>
      <c r="F526" s="3" t="s">
        <v>29</v>
      </c>
      <c r="G526" s="158"/>
      <c r="H526" t="s">
        <v>4795</v>
      </c>
      <c r="J526" s="81">
        <v>600</v>
      </c>
      <c r="K526" s="69">
        <f>K525+I526-J526</f>
        <v>-599847.80000000005</v>
      </c>
    </row>
    <row r="527" spans="1:11" hidden="1">
      <c r="A527" s="137" t="str">
        <f t="shared" si="17"/>
        <v>HRCOMBUSTIBLEHR</v>
      </c>
      <c r="B527" t="s">
        <v>2281</v>
      </c>
      <c r="C527" s="1">
        <v>45936</v>
      </c>
      <c r="D527" t="s">
        <v>29</v>
      </c>
      <c r="E527" t="s">
        <v>32</v>
      </c>
      <c r="F527" s="3" t="s">
        <v>29</v>
      </c>
      <c r="G527" s="158"/>
      <c r="H527" t="s">
        <v>4788</v>
      </c>
      <c r="J527" s="81">
        <v>500</v>
      </c>
      <c r="K527" s="69">
        <f>K526+I527-J527</f>
        <v>-600347.80000000005</v>
      </c>
    </row>
    <row r="528" spans="1:11" hidden="1">
      <c r="A528" s="137" t="str">
        <f t="shared" si="17"/>
        <v>HRCOMBUSTIBLEHR</v>
      </c>
      <c r="B528" t="s">
        <v>2281</v>
      </c>
      <c r="C528" s="1">
        <f t="shared" si="18"/>
        <v>45936</v>
      </c>
      <c r="D528" t="s">
        <v>29</v>
      </c>
      <c r="E528" t="s">
        <v>32</v>
      </c>
      <c r="F528" s="3" t="s">
        <v>29</v>
      </c>
      <c r="G528" s="158"/>
      <c r="H528" t="s">
        <v>4769</v>
      </c>
      <c r="J528" s="81">
        <v>1400</v>
      </c>
      <c r="K528" s="69">
        <f>K527+I528-J528</f>
        <v>-601747.80000000005</v>
      </c>
    </row>
    <row r="529" spans="1:11" hidden="1">
      <c r="A529" s="137" t="str">
        <f t="shared" si="17"/>
        <v>HRCOMBUSTIBLEHR</v>
      </c>
      <c r="B529" t="s">
        <v>2281</v>
      </c>
      <c r="C529" s="1">
        <f t="shared" si="18"/>
        <v>45936</v>
      </c>
      <c r="D529" t="s">
        <v>29</v>
      </c>
      <c r="E529" t="s">
        <v>32</v>
      </c>
      <c r="F529" s="3" t="s">
        <v>29</v>
      </c>
      <c r="G529" s="158"/>
      <c r="H529" t="s">
        <v>4790</v>
      </c>
      <c r="J529" s="81">
        <v>1050</v>
      </c>
      <c r="K529" s="69">
        <f>K528+I529-J529</f>
        <v>-602797.80000000005</v>
      </c>
    </row>
    <row r="530" spans="1:11" hidden="1">
      <c r="A530" s="137" t="str">
        <f t="shared" si="17"/>
        <v>CAPCOMBUSTIBLECAPRICHOS</v>
      </c>
      <c r="B530" t="s">
        <v>2281</v>
      </c>
      <c r="C530" s="1">
        <f t="shared" si="18"/>
        <v>45936</v>
      </c>
      <c r="D530" t="s">
        <v>31</v>
      </c>
      <c r="E530" t="s">
        <v>32</v>
      </c>
      <c r="F530" s="3" t="s">
        <v>33</v>
      </c>
      <c r="G530" s="158"/>
      <c r="H530" t="s">
        <v>4770</v>
      </c>
      <c r="J530" s="81">
        <v>1300</v>
      </c>
      <c r="K530" s="69">
        <f>K529+I530-J530</f>
        <v>-604097.80000000005</v>
      </c>
    </row>
    <row r="531" spans="1:11" hidden="1">
      <c r="A531" s="137" t="str">
        <f t="shared" si="17"/>
        <v>SERVICIOSCOMBUSTIBLESERVICIOS</v>
      </c>
      <c r="B531" t="s">
        <v>2281</v>
      </c>
      <c r="C531" s="1">
        <f t="shared" si="18"/>
        <v>45936</v>
      </c>
      <c r="D531" t="s">
        <v>21</v>
      </c>
      <c r="E531" t="s">
        <v>32</v>
      </c>
      <c r="F531" s="3" t="s">
        <v>21</v>
      </c>
      <c r="G531" s="158"/>
      <c r="H531" t="s">
        <v>4771</v>
      </c>
      <c r="J531" s="81">
        <v>400</v>
      </c>
      <c r="K531" s="69">
        <f>K530+I531-J531</f>
        <v>-604497.80000000005</v>
      </c>
    </row>
    <row r="532" spans="1:11" hidden="1">
      <c r="A532" s="137" t="str">
        <f t="shared" si="17"/>
        <v>SERVICIOSCOMBUSTIBLECEDIS</v>
      </c>
      <c r="B532" t="s">
        <v>2281</v>
      </c>
      <c r="C532" s="1">
        <f t="shared" si="18"/>
        <v>45936</v>
      </c>
      <c r="D532" t="s">
        <v>21</v>
      </c>
      <c r="E532" t="s">
        <v>32</v>
      </c>
      <c r="F532" s="3" t="s">
        <v>28</v>
      </c>
      <c r="G532" s="158"/>
      <c r="H532" t="s">
        <v>28</v>
      </c>
      <c r="J532" s="81">
        <v>14700</v>
      </c>
      <c r="K532" s="69">
        <f>K531+I532-J532</f>
        <v>-619197.80000000005</v>
      </c>
    </row>
    <row r="533" spans="1:11" hidden="1">
      <c r="A533" s="137" t="str">
        <f t="shared" si="17"/>
        <v>FINANZASCOMBUSTIBLETESORERIA</v>
      </c>
      <c r="B533" t="s">
        <v>2281</v>
      </c>
      <c r="C533" s="1">
        <f t="shared" si="18"/>
        <v>45936</v>
      </c>
      <c r="D533" t="s">
        <v>23</v>
      </c>
      <c r="E533" t="s">
        <v>32</v>
      </c>
      <c r="F533" s="3" t="s">
        <v>38</v>
      </c>
      <c r="G533" s="158"/>
      <c r="H533" t="s">
        <v>4772</v>
      </c>
      <c r="J533" s="81">
        <v>700</v>
      </c>
      <c r="K533" s="69">
        <f>K532+I533-J533</f>
        <v>-619897.80000000005</v>
      </c>
    </row>
    <row r="534" spans="1:11" hidden="1">
      <c r="A534" s="137" t="str">
        <f t="shared" si="17"/>
        <v>FINANZASCOMBUSTIBLETESORERIA</v>
      </c>
      <c r="B534" t="s">
        <v>2281</v>
      </c>
      <c r="C534" s="1">
        <f t="shared" si="18"/>
        <v>45936</v>
      </c>
      <c r="D534" t="s">
        <v>23</v>
      </c>
      <c r="E534" t="s">
        <v>32</v>
      </c>
      <c r="F534" s="3" t="s">
        <v>38</v>
      </c>
      <c r="G534" s="158"/>
      <c r="H534" t="s">
        <v>4773</v>
      </c>
      <c r="J534" s="81">
        <v>1500</v>
      </c>
      <c r="K534" s="69">
        <f>K533+I534-J534</f>
        <v>-621397.80000000005</v>
      </c>
    </row>
    <row r="535" spans="1:11" hidden="1">
      <c r="A535" s="137" t="str">
        <f t="shared" si="17"/>
        <v>DECOMBUSTIBLEDIRECCION</v>
      </c>
      <c r="B535" t="s">
        <v>2281</v>
      </c>
      <c r="C535" s="1">
        <f t="shared" si="18"/>
        <v>45936</v>
      </c>
      <c r="D535" t="s">
        <v>41</v>
      </c>
      <c r="E535" t="s">
        <v>32</v>
      </c>
      <c r="F535" s="3" t="s">
        <v>42</v>
      </c>
      <c r="G535" s="158"/>
      <c r="H535" t="s">
        <v>4774</v>
      </c>
      <c r="J535" s="81">
        <v>1500</v>
      </c>
      <c r="K535" s="69">
        <f>K534+I535-J535</f>
        <v>-622897.80000000005</v>
      </c>
    </row>
    <row r="536" spans="1:11" hidden="1">
      <c r="A536" s="137" t="str">
        <f t="shared" si="17"/>
        <v>SGECOMBUSTIBLEGESTION EMPRESARIAL</v>
      </c>
      <c r="B536" t="s">
        <v>2281</v>
      </c>
      <c r="C536" s="1">
        <f t="shared" si="18"/>
        <v>45936</v>
      </c>
      <c r="D536" t="s">
        <v>39</v>
      </c>
      <c r="E536" t="s">
        <v>32</v>
      </c>
      <c r="F536" s="3" t="s">
        <v>40</v>
      </c>
      <c r="G536" s="158"/>
      <c r="H536" t="s">
        <v>4798</v>
      </c>
      <c r="J536" s="81">
        <v>1000</v>
      </c>
      <c r="K536" s="69">
        <f>K535+I536-J536</f>
        <v>-623897.80000000005</v>
      </c>
    </row>
    <row r="537" spans="1:11" hidden="1">
      <c r="A537" s="137" t="str">
        <f t="shared" si="17"/>
        <v>MMCOMBUSTIBLEMARKET MAX</v>
      </c>
      <c r="B537" t="s">
        <v>2281</v>
      </c>
      <c r="C537" s="1">
        <f t="shared" si="18"/>
        <v>45936</v>
      </c>
      <c r="D537" t="s">
        <v>45</v>
      </c>
      <c r="E537" t="s">
        <v>32</v>
      </c>
      <c r="F537" s="3" t="s">
        <v>46</v>
      </c>
      <c r="G537" s="158"/>
      <c r="H537" t="s">
        <v>4780</v>
      </c>
      <c r="J537" s="81">
        <v>700</v>
      </c>
      <c r="K537" s="69">
        <f>K536+I537-J537</f>
        <v>-624597.80000000005</v>
      </c>
    </row>
    <row r="538" spans="1:11" ht="15" hidden="1">
      <c r="A538" s="137" t="str">
        <f t="shared" si="17"/>
        <v>MELCOMBUSTIBLEMELISSA</v>
      </c>
      <c r="B538" t="s">
        <v>2281</v>
      </c>
      <c r="C538" s="1">
        <f t="shared" si="18"/>
        <v>45936</v>
      </c>
      <c r="D538" t="s">
        <v>43</v>
      </c>
      <c r="E538" s="12" t="s">
        <v>32</v>
      </c>
      <c r="F538" s="12" t="s">
        <v>44</v>
      </c>
      <c r="G538" s="158"/>
      <c r="H538" t="s">
        <v>4760</v>
      </c>
      <c r="J538" s="81">
        <v>1000</v>
      </c>
      <c r="K538" s="69">
        <f>K537+I538-J538</f>
        <v>-625597.80000000005</v>
      </c>
    </row>
    <row r="539" spans="1:11" hidden="1">
      <c r="A539" s="137" t="str">
        <f t="shared" si="17"/>
        <v>SERVICIOSCOMBUSTIBLEINVENTARIOS</v>
      </c>
      <c r="B539" t="s">
        <v>2281</v>
      </c>
      <c r="C539" s="1">
        <f t="shared" si="18"/>
        <v>45936</v>
      </c>
      <c r="D539" t="s">
        <v>21</v>
      </c>
      <c r="E539" t="s">
        <v>32</v>
      </c>
      <c r="F539" s="3" t="s">
        <v>34</v>
      </c>
      <c r="G539" s="158"/>
      <c r="H539" t="s">
        <v>4783</v>
      </c>
      <c r="J539" s="81">
        <v>1700</v>
      </c>
      <c r="K539" s="69">
        <f>K538+I539-J539</f>
        <v>-627297.80000000005</v>
      </c>
    </row>
    <row r="540" spans="1:11" hidden="1">
      <c r="A540" s="137" t="str">
        <f t="shared" si="17"/>
        <v>HRCOMBUSTIBLEHR</v>
      </c>
      <c r="B540" t="s">
        <v>2281</v>
      </c>
      <c r="C540" s="1">
        <f t="shared" si="18"/>
        <v>45936</v>
      </c>
      <c r="D540" t="s">
        <v>29</v>
      </c>
      <c r="E540" t="s">
        <v>32</v>
      </c>
      <c r="F540" s="3" t="s">
        <v>29</v>
      </c>
      <c r="G540" s="158"/>
      <c r="H540" t="s">
        <v>4795</v>
      </c>
      <c r="J540" s="81">
        <v>500</v>
      </c>
      <c r="K540" s="69">
        <f>K539+I540-J540</f>
        <v>-627797.80000000005</v>
      </c>
    </row>
    <row r="541" spans="1:11" hidden="1">
      <c r="A541" s="137" t="str">
        <f t="shared" si="17"/>
        <v>HRCOMBUSTIBLEHR</v>
      </c>
      <c r="B541" t="s">
        <v>2281</v>
      </c>
      <c r="C541" s="1">
        <v>45943</v>
      </c>
      <c r="D541" t="s">
        <v>29</v>
      </c>
      <c r="E541" t="s">
        <v>32</v>
      </c>
      <c r="F541" s="3" t="s">
        <v>29</v>
      </c>
      <c r="G541" s="158"/>
      <c r="H541" t="s">
        <v>4788</v>
      </c>
      <c r="J541" s="449">
        <v>1200</v>
      </c>
      <c r="K541" s="69">
        <f>K540+I541-J541</f>
        <v>-628997.80000000005</v>
      </c>
    </row>
    <row r="542" spans="1:11" hidden="1">
      <c r="A542" s="137" t="str">
        <f t="shared" si="17"/>
        <v>HRCOMBUSTIBLEHR</v>
      </c>
      <c r="B542" t="s">
        <v>2281</v>
      </c>
      <c r="C542" s="1">
        <f t="shared" si="18"/>
        <v>45943</v>
      </c>
      <c r="D542" t="s">
        <v>29</v>
      </c>
      <c r="E542" t="s">
        <v>32</v>
      </c>
      <c r="F542" s="3" t="s">
        <v>29</v>
      </c>
      <c r="G542" s="158"/>
      <c r="H542" t="s">
        <v>4769</v>
      </c>
      <c r="J542" s="449">
        <v>1200</v>
      </c>
      <c r="K542" s="69">
        <f>K541+I542-J542</f>
        <v>-630197.80000000005</v>
      </c>
    </row>
    <row r="543" spans="1:11" hidden="1">
      <c r="A543" s="137" t="str">
        <f t="shared" si="17"/>
        <v>HRCOMBUSTIBLEHR</v>
      </c>
      <c r="B543" t="s">
        <v>2281</v>
      </c>
      <c r="C543" s="1">
        <f t="shared" si="18"/>
        <v>45943</v>
      </c>
      <c r="D543" t="s">
        <v>29</v>
      </c>
      <c r="E543" t="s">
        <v>32</v>
      </c>
      <c r="F543" s="3" t="s">
        <v>29</v>
      </c>
      <c r="G543" s="158"/>
      <c r="H543" t="s">
        <v>4790</v>
      </c>
      <c r="J543" s="449">
        <v>1300</v>
      </c>
      <c r="K543" s="69">
        <f>K542+I543-J543</f>
        <v>-631497.80000000005</v>
      </c>
    </row>
    <row r="544" spans="1:11" hidden="1">
      <c r="A544" s="137" t="str">
        <f t="shared" si="17"/>
        <v>CAPCOMBUSTIBLECAPRICHOS</v>
      </c>
      <c r="B544" t="s">
        <v>2281</v>
      </c>
      <c r="C544" s="1">
        <f t="shared" si="18"/>
        <v>45943</v>
      </c>
      <c r="D544" t="s">
        <v>31</v>
      </c>
      <c r="E544" t="s">
        <v>32</v>
      </c>
      <c r="F544" s="3" t="s">
        <v>33</v>
      </c>
      <c r="G544" s="158"/>
      <c r="H544" t="s">
        <v>4770</v>
      </c>
      <c r="J544" s="449">
        <v>1300</v>
      </c>
      <c r="K544" s="69">
        <f>K543+I544-J544</f>
        <v>-632797.80000000005</v>
      </c>
    </row>
    <row r="545" spans="1:11" hidden="1">
      <c r="A545" s="137" t="str">
        <f t="shared" si="17"/>
        <v>CAPCOMBUSTIBLECAPRICHOS</v>
      </c>
      <c r="B545" t="s">
        <v>2281</v>
      </c>
      <c r="C545" s="1">
        <f t="shared" si="18"/>
        <v>45943</v>
      </c>
      <c r="D545" t="s">
        <v>31</v>
      </c>
      <c r="E545" t="s">
        <v>32</v>
      </c>
      <c r="F545" s="3" t="s">
        <v>33</v>
      </c>
      <c r="G545" s="158"/>
      <c r="H545" t="s">
        <v>4782</v>
      </c>
      <c r="J545" s="449">
        <v>1000</v>
      </c>
      <c r="K545" s="69">
        <f>K544+I545-J545</f>
        <v>-633797.80000000005</v>
      </c>
    </row>
    <row r="546" spans="1:11" hidden="1">
      <c r="A546" s="137" t="str">
        <f t="shared" si="17"/>
        <v>SERVICIOSCOMBUSTIBLESERVICIOS</v>
      </c>
      <c r="B546" t="s">
        <v>2281</v>
      </c>
      <c r="C546" s="1">
        <f t="shared" si="18"/>
        <v>45943</v>
      </c>
      <c r="D546" t="s">
        <v>21</v>
      </c>
      <c r="E546" t="s">
        <v>32</v>
      </c>
      <c r="F546" s="3" t="s">
        <v>21</v>
      </c>
      <c r="G546" s="158"/>
      <c r="H546" t="s">
        <v>4771</v>
      </c>
      <c r="J546" s="449">
        <v>400</v>
      </c>
      <c r="K546" s="69">
        <f>K545+I546-J546</f>
        <v>-634197.80000000005</v>
      </c>
    </row>
    <row r="547" spans="1:11" hidden="1">
      <c r="A547" s="137" t="str">
        <f t="shared" si="17"/>
        <v>SERVICIOSCOMBUSTIBLECEDIS</v>
      </c>
      <c r="B547" t="s">
        <v>2281</v>
      </c>
      <c r="C547" s="1">
        <f t="shared" si="18"/>
        <v>45943</v>
      </c>
      <c r="D547" t="s">
        <v>21</v>
      </c>
      <c r="E547" t="s">
        <v>32</v>
      </c>
      <c r="F547" s="3" t="s">
        <v>28</v>
      </c>
      <c r="G547" s="158"/>
      <c r="H547" t="s">
        <v>28</v>
      </c>
      <c r="J547" s="449">
        <v>28000</v>
      </c>
      <c r="K547" s="69">
        <f>K546+I547-J547</f>
        <v>-662197.80000000005</v>
      </c>
    </row>
    <row r="548" spans="1:11" hidden="1">
      <c r="A548" s="137" t="str">
        <f t="shared" si="17"/>
        <v>FINANZASCOMBUSTIBLECONTABILIDAD</v>
      </c>
      <c r="B548" t="s">
        <v>2281</v>
      </c>
      <c r="C548" s="1">
        <f t="shared" si="18"/>
        <v>45943</v>
      </c>
      <c r="D548" t="s">
        <v>23</v>
      </c>
      <c r="E548" t="s">
        <v>32</v>
      </c>
      <c r="F548" s="3" t="s">
        <v>37</v>
      </c>
      <c r="G548" s="158"/>
      <c r="H548" t="s">
        <v>4792</v>
      </c>
      <c r="J548" s="449">
        <v>500</v>
      </c>
      <c r="K548" s="69">
        <f>K547+I548-J548</f>
        <v>-662697.80000000005</v>
      </c>
    </row>
    <row r="549" spans="1:11" hidden="1">
      <c r="A549" s="137" t="str">
        <f t="shared" si="17"/>
        <v>FINANZASCOMBUSTIBLETESORERIA</v>
      </c>
      <c r="B549" t="s">
        <v>2281</v>
      </c>
      <c r="C549" s="1">
        <f t="shared" si="18"/>
        <v>45943</v>
      </c>
      <c r="D549" t="s">
        <v>23</v>
      </c>
      <c r="E549" t="s">
        <v>32</v>
      </c>
      <c r="F549" s="3" t="s">
        <v>38</v>
      </c>
      <c r="G549" s="158"/>
      <c r="H549" t="s">
        <v>4772</v>
      </c>
      <c r="J549" s="449">
        <v>700</v>
      </c>
      <c r="K549" s="69">
        <f>K548+I549-J549</f>
        <v>-663397.80000000005</v>
      </c>
    </row>
    <row r="550" spans="1:11" hidden="1">
      <c r="A550" s="137" t="str">
        <f t="shared" si="17"/>
        <v>FINANZASCOMBUSTIBLETESORERIA</v>
      </c>
      <c r="B550" t="s">
        <v>2281</v>
      </c>
      <c r="C550" s="1">
        <f t="shared" si="18"/>
        <v>45943</v>
      </c>
      <c r="D550" t="s">
        <v>23</v>
      </c>
      <c r="E550" t="s">
        <v>32</v>
      </c>
      <c r="F550" s="3" t="s">
        <v>38</v>
      </c>
      <c r="G550" s="158"/>
      <c r="H550" t="s">
        <v>4773</v>
      </c>
      <c r="J550" s="449">
        <v>1500</v>
      </c>
      <c r="K550" s="69">
        <f>K549+I550-J550</f>
        <v>-664897.80000000005</v>
      </c>
    </row>
    <row r="551" spans="1:11" hidden="1">
      <c r="A551" s="137" t="str">
        <f t="shared" si="17"/>
        <v>FINANZASCOMBUSTIBLEFINANZAS</v>
      </c>
      <c r="B551" t="s">
        <v>2281</v>
      </c>
      <c r="C551" s="1">
        <f t="shared" si="18"/>
        <v>45943</v>
      </c>
      <c r="D551" t="s">
        <v>23</v>
      </c>
      <c r="E551" t="s">
        <v>32</v>
      </c>
      <c r="F551" s="3" t="s">
        <v>23</v>
      </c>
      <c r="G551" s="158"/>
      <c r="H551" t="s">
        <v>4793</v>
      </c>
      <c r="J551" s="449">
        <v>700</v>
      </c>
      <c r="K551" s="69">
        <f>K550+I551-J551</f>
        <v>-665597.80000000005</v>
      </c>
    </row>
    <row r="552" spans="1:11" hidden="1">
      <c r="A552" s="137" t="str">
        <f t="shared" si="17"/>
        <v>DECOMBUSTIBLEDIRECCION</v>
      </c>
      <c r="B552" t="s">
        <v>2281</v>
      </c>
      <c r="C552" s="1">
        <f t="shared" si="18"/>
        <v>45943</v>
      </c>
      <c r="D552" t="s">
        <v>41</v>
      </c>
      <c r="E552" t="s">
        <v>32</v>
      </c>
      <c r="F552" s="3" t="s">
        <v>42</v>
      </c>
      <c r="G552" s="158"/>
      <c r="H552" t="s">
        <v>4774</v>
      </c>
      <c r="J552" s="449">
        <v>1000</v>
      </c>
      <c r="K552" s="69">
        <f>K551+I552-J552</f>
        <v>-666597.80000000005</v>
      </c>
    </row>
    <row r="553" spans="1:11" hidden="1">
      <c r="A553" s="137" t="str">
        <f t="shared" si="17"/>
        <v>SGECOMBUSTIBLEGESTION EMPRESARIAL</v>
      </c>
      <c r="B553" t="s">
        <v>2281</v>
      </c>
      <c r="C553" s="1">
        <f t="shared" si="18"/>
        <v>45943</v>
      </c>
      <c r="D553" t="s">
        <v>39</v>
      </c>
      <c r="E553" t="s">
        <v>32</v>
      </c>
      <c r="F553" s="3" t="s">
        <v>40</v>
      </c>
      <c r="G553" s="158"/>
      <c r="H553" t="s">
        <v>4798</v>
      </c>
      <c r="J553" s="449">
        <v>1000</v>
      </c>
      <c r="K553" s="69">
        <f>K552+I553-J553</f>
        <v>-667597.80000000005</v>
      </c>
    </row>
    <row r="554" spans="1:11" hidden="1">
      <c r="A554" s="137" t="str">
        <f t="shared" si="17"/>
        <v>MMCOMBUSTIBLEMARKET MAX</v>
      </c>
      <c r="B554" t="s">
        <v>2281</v>
      </c>
      <c r="C554" s="1">
        <f t="shared" si="18"/>
        <v>45943</v>
      </c>
      <c r="D554" t="s">
        <v>45</v>
      </c>
      <c r="E554" t="s">
        <v>32</v>
      </c>
      <c r="F554" s="3" t="s">
        <v>46</v>
      </c>
      <c r="G554" s="158"/>
      <c r="H554" t="s">
        <v>4780</v>
      </c>
      <c r="J554" s="449">
        <v>700</v>
      </c>
      <c r="K554" s="69">
        <f>K553+I554-J554</f>
        <v>-668297.80000000005</v>
      </c>
    </row>
    <row r="555" spans="1:11" ht="15" hidden="1">
      <c r="A555" s="137" t="str">
        <f t="shared" si="17"/>
        <v>MELCOMBUSTIBLEMELISSA</v>
      </c>
      <c r="B555" t="s">
        <v>2281</v>
      </c>
      <c r="C555" s="1">
        <f t="shared" si="18"/>
        <v>45943</v>
      </c>
      <c r="D555" t="s">
        <v>43</v>
      </c>
      <c r="E555" s="12" t="s">
        <v>32</v>
      </c>
      <c r="F555" s="12" t="s">
        <v>44</v>
      </c>
      <c r="G555" s="158"/>
      <c r="H555" t="s">
        <v>4760</v>
      </c>
      <c r="J555" s="449">
        <v>1000</v>
      </c>
      <c r="K555" s="69">
        <f>K554+I555-J555</f>
        <v>-669297.80000000005</v>
      </c>
    </row>
    <row r="556" spans="1:11" hidden="1">
      <c r="A556" s="137" t="str">
        <f t="shared" si="17"/>
        <v>SERVICIOSCOMBUSTIBLEINVENTARIOS</v>
      </c>
      <c r="B556" t="s">
        <v>2281</v>
      </c>
      <c r="C556" s="1">
        <f t="shared" si="18"/>
        <v>45943</v>
      </c>
      <c r="D556" t="s">
        <v>21</v>
      </c>
      <c r="E556" t="s">
        <v>32</v>
      </c>
      <c r="F556" s="3" t="s">
        <v>34</v>
      </c>
      <c r="G556" s="158"/>
      <c r="H556" t="s">
        <v>4783</v>
      </c>
      <c r="J556" s="449">
        <v>900</v>
      </c>
      <c r="K556" s="69">
        <f>K555+I556-J556</f>
        <v>-670197.80000000005</v>
      </c>
    </row>
    <row r="557" spans="1:11" hidden="1">
      <c r="A557" s="137" t="str">
        <f t="shared" si="17"/>
        <v>HRCOMBUSTIBLEHR</v>
      </c>
      <c r="B557" t="s">
        <v>2281</v>
      </c>
      <c r="C557" s="1">
        <f t="shared" si="18"/>
        <v>45943</v>
      </c>
      <c r="D557" t="s">
        <v>29</v>
      </c>
      <c r="E557" t="s">
        <v>32</v>
      </c>
      <c r="F557" s="3" t="s">
        <v>29</v>
      </c>
      <c r="G557" s="158"/>
      <c r="H557" t="s">
        <v>4801</v>
      </c>
      <c r="J557" s="449">
        <v>1200</v>
      </c>
      <c r="K557" s="69">
        <f>K556+I557-J557</f>
        <v>-671397.8</v>
      </c>
    </row>
    <row r="558" spans="1:11" hidden="1">
      <c r="A558" s="137" t="str">
        <f t="shared" si="17"/>
        <v>HRCOMBUSTIBLEHR</v>
      </c>
      <c r="B558" t="s">
        <v>2281</v>
      </c>
      <c r="C558" s="1">
        <v>45950</v>
      </c>
      <c r="D558" t="s">
        <v>29</v>
      </c>
      <c r="E558" t="s">
        <v>32</v>
      </c>
      <c r="F558" s="3" t="s">
        <v>29</v>
      </c>
      <c r="G558" s="158"/>
      <c r="H558" t="s">
        <v>4788</v>
      </c>
      <c r="J558" s="81">
        <v>1200</v>
      </c>
      <c r="K558" s="69">
        <f>K557+I558-J558</f>
        <v>-672597.8</v>
      </c>
    </row>
    <row r="559" spans="1:11" hidden="1">
      <c r="A559" s="137" t="str">
        <f t="shared" si="17"/>
        <v>HRCOMBUSTIBLEHR</v>
      </c>
      <c r="B559" t="s">
        <v>2281</v>
      </c>
      <c r="C559" s="1">
        <v>45950</v>
      </c>
      <c r="D559" t="s">
        <v>29</v>
      </c>
      <c r="E559" t="s">
        <v>32</v>
      </c>
      <c r="F559" s="3" t="s">
        <v>29</v>
      </c>
      <c r="G559" s="158"/>
      <c r="H559" t="s">
        <v>4769</v>
      </c>
      <c r="J559" s="81">
        <v>1200</v>
      </c>
      <c r="K559" s="69">
        <f>K558+I559-J559</f>
        <v>-673797.8</v>
      </c>
    </row>
    <row r="560" spans="1:11" hidden="1">
      <c r="A560" s="137" t="str">
        <f t="shared" si="17"/>
        <v>HRCOMBUSTIBLEHR</v>
      </c>
      <c r="B560" t="s">
        <v>2281</v>
      </c>
      <c r="C560" s="1">
        <f t="shared" si="18"/>
        <v>45950</v>
      </c>
      <c r="D560" t="s">
        <v>29</v>
      </c>
      <c r="E560" t="s">
        <v>32</v>
      </c>
      <c r="F560" s="3" t="s">
        <v>29</v>
      </c>
      <c r="G560" s="158"/>
      <c r="H560" t="s">
        <v>4790</v>
      </c>
      <c r="J560" s="81">
        <v>800</v>
      </c>
      <c r="K560" s="69">
        <f>K559+I560-J560</f>
        <v>-674597.8</v>
      </c>
    </row>
    <row r="561" spans="1:11" hidden="1">
      <c r="A561" s="137" t="str">
        <f t="shared" si="17"/>
        <v>CAPCOMBUSTIBLECAPRICHOS</v>
      </c>
      <c r="B561" t="s">
        <v>2281</v>
      </c>
      <c r="C561" s="1">
        <f t="shared" si="18"/>
        <v>45950</v>
      </c>
      <c r="D561" t="s">
        <v>31</v>
      </c>
      <c r="E561" t="s">
        <v>32</v>
      </c>
      <c r="F561" s="3" t="s">
        <v>33</v>
      </c>
      <c r="G561" s="158"/>
      <c r="H561" t="s">
        <v>4770</v>
      </c>
      <c r="J561" s="81">
        <v>1300</v>
      </c>
      <c r="K561" s="69">
        <f>K560+I561-J561</f>
        <v>-675897.8</v>
      </c>
    </row>
    <row r="562" spans="1:11" hidden="1">
      <c r="A562" s="137" t="str">
        <f t="shared" si="17"/>
        <v>CAPCOMBUSTIBLECAPRICHOS</v>
      </c>
      <c r="B562" t="s">
        <v>2281</v>
      </c>
      <c r="C562" s="1">
        <f t="shared" si="18"/>
        <v>45950</v>
      </c>
      <c r="D562" t="s">
        <v>31</v>
      </c>
      <c r="E562" t="s">
        <v>32</v>
      </c>
      <c r="F562" s="3" t="s">
        <v>33</v>
      </c>
      <c r="G562" s="158"/>
      <c r="H562" t="s">
        <v>4782</v>
      </c>
      <c r="J562" s="81">
        <v>1000</v>
      </c>
      <c r="K562" s="69">
        <f>K561+I562-J562</f>
        <v>-676897.8</v>
      </c>
    </row>
    <row r="563" spans="1:11" hidden="1">
      <c r="A563" s="137" t="str">
        <f t="shared" si="17"/>
        <v>SERVICIOSCOMBUSTIBLECEDIS</v>
      </c>
      <c r="B563" t="s">
        <v>2281</v>
      </c>
      <c r="C563" s="1">
        <f t="shared" si="18"/>
        <v>45950</v>
      </c>
      <c r="D563" t="s">
        <v>21</v>
      </c>
      <c r="E563" t="s">
        <v>32</v>
      </c>
      <c r="F563" s="3" t="s">
        <v>28</v>
      </c>
      <c r="G563" s="158"/>
      <c r="H563" t="s">
        <v>28</v>
      </c>
      <c r="J563" s="81">
        <v>8700</v>
      </c>
      <c r="K563" s="69">
        <f>K562+I563-J563</f>
        <v>-685597.8</v>
      </c>
    </row>
    <row r="564" spans="1:11" hidden="1">
      <c r="A564" s="137" t="str">
        <f t="shared" si="17"/>
        <v>FINANZASCOMBUSTIBLETESORERIA</v>
      </c>
      <c r="B564" t="s">
        <v>2281</v>
      </c>
      <c r="C564" s="1">
        <f t="shared" si="18"/>
        <v>45950</v>
      </c>
      <c r="D564" t="s">
        <v>23</v>
      </c>
      <c r="E564" t="s">
        <v>32</v>
      </c>
      <c r="F564" s="3" t="s">
        <v>38</v>
      </c>
      <c r="G564" s="158"/>
      <c r="H564" t="s">
        <v>4772</v>
      </c>
      <c r="J564" s="81">
        <v>700</v>
      </c>
      <c r="K564" s="69">
        <f>K563+I564-J564</f>
        <v>-686297.8</v>
      </c>
    </row>
    <row r="565" spans="1:11" hidden="1">
      <c r="A565" s="137" t="str">
        <f t="shared" si="17"/>
        <v>FINANZASCOMBUSTIBLETESORERIA</v>
      </c>
      <c r="B565" t="s">
        <v>2281</v>
      </c>
      <c r="C565" s="1">
        <f t="shared" si="18"/>
        <v>45950</v>
      </c>
      <c r="D565" t="s">
        <v>23</v>
      </c>
      <c r="E565" t="s">
        <v>32</v>
      </c>
      <c r="F565" s="3" t="s">
        <v>38</v>
      </c>
      <c r="G565" s="158"/>
      <c r="H565" t="s">
        <v>4773</v>
      </c>
      <c r="J565" s="81">
        <v>1500</v>
      </c>
      <c r="K565" s="69">
        <f>K564+I565-J565</f>
        <v>-687797.8</v>
      </c>
    </row>
    <row r="566" spans="1:11" hidden="1">
      <c r="A566" s="137" t="str">
        <f t="shared" si="17"/>
        <v>FINANZASCOMBUSTIBLEFINANZAS</v>
      </c>
      <c r="B566" t="s">
        <v>2281</v>
      </c>
      <c r="C566" s="1">
        <f t="shared" si="18"/>
        <v>45950</v>
      </c>
      <c r="D566" t="s">
        <v>23</v>
      </c>
      <c r="E566" t="s">
        <v>32</v>
      </c>
      <c r="F566" s="3" t="s">
        <v>23</v>
      </c>
      <c r="G566" s="158"/>
      <c r="H566" t="s">
        <v>4793</v>
      </c>
      <c r="J566" s="81">
        <v>700</v>
      </c>
      <c r="K566" s="69">
        <f>K565+I566-J566</f>
        <v>-688497.8</v>
      </c>
    </row>
    <row r="567" spans="1:11" hidden="1">
      <c r="A567" s="137" t="str">
        <f t="shared" si="17"/>
        <v>DECOMBUSTIBLEDIRECCION</v>
      </c>
      <c r="B567" t="s">
        <v>2281</v>
      </c>
      <c r="C567" s="1">
        <f t="shared" si="18"/>
        <v>45950</v>
      </c>
      <c r="D567" t="s">
        <v>41</v>
      </c>
      <c r="E567" t="s">
        <v>32</v>
      </c>
      <c r="F567" s="3" t="s">
        <v>42</v>
      </c>
      <c r="G567" s="158"/>
      <c r="H567" t="s">
        <v>4774</v>
      </c>
      <c r="J567" s="81">
        <v>1000</v>
      </c>
      <c r="K567" s="69">
        <f>K566+I567-J567</f>
        <v>-689497.8</v>
      </c>
    </row>
    <row r="568" spans="1:11" hidden="1">
      <c r="A568" s="137" t="str">
        <f t="shared" si="17"/>
        <v>MMCOMBUSTIBLEMARKET MAX</v>
      </c>
      <c r="B568" t="s">
        <v>2281</v>
      </c>
      <c r="C568" s="1">
        <f t="shared" si="18"/>
        <v>45950</v>
      </c>
      <c r="D568" t="s">
        <v>45</v>
      </c>
      <c r="E568" t="s">
        <v>32</v>
      </c>
      <c r="F568" s="3" t="s">
        <v>46</v>
      </c>
      <c r="G568" s="158"/>
      <c r="H568" t="s">
        <v>4780</v>
      </c>
      <c r="J568" s="81">
        <v>700</v>
      </c>
      <c r="K568" s="69">
        <f>K567+I568-J568</f>
        <v>-690197.8</v>
      </c>
    </row>
    <row r="569" spans="1:11" hidden="1">
      <c r="A569" s="137" t="str">
        <f t="shared" ref="A569:A632" si="19">D569&amp;E569&amp;F569</f>
        <v>HRCOMBUSTIBLEHR</v>
      </c>
      <c r="B569" t="s">
        <v>2281</v>
      </c>
      <c r="C569" s="1">
        <f t="shared" si="18"/>
        <v>45950</v>
      </c>
      <c r="D569" t="s">
        <v>29</v>
      </c>
      <c r="E569" t="s">
        <v>32</v>
      </c>
      <c r="F569" s="3" t="s">
        <v>29</v>
      </c>
      <c r="G569" s="158"/>
      <c r="H569" t="s">
        <v>4795</v>
      </c>
      <c r="J569" s="81">
        <v>1600</v>
      </c>
      <c r="K569" s="69">
        <f>K568+I569-J569</f>
        <v>-691797.8</v>
      </c>
    </row>
    <row r="570" spans="1:11" hidden="1">
      <c r="A570" s="137" t="str">
        <f t="shared" si="19"/>
        <v>SERVICIOSCOMBUSTIBLESERVICIOS</v>
      </c>
      <c r="B570" t="s">
        <v>2281</v>
      </c>
      <c r="C570" s="1">
        <f t="shared" si="18"/>
        <v>45950</v>
      </c>
      <c r="D570" t="s">
        <v>21</v>
      </c>
      <c r="E570" t="s">
        <v>32</v>
      </c>
      <c r="F570" s="3" t="s">
        <v>21</v>
      </c>
      <c r="G570" s="158"/>
      <c r="H570" t="s">
        <v>4771</v>
      </c>
      <c r="J570" s="81">
        <v>1400</v>
      </c>
      <c r="K570" s="69">
        <f>K569+I570-J570</f>
        <v>-693197.8</v>
      </c>
    </row>
    <row r="571" spans="1:11" hidden="1">
      <c r="A571" s="137" t="str">
        <f t="shared" si="19"/>
        <v>FINANZASCOMBUSTIBLECONTABILIDAD</v>
      </c>
      <c r="B571" t="s">
        <v>2281</v>
      </c>
      <c r="C571" s="1">
        <f t="shared" si="18"/>
        <v>45950</v>
      </c>
      <c r="D571" t="s">
        <v>23</v>
      </c>
      <c r="E571" t="s">
        <v>32</v>
      </c>
      <c r="F571" s="3" t="s">
        <v>37</v>
      </c>
      <c r="G571" s="158"/>
      <c r="H571" t="s">
        <v>4792</v>
      </c>
      <c r="J571" s="81">
        <v>500</v>
      </c>
      <c r="K571" s="69">
        <f>K570+I571-J571</f>
        <v>-693697.8</v>
      </c>
    </row>
    <row r="572" spans="1:11" hidden="1">
      <c r="A572" s="137" t="str">
        <f t="shared" si="19"/>
        <v>MELCOMBUSTIBLEMELISSA</v>
      </c>
      <c r="B572" t="s">
        <v>2281</v>
      </c>
      <c r="C572" s="1">
        <f t="shared" si="18"/>
        <v>45950</v>
      </c>
      <c r="D572" t="s">
        <v>43</v>
      </c>
      <c r="E572" s="12" t="s">
        <v>32</v>
      </c>
      <c r="F572" s="12" t="s">
        <v>44</v>
      </c>
      <c r="G572" s="158"/>
      <c r="H572" t="s">
        <v>4760</v>
      </c>
      <c r="J572" s="81">
        <v>1000</v>
      </c>
      <c r="K572" s="69">
        <f>K571+I572-J572</f>
        <v>-694697.8</v>
      </c>
    </row>
    <row r="573" spans="1:11" hidden="1">
      <c r="A573" s="137" t="str">
        <f t="shared" si="19"/>
        <v>HRCOMBUSTIBLEHR</v>
      </c>
      <c r="B573" t="s">
        <v>2281</v>
      </c>
      <c r="C573" s="1">
        <v>45957</v>
      </c>
      <c r="D573" t="s">
        <v>29</v>
      </c>
      <c r="E573" t="s">
        <v>32</v>
      </c>
      <c r="F573" s="3" t="s">
        <v>29</v>
      </c>
      <c r="G573" s="158"/>
      <c r="H573" t="s">
        <v>4788</v>
      </c>
      <c r="J573" s="81">
        <v>1200</v>
      </c>
      <c r="K573" s="69">
        <f>K572+I573-J573</f>
        <v>-695897.8</v>
      </c>
    </row>
    <row r="574" spans="1:11" hidden="1">
      <c r="A574" s="137" t="str">
        <f t="shared" si="19"/>
        <v>HRCOMBUSTIBLEHR</v>
      </c>
      <c r="B574" t="s">
        <v>2281</v>
      </c>
      <c r="C574" s="1">
        <f t="shared" ref="C574:C639" si="20">C573</f>
        <v>45957</v>
      </c>
      <c r="D574" t="s">
        <v>29</v>
      </c>
      <c r="E574" t="s">
        <v>32</v>
      </c>
      <c r="F574" s="3" t="s">
        <v>29</v>
      </c>
      <c r="G574" s="158"/>
      <c r="H574" t="s">
        <v>4769</v>
      </c>
      <c r="J574" s="81">
        <v>1200</v>
      </c>
      <c r="K574" s="69">
        <f>K573+I574-J574</f>
        <v>-697097.8</v>
      </c>
    </row>
    <row r="575" spans="1:11" hidden="1">
      <c r="A575" s="137" t="str">
        <f t="shared" si="19"/>
        <v>HRCOMBUSTIBLEHR</v>
      </c>
      <c r="B575" t="s">
        <v>2281</v>
      </c>
      <c r="C575" s="1">
        <f t="shared" si="20"/>
        <v>45957</v>
      </c>
      <c r="D575" t="s">
        <v>29</v>
      </c>
      <c r="E575" t="s">
        <v>32</v>
      </c>
      <c r="F575" s="3" t="s">
        <v>29</v>
      </c>
      <c r="G575" s="158"/>
      <c r="H575" t="s">
        <v>4790</v>
      </c>
      <c r="J575" s="81">
        <v>1000</v>
      </c>
      <c r="K575" s="69">
        <f>K574+I575-J575</f>
        <v>-698097.8</v>
      </c>
    </row>
    <row r="576" spans="1:11" hidden="1">
      <c r="A576" s="137" t="str">
        <f t="shared" si="19"/>
        <v>CAPCOMBUSTIBLECAPRICHOS</v>
      </c>
      <c r="B576" t="s">
        <v>2281</v>
      </c>
      <c r="C576" s="1">
        <f t="shared" si="20"/>
        <v>45957</v>
      </c>
      <c r="D576" t="s">
        <v>31</v>
      </c>
      <c r="E576" t="s">
        <v>32</v>
      </c>
      <c r="F576" s="3" t="s">
        <v>33</v>
      </c>
      <c r="G576" s="158"/>
      <c r="H576" t="s">
        <v>4770</v>
      </c>
      <c r="J576" s="81">
        <v>1300</v>
      </c>
      <c r="K576" s="69">
        <f>K575+I576-J576</f>
        <v>-699397.8</v>
      </c>
    </row>
    <row r="577" spans="1:11" hidden="1">
      <c r="A577" s="137" t="str">
        <f t="shared" si="19"/>
        <v>CAPCOMBUSTIBLECAPRICHOS</v>
      </c>
      <c r="B577" t="s">
        <v>2281</v>
      </c>
      <c r="C577" s="1">
        <f t="shared" si="20"/>
        <v>45957</v>
      </c>
      <c r="D577" t="s">
        <v>31</v>
      </c>
      <c r="E577" t="s">
        <v>32</v>
      </c>
      <c r="F577" s="3" t="s">
        <v>33</v>
      </c>
      <c r="G577" s="158"/>
      <c r="H577" t="s">
        <v>4802</v>
      </c>
      <c r="J577" s="81">
        <v>1000</v>
      </c>
      <c r="K577" s="69">
        <f>K576+I577-J577</f>
        <v>-700397.8</v>
      </c>
    </row>
    <row r="578" spans="1:11" hidden="1">
      <c r="A578" s="137" t="str">
        <f t="shared" si="19"/>
        <v>CAPCOMBUSTIBLECAPRICHOS</v>
      </c>
      <c r="B578" t="s">
        <v>2281</v>
      </c>
      <c r="C578" s="1">
        <f t="shared" si="20"/>
        <v>45957</v>
      </c>
      <c r="D578" t="s">
        <v>31</v>
      </c>
      <c r="E578" t="s">
        <v>32</v>
      </c>
      <c r="F578" s="3" t="s">
        <v>33</v>
      </c>
      <c r="G578" s="158"/>
      <c r="H578" t="s">
        <v>4767</v>
      </c>
      <c r="J578" s="81">
        <v>1500</v>
      </c>
      <c r="K578" s="69">
        <f>K577+I578-J578</f>
        <v>-701897.8</v>
      </c>
    </row>
    <row r="579" spans="1:11" hidden="1">
      <c r="A579" s="137" t="str">
        <f t="shared" si="19"/>
        <v>SERVICIOSCOMBUSTIBLESERVICIOS</v>
      </c>
      <c r="B579" t="s">
        <v>2281</v>
      </c>
      <c r="C579" s="1">
        <f t="shared" si="20"/>
        <v>45957</v>
      </c>
      <c r="D579" t="s">
        <v>21</v>
      </c>
      <c r="E579" t="s">
        <v>32</v>
      </c>
      <c r="F579" s="3" t="s">
        <v>21</v>
      </c>
      <c r="G579" s="158"/>
      <c r="H579" t="s">
        <v>4771</v>
      </c>
      <c r="J579" s="81">
        <v>1000</v>
      </c>
      <c r="K579" s="69">
        <f>K578+I579-J579</f>
        <v>-702897.8</v>
      </c>
    </row>
    <row r="580" spans="1:11" hidden="1">
      <c r="A580" s="137" t="str">
        <f t="shared" si="19"/>
        <v>SERVICIOSCOMBUSTIBLECEDIS</v>
      </c>
      <c r="B580" t="s">
        <v>2281</v>
      </c>
      <c r="C580" s="1">
        <f t="shared" si="20"/>
        <v>45957</v>
      </c>
      <c r="D580" t="s">
        <v>21</v>
      </c>
      <c r="E580" t="s">
        <v>32</v>
      </c>
      <c r="F580" s="3" t="s">
        <v>28</v>
      </c>
      <c r="G580" s="158"/>
      <c r="H580" t="s">
        <v>28</v>
      </c>
      <c r="J580" s="81">
        <v>19000</v>
      </c>
      <c r="K580" s="69">
        <f>K579+I580-J580</f>
        <v>-721897.8</v>
      </c>
    </row>
    <row r="581" spans="1:11" hidden="1">
      <c r="A581" s="137" t="str">
        <f t="shared" si="19"/>
        <v>FINANZASCOMBUSTIBLETESORERIA</v>
      </c>
      <c r="B581" t="s">
        <v>2281</v>
      </c>
      <c r="C581" s="1">
        <f t="shared" si="20"/>
        <v>45957</v>
      </c>
      <c r="D581" t="s">
        <v>23</v>
      </c>
      <c r="E581" t="s">
        <v>32</v>
      </c>
      <c r="F581" s="3" t="s">
        <v>38</v>
      </c>
      <c r="G581" s="158"/>
      <c r="H581" t="s">
        <v>4772</v>
      </c>
      <c r="J581" s="81">
        <v>700</v>
      </c>
      <c r="K581" s="69">
        <f>K580+I581-J581</f>
        <v>-722597.8</v>
      </c>
    </row>
    <row r="582" spans="1:11" hidden="1">
      <c r="A582" s="137" t="str">
        <f t="shared" si="19"/>
        <v>FINANZASCOMBUSTIBLETESORERIA</v>
      </c>
      <c r="B582" t="s">
        <v>2281</v>
      </c>
      <c r="C582" s="1">
        <f t="shared" si="20"/>
        <v>45957</v>
      </c>
      <c r="D582" t="s">
        <v>23</v>
      </c>
      <c r="E582" t="s">
        <v>32</v>
      </c>
      <c r="F582" s="3" t="s">
        <v>38</v>
      </c>
      <c r="G582" s="158"/>
      <c r="H582" t="s">
        <v>4773</v>
      </c>
      <c r="J582" s="81">
        <v>1500</v>
      </c>
      <c r="K582" s="69">
        <f>K581+I582-J582</f>
        <v>-724097.8</v>
      </c>
    </row>
    <row r="583" spans="1:11" hidden="1">
      <c r="A583" s="137" t="str">
        <f t="shared" si="19"/>
        <v>DECOMBUSTIBLEDIRECCION</v>
      </c>
      <c r="B583" t="s">
        <v>2281</v>
      </c>
      <c r="C583" s="1">
        <f t="shared" si="20"/>
        <v>45957</v>
      </c>
      <c r="D583" t="s">
        <v>41</v>
      </c>
      <c r="E583" t="s">
        <v>32</v>
      </c>
      <c r="F583" s="3" t="s">
        <v>42</v>
      </c>
      <c r="G583" s="158"/>
      <c r="H583" t="s">
        <v>4774</v>
      </c>
      <c r="J583" s="81">
        <v>1600</v>
      </c>
      <c r="K583" s="69">
        <f>K582+I583-J583</f>
        <v>-725697.8</v>
      </c>
    </row>
    <row r="584" spans="1:11" hidden="1">
      <c r="A584" s="137" t="str">
        <f t="shared" si="19"/>
        <v>MMCOMBUSTIBLEMARKET MAX</v>
      </c>
      <c r="B584" t="s">
        <v>2281</v>
      </c>
      <c r="C584" s="1">
        <f t="shared" si="20"/>
        <v>45957</v>
      </c>
      <c r="D584" t="s">
        <v>45</v>
      </c>
      <c r="E584" t="s">
        <v>32</v>
      </c>
      <c r="F584" s="3" t="s">
        <v>46</v>
      </c>
      <c r="G584" s="158"/>
      <c r="H584" t="s">
        <v>4803</v>
      </c>
      <c r="J584" s="81">
        <v>700</v>
      </c>
      <c r="K584" s="69">
        <f>K583+I584-J584</f>
        <v>-726397.8</v>
      </c>
    </row>
    <row r="585" spans="1:11" hidden="1">
      <c r="A585" s="137" t="str">
        <f t="shared" si="19"/>
        <v>MELCOMBUSTIBLEMELISSA</v>
      </c>
      <c r="B585" t="s">
        <v>2281</v>
      </c>
      <c r="C585" s="1">
        <f t="shared" si="20"/>
        <v>45957</v>
      </c>
      <c r="D585" t="s">
        <v>43</v>
      </c>
      <c r="E585" s="12" t="s">
        <v>32</v>
      </c>
      <c r="F585" s="12" t="s">
        <v>44</v>
      </c>
      <c r="G585" s="158"/>
      <c r="H585" t="s">
        <v>4794</v>
      </c>
      <c r="J585" s="81">
        <v>1000</v>
      </c>
      <c r="K585" s="69">
        <f>K584+I585-J585</f>
        <v>-727397.8</v>
      </c>
    </row>
    <row r="586" spans="1:11" hidden="1">
      <c r="A586" s="137" t="str">
        <f t="shared" si="19"/>
        <v>HRCOMBUSTIBLEHR</v>
      </c>
      <c r="B586" t="s">
        <v>2281</v>
      </c>
      <c r="C586" s="1">
        <f t="shared" si="20"/>
        <v>45957</v>
      </c>
      <c r="D586" t="s">
        <v>29</v>
      </c>
      <c r="E586" t="s">
        <v>32</v>
      </c>
      <c r="F586" s="3" t="s">
        <v>29</v>
      </c>
      <c r="G586" s="158"/>
      <c r="H586" t="s">
        <v>4804</v>
      </c>
      <c r="J586" s="81">
        <v>700</v>
      </c>
      <c r="K586" s="69">
        <f>K585+I586-J586</f>
        <v>-728097.8</v>
      </c>
    </row>
    <row r="587" spans="1:11" ht="15" hidden="1">
      <c r="A587" s="137" t="str">
        <f t="shared" si="19"/>
        <v>HRCOMBUSTIBLEHR</v>
      </c>
      <c r="B587" t="s">
        <v>2565</v>
      </c>
      <c r="C587" s="1">
        <v>45964</v>
      </c>
      <c r="D587" t="s">
        <v>29</v>
      </c>
      <c r="E587" t="s">
        <v>32</v>
      </c>
      <c r="F587" s="3" t="s">
        <v>29</v>
      </c>
      <c r="G587" s="158"/>
      <c r="H587" t="s">
        <v>4788</v>
      </c>
      <c r="J587" s="81">
        <v>1200</v>
      </c>
      <c r="K587" s="69">
        <f>K586+I587-J587</f>
        <v>-729297.8</v>
      </c>
    </row>
    <row r="588" spans="1:11" ht="15" hidden="1">
      <c r="A588" s="137" t="str">
        <f>D588&amp;E588&amp;F588</f>
        <v>HRCOMBUSTIBLEHR</v>
      </c>
      <c r="B588" t="s">
        <v>2565</v>
      </c>
      <c r="C588" s="1">
        <f t="shared" si="20"/>
        <v>45964</v>
      </c>
      <c r="D588" t="s">
        <v>29</v>
      </c>
      <c r="E588" t="s">
        <v>32</v>
      </c>
      <c r="F588" s="3" t="s">
        <v>29</v>
      </c>
      <c r="G588" s="158"/>
      <c r="H588" t="s">
        <v>4769</v>
      </c>
      <c r="J588" s="81">
        <v>1000</v>
      </c>
      <c r="K588" s="69">
        <f>K587+I588-J588</f>
        <v>-730297.8</v>
      </c>
    </row>
    <row r="589" spans="1:11" ht="15" hidden="1">
      <c r="A589" s="137" t="str">
        <f>D589&amp;E589&amp;F589</f>
        <v>HRCOMBUSTIBLEHR</v>
      </c>
      <c r="B589" t="s">
        <v>2565</v>
      </c>
      <c r="C589" s="1">
        <f t="shared" si="20"/>
        <v>45964</v>
      </c>
      <c r="D589" t="s">
        <v>29</v>
      </c>
      <c r="E589" t="s">
        <v>32</v>
      </c>
      <c r="F589" s="3" t="s">
        <v>29</v>
      </c>
      <c r="G589" s="158"/>
      <c r="H589" t="s">
        <v>4790</v>
      </c>
      <c r="J589" s="81">
        <v>1500</v>
      </c>
      <c r="K589" s="69">
        <f>K588+I589-J589</f>
        <v>-731797.8</v>
      </c>
    </row>
    <row r="590" spans="1:11" hidden="1">
      <c r="A590" s="137" t="str">
        <f>D590&amp;E590&amp;F590</f>
        <v>CAPCOMBUSTIBLECAPRICHOS</v>
      </c>
      <c r="B590" t="s">
        <v>2565</v>
      </c>
      <c r="C590" s="1">
        <f t="shared" si="20"/>
        <v>45964</v>
      </c>
      <c r="D590" t="s">
        <v>31</v>
      </c>
      <c r="E590" t="s">
        <v>32</v>
      </c>
      <c r="F590" s="3" t="s">
        <v>33</v>
      </c>
      <c r="G590" s="158"/>
      <c r="H590" t="s">
        <v>4770</v>
      </c>
      <c r="J590" s="81">
        <v>1300</v>
      </c>
      <c r="K590" s="69">
        <f>K589+I590-J590</f>
        <v>-733097.8</v>
      </c>
    </row>
    <row r="591" spans="1:11" hidden="1">
      <c r="A591" s="137" t="str">
        <f>D591&amp;E591&amp;F591</f>
        <v>SERVICIOSCOMBUSTIBLESERVICIOS</v>
      </c>
      <c r="B591" t="s">
        <v>2565</v>
      </c>
      <c r="C591" s="1">
        <f t="shared" si="20"/>
        <v>45964</v>
      </c>
      <c r="D591" t="s">
        <v>21</v>
      </c>
      <c r="E591" t="s">
        <v>32</v>
      </c>
      <c r="F591" s="3" t="s">
        <v>21</v>
      </c>
      <c r="G591" s="158"/>
      <c r="H591" t="s">
        <v>4771</v>
      </c>
      <c r="J591" s="81">
        <v>500</v>
      </c>
      <c r="K591" s="69">
        <f>K590+I591-J591</f>
        <v>-733597.8</v>
      </c>
    </row>
    <row r="592" spans="1:11" hidden="1">
      <c r="A592" s="137" t="str">
        <f>D592&amp;E592&amp;F592</f>
        <v>SERVICIOSCOMBUSTIBLECEDIS</v>
      </c>
      <c r="B592" t="s">
        <v>2565</v>
      </c>
      <c r="C592" s="1">
        <f t="shared" si="20"/>
        <v>45964</v>
      </c>
      <c r="D592" t="s">
        <v>21</v>
      </c>
      <c r="E592" t="s">
        <v>32</v>
      </c>
      <c r="F592" s="3" t="s">
        <v>28</v>
      </c>
      <c r="G592" s="158"/>
      <c r="H592" t="s">
        <v>28</v>
      </c>
      <c r="J592" s="81">
        <v>27500</v>
      </c>
      <c r="K592" s="69">
        <f>K591+I592-J592</f>
        <v>-761097.8</v>
      </c>
    </row>
    <row r="593" spans="1:11" hidden="1">
      <c r="A593" s="137" t="str">
        <f>D593&amp;E593&amp;F593</f>
        <v>FINANZASCOMBUSTIBLETESORERIA</v>
      </c>
      <c r="B593" t="s">
        <v>2565</v>
      </c>
      <c r="C593" s="1">
        <f t="shared" si="20"/>
        <v>45964</v>
      </c>
      <c r="D593" t="s">
        <v>23</v>
      </c>
      <c r="E593" t="s">
        <v>32</v>
      </c>
      <c r="F593" s="3" t="s">
        <v>38</v>
      </c>
      <c r="G593" s="158"/>
      <c r="H593" t="s">
        <v>4772</v>
      </c>
      <c r="J593" s="81">
        <v>700</v>
      </c>
      <c r="K593" s="69">
        <f>K592+I593-J593</f>
        <v>-761797.8</v>
      </c>
    </row>
    <row r="594" spans="1:11" hidden="1">
      <c r="A594" s="137" t="str">
        <f>D594&amp;E594&amp;F594</f>
        <v>FINANZASCOMBUSTIBLETESORERIA</v>
      </c>
      <c r="B594" t="s">
        <v>2565</v>
      </c>
      <c r="C594" s="1">
        <f t="shared" si="20"/>
        <v>45964</v>
      </c>
      <c r="D594" t="s">
        <v>23</v>
      </c>
      <c r="E594" t="s">
        <v>32</v>
      </c>
      <c r="F594" s="3" t="s">
        <v>38</v>
      </c>
      <c r="G594" s="158"/>
      <c r="H594" t="s">
        <v>4773</v>
      </c>
      <c r="J594" s="81">
        <v>1500</v>
      </c>
      <c r="K594" s="69">
        <f>K593+I594-J594</f>
        <v>-763297.8</v>
      </c>
    </row>
    <row r="595" spans="1:11" hidden="1">
      <c r="A595" s="137" t="str">
        <f>D595&amp;E595&amp;F595</f>
        <v>DECOMBUSTIBLEDIRECCION</v>
      </c>
      <c r="B595" t="s">
        <v>2565</v>
      </c>
      <c r="C595" s="1">
        <f t="shared" si="20"/>
        <v>45964</v>
      </c>
      <c r="D595" t="s">
        <v>41</v>
      </c>
      <c r="E595" t="s">
        <v>32</v>
      </c>
      <c r="F595" s="3" t="s">
        <v>42</v>
      </c>
      <c r="G595" s="158"/>
      <c r="H595" t="s">
        <v>4774</v>
      </c>
      <c r="J595" s="81">
        <v>1000</v>
      </c>
      <c r="K595" s="69">
        <f>K594+I595-J595</f>
        <v>-764297.8</v>
      </c>
    </row>
    <row r="596" spans="1:11" hidden="1">
      <c r="A596" s="137" t="str">
        <f>D596&amp;E596&amp;F596</f>
        <v>MMCOMBUSTIBLEMARKET MAX</v>
      </c>
      <c r="B596" t="s">
        <v>2565</v>
      </c>
      <c r="C596" s="1">
        <f t="shared" si="20"/>
        <v>45964</v>
      </c>
      <c r="D596" t="s">
        <v>45</v>
      </c>
      <c r="E596" t="s">
        <v>32</v>
      </c>
      <c r="F596" s="3" t="s">
        <v>46</v>
      </c>
      <c r="G596" s="158"/>
      <c r="H596" t="s">
        <v>4803</v>
      </c>
      <c r="J596" s="81">
        <v>700</v>
      </c>
      <c r="K596" s="69">
        <f>K595+I596-J596</f>
        <v>-764997.8</v>
      </c>
    </row>
    <row r="597" spans="1:11" ht="15" hidden="1">
      <c r="A597" s="137" t="str">
        <f>D597&amp;E597&amp;F597</f>
        <v>MELCOMBUSTIBLEMELISSA</v>
      </c>
      <c r="B597" t="s">
        <v>2565</v>
      </c>
      <c r="C597" s="1">
        <f t="shared" si="20"/>
        <v>45964</v>
      </c>
      <c r="D597" t="s">
        <v>43</v>
      </c>
      <c r="E597" s="12" t="s">
        <v>32</v>
      </c>
      <c r="F597" s="12" t="s">
        <v>44</v>
      </c>
      <c r="G597" s="158"/>
      <c r="H597" t="s">
        <v>4794</v>
      </c>
      <c r="J597" s="81">
        <v>1200</v>
      </c>
      <c r="K597" s="69">
        <f>K596+I597-J597</f>
        <v>-766197.8</v>
      </c>
    </row>
    <row r="598" spans="1:11" hidden="1">
      <c r="A598" s="137" t="str">
        <f>D598&amp;E598&amp;F598</f>
        <v>HRCOMBUSTIBLEHR</v>
      </c>
      <c r="B598" t="s">
        <v>2565</v>
      </c>
      <c r="C598" s="1">
        <f t="shared" si="20"/>
        <v>45964</v>
      </c>
      <c r="D598" t="s">
        <v>29</v>
      </c>
      <c r="E598" t="s">
        <v>32</v>
      </c>
      <c r="F598" s="3" t="s">
        <v>29</v>
      </c>
      <c r="G598" s="158"/>
      <c r="H598" t="s">
        <v>4804</v>
      </c>
      <c r="J598" s="81">
        <v>1000</v>
      </c>
      <c r="K598" s="69">
        <f>K597+I598-J598</f>
        <v>-767197.8</v>
      </c>
    </row>
    <row r="599" spans="1:11" ht="15" hidden="1">
      <c r="A599" s="137" t="str">
        <f>D599&amp;E599&amp;F599</f>
        <v>FINANZASCOMBUSTIBLECOMISION SI VALE</v>
      </c>
      <c r="B599" t="s">
        <v>2565</v>
      </c>
      <c r="C599" s="1">
        <f t="shared" si="20"/>
        <v>45964</v>
      </c>
      <c r="D599" t="s">
        <v>23</v>
      </c>
      <c r="E599" t="s">
        <v>32</v>
      </c>
      <c r="F599" s="158" t="s">
        <v>47</v>
      </c>
      <c r="G599" s="158"/>
      <c r="H599" s="77" t="s">
        <v>4742</v>
      </c>
      <c r="J599" s="81">
        <v>1957.5</v>
      </c>
      <c r="K599" s="69">
        <f>K598+I599-J599</f>
        <v>-769155.3</v>
      </c>
    </row>
    <row r="600" spans="1:11" hidden="1">
      <c r="A600" s="137" t="str">
        <f>D600&amp;E600&amp;F600</f>
        <v>HRCOMBUSTIBLEHR</v>
      </c>
      <c r="B600" t="s">
        <v>2565</v>
      </c>
      <c r="C600" s="1">
        <v>45971</v>
      </c>
      <c r="D600" t="s">
        <v>29</v>
      </c>
      <c r="E600" t="s">
        <v>32</v>
      </c>
      <c r="F600" s="3" t="s">
        <v>29</v>
      </c>
      <c r="G600" s="158"/>
      <c r="H600" t="s">
        <v>4788</v>
      </c>
      <c r="J600" s="81">
        <v>1200</v>
      </c>
      <c r="K600" s="69">
        <f>K599+I600-J600</f>
        <v>-770355.3</v>
      </c>
    </row>
    <row r="601" spans="1:11" hidden="1">
      <c r="A601" s="137" t="str">
        <f>D601&amp;E601&amp;F601</f>
        <v>HRCOMBUSTIBLEHR</v>
      </c>
      <c r="B601" t="s">
        <v>2565</v>
      </c>
      <c r="C601" s="1">
        <f t="shared" si="20"/>
        <v>45971</v>
      </c>
      <c r="D601" t="s">
        <v>29</v>
      </c>
      <c r="E601" t="s">
        <v>32</v>
      </c>
      <c r="F601" s="3" t="s">
        <v>29</v>
      </c>
      <c r="G601" s="158"/>
      <c r="H601" t="s">
        <v>4769</v>
      </c>
      <c r="J601" s="81">
        <v>1000</v>
      </c>
      <c r="K601" s="69">
        <f>K600+I601-J601</f>
        <v>-771355.3</v>
      </c>
    </row>
    <row r="602" spans="1:11" hidden="1">
      <c r="A602" s="137" t="str">
        <f>D602&amp;E602&amp;F602</f>
        <v>HRCOMBUSTIBLEHR</v>
      </c>
      <c r="B602" t="s">
        <v>2565</v>
      </c>
      <c r="C602" s="1">
        <f t="shared" si="20"/>
        <v>45971</v>
      </c>
      <c r="D602" t="s">
        <v>29</v>
      </c>
      <c r="E602" t="s">
        <v>32</v>
      </c>
      <c r="F602" s="3" t="s">
        <v>29</v>
      </c>
      <c r="G602" s="158"/>
      <c r="H602" t="s">
        <v>4790</v>
      </c>
      <c r="J602" s="81">
        <v>1000</v>
      </c>
      <c r="K602" s="69">
        <f>K601+I602-J602</f>
        <v>-772355.3</v>
      </c>
    </row>
    <row r="603" spans="1:11" hidden="1">
      <c r="A603" s="137" t="str">
        <f>D603&amp;E603&amp;F603</f>
        <v>CAPCOMBUSTIBLECAPRICHOS</v>
      </c>
      <c r="B603" t="s">
        <v>2565</v>
      </c>
      <c r="C603" s="1">
        <f t="shared" si="20"/>
        <v>45971</v>
      </c>
      <c r="D603" t="s">
        <v>31</v>
      </c>
      <c r="E603" t="s">
        <v>32</v>
      </c>
      <c r="F603" s="3" t="s">
        <v>33</v>
      </c>
      <c r="G603" s="158"/>
      <c r="H603" t="s">
        <v>4770</v>
      </c>
      <c r="J603" s="81">
        <v>1300</v>
      </c>
      <c r="K603" s="69">
        <f>K602+I603-J603</f>
        <v>-773655.3</v>
      </c>
    </row>
    <row r="604" spans="1:11" hidden="1">
      <c r="A604" s="137" t="str">
        <f>D604&amp;E604&amp;F604</f>
        <v>SERVICIOSCOMBUSTIBLESERVICIOS</v>
      </c>
      <c r="B604" t="s">
        <v>2565</v>
      </c>
      <c r="C604" s="1">
        <f t="shared" si="20"/>
        <v>45971</v>
      </c>
      <c r="D604" t="s">
        <v>21</v>
      </c>
      <c r="E604" t="s">
        <v>32</v>
      </c>
      <c r="F604" s="3" t="s">
        <v>21</v>
      </c>
      <c r="G604" s="158"/>
      <c r="H604" t="s">
        <v>4771</v>
      </c>
      <c r="J604" s="81">
        <v>400</v>
      </c>
      <c r="K604" s="69">
        <f>K603+I604-J604</f>
        <v>-774055.3</v>
      </c>
    </row>
    <row r="605" spans="1:11" hidden="1">
      <c r="A605" s="137" t="str">
        <f>D605&amp;E605&amp;F605</f>
        <v>SERVICIOSCOMBUSTIBLECEDIS</v>
      </c>
      <c r="B605" t="s">
        <v>2565</v>
      </c>
      <c r="C605" s="1">
        <f t="shared" si="20"/>
        <v>45971</v>
      </c>
      <c r="D605" t="s">
        <v>21</v>
      </c>
      <c r="E605" t="s">
        <v>32</v>
      </c>
      <c r="F605" s="3" t="s">
        <v>28</v>
      </c>
      <c r="G605" s="158"/>
      <c r="H605" t="s">
        <v>28</v>
      </c>
      <c r="J605" s="81">
        <v>11000</v>
      </c>
      <c r="K605" s="69">
        <f>K604+I605-J605</f>
        <v>-785055.3</v>
      </c>
    </row>
    <row r="606" spans="1:11" hidden="1">
      <c r="A606" s="137" t="str">
        <f>D606&amp;E606&amp;F606</f>
        <v>FINANZASCOMBUSTIBLETESORERIA</v>
      </c>
      <c r="B606" t="s">
        <v>2565</v>
      </c>
      <c r="C606" s="1">
        <f t="shared" si="20"/>
        <v>45971</v>
      </c>
      <c r="D606" t="s">
        <v>23</v>
      </c>
      <c r="E606" t="s">
        <v>32</v>
      </c>
      <c r="F606" s="3" t="s">
        <v>38</v>
      </c>
      <c r="G606" s="158"/>
      <c r="H606" t="s">
        <v>4772</v>
      </c>
      <c r="J606" s="81">
        <v>700</v>
      </c>
      <c r="K606" s="69">
        <f>K605+I606-J606</f>
        <v>-785755.3</v>
      </c>
    </row>
    <row r="607" spans="1:11" hidden="1">
      <c r="A607" s="137" t="str">
        <f>D607&amp;E607&amp;F607</f>
        <v>FINANZASCOMBUSTIBLETESORERIA</v>
      </c>
      <c r="B607" t="s">
        <v>2565</v>
      </c>
      <c r="C607" s="1">
        <f t="shared" si="20"/>
        <v>45971</v>
      </c>
      <c r="D607" t="s">
        <v>23</v>
      </c>
      <c r="E607" t="s">
        <v>32</v>
      </c>
      <c r="F607" s="3" t="s">
        <v>38</v>
      </c>
      <c r="G607" s="158"/>
      <c r="H607" t="s">
        <v>4773</v>
      </c>
      <c r="J607" s="81">
        <v>1500</v>
      </c>
      <c r="K607" s="69">
        <f>K606+I607-J607</f>
        <v>-787255.3</v>
      </c>
    </row>
    <row r="608" spans="1:11" hidden="1">
      <c r="A608" s="137" t="str">
        <f>D608&amp;E608&amp;F608</f>
        <v>DECOMBUSTIBLEDIRECCION</v>
      </c>
      <c r="B608" t="s">
        <v>2565</v>
      </c>
      <c r="C608" s="1">
        <f t="shared" si="20"/>
        <v>45971</v>
      </c>
      <c r="D608" t="s">
        <v>41</v>
      </c>
      <c r="E608" t="s">
        <v>32</v>
      </c>
      <c r="F608" s="3" t="s">
        <v>42</v>
      </c>
      <c r="G608" s="158"/>
      <c r="H608" t="s">
        <v>4774</v>
      </c>
      <c r="J608" s="81">
        <v>1000</v>
      </c>
      <c r="K608" s="69">
        <f>K607+I608-J608</f>
        <v>-788255.3</v>
      </c>
    </row>
    <row r="609" spans="1:11" hidden="1">
      <c r="A609" s="137" t="str">
        <f>D609&amp;E609&amp;F609</f>
        <v>SGECOMBUSTIBLEGESTION EMPRESARIAL</v>
      </c>
      <c r="B609" t="s">
        <v>2565</v>
      </c>
      <c r="C609" s="1">
        <f t="shared" si="20"/>
        <v>45971</v>
      </c>
      <c r="D609" t="s">
        <v>39</v>
      </c>
      <c r="E609" t="s">
        <v>32</v>
      </c>
      <c r="F609" s="3" t="s">
        <v>40</v>
      </c>
      <c r="G609" s="158"/>
      <c r="H609" t="s">
        <v>4798</v>
      </c>
      <c r="J609" s="81">
        <v>800</v>
      </c>
      <c r="K609" s="69">
        <f>K608+I609-J609</f>
        <v>-789055.3</v>
      </c>
    </row>
    <row r="610" spans="1:11" hidden="1">
      <c r="A610" s="137" t="str">
        <f>D610&amp;E610&amp;F610</f>
        <v>MMCOMBUSTIBLEMARKET MAX</v>
      </c>
      <c r="B610" t="s">
        <v>2565</v>
      </c>
      <c r="C610" s="1">
        <f t="shared" si="20"/>
        <v>45971</v>
      </c>
      <c r="D610" t="s">
        <v>45</v>
      </c>
      <c r="E610" t="s">
        <v>32</v>
      </c>
      <c r="F610" s="3" t="s">
        <v>46</v>
      </c>
      <c r="G610" s="158"/>
      <c r="H610" t="s">
        <v>4780</v>
      </c>
      <c r="J610" s="81">
        <v>700</v>
      </c>
      <c r="K610" s="69">
        <f>K609+I610-J610</f>
        <v>-789755.3</v>
      </c>
    </row>
    <row r="611" spans="1:11" hidden="1">
      <c r="A611" s="137" t="str">
        <f>D611&amp;E611&amp;F611</f>
        <v>MELCOMBUSTIBLEMELISSA</v>
      </c>
      <c r="B611" t="s">
        <v>2565</v>
      </c>
      <c r="C611" s="1">
        <f t="shared" si="20"/>
        <v>45971</v>
      </c>
      <c r="D611" t="s">
        <v>43</v>
      </c>
      <c r="E611" s="12" t="s">
        <v>32</v>
      </c>
      <c r="F611" s="12" t="s">
        <v>44</v>
      </c>
      <c r="G611" s="158"/>
      <c r="H611" t="s">
        <v>4760</v>
      </c>
      <c r="J611" s="81">
        <v>1200</v>
      </c>
      <c r="K611" s="69">
        <f>K610+I611-J611</f>
        <v>-790955.3</v>
      </c>
    </row>
    <row r="612" spans="1:11" hidden="1">
      <c r="A612" s="137" t="str">
        <f>D612&amp;E612&amp;F612</f>
        <v>SERVICIOSCOMBUSTIBLEINVENTARIOS</v>
      </c>
      <c r="B612" t="s">
        <v>2565</v>
      </c>
      <c r="C612" s="1">
        <f t="shared" si="20"/>
        <v>45971</v>
      </c>
      <c r="D612" t="s">
        <v>21</v>
      </c>
      <c r="E612" t="s">
        <v>32</v>
      </c>
      <c r="F612" s="3" t="s">
        <v>34</v>
      </c>
      <c r="G612" s="158"/>
      <c r="H612" t="s">
        <v>4783</v>
      </c>
      <c r="J612" s="81">
        <v>1500</v>
      </c>
      <c r="K612" s="69">
        <f>K611+I612-J612</f>
        <v>-792455.3</v>
      </c>
    </row>
    <row r="613" spans="1:11" hidden="1">
      <c r="A613" s="137" t="str">
        <f>D613&amp;E613&amp;F613</f>
        <v>HRCOMBUSTIBLEHR</v>
      </c>
      <c r="B613" t="s">
        <v>2565</v>
      </c>
      <c r="C613" s="1">
        <f t="shared" si="20"/>
        <v>45971</v>
      </c>
      <c r="D613" t="s">
        <v>29</v>
      </c>
      <c r="E613" t="s">
        <v>32</v>
      </c>
      <c r="F613" s="3" t="s">
        <v>29</v>
      </c>
      <c r="G613" s="158"/>
      <c r="H613" t="s">
        <v>4801</v>
      </c>
      <c r="J613" s="81">
        <v>800</v>
      </c>
      <c r="K613" s="69">
        <f>K612+I613-J613</f>
        <v>-793255.3</v>
      </c>
    </row>
    <row r="614" spans="1:11" ht="15" hidden="1">
      <c r="A614" s="137" t="str">
        <f>D614&amp;E614&amp;F614</f>
        <v>FINANZASCOMBUSTIBLECOMISION SI VALE</v>
      </c>
      <c r="B614" t="s">
        <v>2565</v>
      </c>
      <c r="C614" s="1">
        <f t="shared" si="20"/>
        <v>45971</v>
      </c>
      <c r="D614" t="s">
        <v>23</v>
      </c>
      <c r="E614" t="s">
        <v>32</v>
      </c>
      <c r="F614" s="158" t="s">
        <v>47</v>
      </c>
      <c r="G614" s="158"/>
      <c r="H614" s="77" t="s">
        <v>4742</v>
      </c>
      <c r="J614" s="81">
        <v>1404.18</v>
      </c>
      <c r="K614" s="69">
        <f>K613+I614-J614</f>
        <v>-794659.4800000001</v>
      </c>
    </row>
    <row r="615" spans="1:11" hidden="1">
      <c r="A615" s="137" t="str">
        <f>D615&amp;E615&amp;F615</f>
        <v>HRCOMBUSTIBLEHR</v>
      </c>
      <c r="B615" t="s">
        <v>2565</v>
      </c>
      <c r="C615" s="1">
        <v>45978</v>
      </c>
      <c r="D615" t="s">
        <v>29</v>
      </c>
      <c r="E615" t="s">
        <v>32</v>
      </c>
      <c r="F615" s="3" t="s">
        <v>29</v>
      </c>
      <c r="G615" s="158"/>
      <c r="H615" t="s">
        <v>4769</v>
      </c>
      <c r="J615" s="81">
        <v>1200</v>
      </c>
      <c r="K615" s="69">
        <f>K614+I615-J615</f>
        <v>-795859.4800000001</v>
      </c>
    </row>
    <row r="616" spans="1:11" hidden="1">
      <c r="A616" s="137" t="str">
        <f>D616&amp;E616&amp;F616</f>
        <v>HRCOMBUSTIBLEHR</v>
      </c>
      <c r="B616" t="s">
        <v>2565</v>
      </c>
      <c r="C616" s="1">
        <f t="shared" si="20"/>
        <v>45978</v>
      </c>
      <c r="D616" t="s">
        <v>29</v>
      </c>
      <c r="E616" t="s">
        <v>32</v>
      </c>
      <c r="F616" s="3" t="s">
        <v>29</v>
      </c>
      <c r="G616" s="158"/>
      <c r="H616" t="s">
        <v>4790</v>
      </c>
      <c r="J616" s="81">
        <v>1200</v>
      </c>
      <c r="K616" s="69">
        <f>K615+I616-J616</f>
        <v>-797059.4800000001</v>
      </c>
    </row>
    <row r="617" spans="1:11" hidden="1">
      <c r="A617" s="137" t="str">
        <f>D617&amp;E617&amp;F617</f>
        <v>CAPCOMBUSTIBLECAPRICHOS</v>
      </c>
      <c r="B617" t="s">
        <v>2565</v>
      </c>
      <c r="C617" s="1">
        <f t="shared" si="20"/>
        <v>45978</v>
      </c>
      <c r="D617" t="s">
        <v>31</v>
      </c>
      <c r="E617" t="s">
        <v>32</v>
      </c>
      <c r="F617" s="3" t="s">
        <v>33</v>
      </c>
      <c r="G617" s="158"/>
      <c r="H617" t="s">
        <v>4770</v>
      </c>
      <c r="J617" s="81">
        <v>1300</v>
      </c>
      <c r="K617" s="69">
        <f>K616+I617-J617</f>
        <v>-798359.4800000001</v>
      </c>
    </row>
    <row r="618" spans="1:11" hidden="1">
      <c r="A618" s="137" t="str">
        <f>D618&amp;E618&amp;F618</f>
        <v>CAPCOMBUSTIBLECAPRICHOS</v>
      </c>
      <c r="B618" t="s">
        <v>2565</v>
      </c>
      <c r="C618" s="1">
        <f t="shared" si="20"/>
        <v>45978</v>
      </c>
      <c r="D618" t="s">
        <v>31</v>
      </c>
      <c r="E618" t="s">
        <v>32</v>
      </c>
      <c r="F618" s="3" t="s">
        <v>33</v>
      </c>
      <c r="G618" s="158"/>
      <c r="H618" t="s">
        <v>4802</v>
      </c>
      <c r="J618" s="81">
        <v>1000</v>
      </c>
      <c r="K618" s="69">
        <f>K617+I618-J618</f>
        <v>-799359.4800000001</v>
      </c>
    </row>
    <row r="619" spans="1:11" hidden="1">
      <c r="A619" s="137" t="str">
        <f>D619&amp;E619&amp;F619</f>
        <v>CAPCOMBUSTIBLECAPRICHOS</v>
      </c>
      <c r="B619" t="s">
        <v>2565</v>
      </c>
      <c r="C619" s="1">
        <f t="shared" si="20"/>
        <v>45978</v>
      </c>
      <c r="D619" t="s">
        <v>31</v>
      </c>
      <c r="E619" t="s">
        <v>32</v>
      </c>
      <c r="F619" s="3" t="s">
        <v>33</v>
      </c>
      <c r="G619" s="158"/>
      <c r="H619" t="s">
        <v>4767</v>
      </c>
      <c r="J619" s="81">
        <v>1500</v>
      </c>
      <c r="K619" s="69">
        <f>K618+I619-J619</f>
        <v>-800859.4800000001</v>
      </c>
    </row>
    <row r="620" spans="1:11" hidden="1">
      <c r="A620" s="137" t="str">
        <f>D620&amp;E620&amp;F620</f>
        <v>SERVICIOSCOMBUSTIBLESERVICIOS</v>
      </c>
      <c r="B620" t="s">
        <v>2565</v>
      </c>
      <c r="C620" s="1">
        <f t="shared" si="20"/>
        <v>45978</v>
      </c>
      <c r="D620" t="s">
        <v>21</v>
      </c>
      <c r="E620" t="s">
        <v>32</v>
      </c>
      <c r="F620" s="3" t="s">
        <v>21</v>
      </c>
      <c r="G620" s="158"/>
      <c r="H620" t="s">
        <v>4771</v>
      </c>
      <c r="J620" s="81">
        <v>400</v>
      </c>
      <c r="K620" s="69">
        <f>K619+I620-J620</f>
        <v>-801259.4800000001</v>
      </c>
    </row>
    <row r="621" spans="1:11" hidden="1">
      <c r="A621" s="137" t="str">
        <f>D621&amp;E621&amp;F621</f>
        <v>SERVICIOSCOMBUSTIBLECEDIS</v>
      </c>
      <c r="B621" t="s">
        <v>2565</v>
      </c>
      <c r="C621" s="1">
        <f t="shared" si="20"/>
        <v>45978</v>
      </c>
      <c r="D621" t="s">
        <v>21</v>
      </c>
      <c r="E621" t="s">
        <v>32</v>
      </c>
      <c r="F621" s="3" t="s">
        <v>28</v>
      </c>
      <c r="G621" s="158"/>
      <c r="H621" t="s">
        <v>28</v>
      </c>
      <c r="J621" s="81">
        <v>5500</v>
      </c>
      <c r="K621" s="69">
        <f>K620+I621-J621</f>
        <v>-806759.4800000001</v>
      </c>
    </row>
    <row r="622" spans="1:11" hidden="1">
      <c r="A622" s="137" t="str">
        <f>D622&amp;E622&amp;F622</f>
        <v>FINANZASCOMBUSTIBLETESORERIA</v>
      </c>
      <c r="B622" t="s">
        <v>2565</v>
      </c>
      <c r="C622" s="1">
        <f t="shared" si="20"/>
        <v>45978</v>
      </c>
      <c r="D622" t="s">
        <v>23</v>
      </c>
      <c r="E622" t="s">
        <v>32</v>
      </c>
      <c r="F622" s="3" t="s">
        <v>38</v>
      </c>
      <c r="G622" s="158"/>
      <c r="H622" t="s">
        <v>4772</v>
      </c>
      <c r="J622" s="81">
        <v>700</v>
      </c>
      <c r="K622" s="69">
        <f>K621+I622-J622</f>
        <v>-807459.4800000001</v>
      </c>
    </row>
    <row r="623" spans="1:11" hidden="1">
      <c r="A623" s="137" t="str">
        <f>D623&amp;E623&amp;F623</f>
        <v>FINANZASCOMBUSTIBLETESORERIA</v>
      </c>
      <c r="B623" t="s">
        <v>2565</v>
      </c>
      <c r="C623" s="1">
        <f t="shared" si="20"/>
        <v>45978</v>
      </c>
      <c r="D623" t="s">
        <v>23</v>
      </c>
      <c r="E623" t="s">
        <v>32</v>
      </c>
      <c r="F623" s="3" t="s">
        <v>38</v>
      </c>
      <c r="G623" s="158"/>
      <c r="H623" t="s">
        <v>4773</v>
      </c>
      <c r="J623" s="81">
        <v>1500</v>
      </c>
      <c r="K623" s="69">
        <f>K622+I623-J623</f>
        <v>-808959.4800000001</v>
      </c>
    </row>
    <row r="624" spans="1:11" hidden="1">
      <c r="A624" s="137" t="str">
        <f>D624&amp;E624&amp;F624</f>
        <v>FINANZASCOMBUSTIBLEFINANZAS</v>
      </c>
      <c r="B624" t="s">
        <v>2565</v>
      </c>
      <c r="C624" s="1">
        <f t="shared" si="20"/>
        <v>45978</v>
      </c>
      <c r="D624" t="s">
        <v>23</v>
      </c>
      <c r="E624" t="s">
        <v>32</v>
      </c>
      <c r="F624" s="3" t="s">
        <v>23</v>
      </c>
      <c r="G624" s="158"/>
      <c r="H624" t="s">
        <v>4793</v>
      </c>
      <c r="J624" s="81">
        <v>700</v>
      </c>
      <c r="K624" s="69">
        <f>K623+I624-J624</f>
        <v>-809659.4800000001</v>
      </c>
    </row>
    <row r="625" spans="1:11" hidden="1">
      <c r="A625" s="137" t="str">
        <f>D625&amp;E625&amp;F625</f>
        <v>DECOMBUSTIBLEDIRECCION</v>
      </c>
      <c r="B625" t="s">
        <v>2565</v>
      </c>
      <c r="C625" s="1">
        <f t="shared" si="20"/>
        <v>45978</v>
      </c>
      <c r="D625" t="s">
        <v>41</v>
      </c>
      <c r="E625" t="s">
        <v>32</v>
      </c>
      <c r="F625" s="3" t="s">
        <v>42</v>
      </c>
      <c r="G625" s="158"/>
      <c r="H625" t="s">
        <v>4774</v>
      </c>
      <c r="J625" s="81">
        <v>1000</v>
      </c>
      <c r="K625" s="69">
        <f>K624+I625-J625</f>
        <v>-810659.4800000001</v>
      </c>
    </row>
    <row r="626" spans="1:11" hidden="1">
      <c r="A626" s="137" t="str">
        <f>D626&amp;E626&amp;F626</f>
        <v>MMCOMBUSTIBLEMARKET MAX</v>
      </c>
      <c r="B626" t="s">
        <v>2565</v>
      </c>
      <c r="C626" s="1">
        <f t="shared" si="20"/>
        <v>45978</v>
      </c>
      <c r="D626" t="s">
        <v>45</v>
      </c>
      <c r="E626" t="s">
        <v>32</v>
      </c>
      <c r="F626" s="3" t="s">
        <v>46</v>
      </c>
      <c r="G626" s="158"/>
      <c r="H626" t="s">
        <v>4803</v>
      </c>
      <c r="J626" s="81">
        <v>700</v>
      </c>
      <c r="K626" s="69">
        <f>K625+I626-J626</f>
        <v>-811359.4800000001</v>
      </c>
    </row>
    <row r="627" spans="1:11" ht="15" hidden="1">
      <c r="A627" s="137" t="str">
        <f>D627&amp;E627&amp;F627</f>
        <v>FINANZASCOMBUSTIBLECOMISION SI VALE</v>
      </c>
      <c r="B627" t="s">
        <v>2565</v>
      </c>
      <c r="C627" s="1">
        <f t="shared" si="20"/>
        <v>45978</v>
      </c>
      <c r="D627" t="s">
        <v>23</v>
      </c>
      <c r="E627" t="s">
        <v>32</v>
      </c>
      <c r="F627" s="158" t="s">
        <v>47</v>
      </c>
      <c r="G627" s="158"/>
      <c r="H627" s="77" t="s">
        <v>4742</v>
      </c>
      <c r="J627" s="81">
        <v>1461.6</v>
      </c>
      <c r="K627" s="69">
        <f>K626+I627-J627</f>
        <v>-812821.08000000007</v>
      </c>
    </row>
    <row r="628" spans="1:11" hidden="1">
      <c r="A628" s="137" t="str">
        <f>D628&amp;E628&amp;F628</f>
        <v>HRCOMBUSTIBLEHR</v>
      </c>
      <c r="B628" t="s">
        <v>2565</v>
      </c>
      <c r="C628" s="1">
        <v>45985</v>
      </c>
      <c r="D628" t="s">
        <v>29</v>
      </c>
      <c r="E628" t="s">
        <v>32</v>
      </c>
      <c r="F628" s="3" t="s">
        <v>29</v>
      </c>
      <c r="G628" s="158"/>
      <c r="H628" t="s">
        <v>4790</v>
      </c>
      <c r="J628" s="81">
        <v>750</v>
      </c>
      <c r="K628" s="69">
        <f>K627+I628-J628</f>
        <v>-813571.08000000007</v>
      </c>
    </row>
    <row r="629" spans="1:11" hidden="1">
      <c r="A629" s="137" t="str">
        <f>D629&amp;E629&amp;F629</f>
        <v>CAPCOMBUSTIBLECAPRICHOS</v>
      </c>
      <c r="B629" t="s">
        <v>2565</v>
      </c>
      <c r="C629" s="1">
        <f t="shared" si="20"/>
        <v>45985</v>
      </c>
      <c r="D629" t="s">
        <v>31</v>
      </c>
      <c r="E629" t="s">
        <v>32</v>
      </c>
      <c r="F629" s="3" t="s">
        <v>33</v>
      </c>
      <c r="G629" s="158"/>
      <c r="H629" t="s">
        <v>4770</v>
      </c>
      <c r="J629" s="81">
        <v>1300</v>
      </c>
      <c r="K629" s="69">
        <f>K628+I629-J629</f>
        <v>-814871.08000000007</v>
      </c>
    </row>
    <row r="630" spans="1:11" hidden="1">
      <c r="A630" s="137" t="str">
        <f>D630&amp;E630&amp;F630</f>
        <v>SERVICIOSCOMBUSTIBLECEDIS</v>
      </c>
      <c r="B630" t="s">
        <v>2565</v>
      </c>
      <c r="C630" s="1">
        <f t="shared" si="20"/>
        <v>45985</v>
      </c>
      <c r="D630" t="s">
        <v>21</v>
      </c>
      <c r="E630" t="s">
        <v>32</v>
      </c>
      <c r="F630" s="3" t="s">
        <v>28</v>
      </c>
      <c r="G630" s="158"/>
      <c r="H630" t="s">
        <v>28</v>
      </c>
      <c r="J630" s="81">
        <v>18000</v>
      </c>
      <c r="K630" s="69">
        <f>K629+I630-J630</f>
        <v>-832871.08000000007</v>
      </c>
    </row>
    <row r="631" spans="1:11" hidden="1">
      <c r="A631" s="137" t="str">
        <f>D631&amp;E631&amp;F631</f>
        <v>FINANZASCOMBUSTIBLETESORERIA</v>
      </c>
      <c r="B631" t="s">
        <v>2565</v>
      </c>
      <c r="C631" s="1">
        <f t="shared" si="20"/>
        <v>45985</v>
      </c>
      <c r="D631" t="s">
        <v>23</v>
      </c>
      <c r="E631" t="s">
        <v>32</v>
      </c>
      <c r="F631" s="3" t="s">
        <v>38</v>
      </c>
      <c r="G631" s="158"/>
      <c r="H631" t="s">
        <v>4772</v>
      </c>
      <c r="J631" s="81">
        <v>700</v>
      </c>
      <c r="K631" s="69">
        <f>K630+I631-J631</f>
        <v>-833571.08000000007</v>
      </c>
    </row>
    <row r="632" spans="1:11" hidden="1">
      <c r="A632" s="137" t="str">
        <f>D632&amp;E632&amp;F632</f>
        <v>FINANZASCOMBUSTIBLETESORERIA</v>
      </c>
      <c r="B632" t="s">
        <v>2565</v>
      </c>
      <c r="C632" s="1">
        <f t="shared" si="20"/>
        <v>45985</v>
      </c>
      <c r="D632" t="s">
        <v>23</v>
      </c>
      <c r="E632" t="s">
        <v>32</v>
      </c>
      <c r="F632" s="3" t="s">
        <v>38</v>
      </c>
      <c r="G632" s="158"/>
      <c r="H632" t="s">
        <v>4773</v>
      </c>
      <c r="J632" s="81">
        <v>1500</v>
      </c>
      <c r="K632" s="69">
        <f>K631+I632-J632</f>
        <v>-835071.08000000007</v>
      </c>
    </row>
    <row r="633" spans="1:11" hidden="1">
      <c r="A633" s="137" t="str">
        <f>D633&amp;E633&amp;F633</f>
        <v>HRCOMBUSTIBLEHR</v>
      </c>
      <c r="B633" t="s">
        <v>2565</v>
      </c>
      <c r="C633" s="1">
        <f t="shared" si="20"/>
        <v>45985</v>
      </c>
      <c r="D633" t="s">
        <v>29</v>
      </c>
      <c r="E633" t="s">
        <v>32</v>
      </c>
      <c r="F633" s="3" t="s">
        <v>29</v>
      </c>
      <c r="G633" s="158"/>
      <c r="H633" t="s">
        <v>4804</v>
      </c>
      <c r="J633" s="81">
        <v>700</v>
      </c>
      <c r="K633" s="69">
        <f>K632+I633-J633</f>
        <v>-835771.08000000007</v>
      </c>
    </row>
    <row r="634" spans="1:11" hidden="1">
      <c r="A634" s="137" t="str">
        <f>D634&amp;E634&amp;F634</f>
        <v>FINANZASCOMBUSTIBLECOMISION SI VALE</v>
      </c>
      <c r="B634" t="s">
        <v>2565</v>
      </c>
      <c r="C634" s="1">
        <f t="shared" si="20"/>
        <v>45985</v>
      </c>
      <c r="D634" t="s">
        <v>23</v>
      </c>
      <c r="E634" t="s">
        <v>32</v>
      </c>
      <c r="F634" s="158" t="s">
        <v>47</v>
      </c>
      <c r="G634" s="158"/>
      <c r="H634" s="77" t="s">
        <v>4742</v>
      </c>
      <c r="J634" s="81">
        <v>1827</v>
      </c>
      <c r="K634" s="69">
        <f>K633+I634-J634</f>
        <v>-837598.08000000007</v>
      </c>
    </row>
    <row r="635" spans="1:11" hidden="1">
      <c r="A635" s="137" t="str">
        <f t="shared" ref="A633:A637" si="21">D635&amp;E635&amp;F635</f>
        <v>HRCOMBUSTIBLEHR</v>
      </c>
      <c r="B635" t="s">
        <v>2821</v>
      </c>
      <c r="C635" s="1">
        <v>45992</v>
      </c>
      <c r="D635" t="s">
        <v>29</v>
      </c>
      <c r="E635" t="s">
        <v>32</v>
      </c>
      <c r="F635" s="3" t="s">
        <v>29</v>
      </c>
      <c r="G635" s="158"/>
      <c r="H635" t="s">
        <v>4788</v>
      </c>
      <c r="J635" s="81">
        <v>1200</v>
      </c>
      <c r="K635" s="69">
        <f>K634+I635-J635</f>
        <v>-838798.08000000007</v>
      </c>
    </row>
    <row r="636" spans="1:11" hidden="1">
      <c r="A636" s="137" t="str">
        <f>D636&amp;E636&amp;F636</f>
        <v>HRCOMBUSTIBLEHR</v>
      </c>
      <c r="B636" t="s">
        <v>2821</v>
      </c>
      <c r="C636" s="1">
        <v>45992</v>
      </c>
      <c r="D636" t="s">
        <v>29</v>
      </c>
      <c r="E636" t="s">
        <v>32</v>
      </c>
      <c r="F636" s="3" t="s">
        <v>29</v>
      </c>
      <c r="G636" s="158"/>
      <c r="H636" t="s">
        <v>4769</v>
      </c>
      <c r="J636" s="81">
        <v>1200</v>
      </c>
      <c r="K636" s="69">
        <f>K635+I636-J636</f>
        <v>-839998.08000000007</v>
      </c>
    </row>
    <row r="637" spans="1:11" hidden="1">
      <c r="A637" s="137" t="str">
        <f>D637&amp;E637&amp;F637</f>
        <v>HRCOMBUSTIBLEHR</v>
      </c>
      <c r="B637" t="s">
        <v>2821</v>
      </c>
      <c r="C637" s="1">
        <v>45992</v>
      </c>
      <c r="D637" t="s">
        <v>29</v>
      </c>
      <c r="E637" t="s">
        <v>32</v>
      </c>
      <c r="F637" s="3" t="s">
        <v>29</v>
      </c>
      <c r="G637" s="158"/>
      <c r="H637" t="s">
        <v>4790</v>
      </c>
      <c r="J637" s="81">
        <v>1200</v>
      </c>
      <c r="K637" s="69">
        <f>K636+I637-J637</f>
        <v>-841198.08000000007</v>
      </c>
    </row>
    <row r="638" spans="1:11" hidden="1">
      <c r="A638" s="137" t="str">
        <f>D638&amp;E638&amp;F638</f>
        <v>CAPCOMBUSTIBLECAPRICHOS</v>
      </c>
      <c r="B638" t="s">
        <v>2821</v>
      </c>
      <c r="C638" s="1">
        <v>45992</v>
      </c>
      <c r="D638" t="s">
        <v>31</v>
      </c>
      <c r="E638" t="s">
        <v>32</v>
      </c>
      <c r="F638" s="3" t="s">
        <v>33</v>
      </c>
      <c r="G638" s="158"/>
      <c r="H638" t="s">
        <v>4770</v>
      </c>
      <c r="J638" s="81">
        <v>1300</v>
      </c>
      <c r="K638" s="69">
        <f>K637+I638-J638</f>
        <v>-842498.08000000007</v>
      </c>
    </row>
    <row r="639" spans="1:11" hidden="1">
      <c r="A639" s="137" t="str">
        <f>D639&amp;E639&amp;F639</f>
        <v>SERVICIOSCOMBUSTIBLESERVICIOS</v>
      </c>
      <c r="B639" t="s">
        <v>2821</v>
      </c>
      <c r="C639" s="1">
        <v>45992</v>
      </c>
      <c r="D639" t="s">
        <v>21</v>
      </c>
      <c r="E639" t="s">
        <v>32</v>
      </c>
      <c r="F639" s="3" t="s">
        <v>21</v>
      </c>
      <c r="G639" s="158"/>
      <c r="H639" t="s">
        <v>4771</v>
      </c>
      <c r="J639" s="81">
        <v>300</v>
      </c>
      <c r="K639" s="69">
        <f>K638+I639-J639</f>
        <v>-842798.08000000007</v>
      </c>
    </row>
    <row r="640" spans="1:11" hidden="1">
      <c r="A640" s="137" t="str">
        <f>D640&amp;E640&amp;F640</f>
        <v>SERVICIOSCOMBUSTIBLECEDIS</v>
      </c>
      <c r="B640" t="s">
        <v>2821</v>
      </c>
      <c r="C640" s="1">
        <v>45992</v>
      </c>
      <c r="D640" t="s">
        <v>21</v>
      </c>
      <c r="E640" t="s">
        <v>32</v>
      </c>
      <c r="F640" s="3" t="s">
        <v>28</v>
      </c>
      <c r="G640" s="158"/>
      <c r="H640" t="s">
        <v>28</v>
      </c>
      <c r="J640" s="81">
        <v>21500</v>
      </c>
      <c r="K640" s="69">
        <f>K639+I640-J640</f>
        <v>-864298.08000000007</v>
      </c>
    </row>
    <row r="641" spans="1:11" hidden="1">
      <c r="A641" s="137" t="str">
        <f>D641&amp;E641&amp;F641</f>
        <v>FINANZASCOMBUSTIBLETESORERIA</v>
      </c>
      <c r="B641" t="s">
        <v>2821</v>
      </c>
      <c r="C641" s="1">
        <v>45992</v>
      </c>
      <c r="D641" t="s">
        <v>23</v>
      </c>
      <c r="E641" t="s">
        <v>32</v>
      </c>
      <c r="F641" s="3" t="s">
        <v>38</v>
      </c>
      <c r="G641" s="158"/>
      <c r="H641" t="s">
        <v>4772</v>
      </c>
      <c r="J641" s="81">
        <v>700</v>
      </c>
      <c r="K641" s="69">
        <f>K640+I641-J641</f>
        <v>-864998.08000000007</v>
      </c>
    </row>
    <row r="642" spans="1:11" hidden="1">
      <c r="A642" s="137" t="str">
        <f>D642&amp;E642&amp;F642</f>
        <v>FINANZASCOMBUSTIBLETESORERIA</v>
      </c>
      <c r="B642" t="s">
        <v>2821</v>
      </c>
      <c r="C642" s="1">
        <v>45992</v>
      </c>
      <c r="D642" t="s">
        <v>23</v>
      </c>
      <c r="E642" t="s">
        <v>32</v>
      </c>
      <c r="F642" s="3" t="s">
        <v>38</v>
      </c>
      <c r="G642" s="158"/>
      <c r="H642" t="s">
        <v>4773</v>
      </c>
      <c r="J642" s="81">
        <v>1500</v>
      </c>
      <c r="K642" s="69">
        <f>K641+I642-J642</f>
        <v>-866498.08000000007</v>
      </c>
    </row>
    <row r="643" spans="1:11" hidden="1">
      <c r="A643" s="137" t="str">
        <f>D643&amp;E643&amp;F643</f>
        <v>FINANZASCOMBUSTIBLEFINANZAS</v>
      </c>
      <c r="B643" t="s">
        <v>2821</v>
      </c>
      <c r="C643" s="1">
        <v>45992</v>
      </c>
      <c r="D643" t="s">
        <v>23</v>
      </c>
      <c r="E643" t="s">
        <v>32</v>
      </c>
      <c r="F643" s="3" t="s">
        <v>23</v>
      </c>
      <c r="G643" s="158"/>
      <c r="H643" t="s">
        <v>4793</v>
      </c>
      <c r="J643" s="81">
        <v>700</v>
      </c>
      <c r="K643" s="69">
        <f>K642+I643-J643</f>
        <v>-867198.08000000007</v>
      </c>
    </row>
    <row r="644" spans="1:11" hidden="1">
      <c r="A644" s="137" t="str">
        <f>D644&amp;E644&amp;F644</f>
        <v>MMCOMBUSTIBLEMARKET MAX</v>
      </c>
      <c r="B644" t="s">
        <v>2821</v>
      </c>
      <c r="C644" s="1">
        <v>45992</v>
      </c>
      <c r="D644" t="s">
        <v>45</v>
      </c>
      <c r="E644" t="s">
        <v>32</v>
      </c>
      <c r="F644" s="3" t="s">
        <v>46</v>
      </c>
      <c r="G644" s="158"/>
      <c r="H644" t="s">
        <v>4803</v>
      </c>
      <c r="J644" s="81">
        <v>700</v>
      </c>
      <c r="K644" s="69">
        <f>K643+I644-J644</f>
        <v>-867898.08000000007</v>
      </c>
    </row>
    <row r="645" spans="1:11" ht="15" hidden="1">
      <c r="A645" s="137" t="str">
        <f>D645&amp;E645&amp;F645</f>
        <v>MELCOMBUSTIBLEMELISSA</v>
      </c>
      <c r="B645" t="s">
        <v>2821</v>
      </c>
      <c r="C645" s="1">
        <v>45992</v>
      </c>
      <c r="D645" t="s">
        <v>43</v>
      </c>
      <c r="E645" s="12" t="s">
        <v>32</v>
      </c>
      <c r="F645" s="12" t="s">
        <v>44</v>
      </c>
      <c r="G645" s="3"/>
      <c r="H645" t="s">
        <v>4760</v>
      </c>
      <c r="J645" s="81">
        <v>1000</v>
      </c>
      <c r="K645" s="69">
        <f>K644+I645-J645</f>
        <v>-868898.08000000007</v>
      </c>
    </row>
    <row r="646" spans="1:11" hidden="1">
      <c r="A646" s="137" t="str">
        <f>D646&amp;E646&amp;F646</f>
        <v>SERVICIOSCOMBUSTIBLEINVENTARIOS</v>
      </c>
      <c r="B646" t="s">
        <v>2821</v>
      </c>
      <c r="C646" s="1">
        <v>45992</v>
      </c>
      <c r="D646" t="s">
        <v>21</v>
      </c>
      <c r="E646" t="s">
        <v>32</v>
      </c>
      <c r="F646" s="3" t="s">
        <v>34</v>
      </c>
      <c r="G646" s="3"/>
      <c r="H646" t="s">
        <v>4783</v>
      </c>
      <c r="J646" s="81">
        <v>4200</v>
      </c>
      <c r="K646" s="69">
        <f>K645+I646-J646</f>
        <v>-873098.08000000007</v>
      </c>
    </row>
    <row r="647" spans="1:11" hidden="1">
      <c r="A647" s="137" t="str">
        <f>D647&amp;E647&amp;F647</f>
        <v>HRCOMBUSTIBLEHR</v>
      </c>
      <c r="B647" t="s">
        <v>2821</v>
      </c>
      <c r="C647" s="1">
        <v>45992</v>
      </c>
      <c r="D647" t="s">
        <v>29</v>
      </c>
      <c r="E647" t="s">
        <v>32</v>
      </c>
      <c r="F647" s="3" t="s">
        <v>29</v>
      </c>
      <c r="G647" s="3"/>
      <c r="H647" t="s">
        <v>4801</v>
      </c>
      <c r="J647" s="81">
        <v>600</v>
      </c>
      <c r="K647" s="69">
        <f>K646+I647-J647</f>
        <v>-873698.08000000007</v>
      </c>
    </row>
    <row r="648" spans="1:11" hidden="1">
      <c r="A648" s="137" t="str">
        <f>D648&amp;E648&amp;F648</f>
        <v>HRCOMBUSTIBLEHR</v>
      </c>
      <c r="B648" t="s">
        <v>2821</v>
      </c>
      <c r="C648" s="1">
        <v>45999</v>
      </c>
      <c r="D648" t="s">
        <v>29</v>
      </c>
      <c r="E648" t="s">
        <v>32</v>
      </c>
      <c r="F648" s="3" t="s">
        <v>29</v>
      </c>
      <c r="G648" s="158"/>
      <c r="H648" t="s">
        <v>4788</v>
      </c>
      <c r="J648" s="81">
        <v>1400</v>
      </c>
      <c r="K648" s="69">
        <f>K647+I648-J648</f>
        <v>-875098.08000000007</v>
      </c>
    </row>
    <row r="649" spans="1:11" hidden="1">
      <c r="A649" s="137" t="str">
        <f>D649&amp;E649&amp;F649</f>
        <v>HRCOMBUSTIBLEHR</v>
      </c>
      <c r="B649" t="s">
        <v>2821</v>
      </c>
      <c r="C649" s="1">
        <v>45999</v>
      </c>
      <c r="D649" t="s">
        <v>29</v>
      </c>
      <c r="E649" t="s">
        <v>32</v>
      </c>
      <c r="F649" s="3" t="s">
        <v>29</v>
      </c>
      <c r="G649" s="158"/>
      <c r="H649" t="s">
        <v>4769</v>
      </c>
      <c r="J649" s="81">
        <v>1200</v>
      </c>
      <c r="K649" s="69">
        <f>K648+I649-J649</f>
        <v>-876298.08000000007</v>
      </c>
    </row>
    <row r="650" spans="1:11" hidden="1">
      <c r="A650" s="137" t="str">
        <f>D650&amp;E650&amp;F650</f>
        <v>HRCOMBUSTIBLEHR</v>
      </c>
      <c r="B650" t="s">
        <v>2821</v>
      </c>
      <c r="C650" s="1">
        <v>45999</v>
      </c>
      <c r="D650" t="s">
        <v>29</v>
      </c>
      <c r="E650" t="s">
        <v>32</v>
      </c>
      <c r="F650" s="3" t="s">
        <v>29</v>
      </c>
      <c r="G650" s="158"/>
      <c r="H650" t="s">
        <v>4790</v>
      </c>
      <c r="J650" s="81">
        <v>300</v>
      </c>
      <c r="K650" s="69">
        <f>K649+I650-J650</f>
        <v>-876598.08000000007</v>
      </c>
    </row>
    <row r="651" spans="1:11" hidden="1">
      <c r="A651" s="137" t="str">
        <f>D651&amp;E651&amp;F651</f>
        <v>CAPCOMBUSTIBLECAPRICHOS</v>
      </c>
      <c r="B651" t="s">
        <v>2821</v>
      </c>
      <c r="C651" s="1">
        <v>45999</v>
      </c>
      <c r="D651" t="s">
        <v>31</v>
      </c>
      <c r="E651" t="s">
        <v>32</v>
      </c>
      <c r="F651" s="3" t="s">
        <v>33</v>
      </c>
      <c r="G651" s="158"/>
      <c r="H651" t="s">
        <v>4770</v>
      </c>
      <c r="J651" s="81">
        <v>2100</v>
      </c>
      <c r="K651" s="69">
        <f>K650+I651-J651</f>
        <v>-878698.08000000007</v>
      </c>
    </row>
    <row r="652" spans="1:11" hidden="1">
      <c r="A652" s="137" t="str">
        <f>D652&amp;E652&amp;F652</f>
        <v>CAPCOMBUSTIBLECAPRICHOS</v>
      </c>
      <c r="B652" t="s">
        <v>2821</v>
      </c>
      <c r="C652" s="1">
        <v>45999</v>
      </c>
      <c r="D652" t="s">
        <v>31</v>
      </c>
      <c r="E652" t="s">
        <v>32</v>
      </c>
      <c r="F652" s="3" t="s">
        <v>33</v>
      </c>
      <c r="G652" s="158"/>
      <c r="H652" t="s">
        <v>4802</v>
      </c>
      <c r="J652" s="81">
        <v>1000</v>
      </c>
      <c r="K652" s="69">
        <f>K651+I652-J652</f>
        <v>-879698.08000000007</v>
      </c>
    </row>
    <row r="653" spans="1:11" hidden="1">
      <c r="A653" s="137" t="str">
        <f>D653&amp;E653&amp;F653</f>
        <v>SERVICIOSCOMBUSTIBLESERVICIOS</v>
      </c>
      <c r="B653" t="s">
        <v>2821</v>
      </c>
      <c r="C653" s="1">
        <v>45999</v>
      </c>
      <c r="D653" t="s">
        <v>21</v>
      </c>
      <c r="E653" t="s">
        <v>32</v>
      </c>
      <c r="F653" s="3" t="s">
        <v>21</v>
      </c>
      <c r="G653" s="158"/>
      <c r="H653" t="s">
        <v>4771</v>
      </c>
      <c r="J653" s="81">
        <v>2800</v>
      </c>
      <c r="K653" s="69">
        <f>K652+I653-J653</f>
        <v>-882498.08000000007</v>
      </c>
    </row>
    <row r="654" spans="1:11" hidden="1">
      <c r="A654" s="137" t="str">
        <f>D654&amp;E654&amp;F654</f>
        <v>SERVICIOSCOMBUSTIBLECEDIS</v>
      </c>
      <c r="B654" t="s">
        <v>2821</v>
      </c>
      <c r="C654" s="1">
        <v>45999</v>
      </c>
      <c r="D654" t="s">
        <v>21</v>
      </c>
      <c r="E654" t="s">
        <v>32</v>
      </c>
      <c r="F654" s="3" t="s">
        <v>28</v>
      </c>
      <c r="G654" s="158"/>
      <c r="H654" t="s">
        <v>28</v>
      </c>
      <c r="J654" s="81">
        <v>19700</v>
      </c>
      <c r="K654" s="69">
        <f>K653+I654-J654</f>
        <v>-902198.08000000007</v>
      </c>
    </row>
    <row r="655" spans="1:11" hidden="1">
      <c r="A655" s="137" t="str">
        <f>D655&amp;E655&amp;F655</f>
        <v>FINANZASCOMBUSTIBLETESORERIA</v>
      </c>
      <c r="B655" t="s">
        <v>2821</v>
      </c>
      <c r="C655" s="1">
        <v>45999</v>
      </c>
      <c r="D655" t="s">
        <v>23</v>
      </c>
      <c r="E655" t="s">
        <v>32</v>
      </c>
      <c r="F655" s="3" t="s">
        <v>38</v>
      </c>
      <c r="G655" s="158"/>
      <c r="H655" t="s">
        <v>4772</v>
      </c>
      <c r="J655" s="81">
        <v>700</v>
      </c>
      <c r="K655" s="69">
        <f>K654+I655-J655</f>
        <v>-902898.08000000007</v>
      </c>
    </row>
    <row r="656" spans="1:11" hidden="1">
      <c r="A656" s="137" t="str">
        <f>D656&amp;E656&amp;F656</f>
        <v>FINANZASCOMBUSTIBLETESORERIA</v>
      </c>
      <c r="B656" t="s">
        <v>2821</v>
      </c>
      <c r="C656" s="1">
        <v>45999</v>
      </c>
      <c r="D656" t="s">
        <v>23</v>
      </c>
      <c r="E656" t="s">
        <v>32</v>
      </c>
      <c r="F656" s="3" t="s">
        <v>38</v>
      </c>
      <c r="G656" s="158"/>
      <c r="H656" t="s">
        <v>4773</v>
      </c>
      <c r="J656" s="81">
        <v>1500</v>
      </c>
      <c r="K656" s="69">
        <f>K655+I656-J656</f>
        <v>-904398.08000000007</v>
      </c>
    </row>
    <row r="657" spans="1:11" hidden="1">
      <c r="A657" s="137" t="str">
        <f>D657&amp;E657&amp;F657</f>
        <v>FINANZASCOMBUSTIBLEFINANZAS</v>
      </c>
      <c r="B657" t="s">
        <v>2821</v>
      </c>
      <c r="C657" s="1">
        <v>45999</v>
      </c>
      <c r="D657" t="s">
        <v>23</v>
      </c>
      <c r="E657" t="s">
        <v>32</v>
      </c>
      <c r="F657" s="3" t="s">
        <v>23</v>
      </c>
      <c r="G657" s="158"/>
      <c r="H657" t="s">
        <v>4793</v>
      </c>
      <c r="J657" s="81">
        <v>700</v>
      </c>
      <c r="K657" s="69">
        <f>K656+I657-J657</f>
        <v>-905098.08000000007</v>
      </c>
    </row>
    <row r="658" spans="1:11" hidden="1">
      <c r="A658" s="137" t="str">
        <f>D658&amp;E658&amp;F658</f>
        <v>DECOMBUSTIBLEDIRECCION</v>
      </c>
      <c r="B658" t="s">
        <v>2821</v>
      </c>
      <c r="C658" s="1">
        <v>45999</v>
      </c>
      <c r="D658" t="s">
        <v>41</v>
      </c>
      <c r="E658" t="s">
        <v>32</v>
      </c>
      <c r="F658" s="3" t="s">
        <v>42</v>
      </c>
      <c r="G658" s="158"/>
      <c r="H658" t="s">
        <v>4774</v>
      </c>
      <c r="J658" s="81">
        <v>3000</v>
      </c>
      <c r="K658" s="69">
        <f>K657+I658-J658</f>
        <v>-908098.08000000007</v>
      </c>
    </row>
    <row r="659" spans="1:11" hidden="1">
      <c r="A659" s="137" t="str">
        <f>D659&amp;E659&amp;F659</f>
        <v>MMCOMBUSTIBLEMARKET MAX</v>
      </c>
      <c r="B659" t="s">
        <v>2821</v>
      </c>
      <c r="C659" s="1">
        <v>45999</v>
      </c>
      <c r="D659" t="s">
        <v>45</v>
      </c>
      <c r="E659" t="s">
        <v>32</v>
      </c>
      <c r="F659" s="3" t="s">
        <v>46</v>
      </c>
      <c r="G659" s="158"/>
      <c r="H659" t="s">
        <v>4803</v>
      </c>
      <c r="J659" s="81">
        <v>700</v>
      </c>
      <c r="K659" s="69">
        <f>K658+I659-J659</f>
        <v>-908798.08000000007</v>
      </c>
    </row>
    <row r="660" spans="1:11" ht="15" hidden="1">
      <c r="A660" s="137" t="str">
        <f>D660&amp;E660&amp;F660</f>
        <v>MELCOMBUSTIBLEMELISSA</v>
      </c>
      <c r="B660" t="s">
        <v>2821</v>
      </c>
      <c r="C660" s="1">
        <v>45999</v>
      </c>
      <c r="D660" t="s">
        <v>43</v>
      </c>
      <c r="E660" s="12" t="s">
        <v>32</v>
      </c>
      <c r="F660" s="12" t="s">
        <v>44</v>
      </c>
      <c r="G660" s="3"/>
      <c r="H660" t="s">
        <v>4760</v>
      </c>
      <c r="J660" s="81">
        <v>1200</v>
      </c>
      <c r="K660" s="69">
        <f>K659+I660-J660</f>
        <v>-909998.08000000007</v>
      </c>
    </row>
    <row r="661" spans="1:11" hidden="1">
      <c r="A661" s="137" t="str">
        <f>D661&amp;E661&amp;F661</f>
        <v>SERVICIOSCOMBUSTIBLEINVENTARIOS</v>
      </c>
      <c r="B661" t="s">
        <v>2821</v>
      </c>
      <c r="C661" s="1">
        <v>45999</v>
      </c>
      <c r="D661" t="s">
        <v>21</v>
      </c>
      <c r="E661" t="s">
        <v>32</v>
      </c>
      <c r="F661" s="3" t="s">
        <v>34</v>
      </c>
      <c r="G661" s="3"/>
      <c r="H661" t="s">
        <v>4783</v>
      </c>
      <c r="J661" s="81">
        <v>1750</v>
      </c>
      <c r="K661" s="69">
        <f>K660+I661-J661</f>
        <v>-911748.08000000007</v>
      </c>
    </row>
    <row r="662" spans="1:11" hidden="1">
      <c r="A662" s="137" t="str">
        <f>D662&amp;E662&amp;F662</f>
        <v>HRCOMBUSTIBLEHR</v>
      </c>
      <c r="B662" t="s">
        <v>2821</v>
      </c>
      <c r="C662" s="1">
        <v>45999</v>
      </c>
      <c r="D662" t="s">
        <v>29</v>
      </c>
      <c r="E662" t="s">
        <v>32</v>
      </c>
      <c r="F662" s="3" t="s">
        <v>29</v>
      </c>
      <c r="G662" s="3"/>
      <c r="H662" t="s">
        <v>4804</v>
      </c>
      <c r="J662" s="81">
        <v>600</v>
      </c>
      <c r="K662" s="69">
        <f t="shared" ref="K662:K725" si="22">K661+I662-J662</f>
        <v>-912348.08000000007</v>
      </c>
    </row>
    <row r="663" spans="1:11" hidden="1">
      <c r="A663" s="137" t="str">
        <f>D663&amp;E663&amp;F663</f>
        <v>HRCOMBUSTIBLEHR</v>
      </c>
      <c r="B663" t="s">
        <v>2821</v>
      </c>
      <c r="C663" s="1">
        <v>46006</v>
      </c>
      <c r="D663" t="s">
        <v>29</v>
      </c>
      <c r="E663" t="s">
        <v>32</v>
      </c>
      <c r="F663" s="3" t="s">
        <v>29</v>
      </c>
      <c r="G663" s="158"/>
      <c r="H663" t="s">
        <v>4788</v>
      </c>
      <c r="J663" s="81">
        <v>3200</v>
      </c>
      <c r="K663" s="69">
        <f t="shared" si="22"/>
        <v>-915548.08000000007</v>
      </c>
    </row>
    <row r="664" spans="1:11" hidden="1">
      <c r="A664" s="137" t="str">
        <f>D664&amp;E664&amp;F664</f>
        <v>HRCOMBUSTIBLEHR</v>
      </c>
      <c r="B664" t="s">
        <v>2821</v>
      </c>
      <c r="C664" s="1">
        <v>46006</v>
      </c>
      <c r="D664" t="s">
        <v>29</v>
      </c>
      <c r="E664" t="s">
        <v>32</v>
      </c>
      <c r="F664" s="3" t="s">
        <v>29</v>
      </c>
      <c r="G664" s="158"/>
      <c r="H664" t="s">
        <v>4769</v>
      </c>
      <c r="J664" s="81">
        <v>1600</v>
      </c>
      <c r="K664" s="69">
        <f t="shared" si="22"/>
        <v>-917148.08000000007</v>
      </c>
    </row>
    <row r="665" spans="1:11" hidden="1">
      <c r="A665" s="137" t="str">
        <f>D665&amp;E665&amp;F665</f>
        <v>HRCOMBUSTIBLEHR</v>
      </c>
      <c r="B665" t="s">
        <v>2821</v>
      </c>
      <c r="C665" s="1">
        <v>46006</v>
      </c>
      <c r="D665" t="s">
        <v>29</v>
      </c>
      <c r="E665" t="s">
        <v>32</v>
      </c>
      <c r="F665" s="3" t="s">
        <v>29</v>
      </c>
      <c r="G665" s="158"/>
      <c r="H665" t="s">
        <v>4790</v>
      </c>
      <c r="J665" s="81">
        <v>1000</v>
      </c>
      <c r="K665" s="69">
        <f t="shared" si="22"/>
        <v>-918148.08000000007</v>
      </c>
    </row>
    <row r="666" spans="1:11" hidden="1">
      <c r="A666" s="137" t="str">
        <f>D666&amp;E666&amp;F666</f>
        <v>CAPCOMBUSTIBLECAPRICHOS</v>
      </c>
      <c r="B666" t="s">
        <v>2821</v>
      </c>
      <c r="C666" s="1">
        <v>46006</v>
      </c>
      <c r="D666" t="s">
        <v>31</v>
      </c>
      <c r="E666" t="s">
        <v>32</v>
      </c>
      <c r="F666" s="3" t="s">
        <v>33</v>
      </c>
      <c r="G666" s="158"/>
      <c r="H666" t="s">
        <v>4770</v>
      </c>
      <c r="J666" s="81">
        <v>2000</v>
      </c>
      <c r="K666" s="69">
        <f t="shared" si="22"/>
        <v>-920148.08000000007</v>
      </c>
    </row>
    <row r="667" spans="1:11" hidden="1">
      <c r="A667" s="137" t="str">
        <f>D667&amp;E667&amp;F667</f>
        <v>SERVICIOSCOMBUSTIBLESERVICIOS</v>
      </c>
      <c r="B667" t="s">
        <v>2821</v>
      </c>
      <c r="C667" s="1">
        <v>46006</v>
      </c>
      <c r="D667" t="s">
        <v>21</v>
      </c>
      <c r="E667" t="s">
        <v>32</v>
      </c>
      <c r="F667" s="3" t="s">
        <v>21</v>
      </c>
      <c r="G667" s="158"/>
      <c r="H667" t="s">
        <v>4771</v>
      </c>
      <c r="J667" s="81">
        <v>900</v>
      </c>
      <c r="K667" s="69">
        <f t="shared" si="22"/>
        <v>-921048.08000000007</v>
      </c>
    </row>
    <row r="668" spans="1:11" hidden="1">
      <c r="A668" s="137" t="str">
        <f>D668&amp;E668&amp;F668</f>
        <v>SERVICIOSCOMBUSTIBLECEDIS</v>
      </c>
      <c r="B668" t="s">
        <v>2821</v>
      </c>
      <c r="C668" s="1">
        <v>46006</v>
      </c>
      <c r="D668" t="s">
        <v>21</v>
      </c>
      <c r="E668" t="s">
        <v>32</v>
      </c>
      <c r="F668" s="3" t="s">
        <v>28</v>
      </c>
      <c r="G668" s="158"/>
      <c r="H668" t="s">
        <v>28</v>
      </c>
      <c r="J668" s="81">
        <v>33000</v>
      </c>
      <c r="K668" s="69">
        <f t="shared" si="22"/>
        <v>-954048.08000000007</v>
      </c>
    </row>
    <row r="669" spans="1:11" hidden="1">
      <c r="A669" s="137" t="str">
        <f>D669&amp;E669&amp;F669</f>
        <v>SERVICIOSCOMBUSTIBLEMANTENIMIENTO</v>
      </c>
      <c r="B669" t="s">
        <v>2821</v>
      </c>
      <c r="C669" s="1">
        <v>46006</v>
      </c>
      <c r="D669" t="s">
        <v>21</v>
      </c>
      <c r="E669" t="s">
        <v>32</v>
      </c>
      <c r="F669" s="3" t="s">
        <v>35</v>
      </c>
      <c r="G669" s="158"/>
      <c r="H669" t="s">
        <v>4791</v>
      </c>
      <c r="J669" s="81">
        <v>4000</v>
      </c>
      <c r="K669" s="69">
        <f t="shared" si="22"/>
        <v>-958048.08000000007</v>
      </c>
    </row>
    <row r="670" spans="1:11" hidden="1">
      <c r="A670" s="137" t="str">
        <f>D670&amp;E670&amp;F670</f>
        <v>FINANZASCOMBUSTIBLETESORERIA</v>
      </c>
      <c r="B670" t="s">
        <v>2821</v>
      </c>
      <c r="C670" s="1">
        <v>46006</v>
      </c>
      <c r="D670" t="s">
        <v>23</v>
      </c>
      <c r="E670" t="s">
        <v>32</v>
      </c>
      <c r="F670" s="3" t="s">
        <v>38</v>
      </c>
      <c r="G670" s="158"/>
      <c r="H670" t="s">
        <v>4772</v>
      </c>
      <c r="J670" s="81">
        <v>700</v>
      </c>
      <c r="K670" s="69">
        <f t="shared" si="22"/>
        <v>-958748.08000000007</v>
      </c>
    </row>
    <row r="671" spans="1:11" hidden="1">
      <c r="A671" s="137" t="str">
        <f>D671&amp;E671&amp;F671</f>
        <v>FINANZASCOMBUSTIBLETESORERIA</v>
      </c>
      <c r="B671" t="s">
        <v>2821</v>
      </c>
      <c r="C671" s="1">
        <v>46006</v>
      </c>
      <c r="D671" t="s">
        <v>23</v>
      </c>
      <c r="E671" t="s">
        <v>32</v>
      </c>
      <c r="F671" s="3" t="s">
        <v>38</v>
      </c>
      <c r="G671" s="158"/>
      <c r="H671" t="s">
        <v>4773</v>
      </c>
      <c r="J671" s="81">
        <v>1500</v>
      </c>
      <c r="K671" s="69">
        <f t="shared" si="22"/>
        <v>-960248.08000000007</v>
      </c>
    </row>
    <row r="672" spans="1:11" hidden="1">
      <c r="A672" s="137" t="str">
        <f>D672&amp;E672&amp;F672</f>
        <v>FINANZASCOMBUSTIBLEFINANZAS</v>
      </c>
      <c r="B672" t="s">
        <v>2821</v>
      </c>
      <c r="C672" s="1">
        <v>46006</v>
      </c>
      <c r="D672" t="s">
        <v>23</v>
      </c>
      <c r="E672" t="s">
        <v>32</v>
      </c>
      <c r="F672" s="3" t="s">
        <v>23</v>
      </c>
      <c r="G672" s="158"/>
      <c r="H672" t="s">
        <v>4793</v>
      </c>
      <c r="J672" s="81">
        <v>700</v>
      </c>
      <c r="K672" s="69">
        <f t="shared" si="22"/>
        <v>-960948.08000000007</v>
      </c>
    </row>
    <row r="673" spans="1:11" hidden="1">
      <c r="A673" s="137" t="str">
        <f>D673&amp;E673&amp;F673</f>
        <v>DECOMBUSTIBLEDIRECCION</v>
      </c>
      <c r="B673" t="s">
        <v>2821</v>
      </c>
      <c r="C673" s="1">
        <v>46006</v>
      </c>
      <c r="D673" t="s">
        <v>41</v>
      </c>
      <c r="E673" t="s">
        <v>32</v>
      </c>
      <c r="F673" s="3" t="s">
        <v>42</v>
      </c>
      <c r="G673" s="158"/>
      <c r="H673" t="s">
        <v>4774</v>
      </c>
      <c r="J673" s="81">
        <v>1500</v>
      </c>
      <c r="K673" s="69">
        <f t="shared" si="22"/>
        <v>-962448.08000000007</v>
      </c>
    </row>
    <row r="674" spans="1:11" hidden="1">
      <c r="A674" s="137" t="str">
        <f>D674&amp;E674&amp;F674</f>
        <v>MMCOMBUSTIBLEMARKET MAX</v>
      </c>
      <c r="B674" t="s">
        <v>2821</v>
      </c>
      <c r="C674" s="1">
        <v>46006</v>
      </c>
      <c r="D674" t="s">
        <v>45</v>
      </c>
      <c r="E674" t="s">
        <v>32</v>
      </c>
      <c r="F674" s="3" t="s">
        <v>46</v>
      </c>
      <c r="G674" s="158"/>
      <c r="H674" t="s">
        <v>4803</v>
      </c>
      <c r="J674" s="81">
        <v>700</v>
      </c>
      <c r="K674" s="69">
        <f t="shared" si="22"/>
        <v>-963148.08000000007</v>
      </c>
    </row>
    <row r="675" spans="1:11" ht="15" hidden="1">
      <c r="A675" s="137" t="str">
        <f>D675&amp;E675&amp;F675</f>
        <v>MELCOMBUSTIBLEMELISSA</v>
      </c>
      <c r="B675" t="s">
        <v>2821</v>
      </c>
      <c r="C675" s="1">
        <v>46006</v>
      </c>
      <c r="D675" t="s">
        <v>43</v>
      </c>
      <c r="E675" s="12" t="s">
        <v>32</v>
      </c>
      <c r="F675" s="12" t="s">
        <v>44</v>
      </c>
      <c r="G675" s="3"/>
      <c r="H675" t="s">
        <v>4760</v>
      </c>
      <c r="J675" s="81">
        <v>1400</v>
      </c>
      <c r="K675" s="69">
        <f t="shared" si="22"/>
        <v>-964548.08000000007</v>
      </c>
    </row>
    <row r="676" spans="1:11" hidden="1">
      <c r="A676" s="137" t="str">
        <f>D676&amp;E676&amp;F676</f>
        <v>SERVICIOSCOMBUSTIBLEINVENTARIOS</v>
      </c>
      <c r="B676" t="s">
        <v>2821</v>
      </c>
      <c r="C676" s="1">
        <v>46006</v>
      </c>
      <c r="D676" t="s">
        <v>21</v>
      </c>
      <c r="E676" t="s">
        <v>32</v>
      </c>
      <c r="F676" s="3" t="s">
        <v>34</v>
      </c>
      <c r="G676" s="3"/>
      <c r="H676" t="s">
        <v>4783</v>
      </c>
      <c r="J676" s="81">
        <v>1250</v>
      </c>
      <c r="K676" s="69">
        <f t="shared" si="22"/>
        <v>-965798.08000000007</v>
      </c>
    </row>
    <row r="677" spans="1:11" hidden="1">
      <c r="A677" s="137" t="str">
        <f>D677&amp;E677&amp;F677</f>
        <v>HRCOMBUSTIBLEHR</v>
      </c>
      <c r="B677" t="s">
        <v>2821</v>
      </c>
      <c r="C677" s="1">
        <v>46006</v>
      </c>
      <c r="D677" t="s">
        <v>29</v>
      </c>
      <c r="E677" t="s">
        <v>32</v>
      </c>
      <c r="F677" s="3" t="s">
        <v>29</v>
      </c>
      <c r="G677" s="158"/>
      <c r="H677" t="s">
        <v>4804</v>
      </c>
      <c r="J677" s="81">
        <v>600</v>
      </c>
      <c r="K677" s="69">
        <f t="shared" si="22"/>
        <v>-966398.08000000007</v>
      </c>
    </row>
    <row r="678" spans="1:11" hidden="1">
      <c r="A678" s="137" t="str">
        <f>D678&amp;E678&amp;F678</f>
        <v>HRCOMBUSTIBLEHR</v>
      </c>
      <c r="B678" t="s">
        <v>2821</v>
      </c>
      <c r="C678" s="1">
        <v>46013</v>
      </c>
      <c r="D678" t="s">
        <v>29</v>
      </c>
      <c r="E678" t="s">
        <v>32</v>
      </c>
      <c r="F678" s="3" t="s">
        <v>29</v>
      </c>
      <c r="G678" s="158"/>
      <c r="H678" t="s">
        <v>4769</v>
      </c>
      <c r="J678" s="81">
        <v>1000</v>
      </c>
      <c r="K678" s="69">
        <f t="shared" si="22"/>
        <v>-967398.08000000007</v>
      </c>
    </row>
    <row r="679" spans="1:11" hidden="1">
      <c r="A679" s="137" t="str">
        <f>D679&amp;E679&amp;F679</f>
        <v>HRCOMBUSTIBLEHR</v>
      </c>
      <c r="B679" t="s">
        <v>2821</v>
      </c>
      <c r="C679" s="1">
        <v>46013</v>
      </c>
      <c r="D679" t="s">
        <v>29</v>
      </c>
      <c r="E679" t="s">
        <v>32</v>
      </c>
      <c r="F679" s="3" t="s">
        <v>29</v>
      </c>
      <c r="G679" s="158"/>
      <c r="H679" t="s">
        <v>4790</v>
      </c>
      <c r="J679" s="81">
        <v>800</v>
      </c>
      <c r="K679" s="69">
        <f t="shared" si="22"/>
        <v>-968198.08000000007</v>
      </c>
    </row>
    <row r="680" spans="1:11" hidden="1">
      <c r="A680" s="137" t="str">
        <f>D680&amp;E680&amp;F680</f>
        <v>CAPCOMBUSTIBLECAPRICHOS</v>
      </c>
      <c r="B680" t="s">
        <v>2821</v>
      </c>
      <c r="C680" s="1">
        <v>46013</v>
      </c>
      <c r="D680" t="s">
        <v>31</v>
      </c>
      <c r="E680" t="s">
        <v>32</v>
      </c>
      <c r="F680" s="3" t="s">
        <v>33</v>
      </c>
      <c r="G680" s="158"/>
      <c r="H680" t="s">
        <v>4770</v>
      </c>
      <c r="J680" s="81">
        <v>2000</v>
      </c>
      <c r="K680" s="69">
        <f t="shared" si="22"/>
        <v>-970198.08000000007</v>
      </c>
    </row>
    <row r="681" spans="1:11" hidden="1">
      <c r="A681" s="137" t="str">
        <f>D681&amp;E681&amp;F681</f>
        <v>CAPCOMBUSTIBLECAPRICHOS</v>
      </c>
      <c r="B681" t="s">
        <v>2821</v>
      </c>
      <c r="C681" s="1">
        <v>46013</v>
      </c>
      <c r="D681" t="s">
        <v>31</v>
      </c>
      <c r="E681" t="s">
        <v>32</v>
      </c>
      <c r="F681" s="3" t="s">
        <v>33</v>
      </c>
      <c r="G681" s="158"/>
      <c r="H681" t="s">
        <v>4802</v>
      </c>
      <c r="J681" s="81">
        <v>1000</v>
      </c>
      <c r="K681" s="69">
        <f t="shared" si="22"/>
        <v>-971198.08000000007</v>
      </c>
    </row>
    <row r="682" spans="1:11" hidden="1">
      <c r="A682" s="137" t="str">
        <f>D682&amp;E682&amp;F682</f>
        <v>CAPCOMBUSTIBLECAPRICHOS</v>
      </c>
      <c r="B682" s="229" t="s">
        <v>2821</v>
      </c>
      <c r="C682" s="244">
        <v>46013</v>
      </c>
      <c r="D682" t="s">
        <v>31</v>
      </c>
      <c r="E682" t="s">
        <v>32</v>
      </c>
      <c r="F682" s="3" t="s">
        <v>33</v>
      </c>
      <c r="G682" s="158"/>
      <c r="H682" t="s">
        <v>4767</v>
      </c>
      <c r="J682" s="81">
        <v>1500</v>
      </c>
      <c r="K682" s="69">
        <f t="shared" si="22"/>
        <v>-972698.08000000007</v>
      </c>
    </row>
    <row r="683" spans="1:11" hidden="1">
      <c r="A683" s="137" t="str">
        <f t="shared" ref="A644:A706" si="23">D683&amp;E683&amp;F683</f>
        <v>SERVICIOSCOMBUSTIBLESERVICIOS</v>
      </c>
      <c r="B683" t="s">
        <v>2821</v>
      </c>
      <c r="C683" s="1">
        <v>46013</v>
      </c>
      <c r="D683" t="s">
        <v>21</v>
      </c>
      <c r="E683" t="s">
        <v>32</v>
      </c>
      <c r="F683" s="3" t="s">
        <v>21</v>
      </c>
      <c r="G683" s="158"/>
      <c r="H683" t="s">
        <v>4771</v>
      </c>
      <c r="J683" s="81">
        <v>500</v>
      </c>
      <c r="K683" s="69">
        <f t="shared" si="22"/>
        <v>-973198.08000000007</v>
      </c>
    </row>
    <row r="684" spans="1:11" hidden="1">
      <c r="A684" s="137" t="str">
        <f t="shared" si="23"/>
        <v>SERVICIOSCOMBUSTIBLECEDIS</v>
      </c>
      <c r="B684" t="s">
        <v>2821</v>
      </c>
      <c r="C684" s="1">
        <v>46013</v>
      </c>
      <c r="D684" t="s">
        <v>21</v>
      </c>
      <c r="E684" t="s">
        <v>32</v>
      </c>
      <c r="F684" s="3" t="s">
        <v>28</v>
      </c>
      <c r="G684" s="158"/>
      <c r="H684" t="s">
        <v>28</v>
      </c>
      <c r="J684" s="81">
        <v>18500</v>
      </c>
      <c r="K684" s="69">
        <f t="shared" si="22"/>
        <v>-991698.08000000007</v>
      </c>
    </row>
    <row r="685" spans="1:11" hidden="1">
      <c r="A685" s="137" t="str">
        <f t="shared" si="23"/>
        <v>FINANZASCOMBUSTIBLECONTABILIDAD</v>
      </c>
      <c r="B685" t="s">
        <v>2821</v>
      </c>
      <c r="C685" s="1">
        <v>46013</v>
      </c>
      <c r="D685" t="s">
        <v>23</v>
      </c>
      <c r="E685" t="s">
        <v>32</v>
      </c>
      <c r="F685" s="3" t="s">
        <v>37</v>
      </c>
      <c r="G685" s="158"/>
      <c r="H685" t="s">
        <v>4792</v>
      </c>
      <c r="J685" s="81">
        <v>500</v>
      </c>
      <c r="K685" s="69">
        <f t="shared" si="22"/>
        <v>-992198.08000000007</v>
      </c>
    </row>
    <row r="686" spans="1:11" hidden="1">
      <c r="A686" s="137" t="str">
        <f t="shared" si="23"/>
        <v>FINANZASCOMBUSTIBLETESORERIA</v>
      </c>
      <c r="B686" t="s">
        <v>2821</v>
      </c>
      <c r="C686" s="1">
        <v>46013</v>
      </c>
      <c r="D686" t="s">
        <v>23</v>
      </c>
      <c r="E686" t="s">
        <v>32</v>
      </c>
      <c r="F686" s="3" t="s">
        <v>38</v>
      </c>
      <c r="G686" s="158"/>
      <c r="H686" t="s">
        <v>4772</v>
      </c>
      <c r="J686" s="81">
        <v>1400</v>
      </c>
      <c r="K686" s="69">
        <f t="shared" si="22"/>
        <v>-993598.08000000007</v>
      </c>
    </row>
    <row r="687" spans="1:11" hidden="1">
      <c r="A687" s="137" t="str">
        <f t="shared" si="23"/>
        <v>FINANZASCOMBUSTIBLEFINANZAS</v>
      </c>
      <c r="B687" t="s">
        <v>2821</v>
      </c>
      <c r="C687" s="1">
        <v>46013</v>
      </c>
      <c r="D687" t="s">
        <v>23</v>
      </c>
      <c r="E687" t="s">
        <v>32</v>
      </c>
      <c r="F687" s="3" t="s">
        <v>23</v>
      </c>
      <c r="G687" s="158"/>
      <c r="H687" t="s">
        <v>4793</v>
      </c>
      <c r="J687" s="81">
        <v>700</v>
      </c>
      <c r="K687" s="69">
        <f t="shared" si="22"/>
        <v>-994298.08000000007</v>
      </c>
    </row>
    <row r="688" spans="1:11" hidden="1">
      <c r="A688" s="137" t="str">
        <f t="shared" si="23"/>
        <v>DECOMBUSTIBLEDIRECCION</v>
      </c>
      <c r="B688" t="s">
        <v>2821</v>
      </c>
      <c r="C688" s="1">
        <v>46013</v>
      </c>
      <c r="D688" t="s">
        <v>41</v>
      </c>
      <c r="E688" t="s">
        <v>32</v>
      </c>
      <c r="F688" s="3" t="s">
        <v>42</v>
      </c>
      <c r="G688" s="158"/>
      <c r="H688" t="s">
        <v>4774</v>
      </c>
      <c r="J688" s="81">
        <v>1500</v>
      </c>
      <c r="K688" s="69">
        <f t="shared" si="22"/>
        <v>-995798.08000000007</v>
      </c>
    </row>
    <row r="689" spans="1:11" hidden="1">
      <c r="A689" s="137" t="str">
        <f t="shared" si="23"/>
        <v>SGECOMBUSTIBLEGESTION EMPRESARIAL</v>
      </c>
      <c r="B689" t="s">
        <v>2821</v>
      </c>
      <c r="C689" s="1">
        <v>46013</v>
      </c>
      <c r="D689" t="s">
        <v>39</v>
      </c>
      <c r="E689" t="s">
        <v>32</v>
      </c>
      <c r="F689" s="3" t="s">
        <v>40</v>
      </c>
      <c r="G689" s="158"/>
      <c r="H689" t="s">
        <v>40</v>
      </c>
      <c r="J689" s="81">
        <v>800</v>
      </c>
      <c r="K689" s="69">
        <f t="shared" si="22"/>
        <v>-996598.08000000007</v>
      </c>
    </row>
    <row r="690" spans="1:11" hidden="1">
      <c r="A690" s="137" t="str">
        <f t="shared" si="23"/>
        <v>MMCOMBUSTIBLEMARKET MAX</v>
      </c>
      <c r="B690" t="s">
        <v>2821</v>
      </c>
      <c r="C690" s="1">
        <v>46013</v>
      </c>
      <c r="D690" t="s">
        <v>45</v>
      </c>
      <c r="E690" t="s">
        <v>32</v>
      </c>
      <c r="F690" s="3" t="s">
        <v>46</v>
      </c>
      <c r="G690" s="158"/>
      <c r="H690" t="s">
        <v>4803</v>
      </c>
      <c r="J690" s="81">
        <v>700</v>
      </c>
      <c r="K690" s="69">
        <f t="shared" si="22"/>
        <v>-997298.08000000007</v>
      </c>
    </row>
    <row r="691" spans="1:11" hidden="1">
      <c r="A691" s="137" t="str">
        <f t="shared" si="23"/>
        <v>MELCOMBUSTIBLEMELISSA</v>
      </c>
      <c r="B691" t="s">
        <v>2821</v>
      </c>
      <c r="C691" s="1">
        <v>46013</v>
      </c>
      <c r="D691" t="s">
        <v>43</v>
      </c>
      <c r="E691" s="12" t="s">
        <v>32</v>
      </c>
      <c r="F691" s="12" t="s">
        <v>44</v>
      </c>
      <c r="G691" s="3"/>
      <c r="H691" t="s">
        <v>4760</v>
      </c>
      <c r="J691" s="81">
        <v>1400</v>
      </c>
      <c r="K691" s="69">
        <f t="shared" si="22"/>
        <v>-998698.08000000007</v>
      </c>
    </row>
    <row r="692" spans="1:11" hidden="1">
      <c r="A692" s="137" t="str">
        <f t="shared" si="23"/>
        <v>HRCOMBUSTIBLEHR</v>
      </c>
      <c r="B692" t="s">
        <v>2821</v>
      </c>
      <c r="C692" s="1">
        <v>46013</v>
      </c>
      <c r="D692" t="s">
        <v>29</v>
      </c>
      <c r="E692" t="s">
        <v>32</v>
      </c>
      <c r="F692" s="3" t="s">
        <v>29</v>
      </c>
      <c r="G692" s="158"/>
      <c r="H692" t="s">
        <v>4804</v>
      </c>
      <c r="J692" s="81">
        <v>500</v>
      </c>
      <c r="K692" s="69">
        <f t="shared" si="22"/>
        <v>-999198.08000000007</v>
      </c>
    </row>
    <row r="693" spans="1:11" hidden="1">
      <c r="A693" s="137" t="str">
        <f t="shared" si="23"/>
        <v>HRCOMBUSTIBLEHR</v>
      </c>
      <c r="B693" t="s">
        <v>2821</v>
      </c>
      <c r="C693" s="1">
        <v>46020</v>
      </c>
      <c r="D693" t="s">
        <v>29</v>
      </c>
      <c r="E693" t="s">
        <v>32</v>
      </c>
      <c r="F693" s="3" t="s">
        <v>29</v>
      </c>
      <c r="G693" s="158"/>
      <c r="H693" t="s">
        <v>4769</v>
      </c>
      <c r="J693" s="81">
        <v>1200</v>
      </c>
      <c r="K693" s="69">
        <f t="shared" si="22"/>
        <v>-1000398.0800000001</v>
      </c>
    </row>
    <row r="694" spans="1:11" hidden="1">
      <c r="A694" s="137" t="str">
        <f t="shared" si="23"/>
        <v>HRCOMBUSTIBLEHR</v>
      </c>
      <c r="B694" t="s">
        <v>2821</v>
      </c>
      <c r="C694" s="1">
        <v>46020</v>
      </c>
      <c r="D694" t="s">
        <v>29</v>
      </c>
      <c r="E694" t="s">
        <v>32</v>
      </c>
      <c r="F694" s="3" t="s">
        <v>29</v>
      </c>
      <c r="G694" s="158"/>
      <c r="H694" t="s">
        <v>4790</v>
      </c>
      <c r="J694" s="81">
        <v>600</v>
      </c>
      <c r="K694" s="69">
        <f t="shared" si="22"/>
        <v>-1000998.0800000001</v>
      </c>
    </row>
    <row r="695" spans="1:11" hidden="1">
      <c r="A695" s="137" t="str">
        <f t="shared" si="23"/>
        <v>CAPCOMBUSTIBLECAPRICHOS</v>
      </c>
      <c r="B695" t="s">
        <v>2821</v>
      </c>
      <c r="C695" s="1">
        <v>46020</v>
      </c>
      <c r="D695" t="s">
        <v>31</v>
      </c>
      <c r="E695" t="s">
        <v>32</v>
      </c>
      <c r="F695" s="3" t="s">
        <v>33</v>
      </c>
      <c r="G695" s="158"/>
      <c r="H695" t="s">
        <v>4770</v>
      </c>
      <c r="J695" s="81">
        <v>2600</v>
      </c>
      <c r="K695" s="69">
        <f t="shared" si="22"/>
        <v>-1003598.0800000001</v>
      </c>
    </row>
    <row r="696" spans="1:11" hidden="1">
      <c r="A696" s="137" t="str">
        <f t="shared" si="23"/>
        <v>CAPCOMBUSTIBLECAPRICHOS</v>
      </c>
      <c r="B696" t="s">
        <v>2821</v>
      </c>
      <c r="C696" s="1">
        <v>46020</v>
      </c>
      <c r="D696" t="s">
        <v>31</v>
      </c>
      <c r="E696" t="s">
        <v>32</v>
      </c>
      <c r="F696" s="3" t="s">
        <v>33</v>
      </c>
      <c r="G696" s="158"/>
      <c r="H696" t="s">
        <v>4802</v>
      </c>
      <c r="J696" s="81">
        <v>1000</v>
      </c>
      <c r="K696" s="69">
        <f t="shared" si="22"/>
        <v>-1004598.0800000001</v>
      </c>
    </row>
    <row r="697" spans="1:11" hidden="1">
      <c r="A697" s="137" t="str">
        <f t="shared" si="23"/>
        <v>SERVICIOSCOMBUSTIBLESERVICIOS</v>
      </c>
      <c r="B697" t="s">
        <v>2821</v>
      </c>
      <c r="C697" s="1">
        <v>46020</v>
      </c>
      <c r="D697" t="s">
        <v>21</v>
      </c>
      <c r="E697" t="s">
        <v>32</v>
      </c>
      <c r="F697" s="3" t="s">
        <v>21</v>
      </c>
      <c r="G697" s="158"/>
      <c r="H697" t="s">
        <v>4771</v>
      </c>
      <c r="J697" s="81">
        <v>400</v>
      </c>
      <c r="K697" s="69">
        <f t="shared" si="22"/>
        <v>-1004998.0800000001</v>
      </c>
    </row>
    <row r="698" spans="1:11" hidden="1">
      <c r="A698" s="137" t="str">
        <f t="shared" si="23"/>
        <v>SERVICIOSCOMBUSTIBLECEDIS</v>
      </c>
      <c r="B698" t="s">
        <v>2821</v>
      </c>
      <c r="C698" s="1">
        <v>46020</v>
      </c>
      <c r="D698" t="s">
        <v>21</v>
      </c>
      <c r="E698" t="s">
        <v>32</v>
      </c>
      <c r="F698" s="3" t="s">
        <v>28</v>
      </c>
      <c r="G698" s="158"/>
      <c r="H698" t="s">
        <v>28</v>
      </c>
      <c r="J698" s="81">
        <v>20500</v>
      </c>
      <c r="K698" s="69">
        <f t="shared" si="22"/>
        <v>-1025498.0800000001</v>
      </c>
    </row>
    <row r="699" spans="1:11" hidden="1">
      <c r="A699" s="137" t="str">
        <f t="shared" si="23"/>
        <v>FINANZASCOMBUSTIBLECONTABILIDAD</v>
      </c>
      <c r="B699" t="s">
        <v>2821</v>
      </c>
      <c r="C699" s="1">
        <v>46020</v>
      </c>
      <c r="D699" t="s">
        <v>23</v>
      </c>
      <c r="E699" t="s">
        <v>32</v>
      </c>
      <c r="F699" s="3" t="s">
        <v>37</v>
      </c>
      <c r="G699" s="158"/>
      <c r="H699" t="s">
        <v>4792</v>
      </c>
      <c r="J699" s="81">
        <v>500</v>
      </c>
      <c r="K699" s="69">
        <f t="shared" si="22"/>
        <v>-1025998.0800000001</v>
      </c>
    </row>
    <row r="700" spans="1:11" hidden="1">
      <c r="A700" s="137" t="str">
        <f t="shared" si="23"/>
        <v>FINANZASCOMBUSTIBLETESORERIA</v>
      </c>
      <c r="B700" t="s">
        <v>2821</v>
      </c>
      <c r="C700" s="1">
        <v>46020</v>
      </c>
      <c r="D700" t="s">
        <v>23</v>
      </c>
      <c r="E700" t="s">
        <v>32</v>
      </c>
      <c r="F700" s="3" t="s">
        <v>38</v>
      </c>
      <c r="G700" s="158"/>
      <c r="H700" t="s">
        <v>4772</v>
      </c>
      <c r="J700" s="81">
        <v>700</v>
      </c>
      <c r="K700" s="69">
        <f t="shared" si="22"/>
        <v>-1026698.0800000001</v>
      </c>
    </row>
    <row r="701" spans="1:11" hidden="1">
      <c r="A701" s="137" t="str">
        <f t="shared" si="23"/>
        <v>MMCOMBUSTIBLEMARKET MAX</v>
      </c>
      <c r="B701" t="s">
        <v>2821</v>
      </c>
      <c r="C701" s="1">
        <v>46020</v>
      </c>
      <c r="D701" t="s">
        <v>45</v>
      </c>
      <c r="E701" t="s">
        <v>32</v>
      </c>
      <c r="F701" s="3" t="s">
        <v>46</v>
      </c>
      <c r="G701" s="158"/>
      <c r="H701" t="s">
        <v>4803</v>
      </c>
      <c r="J701" s="81">
        <v>700</v>
      </c>
      <c r="K701" s="69">
        <f t="shared" si="22"/>
        <v>-1027398.0800000001</v>
      </c>
    </row>
    <row r="702" spans="1:11" hidden="1">
      <c r="A702" s="137" t="str">
        <f t="shared" si="23"/>
        <v>HRCOMBUSTIBLEHR</v>
      </c>
      <c r="B702" t="s">
        <v>2821</v>
      </c>
      <c r="C702" s="1">
        <v>46020</v>
      </c>
      <c r="D702" t="s">
        <v>29</v>
      </c>
      <c r="E702" t="s">
        <v>32</v>
      </c>
      <c r="F702" s="3" t="s">
        <v>29</v>
      </c>
      <c r="G702" s="158"/>
      <c r="H702" t="s">
        <v>4804</v>
      </c>
      <c r="J702" s="81">
        <v>1300</v>
      </c>
      <c r="K702" s="69">
        <f t="shared" si="22"/>
        <v>-1028698.0800000001</v>
      </c>
    </row>
    <row r="703" spans="1:11" hidden="1">
      <c r="A703" s="137" t="str">
        <f>D703&amp;E703&amp;F703</f>
        <v>CAPCOMBUSTIBLECAPRICHOS</v>
      </c>
      <c r="B703" t="s">
        <v>3214</v>
      </c>
      <c r="C703" s="1">
        <v>46027</v>
      </c>
      <c r="D703" t="s">
        <v>31</v>
      </c>
      <c r="E703" t="s">
        <v>32</v>
      </c>
      <c r="F703" s="3" t="s">
        <v>33</v>
      </c>
      <c r="G703" s="158"/>
      <c r="H703" t="s">
        <v>4802</v>
      </c>
      <c r="J703" s="81">
        <v>1000</v>
      </c>
      <c r="K703" s="69">
        <f t="shared" si="22"/>
        <v>-1029698.0800000001</v>
      </c>
    </row>
    <row r="704" spans="1:11" hidden="1">
      <c r="A704" s="137" t="str">
        <f>D704&amp;E704&amp;F704</f>
        <v>CAPCOMBUSTIBLECAPRICHOS</v>
      </c>
      <c r="B704" t="s">
        <v>3214</v>
      </c>
      <c r="C704" s="1">
        <v>46027</v>
      </c>
      <c r="D704" t="s">
        <v>31</v>
      </c>
      <c r="E704" t="s">
        <v>32</v>
      </c>
      <c r="F704" s="3" t="s">
        <v>33</v>
      </c>
      <c r="G704" s="158"/>
      <c r="H704" t="s">
        <v>4767</v>
      </c>
      <c r="J704" s="81">
        <v>300</v>
      </c>
      <c r="K704" s="69">
        <f t="shared" si="22"/>
        <v>-1029998.0800000001</v>
      </c>
    </row>
    <row r="705" spans="1:11" hidden="1">
      <c r="A705" s="137" t="str">
        <f>D705&amp;E705&amp;F705</f>
        <v>SERVICIOSCOMBUSTIBLESERVICIOS</v>
      </c>
      <c r="B705" t="s">
        <v>3214</v>
      </c>
      <c r="C705" s="1">
        <v>46027</v>
      </c>
      <c r="D705" t="s">
        <v>21</v>
      </c>
      <c r="E705" t="s">
        <v>32</v>
      </c>
      <c r="F705" s="3" t="s">
        <v>21</v>
      </c>
      <c r="G705" s="158"/>
      <c r="H705" t="s">
        <v>4771</v>
      </c>
      <c r="J705" s="81">
        <v>1400</v>
      </c>
      <c r="K705" s="69">
        <f t="shared" si="22"/>
        <v>-1031398.0800000001</v>
      </c>
    </row>
    <row r="706" spans="1:11" hidden="1">
      <c r="A706" s="137" t="str">
        <f>D706&amp;E706&amp;F706</f>
        <v>SERVICIOSCOMBUSTIBLECEDIS</v>
      </c>
      <c r="B706" t="s">
        <v>3214</v>
      </c>
      <c r="C706" s="1">
        <v>46027</v>
      </c>
      <c r="D706" t="s">
        <v>21</v>
      </c>
      <c r="E706" t="s">
        <v>32</v>
      </c>
      <c r="F706" s="3" t="s">
        <v>28</v>
      </c>
      <c r="G706" s="158"/>
      <c r="H706" t="s">
        <v>28</v>
      </c>
      <c r="J706" s="81">
        <v>24500</v>
      </c>
      <c r="K706" s="69">
        <f t="shared" si="22"/>
        <v>-1055898.08</v>
      </c>
    </row>
    <row r="707" spans="1:11" hidden="1">
      <c r="A707" s="137" t="str">
        <f>D707&amp;E707&amp;F707</f>
        <v>SERVICIOSCOMBUSTIBLEMANTENIMIENTO</v>
      </c>
      <c r="B707" t="s">
        <v>3214</v>
      </c>
      <c r="C707" s="1">
        <v>46027</v>
      </c>
      <c r="D707" t="s">
        <v>21</v>
      </c>
      <c r="E707" t="s">
        <v>32</v>
      </c>
      <c r="F707" s="3" t="s">
        <v>35</v>
      </c>
      <c r="G707" s="158"/>
      <c r="H707" t="s">
        <v>4762</v>
      </c>
      <c r="J707" s="81">
        <v>4450</v>
      </c>
      <c r="K707" s="69">
        <f t="shared" si="22"/>
        <v>-1060348.08</v>
      </c>
    </row>
    <row r="708" spans="1:11" hidden="1">
      <c r="A708" s="137" t="str">
        <f>D708&amp;E708&amp;F708</f>
        <v>FINANZASCOMBUSTIBLETESORERIA</v>
      </c>
      <c r="B708" t="s">
        <v>3214</v>
      </c>
      <c r="C708" s="1">
        <v>46027</v>
      </c>
      <c r="D708" t="s">
        <v>23</v>
      </c>
      <c r="E708" t="s">
        <v>32</v>
      </c>
      <c r="F708" s="3" t="s">
        <v>38</v>
      </c>
      <c r="G708" s="158"/>
      <c r="H708" t="s">
        <v>4772</v>
      </c>
      <c r="J708" s="81">
        <v>700</v>
      </c>
      <c r="K708" s="69">
        <f t="shared" si="22"/>
        <v>-1061048.08</v>
      </c>
    </row>
    <row r="709" spans="1:11" hidden="1">
      <c r="A709" s="137" t="str">
        <f>D709&amp;E709&amp;F709</f>
        <v>FINANZASCOMBUSTIBLEFINANZAS</v>
      </c>
      <c r="B709" t="s">
        <v>3214</v>
      </c>
      <c r="C709" s="1">
        <v>46027</v>
      </c>
      <c r="D709" t="s">
        <v>23</v>
      </c>
      <c r="E709" t="s">
        <v>32</v>
      </c>
      <c r="F709" s="3" t="s">
        <v>23</v>
      </c>
      <c r="G709" s="158"/>
      <c r="H709" t="s">
        <v>4793</v>
      </c>
      <c r="J709" s="81">
        <v>700</v>
      </c>
      <c r="K709" s="69">
        <f t="shared" si="22"/>
        <v>-1061748.08</v>
      </c>
    </row>
    <row r="710" spans="1:11" hidden="1">
      <c r="A710" s="137" t="str">
        <f>D710&amp;E710&amp;F710</f>
        <v>DECOMBUSTIBLEDIRECCION</v>
      </c>
      <c r="B710" t="s">
        <v>3214</v>
      </c>
      <c r="C710" s="1">
        <v>46027</v>
      </c>
      <c r="D710" t="s">
        <v>41</v>
      </c>
      <c r="E710" t="s">
        <v>32</v>
      </c>
      <c r="F710" s="3" t="s">
        <v>42</v>
      </c>
      <c r="G710" s="158"/>
      <c r="H710" t="s">
        <v>4774</v>
      </c>
      <c r="J710" s="81">
        <v>1000</v>
      </c>
      <c r="K710" s="69">
        <f t="shared" si="22"/>
        <v>-1062748.08</v>
      </c>
    </row>
    <row r="711" spans="1:11" hidden="1">
      <c r="A711" s="137" t="str">
        <f>D711&amp;E711&amp;F711</f>
        <v>MMCOMBUSTIBLEMARKET MAX</v>
      </c>
      <c r="B711" t="s">
        <v>3214</v>
      </c>
      <c r="C711" s="1">
        <v>46027</v>
      </c>
      <c r="D711" t="s">
        <v>45</v>
      </c>
      <c r="E711" t="s">
        <v>32</v>
      </c>
      <c r="F711" s="3" t="s">
        <v>46</v>
      </c>
      <c r="G711" s="158"/>
      <c r="H711" t="s">
        <v>4803</v>
      </c>
      <c r="J711" s="81">
        <v>700</v>
      </c>
      <c r="K711" s="69">
        <f t="shared" si="22"/>
        <v>-1063448.08</v>
      </c>
    </row>
    <row r="712" spans="1:11" hidden="1">
      <c r="A712" s="137" t="str">
        <f>D712&amp;E712&amp;F712</f>
        <v>MELCOMBUSTIBLEMELISSA</v>
      </c>
      <c r="B712" t="s">
        <v>3214</v>
      </c>
      <c r="C712" s="1">
        <v>46027</v>
      </c>
      <c r="D712" t="s">
        <v>43</v>
      </c>
      <c r="E712" s="12" t="s">
        <v>32</v>
      </c>
      <c r="F712" s="12" t="s">
        <v>44</v>
      </c>
      <c r="G712" s="3"/>
      <c r="H712" t="s">
        <v>4760</v>
      </c>
      <c r="J712" s="81">
        <v>1200</v>
      </c>
      <c r="K712" s="69">
        <f t="shared" si="22"/>
        <v>-1064648.08</v>
      </c>
    </row>
    <row r="713" spans="1:11" hidden="1">
      <c r="A713" s="137" t="str">
        <f>D713&amp;E713&amp;F713</f>
        <v>SERVICIOSCOMBUSTIBLEINVENTARIOS</v>
      </c>
      <c r="B713" t="s">
        <v>3214</v>
      </c>
      <c r="C713" s="1">
        <v>46027</v>
      </c>
      <c r="D713" t="s">
        <v>21</v>
      </c>
      <c r="E713" t="s">
        <v>32</v>
      </c>
      <c r="F713" s="3" t="s">
        <v>34</v>
      </c>
      <c r="G713" s="3"/>
      <c r="H713" t="s">
        <v>4783</v>
      </c>
      <c r="J713" s="81">
        <v>2700</v>
      </c>
      <c r="K713" s="69">
        <f t="shared" si="22"/>
        <v>-1067348.08</v>
      </c>
    </row>
    <row r="714" spans="1:11" hidden="1">
      <c r="A714" s="137" t="str">
        <f>D714&amp;E714&amp;F714</f>
        <v>HRCOMBUSTIBLEHR</v>
      </c>
      <c r="B714" t="s">
        <v>3214</v>
      </c>
      <c r="C714" s="1">
        <v>46027</v>
      </c>
      <c r="D714" t="s">
        <v>29</v>
      </c>
      <c r="E714" t="s">
        <v>32</v>
      </c>
      <c r="F714" s="3" t="s">
        <v>29</v>
      </c>
      <c r="G714" s="158"/>
      <c r="H714" t="s">
        <v>4804</v>
      </c>
      <c r="J714" s="81">
        <v>600</v>
      </c>
      <c r="K714" s="69">
        <f t="shared" si="22"/>
        <v>-1067948.08</v>
      </c>
    </row>
    <row r="715" spans="1:11" hidden="1">
      <c r="A715" s="137" t="str">
        <f t="shared" ref="A707:A766" si="24">D715&amp;E715&amp;F715</f>
        <v>SERVICIOSCOMBUSTIBLESERVICIOS</v>
      </c>
      <c r="B715" t="s">
        <v>3214</v>
      </c>
      <c r="C715" s="1">
        <v>46035</v>
      </c>
      <c r="D715" t="s">
        <v>21</v>
      </c>
      <c r="E715" t="s">
        <v>32</v>
      </c>
      <c r="F715" s="3" t="s">
        <v>21</v>
      </c>
      <c r="G715" s="158"/>
      <c r="H715" t="s">
        <v>4771</v>
      </c>
      <c r="J715" s="81">
        <v>400</v>
      </c>
      <c r="K715" s="69">
        <f t="shared" si="22"/>
        <v>-1068348.08</v>
      </c>
    </row>
    <row r="716" spans="1:11" hidden="1">
      <c r="A716" s="137" t="str">
        <f t="shared" si="24"/>
        <v>SERVICIOSCOMBUSTIBLECEDIS</v>
      </c>
      <c r="B716" t="s">
        <v>3214</v>
      </c>
      <c r="C716" s="1">
        <v>46035</v>
      </c>
      <c r="D716" t="s">
        <v>21</v>
      </c>
      <c r="E716" t="s">
        <v>32</v>
      </c>
      <c r="F716" s="3" t="s">
        <v>28</v>
      </c>
      <c r="G716" s="158"/>
      <c r="H716" t="s">
        <v>28</v>
      </c>
      <c r="J716" s="81">
        <v>23000</v>
      </c>
      <c r="K716" s="69">
        <f t="shared" si="22"/>
        <v>-1091348.08</v>
      </c>
    </row>
    <row r="717" spans="1:11" hidden="1">
      <c r="A717" s="137" t="str">
        <f t="shared" si="24"/>
        <v>SERVICIOSCOMBUSTIBLEMANTENIMIENTO</v>
      </c>
      <c r="B717" t="s">
        <v>3214</v>
      </c>
      <c r="C717" s="1">
        <v>46035</v>
      </c>
      <c r="D717" t="s">
        <v>21</v>
      </c>
      <c r="E717" t="s">
        <v>32</v>
      </c>
      <c r="F717" s="3" t="s">
        <v>35</v>
      </c>
      <c r="G717" s="158"/>
      <c r="H717" t="s">
        <v>4762</v>
      </c>
      <c r="J717" s="81">
        <v>1500</v>
      </c>
      <c r="K717" s="69">
        <f t="shared" si="22"/>
        <v>-1092848.08</v>
      </c>
    </row>
    <row r="718" spans="1:11" hidden="1">
      <c r="A718" s="137" t="str">
        <f t="shared" si="24"/>
        <v>FINANZASCOMBUSTIBLECONTABILIDAD</v>
      </c>
      <c r="B718" t="s">
        <v>3214</v>
      </c>
      <c r="C718" s="1">
        <v>46035</v>
      </c>
      <c r="D718" t="s">
        <v>23</v>
      </c>
      <c r="E718" t="s">
        <v>32</v>
      </c>
      <c r="F718" s="3" t="s">
        <v>37</v>
      </c>
      <c r="G718" s="158"/>
      <c r="H718" t="s">
        <v>4792</v>
      </c>
      <c r="J718" s="81">
        <v>1000</v>
      </c>
      <c r="K718" s="69">
        <f t="shared" si="22"/>
        <v>-1093848.08</v>
      </c>
    </row>
    <row r="719" spans="1:11" hidden="1">
      <c r="A719" s="137" t="str">
        <f t="shared" si="24"/>
        <v>DECOMBUSTIBLEDIRECCION</v>
      </c>
      <c r="B719" t="s">
        <v>3214</v>
      </c>
      <c r="C719" s="1">
        <v>46035</v>
      </c>
      <c r="D719" t="s">
        <v>41</v>
      </c>
      <c r="E719" t="s">
        <v>32</v>
      </c>
      <c r="F719" s="3" t="s">
        <v>42</v>
      </c>
      <c r="G719" s="158"/>
      <c r="H719" t="s">
        <v>4774</v>
      </c>
      <c r="J719" s="81">
        <v>1000</v>
      </c>
      <c r="K719" s="69">
        <f t="shared" si="22"/>
        <v>-1094848.08</v>
      </c>
    </row>
    <row r="720" spans="1:11" hidden="1">
      <c r="A720" s="137" t="str">
        <f t="shared" si="24"/>
        <v>SGECOMBUSTIBLEGESTION EMPRESARIAL</v>
      </c>
      <c r="B720" t="s">
        <v>3214</v>
      </c>
      <c r="C720" s="1">
        <v>46035</v>
      </c>
      <c r="D720" t="s">
        <v>39</v>
      </c>
      <c r="E720" t="s">
        <v>32</v>
      </c>
      <c r="F720" s="3" t="s">
        <v>40</v>
      </c>
      <c r="G720" s="158"/>
      <c r="H720" t="s">
        <v>40</v>
      </c>
      <c r="J720" s="81">
        <v>1300</v>
      </c>
      <c r="K720" s="69">
        <f t="shared" si="22"/>
        <v>-1096148.08</v>
      </c>
    </row>
    <row r="721" spans="1:11" hidden="1">
      <c r="A721" s="137" t="str">
        <f t="shared" si="24"/>
        <v>MMCOMBUSTIBLEMARKET MAX</v>
      </c>
      <c r="B721" t="s">
        <v>3214</v>
      </c>
      <c r="C721" s="1">
        <v>46035</v>
      </c>
      <c r="D721" t="s">
        <v>45</v>
      </c>
      <c r="E721" t="s">
        <v>32</v>
      </c>
      <c r="F721" s="3" t="s">
        <v>46</v>
      </c>
      <c r="G721" s="158"/>
      <c r="H721" t="s">
        <v>4803</v>
      </c>
      <c r="J721" s="81">
        <v>1200</v>
      </c>
      <c r="K721" s="69">
        <f t="shared" si="22"/>
        <v>-1097348.08</v>
      </c>
    </row>
    <row r="722" spans="1:11" hidden="1">
      <c r="A722" s="137" t="str">
        <f t="shared" si="24"/>
        <v>SERVICIOSCOMBUSTIBLEINVENTARIOS</v>
      </c>
      <c r="B722" t="s">
        <v>3214</v>
      </c>
      <c r="C722" s="1">
        <v>46035</v>
      </c>
      <c r="D722" t="s">
        <v>21</v>
      </c>
      <c r="E722" t="s">
        <v>32</v>
      </c>
      <c r="F722" s="3" t="s">
        <v>34</v>
      </c>
      <c r="G722" s="3"/>
      <c r="H722" t="s">
        <v>4783</v>
      </c>
      <c r="J722" s="81">
        <v>2700</v>
      </c>
      <c r="K722" s="69">
        <f t="shared" si="22"/>
        <v>-1100048.08</v>
      </c>
    </row>
    <row r="723" spans="1:11" hidden="1">
      <c r="A723" s="137" t="str">
        <f t="shared" si="24"/>
        <v/>
      </c>
      <c r="B723" t="s">
        <v>3214</v>
      </c>
      <c r="C723" s="1">
        <v>46035</v>
      </c>
      <c r="F723" s="3"/>
      <c r="G723" s="158"/>
      <c r="K723" s="69">
        <f t="shared" si="22"/>
        <v>-1100048.08</v>
      </c>
    </row>
    <row r="724" spans="1:11" hidden="1">
      <c r="A724" s="137" t="str">
        <f t="shared" si="24"/>
        <v/>
      </c>
      <c r="B724" t="s">
        <v>3214</v>
      </c>
      <c r="C724" s="1">
        <v>46035</v>
      </c>
      <c r="F724" s="3"/>
      <c r="G724" s="158"/>
      <c r="K724" s="69">
        <f t="shared" si="22"/>
        <v>-1100048.08</v>
      </c>
    </row>
    <row r="725" spans="1:11" hidden="1">
      <c r="A725" s="137" t="str">
        <f t="shared" si="24"/>
        <v/>
      </c>
      <c r="B725" t="s">
        <v>3214</v>
      </c>
      <c r="C725" s="1">
        <v>46035</v>
      </c>
      <c r="F725" s="3"/>
      <c r="G725" s="158"/>
      <c r="K725" s="69">
        <f t="shared" si="22"/>
        <v>-1100048.08</v>
      </c>
    </row>
    <row r="726" spans="1:11" hidden="1">
      <c r="A726" s="137" t="str">
        <f t="shared" si="24"/>
        <v/>
      </c>
      <c r="B726" t="s">
        <v>3214</v>
      </c>
      <c r="C726" s="1">
        <v>46035</v>
      </c>
      <c r="F726" s="3"/>
      <c r="G726" s="158"/>
      <c r="K726" s="69">
        <f t="shared" ref="K726:K789" si="25">K725+I726-J726</f>
        <v>-1100048.08</v>
      </c>
    </row>
    <row r="727" spans="1:11" hidden="1">
      <c r="A727" s="137" t="str">
        <f t="shared" si="24"/>
        <v/>
      </c>
      <c r="B727" t="s">
        <v>3214</v>
      </c>
      <c r="C727" s="1">
        <v>46035</v>
      </c>
      <c r="F727" s="3"/>
      <c r="G727" s="158"/>
      <c r="K727" s="69">
        <f t="shared" si="25"/>
        <v>-1100048.08</v>
      </c>
    </row>
    <row r="728" spans="1:11" hidden="1">
      <c r="A728" s="137" t="str">
        <f t="shared" si="24"/>
        <v/>
      </c>
      <c r="B728" t="s">
        <v>3214</v>
      </c>
      <c r="C728" s="1">
        <v>46035</v>
      </c>
      <c r="F728" s="3"/>
      <c r="G728" s="158"/>
      <c r="K728" s="69">
        <f t="shared" si="25"/>
        <v>-1100048.08</v>
      </c>
    </row>
    <row r="729" spans="1:11" hidden="1">
      <c r="A729" s="137" t="str">
        <f t="shared" si="24"/>
        <v/>
      </c>
      <c r="B729" t="s">
        <v>3214</v>
      </c>
      <c r="C729" s="1">
        <v>46035</v>
      </c>
      <c r="F729" s="3"/>
      <c r="G729" s="158"/>
      <c r="K729" s="69">
        <f t="shared" si="25"/>
        <v>-1100048.08</v>
      </c>
    </row>
    <row r="730" spans="1:11" hidden="1">
      <c r="A730" s="137" t="str">
        <f t="shared" si="24"/>
        <v/>
      </c>
      <c r="B730" t="s">
        <v>3214</v>
      </c>
      <c r="C730" s="1">
        <v>46035</v>
      </c>
      <c r="F730" s="3"/>
      <c r="G730" s="158"/>
      <c r="K730" s="69">
        <f t="shared" si="25"/>
        <v>-1100048.08</v>
      </c>
    </row>
    <row r="731" spans="1:11" hidden="1">
      <c r="A731" s="137" t="str">
        <f t="shared" si="24"/>
        <v/>
      </c>
      <c r="B731" t="s">
        <v>3214</v>
      </c>
      <c r="C731" s="1">
        <v>46035</v>
      </c>
      <c r="F731" s="3"/>
      <c r="G731" s="158"/>
      <c r="K731" s="69">
        <f t="shared" si="25"/>
        <v>-1100048.08</v>
      </c>
    </row>
    <row r="732" spans="1:11" hidden="1">
      <c r="A732" s="137" t="str">
        <f t="shared" si="24"/>
        <v/>
      </c>
      <c r="B732" t="s">
        <v>3214</v>
      </c>
      <c r="C732" s="1">
        <v>46035</v>
      </c>
      <c r="F732" s="3"/>
      <c r="G732" s="158"/>
      <c r="K732" s="69">
        <f t="shared" si="25"/>
        <v>-1100048.08</v>
      </c>
    </row>
    <row r="733" spans="1:11" hidden="1">
      <c r="A733" s="137" t="str">
        <f t="shared" si="24"/>
        <v/>
      </c>
      <c r="B733" t="s">
        <v>3214</v>
      </c>
      <c r="C733" s="1">
        <v>46035</v>
      </c>
      <c r="F733" s="3"/>
      <c r="G733" s="158"/>
      <c r="K733" s="69">
        <f t="shared" si="25"/>
        <v>-1100048.08</v>
      </c>
    </row>
    <row r="734" spans="1:11" hidden="1">
      <c r="A734" s="137" t="str">
        <f t="shared" si="24"/>
        <v/>
      </c>
      <c r="B734" t="s">
        <v>3214</v>
      </c>
      <c r="C734" s="1">
        <v>46035</v>
      </c>
      <c r="F734" s="3"/>
      <c r="G734" s="158"/>
      <c r="K734" s="69">
        <f t="shared" si="25"/>
        <v>-1100048.08</v>
      </c>
    </row>
    <row r="735" spans="1:11" hidden="1">
      <c r="A735" s="137" t="str">
        <f t="shared" si="24"/>
        <v/>
      </c>
      <c r="B735" t="s">
        <v>3214</v>
      </c>
      <c r="C735" s="1">
        <v>46035</v>
      </c>
      <c r="F735" s="3"/>
      <c r="G735" s="158"/>
      <c r="K735" s="69">
        <f t="shared" si="25"/>
        <v>-1100048.08</v>
      </c>
    </row>
    <row r="736" spans="1:11" hidden="1">
      <c r="A736" s="137" t="str">
        <f t="shared" si="24"/>
        <v/>
      </c>
      <c r="B736" t="s">
        <v>3214</v>
      </c>
      <c r="C736" s="1">
        <v>46035</v>
      </c>
      <c r="F736" s="3"/>
      <c r="G736" s="158"/>
      <c r="K736" s="69">
        <f t="shared" si="25"/>
        <v>-1100048.08</v>
      </c>
    </row>
    <row r="737" spans="1:11" hidden="1">
      <c r="A737" s="137" t="str">
        <f t="shared" si="24"/>
        <v/>
      </c>
      <c r="B737" t="s">
        <v>3214</v>
      </c>
      <c r="C737" s="1">
        <v>46035</v>
      </c>
      <c r="F737" s="3"/>
      <c r="G737" s="158"/>
      <c r="K737" s="69">
        <f t="shared" si="25"/>
        <v>-1100048.08</v>
      </c>
    </row>
    <row r="738" spans="1:11" hidden="1">
      <c r="A738" s="137" t="str">
        <f t="shared" si="24"/>
        <v/>
      </c>
      <c r="B738" t="s">
        <v>3214</v>
      </c>
      <c r="C738" s="1">
        <v>46035</v>
      </c>
      <c r="F738" s="3"/>
      <c r="G738" s="158"/>
      <c r="K738" s="69">
        <f t="shared" si="25"/>
        <v>-1100048.08</v>
      </c>
    </row>
    <row r="739" spans="1:11" hidden="1">
      <c r="A739" s="137" t="str">
        <f t="shared" si="24"/>
        <v/>
      </c>
      <c r="B739" t="s">
        <v>3214</v>
      </c>
      <c r="C739" s="1">
        <v>46035</v>
      </c>
      <c r="F739" s="3"/>
      <c r="G739" s="158"/>
      <c r="K739" s="69">
        <f t="shared" si="25"/>
        <v>-1100048.08</v>
      </c>
    </row>
    <row r="740" spans="1:11" hidden="1">
      <c r="A740" s="137" t="str">
        <f t="shared" si="24"/>
        <v/>
      </c>
      <c r="B740" t="s">
        <v>3214</v>
      </c>
      <c r="C740" s="1">
        <v>46035</v>
      </c>
      <c r="F740" s="3"/>
      <c r="G740" s="158"/>
      <c r="K740" s="69">
        <f t="shared" si="25"/>
        <v>-1100048.08</v>
      </c>
    </row>
    <row r="741" spans="1:11" hidden="1">
      <c r="A741" s="137" t="str">
        <f t="shared" si="24"/>
        <v/>
      </c>
      <c r="B741" t="s">
        <v>3214</v>
      </c>
      <c r="C741" s="1">
        <v>46035</v>
      </c>
      <c r="F741" s="3"/>
      <c r="G741" s="158"/>
      <c r="K741" s="69">
        <f t="shared" si="25"/>
        <v>-1100048.08</v>
      </c>
    </row>
    <row r="742" spans="1:11" hidden="1">
      <c r="A742" s="137" t="str">
        <f t="shared" si="24"/>
        <v/>
      </c>
      <c r="B742" t="s">
        <v>3214</v>
      </c>
      <c r="C742" s="1">
        <v>46035</v>
      </c>
      <c r="F742" s="3"/>
      <c r="G742" s="158"/>
      <c r="K742" s="69">
        <f t="shared" si="25"/>
        <v>-1100048.08</v>
      </c>
    </row>
    <row r="743" spans="1:11" hidden="1">
      <c r="A743" s="137" t="str">
        <f t="shared" si="24"/>
        <v/>
      </c>
      <c r="B743" t="s">
        <v>3214</v>
      </c>
      <c r="C743" s="1">
        <v>46035</v>
      </c>
      <c r="F743" s="3"/>
      <c r="G743" s="158"/>
      <c r="K743" s="69">
        <f t="shared" si="25"/>
        <v>-1100048.08</v>
      </c>
    </row>
    <row r="744" spans="1:11" hidden="1">
      <c r="A744" s="137" t="str">
        <f t="shared" si="24"/>
        <v/>
      </c>
      <c r="B744" t="s">
        <v>3214</v>
      </c>
      <c r="C744" s="1">
        <v>46035</v>
      </c>
      <c r="F744" s="3"/>
      <c r="G744" s="158"/>
      <c r="K744" s="69">
        <f t="shared" si="25"/>
        <v>-1100048.08</v>
      </c>
    </row>
    <row r="745" spans="1:11" hidden="1">
      <c r="A745" s="137" t="str">
        <f t="shared" si="24"/>
        <v/>
      </c>
      <c r="B745" t="s">
        <v>3214</v>
      </c>
      <c r="C745" s="1">
        <v>46035</v>
      </c>
      <c r="F745" s="3"/>
      <c r="G745" s="158"/>
      <c r="K745" s="69">
        <f t="shared" si="25"/>
        <v>-1100048.08</v>
      </c>
    </row>
    <row r="746" spans="1:11" hidden="1">
      <c r="A746" s="137" t="str">
        <f t="shared" si="24"/>
        <v/>
      </c>
      <c r="B746" t="s">
        <v>3214</v>
      </c>
      <c r="C746" s="1">
        <v>46035</v>
      </c>
      <c r="F746" s="3"/>
      <c r="G746" s="158"/>
      <c r="K746" s="69">
        <f t="shared" si="25"/>
        <v>-1100048.08</v>
      </c>
    </row>
    <row r="747" spans="1:11" hidden="1">
      <c r="A747" s="137" t="str">
        <f t="shared" si="24"/>
        <v/>
      </c>
      <c r="B747" t="s">
        <v>3214</v>
      </c>
      <c r="C747" s="1">
        <v>46035</v>
      </c>
      <c r="F747" s="3"/>
      <c r="G747" s="158"/>
      <c r="K747" s="69">
        <f t="shared" si="25"/>
        <v>-1100048.08</v>
      </c>
    </row>
    <row r="748" spans="1:11" hidden="1">
      <c r="A748" s="137" t="str">
        <f t="shared" si="24"/>
        <v/>
      </c>
      <c r="B748" t="s">
        <v>3214</v>
      </c>
      <c r="C748" s="1">
        <v>46035</v>
      </c>
      <c r="F748" s="3"/>
      <c r="G748" s="158"/>
      <c r="K748" s="69">
        <f t="shared" si="25"/>
        <v>-1100048.08</v>
      </c>
    </row>
    <row r="749" spans="1:11" hidden="1">
      <c r="A749" s="137" t="str">
        <f t="shared" si="24"/>
        <v/>
      </c>
      <c r="B749" t="s">
        <v>3214</v>
      </c>
      <c r="C749" s="1">
        <v>46035</v>
      </c>
      <c r="F749" s="3"/>
      <c r="G749" s="158"/>
      <c r="K749" s="69">
        <f t="shared" si="25"/>
        <v>-1100048.08</v>
      </c>
    </row>
    <row r="750" spans="1:11" hidden="1">
      <c r="A750" s="137" t="str">
        <f t="shared" si="24"/>
        <v/>
      </c>
      <c r="B750" t="s">
        <v>3214</v>
      </c>
      <c r="C750" s="1">
        <v>46035</v>
      </c>
      <c r="F750" s="3"/>
      <c r="G750" s="158"/>
      <c r="K750" s="69">
        <f t="shared" si="25"/>
        <v>-1100048.08</v>
      </c>
    </row>
    <row r="751" spans="1:11" hidden="1">
      <c r="A751" s="137" t="str">
        <f t="shared" si="24"/>
        <v/>
      </c>
      <c r="B751" t="s">
        <v>3214</v>
      </c>
      <c r="C751" s="1">
        <v>46035</v>
      </c>
      <c r="F751" s="3"/>
      <c r="G751" s="158"/>
      <c r="K751" s="69">
        <f t="shared" si="25"/>
        <v>-1100048.08</v>
      </c>
    </row>
    <row r="752" spans="1:11" hidden="1">
      <c r="A752" s="137" t="str">
        <f t="shared" si="24"/>
        <v/>
      </c>
      <c r="B752" t="s">
        <v>3214</v>
      </c>
      <c r="C752" s="1">
        <v>46035</v>
      </c>
      <c r="F752" s="3"/>
      <c r="G752" s="158"/>
      <c r="K752" s="69">
        <f t="shared" si="25"/>
        <v>-1100048.08</v>
      </c>
    </row>
    <row r="753" spans="1:11" hidden="1">
      <c r="A753" s="137" t="str">
        <f t="shared" si="24"/>
        <v/>
      </c>
      <c r="B753" t="s">
        <v>3214</v>
      </c>
      <c r="C753" s="1">
        <v>46035</v>
      </c>
      <c r="F753" s="3"/>
      <c r="G753" s="158"/>
      <c r="K753" s="69">
        <f t="shared" si="25"/>
        <v>-1100048.08</v>
      </c>
    </row>
    <row r="754" spans="1:11" hidden="1">
      <c r="A754" s="137" t="str">
        <f t="shared" si="24"/>
        <v/>
      </c>
      <c r="B754" t="s">
        <v>3214</v>
      </c>
      <c r="C754" s="1">
        <v>46035</v>
      </c>
      <c r="F754" s="3"/>
      <c r="G754" s="158"/>
      <c r="K754" s="69">
        <f t="shared" si="25"/>
        <v>-1100048.08</v>
      </c>
    </row>
    <row r="755" spans="1:11" hidden="1">
      <c r="A755" s="137" t="str">
        <f t="shared" si="24"/>
        <v/>
      </c>
      <c r="B755" t="s">
        <v>3214</v>
      </c>
      <c r="C755" s="1">
        <v>46035</v>
      </c>
      <c r="F755" s="3"/>
      <c r="G755" s="158"/>
      <c r="K755" s="69">
        <f t="shared" si="25"/>
        <v>-1100048.08</v>
      </c>
    </row>
    <row r="756" spans="1:11" hidden="1">
      <c r="A756" s="137" t="str">
        <f t="shared" si="24"/>
        <v/>
      </c>
      <c r="B756" t="s">
        <v>3214</v>
      </c>
      <c r="C756" s="1">
        <v>46035</v>
      </c>
      <c r="F756" s="3"/>
      <c r="G756" s="158"/>
      <c r="K756" s="69">
        <f t="shared" si="25"/>
        <v>-1100048.08</v>
      </c>
    </row>
    <row r="757" spans="1:11" hidden="1">
      <c r="A757" s="137" t="str">
        <f t="shared" si="24"/>
        <v/>
      </c>
      <c r="B757" t="s">
        <v>3214</v>
      </c>
      <c r="C757" s="1">
        <v>46035</v>
      </c>
      <c r="F757" s="3"/>
      <c r="G757" s="158"/>
      <c r="K757" s="69">
        <f t="shared" si="25"/>
        <v>-1100048.08</v>
      </c>
    </row>
    <row r="758" spans="1:11" hidden="1">
      <c r="A758" s="137" t="str">
        <f t="shared" si="24"/>
        <v/>
      </c>
      <c r="B758" t="s">
        <v>3214</v>
      </c>
      <c r="C758" s="1">
        <v>46035</v>
      </c>
      <c r="F758" s="3"/>
      <c r="G758" s="158"/>
      <c r="K758" s="69">
        <f t="shared" si="25"/>
        <v>-1100048.08</v>
      </c>
    </row>
    <row r="759" spans="1:11" hidden="1">
      <c r="A759" s="137" t="str">
        <f t="shared" si="24"/>
        <v/>
      </c>
      <c r="B759" t="s">
        <v>3214</v>
      </c>
      <c r="C759" s="1">
        <v>46035</v>
      </c>
      <c r="F759" s="3"/>
      <c r="G759" s="158"/>
      <c r="K759" s="69">
        <f t="shared" si="25"/>
        <v>-1100048.08</v>
      </c>
    </row>
    <row r="760" spans="1:11" hidden="1">
      <c r="A760" s="137" t="str">
        <f t="shared" si="24"/>
        <v/>
      </c>
      <c r="B760" t="s">
        <v>3214</v>
      </c>
      <c r="C760" s="1">
        <v>46035</v>
      </c>
      <c r="F760" s="3"/>
      <c r="G760" s="158"/>
      <c r="K760" s="69">
        <f t="shared" si="25"/>
        <v>-1100048.08</v>
      </c>
    </row>
    <row r="761" spans="1:11" hidden="1">
      <c r="A761" s="137" t="str">
        <f t="shared" si="24"/>
        <v/>
      </c>
      <c r="B761" t="s">
        <v>3214</v>
      </c>
      <c r="C761" s="1">
        <v>46035</v>
      </c>
      <c r="F761" s="3"/>
      <c r="G761" s="158"/>
      <c r="K761" s="69">
        <f t="shared" si="25"/>
        <v>-1100048.08</v>
      </c>
    </row>
    <row r="762" spans="1:11" hidden="1">
      <c r="A762" s="137" t="str">
        <f t="shared" si="24"/>
        <v/>
      </c>
      <c r="B762" t="s">
        <v>3214</v>
      </c>
      <c r="C762" s="1">
        <v>46035</v>
      </c>
      <c r="F762" s="3"/>
      <c r="G762" s="158"/>
      <c r="K762" s="69">
        <f t="shared" si="25"/>
        <v>-1100048.08</v>
      </c>
    </row>
    <row r="763" spans="1:11" hidden="1">
      <c r="A763" s="137" t="str">
        <f t="shared" si="24"/>
        <v/>
      </c>
      <c r="B763" t="s">
        <v>3214</v>
      </c>
      <c r="C763" s="1">
        <v>46035</v>
      </c>
      <c r="F763" s="3"/>
      <c r="G763" s="158"/>
      <c r="K763" s="69">
        <f t="shared" si="25"/>
        <v>-1100048.08</v>
      </c>
    </row>
    <row r="764" spans="1:11" hidden="1">
      <c r="A764" s="137" t="str">
        <f t="shared" si="24"/>
        <v/>
      </c>
      <c r="B764" t="s">
        <v>3214</v>
      </c>
      <c r="C764" s="1">
        <v>46035</v>
      </c>
      <c r="F764" s="3"/>
      <c r="G764" s="158"/>
      <c r="K764" s="69">
        <f t="shared" si="25"/>
        <v>-1100048.08</v>
      </c>
    </row>
    <row r="765" spans="1:11" hidden="1">
      <c r="A765" s="137" t="str">
        <f t="shared" si="24"/>
        <v/>
      </c>
      <c r="B765" t="s">
        <v>3214</v>
      </c>
      <c r="C765" s="1">
        <v>46035</v>
      </c>
      <c r="F765" s="3"/>
      <c r="G765" s="158"/>
      <c r="K765" s="69">
        <f t="shared" si="25"/>
        <v>-1100048.08</v>
      </c>
    </row>
    <row r="766" spans="1:11" hidden="1">
      <c r="A766" s="137" t="str">
        <f t="shared" si="24"/>
        <v/>
      </c>
      <c r="B766" t="s">
        <v>3214</v>
      </c>
      <c r="C766" s="1">
        <v>46035</v>
      </c>
      <c r="F766" s="3"/>
      <c r="G766" s="158"/>
      <c r="K766" s="69">
        <f t="shared" si="25"/>
        <v>-1100048.08</v>
      </c>
    </row>
    <row r="767" spans="1:11" hidden="1">
      <c r="A767" s="137" t="str">
        <f t="shared" ref="A763:A826" si="26">D767&amp;E767&amp;F767</f>
        <v/>
      </c>
      <c r="B767" t="s">
        <v>3214</v>
      </c>
      <c r="C767" s="1">
        <v>46035</v>
      </c>
      <c r="F767" s="3"/>
      <c r="G767" s="158"/>
      <c r="K767" s="69">
        <f t="shared" si="25"/>
        <v>-1100048.08</v>
      </c>
    </row>
    <row r="768" spans="1:11" hidden="1">
      <c r="A768" s="137" t="str">
        <f t="shared" si="26"/>
        <v/>
      </c>
      <c r="B768" t="s">
        <v>3214</v>
      </c>
      <c r="C768" s="1">
        <v>46035</v>
      </c>
      <c r="F768" s="3"/>
      <c r="G768" s="158"/>
      <c r="K768" s="69">
        <f t="shared" si="25"/>
        <v>-1100048.08</v>
      </c>
    </row>
    <row r="769" spans="1:11" hidden="1">
      <c r="A769" s="137" t="str">
        <f t="shared" si="26"/>
        <v/>
      </c>
      <c r="B769" t="s">
        <v>3214</v>
      </c>
      <c r="C769" s="1">
        <v>46035</v>
      </c>
      <c r="F769" s="3"/>
      <c r="G769" s="158"/>
      <c r="K769" s="69">
        <f t="shared" si="25"/>
        <v>-1100048.08</v>
      </c>
    </row>
    <row r="770" spans="1:11" hidden="1">
      <c r="A770" s="137" t="str">
        <f t="shared" si="26"/>
        <v/>
      </c>
      <c r="B770" t="s">
        <v>3214</v>
      </c>
      <c r="C770" s="1">
        <v>46035</v>
      </c>
      <c r="F770" s="3"/>
      <c r="G770" s="158"/>
      <c r="K770" s="69">
        <f t="shared" si="25"/>
        <v>-1100048.08</v>
      </c>
    </row>
    <row r="771" spans="1:11" hidden="1">
      <c r="A771" s="137" t="str">
        <f t="shared" si="26"/>
        <v/>
      </c>
      <c r="B771" t="s">
        <v>3214</v>
      </c>
      <c r="C771" s="1">
        <v>46035</v>
      </c>
      <c r="F771" s="3"/>
      <c r="G771" s="158"/>
      <c r="K771" s="69">
        <f t="shared" si="25"/>
        <v>-1100048.08</v>
      </c>
    </row>
    <row r="772" spans="1:11" hidden="1">
      <c r="A772" s="137" t="str">
        <f t="shared" si="26"/>
        <v/>
      </c>
      <c r="B772" t="s">
        <v>3214</v>
      </c>
      <c r="C772" s="1">
        <v>46035</v>
      </c>
      <c r="F772" s="3"/>
      <c r="G772" s="158"/>
      <c r="K772" s="69">
        <f t="shared" si="25"/>
        <v>-1100048.08</v>
      </c>
    </row>
    <row r="773" spans="1:11" hidden="1">
      <c r="A773" s="137" t="str">
        <f t="shared" si="26"/>
        <v/>
      </c>
      <c r="B773" t="s">
        <v>3214</v>
      </c>
      <c r="C773" s="1">
        <v>46035</v>
      </c>
      <c r="F773" s="3"/>
      <c r="G773" s="158"/>
      <c r="K773" s="69">
        <f t="shared" si="25"/>
        <v>-1100048.08</v>
      </c>
    </row>
    <row r="774" spans="1:11" hidden="1">
      <c r="A774" s="137" t="str">
        <f t="shared" si="26"/>
        <v/>
      </c>
      <c r="B774" t="s">
        <v>3214</v>
      </c>
      <c r="C774" s="1">
        <v>46035</v>
      </c>
      <c r="F774" s="3"/>
      <c r="G774" s="158"/>
      <c r="K774" s="69">
        <f t="shared" si="25"/>
        <v>-1100048.08</v>
      </c>
    </row>
    <row r="775" spans="1:11" hidden="1">
      <c r="A775" s="137" t="str">
        <f t="shared" si="26"/>
        <v/>
      </c>
      <c r="B775" t="s">
        <v>3214</v>
      </c>
      <c r="C775" s="1">
        <v>46035</v>
      </c>
      <c r="F775" s="3"/>
      <c r="G775" s="158"/>
      <c r="K775" s="69">
        <f t="shared" si="25"/>
        <v>-1100048.08</v>
      </c>
    </row>
    <row r="776" spans="1:11" hidden="1">
      <c r="A776" s="137" t="str">
        <f t="shared" si="26"/>
        <v/>
      </c>
      <c r="B776" t="s">
        <v>3214</v>
      </c>
      <c r="C776" s="1">
        <v>46035</v>
      </c>
      <c r="F776" s="3"/>
      <c r="G776" s="158"/>
      <c r="K776" s="69">
        <f t="shared" si="25"/>
        <v>-1100048.08</v>
      </c>
    </row>
    <row r="777" spans="1:11" hidden="1">
      <c r="A777" s="137" t="str">
        <f t="shared" si="26"/>
        <v/>
      </c>
      <c r="B777" t="s">
        <v>3214</v>
      </c>
      <c r="C777" s="1">
        <v>46035</v>
      </c>
      <c r="F777" s="3"/>
      <c r="G777" s="158"/>
      <c r="K777" s="69">
        <f t="shared" si="25"/>
        <v>-1100048.08</v>
      </c>
    </row>
    <row r="778" spans="1:11" hidden="1">
      <c r="A778" s="137" t="str">
        <f t="shared" si="26"/>
        <v/>
      </c>
      <c r="B778" t="s">
        <v>3214</v>
      </c>
      <c r="C778" s="1">
        <v>46035</v>
      </c>
      <c r="F778" s="3"/>
      <c r="G778" s="158"/>
      <c r="K778" s="69">
        <f t="shared" si="25"/>
        <v>-1100048.08</v>
      </c>
    </row>
    <row r="779" spans="1:11" hidden="1">
      <c r="A779" s="137" t="str">
        <f t="shared" si="26"/>
        <v/>
      </c>
      <c r="B779" t="s">
        <v>3214</v>
      </c>
      <c r="C779" s="1">
        <v>46035</v>
      </c>
      <c r="F779" s="3"/>
      <c r="G779" s="158"/>
      <c r="K779" s="69">
        <f t="shared" si="25"/>
        <v>-1100048.08</v>
      </c>
    </row>
    <row r="780" spans="1:11" hidden="1">
      <c r="A780" s="137" t="str">
        <f t="shared" si="26"/>
        <v/>
      </c>
      <c r="B780" t="s">
        <v>3214</v>
      </c>
      <c r="C780" s="1">
        <v>46035</v>
      </c>
      <c r="F780" s="3"/>
      <c r="G780" s="158"/>
      <c r="K780" s="69">
        <f t="shared" si="25"/>
        <v>-1100048.08</v>
      </c>
    </row>
    <row r="781" spans="1:11" hidden="1">
      <c r="A781" s="137" t="str">
        <f t="shared" si="26"/>
        <v/>
      </c>
      <c r="B781" t="s">
        <v>3214</v>
      </c>
      <c r="C781" s="1">
        <v>46035</v>
      </c>
      <c r="F781" s="3"/>
      <c r="G781" s="158"/>
      <c r="K781" s="69">
        <f t="shared" si="25"/>
        <v>-1100048.08</v>
      </c>
    </row>
    <row r="782" spans="1:11" hidden="1">
      <c r="A782" s="137" t="str">
        <f t="shared" si="26"/>
        <v/>
      </c>
      <c r="B782" t="s">
        <v>3214</v>
      </c>
      <c r="C782" s="1">
        <v>46035</v>
      </c>
      <c r="F782" s="3"/>
      <c r="G782" s="158"/>
      <c r="K782" s="69">
        <f t="shared" si="25"/>
        <v>-1100048.08</v>
      </c>
    </row>
    <row r="783" spans="1:11" hidden="1">
      <c r="A783" s="137" t="str">
        <f t="shared" si="26"/>
        <v/>
      </c>
      <c r="B783" t="s">
        <v>3214</v>
      </c>
      <c r="C783" s="1">
        <v>46035</v>
      </c>
      <c r="F783" s="3"/>
      <c r="G783" s="158"/>
      <c r="K783" s="69">
        <f t="shared" si="25"/>
        <v>-1100048.08</v>
      </c>
    </row>
    <row r="784" spans="1:11" hidden="1">
      <c r="A784" s="137" t="str">
        <f t="shared" si="26"/>
        <v/>
      </c>
      <c r="B784" t="s">
        <v>3214</v>
      </c>
      <c r="C784" s="1">
        <v>46035</v>
      </c>
      <c r="F784" s="3"/>
      <c r="G784" s="158"/>
      <c r="K784" s="69">
        <f t="shared" si="25"/>
        <v>-1100048.08</v>
      </c>
    </row>
    <row r="785" spans="1:11" hidden="1">
      <c r="A785" s="137" t="str">
        <f t="shared" si="26"/>
        <v/>
      </c>
      <c r="B785" t="s">
        <v>3214</v>
      </c>
      <c r="C785" s="1">
        <v>46035</v>
      </c>
      <c r="F785" s="3"/>
      <c r="G785" s="158"/>
      <c r="K785" s="69">
        <f t="shared" si="25"/>
        <v>-1100048.08</v>
      </c>
    </row>
    <row r="786" spans="1:11" hidden="1">
      <c r="A786" s="137" t="str">
        <f t="shared" si="26"/>
        <v/>
      </c>
      <c r="B786" t="s">
        <v>3214</v>
      </c>
      <c r="C786" s="1">
        <v>46035</v>
      </c>
      <c r="F786" s="3"/>
      <c r="G786" s="158"/>
      <c r="K786" s="69">
        <f t="shared" si="25"/>
        <v>-1100048.08</v>
      </c>
    </row>
    <row r="787" spans="1:11" hidden="1">
      <c r="A787" s="137" t="str">
        <f t="shared" si="26"/>
        <v/>
      </c>
      <c r="B787" t="s">
        <v>3214</v>
      </c>
      <c r="C787" s="1">
        <v>46035</v>
      </c>
      <c r="F787" s="3"/>
      <c r="G787" s="158"/>
      <c r="K787" s="69">
        <f t="shared" si="25"/>
        <v>-1100048.08</v>
      </c>
    </row>
    <row r="788" spans="1:11" hidden="1">
      <c r="A788" s="137" t="str">
        <f t="shared" si="26"/>
        <v/>
      </c>
      <c r="B788" t="s">
        <v>3214</v>
      </c>
      <c r="C788" s="1">
        <v>46035</v>
      </c>
      <c r="F788" s="3"/>
      <c r="G788" s="158"/>
      <c r="K788" s="69">
        <f t="shared" si="25"/>
        <v>-1100048.08</v>
      </c>
    </row>
    <row r="789" spans="1:11" hidden="1">
      <c r="A789" s="137" t="str">
        <f t="shared" si="26"/>
        <v/>
      </c>
      <c r="B789" t="s">
        <v>3214</v>
      </c>
      <c r="C789" s="1">
        <v>46035</v>
      </c>
      <c r="F789" s="3"/>
      <c r="G789" s="158"/>
      <c r="K789" s="69">
        <f t="shared" si="25"/>
        <v>-1100048.08</v>
      </c>
    </row>
    <row r="790" spans="1:11" hidden="1">
      <c r="A790" s="137" t="str">
        <f t="shared" si="26"/>
        <v/>
      </c>
      <c r="B790" t="s">
        <v>3214</v>
      </c>
      <c r="C790" s="1">
        <v>46035</v>
      </c>
      <c r="F790" s="3"/>
      <c r="G790" s="158"/>
      <c r="K790" s="69">
        <f t="shared" ref="K790:K853" si="27">K789+I790-J790</f>
        <v>-1100048.08</v>
      </c>
    </row>
    <row r="791" spans="1:11" hidden="1">
      <c r="A791" s="137" t="str">
        <f t="shared" si="26"/>
        <v/>
      </c>
      <c r="B791" t="s">
        <v>3214</v>
      </c>
      <c r="C791" s="1">
        <v>46035</v>
      </c>
      <c r="F791" s="3"/>
      <c r="G791" s="158"/>
      <c r="K791" s="69">
        <f t="shared" si="27"/>
        <v>-1100048.08</v>
      </c>
    </row>
    <row r="792" spans="1:11" hidden="1">
      <c r="A792" s="137" t="str">
        <f t="shared" si="26"/>
        <v/>
      </c>
      <c r="B792" t="s">
        <v>3214</v>
      </c>
      <c r="C792" s="1">
        <v>46035</v>
      </c>
      <c r="F792" s="3"/>
      <c r="G792" s="158"/>
      <c r="K792" s="69">
        <f t="shared" si="27"/>
        <v>-1100048.08</v>
      </c>
    </row>
    <row r="793" spans="1:11" hidden="1">
      <c r="A793" s="137" t="str">
        <f t="shared" si="26"/>
        <v/>
      </c>
      <c r="B793" t="s">
        <v>3214</v>
      </c>
      <c r="C793" s="1">
        <v>46035</v>
      </c>
      <c r="F793" s="3"/>
      <c r="G793" s="158"/>
      <c r="K793" s="69">
        <f t="shared" si="27"/>
        <v>-1100048.08</v>
      </c>
    </row>
    <row r="794" spans="1:11" hidden="1">
      <c r="A794" s="137" t="str">
        <f t="shared" si="26"/>
        <v/>
      </c>
      <c r="B794" t="s">
        <v>3214</v>
      </c>
      <c r="C794" s="1">
        <v>46035</v>
      </c>
      <c r="F794" s="3"/>
      <c r="G794" s="158"/>
      <c r="K794" s="69">
        <f t="shared" si="27"/>
        <v>-1100048.08</v>
      </c>
    </row>
    <row r="795" spans="1:11" hidden="1">
      <c r="A795" s="137" t="str">
        <f t="shared" si="26"/>
        <v/>
      </c>
      <c r="B795" t="s">
        <v>3214</v>
      </c>
      <c r="C795" s="1">
        <v>46035</v>
      </c>
      <c r="F795" s="3"/>
      <c r="G795" s="158"/>
      <c r="K795" s="69">
        <f t="shared" si="27"/>
        <v>-1100048.08</v>
      </c>
    </row>
    <row r="796" spans="1:11" hidden="1">
      <c r="A796" s="137" t="str">
        <f t="shared" si="26"/>
        <v/>
      </c>
      <c r="B796" t="s">
        <v>3214</v>
      </c>
      <c r="C796" s="1">
        <v>46035</v>
      </c>
      <c r="F796" s="3"/>
      <c r="G796" s="158"/>
      <c r="K796" s="69">
        <f t="shared" si="27"/>
        <v>-1100048.08</v>
      </c>
    </row>
    <row r="797" spans="1:11" hidden="1">
      <c r="A797" s="137" t="str">
        <f t="shared" si="26"/>
        <v/>
      </c>
      <c r="B797" t="s">
        <v>3214</v>
      </c>
      <c r="C797" s="1">
        <v>46035</v>
      </c>
      <c r="F797" s="3"/>
      <c r="G797" s="158"/>
      <c r="K797" s="69">
        <f t="shared" si="27"/>
        <v>-1100048.08</v>
      </c>
    </row>
    <row r="798" spans="1:11" hidden="1">
      <c r="A798" s="137" t="str">
        <f t="shared" si="26"/>
        <v/>
      </c>
      <c r="B798" t="s">
        <v>3214</v>
      </c>
      <c r="C798" s="1">
        <v>46035</v>
      </c>
      <c r="F798" s="3"/>
      <c r="G798" s="158"/>
      <c r="K798" s="69">
        <f t="shared" si="27"/>
        <v>-1100048.08</v>
      </c>
    </row>
    <row r="799" spans="1:11" hidden="1">
      <c r="A799" s="137" t="str">
        <f t="shared" si="26"/>
        <v/>
      </c>
      <c r="B799" t="s">
        <v>3214</v>
      </c>
      <c r="C799" s="1">
        <v>46035</v>
      </c>
      <c r="F799" s="3"/>
      <c r="G799" s="158"/>
      <c r="K799" s="69">
        <f t="shared" si="27"/>
        <v>-1100048.08</v>
      </c>
    </row>
    <row r="800" spans="1:11" hidden="1">
      <c r="A800" s="137" t="str">
        <f t="shared" si="26"/>
        <v/>
      </c>
      <c r="B800" t="s">
        <v>3214</v>
      </c>
      <c r="C800" s="1">
        <v>46035</v>
      </c>
      <c r="F800" s="3"/>
      <c r="G800" s="158"/>
      <c r="K800" s="69">
        <f t="shared" si="27"/>
        <v>-1100048.08</v>
      </c>
    </row>
    <row r="801" spans="1:11" hidden="1">
      <c r="A801" s="137" t="str">
        <f t="shared" si="26"/>
        <v/>
      </c>
      <c r="B801" t="s">
        <v>3214</v>
      </c>
      <c r="C801" s="1">
        <v>46035</v>
      </c>
      <c r="F801" s="3"/>
      <c r="G801" s="158"/>
      <c r="K801" s="69">
        <f t="shared" si="27"/>
        <v>-1100048.08</v>
      </c>
    </row>
    <row r="802" spans="1:11" hidden="1">
      <c r="A802" s="137" t="str">
        <f t="shared" si="26"/>
        <v/>
      </c>
      <c r="B802" t="s">
        <v>3214</v>
      </c>
      <c r="C802" s="1">
        <v>46035</v>
      </c>
      <c r="F802" s="3"/>
      <c r="G802" s="158"/>
      <c r="K802" s="69">
        <f t="shared" si="27"/>
        <v>-1100048.08</v>
      </c>
    </row>
    <row r="803" spans="1:11" hidden="1">
      <c r="A803" s="137" t="str">
        <f t="shared" si="26"/>
        <v/>
      </c>
      <c r="B803" t="s">
        <v>3214</v>
      </c>
      <c r="C803" s="1">
        <v>46035</v>
      </c>
      <c r="F803" s="3"/>
      <c r="G803" s="158"/>
      <c r="K803" s="69">
        <f t="shared" si="27"/>
        <v>-1100048.08</v>
      </c>
    </row>
    <row r="804" spans="1:11" hidden="1">
      <c r="A804" s="137" t="str">
        <f t="shared" si="26"/>
        <v/>
      </c>
      <c r="B804" t="s">
        <v>3214</v>
      </c>
      <c r="C804" s="1">
        <v>46035</v>
      </c>
      <c r="F804" s="3"/>
      <c r="G804" s="158"/>
      <c r="K804" s="69">
        <f t="shared" si="27"/>
        <v>-1100048.08</v>
      </c>
    </row>
    <row r="805" spans="1:11" hidden="1">
      <c r="A805" s="137" t="str">
        <f t="shared" si="26"/>
        <v/>
      </c>
      <c r="B805" t="s">
        <v>3214</v>
      </c>
      <c r="C805" s="1">
        <v>46035</v>
      </c>
      <c r="F805" s="3"/>
      <c r="G805" s="158"/>
      <c r="K805" s="69">
        <f t="shared" si="27"/>
        <v>-1100048.08</v>
      </c>
    </row>
    <row r="806" spans="1:11" hidden="1">
      <c r="A806" s="137" t="str">
        <f t="shared" si="26"/>
        <v/>
      </c>
      <c r="B806" t="s">
        <v>3214</v>
      </c>
      <c r="C806" s="1">
        <v>46035</v>
      </c>
      <c r="F806" s="3"/>
      <c r="G806" s="158"/>
      <c r="K806" s="69">
        <f t="shared" si="27"/>
        <v>-1100048.08</v>
      </c>
    </row>
    <row r="807" spans="1:11" hidden="1">
      <c r="A807" s="137" t="str">
        <f t="shared" si="26"/>
        <v/>
      </c>
      <c r="B807" t="s">
        <v>3214</v>
      </c>
      <c r="C807" s="1">
        <v>46035</v>
      </c>
      <c r="F807" s="3"/>
      <c r="G807" s="158"/>
      <c r="K807" s="69">
        <f t="shared" si="27"/>
        <v>-1100048.08</v>
      </c>
    </row>
    <row r="808" spans="1:11" hidden="1">
      <c r="A808" s="137" t="str">
        <f t="shared" si="26"/>
        <v/>
      </c>
      <c r="B808" t="s">
        <v>3214</v>
      </c>
      <c r="C808" s="1">
        <v>46035</v>
      </c>
      <c r="F808" s="3"/>
      <c r="G808" s="158"/>
      <c r="K808" s="69">
        <f t="shared" si="27"/>
        <v>-1100048.08</v>
      </c>
    </row>
    <row r="809" spans="1:11" hidden="1">
      <c r="A809" s="137" t="str">
        <f t="shared" si="26"/>
        <v/>
      </c>
      <c r="B809" t="s">
        <v>3214</v>
      </c>
      <c r="C809" s="1">
        <v>46035</v>
      </c>
      <c r="F809" s="3"/>
      <c r="G809" s="158"/>
      <c r="K809" s="69">
        <f t="shared" si="27"/>
        <v>-1100048.08</v>
      </c>
    </row>
    <row r="810" spans="1:11" hidden="1">
      <c r="A810" s="137" t="str">
        <f t="shared" si="26"/>
        <v/>
      </c>
      <c r="B810" t="s">
        <v>3214</v>
      </c>
      <c r="C810" s="1">
        <v>46035</v>
      </c>
      <c r="F810" s="3"/>
      <c r="G810" s="158"/>
      <c r="K810" s="69">
        <f t="shared" si="27"/>
        <v>-1100048.08</v>
      </c>
    </row>
    <row r="811" spans="1:11" hidden="1">
      <c r="A811" s="137" t="str">
        <f t="shared" si="26"/>
        <v/>
      </c>
      <c r="B811" t="s">
        <v>3214</v>
      </c>
      <c r="C811" s="1">
        <v>46035</v>
      </c>
      <c r="F811" s="3"/>
      <c r="G811" s="158"/>
      <c r="K811" s="69">
        <f t="shared" si="27"/>
        <v>-1100048.08</v>
      </c>
    </row>
    <row r="812" spans="1:11" hidden="1">
      <c r="A812" s="137" t="str">
        <f t="shared" si="26"/>
        <v/>
      </c>
      <c r="B812" t="s">
        <v>3214</v>
      </c>
      <c r="C812" s="1">
        <v>46035</v>
      </c>
      <c r="F812" s="3"/>
      <c r="G812" s="158"/>
      <c r="K812" s="69">
        <f t="shared" si="27"/>
        <v>-1100048.08</v>
      </c>
    </row>
    <row r="813" spans="1:11" hidden="1">
      <c r="A813" s="137" t="str">
        <f t="shared" si="26"/>
        <v/>
      </c>
      <c r="B813" t="s">
        <v>3214</v>
      </c>
      <c r="C813" s="1">
        <v>46035</v>
      </c>
      <c r="F813" s="3"/>
      <c r="G813" s="158"/>
      <c r="K813" s="69">
        <f t="shared" si="27"/>
        <v>-1100048.08</v>
      </c>
    </row>
    <row r="814" spans="1:11" hidden="1">
      <c r="A814" s="137" t="str">
        <f t="shared" si="26"/>
        <v/>
      </c>
      <c r="B814" t="s">
        <v>3214</v>
      </c>
      <c r="C814" s="1">
        <v>46035</v>
      </c>
      <c r="F814" s="3"/>
      <c r="G814" s="158"/>
      <c r="K814" s="69">
        <f t="shared" si="27"/>
        <v>-1100048.08</v>
      </c>
    </row>
    <row r="815" spans="1:11" hidden="1">
      <c r="A815" s="137" t="str">
        <f t="shared" si="26"/>
        <v/>
      </c>
      <c r="B815" t="s">
        <v>3214</v>
      </c>
      <c r="C815" s="1">
        <v>46035</v>
      </c>
      <c r="F815" s="3"/>
      <c r="G815" s="158"/>
      <c r="K815" s="69">
        <f t="shared" si="27"/>
        <v>-1100048.08</v>
      </c>
    </row>
    <row r="816" spans="1:11" hidden="1">
      <c r="A816" s="137" t="str">
        <f t="shared" si="26"/>
        <v/>
      </c>
      <c r="B816" t="s">
        <v>3214</v>
      </c>
      <c r="C816" s="1">
        <v>46035</v>
      </c>
      <c r="F816" s="3"/>
      <c r="G816" s="158"/>
      <c r="K816" s="69">
        <f t="shared" si="27"/>
        <v>-1100048.08</v>
      </c>
    </row>
    <row r="817" spans="1:11" hidden="1">
      <c r="A817" s="137" t="str">
        <f t="shared" si="26"/>
        <v/>
      </c>
      <c r="B817" t="s">
        <v>3214</v>
      </c>
      <c r="C817" s="1">
        <v>46035</v>
      </c>
      <c r="F817" s="3"/>
      <c r="G817" s="158"/>
      <c r="K817" s="69">
        <f t="shared" si="27"/>
        <v>-1100048.08</v>
      </c>
    </row>
    <row r="818" spans="1:11" hidden="1">
      <c r="A818" s="137" t="str">
        <f t="shared" si="26"/>
        <v/>
      </c>
      <c r="B818" t="s">
        <v>3214</v>
      </c>
      <c r="C818" s="1">
        <v>46035</v>
      </c>
      <c r="F818" s="3"/>
      <c r="G818" s="158"/>
      <c r="K818" s="69">
        <f t="shared" si="27"/>
        <v>-1100048.08</v>
      </c>
    </row>
    <row r="819" spans="1:11" hidden="1">
      <c r="A819" s="137" t="str">
        <f t="shared" si="26"/>
        <v/>
      </c>
      <c r="B819" t="s">
        <v>3214</v>
      </c>
      <c r="C819" s="1">
        <v>46035</v>
      </c>
      <c r="F819" s="3"/>
      <c r="G819" s="158"/>
      <c r="K819" s="69">
        <f t="shared" si="27"/>
        <v>-1100048.08</v>
      </c>
    </row>
    <row r="820" spans="1:11" hidden="1">
      <c r="A820" s="137" t="str">
        <f t="shared" si="26"/>
        <v/>
      </c>
      <c r="B820" t="s">
        <v>3214</v>
      </c>
      <c r="C820" s="1">
        <v>46035</v>
      </c>
      <c r="F820" s="3"/>
      <c r="G820" s="158"/>
      <c r="K820" s="69">
        <f t="shared" si="27"/>
        <v>-1100048.08</v>
      </c>
    </row>
    <row r="821" spans="1:11" hidden="1">
      <c r="A821" s="137" t="str">
        <f t="shared" si="26"/>
        <v/>
      </c>
      <c r="B821" t="s">
        <v>3214</v>
      </c>
      <c r="C821" s="1">
        <v>46035</v>
      </c>
      <c r="F821" s="3"/>
      <c r="G821" s="158"/>
      <c r="K821" s="69">
        <f t="shared" si="27"/>
        <v>-1100048.08</v>
      </c>
    </row>
    <row r="822" spans="1:11" hidden="1">
      <c r="A822" s="137" t="str">
        <f t="shared" si="26"/>
        <v/>
      </c>
      <c r="B822" t="s">
        <v>3214</v>
      </c>
      <c r="C822" s="1">
        <v>46035</v>
      </c>
      <c r="F822" s="3"/>
      <c r="G822" s="158"/>
      <c r="K822" s="69">
        <f t="shared" si="27"/>
        <v>-1100048.08</v>
      </c>
    </row>
    <row r="823" spans="1:11" hidden="1">
      <c r="A823" s="137" t="str">
        <f t="shared" si="26"/>
        <v/>
      </c>
      <c r="B823" t="s">
        <v>3214</v>
      </c>
      <c r="C823" s="1">
        <v>46035</v>
      </c>
      <c r="F823" s="3"/>
      <c r="G823" s="158"/>
      <c r="K823" s="69">
        <f t="shared" si="27"/>
        <v>-1100048.08</v>
      </c>
    </row>
    <row r="824" spans="1:11" hidden="1">
      <c r="A824" s="137" t="str">
        <f t="shared" si="26"/>
        <v/>
      </c>
      <c r="B824" t="s">
        <v>3214</v>
      </c>
      <c r="C824" s="1">
        <v>46035</v>
      </c>
      <c r="F824" s="3"/>
      <c r="G824" s="158"/>
      <c r="K824" s="69">
        <f t="shared" si="27"/>
        <v>-1100048.08</v>
      </c>
    </row>
    <row r="825" spans="1:11" hidden="1">
      <c r="A825" s="137" t="str">
        <f t="shared" si="26"/>
        <v/>
      </c>
      <c r="B825" t="s">
        <v>3214</v>
      </c>
      <c r="C825" s="1">
        <v>46035</v>
      </c>
      <c r="F825" s="3"/>
      <c r="G825" s="158"/>
      <c r="K825" s="69">
        <f t="shared" si="27"/>
        <v>-1100048.08</v>
      </c>
    </row>
    <row r="826" spans="1:11" hidden="1">
      <c r="A826" s="137" t="str">
        <f t="shared" si="26"/>
        <v/>
      </c>
      <c r="B826" t="s">
        <v>3214</v>
      </c>
      <c r="C826" s="1">
        <v>46035</v>
      </c>
      <c r="F826" s="3"/>
      <c r="G826" s="158"/>
      <c r="K826" s="69">
        <f t="shared" si="27"/>
        <v>-1100048.08</v>
      </c>
    </row>
    <row r="827" spans="1:11" hidden="1">
      <c r="A827" s="137" t="str">
        <f t="shared" ref="A827:A890" si="28">D827&amp;E827&amp;F827</f>
        <v/>
      </c>
      <c r="B827" t="s">
        <v>3214</v>
      </c>
      <c r="C827" s="1">
        <v>46035</v>
      </c>
      <c r="F827" s="3"/>
      <c r="G827" s="158"/>
      <c r="K827" s="69">
        <f t="shared" si="27"/>
        <v>-1100048.08</v>
      </c>
    </row>
    <row r="828" spans="1:11" hidden="1">
      <c r="A828" s="137" t="str">
        <f t="shared" si="28"/>
        <v/>
      </c>
      <c r="B828" t="s">
        <v>3214</v>
      </c>
      <c r="C828" s="1">
        <v>46035</v>
      </c>
      <c r="F828" s="3"/>
      <c r="G828" s="158"/>
      <c r="K828" s="69">
        <f t="shared" si="27"/>
        <v>-1100048.08</v>
      </c>
    </row>
    <row r="829" spans="1:11" hidden="1">
      <c r="A829" s="137" t="str">
        <f t="shared" si="28"/>
        <v/>
      </c>
      <c r="B829" t="s">
        <v>3214</v>
      </c>
      <c r="C829" s="1">
        <v>46035</v>
      </c>
      <c r="F829" s="3"/>
      <c r="G829" s="158"/>
      <c r="K829" s="69">
        <f t="shared" si="27"/>
        <v>-1100048.08</v>
      </c>
    </row>
    <row r="830" spans="1:11" hidden="1">
      <c r="A830" s="137" t="str">
        <f t="shared" si="28"/>
        <v/>
      </c>
      <c r="B830" t="s">
        <v>3214</v>
      </c>
      <c r="C830" s="1">
        <v>46035</v>
      </c>
      <c r="F830" s="3"/>
      <c r="G830" s="158"/>
      <c r="K830" s="69">
        <f t="shared" si="27"/>
        <v>-1100048.08</v>
      </c>
    </row>
    <row r="831" spans="1:11" hidden="1">
      <c r="A831" s="137" t="str">
        <f t="shared" si="28"/>
        <v/>
      </c>
      <c r="B831" t="s">
        <v>3214</v>
      </c>
      <c r="C831" s="1">
        <v>46035</v>
      </c>
      <c r="F831" s="3"/>
      <c r="G831" s="158"/>
      <c r="K831" s="69">
        <f t="shared" si="27"/>
        <v>-1100048.08</v>
      </c>
    </row>
    <row r="832" spans="1:11" hidden="1">
      <c r="A832" s="137" t="str">
        <f t="shared" si="28"/>
        <v/>
      </c>
      <c r="B832" t="s">
        <v>3214</v>
      </c>
      <c r="C832" s="1">
        <v>46035</v>
      </c>
      <c r="F832" s="3"/>
      <c r="G832" s="158"/>
      <c r="K832" s="69">
        <f t="shared" si="27"/>
        <v>-1100048.08</v>
      </c>
    </row>
    <row r="833" spans="1:11" hidden="1">
      <c r="A833" s="137" t="str">
        <f t="shared" si="28"/>
        <v/>
      </c>
      <c r="B833" t="s">
        <v>3214</v>
      </c>
      <c r="C833" s="1">
        <v>46035</v>
      </c>
      <c r="F833" s="3"/>
      <c r="G833" s="158"/>
      <c r="K833" s="69">
        <f t="shared" si="27"/>
        <v>-1100048.08</v>
      </c>
    </row>
    <row r="834" spans="1:11" hidden="1">
      <c r="A834" s="137" t="str">
        <f t="shared" si="28"/>
        <v/>
      </c>
      <c r="B834" t="s">
        <v>3214</v>
      </c>
      <c r="C834" s="1">
        <v>46035</v>
      </c>
      <c r="F834" s="3"/>
      <c r="G834" s="158"/>
      <c r="K834" s="69">
        <f t="shared" si="27"/>
        <v>-1100048.08</v>
      </c>
    </row>
    <row r="835" spans="1:11" hidden="1">
      <c r="A835" s="137" t="str">
        <f t="shared" si="28"/>
        <v/>
      </c>
      <c r="B835" t="s">
        <v>3214</v>
      </c>
      <c r="C835" s="1">
        <v>46035</v>
      </c>
      <c r="F835" s="3"/>
      <c r="G835" s="158"/>
      <c r="K835" s="69">
        <f t="shared" si="27"/>
        <v>-1100048.08</v>
      </c>
    </row>
    <row r="836" spans="1:11" hidden="1">
      <c r="A836" s="137" t="str">
        <f t="shared" si="28"/>
        <v/>
      </c>
      <c r="B836" t="s">
        <v>3214</v>
      </c>
      <c r="C836" s="1">
        <v>46035</v>
      </c>
      <c r="F836" s="3"/>
      <c r="G836" s="158"/>
      <c r="K836" s="69">
        <f t="shared" si="27"/>
        <v>-1100048.08</v>
      </c>
    </row>
    <row r="837" spans="1:11" hidden="1">
      <c r="A837" s="137" t="str">
        <f t="shared" si="28"/>
        <v/>
      </c>
      <c r="B837" t="s">
        <v>3214</v>
      </c>
      <c r="C837" s="1">
        <v>46035</v>
      </c>
      <c r="F837" s="3"/>
      <c r="G837" s="158"/>
      <c r="K837" s="69">
        <f t="shared" si="27"/>
        <v>-1100048.08</v>
      </c>
    </row>
    <row r="838" spans="1:11" hidden="1">
      <c r="A838" s="137" t="str">
        <f t="shared" si="28"/>
        <v/>
      </c>
      <c r="B838" t="s">
        <v>3214</v>
      </c>
      <c r="C838" s="1">
        <v>46035</v>
      </c>
      <c r="F838" s="3"/>
      <c r="G838" s="158"/>
      <c r="K838" s="69">
        <f t="shared" si="27"/>
        <v>-1100048.08</v>
      </c>
    </row>
    <row r="839" spans="1:11" hidden="1">
      <c r="A839" s="137" t="str">
        <f t="shared" si="28"/>
        <v/>
      </c>
      <c r="B839" t="s">
        <v>3214</v>
      </c>
      <c r="C839" s="1">
        <v>46035</v>
      </c>
      <c r="F839" s="3"/>
      <c r="G839" s="158"/>
      <c r="K839" s="69">
        <f t="shared" si="27"/>
        <v>-1100048.08</v>
      </c>
    </row>
    <row r="840" spans="1:11" hidden="1">
      <c r="A840" s="137" t="str">
        <f t="shared" si="28"/>
        <v/>
      </c>
      <c r="B840" t="s">
        <v>3214</v>
      </c>
      <c r="C840" s="1">
        <v>46035</v>
      </c>
      <c r="F840" s="3"/>
      <c r="G840" s="158"/>
      <c r="K840" s="69">
        <f t="shared" si="27"/>
        <v>-1100048.08</v>
      </c>
    </row>
    <row r="841" spans="1:11" hidden="1">
      <c r="A841" s="137" t="str">
        <f t="shared" si="28"/>
        <v/>
      </c>
      <c r="B841" t="s">
        <v>3214</v>
      </c>
      <c r="C841" s="1">
        <v>46035</v>
      </c>
      <c r="F841" s="3"/>
      <c r="G841" s="158"/>
      <c r="K841" s="69">
        <f t="shared" si="27"/>
        <v>-1100048.08</v>
      </c>
    </row>
    <row r="842" spans="1:11" hidden="1">
      <c r="A842" s="137" t="str">
        <f t="shared" si="28"/>
        <v/>
      </c>
      <c r="B842" t="s">
        <v>3214</v>
      </c>
      <c r="C842" s="1">
        <v>46035</v>
      </c>
      <c r="F842" s="3"/>
      <c r="G842" s="158"/>
      <c r="K842" s="69">
        <f t="shared" si="27"/>
        <v>-1100048.08</v>
      </c>
    </row>
    <row r="843" spans="1:11" hidden="1">
      <c r="A843" s="137" t="str">
        <f t="shared" si="28"/>
        <v/>
      </c>
      <c r="B843" t="s">
        <v>3214</v>
      </c>
      <c r="C843" s="1">
        <v>46035</v>
      </c>
      <c r="F843" s="3"/>
      <c r="G843" s="158"/>
      <c r="K843" s="69">
        <f t="shared" si="27"/>
        <v>-1100048.08</v>
      </c>
    </row>
    <row r="844" spans="1:11" hidden="1">
      <c r="A844" s="137" t="str">
        <f t="shared" si="28"/>
        <v/>
      </c>
      <c r="B844" t="s">
        <v>3214</v>
      </c>
      <c r="C844" s="1">
        <v>46035</v>
      </c>
      <c r="F844" s="3"/>
      <c r="G844" s="158"/>
      <c r="K844" s="69">
        <f t="shared" si="27"/>
        <v>-1100048.08</v>
      </c>
    </row>
    <row r="845" spans="1:11" hidden="1">
      <c r="A845" s="137" t="str">
        <f t="shared" si="28"/>
        <v/>
      </c>
      <c r="B845" t="s">
        <v>3214</v>
      </c>
      <c r="C845" s="1">
        <v>46035</v>
      </c>
      <c r="F845" s="3"/>
      <c r="G845" s="158"/>
      <c r="K845" s="69">
        <f t="shared" si="27"/>
        <v>-1100048.08</v>
      </c>
    </row>
    <row r="846" spans="1:11" hidden="1">
      <c r="A846" s="137" t="str">
        <f t="shared" si="28"/>
        <v/>
      </c>
      <c r="B846" t="s">
        <v>3214</v>
      </c>
      <c r="C846" s="1">
        <v>46035</v>
      </c>
      <c r="F846" s="3"/>
      <c r="G846" s="158"/>
      <c r="K846" s="69">
        <f t="shared" si="27"/>
        <v>-1100048.08</v>
      </c>
    </row>
    <row r="847" spans="1:11" hidden="1">
      <c r="A847" s="137" t="str">
        <f t="shared" si="28"/>
        <v/>
      </c>
      <c r="B847" t="s">
        <v>3214</v>
      </c>
      <c r="C847" s="1">
        <v>46035</v>
      </c>
      <c r="F847" s="3"/>
      <c r="G847" s="158"/>
      <c r="K847" s="69">
        <f t="shared" si="27"/>
        <v>-1100048.08</v>
      </c>
    </row>
    <row r="848" spans="1:11" hidden="1">
      <c r="A848" s="137" t="str">
        <f t="shared" si="28"/>
        <v/>
      </c>
      <c r="B848" t="s">
        <v>3214</v>
      </c>
      <c r="C848" s="1">
        <v>46035</v>
      </c>
      <c r="F848" s="3"/>
      <c r="G848" s="158"/>
      <c r="K848" s="69">
        <f t="shared" si="27"/>
        <v>-1100048.08</v>
      </c>
    </row>
    <row r="849" spans="1:11" hidden="1">
      <c r="A849" s="137" t="str">
        <f t="shared" si="28"/>
        <v/>
      </c>
      <c r="B849" t="s">
        <v>3214</v>
      </c>
      <c r="C849" s="1">
        <v>46035</v>
      </c>
      <c r="F849" s="3"/>
      <c r="G849" s="158"/>
      <c r="K849" s="69">
        <f t="shared" si="27"/>
        <v>-1100048.08</v>
      </c>
    </row>
    <row r="850" spans="1:11" hidden="1">
      <c r="A850" s="137" t="str">
        <f t="shared" si="28"/>
        <v/>
      </c>
      <c r="B850" t="s">
        <v>3214</v>
      </c>
      <c r="C850" s="1">
        <v>46035</v>
      </c>
      <c r="F850" s="3"/>
      <c r="G850" s="158"/>
      <c r="K850" s="69">
        <f t="shared" si="27"/>
        <v>-1100048.08</v>
      </c>
    </row>
    <row r="851" spans="1:11" hidden="1">
      <c r="A851" s="137" t="str">
        <f t="shared" si="28"/>
        <v/>
      </c>
      <c r="B851" t="s">
        <v>3214</v>
      </c>
      <c r="C851" s="1">
        <v>46035</v>
      </c>
      <c r="F851" s="3"/>
      <c r="G851" s="158"/>
      <c r="K851" s="69">
        <f t="shared" si="27"/>
        <v>-1100048.08</v>
      </c>
    </row>
    <row r="852" spans="1:11" hidden="1">
      <c r="A852" s="137" t="str">
        <f t="shared" si="28"/>
        <v/>
      </c>
      <c r="B852" t="s">
        <v>3214</v>
      </c>
      <c r="C852" s="1">
        <v>46035</v>
      </c>
      <c r="F852" s="3"/>
      <c r="G852" s="158"/>
      <c r="K852" s="69">
        <f t="shared" si="27"/>
        <v>-1100048.08</v>
      </c>
    </row>
    <row r="853" spans="1:11" hidden="1">
      <c r="A853" s="137" t="str">
        <f t="shared" si="28"/>
        <v/>
      </c>
      <c r="B853" t="s">
        <v>3214</v>
      </c>
      <c r="C853" s="1">
        <v>46035</v>
      </c>
      <c r="F853" s="3"/>
      <c r="G853" s="158"/>
      <c r="K853" s="69">
        <f t="shared" si="27"/>
        <v>-1100048.08</v>
      </c>
    </row>
    <row r="854" spans="1:11" hidden="1">
      <c r="A854" s="137" t="str">
        <f t="shared" si="28"/>
        <v/>
      </c>
      <c r="B854" t="s">
        <v>3214</v>
      </c>
      <c r="C854" s="1">
        <v>46035</v>
      </c>
      <c r="F854" s="3"/>
      <c r="G854" s="158"/>
      <c r="K854" s="69">
        <f t="shared" ref="K854:K882" si="29">K853+I854-J854</f>
        <v>-1100048.08</v>
      </c>
    </row>
    <row r="855" spans="1:11" hidden="1">
      <c r="A855" s="137" t="str">
        <f t="shared" si="28"/>
        <v/>
      </c>
      <c r="B855" t="s">
        <v>3214</v>
      </c>
      <c r="C855" s="1">
        <v>46035</v>
      </c>
      <c r="F855" s="3"/>
      <c r="G855" s="158"/>
      <c r="K855" s="69">
        <f t="shared" si="29"/>
        <v>-1100048.08</v>
      </c>
    </row>
    <row r="856" spans="1:11" hidden="1">
      <c r="A856" s="137" t="str">
        <f t="shared" si="28"/>
        <v/>
      </c>
      <c r="B856" t="s">
        <v>3214</v>
      </c>
      <c r="C856" s="1">
        <v>46035</v>
      </c>
      <c r="F856" s="3"/>
      <c r="G856" s="158"/>
      <c r="K856" s="69">
        <f t="shared" si="29"/>
        <v>-1100048.08</v>
      </c>
    </row>
    <row r="857" spans="1:11" hidden="1">
      <c r="A857" s="137" t="str">
        <f t="shared" si="28"/>
        <v/>
      </c>
      <c r="B857" t="s">
        <v>3214</v>
      </c>
      <c r="C857" s="1">
        <v>46035</v>
      </c>
      <c r="F857" s="3"/>
      <c r="G857" s="158"/>
      <c r="K857" s="69">
        <f t="shared" si="29"/>
        <v>-1100048.08</v>
      </c>
    </row>
    <row r="858" spans="1:11" hidden="1">
      <c r="A858" s="137" t="str">
        <f t="shared" si="28"/>
        <v/>
      </c>
      <c r="B858" t="s">
        <v>3214</v>
      </c>
      <c r="C858" s="1">
        <v>46035</v>
      </c>
      <c r="F858" s="3"/>
      <c r="G858" s="158"/>
      <c r="K858" s="69">
        <f t="shared" si="29"/>
        <v>-1100048.08</v>
      </c>
    </row>
    <row r="859" spans="1:11" hidden="1">
      <c r="A859" s="137" t="str">
        <f t="shared" si="28"/>
        <v/>
      </c>
      <c r="B859" t="s">
        <v>3214</v>
      </c>
      <c r="C859" s="1">
        <v>46035</v>
      </c>
      <c r="F859" s="3"/>
      <c r="G859" s="158"/>
      <c r="K859" s="69">
        <f t="shared" si="29"/>
        <v>-1100048.08</v>
      </c>
    </row>
    <row r="860" spans="1:11" hidden="1">
      <c r="A860" s="137" t="str">
        <f t="shared" si="28"/>
        <v/>
      </c>
      <c r="B860" t="s">
        <v>3214</v>
      </c>
      <c r="C860" s="1">
        <v>46035</v>
      </c>
      <c r="F860" s="3"/>
      <c r="G860" s="158"/>
      <c r="K860" s="69">
        <f t="shared" si="29"/>
        <v>-1100048.08</v>
      </c>
    </row>
    <row r="861" spans="1:11" hidden="1">
      <c r="A861" s="137" t="str">
        <f t="shared" si="28"/>
        <v/>
      </c>
      <c r="B861" t="s">
        <v>3214</v>
      </c>
      <c r="C861" s="1">
        <v>46035</v>
      </c>
      <c r="F861" s="3"/>
      <c r="G861" s="158"/>
      <c r="K861" s="69">
        <f t="shared" si="29"/>
        <v>-1100048.08</v>
      </c>
    </row>
    <row r="862" spans="1:11" hidden="1">
      <c r="A862" s="137" t="str">
        <f t="shared" si="28"/>
        <v/>
      </c>
      <c r="B862" t="s">
        <v>3214</v>
      </c>
      <c r="C862" s="1">
        <v>46035</v>
      </c>
      <c r="F862" s="3"/>
      <c r="G862" s="158"/>
      <c r="K862" s="69">
        <f t="shared" si="29"/>
        <v>-1100048.08</v>
      </c>
    </row>
    <row r="863" spans="1:11" hidden="1">
      <c r="A863" s="137" t="str">
        <f t="shared" si="28"/>
        <v/>
      </c>
      <c r="B863" t="s">
        <v>3214</v>
      </c>
      <c r="C863" s="1">
        <v>46035</v>
      </c>
      <c r="F863" s="3"/>
      <c r="G863" s="158"/>
      <c r="K863" s="69">
        <f t="shared" si="29"/>
        <v>-1100048.08</v>
      </c>
    </row>
    <row r="864" spans="1:11" hidden="1">
      <c r="A864" s="137" t="str">
        <f t="shared" si="28"/>
        <v/>
      </c>
      <c r="B864" t="s">
        <v>3214</v>
      </c>
      <c r="C864" s="1">
        <v>46035</v>
      </c>
      <c r="F864" s="3"/>
      <c r="G864" s="158"/>
      <c r="K864" s="69">
        <f t="shared" si="29"/>
        <v>-1100048.08</v>
      </c>
    </row>
    <row r="865" spans="1:11" hidden="1">
      <c r="A865" s="137" t="str">
        <f t="shared" si="28"/>
        <v/>
      </c>
      <c r="B865" t="s">
        <v>3214</v>
      </c>
      <c r="C865" s="1">
        <v>46035</v>
      </c>
      <c r="F865" s="3"/>
      <c r="G865" s="158"/>
      <c r="K865" s="69">
        <f t="shared" si="29"/>
        <v>-1100048.08</v>
      </c>
    </row>
    <row r="866" spans="1:11" hidden="1">
      <c r="A866" s="137" t="str">
        <f t="shared" si="28"/>
        <v/>
      </c>
      <c r="B866" t="s">
        <v>3214</v>
      </c>
      <c r="C866" s="1">
        <v>46035</v>
      </c>
      <c r="F866" s="3"/>
      <c r="G866" s="158"/>
      <c r="K866" s="69">
        <f t="shared" si="29"/>
        <v>-1100048.08</v>
      </c>
    </row>
    <row r="867" spans="1:11" hidden="1">
      <c r="A867" s="137" t="str">
        <f t="shared" si="28"/>
        <v/>
      </c>
      <c r="B867" t="s">
        <v>3214</v>
      </c>
      <c r="C867" s="1">
        <v>46035</v>
      </c>
      <c r="F867" s="3"/>
      <c r="G867" s="158"/>
      <c r="K867" s="69">
        <f t="shared" si="29"/>
        <v>-1100048.08</v>
      </c>
    </row>
    <row r="868" spans="1:11" hidden="1">
      <c r="A868" s="137" t="str">
        <f t="shared" si="28"/>
        <v/>
      </c>
      <c r="B868" t="s">
        <v>3214</v>
      </c>
      <c r="C868" s="1">
        <v>46035</v>
      </c>
      <c r="F868" s="3"/>
      <c r="G868" s="158"/>
      <c r="K868" s="69">
        <f t="shared" si="29"/>
        <v>-1100048.08</v>
      </c>
    </row>
    <row r="869" spans="1:11" hidden="1">
      <c r="A869" s="137" t="str">
        <f t="shared" si="28"/>
        <v/>
      </c>
      <c r="B869" t="s">
        <v>3214</v>
      </c>
      <c r="C869" s="1">
        <v>46035</v>
      </c>
      <c r="F869" s="3"/>
      <c r="G869" s="158"/>
      <c r="K869" s="69">
        <f t="shared" si="29"/>
        <v>-1100048.08</v>
      </c>
    </row>
    <row r="870" spans="1:11" hidden="1">
      <c r="A870" s="137" t="str">
        <f t="shared" si="28"/>
        <v/>
      </c>
      <c r="B870" t="s">
        <v>3214</v>
      </c>
      <c r="C870" s="1">
        <v>46035</v>
      </c>
      <c r="F870" s="3"/>
      <c r="G870" s="158"/>
      <c r="K870" s="69">
        <f t="shared" si="29"/>
        <v>-1100048.08</v>
      </c>
    </row>
    <row r="871" spans="1:11" hidden="1">
      <c r="A871" s="137" t="str">
        <f t="shared" si="28"/>
        <v/>
      </c>
      <c r="B871" t="s">
        <v>3214</v>
      </c>
      <c r="C871" s="1">
        <v>46035</v>
      </c>
      <c r="F871" s="3"/>
      <c r="G871" s="158"/>
      <c r="K871" s="69">
        <f t="shared" si="29"/>
        <v>-1100048.08</v>
      </c>
    </row>
    <row r="872" spans="1:11" hidden="1">
      <c r="A872" s="137" t="str">
        <f t="shared" si="28"/>
        <v/>
      </c>
      <c r="B872" t="s">
        <v>3214</v>
      </c>
      <c r="C872" s="1">
        <v>46035</v>
      </c>
      <c r="F872" s="3"/>
      <c r="G872" s="158"/>
      <c r="K872" s="69">
        <f t="shared" si="29"/>
        <v>-1100048.08</v>
      </c>
    </row>
    <row r="873" spans="1:11" hidden="1">
      <c r="A873" s="137" t="str">
        <f t="shared" si="28"/>
        <v/>
      </c>
      <c r="B873" t="s">
        <v>3214</v>
      </c>
      <c r="C873" s="1">
        <v>46035</v>
      </c>
      <c r="F873" s="3"/>
      <c r="G873" s="158"/>
      <c r="K873" s="69">
        <f t="shared" si="29"/>
        <v>-1100048.08</v>
      </c>
    </row>
    <row r="874" spans="1:11" hidden="1">
      <c r="A874" s="137" t="str">
        <f t="shared" si="28"/>
        <v/>
      </c>
      <c r="B874" t="s">
        <v>3214</v>
      </c>
      <c r="C874" s="1">
        <v>46035</v>
      </c>
      <c r="F874" s="3"/>
      <c r="G874" s="158"/>
      <c r="K874" s="69">
        <f t="shared" si="29"/>
        <v>-1100048.08</v>
      </c>
    </row>
    <row r="875" spans="1:11" hidden="1">
      <c r="A875" s="137" t="str">
        <f t="shared" si="28"/>
        <v/>
      </c>
      <c r="B875" t="s">
        <v>3214</v>
      </c>
      <c r="C875" s="1">
        <v>46035</v>
      </c>
      <c r="F875" s="3"/>
      <c r="G875" s="158"/>
      <c r="K875" s="69">
        <f t="shared" si="29"/>
        <v>-1100048.08</v>
      </c>
    </row>
    <row r="876" spans="1:11" hidden="1">
      <c r="A876" s="137" t="str">
        <f t="shared" si="28"/>
        <v/>
      </c>
      <c r="B876" t="s">
        <v>3214</v>
      </c>
      <c r="C876" s="1">
        <v>46035</v>
      </c>
      <c r="F876" s="3"/>
      <c r="G876" s="158"/>
      <c r="K876" s="69">
        <f t="shared" si="29"/>
        <v>-1100048.08</v>
      </c>
    </row>
    <row r="877" spans="1:11" hidden="1">
      <c r="A877" s="137" t="str">
        <f t="shared" si="28"/>
        <v/>
      </c>
      <c r="B877" t="s">
        <v>3214</v>
      </c>
      <c r="C877" s="1">
        <v>46035</v>
      </c>
      <c r="F877" s="3"/>
      <c r="G877" s="158"/>
      <c r="K877" s="69">
        <f t="shared" si="29"/>
        <v>-1100048.08</v>
      </c>
    </row>
    <row r="878" spans="1:11" hidden="1">
      <c r="A878" s="137" t="str">
        <f t="shared" si="28"/>
        <v/>
      </c>
      <c r="B878" t="s">
        <v>3214</v>
      </c>
      <c r="C878" s="1">
        <v>46035</v>
      </c>
      <c r="F878" s="3"/>
      <c r="G878" s="158"/>
      <c r="K878" s="69">
        <f t="shared" si="29"/>
        <v>-1100048.08</v>
      </c>
    </row>
    <row r="879" spans="1:11" hidden="1">
      <c r="A879" s="137" t="str">
        <f t="shared" si="28"/>
        <v/>
      </c>
      <c r="B879" t="s">
        <v>3214</v>
      </c>
      <c r="C879" s="1">
        <v>46035</v>
      </c>
      <c r="F879" s="3"/>
      <c r="G879" s="158"/>
      <c r="K879" s="69">
        <f t="shared" si="29"/>
        <v>-1100048.08</v>
      </c>
    </row>
    <row r="880" spans="1:11" hidden="1">
      <c r="A880" s="137" t="str">
        <f t="shared" si="28"/>
        <v/>
      </c>
      <c r="B880" t="s">
        <v>3214</v>
      </c>
      <c r="C880" s="1">
        <v>46035</v>
      </c>
      <c r="F880" s="3"/>
      <c r="G880" s="158"/>
      <c r="K880" s="69">
        <f t="shared" si="29"/>
        <v>-1100048.08</v>
      </c>
    </row>
    <row r="881" spans="1:11" hidden="1">
      <c r="A881" s="137" t="str">
        <f t="shared" si="28"/>
        <v/>
      </c>
      <c r="B881" t="s">
        <v>3214</v>
      </c>
      <c r="C881" s="1">
        <v>46035</v>
      </c>
      <c r="F881" s="3"/>
      <c r="G881" s="158"/>
      <c r="K881" s="69">
        <f t="shared" si="29"/>
        <v>-1100048.08</v>
      </c>
    </row>
    <row r="882" spans="1:11" hidden="1">
      <c r="A882" s="137" t="str">
        <f t="shared" si="28"/>
        <v/>
      </c>
      <c r="B882" t="s">
        <v>3214</v>
      </c>
      <c r="C882" s="1">
        <v>46035</v>
      </c>
      <c r="F882" s="3"/>
      <c r="G882" s="158"/>
      <c r="K882" s="69">
        <f t="shared" si="29"/>
        <v>-1100048.08</v>
      </c>
    </row>
    <row r="883" spans="1:11" hidden="1">
      <c r="A883" s="137" t="str">
        <f t="shared" si="28"/>
        <v/>
      </c>
      <c r="B883" t="s">
        <v>3214</v>
      </c>
      <c r="C883" s="1">
        <v>46035</v>
      </c>
      <c r="I883" s="3"/>
      <c r="J883" s="3"/>
    </row>
    <row r="884" spans="1:11" hidden="1">
      <c r="A884" s="137" t="str">
        <f t="shared" si="28"/>
        <v/>
      </c>
      <c r="B884" t="s">
        <v>3214</v>
      </c>
      <c r="C884" s="1">
        <v>46035</v>
      </c>
      <c r="I884" s="3"/>
      <c r="J884" s="3"/>
    </row>
    <row r="885" spans="1:11" hidden="1">
      <c r="A885" s="137" t="str">
        <f t="shared" si="28"/>
        <v/>
      </c>
      <c r="B885" t="s">
        <v>3214</v>
      </c>
      <c r="C885" s="1">
        <v>46035</v>
      </c>
      <c r="K885" s="69" t="e">
        <f>K884+#REF!-#REF!</f>
        <v>#REF!</v>
      </c>
    </row>
    <row r="886" spans="1:11" hidden="1">
      <c r="A886" s="137" t="str">
        <f t="shared" si="28"/>
        <v/>
      </c>
      <c r="B886" t="s">
        <v>3214</v>
      </c>
      <c r="C886" s="1">
        <v>46035</v>
      </c>
      <c r="K886" s="69" t="e">
        <f>K885+#REF!-#REF!</f>
        <v>#REF!</v>
      </c>
    </row>
    <row r="887" spans="1:11" hidden="1">
      <c r="A887" s="137" t="str">
        <f t="shared" si="28"/>
        <v/>
      </c>
      <c r="B887" t="s">
        <v>3214</v>
      </c>
      <c r="C887" s="1">
        <v>46035</v>
      </c>
      <c r="K887" s="69" t="e">
        <f>K886+#REF!-#REF!</f>
        <v>#REF!</v>
      </c>
    </row>
    <row r="888" spans="1:11" hidden="1">
      <c r="A888" s="137" t="str">
        <f t="shared" si="28"/>
        <v/>
      </c>
      <c r="B888" t="s">
        <v>3214</v>
      </c>
      <c r="C888" s="1">
        <v>46035</v>
      </c>
      <c r="K888" s="69" t="e">
        <f>K887+#REF!-#REF!</f>
        <v>#REF!</v>
      </c>
    </row>
    <row r="889" spans="1:11" hidden="1">
      <c r="A889" s="137" t="str">
        <f t="shared" si="28"/>
        <v/>
      </c>
      <c r="B889" t="s">
        <v>3214</v>
      </c>
      <c r="C889" s="1">
        <v>46035</v>
      </c>
      <c r="K889" s="69" t="e">
        <f>K888+#REF!-#REF!</f>
        <v>#REF!</v>
      </c>
    </row>
    <row r="890" spans="1:11" hidden="1">
      <c r="A890" s="137" t="str">
        <f t="shared" si="28"/>
        <v/>
      </c>
      <c r="B890" t="s">
        <v>3214</v>
      </c>
      <c r="C890" s="1">
        <v>46035</v>
      </c>
      <c r="K890" s="69" t="e">
        <f>K889+#REF!-#REF!</f>
        <v>#REF!</v>
      </c>
    </row>
    <row r="891" spans="1:11" hidden="1">
      <c r="A891" s="137" t="str">
        <f t="shared" ref="A891:A909" si="30">D891&amp;E891&amp;F891</f>
        <v/>
      </c>
      <c r="B891" t="s">
        <v>3214</v>
      </c>
      <c r="C891" s="1">
        <v>46035</v>
      </c>
      <c r="K891" s="69" t="e">
        <f>K890+#REF!-#REF!</f>
        <v>#REF!</v>
      </c>
    </row>
    <row r="892" spans="1:11" hidden="1">
      <c r="A892" s="137" t="str">
        <f t="shared" si="30"/>
        <v/>
      </c>
      <c r="B892" t="s">
        <v>3214</v>
      </c>
      <c r="C892" s="1">
        <v>46035</v>
      </c>
      <c r="K892" s="69" t="e">
        <f>K891+#REF!-#REF!</f>
        <v>#REF!</v>
      </c>
    </row>
    <row r="893" spans="1:11" hidden="1">
      <c r="A893" s="137" t="str">
        <f t="shared" si="30"/>
        <v/>
      </c>
      <c r="B893" t="s">
        <v>3214</v>
      </c>
      <c r="C893" s="1">
        <v>46035</v>
      </c>
      <c r="K893" s="69" t="e">
        <f>K892+#REF!-#REF!</f>
        <v>#REF!</v>
      </c>
    </row>
    <row r="894" spans="1:11" hidden="1">
      <c r="A894" s="137" t="str">
        <f t="shared" si="30"/>
        <v/>
      </c>
      <c r="B894" t="s">
        <v>3214</v>
      </c>
      <c r="C894" s="1">
        <v>46035</v>
      </c>
      <c r="K894" s="69" t="e">
        <f>K893+#REF!-#REF!</f>
        <v>#REF!</v>
      </c>
    </row>
    <row r="895" spans="1:11" ht="15" hidden="1">
      <c r="A895" s="137" t="str">
        <f t="shared" si="30"/>
        <v/>
      </c>
      <c r="B895" t="s">
        <v>3214</v>
      </c>
      <c r="C895" s="1">
        <v>46035</v>
      </c>
      <c r="H895" s="98"/>
    </row>
    <row r="896" spans="1:11" ht="15" hidden="1">
      <c r="A896" s="137" t="str">
        <f t="shared" si="30"/>
        <v/>
      </c>
      <c r="B896" t="s">
        <v>3214</v>
      </c>
      <c r="C896" s="1">
        <v>46035</v>
      </c>
    </row>
    <row r="897" spans="1:3" ht="15" hidden="1">
      <c r="A897" s="137" t="str">
        <f t="shared" si="30"/>
        <v/>
      </c>
      <c r="B897" t="s">
        <v>3214</v>
      </c>
      <c r="C897" s="1">
        <v>46035</v>
      </c>
    </row>
    <row r="898" spans="1:3" ht="15" hidden="1">
      <c r="A898" s="137" t="str">
        <f t="shared" si="30"/>
        <v/>
      </c>
      <c r="B898" t="s">
        <v>3214</v>
      </c>
      <c r="C898" s="1">
        <v>46035</v>
      </c>
    </row>
    <row r="899" spans="1:3" ht="15" hidden="1">
      <c r="A899" s="137" t="str">
        <f t="shared" si="30"/>
        <v/>
      </c>
      <c r="B899" t="s">
        <v>3214</v>
      </c>
      <c r="C899" s="1">
        <v>46035</v>
      </c>
    </row>
    <row r="900" spans="1:3" ht="15" hidden="1">
      <c r="A900" s="137" t="str">
        <f t="shared" si="30"/>
        <v/>
      </c>
      <c r="B900" t="s">
        <v>3214</v>
      </c>
      <c r="C900" s="1">
        <v>46035</v>
      </c>
    </row>
    <row r="901" spans="1:3" ht="15" hidden="1">
      <c r="A901" s="137" t="str">
        <f t="shared" si="30"/>
        <v/>
      </c>
      <c r="B901" t="s">
        <v>3214</v>
      </c>
      <c r="C901" s="1">
        <v>46035</v>
      </c>
    </row>
    <row r="902" spans="1:3" ht="15" hidden="1">
      <c r="A902" s="137" t="str">
        <f t="shared" si="30"/>
        <v/>
      </c>
      <c r="B902" t="s">
        <v>3214</v>
      </c>
      <c r="C902" s="1">
        <v>46035</v>
      </c>
    </row>
    <row r="903" spans="1:3" ht="15" hidden="1">
      <c r="A903" s="137" t="str">
        <f t="shared" si="30"/>
        <v/>
      </c>
      <c r="B903" t="s">
        <v>3214</v>
      </c>
      <c r="C903" s="1">
        <v>46035</v>
      </c>
    </row>
    <row r="904" spans="1:3" ht="15" hidden="1">
      <c r="A904" s="137" t="str">
        <f t="shared" si="30"/>
        <v/>
      </c>
      <c r="B904" t="s">
        <v>3214</v>
      </c>
      <c r="C904" s="1">
        <v>46035</v>
      </c>
    </row>
    <row r="905" spans="1:3" ht="15" hidden="1">
      <c r="A905" s="137" t="str">
        <f t="shared" si="30"/>
        <v/>
      </c>
      <c r="B905" t="s">
        <v>3214</v>
      </c>
      <c r="C905" s="1">
        <v>46035</v>
      </c>
    </row>
    <row r="906" spans="1:3" ht="15" hidden="1">
      <c r="A906" s="137" t="str">
        <f t="shared" si="30"/>
        <v/>
      </c>
      <c r="B906" t="s">
        <v>3214</v>
      </c>
      <c r="C906" s="1">
        <v>46035</v>
      </c>
    </row>
    <row r="907" spans="1:3" ht="15" hidden="1">
      <c r="A907" s="137" t="str">
        <f t="shared" si="30"/>
        <v/>
      </c>
      <c r="B907" t="s">
        <v>3214</v>
      </c>
      <c r="C907" s="1">
        <v>46035</v>
      </c>
    </row>
    <row r="908" spans="1:3" ht="15" hidden="1">
      <c r="A908" s="137" t="str">
        <f t="shared" si="30"/>
        <v/>
      </c>
      <c r="B908" t="s">
        <v>3214</v>
      </c>
      <c r="C908" s="1">
        <v>46035</v>
      </c>
    </row>
    <row r="909" spans="1:3" ht="15" hidden="1">
      <c r="A909" s="137" t="str">
        <f t="shared" si="30"/>
        <v/>
      </c>
      <c r="B909" t="s">
        <v>3214</v>
      </c>
      <c r="C909" s="1">
        <v>46035</v>
      </c>
    </row>
    <row r="910" spans="1:3" ht="15" hidden="1">
      <c r="A910" s="137" t="str">
        <f t="shared" ref="A896:A959" si="31">D910&amp;E910&amp;F910</f>
        <v/>
      </c>
      <c r="B910" t="s">
        <v>3214</v>
      </c>
      <c r="C910" s="1">
        <v>46035</v>
      </c>
    </row>
    <row r="911" spans="1:3" ht="15" hidden="1">
      <c r="A911" s="137" t="str">
        <f t="shared" si="31"/>
        <v/>
      </c>
      <c r="B911" t="s">
        <v>3214</v>
      </c>
      <c r="C911" s="1">
        <v>46035</v>
      </c>
    </row>
    <row r="912" spans="1:3" ht="15" hidden="1">
      <c r="A912" s="137" t="str">
        <f t="shared" si="31"/>
        <v/>
      </c>
      <c r="B912" t="s">
        <v>3214</v>
      </c>
      <c r="C912" s="1">
        <v>46035</v>
      </c>
    </row>
    <row r="913" spans="1:3" ht="15" hidden="1">
      <c r="A913" s="137" t="str">
        <f t="shared" si="31"/>
        <v/>
      </c>
      <c r="B913" t="s">
        <v>3214</v>
      </c>
      <c r="C913" s="1">
        <v>46035</v>
      </c>
    </row>
    <row r="914" spans="1:3" ht="15" hidden="1">
      <c r="A914" s="137" t="str">
        <f t="shared" si="31"/>
        <v/>
      </c>
      <c r="B914" t="s">
        <v>3214</v>
      </c>
      <c r="C914" s="1">
        <v>46035</v>
      </c>
    </row>
    <row r="915" spans="1:3" ht="15" hidden="1">
      <c r="A915" s="137" t="str">
        <f t="shared" si="31"/>
        <v/>
      </c>
      <c r="B915" t="s">
        <v>3214</v>
      </c>
      <c r="C915" s="1">
        <v>46035</v>
      </c>
    </row>
    <row r="916" spans="1:3" ht="15" hidden="1">
      <c r="A916" s="137" t="str">
        <f t="shared" si="31"/>
        <v/>
      </c>
      <c r="B916" t="s">
        <v>3214</v>
      </c>
      <c r="C916" s="1">
        <v>46035</v>
      </c>
    </row>
    <row r="917" spans="1:3" ht="15" hidden="1">
      <c r="A917" s="137" t="str">
        <f t="shared" si="31"/>
        <v/>
      </c>
      <c r="B917" t="s">
        <v>3214</v>
      </c>
      <c r="C917" s="1">
        <v>46035</v>
      </c>
    </row>
    <row r="918" spans="1:3" ht="15" hidden="1">
      <c r="A918" s="137" t="str">
        <f t="shared" si="31"/>
        <v/>
      </c>
      <c r="B918" t="s">
        <v>3214</v>
      </c>
      <c r="C918" s="1">
        <v>46035</v>
      </c>
    </row>
    <row r="919" spans="1:3" ht="15" hidden="1">
      <c r="A919" s="137" t="str">
        <f t="shared" si="31"/>
        <v/>
      </c>
      <c r="B919" t="s">
        <v>3214</v>
      </c>
      <c r="C919" s="1">
        <v>46035</v>
      </c>
    </row>
    <row r="920" spans="1:3" ht="15" hidden="1">
      <c r="A920" s="137" t="str">
        <f t="shared" si="31"/>
        <v/>
      </c>
      <c r="B920" t="s">
        <v>3214</v>
      </c>
      <c r="C920" s="1">
        <v>46035</v>
      </c>
    </row>
    <row r="921" spans="1:3" ht="15" hidden="1">
      <c r="A921" s="137" t="str">
        <f t="shared" si="31"/>
        <v/>
      </c>
      <c r="B921" t="s">
        <v>3214</v>
      </c>
      <c r="C921" s="1">
        <v>46035</v>
      </c>
    </row>
    <row r="922" spans="1:3" ht="15" hidden="1">
      <c r="A922" s="137" t="str">
        <f t="shared" si="31"/>
        <v/>
      </c>
      <c r="B922" t="s">
        <v>3214</v>
      </c>
      <c r="C922" s="1">
        <v>46035</v>
      </c>
    </row>
    <row r="923" spans="1:3" ht="15" hidden="1">
      <c r="A923" s="137" t="str">
        <f t="shared" si="31"/>
        <v/>
      </c>
      <c r="B923" t="s">
        <v>3214</v>
      </c>
      <c r="C923" s="1">
        <v>46035</v>
      </c>
    </row>
    <row r="924" spans="1:3" ht="15" hidden="1">
      <c r="A924" s="137" t="str">
        <f t="shared" si="31"/>
        <v/>
      </c>
      <c r="B924" t="s">
        <v>3214</v>
      </c>
      <c r="C924" s="1">
        <v>46035</v>
      </c>
    </row>
    <row r="925" spans="1:3" ht="15" hidden="1">
      <c r="A925" s="137" t="str">
        <f t="shared" si="31"/>
        <v/>
      </c>
      <c r="B925" t="s">
        <v>3214</v>
      </c>
      <c r="C925" s="1">
        <v>46035</v>
      </c>
    </row>
    <row r="926" spans="1:3" ht="15" hidden="1">
      <c r="A926" s="137" t="str">
        <f t="shared" si="31"/>
        <v/>
      </c>
      <c r="B926" t="s">
        <v>3214</v>
      </c>
      <c r="C926" s="1">
        <v>46035</v>
      </c>
    </row>
    <row r="927" spans="1:3" ht="15" hidden="1">
      <c r="A927" s="137" t="str">
        <f t="shared" si="31"/>
        <v/>
      </c>
      <c r="B927" t="s">
        <v>3214</v>
      </c>
      <c r="C927" s="1">
        <v>46035</v>
      </c>
    </row>
    <row r="928" spans="1:3" ht="15" hidden="1">
      <c r="A928" s="137" t="str">
        <f t="shared" si="31"/>
        <v/>
      </c>
      <c r="B928" t="s">
        <v>3214</v>
      </c>
      <c r="C928" s="1">
        <v>46035</v>
      </c>
    </row>
    <row r="929" spans="1:3" ht="15" hidden="1">
      <c r="A929" s="137" t="str">
        <f t="shared" si="31"/>
        <v/>
      </c>
      <c r="B929" t="s">
        <v>3214</v>
      </c>
      <c r="C929" s="1">
        <v>46035</v>
      </c>
    </row>
    <row r="930" spans="1:3" ht="15" hidden="1">
      <c r="A930" s="137" t="str">
        <f t="shared" si="31"/>
        <v/>
      </c>
      <c r="B930" t="s">
        <v>3214</v>
      </c>
      <c r="C930" s="1">
        <v>46035</v>
      </c>
    </row>
    <row r="931" spans="1:3" ht="15" hidden="1">
      <c r="A931" s="137" t="str">
        <f t="shared" si="31"/>
        <v/>
      </c>
      <c r="B931" t="s">
        <v>3214</v>
      </c>
      <c r="C931" s="1">
        <v>46035</v>
      </c>
    </row>
    <row r="932" spans="1:3" ht="15" hidden="1">
      <c r="A932" s="137" t="str">
        <f t="shared" si="31"/>
        <v/>
      </c>
      <c r="B932" t="s">
        <v>3214</v>
      </c>
      <c r="C932" s="1">
        <v>46035</v>
      </c>
    </row>
    <row r="933" spans="1:3" ht="15" hidden="1">
      <c r="A933" s="137" t="str">
        <f t="shared" si="31"/>
        <v/>
      </c>
      <c r="B933" t="s">
        <v>3214</v>
      </c>
      <c r="C933" s="1">
        <v>46035</v>
      </c>
    </row>
    <row r="934" spans="1:3" ht="15" hidden="1">
      <c r="A934" s="137" t="str">
        <f t="shared" si="31"/>
        <v/>
      </c>
      <c r="B934" t="s">
        <v>3214</v>
      </c>
      <c r="C934" s="1">
        <v>46035</v>
      </c>
    </row>
    <row r="935" spans="1:3" ht="15" hidden="1">
      <c r="A935" s="137" t="str">
        <f t="shared" si="31"/>
        <v/>
      </c>
      <c r="B935" t="s">
        <v>3214</v>
      </c>
      <c r="C935" s="1">
        <v>46035</v>
      </c>
    </row>
    <row r="936" spans="1:3" ht="15" hidden="1">
      <c r="A936" s="137" t="str">
        <f t="shared" si="31"/>
        <v/>
      </c>
      <c r="B936" t="s">
        <v>3214</v>
      </c>
      <c r="C936" s="1">
        <v>46035</v>
      </c>
    </row>
    <row r="937" spans="1:3" ht="15" hidden="1">
      <c r="A937" s="137" t="str">
        <f t="shared" si="31"/>
        <v/>
      </c>
      <c r="B937" t="s">
        <v>3214</v>
      </c>
      <c r="C937" s="1">
        <v>46035</v>
      </c>
    </row>
    <row r="938" spans="1:3" ht="15" hidden="1">
      <c r="A938" s="137" t="str">
        <f t="shared" si="31"/>
        <v/>
      </c>
      <c r="B938" t="s">
        <v>3214</v>
      </c>
      <c r="C938" s="1">
        <v>46035</v>
      </c>
    </row>
    <row r="939" spans="1:3" ht="15" hidden="1">
      <c r="A939" s="137" t="str">
        <f t="shared" si="31"/>
        <v/>
      </c>
      <c r="B939" t="s">
        <v>3214</v>
      </c>
      <c r="C939" s="1">
        <v>46035</v>
      </c>
    </row>
    <row r="940" spans="1:3" ht="15" hidden="1">
      <c r="A940" s="137" t="str">
        <f t="shared" si="31"/>
        <v/>
      </c>
      <c r="B940" t="s">
        <v>3214</v>
      </c>
      <c r="C940" s="1">
        <v>46035</v>
      </c>
    </row>
    <row r="941" spans="1:3" ht="15" hidden="1">
      <c r="A941" s="137" t="str">
        <f t="shared" si="31"/>
        <v/>
      </c>
      <c r="B941" t="s">
        <v>3214</v>
      </c>
      <c r="C941" s="1">
        <v>46035</v>
      </c>
    </row>
    <row r="942" spans="1:3" ht="15" hidden="1">
      <c r="A942" s="137" t="str">
        <f t="shared" si="31"/>
        <v/>
      </c>
      <c r="B942" t="s">
        <v>3214</v>
      </c>
      <c r="C942" s="1">
        <v>46035</v>
      </c>
    </row>
    <row r="943" spans="1:3" ht="15" hidden="1">
      <c r="A943" s="137" t="str">
        <f t="shared" si="31"/>
        <v/>
      </c>
      <c r="B943" t="s">
        <v>3214</v>
      </c>
      <c r="C943" s="1">
        <v>46035</v>
      </c>
    </row>
    <row r="944" spans="1:3" ht="15" hidden="1">
      <c r="A944" s="137" t="str">
        <f t="shared" si="31"/>
        <v/>
      </c>
      <c r="B944" t="s">
        <v>3214</v>
      </c>
      <c r="C944" s="1">
        <v>46035</v>
      </c>
    </row>
    <row r="945" spans="1:3" ht="15" hidden="1">
      <c r="A945" s="137" t="str">
        <f t="shared" si="31"/>
        <v/>
      </c>
      <c r="B945" t="s">
        <v>3214</v>
      </c>
      <c r="C945" s="1">
        <v>46035</v>
      </c>
    </row>
    <row r="946" spans="1:3" ht="15" hidden="1">
      <c r="A946" s="137" t="str">
        <f t="shared" si="31"/>
        <v/>
      </c>
      <c r="B946" t="s">
        <v>3214</v>
      </c>
      <c r="C946" s="1">
        <v>46035</v>
      </c>
    </row>
    <row r="947" spans="1:3" ht="15" hidden="1">
      <c r="A947" s="137" t="str">
        <f t="shared" si="31"/>
        <v/>
      </c>
      <c r="B947" t="s">
        <v>3214</v>
      </c>
      <c r="C947" s="1">
        <v>46035</v>
      </c>
    </row>
    <row r="948" spans="1:3" ht="15" hidden="1">
      <c r="A948" s="137" t="str">
        <f t="shared" si="31"/>
        <v/>
      </c>
      <c r="B948" t="s">
        <v>3214</v>
      </c>
      <c r="C948" s="1">
        <v>46035</v>
      </c>
    </row>
    <row r="949" spans="1:3" ht="15" hidden="1">
      <c r="A949" s="137" t="str">
        <f t="shared" si="31"/>
        <v/>
      </c>
      <c r="B949" t="s">
        <v>3214</v>
      </c>
      <c r="C949" s="1">
        <v>46035</v>
      </c>
    </row>
    <row r="950" spans="1:3" ht="15" hidden="1">
      <c r="A950" s="137" t="str">
        <f t="shared" si="31"/>
        <v/>
      </c>
      <c r="B950" t="s">
        <v>3214</v>
      </c>
      <c r="C950" s="1">
        <v>46035</v>
      </c>
    </row>
    <row r="951" spans="1:3" ht="15" hidden="1">
      <c r="A951" s="137" t="str">
        <f t="shared" si="31"/>
        <v/>
      </c>
      <c r="B951" t="s">
        <v>3214</v>
      </c>
      <c r="C951" s="1">
        <v>46035</v>
      </c>
    </row>
    <row r="952" spans="1:3" ht="15" hidden="1">
      <c r="A952" s="137" t="str">
        <f t="shared" si="31"/>
        <v/>
      </c>
      <c r="B952" t="s">
        <v>3214</v>
      </c>
      <c r="C952" s="1">
        <v>46035</v>
      </c>
    </row>
    <row r="953" spans="1:3" ht="15" hidden="1">
      <c r="A953" s="137" t="str">
        <f t="shared" si="31"/>
        <v/>
      </c>
      <c r="B953" t="s">
        <v>3214</v>
      </c>
      <c r="C953" s="1">
        <v>46035</v>
      </c>
    </row>
    <row r="954" spans="1:3" ht="15" hidden="1">
      <c r="A954" s="137" t="str">
        <f t="shared" si="31"/>
        <v/>
      </c>
      <c r="B954" t="s">
        <v>3214</v>
      </c>
      <c r="C954" s="1">
        <v>46035</v>
      </c>
    </row>
    <row r="955" spans="1:3" ht="15" hidden="1">
      <c r="A955" s="137" t="str">
        <f t="shared" si="31"/>
        <v/>
      </c>
      <c r="B955" t="s">
        <v>3214</v>
      </c>
      <c r="C955" s="1">
        <v>46035</v>
      </c>
    </row>
    <row r="956" spans="1:3" ht="15" hidden="1">
      <c r="A956" s="137" t="str">
        <f t="shared" si="31"/>
        <v/>
      </c>
      <c r="B956" t="s">
        <v>3214</v>
      </c>
      <c r="C956" s="1">
        <v>46035</v>
      </c>
    </row>
    <row r="957" spans="1:3" ht="15" hidden="1">
      <c r="A957" s="137" t="str">
        <f t="shared" si="31"/>
        <v/>
      </c>
      <c r="B957" t="s">
        <v>3214</v>
      </c>
      <c r="C957" s="1">
        <v>46035</v>
      </c>
    </row>
    <row r="958" spans="1:3" ht="15" hidden="1">
      <c r="A958" s="137" t="str">
        <f t="shared" si="31"/>
        <v/>
      </c>
      <c r="B958" t="s">
        <v>3214</v>
      </c>
      <c r="C958" s="1">
        <v>46035</v>
      </c>
    </row>
    <row r="959" spans="1:3" ht="15" hidden="1">
      <c r="A959" s="137" t="str">
        <f t="shared" si="31"/>
        <v/>
      </c>
      <c r="B959" t="s">
        <v>3214</v>
      </c>
      <c r="C959" s="1">
        <v>46035</v>
      </c>
    </row>
    <row r="960" spans="1:3" ht="15" hidden="1">
      <c r="A960" s="137" t="str">
        <f t="shared" ref="A960:A976" si="32">D960&amp;E960&amp;F960</f>
        <v/>
      </c>
      <c r="B960" t="s">
        <v>3214</v>
      </c>
      <c r="C960" s="1">
        <v>46035</v>
      </c>
    </row>
    <row r="961" spans="1:3" ht="15" hidden="1">
      <c r="A961" s="137" t="str">
        <f t="shared" si="32"/>
        <v/>
      </c>
      <c r="B961" t="s">
        <v>3214</v>
      </c>
      <c r="C961" s="1">
        <v>46035</v>
      </c>
    </row>
    <row r="962" spans="1:3" ht="15" hidden="1">
      <c r="A962" s="137" t="str">
        <f t="shared" si="32"/>
        <v/>
      </c>
      <c r="B962" t="s">
        <v>3214</v>
      </c>
      <c r="C962" s="1">
        <v>46035</v>
      </c>
    </row>
    <row r="963" spans="1:3" ht="15" hidden="1">
      <c r="A963" s="137" t="str">
        <f t="shared" si="32"/>
        <v/>
      </c>
      <c r="B963" t="s">
        <v>3214</v>
      </c>
      <c r="C963" s="1">
        <v>46035</v>
      </c>
    </row>
    <row r="964" spans="1:3" ht="15" hidden="1">
      <c r="A964" s="137" t="str">
        <f t="shared" si="32"/>
        <v/>
      </c>
      <c r="B964" t="s">
        <v>3214</v>
      </c>
      <c r="C964" s="1">
        <v>46035</v>
      </c>
    </row>
    <row r="965" spans="1:3" ht="15" hidden="1">
      <c r="A965" s="137" t="str">
        <f t="shared" si="32"/>
        <v/>
      </c>
      <c r="B965" t="s">
        <v>3214</v>
      </c>
      <c r="C965" s="1">
        <v>46035</v>
      </c>
    </row>
    <row r="966" spans="1:3" ht="15" hidden="1">
      <c r="A966" s="137" t="str">
        <f t="shared" si="32"/>
        <v/>
      </c>
      <c r="B966" t="s">
        <v>3214</v>
      </c>
      <c r="C966" s="1">
        <v>46035</v>
      </c>
    </row>
    <row r="967" spans="1:3" ht="15" hidden="1">
      <c r="A967" s="137" t="str">
        <f t="shared" si="32"/>
        <v/>
      </c>
      <c r="B967" t="s">
        <v>3214</v>
      </c>
      <c r="C967" s="1">
        <v>46035</v>
      </c>
    </row>
    <row r="968" spans="1:3" ht="15" hidden="1">
      <c r="A968" s="137" t="str">
        <f t="shared" si="32"/>
        <v/>
      </c>
      <c r="B968" t="s">
        <v>3214</v>
      </c>
      <c r="C968" s="1">
        <v>46035</v>
      </c>
    </row>
    <row r="969" spans="1:3" ht="15" hidden="1">
      <c r="A969" s="137" t="str">
        <f t="shared" si="32"/>
        <v/>
      </c>
      <c r="B969" t="s">
        <v>3214</v>
      </c>
      <c r="C969" s="1">
        <v>46035</v>
      </c>
    </row>
    <row r="970" spans="1:3" ht="15" hidden="1">
      <c r="A970" s="137" t="str">
        <f t="shared" si="32"/>
        <v/>
      </c>
      <c r="B970" t="s">
        <v>3214</v>
      </c>
      <c r="C970" s="1">
        <v>46035</v>
      </c>
    </row>
    <row r="971" spans="1:3" ht="15" hidden="1">
      <c r="A971" s="137" t="str">
        <f t="shared" si="32"/>
        <v/>
      </c>
      <c r="B971" t="s">
        <v>3214</v>
      </c>
      <c r="C971" s="1">
        <v>46035</v>
      </c>
    </row>
    <row r="972" spans="1:3" ht="15" hidden="1">
      <c r="A972" s="137" t="str">
        <f t="shared" si="32"/>
        <v/>
      </c>
      <c r="B972" t="s">
        <v>3214</v>
      </c>
      <c r="C972" s="1">
        <v>46035</v>
      </c>
    </row>
    <row r="973" spans="1:3" ht="15" hidden="1">
      <c r="A973" s="137" t="str">
        <f t="shared" si="32"/>
        <v/>
      </c>
      <c r="B973" t="s">
        <v>3214</v>
      </c>
      <c r="C973" s="1">
        <v>46035</v>
      </c>
    </row>
    <row r="974" spans="1:3" ht="15" hidden="1">
      <c r="A974" s="137" t="str">
        <f t="shared" si="32"/>
        <v/>
      </c>
      <c r="B974" t="s">
        <v>3214</v>
      </c>
      <c r="C974" s="1">
        <v>46035</v>
      </c>
    </row>
    <row r="975" spans="1:3" ht="15" hidden="1">
      <c r="A975" s="137" t="str">
        <f t="shared" si="32"/>
        <v/>
      </c>
      <c r="B975" t="s">
        <v>3214</v>
      </c>
      <c r="C975" s="1">
        <v>46035</v>
      </c>
    </row>
    <row r="976" spans="1:3" ht="15" hidden="1">
      <c r="A976" s="137" t="str">
        <f t="shared" si="32"/>
        <v/>
      </c>
      <c r="B976" t="s">
        <v>3214</v>
      </c>
      <c r="C976" s="1">
        <v>46035</v>
      </c>
    </row>
    <row r="977" spans="1:7" ht="15">
      <c r="C977" s="1"/>
      <c r="F977" s="3"/>
      <c r="G977" s="3"/>
    </row>
    <row r="978" spans="1:7" ht="15">
      <c r="C978" s="1"/>
      <c r="F978" s="3"/>
      <c r="G978" s="3"/>
    </row>
    <row r="979" spans="1:7" ht="15">
      <c r="A979" s="137" t="str">
        <f>D979&amp;E979&amp;F979</f>
        <v/>
      </c>
    </row>
    <row r="980" spans="1:7" ht="15">
      <c r="A980" s="137" t="str">
        <f>D980&amp;E980&amp;F980</f>
        <v/>
      </c>
    </row>
    <row r="981" spans="1:7" ht="15">
      <c r="A981" s="137" t="str">
        <f>D981&amp;E981&amp;F981</f>
        <v/>
      </c>
    </row>
    <row r="982" spans="1:7" ht="15">
      <c r="A982" s="137" t="str">
        <f>D982&amp;E982&amp;F982</f>
        <v/>
      </c>
    </row>
    <row r="983" spans="1:7" ht="15">
      <c r="A983" s="137" t="str">
        <f>D983&amp;E983&amp;F983</f>
        <v/>
      </c>
    </row>
    <row r="984" spans="1:7" ht="15"/>
    <row r="985" spans="1:7" ht="15"/>
    <row r="986" spans="1:7" ht="15"/>
    <row r="987" spans="1:7" ht="15"/>
    <row r="988" spans="1:7" ht="15"/>
    <row r="989" spans="1:7" ht="15"/>
    <row r="990" spans="1:7" ht="15"/>
    <row r="991" spans="1:7" ht="15"/>
    <row r="992" spans="1:7" ht="15"/>
    <row r="993" ht="15"/>
    <row r="994" ht="15"/>
    <row r="995" ht="15"/>
    <row r="996" ht="15"/>
    <row r="997" ht="15"/>
    <row r="998" ht="15"/>
    <row r="999" ht="15"/>
    <row r="1000" ht="15"/>
    <row r="1001" ht="15"/>
    <row r="1002" ht="15"/>
    <row r="1003" ht="15"/>
    <row r="1004" ht="15"/>
    <row r="1005" ht="15"/>
    <row r="1006" ht="15"/>
    <row r="1007" ht="15"/>
    <row r="1008" ht="15"/>
    <row r="1009" ht="15"/>
    <row r="1010" ht="15"/>
    <row r="1011" ht="15"/>
    <row r="1012" ht="15"/>
    <row r="1013" ht="15"/>
    <row r="1014" ht="15"/>
    <row r="1015" ht="15"/>
    <row r="1016" ht="15"/>
    <row r="1017" ht="15"/>
    <row r="1018" ht="15"/>
    <row r="1019" ht="15"/>
    <row r="1020" ht="15"/>
    <row r="1021" ht="15"/>
    <row r="1022" ht="15"/>
    <row r="1023" ht="15"/>
    <row r="1024" ht="15"/>
    <row r="1025" ht="15"/>
    <row r="1026" ht="15"/>
    <row r="1027" ht="15"/>
    <row r="1028" ht="15"/>
    <row r="1029" ht="15"/>
    <row r="1030" ht="15"/>
    <row r="1031" ht="15"/>
    <row r="1032" ht="15"/>
    <row r="1033" ht="15"/>
    <row r="1034" ht="15"/>
    <row r="1035" ht="15"/>
    <row r="1036" ht="15"/>
    <row r="1037" ht="15"/>
    <row r="1038" ht="15"/>
  </sheetData>
  <protectedRanges>
    <protectedRange sqref="D463:F463 D477:F477 D493:F493 D510:F510 D524:F524 D538:F538 D555:F555 D572:F572 D585:F585 D597:F597 D611:F611 D645:F645 D660:F660 D675:F675 D691:F691 D712:F712" name="Rango1"/>
  </protectedRanges>
  <autoFilter ref="B2:N976" xr:uid="{1E23ED3C-1967-42BB-ABA1-23A98E4AEDDB}">
    <filterColumn colId="5">
      <filters>
        <filter val="NO"/>
      </filters>
    </filterColumn>
  </autoFilter>
  <dataValidations count="4">
    <dataValidation type="list" allowBlank="1" showInputMessage="1" showErrorMessage="1" sqref="D3:D23 D25:D48 D50:D232 D977:D978 D234:D882" xr:uid="{B9D4111C-8074-4031-AC65-DBA63FB03FBB}">
      <formula1>MARCA</formula1>
    </dataValidation>
    <dataValidation type="list" allowBlank="1" showInputMessage="1" showErrorMessage="1" sqref="E3:E232 E977:E978 E234:E882" xr:uid="{1A86E5D7-EF4B-4B6F-9F2B-3ADACB2D563D}">
      <formula1>PRESUPUESTO</formula1>
    </dataValidation>
    <dataValidation type="list" allowBlank="1" showInputMessage="1" showErrorMessage="1" sqref="F3:F23 F25:F232 F977:F978 F234:F882" xr:uid="{47ADD184-1C08-47E7-B1F6-E3F2F61FA302}">
      <formula1>CONCEPTO</formula1>
    </dataValidation>
    <dataValidation type="list" allowBlank="1" showInputMessage="1" showErrorMessage="1" sqref="G3:G23 G25:G232 G977:G978 G234:G882" xr:uid="{D5E5A9CB-2889-403F-9527-B7E9BFCA078B}">
      <formula1>APARTADO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9675C-D538-47A0-9689-7E8C8452D2DC}">
  <sheetPr>
    <tabColor theme="1" tint="0.249977111117893"/>
  </sheetPr>
  <dimension ref="A1:N2974"/>
  <sheetViews>
    <sheetView workbookViewId="0">
      <pane xSplit="3" ySplit="2" topLeftCell="D2913" activePane="bottomRight" state="frozen"/>
      <selection pane="bottomRight" activeCell="J2929" sqref="J2929"/>
      <selection pane="bottomLeft" activeCell="I3" activeCellId="1" sqref="F11 I3"/>
      <selection pane="topRight" activeCell="I3" activeCellId="1" sqref="F11 I3"/>
    </sheetView>
  </sheetViews>
  <sheetFormatPr defaultColWidth="11.42578125" defaultRowHeight="14.25" outlineLevelCol="1"/>
  <cols>
    <col min="1" max="1" width="28" style="28" hidden="1" customWidth="1" outlineLevel="1"/>
    <col min="2" max="2" width="5.28515625" customWidth="1" collapsed="1"/>
    <col min="3" max="3" width="13.28515625" customWidth="1"/>
    <col min="4" max="4" width="11.42578125" customWidth="1"/>
    <col min="5" max="5" width="23.42578125" bestFit="1" customWidth="1"/>
    <col min="6" max="6" width="34.85546875" customWidth="1"/>
    <col min="7" max="7" width="11.42578125" customWidth="1"/>
    <col min="8" max="8" width="29.28515625" customWidth="1"/>
    <col min="9" max="9" width="17.140625" style="81" customWidth="1"/>
    <col min="10" max="10" width="16.85546875" style="385" customWidth="1"/>
    <col min="11" max="11" width="19.140625" style="62" customWidth="1"/>
    <col min="12" max="14" width="11.42578125" customWidth="1"/>
  </cols>
  <sheetData>
    <row r="1" spans="1:14" ht="21.75" customHeight="1">
      <c r="C1" s="57" t="s">
        <v>4805</v>
      </c>
      <c r="I1" s="79"/>
      <c r="J1" s="380"/>
    </row>
    <row r="2" spans="1:14" s="52" customFormat="1" ht="15">
      <c r="A2" s="49" t="s">
        <v>203</v>
      </c>
      <c r="B2" s="195" t="s">
        <v>204</v>
      </c>
      <c r="C2" s="195" t="s">
        <v>205</v>
      </c>
      <c r="D2" s="196" t="s">
        <v>16</v>
      </c>
      <c r="E2" s="196" t="s">
        <v>17</v>
      </c>
      <c r="F2" s="196" t="s">
        <v>18</v>
      </c>
      <c r="G2" s="197" t="s">
        <v>207</v>
      </c>
      <c r="H2" s="195" t="s">
        <v>208</v>
      </c>
      <c r="I2" s="198" t="s">
        <v>209</v>
      </c>
      <c r="J2" s="381" t="s">
        <v>210</v>
      </c>
      <c r="K2" s="194" t="s">
        <v>211</v>
      </c>
      <c r="L2" s="51"/>
    </row>
    <row r="3" spans="1:14" ht="15">
      <c r="A3" s="137" t="str">
        <f>D3&amp;E3&amp;F3</f>
        <v>HRNOMINA SUCURSALA1</v>
      </c>
      <c r="B3" t="s">
        <v>3451</v>
      </c>
      <c r="C3" s="1">
        <v>45694</v>
      </c>
      <c r="D3" t="s">
        <v>29</v>
      </c>
      <c r="E3" t="s">
        <v>154</v>
      </c>
      <c r="F3" s="3" t="s">
        <v>88</v>
      </c>
      <c r="J3" s="382">
        <v>18017.73</v>
      </c>
      <c r="K3" s="159">
        <f>K1+I3-J3</f>
        <v>-18017.73</v>
      </c>
      <c r="N3" s="187"/>
    </row>
    <row r="4" spans="1:14" ht="15">
      <c r="A4" s="137" t="str">
        <f t="shared" ref="A4:A67" si="0">D4&amp;E4&amp;F4</f>
        <v>HRNOMINA SUCURSALA2</v>
      </c>
      <c r="B4" t="s">
        <v>3451</v>
      </c>
      <c r="C4" s="1">
        <v>45694</v>
      </c>
      <c r="D4" t="s">
        <v>29</v>
      </c>
      <c r="E4" t="s">
        <v>154</v>
      </c>
      <c r="F4" s="3" t="s">
        <v>89</v>
      </c>
      <c r="J4" s="382">
        <v>17355.400000000001</v>
      </c>
      <c r="K4" s="159">
        <f>K3+I4-J4</f>
        <v>-35373.130000000005</v>
      </c>
    </row>
    <row r="5" spans="1:14" ht="15">
      <c r="A5" s="137" t="str">
        <f t="shared" si="0"/>
        <v>HRNOMINA SUCURSALA3</v>
      </c>
      <c r="B5" t="s">
        <v>3451</v>
      </c>
      <c r="C5" s="1">
        <v>45694</v>
      </c>
      <c r="D5" t="s">
        <v>29</v>
      </c>
      <c r="E5" t="s">
        <v>154</v>
      </c>
      <c r="F5" s="3" t="s">
        <v>90</v>
      </c>
      <c r="J5" s="382">
        <v>10088.68</v>
      </c>
      <c r="K5" s="159">
        <f>K4+I5-J5</f>
        <v>-45461.810000000005</v>
      </c>
    </row>
    <row r="6" spans="1:14" ht="15">
      <c r="A6" s="137" t="str">
        <f t="shared" si="0"/>
        <v>HRNOMINA SUCURSALA4</v>
      </c>
      <c r="B6" t="s">
        <v>3451</v>
      </c>
      <c r="C6" s="1">
        <v>45694</v>
      </c>
      <c r="D6" t="s">
        <v>29</v>
      </c>
      <c r="E6" t="s">
        <v>154</v>
      </c>
      <c r="F6" s="3" t="s">
        <v>91</v>
      </c>
      <c r="J6" s="382">
        <v>10861.8</v>
      </c>
      <c r="K6" s="159">
        <f>K5+I6-J6</f>
        <v>-56323.61</v>
      </c>
    </row>
    <row r="7" spans="1:14" ht="15">
      <c r="A7" s="137" t="str">
        <f t="shared" si="0"/>
        <v>HRNOMINA SUCURSALA5</v>
      </c>
      <c r="B7" t="s">
        <v>3451</v>
      </c>
      <c r="C7" s="1">
        <v>45694</v>
      </c>
      <c r="D7" t="s">
        <v>29</v>
      </c>
      <c r="E7" t="s">
        <v>154</v>
      </c>
      <c r="F7" s="3" t="s">
        <v>92</v>
      </c>
      <c r="J7" s="382">
        <v>12858.8</v>
      </c>
      <c r="K7" s="159">
        <f>K6+I7-J7</f>
        <v>-69182.41</v>
      </c>
    </row>
    <row r="8" spans="1:14" ht="15">
      <c r="A8" s="137" t="str">
        <f t="shared" si="0"/>
        <v>HRNOMINA SUCURSALA6</v>
      </c>
      <c r="B8" t="s">
        <v>3451</v>
      </c>
      <c r="C8" s="1">
        <v>45694</v>
      </c>
      <c r="D8" t="s">
        <v>29</v>
      </c>
      <c r="E8" t="s">
        <v>154</v>
      </c>
      <c r="F8" s="3" t="s">
        <v>93</v>
      </c>
      <c r="J8" s="382">
        <v>16851.55</v>
      </c>
      <c r="K8" s="159">
        <f>K7+I8-J8</f>
        <v>-86033.96</v>
      </c>
    </row>
    <row r="9" spans="1:14" ht="15">
      <c r="A9" s="137" t="str">
        <f t="shared" si="0"/>
        <v>HRNOMINA SUCURSALA8</v>
      </c>
      <c r="B9" t="s">
        <v>3451</v>
      </c>
      <c r="C9" s="1">
        <v>45694</v>
      </c>
      <c r="D9" t="s">
        <v>29</v>
      </c>
      <c r="E9" t="s">
        <v>154</v>
      </c>
      <c r="F9" s="3" t="s">
        <v>94</v>
      </c>
      <c r="J9" s="382">
        <v>20057.2</v>
      </c>
      <c r="K9" s="159">
        <f>K8+I9-J9</f>
        <v>-106091.16</v>
      </c>
    </row>
    <row r="10" spans="1:14" ht="15">
      <c r="A10" s="137" t="str">
        <f t="shared" si="0"/>
        <v>HRNOMINA SUCURSALA9</v>
      </c>
      <c r="B10" t="s">
        <v>3451</v>
      </c>
      <c r="C10" s="1">
        <v>45694</v>
      </c>
      <c r="D10" t="s">
        <v>29</v>
      </c>
      <c r="E10" t="s">
        <v>154</v>
      </c>
      <c r="F10" s="3" t="s">
        <v>95</v>
      </c>
      <c r="J10" s="382">
        <v>14975.09</v>
      </c>
      <c r="K10" s="159">
        <f>K9+I10-J10</f>
        <v>-121066.25</v>
      </c>
    </row>
    <row r="11" spans="1:14" ht="15">
      <c r="A11" s="137" t="str">
        <f t="shared" si="0"/>
        <v>HRNOMINA SUCURSALA10</v>
      </c>
      <c r="B11" t="s">
        <v>3451</v>
      </c>
      <c r="C11" s="1">
        <v>45694</v>
      </c>
      <c r="D11" t="s">
        <v>29</v>
      </c>
      <c r="E11" t="s">
        <v>154</v>
      </c>
      <c r="F11" s="3" t="s">
        <v>96</v>
      </c>
      <c r="J11" s="382">
        <v>18879.8</v>
      </c>
      <c r="K11" s="159">
        <f>K10+I11-J11</f>
        <v>-139946.04999999999</v>
      </c>
    </row>
    <row r="12" spans="1:14" ht="15">
      <c r="A12" s="137" t="str">
        <f t="shared" si="0"/>
        <v>HRNOMINA SUCURSALA11</v>
      </c>
      <c r="B12" t="s">
        <v>3451</v>
      </c>
      <c r="C12" s="1">
        <v>45694</v>
      </c>
      <c r="D12" t="s">
        <v>29</v>
      </c>
      <c r="E12" t="s">
        <v>154</v>
      </c>
      <c r="F12" s="62" t="s">
        <v>97</v>
      </c>
      <c r="J12" s="382">
        <v>16045.8</v>
      </c>
      <c r="K12" s="159">
        <f>K11+I12-J12</f>
        <v>-155991.84999999998</v>
      </c>
    </row>
    <row r="13" spans="1:14" ht="15">
      <c r="A13" s="137" t="str">
        <f t="shared" si="0"/>
        <v>HRNOMINA SUCURSALA12</v>
      </c>
      <c r="B13" t="s">
        <v>3451</v>
      </c>
      <c r="C13" s="1">
        <v>45694</v>
      </c>
      <c r="D13" t="s">
        <v>29</v>
      </c>
      <c r="E13" t="s">
        <v>154</v>
      </c>
      <c r="F13" s="3" t="s">
        <v>98</v>
      </c>
      <c r="J13" s="382">
        <v>26764.6</v>
      </c>
      <c r="K13" s="159">
        <f>K12+I13-J13</f>
        <v>-182756.44999999998</v>
      </c>
    </row>
    <row r="14" spans="1:14" ht="15">
      <c r="A14" s="137" t="str">
        <f t="shared" si="0"/>
        <v>HRNOMINA SUCURSALA14</v>
      </c>
      <c r="B14" t="s">
        <v>3451</v>
      </c>
      <c r="C14" s="1">
        <v>45694</v>
      </c>
      <c r="D14" t="s">
        <v>29</v>
      </c>
      <c r="E14" t="s">
        <v>154</v>
      </c>
      <c r="F14" s="3" t="s">
        <v>99</v>
      </c>
      <c r="J14" s="382">
        <v>17320.599999999999</v>
      </c>
      <c r="K14" s="159">
        <f>K13+I14-J14</f>
        <v>-200077.05</v>
      </c>
    </row>
    <row r="15" spans="1:14" ht="15">
      <c r="A15" s="137" t="str">
        <f t="shared" si="0"/>
        <v>HRNOMINA SUCURSALA15</v>
      </c>
      <c r="B15" t="s">
        <v>3451</v>
      </c>
      <c r="C15" s="1">
        <v>45694</v>
      </c>
      <c r="D15" t="s">
        <v>29</v>
      </c>
      <c r="E15" t="s">
        <v>154</v>
      </c>
      <c r="F15" s="3" t="s">
        <v>100</v>
      </c>
      <c r="J15" s="382">
        <v>13273.2</v>
      </c>
      <c r="K15" s="159">
        <f>K14+I15-J15</f>
        <v>-213350.25</v>
      </c>
    </row>
    <row r="16" spans="1:14" ht="15">
      <c r="A16" s="137" t="str">
        <f t="shared" si="0"/>
        <v>HRNOMINA SUCURSALA16</v>
      </c>
      <c r="B16" t="s">
        <v>3451</v>
      </c>
      <c r="C16" s="1">
        <v>45694</v>
      </c>
      <c r="D16" t="s">
        <v>29</v>
      </c>
      <c r="E16" t="s">
        <v>154</v>
      </c>
      <c r="F16" s="3" t="s">
        <v>101</v>
      </c>
      <c r="J16" s="382">
        <v>17430.29</v>
      </c>
      <c r="K16" s="159">
        <f>K15+I16-J16</f>
        <v>-230780.54</v>
      </c>
    </row>
    <row r="17" spans="1:11" ht="15">
      <c r="A17" s="137" t="str">
        <f t="shared" si="0"/>
        <v>HRNOMINA SUCURSALA17</v>
      </c>
      <c r="B17" t="s">
        <v>3451</v>
      </c>
      <c r="C17" s="1">
        <v>45694</v>
      </c>
      <c r="D17" t="s">
        <v>29</v>
      </c>
      <c r="E17" t="s">
        <v>154</v>
      </c>
      <c r="F17" s="3" t="s">
        <v>102</v>
      </c>
      <c r="J17" s="382">
        <v>11494.6</v>
      </c>
      <c r="K17" s="159">
        <f>K16+I17-J17</f>
        <v>-242275.14</v>
      </c>
    </row>
    <row r="18" spans="1:11" ht="15">
      <c r="A18" s="137" t="str">
        <f t="shared" si="0"/>
        <v>HRNOMINA SUCURSALA18</v>
      </c>
      <c r="B18" t="s">
        <v>3451</v>
      </c>
      <c r="C18" s="1">
        <v>45694</v>
      </c>
      <c r="D18" t="s">
        <v>29</v>
      </c>
      <c r="E18" t="s">
        <v>154</v>
      </c>
      <c r="F18" s="3" t="s">
        <v>103</v>
      </c>
      <c r="J18" s="382">
        <v>12876.8</v>
      </c>
      <c r="K18" s="159">
        <f>K17+I18-J18</f>
        <v>-255151.94</v>
      </c>
    </row>
    <row r="19" spans="1:11" ht="15">
      <c r="A19" s="137" t="str">
        <f t="shared" si="0"/>
        <v>HRNOMINA SUCURSALA22</v>
      </c>
      <c r="B19" t="s">
        <v>3451</v>
      </c>
      <c r="C19" s="1">
        <v>45694</v>
      </c>
      <c r="D19" t="s">
        <v>29</v>
      </c>
      <c r="E19" t="s">
        <v>154</v>
      </c>
      <c r="F19" s="3" t="s">
        <v>104</v>
      </c>
      <c r="J19" s="382">
        <v>15165.8</v>
      </c>
      <c r="K19" s="159">
        <f>K18+I19-J19</f>
        <v>-270317.74</v>
      </c>
    </row>
    <row r="20" spans="1:11" ht="15">
      <c r="A20" s="137" t="str">
        <f t="shared" si="0"/>
        <v>HRNOMINA SUCURSALA23</v>
      </c>
      <c r="B20" t="s">
        <v>3451</v>
      </c>
      <c r="C20" s="1">
        <v>45694</v>
      </c>
      <c r="D20" t="s">
        <v>29</v>
      </c>
      <c r="E20" t="s">
        <v>154</v>
      </c>
      <c r="F20" s="3" t="s">
        <v>105</v>
      </c>
      <c r="J20" s="382">
        <v>13720</v>
      </c>
      <c r="K20" s="159">
        <f>K19+I20-J20</f>
        <v>-284037.74</v>
      </c>
    </row>
    <row r="21" spans="1:11" ht="15">
      <c r="A21" s="137" t="str">
        <f t="shared" si="0"/>
        <v>HRNOMINA SUCURSALA24</v>
      </c>
      <c r="B21" t="s">
        <v>3451</v>
      </c>
      <c r="C21" s="1">
        <v>45694</v>
      </c>
      <c r="D21" t="s">
        <v>29</v>
      </c>
      <c r="E21" t="s">
        <v>154</v>
      </c>
      <c r="F21" s="3" t="s">
        <v>106</v>
      </c>
      <c r="J21" s="382">
        <v>21053.8</v>
      </c>
      <c r="K21" s="159">
        <f>K20+I21-J21</f>
        <v>-305091.53999999998</v>
      </c>
    </row>
    <row r="22" spans="1:11" ht="15">
      <c r="A22" s="137" t="str">
        <f t="shared" si="0"/>
        <v>CAPNOMINA SUCURSALE1</v>
      </c>
      <c r="B22" t="s">
        <v>3451</v>
      </c>
      <c r="C22" s="1">
        <v>45694</v>
      </c>
      <c r="D22" t="s">
        <v>31</v>
      </c>
      <c r="E22" t="s">
        <v>154</v>
      </c>
      <c r="F22" s="3" t="s">
        <v>107</v>
      </c>
      <c r="J22" s="382">
        <v>17881.8</v>
      </c>
      <c r="K22" s="159">
        <f>K21+I22-J22</f>
        <v>-322973.33999999997</v>
      </c>
    </row>
    <row r="23" spans="1:11" ht="15">
      <c r="A23" s="137" t="str">
        <f t="shared" si="0"/>
        <v>CAPNOMINA SUCURSALE2</v>
      </c>
      <c r="B23" t="s">
        <v>3451</v>
      </c>
      <c r="C23" s="1">
        <v>45694</v>
      </c>
      <c r="D23" t="s">
        <v>31</v>
      </c>
      <c r="E23" t="s">
        <v>154</v>
      </c>
      <c r="F23" s="3" t="s">
        <v>108</v>
      </c>
      <c r="J23" s="382">
        <v>33694.800000000003</v>
      </c>
      <c r="K23" s="159">
        <f>K22+I23-J23</f>
        <v>-356668.13999999996</v>
      </c>
    </row>
    <row r="24" spans="1:11" ht="15">
      <c r="A24" s="137" t="str">
        <f t="shared" si="0"/>
        <v>CAPNOMINA SUCURSALE3</v>
      </c>
      <c r="B24" t="s">
        <v>3451</v>
      </c>
      <c r="C24" s="1">
        <v>45694</v>
      </c>
      <c r="D24" t="s">
        <v>31</v>
      </c>
      <c r="E24" t="s">
        <v>154</v>
      </c>
      <c r="F24" s="3" t="s">
        <v>109</v>
      </c>
      <c r="J24" s="382">
        <v>17887.8</v>
      </c>
      <c r="K24" s="159">
        <f>K23+I24-J24</f>
        <v>-374555.93999999994</v>
      </c>
    </row>
    <row r="25" spans="1:11" ht="15">
      <c r="A25" s="137" t="str">
        <f t="shared" si="0"/>
        <v>CAPNOMINA SUCURSALE4</v>
      </c>
      <c r="B25" t="s">
        <v>3451</v>
      </c>
      <c r="C25" s="1">
        <v>45694</v>
      </c>
      <c r="D25" t="s">
        <v>31</v>
      </c>
      <c r="E25" t="s">
        <v>154</v>
      </c>
      <c r="F25" s="3" t="s">
        <v>110</v>
      </c>
      <c r="J25" s="382">
        <v>22455</v>
      </c>
      <c r="K25" s="159">
        <f>K24+I25-J25</f>
        <v>-397010.93999999994</v>
      </c>
    </row>
    <row r="26" spans="1:11" ht="15">
      <c r="A26" s="137" t="str">
        <f t="shared" si="0"/>
        <v>CAPNOMINA SUCURSALE5</v>
      </c>
      <c r="B26" t="s">
        <v>3451</v>
      </c>
      <c r="C26" s="1">
        <v>45694</v>
      </c>
      <c r="D26" t="s">
        <v>31</v>
      </c>
      <c r="E26" t="s">
        <v>154</v>
      </c>
      <c r="F26" s="3" t="s">
        <v>111</v>
      </c>
      <c r="J26" s="382">
        <v>19797.8</v>
      </c>
      <c r="K26" s="159">
        <f>K25+I26-J26</f>
        <v>-416808.73999999993</v>
      </c>
    </row>
    <row r="27" spans="1:11" ht="15">
      <c r="A27" s="137" t="str">
        <f t="shared" si="0"/>
        <v>CAPNOMINA SUCURSALE6</v>
      </c>
      <c r="B27" t="s">
        <v>3451</v>
      </c>
      <c r="C27" s="1">
        <v>45694</v>
      </c>
      <c r="D27" t="s">
        <v>31</v>
      </c>
      <c r="E27" t="s">
        <v>154</v>
      </c>
      <c r="F27" s="3" t="s">
        <v>112</v>
      </c>
      <c r="J27" s="382">
        <v>18194</v>
      </c>
      <c r="K27" s="159">
        <f>K26+I27-J27</f>
        <v>-435002.73999999993</v>
      </c>
    </row>
    <row r="28" spans="1:11" ht="15">
      <c r="A28" s="137" t="str">
        <f t="shared" si="0"/>
        <v>CAPNOMINA SUCURSALE7</v>
      </c>
      <c r="B28" t="s">
        <v>3451</v>
      </c>
      <c r="C28" s="1">
        <v>45694</v>
      </c>
      <c r="D28" t="s">
        <v>31</v>
      </c>
      <c r="E28" t="s">
        <v>154</v>
      </c>
      <c r="F28" s="3" t="s">
        <v>113</v>
      </c>
      <c r="J28" s="382">
        <v>14293</v>
      </c>
      <c r="K28" s="159">
        <f>K27+I28-J28</f>
        <v>-449295.73999999993</v>
      </c>
    </row>
    <row r="29" spans="1:11" ht="15">
      <c r="A29" s="137" t="str">
        <f t="shared" si="0"/>
        <v>CAPNOMINA SUCURSALE8</v>
      </c>
      <c r="B29" t="s">
        <v>3451</v>
      </c>
      <c r="C29" s="1">
        <v>45694</v>
      </c>
      <c r="D29" t="s">
        <v>31</v>
      </c>
      <c r="E29" t="s">
        <v>154</v>
      </c>
      <c r="F29" s="3" t="s">
        <v>114</v>
      </c>
      <c r="J29" s="382">
        <v>27051.8</v>
      </c>
      <c r="K29" s="159">
        <f>K28+I29-J29</f>
        <v>-476347.53999999992</v>
      </c>
    </row>
    <row r="30" spans="1:11" ht="15">
      <c r="A30" s="137" t="str">
        <f t="shared" si="0"/>
        <v>ELINOMINA SUCURSALL1</v>
      </c>
      <c r="B30" t="s">
        <v>3451</v>
      </c>
      <c r="C30" s="1">
        <v>45694</v>
      </c>
      <c r="D30" t="s">
        <v>130</v>
      </c>
      <c r="E30" t="s">
        <v>154</v>
      </c>
      <c r="F30" s="3" t="s">
        <v>136</v>
      </c>
      <c r="J30" s="382">
        <v>11583</v>
      </c>
      <c r="K30" s="159">
        <f>K29+I30-J30</f>
        <v>-487930.53999999992</v>
      </c>
    </row>
    <row r="31" spans="1:11" ht="15">
      <c r="A31" s="137" t="str">
        <f t="shared" si="0"/>
        <v>HRNOMINA ADMONHR</v>
      </c>
      <c r="B31" t="s">
        <v>3451</v>
      </c>
      <c r="C31" s="1">
        <v>45694</v>
      </c>
      <c r="D31" t="s">
        <v>29</v>
      </c>
      <c r="E31" t="s">
        <v>147</v>
      </c>
      <c r="F31" s="3" t="s">
        <v>29</v>
      </c>
      <c r="J31" s="382">
        <v>32445.93</v>
      </c>
      <c r="K31" s="159">
        <f>K30+I31-J31</f>
        <v>-520376.46999999991</v>
      </c>
    </row>
    <row r="32" spans="1:11" ht="15">
      <c r="A32" s="137" t="str">
        <f t="shared" si="0"/>
        <v>CAPNOMINA ADMONCAPRICHOS</v>
      </c>
      <c r="B32" t="s">
        <v>3451</v>
      </c>
      <c r="C32" s="1">
        <v>45694</v>
      </c>
      <c r="D32" t="s">
        <v>31</v>
      </c>
      <c r="E32" t="s">
        <v>147</v>
      </c>
      <c r="F32" s="12" t="s">
        <v>33</v>
      </c>
      <c r="J32" s="382">
        <v>32004.97</v>
      </c>
      <c r="K32" s="159">
        <f>K31+I32-J32</f>
        <v>-552381.43999999994</v>
      </c>
    </row>
    <row r="33" spans="1:11" ht="15">
      <c r="A33" s="137" t="str">
        <f t="shared" si="0"/>
        <v>SERVICIOSNOMINA SUCURSALCEDIS</v>
      </c>
      <c r="B33" t="s">
        <v>3451</v>
      </c>
      <c r="C33" s="1">
        <v>45694</v>
      </c>
      <c r="D33" t="s">
        <v>21</v>
      </c>
      <c r="E33" t="s">
        <v>154</v>
      </c>
      <c r="F33" s="12" t="s">
        <v>28</v>
      </c>
      <c r="J33" s="382">
        <v>61066.31</v>
      </c>
      <c r="K33" s="159">
        <f>K32+I33-J33</f>
        <v>-613447.75</v>
      </c>
    </row>
    <row r="34" spans="1:11" ht="15">
      <c r="A34" s="137" t="str">
        <f t="shared" si="0"/>
        <v>SERVICIOSNOMINA ADMONINVENTARIOS</v>
      </c>
      <c r="B34" t="s">
        <v>3451</v>
      </c>
      <c r="C34" s="1">
        <v>45694</v>
      </c>
      <c r="D34" t="s">
        <v>21</v>
      </c>
      <c r="E34" t="s">
        <v>147</v>
      </c>
      <c r="F34" s="12" t="s">
        <v>34</v>
      </c>
      <c r="J34" s="382">
        <v>2374</v>
      </c>
      <c r="K34" s="159">
        <f>K33+I34-J34</f>
        <v>-615821.75</v>
      </c>
    </row>
    <row r="35" spans="1:11" ht="15">
      <c r="A35" s="137" t="str">
        <f t="shared" si="0"/>
        <v>SERVICIOSNOMINA ADMONMANTENIMIENTO</v>
      </c>
      <c r="B35" t="s">
        <v>3451</v>
      </c>
      <c r="C35" s="1">
        <v>45694</v>
      </c>
      <c r="D35" t="s">
        <v>21</v>
      </c>
      <c r="E35" t="s">
        <v>147</v>
      </c>
      <c r="F35" s="12" t="s">
        <v>35</v>
      </c>
      <c r="J35" s="382">
        <v>12019.43</v>
      </c>
      <c r="K35" s="159">
        <f>K34+I35-J35</f>
        <v>-627841.18000000005</v>
      </c>
    </row>
    <row r="36" spans="1:11" ht="15">
      <c r="A36" s="137" t="str">
        <f t="shared" si="0"/>
        <v>SERVICIOSNOMINA ADMONCADENA DE SUMINISTROS</v>
      </c>
      <c r="B36" t="s">
        <v>3451</v>
      </c>
      <c r="C36" s="1">
        <v>45694</v>
      </c>
      <c r="D36" t="s">
        <v>21</v>
      </c>
      <c r="E36" t="s">
        <v>147</v>
      </c>
      <c r="F36" s="12" t="s">
        <v>134</v>
      </c>
      <c r="J36" s="382">
        <v>20955.2</v>
      </c>
      <c r="K36" s="159">
        <f>K35+I36-J36</f>
        <v>-648796.38</v>
      </c>
    </row>
    <row r="37" spans="1:11" ht="15">
      <c r="A37" s="137" t="str">
        <f t="shared" si="0"/>
        <v>SERVICIOSNOMINA ADMONSISTEMAS</v>
      </c>
      <c r="B37" t="s">
        <v>3451</v>
      </c>
      <c r="C37" s="1">
        <v>45694</v>
      </c>
      <c r="D37" t="s">
        <v>21</v>
      </c>
      <c r="E37" t="s">
        <v>147</v>
      </c>
      <c r="F37" s="12" t="s">
        <v>36</v>
      </c>
      <c r="J37" s="382">
        <v>11291.15</v>
      </c>
      <c r="K37" s="159">
        <f>K36+I37-J37</f>
        <v>-660087.53</v>
      </c>
    </row>
    <row r="38" spans="1:11" ht="15">
      <c r="A38" s="137" t="str">
        <f t="shared" si="0"/>
        <v>SERVICIOSNOMINA ADMONCOMPRAS</v>
      </c>
      <c r="B38" t="s">
        <v>3451</v>
      </c>
      <c r="C38" s="1">
        <v>45694</v>
      </c>
      <c r="D38" t="s">
        <v>21</v>
      </c>
      <c r="E38" t="s">
        <v>147</v>
      </c>
      <c r="F38" s="12" t="s">
        <v>148</v>
      </c>
      <c r="J38" s="382">
        <v>21093.38</v>
      </c>
      <c r="K38" s="159">
        <f>K37+I38-J38</f>
        <v>-681180.91</v>
      </c>
    </row>
    <row r="39" spans="1:11" ht="15">
      <c r="A39" s="137" t="str">
        <f t="shared" si="0"/>
        <v>FINANZASNOMINA ADMONCONTABILIDAD</v>
      </c>
      <c r="B39" t="s">
        <v>3451</v>
      </c>
      <c r="C39" s="1">
        <v>45694</v>
      </c>
      <c r="D39" t="s">
        <v>23</v>
      </c>
      <c r="E39" t="s">
        <v>147</v>
      </c>
      <c r="F39" s="12" t="s">
        <v>37</v>
      </c>
      <c r="J39" s="382">
        <v>13788.4</v>
      </c>
      <c r="K39" s="159">
        <f>K38+I39-J39</f>
        <v>-694969.31</v>
      </c>
    </row>
    <row r="40" spans="1:11" ht="15">
      <c r="A40" s="137" t="str">
        <f t="shared" si="0"/>
        <v>FINANZASNOMINA ADMONFINANZAS/LEGAL</v>
      </c>
      <c r="B40" t="s">
        <v>3451</v>
      </c>
      <c r="C40" s="1">
        <v>45694</v>
      </c>
      <c r="D40" t="s">
        <v>23</v>
      </c>
      <c r="E40" t="s">
        <v>147</v>
      </c>
      <c r="F40" s="12" t="s">
        <v>149</v>
      </c>
      <c r="J40" s="382">
        <v>9710.7900000000009</v>
      </c>
      <c r="K40" s="159">
        <f>K39+I40-J40</f>
        <v>-704680.10000000009</v>
      </c>
    </row>
    <row r="41" spans="1:11" ht="15">
      <c r="A41" s="137" t="str">
        <f t="shared" si="0"/>
        <v>FINANZASNOMINA ADMONRECURSOS HUMANOS</v>
      </c>
      <c r="B41" t="s">
        <v>3451</v>
      </c>
      <c r="C41" s="1">
        <v>45694</v>
      </c>
      <c r="D41" t="s">
        <v>23</v>
      </c>
      <c r="E41" t="s">
        <v>147</v>
      </c>
      <c r="F41" s="12" t="s">
        <v>125</v>
      </c>
      <c r="J41" s="382">
        <v>10623.2</v>
      </c>
      <c r="K41" s="159">
        <f>K40+I41-J41</f>
        <v>-715303.3</v>
      </c>
    </row>
    <row r="42" spans="1:11" ht="15">
      <c r="A42" s="137" t="str">
        <f t="shared" si="0"/>
        <v>FINANZASNOMINA ADMONTESORERIA</v>
      </c>
      <c r="B42" t="s">
        <v>3451</v>
      </c>
      <c r="C42" s="1">
        <v>45694</v>
      </c>
      <c r="D42" t="s">
        <v>23</v>
      </c>
      <c r="E42" t="s">
        <v>147</v>
      </c>
      <c r="F42" s="12" t="s">
        <v>38</v>
      </c>
      <c r="J42" s="382">
        <v>12203</v>
      </c>
      <c r="K42" s="159">
        <f>K41+I42-J42</f>
        <v>-727506.3</v>
      </c>
    </row>
    <row r="43" spans="1:11" ht="15">
      <c r="A43" s="137" t="str">
        <f t="shared" si="0"/>
        <v>FINANZASNOMINA ADMONHBG FINANZAS</v>
      </c>
      <c r="B43" t="s">
        <v>3451</v>
      </c>
      <c r="C43" s="1">
        <v>45694</v>
      </c>
      <c r="D43" t="s">
        <v>23</v>
      </c>
      <c r="E43" t="s">
        <v>147</v>
      </c>
      <c r="F43" s="12" t="s">
        <v>150</v>
      </c>
      <c r="J43" s="382">
        <v>3057</v>
      </c>
      <c r="K43" s="159">
        <f>K42+I43-J43</f>
        <v>-730563.3</v>
      </c>
    </row>
    <row r="44" spans="1:11" ht="15">
      <c r="A44" s="137" t="str">
        <f t="shared" si="0"/>
        <v>SGENOMINA ADMONGESTION EMPRESARIAL</v>
      </c>
      <c r="B44" t="s">
        <v>3451</v>
      </c>
      <c r="C44" s="1">
        <v>45694</v>
      </c>
      <c r="D44" t="s">
        <v>39</v>
      </c>
      <c r="E44" t="s">
        <v>147</v>
      </c>
      <c r="F44" s="12" t="s">
        <v>40</v>
      </c>
      <c r="J44" s="382">
        <v>19378.400000000001</v>
      </c>
      <c r="K44" s="159">
        <f>K43+I44-J44</f>
        <v>-749941.70000000007</v>
      </c>
    </row>
    <row r="45" spans="1:11" ht="15">
      <c r="A45" s="137" t="str">
        <f t="shared" si="0"/>
        <v>DENOMINA ADMONDIRECCION</v>
      </c>
      <c r="B45" t="s">
        <v>3451</v>
      </c>
      <c r="C45" s="1">
        <v>45694</v>
      </c>
      <c r="D45" t="s">
        <v>41</v>
      </c>
      <c r="E45" t="s">
        <v>147</v>
      </c>
      <c r="F45" s="12" t="s">
        <v>42</v>
      </c>
      <c r="J45" s="382">
        <v>6001</v>
      </c>
      <c r="K45" s="159">
        <f>K44+I45-J45</f>
        <v>-755942.70000000007</v>
      </c>
    </row>
    <row r="46" spans="1:11" ht="15">
      <c r="A46" s="137" t="str">
        <f t="shared" si="0"/>
        <v>FINANZASNOMINA ADMONHBG FINANZAS</v>
      </c>
      <c r="B46" t="s">
        <v>3451</v>
      </c>
      <c r="C46" s="1">
        <v>45694</v>
      </c>
      <c r="D46" t="s">
        <v>23</v>
      </c>
      <c r="E46" t="s">
        <v>147</v>
      </c>
      <c r="F46" s="12" t="s">
        <v>150</v>
      </c>
      <c r="J46" s="382">
        <v>12950</v>
      </c>
      <c r="K46" s="159">
        <f>K45+I46-J46</f>
        <v>-768892.70000000007</v>
      </c>
    </row>
    <row r="47" spans="1:11" ht="15">
      <c r="A47" s="137" t="str">
        <f t="shared" si="0"/>
        <v>HRNOMINA ADMONHR</v>
      </c>
      <c r="B47" t="s">
        <v>3451</v>
      </c>
      <c r="C47" s="1">
        <v>45694</v>
      </c>
      <c r="D47" t="s">
        <v>29</v>
      </c>
      <c r="E47" t="s">
        <v>147</v>
      </c>
      <c r="F47" s="3" t="s">
        <v>29</v>
      </c>
      <c r="J47" s="382">
        <v>5500</v>
      </c>
      <c r="K47" s="159">
        <f>K46+I47-J47</f>
        <v>-774392.70000000007</v>
      </c>
    </row>
    <row r="48" spans="1:11" ht="15">
      <c r="A48" s="137" t="str">
        <f t="shared" si="0"/>
        <v>CAPNOMINA ADMONCAPRICHOS</v>
      </c>
      <c r="B48" t="s">
        <v>3451</v>
      </c>
      <c r="C48" s="1">
        <v>45694</v>
      </c>
      <c r="D48" t="s">
        <v>31</v>
      </c>
      <c r="E48" t="s">
        <v>147</v>
      </c>
      <c r="F48" s="12" t="s">
        <v>33</v>
      </c>
      <c r="J48" s="382">
        <v>3700</v>
      </c>
      <c r="K48" s="159">
        <f>K47+I48-J48</f>
        <v>-778092.70000000007</v>
      </c>
    </row>
    <row r="49" spans="1:11" ht="15">
      <c r="A49" s="137" t="str">
        <f t="shared" si="0"/>
        <v>SGENOMINA ADMONGESTION EMPRESARIAL</v>
      </c>
      <c r="B49" t="s">
        <v>3451</v>
      </c>
      <c r="C49" s="1">
        <v>45694</v>
      </c>
      <c r="D49" t="s">
        <v>39</v>
      </c>
      <c r="E49" t="s">
        <v>147</v>
      </c>
      <c r="F49" s="12" t="s">
        <v>40</v>
      </c>
      <c r="J49" s="382">
        <v>2750</v>
      </c>
      <c r="K49" s="159">
        <f>K48+I49-J49</f>
        <v>-780842.70000000007</v>
      </c>
    </row>
    <row r="50" spans="1:11" ht="15">
      <c r="A50" s="137" t="str">
        <f t="shared" si="0"/>
        <v>SERVICIOSNOMINA ADMONSERVICIOS</v>
      </c>
      <c r="B50" t="s">
        <v>3451</v>
      </c>
      <c r="C50" s="1">
        <v>45694</v>
      </c>
      <c r="D50" t="s">
        <v>21</v>
      </c>
      <c r="E50" t="s">
        <v>147</v>
      </c>
      <c r="F50" s="12" t="s">
        <v>21</v>
      </c>
      <c r="J50" s="382">
        <v>4750</v>
      </c>
      <c r="K50" s="159">
        <f>K49+I50-J50</f>
        <v>-785592.70000000007</v>
      </c>
    </row>
    <row r="51" spans="1:11" ht="15">
      <c r="A51" s="137" t="str">
        <f t="shared" si="0"/>
        <v>DENOMINA ADMONDIRECCION</v>
      </c>
      <c r="B51" t="s">
        <v>3451</v>
      </c>
      <c r="C51" s="1">
        <v>45694</v>
      </c>
      <c r="D51" t="s">
        <v>41</v>
      </c>
      <c r="E51" t="s">
        <v>147</v>
      </c>
      <c r="F51" s="12" t="s">
        <v>42</v>
      </c>
      <c r="J51" s="382">
        <v>20750</v>
      </c>
      <c r="K51" s="159">
        <f>K50+I51-J51</f>
        <v>-806342.70000000007</v>
      </c>
    </row>
    <row r="52" spans="1:11" ht="15">
      <c r="A52" s="137" t="str">
        <f t="shared" si="0"/>
        <v>MMNOMINA ADMONMARKET MAX</v>
      </c>
      <c r="B52" t="s">
        <v>3451</v>
      </c>
      <c r="C52" s="1">
        <v>45694</v>
      </c>
      <c r="D52" t="s">
        <v>45</v>
      </c>
      <c r="E52" t="s">
        <v>147</v>
      </c>
      <c r="F52" s="12" t="s">
        <v>46</v>
      </c>
      <c r="J52" s="382">
        <v>2000</v>
      </c>
      <c r="K52" s="159">
        <f>K51+I52-J52</f>
        <v>-808342.70000000007</v>
      </c>
    </row>
    <row r="53" spans="1:11" ht="15">
      <c r="A53" s="137" t="str">
        <f t="shared" si="0"/>
        <v>SERVICIOSVACACIONES/FINIQUITOSSERVICIOS</v>
      </c>
      <c r="B53" t="s">
        <v>3451</v>
      </c>
      <c r="C53" s="1">
        <v>45694</v>
      </c>
      <c r="D53" t="s">
        <v>21</v>
      </c>
      <c r="E53" t="s">
        <v>190</v>
      </c>
      <c r="F53" s="12" t="s">
        <v>21</v>
      </c>
      <c r="J53" s="382">
        <v>12117.86</v>
      </c>
      <c r="K53" s="159">
        <f>K52+I53-J53</f>
        <v>-820460.56</v>
      </c>
    </row>
    <row r="54" spans="1:11" ht="15">
      <c r="A54" s="137" t="str">
        <f t="shared" si="0"/>
        <v>FINANZASVACACIONES/FINIQUITOSFINANZAS</v>
      </c>
      <c r="B54" t="s">
        <v>3451</v>
      </c>
      <c r="C54" s="1">
        <v>45694</v>
      </c>
      <c r="D54" t="s">
        <v>23</v>
      </c>
      <c r="E54" t="s">
        <v>190</v>
      </c>
      <c r="F54" s="12" t="s">
        <v>23</v>
      </c>
      <c r="J54" s="382">
        <v>15714.29</v>
      </c>
      <c r="K54" s="159">
        <f>K53+I54-J54</f>
        <v>-836174.85000000009</v>
      </c>
    </row>
    <row r="55" spans="1:11" ht="15">
      <c r="A55" s="137" t="str">
        <f t="shared" si="0"/>
        <v>FINANZASVACACIONES/FINIQUITOSFINANZAS</v>
      </c>
      <c r="B55" t="s">
        <v>3451</v>
      </c>
      <c r="C55" s="1">
        <v>45694</v>
      </c>
      <c r="D55" t="s">
        <v>23</v>
      </c>
      <c r="E55" t="s">
        <v>190</v>
      </c>
      <c r="F55" s="12" t="s">
        <v>23</v>
      </c>
      <c r="J55" s="382">
        <v>13097.14</v>
      </c>
      <c r="K55" s="159">
        <f>K54+I55-J55</f>
        <v>-849271.99000000011</v>
      </c>
    </row>
    <row r="56" spans="1:11" ht="15">
      <c r="A56" s="137" t="str">
        <f t="shared" si="0"/>
        <v>FINANZASVACACIONES/FINIQUITOSFINANZAS</v>
      </c>
      <c r="B56" t="s">
        <v>3451</v>
      </c>
      <c r="C56" s="1">
        <v>45694</v>
      </c>
      <c r="D56" t="s">
        <v>23</v>
      </c>
      <c r="E56" t="s">
        <v>190</v>
      </c>
      <c r="F56" s="12" t="s">
        <v>23</v>
      </c>
      <c r="J56" s="382">
        <v>24429</v>
      </c>
      <c r="K56" s="159">
        <f>K55+I56-J56</f>
        <v>-873700.99000000011</v>
      </c>
    </row>
    <row r="57" spans="1:11" ht="15">
      <c r="A57" s="137" t="str">
        <f t="shared" si="0"/>
        <v>HRNOMINA SUCURSALA1</v>
      </c>
      <c r="B57" t="s">
        <v>3451</v>
      </c>
      <c r="C57" s="1">
        <v>45701</v>
      </c>
      <c r="D57" t="s">
        <v>29</v>
      </c>
      <c r="E57" t="s">
        <v>154</v>
      </c>
      <c r="F57" s="3" t="s">
        <v>88</v>
      </c>
      <c r="J57" s="382">
        <v>11368.2</v>
      </c>
      <c r="K57" s="159">
        <f>K56+I57-J57</f>
        <v>-885069.19000000006</v>
      </c>
    </row>
    <row r="58" spans="1:11" ht="15">
      <c r="A58" s="137" t="str">
        <f t="shared" si="0"/>
        <v>HRNOMINA SUCURSALA2</v>
      </c>
      <c r="B58" t="s">
        <v>3451</v>
      </c>
      <c r="C58" s="1">
        <v>45701</v>
      </c>
      <c r="D58" t="s">
        <v>29</v>
      </c>
      <c r="E58" t="s">
        <v>154</v>
      </c>
      <c r="F58" s="3" t="s">
        <v>89</v>
      </c>
      <c r="J58" s="382">
        <v>13884.8</v>
      </c>
      <c r="K58" s="159">
        <f>K57+I58-J58</f>
        <v>-898953.99000000011</v>
      </c>
    </row>
    <row r="59" spans="1:11" ht="15">
      <c r="A59" s="137" t="str">
        <f t="shared" si="0"/>
        <v>HRNOMINA SUCURSALA3</v>
      </c>
      <c r="B59" t="s">
        <v>3451</v>
      </c>
      <c r="C59" s="1">
        <v>45701</v>
      </c>
      <c r="D59" t="s">
        <v>29</v>
      </c>
      <c r="E59" t="s">
        <v>154</v>
      </c>
      <c r="F59" s="3" t="s">
        <v>90</v>
      </c>
      <c r="J59" s="382">
        <v>9887.68</v>
      </c>
      <c r="K59" s="159">
        <f>K58+I59-J59</f>
        <v>-908841.67000000016</v>
      </c>
    </row>
    <row r="60" spans="1:11" ht="15">
      <c r="A60" s="137" t="str">
        <f t="shared" si="0"/>
        <v>HRNOMINA SUCURSALA4</v>
      </c>
      <c r="B60" t="s">
        <v>3451</v>
      </c>
      <c r="C60" s="1">
        <v>45701</v>
      </c>
      <c r="D60" t="s">
        <v>29</v>
      </c>
      <c r="E60" t="s">
        <v>154</v>
      </c>
      <c r="F60" s="3" t="s">
        <v>91</v>
      </c>
      <c r="J60" s="382">
        <v>9428.7999999999993</v>
      </c>
      <c r="K60" s="159">
        <f>K59+I60-J60</f>
        <v>-918270.4700000002</v>
      </c>
    </row>
    <row r="61" spans="1:11" ht="15">
      <c r="A61" s="137" t="str">
        <f t="shared" si="0"/>
        <v>HRNOMINA SUCURSALA5</v>
      </c>
      <c r="B61" t="s">
        <v>3451</v>
      </c>
      <c r="C61" s="1">
        <v>45701</v>
      </c>
      <c r="D61" t="s">
        <v>29</v>
      </c>
      <c r="E61" t="s">
        <v>154</v>
      </c>
      <c r="F61" s="3" t="s">
        <v>92</v>
      </c>
      <c r="J61" s="382">
        <v>9931.2099999999991</v>
      </c>
      <c r="K61" s="159">
        <f>K60+I61-J61</f>
        <v>-928201.68000000017</v>
      </c>
    </row>
    <row r="62" spans="1:11" ht="15">
      <c r="A62" s="137" t="str">
        <f t="shared" si="0"/>
        <v>HRNOMINA SUCURSALA6</v>
      </c>
      <c r="B62" t="s">
        <v>3451</v>
      </c>
      <c r="C62" s="1">
        <v>45701</v>
      </c>
      <c r="D62" t="s">
        <v>29</v>
      </c>
      <c r="E62" t="s">
        <v>154</v>
      </c>
      <c r="F62" s="3" t="s">
        <v>93</v>
      </c>
      <c r="J62" s="382">
        <v>14276.55</v>
      </c>
      <c r="K62" s="159">
        <f>K61+I62-J62</f>
        <v>-942478.23000000021</v>
      </c>
    </row>
    <row r="63" spans="1:11" ht="15">
      <c r="A63" s="137" t="str">
        <f t="shared" si="0"/>
        <v>HRNOMINA SUCURSALA8</v>
      </c>
      <c r="B63" t="s">
        <v>3451</v>
      </c>
      <c r="C63" s="1">
        <v>45701</v>
      </c>
      <c r="D63" t="s">
        <v>29</v>
      </c>
      <c r="E63" t="s">
        <v>154</v>
      </c>
      <c r="F63" s="3" t="s">
        <v>94</v>
      </c>
      <c r="J63" s="382">
        <v>16803.400000000001</v>
      </c>
      <c r="K63" s="159">
        <f>K62+I63-J63</f>
        <v>-959281.63000000024</v>
      </c>
    </row>
    <row r="64" spans="1:11" ht="15">
      <c r="A64" s="137" t="str">
        <f t="shared" si="0"/>
        <v>HRNOMINA SUCURSALA9</v>
      </c>
      <c r="B64" t="s">
        <v>3451</v>
      </c>
      <c r="C64" s="1">
        <v>45701</v>
      </c>
      <c r="D64" t="s">
        <v>29</v>
      </c>
      <c r="E64" t="s">
        <v>154</v>
      </c>
      <c r="F64" s="3" t="s">
        <v>95</v>
      </c>
      <c r="J64" s="382">
        <v>12563.09</v>
      </c>
      <c r="K64" s="159">
        <f>K63+I64-J64</f>
        <v>-971844.7200000002</v>
      </c>
    </row>
    <row r="65" spans="1:11" ht="15">
      <c r="A65" s="137" t="str">
        <f t="shared" si="0"/>
        <v>HRNOMINA SUCURSALA10</v>
      </c>
      <c r="B65" t="s">
        <v>3451</v>
      </c>
      <c r="C65" s="1">
        <v>45701</v>
      </c>
      <c r="D65" t="s">
        <v>29</v>
      </c>
      <c r="E65" t="s">
        <v>154</v>
      </c>
      <c r="F65" s="3" t="s">
        <v>96</v>
      </c>
      <c r="J65" s="382">
        <v>17085.849999999999</v>
      </c>
      <c r="K65" s="159">
        <f>K64+I65-J65</f>
        <v>-988930.57000000018</v>
      </c>
    </row>
    <row r="66" spans="1:11" ht="15">
      <c r="A66" s="137" t="str">
        <f t="shared" si="0"/>
        <v>HRNOMINA SUCURSALA11</v>
      </c>
      <c r="B66" t="s">
        <v>3451</v>
      </c>
      <c r="C66" s="1">
        <v>45701</v>
      </c>
      <c r="D66" t="s">
        <v>29</v>
      </c>
      <c r="E66" t="s">
        <v>154</v>
      </c>
      <c r="F66" s="62" t="s">
        <v>97</v>
      </c>
      <c r="J66" s="382">
        <v>13100.2</v>
      </c>
      <c r="K66" s="159">
        <f>K65+I66-J66</f>
        <v>-1002030.7700000001</v>
      </c>
    </row>
    <row r="67" spans="1:11" ht="15">
      <c r="A67" s="137" t="str">
        <f t="shared" si="0"/>
        <v>HRNOMINA SUCURSALA12</v>
      </c>
      <c r="B67" t="s">
        <v>3451</v>
      </c>
      <c r="C67" s="1">
        <v>45701</v>
      </c>
      <c r="D67" t="s">
        <v>29</v>
      </c>
      <c r="E67" t="s">
        <v>154</v>
      </c>
      <c r="F67" s="3" t="s">
        <v>98</v>
      </c>
      <c r="J67" s="382">
        <v>21977.599999999999</v>
      </c>
      <c r="K67" s="159">
        <f>K66+I67-J67</f>
        <v>-1024008.3700000001</v>
      </c>
    </row>
    <row r="68" spans="1:11" ht="15">
      <c r="A68" s="137" t="str">
        <f t="shared" ref="A68:A131" si="1">D68&amp;E68&amp;F68</f>
        <v>HRNOMINA SUCURSALA14</v>
      </c>
      <c r="B68" t="s">
        <v>3451</v>
      </c>
      <c r="C68" s="1">
        <v>45701</v>
      </c>
      <c r="D68" t="s">
        <v>29</v>
      </c>
      <c r="E68" t="s">
        <v>154</v>
      </c>
      <c r="F68" s="3" t="s">
        <v>99</v>
      </c>
      <c r="J68" s="382">
        <v>12120.8</v>
      </c>
      <c r="K68" s="159">
        <f>K67+I68-J68</f>
        <v>-1036129.1700000002</v>
      </c>
    </row>
    <row r="69" spans="1:11" ht="15">
      <c r="A69" s="137" t="str">
        <f t="shared" si="1"/>
        <v>HRNOMINA SUCURSALA15</v>
      </c>
      <c r="B69" t="s">
        <v>3451</v>
      </c>
      <c r="C69" s="1">
        <v>45701</v>
      </c>
      <c r="D69" t="s">
        <v>29</v>
      </c>
      <c r="E69" t="s">
        <v>154</v>
      </c>
      <c r="F69" s="3" t="s">
        <v>100</v>
      </c>
      <c r="J69" s="382">
        <v>11157.4</v>
      </c>
      <c r="K69" s="159">
        <f>K68+I69-J69</f>
        <v>-1047286.5700000002</v>
      </c>
    </row>
    <row r="70" spans="1:11" ht="15">
      <c r="A70" s="137" t="str">
        <f t="shared" si="1"/>
        <v>HRNOMINA SUCURSALA16</v>
      </c>
      <c r="B70" t="s">
        <v>3451</v>
      </c>
      <c r="C70" s="1">
        <v>45701</v>
      </c>
      <c r="D70" t="s">
        <v>29</v>
      </c>
      <c r="E70" t="s">
        <v>154</v>
      </c>
      <c r="F70" s="3" t="s">
        <v>101</v>
      </c>
      <c r="J70" s="382">
        <v>15112.09</v>
      </c>
      <c r="K70" s="159">
        <f>K69+I70-J70</f>
        <v>-1062398.6600000001</v>
      </c>
    </row>
    <row r="71" spans="1:11" ht="15">
      <c r="A71" s="137" t="str">
        <f t="shared" si="1"/>
        <v>HRNOMINA SUCURSALA17</v>
      </c>
      <c r="B71" t="s">
        <v>3451</v>
      </c>
      <c r="C71" s="1">
        <v>45701</v>
      </c>
      <c r="D71" t="s">
        <v>29</v>
      </c>
      <c r="E71" t="s">
        <v>154</v>
      </c>
      <c r="F71" s="3" t="s">
        <v>102</v>
      </c>
      <c r="J71" s="382">
        <v>10019.4</v>
      </c>
      <c r="K71" s="159">
        <f>K70+I71-J71</f>
        <v>-1072418.06</v>
      </c>
    </row>
    <row r="72" spans="1:11" ht="15">
      <c r="A72" s="137" t="str">
        <f t="shared" si="1"/>
        <v>HRNOMINA SUCURSALA18</v>
      </c>
      <c r="B72" t="s">
        <v>3451</v>
      </c>
      <c r="C72" s="1">
        <v>45701</v>
      </c>
      <c r="D72" t="s">
        <v>29</v>
      </c>
      <c r="E72" t="s">
        <v>154</v>
      </c>
      <c r="F72" s="3" t="s">
        <v>103</v>
      </c>
      <c r="J72" s="382">
        <v>11870.8</v>
      </c>
      <c r="K72" s="159">
        <f>K71+I72-J72</f>
        <v>-1084288.8600000001</v>
      </c>
    </row>
    <row r="73" spans="1:11" ht="15">
      <c r="A73" s="137" t="str">
        <f t="shared" si="1"/>
        <v>HRNOMINA SUCURSALA22</v>
      </c>
      <c r="B73" t="s">
        <v>3451</v>
      </c>
      <c r="C73" s="1">
        <v>45701</v>
      </c>
      <c r="D73" t="s">
        <v>29</v>
      </c>
      <c r="E73" t="s">
        <v>154</v>
      </c>
      <c r="F73" s="3" t="s">
        <v>104</v>
      </c>
      <c r="J73" s="382">
        <v>12056.6</v>
      </c>
      <c r="K73" s="159">
        <f>K72+I73-J73</f>
        <v>-1096345.4600000002</v>
      </c>
    </row>
    <row r="74" spans="1:11" ht="15">
      <c r="A74" s="137" t="str">
        <f t="shared" si="1"/>
        <v>HRNOMINA SUCURSALA23</v>
      </c>
      <c r="B74" t="s">
        <v>3451</v>
      </c>
      <c r="C74" s="1">
        <v>45701</v>
      </c>
      <c r="D74" t="s">
        <v>29</v>
      </c>
      <c r="E74" t="s">
        <v>154</v>
      </c>
      <c r="F74" s="3" t="s">
        <v>105</v>
      </c>
      <c r="J74" s="382">
        <v>11097</v>
      </c>
      <c r="K74" s="159">
        <f>K73+I74-J74</f>
        <v>-1107442.4600000002</v>
      </c>
    </row>
    <row r="75" spans="1:11" ht="15">
      <c r="A75" s="137" t="str">
        <f t="shared" si="1"/>
        <v>HRNOMINA SUCURSALA24</v>
      </c>
      <c r="B75" t="s">
        <v>3451</v>
      </c>
      <c r="C75" s="1">
        <v>45701</v>
      </c>
      <c r="D75" t="s">
        <v>29</v>
      </c>
      <c r="E75" t="s">
        <v>154</v>
      </c>
      <c r="F75" s="3" t="s">
        <v>106</v>
      </c>
      <c r="J75" s="382">
        <v>16259</v>
      </c>
      <c r="K75" s="159">
        <f>K74+I75-J75</f>
        <v>-1123701.4600000002</v>
      </c>
    </row>
    <row r="76" spans="1:11" ht="15">
      <c r="A76" s="137" t="str">
        <f t="shared" si="1"/>
        <v>CAPNOMINA SUCURSALE1</v>
      </c>
      <c r="B76" t="s">
        <v>3451</v>
      </c>
      <c r="C76" s="1">
        <v>45701</v>
      </c>
      <c r="D76" t="s">
        <v>31</v>
      </c>
      <c r="E76" t="s">
        <v>154</v>
      </c>
      <c r="F76" s="3" t="s">
        <v>107</v>
      </c>
      <c r="J76" s="382">
        <v>14490.2</v>
      </c>
      <c r="K76" s="159">
        <f>K75+I76-J76</f>
        <v>-1138191.6600000001</v>
      </c>
    </row>
    <row r="77" spans="1:11" ht="15">
      <c r="A77" s="137" t="str">
        <f t="shared" si="1"/>
        <v>CAPNOMINA SUCURSALE2</v>
      </c>
      <c r="B77" t="s">
        <v>3451</v>
      </c>
      <c r="C77" s="1">
        <v>45701</v>
      </c>
      <c r="D77" t="s">
        <v>31</v>
      </c>
      <c r="E77" t="s">
        <v>154</v>
      </c>
      <c r="F77" s="3" t="s">
        <v>108</v>
      </c>
      <c r="J77" s="382">
        <v>25019.4</v>
      </c>
      <c r="K77" s="159">
        <f>K76+I77-J77</f>
        <v>-1163211.06</v>
      </c>
    </row>
    <row r="78" spans="1:11" ht="15">
      <c r="A78" s="137" t="str">
        <f t="shared" si="1"/>
        <v>CAPNOMINA SUCURSALE3</v>
      </c>
      <c r="B78" t="s">
        <v>3451</v>
      </c>
      <c r="C78" s="1">
        <v>45701</v>
      </c>
      <c r="D78" t="s">
        <v>31</v>
      </c>
      <c r="E78" t="s">
        <v>154</v>
      </c>
      <c r="F78" s="3" t="s">
        <v>109</v>
      </c>
      <c r="J78" s="382">
        <v>15896.8</v>
      </c>
      <c r="K78" s="159">
        <f>K77+I78-J78</f>
        <v>-1179107.8600000001</v>
      </c>
    </row>
    <row r="79" spans="1:11" ht="15">
      <c r="A79" s="137" t="str">
        <f t="shared" si="1"/>
        <v>CAPNOMINA SUCURSALE4</v>
      </c>
      <c r="B79" t="s">
        <v>3451</v>
      </c>
      <c r="C79" s="1">
        <v>45701</v>
      </c>
      <c r="D79" t="s">
        <v>31</v>
      </c>
      <c r="E79" t="s">
        <v>154</v>
      </c>
      <c r="F79" s="3" t="s">
        <v>110</v>
      </c>
      <c r="J79" s="382">
        <v>19479.599999999999</v>
      </c>
      <c r="K79" s="159">
        <f>K78+I79-J79</f>
        <v>-1198587.4600000002</v>
      </c>
    </row>
    <row r="80" spans="1:11" ht="15">
      <c r="A80" s="137" t="str">
        <f t="shared" si="1"/>
        <v>CAPNOMINA SUCURSALE5</v>
      </c>
      <c r="B80" t="s">
        <v>3451</v>
      </c>
      <c r="C80" s="1">
        <v>45701</v>
      </c>
      <c r="D80" t="s">
        <v>31</v>
      </c>
      <c r="E80" t="s">
        <v>154</v>
      </c>
      <c r="F80" s="3" t="s">
        <v>111</v>
      </c>
      <c r="J80" s="382">
        <v>15787.4</v>
      </c>
      <c r="K80" s="159">
        <f>K79+I80-J80</f>
        <v>-1214374.8600000001</v>
      </c>
    </row>
    <row r="81" spans="1:11" ht="15">
      <c r="A81" s="137" t="str">
        <f t="shared" si="1"/>
        <v>CAPNOMINA SUCURSALE6</v>
      </c>
      <c r="B81" t="s">
        <v>3451</v>
      </c>
      <c r="C81" s="1">
        <v>45701</v>
      </c>
      <c r="D81" t="s">
        <v>31</v>
      </c>
      <c r="E81" t="s">
        <v>154</v>
      </c>
      <c r="F81" s="3" t="s">
        <v>112</v>
      </c>
      <c r="J81" s="382">
        <v>16088.4</v>
      </c>
      <c r="K81" s="159">
        <f>K80+I81-J81</f>
        <v>-1230463.26</v>
      </c>
    </row>
    <row r="82" spans="1:11" ht="15">
      <c r="A82" s="137" t="str">
        <f t="shared" si="1"/>
        <v>CAPNOMINA SUCURSALE7</v>
      </c>
      <c r="B82" t="s">
        <v>3451</v>
      </c>
      <c r="C82" s="1">
        <v>45701</v>
      </c>
      <c r="D82" t="s">
        <v>31</v>
      </c>
      <c r="E82" t="s">
        <v>154</v>
      </c>
      <c r="F82" s="3" t="s">
        <v>113</v>
      </c>
      <c r="J82" s="382">
        <v>11705.4</v>
      </c>
      <c r="K82" s="159">
        <f>K81+I82-J82</f>
        <v>-1242168.6599999999</v>
      </c>
    </row>
    <row r="83" spans="1:11" ht="15">
      <c r="A83" s="137" t="str">
        <f t="shared" si="1"/>
        <v>CAPNOMINA SUCURSALE8</v>
      </c>
      <c r="B83" t="s">
        <v>3451</v>
      </c>
      <c r="C83" s="1">
        <v>45701</v>
      </c>
      <c r="D83" t="s">
        <v>31</v>
      </c>
      <c r="E83" t="s">
        <v>154</v>
      </c>
      <c r="F83" s="3" t="s">
        <v>114</v>
      </c>
      <c r="J83" s="382">
        <v>18803</v>
      </c>
      <c r="K83" s="159">
        <f>K82+I83-J83</f>
        <v>-1260971.6599999999</v>
      </c>
    </row>
    <row r="84" spans="1:11" ht="15">
      <c r="A84" s="137" t="str">
        <f t="shared" si="1"/>
        <v>ELINOMINA SUCURSALL1</v>
      </c>
      <c r="B84" t="s">
        <v>3451</v>
      </c>
      <c r="C84" s="1">
        <v>45701</v>
      </c>
      <c r="D84" t="s">
        <v>130</v>
      </c>
      <c r="E84" t="s">
        <v>154</v>
      </c>
      <c r="F84" s="3" t="s">
        <v>136</v>
      </c>
      <c r="J84" s="382">
        <v>9483.7999999999993</v>
      </c>
      <c r="K84" s="159">
        <f>K83+I84-J84</f>
        <v>-1270455.46</v>
      </c>
    </row>
    <row r="85" spans="1:11" ht="15">
      <c r="A85" s="137" t="str">
        <f t="shared" si="1"/>
        <v>HRNOMINA ADMONHR</v>
      </c>
      <c r="B85" t="s">
        <v>3451</v>
      </c>
      <c r="C85" s="1">
        <v>45701</v>
      </c>
      <c r="D85" t="s">
        <v>29</v>
      </c>
      <c r="E85" t="s">
        <v>147</v>
      </c>
      <c r="F85" s="3" t="s">
        <v>29</v>
      </c>
      <c r="J85" s="382">
        <v>33445.33</v>
      </c>
      <c r="K85" s="159">
        <f>K84+I85-J85</f>
        <v>-1303900.79</v>
      </c>
    </row>
    <row r="86" spans="1:11" ht="15">
      <c r="A86" s="137" t="str">
        <f t="shared" si="1"/>
        <v>CAPNOMINA ADMONCAPRICHOS</v>
      </c>
      <c r="B86" t="s">
        <v>3451</v>
      </c>
      <c r="C86" s="1">
        <v>45701</v>
      </c>
      <c r="D86" t="s">
        <v>31</v>
      </c>
      <c r="E86" t="s">
        <v>147</v>
      </c>
      <c r="F86" s="12" t="s">
        <v>33</v>
      </c>
      <c r="J86" s="382">
        <v>29803.57</v>
      </c>
      <c r="K86" s="159">
        <f>K85+I86-J86</f>
        <v>-1333704.3600000001</v>
      </c>
    </row>
    <row r="87" spans="1:11" ht="15">
      <c r="A87" s="137" t="str">
        <f t="shared" si="1"/>
        <v>SERVICIOSNOMINA SUCURSALCEDIS</v>
      </c>
      <c r="B87" t="s">
        <v>3451</v>
      </c>
      <c r="C87" s="1">
        <v>45701</v>
      </c>
      <c r="D87" t="s">
        <v>21</v>
      </c>
      <c r="E87" t="s">
        <v>154</v>
      </c>
      <c r="F87" s="12" t="s">
        <v>28</v>
      </c>
      <c r="J87" s="382">
        <v>55891.71</v>
      </c>
      <c r="K87" s="159">
        <f>K86+I87-J87</f>
        <v>-1389596.07</v>
      </c>
    </row>
    <row r="88" spans="1:11" ht="15">
      <c r="A88" s="137" t="str">
        <f t="shared" si="1"/>
        <v>SERVICIOSNOMINA ADMONINVENTARIOS</v>
      </c>
      <c r="B88" t="s">
        <v>3451</v>
      </c>
      <c r="C88" s="1">
        <v>45701</v>
      </c>
      <c r="D88" t="s">
        <v>21</v>
      </c>
      <c r="E88" t="s">
        <v>147</v>
      </c>
      <c r="F88" s="12" t="s">
        <v>34</v>
      </c>
      <c r="J88" s="382">
        <v>2374</v>
      </c>
      <c r="K88" s="159">
        <f>K87+I88-J88</f>
        <v>-1391970.07</v>
      </c>
    </row>
    <row r="89" spans="1:11" ht="15">
      <c r="A89" s="137" t="str">
        <f t="shared" si="1"/>
        <v>SERVICIOSNOMINA ADMONMANTENIMIENTO</v>
      </c>
      <c r="B89" t="s">
        <v>3451</v>
      </c>
      <c r="C89" s="1">
        <v>45701</v>
      </c>
      <c r="D89" t="s">
        <v>21</v>
      </c>
      <c r="E89" t="s">
        <v>147</v>
      </c>
      <c r="F89" s="12" t="s">
        <v>35</v>
      </c>
      <c r="J89" s="382">
        <v>5365.83</v>
      </c>
      <c r="K89" s="159">
        <f>K88+I89-J89</f>
        <v>-1397335.9000000001</v>
      </c>
    </row>
    <row r="90" spans="1:11" ht="15">
      <c r="A90" s="137" t="str">
        <f t="shared" si="1"/>
        <v>SERVICIOSNOMINA ADMONCADENA DE SUMINISTROS</v>
      </c>
      <c r="B90" t="s">
        <v>3451</v>
      </c>
      <c r="C90" s="1">
        <v>45701</v>
      </c>
      <c r="D90" t="s">
        <v>21</v>
      </c>
      <c r="E90" t="s">
        <v>147</v>
      </c>
      <c r="F90" s="12" t="s">
        <v>134</v>
      </c>
      <c r="J90" s="382">
        <v>22045</v>
      </c>
      <c r="K90" s="159">
        <f>K89+I90-J90</f>
        <v>-1419380.9000000001</v>
      </c>
    </row>
    <row r="91" spans="1:11" ht="15">
      <c r="A91" s="137" t="str">
        <f t="shared" si="1"/>
        <v>SERVICIOSNOMINA ADMONSISTEMAS</v>
      </c>
      <c r="B91" t="s">
        <v>3451</v>
      </c>
      <c r="C91" s="1">
        <v>45701</v>
      </c>
      <c r="D91" t="s">
        <v>21</v>
      </c>
      <c r="E91" t="s">
        <v>147</v>
      </c>
      <c r="F91" s="12" t="s">
        <v>36</v>
      </c>
      <c r="J91" s="382">
        <v>11200.15</v>
      </c>
      <c r="K91" s="159">
        <f>K90+I91-J91</f>
        <v>-1430581.05</v>
      </c>
    </row>
    <row r="92" spans="1:11" ht="15">
      <c r="A92" s="137" t="str">
        <f t="shared" si="1"/>
        <v>SERVICIOSNOMINA ADMONCOMPRAS</v>
      </c>
      <c r="B92" t="s">
        <v>3451</v>
      </c>
      <c r="C92" s="1">
        <v>45701</v>
      </c>
      <c r="D92" t="s">
        <v>21</v>
      </c>
      <c r="E92" t="s">
        <v>147</v>
      </c>
      <c r="F92" s="12" t="s">
        <v>148</v>
      </c>
      <c r="J92" s="382">
        <v>21094.18</v>
      </c>
      <c r="K92" s="159">
        <f>K91+I92-J92</f>
        <v>-1451675.23</v>
      </c>
    </row>
    <row r="93" spans="1:11" ht="15">
      <c r="A93" s="137" t="str">
        <f t="shared" si="1"/>
        <v>FINANZASNOMINA ADMONCONTABILIDAD</v>
      </c>
      <c r="B93" t="s">
        <v>3451</v>
      </c>
      <c r="C93" s="1">
        <v>45701</v>
      </c>
      <c r="D93" t="s">
        <v>23</v>
      </c>
      <c r="E93" t="s">
        <v>147</v>
      </c>
      <c r="F93" s="12" t="s">
        <v>37</v>
      </c>
      <c r="J93" s="382">
        <v>10399.6</v>
      </c>
      <c r="K93" s="159">
        <f>K92+I93-J93</f>
        <v>-1462074.83</v>
      </c>
    </row>
    <row r="94" spans="1:11" ht="15">
      <c r="A94" s="137" t="str">
        <f t="shared" si="1"/>
        <v>FINANZASNOMINA ADMONFINANZAS/LEGAL</v>
      </c>
      <c r="B94" t="s">
        <v>3451</v>
      </c>
      <c r="C94" s="1">
        <v>45701</v>
      </c>
      <c r="D94" t="s">
        <v>23</v>
      </c>
      <c r="E94" t="s">
        <v>147</v>
      </c>
      <c r="F94" s="12" t="s">
        <v>149</v>
      </c>
      <c r="J94" s="382">
        <v>6510.39</v>
      </c>
      <c r="K94" s="159">
        <f>K93+I94-J94</f>
        <v>-1468585.22</v>
      </c>
    </row>
    <row r="95" spans="1:11" ht="15">
      <c r="A95" s="137" t="str">
        <f t="shared" si="1"/>
        <v>FINANZASNOMINA ADMONRECURSOS HUMANOS</v>
      </c>
      <c r="B95" t="s">
        <v>3451</v>
      </c>
      <c r="C95" s="1">
        <v>45701</v>
      </c>
      <c r="D95" t="s">
        <v>23</v>
      </c>
      <c r="E95" t="s">
        <v>147</v>
      </c>
      <c r="F95" s="12" t="s">
        <v>125</v>
      </c>
      <c r="J95" s="382">
        <v>9440.7999999999993</v>
      </c>
      <c r="K95" s="159">
        <f>K94+I95-J95</f>
        <v>-1478026.02</v>
      </c>
    </row>
    <row r="96" spans="1:11" ht="15">
      <c r="A96" s="137" t="str">
        <f t="shared" si="1"/>
        <v>FINANZASNOMINA ADMONTESORERIA</v>
      </c>
      <c r="B96" t="s">
        <v>3451</v>
      </c>
      <c r="C96" s="1">
        <v>45701</v>
      </c>
      <c r="D96" t="s">
        <v>23</v>
      </c>
      <c r="E96" t="s">
        <v>147</v>
      </c>
      <c r="F96" s="12" t="s">
        <v>38</v>
      </c>
      <c r="J96" s="382">
        <v>12050.8</v>
      </c>
      <c r="K96" s="159">
        <f>K95+I96-J96</f>
        <v>-1490076.82</v>
      </c>
    </row>
    <row r="97" spans="1:11" ht="15">
      <c r="A97" s="137" t="str">
        <f t="shared" si="1"/>
        <v>FINANZASNOMINA ADMONHBG FINANZAS</v>
      </c>
      <c r="B97" t="s">
        <v>3451</v>
      </c>
      <c r="C97" s="1">
        <v>45701</v>
      </c>
      <c r="D97" t="s">
        <v>23</v>
      </c>
      <c r="E97" t="s">
        <v>147</v>
      </c>
      <c r="F97" s="12" t="s">
        <v>150</v>
      </c>
      <c r="J97" s="382">
        <v>3057</v>
      </c>
      <c r="K97" s="159">
        <f>K96+I97-J97</f>
        <v>-1493133.82</v>
      </c>
    </row>
    <row r="98" spans="1:11" ht="15">
      <c r="A98" s="137" t="str">
        <f t="shared" si="1"/>
        <v>SGENOMINA ADMONGESTION EMPRESARIAL</v>
      </c>
      <c r="B98" t="s">
        <v>3451</v>
      </c>
      <c r="C98" s="1">
        <v>45701</v>
      </c>
      <c r="D98" t="s">
        <v>39</v>
      </c>
      <c r="E98" t="s">
        <v>147</v>
      </c>
      <c r="F98" s="12" t="s">
        <v>40</v>
      </c>
      <c r="J98" s="382">
        <v>21500.400000000001</v>
      </c>
      <c r="K98" s="159">
        <f>K97+I98-J98</f>
        <v>-1514634.22</v>
      </c>
    </row>
    <row r="99" spans="1:11" ht="15">
      <c r="A99" s="137" t="str">
        <f t="shared" si="1"/>
        <v>DENOMINA ADMONDIRECCION</v>
      </c>
      <c r="B99" t="s">
        <v>3451</v>
      </c>
      <c r="C99" s="1">
        <v>45701</v>
      </c>
      <c r="D99" t="s">
        <v>41</v>
      </c>
      <c r="E99" t="s">
        <v>147</v>
      </c>
      <c r="F99" s="12" t="s">
        <v>42</v>
      </c>
      <c r="J99" s="382">
        <v>6001.2</v>
      </c>
      <c r="K99" s="159">
        <f>K98+I99-J99</f>
        <v>-1520635.42</v>
      </c>
    </row>
    <row r="100" spans="1:11" ht="15">
      <c r="A100" s="137" t="str">
        <f t="shared" si="1"/>
        <v>FINANZASNOMINA ADMONHBG FINANZAS</v>
      </c>
      <c r="B100" t="s">
        <v>3451</v>
      </c>
      <c r="C100" s="1">
        <v>45701</v>
      </c>
      <c r="D100" t="s">
        <v>23</v>
      </c>
      <c r="E100" t="s">
        <v>147</v>
      </c>
      <c r="F100" s="12" t="s">
        <v>150</v>
      </c>
      <c r="J100" s="382">
        <v>11450</v>
      </c>
      <c r="K100" s="159">
        <f>K99+I100-J100</f>
        <v>-1532085.42</v>
      </c>
    </row>
    <row r="101" spans="1:11" ht="15">
      <c r="A101" s="137" t="str">
        <f t="shared" si="1"/>
        <v>HRNOMINA ADMONHR</v>
      </c>
      <c r="B101" t="s">
        <v>3451</v>
      </c>
      <c r="C101" s="1">
        <v>45701</v>
      </c>
      <c r="D101" t="s">
        <v>29</v>
      </c>
      <c r="E101" t="s">
        <v>147</v>
      </c>
      <c r="F101" s="3" t="s">
        <v>29</v>
      </c>
      <c r="J101" s="382">
        <v>5500</v>
      </c>
      <c r="K101" s="159">
        <f>K100+I101-J101</f>
        <v>-1537585.42</v>
      </c>
    </row>
    <row r="102" spans="1:11" ht="15">
      <c r="A102" s="137" t="str">
        <f t="shared" si="1"/>
        <v>CAPNOMINA ADMONCAPRICHOS</v>
      </c>
      <c r="B102" t="s">
        <v>3451</v>
      </c>
      <c r="C102" s="1">
        <v>45701</v>
      </c>
      <c r="D102" t="s">
        <v>31</v>
      </c>
      <c r="E102" t="s">
        <v>147</v>
      </c>
      <c r="F102" s="12" t="s">
        <v>33</v>
      </c>
      <c r="J102" s="382">
        <v>3700</v>
      </c>
      <c r="K102" s="159">
        <f>K101+I102-J102</f>
        <v>-1541285.42</v>
      </c>
    </row>
    <row r="103" spans="1:11" ht="15">
      <c r="A103" s="137" t="str">
        <f t="shared" si="1"/>
        <v>SGENOMINA ADMONGESTION EMPRESARIAL</v>
      </c>
      <c r="B103" t="s">
        <v>3451</v>
      </c>
      <c r="C103" s="1">
        <v>45701</v>
      </c>
      <c r="D103" t="s">
        <v>39</v>
      </c>
      <c r="E103" t="s">
        <v>147</v>
      </c>
      <c r="F103" s="12" t="s">
        <v>40</v>
      </c>
      <c r="J103" s="382">
        <v>2750</v>
      </c>
      <c r="K103" s="159">
        <f>K102+I103-J103</f>
        <v>-1544035.42</v>
      </c>
    </row>
    <row r="104" spans="1:11" ht="15">
      <c r="A104" s="137" t="str">
        <f t="shared" si="1"/>
        <v>SERVICIOSNOMINA ADMONSERVICIOS</v>
      </c>
      <c r="B104" t="s">
        <v>3451</v>
      </c>
      <c r="C104" s="1">
        <v>45701</v>
      </c>
      <c r="D104" t="s">
        <v>21</v>
      </c>
      <c r="E104" t="s">
        <v>147</v>
      </c>
      <c r="F104" s="12" t="s">
        <v>21</v>
      </c>
      <c r="J104" s="382">
        <v>4750</v>
      </c>
      <c r="K104" s="159">
        <f>K103+I104-J104</f>
        <v>-1548785.42</v>
      </c>
    </row>
    <row r="105" spans="1:11" ht="15">
      <c r="A105" s="137" t="str">
        <f t="shared" si="1"/>
        <v>DENOMINA ADMONDIRECCION</v>
      </c>
      <c r="B105" t="s">
        <v>3451</v>
      </c>
      <c r="C105" s="1">
        <v>45701</v>
      </c>
      <c r="D105" t="s">
        <v>41</v>
      </c>
      <c r="E105" t="s">
        <v>147</v>
      </c>
      <c r="F105" s="12" t="s">
        <v>42</v>
      </c>
      <c r="J105" s="382">
        <v>5750</v>
      </c>
      <c r="K105" s="159">
        <f>K104+I105-J105</f>
        <v>-1554535.42</v>
      </c>
    </row>
    <row r="106" spans="1:11" ht="15">
      <c r="A106" s="137" t="str">
        <f t="shared" si="1"/>
        <v>MMNOMINA ADMONMARKET MAX</v>
      </c>
      <c r="B106" t="s">
        <v>3451</v>
      </c>
      <c r="C106" s="1">
        <v>45701</v>
      </c>
      <c r="D106" t="s">
        <v>45</v>
      </c>
      <c r="E106" t="s">
        <v>147</v>
      </c>
      <c r="F106" s="12" t="s">
        <v>46</v>
      </c>
      <c r="G106" s="158"/>
      <c r="H106" s="77"/>
      <c r="I106" s="144"/>
      <c r="J106" s="382">
        <v>2000</v>
      </c>
      <c r="K106" s="159">
        <f>K105+I106-J106</f>
        <v>-1556535.42</v>
      </c>
    </row>
    <row r="107" spans="1:11" ht="15">
      <c r="A107" s="137" t="str">
        <f t="shared" si="1"/>
        <v>HRVACACIONES/FINIQUITOSHR</v>
      </c>
      <c r="B107" t="s">
        <v>3451</v>
      </c>
      <c r="C107" s="1">
        <v>45701</v>
      </c>
      <c r="D107" t="s">
        <v>29</v>
      </c>
      <c r="E107" t="s">
        <v>190</v>
      </c>
      <c r="F107" s="12" t="s">
        <v>29</v>
      </c>
      <c r="G107" s="158"/>
      <c r="H107" s="77"/>
      <c r="I107" s="144"/>
      <c r="J107" s="382">
        <v>11785.71</v>
      </c>
      <c r="K107" s="159">
        <f>K106+I107-J107</f>
        <v>-1568321.13</v>
      </c>
    </row>
    <row r="108" spans="1:11" ht="15">
      <c r="A108" s="137" t="str">
        <f t="shared" si="1"/>
        <v>CAPVACACIONES/FINIQUITOSCAPRICHOS</v>
      </c>
      <c r="B108" t="s">
        <v>3451</v>
      </c>
      <c r="C108" s="1">
        <v>45701</v>
      </c>
      <c r="D108" t="s">
        <v>31</v>
      </c>
      <c r="E108" t="s">
        <v>190</v>
      </c>
      <c r="F108" s="12" t="s">
        <v>33</v>
      </c>
      <c r="G108" s="158"/>
      <c r="H108" s="77"/>
      <c r="I108" s="144"/>
      <c r="J108" s="382">
        <v>2357.14</v>
      </c>
      <c r="K108" s="159">
        <f>K107+I108-J108</f>
        <v>-1570678.2699999998</v>
      </c>
    </row>
    <row r="109" spans="1:11" ht="15">
      <c r="A109" s="137" t="str">
        <f t="shared" si="1"/>
        <v>HRVACACIONES/FINIQUITOSHR</v>
      </c>
      <c r="B109" t="s">
        <v>3451</v>
      </c>
      <c r="C109" s="1">
        <v>45701</v>
      </c>
      <c r="D109" t="s">
        <v>29</v>
      </c>
      <c r="E109" t="s">
        <v>190</v>
      </c>
      <c r="F109" s="12" t="s">
        <v>29</v>
      </c>
      <c r="G109" s="158"/>
      <c r="H109" s="77"/>
      <c r="I109" s="144"/>
      <c r="J109" s="382">
        <v>9642.86</v>
      </c>
      <c r="K109" s="159">
        <f>K108+I109-J109</f>
        <v>-1580321.13</v>
      </c>
    </row>
    <row r="110" spans="1:11" ht="15">
      <c r="A110" s="137" t="str">
        <f t="shared" si="1"/>
        <v>HRNOMINA SUCURSALA1</v>
      </c>
      <c r="B110" t="s">
        <v>3451</v>
      </c>
      <c r="C110" s="1">
        <v>45708</v>
      </c>
      <c r="D110" t="s">
        <v>29</v>
      </c>
      <c r="E110" t="s">
        <v>154</v>
      </c>
      <c r="F110" s="3" t="s">
        <v>88</v>
      </c>
      <c r="G110" s="158"/>
      <c r="H110" s="77"/>
      <c r="I110" s="144"/>
      <c r="J110" s="382">
        <v>11329.4</v>
      </c>
      <c r="K110" s="159">
        <f>K109+I110-J110</f>
        <v>-1591650.5299999998</v>
      </c>
    </row>
    <row r="111" spans="1:11" ht="15">
      <c r="A111" s="137" t="str">
        <f t="shared" si="1"/>
        <v>HRNOMINA SUCURSALA2</v>
      </c>
      <c r="B111" t="s">
        <v>3451</v>
      </c>
      <c r="C111" s="1">
        <v>45708</v>
      </c>
      <c r="D111" t="s">
        <v>29</v>
      </c>
      <c r="E111" t="s">
        <v>154</v>
      </c>
      <c r="F111" s="3" t="s">
        <v>89</v>
      </c>
      <c r="G111" s="158"/>
      <c r="H111" s="77"/>
      <c r="I111" s="144"/>
      <c r="J111" s="382">
        <v>13884.2</v>
      </c>
      <c r="K111" s="159">
        <f>K110+I111-J111</f>
        <v>-1605534.7299999997</v>
      </c>
    </row>
    <row r="112" spans="1:11" ht="15">
      <c r="A112" s="137" t="str">
        <f t="shared" si="1"/>
        <v>HRNOMINA SUCURSALA3</v>
      </c>
      <c r="B112" t="s">
        <v>3451</v>
      </c>
      <c r="C112" s="1">
        <v>45708</v>
      </c>
      <c r="D112" t="s">
        <v>29</v>
      </c>
      <c r="E112" t="s">
        <v>154</v>
      </c>
      <c r="F112" s="3" t="s">
        <v>90</v>
      </c>
      <c r="G112" s="158"/>
      <c r="H112" s="77"/>
      <c r="I112" s="144"/>
      <c r="J112" s="382">
        <v>9886.2000000000007</v>
      </c>
      <c r="K112" s="159">
        <f>K111+I112-J112</f>
        <v>-1615420.9299999997</v>
      </c>
    </row>
    <row r="113" spans="1:11" ht="15">
      <c r="A113" s="137" t="str">
        <f t="shared" si="1"/>
        <v>HRNOMINA SUCURSALA4</v>
      </c>
      <c r="B113" t="s">
        <v>3451</v>
      </c>
      <c r="C113" s="1">
        <v>45708</v>
      </c>
      <c r="D113" t="s">
        <v>29</v>
      </c>
      <c r="E113" t="s">
        <v>154</v>
      </c>
      <c r="F113" s="3" t="s">
        <v>91</v>
      </c>
      <c r="G113" s="158"/>
      <c r="I113" s="161"/>
      <c r="J113" s="382">
        <v>9428.7999999999993</v>
      </c>
      <c r="K113" s="159">
        <f>K112+I113-J113</f>
        <v>-1624849.7299999997</v>
      </c>
    </row>
    <row r="114" spans="1:11" ht="15">
      <c r="A114" s="137" t="str">
        <f t="shared" si="1"/>
        <v>HRNOMINA SUCURSALA5</v>
      </c>
      <c r="B114" t="s">
        <v>3451</v>
      </c>
      <c r="C114" s="1">
        <v>45708</v>
      </c>
      <c r="D114" t="s">
        <v>29</v>
      </c>
      <c r="E114" t="s">
        <v>154</v>
      </c>
      <c r="F114" s="3" t="s">
        <v>92</v>
      </c>
      <c r="G114" s="158"/>
      <c r="I114" s="161"/>
      <c r="J114" s="382">
        <v>10751.01</v>
      </c>
      <c r="K114" s="159">
        <f>K113+I114-J114</f>
        <v>-1635600.7399999998</v>
      </c>
    </row>
    <row r="115" spans="1:11" ht="15">
      <c r="A115" s="137" t="str">
        <f t="shared" si="1"/>
        <v>HRNOMINA SUCURSALA6</v>
      </c>
      <c r="B115" t="s">
        <v>3451</v>
      </c>
      <c r="C115" s="1">
        <v>45708</v>
      </c>
      <c r="D115" t="s">
        <v>29</v>
      </c>
      <c r="E115" t="s">
        <v>154</v>
      </c>
      <c r="F115" s="3" t="s">
        <v>93</v>
      </c>
      <c r="G115" s="158"/>
      <c r="I115" s="161"/>
      <c r="J115" s="382">
        <v>13812.15</v>
      </c>
      <c r="K115" s="159">
        <f>K114+I115-J115</f>
        <v>-1649412.8899999997</v>
      </c>
    </row>
    <row r="116" spans="1:11" ht="15">
      <c r="A116" s="137" t="str">
        <f t="shared" si="1"/>
        <v>HRNOMINA SUCURSALA8</v>
      </c>
      <c r="B116" t="s">
        <v>3451</v>
      </c>
      <c r="C116" s="1">
        <v>45708</v>
      </c>
      <c r="D116" t="s">
        <v>29</v>
      </c>
      <c r="E116" t="s">
        <v>154</v>
      </c>
      <c r="F116" s="3" t="s">
        <v>94</v>
      </c>
      <c r="G116" s="158"/>
      <c r="I116" s="161"/>
      <c r="J116" s="382">
        <v>13786.6</v>
      </c>
      <c r="K116" s="159">
        <f>K115+I116-J116</f>
        <v>-1663199.4899999998</v>
      </c>
    </row>
    <row r="117" spans="1:11" ht="15">
      <c r="A117" s="137" t="str">
        <f t="shared" si="1"/>
        <v>HRNOMINA SUCURSALA9</v>
      </c>
      <c r="B117" t="s">
        <v>3451</v>
      </c>
      <c r="C117" s="1">
        <v>45708</v>
      </c>
      <c r="D117" t="s">
        <v>29</v>
      </c>
      <c r="E117" t="s">
        <v>154</v>
      </c>
      <c r="F117" s="3" t="s">
        <v>95</v>
      </c>
      <c r="G117" s="158"/>
      <c r="I117" s="161"/>
      <c r="J117" s="382">
        <v>11756.29</v>
      </c>
      <c r="K117" s="159">
        <f>K116+I117-J117</f>
        <v>-1674955.7799999998</v>
      </c>
    </row>
    <row r="118" spans="1:11" ht="15">
      <c r="A118" s="137" t="str">
        <f t="shared" si="1"/>
        <v>HRNOMINA SUCURSALA10</v>
      </c>
      <c r="B118" t="s">
        <v>3451</v>
      </c>
      <c r="C118" s="1">
        <v>45708</v>
      </c>
      <c r="D118" t="s">
        <v>29</v>
      </c>
      <c r="E118" t="s">
        <v>154</v>
      </c>
      <c r="F118" s="3" t="s">
        <v>96</v>
      </c>
      <c r="G118" s="158"/>
      <c r="I118" s="161"/>
      <c r="J118" s="382">
        <v>18856.73</v>
      </c>
      <c r="K118" s="159">
        <f>K117+I118-J118</f>
        <v>-1693812.5099999998</v>
      </c>
    </row>
    <row r="119" spans="1:11" ht="15">
      <c r="A119" s="137" t="str">
        <f t="shared" si="1"/>
        <v>HRNOMINA SUCURSALA11</v>
      </c>
      <c r="B119" t="s">
        <v>3451</v>
      </c>
      <c r="C119" s="1">
        <v>45708</v>
      </c>
      <c r="D119" t="s">
        <v>29</v>
      </c>
      <c r="E119" t="s">
        <v>154</v>
      </c>
      <c r="F119" s="62" t="s">
        <v>97</v>
      </c>
      <c r="G119" s="158"/>
      <c r="I119" s="161"/>
      <c r="J119" s="382">
        <v>13100.2</v>
      </c>
      <c r="K119" s="159">
        <f>K118+I119-J119</f>
        <v>-1706912.7099999997</v>
      </c>
    </row>
    <row r="120" spans="1:11" ht="15">
      <c r="A120" s="137" t="str">
        <f t="shared" si="1"/>
        <v>HRNOMINA SUCURSALA12</v>
      </c>
      <c r="B120" t="s">
        <v>3451</v>
      </c>
      <c r="C120" s="1">
        <v>45708</v>
      </c>
      <c r="D120" t="s">
        <v>29</v>
      </c>
      <c r="E120" t="s">
        <v>154</v>
      </c>
      <c r="F120" s="3" t="s">
        <v>98</v>
      </c>
      <c r="G120" s="158"/>
      <c r="H120" s="77"/>
      <c r="I120" s="144"/>
      <c r="J120" s="382">
        <v>20345.2</v>
      </c>
      <c r="K120" s="159">
        <f>K119+I120-J120</f>
        <v>-1727257.9099999997</v>
      </c>
    </row>
    <row r="121" spans="1:11" ht="15">
      <c r="A121" s="137" t="str">
        <f t="shared" si="1"/>
        <v>HRNOMINA SUCURSALA14</v>
      </c>
      <c r="B121" t="s">
        <v>3451</v>
      </c>
      <c r="C121" s="1">
        <v>45708</v>
      </c>
      <c r="D121" t="s">
        <v>29</v>
      </c>
      <c r="E121" t="s">
        <v>154</v>
      </c>
      <c r="F121" s="3" t="s">
        <v>99</v>
      </c>
      <c r="G121" s="158"/>
      <c r="H121" s="71"/>
      <c r="I121" s="144"/>
      <c r="J121" s="382">
        <v>13205.2</v>
      </c>
      <c r="K121" s="159">
        <f>K120+I121-J121</f>
        <v>-1740463.1099999996</v>
      </c>
    </row>
    <row r="122" spans="1:11" ht="15">
      <c r="A122" s="137" t="str">
        <f t="shared" si="1"/>
        <v>HRNOMINA SUCURSALA15</v>
      </c>
      <c r="B122" t="s">
        <v>3451</v>
      </c>
      <c r="C122" s="1">
        <v>45708</v>
      </c>
      <c r="D122" t="s">
        <v>29</v>
      </c>
      <c r="E122" t="s">
        <v>154</v>
      </c>
      <c r="F122" s="3" t="s">
        <v>100</v>
      </c>
      <c r="G122" s="158"/>
      <c r="H122" s="71"/>
      <c r="I122" s="144"/>
      <c r="J122" s="382">
        <v>11255.6</v>
      </c>
      <c r="K122" s="159">
        <f>K121+I122-J122</f>
        <v>-1751718.7099999997</v>
      </c>
    </row>
    <row r="123" spans="1:11" ht="15">
      <c r="A123" s="137" t="str">
        <f t="shared" si="1"/>
        <v>HRNOMINA SUCURSALA16</v>
      </c>
      <c r="B123" t="s">
        <v>3451</v>
      </c>
      <c r="C123" s="1">
        <v>45708</v>
      </c>
      <c r="D123" t="s">
        <v>29</v>
      </c>
      <c r="E123" t="s">
        <v>154</v>
      </c>
      <c r="F123" s="3" t="s">
        <v>101</v>
      </c>
      <c r="G123" s="158"/>
      <c r="H123" s="71"/>
      <c r="I123" s="144"/>
      <c r="J123" s="382">
        <v>13578.09</v>
      </c>
      <c r="K123" s="159">
        <f>K122+I123-J123</f>
        <v>-1765296.7999999998</v>
      </c>
    </row>
    <row r="124" spans="1:11" ht="15">
      <c r="A124" s="137" t="str">
        <f t="shared" si="1"/>
        <v>HRNOMINA SUCURSALA17</v>
      </c>
      <c r="B124" t="s">
        <v>3451</v>
      </c>
      <c r="C124" s="1">
        <v>45708</v>
      </c>
      <c r="D124" t="s">
        <v>29</v>
      </c>
      <c r="E124" t="s">
        <v>154</v>
      </c>
      <c r="F124" s="3" t="s">
        <v>102</v>
      </c>
      <c r="G124" s="158"/>
      <c r="H124" s="71"/>
      <c r="I124" s="144"/>
      <c r="J124" s="382">
        <v>10235.4</v>
      </c>
      <c r="K124" s="159">
        <f>K123+I124-J124</f>
        <v>-1775532.1999999997</v>
      </c>
    </row>
    <row r="125" spans="1:11" ht="15">
      <c r="A125" s="137" t="str">
        <f t="shared" si="1"/>
        <v>HRNOMINA SUCURSALA18</v>
      </c>
      <c r="B125" t="s">
        <v>3451</v>
      </c>
      <c r="C125" s="1">
        <v>45708</v>
      </c>
      <c r="D125" t="s">
        <v>29</v>
      </c>
      <c r="E125" t="s">
        <v>154</v>
      </c>
      <c r="F125" s="3" t="s">
        <v>103</v>
      </c>
      <c r="G125" s="158"/>
      <c r="H125" s="71"/>
      <c r="I125" s="144"/>
      <c r="J125" s="382">
        <v>11691</v>
      </c>
      <c r="K125" s="159">
        <f>K124+I125-J125</f>
        <v>-1787223.1999999997</v>
      </c>
    </row>
    <row r="126" spans="1:11" ht="15">
      <c r="A126" s="137" t="str">
        <f t="shared" si="1"/>
        <v>HRNOMINA SUCURSALA22</v>
      </c>
      <c r="B126" t="s">
        <v>3451</v>
      </c>
      <c r="C126" s="1">
        <v>45708</v>
      </c>
      <c r="D126" t="s">
        <v>29</v>
      </c>
      <c r="E126" t="s">
        <v>154</v>
      </c>
      <c r="F126" s="3" t="s">
        <v>104</v>
      </c>
      <c r="G126" s="158"/>
      <c r="H126" s="71"/>
      <c r="I126" s="144"/>
      <c r="J126" s="382">
        <v>12057.2</v>
      </c>
      <c r="K126" s="159">
        <f>K125+I126-J126</f>
        <v>-1799280.3999999997</v>
      </c>
    </row>
    <row r="127" spans="1:11" ht="15">
      <c r="A127" s="137" t="str">
        <f t="shared" si="1"/>
        <v>HRNOMINA SUCURSALA23</v>
      </c>
      <c r="B127" t="s">
        <v>3451</v>
      </c>
      <c r="C127" s="1">
        <v>45708</v>
      </c>
      <c r="D127" t="s">
        <v>29</v>
      </c>
      <c r="E127" t="s">
        <v>154</v>
      </c>
      <c r="F127" s="3" t="s">
        <v>105</v>
      </c>
      <c r="G127" s="158"/>
      <c r="H127" s="71"/>
      <c r="I127" s="144"/>
      <c r="J127" s="382">
        <v>11257.4</v>
      </c>
      <c r="K127" s="159">
        <f>K126+I127-J127</f>
        <v>-1810537.7999999996</v>
      </c>
    </row>
    <row r="128" spans="1:11" ht="15">
      <c r="A128" s="137" t="str">
        <f t="shared" si="1"/>
        <v>HRNOMINA SUCURSALA24</v>
      </c>
      <c r="B128" t="s">
        <v>3451</v>
      </c>
      <c r="C128" s="1">
        <v>45708</v>
      </c>
      <c r="D128" t="s">
        <v>29</v>
      </c>
      <c r="E128" t="s">
        <v>154</v>
      </c>
      <c r="F128" s="3" t="s">
        <v>106</v>
      </c>
      <c r="G128" s="158"/>
      <c r="H128" s="77"/>
      <c r="I128" s="161"/>
      <c r="J128" s="382">
        <v>17124.400000000001</v>
      </c>
      <c r="K128" s="159">
        <f>K127+I128-J128</f>
        <v>-1827662.1999999995</v>
      </c>
    </row>
    <row r="129" spans="1:11" ht="15">
      <c r="A129" s="137" t="str">
        <f t="shared" si="1"/>
        <v>CAPNOMINA SUCURSALE1</v>
      </c>
      <c r="B129" t="s">
        <v>3451</v>
      </c>
      <c r="C129" s="1">
        <v>45708</v>
      </c>
      <c r="D129" t="s">
        <v>31</v>
      </c>
      <c r="E129" t="s">
        <v>154</v>
      </c>
      <c r="F129" s="3" t="s">
        <v>107</v>
      </c>
      <c r="G129" s="158"/>
      <c r="I129" s="161"/>
      <c r="J129" s="382">
        <v>14502.8</v>
      </c>
      <c r="K129" s="159">
        <f>K128+I129-J129</f>
        <v>-1842164.9999999995</v>
      </c>
    </row>
    <row r="130" spans="1:11" ht="15">
      <c r="A130" s="137" t="str">
        <f t="shared" si="1"/>
        <v>CAPNOMINA SUCURSALE2</v>
      </c>
      <c r="B130" t="s">
        <v>3451</v>
      </c>
      <c r="C130" s="1">
        <v>45708</v>
      </c>
      <c r="D130" t="s">
        <v>31</v>
      </c>
      <c r="E130" t="s">
        <v>154</v>
      </c>
      <c r="F130" s="3" t="s">
        <v>108</v>
      </c>
      <c r="G130" s="158"/>
      <c r="I130" s="161"/>
      <c r="J130" s="382">
        <v>19329.8</v>
      </c>
      <c r="K130" s="159">
        <f>K129+I130-J130</f>
        <v>-1861494.7999999996</v>
      </c>
    </row>
    <row r="131" spans="1:11" ht="15">
      <c r="A131" s="137" t="str">
        <f t="shared" si="1"/>
        <v>CAPNOMINA SUCURSALE3</v>
      </c>
      <c r="B131" t="s">
        <v>3451</v>
      </c>
      <c r="C131" s="1">
        <v>45708</v>
      </c>
      <c r="D131" t="s">
        <v>31</v>
      </c>
      <c r="E131" t="s">
        <v>154</v>
      </c>
      <c r="F131" s="3" t="s">
        <v>109</v>
      </c>
      <c r="G131" s="158"/>
      <c r="I131" s="161"/>
      <c r="J131" s="382">
        <v>15889.4</v>
      </c>
      <c r="K131" s="159">
        <f>K130+I131-J131</f>
        <v>-1877384.1999999995</v>
      </c>
    </row>
    <row r="132" spans="1:11" ht="15">
      <c r="A132" s="137" t="str">
        <f t="shared" ref="A132:A195" si="2">D132&amp;E132&amp;F132</f>
        <v>CAPNOMINA SUCURSALE4</v>
      </c>
      <c r="B132" t="s">
        <v>3451</v>
      </c>
      <c r="C132" s="1">
        <v>45708</v>
      </c>
      <c r="D132" t="s">
        <v>31</v>
      </c>
      <c r="E132" t="s">
        <v>154</v>
      </c>
      <c r="F132" s="3" t="s">
        <v>110</v>
      </c>
      <c r="G132" s="158"/>
      <c r="I132" s="161"/>
      <c r="J132" s="382">
        <v>19591.400000000001</v>
      </c>
      <c r="K132" s="159">
        <f>K131+I132-J132</f>
        <v>-1896975.5999999994</v>
      </c>
    </row>
    <row r="133" spans="1:11" ht="15">
      <c r="A133" s="137" t="str">
        <f t="shared" si="2"/>
        <v>CAPNOMINA SUCURSALE5</v>
      </c>
      <c r="B133" t="s">
        <v>3451</v>
      </c>
      <c r="C133" s="1">
        <v>45708</v>
      </c>
      <c r="D133" t="s">
        <v>31</v>
      </c>
      <c r="E133" t="s">
        <v>154</v>
      </c>
      <c r="F133" s="3" t="s">
        <v>111</v>
      </c>
      <c r="G133" s="158"/>
      <c r="I133" s="161"/>
      <c r="J133" s="382">
        <v>18694.599999999999</v>
      </c>
      <c r="K133" s="159">
        <f>K132+I133-J133</f>
        <v>-1915670.1999999995</v>
      </c>
    </row>
    <row r="134" spans="1:11" ht="15">
      <c r="A134" s="137" t="str">
        <f t="shared" si="2"/>
        <v>CAPNOMINA SUCURSALE6</v>
      </c>
      <c r="B134" t="s">
        <v>3451</v>
      </c>
      <c r="C134" s="1">
        <v>45708</v>
      </c>
      <c r="D134" t="s">
        <v>31</v>
      </c>
      <c r="E134" t="s">
        <v>154</v>
      </c>
      <c r="F134" s="3" t="s">
        <v>112</v>
      </c>
      <c r="G134" s="158"/>
      <c r="I134"/>
      <c r="J134" s="382">
        <v>14484.2</v>
      </c>
      <c r="K134" s="159">
        <f>K133+I134-J134</f>
        <v>-1930154.3999999994</v>
      </c>
    </row>
    <row r="135" spans="1:11" ht="15">
      <c r="A135" s="137" t="str">
        <f t="shared" si="2"/>
        <v>CAPNOMINA SUCURSALE7</v>
      </c>
      <c r="B135" t="s">
        <v>3451</v>
      </c>
      <c r="C135" s="1">
        <v>45708</v>
      </c>
      <c r="D135" t="s">
        <v>31</v>
      </c>
      <c r="E135" t="s">
        <v>154</v>
      </c>
      <c r="F135" s="3" t="s">
        <v>113</v>
      </c>
      <c r="G135" s="158"/>
      <c r="I135" s="161"/>
      <c r="J135" s="382">
        <v>13761.4</v>
      </c>
      <c r="K135" s="159">
        <f>K134+I135-J135</f>
        <v>-1943915.7999999993</v>
      </c>
    </row>
    <row r="136" spans="1:11" ht="15">
      <c r="A136" s="137" t="str">
        <f t="shared" si="2"/>
        <v>CAPNOMINA SUCURSALE8</v>
      </c>
      <c r="B136" t="s">
        <v>3451</v>
      </c>
      <c r="C136" s="1">
        <v>45708</v>
      </c>
      <c r="D136" t="s">
        <v>31</v>
      </c>
      <c r="E136" t="s">
        <v>154</v>
      </c>
      <c r="F136" s="3" t="s">
        <v>114</v>
      </c>
      <c r="G136" s="158"/>
      <c r="I136" s="161"/>
      <c r="J136" s="382">
        <v>23100.799999999999</v>
      </c>
      <c r="K136" s="159">
        <f>K135+I136-J136</f>
        <v>-1967016.5999999994</v>
      </c>
    </row>
    <row r="137" spans="1:11" ht="15">
      <c r="A137" s="137" t="str">
        <f t="shared" si="2"/>
        <v>ELINOMINA SUCURSALL1</v>
      </c>
      <c r="B137" t="s">
        <v>3451</v>
      </c>
      <c r="C137" s="1">
        <v>45708</v>
      </c>
      <c r="D137" t="s">
        <v>130</v>
      </c>
      <c r="E137" t="s">
        <v>154</v>
      </c>
      <c r="F137" s="3" t="s">
        <v>136</v>
      </c>
      <c r="G137" s="158"/>
      <c r="I137" s="161"/>
      <c r="J137" s="382">
        <v>8659.7999999999993</v>
      </c>
      <c r="K137" s="159">
        <f>K136+I137-J137</f>
        <v>-1975676.3999999994</v>
      </c>
    </row>
    <row r="138" spans="1:11" ht="15">
      <c r="A138" s="137" t="str">
        <f t="shared" si="2"/>
        <v>HRNOMINA ADMONHR</v>
      </c>
      <c r="B138" t="s">
        <v>3451</v>
      </c>
      <c r="C138" s="1">
        <v>45708</v>
      </c>
      <c r="D138" t="s">
        <v>29</v>
      </c>
      <c r="E138" t="s">
        <v>147</v>
      </c>
      <c r="F138" s="3" t="s">
        <v>29</v>
      </c>
      <c r="G138" s="158"/>
      <c r="I138" s="161"/>
      <c r="J138" s="382">
        <v>32445.200000000001</v>
      </c>
      <c r="K138" s="159">
        <f>K137+I138-J138</f>
        <v>-2008121.5999999994</v>
      </c>
    </row>
    <row r="139" spans="1:11" ht="15">
      <c r="A139" s="137" t="str">
        <f t="shared" si="2"/>
        <v>CAPNOMINA ADMONCAPRICHOS</v>
      </c>
      <c r="B139" t="s">
        <v>3451</v>
      </c>
      <c r="C139" s="1">
        <v>45708</v>
      </c>
      <c r="D139" t="s">
        <v>31</v>
      </c>
      <c r="E139" t="s">
        <v>147</v>
      </c>
      <c r="F139" s="12" t="s">
        <v>33</v>
      </c>
      <c r="G139" s="158"/>
      <c r="I139" s="161"/>
      <c r="J139" s="382">
        <v>28603.57</v>
      </c>
      <c r="K139" s="159">
        <f>K138+I139-J139</f>
        <v>-2036725.1699999995</v>
      </c>
    </row>
    <row r="140" spans="1:11" ht="15">
      <c r="A140" s="137" t="str">
        <f t="shared" si="2"/>
        <v>SERVICIOSNOMINA SUCURSALCEDIS</v>
      </c>
      <c r="B140" t="s">
        <v>3451</v>
      </c>
      <c r="C140" s="1">
        <v>45708</v>
      </c>
      <c r="D140" t="s">
        <v>21</v>
      </c>
      <c r="E140" t="s">
        <v>154</v>
      </c>
      <c r="F140" s="12" t="s">
        <v>28</v>
      </c>
      <c r="G140" s="158"/>
      <c r="I140" s="161"/>
      <c r="J140" s="382">
        <v>60082.91</v>
      </c>
      <c r="K140" s="159">
        <f>K139+I140-J140</f>
        <v>-2096808.0799999994</v>
      </c>
    </row>
    <row r="141" spans="1:11" ht="15">
      <c r="A141" s="137" t="str">
        <f t="shared" si="2"/>
        <v>SERVICIOSNOMINA ADMONINVENTARIOS</v>
      </c>
      <c r="B141" t="s">
        <v>3451</v>
      </c>
      <c r="C141" s="1">
        <v>45708</v>
      </c>
      <c r="D141" t="s">
        <v>21</v>
      </c>
      <c r="E141" t="s">
        <v>147</v>
      </c>
      <c r="F141" s="12" t="s">
        <v>34</v>
      </c>
      <c r="G141" s="158"/>
      <c r="H141" s="71"/>
      <c r="I141" s="144"/>
      <c r="J141" s="382">
        <v>2800</v>
      </c>
      <c r="K141" s="159">
        <f>K140+I141-J141</f>
        <v>-2099608.0799999991</v>
      </c>
    </row>
    <row r="142" spans="1:11" ht="15">
      <c r="A142" s="137" t="str">
        <f t="shared" si="2"/>
        <v>SERVICIOSNOMINA ADMONMANTENIMIENTO</v>
      </c>
      <c r="B142" t="s">
        <v>3451</v>
      </c>
      <c r="C142" s="1">
        <v>45708</v>
      </c>
      <c r="D142" t="s">
        <v>21</v>
      </c>
      <c r="E142" t="s">
        <v>147</v>
      </c>
      <c r="F142" s="12" t="s">
        <v>35</v>
      </c>
      <c r="G142" s="158"/>
      <c r="H142" s="71"/>
      <c r="I142" s="144"/>
      <c r="J142" s="382">
        <v>8246.23</v>
      </c>
      <c r="K142" s="159">
        <f>K141+I142-J142</f>
        <v>-2107854.3099999991</v>
      </c>
    </row>
    <row r="143" spans="1:11" ht="15">
      <c r="A143" s="137" t="str">
        <f t="shared" si="2"/>
        <v>SERVICIOSNOMINA ADMONCADENA DE SUMINISTROS</v>
      </c>
      <c r="B143" t="s">
        <v>3451</v>
      </c>
      <c r="C143" s="1">
        <v>45708</v>
      </c>
      <c r="D143" t="s">
        <v>21</v>
      </c>
      <c r="E143" t="s">
        <v>147</v>
      </c>
      <c r="F143" s="12" t="s">
        <v>134</v>
      </c>
      <c r="G143" s="158"/>
      <c r="H143" s="71"/>
      <c r="I143" s="144"/>
      <c r="J143" s="382">
        <v>22045.200000000001</v>
      </c>
      <c r="K143" s="159">
        <f>K142+I143-J143</f>
        <v>-2129899.5099999993</v>
      </c>
    </row>
    <row r="144" spans="1:11" ht="15">
      <c r="A144" s="137" t="str">
        <f t="shared" si="2"/>
        <v>SERVICIOSNOMINA ADMONSISTEMAS</v>
      </c>
      <c r="B144" t="s">
        <v>3451</v>
      </c>
      <c r="C144" s="1">
        <v>45708</v>
      </c>
      <c r="D144" t="s">
        <v>21</v>
      </c>
      <c r="E144" t="s">
        <v>147</v>
      </c>
      <c r="F144" s="12" t="s">
        <v>36</v>
      </c>
      <c r="G144" s="158"/>
      <c r="I144" s="161"/>
      <c r="J144" s="382">
        <v>13080.15</v>
      </c>
      <c r="K144" s="159">
        <f>K143+I144-J144</f>
        <v>-2142979.6599999992</v>
      </c>
    </row>
    <row r="145" spans="1:11" ht="15">
      <c r="A145" s="137" t="str">
        <f t="shared" si="2"/>
        <v>SERVICIOSNOMINA ADMONCOMPRAS</v>
      </c>
      <c r="B145" t="s">
        <v>3451</v>
      </c>
      <c r="C145" s="1">
        <v>45708</v>
      </c>
      <c r="D145" t="s">
        <v>21</v>
      </c>
      <c r="E145" t="s">
        <v>147</v>
      </c>
      <c r="F145" s="12" t="s">
        <v>148</v>
      </c>
      <c r="G145" s="158"/>
      <c r="I145" s="161"/>
      <c r="J145" s="382">
        <v>21091.18</v>
      </c>
      <c r="K145" s="159">
        <f>K144+I145-J145</f>
        <v>-2164070.8399999994</v>
      </c>
    </row>
    <row r="146" spans="1:11" ht="15">
      <c r="A146" s="137" t="str">
        <f t="shared" si="2"/>
        <v>FINANZASNOMINA ADMONCONTABILIDAD</v>
      </c>
      <c r="B146" t="s">
        <v>3451</v>
      </c>
      <c r="C146" s="1">
        <v>45708</v>
      </c>
      <c r="D146" t="s">
        <v>23</v>
      </c>
      <c r="E146" t="s">
        <v>147</v>
      </c>
      <c r="F146" s="12" t="s">
        <v>37</v>
      </c>
      <c r="G146" s="158"/>
      <c r="I146" s="161"/>
      <c r="J146" s="382">
        <v>10399.799999999999</v>
      </c>
      <c r="K146" s="159">
        <f>K145+I146-J146</f>
        <v>-2174470.6399999992</v>
      </c>
    </row>
    <row r="147" spans="1:11" ht="15">
      <c r="A147" s="137" t="str">
        <f t="shared" si="2"/>
        <v>FINANZASNOMINA ADMONFINANZAS/LEGAL</v>
      </c>
      <c r="B147" t="s">
        <v>3451</v>
      </c>
      <c r="C147" s="1">
        <v>45708</v>
      </c>
      <c r="D147" t="s">
        <v>23</v>
      </c>
      <c r="E147" t="s">
        <v>147</v>
      </c>
      <c r="F147" s="12" t="s">
        <v>149</v>
      </c>
      <c r="G147" s="158"/>
      <c r="I147" s="161"/>
      <c r="J147" s="382">
        <v>8509.59</v>
      </c>
      <c r="K147" s="159">
        <f>K146+I147-J147</f>
        <v>-2182980.2299999991</v>
      </c>
    </row>
    <row r="148" spans="1:11" ht="15">
      <c r="A148" s="137" t="str">
        <f t="shared" si="2"/>
        <v>FINANZASNOMINA ADMONRECURSOS HUMANOS</v>
      </c>
      <c r="B148" t="s">
        <v>3451</v>
      </c>
      <c r="C148" s="1">
        <v>45708</v>
      </c>
      <c r="D148" t="s">
        <v>23</v>
      </c>
      <c r="E148" t="s">
        <v>147</v>
      </c>
      <c r="F148" s="12" t="s">
        <v>125</v>
      </c>
      <c r="G148" s="158"/>
      <c r="I148" s="161"/>
      <c r="J148" s="382">
        <v>11149.2</v>
      </c>
      <c r="K148" s="159">
        <f>K147+I148-J148</f>
        <v>-2194129.4299999992</v>
      </c>
    </row>
    <row r="149" spans="1:11" ht="15">
      <c r="A149" s="137" t="str">
        <f t="shared" si="2"/>
        <v>FINANZASNOMINA ADMONTESORERIA</v>
      </c>
      <c r="B149" t="s">
        <v>3451</v>
      </c>
      <c r="C149" s="1">
        <v>45708</v>
      </c>
      <c r="D149" t="s">
        <v>23</v>
      </c>
      <c r="E149" t="s">
        <v>147</v>
      </c>
      <c r="F149" s="12" t="s">
        <v>38</v>
      </c>
      <c r="G149" s="158"/>
      <c r="I149" s="161"/>
      <c r="J149" s="382">
        <v>11893</v>
      </c>
      <c r="K149" s="159">
        <f>K148+I149-J149</f>
        <v>-2206022.4299999992</v>
      </c>
    </row>
    <row r="150" spans="1:11" ht="15">
      <c r="A150" s="137" t="str">
        <f t="shared" si="2"/>
        <v>FINANZASNOMINA ADMONHBG FINANZAS</v>
      </c>
      <c r="B150" t="s">
        <v>3451</v>
      </c>
      <c r="C150" s="1">
        <v>45708</v>
      </c>
      <c r="D150" t="s">
        <v>23</v>
      </c>
      <c r="E150" t="s">
        <v>147</v>
      </c>
      <c r="F150" s="12" t="s">
        <v>150</v>
      </c>
      <c r="G150" s="158"/>
      <c r="I150" s="161"/>
      <c r="J150" s="382">
        <v>3057</v>
      </c>
      <c r="K150" s="159">
        <f>K149+I150-J150</f>
        <v>-2209079.4299999992</v>
      </c>
    </row>
    <row r="151" spans="1:11" ht="15">
      <c r="A151" s="137" t="str">
        <f t="shared" si="2"/>
        <v>SGENOMINA ADMONGESTION EMPRESARIAL</v>
      </c>
      <c r="B151" t="s">
        <v>3451</v>
      </c>
      <c r="C151" s="1">
        <v>45708</v>
      </c>
      <c r="D151" t="s">
        <v>39</v>
      </c>
      <c r="E151" t="s">
        <v>147</v>
      </c>
      <c r="F151" s="12" t="s">
        <v>40</v>
      </c>
      <c r="G151" s="158"/>
      <c r="I151" s="161"/>
      <c r="J151" s="382">
        <v>23200.6</v>
      </c>
      <c r="K151" s="159">
        <f>K150+I151-J151</f>
        <v>-2232280.0299999993</v>
      </c>
    </row>
    <row r="152" spans="1:11" ht="15">
      <c r="A152" s="137" t="str">
        <f t="shared" si="2"/>
        <v>DENOMINA ADMONDIRECCION</v>
      </c>
      <c r="B152" t="s">
        <v>3451</v>
      </c>
      <c r="C152" s="1">
        <v>45708</v>
      </c>
      <c r="D152" t="s">
        <v>41</v>
      </c>
      <c r="E152" t="s">
        <v>147</v>
      </c>
      <c r="F152" s="12" t="s">
        <v>42</v>
      </c>
      <c r="G152" s="158"/>
      <c r="I152" s="161"/>
      <c r="J152" s="382">
        <v>6000</v>
      </c>
      <c r="K152" s="159">
        <f>K151+I152-J152</f>
        <v>-2238280.0299999993</v>
      </c>
    </row>
    <row r="153" spans="1:11" ht="15">
      <c r="A153" s="137" t="str">
        <f t="shared" si="2"/>
        <v>FINANZASNOMINA ADMONHBG FINANZAS</v>
      </c>
      <c r="B153" t="s">
        <v>3451</v>
      </c>
      <c r="C153" s="1">
        <v>45708</v>
      </c>
      <c r="D153" t="s">
        <v>23</v>
      </c>
      <c r="E153" t="s">
        <v>147</v>
      </c>
      <c r="F153" s="12" t="s">
        <v>150</v>
      </c>
      <c r="G153" s="158"/>
      <c r="I153" s="161"/>
      <c r="J153" s="382">
        <v>11450</v>
      </c>
      <c r="K153" s="159">
        <f>K152+I153-J153</f>
        <v>-2249730.0299999993</v>
      </c>
    </row>
    <row r="154" spans="1:11" ht="15">
      <c r="A154" s="137" t="str">
        <f t="shared" si="2"/>
        <v>HRNOMINA ADMONHR</v>
      </c>
      <c r="B154" t="s">
        <v>3451</v>
      </c>
      <c r="C154" s="1">
        <v>45708</v>
      </c>
      <c r="D154" t="s">
        <v>29</v>
      </c>
      <c r="E154" t="s">
        <v>147</v>
      </c>
      <c r="F154" s="3" t="s">
        <v>29</v>
      </c>
      <c r="G154" s="158"/>
      <c r="I154" s="161"/>
      <c r="J154" s="382">
        <v>5500</v>
      </c>
      <c r="K154" s="159">
        <f>K153+I154-J154</f>
        <v>-2255230.0299999993</v>
      </c>
    </row>
    <row r="155" spans="1:11" ht="15">
      <c r="A155" s="137" t="str">
        <f t="shared" si="2"/>
        <v>CAPNOMINA ADMONCAPRICHOS</v>
      </c>
      <c r="B155" t="s">
        <v>3451</v>
      </c>
      <c r="C155" s="1">
        <v>45708</v>
      </c>
      <c r="D155" t="s">
        <v>31</v>
      </c>
      <c r="E155" t="s">
        <v>147</v>
      </c>
      <c r="F155" s="12" t="s">
        <v>33</v>
      </c>
      <c r="G155" s="158"/>
      <c r="I155" s="161"/>
      <c r="J155" s="382">
        <v>3700</v>
      </c>
      <c r="K155" s="159">
        <f>K154+I155-J155</f>
        <v>-2258930.0299999993</v>
      </c>
    </row>
    <row r="156" spans="1:11" ht="15">
      <c r="A156" s="137" t="str">
        <f t="shared" si="2"/>
        <v>SGENOMINA ADMONGESTION EMPRESARIAL</v>
      </c>
      <c r="B156" t="s">
        <v>3451</v>
      </c>
      <c r="C156" s="1">
        <v>45708</v>
      </c>
      <c r="D156" t="s">
        <v>39</v>
      </c>
      <c r="E156" t="s">
        <v>147</v>
      </c>
      <c r="F156" s="12" t="s">
        <v>40</v>
      </c>
      <c r="G156" s="158"/>
      <c r="I156" s="161"/>
      <c r="J156" s="382">
        <v>2750</v>
      </c>
      <c r="K156" s="159">
        <f>K155+I156-J156</f>
        <v>-2261680.0299999993</v>
      </c>
    </row>
    <row r="157" spans="1:11" ht="15">
      <c r="A157" s="137" t="str">
        <f t="shared" si="2"/>
        <v>SERVICIOSNOMINA ADMONSERVICIOS</v>
      </c>
      <c r="B157" t="s">
        <v>3451</v>
      </c>
      <c r="C157" s="1">
        <v>45708</v>
      </c>
      <c r="D157" t="s">
        <v>21</v>
      </c>
      <c r="E157" t="s">
        <v>147</v>
      </c>
      <c r="F157" s="12" t="s">
        <v>21</v>
      </c>
      <c r="G157" s="158"/>
      <c r="I157" s="161"/>
      <c r="J157" s="382">
        <v>4750</v>
      </c>
      <c r="K157" s="159">
        <f>K156+I157-J157</f>
        <v>-2266430.0299999993</v>
      </c>
    </row>
    <row r="158" spans="1:11" ht="15">
      <c r="A158" s="137" t="str">
        <f t="shared" si="2"/>
        <v>DENOMINA ADMONDIRECCION</v>
      </c>
      <c r="B158" t="s">
        <v>3451</v>
      </c>
      <c r="C158" s="1">
        <v>45708</v>
      </c>
      <c r="D158" t="s">
        <v>41</v>
      </c>
      <c r="E158" t="s">
        <v>147</v>
      </c>
      <c r="F158" s="12" t="s">
        <v>42</v>
      </c>
      <c r="G158" s="158"/>
      <c r="I158" s="161"/>
      <c r="J158" s="382">
        <v>5750</v>
      </c>
      <c r="K158" s="159">
        <f>K157+I158-J158</f>
        <v>-2272180.0299999993</v>
      </c>
    </row>
    <row r="159" spans="1:11" ht="15">
      <c r="A159" s="137" t="str">
        <f t="shared" si="2"/>
        <v>MMNOMINA ADMONMARKET MAX</v>
      </c>
      <c r="B159" t="s">
        <v>3451</v>
      </c>
      <c r="C159" s="1">
        <v>45708</v>
      </c>
      <c r="D159" t="s">
        <v>45</v>
      </c>
      <c r="E159" t="s">
        <v>147</v>
      </c>
      <c r="F159" s="12" t="s">
        <v>46</v>
      </c>
      <c r="G159" s="158"/>
      <c r="H159" s="71"/>
      <c r="I159" s="161"/>
      <c r="J159" s="382">
        <v>2000</v>
      </c>
      <c r="K159" s="159">
        <f>K158+I159-J159</f>
        <v>-2274180.0299999993</v>
      </c>
    </row>
    <row r="160" spans="1:11" ht="15">
      <c r="A160" s="137" t="str">
        <f t="shared" si="2"/>
        <v>HRVACACIONES/FINIQUITOSHR</v>
      </c>
      <c r="B160" t="s">
        <v>3451</v>
      </c>
      <c r="C160" s="1">
        <v>45708</v>
      </c>
      <c r="D160" t="s">
        <v>29</v>
      </c>
      <c r="E160" t="s">
        <v>190</v>
      </c>
      <c r="F160" s="12" t="s">
        <v>29</v>
      </c>
      <c r="G160" s="158"/>
      <c r="H160" s="71"/>
      <c r="I160" s="161"/>
      <c r="J160" s="382">
        <v>16892.86</v>
      </c>
      <c r="K160" s="159">
        <f>K159+I160-J160</f>
        <v>-2291072.8899999992</v>
      </c>
    </row>
    <row r="161" spans="1:11" ht="15">
      <c r="A161" s="137" t="str">
        <f t="shared" si="2"/>
        <v>SGEVACACIONES/FINIQUITOSGESTION EMPRESARIAL</v>
      </c>
      <c r="B161" t="s">
        <v>3451</v>
      </c>
      <c r="C161" s="1">
        <v>45708</v>
      </c>
      <c r="D161" t="s">
        <v>39</v>
      </c>
      <c r="E161" t="s">
        <v>190</v>
      </c>
      <c r="F161" s="12" t="s">
        <v>40</v>
      </c>
      <c r="G161" s="158"/>
      <c r="H161" s="71"/>
      <c r="I161" s="161"/>
      <c r="J161" s="382">
        <v>5087.1400000000003</v>
      </c>
      <c r="K161" s="159">
        <f>K160+I161-J161</f>
        <v>-2296160.0299999993</v>
      </c>
    </row>
    <row r="162" spans="1:11" ht="15">
      <c r="A162" s="137" t="str">
        <f t="shared" si="2"/>
        <v>HRNOMINA SUCURSALA1</v>
      </c>
      <c r="B162" t="s">
        <v>3451</v>
      </c>
      <c r="C162" s="1">
        <v>45715</v>
      </c>
      <c r="D162" t="s">
        <v>29</v>
      </c>
      <c r="E162" t="s">
        <v>154</v>
      </c>
      <c r="F162" s="3" t="s">
        <v>88</v>
      </c>
      <c r="G162" s="158"/>
      <c r="H162" s="71"/>
      <c r="I162" s="161"/>
      <c r="J162" s="382">
        <v>13261</v>
      </c>
      <c r="K162" s="159">
        <f>K161+I162-J162</f>
        <v>-2309421.0299999993</v>
      </c>
    </row>
    <row r="163" spans="1:11" ht="15">
      <c r="A163" s="137" t="str">
        <f t="shared" si="2"/>
        <v>HRNOMINA SUCURSALA2</v>
      </c>
      <c r="B163" t="s">
        <v>3451</v>
      </c>
      <c r="C163" s="1">
        <v>45715</v>
      </c>
      <c r="D163" t="s">
        <v>29</v>
      </c>
      <c r="E163" t="s">
        <v>154</v>
      </c>
      <c r="F163" s="3" t="s">
        <v>89</v>
      </c>
      <c r="G163" s="158"/>
      <c r="H163" s="71"/>
      <c r="I163" s="161"/>
      <c r="J163" s="382">
        <v>13082.4</v>
      </c>
      <c r="K163" s="159">
        <f>K162+I163-J163</f>
        <v>-2322503.4299999992</v>
      </c>
    </row>
    <row r="164" spans="1:11" ht="15">
      <c r="A164" s="137" t="str">
        <f t="shared" si="2"/>
        <v>HRNOMINA SUCURSALA3</v>
      </c>
      <c r="B164" t="s">
        <v>3451</v>
      </c>
      <c r="C164" s="1">
        <v>45715</v>
      </c>
      <c r="D164" t="s">
        <v>29</v>
      </c>
      <c r="E164" t="s">
        <v>154</v>
      </c>
      <c r="F164" s="3" t="s">
        <v>90</v>
      </c>
      <c r="G164" s="158"/>
      <c r="I164" s="161"/>
      <c r="J164" s="382">
        <v>9566.2000000000007</v>
      </c>
      <c r="K164" s="159">
        <f>K163+I164-J164</f>
        <v>-2332069.6299999994</v>
      </c>
    </row>
    <row r="165" spans="1:11" ht="15">
      <c r="A165" s="137" t="str">
        <f t="shared" si="2"/>
        <v>HRNOMINA SUCURSALA4</v>
      </c>
      <c r="B165" t="s">
        <v>3451</v>
      </c>
      <c r="C165" s="1">
        <v>45715</v>
      </c>
      <c r="D165" t="s">
        <v>29</v>
      </c>
      <c r="E165" t="s">
        <v>154</v>
      </c>
      <c r="F165" s="3" t="s">
        <v>91</v>
      </c>
      <c r="G165" s="158"/>
      <c r="I165" s="161"/>
      <c r="J165" s="382">
        <v>9428.7999999999993</v>
      </c>
      <c r="K165" s="159">
        <f>K164+I165-J165</f>
        <v>-2341498.4299999992</v>
      </c>
    </row>
    <row r="166" spans="1:11" ht="15">
      <c r="A166" s="137" t="str">
        <f t="shared" si="2"/>
        <v>HRNOMINA SUCURSALA5</v>
      </c>
      <c r="B166" t="s">
        <v>3451</v>
      </c>
      <c r="C166" s="1">
        <v>45715</v>
      </c>
      <c r="D166" t="s">
        <v>29</v>
      </c>
      <c r="E166" t="s">
        <v>154</v>
      </c>
      <c r="F166" s="3" t="s">
        <v>92</v>
      </c>
      <c r="G166" s="158"/>
      <c r="I166" s="161"/>
      <c r="J166" s="382">
        <v>8633.61</v>
      </c>
      <c r="K166" s="159">
        <f>K165+I166-J166</f>
        <v>-2350132.0399999991</v>
      </c>
    </row>
    <row r="167" spans="1:11" ht="15">
      <c r="A167" s="137" t="str">
        <f t="shared" si="2"/>
        <v>HRNOMINA SUCURSALA6</v>
      </c>
      <c r="B167" t="s">
        <v>3451</v>
      </c>
      <c r="C167" s="1">
        <v>45715</v>
      </c>
      <c r="D167" t="s">
        <v>29</v>
      </c>
      <c r="E167" t="s">
        <v>154</v>
      </c>
      <c r="F167" s="3" t="s">
        <v>93</v>
      </c>
      <c r="G167" s="158"/>
      <c r="I167" s="161"/>
      <c r="J167" s="382">
        <v>13884.15</v>
      </c>
      <c r="K167" s="159">
        <f>K166+I167-J167</f>
        <v>-2364016.189999999</v>
      </c>
    </row>
    <row r="168" spans="1:11" ht="15">
      <c r="A168" s="137" t="str">
        <f t="shared" si="2"/>
        <v>HRNOMINA SUCURSALA8</v>
      </c>
      <c r="B168" t="s">
        <v>3451</v>
      </c>
      <c r="C168" s="1">
        <v>45715</v>
      </c>
      <c r="D168" t="s">
        <v>29</v>
      </c>
      <c r="E168" t="s">
        <v>154</v>
      </c>
      <c r="F168" s="3" t="s">
        <v>94</v>
      </c>
      <c r="G168" s="158"/>
      <c r="I168" s="161"/>
      <c r="J168" s="382">
        <v>17105.2</v>
      </c>
      <c r="K168" s="159">
        <f>K167+I168-J168</f>
        <v>-2381121.3899999992</v>
      </c>
    </row>
    <row r="169" spans="1:11" ht="15">
      <c r="A169" s="137" t="str">
        <f t="shared" si="2"/>
        <v>HRNOMINA SUCURSALA9</v>
      </c>
      <c r="B169" t="s">
        <v>3451</v>
      </c>
      <c r="C169" s="1">
        <v>45715</v>
      </c>
      <c r="D169" t="s">
        <v>29</v>
      </c>
      <c r="E169" t="s">
        <v>154</v>
      </c>
      <c r="F169" s="3" t="s">
        <v>95</v>
      </c>
      <c r="G169" s="158"/>
      <c r="I169" s="161"/>
      <c r="J169" s="382">
        <v>11755.69</v>
      </c>
      <c r="K169" s="159">
        <f>K168+I169-J169</f>
        <v>-2392877.0799999991</v>
      </c>
    </row>
    <row r="170" spans="1:11" ht="15">
      <c r="A170" s="137" t="str">
        <f t="shared" si="2"/>
        <v>HRNOMINA SUCURSALA10</v>
      </c>
      <c r="B170" t="s">
        <v>3451</v>
      </c>
      <c r="C170" s="1">
        <v>45715</v>
      </c>
      <c r="D170" t="s">
        <v>29</v>
      </c>
      <c r="E170" t="s">
        <v>154</v>
      </c>
      <c r="F170" s="3" t="s">
        <v>96</v>
      </c>
      <c r="G170" s="158"/>
      <c r="I170" s="161"/>
      <c r="J170" s="382">
        <v>16202.32</v>
      </c>
      <c r="K170" s="159">
        <f>K169+I170-J170</f>
        <v>-2409079.399999999</v>
      </c>
    </row>
    <row r="171" spans="1:11" ht="15">
      <c r="A171" s="137" t="str">
        <f t="shared" si="2"/>
        <v>HRNOMINA SUCURSALA11</v>
      </c>
      <c r="B171" t="s">
        <v>3451</v>
      </c>
      <c r="C171" s="1">
        <v>45715</v>
      </c>
      <c r="D171" t="s">
        <v>29</v>
      </c>
      <c r="E171" t="s">
        <v>154</v>
      </c>
      <c r="F171" s="62" t="s">
        <v>97</v>
      </c>
      <c r="G171" s="158"/>
      <c r="I171" s="161"/>
      <c r="J171" s="382">
        <v>13100.4</v>
      </c>
      <c r="K171" s="159">
        <f>K170+I171-J171</f>
        <v>-2422179.7999999989</v>
      </c>
    </row>
    <row r="172" spans="1:11" ht="15">
      <c r="A172" s="137" t="str">
        <f t="shared" si="2"/>
        <v>HRNOMINA SUCURSALA12</v>
      </c>
      <c r="B172" t="s">
        <v>3451</v>
      </c>
      <c r="C172" s="1">
        <v>45715</v>
      </c>
      <c r="D172" t="s">
        <v>29</v>
      </c>
      <c r="E172" t="s">
        <v>154</v>
      </c>
      <c r="F172" s="3" t="s">
        <v>98</v>
      </c>
      <c r="G172" s="158"/>
      <c r="H172" s="71"/>
      <c r="I172" s="161"/>
      <c r="J172" s="382">
        <v>21220.2</v>
      </c>
      <c r="K172" s="159">
        <f>K171+I172-J172</f>
        <v>-2443399.9999999991</v>
      </c>
    </row>
    <row r="173" spans="1:11" ht="15">
      <c r="A173" s="137" t="str">
        <f t="shared" si="2"/>
        <v>HRNOMINA SUCURSALA14</v>
      </c>
      <c r="B173" t="s">
        <v>3451</v>
      </c>
      <c r="C173" s="1">
        <v>45715</v>
      </c>
      <c r="D173" t="s">
        <v>29</v>
      </c>
      <c r="E173" t="s">
        <v>154</v>
      </c>
      <c r="F173" s="3" t="s">
        <v>99</v>
      </c>
      <c r="G173" s="158"/>
      <c r="I173" s="161"/>
      <c r="J173" s="382">
        <v>14084.6</v>
      </c>
      <c r="K173" s="159">
        <f>K172+I173-J173</f>
        <v>-2457484.5999999992</v>
      </c>
    </row>
    <row r="174" spans="1:11" ht="15">
      <c r="A174" s="137" t="str">
        <f t="shared" si="2"/>
        <v>HRNOMINA SUCURSALA15</v>
      </c>
      <c r="B174" t="s">
        <v>3451</v>
      </c>
      <c r="C174" s="1">
        <v>45715</v>
      </c>
      <c r="D174" t="s">
        <v>29</v>
      </c>
      <c r="E174" t="s">
        <v>154</v>
      </c>
      <c r="F174" s="3" t="s">
        <v>100</v>
      </c>
      <c r="G174" s="158"/>
      <c r="I174" s="161"/>
      <c r="J174" s="382">
        <v>11125.8</v>
      </c>
      <c r="K174" s="159">
        <f>K173+I174-J174</f>
        <v>-2468610.399999999</v>
      </c>
    </row>
    <row r="175" spans="1:11" ht="15">
      <c r="A175" s="137" t="str">
        <f t="shared" si="2"/>
        <v>HRNOMINA SUCURSALA16</v>
      </c>
      <c r="B175" t="s">
        <v>3451</v>
      </c>
      <c r="C175" s="1">
        <v>45715</v>
      </c>
      <c r="D175" t="s">
        <v>29</v>
      </c>
      <c r="E175" t="s">
        <v>154</v>
      </c>
      <c r="F175" s="3" t="s">
        <v>101</v>
      </c>
      <c r="G175" s="158"/>
      <c r="I175" s="161"/>
      <c r="J175" s="382">
        <v>15428.29</v>
      </c>
      <c r="K175" s="159">
        <f>K174+I175-J175</f>
        <v>-2484038.689999999</v>
      </c>
    </row>
    <row r="176" spans="1:11" ht="15">
      <c r="A176" s="137" t="str">
        <f t="shared" si="2"/>
        <v>HRNOMINA SUCURSALA17</v>
      </c>
      <c r="B176" t="s">
        <v>3451</v>
      </c>
      <c r="C176" s="1">
        <v>45715</v>
      </c>
      <c r="D176" t="s">
        <v>29</v>
      </c>
      <c r="E176" t="s">
        <v>154</v>
      </c>
      <c r="F176" s="3" t="s">
        <v>102</v>
      </c>
      <c r="G176" s="158"/>
      <c r="I176" s="161"/>
      <c r="J176" s="382">
        <v>10061.6</v>
      </c>
      <c r="K176" s="159">
        <f>K175+I176-J176</f>
        <v>-2494100.2899999991</v>
      </c>
    </row>
    <row r="177" spans="1:11" ht="15">
      <c r="A177" s="137" t="str">
        <f t="shared" si="2"/>
        <v>HRNOMINA SUCURSALA18</v>
      </c>
      <c r="B177" t="s">
        <v>3451</v>
      </c>
      <c r="C177" s="1">
        <v>45715</v>
      </c>
      <c r="D177" t="s">
        <v>29</v>
      </c>
      <c r="E177" t="s">
        <v>154</v>
      </c>
      <c r="F177" s="3" t="s">
        <v>103</v>
      </c>
      <c r="G177" s="158"/>
      <c r="I177" s="161"/>
      <c r="J177" s="382">
        <v>11018.6</v>
      </c>
      <c r="K177" s="159">
        <f>K176+I177-J177</f>
        <v>-2505118.8899999992</v>
      </c>
    </row>
    <row r="178" spans="1:11" ht="15">
      <c r="A178" s="137" t="str">
        <f t="shared" si="2"/>
        <v>HRNOMINA SUCURSALA22</v>
      </c>
      <c r="B178" t="s">
        <v>3451</v>
      </c>
      <c r="C178" s="1">
        <v>45715</v>
      </c>
      <c r="D178" t="s">
        <v>29</v>
      </c>
      <c r="E178" t="s">
        <v>154</v>
      </c>
      <c r="F178" s="3" t="s">
        <v>104</v>
      </c>
      <c r="G178" s="158"/>
      <c r="I178" s="161"/>
      <c r="J178" s="382">
        <v>12056.6</v>
      </c>
      <c r="K178" s="159">
        <f>K177+I178-J178</f>
        <v>-2517175.4899999993</v>
      </c>
    </row>
    <row r="179" spans="1:11" ht="15">
      <c r="A179" s="137" t="str">
        <f t="shared" si="2"/>
        <v>HRNOMINA SUCURSALA23</v>
      </c>
      <c r="B179" t="s">
        <v>3451</v>
      </c>
      <c r="C179" s="1">
        <v>45715</v>
      </c>
      <c r="D179" t="s">
        <v>29</v>
      </c>
      <c r="E179" t="s">
        <v>154</v>
      </c>
      <c r="F179" s="3" t="s">
        <v>105</v>
      </c>
      <c r="G179" s="158"/>
      <c r="I179" s="161"/>
      <c r="J179" s="382">
        <v>9185</v>
      </c>
      <c r="K179" s="159">
        <f>K178+I179-J179</f>
        <v>-2526360.4899999993</v>
      </c>
    </row>
    <row r="180" spans="1:11" ht="15">
      <c r="A180" s="137" t="str">
        <f t="shared" si="2"/>
        <v>HRNOMINA SUCURSALA24</v>
      </c>
      <c r="B180" t="s">
        <v>3451</v>
      </c>
      <c r="C180" s="1">
        <v>45715</v>
      </c>
      <c r="D180" t="s">
        <v>29</v>
      </c>
      <c r="E180" t="s">
        <v>154</v>
      </c>
      <c r="F180" s="3" t="s">
        <v>106</v>
      </c>
      <c r="G180" s="158"/>
      <c r="H180" s="193"/>
      <c r="I180" s="161"/>
      <c r="J180" s="382">
        <v>16249.8</v>
      </c>
      <c r="K180" s="159">
        <f>K179+I180-J180</f>
        <v>-2542610.2899999991</v>
      </c>
    </row>
    <row r="181" spans="1:11" ht="15">
      <c r="A181" s="137" t="str">
        <f t="shared" si="2"/>
        <v>CAPNOMINA SUCURSALE1</v>
      </c>
      <c r="B181" t="s">
        <v>3451</v>
      </c>
      <c r="C181" s="1">
        <v>45715</v>
      </c>
      <c r="D181" t="s">
        <v>31</v>
      </c>
      <c r="E181" t="s">
        <v>154</v>
      </c>
      <c r="F181" s="3" t="s">
        <v>107</v>
      </c>
      <c r="G181" s="158"/>
      <c r="H181" s="193"/>
      <c r="I181" s="161"/>
      <c r="J181" s="382">
        <v>14111</v>
      </c>
      <c r="K181" s="159">
        <f>K180+I181-J181</f>
        <v>-2556721.2899999991</v>
      </c>
    </row>
    <row r="182" spans="1:11" ht="15">
      <c r="A182" s="137" t="str">
        <f t="shared" si="2"/>
        <v>CAPNOMINA SUCURSALE2</v>
      </c>
      <c r="B182" t="s">
        <v>3451</v>
      </c>
      <c r="C182" s="1">
        <v>45715</v>
      </c>
      <c r="D182" t="s">
        <v>31</v>
      </c>
      <c r="E182" t="s">
        <v>154</v>
      </c>
      <c r="F182" s="3" t="s">
        <v>108</v>
      </c>
      <c r="G182" s="158"/>
      <c r="H182" s="193"/>
      <c r="I182" s="161"/>
      <c r="J182" s="382">
        <v>17483</v>
      </c>
      <c r="K182" s="159">
        <f>K181+I182-J182</f>
        <v>-2574204.2899999991</v>
      </c>
    </row>
    <row r="183" spans="1:11" ht="15">
      <c r="A183" s="137" t="str">
        <f t="shared" si="2"/>
        <v>CAPNOMINA SUCURSALE3</v>
      </c>
      <c r="B183" t="s">
        <v>3451</v>
      </c>
      <c r="C183" s="1">
        <v>45715</v>
      </c>
      <c r="D183" t="s">
        <v>31</v>
      </c>
      <c r="E183" t="s">
        <v>154</v>
      </c>
      <c r="F183" s="3" t="s">
        <v>109</v>
      </c>
      <c r="G183" s="158"/>
      <c r="H183" s="193"/>
      <c r="I183" s="161"/>
      <c r="J183" s="382">
        <v>14063.4</v>
      </c>
      <c r="K183" s="159">
        <f>K182+I183-J183</f>
        <v>-2588267.689999999</v>
      </c>
    </row>
    <row r="184" spans="1:11" ht="15">
      <c r="A184" s="137" t="str">
        <f t="shared" si="2"/>
        <v>CAPNOMINA SUCURSALE4</v>
      </c>
      <c r="B184" t="s">
        <v>3451</v>
      </c>
      <c r="C184" s="1">
        <v>45715</v>
      </c>
      <c r="D184" t="s">
        <v>31</v>
      </c>
      <c r="E184" t="s">
        <v>154</v>
      </c>
      <c r="F184" s="3" t="s">
        <v>110</v>
      </c>
      <c r="G184" s="158"/>
      <c r="H184" s="193"/>
      <c r="I184" s="161"/>
      <c r="J184" s="382">
        <v>18384.400000000001</v>
      </c>
      <c r="K184" s="159">
        <f>K183+I184-J184</f>
        <v>-2606652.0899999989</v>
      </c>
    </row>
    <row r="185" spans="1:11" ht="15">
      <c r="A185" s="137" t="str">
        <f t="shared" si="2"/>
        <v>CAPNOMINA SUCURSALE5</v>
      </c>
      <c r="B185" t="s">
        <v>3451</v>
      </c>
      <c r="C185" s="1">
        <v>45715</v>
      </c>
      <c r="D185" t="s">
        <v>31</v>
      </c>
      <c r="E185" t="s">
        <v>154</v>
      </c>
      <c r="F185" s="3" t="s">
        <v>111</v>
      </c>
      <c r="G185" s="158"/>
      <c r="H185" s="193"/>
      <c r="I185" s="161"/>
      <c r="J185" s="383">
        <v>17926.400000000001</v>
      </c>
      <c r="K185" s="159">
        <f>K184+I185-J185</f>
        <v>-2624578.4899999988</v>
      </c>
    </row>
    <row r="186" spans="1:11" ht="15">
      <c r="A186" s="137" t="str">
        <f t="shared" si="2"/>
        <v>CAPNOMINA SUCURSALE6</v>
      </c>
      <c r="B186" t="s">
        <v>3451</v>
      </c>
      <c r="C186" s="1">
        <v>45715</v>
      </c>
      <c r="D186" t="s">
        <v>31</v>
      </c>
      <c r="E186" t="s">
        <v>154</v>
      </c>
      <c r="F186" s="3" t="s">
        <v>112</v>
      </c>
      <c r="G186" s="158"/>
      <c r="H186" s="193"/>
      <c r="I186" s="161"/>
      <c r="J186" s="383">
        <v>14484.8</v>
      </c>
      <c r="K186" s="159">
        <f>K185+I186-J186</f>
        <v>-2639063.2899999986</v>
      </c>
    </row>
    <row r="187" spans="1:11" ht="15">
      <c r="A187" s="137" t="str">
        <f t="shared" si="2"/>
        <v>CAPNOMINA SUCURSALE7</v>
      </c>
      <c r="B187" t="s">
        <v>3451</v>
      </c>
      <c r="C187" s="1">
        <v>45715</v>
      </c>
      <c r="D187" t="s">
        <v>31</v>
      </c>
      <c r="E187" t="s">
        <v>154</v>
      </c>
      <c r="F187" s="3" t="s">
        <v>113</v>
      </c>
      <c r="G187" s="158"/>
      <c r="H187" s="193"/>
      <c r="I187" s="161"/>
      <c r="J187" s="383">
        <v>11730.4</v>
      </c>
      <c r="K187" s="159">
        <f>K186+I187-J187</f>
        <v>-2650793.6899999985</v>
      </c>
    </row>
    <row r="188" spans="1:11" ht="15">
      <c r="A188" s="137" t="str">
        <f t="shared" si="2"/>
        <v>CAPNOMINA SUCURSALE8</v>
      </c>
      <c r="B188" t="s">
        <v>3451</v>
      </c>
      <c r="C188" s="1">
        <v>45715</v>
      </c>
      <c r="D188" t="s">
        <v>31</v>
      </c>
      <c r="E188" t="s">
        <v>154</v>
      </c>
      <c r="F188" s="3" t="s">
        <v>114</v>
      </c>
      <c r="G188" s="158"/>
      <c r="H188" s="193"/>
      <c r="I188" s="161"/>
      <c r="J188" s="383">
        <v>25940</v>
      </c>
      <c r="K188" s="159">
        <f>K187+I188-J188</f>
        <v>-2676733.6899999985</v>
      </c>
    </row>
    <row r="189" spans="1:11" ht="15">
      <c r="A189" s="137" t="str">
        <f t="shared" si="2"/>
        <v>ELINOMINA SUCURSALL1</v>
      </c>
      <c r="B189" t="s">
        <v>3451</v>
      </c>
      <c r="C189" s="1">
        <v>45715</v>
      </c>
      <c r="D189" t="s">
        <v>130</v>
      </c>
      <c r="E189" t="s">
        <v>154</v>
      </c>
      <c r="F189" s="3" t="s">
        <v>136</v>
      </c>
      <c r="G189" s="158"/>
      <c r="H189" s="193"/>
      <c r="I189" s="161"/>
      <c r="J189" s="383">
        <v>898</v>
      </c>
      <c r="K189" s="159">
        <f>K188+I189-J189</f>
        <v>-2677631.6899999985</v>
      </c>
    </row>
    <row r="190" spans="1:11" ht="15">
      <c r="A190" s="137" t="str">
        <f t="shared" si="2"/>
        <v>HRNOMINA ADMONHR</v>
      </c>
      <c r="B190" t="s">
        <v>3451</v>
      </c>
      <c r="C190" s="1">
        <v>45715</v>
      </c>
      <c r="D190" t="s">
        <v>29</v>
      </c>
      <c r="E190" t="s">
        <v>147</v>
      </c>
      <c r="F190" s="3" t="s">
        <v>29</v>
      </c>
      <c r="G190" s="158"/>
      <c r="I190" s="161"/>
      <c r="J190" s="383">
        <v>28644.73</v>
      </c>
      <c r="K190" s="159">
        <f>K189+I190-J190</f>
        <v>-2706276.4199999985</v>
      </c>
    </row>
    <row r="191" spans="1:11" ht="15">
      <c r="A191" s="137" t="str">
        <f t="shared" si="2"/>
        <v>CAPNOMINA ADMONCAPRICHOS</v>
      </c>
      <c r="B191" t="s">
        <v>3451</v>
      </c>
      <c r="C191" s="1">
        <v>45715</v>
      </c>
      <c r="D191" t="s">
        <v>31</v>
      </c>
      <c r="E191" t="s">
        <v>147</v>
      </c>
      <c r="F191" s="12" t="s">
        <v>33</v>
      </c>
      <c r="G191" s="158"/>
      <c r="I191" s="161"/>
      <c r="J191" s="383">
        <v>27303.17</v>
      </c>
      <c r="K191" s="159">
        <f>K190+I191-J191</f>
        <v>-2733579.5899999985</v>
      </c>
    </row>
    <row r="192" spans="1:11" ht="15">
      <c r="A192" s="137" t="str">
        <f t="shared" si="2"/>
        <v>SERVICIOSNOMINA SUCURSALCEDIS</v>
      </c>
      <c r="B192" t="s">
        <v>3451</v>
      </c>
      <c r="C192" s="1">
        <v>45715</v>
      </c>
      <c r="D192" t="s">
        <v>21</v>
      </c>
      <c r="E192" t="s">
        <v>154</v>
      </c>
      <c r="F192" s="12" t="s">
        <v>28</v>
      </c>
      <c r="G192" s="158"/>
      <c r="I192" s="161"/>
      <c r="J192" s="383">
        <v>60057.71</v>
      </c>
      <c r="K192" s="159">
        <f>K191+I192-J192</f>
        <v>-2793637.2999999984</v>
      </c>
    </row>
    <row r="193" spans="1:11" ht="15">
      <c r="A193" s="137" t="str">
        <f t="shared" si="2"/>
        <v>SERVICIOSNOMINA ADMONINVENTARIOS</v>
      </c>
      <c r="B193" t="s">
        <v>3451</v>
      </c>
      <c r="C193" s="1">
        <v>45715</v>
      </c>
      <c r="D193" t="s">
        <v>21</v>
      </c>
      <c r="E193" t="s">
        <v>147</v>
      </c>
      <c r="F193" s="12" t="s">
        <v>34</v>
      </c>
      <c r="G193" s="158"/>
      <c r="I193" s="161"/>
      <c r="J193" s="383">
        <v>2800</v>
      </c>
      <c r="K193" s="159">
        <f>K192+I193-J193</f>
        <v>-2796437.2999999984</v>
      </c>
    </row>
    <row r="194" spans="1:11" ht="15">
      <c r="A194" s="137" t="str">
        <f t="shared" si="2"/>
        <v>SERVICIOSNOMINA ADMONMANTENIMIENTO</v>
      </c>
      <c r="B194" t="s">
        <v>3451</v>
      </c>
      <c r="C194" s="1">
        <v>45715</v>
      </c>
      <c r="D194" t="s">
        <v>21</v>
      </c>
      <c r="E194" t="s">
        <v>147</v>
      </c>
      <c r="F194" s="12" t="s">
        <v>35</v>
      </c>
      <c r="G194" s="158"/>
      <c r="H194" s="71"/>
      <c r="I194" s="161"/>
      <c r="J194" s="383">
        <v>5627.23</v>
      </c>
      <c r="K194" s="159">
        <f>K193+I194-J194</f>
        <v>-2802064.5299999984</v>
      </c>
    </row>
    <row r="195" spans="1:11" ht="15">
      <c r="A195" s="137" t="str">
        <f t="shared" si="2"/>
        <v>SERVICIOSNOMINA ADMONCADENA DE SUMINISTROS</v>
      </c>
      <c r="B195" t="s">
        <v>3451</v>
      </c>
      <c r="C195" s="1">
        <v>45715</v>
      </c>
      <c r="D195" t="s">
        <v>21</v>
      </c>
      <c r="E195" t="s">
        <v>147</v>
      </c>
      <c r="F195" s="12" t="s">
        <v>134</v>
      </c>
      <c r="G195" s="158"/>
      <c r="H195" s="71"/>
      <c r="I195" s="161"/>
      <c r="J195" s="383">
        <v>20237.599999999999</v>
      </c>
      <c r="K195" s="159">
        <f>K194+I195-J195</f>
        <v>-2822302.1299999985</v>
      </c>
    </row>
    <row r="196" spans="1:11" ht="15">
      <c r="A196" s="137" t="str">
        <f t="shared" ref="A196:A259" si="3">D196&amp;E196&amp;F196</f>
        <v>SERVICIOSNOMINA ADMONSISTEMAS</v>
      </c>
      <c r="B196" t="s">
        <v>3451</v>
      </c>
      <c r="C196" s="1">
        <v>45715</v>
      </c>
      <c r="D196" t="s">
        <v>21</v>
      </c>
      <c r="E196" t="s">
        <v>147</v>
      </c>
      <c r="F196" s="12" t="s">
        <v>36</v>
      </c>
      <c r="G196" s="158"/>
      <c r="H196" s="71"/>
      <c r="I196" s="161"/>
      <c r="J196" s="383">
        <v>10325.950000000001</v>
      </c>
      <c r="K196" s="159">
        <f>K195+I196-J196</f>
        <v>-2832628.0799999987</v>
      </c>
    </row>
    <row r="197" spans="1:11" ht="15">
      <c r="A197" s="137" t="str">
        <f t="shared" si="3"/>
        <v>SERVICIOSNOMINA ADMONCOMPRAS</v>
      </c>
      <c r="B197" t="s">
        <v>3451</v>
      </c>
      <c r="C197" s="1">
        <v>45715</v>
      </c>
      <c r="D197" t="s">
        <v>21</v>
      </c>
      <c r="E197" t="s">
        <v>147</v>
      </c>
      <c r="F197" s="12" t="s">
        <v>148</v>
      </c>
      <c r="G197" s="158"/>
      <c r="I197" s="161"/>
      <c r="J197" s="383">
        <v>18293.169999999998</v>
      </c>
      <c r="K197" s="159">
        <f>K196+I197-J197</f>
        <v>-2850921.2499999986</v>
      </c>
    </row>
    <row r="198" spans="1:11" ht="15">
      <c r="A198" s="137" t="str">
        <f t="shared" si="3"/>
        <v>FINANZASNOMINA ADMONCONTABILIDAD</v>
      </c>
      <c r="B198" t="s">
        <v>3451</v>
      </c>
      <c r="C198" s="1">
        <v>45715</v>
      </c>
      <c r="D198" t="s">
        <v>23</v>
      </c>
      <c r="E198" t="s">
        <v>147</v>
      </c>
      <c r="F198" s="12" t="s">
        <v>37</v>
      </c>
      <c r="G198" s="158"/>
      <c r="I198" s="161"/>
      <c r="J198" s="383">
        <v>10794.4</v>
      </c>
      <c r="K198" s="159">
        <f>K197+I198-J198</f>
        <v>-2861715.6499999985</v>
      </c>
    </row>
    <row r="199" spans="1:11" ht="15">
      <c r="A199" s="137" t="str">
        <f t="shared" si="3"/>
        <v>FINANZASNOMINA ADMONFINANZAS/LEGAL</v>
      </c>
      <c r="B199" t="s">
        <v>3451</v>
      </c>
      <c r="C199" s="1">
        <v>45715</v>
      </c>
      <c r="D199" t="s">
        <v>23</v>
      </c>
      <c r="E199" t="s">
        <v>147</v>
      </c>
      <c r="F199" s="12" t="s">
        <v>149</v>
      </c>
      <c r="G199" s="158"/>
      <c r="I199" s="161"/>
      <c r="J199" s="383">
        <v>9565.59</v>
      </c>
      <c r="K199" s="159">
        <f>K198+I199-J199</f>
        <v>-2871281.2399999984</v>
      </c>
    </row>
    <row r="200" spans="1:11" ht="15">
      <c r="A200" s="137" t="str">
        <f t="shared" si="3"/>
        <v>FINANZASNOMINA ADMONRECURSOS HUMANOS</v>
      </c>
      <c r="B200" t="s">
        <v>3451</v>
      </c>
      <c r="C200" s="1">
        <v>45715</v>
      </c>
      <c r="D200" t="s">
        <v>23</v>
      </c>
      <c r="E200" t="s">
        <v>147</v>
      </c>
      <c r="F200" s="12" t="s">
        <v>125</v>
      </c>
      <c r="G200" s="158"/>
      <c r="I200" s="161"/>
      <c r="J200" s="383">
        <v>13124.4</v>
      </c>
      <c r="K200" s="159">
        <f>K199+I200-J200</f>
        <v>-2884405.6399999983</v>
      </c>
    </row>
    <row r="201" spans="1:11" ht="15">
      <c r="A201" s="137" t="str">
        <f t="shared" si="3"/>
        <v>FINANZASNOMINA ADMONTESORERIA</v>
      </c>
      <c r="B201" t="s">
        <v>3451</v>
      </c>
      <c r="C201" s="1">
        <v>45715</v>
      </c>
      <c r="D201" t="s">
        <v>23</v>
      </c>
      <c r="E201" t="s">
        <v>147</v>
      </c>
      <c r="F201" s="12" t="s">
        <v>38</v>
      </c>
      <c r="G201" s="158"/>
      <c r="I201" s="161"/>
      <c r="J201" s="383">
        <v>11946.8</v>
      </c>
      <c r="K201" s="159">
        <f>K200+I201-J201</f>
        <v>-2896352.4399999981</v>
      </c>
    </row>
    <row r="202" spans="1:11" ht="15">
      <c r="A202" s="137" t="str">
        <f t="shared" si="3"/>
        <v>FINANZASNOMINA ADMONHBG FINANZAS</v>
      </c>
      <c r="B202" t="s">
        <v>3451</v>
      </c>
      <c r="C202" s="1">
        <v>45715</v>
      </c>
      <c r="D202" t="s">
        <v>23</v>
      </c>
      <c r="E202" t="s">
        <v>147</v>
      </c>
      <c r="F202" s="12" t="s">
        <v>150</v>
      </c>
      <c r="G202" s="158"/>
      <c r="I202" s="161"/>
      <c r="J202" s="383">
        <v>3056.8</v>
      </c>
      <c r="K202" s="159">
        <f>K201+I202-J202</f>
        <v>-2899409.2399999979</v>
      </c>
    </row>
    <row r="203" spans="1:11" ht="15">
      <c r="A203" s="137" t="str">
        <f t="shared" si="3"/>
        <v>SGENOMINA ADMONGESTION EMPRESARIAL</v>
      </c>
      <c r="B203" t="s">
        <v>3451</v>
      </c>
      <c r="C203" s="1">
        <v>45715</v>
      </c>
      <c r="D203" t="s">
        <v>39</v>
      </c>
      <c r="E203" t="s">
        <v>147</v>
      </c>
      <c r="F203" s="12" t="s">
        <v>40</v>
      </c>
      <c r="G203" s="158"/>
      <c r="I203" s="161"/>
      <c r="J203" s="383">
        <v>21501.200000000001</v>
      </c>
      <c r="K203" s="159">
        <f>K202+I203-J203</f>
        <v>-2920910.4399999981</v>
      </c>
    </row>
    <row r="204" spans="1:11" ht="15">
      <c r="A204" s="137" t="str">
        <f t="shared" si="3"/>
        <v>DENOMINA ADMONDIRECCION</v>
      </c>
      <c r="B204" t="s">
        <v>3451</v>
      </c>
      <c r="C204" s="1">
        <v>45715</v>
      </c>
      <c r="D204" t="s">
        <v>41</v>
      </c>
      <c r="E204" t="s">
        <v>147</v>
      </c>
      <c r="F204" s="12" t="s">
        <v>42</v>
      </c>
      <c r="G204" s="158"/>
      <c r="I204" s="161"/>
      <c r="J204" s="383">
        <v>6000.6</v>
      </c>
      <c r="K204" s="159">
        <f>K203+I204-J204</f>
        <v>-2926911.0399999982</v>
      </c>
    </row>
    <row r="205" spans="1:11" ht="15">
      <c r="A205" s="137" t="str">
        <f t="shared" si="3"/>
        <v>FINANZASNOMINA ADMONHBG FINANZAS</v>
      </c>
      <c r="B205" t="s">
        <v>3451</v>
      </c>
      <c r="C205" s="1">
        <v>45715</v>
      </c>
      <c r="D205" t="s">
        <v>23</v>
      </c>
      <c r="E205" t="s">
        <v>147</v>
      </c>
      <c r="F205" s="12" t="s">
        <v>150</v>
      </c>
      <c r="G205" s="158"/>
      <c r="I205" s="161"/>
      <c r="J205" s="383">
        <v>11450</v>
      </c>
      <c r="K205" s="159">
        <f>K204+I205-J205</f>
        <v>-2938361.0399999982</v>
      </c>
    </row>
    <row r="206" spans="1:11" ht="15">
      <c r="A206" s="137" t="str">
        <f t="shared" si="3"/>
        <v>HRNOMINA ADMONHR</v>
      </c>
      <c r="B206" t="s">
        <v>3451</v>
      </c>
      <c r="C206" s="1">
        <v>45715</v>
      </c>
      <c r="D206" t="s">
        <v>29</v>
      </c>
      <c r="E206" t="s">
        <v>147</v>
      </c>
      <c r="F206" s="3" t="s">
        <v>29</v>
      </c>
      <c r="G206" s="158"/>
      <c r="I206" s="161"/>
      <c r="J206" s="383">
        <v>5500</v>
      </c>
      <c r="K206" s="159">
        <f>K205+I206-J206</f>
        <v>-2943861.0399999982</v>
      </c>
    </row>
    <row r="207" spans="1:11" ht="15">
      <c r="A207" s="137" t="str">
        <f t="shared" si="3"/>
        <v>CAPNOMINA ADMONCAPRICHOS</v>
      </c>
      <c r="B207" t="s">
        <v>3451</v>
      </c>
      <c r="C207" s="1">
        <v>45715</v>
      </c>
      <c r="D207" t="s">
        <v>31</v>
      </c>
      <c r="E207" t="s">
        <v>147</v>
      </c>
      <c r="F207" s="12" t="s">
        <v>33</v>
      </c>
      <c r="G207" s="158"/>
      <c r="I207" s="161"/>
      <c r="J207" s="383">
        <v>3700</v>
      </c>
      <c r="K207" s="159">
        <f>K206+I207-J207</f>
        <v>-2947561.0399999982</v>
      </c>
    </row>
    <row r="208" spans="1:11" ht="15">
      <c r="A208" s="137" t="str">
        <f t="shared" si="3"/>
        <v>SGENOMINA ADMONGESTION EMPRESARIAL</v>
      </c>
      <c r="B208" t="s">
        <v>3451</v>
      </c>
      <c r="C208" s="1">
        <v>45715</v>
      </c>
      <c r="D208" t="s">
        <v>39</v>
      </c>
      <c r="E208" t="s">
        <v>147</v>
      </c>
      <c r="F208" s="12" t="s">
        <v>40</v>
      </c>
      <c r="G208" s="158"/>
      <c r="I208" s="161"/>
      <c r="J208" s="383">
        <v>2750</v>
      </c>
      <c r="K208" s="159">
        <f>K207+I208-J208</f>
        <v>-2950311.0399999982</v>
      </c>
    </row>
    <row r="209" spans="1:11" ht="15">
      <c r="A209" s="137" t="str">
        <f t="shared" si="3"/>
        <v>SERVICIOSNOMINA ADMONSERVICIOS</v>
      </c>
      <c r="B209" t="s">
        <v>3451</v>
      </c>
      <c r="C209" s="1">
        <v>45715</v>
      </c>
      <c r="D209" t="s">
        <v>21</v>
      </c>
      <c r="E209" t="s">
        <v>147</v>
      </c>
      <c r="F209" s="12" t="s">
        <v>21</v>
      </c>
      <c r="G209" s="158"/>
      <c r="I209" s="161"/>
      <c r="J209" s="383">
        <v>4750</v>
      </c>
      <c r="K209" s="159">
        <f>K208+I209-J209</f>
        <v>-2955061.0399999982</v>
      </c>
    </row>
    <row r="210" spans="1:11" ht="15">
      <c r="A210" s="137" t="str">
        <f t="shared" si="3"/>
        <v>DENOMINA ADMONDIRECCION</v>
      </c>
      <c r="B210" t="s">
        <v>3451</v>
      </c>
      <c r="C210" s="1">
        <v>45715</v>
      </c>
      <c r="D210" t="s">
        <v>41</v>
      </c>
      <c r="E210" t="s">
        <v>147</v>
      </c>
      <c r="F210" s="12" t="s">
        <v>42</v>
      </c>
      <c r="G210" s="158"/>
      <c r="I210" s="161"/>
      <c r="J210" s="383">
        <v>5750</v>
      </c>
      <c r="K210" s="159">
        <f>K209+I210-J210</f>
        <v>-2960811.0399999982</v>
      </c>
    </row>
    <row r="211" spans="1:11" ht="15">
      <c r="A211" s="137" t="str">
        <f t="shared" si="3"/>
        <v>MMNOMINA ADMONMARKET MAX</v>
      </c>
      <c r="B211" t="s">
        <v>3451</v>
      </c>
      <c r="C211" s="1">
        <v>45715</v>
      </c>
      <c r="D211" t="s">
        <v>45</v>
      </c>
      <c r="E211" t="s">
        <v>147</v>
      </c>
      <c r="F211" s="12" t="s">
        <v>46</v>
      </c>
      <c r="G211" s="158"/>
      <c r="I211" s="161"/>
      <c r="J211" s="383">
        <v>2000</v>
      </c>
      <c r="K211" s="159">
        <f>K210+I211-J211</f>
        <v>-2962811.0399999982</v>
      </c>
    </row>
    <row r="212" spans="1:11" ht="15">
      <c r="A212" s="137" t="str">
        <f t="shared" si="3"/>
        <v>CAPVACACIONES/FINIQUITOSCAPRICHOS</v>
      </c>
      <c r="B212" t="s">
        <v>3451</v>
      </c>
      <c r="C212" s="1">
        <v>45715</v>
      </c>
      <c r="D212" t="s">
        <v>31</v>
      </c>
      <c r="E212" t="s">
        <v>190</v>
      </c>
      <c r="F212" s="12" t="s">
        <v>33</v>
      </c>
      <c r="G212" s="158"/>
      <c r="I212" s="161"/>
      <c r="J212" s="383">
        <v>4560</v>
      </c>
      <c r="K212" s="159">
        <f>K211+I212-J212</f>
        <v>-2967371.0399999982</v>
      </c>
    </row>
    <row r="213" spans="1:11" ht="15">
      <c r="A213" s="137" t="str">
        <f t="shared" si="3"/>
        <v>CAPVACACIONES/FINIQUITOSCAPRICHOS</v>
      </c>
      <c r="B213" t="s">
        <v>3451</v>
      </c>
      <c r="C213" s="1">
        <v>45715</v>
      </c>
      <c r="D213" t="s">
        <v>31</v>
      </c>
      <c r="E213" t="s">
        <v>190</v>
      </c>
      <c r="F213" s="12" t="s">
        <v>33</v>
      </c>
      <c r="G213" s="158"/>
      <c r="I213" s="161"/>
      <c r="J213" s="383">
        <v>7500</v>
      </c>
      <c r="K213" s="159">
        <f>K212+I213-J213</f>
        <v>-2974871.0399999982</v>
      </c>
    </row>
    <row r="214" spans="1:11" ht="15">
      <c r="A214" s="137" t="str">
        <f t="shared" si="3"/>
        <v>CAPVACACIONES/FINIQUITOSCAPRICHOS</v>
      </c>
      <c r="B214" t="s">
        <v>3451</v>
      </c>
      <c r="C214" s="1">
        <v>45715</v>
      </c>
      <c r="D214" t="s">
        <v>31</v>
      </c>
      <c r="E214" t="s">
        <v>190</v>
      </c>
      <c r="F214" s="12" t="s">
        <v>33</v>
      </c>
      <c r="G214" s="158"/>
      <c r="I214" s="161"/>
      <c r="J214" s="383">
        <v>5250</v>
      </c>
      <c r="K214" s="159">
        <f>K213+I214-J214</f>
        <v>-2980121.0399999982</v>
      </c>
    </row>
    <row r="215" spans="1:11" ht="15">
      <c r="A215" s="137" t="str">
        <f t="shared" si="3"/>
        <v>HRNOMINA SUCURSALA1</v>
      </c>
      <c r="B215" t="s">
        <v>3498</v>
      </c>
      <c r="C215" s="1">
        <v>45722</v>
      </c>
      <c r="D215" t="s">
        <v>29</v>
      </c>
      <c r="E215" t="s">
        <v>154</v>
      </c>
      <c r="F215" s="3" t="s">
        <v>88</v>
      </c>
      <c r="G215" s="158"/>
      <c r="I215" s="161"/>
      <c r="J215" s="383">
        <v>12884.4</v>
      </c>
      <c r="K215" s="159">
        <f>K214+I215-J215</f>
        <v>-2993005.4399999981</v>
      </c>
    </row>
    <row r="216" spans="1:11" ht="15">
      <c r="A216" s="137" t="str">
        <f t="shared" si="3"/>
        <v>HRNOMINA SUCURSALA2</v>
      </c>
      <c r="B216" t="s">
        <v>3498</v>
      </c>
      <c r="C216" s="1">
        <v>45722</v>
      </c>
      <c r="D216" t="s">
        <v>29</v>
      </c>
      <c r="E216" t="s">
        <v>154</v>
      </c>
      <c r="F216" s="3" t="s">
        <v>89</v>
      </c>
      <c r="G216" s="158"/>
      <c r="I216" s="161"/>
      <c r="J216" s="383">
        <v>13884.8</v>
      </c>
      <c r="K216" s="159">
        <f>K215+I216-J216</f>
        <v>-3006890.2399999979</v>
      </c>
    </row>
    <row r="217" spans="1:11" ht="15">
      <c r="A217" s="137" t="str">
        <f t="shared" si="3"/>
        <v>HRNOMINA SUCURSALA3</v>
      </c>
      <c r="B217" t="s">
        <v>3498</v>
      </c>
      <c r="C217" s="1">
        <v>45722</v>
      </c>
      <c r="D217" t="s">
        <v>29</v>
      </c>
      <c r="E217" t="s">
        <v>154</v>
      </c>
      <c r="F217" s="3" t="s">
        <v>90</v>
      </c>
      <c r="G217" s="158"/>
      <c r="I217" s="161"/>
      <c r="J217" s="383">
        <v>10453.6</v>
      </c>
      <c r="K217" s="159">
        <f>K216+I217-J217</f>
        <v>-3017343.839999998</v>
      </c>
    </row>
    <row r="218" spans="1:11" ht="15">
      <c r="A218" s="137" t="str">
        <f t="shared" si="3"/>
        <v>HRNOMINA SUCURSALA4</v>
      </c>
      <c r="B218" t="s">
        <v>3498</v>
      </c>
      <c r="C218" s="1">
        <v>45722</v>
      </c>
      <c r="D218" t="s">
        <v>29</v>
      </c>
      <c r="E218" t="s">
        <v>154</v>
      </c>
      <c r="F218" s="3" t="s">
        <v>91</v>
      </c>
      <c r="G218" s="158"/>
      <c r="I218" s="161"/>
      <c r="J218" s="383">
        <v>9428.7999999999993</v>
      </c>
      <c r="K218" s="159">
        <f>K217+I218-J218</f>
        <v>-3026772.6399999978</v>
      </c>
    </row>
    <row r="219" spans="1:11" ht="15">
      <c r="A219" s="137" t="str">
        <f t="shared" si="3"/>
        <v>HRNOMINA SUCURSALA5</v>
      </c>
      <c r="B219" t="s">
        <v>3498</v>
      </c>
      <c r="C219" s="1">
        <v>45722</v>
      </c>
      <c r="D219" t="s">
        <v>29</v>
      </c>
      <c r="E219" t="s">
        <v>154</v>
      </c>
      <c r="F219" s="3" t="s">
        <v>92</v>
      </c>
      <c r="G219" s="158"/>
      <c r="H219" s="71"/>
      <c r="I219" s="161"/>
      <c r="J219" s="383">
        <v>8959.41</v>
      </c>
      <c r="K219" s="159">
        <f>K218+I219-J219</f>
        <v>-3035732.049999998</v>
      </c>
    </row>
    <row r="220" spans="1:11" ht="15">
      <c r="A220" s="137" t="str">
        <f t="shared" si="3"/>
        <v>HRNOMINA SUCURSALA6</v>
      </c>
      <c r="B220" t="s">
        <v>3498</v>
      </c>
      <c r="C220" s="1">
        <v>45722</v>
      </c>
      <c r="D220" t="s">
        <v>29</v>
      </c>
      <c r="E220" t="s">
        <v>154</v>
      </c>
      <c r="F220" s="3" t="s">
        <v>93</v>
      </c>
      <c r="G220" s="158"/>
      <c r="H220" s="71"/>
      <c r="I220" s="161"/>
      <c r="J220" s="383">
        <v>13885.55</v>
      </c>
      <c r="K220" s="159">
        <f>K219+I220-J220</f>
        <v>-3049617.5999999978</v>
      </c>
    </row>
    <row r="221" spans="1:11" ht="15">
      <c r="A221" s="137" t="str">
        <f t="shared" si="3"/>
        <v>HRNOMINA SUCURSALA8</v>
      </c>
      <c r="B221" t="s">
        <v>3498</v>
      </c>
      <c r="C221" s="1">
        <v>45722</v>
      </c>
      <c r="D221" t="s">
        <v>29</v>
      </c>
      <c r="E221" t="s">
        <v>154</v>
      </c>
      <c r="F221" s="3" t="s">
        <v>94</v>
      </c>
      <c r="G221" s="158"/>
      <c r="I221" s="161"/>
      <c r="J221" s="383">
        <v>18413.8</v>
      </c>
      <c r="K221" s="159">
        <f>K220+I221-J221</f>
        <v>-3068031.3999999976</v>
      </c>
    </row>
    <row r="222" spans="1:11" ht="15">
      <c r="A222" s="137" t="str">
        <f t="shared" si="3"/>
        <v>HRNOMINA SUCURSALA9</v>
      </c>
      <c r="B222" t="s">
        <v>3498</v>
      </c>
      <c r="C222" s="1">
        <v>45722</v>
      </c>
      <c r="D222" t="s">
        <v>29</v>
      </c>
      <c r="E222" t="s">
        <v>154</v>
      </c>
      <c r="F222" s="3" t="s">
        <v>95</v>
      </c>
      <c r="G222" s="158"/>
      <c r="I222" s="161"/>
      <c r="J222" s="383">
        <v>9557.09</v>
      </c>
      <c r="K222" s="159">
        <f>K221+I222-J222</f>
        <v>-3077588.4899999974</v>
      </c>
    </row>
    <row r="223" spans="1:11" ht="15">
      <c r="A223" s="137" t="str">
        <f t="shared" si="3"/>
        <v>HRNOMINA SUCURSALA10</v>
      </c>
      <c r="B223" t="s">
        <v>3498</v>
      </c>
      <c r="C223" s="1">
        <v>45722</v>
      </c>
      <c r="D223" t="s">
        <v>29</v>
      </c>
      <c r="E223" t="s">
        <v>154</v>
      </c>
      <c r="F223" s="3" t="s">
        <v>96</v>
      </c>
      <c r="G223" s="158"/>
      <c r="I223" s="161"/>
      <c r="J223" s="383">
        <v>16556.93</v>
      </c>
      <c r="K223" s="159">
        <f>K222+I223-J223</f>
        <v>-3094145.4199999976</v>
      </c>
    </row>
    <row r="224" spans="1:11" ht="15">
      <c r="A224" s="137" t="str">
        <f t="shared" si="3"/>
        <v>HRNOMINA SUCURSALA11</v>
      </c>
      <c r="B224" t="s">
        <v>3498</v>
      </c>
      <c r="C224" s="1">
        <v>45722</v>
      </c>
      <c r="D224" t="s">
        <v>29</v>
      </c>
      <c r="E224" t="s">
        <v>154</v>
      </c>
      <c r="F224" s="62" t="s">
        <v>97</v>
      </c>
      <c r="G224" s="158"/>
      <c r="I224" s="161"/>
      <c r="J224" s="383">
        <v>13100.2</v>
      </c>
      <c r="K224" s="159">
        <f>K223+I224-J224</f>
        <v>-3107245.6199999978</v>
      </c>
    </row>
    <row r="225" spans="1:11" ht="15">
      <c r="A225" s="137" t="str">
        <f t="shared" si="3"/>
        <v>HRNOMINA SUCURSALA12</v>
      </c>
      <c r="B225" t="s">
        <v>3498</v>
      </c>
      <c r="C225" s="1">
        <v>45722</v>
      </c>
      <c r="D225" t="s">
        <v>29</v>
      </c>
      <c r="E225" t="s">
        <v>154</v>
      </c>
      <c r="F225" s="3" t="s">
        <v>98</v>
      </c>
      <c r="G225" s="158"/>
      <c r="I225" s="161"/>
      <c r="J225" s="383">
        <v>16804.599999999999</v>
      </c>
      <c r="K225" s="159">
        <f>K224+I225-J225</f>
        <v>-3124050.2199999979</v>
      </c>
    </row>
    <row r="226" spans="1:11" ht="15">
      <c r="A226" s="137" t="str">
        <f t="shared" si="3"/>
        <v>HRNOMINA SUCURSALA14</v>
      </c>
      <c r="B226" t="s">
        <v>3498</v>
      </c>
      <c r="C226" s="1">
        <v>45722</v>
      </c>
      <c r="D226" t="s">
        <v>29</v>
      </c>
      <c r="E226" t="s">
        <v>154</v>
      </c>
      <c r="F226" s="3" t="s">
        <v>99</v>
      </c>
      <c r="G226" s="158"/>
      <c r="I226" s="161"/>
      <c r="J226" s="383">
        <v>13266</v>
      </c>
      <c r="K226" s="159">
        <f>K225+I226-J226</f>
        <v>-3137316.2199999979</v>
      </c>
    </row>
    <row r="227" spans="1:11" ht="15">
      <c r="A227" s="137" t="str">
        <f t="shared" si="3"/>
        <v>HRNOMINA SUCURSALA15</v>
      </c>
      <c r="B227" t="s">
        <v>3498</v>
      </c>
      <c r="C227" s="1">
        <v>45722</v>
      </c>
      <c r="D227" t="s">
        <v>29</v>
      </c>
      <c r="E227" t="s">
        <v>154</v>
      </c>
      <c r="F227" s="3" t="s">
        <v>100</v>
      </c>
      <c r="G227" s="158"/>
      <c r="I227" s="161"/>
      <c r="J227" s="383">
        <v>11205.2</v>
      </c>
      <c r="K227" s="159">
        <f>K226+I227-J227</f>
        <v>-3148521.4199999981</v>
      </c>
    </row>
    <row r="228" spans="1:11" ht="15">
      <c r="A228" s="137" t="str">
        <f t="shared" si="3"/>
        <v>HRNOMINA SUCURSALA16</v>
      </c>
      <c r="B228" t="s">
        <v>3498</v>
      </c>
      <c r="C228" s="1">
        <v>45722</v>
      </c>
      <c r="D228" t="s">
        <v>29</v>
      </c>
      <c r="E228" t="s">
        <v>154</v>
      </c>
      <c r="F228" s="3" t="s">
        <v>101</v>
      </c>
      <c r="G228" s="158"/>
      <c r="I228" s="161"/>
      <c r="J228" s="383">
        <v>13151.29</v>
      </c>
      <c r="K228" s="159">
        <f>K227+I228-J228</f>
        <v>-3161672.7099999981</v>
      </c>
    </row>
    <row r="229" spans="1:11" ht="15">
      <c r="A229" s="137" t="str">
        <f t="shared" si="3"/>
        <v>HRNOMINA SUCURSALA17</v>
      </c>
      <c r="B229" t="s">
        <v>3498</v>
      </c>
      <c r="C229" s="1">
        <v>45722</v>
      </c>
      <c r="D229" t="s">
        <v>29</v>
      </c>
      <c r="E229" t="s">
        <v>154</v>
      </c>
      <c r="F229" s="3" t="s">
        <v>102</v>
      </c>
      <c r="G229" s="158"/>
      <c r="I229" s="161"/>
      <c r="J229" s="383">
        <v>10494.8</v>
      </c>
      <c r="K229" s="159">
        <f>K228+I229-J229</f>
        <v>-3172167.5099999979</v>
      </c>
    </row>
    <row r="230" spans="1:11" ht="15">
      <c r="A230" s="137" t="str">
        <f t="shared" si="3"/>
        <v>HRNOMINA SUCURSALA18</v>
      </c>
      <c r="B230" t="s">
        <v>3498</v>
      </c>
      <c r="C230" s="1">
        <v>45722</v>
      </c>
      <c r="D230" t="s">
        <v>29</v>
      </c>
      <c r="E230" t="s">
        <v>154</v>
      </c>
      <c r="F230" s="3" t="s">
        <v>103</v>
      </c>
      <c r="G230" s="158"/>
      <c r="I230" s="161"/>
      <c r="J230" s="383">
        <v>12464.8</v>
      </c>
      <c r="K230" s="159">
        <f>K229+I230-J230</f>
        <v>-3184632.3099999977</v>
      </c>
    </row>
    <row r="231" spans="1:11" ht="15">
      <c r="A231" s="137" t="str">
        <f t="shared" si="3"/>
        <v>HRNOMINA SUCURSALA22</v>
      </c>
      <c r="B231" t="s">
        <v>3498</v>
      </c>
      <c r="C231" s="1">
        <v>45722</v>
      </c>
      <c r="D231" t="s">
        <v>29</v>
      </c>
      <c r="E231" t="s">
        <v>154</v>
      </c>
      <c r="F231" s="3" t="s">
        <v>104</v>
      </c>
      <c r="G231" s="158"/>
      <c r="I231" s="161"/>
      <c r="J231" s="383">
        <v>12495</v>
      </c>
      <c r="K231" s="159">
        <f>K230+I231-J231</f>
        <v>-3197127.3099999977</v>
      </c>
    </row>
    <row r="232" spans="1:11" ht="15">
      <c r="A232" s="137" t="str">
        <f t="shared" si="3"/>
        <v>HRNOMINA SUCURSALA23</v>
      </c>
      <c r="B232" t="s">
        <v>3498</v>
      </c>
      <c r="C232" s="1">
        <v>45722</v>
      </c>
      <c r="D232" t="s">
        <v>29</v>
      </c>
      <c r="E232" t="s">
        <v>154</v>
      </c>
      <c r="F232" s="3" t="s">
        <v>105</v>
      </c>
      <c r="G232" s="158"/>
      <c r="I232" s="161"/>
      <c r="J232" s="383">
        <v>8829.2000000000007</v>
      </c>
      <c r="K232" s="159">
        <f>K231+I232-J232</f>
        <v>-3205956.5099999979</v>
      </c>
    </row>
    <row r="233" spans="1:11" ht="15">
      <c r="A233" s="137" t="str">
        <f t="shared" si="3"/>
        <v>HRNOMINA SUCURSALA24</v>
      </c>
      <c r="B233" t="s">
        <v>3498</v>
      </c>
      <c r="C233" s="1">
        <v>45722</v>
      </c>
      <c r="D233" t="s">
        <v>29</v>
      </c>
      <c r="E233" t="s">
        <v>154</v>
      </c>
      <c r="F233" s="3" t="s">
        <v>106</v>
      </c>
      <c r="G233" s="158"/>
      <c r="I233" s="161"/>
      <c r="J233" s="383">
        <v>16292</v>
      </c>
      <c r="K233" s="159">
        <f>K232+I233-J233</f>
        <v>-3222248.5099999979</v>
      </c>
    </row>
    <row r="234" spans="1:11" ht="15">
      <c r="A234" s="137" t="str">
        <f t="shared" si="3"/>
        <v>CAPNOMINA SUCURSALE1</v>
      </c>
      <c r="B234" t="s">
        <v>3498</v>
      </c>
      <c r="C234" s="1">
        <v>45722</v>
      </c>
      <c r="D234" t="s">
        <v>31</v>
      </c>
      <c r="E234" t="s">
        <v>154</v>
      </c>
      <c r="F234" s="3" t="s">
        <v>107</v>
      </c>
      <c r="G234" s="158"/>
      <c r="I234" s="161"/>
      <c r="J234" s="383">
        <v>14498.2</v>
      </c>
      <c r="K234" s="159">
        <f>K233+I234-J234</f>
        <v>-3236746.7099999981</v>
      </c>
    </row>
    <row r="235" spans="1:11" ht="15">
      <c r="A235" s="137" t="str">
        <f t="shared" si="3"/>
        <v>CAPNOMINA SUCURSALE2</v>
      </c>
      <c r="B235" t="s">
        <v>3498</v>
      </c>
      <c r="C235" s="1">
        <v>45722</v>
      </c>
      <c r="D235" t="s">
        <v>31</v>
      </c>
      <c r="E235" t="s">
        <v>154</v>
      </c>
      <c r="F235" s="3" t="s">
        <v>108</v>
      </c>
      <c r="G235" s="158"/>
      <c r="I235" s="161"/>
      <c r="J235" s="383">
        <v>16433</v>
      </c>
      <c r="K235" s="159">
        <f>K234+I235-J235</f>
        <v>-3253179.7099999981</v>
      </c>
    </row>
    <row r="236" spans="1:11" ht="15">
      <c r="A236" s="137" t="str">
        <f t="shared" si="3"/>
        <v>CAPNOMINA SUCURSALE3</v>
      </c>
      <c r="B236" t="s">
        <v>3498</v>
      </c>
      <c r="C236" s="1">
        <v>45722</v>
      </c>
      <c r="D236" t="s">
        <v>31</v>
      </c>
      <c r="E236" t="s">
        <v>154</v>
      </c>
      <c r="F236" s="3" t="s">
        <v>109</v>
      </c>
      <c r="G236" s="158"/>
      <c r="I236" s="161"/>
      <c r="J236" s="383">
        <v>13593.6</v>
      </c>
      <c r="K236" s="159">
        <f>K235+I236-J236</f>
        <v>-3266773.3099999982</v>
      </c>
    </row>
    <row r="237" spans="1:11" ht="15">
      <c r="A237" s="137" t="str">
        <f t="shared" si="3"/>
        <v>CAPNOMINA SUCURSALE4</v>
      </c>
      <c r="B237" t="s">
        <v>3498</v>
      </c>
      <c r="C237" s="1">
        <v>45722</v>
      </c>
      <c r="D237" t="s">
        <v>31</v>
      </c>
      <c r="E237" t="s">
        <v>154</v>
      </c>
      <c r="F237" s="3" t="s">
        <v>110</v>
      </c>
      <c r="G237" s="158"/>
      <c r="I237" s="161"/>
      <c r="J237" s="383">
        <v>17054.400000000001</v>
      </c>
      <c r="K237" s="159">
        <f>K236+I237-J237</f>
        <v>-3283827.7099999981</v>
      </c>
    </row>
    <row r="238" spans="1:11" ht="15">
      <c r="A238" s="137" t="str">
        <f t="shared" si="3"/>
        <v>CAPNOMINA SUCURSALE5</v>
      </c>
      <c r="B238" t="s">
        <v>3498</v>
      </c>
      <c r="C238" s="1">
        <v>45722</v>
      </c>
      <c r="D238" t="s">
        <v>31</v>
      </c>
      <c r="E238" t="s">
        <v>154</v>
      </c>
      <c r="F238" s="3" t="s">
        <v>111</v>
      </c>
      <c r="G238" s="158"/>
      <c r="I238" s="161"/>
      <c r="J238" s="383">
        <v>17159</v>
      </c>
      <c r="K238" s="159">
        <f>K237+I238-J238</f>
        <v>-3300986.7099999981</v>
      </c>
    </row>
    <row r="239" spans="1:11" ht="15">
      <c r="A239" s="137" t="str">
        <f t="shared" si="3"/>
        <v>CAPNOMINA SUCURSALE6</v>
      </c>
      <c r="B239" t="s">
        <v>3498</v>
      </c>
      <c r="C239" s="1">
        <v>45722</v>
      </c>
      <c r="D239" t="s">
        <v>31</v>
      </c>
      <c r="E239" t="s">
        <v>154</v>
      </c>
      <c r="F239" s="3" t="s">
        <v>112</v>
      </c>
      <c r="G239" s="158"/>
      <c r="I239" s="161"/>
      <c r="J239" s="383">
        <v>14312</v>
      </c>
      <c r="K239" s="159">
        <f>K238+I239-J239</f>
        <v>-3315298.7099999981</v>
      </c>
    </row>
    <row r="240" spans="1:11" ht="15">
      <c r="A240" s="137" t="str">
        <f t="shared" si="3"/>
        <v>CAPNOMINA SUCURSALE7</v>
      </c>
      <c r="B240" t="s">
        <v>3498</v>
      </c>
      <c r="C240" s="1">
        <v>45722</v>
      </c>
      <c r="D240" t="s">
        <v>31</v>
      </c>
      <c r="E240" t="s">
        <v>154</v>
      </c>
      <c r="F240" s="3" t="s">
        <v>113</v>
      </c>
      <c r="G240" s="158"/>
      <c r="I240" s="161"/>
      <c r="J240" s="383">
        <v>12531</v>
      </c>
      <c r="K240" s="159">
        <f>K239+I240-J240</f>
        <v>-3327829.7099999981</v>
      </c>
    </row>
    <row r="241" spans="1:11" ht="15">
      <c r="A241" s="137" t="str">
        <f t="shared" si="3"/>
        <v>CAPNOMINA SUCURSALE8</v>
      </c>
      <c r="B241" t="s">
        <v>3498</v>
      </c>
      <c r="C241" s="1">
        <v>45722</v>
      </c>
      <c r="D241" t="s">
        <v>31</v>
      </c>
      <c r="E241" t="s">
        <v>154</v>
      </c>
      <c r="F241" s="3" t="s">
        <v>114</v>
      </c>
      <c r="G241" s="158"/>
      <c r="I241" s="161"/>
      <c r="J241" s="383">
        <v>25940.400000000001</v>
      </c>
      <c r="K241" s="159">
        <f>K240+I241-J241</f>
        <v>-3353770.109999998</v>
      </c>
    </row>
    <row r="242" spans="1:11" ht="15">
      <c r="A242" s="137" t="str">
        <f t="shared" si="3"/>
        <v>ELINOMINA SUCURSALL1</v>
      </c>
      <c r="B242" t="s">
        <v>3498</v>
      </c>
      <c r="C242" s="1">
        <v>45722</v>
      </c>
      <c r="D242" t="s">
        <v>130</v>
      </c>
      <c r="E242" t="s">
        <v>154</v>
      </c>
      <c r="F242" s="3" t="s">
        <v>136</v>
      </c>
      <c r="G242" s="158"/>
      <c r="H242" s="71"/>
      <c r="I242" s="161"/>
      <c r="J242" s="383">
        <v>5492</v>
      </c>
      <c r="K242" s="159">
        <f>K241+I242-J242</f>
        <v>-3359262.109999998</v>
      </c>
    </row>
    <row r="243" spans="1:11" ht="15">
      <c r="A243" s="137" t="str">
        <f t="shared" si="3"/>
        <v>HRNOMINA ADMONHR</v>
      </c>
      <c r="B243" t="s">
        <v>3498</v>
      </c>
      <c r="C243" s="1">
        <v>45722</v>
      </c>
      <c r="D243" t="s">
        <v>29</v>
      </c>
      <c r="E243" t="s">
        <v>147</v>
      </c>
      <c r="F243" s="3" t="s">
        <v>29</v>
      </c>
      <c r="G243" s="158"/>
      <c r="H243" s="71"/>
      <c r="I243" s="161"/>
      <c r="J243" s="383">
        <v>27544.53</v>
      </c>
      <c r="K243" s="159">
        <f>K242+I243-J243</f>
        <v>-3386806.6399999978</v>
      </c>
    </row>
    <row r="244" spans="1:11" ht="15">
      <c r="A244" s="137" t="str">
        <f t="shared" si="3"/>
        <v>CAPNOMINA ADMONCAPRICHOS</v>
      </c>
      <c r="B244" t="s">
        <v>3498</v>
      </c>
      <c r="C244" s="1">
        <v>45722</v>
      </c>
      <c r="D244" t="s">
        <v>31</v>
      </c>
      <c r="E244" t="s">
        <v>147</v>
      </c>
      <c r="F244" s="12" t="s">
        <v>33</v>
      </c>
      <c r="G244" s="158"/>
      <c r="H244" s="71"/>
      <c r="I244" s="161"/>
      <c r="J244" s="383">
        <v>28308.37</v>
      </c>
      <c r="K244" s="159">
        <f>K243+I244-J244</f>
        <v>-3415115.0099999979</v>
      </c>
    </row>
    <row r="245" spans="1:11" ht="15">
      <c r="A245" s="137" t="str">
        <f t="shared" si="3"/>
        <v>SERVICIOSNOMINA SUCURSALCEDIS</v>
      </c>
      <c r="B245" t="s">
        <v>3498</v>
      </c>
      <c r="C245" s="1">
        <v>45722</v>
      </c>
      <c r="D245" t="s">
        <v>21</v>
      </c>
      <c r="E245" t="s">
        <v>154</v>
      </c>
      <c r="F245" s="12" t="s">
        <v>28</v>
      </c>
      <c r="G245" s="158"/>
      <c r="I245" s="161"/>
      <c r="J245" s="383">
        <v>62426.71</v>
      </c>
      <c r="K245" s="159">
        <f>K244+I245-J245</f>
        <v>-3477541.7199999979</v>
      </c>
    </row>
    <row r="246" spans="1:11" ht="15">
      <c r="A246" s="137" t="str">
        <f t="shared" si="3"/>
        <v>SERVICIOSNOMINA ADMONINVENTARIOS</v>
      </c>
      <c r="B246" t="s">
        <v>3498</v>
      </c>
      <c r="C246" s="1">
        <v>45722</v>
      </c>
      <c r="D246" t="s">
        <v>21</v>
      </c>
      <c r="E246" t="s">
        <v>147</v>
      </c>
      <c r="F246" s="12" t="s">
        <v>34</v>
      </c>
      <c r="G246" s="158"/>
      <c r="I246" s="161"/>
      <c r="J246" s="383">
        <v>2700</v>
      </c>
      <c r="K246" s="159">
        <f>K245+I246-J246</f>
        <v>-3480241.7199999979</v>
      </c>
    </row>
    <row r="247" spans="1:11" ht="15">
      <c r="A247" s="137" t="str">
        <f t="shared" si="3"/>
        <v>SERVICIOSNOMINA ADMONMANTENIMIENTO</v>
      </c>
      <c r="B247" t="s">
        <v>3498</v>
      </c>
      <c r="C247" s="1">
        <v>45722</v>
      </c>
      <c r="D247" t="s">
        <v>21</v>
      </c>
      <c r="E247" t="s">
        <v>147</v>
      </c>
      <c r="F247" s="12" t="s">
        <v>35</v>
      </c>
      <c r="G247" s="158"/>
      <c r="I247" s="161"/>
      <c r="J247" s="383">
        <v>6224.83</v>
      </c>
      <c r="K247" s="159">
        <f>K246+I247-J247</f>
        <v>-3486466.549999998</v>
      </c>
    </row>
    <row r="248" spans="1:11" ht="15">
      <c r="A248" s="137" t="str">
        <f t="shared" si="3"/>
        <v>SERVICIOSNOMINA ADMONCADENA DE SUMINISTROS</v>
      </c>
      <c r="B248" t="s">
        <v>3498</v>
      </c>
      <c r="C248" s="1">
        <v>45722</v>
      </c>
      <c r="D248" t="s">
        <v>21</v>
      </c>
      <c r="E248" t="s">
        <v>147</v>
      </c>
      <c r="F248" s="12" t="s">
        <v>134</v>
      </c>
      <c r="G248" s="158"/>
      <c r="I248" s="161"/>
      <c r="J248" s="383">
        <v>19418.599999999999</v>
      </c>
      <c r="K248" s="159">
        <f>K247+I248-J248</f>
        <v>-3505885.149999998</v>
      </c>
    </row>
    <row r="249" spans="1:11" ht="15">
      <c r="A249" s="137" t="str">
        <f t="shared" si="3"/>
        <v>SERVICIOSNOMINA ADMONSISTEMAS</v>
      </c>
      <c r="B249" t="s">
        <v>3498</v>
      </c>
      <c r="C249" s="1">
        <v>45722</v>
      </c>
      <c r="D249" t="s">
        <v>21</v>
      </c>
      <c r="E249" t="s">
        <v>147</v>
      </c>
      <c r="F249" s="12" t="s">
        <v>36</v>
      </c>
      <c r="G249" s="158"/>
      <c r="I249" s="161"/>
      <c r="J249" s="383">
        <v>12177.75</v>
      </c>
      <c r="K249" s="159">
        <f>K248+I249-J249</f>
        <v>-3518062.899999998</v>
      </c>
    </row>
    <row r="250" spans="1:11" ht="15">
      <c r="A250" s="137" t="str">
        <f t="shared" si="3"/>
        <v>SERVICIOSNOMINA ADMONCOMPRAS</v>
      </c>
      <c r="B250" t="s">
        <v>3498</v>
      </c>
      <c r="C250" s="1">
        <v>45722</v>
      </c>
      <c r="D250" t="s">
        <v>21</v>
      </c>
      <c r="E250" t="s">
        <v>147</v>
      </c>
      <c r="F250" s="12" t="s">
        <v>148</v>
      </c>
      <c r="G250" s="158"/>
      <c r="I250" s="161"/>
      <c r="J250" s="383">
        <v>20449.71</v>
      </c>
      <c r="K250" s="159">
        <f>K249+I250-J250</f>
        <v>-3538512.609999998</v>
      </c>
    </row>
    <row r="251" spans="1:11" ht="15">
      <c r="A251" s="137" t="str">
        <f t="shared" si="3"/>
        <v>FINANZASNOMINA ADMONCONTABILIDAD</v>
      </c>
      <c r="B251" t="s">
        <v>3498</v>
      </c>
      <c r="C251" s="1">
        <v>45722</v>
      </c>
      <c r="D251" t="s">
        <v>23</v>
      </c>
      <c r="E251" t="s">
        <v>147</v>
      </c>
      <c r="F251" s="12" t="s">
        <v>37</v>
      </c>
      <c r="G251" s="158"/>
      <c r="I251" s="161"/>
      <c r="J251" s="383">
        <v>14509.14</v>
      </c>
      <c r="K251" s="159">
        <f>K250+I251-J251</f>
        <v>-3553021.7499999981</v>
      </c>
    </row>
    <row r="252" spans="1:11" ht="15">
      <c r="A252" s="137" t="str">
        <f t="shared" si="3"/>
        <v>FINANZASNOMINA ADMONFINANZAS/LEGAL</v>
      </c>
      <c r="B252" t="s">
        <v>3498</v>
      </c>
      <c r="C252" s="1">
        <v>45722</v>
      </c>
      <c r="D252" t="s">
        <v>23</v>
      </c>
      <c r="E252" t="s">
        <v>147</v>
      </c>
      <c r="F252" s="12" t="s">
        <v>149</v>
      </c>
      <c r="G252" s="158"/>
      <c r="I252" s="158"/>
      <c r="J252" s="383">
        <v>10457.99</v>
      </c>
      <c r="K252" s="159">
        <f>K251+I252-J252</f>
        <v>-3563479.7399999984</v>
      </c>
    </row>
    <row r="253" spans="1:11" ht="15">
      <c r="A253" s="137" t="str">
        <f t="shared" si="3"/>
        <v>FINANZASNOMINA ADMONRECURSOS HUMANOS</v>
      </c>
      <c r="B253" t="s">
        <v>3498</v>
      </c>
      <c r="C253" s="1">
        <v>45722</v>
      </c>
      <c r="D253" t="s">
        <v>23</v>
      </c>
      <c r="E253" t="s">
        <v>147</v>
      </c>
      <c r="F253" s="12" t="s">
        <v>125</v>
      </c>
      <c r="G253" s="158"/>
      <c r="I253" s="158"/>
      <c r="J253" s="383">
        <v>10360.379999999999</v>
      </c>
      <c r="K253" s="159">
        <f>K252+I253-J253</f>
        <v>-3573840.1199999982</v>
      </c>
    </row>
    <row r="254" spans="1:11" ht="15">
      <c r="A254" s="137" t="str">
        <f t="shared" si="3"/>
        <v>FINANZASNOMINA ADMONTESORERIA</v>
      </c>
      <c r="B254" t="s">
        <v>3498</v>
      </c>
      <c r="C254" s="1">
        <v>45722</v>
      </c>
      <c r="D254" t="s">
        <v>23</v>
      </c>
      <c r="E254" t="s">
        <v>147</v>
      </c>
      <c r="F254" s="12" t="s">
        <v>38</v>
      </c>
      <c r="G254" s="158"/>
      <c r="I254" s="161"/>
      <c r="J254" s="383">
        <v>11475</v>
      </c>
      <c r="K254" s="159">
        <f>K253+I254-J254</f>
        <v>-3585315.1199999982</v>
      </c>
    </row>
    <row r="255" spans="1:11" ht="15">
      <c r="A255" s="137" t="str">
        <f t="shared" si="3"/>
        <v>FINANZASNOMINA ADMONHBG FINANZAS</v>
      </c>
      <c r="B255" t="s">
        <v>3498</v>
      </c>
      <c r="C255" s="1">
        <v>45722</v>
      </c>
      <c r="D255" t="s">
        <v>23</v>
      </c>
      <c r="E255" t="s">
        <v>147</v>
      </c>
      <c r="F255" s="12" t="s">
        <v>150</v>
      </c>
      <c r="G255" s="158"/>
      <c r="I255" s="161"/>
      <c r="J255" s="383">
        <v>3057</v>
      </c>
      <c r="K255" s="159">
        <f>K254+I255-J255</f>
        <v>-3588372.1199999982</v>
      </c>
    </row>
    <row r="256" spans="1:11" ht="15">
      <c r="A256" s="137" t="str">
        <f t="shared" si="3"/>
        <v>SGENOMINA ADMONGESTION EMPRESARIAL</v>
      </c>
      <c r="B256" t="s">
        <v>3498</v>
      </c>
      <c r="C256" s="1">
        <v>45722</v>
      </c>
      <c r="D256" t="s">
        <v>39</v>
      </c>
      <c r="E256" t="s">
        <v>147</v>
      </c>
      <c r="F256" s="12" t="s">
        <v>40</v>
      </c>
      <c r="G256" s="158"/>
      <c r="I256" s="161"/>
      <c r="J256" s="383">
        <v>21501.4</v>
      </c>
      <c r="K256" s="159">
        <f>K255+I256-J256</f>
        <v>-3609873.5199999982</v>
      </c>
    </row>
    <row r="257" spans="1:11" ht="15">
      <c r="A257" s="137" t="str">
        <f t="shared" si="3"/>
        <v>DENOMINA ADMONDIRECCION</v>
      </c>
      <c r="B257" t="s">
        <v>3498</v>
      </c>
      <c r="C257" s="1">
        <v>45722</v>
      </c>
      <c r="D257" t="s">
        <v>41</v>
      </c>
      <c r="E257" t="s">
        <v>147</v>
      </c>
      <c r="F257" s="12" t="s">
        <v>42</v>
      </c>
      <c r="G257" s="158"/>
      <c r="I257" s="161"/>
      <c r="J257" s="383">
        <v>6000</v>
      </c>
      <c r="K257" s="159">
        <f>K256+I257-J257</f>
        <v>-3615873.5199999982</v>
      </c>
    </row>
    <row r="258" spans="1:11" ht="15">
      <c r="A258" s="137" t="str">
        <f t="shared" si="3"/>
        <v>FINANZASNOMINA ADMONHBG FINANZAS</v>
      </c>
      <c r="B258" t="s">
        <v>3498</v>
      </c>
      <c r="C258" s="1">
        <v>45722</v>
      </c>
      <c r="D258" t="s">
        <v>23</v>
      </c>
      <c r="E258" t="s">
        <v>147</v>
      </c>
      <c r="F258" s="12" t="s">
        <v>150</v>
      </c>
      <c r="G258" s="158"/>
      <c r="I258" s="161"/>
      <c r="J258" s="383">
        <v>10950</v>
      </c>
      <c r="K258" s="159">
        <f>K257+I258-J258</f>
        <v>-3626823.5199999982</v>
      </c>
    </row>
    <row r="259" spans="1:11" ht="15">
      <c r="A259" s="137" t="str">
        <f t="shared" si="3"/>
        <v>HRNOMINA ADMONHR</v>
      </c>
      <c r="B259" t="s">
        <v>3498</v>
      </c>
      <c r="C259" s="1">
        <v>45722</v>
      </c>
      <c r="D259" t="s">
        <v>29</v>
      </c>
      <c r="E259" t="s">
        <v>147</v>
      </c>
      <c r="F259" s="3" t="s">
        <v>29</v>
      </c>
      <c r="G259" s="158"/>
      <c r="I259" s="161"/>
      <c r="J259" s="383">
        <v>5500</v>
      </c>
      <c r="K259" s="159">
        <f>K258+I259-J259</f>
        <v>-3632323.5199999982</v>
      </c>
    </row>
    <row r="260" spans="1:11" ht="15">
      <c r="A260" s="137" t="str">
        <f t="shared" ref="A260:A323" si="4">D260&amp;E260&amp;F260</f>
        <v>CAPNOMINA ADMONCAPRICHOS</v>
      </c>
      <c r="B260" t="s">
        <v>3498</v>
      </c>
      <c r="C260" s="1">
        <v>45722</v>
      </c>
      <c r="D260" t="s">
        <v>31</v>
      </c>
      <c r="E260" t="s">
        <v>147</v>
      </c>
      <c r="F260" s="12" t="s">
        <v>33</v>
      </c>
      <c r="G260" s="158"/>
      <c r="I260" s="161"/>
      <c r="J260" s="383">
        <v>3700</v>
      </c>
      <c r="K260" s="159">
        <f>K259+I260-J260</f>
        <v>-3636023.5199999982</v>
      </c>
    </row>
    <row r="261" spans="1:11" ht="15">
      <c r="A261" s="137" t="str">
        <f t="shared" si="4"/>
        <v>SGENOMINA ADMONGESTION EMPRESARIAL</v>
      </c>
      <c r="B261" t="s">
        <v>3498</v>
      </c>
      <c r="C261" s="1">
        <v>45722</v>
      </c>
      <c r="D261" t="s">
        <v>39</v>
      </c>
      <c r="E261" t="s">
        <v>147</v>
      </c>
      <c r="F261" s="12" t="s">
        <v>40</v>
      </c>
      <c r="G261" s="158"/>
      <c r="I261" s="161"/>
      <c r="J261" s="383">
        <v>2750</v>
      </c>
      <c r="K261" s="159">
        <f>K260+I261-J261</f>
        <v>-3638773.5199999982</v>
      </c>
    </row>
    <row r="262" spans="1:11" ht="15">
      <c r="A262" s="137" t="str">
        <f t="shared" si="4"/>
        <v>SERVICIOSNOMINA ADMONSERVICIOS</v>
      </c>
      <c r="B262" t="s">
        <v>3498</v>
      </c>
      <c r="C262" s="1">
        <v>45722</v>
      </c>
      <c r="D262" t="s">
        <v>21</v>
      </c>
      <c r="E262" t="s">
        <v>147</v>
      </c>
      <c r="F262" s="12" t="s">
        <v>21</v>
      </c>
      <c r="G262" s="158"/>
      <c r="I262" s="161"/>
      <c r="J262" s="383">
        <v>4750</v>
      </c>
      <c r="K262" s="159">
        <f>K261+I262-J262</f>
        <v>-3643523.5199999982</v>
      </c>
    </row>
    <row r="263" spans="1:11" ht="15">
      <c r="A263" s="137" t="str">
        <f t="shared" si="4"/>
        <v>DENOMINA ADMONDIRECCION</v>
      </c>
      <c r="B263" t="s">
        <v>3498</v>
      </c>
      <c r="C263" s="1">
        <v>45722</v>
      </c>
      <c r="D263" t="s">
        <v>41</v>
      </c>
      <c r="E263" t="s">
        <v>147</v>
      </c>
      <c r="F263" s="12" t="s">
        <v>42</v>
      </c>
      <c r="G263" s="158"/>
      <c r="I263" s="161"/>
      <c r="J263" s="383">
        <v>5750</v>
      </c>
      <c r="K263" s="159">
        <f>K262+I263-J263</f>
        <v>-3649273.5199999982</v>
      </c>
    </row>
    <row r="264" spans="1:11" ht="15">
      <c r="A264" s="137" t="str">
        <f t="shared" si="4"/>
        <v>MMNOMINA ADMONMARKET MAX</v>
      </c>
      <c r="B264" t="s">
        <v>3498</v>
      </c>
      <c r="C264" s="1">
        <v>45722</v>
      </c>
      <c r="D264" t="s">
        <v>45</v>
      </c>
      <c r="E264" t="s">
        <v>147</v>
      </c>
      <c r="F264" s="12" t="s">
        <v>46</v>
      </c>
      <c r="G264" s="158"/>
      <c r="I264" s="161"/>
      <c r="J264" s="383">
        <v>2000</v>
      </c>
      <c r="K264" s="159">
        <f>K263+I264-J264</f>
        <v>-3651273.5199999982</v>
      </c>
    </row>
    <row r="265" spans="1:11" ht="15">
      <c r="A265" s="137" t="str">
        <f t="shared" si="4"/>
        <v>SERVICIOSVACACIONES/FINIQUITOSSERVICIOS</v>
      </c>
      <c r="B265" t="s">
        <v>3498</v>
      </c>
      <c r="C265" s="1">
        <v>45722</v>
      </c>
      <c r="D265" t="s">
        <v>21</v>
      </c>
      <c r="E265" t="s">
        <v>190</v>
      </c>
      <c r="F265" s="12" t="s">
        <v>21</v>
      </c>
      <c r="G265" s="158"/>
      <c r="I265" s="161"/>
      <c r="J265" s="383">
        <v>10214.290000000001</v>
      </c>
      <c r="K265" s="159">
        <f>K264+I265-J265</f>
        <v>-3661487.8099999982</v>
      </c>
    </row>
    <row r="266" spans="1:11" ht="15">
      <c r="A266" s="137" t="str">
        <f t="shared" si="4"/>
        <v>HRNOMINA SUCURSALA1</v>
      </c>
      <c r="B266" t="s">
        <v>3498</v>
      </c>
      <c r="C266" s="1">
        <v>45729</v>
      </c>
      <c r="D266" t="s">
        <v>29</v>
      </c>
      <c r="E266" t="s">
        <v>154</v>
      </c>
      <c r="F266" s="3" t="s">
        <v>88</v>
      </c>
      <c r="G266" s="158"/>
      <c r="I266" s="161"/>
      <c r="J266" s="383">
        <v>12887.4</v>
      </c>
      <c r="K266" s="159">
        <f>K265+I266-J266</f>
        <v>-3674375.2099999981</v>
      </c>
    </row>
    <row r="267" spans="1:11" ht="15">
      <c r="A267" s="137" t="str">
        <f t="shared" si="4"/>
        <v>HRNOMINA SUCURSALA2</v>
      </c>
      <c r="B267" t="s">
        <v>3498</v>
      </c>
      <c r="C267" s="1">
        <v>45729</v>
      </c>
      <c r="D267" t="s">
        <v>29</v>
      </c>
      <c r="E267" t="s">
        <v>154</v>
      </c>
      <c r="F267" s="3" t="s">
        <v>89</v>
      </c>
      <c r="G267" s="158"/>
      <c r="I267" s="161"/>
      <c r="J267" s="383">
        <v>13883.8</v>
      </c>
      <c r="K267" s="159">
        <f>K266+I267-J267</f>
        <v>-3688259.0099999979</v>
      </c>
    </row>
    <row r="268" spans="1:11" ht="15">
      <c r="A268" s="137" t="str">
        <f t="shared" si="4"/>
        <v>HRNOMINA SUCURSALA3</v>
      </c>
      <c r="B268" t="s">
        <v>3498</v>
      </c>
      <c r="C268" s="1">
        <v>45729</v>
      </c>
      <c r="D268" t="s">
        <v>29</v>
      </c>
      <c r="E268" t="s">
        <v>154</v>
      </c>
      <c r="F268" s="3" t="s">
        <v>90</v>
      </c>
      <c r="G268" s="158"/>
      <c r="I268" s="161"/>
      <c r="J268" s="383">
        <v>9628</v>
      </c>
      <c r="K268" s="159">
        <f>K267+I268-J268</f>
        <v>-3697887.0099999979</v>
      </c>
    </row>
    <row r="269" spans="1:11" ht="15">
      <c r="A269" s="137" t="str">
        <f t="shared" si="4"/>
        <v>HRNOMINA SUCURSALA4</v>
      </c>
      <c r="B269" t="s">
        <v>3498</v>
      </c>
      <c r="C269" s="1">
        <v>45729</v>
      </c>
      <c r="D269" t="s">
        <v>29</v>
      </c>
      <c r="E269" t="s">
        <v>154</v>
      </c>
      <c r="F269" s="3" t="s">
        <v>91</v>
      </c>
      <c r="G269" s="158"/>
      <c r="I269" s="161"/>
      <c r="J269" s="383">
        <v>9428.7999999999993</v>
      </c>
      <c r="K269" s="159">
        <f>K268+I269-J269</f>
        <v>-3707315.8099999977</v>
      </c>
    </row>
    <row r="270" spans="1:11" ht="15">
      <c r="A270" s="137" t="str">
        <f t="shared" si="4"/>
        <v>HRNOMINA SUCURSALA5</v>
      </c>
      <c r="B270" t="s">
        <v>3498</v>
      </c>
      <c r="C270" s="1">
        <v>45729</v>
      </c>
      <c r="D270" t="s">
        <v>29</v>
      </c>
      <c r="E270" t="s">
        <v>154</v>
      </c>
      <c r="F270" s="3" t="s">
        <v>92</v>
      </c>
      <c r="G270" s="158"/>
      <c r="I270" s="161"/>
      <c r="J270" s="383">
        <v>9658.2099999999991</v>
      </c>
      <c r="K270" s="159">
        <f>K269+I270-J270</f>
        <v>-3716974.0199999977</v>
      </c>
    </row>
    <row r="271" spans="1:11" ht="15">
      <c r="A271" s="137" t="str">
        <f t="shared" si="4"/>
        <v>HRNOMINA SUCURSALA6</v>
      </c>
      <c r="B271" t="s">
        <v>3498</v>
      </c>
      <c r="C271" s="1">
        <v>45729</v>
      </c>
      <c r="D271" t="s">
        <v>29</v>
      </c>
      <c r="E271" t="s">
        <v>154</v>
      </c>
      <c r="F271" s="3" t="s">
        <v>93</v>
      </c>
      <c r="G271" s="158"/>
      <c r="I271" s="161"/>
      <c r="J271" s="383">
        <v>14285.35</v>
      </c>
      <c r="K271" s="159">
        <f>K270+I271-J271</f>
        <v>-3731259.3699999978</v>
      </c>
    </row>
    <row r="272" spans="1:11" ht="15">
      <c r="A272" s="137" t="str">
        <f t="shared" si="4"/>
        <v>HRNOMINA SUCURSALA8</v>
      </c>
      <c r="B272" t="s">
        <v>3498</v>
      </c>
      <c r="C272" s="1">
        <v>45729</v>
      </c>
      <c r="D272" t="s">
        <v>29</v>
      </c>
      <c r="E272" t="s">
        <v>154</v>
      </c>
      <c r="F272" s="3" t="s">
        <v>94</v>
      </c>
      <c r="G272" s="158"/>
      <c r="I272" s="161"/>
      <c r="J272" s="383">
        <v>17275.2</v>
      </c>
      <c r="K272" s="159">
        <f>K271+I272-J272</f>
        <v>-3748534.569999998</v>
      </c>
    </row>
    <row r="273" spans="1:11" ht="15">
      <c r="A273" s="137" t="str">
        <f t="shared" si="4"/>
        <v>HRNOMINA SUCURSALA9</v>
      </c>
      <c r="B273" t="s">
        <v>3498</v>
      </c>
      <c r="C273" s="1">
        <v>45729</v>
      </c>
      <c r="D273" t="s">
        <v>29</v>
      </c>
      <c r="E273" t="s">
        <v>154</v>
      </c>
      <c r="F273" s="3" t="s">
        <v>95</v>
      </c>
      <c r="G273" s="158"/>
      <c r="I273" s="161"/>
      <c r="J273" s="383">
        <v>11556.09</v>
      </c>
      <c r="K273" s="159">
        <f>K272+I273-J273</f>
        <v>-3760090.6599999978</v>
      </c>
    </row>
    <row r="274" spans="1:11" ht="15">
      <c r="A274" s="137" t="str">
        <f t="shared" si="4"/>
        <v>HRNOMINA SUCURSALA10</v>
      </c>
      <c r="B274" t="s">
        <v>3498</v>
      </c>
      <c r="C274" s="1">
        <v>45729</v>
      </c>
      <c r="D274" t="s">
        <v>29</v>
      </c>
      <c r="E274" t="s">
        <v>154</v>
      </c>
      <c r="F274" s="3" t="s">
        <v>96</v>
      </c>
      <c r="G274" s="158"/>
      <c r="I274" s="161"/>
      <c r="J274" s="383">
        <v>15913.4</v>
      </c>
      <c r="K274" s="159">
        <f>K273+I274-J274</f>
        <v>-3776004.0599999977</v>
      </c>
    </row>
    <row r="275" spans="1:11" ht="15">
      <c r="A275" s="137" t="str">
        <f t="shared" si="4"/>
        <v>HRNOMINA SUCURSALA11</v>
      </c>
      <c r="B275" t="s">
        <v>3498</v>
      </c>
      <c r="C275" s="1">
        <v>45729</v>
      </c>
      <c r="D275" t="s">
        <v>29</v>
      </c>
      <c r="E275" t="s">
        <v>154</v>
      </c>
      <c r="F275" s="62" t="s">
        <v>97</v>
      </c>
      <c r="G275" s="158"/>
      <c r="I275" s="161"/>
      <c r="J275" s="383">
        <v>13100</v>
      </c>
      <c r="K275" s="159">
        <f>K274+I275-J275</f>
        <v>-3789104.0599999977</v>
      </c>
    </row>
    <row r="276" spans="1:11" ht="15">
      <c r="A276" s="137" t="str">
        <f t="shared" si="4"/>
        <v>HRNOMINA SUCURSALA12</v>
      </c>
      <c r="B276" t="s">
        <v>3498</v>
      </c>
      <c r="C276" s="1">
        <v>45729</v>
      </c>
      <c r="D276" t="s">
        <v>29</v>
      </c>
      <c r="E276" t="s">
        <v>154</v>
      </c>
      <c r="F276" s="3" t="s">
        <v>98</v>
      </c>
      <c r="G276" s="158"/>
      <c r="I276" s="161"/>
      <c r="J276" s="383">
        <v>16344</v>
      </c>
      <c r="K276" s="159">
        <f>K275+I276-J276</f>
        <v>-3805448.0599999977</v>
      </c>
    </row>
    <row r="277" spans="1:11" ht="15">
      <c r="A277" s="137" t="str">
        <f t="shared" si="4"/>
        <v>HRNOMINA SUCURSALA14</v>
      </c>
      <c r="B277" t="s">
        <v>3498</v>
      </c>
      <c r="C277" s="1">
        <v>45729</v>
      </c>
      <c r="D277" t="s">
        <v>29</v>
      </c>
      <c r="E277" t="s">
        <v>154</v>
      </c>
      <c r="F277" s="3" t="s">
        <v>99</v>
      </c>
      <c r="G277" s="158"/>
      <c r="I277" s="161"/>
      <c r="J277" s="383">
        <v>13059.8</v>
      </c>
      <c r="K277" s="159">
        <f>K276+I277-J277</f>
        <v>-3818507.8599999975</v>
      </c>
    </row>
    <row r="278" spans="1:11" ht="15">
      <c r="A278" s="137" t="str">
        <f t="shared" si="4"/>
        <v>HRNOMINA SUCURSALA15</v>
      </c>
      <c r="B278" t="s">
        <v>3498</v>
      </c>
      <c r="C278" s="1">
        <v>45729</v>
      </c>
      <c r="D278" t="s">
        <v>29</v>
      </c>
      <c r="E278" t="s">
        <v>154</v>
      </c>
      <c r="F278" s="3" t="s">
        <v>100</v>
      </c>
      <c r="G278" s="158"/>
      <c r="I278" s="161"/>
      <c r="J278" s="383">
        <v>11390.4</v>
      </c>
      <c r="K278" s="159">
        <f>K277+I278-J278</f>
        <v>-3829898.2599999974</v>
      </c>
    </row>
    <row r="279" spans="1:11" ht="15">
      <c r="A279" s="137" t="str">
        <f t="shared" si="4"/>
        <v>HRNOMINA SUCURSALA16</v>
      </c>
      <c r="B279" t="s">
        <v>3498</v>
      </c>
      <c r="C279" s="1">
        <v>45729</v>
      </c>
      <c r="D279" t="s">
        <v>29</v>
      </c>
      <c r="E279" t="s">
        <v>154</v>
      </c>
      <c r="F279" s="3" t="s">
        <v>101</v>
      </c>
      <c r="G279" s="158"/>
      <c r="I279" s="161"/>
      <c r="J279" s="383">
        <v>13263.29</v>
      </c>
      <c r="K279" s="159">
        <f>K278+I279-J279</f>
        <v>-3843161.5499999975</v>
      </c>
    </row>
    <row r="280" spans="1:11" ht="15">
      <c r="A280" s="137" t="str">
        <f t="shared" si="4"/>
        <v>HRNOMINA SUCURSALA17</v>
      </c>
      <c r="B280" t="s">
        <v>3498</v>
      </c>
      <c r="C280" s="1">
        <v>45729</v>
      </c>
      <c r="D280" t="s">
        <v>29</v>
      </c>
      <c r="E280" t="s">
        <v>154</v>
      </c>
      <c r="F280" s="3" t="s">
        <v>102</v>
      </c>
      <c r="G280" s="158"/>
      <c r="I280" s="161"/>
      <c r="J280" s="383">
        <v>9104.7999999999993</v>
      </c>
      <c r="K280" s="159">
        <f>K279+I280-J280</f>
        <v>-3852266.3499999973</v>
      </c>
    </row>
    <row r="281" spans="1:11" ht="15">
      <c r="A281" s="137" t="str">
        <f t="shared" si="4"/>
        <v>HRNOMINA SUCURSALA18</v>
      </c>
      <c r="B281" t="s">
        <v>3498</v>
      </c>
      <c r="C281" s="1">
        <v>45729</v>
      </c>
      <c r="D281" t="s">
        <v>29</v>
      </c>
      <c r="E281" t="s">
        <v>154</v>
      </c>
      <c r="F281" s="3" t="s">
        <v>103</v>
      </c>
      <c r="G281" s="158"/>
      <c r="I281" s="161"/>
      <c r="J281" s="383">
        <v>11376.6</v>
      </c>
      <c r="K281" s="159">
        <f>K280+I281-J281</f>
        <v>-3863642.9499999974</v>
      </c>
    </row>
    <row r="282" spans="1:11" ht="15">
      <c r="A282" s="137" t="str">
        <f t="shared" si="4"/>
        <v>HRNOMINA SUCURSALA22</v>
      </c>
      <c r="B282" t="s">
        <v>3498</v>
      </c>
      <c r="C282" s="1">
        <v>45729</v>
      </c>
      <c r="D282" t="s">
        <v>29</v>
      </c>
      <c r="E282" t="s">
        <v>154</v>
      </c>
      <c r="F282" s="3" t="s">
        <v>104</v>
      </c>
      <c r="G282" s="158"/>
      <c r="I282" s="161"/>
      <c r="J282" s="383">
        <v>11862.8</v>
      </c>
      <c r="K282" s="159">
        <f>K281+I282-J282</f>
        <v>-3875505.7499999972</v>
      </c>
    </row>
    <row r="283" spans="1:11" ht="15">
      <c r="A283" s="137" t="str">
        <f t="shared" si="4"/>
        <v>HRNOMINA SUCURSALA23</v>
      </c>
      <c r="B283" t="s">
        <v>3498</v>
      </c>
      <c r="C283" s="1">
        <v>45729</v>
      </c>
      <c r="D283" t="s">
        <v>29</v>
      </c>
      <c r="E283" t="s">
        <v>154</v>
      </c>
      <c r="F283" s="3" t="s">
        <v>105</v>
      </c>
      <c r="G283" s="158"/>
      <c r="H283" s="98"/>
      <c r="I283" s="161"/>
      <c r="J283" s="383">
        <v>8060.4</v>
      </c>
      <c r="K283" s="159">
        <f>K282+I283-J283</f>
        <v>-3883566.1499999971</v>
      </c>
    </row>
    <row r="284" spans="1:11" ht="15">
      <c r="A284" s="137" t="str">
        <f t="shared" si="4"/>
        <v>HRNOMINA SUCURSALA24</v>
      </c>
      <c r="B284" t="s">
        <v>3498</v>
      </c>
      <c r="C284" s="1">
        <v>45729</v>
      </c>
      <c r="D284" t="s">
        <v>29</v>
      </c>
      <c r="E284" t="s">
        <v>154</v>
      </c>
      <c r="F284" s="3" t="s">
        <v>106</v>
      </c>
      <c r="G284" s="158"/>
      <c r="H284" s="98"/>
      <c r="I284" s="161"/>
      <c r="J284" s="383">
        <v>15238.4</v>
      </c>
      <c r="K284" s="159">
        <f>K283+I284-J284</f>
        <v>-3898804.549999997</v>
      </c>
    </row>
    <row r="285" spans="1:11" ht="15">
      <c r="A285" s="137" t="str">
        <f t="shared" si="4"/>
        <v>CAPNOMINA SUCURSALE1</v>
      </c>
      <c r="B285" t="s">
        <v>3498</v>
      </c>
      <c r="C285" s="1">
        <v>45729</v>
      </c>
      <c r="D285" t="s">
        <v>31</v>
      </c>
      <c r="E285" t="s">
        <v>154</v>
      </c>
      <c r="F285" s="3" t="s">
        <v>107</v>
      </c>
      <c r="G285" s="158"/>
      <c r="I285" s="161"/>
      <c r="J285" s="383">
        <v>14472</v>
      </c>
      <c r="K285" s="159">
        <f>K284+I285-J285</f>
        <v>-3913276.549999997</v>
      </c>
    </row>
    <row r="286" spans="1:11" ht="15">
      <c r="A286" s="137" t="str">
        <f t="shared" si="4"/>
        <v>CAPNOMINA SUCURSALE2</v>
      </c>
      <c r="B286" t="s">
        <v>3498</v>
      </c>
      <c r="C286" s="1">
        <v>45729</v>
      </c>
      <c r="D286" t="s">
        <v>31</v>
      </c>
      <c r="E286" t="s">
        <v>154</v>
      </c>
      <c r="F286" s="3" t="s">
        <v>108</v>
      </c>
      <c r="G286" s="158"/>
      <c r="I286" s="161"/>
      <c r="J286" s="383">
        <v>19156.8</v>
      </c>
      <c r="K286" s="159">
        <f>K285+I286-J286</f>
        <v>-3932433.3499999968</v>
      </c>
    </row>
    <row r="287" spans="1:11" ht="15">
      <c r="A287" s="137" t="str">
        <f t="shared" si="4"/>
        <v>CAPNOMINA SUCURSALE3</v>
      </c>
      <c r="B287" t="s">
        <v>3498</v>
      </c>
      <c r="C287" s="1">
        <v>45729</v>
      </c>
      <c r="D287" t="s">
        <v>31</v>
      </c>
      <c r="E287" t="s">
        <v>154</v>
      </c>
      <c r="F287" s="3" t="s">
        <v>109</v>
      </c>
      <c r="G287" s="158"/>
      <c r="I287" s="161"/>
      <c r="J287" s="383">
        <v>13588.8</v>
      </c>
      <c r="K287" s="159">
        <f>K286+I287-J287</f>
        <v>-3946022.1499999966</v>
      </c>
    </row>
    <row r="288" spans="1:11" ht="15">
      <c r="A288" s="137" t="str">
        <f t="shared" si="4"/>
        <v>CAPNOMINA SUCURSALE4</v>
      </c>
      <c r="B288" t="s">
        <v>3498</v>
      </c>
      <c r="C288" s="1">
        <v>45729</v>
      </c>
      <c r="D288" t="s">
        <v>31</v>
      </c>
      <c r="E288" t="s">
        <v>154</v>
      </c>
      <c r="F288" s="3" t="s">
        <v>110</v>
      </c>
      <c r="G288" s="158"/>
      <c r="I288" s="161"/>
      <c r="J288" s="383">
        <v>15830.8</v>
      </c>
      <c r="K288" s="159">
        <f>K287+I288-J288</f>
        <v>-3961852.9499999965</v>
      </c>
    </row>
    <row r="289" spans="1:11" ht="15">
      <c r="A289" s="137" t="str">
        <f t="shared" si="4"/>
        <v>CAPNOMINA SUCURSALE5</v>
      </c>
      <c r="B289" t="s">
        <v>3498</v>
      </c>
      <c r="C289" s="1">
        <v>45729</v>
      </c>
      <c r="D289" t="s">
        <v>31</v>
      </c>
      <c r="E289" t="s">
        <v>154</v>
      </c>
      <c r="F289" s="3" t="s">
        <v>111</v>
      </c>
      <c r="G289" s="158"/>
      <c r="I289" s="161"/>
      <c r="J289" s="383">
        <v>20260.400000000001</v>
      </c>
      <c r="K289" s="159">
        <f>K288+I289-J289</f>
        <v>-3982113.3499999964</v>
      </c>
    </row>
    <row r="290" spans="1:11" ht="15">
      <c r="A290" s="137" t="str">
        <f t="shared" si="4"/>
        <v>CAPNOMINA SUCURSALE6</v>
      </c>
      <c r="B290" t="s">
        <v>3498</v>
      </c>
      <c r="C290" s="1">
        <v>45729</v>
      </c>
      <c r="D290" t="s">
        <v>31</v>
      </c>
      <c r="E290" t="s">
        <v>154</v>
      </c>
      <c r="F290" s="3" t="s">
        <v>112</v>
      </c>
      <c r="G290" s="158"/>
      <c r="I290" s="161"/>
      <c r="J290" s="383">
        <v>13067</v>
      </c>
      <c r="K290" s="159">
        <f>K289+I290-J290</f>
        <v>-3995180.3499999964</v>
      </c>
    </row>
    <row r="291" spans="1:11" ht="15">
      <c r="A291" s="137" t="str">
        <f t="shared" si="4"/>
        <v>CAPNOMINA SUCURSALE7</v>
      </c>
      <c r="B291" t="s">
        <v>3498</v>
      </c>
      <c r="C291" s="1">
        <v>45729</v>
      </c>
      <c r="D291" t="s">
        <v>31</v>
      </c>
      <c r="E291" t="s">
        <v>154</v>
      </c>
      <c r="F291" s="3" t="s">
        <v>113</v>
      </c>
      <c r="G291" s="158"/>
      <c r="I291" s="161"/>
      <c r="J291" s="383">
        <v>11567.6</v>
      </c>
      <c r="K291" s="159">
        <f>K290+I291-J291</f>
        <v>-4006747.9499999965</v>
      </c>
    </row>
    <row r="292" spans="1:11" ht="15">
      <c r="A292" s="137" t="str">
        <f t="shared" si="4"/>
        <v>CAPNOMINA SUCURSALE8</v>
      </c>
      <c r="B292" t="s">
        <v>3498</v>
      </c>
      <c r="C292" s="1">
        <v>45729</v>
      </c>
      <c r="D292" t="s">
        <v>31</v>
      </c>
      <c r="E292" t="s">
        <v>154</v>
      </c>
      <c r="F292" s="3" t="s">
        <v>114</v>
      </c>
      <c r="G292" s="158"/>
      <c r="I292" s="161"/>
      <c r="J292" s="383">
        <v>25444.2</v>
      </c>
      <c r="K292" s="159">
        <f>K291+I292-J292</f>
        <v>-4032192.1499999966</v>
      </c>
    </row>
    <row r="293" spans="1:11" ht="15">
      <c r="A293" s="137" t="str">
        <f t="shared" si="4"/>
        <v>CAPNOMINA SUCURSALE9</v>
      </c>
      <c r="B293" t="s">
        <v>3498</v>
      </c>
      <c r="C293" s="1">
        <v>45729</v>
      </c>
      <c r="D293" t="s">
        <v>31</v>
      </c>
      <c r="E293" t="s">
        <v>154</v>
      </c>
      <c r="F293" s="3" t="s">
        <v>116</v>
      </c>
      <c r="G293" s="158"/>
      <c r="I293" s="161"/>
      <c r="J293" s="383">
        <v>4978</v>
      </c>
      <c r="K293" s="159">
        <f>K292+I293-J293</f>
        <v>-4037170.1499999966</v>
      </c>
    </row>
    <row r="294" spans="1:11" ht="15">
      <c r="A294" s="137" t="str">
        <f t="shared" si="4"/>
        <v>ELINOMINA SUCURSALL1</v>
      </c>
      <c r="B294" t="s">
        <v>3498</v>
      </c>
      <c r="C294" s="1">
        <v>45729</v>
      </c>
      <c r="D294" t="s">
        <v>130</v>
      </c>
      <c r="E294" t="s">
        <v>154</v>
      </c>
      <c r="F294" s="3" t="s">
        <v>136</v>
      </c>
      <c r="G294" s="158"/>
      <c r="I294" s="161"/>
      <c r="J294" s="383">
        <v>8928.7999999999993</v>
      </c>
      <c r="K294" s="159">
        <f>K293+I294-J294</f>
        <v>-4046098.9499999965</v>
      </c>
    </row>
    <row r="295" spans="1:11" ht="15">
      <c r="A295" s="137" t="str">
        <f t="shared" si="4"/>
        <v>HRNOMINA ADMONHR</v>
      </c>
      <c r="B295" t="s">
        <v>3498</v>
      </c>
      <c r="C295" s="1">
        <v>45729</v>
      </c>
      <c r="D295" t="s">
        <v>29</v>
      </c>
      <c r="E295" t="s">
        <v>147</v>
      </c>
      <c r="F295" s="3" t="s">
        <v>29</v>
      </c>
      <c r="G295" s="158"/>
      <c r="I295" s="161"/>
      <c r="J295" s="383">
        <v>28445.01</v>
      </c>
      <c r="K295" s="159">
        <f>K294+I295-J295</f>
        <v>-4074543.9599999962</v>
      </c>
    </row>
    <row r="296" spans="1:11" ht="15">
      <c r="A296" s="137" t="str">
        <f t="shared" si="4"/>
        <v>CAPNOMINA ADMONCAPRICHOS</v>
      </c>
      <c r="B296" t="s">
        <v>3498</v>
      </c>
      <c r="C296" s="1">
        <v>45729</v>
      </c>
      <c r="D296" t="s">
        <v>31</v>
      </c>
      <c r="E296" t="s">
        <v>147</v>
      </c>
      <c r="F296" s="12" t="s">
        <v>33</v>
      </c>
      <c r="G296" s="158"/>
      <c r="I296" s="161"/>
      <c r="J296" s="383">
        <v>28808.91</v>
      </c>
      <c r="K296" s="159">
        <f>K295+I296-J296</f>
        <v>-4103352.8699999964</v>
      </c>
    </row>
    <row r="297" spans="1:11" ht="15">
      <c r="A297" s="137" t="str">
        <f t="shared" si="4"/>
        <v>SERVICIOSNOMINA SUCURSALCEDIS</v>
      </c>
      <c r="B297" t="s">
        <v>3498</v>
      </c>
      <c r="C297" s="1">
        <v>45729</v>
      </c>
      <c r="D297" t="s">
        <v>21</v>
      </c>
      <c r="E297" t="s">
        <v>154</v>
      </c>
      <c r="F297" s="12" t="s">
        <v>28</v>
      </c>
      <c r="G297" s="158"/>
      <c r="I297" s="161"/>
      <c r="J297" s="383">
        <v>54208.71</v>
      </c>
      <c r="K297" s="159">
        <f>K296+I297-J297</f>
        <v>-4157561.5799999963</v>
      </c>
    </row>
    <row r="298" spans="1:11" ht="15">
      <c r="A298" s="137" t="str">
        <f t="shared" si="4"/>
        <v>SERVICIOSNOMINA ADMONINVENTARIOS</v>
      </c>
      <c r="B298" t="s">
        <v>3498</v>
      </c>
      <c r="C298" s="1">
        <v>45729</v>
      </c>
      <c r="D298" t="s">
        <v>21</v>
      </c>
      <c r="E298" t="s">
        <v>147</v>
      </c>
      <c r="F298" s="12" t="s">
        <v>34</v>
      </c>
      <c r="G298" s="158"/>
      <c r="I298" s="161"/>
      <c r="J298" s="383">
        <v>2700.2</v>
      </c>
      <c r="K298" s="159">
        <f>K297+I298-J298</f>
        <v>-4160261.7799999965</v>
      </c>
    </row>
    <row r="299" spans="1:11" ht="15">
      <c r="A299" s="137" t="str">
        <f t="shared" si="4"/>
        <v>SERVICIOSNOMINA ADMONMANTENIMIENTO</v>
      </c>
      <c r="B299" t="s">
        <v>3498</v>
      </c>
      <c r="C299" s="1">
        <v>45729</v>
      </c>
      <c r="D299" t="s">
        <v>21</v>
      </c>
      <c r="E299" t="s">
        <v>147</v>
      </c>
      <c r="F299" s="12" t="s">
        <v>35</v>
      </c>
      <c r="G299" s="158"/>
      <c r="I299" s="161"/>
      <c r="J299" s="383">
        <v>5994.03</v>
      </c>
      <c r="K299" s="159">
        <f>K298+I299-J299</f>
        <v>-4166255.8099999963</v>
      </c>
    </row>
    <row r="300" spans="1:11" ht="15">
      <c r="A300" s="137" t="str">
        <f t="shared" si="4"/>
        <v>SERVICIOSNOMINA ADMONCADENA DE SUMINISTROS</v>
      </c>
      <c r="B300" t="s">
        <v>3498</v>
      </c>
      <c r="C300" s="1">
        <v>45729</v>
      </c>
      <c r="D300" t="s">
        <v>21</v>
      </c>
      <c r="E300" t="s">
        <v>147</v>
      </c>
      <c r="F300" s="12" t="s">
        <v>134</v>
      </c>
      <c r="G300" s="158"/>
      <c r="H300" s="98"/>
      <c r="I300" s="161"/>
      <c r="J300" s="383">
        <v>19418.400000000001</v>
      </c>
      <c r="K300" s="159">
        <f>K299+I300-J300</f>
        <v>-4185674.2099999962</v>
      </c>
    </row>
    <row r="301" spans="1:11" ht="15">
      <c r="A301" s="137" t="str">
        <f t="shared" si="4"/>
        <v>SERVICIOSNOMINA ADMONSISTEMAS</v>
      </c>
      <c r="B301" t="s">
        <v>3498</v>
      </c>
      <c r="C301" s="1">
        <v>45729</v>
      </c>
      <c r="D301" t="s">
        <v>21</v>
      </c>
      <c r="E301" t="s">
        <v>147</v>
      </c>
      <c r="F301" s="12" t="s">
        <v>36</v>
      </c>
      <c r="G301" s="158"/>
      <c r="H301" s="98"/>
      <c r="I301" s="161"/>
      <c r="J301" s="383">
        <v>10147.49</v>
      </c>
      <c r="K301" s="159">
        <f>K300+I301-J301</f>
        <v>-4195821.6999999965</v>
      </c>
    </row>
    <row r="302" spans="1:11" ht="15">
      <c r="A302" s="137" t="str">
        <f t="shared" si="4"/>
        <v>SERVICIOSNOMINA ADMONCOMPRAS</v>
      </c>
      <c r="B302" t="s">
        <v>3498</v>
      </c>
      <c r="C302" s="1">
        <v>45729</v>
      </c>
      <c r="D302" t="s">
        <v>21</v>
      </c>
      <c r="E302" t="s">
        <v>147</v>
      </c>
      <c r="F302" s="12" t="s">
        <v>148</v>
      </c>
      <c r="G302" s="158"/>
      <c r="H302" s="98"/>
      <c r="I302" s="161"/>
      <c r="J302" s="383">
        <v>23523.51</v>
      </c>
      <c r="K302" s="159">
        <f>K301+I302-J302</f>
        <v>-4219345.2099999962</v>
      </c>
    </row>
    <row r="303" spans="1:11" ht="15">
      <c r="A303" s="137" t="str">
        <f t="shared" si="4"/>
        <v>FINANZASNOMINA ADMONCONTABILIDAD</v>
      </c>
      <c r="B303" t="s">
        <v>3498</v>
      </c>
      <c r="C303" s="1">
        <v>45729</v>
      </c>
      <c r="D303" t="s">
        <v>23</v>
      </c>
      <c r="E303" t="s">
        <v>147</v>
      </c>
      <c r="F303" s="12" t="s">
        <v>37</v>
      </c>
      <c r="G303" s="158"/>
      <c r="H303" s="98"/>
      <c r="I303" s="161"/>
      <c r="J303" s="383">
        <v>12773.4</v>
      </c>
      <c r="K303" s="159">
        <f>K302+I303-J303</f>
        <v>-4232118.6099999966</v>
      </c>
    </row>
    <row r="304" spans="1:11" ht="15">
      <c r="A304" s="137" t="str">
        <f t="shared" si="4"/>
        <v>FINANZASNOMINA ADMONFINANZAS/LEGAL</v>
      </c>
      <c r="B304" t="s">
        <v>3498</v>
      </c>
      <c r="C304" s="1">
        <v>45729</v>
      </c>
      <c r="D304" t="s">
        <v>23</v>
      </c>
      <c r="E304" t="s">
        <v>147</v>
      </c>
      <c r="F304" s="12" t="s">
        <v>149</v>
      </c>
      <c r="G304" s="158"/>
      <c r="H304" s="98"/>
      <c r="I304" s="161"/>
      <c r="J304" s="383">
        <v>10019.39</v>
      </c>
      <c r="K304" s="159">
        <f>K303+I304-J304</f>
        <v>-4242137.9999999963</v>
      </c>
    </row>
    <row r="305" spans="1:11" ht="15">
      <c r="A305" s="137" t="str">
        <f t="shared" si="4"/>
        <v>FINANZASNOMINA ADMONRECURSOS HUMANOS</v>
      </c>
      <c r="B305" t="s">
        <v>3498</v>
      </c>
      <c r="C305" s="1">
        <v>45729</v>
      </c>
      <c r="D305" t="s">
        <v>23</v>
      </c>
      <c r="E305" t="s">
        <v>147</v>
      </c>
      <c r="F305" s="12" t="s">
        <v>125</v>
      </c>
      <c r="G305" s="158"/>
      <c r="H305" s="98"/>
      <c r="I305" s="161"/>
      <c r="J305" s="383">
        <v>10749.78</v>
      </c>
      <c r="K305" s="159">
        <f>K304+I305-J305</f>
        <v>-4252887.7799999965</v>
      </c>
    </row>
    <row r="306" spans="1:11" ht="15">
      <c r="A306" s="137" t="str">
        <f t="shared" si="4"/>
        <v>FINANZASNOMINA ADMONTESORERIA</v>
      </c>
      <c r="B306" t="s">
        <v>3498</v>
      </c>
      <c r="C306" s="1">
        <v>45729</v>
      </c>
      <c r="D306" t="s">
        <v>23</v>
      </c>
      <c r="E306" t="s">
        <v>147</v>
      </c>
      <c r="F306" s="12" t="s">
        <v>38</v>
      </c>
      <c r="G306" s="158"/>
      <c r="H306" s="98"/>
      <c r="I306" s="161"/>
      <c r="J306" s="383">
        <v>12203</v>
      </c>
      <c r="K306" s="159">
        <f>K305+I306-J306</f>
        <v>-4265090.7799999965</v>
      </c>
    </row>
    <row r="307" spans="1:11" ht="15">
      <c r="A307" s="137" t="str">
        <f t="shared" si="4"/>
        <v>FINANZASNOMINA ADMONHBG FINANZAS</v>
      </c>
      <c r="B307" t="s">
        <v>3498</v>
      </c>
      <c r="C307" s="1">
        <v>45729</v>
      </c>
      <c r="D307" t="s">
        <v>23</v>
      </c>
      <c r="E307" t="s">
        <v>147</v>
      </c>
      <c r="F307" s="12" t="s">
        <v>150</v>
      </c>
      <c r="G307" s="158"/>
      <c r="H307" s="98"/>
      <c r="I307" s="161"/>
      <c r="J307" s="383">
        <v>3057</v>
      </c>
      <c r="K307" s="159">
        <f>K306+I307-J307</f>
        <v>-4268147.7799999965</v>
      </c>
    </row>
    <row r="308" spans="1:11" ht="15">
      <c r="A308" s="137" t="str">
        <f t="shared" si="4"/>
        <v>SGENOMINA ADMONGESTION EMPRESARIAL</v>
      </c>
      <c r="B308" t="s">
        <v>3498</v>
      </c>
      <c r="C308" s="1">
        <v>45729</v>
      </c>
      <c r="D308" t="s">
        <v>39</v>
      </c>
      <c r="E308" t="s">
        <v>147</v>
      </c>
      <c r="F308" s="12" t="s">
        <v>40</v>
      </c>
      <c r="G308" s="158"/>
      <c r="H308" s="98"/>
      <c r="I308" s="161"/>
      <c r="J308" s="383">
        <v>19100.400000000001</v>
      </c>
      <c r="K308" s="159">
        <f>K307+I308-J308</f>
        <v>-4287248.1799999969</v>
      </c>
    </row>
    <row r="309" spans="1:11" ht="15">
      <c r="A309" s="137" t="str">
        <f t="shared" si="4"/>
        <v>DENOMINA ADMONDIRECCION</v>
      </c>
      <c r="B309" t="s">
        <v>3498</v>
      </c>
      <c r="C309" s="1">
        <v>45729</v>
      </c>
      <c r="D309" t="s">
        <v>41</v>
      </c>
      <c r="E309" t="s">
        <v>147</v>
      </c>
      <c r="F309" s="12" t="s">
        <v>42</v>
      </c>
      <c r="G309" s="158"/>
      <c r="I309" s="161"/>
      <c r="J309" s="383">
        <v>6000.4</v>
      </c>
      <c r="K309" s="159">
        <f>K308+I309-J309</f>
        <v>-4293248.5799999973</v>
      </c>
    </row>
    <row r="310" spans="1:11" ht="15">
      <c r="A310" s="137" t="str">
        <f t="shared" si="4"/>
        <v>FINANZASNOMINA ADMONHBG FINANZAS</v>
      </c>
      <c r="B310" t="s">
        <v>3498</v>
      </c>
      <c r="C310" s="1">
        <v>45729</v>
      </c>
      <c r="D310" t="s">
        <v>23</v>
      </c>
      <c r="E310" t="s">
        <v>147</v>
      </c>
      <c r="F310" s="12" t="s">
        <v>150</v>
      </c>
      <c r="G310" s="158"/>
      <c r="I310" s="161"/>
      <c r="J310" s="383">
        <v>10950</v>
      </c>
      <c r="K310" s="159">
        <f>K309+I310-J310</f>
        <v>-4304198.5799999973</v>
      </c>
    </row>
    <row r="311" spans="1:11" ht="15">
      <c r="A311" s="137" t="str">
        <f t="shared" si="4"/>
        <v>HRNOMINA ADMONHR</v>
      </c>
      <c r="B311" t="s">
        <v>3498</v>
      </c>
      <c r="C311" s="1">
        <v>45729</v>
      </c>
      <c r="D311" t="s">
        <v>29</v>
      </c>
      <c r="E311" t="s">
        <v>147</v>
      </c>
      <c r="F311" s="3" t="s">
        <v>29</v>
      </c>
      <c r="G311" s="158"/>
      <c r="I311" s="161"/>
      <c r="J311" s="383">
        <v>5500</v>
      </c>
      <c r="K311" s="159">
        <f>K310+I311-J311</f>
        <v>-4309698.5799999973</v>
      </c>
    </row>
    <row r="312" spans="1:11" ht="15">
      <c r="A312" s="137" t="str">
        <f t="shared" si="4"/>
        <v>CAPNOMINA ADMONCAPRICHOS</v>
      </c>
      <c r="B312" t="s">
        <v>3498</v>
      </c>
      <c r="C312" s="1">
        <v>45729</v>
      </c>
      <c r="D312" t="s">
        <v>31</v>
      </c>
      <c r="E312" t="s">
        <v>147</v>
      </c>
      <c r="F312" s="12" t="s">
        <v>33</v>
      </c>
      <c r="G312" s="158"/>
      <c r="I312" s="161"/>
      <c r="J312" s="383">
        <v>3700</v>
      </c>
      <c r="K312" s="159">
        <f>K311+I312-J312</f>
        <v>-4313398.5799999973</v>
      </c>
    </row>
    <row r="313" spans="1:11" ht="15">
      <c r="A313" s="137" t="str">
        <f t="shared" si="4"/>
        <v>SGENOMINA ADMONGESTION EMPRESARIAL</v>
      </c>
      <c r="B313" t="s">
        <v>3498</v>
      </c>
      <c r="C313" s="1">
        <v>45729</v>
      </c>
      <c r="D313" t="s">
        <v>39</v>
      </c>
      <c r="E313" t="s">
        <v>147</v>
      </c>
      <c r="F313" s="12" t="s">
        <v>40</v>
      </c>
      <c r="G313" s="158"/>
      <c r="I313" s="161"/>
      <c r="J313" s="383">
        <v>2750</v>
      </c>
      <c r="K313" s="159">
        <f>K312+I313-J313</f>
        <v>-4316148.5799999973</v>
      </c>
    </row>
    <row r="314" spans="1:11" ht="15">
      <c r="A314" s="137" t="str">
        <f t="shared" si="4"/>
        <v>SERVICIOSNOMINA ADMONSERVICIOS</v>
      </c>
      <c r="B314" t="s">
        <v>3498</v>
      </c>
      <c r="C314" s="1">
        <v>45729</v>
      </c>
      <c r="D314" t="s">
        <v>21</v>
      </c>
      <c r="E314" t="s">
        <v>147</v>
      </c>
      <c r="F314" s="12" t="s">
        <v>21</v>
      </c>
      <c r="G314" s="158"/>
      <c r="I314" s="161"/>
      <c r="J314" s="383">
        <v>4750</v>
      </c>
      <c r="K314" s="159">
        <f>K313+I314-J314</f>
        <v>-4320898.5799999973</v>
      </c>
    </row>
    <row r="315" spans="1:11" ht="15">
      <c r="A315" s="137" t="str">
        <f t="shared" si="4"/>
        <v>DENOMINA ADMONDIRECCION</v>
      </c>
      <c r="B315" t="s">
        <v>3498</v>
      </c>
      <c r="C315" s="1">
        <v>45729</v>
      </c>
      <c r="D315" t="s">
        <v>41</v>
      </c>
      <c r="E315" t="s">
        <v>147</v>
      </c>
      <c r="F315" s="12" t="s">
        <v>42</v>
      </c>
      <c r="G315" s="158"/>
      <c r="I315" s="161"/>
      <c r="J315" s="383">
        <v>5750</v>
      </c>
      <c r="K315" s="159">
        <f>K314+I315-J315</f>
        <v>-4326648.5799999973</v>
      </c>
    </row>
    <row r="316" spans="1:11" ht="15">
      <c r="A316" s="137" t="str">
        <f t="shared" si="4"/>
        <v>MMNOMINA ADMONMARKET MAX</v>
      </c>
      <c r="B316" t="s">
        <v>3498</v>
      </c>
      <c r="C316" s="1">
        <v>45729</v>
      </c>
      <c r="D316" t="s">
        <v>45</v>
      </c>
      <c r="E316" t="s">
        <v>147</v>
      </c>
      <c r="F316" s="12" t="s">
        <v>46</v>
      </c>
      <c r="G316" s="158"/>
      <c r="I316" s="161"/>
      <c r="J316" s="383">
        <v>2000</v>
      </c>
      <c r="K316" s="159">
        <f>K315+I316-J316</f>
        <v>-4328648.5799999973</v>
      </c>
    </row>
    <row r="317" spans="1:11" ht="15">
      <c r="A317" s="137" t="str">
        <f t="shared" si="4"/>
        <v>HRVACACIONES/FINIQUITOSHR</v>
      </c>
      <c r="B317" t="s">
        <v>3498</v>
      </c>
      <c r="C317" s="1">
        <v>45729</v>
      </c>
      <c r="D317" t="s">
        <v>29</v>
      </c>
      <c r="E317" s="12" t="s">
        <v>190</v>
      </c>
      <c r="F317" s="12" t="s">
        <v>29</v>
      </c>
      <c r="G317" s="158"/>
      <c r="I317" s="161"/>
      <c r="J317" s="383">
        <v>5571.43</v>
      </c>
      <c r="K317" s="159">
        <f>K316+I317-J317</f>
        <v>-4334220.009999997</v>
      </c>
    </row>
    <row r="318" spans="1:11" ht="15">
      <c r="A318" s="137" t="str">
        <f t="shared" si="4"/>
        <v>SERVICIOSVACACIONES/FINIQUITOSSERVICIOS</v>
      </c>
      <c r="B318" t="s">
        <v>3498</v>
      </c>
      <c r="C318" s="1">
        <v>45729</v>
      </c>
      <c r="D318" t="s">
        <v>21</v>
      </c>
      <c r="E318" t="s">
        <v>190</v>
      </c>
      <c r="F318" s="12" t="s">
        <v>21</v>
      </c>
      <c r="G318" s="158"/>
      <c r="I318" s="161"/>
      <c r="J318" s="383">
        <v>16250</v>
      </c>
      <c r="K318" s="159">
        <f>K317+I318-J318</f>
        <v>-4350470.009999997</v>
      </c>
    </row>
    <row r="319" spans="1:11" ht="15">
      <c r="A319" s="137" t="str">
        <f t="shared" si="4"/>
        <v>HRNOMINA SUCURSALA1</v>
      </c>
      <c r="B319" t="s">
        <v>3498</v>
      </c>
      <c r="C319" s="1">
        <v>45736</v>
      </c>
      <c r="D319" t="s">
        <v>29</v>
      </c>
      <c r="E319" t="s">
        <v>154</v>
      </c>
      <c r="F319" s="3" t="s">
        <v>88</v>
      </c>
      <c r="G319" s="158"/>
      <c r="I319" s="161"/>
      <c r="J319" s="383">
        <v>15417</v>
      </c>
      <c r="K319" s="159">
        <f>K318+I319-J319</f>
        <v>-4365887.009999997</v>
      </c>
    </row>
    <row r="320" spans="1:11" ht="15">
      <c r="A320" s="137" t="str">
        <f t="shared" si="4"/>
        <v>HRNOMINA SUCURSALA2</v>
      </c>
      <c r="B320" t="s">
        <v>3498</v>
      </c>
      <c r="C320" s="1">
        <v>45736</v>
      </c>
      <c r="D320" t="s">
        <v>29</v>
      </c>
      <c r="E320" t="s">
        <v>154</v>
      </c>
      <c r="F320" s="3" t="s">
        <v>89</v>
      </c>
      <c r="G320" s="158"/>
      <c r="I320" s="161"/>
      <c r="J320" s="383">
        <v>14246.4</v>
      </c>
      <c r="K320" s="159">
        <f>K319+I320-J320</f>
        <v>-4380133.4099999974</v>
      </c>
    </row>
    <row r="321" spans="1:11" ht="15">
      <c r="A321" s="137" t="str">
        <f t="shared" si="4"/>
        <v>HRNOMINA SUCURSALA3</v>
      </c>
      <c r="B321" t="s">
        <v>3498</v>
      </c>
      <c r="C321" s="1">
        <v>45736</v>
      </c>
      <c r="D321" t="s">
        <v>29</v>
      </c>
      <c r="E321" t="s">
        <v>154</v>
      </c>
      <c r="F321" s="3" t="s">
        <v>90</v>
      </c>
      <c r="G321" s="158"/>
      <c r="I321" s="161"/>
      <c r="J321" s="383">
        <v>11082.05</v>
      </c>
      <c r="K321" s="159">
        <f>K320+I321-J321</f>
        <v>-4391215.4599999972</v>
      </c>
    </row>
    <row r="322" spans="1:11" ht="15">
      <c r="A322" s="137" t="str">
        <f t="shared" si="4"/>
        <v>HRNOMINA SUCURSALA4</v>
      </c>
      <c r="B322" t="s">
        <v>3498</v>
      </c>
      <c r="C322" s="1">
        <v>45736</v>
      </c>
      <c r="D322" t="s">
        <v>29</v>
      </c>
      <c r="E322" t="s">
        <v>154</v>
      </c>
      <c r="F322" s="3" t="s">
        <v>91</v>
      </c>
      <c r="G322" s="158"/>
      <c r="I322" s="161"/>
      <c r="J322" s="383">
        <v>11324</v>
      </c>
      <c r="K322" s="159">
        <f>K321+I322-J322</f>
        <v>-4402539.4599999972</v>
      </c>
    </row>
    <row r="323" spans="1:11" ht="15">
      <c r="A323" s="137" t="str">
        <f t="shared" si="4"/>
        <v>HRNOMINA SUCURSALA5</v>
      </c>
      <c r="B323" t="s">
        <v>3498</v>
      </c>
      <c r="C323" s="1">
        <v>45736</v>
      </c>
      <c r="D323" t="s">
        <v>29</v>
      </c>
      <c r="E323" t="s">
        <v>154</v>
      </c>
      <c r="F323" s="3" t="s">
        <v>92</v>
      </c>
      <c r="G323" s="158"/>
      <c r="I323" s="161"/>
      <c r="J323" s="383">
        <v>14887.01</v>
      </c>
      <c r="K323" s="159">
        <f>K322+I323-J323</f>
        <v>-4417426.4699999969</v>
      </c>
    </row>
    <row r="324" spans="1:11" ht="15">
      <c r="A324" s="137" t="str">
        <f t="shared" ref="A324:A387" si="5">D324&amp;E324&amp;F324</f>
        <v>HRNOMINA SUCURSALA6</v>
      </c>
      <c r="B324" t="s">
        <v>3498</v>
      </c>
      <c r="C324" s="1">
        <v>45736</v>
      </c>
      <c r="D324" t="s">
        <v>29</v>
      </c>
      <c r="E324" t="s">
        <v>154</v>
      </c>
      <c r="F324" s="3" t="s">
        <v>93</v>
      </c>
      <c r="G324" s="158"/>
      <c r="I324" s="161"/>
      <c r="J324" s="383">
        <v>15904.95</v>
      </c>
      <c r="K324" s="159">
        <f>K323+I324-J324</f>
        <v>-4433331.4199999971</v>
      </c>
    </row>
    <row r="325" spans="1:11" ht="15">
      <c r="A325" s="137" t="str">
        <f t="shared" si="5"/>
        <v>HRNOMINA SUCURSALA8</v>
      </c>
      <c r="B325" t="s">
        <v>3498</v>
      </c>
      <c r="C325" s="1">
        <v>45736</v>
      </c>
      <c r="D325" t="s">
        <v>29</v>
      </c>
      <c r="E325" t="s">
        <v>154</v>
      </c>
      <c r="F325" s="3" t="s">
        <v>94</v>
      </c>
      <c r="G325" s="158"/>
      <c r="I325" s="161"/>
      <c r="J325" s="383">
        <v>22623</v>
      </c>
      <c r="K325" s="159">
        <f>K324+I325-J325</f>
        <v>-4455954.4199999971</v>
      </c>
    </row>
    <row r="326" spans="1:11" ht="15">
      <c r="A326" s="137" t="str">
        <f t="shared" si="5"/>
        <v>HRNOMINA SUCURSALA9</v>
      </c>
      <c r="B326" t="s">
        <v>3498</v>
      </c>
      <c r="C326" s="1">
        <v>45736</v>
      </c>
      <c r="D326" t="s">
        <v>29</v>
      </c>
      <c r="E326" t="s">
        <v>154</v>
      </c>
      <c r="F326" s="3" t="s">
        <v>95</v>
      </c>
      <c r="G326" s="158"/>
      <c r="I326" s="161"/>
      <c r="J326" s="383">
        <v>14117.49</v>
      </c>
      <c r="K326" s="159">
        <f>K325+I326-J326</f>
        <v>-4470071.9099999974</v>
      </c>
    </row>
    <row r="327" spans="1:11" ht="15">
      <c r="A327" s="137" t="str">
        <f t="shared" si="5"/>
        <v>HRNOMINA SUCURSALA10</v>
      </c>
      <c r="B327" t="s">
        <v>3498</v>
      </c>
      <c r="C327" s="1">
        <v>45736</v>
      </c>
      <c r="D327" t="s">
        <v>29</v>
      </c>
      <c r="E327" t="s">
        <v>154</v>
      </c>
      <c r="F327" s="3" t="s">
        <v>96</v>
      </c>
      <c r="G327" s="158"/>
      <c r="I327" s="161"/>
      <c r="J327" s="383">
        <v>20613</v>
      </c>
      <c r="K327" s="159">
        <f>K326+I327-J327</f>
        <v>-4490684.9099999974</v>
      </c>
    </row>
    <row r="328" spans="1:11" ht="15">
      <c r="A328" s="137" t="str">
        <f t="shared" si="5"/>
        <v>HRNOMINA SUCURSALA11</v>
      </c>
      <c r="B328" t="s">
        <v>3498</v>
      </c>
      <c r="C328" s="1">
        <v>45736</v>
      </c>
      <c r="D328" t="s">
        <v>29</v>
      </c>
      <c r="E328" t="s">
        <v>154</v>
      </c>
      <c r="F328" s="62" t="s">
        <v>97</v>
      </c>
      <c r="G328" s="158"/>
      <c r="I328" s="161"/>
      <c r="J328" s="383">
        <v>16010.6</v>
      </c>
      <c r="K328" s="159">
        <f>K327+I328-J328</f>
        <v>-4506695.509999997</v>
      </c>
    </row>
    <row r="329" spans="1:11" ht="15">
      <c r="A329" s="137" t="str">
        <f t="shared" si="5"/>
        <v>HRNOMINA SUCURSALA12</v>
      </c>
      <c r="B329" t="s">
        <v>3498</v>
      </c>
      <c r="C329" s="1">
        <v>45736</v>
      </c>
      <c r="D329" t="s">
        <v>29</v>
      </c>
      <c r="E329" t="s">
        <v>154</v>
      </c>
      <c r="F329" s="3" t="s">
        <v>98</v>
      </c>
      <c r="G329" s="158"/>
      <c r="I329" s="161"/>
      <c r="J329" s="383">
        <v>24121.200000000001</v>
      </c>
      <c r="K329" s="159">
        <f>K328+I329-J329</f>
        <v>-4530816.7099999972</v>
      </c>
    </row>
    <row r="330" spans="1:11" ht="15">
      <c r="A330" s="137" t="str">
        <f t="shared" si="5"/>
        <v>HRNOMINA SUCURSALA14</v>
      </c>
      <c r="B330" t="s">
        <v>3498</v>
      </c>
      <c r="C330" s="1">
        <v>45736</v>
      </c>
      <c r="D330" t="s">
        <v>29</v>
      </c>
      <c r="E330" t="s">
        <v>154</v>
      </c>
      <c r="F330" s="3" t="s">
        <v>99</v>
      </c>
      <c r="G330" s="158"/>
      <c r="I330" s="161"/>
      <c r="J330" s="383">
        <v>16023.4</v>
      </c>
      <c r="K330" s="159">
        <f>K329+I330-J330</f>
        <v>-4546840.1099999975</v>
      </c>
    </row>
    <row r="331" spans="1:11" ht="15">
      <c r="A331" s="137" t="str">
        <f t="shared" si="5"/>
        <v>HRNOMINA SUCURSALA15</v>
      </c>
      <c r="B331" t="s">
        <v>3498</v>
      </c>
      <c r="C331" s="1">
        <v>45736</v>
      </c>
      <c r="D331" t="s">
        <v>29</v>
      </c>
      <c r="E331" t="s">
        <v>154</v>
      </c>
      <c r="F331" s="3" t="s">
        <v>100</v>
      </c>
      <c r="G331" s="158"/>
      <c r="I331" s="161"/>
      <c r="J331" s="383">
        <v>13470.6</v>
      </c>
      <c r="K331" s="159">
        <f>K330+I331-J331</f>
        <v>-4560310.7099999972</v>
      </c>
    </row>
    <row r="332" spans="1:11" ht="15">
      <c r="A332" s="137" t="str">
        <f t="shared" si="5"/>
        <v>HRNOMINA SUCURSALA16</v>
      </c>
      <c r="B332" t="s">
        <v>3498</v>
      </c>
      <c r="C332" s="1">
        <v>45736</v>
      </c>
      <c r="D332" t="s">
        <v>29</v>
      </c>
      <c r="E332" t="s">
        <v>154</v>
      </c>
      <c r="F332" s="3" t="s">
        <v>101</v>
      </c>
      <c r="G332" s="158"/>
      <c r="I332" s="161"/>
      <c r="J332" s="383">
        <v>19963.09</v>
      </c>
      <c r="K332" s="159">
        <f>K331+I332-J332</f>
        <v>-4580273.799999997</v>
      </c>
    </row>
    <row r="333" spans="1:11" ht="15">
      <c r="A333" s="137" t="str">
        <f t="shared" si="5"/>
        <v>HRNOMINA SUCURSALA17</v>
      </c>
      <c r="B333" t="s">
        <v>3498</v>
      </c>
      <c r="C333" s="1">
        <v>45736</v>
      </c>
      <c r="D333" t="s">
        <v>29</v>
      </c>
      <c r="E333" t="s">
        <v>154</v>
      </c>
      <c r="F333" s="3" t="s">
        <v>102</v>
      </c>
      <c r="G333" s="158"/>
      <c r="I333" s="161"/>
      <c r="J333" s="383">
        <v>11895.6</v>
      </c>
      <c r="K333" s="159">
        <f>K332+I333-J333</f>
        <v>-4592169.3999999966</v>
      </c>
    </row>
    <row r="334" spans="1:11" ht="15">
      <c r="A334" s="137" t="str">
        <f t="shared" si="5"/>
        <v>HRNOMINA SUCURSALA18</v>
      </c>
      <c r="B334" t="s">
        <v>3498</v>
      </c>
      <c r="C334" s="1">
        <v>45736</v>
      </c>
      <c r="D334" t="s">
        <v>29</v>
      </c>
      <c r="E334" t="s">
        <v>154</v>
      </c>
      <c r="F334" s="3" t="s">
        <v>103</v>
      </c>
      <c r="G334" s="158"/>
      <c r="I334" s="161"/>
      <c r="J334" s="383">
        <v>15722.6</v>
      </c>
      <c r="K334" s="159">
        <f>K333+I334-J334</f>
        <v>-4607891.9999999963</v>
      </c>
    </row>
    <row r="335" spans="1:11" ht="15">
      <c r="A335" s="137" t="str">
        <f t="shared" si="5"/>
        <v>HRNOMINA SUCURSALA22</v>
      </c>
      <c r="B335" t="s">
        <v>3498</v>
      </c>
      <c r="C335" s="1">
        <v>45736</v>
      </c>
      <c r="D335" t="s">
        <v>29</v>
      </c>
      <c r="E335" t="s">
        <v>154</v>
      </c>
      <c r="F335" s="3" t="s">
        <v>104</v>
      </c>
      <c r="G335" s="158"/>
      <c r="I335" s="161"/>
      <c r="J335" s="383">
        <v>11913</v>
      </c>
      <c r="K335" s="159">
        <f>K334+I335-J335</f>
        <v>-4619804.9999999963</v>
      </c>
    </row>
    <row r="336" spans="1:11" ht="15">
      <c r="A336" s="137" t="str">
        <f t="shared" si="5"/>
        <v>HRNOMINA SUCURSALA23</v>
      </c>
      <c r="B336" t="s">
        <v>3498</v>
      </c>
      <c r="C336" s="1">
        <v>45736</v>
      </c>
      <c r="D336" t="s">
        <v>29</v>
      </c>
      <c r="E336" t="s">
        <v>154</v>
      </c>
      <c r="F336" s="3" t="s">
        <v>105</v>
      </c>
      <c r="G336" s="158"/>
      <c r="I336" s="161"/>
      <c r="J336" s="383">
        <v>10770.2</v>
      </c>
      <c r="K336" s="159">
        <f>K335+I336-J336</f>
        <v>-4630575.1999999965</v>
      </c>
    </row>
    <row r="337" spans="1:11" ht="15">
      <c r="A337" s="137" t="str">
        <f t="shared" si="5"/>
        <v>HRNOMINA SUCURSALA24</v>
      </c>
      <c r="B337" t="s">
        <v>3498</v>
      </c>
      <c r="C337" s="1">
        <v>45736</v>
      </c>
      <c r="D337" t="s">
        <v>29</v>
      </c>
      <c r="E337" t="s">
        <v>154</v>
      </c>
      <c r="F337" s="3" t="s">
        <v>106</v>
      </c>
      <c r="G337" s="158"/>
      <c r="I337" s="161"/>
      <c r="J337" s="383">
        <v>18917.599999999999</v>
      </c>
      <c r="K337" s="159">
        <f>K336+I337-J337</f>
        <v>-4649492.7999999961</v>
      </c>
    </row>
    <row r="338" spans="1:11" ht="15">
      <c r="A338" s="137" t="str">
        <f t="shared" si="5"/>
        <v>CAPNOMINA SUCURSALE1</v>
      </c>
      <c r="B338" t="s">
        <v>3498</v>
      </c>
      <c r="C338" s="1">
        <v>45736</v>
      </c>
      <c r="D338" t="s">
        <v>31</v>
      </c>
      <c r="E338" t="s">
        <v>154</v>
      </c>
      <c r="F338" s="3" t="s">
        <v>107</v>
      </c>
      <c r="G338" s="158"/>
      <c r="I338" s="161"/>
      <c r="J338" s="383">
        <v>17286.400000000001</v>
      </c>
      <c r="K338" s="159">
        <f>K337+I338-J338</f>
        <v>-4666779.1999999965</v>
      </c>
    </row>
    <row r="339" spans="1:11" ht="15">
      <c r="A339" s="137" t="str">
        <f t="shared" si="5"/>
        <v>CAPNOMINA SUCURSALE2</v>
      </c>
      <c r="B339" t="s">
        <v>3498</v>
      </c>
      <c r="C339" s="1">
        <v>45736</v>
      </c>
      <c r="D339" t="s">
        <v>31</v>
      </c>
      <c r="E339" t="s">
        <v>154</v>
      </c>
      <c r="F339" s="3" t="s">
        <v>108</v>
      </c>
      <c r="G339" s="158"/>
      <c r="I339" s="161"/>
      <c r="J339" s="383">
        <v>16332.8</v>
      </c>
      <c r="K339" s="159">
        <f>K338+I339-J339</f>
        <v>-4683111.9999999963</v>
      </c>
    </row>
    <row r="340" spans="1:11" ht="15">
      <c r="A340" s="137" t="str">
        <f t="shared" si="5"/>
        <v>CAPNOMINA SUCURSALE3</v>
      </c>
      <c r="B340" t="s">
        <v>3498</v>
      </c>
      <c r="C340" s="1">
        <v>45736</v>
      </c>
      <c r="D340" t="s">
        <v>31</v>
      </c>
      <c r="E340" t="s">
        <v>154</v>
      </c>
      <c r="F340" s="3" t="s">
        <v>109</v>
      </c>
      <c r="G340" s="158"/>
      <c r="I340" s="161"/>
      <c r="J340" s="383">
        <v>16874.599999999999</v>
      </c>
      <c r="K340" s="159">
        <f>K339+I340-J340</f>
        <v>-4699986.5999999959</v>
      </c>
    </row>
    <row r="341" spans="1:11" ht="15">
      <c r="A341" s="137" t="str">
        <f t="shared" si="5"/>
        <v>CAPNOMINA SUCURSALE4</v>
      </c>
      <c r="B341" t="s">
        <v>3498</v>
      </c>
      <c r="C341" s="1">
        <v>45736</v>
      </c>
      <c r="D341" t="s">
        <v>31</v>
      </c>
      <c r="E341" t="s">
        <v>154</v>
      </c>
      <c r="F341" s="3" t="s">
        <v>110</v>
      </c>
      <c r="G341" s="158"/>
      <c r="I341" s="161"/>
      <c r="J341" s="383">
        <v>19502.400000000001</v>
      </c>
      <c r="K341" s="159">
        <f>K340+I341-J341</f>
        <v>-4719488.9999999963</v>
      </c>
    </row>
    <row r="342" spans="1:11" ht="15">
      <c r="A342" s="137" t="str">
        <f t="shared" si="5"/>
        <v>CAPNOMINA SUCURSALE5</v>
      </c>
      <c r="B342" t="s">
        <v>3498</v>
      </c>
      <c r="C342" s="1">
        <v>45736</v>
      </c>
      <c r="D342" t="s">
        <v>31</v>
      </c>
      <c r="E342" t="s">
        <v>154</v>
      </c>
      <c r="F342" s="3" t="s">
        <v>111</v>
      </c>
      <c r="G342" s="158"/>
      <c r="I342" s="161"/>
      <c r="J342" s="383">
        <v>24718.6</v>
      </c>
      <c r="K342" s="159">
        <f>K341+I342-J342</f>
        <v>-4744207.5999999959</v>
      </c>
    </row>
    <row r="343" spans="1:11" ht="15">
      <c r="A343" s="137" t="str">
        <f t="shared" si="5"/>
        <v>CAPNOMINA SUCURSALE6</v>
      </c>
      <c r="B343" t="s">
        <v>3498</v>
      </c>
      <c r="C343" s="1">
        <v>45736</v>
      </c>
      <c r="D343" t="s">
        <v>31</v>
      </c>
      <c r="E343" t="s">
        <v>154</v>
      </c>
      <c r="F343" s="3" t="s">
        <v>112</v>
      </c>
      <c r="G343" s="158"/>
      <c r="I343" s="161"/>
      <c r="J343" s="383">
        <v>17231.8</v>
      </c>
      <c r="K343" s="159">
        <f>K342+I343-J343</f>
        <v>-4761439.3999999957</v>
      </c>
    </row>
    <row r="344" spans="1:11" ht="15">
      <c r="A344" s="137" t="str">
        <f t="shared" si="5"/>
        <v>CAPNOMINA SUCURSALE7</v>
      </c>
      <c r="B344" t="s">
        <v>3498</v>
      </c>
      <c r="C344" s="1">
        <v>45736</v>
      </c>
      <c r="D344" t="s">
        <v>31</v>
      </c>
      <c r="E344" t="s">
        <v>154</v>
      </c>
      <c r="F344" s="3" t="s">
        <v>113</v>
      </c>
      <c r="G344" s="158"/>
      <c r="I344" s="161"/>
      <c r="J344" s="383">
        <v>15319.8</v>
      </c>
      <c r="K344" s="159">
        <f>K343+I344-J344</f>
        <v>-4776759.1999999955</v>
      </c>
    </row>
    <row r="345" spans="1:11" ht="15">
      <c r="A345" s="137" t="str">
        <f t="shared" si="5"/>
        <v>CAPNOMINA SUCURSALE8</v>
      </c>
      <c r="B345" t="s">
        <v>3498</v>
      </c>
      <c r="C345" s="1">
        <v>45736</v>
      </c>
      <c r="D345" t="s">
        <v>31</v>
      </c>
      <c r="E345" t="s">
        <v>154</v>
      </c>
      <c r="F345" s="3" t="s">
        <v>114</v>
      </c>
      <c r="G345" s="158"/>
      <c r="I345" s="161"/>
      <c r="J345" s="383">
        <v>33347.199999999997</v>
      </c>
      <c r="K345" s="159">
        <f>K344+I345-J345</f>
        <v>-4810106.3999999957</v>
      </c>
    </row>
    <row r="346" spans="1:11" ht="15">
      <c r="A346" s="137" t="str">
        <f t="shared" si="5"/>
        <v>CAPNOMINA SUCURSALE9</v>
      </c>
      <c r="B346" t="s">
        <v>3498</v>
      </c>
      <c r="C346" s="1">
        <v>45736</v>
      </c>
      <c r="D346" t="s">
        <v>31</v>
      </c>
      <c r="E346" t="s">
        <v>154</v>
      </c>
      <c r="F346" s="3" t="s">
        <v>116</v>
      </c>
      <c r="G346" s="158"/>
      <c r="I346" s="161"/>
      <c r="J346" s="383">
        <v>8461</v>
      </c>
      <c r="K346" s="159">
        <f>K345+I346-J346</f>
        <v>-4818567.3999999957</v>
      </c>
    </row>
    <row r="347" spans="1:11" ht="15">
      <c r="A347" s="137" t="str">
        <f t="shared" si="5"/>
        <v>ELINOMINA SUCURSALL1</v>
      </c>
      <c r="B347" t="s">
        <v>3498</v>
      </c>
      <c r="C347" s="1">
        <v>45736</v>
      </c>
      <c r="D347" t="s">
        <v>130</v>
      </c>
      <c r="E347" t="s">
        <v>154</v>
      </c>
      <c r="F347" s="3" t="s">
        <v>136</v>
      </c>
      <c r="G347" s="158"/>
      <c r="I347" s="161"/>
      <c r="J347" s="383">
        <v>10790</v>
      </c>
      <c r="K347" s="159">
        <f>K346+I347-J347</f>
        <v>-4829357.3999999957</v>
      </c>
    </row>
    <row r="348" spans="1:11" ht="15">
      <c r="A348" s="137" t="str">
        <f t="shared" si="5"/>
        <v>HRNOMINA ADMONHR</v>
      </c>
      <c r="B348" t="s">
        <v>3498</v>
      </c>
      <c r="C348" s="1">
        <v>45736</v>
      </c>
      <c r="D348" t="s">
        <v>29</v>
      </c>
      <c r="E348" t="s">
        <v>147</v>
      </c>
      <c r="F348" s="3" t="s">
        <v>29</v>
      </c>
      <c r="G348" s="158"/>
      <c r="I348" s="161"/>
      <c r="J348" s="383">
        <v>28445.01</v>
      </c>
      <c r="K348" s="159">
        <f>K347+I348-J348</f>
        <v>-4857802.4099999955</v>
      </c>
    </row>
    <row r="349" spans="1:11" ht="15">
      <c r="A349" s="137" t="str">
        <f t="shared" si="5"/>
        <v>CAPNOMINA ADMONCAPRICHOS</v>
      </c>
      <c r="B349" t="s">
        <v>3498</v>
      </c>
      <c r="C349" s="1">
        <v>45736</v>
      </c>
      <c r="D349" t="s">
        <v>31</v>
      </c>
      <c r="E349" t="s">
        <v>147</v>
      </c>
      <c r="F349" s="12" t="s">
        <v>33</v>
      </c>
      <c r="G349" s="158"/>
      <c r="I349" s="161"/>
      <c r="J349" s="383">
        <v>29508.51</v>
      </c>
      <c r="K349" s="159">
        <f>K348+I349-J349</f>
        <v>-4887310.9199999953</v>
      </c>
    </row>
    <row r="350" spans="1:11" ht="15">
      <c r="A350" s="137" t="str">
        <f t="shared" si="5"/>
        <v>SERVICIOSNOMINA SUCURSALCEDIS</v>
      </c>
      <c r="B350" t="s">
        <v>3498</v>
      </c>
      <c r="C350" s="1">
        <v>45736</v>
      </c>
      <c r="D350" t="s">
        <v>21</v>
      </c>
      <c r="E350" t="s">
        <v>154</v>
      </c>
      <c r="F350" s="12" t="s">
        <v>28</v>
      </c>
      <c r="G350" s="158"/>
      <c r="I350" s="161"/>
      <c r="J350" s="383">
        <v>78429.210000000006</v>
      </c>
      <c r="K350" s="159">
        <f>K349+I350-J350</f>
        <v>-4965740.1299999952</v>
      </c>
    </row>
    <row r="351" spans="1:11" ht="15">
      <c r="A351" s="137" t="str">
        <f t="shared" si="5"/>
        <v>SERVICIOSNOMINA ADMONINVENTARIOS</v>
      </c>
      <c r="B351" t="s">
        <v>3498</v>
      </c>
      <c r="C351" s="1">
        <v>45736</v>
      </c>
      <c r="D351" t="s">
        <v>21</v>
      </c>
      <c r="E351" t="s">
        <v>147</v>
      </c>
      <c r="F351" s="12" t="s">
        <v>34</v>
      </c>
      <c r="G351" s="158"/>
      <c r="I351" s="161"/>
      <c r="J351" s="383">
        <v>2800</v>
      </c>
      <c r="K351" s="159">
        <f>K350+I351-J351</f>
        <v>-4968540.1299999952</v>
      </c>
    </row>
    <row r="352" spans="1:11" ht="15">
      <c r="A352" s="137" t="str">
        <f t="shared" si="5"/>
        <v>SERVICIOSNOMINA ADMONMANTENIMIENTO</v>
      </c>
      <c r="B352" t="s">
        <v>3498</v>
      </c>
      <c r="C352" s="1">
        <v>45736</v>
      </c>
      <c r="D352" t="s">
        <v>21</v>
      </c>
      <c r="E352" t="s">
        <v>147</v>
      </c>
      <c r="F352" s="12" t="s">
        <v>35</v>
      </c>
      <c r="G352" s="158"/>
      <c r="I352" s="161"/>
      <c r="J352" s="383">
        <v>7183.83</v>
      </c>
      <c r="K352" s="159">
        <f>K351+I352-J352</f>
        <v>-4975723.9599999953</v>
      </c>
    </row>
    <row r="353" spans="1:11" ht="15">
      <c r="A353" s="137" t="str">
        <f t="shared" si="5"/>
        <v>SERVICIOSNOMINA ADMONCADENA DE SUMINISTROS</v>
      </c>
      <c r="B353" t="s">
        <v>3498</v>
      </c>
      <c r="C353" s="1">
        <v>45736</v>
      </c>
      <c r="D353" t="s">
        <v>21</v>
      </c>
      <c r="E353" t="s">
        <v>147</v>
      </c>
      <c r="F353" s="12" t="s">
        <v>134</v>
      </c>
      <c r="G353" s="158"/>
      <c r="I353" s="161"/>
      <c r="J353" s="383">
        <v>19618.400000000001</v>
      </c>
      <c r="K353" s="159">
        <f>K352+I353-J353</f>
        <v>-4995342.3599999957</v>
      </c>
    </row>
    <row r="354" spans="1:11" ht="15">
      <c r="A354" s="137" t="str">
        <f t="shared" si="5"/>
        <v>SERVICIOSNOMINA ADMONSISTEMAS</v>
      </c>
      <c r="B354" t="s">
        <v>3498</v>
      </c>
      <c r="C354" s="1">
        <v>45736</v>
      </c>
      <c r="D354" t="s">
        <v>21</v>
      </c>
      <c r="E354" t="s">
        <v>147</v>
      </c>
      <c r="F354" s="12" t="s">
        <v>36</v>
      </c>
      <c r="G354" s="158"/>
      <c r="I354" s="161"/>
      <c r="J354" s="383">
        <v>12968.69</v>
      </c>
      <c r="K354" s="159">
        <f>K353+I354-J354</f>
        <v>-5008311.0499999961</v>
      </c>
    </row>
    <row r="355" spans="1:11" ht="15">
      <c r="A355" s="137" t="str">
        <f t="shared" si="5"/>
        <v>SERVICIOSNOMINA ADMONCOMPRAS</v>
      </c>
      <c r="B355" t="s">
        <v>3498</v>
      </c>
      <c r="C355" s="1">
        <v>45736</v>
      </c>
      <c r="D355" t="s">
        <v>21</v>
      </c>
      <c r="E355" t="s">
        <v>147</v>
      </c>
      <c r="F355" s="12" t="s">
        <v>148</v>
      </c>
      <c r="G355" s="158"/>
      <c r="I355" s="161"/>
      <c r="J355" s="383">
        <v>23524.11</v>
      </c>
      <c r="K355" s="159">
        <f>K354+I355-J355</f>
        <v>-5031835.1599999964</v>
      </c>
    </row>
    <row r="356" spans="1:11" ht="15">
      <c r="A356" s="137" t="str">
        <f t="shared" si="5"/>
        <v>FINANZASNOMINA ADMONCONTABILIDAD</v>
      </c>
      <c r="B356" t="s">
        <v>3498</v>
      </c>
      <c r="C356" s="1">
        <v>45736</v>
      </c>
      <c r="D356" t="s">
        <v>23</v>
      </c>
      <c r="E356" t="s">
        <v>147</v>
      </c>
      <c r="F356" s="12" t="s">
        <v>37</v>
      </c>
      <c r="G356" s="158"/>
      <c r="I356" s="161"/>
      <c r="J356" s="383">
        <v>12773.6</v>
      </c>
      <c r="K356" s="159">
        <f>K355+I356-J356</f>
        <v>-5044608.7599999961</v>
      </c>
    </row>
    <row r="357" spans="1:11" ht="15">
      <c r="A357" s="137" t="str">
        <f t="shared" si="5"/>
        <v>FINANZASNOMINA ADMONFINANZAS/LEGAL</v>
      </c>
      <c r="B357" t="s">
        <v>3498</v>
      </c>
      <c r="C357" s="1">
        <v>45736</v>
      </c>
      <c r="D357" t="s">
        <v>23</v>
      </c>
      <c r="E357" t="s">
        <v>147</v>
      </c>
      <c r="F357" s="12" t="s">
        <v>149</v>
      </c>
      <c r="G357" s="158"/>
      <c r="I357" s="161"/>
      <c r="J357" s="383">
        <v>10018.99</v>
      </c>
      <c r="K357" s="159">
        <f>K356+I357-J357</f>
        <v>-5054627.7499999963</v>
      </c>
    </row>
    <row r="358" spans="1:11" ht="15">
      <c r="A358" s="137" t="str">
        <f t="shared" si="5"/>
        <v>FINANZASNOMINA ADMONRECURSOS HUMANOS</v>
      </c>
      <c r="B358" t="s">
        <v>3498</v>
      </c>
      <c r="C358" s="1">
        <v>45736</v>
      </c>
      <c r="D358" t="s">
        <v>23</v>
      </c>
      <c r="E358" t="s">
        <v>147</v>
      </c>
      <c r="F358" s="12" t="s">
        <v>125</v>
      </c>
      <c r="G358" s="158"/>
      <c r="I358" s="161"/>
      <c r="J358" s="383">
        <v>10530.18</v>
      </c>
      <c r="K358" s="159">
        <f>K357+I358-J358</f>
        <v>-5065157.929999996</v>
      </c>
    </row>
    <row r="359" spans="1:11" ht="15">
      <c r="A359" s="137" t="str">
        <f t="shared" si="5"/>
        <v>FINANZASNOMINA ADMONTESORERIA</v>
      </c>
      <c r="B359" t="s">
        <v>3498</v>
      </c>
      <c r="C359" s="1">
        <v>45736</v>
      </c>
      <c r="D359" t="s">
        <v>23</v>
      </c>
      <c r="E359" t="s">
        <v>147</v>
      </c>
      <c r="F359" s="12" t="s">
        <v>38</v>
      </c>
      <c r="G359" s="158"/>
      <c r="I359" s="161"/>
      <c r="J359" s="383">
        <v>12123</v>
      </c>
      <c r="K359" s="159">
        <f>K358+I359-J359</f>
        <v>-5077280.929999996</v>
      </c>
    </row>
    <row r="360" spans="1:11" ht="15">
      <c r="A360" s="137" t="str">
        <f t="shared" si="5"/>
        <v>FINANZASNOMINA ADMONHBG FINANZAS</v>
      </c>
      <c r="B360" t="s">
        <v>3498</v>
      </c>
      <c r="C360" s="1">
        <v>45736</v>
      </c>
      <c r="D360" t="s">
        <v>23</v>
      </c>
      <c r="E360" t="s">
        <v>147</v>
      </c>
      <c r="F360" s="12" t="s">
        <v>150</v>
      </c>
      <c r="G360" s="158"/>
      <c r="I360" s="161"/>
      <c r="J360" s="383">
        <v>3057</v>
      </c>
      <c r="K360" s="159">
        <f>K359+I360-J360</f>
        <v>-5080337.929999996</v>
      </c>
    </row>
    <row r="361" spans="1:11" ht="15">
      <c r="A361" s="137" t="str">
        <f t="shared" si="5"/>
        <v>SGENOMINA ADMONGESTION EMPRESARIAL</v>
      </c>
      <c r="B361" t="s">
        <v>3498</v>
      </c>
      <c r="C361" s="1">
        <v>45736</v>
      </c>
      <c r="D361" t="s">
        <v>39</v>
      </c>
      <c r="E361" t="s">
        <v>147</v>
      </c>
      <c r="F361" s="12" t="s">
        <v>40</v>
      </c>
      <c r="G361" s="158"/>
      <c r="I361" s="161"/>
      <c r="J361" s="383">
        <v>21852.799999999999</v>
      </c>
      <c r="K361" s="159">
        <f>K360+I361-J361</f>
        <v>-5102190.7299999958</v>
      </c>
    </row>
    <row r="362" spans="1:11" ht="15">
      <c r="A362" s="137" t="str">
        <f t="shared" si="5"/>
        <v>DENOMINA ADMONDIRECCION</v>
      </c>
      <c r="B362" t="s">
        <v>3498</v>
      </c>
      <c r="C362" s="1">
        <v>45736</v>
      </c>
      <c r="D362" t="s">
        <v>41</v>
      </c>
      <c r="E362" t="s">
        <v>147</v>
      </c>
      <c r="F362" s="12" t="s">
        <v>42</v>
      </c>
      <c r="G362" s="158"/>
      <c r="I362" s="161"/>
      <c r="J362" s="383">
        <v>6000.4</v>
      </c>
      <c r="K362" s="159">
        <f>K361+I362-J362</f>
        <v>-5108191.1299999962</v>
      </c>
    </row>
    <row r="363" spans="1:11" ht="15">
      <c r="A363" s="137" t="str">
        <f t="shared" si="5"/>
        <v>FINANZASNOMINA ADMONHBG FINANZAS</v>
      </c>
      <c r="B363" t="s">
        <v>3498</v>
      </c>
      <c r="C363" s="1">
        <v>45736</v>
      </c>
      <c r="D363" t="s">
        <v>23</v>
      </c>
      <c r="E363" t="s">
        <v>147</v>
      </c>
      <c r="F363" s="12" t="s">
        <v>150</v>
      </c>
      <c r="G363" s="158"/>
      <c r="I363" s="161"/>
      <c r="J363" s="383">
        <v>10950</v>
      </c>
      <c r="K363" s="159">
        <f>K362+I363-J363</f>
        <v>-5119141.1299999962</v>
      </c>
    </row>
    <row r="364" spans="1:11" ht="15">
      <c r="A364" s="137" t="str">
        <f t="shared" si="5"/>
        <v>HRNOMINA ADMONHR</v>
      </c>
      <c r="B364" t="s">
        <v>3498</v>
      </c>
      <c r="C364" s="1">
        <v>45736</v>
      </c>
      <c r="D364" t="s">
        <v>29</v>
      </c>
      <c r="E364" t="s">
        <v>147</v>
      </c>
      <c r="F364" s="3" t="s">
        <v>29</v>
      </c>
      <c r="G364" s="158"/>
      <c r="I364" s="161"/>
      <c r="J364" s="383">
        <v>5500</v>
      </c>
      <c r="K364" s="159">
        <f>K363+I364-J364</f>
        <v>-5124641.1299999962</v>
      </c>
    </row>
    <row r="365" spans="1:11" ht="15">
      <c r="A365" s="137" t="str">
        <f t="shared" si="5"/>
        <v>CAPNOMINA ADMONCAPRICHOS</v>
      </c>
      <c r="B365" t="s">
        <v>3498</v>
      </c>
      <c r="C365" s="1">
        <v>45736</v>
      </c>
      <c r="D365" t="s">
        <v>31</v>
      </c>
      <c r="E365" t="s">
        <v>147</v>
      </c>
      <c r="F365" s="12" t="s">
        <v>33</v>
      </c>
      <c r="G365" s="158"/>
      <c r="I365" s="161"/>
      <c r="J365" s="383">
        <v>3700</v>
      </c>
      <c r="K365" s="159">
        <f>K364+I365-J365</f>
        <v>-5128341.1299999962</v>
      </c>
    </row>
    <row r="366" spans="1:11" ht="15">
      <c r="A366" s="137" t="str">
        <f t="shared" si="5"/>
        <v>SGENOMINA ADMONGESTION EMPRESARIAL</v>
      </c>
      <c r="B366" t="s">
        <v>3498</v>
      </c>
      <c r="C366" s="1">
        <v>45736</v>
      </c>
      <c r="D366" t="s">
        <v>39</v>
      </c>
      <c r="E366" t="s">
        <v>147</v>
      </c>
      <c r="F366" s="12" t="s">
        <v>40</v>
      </c>
      <c r="G366" s="158"/>
      <c r="I366" s="161"/>
      <c r="J366" s="383">
        <v>2750</v>
      </c>
      <c r="K366" s="159">
        <f>K365+I366-J366</f>
        <v>-5131091.1299999962</v>
      </c>
    </row>
    <row r="367" spans="1:11" ht="15">
      <c r="A367" s="137" t="str">
        <f t="shared" si="5"/>
        <v>SERVICIOSNOMINA ADMONSERVICIOS</v>
      </c>
      <c r="B367" t="s">
        <v>3498</v>
      </c>
      <c r="C367" s="1">
        <v>45736</v>
      </c>
      <c r="D367" t="s">
        <v>21</v>
      </c>
      <c r="E367" t="s">
        <v>147</v>
      </c>
      <c r="F367" s="12" t="s">
        <v>21</v>
      </c>
      <c r="G367" s="158"/>
      <c r="I367" s="161"/>
      <c r="J367" s="383">
        <v>4750</v>
      </c>
      <c r="K367" s="159">
        <f>K366+I367-J367</f>
        <v>-5135841.1299999962</v>
      </c>
    </row>
    <row r="368" spans="1:11" ht="15">
      <c r="A368" s="137" t="str">
        <f t="shared" si="5"/>
        <v>DENOMINA ADMONDIRECCION</v>
      </c>
      <c r="B368" t="s">
        <v>3498</v>
      </c>
      <c r="C368" s="1">
        <v>45736</v>
      </c>
      <c r="D368" t="s">
        <v>41</v>
      </c>
      <c r="E368" t="s">
        <v>147</v>
      </c>
      <c r="F368" s="12" t="s">
        <v>42</v>
      </c>
      <c r="G368" s="158"/>
      <c r="I368" s="161"/>
      <c r="J368" s="383">
        <v>5750</v>
      </c>
      <c r="K368" s="159">
        <f>K367+I368-J368</f>
        <v>-5141591.1299999962</v>
      </c>
    </row>
    <row r="369" spans="1:11" ht="15">
      <c r="A369" s="137" t="str">
        <f t="shared" si="5"/>
        <v>MMNOMINA ADMONMARKET MAX</v>
      </c>
      <c r="B369" t="s">
        <v>3498</v>
      </c>
      <c r="C369" s="1">
        <v>45736</v>
      </c>
      <c r="D369" t="s">
        <v>45</v>
      </c>
      <c r="E369" t="s">
        <v>147</v>
      </c>
      <c r="F369" s="12" t="s">
        <v>46</v>
      </c>
      <c r="G369" s="158"/>
      <c r="I369" s="161"/>
      <c r="J369" s="383">
        <v>2000</v>
      </c>
      <c r="K369" s="159">
        <f>K368+I369-J369</f>
        <v>-5143591.1299999962</v>
      </c>
    </row>
    <row r="370" spans="1:11" ht="15">
      <c r="A370" s="137" t="str">
        <f>D370&amp;E370&amp;F370</f>
        <v>HRVACACIONES/FINIQUITOSHR</v>
      </c>
      <c r="B370" t="s">
        <v>3498</v>
      </c>
      <c r="C370" s="1">
        <v>45736</v>
      </c>
      <c r="D370" t="s">
        <v>29</v>
      </c>
      <c r="E370" s="12" t="s">
        <v>190</v>
      </c>
      <c r="F370" s="12" t="s">
        <v>29</v>
      </c>
      <c r="G370" s="158"/>
      <c r="I370" s="161"/>
      <c r="J370" s="383">
        <v>4560</v>
      </c>
      <c r="K370" s="159">
        <f>K369+I370-J370</f>
        <v>-5148151.1299999962</v>
      </c>
    </row>
    <row r="371" spans="1:11" ht="15">
      <c r="A371" s="137" t="str">
        <f t="shared" si="5"/>
        <v>SERVICIOSVACACIONES/FINIQUITOSSERVICIOS</v>
      </c>
      <c r="B371" t="s">
        <v>3498</v>
      </c>
      <c r="C371" s="1">
        <v>45736</v>
      </c>
      <c r="D371" t="s">
        <v>21</v>
      </c>
      <c r="E371" t="s">
        <v>190</v>
      </c>
      <c r="F371" s="12" t="s">
        <v>21</v>
      </c>
      <c r="G371" s="158"/>
      <c r="I371" s="161"/>
      <c r="J371" s="383">
        <v>22053.57</v>
      </c>
      <c r="K371" s="159">
        <f>K370+I371-J371</f>
        <v>-5170204.6999999965</v>
      </c>
    </row>
    <row r="372" spans="1:11" ht="15">
      <c r="A372" s="137" t="str">
        <f t="shared" si="5"/>
        <v>HRNOMINA SUCURSALA1</v>
      </c>
      <c r="B372" t="s">
        <v>3498</v>
      </c>
      <c r="C372" s="1">
        <v>45743</v>
      </c>
      <c r="D372" t="s">
        <v>29</v>
      </c>
      <c r="E372" t="s">
        <v>154</v>
      </c>
      <c r="F372" s="3" t="s">
        <v>88</v>
      </c>
      <c r="G372" s="158"/>
      <c r="I372" s="161"/>
      <c r="J372" s="383">
        <v>13240</v>
      </c>
      <c r="K372" s="159">
        <f>K371+I372-J372</f>
        <v>-5183444.6999999965</v>
      </c>
    </row>
    <row r="373" spans="1:11" ht="15">
      <c r="A373" s="137" t="str">
        <f t="shared" si="5"/>
        <v>HRNOMINA SUCURSALA2</v>
      </c>
      <c r="B373" t="s">
        <v>3498</v>
      </c>
      <c r="C373" s="1">
        <v>45743</v>
      </c>
      <c r="D373" t="s">
        <v>29</v>
      </c>
      <c r="E373" t="s">
        <v>154</v>
      </c>
      <c r="F373" s="3" t="s">
        <v>89</v>
      </c>
      <c r="G373" s="158"/>
      <c r="I373" s="161"/>
      <c r="J373" s="383">
        <v>13791.8</v>
      </c>
      <c r="K373" s="159">
        <f>K372+I373-J373</f>
        <v>-5197236.4999999963</v>
      </c>
    </row>
    <row r="374" spans="1:11" ht="15">
      <c r="A374" s="137" t="str">
        <f t="shared" si="5"/>
        <v>HRNOMINA SUCURSALA3</v>
      </c>
      <c r="B374" t="s">
        <v>3498</v>
      </c>
      <c r="C374" s="1">
        <v>45743</v>
      </c>
      <c r="D374" t="s">
        <v>29</v>
      </c>
      <c r="E374" t="s">
        <v>154</v>
      </c>
      <c r="F374" s="3" t="s">
        <v>90</v>
      </c>
      <c r="G374" s="158"/>
      <c r="I374" s="161"/>
      <c r="J374" s="383">
        <v>8549.6</v>
      </c>
      <c r="K374" s="159">
        <f>K373+I374-J374</f>
        <v>-5205786.0999999959</v>
      </c>
    </row>
    <row r="375" spans="1:11" ht="15">
      <c r="A375" s="137" t="str">
        <f t="shared" si="5"/>
        <v>HRNOMINA SUCURSALA4</v>
      </c>
      <c r="B375" t="s">
        <v>3498</v>
      </c>
      <c r="C375" s="1">
        <v>45743</v>
      </c>
      <c r="D375" t="s">
        <v>29</v>
      </c>
      <c r="E375" t="s">
        <v>154</v>
      </c>
      <c r="F375" s="3" t="s">
        <v>91</v>
      </c>
      <c r="G375" s="158"/>
      <c r="I375" s="161"/>
      <c r="J375" s="383">
        <v>9428.7999999999993</v>
      </c>
      <c r="K375" s="159">
        <f>K374+I375-J375</f>
        <v>-5215214.8999999957</v>
      </c>
    </row>
    <row r="376" spans="1:11" ht="15">
      <c r="A376" s="137" t="str">
        <f t="shared" si="5"/>
        <v>HRNOMINA SUCURSALA5</v>
      </c>
      <c r="B376" t="s">
        <v>3498</v>
      </c>
      <c r="C376" s="1">
        <v>45743</v>
      </c>
      <c r="D376" t="s">
        <v>29</v>
      </c>
      <c r="E376" t="s">
        <v>154</v>
      </c>
      <c r="F376" s="3" t="s">
        <v>92</v>
      </c>
      <c r="G376" s="158"/>
      <c r="I376" s="161"/>
      <c r="J376" s="383">
        <v>10370.200000000001</v>
      </c>
      <c r="K376" s="159">
        <f>K375+I376-J376</f>
        <v>-5225585.0999999959</v>
      </c>
    </row>
    <row r="377" spans="1:11" ht="15">
      <c r="A377" s="137" t="str">
        <f t="shared" si="5"/>
        <v>HRNOMINA SUCURSALA6</v>
      </c>
      <c r="B377" t="s">
        <v>3498</v>
      </c>
      <c r="C377" s="1">
        <v>45743</v>
      </c>
      <c r="D377" t="s">
        <v>29</v>
      </c>
      <c r="E377" t="s">
        <v>154</v>
      </c>
      <c r="F377" s="3" t="s">
        <v>93</v>
      </c>
      <c r="G377" s="158"/>
      <c r="I377" s="161"/>
      <c r="J377" s="383">
        <v>11891.6</v>
      </c>
      <c r="K377" s="159">
        <f>K376+I377-J377</f>
        <v>-5237476.6999999955</v>
      </c>
    </row>
    <row r="378" spans="1:11" ht="15">
      <c r="A378" s="137" t="str">
        <f t="shared" si="5"/>
        <v>HRNOMINA SUCURSALA8</v>
      </c>
      <c r="B378" t="s">
        <v>3498</v>
      </c>
      <c r="C378" s="1">
        <v>45743</v>
      </c>
      <c r="D378" t="s">
        <v>29</v>
      </c>
      <c r="E378" t="s">
        <v>154</v>
      </c>
      <c r="F378" s="3" t="s">
        <v>94</v>
      </c>
      <c r="G378" s="158"/>
      <c r="I378" s="161"/>
      <c r="J378" s="383">
        <v>17338</v>
      </c>
      <c r="K378" s="159">
        <f>K377+I378-J378</f>
        <v>-5254814.6999999955</v>
      </c>
    </row>
    <row r="379" spans="1:11" ht="15">
      <c r="A379" s="137" t="str">
        <f t="shared" si="5"/>
        <v>HRNOMINA SUCURSALA9</v>
      </c>
      <c r="B379" t="s">
        <v>3498</v>
      </c>
      <c r="C379" s="1">
        <v>45743</v>
      </c>
      <c r="D379" t="s">
        <v>29</v>
      </c>
      <c r="E379" t="s">
        <v>154</v>
      </c>
      <c r="F379" s="3" t="s">
        <v>95</v>
      </c>
      <c r="G379" s="158"/>
      <c r="I379" s="161"/>
      <c r="J379" s="383">
        <v>11701.6</v>
      </c>
      <c r="K379" s="159">
        <f>K378+I379-J379</f>
        <v>-5266516.2999999952</v>
      </c>
    </row>
    <row r="380" spans="1:11" ht="15">
      <c r="A380" s="137" t="str">
        <f t="shared" si="5"/>
        <v>HRNOMINA SUCURSALA10</v>
      </c>
      <c r="B380" t="s">
        <v>3498</v>
      </c>
      <c r="C380" s="1">
        <v>45743</v>
      </c>
      <c r="D380" t="s">
        <v>29</v>
      </c>
      <c r="E380" t="s">
        <v>154</v>
      </c>
      <c r="F380" s="3" t="s">
        <v>96</v>
      </c>
      <c r="G380" s="158"/>
      <c r="I380" s="161"/>
      <c r="J380" s="383">
        <v>15879.8</v>
      </c>
      <c r="K380" s="159">
        <f>K379+I380-J380</f>
        <v>-5282396.099999995</v>
      </c>
    </row>
    <row r="381" spans="1:11" ht="15">
      <c r="A381" s="137" t="str">
        <f t="shared" si="5"/>
        <v>HRNOMINA SUCURSALA11</v>
      </c>
      <c r="B381" t="s">
        <v>3498</v>
      </c>
      <c r="C381" s="1">
        <v>45743</v>
      </c>
      <c r="D381" t="s">
        <v>29</v>
      </c>
      <c r="E381" t="s">
        <v>154</v>
      </c>
      <c r="F381" s="62" t="s">
        <v>97</v>
      </c>
      <c r="G381" s="158"/>
      <c r="I381" s="161"/>
      <c r="J381" s="383">
        <v>13045.6</v>
      </c>
      <c r="K381" s="159">
        <f>K380+I381-J381</f>
        <v>-5295441.6999999946</v>
      </c>
    </row>
    <row r="382" spans="1:11" ht="15">
      <c r="A382" s="137" t="str">
        <f t="shared" si="5"/>
        <v>HRNOMINA SUCURSALA12</v>
      </c>
      <c r="B382" t="s">
        <v>3498</v>
      </c>
      <c r="C382" s="1">
        <v>45743</v>
      </c>
      <c r="D382" t="s">
        <v>29</v>
      </c>
      <c r="E382" t="s">
        <v>154</v>
      </c>
      <c r="F382" s="3" t="s">
        <v>98</v>
      </c>
      <c r="G382" s="158"/>
      <c r="I382" s="161"/>
      <c r="J382" s="383">
        <v>16602.599999999999</v>
      </c>
      <c r="K382" s="159">
        <f>K381+I382-J382</f>
        <v>-5312044.2999999942</v>
      </c>
    </row>
    <row r="383" spans="1:11" ht="15">
      <c r="A383" s="137" t="str">
        <f t="shared" si="5"/>
        <v>HRNOMINA SUCURSALA14</v>
      </c>
      <c r="B383" t="s">
        <v>3498</v>
      </c>
      <c r="C383" s="1">
        <v>45743</v>
      </c>
      <c r="D383" t="s">
        <v>29</v>
      </c>
      <c r="E383" t="s">
        <v>154</v>
      </c>
      <c r="F383" s="3" t="s">
        <v>99</v>
      </c>
      <c r="G383" s="158"/>
      <c r="I383" s="161"/>
      <c r="J383" s="383">
        <v>12755.2</v>
      </c>
      <c r="K383" s="159">
        <f>K382+I383-J383</f>
        <v>-5324799.4999999944</v>
      </c>
    </row>
    <row r="384" spans="1:11" ht="15">
      <c r="A384" s="137" t="str">
        <f t="shared" si="5"/>
        <v>HRNOMINA SUCURSALA15</v>
      </c>
      <c r="B384" t="s">
        <v>3498</v>
      </c>
      <c r="C384" s="1">
        <v>45743</v>
      </c>
      <c r="D384" t="s">
        <v>29</v>
      </c>
      <c r="E384" t="s">
        <v>154</v>
      </c>
      <c r="F384" s="3" t="s">
        <v>100</v>
      </c>
      <c r="G384" s="158"/>
      <c r="I384" s="161"/>
      <c r="J384" s="383">
        <v>11172.6</v>
      </c>
      <c r="K384" s="159">
        <f>K383+I384-J384</f>
        <v>-5335972.099999994</v>
      </c>
    </row>
    <row r="385" spans="1:11" ht="15">
      <c r="A385" s="137" t="str">
        <f t="shared" si="5"/>
        <v>HRNOMINA SUCURSALA16</v>
      </c>
      <c r="B385" t="s">
        <v>3498</v>
      </c>
      <c r="C385" s="1">
        <v>45743</v>
      </c>
      <c r="D385" t="s">
        <v>29</v>
      </c>
      <c r="E385" t="s">
        <v>154</v>
      </c>
      <c r="F385" s="3" t="s">
        <v>101</v>
      </c>
      <c r="G385" s="158"/>
      <c r="I385" s="161"/>
      <c r="J385" s="383">
        <v>16452.599999999999</v>
      </c>
      <c r="K385" s="159">
        <f>K384+I385-J385</f>
        <v>-5352424.6999999937</v>
      </c>
    </row>
    <row r="386" spans="1:11" ht="15">
      <c r="A386" s="137" t="str">
        <f t="shared" si="5"/>
        <v>HRNOMINA SUCURSALA17</v>
      </c>
      <c r="B386" t="s">
        <v>3498</v>
      </c>
      <c r="C386" s="1">
        <v>45743</v>
      </c>
      <c r="D386" t="s">
        <v>29</v>
      </c>
      <c r="E386" t="s">
        <v>154</v>
      </c>
      <c r="F386" s="3" t="s">
        <v>102</v>
      </c>
      <c r="G386" s="158"/>
      <c r="I386" s="161"/>
      <c r="J386" s="383">
        <v>10971.4</v>
      </c>
      <c r="K386" s="159">
        <f>K385+I386-J386</f>
        <v>-5363396.099999994</v>
      </c>
    </row>
    <row r="387" spans="1:11" ht="15">
      <c r="A387" s="137" t="str">
        <f t="shared" si="5"/>
        <v>HRNOMINA SUCURSALA18</v>
      </c>
      <c r="B387" t="s">
        <v>3498</v>
      </c>
      <c r="C387" s="1">
        <v>45743</v>
      </c>
      <c r="D387" t="s">
        <v>29</v>
      </c>
      <c r="E387" t="s">
        <v>154</v>
      </c>
      <c r="F387" s="3" t="s">
        <v>103</v>
      </c>
      <c r="G387" s="158"/>
      <c r="I387" s="161"/>
      <c r="J387" s="383">
        <v>11193.6</v>
      </c>
      <c r="K387" s="159">
        <f>K386+I387-J387</f>
        <v>-5374589.6999999937</v>
      </c>
    </row>
    <row r="388" spans="1:11" ht="15">
      <c r="A388" s="137" t="str">
        <f t="shared" ref="A388:A451" si="6">D388&amp;E388&amp;F388</f>
        <v>HRNOMINA SUCURSALA22</v>
      </c>
      <c r="B388" t="s">
        <v>3498</v>
      </c>
      <c r="C388" s="1">
        <v>45743</v>
      </c>
      <c r="D388" t="s">
        <v>29</v>
      </c>
      <c r="E388" t="s">
        <v>154</v>
      </c>
      <c r="F388" s="3" t="s">
        <v>104</v>
      </c>
      <c r="G388" s="158"/>
      <c r="I388" s="161"/>
      <c r="J388" s="383">
        <v>10483.4</v>
      </c>
      <c r="K388" s="159">
        <f>K387+I388-J388</f>
        <v>-5385073.099999994</v>
      </c>
    </row>
    <row r="389" spans="1:11" ht="15">
      <c r="A389" s="137" t="str">
        <f t="shared" si="6"/>
        <v>HRNOMINA SUCURSALA23</v>
      </c>
      <c r="B389" t="s">
        <v>3498</v>
      </c>
      <c r="C389" s="1">
        <v>45743</v>
      </c>
      <c r="D389" t="s">
        <v>29</v>
      </c>
      <c r="E389" t="s">
        <v>154</v>
      </c>
      <c r="F389" s="3" t="s">
        <v>105</v>
      </c>
      <c r="G389" s="158"/>
      <c r="I389" s="161"/>
      <c r="J389" s="383">
        <v>9795.2000000000007</v>
      </c>
      <c r="K389" s="159">
        <f>K388+I389-J389</f>
        <v>-5394868.2999999942</v>
      </c>
    </row>
    <row r="390" spans="1:11" ht="15">
      <c r="A390" s="137" t="str">
        <f t="shared" si="6"/>
        <v>HRNOMINA SUCURSALA24</v>
      </c>
      <c r="B390" t="s">
        <v>3498</v>
      </c>
      <c r="C390" s="1">
        <v>45743</v>
      </c>
      <c r="D390" t="s">
        <v>29</v>
      </c>
      <c r="E390" t="s">
        <v>154</v>
      </c>
      <c r="F390" s="3" t="s">
        <v>106</v>
      </c>
      <c r="G390" s="158"/>
      <c r="I390" s="161"/>
      <c r="J390" s="383">
        <v>16270.4</v>
      </c>
      <c r="K390" s="159">
        <f>K389+I390-J390</f>
        <v>-5411138.6999999946</v>
      </c>
    </row>
    <row r="391" spans="1:11" ht="15">
      <c r="A391" s="137" t="str">
        <f t="shared" si="6"/>
        <v>CAPNOMINA SUCURSALE1</v>
      </c>
      <c r="B391" t="s">
        <v>3498</v>
      </c>
      <c r="C391" s="1">
        <v>45743</v>
      </c>
      <c r="D391" t="s">
        <v>31</v>
      </c>
      <c r="E391" t="s">
        <v>154</v>
      </c>
      <c r="F391" s="3" t="s">
        <v>107</v>
      </c>
      <c r="G391" s="158"/>
      <c r="I391" s="161"/>
      <c r="J391" s="383">
        <v>14170.2</v>
      </c>
      <c r="K391" s="159">
        <f>K390+I391-J391</f>
        <v>-5425308.8999999948</v>
      </c>
    </row>
    <row r="392" spans="1:11" ht="15">
      <c r="A392" s="137" t="str">
        <f t="shared" si="6"/>
        <v>CAPNOMINA SUCURSALE2</v>
      </c>
      <c r="B392" t="s">
        <v>3498</v>
      </c>
      <c r="C392" s="1">
        <v>45743</v>
      </c>
      <c r="D392" t="s">
        <v>31</v>
      </c>
      <c r="E392" t="s">
        <v>154</v>
      </c>
      <c r="F392" s="3" t="s">
        <v>108</v>
      </c>
      <c r="G392" s="158"/>
      <c r="I392" s="161"/>
      <c r="J392" s="383">
        <v>14606.4</v>
      </c>
      <c r="K392" s="159">
        <f>K391+I392-J392</f>
        <v>-5439915.2999999952</v>
      </c>
    </row>
    <row r="393" spans="1:11" ht="15">
      <c r="A393" s="137" t="str">
        <f t="shared" si="6"/>
        <v>CAPNOMINA SUCURSALE3</v>
      </c>
      <c r="B393" t="s">
        <v>3498</v>
      </c>
      <c r="C393" s="1">
        <v>45743</v>
      </c>
      <c r="D393" t="s">
        <v>31</v>
      </c>
      <c r="E393" t="s">
        <v>154</v>
      </c>
      <c r="F393" s="3" t="s">
        <v>109</v>
      </c>
      <c r="G393" s="158"/>
      <c r="I393" s="161"/>
      <c r="J393" s="383">
        <v>13588.4</v>
      </c>
      <c r="K393" s="159">
        <f>K392+I393-J393</f>
        <v>-5453503.6999999955</v>
      </c>
    </row>
    <row r="394" spans="1:11" ht="15">
      <c r="A394" s="137" t="str">
        <f t="shared" si="6"/>
        <v>CAPNOMINA SUCURSALE4</v>
      </c>
      <c r="B394" t="s">
        <v>3498</v>
      </c>
      <c r="C394" s="1">
        <v>45743</v>
      </c>
      <c r="D394" t="s">
        <v>31</v>
      </c>
      <c r="E394" t="s">
        <v>154</v>
      </c>
      <c r="F394" s="3" t="s">
        <v>110</v>
      </c>
      <c r="G394" s="158"/>
      <c r="I394" s="161"/>
      <c r="J394" s="383">
        <v>15521.4</v>
      </c>
      <c r="K394" s="159">
        <f>K393+I394-J394</f>
        <v>-5469025.0999999959</v>
      </c>
    </row>
    <row r="395" spans="1:11" ht="15">
      <c r="A395" s="137" t="str">
        <f t="shared" si="6"/>
        <v>CAPNOMINA SUCURSALE5</v>
      </c>
      <c r="B395" t="s">
        <v>3498</v>
      </c>
      <c r="C395" s="1">
        <v>45743</v>
      </c>
      <c r="D395" t="s">
        <v>31</v>
      </c>
      <c r="E395" t="s">
        <v>154</v>
      </c>
      <c r="F395" s="3" t="s">
        <v>111</v>
      </c>
      <c r="G395" s="158"/>
      <c r="I395" s="161"/>
      <c r="J395" s="383">
        <v>19650.8</v>
      </c>
      <c r="K395" s="159">
        <f>K394+I395-J395</f>
        <v>-5488675.8999999957</v>
      </c>
    </row>
    <row r="396" spans="1:11" ht="15">
      <c r="A396" s="137" t="str">
        <f t="shared" si="6"/>
        <v>CAPNOMINA SUCURSALE6</v>
      </c>
      <c r="B396" t="s">
        <v>3498</v>
      </c>
      <c r="C396" s="1">
        <v>45743</v>
      </c>
      <c r="D396" t="s">
        <v>31</v>
      </c>
      <c r="E396" t="s">
        <v>154</v>
      </c>
      <c r="F396" s="3" t="s">
        <v>112</v>
      </c>
      <c r="G396" s="158"/>
      <c r="I396" s="161"/>
      <c r="J396" s="383">
        <v>14495.4</v>
      </c>
      <c r="K396" s="159">
        <f>K395+I396-J396</f>
        <v>-5503171.2999999961</v>
      </c>
    </row>
    <row r="397" spans="1:11" ht="15">
      <c r="A397" s="137" t="str">
        <f t="shared" si="6"/>
        <v>CAPNOMINA SUCURSALE7</v>
      </c>
      <c r="B397" t="s">
        <v>3498</v>
      </c>
      <c r="C397" s="1">
        <v>45743</v>
      </c>
      <c r="D397" t="s">
        <v>31</v>
      </c>
      <c r="E397" t="s">
        <v>154</v>
      </c>
      <c r="F397" s="3" t="s">
        <v>113</v>
      </c>
      <c r="G397" s="158"/>
      <c r="I397" s="161"/>
      <c r="J397" s="383">
        <v>12672.8</v>
      </c>
      <c r="K397" s="159">
        <f>K396+I397-J397</f>
        <v>-5515844.0999999959</v>
      </c>
    </row>
    <row r="398" spans="1:11" ht="15">
      <c r="A398" s="137" t="str">
        <f t="shared" si="6"/>
        <v>CAPNOMINA SUCURSALE8</v>
      </c>
      <c r="B398" t="s">
        <v>3498</v>
      </c>
      <c r="C398" s="1">
        <v>45743</v>
      </c>
      <c r="D398" t="s">
        <v>31</v>
      </c>
      <c r="E398" t="s">
        <v>154</v>
      </c>
      <c r="F398" s="3" t="s">
        <v>114</v>
      </c>
      <c r="G398" s="158"/>
      <c r="I398" s="161"/>
      <c r="J398" s="383">
        <v>25761.599999999999</v>
      </c>
      <c r="K398" s="159">
        <f>K397+I398-J398</f>
        <v>-5541605.6999999955</v>
      </c>
    </row>
    <row r="399" spans="1:11" ht="15">
      <c r="A399" s="137" t="str">
        <f t="shared" si="6"/>
        <v>CAPNOMINA SUCURSALE9</v>
      </c>
      <c r="B399" t="s">
        <v>3498</v>
      </c>
      <c r="C399" s="1">
        <v>45743</v>
      </c>
      <c r="D399" t="s">
        <v>31</v>
      </c>
      <c r="E399" t="s">
        <v>154</v>
      </c>
      <c r="F399" s="3" t="s">
        <v>116</v>
      </c>
      <c r="G399" s="158"/>
      <c r="I399" s="161"/>
      <c r="J399" s="383">
        <v>8011</v>
      </c>
      <c r="K399" s="159">
        <f>K398+I399-J399</f>
        <v>-5549616.6999999955</v>
      </c>
    </row>
    <row r="400" spans="1:11" ht="15">
      <c r="A400" s="137" t="str">
        <f t="shared" si="6"/>
        <v>ELINOMINA SUCURSALL1</v>
      </c>
      <c r="B400" t="s">
        <v>3498</v>
      </c>
      <c r="C400" s="1">
        <v>45743</v>
      </c>
      <c r="D400" t="s">
        <v>130</v>
      </c>
      <c r="E400" t="s">
        <v>154</v>
      </c>
      <c r="F400" s="3" t="s">
        <v>136</v>
      </c>
      <c r="G400" s="158"/>
      <c r="I400" s="161"/>
      <c r="J400" s="383">
        <v>8546.4</v>
      </c>
      <c r="K400" s="159">
        <f>K399+I400-J400</f>
        <v>-5558163.0999999959</v>
      </c>
    </row>
    <row r="401" spans="1:11" ht="15">
      <c r="A401" s="137" t="str">
        <f t="shared" si="6"/>
        <v>HRNOMINA ADMONHR</v>
      </c>
      <c r="B401" t="s">
        <v>3498</v>
      </c>
      <c r="C401" s="1">
        <v>45743</v>
      </c>
      <c r="D401" t="s">
        <v>29</v>
      </c>
      <c r="E401" t="s">
        <v>147</v>
      </c>
      <c r="F401" s="3" t="s">
        <v>29</v>
      </c>
      <c r="I401" s="161"/>
      <c r="J401" s="383">
        <v>31445.21</v>
      </c>
      <c r="K401" s="159">
        <f>K400+I401-J401</f>
        <v>-5589608.3099999959</v>
      </c>
    </row>
    <row r="402" spans="1:11" ht="15">
      <c r="A402" s="137" t="str">
        <f t="shared" si="6"/>
        <v>CAPNOMINA ADMONCAPRICHOS</v>
      </c>
      <c r="B402" t="s">
        <v>3498</v>
      </c>
      <c r="C402" s="1">
        <v>45743</v>
      </c>
      <c r="D402" t="s">
        <v>31</v>
      </c>
      <c r="E402" t="s">
        <v>147</v>
      </c>
      <c r="F402" s="12" t="s">
        <v>33</v>
      </c>
      <c r="I402" s="161"/>
      <c r="J402" s="383">
        <v>27308.51</v>
      </c>
      <c r="K402" s="159">
        <f>K401+I402-J402</f>
        <v>-5616916.8199999956</v>
      </c>
    </row>
    <row r="403" spans="1:11" ht="15">
      <c r="A403" s="137" t="str">
        <f t="shared" si="6"/>
        <v>SERVICIOSNOMINA SUCURSALCEDIS</v>
      </c>
      <c r="B403" t="s">
        <v>3498</v>
      </c>
      <c r="C403" s="1">
        <v>45743</v>
      </c>
      <c r="D403" t="s">
        <v>21</v>
      </c>
      <c r="E403" t="s">
        <v>154</v>
      </c>
      <c r="F403" s="12" t="s">
        <v>28</v>
      </c>
      <c r="I403" s="161"/>
      <c r="J403" s="383">
        <v>69616.38</v>
      </c>
      <c r="K403" s="159">
        <f>K402+I403-J403</f>
        <v>-5686533.1999999955</v>
      </c>
    </row>
    <row r="404" spans="1:11" ht="15">
      <c r="A404" s="137" t="str">
        <f t="shared" si="6"/>
        <v>SERVICIOSNOMINA ADMONINVENTARIOS</v>
      </c>
      <c r="B404" t="s">
        <v>3498</v>
      </c>
      <c r="C404" s="1">
        <v>45743</v>
      </c>
      <c r="D404" t="s">
        <v>21</v>
      </c>
      <c r="E404" t="s">
        <v>147</v>
      </c>
      <c r="F404" s="12" t="s">
        <v>34</v>
      </c>
      <c r="I404" s="161"/>
      <c r="J404" s="383">
        <v>2800</v>
      </c>
      <c r="K404" s="159">
        <f>K403+I404-J404</f>
        <v>-5689333.1999999955</v>
      </c>
    </row>
    <row r="405" spans="1:11" ht="15">
      <c r="A405" s="137" t="str">
        <f t="shared" si="6"/>
        <v>SERVICIOSNOMINA ADMONMANTENIMIENTO</v>
      </c>
      <c r="B405" t="s">
        <v>3498</v>
      </c>
      <c r="C405" s="1">
        <v>45743</v>
      </c>
      <c r="D405" t="s">
        <v>21</v>
      </c>
      <c r="E405" t="s">
        <v>147</v>
      </c>
      <c r="F405" s="12" t="s">
        <v>35</v>
      </c>
      <c r="I405" s="161"/>
      <c r="J405" s="383">
        <v>11486.83</v>
      </c>
      <c r="K405" s="159">
        <f>K404+I405-J405</f>
        <v>-5700820.0299999956</v>
      </c>
    </row>
    <row r="406" spans="1:11" ht="15">
      <c r="A406" s="137" t="str">
        <f t="shared" si="6"/>
        <v>SERVICIOSNOMINA ADMONCADENA DE SUMINISTROS</v>
      </c>
      <c r="B406" t="s">
        <v>3498</v>
      </c>
      <c r="C406" s="1">
        <v>45743</v>
      </c>
      <c r="D406" t="s">
        <v>21</v>
      </c>
      <c r="E406" t="s">
        <v>147</v>
      </c>
      <c r="F406" s="12" t="s">
        <v>134</v>
      </c>
      <c r="I406" s="161"/>
      <c r="J406" s="383">
        <v>19418.2</v>
      </c>
      <c r="K406" s="159">
        <f>K405+I406-J406</f>
        <v>-5720238.2299999958</v>
      </c>
    </row>
    <row r="407" spans="1:11" ht="15">
      <c r="A407" s="137" t="str">
        <f t="shared" si="6"/>
        <v>SERVICIOSNOMINA ADMONSISTEMAS</v>
      </c>
      <c r="B407" t="s">
        <v>3498</v>
      </c>
      <c r="C407" s="1">
        <v>45743</v>
      </c>
      <c r="D407" t="s">
        <v>21</v>
      </c>
      <c r="E407" t="s">
        <v>147</v>
      </c>
      <c r="F407" s="12" t="s">
        <v>36</v>
      </c>
      <c r="I407" s="161"/>
      <c r="J407" s="383">
        <v>10147.49</v>
      </c>
      <c r="K407" s="159">
        <f>K406+I407-J407</f>
        <v>-5730385.719999996</v>
      </c>
    </row>
    <row r="408" spans="1:11" ht="15">
      <c r="A408" s="137" t="str">
        <f t="shared" si="6"/>
        <v>SERVICIOSNOMINA ADMONCOMPRAS</v>
      </c>
      <c r="B408" t="s">
        <v>3498</v>
      </c>
      <c r="C408" s="1">
        <v>45743</v>
      </c>
      <c r="D408" t="s">
        <v>21</v>
      </c>
      <c r="E408" t="s">
        <v>147</v>
      </c>
      <c r="F408" s="12" t="s">
        <v>148</v>
      </c>
      <c r="I408" s="161"/>
      <c r="J408" s="383">
        <v>23523.11</v>
      </c>
      <c r="K408" s="159">
        <f>K407+I408-J408</f>
        <v>-5753908.8299999963</v>
      </c>
    </row>
    <row r="409" spans="1:11" ht="15">
      <c r="A409" s="137" t="str">
        <f t="shared" si="6"/>
        <v>FINANZASNOMINA ADMONCONTABILIDAD</v>
      </c>
      <c r="B409" t="s">
        <v>3498</v>
      </c>
      <c r="C409" s="1">
        <v>45743</v>
      </c>
      <c r="D409" t="s">
        <v>23</v>
      </c>
      <c r="E409" t="s">
        <v>147</v>
      </c>
      <c r="F409" s="12" t="s">
        <v>37</v>
      </c>
      <c r="I409" s="161"/>
      <c r="J409" s="383">
        <v>12773.8</v>
      </c>
      <c r="K409" s="159">
        <f>K408+I409-J409</f>
        <v>-5766682.6299999962</v>
      </c>
    </row>
    <row r="410" spans="1:11" ht="15">
      <c r="A410" s="137" t="str">
        <f t="shared" si="6"/>
        <v>FINANZASNOMINA ADMONFINANZAS/LEGAL</v>
      </c>
      <c r="B410" t="s">
        <v>3498</v>
      </c>
      <c r="C410" s="1">
        <v>45743</v>
      </c>
      <c r="D410" t="s">
        <v>23</v>
      </c>
      <c r="E410" t="s">
        <v>147</v>
      </c>
      <c r="F410" s="12" t="s">
        <v>149</v>
      </c>
      <c r="J410" s="383">
        <v>9897.19</v>
      </c>
      <c r="K410" s="69">
        <f>K409+I410-J410</f>
        <v>-5776579.8199999966</v>
      </c>
    </row>
    <row r="411" spans="1:11" ht="15">
      <c r="A411" s="137" t="str">
        <f t="shared" si="6"/>
        <v>FINANZASNOMINA ADMONRECURSOS HUMANOS</v>
      </c>
      <c r="B411" t="s">
        <v>3498</v>
      </c>
      <c r="C411" s="1">
        <v>45743</v>
      </c>
      <c r="D411" t="s">
        <v>23</v>
      </c>
      <c r="E411" t="s">
        <v>147</v>
      </c>
      <c r="F411" s="12" t="s">
        <v>125</v>
      </c>
      <c r="H411" s="98"/>
      <c r="J411" s="383">
        <v>10931.76</v>
      </c>
      <c r="K411" s="69">
        <f>K410+I411-J411</f>
        <v>-5787511.5799999963</v>
      </c>
    </row>
    <row r="412" spans="1:11" ht="15">
      <c r="A412" s="137" t="str">
        <f t="shared" si="6"/>
        <v>FINANZASNOMINA ADMONTESORERIA</v>
      </c>
      <c r="B412" t="s">
        <v>3498</v>
      </c>
      <c r="C412" s="1">
        <v>45743</v>
      </c>
      <c r="D412" t="s">
        <v>23</v>
      </c>
      <c r="E412" t="s">
        <v>147</v>
      </c>
      <c r="F412" s="12" t="s">
        <v>38</v>
      </c>
      <c r="J412" s="383">
        <v>12109.4</v>
      </c>
      <c r="K412" s="69">
        <f>K411+I412-J412</f>
        <v>-5799620.9799999967</v>
      </c>
    </row>
    <row r="413" spans="1:11" ht="15">
      <c r="A413" s="137" t="str">
        <f t="shared" si="6"/>
        <v>FINANZASNOMINA ADMONHBG FINANZAS</v>
      </c>
      <c r="B413" t="s">
        <v>3498</v>
      </c>
      <c r="C413" s="1">
        <v>45743</v>
      </c>
      <c r="D413" t="s">
        <v>23</v>
      </c>
      <c r="E413" t="s">
        <v>147</v>
      </c>
      <c r="F413" s="12" t="s">
        <v>150</v>
      </c>
      <c r="J413" s="383">
        <v>3057</v>
      </c>
      <c r="K413" s="69">
        <f>K412+I413-J413</f>
        <v>-5802677.9799999967</v>
      </c>
    </row>
    <row r="414" spans="1:11" ht="15">
      <c r="A414" s="137" t="str">
        <f t="shared" si="6"/>
        <v>SGENOMINA ADMONGESTION EMPRESARIAL</v>
      </c>
      <c r="B414" t="s">
        <v>3498</v>
      </c>
      <c r="C414" s="1">
        <v>45743</v>
      </c>
      <c r="D414" t="s">
        <v>39</v>
      </c>
      <c r="E414" t="s">
        <v>147</v>
      </c>
      <c r="F414" s="12" t="s">
        <v>40</v>
      </c>
      <c r="J414" s="383">
        <v>21500.400000000001</v>
      </c>
      <c r="K414" s="69">
        <f>K413+I414-J414</f>
        <v>-5824178.3799999971</v>
      </c>
    </row>
    <row r="415" spans="1:11" ht="15">
      <c r="A415" s="137" t="str">
        <f t="shared" si="6"/>
        <v>DENOMINA ADMONDIRECCION</v>
      </c>
      <c r="B415" t="s">
        <v>3498</v>
      </c>
      <c r="C415" s="1">
        <v>45743</v>
      </c>
      <c r="D415" t="s">
        <v>41</v>
      </c>
      <c r="E415" t="s">
        <v>147</v>
      </c>
      <c r="F415" s="12" t="s">
        <v>42</v>
      </c>
      <c r="J415" s="383">
        <v>6000.2</v>
      </c>
      <c r="K415" s="69">
        <f>K414+I415-J415</f>
        <v>-5830178.5799999973</v>
      </c>
    </row>
    <row r="416" spans="1:11" ht="15">
      <c r="A416" s="137" t="str">
        <f t="shared" si="6"/>
        <v>FINANZASNOMINA ADMONHBG FINANZAS</v>
      </c>
      <c r="B416" t="s">
        <v>3498</v>
      </c>
      <c r="C416" s="1">
        <v>45743</v>
      </c>
      <c r="D416" t="s">
        <v>23</v>
      </c>
      <c r="E416" t="s">
        <v>147</v>
      </c>
      <c r="F416" s="12" t="s">
        <v>150</v>
      </c>
      <c r="J416" s="383">
        <v>10950</v>
      </c>
      <c r="K416" s="69">
        <f>K415+I416-J416</f>
        <v>-5841128.5799999973</v>
      </c>
    </row>
    <row r="417" spans="1:11" ht="15">
      <c r="A417" s="137" t="str">
        <f t="shared" si="6"/>
        <v>HRNOMINA ADMONHR</v>
      </c>
      <c r="B417" t="s">
        <v>3498</v>
      </c>
      <c r="C417" s="1">
        <v>45743</v>
      </c>
      <c r="D417" t="s">
        <v>29</v>
      </c>
      <c r="E417" t="s">
        <v>147</v>
      </c>
      <c r="F417" s="3" t="s">
        <v>29</v>
      </c>
      <c r="J417" s="383">
        <v>5500</v>
      </c>
      <c r="K417" s="69">
        <f>K416+I417-J417</f>
        <v>-5846628.5799999973</v>
      </c>
    </row>
    <row r="418" spans="1:11" ht="15">
      <c r="A418" s="137" t="str">
        <f t="shared" si="6"/>
        <v>CAPNOMINA ADMONCAPRICHOS</v>
      </c>
      <c r="B418" t="s">
        <v>3498</v>
      </c>
      <c r="C418" s="1">
        <v>45743</v>
      </c>
      <c r="D418" t="s">
        <v>31</v>
      </c>
      <c r="E418" t="s">
        <v>147</v>
      </c>
      <c r="F418" s="12" t="s">
        <v>33</v>
      </c>
      <c r="J418" s="383">
        <v>3700</v>
      </c>
      <c r="K418" s="69">
        <f>K417+I418-J418</f>
        <v>-5850328.5799999973</v>
      </c>
    </row>
    <row r="419" spans="1:11" ht="15">
      <c r="A419" s="137" t="str">
        <f t="shared" si="6"/>
        <v>SGENOMINA ADMONGESTION EMPRESARIAL</v>
      </c>
      <c r="B419" t="s">
        <v>3498</v>
      </c>
      <c r="C419" s="1">
        <v>45743</v>
      </c>
      <c r="D419" t="s">
        <v>39</v>
      </c>
      <c r="E419" t="s">
        <v>147</v>
      </c>
      <c r="F419" s="12" t="s">
        <v>40</v>
      </c>
      <c r="J419" s="383">
        <v>2750</v>
      </c>
      <c r="K419" s="69">
        <f>K418+I419-J419</f>
        <v>-5853078.5799999973</v>
      </c>
    </row>
    <row r="420" spans="1:11" ht="15">
      <c r="A420" s="137" t="str">
        <f t="shared" si="6"/>
        <v>SERVICIOSNOMINA ADMONSERVICIOS</v>
      </c>
      <c r="B420" t="s">
        <v>3498</v>
      </c>
      <c r="C420" s="1">
        <v>45743</v>
      </c>
      <c r="D420" t="s">
        <v>21</v>
      </c>
      <c r="E420" t="s">
        <v>147</v>
      </c>
      <c r="F420" s="12" t="s">
        <v>21</v>
      </c>
      <c r="J420" s="383">
        <v>4750</v>
      </c>
      <c r="K420" s="69">
        <f>K419+I420-J420</f>
        <v>-5857828.5799999973</v>
      </c>
    </row>
    <row r="421" spans="1:11" ht="15">
      <c r="A421" s="137" t="str">
        <f t="shared" si="6"/>
        <v>DENOMINA ADMONDIRECCION</v>
      </c>
      <c r="B421" t="s">
        <v>3498</v>
      </c>
      <c r="C421" s="1">
        <v>45743</v>
      </c>
      <c r="D421" t="s">
        <v>41</v>
      </c>
      <c r="E421" t="s">
        <v>147</v>
      </c>
      <c r="F421" s="12" t="s">
        <v>42</v>
      </c>
      <c r="J421" s="383">
        <v>5750</v>
      </c>
      <c r="K421" s="69">
        <f>K420+I421-J421</f>
        <v>-5863578.5799999973</v>
      </c>
    </row>
    <row r="422" spans="1:11" ht="15">
      <c r="A422" s="137" t="str">
        <f t="shared" si="6"/>
        <v>MMNOMINA ADMONMARKET MAX</v>
      </c>
      <c r="B422" t="s">
        <v>3498</v>
      </c>
      <c r="C422" s="1">
        <v>45743</v>
      </c>
      <c r="D422" t="s">
        <v>45</v>
      </c>
      <c r="E422" t="s">
        <v>147</v>
      </c>
      <c r="F422" s="12" t="s">
        <v>46</v>
      </c>
      <c r="J422" s="383">
        <v>2000</v>
      </c>
      <c r="K422" s="69">
        <f>K421+I422-J422</f>
        <v>-5865578.5799999973</v>
      </c>
    </row>
    <row r="423" spans="1:11" ht="15">
      <c r="A423" s="137" t="str">
        <f t="shared" si="6"/>
        <v>CAPVACACIONES/FINIQUITOSCAPRICHOS</v>
      </c>
      <c r="B423" t="s">
        <v>3498</v>
      </c>
      <c r="C423" s="1">
        <v>45743</v>
      </c>
      <c r="D423" t="s">
        <v>31</v>
      </c>
      <c r="E423" t="s">
        <v>190</v>
      </c>
      <c r="F423" t="s">
        <v>33</v>
      </c>
      <c r="J423" s="383">
        <v>3857.14</v>
      </c>
      <c r="K423" s="69">
        <f>K422+I423-J423</f>
        <v>-5869435.7199999969</v>
      </c>
    </row>
    <row r="424" spans="1:11" ht="15">
      <c r="A424" s="137" t="str">
        <f t="shared" si="6"/>
        <v>CAPVACACIONES/FINIQUITOSCAPRICHOS</v>
      </c>
      <c r="B424" t="s">
        <v>3498</v>
      </c>
      <c r="C424" s="1">
        <v>45743</v>
      </c>
      <c r="D424" t="s">
        <v>31</v>
      </c>
      <c r="E424" t="s">
        <v>190</v>
      </c>
      <c r="F424" t="s">
        <v>33</v>
      </c>
      <c r="J424" s="383">
        <v>9642.86</v>
      </c>
      <c r="K424" s="69">
        <f>K423+I424-J424</f>
        <v>-5879078.5799999973</v>
      </c>
    </row>
    <row r="425" spans="1:11" ht="15">
      <c r="A425" s="137" t="str">
        <f t="shared" si="6"/>
        <v>SERVICIOSVACACIONES/FINIQUITOSSERVICIOS</v>
      </c>
      <c r="B425" t="s">
        <v>3498</v>
      </c>
      <c r="C425" s="1">
        <v>45743</v>
      </c>
      <c r="D425" t="s">
        <v>21</v>
      </c>
      <c r="E425" t="s">
        <v>190</v>
      </c>
      <c r="F425" t="s">
        <v>21</v>
      </c>
      <c r="J425" s="383">
        <v>6782.86</v>
      </c>
      <c r="K425" s="69">
        <f>K424+I425-J425</f>
        <v>-5885861.4399999976</v>
      </c>
    </row>
    <row r="426" spans="1:11" ht="15">
      <c r="A426" s="137" t="str">
        <f t="shared" si="6"/>
        <v>HRNOMINA SUCURSALA1</v>
      </c>
      <c r="B426" t="s">
        <v>3498</v>
      </c>
      <c r="C426" s="1">
        <v>45750</v>
      </c>
      <c r="D426" t="s">
        <v>29</v>
      </c>
      <c r="E426" t="s">
        <v>154</v>
      </c>
      <c r="F426" s="3" t="s">
        <v>88</v>
      </c>
      <c r="J426" s="383">
        <v>12709.4</v>
      </c>
      <c r="K426" s="69">
        <f>K425+I426-J426</f>
        <v>-5898570.839999998</v>
      </c>
    </row>
    <row r="427" spans="1:11" ht="15">
      <c r="A427" s="137" t="str">
        <f t="shared" si="6"/>
        <v>HRNOMINA SUCURSALA2</v>
      </c>
      <c r="B427" t="s">
        <v>3498</v>
      </c>
      <c r="C427" s="1">
        <v>45750</v>
      </c>
      <c r="D427" t="s">
        <v>29</v>
      </c>
      <c r="E427" t="s">
        <v>154</v>
      </c>
      <c r="F427" s="3" t="s">
        <v>89</v>
      </c>
      <c r="J427" s="383">
        <v>13484</v>
      </c>
      <c r="K427" s="69">
        <f>K426+I427-J427</f>
        <v>-5912054.839999998</v>
      </c>
    </row>
    <row r="428" spans="1:11" ht="15">
      <c r="A428" s="137" t="str">
        <f t="shared" si="6"/>
        <v>HRNOMINA SUCURSALA3</v>
      </c>
      <c r="B428" t="s">
        <v>3498</v>
      </c>
      <c r="C428" s="1">
        <v>45750</v>
      </c>
      <c r="D428" t="s">
        <v>29</v>
      </c>
      <c r="E428" t="s">
        <v>154</v>
      </c>
      <c r="F428" s="3" t="s">
        <v>90</v>
      </c>
      <c r="J428" s="383">
        <v>11092.6</v>
      </c>
      <c r="K428" s="69">
        <f>K427+I428-J428</f>
        <v>-5923147.4399999976</v>
      </c>
    </row>
    <row r="429" spans="1:11" ht="15">
      <c r="A429" s="137" t="str">
        <f t="shared" si="6"/>
        <v>HRNOMINA SUCURSALA4</v>
      </c>
      <c r="B429" t="s">
        <v>3498</v>
      </c>
      <c r="C429" s="1">
        <v>45750</v>
      </c>
      <c r="D429" t="s">
        <v>29</v>
      </c>
      <c r="E429" t="s">
        <v>154</v>
      </c>
      <c r="F429" s="3" t="s">
        <v>91</v>
      </c>
      <c r="J429" s="383">
        <v>9428.7999999999993</v>
      </c>
      <c r="K429" s="69">
        <f>K428+I429-J429</f>
        <v>-5932576.2399999974</v>
      </c>
    </row>
    <row r="430" spans="1:11" ht="15">
      <c r="A430" s="137" t="str">
        <f t="shared" si="6"/>
        <v>HRNOMINA SUCURSALA5</v>
      </c>
      <c r="B430" t="s">
        <v>3498</v>
      </c>
      <c r="C430" s="1">
        <v>45750</v>
      </c>
      <c r="D430" t="s">
        <v>29</v>
      </c>
      <c r="E430" t="s">
        <v>154</v>
      </c>
      <c r="F430" s="3" t="s">
        <v>92</v>
      </c>
      <c r="J430" s="383">
        <v>12218.41</v>
      </c>
      <c r="K430" s="69">
        <f>K429+I430-J430</f>
        <v>-5944794.6499999976</v>
      </c>
    </row>
    <row r="431" spans="1:11" ht="15">
      <c r="A431" s="137" t="str">
        <f t="shared" si="6"/>
        <v>HRNOMINA SUCURSALA6</v>
      </c>
      <c r="B431" t="s">
        <v>3498</v>
      </c>
      <c r="C431" s="1">
        <v>45750</v>
      </c>
      <c r="D431" t="s">
        <v>29</v>
      </c>
      <c r="E431" t="s">
        <v>154</v>
      </c>
      <c r="F431" s="3" t="s">
        <v>93</v>
      </c>
      <c r="J431" s="383">
        <v>13805.75</v>
      </c>
      <c r="K431" s="69">
        <f>K430+I431-J431</f>
        <v>-5958600.3999999976</v>
      </c>
    </row>
    <row r="432" spans="1:11" ht="15">
      <c r="A432" s="137" t="str">
        <f t="shared" si="6"/>
        <v>HRNOMINA SUCURSALA8</v>
      </c>
      <c r="B432" t="s">
        <v>3498</v>
      </c>
      <c r="C432" s="1">
        <v>45750</v>
      </c>
      <c r="D432" t="s">
        <v>29</v>
      </c>
      <c r="E432" t="s">
        <v>154</v>
      </c>
      <c r="F432" s="3" t="s">
        <v>94</v>
      </c>
      <c r="J432" s="383">
        <v>17042.8</v>
      </c>
      <c r="K432" s="69">
        <f>K431+I432-J432</f>
        <v>-5975643.1999999974</v>
      </c>
    </row>
    <row r="433" spans="1:11" ht="15">
      <c r="A433" s="137" t="str">
        <f t="shared" si="6"/>
        <v>HRNOMINA SUCURSALA9</v>
      </c>
      <c r="B433" t="s">
        <v>3498</v>
      </c>
      <c r="C433" s="1">
        <v>45750</v>
      </c>
      <c r="D433" t="s">
        <v>29</v>
      </c>
      <c r="E433" t="s">
        <v>154</v>
      </c>
      <c r="F433" s="3" t="s">
        <v>95</v>
      </c>
      <c r="J433" s="383">
        <v>10929.69</v>
      </c>
      <c r="K433" s="69">
        <f>K432+I433-J433</f>
        <v>-5986572.8899999978</v>
      </c>
    </row>
    <row r="434" spans="1:11" ht="15">
      <c r="A434" s="137" t="str">
        <f t="shared" si="6"/>
        <v>HRNOMINA SUCURSALA10</v>
      </c>
      <c r="B434" t="s">
        <v>3498</v>
      </c>
      <c r="C434" s="1">
        <v>45750</v>
      </c>
      <c r="D434" t="s">
        <v>29</v>
      </c>
      <c r="E434" t="s">
        <v>154</v>
      </c>
      <c r="F434" s="3" t="s">
        <v>96</v>
      </c>
      <c r="J434" s="383">
        <v>16491.2</v>
      </c>
      <c r="K434" s="69">
        <f>K433+I434-J434</f>
        <v>-6003064.089999998</v>
      </c>
    </row>
    <row r="435" spans="1:11" ht="15">
      <c r="A435" s="137" t="str">
        <f t="shared" si="6"/>
        <v>HRNOMINA SUCURSALA11</v>
      </c>
      <c r="B435" t="s">
        <v>3498</v>
      </c>
      <c r="C435" s="1">
        <v>45750</v>
      </c>
      <c r="D435" t="s">
        <v>29</v>
      </c>
      <c r="E435" t="s">
        <v>154</v>
      </c>
      <c r="F435" s="62" t="s">
        <v>97</v>
      </c>
      <c r="J435" s="383">
        <v>13100</v>
      </c>
      <c r="K435" s="69">
        <f>K434+I435-J435</f>
        <v>-6016164.089999998</v>
      </c>
    </row>
    <row r="436" spans="1:11" ht="15">
      <c r="A436" s="137" t="str">
        <f t="shared" si="6"/>
        <v>HRNOMINA SUCURSALA12</v>
      </c>
      <c r="B436" t="s">
        <v>3498</v>
      </c>
      <c r="C436" s="1">
        <v>45750</v>
      </c>
      <c r="D436" t="s">
        <v>29</v>
      </c>
      <c r="E436" t="s">
        <v>154</v>
      </c>
      <c r="F436" s="3" t="s">
        <v>98</v>
      </c>
      <c r="J436" s="383">
        <v>18880.8</v>
      </c>
      <c r="K436" s="69">
        <f>K435+I436-J436</f>
        <v>-6035044.8899999978</v>
      </c>
    </row>
    <row r="437" spans="1:11" ht="15">
      <c r="A437" s="137" t="str">
        <f t="shared" si="6"/>
        <v>HRNOMINA SUCURSALA14</v>
      </c>
      <c r="B437" t="s">
        <v>3498</v>
      </c>
      <c r="C437" s="1">
        <v>45750</v>
      </c>
      <c r="D437" t="s">
        <v>29</v>
      </c>
      <c r="E437" t="s">
        <v>154</v>
      </c>
      <c r="F437" s="3" t="s">
        <v>99</v>
      </c>
      <c r="J437" s="383">
        <v>12795.2</v>
      </c>
      <c r="K437" s="69">
        <f>K436+I437-J437</f>
        <v>-6047840.089999998</v>
      </c>
    </row>
    <row r="438" spans="1:11" ht="15">
      <c r="A438" s="137" t="str">
        <f t="shared" si="6"/>
        <v>HRNOMINA SUCURSALA15</v>
      </c>
      <c r="B438" t="s">
        <v>3498</v>
      </c>
      <c r="C438" s="1">
        <v>45750</v>
      </c>
      <c r="D438" t="s">
        <v>29</v>
      </c>
      <c r="E438" t="s">
        <v>154</v>
      </c>
      <c r="F438" s="3" t="s">
        <v>100</v>
      </c>
      <c r="J438" s="383">
        <v>11607.4</v>
      </c>
      <c r="K438" s="69">
        <f>K437+I438-J438</f>
        <v>-6059447.4899999984</v>
      </c>
    </row>
    <row r="439" spans="1:11" ht="15">
      <c r="A439" s="137" t="str">
        <f t="shared" si="6"/>
        <v>HRNOMINA SUCURSALA16</v>
      </c>
      <c r="B439" t="s">
        <v>3498</v>
      </c>
      <c r="C439" s="1">
        <v>45750</v>
      </c>
      <c r="D439" t="s">
        <v>29</v>
      </c>
      <c r="E439" t="s">
        <v>154</v>
      </c>
      <c r="F439" s="3" t="s">
        <v>101</v>
      </c>
      <c r="J439" s="383">
        <v>16565.09</v>
      </c>
      <c r="K439" s="69">
        <f>K438+I439-J439</f>
        <v>-6076012.5799999982</v>
      </c>
    </row>
    <row r="440" spans="1:11" ht="15">
      <c r="A440" s="137" t="str">
        <f t="shared" si="6"/>
        <v>HRNOMINA SUCURSALA17</v>
      </c>
      <c r="B440" t="s">
        <v>3498</v>
      </c>
      <c r="C440" s="1">
        <v>45750</v>
      </c>
      <c r="D440" t="s">
        <v>29</v>
      </c>
      <c r="E440" t="s">
        <v>154</v>
      </c>
      <c r="F440" s="3" t="s">
        <v>102</v>
      </c>
      <c r="J440" s="383">
        <v>10265.6</v>
      </c>
      <c r="K440" s="69">
        <f>K439+I440-J440</f>
        <v>-6086278.1799999978</v>
      </c>
    </row>
    <row r="441" spans="1:11" ht="15">
      <c r="A441" s="137" t="str">
        <f t="shared" si="6"/>
        <v>HRNOMINA SUCURSALA18</v>
      </c>
      <c r="B441" t="s">
        <v>3498</v>
      </c>
      <c r="C441" s="1">
        <v>45750</v>
      </c>
      <c r="D441" t="s">
        <v>29</v>
      </c>
      <c r="E441" t="s">
        <v>154</v>
      </c>
      <c r="F441" s="3" t="s">
        <v>103</v>
      </c>
      <c r="J441" s="383">
        <v>12637</v>
      </c>
      <c r="K441" s="69">
        <f>K440+I441-J441</f>
        <v>-6098915.1799999978</v>
      </c>
    </row>
    <row r="442" spans="1:11" ht="15">
      <c r="A442" s="137" t="str">
        <f t="shared" si="6"/>
        <v>HRNOMINA SUCURSALA22</v>
      </c>
      <c r="B442" t="s">
        <v>3498</v>
      </c>
      <c r="C442" s="1">
        <v>45750</v>
      </c>
      <c r="D442" t="s">
        <v>29</v>
      </c>
      <c r="E442" t="s">
        <v>154</v>
      </c>
      <c r="F442" s="3" t="s">
        <v>104</v>
      </c>
      <c r="J442" s="383">
        <v>12829.4</v>
      </c>
      <c r="K442" s="69">
        <f>K441+I442-J442</f>
        <v>-6111744.5799999982</v>
      </c>
    </row>
    <row r="443" spans="1:11" ht="15">
      <c r="A443" s="137" t="str">
        <f t="shared" si="6"/>
        <v>HRNOMINA SUCURSALA23</v>
      </c>
      <c r="B443" t="s">
        <v>3498</v>
      </c>
      <c r="C443" s="1">
        <v>45750</v>
      </c>
      <c r="D443" t="s">
        <v>29</v>
      </c>
      <c r="E443" t="s">
        <v>154</v>
      </c>
      <c r="F443" s="3" t="s">
        <v>105</v>
      </c>
      <c r="J443" s="383">
        <v>7720</v>
      </c>
      <c r="K443" s="69">
        <f>K442+I443-J443</f>
        <v>-6119464.5799999982</v>
      </c>
    </row>
    <row r="444" spans="1:11" ht="15">
      <c r="A444" s="137" t="str">
        <f t="shared" si="6"/>
        <v>HRNOMINA SUCURSALA24</v>
      </c>
      <c r="B444" t="s">
        <v>3498</v>
      </c>
      <c r="C444" s="1">
        <v>45750</v>
      </c>
      <c r="D444" t="s">
        <v>29</v>
      </c>
      <c r="E444" t="s">
        <v>154</v>
      </c>
      <c r="F444" s="3" t="s">
        <v>106</v>
      </c>
      <c r="J444" s="383">
        <v>15865.4</v>
      </c>
      <c r="K444" s="69">
        <f>K443+I444-J444</f>
        <v>-6135329.9799999986</v>
      </c>
    </row>
    <row r="445" spans="1:11" ht="15">
      <c r="A445" s="137" t="str">
        <f t="shared" si="6"/>
        <v>CAPNOMINA SUCURSALE1</v>
      </c>
      <c r="B445" t="s">
        <v>3498</v>
      </c>
      <c r="C445" s="1">
        <v>45750</v>
      </c>
      <c r="D445" t="s">
        <v>31</v>
      </c>
      <c r="E445" t="s">
        <v>154</v>
      </c>
      <c r="F445" s="3" t="s">
        <v>107</v>
      </c>
      <c r="J445" s="383">
        <v>16079</v>
      </c>
      <c r="K445" s="69">
        <f>K444+I445-J445</f>
        <v>-6151408.9799999986</v>
      </c>
    </row>
    <row r="446" spans="1:11" ht="15">
      <c r="A446" s="137" t="str">
        <f t="shared" si="6"/>
        <v>CAPNOMINA SUCURSALE2</v>
      </c>
      <c r="B446" t="s">
        <v>3498</v>
      </c>
      <c r="C446" s="1">
        <v>45750</v>
      </c>
      <c r="D446" t="s">
        <v>31</v>
      </c>
      <c r="E446" t="s">
        <v>154</v>
      </c>
      <c r="F446" s="3" t="s">
        <v>108</v>
      </c>
      <c r="J446" s="383">
        <v>15790.6</v>
      </c>
      <c r="K446" s="69">
        <f>K445+I446-J446</f>
        <v>-6167199.5799999982</v>
      </c>
    </row>
    <row r="447" spans="1:11" ht="15">
      <c r="A447" s="137" t="str">
        <f t="shared" si="6"/>
        <v>CAPNOMINA SUCURSALE3</v>
      </c>
      <c r="B447" t="s">
        <v>3498</v>
      </c>
      <c r="C447" s="1">
        <v>45750</v>
      </c>
      <c r="D447" t="s">
        <v>31</v>
      </c>
      <c r="E447" t="s">
        <v>154</v>
      </c>
      <c r="F447" s="3" t="s">
        <v>109</v>
      </c>
      <c r="J447" s="383">
        <v>13588.8</v>
      </c>
      <c r="K447" s="69">
        <f>K446+I447-J447</f>
        <v>-6180788.379999998</v>
      </c>
    </row>
    <row r="448" spans="1:11" ht="15">
      <c r="A448" s="137" t="str">
        <f t="shared" si="6"/>
        <v>CAPNOMINA SUCURSALE4</v>
      </c>
      <c r="B448" t="s">
        <v>3498</v>
      </c>
      <c r="C448" s="1">
        <v>45750</v>
      </c>
      <c r="D448" t="s">
        <v>31</v>
      </c>
      <c r="E448" t="s">
        <v>154</v>
      </c>
      <c r="F448" s="3" t="s">
        <v>110</v>
      </c>
      <c r="J448" s="383">
        <v>15880.8</v>
      </c>
      <c r="K448" s="69">
        <f>K447+I448-J448</f>
        <v>-6196669.1799999978</v>
      </c>
    </row>
    <row r="449" spans="1:11" ht="15">
      <c r="A449" s="137" t="str">
        <f t="shared" si="6"/>
        <v>CAPNOMINA SUCURSALE5</v>
      </c>
      <c r="B449" t="s">
        <v>3498</v>
      </c>
      <c r="C449" s="1">
        <v>45750</v>
      </c>
      <c r="D449" t="s">
        <v>31</v>
      </c>
      <c r="E449" t="s">
        <v>154</v>
      </c>
      <c r="F449" s="3" t="s">
        <v>111</v>
      </c>
      <c r="J449" s="383">
        <v>19831.400000000001</v>
      </c>
      <c r="K449" s="69">
        <f>K448+I449-J449</f>
        <v>-6216500.5799999982</v>
      </c>
    </row>
    <row r="450" spans="1:11" ht="15">
      <c r="A450" s="137" t="str">
        <f t="shared" si="6"/>
        <v>CAPNOMINA SUCURSALE6</v>
      </c>
      <c r="B450" t="s">
        <v>3498</v>
      </c>
      <c r="C450" s="1">
        <v>45750</v>
      </c>
      <c r="D450" t="s">
        <v>31</v>
      </c>
      <c r="E450" t="s">
        <v>154</v>
      </c>
      <c r="F450" s="3" t="s">
        <v>112</v>
      </c>
      <c r="J450" s="383">
        <v>14500</v>
      </c>
      <c r="K450" s="69">
        <f>K449+I450-J450</f>
        <v>-6231000.5799999982</v>
      </c>
    </row>
    <row r="451" spans="1:11" ht="15">
      <c r="A451" s="137" t="str">
        <f t="shared" si="6"/>
        <v>CAPNOMINA SUCURSALE7</v>
      </c>
      <c r="B451" t="s">
        <v>3498</v>
      </c>
      <c r="C451" s="1">
        <v>45750</v>
      </c>
      <c r="D451" t="s">
        <v>31</v>
      </c>
      <c r="E451" t="s">
        <v>154</v>
      </c>
      <c r="F451" s="3" t="s">
        <v>113</v>
      </c>
      <c r="J451" s="383">
        <v>12593.4</v>
      </c>
      <c r="K451" s="69">
        <f>K450+I451-J451</f>
        <v>-6243593.9799999986</v>
      </c>
    </row>
    <row r="452" spans="1:11" ht="15">
      <c r="A452" s="137" t="str">
        <f t="shared" ref="A452:A515" si="7">D452&amp;E452&amp;F452</f>
        <v>CAPNOMINA SUCURSALE8</v>
      </c>
      <c r="B452" t="s">
        <v>3498</v>
      </c>
      <c r="C452" s="1">
        <v>45750</v>
      </c>
      <c r="D452" t="s">
        <v>31</v>
      </c>
      <c r="E452" t="s">
        <v>154</v>
      </c>
      <c r="F452" s="3" t="s">
        <v>114</v>
      </c>
      <c r="J452" s="383">
        <v>25440.2</v>
      </c>
      <c r="K452" s="69">
        <f>K451+I452-J452</f>
        <v>-6269034.1799999988</v>
      </c>
    </row>
    <row r="453" spans="1:11" ht="15">
      <c r="A453" s="137" t="str">
        <f t="shared" si="7"/>
        <v>CAPNOMINA SUCURSALE9</v>
      </c>
      <c r="B453" t="s">
        <v>3498</v>
      </c>
      <c r="C453" s="1">
        <v>45750</v>
      </c>
      <c r="D453" t="s">
        <v>31</v>
      </c>
      <c r="E453" t="s">
        <v>154</v>
      </c>
      <c r="F453" s="3" t="s">
        <v>116</v>
      </c>
      <c r="J453" s="383">
        <v>23399.200000000001</v>
      </c>
      <c r="K453" s="69">
        <f>K452+I453-J453</f>
        <v>-6292433.379999999</v>
      </c>
    </row>
    <row r="454" spans="1:11" ht="15">
      <c r="A454" s="137" t="str">
        <f t="shared" si="7"/>
        <v>ELINOMINA SUCURSALL1</v>
      </c>
      <c r="B454" t="s">
        <v>3498</v>
      </c>
      <c r="C454" s="1">
        <v>45750</v>
      </c>
      <c r="D454" t="s">
        <v>130</v>
      </c>
      <c r="E454" t="s">
        <v>154</v>
      </c>
      <c r="F454" s="3" t="s">
        <v>136</v>
      </c>
      <c r="J454" s="383">
        <v>7443</v>
      </c>
      <c r="K454" s="69">
        <f>K453+I454-J454</f>
        <v>-6299876.379999999</v>
      </c>
    </row>
    <row r="455" spans="1:11" ht="15">
      <c r="A455" s="137" t="str">
        <f t="shared" si="7"/>
        <v>HRNOMINA ADMONHR</v>
      </c>
      <c r="B455" t="s">
        <v>3498</v>
      </c>
      <c r="C455" s="1">
        <v>45750</v>
      </c>
      <c r="D455" t="s">
        <v>29</v>
      </c>
      <c r="E455" t="s">
        <v>147</v>
      </c>
      <c r="F455" s="3" t="s">
        <v>29</v>
      </c>
      <c r="J455" s="383">
        <v>31844.81</v>
      </c>
      <c r="K455" s="69">
        <f>K454+I455-J455</f>
        <v>-6331721.1899999985</v>
      </c>
    </row>
    <row r="456" spans="1:11" ht="15">
      <c r="A456" s="137" t="str">
        <f t="shared" si="7"/>
        <v>CAPNOMINA ADMONCAPRICHOS</v>
      </c>
      <c r="B456" t="s">
        <v>3498</v>
      </c>
      <c r="C456" s="1">
        <v>45750</v>
      </c>
      <c r="D456" t="s">
        <v>31</v>
      </c>
      <c r="E456" t="s">
        <v>147</v>
      </c>
      <c r="F456" s="12" t="s">
        <v>33</v>
      </c>
      <c r="J456" s="383">
        <v>28808.81</v>
      </c>
      <c r="K456" s="69">
        <f>K455+I456-J456</f>
        <v>-6360529.9999999981</v>
      </c>
    </row>
    <row r="457" spans="1:11" ht="15">
      <c r="A457" s="137" t="str">
        <f t="shared" si="7"/>
        <v>SERVICIOSNOMINA SUCURSALCEDIS</v>
      </c>
      <c r="B457" t="s">
        <v>3498</v>
      </c>
      <c r="C457" s="1">
        <v>45750</v>
      </c>
      <c r="D457" t="s">
        <v>21</v>
      </c>
      <c r="E457" t="s">
        <v>154</v>
      </c>
      <c r="F457" s="12" t="s">
        <v>28</v>
      </c>
      <c r="J457" s="383">
        <v>68478.490000000005</v>
      </c>
      <c r="K457" s="69">
        <f>K456+I457-J457</f>
        <v>-6429008.4899999984</v>
      </c>
    </row>
    <row r="458" spans="1:11" ht="15">
      <c r="A458" s="137" t="str">
        <f t="shared" si="7"/>
        <v>SERVICIOSNOMINA ADMONINVENTARIOS</v>
      </c>
      <c r="B458" t="s">
        <v>3498</v>
      </c>
      <c r="C458" s="1">
        <v>45750</v>
      </c>
      <c r="D458" t="s">
        <v>21</v>
      </c>
      <c r="E458" t="s">
        <v>147</v>
      </c>
      <c r="F458" s="12" t="s">
        <v>34</v>
      </c>
      <c r="J458" s="383">
        <v>2700</v>
      </c>
      <c r="K458" s="69">
        <f>K457+I458-J458</f>
        <v>-6431708.4899999984</v>
      </c>
    </row>
    <row r="459" spans="1:11" ht="15">
      <c r="A459" s="137" t="str">
        <f t="shared" si="7"/>
        <v>SERVICIOSNOMINA ADMONMANTENIMIENTO</v>
      </c>
      <c r="B459" t="s">
        <v>3498</v>
      </c>
      <c r="C459" s="1">
        <v>45750</v>
      </c>
      <c r="D459" t="s">
        <v>21</v>
      </c>
      <c r="E459" t="s">
        <v>147</v>
      </c>
      <c r="F459" s="12" t="s">
        <v>35</v>
      </c>
      <c r="J459" s="383">
        <v>12412.03</v>
      </c>
      <c r="K459" s="69">
        <f>K458+I459-J459</f>
        <v>-6444120.5199999986</v>
      </c>
    </row>
    <row r="460" spans="1:11" ht="15">
      <c r="A460" s="137" t="str">
        <f t="shared" si="7"/>
        <v>SERVICIOSNOMINA ADMONCADENA DE SUMINISTROS</v>
      </c>
      <c r="B460" t="s">
        <v>3498</v>
      </c>
      <c r="C460" s="1">
        <v>45750</v>
      </c>
      <c r="D460" t="s">
        <v>21</v>
      </c>
      <c r="E460" t="s">
        <v>147</v>
      </c>
      <c r="F460" s="12" t="s">
        <v>134</v>
      </c>
      <c r="J460" s="383">
        <v>19418.599999999999</v>
      </c>
      <c r="K460" s="69">
        <f>K459+I460-J460</f>
        <v>-6463539.1199999982</v>
      </c>
    </row>
    <row r="461" spans="1:11" ht="15">
      <c r="A461" s="137" t="str">
        <f t="shared" si="7"/>
        <v>SERVICIOSNOMINA ADMONSISTEMAS</v>
      </c>
      <c r="B461" t="s">
        <v>3498</v>
      </c>
      <c r="C461" s="1">
        <v>45750</v>
      </c>
      <c r="D461" t="s">
        <v>21</v>
      </c>
      <c r="E461" t="s">
        <v>147</v>
      </c>
      <c r="F461" s="12" t="s">
        <v>36</v>
      </c>
      <c r="J461" s="383">
        <v>11670.29</v>
      </c>
      <c r="K461" s="69">
        <f>K460+I461-J461</f>
        <v>-6475209.4099999983</v>
      </c>
    </row>
    <row r="462" spans="1:11" ht="15">
      <c r="A462" s="137" t="str">
        <f t="shared" si="7"/>
        <v>SERVICIOSNOMINA ADMONCOMPRAS</v>
      </c>
      <c r="B462" t="s">
        <v>3498</v>
      </c>
      <c r="C462" s="1">
        <v>45750</v>
      </c>
      <c r="D462" t="s">
        <v>21</v>
      </c>
      <c r="E462" t="s">
        <v>147</v>
      </c>
      <c r="F462" s="12" t="s">
        <v>148</v>
      </c>
      <c r="J462" s="383">
        <v>20796.310000000001</v>
      </c>
      <c r="K462" s="69">
        <f>K461+I462-J462</f>
        <v>-6496005.7199999979</v>
      </c>
    </row>
    <row r="463" spans="1:11" ht="15">
      <c r="A463" s="137" t="str">
        <f t="shared" si="7"/>
        <v>FINANZASNOMINA ADMONCONTABILIDAD</v>
      </c>
      <c r="B463" t="s">
        <v>3498</v>
      </c>
      <c r="C463" s="1">
        <v>45750</v>
      </c>
      <c r="D463" t="s">
        <v>23</v>
      </c>
      <c r="E463" t="s">
        <v>147</v>
      </c>
      <c r="F463" s="12" t="s">
        <v>37</v>
      </c>
      <c r="J463" s="383">
        <v>11679.8</v>
      </c>
      <c r="K463" s="69">
        <f>K462+I463-J463</f>
        <v>-6507685.5199999977</v>
      </c>
    </row>
    <row r="464" spans="1:11" ht="15">
      <c r="A464" s="137" t="str">
        <f t="shared" si="7"/>
        <v>FINANZASNOMINA ADMONFINANZAS/LEGAL</v>
      </c>
      <c r="B464" t="s">
        <v>3498</v>
      </c>
      <c r="C464" s="1">
        <v>45750</v>
      </c>
      <c r="D464" t="s">
        <v>23</v>
      </c>
      <c r="E464" t="s">
        <v>147</v>
      </c>
      <c r="F464" s="12" t="s">
        <v>149</v>
      </c>
      <c r="J464" s="383">
        <v>9896.99</v>
      </c>
      <c r="K464" s="69">
        <f>K463+I464-J464</f>
        <v>-6517582.5099999979</v>
      </c>
    </row>
    <row r="465" spans="1:11" ht="15">
      <c r="A465" s="137" t="str">
        <f t="shared" si="7"/>
        <v>FINANZASNOMINA ADMONRECURSOS HUMANOS</v>
      </c>
      <c r="B465" t="s">
        <v>3498</v>
      </c>
      <c r="C465" s="1">
        <v>45750</v>
      </c>
      <c r="D465" t="s">
        <v>23</v>
      </c>
      <c r="E465" t="s">
        <v>147</v>
      </c>
      <c r="F465" s="12" t="s">
        <v>125</v>
      </c>
      <c r="J465" s="383">
        <v>10748.98</v>
      </c>
      <c r="K465" s="69">
        <f>K464+I465-J465</f>
        <v>-6528331.4899999984</v>
      </c>
    </row>
    <row r="466" spans="1:11" ht="15">
      <c r="A466" s="137" t="str">
        <f t="shared" si="7"/>
        <v>FINANZASNOMINA ADMONTESORERIA</v>
      </c>
      <c r="B466" t="s">
        <v>3498</v>
      </c>
      <c r="C466" s="1">
        <v>45750</v>
      </c>
      <c r="D466" t="s">
        <v>23</v>
      </c>
      <c r="E466" t="s">
        <v>147</v>
      </c>
      <c r="F466" s="12" t="s">
        <v>38</v>
      </c>
      <c r="J466" s="383">
        <v>12122.8</v>
      </c>
      <c r="K466" s="69">
        <f>K465+I466-J466</f>
        <v>-6540454.2899999982</v>
      </c>
    </row>
    <row r="467" spans="1:11" ht="15">
      <c r="A467" s="137" t="str">
        <f t="shared" si="7"/>
        <v>FINANZASNOMINA ADMONHBG FINANZAS</v>
      </c>
      <c r="B467" t="s">
        <v>3498</v>
      </c>
      <c r="C467" s="1">
        <v>45750</v>
      </c>
      <c r="D467" t="s">
        <v>23</v>
      </c>
      <c r="E467" t="s">
        <v>147</v>
      </c>
      <c r="F467" s="12" t="s">
        <v>150</v>
      </c>
      <c r="J467" s="383">
        <v>3057</v>
      </c>
      <c r="K467" s="69">
        <f>K466+I467-J467</f>
        <v>-6543511.2899999982</v>
      </c>
    </row>
    <row r="468" spans="1:11" ht="15">
      <c r="A468" s="137" t="str">
        <f t="shared" si="7"/>
        <v>SGENOMINA ADMONGESTION EMPRESARIAL</v>
      </c>
      <c r="B468" t="s">
        <v>3498</v>
      </c>
      <c r="C468" s="1">
        <v>45750</v>
      </c>
      <c r="D468" t="s">
        <v>39</v>
      </c>
      <c r="E468" t="s">
        <v>147</v>
      </c>
      <c r="F468" s="12" t="s">
        <v>40</v>
      </c>
      <c r="J468" s="383">
        <v>21501.4</v>
      </c>
      <c r="K468" s="69">
        <f>K467+I468-J468</f>
        <v>-6565012.6899999985</v>
      </c>
    </row>
    <row r="469" spans="1:11" ht="15">
      <c r="A469" s="137" t="str">
        <f t="shared" si="7"/>
        <v>DENOMINA ADMONDIRECCION</v>
      </c>
      <c r="B469" t="s">
        <v>3498</v>
      </c>
      <c r="C469" s="1">
        <v>45750</v>
      </c>
      <c r="D469" t="s">
        <v>41</v>
      </c>
      <c r="E469" t="s">
        <v>147</v>
      </c>
      <c r="F469" s="12" t="s">
        <v>42</v>
      </c>
      <c r="J469" s="383">
        <v>6000.4</v>
      </c>
      <c r="K469" s="69">
        <f>K468+I469-J469</f>
        <v>-6571013.0899999989</v>
      </c>
    </row>
    <row r="470" spans="1:11" ht="15">
      <c r="A470" s="137" t="str">
        <f t="shared" si="7"/>
        <v>FINANZASNOMINA ADMONHBG FINANZAS</v>
      </c>
      <c r="B470" t="s">
        <v>3498</v>
      </c>
      <c r="C470" s="1">
        <v>45750</v>
      </c>
      <c r="D470" t="s">
        <v>23</v>
      </c>
      <c r="E470" t="s">
        <v>147</v>
      </c>
      <c r="F470" s="12" t="s">
        <v>150</v>
      </c>
      <c r="J470" s="383">
        <v>10950</v>
      </c>
      <c r="K470" s="69">
        <f>K469+I470-J470</f>
        <v>-6581963.0899999989</v>
      </c>
    </row>
    <row r="471" spans="1:11" ht="15">
      <c r="A471" s="137" t="str">
        <f t="shared" si="7"/>
        <v>HRNOMINA ADMONHR</v>
      </c>
      <c r="B471" t="s">
        <v>3498</v>
      </c>
      <c r="C471" s="1">
        <v>45750</v>
      </c>
      <c r="D471" t="s">
        <v>29</v>
      </c>
      <c r="E471" t="s">
        <v>147</v>
      </c>
      <c r="F471" s="3" t="s">
        <v>29</v>
      </c>
      <c r="J471" s="383">
        <v>5500</v>
      </c>
      <c r="K471" s="69">
        <f>K470+I471-J471</f>
        <v>-6587463.0899999989</v>
      </c>
    </row>
    <row r="472" spans="1:11" ht="15">
      <c r="A472" s="137" t="str">
        <f t="shared" si="7"/>
        <v>CAPNOMINA ADMONCAPRICHOS</v>
      </c>
      <c r="B472" t="s">
        <v>3498</v>
      </c>
      <c r="C472" s="1">
        <v>45750</v>
      </c>
      <c r="D472" t="s">
        <v>31</v>
      </c>
      <c r="E472" t="s">
        <v>147</v>
      </c>
      <c r="F472" s="12" t="s">
        <v>33</v>
      </c>
      <c r="J472" s="383">
        <v>3700</v>
      </c>
      <c r="K472" s="69">
        <f>K471+I472-J472</f>
        <v>-6591163.0899999989</v>
      </c>
    </row>
    <row r="473" spans="1:11" ht="15">
      <c r="A473" s="137" t="str">
        <f t="shared" si="7"/>
        <v>SGENOMINA ADMONGESTION EMPRESARIAL</v>
      </c>
      <c r="B473" t="s">
        <v>3498</v>
      </c>
      <c r="C473" s="1">
        <v>45750</v>
      </c>
      <c r="D473" t="s">
        <v>39</v>
      </c>
      <c r="E473" t="s">
        <v>147</v>
      </c>
      <c r="F473" s="12" t="s">
        <v>40</v>
      </c>
      <c r="J473" s="383">
        <v>2750</v>
      </c>
      <c r="K473" s="69">
        <f>K472+I473-J473</f>
        <v>-6593913.0899999989</v>
      </c>
    </row>
    <row r="474" spans="1:11" ht="15">
      <c r="A474" s="137" t="str">
        <f t="shared" si="7"/>
        <v>SERVICIOSNOMINA ADMONSERVICIOS</v>
      </c>
      <c r="B474" t="s">
        <v>3498</v>
      </c>
      <c r="C474" s="1">
        <v>45750</v>
      </c>
      <c r="D474" t="s">
        <v>21</v>
      </c>
      <c r="E474" t="s">
        <v>147</v>
      </c>
      <c r="F474" s="12" t="s">
        <v>21</v>
      </c>
      <c r="J474" s="383">
        <v>4750</v>
      </c>
      <c r="K474" s="69">
        <f>K473+I474-J474</f>
        <v>-6598663.0899999989</v>
      </c>
    </row>
    <row r="475" spans="1:11" ht="15">
      <c r="A475" s="137" t="str">
        <f t="shared" si="7"/>
        <v>DENOMINA ADMONDIRECCION</v>
      </c>
      <c r="B475" t="s">
        <v>3498</v>
      </c>
      <c r="C475" s="1">
        <v>45750</v>
      </c>
      <c r="D475" t="s">
        <v>41</v>
      </c>
      <c r="E475" t="s">
        <v>147</v>
      </c>
      <c r="F475" s="12" t="s">
        <v>42</v>
      </c>
      <c r="J475" s="383">
        <v>5750</v>
      </c>
      <c r="K475" s="69">
        <f>K474+I475-J475</f>
        <v>-6604413.0899999989</v>
      </c>
    </row>
    <row r="476" spans="1:11" ht="15">
      <c r="A476" s="137" t="str">
        <f t="shared" si="7"/>
        <v>MMNOMINA ADMONMARKET MAX</v>
      </c>
      <c r="B476" t="s">
        <v>3498</v>
      </c>
      <c r="C476" s="1">
        <v>45750</v>
      </c>
      <c r="D476" t="s">
        <v>45</v>
      </c>
      <c r="E476" t="s">
        <v>147</v>
      </c>
      <c r="F476" s="12" t="s">
        <v>46</v>
      </c>
      <c r="J476" s="383">
        <v>2000</v>
      </c>
      <c r="K476" s="69">
        <f>K475+I476-J476</f>
        <v>-6606413.0899999989</v>
      </c>
    </row>
    <row r="477" spans="1:11" ht="15">
      <c r="A477" s="137" t="str">
        <f>D477&amp;E477&amp;F477</f>
        <v>HRVACACIONES/FINIQUITOSHR</v>
      </c>
      <c r="B477" t="s">
        <v>3498</v>
      </c>
      <c r="C477" s="1">
        <v>45750</v>
      </c>
      <c r="D477" t="s">
        <v>29</v>
      </c>
      <c r="E477" s="12" t="s">
        <v>190</v>
      </c>
      <c r="F477" s="12" t="s">
        <v>29</v>
      </c>
      <c r="J477" s="383">
        <v>6402.86</v>
      </c>
      <c r="K477" s="69">
        <f>K476+I477-J477</f>
        <v>-6612815.9499999993</v>
      </c>
    </row>
    <row r="478" spans="1:11" ht="15">
      <c r="A478" s="137" t="str">
        <f t="shared" si="7"/>
        <v>CAPVACACIONES/FINIQUITOSCAPRICHOS</v>
      </c>
      <c r="B478" t="s">
        <v>3498</v>
      </c>
      <c r="C478" s="1">
        <v>45750</v>
      </c>
      <c r="D478" t="s">
        <v>31</v>
      </c>
      <c r="E478" s="12" t="s">
        <v>190</v>
      </c>
      <c r="F478" s="12" t="s">
        <v>33</v>
      </c>
      <c r="J478" s="383">
        <v>12964.29</v>
      </c>
      <c r="K478" s="69">
        <f>K477+I478-J478</f>
        <v>-6625780.2399999993</v>
      </c>
    </row>
    <row r="479" spans="1:11" ht="15">
      <c r="A479" s="137" t="str">
        <f>D479&amp;E479&amp;F479</f>
        <v>HRVACACIONES/FINIQUITOSHR</v>
      </c>
      <c r="B479" t="s">
        <v>3498</v>
      </c>
      <c r="C479" s="1">
        <v>45750</v>
      </c>
      <c r="D479" t="s">
        <v>29</v>
      </c>
      <c r="E479" s="12" t="s">
        <v>190</v>
      </c>
      <c r="F479" s="12" t="s">
        <v>29</v>
      </c>
      <c r="J479" s="383">
        <v>2357.14</v>
      </c>
      <c r="K479" s="69">
        <f>K478+I479-J479</f>
        <v>-6628137.379999999</v>
      </c>
    </row>
    <row r="480" spans="1:11" ht="15">
      <c r="A480" s="137" t="str">
        <f t="shared" si="7"/>
        <v>FINANZASVACACIONES/FINIQUITOSFINANZAS</v>
      </c>
      <c r="B480" t="s">
        <v>3498</v>
      </c>
      <c r="C480" s="1">
        <v>45750</v>
      </c>
      <c r="D480" t="s">
        <v>23</v>
      </c>
      <c r="E480" s="12" t="s">
        <v>190</v>
      </c>
      <c r="F480" s="12" t="s">
        <v>23</v>
      </c>
      <c r="J480" s="383">
        <v>13750</v>
      </c>
      <c r="K480" s="69">
        <f>K479+I480-J480</f>
        <v>-6641887.379999999</v>
      </c>
    </row>
    <row r="481" spans="1:11" ht="15">
      <c r="A481" s="137" t="str">
        <f t="shared" si="7"/>
        <v>HRNOMINA SUCURSALA1</v>
      </c>
      <c r="B481" t="s">
        <v>814</v>
      </c>
      <c r="C481" s="1">
        <v>45757</v>
      </c>
      <c r="D481" t="s">
        <v>29</v>
      </c>
      <c r="E481" t="s">
        <v>154</v>
      </c>
      <c r="F481" s="3" t="s">
        <v>88</v>
      </c>
      <c r="J481" s="383">
        <v>12763.4</v>
      </c>
      <c r="K481" s="69">
        <f>K480+I481-J481</f>
        <v>-6654650.7799999993</v>
      </c>
    </row>
    <row r="482" spans="1:11" ht="15">
      <c r="A482" s="137" t="str">
        <f t="shared" si="7"/>
        <v>HRNOMINA SUCURSALA2</v>
      </c>
      <c r="B482" t="s">
        <v>814</v>
      </c>
      <c r="C482" s="1">
        <v>45757</v>
      </c>
      <c r="D482" t="s">
        <v>29</v>
      </c>
      <c r="E482" t="s">
        <v>154</v>
      </c>
      <c r="F482" s="3" t="s">
        <v>89</v>
      </c>
      <c r="J482" s="383">
        <v>13985.8</v>
      </c>
      <c r="K482" s="69">
        <f>K481+I482-J482</f>
        <v>-6668636.5799999991</v>
      </c>
    </row>
    <row r="483" spans="1:11" ht="15">
      <c r="A483" s="137" t="str">
        <f t="shared" si="7"/>
        <v>HRNOMINA SUCURSALA3</v>
      </c>
      <c r="B483" t="s">
        <v>814</v>
      </c>
      <c r="C483" s="1">
        <v>45757</v>
      </c>
      <c r="D483" t="s">
        <v>29</v>
      </c>
      <c r="E483" t="s">
        <v>154</v>
      </c>
      <c r="F483" s="3" t="s">
        <v>90</v>
      </c>
      <c r="J483" s="383">
        <v>10419.65</v>
      </c>
      <c r="K483" s="69">
        <f>K482+I483-J483</f>
        <v>-6679056.2299999995</v>
      </c>
    </row>
    <row r="484" spans="1:11" ht="15">
      <c r="A484" s="137" t="str">
        <f t="shared" si="7"/>
        <v>HRNOMINA SUCURSALA4</v>
      </c>
      <c r="B484" t="s">
        <v>814</v>
      </c>
      <c r="C484" s="1">
        <v>45757</v>
      </c>
      <c r="D484" t="s">
        <v>29</v>
      </c>
      <c r="E484" t="s">
        <v>154</v>
      </c>
      <c r="F484" s="3" t="s">
        <v>91</v>
      </c>
      <c r="J484" s="383">
        <v>9429</v>
      </c>
      <c r="K484" s="69">
        <f>K483+I484-J484</f>
        <v>-6688485.2299999995</v>
      </c>
    </row>
    <row r="485" spans="1:11" ht="15">
      <c r="A485" s="137" t="str">
        <f t="shared" si="7"/>
        <v>HRNOMINA SUCURSALA5</v>
      </c>
      <c r="B485" t="s">
        <v>814</v>
      </c>
      <c r="C485" s="1">
        <v>45757</v>
      </c>
      <c r="D485" t="s">
        <v>29</v>
      </c>
      <c r="E485" t="s">
        <v>154</v>
      </c>
      <c r="F485" s="3" t="s">
        <v>92</v>
      </c>
      <c r="J485" s="383">
        <v>10640.21</v>
      </c>
      <c r="K485" s="69">
        <f>K484+I485-J485</f>
        <v>-6699125.4399999995</v>
      </c>
    </row>
    <row r="486" spans="1:11" ht="15">
      <c r="A486" s="137" t="str">
        <f t="shared" si="7"/>
        <v>HRNOMINA SUCURSALA6</v>
      </c>
      <c r="B486" t="s">
        <v>814</v>
      </c>
      <c r="C486" s="1">
        <v>45757</v>
      </c>
      <c r="D486" t="s">
        <v>29</v>
      </c>
      <c r="E486" t="s">
        <v>154</v>
      </c>
      <c r="F486" s="3" t="s">
        <v>93</v>
      </c>
      <c r="J486" s="383">
        <v>13885.35</v>
      </c>
      <c r="K486" s="69">
        <f>K485+I486-J486</f>
        <v>-6713010.7899999991</v>
      </c>
    </row>
    <row r="487" spans="1:11" ht="15">
      <c r="A487" s="137" t="str">
        <f t="shared" si="7"/>
        <v>HRNOMINA SUCURSALA8</v>
      </c>
      <c r="B487" t="s">
        <v>814</v>
      </c>
      <c r="C487" s="1">
        <v>45757</v>
      </c>
      <c r="D487" t="s">
        <v>29</v>
      </c>
      <c r="E487" t="s">
        <v>154</v>
      </c>
      <c r="F487" s="3" t="s">
        <v>94</v>
      </c>
      <c r="J487" s="383">
        <v>16786</v>
      </c>
      <c r="K487" s="69">
        <f>K486+I487-J487</f>
        <v>-6729796.7899999991</v>
      </c>
    </row>
    <row r="488" spans="1:11" ht="15">
      <c r="A488" s="137" t="str">
        <f t="shared" si="7"/>
        <v>HRNOMINA SUCURSALA9</v>
      </c>
      <c r="B488" t="s">
        <v>814</v>
      </c>
      <c r="C488" s="1">
        <v>45757</v>
      </c>
      <c r="D488" t="s">
        <v>29</v>
      </c>
      <c r="E488" t="s">
        <v>154</v>
      </c>
      <c r="F488" s="3" t="s">
        <v>95</v>
      </c>
      <c r="J488" s="383">
        <v>10721.09</v>
      </c>
      <c r="K488" s="69">
        <f>K487+I488-J488</f>
        <v>-6740517.879999999</v>
      </c>
    </row>
    <row r="489" spans="1:11" ht="15">
      <c r="A489" s="137" t="str">
        <f t="shared" si="7"/>
        <v>HRNOMINA SUCURSALA10</v>
      </c>
      <c r="B489" t="s">
        <v>814</v>
      </c>
      <c r="C489" s="1">
        <v>45757</v>
      </c>
      <c r="D489" t="s">
        <v>29</v>
      </c>
      <c r="E489" t="s">
        <v>154</v>
      </c>
      <c r="F489" s="3" t="s">
        <v>96</v>
      </c>
      <c r="J489" s="383">
        <v>16587.8</v>
      </c>
      <c r="K489" s="69">
        <f>K488+I489-J489</f>
        <v>-6757105.6799999988</v>
      </c>
    </row>
    <row r="490" spans="1:11" ht="15">
      <c r="A490" s="137" t="str">
        <f t="shared" si="7"/>
        <v>HRNOMINA SUCURSALA11</v>
      </c>
      <c r="B490" t="s">
        <v>814</v>
      </c>
      <c r="C490" s="1">
        <v>45757</v>
      </c>
      <c r="D490" t="s">
        <v>29</v>
      </c>
      <c r="E490" t="s">
        <v>154</v>
      </c>
      <c r="F490" s="62" t="s">
        <v>97</v>
      </c>
      <c r="J490" s="383">
        <v>13093.4</v>
      </c>
      <c r="K490" s="69">
        <f>K489+I490-J490</f>
        <v>-6770199.0799999991</v>
      </c>
    </row>
    <row r="491" spans="1:11" ht="15">
      <c r="A491" s="137" t="str">
        <f t="shared" si="7"/>
        <v>HRNOMINA SUCURSALA12</v>
      </c>
      <c r="B491" t="s">
        <v>814</v>
      </c>
      <c r="C491" s="1">
        <v>45757</v>
      </c>
      <c r="D491" t="s">
        <v>29</v>
      </c>
      <c r="E491" t="s">
        <v>154</v>
      </c>
      <c r="F491" s="3" t="s">
        <v>98</v>
      </c>
      <c r="J491" s="383">
        <v>18738.400000000001</v>
      </c>
      <c r="K491" s="69">
        <f>K490+I491-J491</f>
        <v>-6788937.4799999995</v>
      </c>
    </row>
    <row r="492" spans="1:11" ht="15">
      <c r="A492" s="137" t="str">
        <f t="shared" si="7"/>
        <v>HRNOMINA SUCURSALA14</v>
      </c>
      <c r="B492" t="s">
        <v>814</v>
      </c>
      <c r="C492" s="1">
        <v>45757</v>
      </c>
      <c r="D492" t="s">
        <v>29</v>
      </c>
      <c r="E492" t="s">
        <v>154</v>
      </c>
      <c r="F492" s="3" t="s">
        <v>99</v>
      </c>
      <c r="J492" s="383">
        <v>12892.2</v>
      </c>
      <c r="K492" s="69">
        <f>K491+I492-J492</f>
        <v>-6801829.6799999997</v>
      </c>
    </row>
    <row r="493" spans="1:11" ht="15">
      <c r="A493" s="137" t="str">
        <f t="shared" si="7"/>
        <v>HRNOMINA SUCURSALA15</v>
      </c>
      <c r="B493" t="s">
        <v>814</v>
      </c>
      <c r="C493" s="1">
        <v>45757</v>
      </c>
      <c r="D493" t="s">
        <v>29</v>
      </c>
      <c r="E493" t="s">
        <v>154</v>
      </c>
      <c r="F493" s="3" t="s">
        <v>100</v>
      </c>
      <c r="J493" s="383">
        <v>11256.8</v>
      </c>
      <c r="K493" s="69">
        <f>K492+I493-J493</f>
        <v>-6813086.4799999995</v>
      </c>
    </row>
    <row r="494" spans="1:11" ht="15">
      <c r="A494" s="137" t="str">
        <f t="shared" si="7"/>
        <v>HRNOMINA SUCURSALA16</v>
      </c>
      <c r="B494" t="s">
        <v>814</v>
      </c>
      <c r="C494" s="1">
        <v>45757</v>
      </c>
      <c r="D494" t="s">
        <v>29</v>
      </c>
      <c r="E494" t="s">
        <v>154</v>
      </c>
      <c r="F494" s="3" t="s">
        <v>101</v>
      </c>
      <c r="J494" s="383">
        <v>16564.89</v>
      </c>
      <c r="K494" s="69">
        <f>K493+I494-J494</f>
        <v>-6829651.3699999992</v>
      </c>
    </row>
    <row r="495" spans="1:11" ht="15">
      <c r="A495" s="137" t="str">
        <f t="shared" si="7"/>
        <v>HRNOMINA SUCURSALA17</v>
      </c>
      <c r="B495" t="s">
        <v>814</v>
      </c>
      <c r="C495" s="1">
        <v>45757</v>
      </c>
      <c r="D495" t="s">
        <v>29</v>
      </c>
      <c r="E495" t="s">
        <v>154</v>
      </c>
      <c r="F495" s="3" t="s">
        <v>102</v>
      </c>
      <c r="J495" s="383">
        <v>10790.2</v>
      </c>
      <c r="K495" s="69">
        <f>K494+I495-J495</f>
        <v>-6840441.5699999994</v>
      </c>
    </row>
    <row r="496" spans="1:11" ht="15">
      <c r="A496" s="137" t="str">
        <f t="shared" si="7"/>
        <v>HRNOMINA SUCURSALA18</v>
      </c>
      <c r="B496" t="s">
        <v>814</v>
      </c>
      <c r="C496" s="1">
        <v>45757</v>
      </c>
      <c r="D496" t="s">
        <v>29</v>
      </c>
      <c r="E496" t="s">
        <v>154</v>
      </c>
      <c r="F496" s="3" t="s">
        <v>103</v>
      </c>
      <c r="J496" s="383">
        <v>12629.2</v>
      </c>
      <c r="K496" s="69">
        <f>K495+I496-J496</f>
        <v>-6853070.7699999996</v>
      </c>
    </row>
    <row r="497" spans="1:11" ht="15">
      <c r="A497" s="137" t="str">
        <f t="shared" si="7"/>
        <v>HRNOMINA SUCURSALA22</v>
      </c>
      <c r="B497" t="s">
        <v>814</v>
      </c>
      <c r="C497" s="1">
        <v>45757</v>
      </c>
      <c r="D497" t="s">
        <v>29</v>
      </c>
      <c r="E497" t="s">
        <v>154</v>
      </c>
      <c r="F497" s="3" t="s">
        <v>104</v>
      </c>
      <c r="J497" s="383">
        <v>12245.2</v>
      </c>
      <c r="K497" s="69">
        <f>K496+I497-J497</f>
        <v>-6865315.9699999997</v>
      </c>
    </row>
    <row r="498" spans="1:11" ht="15">
      <c r="A498" s="137" t="str">
        <f t="shared" si="7"/>
        <v>HRNOMINA SUCURSALA23</v>
      </c>
      <c r="B498" t="s">
        <v>814</v>
      </c>
      <c r="C498" s="1">
        <v>45757</v>
      </c>
      <c r="D498" t="s">
        <v>29</v>
      </c>
      <c r="E498" t="s">
        <v>154</v>
      </c>
      <c r="F498" s="3" t="s">
        <v>105</v>
      </c>
      <c r="J498" s="383">
        <v>10810.4</v>
      </c>
      <c r="K498" s="69">
        <f>K497+I498-J498</f>
        <v>-6876126.3700000001</v>
      </c>
    </row>
    <row r="499" spans="1:11" ht="15">
      <c r="A499" s="137" t="str">
        <f t="shared" si="7"/>
        <v>HRNOMINA SUCURSALA24</v>
      </c>
      <c r="B499" t="s">
        <v>814</v>
      </c>
      <c r="C499" s="1">
        <v>45757</v>
      </c>
      <c r="D499" t="s">
        <v>29</v>
      </c>
      <c r="E499" t="s">
        <v>154</v>
      </c>
      <c r="F499" s="3" t="s">
        <v>106</v>
      </c>
      <c r="J499" s="383">
        <v>14814.8</v>
      </c>
      <c r="K499" s="69">
        <f>K498+I499-J499</f>
        <v>-6890941.1699999999</v>
      </c>
    </row>
    <row r="500" spans="1:11" ht="15">
      <c r="A500" s="137" t="str">
        <f t="shared" si="7"/>
        <v>CAPNOMINA SUCURSALE1</v>
      </c>
      <c r="B500" t="s">
        <v>814</v>
      </c>
      <c r="C500" s="1">
        <v>45757</v>
      </c>
      <c r="D500" t="s">
        <v>31</v>
      </c>
      <c r="E500" t="s">
        <v>154</v>
      </c>
      <c r="F500" s="3" t="s">
        <v>107</v>
      </c>
      <c r="J500" s="383">
        <v>14479.4</v>
      </c>
      <c r="K500" s="69">
        <f>K499+I500-J500</f>
        <v>-6905420.5700000003</v>
      </c>
    </row>
    <row r="501" spans="1:11" ht="15">
      <c r="A501" s="137" t="str">
        <f t="shared" si="7"/>
        <v>CAPNOMINA SUCURSALE2</v>
      </c>
      <c r="B501" t="s">
        <v>814</v>
      </c>
      <c r="C501" s="1">
        <v>45757</v>
      </c>
      <c r="D501" t="s">
        <v>31</v>
      </c>
      <c r="E501" t="s">
        <v>154</v>
      </c>
      <c r="F501" s="3" t="s">
        <v>108</v>
      </c>
      <c r="J501" s="383">
        <v>15123.6</v>
      </c>
      <c r="K501" s="69">
        <f>K500+I501-J501</f>
        <v>-6920544.1699999999</v>
      </c>
    </row>
    <row r="502" spans="1:11" ht="15">
      <c r="A502" s="137" t="str">
        <f t="shared" si="7"/>
        <v>CAPNOMINA SUCURSALE3</v>
      </c>
      <c r="B502" t="s">
        <v>814</v>
      </c>
      <c r="C502" s="1">
        <v>45757</v>
      </c>
      <c r="D502" t="s">
        <v>31</v>
      </c>
      <c r="E502" t="s">
        <v>154</v>
      </c>
      <c r="F502" s="3" t="s">
        <v>109</v>
      </c>
      <c r="J502" s="383">
        <v>13588.4</v>
      </c>
      <c r="K502" s="69">
        <f>K501+I502-J502</f>
        <v>-6934132.5700000003</v>
      </c>
    </row>
    <row r="503" spans="1:11" ht="15">
      <c r="A503" s="137" t="str">
        <f t="shared" si="7"/>
        <v>CAPNOMINA SUCURSALE4</v>
      </c>
      <c r="B503" t="s">
        <v>814</v>
      </c>
      <c r="C503" s="1">
        <v>45757</v>
      </c>
      <c r="D503" t="s">
        <v>31</v>
      </c>
      <c r="E503" t="s">
        <v>154</v>
      </c>
      <c r="F503" s="3" t="s">
        <v>110</v>
      </c>
      <c r="J503" s="383">
        <v>19402.400000000001</v>
      </c>
      <c r="K503" s="69">
        <f>K502+I503-J503</f>
        <v>-6953534.9700000007</v>
      </c>
    </row>
    <row r="504" spans="1:11" ht="15">
      <c r="A504" s="137" t="str">
        <f t="shared" si="7"/>
        <v>CAPNOMINA SUCURSALE5</v>
      </c>
      <c r="B504" t="s">
        <v>814</v>
      </c>
      <c r="C504" s="1">
        <v>45757</v>
      </c>
      <c r="D504" t="s">
        <v>31</v>
      </c>
      <c r="E504" t="s">
        <v>154</v>
      </c>
      <c r="F504" s="3" t="s">
        <v>111</v>
      </c>
      <c r="J504" s="383">
        <v>19169.8</v>
      </c>
      <c r="K504" s="69">
        <f>K503+I504-J504</f>
        <v>-6972704.7700000005</v>
      </c>
    </row>
    <row r="505" spans="1:11" ht="15">
      <c r="A505" s="137" t="str">
        <f t="shared" si="7"/>
        <v>CAPNOMINA SUCURSALE6</v>
      </c>
      <c r="B505" t="s">
        <v>814</v>
      </c>
      <c r="C505" s="1">
        <v>45757</v>
      </c>
      <c r="D505" t="s">
        <v>31</v>
      </c>
      <c r="E505" t="s">
        <v>154</v>
      </c>
      <c r="F505" s="3" t="s">
        <v>112</v>
      </c>
      <c r="J505" s="383">
        <v>14486.2</v>
      </c>
      <c r="K505" s="69">
        <f>K504+I505-J505</f>
        <v>-6987190.9700000007</v>
      </c>
    </row>
    <row r="506" spans="1:11" ht="15">
      <c r="A506" s="137" t="str">
        <f t="shared" si="7"/>
        <v>CAPNOMINA SUCURSALE7</v>
      </c>
      <c r="B506" t="s">
        <v>814</v>
      </c>
      <c r="C506" s="1">
        <v>45757</v>
      </c>
      <c r="D506" t="s">
        <v>31</v>
      </c>
      <c r="E506" t="s">
        <v>154</v>
      </c>
      <c r="F506" s="3" t="s">
        <v>113</v>
      </c>
      <c r="J506" s="383">
        <v>11543.8</v>
      </c>
      <c r="K506" s="69">
        <f>K505+I506-J506</f>
        <v>-6998734.7700000005</v>
      </c>
    </row>
    <row r="507" spans="1:11" ht="15">
      <c r="A507" s="137" t="str">
        <f t="shared" si="7"/>
        <v>CAPNOMINA SUCURSALE8</v>
      </c>
      <c r="B507" t="s">
        <v>814</v>
      </c>
      <c r="C507" s="1">
        <v>45757</v>
      </c>
      <c r="D507" t="s">
        <v>31</v>
      </c>
      <c r="E507" t="s">
        <v>154</v>
      </c>
      <c r="F507" s="3" t="s">
        <v>114</v>
      </c>
      <c r="J507" s="383">
        <v>25928</v>
      </c>
      <c r="K507" s="69">
        <f>K506+I507-J507</f>
        <v>-7024662.7700000005</v>
      </c>
    </row>
    <row r="508" spans="1:11" ht="15">
      <c r="A508" s="137" t="str">
        <f t="shared" si="7"/>
        <v>CAPNOMINA SUCURSALE9</v>
      </c>
      <c r="B508" t="s">
        <v>814</v>
      </c>
      <c r="C508" s="1">
        <v>45757</v>
      </c>
      <c r="D508" t="s">
        <v>31</v>
      </c>
      <c r="E508" t="s">
        <v>154</v>
      </c>
      <c r="F508" s="3" t="s">
        <v>116</v>
      </c>
      <c r="J508" s="383">
        <v>22917.200000000001</v>
      </c>
      <c r="K508" s="69">
        <f>K507+I508-J508</f>
        <v>-7047579.9700000007</v>
      </c>
    </row>
    <row r="509" spans="1:11" ht="15">
      <c r="A509" s="137" t="str">
        <f t="shared" si="7"/>
        <v>ELINOMINA SUCURSALL1</v>
      </c>
      <c r="B509" t="s">
        <v>814</v>
      </c>
      <c r="C509" s="1">
        <v>45757</v>
      </c>
      <c r="D509" t="s">
        <v>130</v>
      </c>
      <c r="E509" t="s">
        <v>154</v>
      </c>
      <c r="F509" s="3" t="s">
        <v>136</v>
      </c>
      <c r="J509" s="383">
        <v>9241.6</v>
      </c>
      <c r="K509" s="69">
        <f>K508+I509-J509</f>
        <v>-7056821.5700000003</v>
      </c>
    </row>
    <row r="510" spans="1:11" ht="15">
      <c r="A510" s="137" t="str">
        <f t="shared" si="7"/>
        <v>HRNOMINA ADMONHR</v>
      </c>
      <c r="B510" t="s">
        <v>814</v>
      </c>
      <c r="C510" s="1">
        <v>45757</v>
      </c>
      <c r="D510" t="s">
        <v>29</v>
      </c>
      <c r="E510" t="s">
        <v>147</v>
      </c>
      <c r="F510" s="3" t="s">
        <v>29</v>
      </c>
      <c r="J510" s="383">
        <v>31445.41</v>
      </c>
      <c r="K510" s="69">
        <f>K509+I510-J510</f>
        <v>-7088266.9800000004</v>
      </c>
    </row>
    <row r="511" spans="1:11" ht="15">
      <c r="A511" s="137" t="str">
        <f t="shared" si="7"/>
        <v>CAPNOMINA ADMONCAPRICHOS</v>
      </c>
      <c r="B511" t="s">
        <v>814</v>
      </c>
      <c r="C511" s="1">
        <v>45757</v>
      </c>
      <c r="D511" t="s">
        <v>31</v>
      </c>
      <c r="E511" t="s">
        <v>147</v>
      </c>
      <c r="F511" s="12" t="s">
        <v>33</v>
      </c>
      <c r="J511" s="383">
        <v>29808.11</v>
      </c>
      <c r="K511" s="69">
        <f>K510+I511-J511</f>
        <v>-7118075.0900000008</v>
      </c>
    </row>
    <row r="512" spans="1:11" ht="15">
      <c r="A512" s="137" t="str">
        <f t="shared" si="7"/>
        <v>SERVICIOSNOMINA SUCURSALCEDIS</v>
      </c>
      <c r="B512" t="s">
        <v>814</v>
      </c>
      <c r="C512" s="1">
        <v>45757</v>
      </c>
      <c r="D512" t="s">
        <v>21</v>
      </c>
      <c r="E512" t="s">
        <v>154</v>
      </c>
      <c r="F512" s="12" t="s">
        <v>28</v>
      </c>
      <c r="J512" s="383">
        <v>63924.49</v>
      </c>
      <c r="K512" s="69">
        <f>K511+I512-J512</f>
        <v>-7181999.580000001</v>
      </c>
    </row>
    <row r="513" spans="1:11" ht="15">
      <c r="A513" s="137" t="str">
        <f t="shared" si="7"/>
        <v>SERVICIOSNOMINA ADMONINVENTARIOS</v>
      </c>
      <c r="B513" t="s">
        <v>814</v>
      </c>
      <c r="C513" s="1">
        <v>45757</v>
      </c>
      <c r="D513" t="s">
        <v>21</v>
      </c>
      <c r="E513" t="s">
        <v>147</v>
      </c>
      <c r="F513" s="12" t="s">
        <v>34</v>
      </c>
      <c r="J513" s="383">
        <v>2800</v>
      </c>
      <c r="K513" s="69">
        <f>K512+I513-J513</f>
        <v>-7184799.580000001</v>
      </c>
    </row>
    <row r="514" spans="1:11" ht="15">
      <c r="A514" s="137" t="str">
        <f t="shared" si="7"/>
        <v>SERVICIOSNOMINA ADMONMANTENIMIENTO</v>
      </c>
      <c r="B514" t="s">
        <v>814</v>
      </c>
      <c r="C514" s="1">
        <v>45757</v>
      </c>
      <c r="D514" t="s">
        <v>21</v>
      </c>
      <c r="E514" t="s">
        <v>147</v>
      </c>
      <c r="F514" s="12" t="s">
        <v>35</v>
      </c>
      <c r="J514" s="383">
        <v>9891.83</v>
      </c>
      <c r="K514" s="69">
        <f>K513+I514-J514</f>
        <v>-7194691.4100000011</v>
      </c>
    </row>
    <row r="515" spans="1:11" ht="15">
      <c r="A515" s="137" t="str">
        <f t="shared" si="7"/>
        <v>SERVICIOSNOMINA ADMONCADENA DE SUMINISTROS</v>
      </c>
      <c r="B515" t="s">
        <v>814</v>
      </c>
      <c r="C515" s="1">
        <v>45757</v>
      </c>
      <c r="D515" t="s">
        <v>21</v>
      </c>
      <c r="E515" t="s">
        <v>147</v>
      </c>
      <c r="F515" s="12" t="s">
        <v>134</v>
      </c>
      <c r="J515" s="383">
        <v>19418.8</v>
      </c>
      <c r="K515" s="69">
        <f>K514+I515-J515</f>
        <v>-7214110.2100000009</v>
      </c>
    </row>
    <row r="516" spans="1:11" ht="15">
      <c r="A516" s="137" t="str">
        <f t="shared" ref="A516:A579" si="8">D516&amp;E516&amp;F516</f>
        <v>SERVICIOSNOMINA ADMONSISTEMAS</v>
      </c>
      <c r="B516" t="s">
        <v>814</v>
      </c>
      <c r="C516" s="1">
        <v>45757</v>
      </c>
      <c r="D516" t="s">
        <v>21</v>
      </c>
      <c r="E516" t="s">
        <v>147</v>
      </c>
      <c r="F516" s="12" t="s">
        <v>36</v>
      </c>
      <c r="J516" s="383">
        <v>13371.69</v>
      </c>
      <c r="K516" s="69">
        <f>K515+I516-J516</f>
        <v>-7227481.9000000013</v>
      </c>
    </row>
    <row r="517" spans="1:11" ht="15">
      <c r="A517" s="137" t="str">
        <f t="shared" si="8"/>
        <v>SERVICIOSNOMINA ADMONCOMPRAS</v>
      </c>
      <c r="B517" t="s">
        <v>814</v>
      </c>
      <c r="C517" s="1">
        <v>45757</v>
      </c>
      <c r="D517" t="s">
        <v>21</v>
      </c>
      <c r="E517" t="s">
        <v>147</v>
      </c>
      <c r="F517" s="12" t="s">
        <v>148</v>
      </c>
      <c r="J517" s="383">
        <v>20253.509999999998</v>
      </c>
      <c r="K517" s="69">
        <f>K516+I517-J517</f>
        <v>-7247735.4100000011</v>
      </c>
    </row>
    <row r="518" spans="1:11" ht="15">
      <c r="A518" s="137" t="str">
        <f t="shared" si="8"/>
        <v>FINANZASNOMINA ADMONCONTABILIDAD</v>
      </c>
      <c r="B518" t="s">
        <v>814</v>
      </c>
      <c r="C518" s="1">
        <v>45757</v>
      </c>
      <c r="D518" t="s">
        <v>23</v>
      </c>
      <c r="E518" t="s">
        <v>147</v>
      </c>
      <c r="F518" s="12" t="s">
        <v>37</v>
      </c>
      <c r="J518" s="383">
        <v>12773.47</v>
      </c>
      <c r="K518" s="69">
        <f>K517+I518-J518</f>
        <v>-7260508.8800000008</v>
      </c>
    </row>
    <row r="519" spans="1:11" ht="15">
      <c r="A519" s="137" t="str">
        <f t="shared" si="8"/>
        <v>FINANZASNOMINA ADMONFINANZAS/LEGAL</v>
      </c>
      <c r="B519" t="s">
        <v>814</v>
      </c>
      <c r="C519" s="1">
        <v>45757</v>
      </c>
      <c r="D519" t="s">
        <v>23</v>
      </c>
      <c r="E519" t="s">
        <v>147</v>
      </c>
      <c r="F519" s="12" t="s">
        <v>149</v>
      </c>
      <c r="J519" s="383">
        <v>10019.19</v>
      </c>
      <c r="K519" s="69">
        <f>K518+I519-J519</f>
        <v>-7270528.0700000012</v>
      </c>
    </row>
    <row r="520" spans="1:11" ht="15">
      <c r="A520" s="137" t="str">
        <f t="shared" si="8"/>
        <v>FINANZASNOMINA ADMONRECURSOS HUMANOS</v>
      </c>
      <c r="B520" t="s">
        <v>814</v>
      </c>
      <c r="C520" s="1">
        <v>45757</v>
      </c>
      <c r="D520" t="s">
        <v>23</v>
      </c>
      <c r="E520" t="s">
        <v>147</v>
      </c>
      <c r="F520" s="12" t="s">
        <v>125</v>
      </c>
      <c r="J520" s="383">
        <v>10749.78</v>
      </c>
      <c r="K520" s="69">
        <f>K519+I520-J520</f>
        <v>-7281277.8500000015</v>
      </c>
    </row>
    <row r="521" spans="1:11" ht="15">
      <c r="A521" s="137" t="str">
        <f t="shared" si="8"/>
        <v>FINANZASNOMINA ADMONTESORERIA</v>
      </c>
      <c r="B521" t="s">
        <v>814</v>
      </c>
      <c r="C521" s="1">
        <v>45757</v>
      </c>
      <c r="D521" t="s">
        <v>23</v>
      </c>
      <c r="E521" t="s">
        <v>147</v>
      </c>
      <c r="F521" s="12" t="s">
        <v>38</v>
      </c>
      <c r="J521" s="383">
        <v>12123</v>
      </c>
      <c r="K521" s="69">
        <f>K520+I521-J521</f>
        <v>-7293400.8500000015</v>
      </c>
    </row>
    <row r="522" spans="1:11" ht="15">
      <c r="A522" s="137" t="str">
        <f t="shared" si="8"/>
        <v>FINANZASNOMINA ADMONHBG FINANZAS</v>
      </c>
      <c r="B522" t="s">
        <v>814</v>
      </c>
      <c r="C522" s="1">
        <v>45757</v>
      </c>
      <c r="D522" t="s">
        <v>23</v>
      </c>
      <c r="E522" t="s">
        <v>147</v>
      </c>
      <c r="F522" s="12" t="s">
        <v>150</v>
      </c>
      <c r="J522" s="383">
        <v>3057</v>
      </c>
      <c r="K522" s="69">
        <f>K521+I522-J522</f>
        <v>-7296457.8500000015</v>
      </c>
    </row>
    <row r="523" spans="1:11" ht="15">
      <c r="A523" s="137" t="str">
        <f t="shared" si="8"/>
        <v>SGENOMINA ADMONGESTION EMPRESARIAL</v>
      </c>
      <c r="B523" t="s">
        <v>814</v>
      </c>
      <c r="C523" s="1">
        <v>45757</v>
      </c>
      <c r="D523" t="s">
        <v>39</v>
      </c>
      <c r="E523" t="s">
        <v>147</v>
      </c>
      <c r="F523" s="12" t="s">
        <v>40</v>
      </c>
      <c r="J523" s="383">
        <v>18600.8</v>
      </c>
      <c r="K523" s="69">
        <f>K522+I523-J523</f>
        <v>-7315058.6500000013</v>
      </c>
    </row>
    <row r="524" spans="1:11" ht="15">
      <c r="A524" s="137" t="str">
        <f t="shared" si="8"/>
        <v>DENOMINA ADMONDIRECCION</v>
      </c>
      <c r="B524" t="s">
        <v>814</v>
      </c>
      <c r="C524" s="1">
        <v>45757</v>
      </c>
      <c r="D524" t="s">
        <v>41</v>
      </c>
      <c r="E524" t="s">
        <v>147</v>
      </c>
      <c r="F524" s="12" t="s">
        <v>42</v>
      </c>
      <c r="J524" s="383">
        <v>6000.2</v>
      </c>
      <c r="K524" s="69">
        <f>K523+I524-J524</f>
        <v>-7321058.8500000015</v>
      </c>
    </row>
    <row r="525" spans="1:11" ht="15">
      <c r="A525" s="137" t="str">
        <f t="shared" si="8"/>
        <v>CAPVACACIONES/FINIQUITOSCAPRICHOS</v>
      </c>
      <c r="B525" t="s">
        <v>814</v>
      </c>
      <c r="C525" s="1">
        <v>45757</v>
      </c>
      <c r="D525" t="s">
        <v>31</v>
      </c>
      <c r="E525" s="12" t="s">
        <v>190</v>
      </c>
      <c r="F525" s="12" t="s">
        <v>33</v>
      </c>
      <c r="J525" s="383">
        <v>3510</v>
      </c>
      <c r="K525" s="69">
        <f>K524+I525-J525</f>
        <v>-7324568.8500000015</v>
      </c>
    </row>
    <row r="526" spans="1:11" ht="15">
      <c r="A526" s="137" t="str">
        <f t="shared" si="8"/>
        <v>HRVACACIONES/FINIQUITOSHR</v>
      </c>
      <c r="B526" t="s">
        <v>814</v>
      </c>
      <c r="C526" s="1">
        <v>45757</v>
      </c>
      <c r="D526" t="s">
        <v>29</v>
      </c>
      <c r="E526" s="12" t="s">
        <v>190</v>
      </c>
      <c r="F526" s="12" t="s">
        <v>29</v>
      </c>
      <c r="J526" s="383">
        <v>9500</v>
      </c>
      <c r="K526" s="69">
        <f>K525+I526-J526</f>
        <v>-7334068.8500000015</v>
      </c>
    </row>
    <row r="527" spans="1:11" ht="15">
      <c r="A527" s="137" t="str">
        <f t="shared" si="8"/>
        <v>HRVACACIONES/FINIQUITOSHR</v>
      </c>
      <c r="B527" t="s">
        <v>814</v>
      </c>
      <c r="C527" s="1">
        <v>45757</v>
      </c>
      <c r="D527" t="s">
        <v>29</v>
      </c>
      <c r="E527" s="12" t="s">
        <v>190</v>
      </c>
      <c r="F527" s="12" t="s">
        <v>29</v>
      </c>
      <c r="J527" s="383">
        <v>6250</v>
      </c>
      <c r="K527" s="69">
        <f>K526+I527-J527</f>
        <v>-7340318.8500000015</v>
      </c>
    </row>
    <row r="528" spans="1:11" ht="15">
      <c r="A528" s="137" t="str">
        <f t="shared" si="8"/>
        <v>HRVACACIONES/FINIQUITOSHR</v>
      </c>
      <c r="B528" t="s">
        <v>814</v>
      </c>
      <c r="C528" s="1">
        <v>45757</v>
      </c>
      <c r="D528" t="s">
        <v>29</v>
      </c>
      <c r="E528" s="12" t="s">
        <v>190</v>
      </c>
      <c r="F528" s="12" t="s">
        <v>29</v>
      </c>
      <c r="J528" s="383">
        <v>5320</v>
      </c>
      <c r="K528" s="69">
        <f>K527+I528-J528</f>
        <v>-7345638.8500000015</v>
      </c>
    </row>
    <row r="529" spans="1:11" ht="15">
      <c r="A529" s="137" t="str">
        <f t="shared" si="8"/>
        <v>HRVACACIONES/FINIQUITOSHR</v>
      </c>
      <c r="B529" t="s">
        <v>814</v>
      </c>
      <c r="C529" s="1">
        <v>45757</v>
      </c>
      <c r="D529" t="s">
        <v>29</v>
      </c>
      <c r="E529" s="12" t="s">
        <v>190</v>
      </c>
      <c r="F529" s="12" t="s">
        <v>29</v>
      </c>
      <c r="J529" s="383">
        <v>4560</v>
      </c>
      <c r="K529" s="69">
        <f>K528+I529-J529</f>
        <v>-7350198.8500000015</v>
      </c>
    </row>
    <row r="530" spans="1:11" ht="15">
      <c r="A530" s="137" t="str">
        <f t="shared" si="8"/>
        <v>SGEVACACIONES/FINIQUITOSGESTION EMPRESARIAL</v>
      </c>
      <c r="B530" t="s">
        <v>814</v>
      </c>
      <c r="C530" s="1">
        <v>45757</v>
      </c>
      <c r="D530" t="s">
        <v>39</v>
      </c>
      <c r="E530" s="12" t="s">
        <v>190</v>
      </c>
      <c r="F530" s="12" t="s">
        <v>40</v>
      </c>
      <c r="J530" s="383">
        <v>5087.1400000000003</v>
      </c>
      <c r="K530" s="69">
        <f>K529+I530-J530</f>
        <v>-7355285.9900000012</v>
      </c>
    </row>
    <row r="531" spans="1:11" ht="15">
      <c r="A531" s="137" t="str">
        <f t="shared" si="8"/>
        <v>FINANZASNOMINA ADMONHBG FINANZAS</v>
      </c>
      <c r="B531" t="s">
        <v>814</v>
      </c>
      <c r="C531" s="1">
        <v>45757</v>
      </c>
      <c r="D531" t="s">
        <v>23</v>
      </c>
      <c r="E531" t="s">
        <v>147</v>
      </c>
      <c r="F531" s="12" t="s">
        <v>150</v>
      </c>
      <c r="J531" s="383">
        <v>10950</v>
      </c>
      <c r="K531" s="69">
        <f>K530+I531-J531</f>
        <v>-7366235.9900000012</v>
      </c>
    </row>
    <row r="532" spans="1:11" ht="15">
      <c r="A532" s="137" t="str">
        <f t="shared" si="8"/>
        <v>HRNOMINA ADMONHR</v>
      </c>
      <c r="B532" t="s">
        <v>814</v>
      </c>
      <c r="C532" s="1">
        <v>45757</v>
      </c>
      <c r="D532" t="s">
        <v>29</v>
      </c>
      <c r="E532" t="s">
        <v>147</v>
      </c>
      <c r="F532" s="3" t="s">
        <v>29</v>
      </c>
      <c r="J532" s="383">
        <v>5500</v>
      </c>
      <c r="K532" s="69">
        <f>K531+I532-J532</f>
        <v>-7371735.9900000012</v>
      </c>
    </row>
    <row r="533" spans="1:11" ht="15">
      <c r="A533" s="137" t="str">
        <f t="shared" si="8"/>
        <v>CAPNOMINA ADMONCAPRICHOS</v>
      </c>
      <c r="B533" t="s">
        <v>814</v>
      </c>
      <c r="C533" s="1">
        <v>45757</v>
      </c>
      <c r="D533" t="s">
        <v>31</v>
      </c>
      <c r="E533" t="s">
        <v>147</v>
      </c>
      <c r="F533" s="12" t="s">
        <v>33</v>
      </c>
      <c r="J533" s="383">
        <v>3700</v>
      </c>
      <c r="K533" s="69">
        <f>K532+I533-J533</f>
        <v>-7375435.9900000012</v>
      </c>
    </row>
    <row r="534" spans="1:11" ht="15">
      <c r="A534" s="137" t="str">
        <f t="shared" si="8"/>
        <v>SGENOMINA ADMONGESTION EMPRESARIAL</v>
      </c>
      <c r="B534" t="s">
        <v>814</v>
      </c>
      <c r="C534" s="1">
        <v>45757</v>
      </c>
      <c r="D534" t="s">
        <v>39</v>
      </c>
      <c r="E534" t="s">
        <v>147</v>
      </c>
      <c r="F534" s="12" t="s">
        <v>40</v>
      </c>
      <c r="J534" s="383">
        <v>2750</v>
      </c>
      <c r="K534" s="69">
        <f>K533+I534-J534</f>
        <v>-7378185.9900000012</v>
      </c>
    </row>
    <row r="535" spans="1:11" ht="15">
      <c r="A535" s="137" t="str">
        <f t="shared" si="8"/>
        <v>SERVICIOSNOMINA ADMONSERVICIOS</v>
      </c>
      <c r="B535" t="s">
        <v>814</v>
      </c>
      <c r="C535" s="1">
        <v>45757</v>
      </c>
      <c r="D535" t="s">
        <v>21</v>
      </c>
      <c r="E535" t="s">
        <v>147</v>
      </c>
      <c r="F535" s="12" t="s">
        <v>21</v>
      </c>
      <c r="J535" s="382">
        <v>4750</v>
      </c>
      <c r="K535" s="69">
        <f>K534+I535-J535</f>
        <v>-7382935.9900000012</v>
      </c>
    </row>
    <row r="536" spans="1:11" ht="15">
      <c r="A536" s="137" t="str">
        <f t="shared" si="8"/>
        <v>DENOMINA ADMONDIRECCION</v>
      </c>
      <c r="B536" t="s">
        <v>814</v>
      </c>
      <c r="C536" s="1">
        <v>45757</v>
      </c>
      <c r="D536" t="s">
        <v>41</v>
      </c>
      <c r="E536" t="s">
        <v>147</v>
      </c>
      <c r="F536" s="12" t="s">
        <v>42</v>
      </c>
      <c r="J536" s="382">
        <v>10750</v>
      </c>
      <c r="K536" s="69">
        <f>K535+I536-J536</f>
        <v>-7393685.9900000012</v>
      </c>
    </row>
    <row r="537" spans="1:11" ht="15">
      <c r="A537" s="137" t="str">
        <f t="shared" si="8"/>
        <v>MMNOMINA ADMONMARKET MAX</v>
      </c>
      <c r="B537" t="s">
        <v>814</v>
      </c>
      <c r="C537" s="1">
        <v>45757</v>
      </c>
      <c r="D537" t="s">
        <v>45</v>
      </c>
      <c r="E537" t="s">
        <v>147</v>
      </c>
      <c r="F537" s="12" t="s">
        <v>46</v>
      </c>
      <c r="J537" s="382">
        <v>2000</v>
      </c>
      <c r="K537" s="69">
        <f>K536+I537-J537</f>
        <v>-7395685.9900000012</v>
      </c>
    </row>
    <row r="538" spans="1:11" ht="15">
      <c r="A538" s="137" t="str">
        <f t="shared" si="8"/>
        <v>CAPVACACIONES/FINIQUITOSCAPRICHOS</v>
      </c>
      <c r="B538" t="s">
        <v>814</v>
      </c>
      <c r="C538" s="235">
        <v>45757</v>
      </c>
      <c r="D538" s="89" t="s">
        <v>31</v>
      </c>
      <c r="E538" s="14" t="s">
        <v>190</v>
      </c>
      <c r="F538" s="14" t="s">
        <v>33</v>
      </c>
      <c r="G538" s="89"/>
      <c r="H538" s="89"/>
      <c r="I538" s="237"/>
      <c r="J538" s="384">
        <v>14536</v>
      </c>
      <c r="K538" s="69">
        <f>K537+I538-J538</f>
        <v>-7410221.9900000012</v>
      </c>
    </row>
    <row r="539" spans="1:11" ht="15">
      <c r="A539" s="137" t="str">
        <f t="shared" si="8"/>
        <v>HRNOMINA SUCURSALA1</v>
      </c>
      <c r="B539" t="s">
        <v>814</v>
      </c>
      <c r="C539" s="1">
        <v>45763</v>
      </c>
      <c r="D539" t="s">
        <v>29</v>
      </c>
      <c r="E539" t="s">
        <v>154</v>
      </c>
      <c r="F539" s="3" t="s">
        <v>88</v>
      </c>
      <c r="J539" s="382">
        <v>12049.4</v>
      </c>
      <c r="K539" s="69">
        <f>K538+I539-J539</f>
        <v>-7422271.3900000015</v>
      </c>
    </row>
    <row r="540" spans="1:11" ht="15">
      <c r="A540" s="137" t="str">
        <f t="shared" si="8"/>
        <v>HRNOMINA SUCURSALA2</v>
      </c>
      <c r="B540" t="s">
        <v>814</v>
      </c>
      <c r="C540" s="1">
        <v>45763</v>
      </c>
      <c r="D540" t="s">
        <v>29</v>
      </c>
      <c r="E540" t="s">
        <v>154</v>
      </c>
      <c r="F540" s="3" t="s">
        <v>89</v>
      </c>
      <c r="J540" s="382">
        <v>13884.6</v>
      </c>
      <c r="K540" s="69">
        <f>K539+I540-J540</f>
        <v>-7436155.9900000012</v>
      </c>
    </row>
    <row r="541" spans="1:11" ht="15">
      <c r="A541" s="137" t="str">
        <f t="shared" si="8"/>
        <v>HRNOMINA SUCURSALA3</v>
      </c>
      <c r="B541" t="s">
        <v>814</v>
      </c>
      <c r="C541" s="1">
        <v>45763</v>
      </c>
      <c r="D541" t="s">
        <v>29</v>
      </c>
      <c r="E541" t="s">
        <v>154</v>
      </c>
      <c r="F541" s="3" t="s">
        <v>90</v>
      </c>
      <c r="J541" s="382">
        <v>10249.799999999999</v>
      </c>
      <c r="K541" s="69">
        <f>K540+I541-J541</f>
        <v>-7446405.790000001</v>
      </c>
    </row>
    <row r="542" spans="1:11" ht="15">
      <c r="A542" s="137" t="str">
        <f t="shared" si="8"/>
        <v>HRNOMINA SUCURSALA4</v>
      </c>
      <c r="B542" t="s">
        <v>814</v>
      </c>
      <c r="C542" s="1">
        <v>45763</v>
      </c>
      <c r="D542" t="s">
        <v>29</v>
      </c>
      <c r="E542" t="s">
        <v>154</v>
      </c>
      <c r="F542" s="3" t="s">
        <v>91</v>
      </c>
      <c r="J542" s="382">
        <v>9428.7999999999993</v>
      </c>
      <c r="K542" s="69">
        <f>K541+I542-J542</f>
        <v>-7455834.5900000008</v>
      </c>
    </row>
    <row r="543" spans="1:11" ht="15">
      <c r="A543" s="137" t="str">
        <f t="shared" si="8"/>
        <v>HRNOMINA SUCURSALA5</v>
      </c>
      <c r="B543" t="s">
        <v>814</v>
      </c>
      <c r="C543" s="1">
        <v>45763</v>
      </c>
      <c r="D543" t="s">
        <v>29</v>
      </c>
      <c r="E543" t="s">
        <v>154</v>
      </c>
      <c r="F543" s="3" t="s">
        <v>92</v>
      </c>
      <c r="J543" s="382">
        <v>10789.4</v>
      </c>
      <c r="K543" s="69">
        <f>K542+I543-J543</f>
        <v>-7466623.9900000012</v>
      </c>
    </row>
    <row r="544" spans="1:11" ht="15">
      <c r="A544" s="137" t="str">
        <f t="shared" si="8"/>
        <v>HRNOMINA SUCURSALA6</v>
      </c>
      <c r="B544" t="s">
        <v>814</v>
      </c>
      <c r="C544" s="1">
        <v>45763</v>
      </c>
      <c r="D544" t="s">
        <v>29</v>
      </c>
      <c r="E544" t="s">
        <v>154</v>
      </c>
      <c r="F544" s="3" t="s">
        <v>93</v>
      </c>
      <c r="J544" s="382">
        <v>14384.6</v>
      </c>
      <c r="K544" s="69">
        <f>K543+I544-J544</f>
        <v>-7481008.5900000008</v>
      </c>
    </row>
    <row r="545" spans="1:11" ht="15">
      <c r="A545" s="137" t="str">
        <f t="shared" si="8"/>
        <v>HRNOMINA SUCURSALA8</v>
      </c>
      <c r="B545" t="s">
        <v>814</v>
      </c>
      <c r="C545" s="1">
        <v>45763</v>
      </c>
      <c r="D545" t="s">
        <v>29</v>
      </c>
      <c r="E545" t="s">
        <v>154</v>
      </c>
      <c r="F545" s="3" t="s">
        <v>94</v>
      </c>
      <c r="J545" s="382">
        <v>17054.8</v>
      </c>
      <c r="K545" s="69">
        <f>K544+I545-J545</f>
        <v>-7498063.3900000006</v>
      </c>
    </row>
    <row r="546" spans="1:11" ht="15">
      <c r="A546" s="137" t="str">
        <f t="shared" si="8"/>
        <v>HRNOMINA SUCURSALA9</v>
      </c>
      <c r="B546" t="s">
        <v>814</v>
      </c>
      <c r="C546" s="1">
        <v>45763</v>
      </c>
      <c r="D546" t="s">
        <v>29</v>
      </c>
      <c r="E546" t="s">
        <v>154</v>
      </c>
      <c r="F546" s="3" t="s">
        <v>95</v>
      </c>
      <c r="J546" s="382">
        <v>10587</v>
      </c>
      <c r="K546" s="69">
        <f>K545+I546-J546</f>
        <v>-7508650.3900000006</v>
      </c>
    </row>
    <row r="547" spans="1:11" ht="15">
      <c r="A547" s="137" t="str">
        <f t="shared" si="8"/>
        <v>HRNOMINA SUCURSALA10</v>
      </c>
      <c r="B547" t="s">
        <v>814</v>
      </c>
      <c r="C547" s="1">
        <v>45763</v>
      </c>
      <c r="D547" t="s">
        <v>29</v>
      </c>
      <c r="E547" t="s">
        <v>154</v>
      </c>
      <c r="F547" s="3" t="s">
        <v>96</v>
      </c>
      <c r="J547" s="382">
        <v>16274.6</v>
      </c>
      <c r="K547" s="69">
        <f>K546+I547-J547</f>
        <v>-7524924.9900000002</v>
      </c>
    </row>
    <row r="548" spans="1:11" ht="15">
      <c r="A548" s="137" t="str">
        <f t="shared" si="8"/>
        <v>HRNOMINA SUCURSALA11</v>
      </c>
      <c r="B548" t="s">
        <v>814</v>
      </c>
      <c r="C548" s="1">
        <v>45763</v>
      </c>
      <c r="D548" t="s">
        <v>29</v>
      </c>
      <c r="E548" t="s">
        <v>154</v>
      </c>
      <c r="F548" s="62" t="s">
        <v>97</v>
      </c>
      <c r="J548" s="382">
        <v>13050.4</v>
      </c>
      <c r="K548" s="69">
        <f>K547+I548-J548</f>
        <v>-7537975.3900000006</v>
      </c>
    </row>
    <row r="549" spans="1:11" ht="15">
      <c r="A549" s="137" t="str">
        <f t="shared" si="8"/>
        <v>HRNOMINA SUCURSALA12</v>
      </c>
      <c r="B549" t="s">
        <v>814</v>
      </c>
      <c r="C549" s="1">
        <v>45763</v>
      </c>
      <c r="D549" t="s">
        <v>29</v>
      </c>
      <c r="E549" t="s">
        <v>154</v>
      </c>
      <c r="F549" s="3" t="s">
        <v>98</v>
      </c>
      <c r="J549" s="382">
        <v>17333.400000000001</v>
      </c>
      <c r="K549" s="69">
        <f>K548+I549-J549</f>
        <v>-7555308.790000001</v>
      </c>
    </row>
    <row r="550" spans="1:11" ht="15">
      <c r="A550" s="137" t="str">
        <f t="shared" si="8"/>
        <v>HRNOMINA SUCURSALA14</v>
      </c>
      <c r="B550" t="s">
        <v>814</v>
      </c>
      <c r="C550" s="1">
        <v>45763</v>
      </c>
      <c r="D550" t="s">
        <v>29</v>
      </c>
      <c r="E550" t="s">
        <v>154</v>
      </c>
      <c r="F550" s="3" t="s">
        <v>99</v>
      </c>
      <c r="J550" s="382">
        <v>13613.8</v>
      </c>
      <c r="K550" s="69">
        <f>K549+I550-J550</f>
        <v>-7568922.5900000008</v>
      </c>
    </row>
    <row r="551" spans="1:11" ht="15">
      <c r="A551" s="137" t="str">
        <f t="shared" si="8"/>
        <v>HRNOMINA SUCURSALA15</v>
      </c>
      <c r="B551" t="s">
        <v>814</v>
      </c>
      <c r="C551" s="1">
        <v>45763</v>
      </c>
      <c r="D551" t="s">
        <v>29</v>
      </c>
      <c r="E551" t="s">
        <v>154</v>
      </c>
      <c r="F551" s="3" t="s">
        <v>100</v>
      </c>
      <c r="J551" s="382">
        <v>9926.7999999999993</v>
      </c>
      <c r="K551" s="69">
        <f>K550+I551-J551</f>
        <v>-7578849.3900000006</v>
      </c>
    </row>
    <row r="552" spans="1:11" ht="15">
      <c r="A552" s="137" t="str">
        <f t="shared" si="8"/>
        <v>HRNOMINA SUCURSALA16</v>
      </c>
      <c r="B552" t="s">
        <v>814</v>
      </c>
      <c r="C552" s="1">
        <v>45763</v>
      </c>
      <c r="D552" t="s">
        <v>29</v>
      </c>
      <c r="E552" t="s">
        <v>154</v>
      </c>
      <c r="F552" s="3" t="s">
        <v>101</v>
      </c>
      <c r="J552" s="382">
        <v>13577.2</v>
      </c>
      <c r="K552" s="69">
        <f>K551+I552-J552</f>
        <v>-7592426.5900000008</v>
      </c>
    </row>
    <row r="553" spans="1:11" ht="15">
      <c r="A553" s="137" t="str">
        <f t="shared" si="8"/>
        <v>HRNOMINA SUCURSALA17</v>
      </c>
      <c r="B553" t="s">
        <v>814</v>
      </c>
      <c r="C553" s="1">
        <v>45763</v>
      </c>
      <c r="D553" t="s">
        <v>29</v>
      </c>
      <c r="E553" t="s">
        <v>154</v>
      </c>
      <c r="F553" s="3" t="s">
        <v>102</v>
      </c>
      <c r="J553" s="382">
        <v>9986</v>
      </c>
      <c r="K553" s="69">
        <f>K552+I553-J553</f>
        <v>-7602412.5900000008</v>
      </c>
    </row>
    <row r="554" spans="1:11" ht="15">
      <c r="A554" s="137" t="str">
        <f t="shared" si="8"/>
        <v>HRNOMINA SUCURSALA18</v>
      </c>
      <c r="B554" t="s">
        <v>814</v>
      </c>
      <c r="C554" s="1">
        <v>45763</v>
      </c>
      <c r="D554" t="s">
        <v>29</v>
      </c>
      <c r="E554" t="s">
        <v>154</v>
      </c>
      <c r="F554" s="3" t="s">
        <v>103</v>
      </c>
      <c r="J554" s="382">
        <v>9304.6</v>
      </c>
      <c r="K554" s="69">
        <f>K553+I554-J554</f>
        <v>-7611717.1900000004</v>
      </c>
    </row>
    <row r="555" spans="1:11" ht="15">
      <c r="A555" s="137" t="str">
        <f t="shared" si="8"/>
        <v>HRNOMINA SUCURSALA22</v>
      </c>
      <c r="B555" t="s">
        <v>814</v>
      </c>
      <c r="C555" s="1">
        <v>45763</v>
      </c>
      <c r="D555" t="s">
        <v>29</v>
      </c>
      <c r="E555" t="s">
        <v>154</v>
      </c>
      <c r="F555" s="3" t="s">
        <v>104</v>
      </c>
      <c r="J555" s="382">
        <v>14704.2</v>
      </c>
      <c r="K555" s="69">
        <f>K554+I555-J555</f>
        <v>-7626421.3900000006</v>
      </c>
    </row>
    <row r="556" spans="1:11" ht="15">
      <c r="A556" s="137" t="str">
        <f t="shared" si="8"/>
        <v>HRNOMINA SUCURSALA23</v>
      </c>
      <c r="B556" t="s">
        <v>814</v>
      </c>
      <c r="C556" s="1">
        <v>45763</v>
      </c>
      <c r="D556" t="s">
        <v>29</v>
      </c>
      <c r="E556" t="s">
        <v>154</v>
      </c>
      <c r="F556" s="3" t="s">
        <v>105</v>
      </c>
      <c r="J556" s="382">
        <v>11422.6</v>
      </c>
      <c r="K556" s="69">
        <f>K555+I556-J556</f>
        <v>-7637843.9900000002</v>
      </c>
    </row>
    <row r="557" spans="1:11" ht="15">
      <c r="A557" s="137" t="str">
        <f t="shared" si="8"/>
        <v>HRNOMINA SUCURSALA24</v>
      </c>
      <c r="B557" t="s">
        <v>814</v>
      </c>
      <c r="C557" s="1">
        <v>45763</v>
      </c>
      <c r="D557" t="s">
        <v>29</v>
      </c>
      <c r="E557" t="s">
        <v>154</v>
      </c>
      <c r="F557" s="3" t="s">
        <v>106</v>
      </c>
      <c r="J557" s="382">
        <v>12686.8</v>
      </c>
      <c r="K557" s="69">
        <f>K556+I557-J557</f>
        <v>-7650530.79</v>
      </c>
    </row>
    <row r="558" spans="1:11" ht="15">
      <c r="A558" s="137" t="str">
        <f t="shared" si="8"/>
        <v>CAPNOMINA SUCURSALE1</v>
      </c>
      <c r="B558" t="s">
        <v>814</v>
      </c>
      <c r="C558" s="1">
        <v>45763</v>
      </c>
      <c r="D558" t="s">
        <v>31</v>
      </c>
      <c r="E558" t="s">
        <v>154</v>
      </c>
      <c r="F558" s="3" t="s">
        <v>107</v>
      </c>
      <c r="J558" s="382">
        <v>14147.4</v>
      </c>
      <c r="K558" s="69">
        <f>K557+I558-J558</f>
        <v>-7664678.1900000004</v>
      </c>
    </row>
    <row r="559" spans="1:11" ht="15">
      <c r="A559" s="137" t="str">
        <f t="shared" si="8"/>
        <v>CAPNOMINA SUCURSALE2</v>
      </c>
      <c r="B559" t="s">
        <v>814</v>
      </c>
      <c r="C559" s="1">
        <v>45763</v>
      </c>
      <c r="D559" t="s">
        <v>31</v>
      </c>
      <c r="E559" t="s">
        <v>154</v>
      </c>
      <c r="F559" s="3" t="s">
        <v>108</v>
      </c>
      <c r="J559" s="382">
        <v>14266.6</v>
      </c>
      <c r="K559" s="69">
        <f>K558+I559-J559</f>
        <v>-7678944.79</v>
      </c>
    </row>
    <row r="560" spans="1:11" ht="15">
      <c r="A560" s="137" t="str">
        <f t="shared" si="8"/>
        <v>CAPNOMINA SUCURSALE3</v>
      </c>
      <c r="B560" t="s">
        <v>814</v>
      </c>
      <c r="C560" s="1">
        <v>45763</v>
      </c>
      <c r="D560" t="s">
        <v>31</v>
      </c>
      <c r="E560" t="s">
        <v>154</v>
      </c>
      <c r="F560" s="3" t="s">
        <v>109</v>
      </c>
      <c r="J560" s="382">
        <v>13588.8</v>
      </c>
      <c r="K560" s="69">
        <f>K559+I560-J560</f>
        <v>-7692533.5899999999</v>
      </c>
    </row>
    <row r="561" spans="1:11" ht="15">
      <c r="A561" s="137" t="str">
        <f t="shared" si="8"/>
        <v>CAPNOMINA SUCURSALE4</v>
      </c>
      <c r="B561" t="s">
        <v>814</v>
      </c>
      <c r="C561" s="1">
        <v>45763</v>
      </c>
      <c r="D561" t="s">
        <v>31</v>
      </c>
      <c r="E561" t="s">
        <v>154</v>
      </c>
      <c r="F561" s="3" t="s">
        <v>110</v>
      </c>
      <c r="J561" s="382">
        <v>18974.2</v>
      </c>
      <c r="K561" s="69">
        <f>K560+I561-J561</f>
        <v>-7711507.79</v>
      </c>
    </row>
    <row r="562" spans="1:11" ht="15">
      <c r="A562" s="137" t="str">
        <f t="shared" si="8"/>
        <v>CAPNOMINA SUCURSALE5</v>
      </c>
      <c r="B562" t="s">
        <v>814</v>
      </c>
      <c r="C562" s="1">
        <v>45763</v>
      </c>
      <c r="D562" t="s">
        <v>31</v>
      </c>
      <c r="E562" t="s">
        <v>154</v>
      </c>
      <c r="F562" s="3" t="s">
        <v>111</v>
      </c>
      <c r="J562" s="382">
        <v>19634.2</v>
      </c>
      <c r="K562" s="69">
        <f>K561+I562-J562</f>
        <v>-7731141.9900000002</v>
      </c>
    </row>
    <row r="563" spans="1:11" ht="15">
      <c r="A563" s="137" t="str">
        <f t="shared" si="8"/>
        <v>CAPNOMINA SUCURSALE6</v>
      </c>
      <c r="B563" t="s">
        <v>814</v>
      </c>
      <c r="C563" s="1">
        <v>45763</v>
      </c>
      <c r="D563" t="s">
        <v>31</v>
      </c>
      <c r="E563" t="s">
        <v>154</v>
      </c>
      <c r="F563" s="3" t="s">
        <v>112</v>
      </c>
      <c r="J563" s="382">
        <v>13693</v>
      </c>
      <c r="K563" s="69">
        <f>K562+I563-J563</f>
        <v>-7744834.9900000002</v>
      </c>
    </row>
    <row r="564" spans="1:11" ht="15">
      <c r="A564" s="137" t="str">
        <f t="shared" si="8"/>
        <v>CAPNOMINA SUCURSALE7</v>
      </c>
      <c r="B564" t="s">
        <v>814</v>
      </c>
      <c r="C564" s="1">
        <v>45763</v>
      </c>
      <c r="D564" t="s">
        <v>31</v>
      </c>
      <c r="E564" t="s">
        <v>154</v>
      </c>
      <c r="F564" s="3" t="s">
        <v>113</v>
      </c>
      <c r="J564" s="382">
        <v>11328.8</v>
      </c>
      <c r="K564" s="69">
        <f>K563+I564-J564</f>
        <v>-7756163.79</v>
      </c>
    </row>
    <row r="565" spans="1:11" ht="15">
      <c r="A565" s="137" t="str">
        <f t="shared" si="8"/>
        <v>CAPNOMINA SUCURSALE8</v>
      </c>
      <c r="B565" t="s">
        <v>814</v>
      </c>
      <c r="C565" s="1">
        <v>45763</v>
      </c>
      <c r="D565" t="s">
        <v>31</v>
      </c>
      <c r="E565" t="s">
        <v>154</v>
      </c>
      <c r="F565" s="3" t="s">
        <v>114</v>
      </c>
      <c r="J565" s="382">
        <v>22443.599999999999</v>
      </c>
      <c r="K565" s="69">
        <f>K564+I565-J565</f>
        <v>-7778607.3899999997</v>
      </c>
    </row>
    <row r="566" spans="1:11" ht="15">
      <c r="A566" s="137" t="str">
        <f t="shared" si="8"/>
        <v>CAPNOMINA SUCURSALE9</v>
      </c>
      <c r="B566" t="s">
        <v>814</v>
      </c>
      <c r="C566" s="1">
        <v>45763</v>
      </c>
      <c r="D566" t="s">
        <v>31</v>
      </c>
      <c r="E566" t="s">
        <v>154</v>
      </c>
      <c r="F566" s="3" t="s">
        <v>116</v>
      </c>
      <c r="J566" s="382">
        <v>22045.8</v>
      </c>
      <c r="K566" s="69">
        <f>K565+I566-J566</f>
        <v>-7800653.1899999995</v>
      </c>
    </row>
    <row r="567" spans="1:11" ht="15">
      <c r="A567" s="137" t="str">
        <f t="shared" si="8"/>
        <v>ELINOMINA SUCURSALL1</v>
      </c>
      <c r="B567" t="s">
        <v>814</v>
      </c>
      <c r="C567" s="1">
        <v>45763</v>
      </c>
      <c r="D567" t="s">
        <v>130</v>
      </c>
      <c r="E567" t="s">
        <v>154</v>
      </c>
      <c r="F567" s="3" t="s">
        <v>136</v>
      </c>
      <c r="J567" s="382">
        <v>9452.4</v>
      </c>
      <c r="K567" s="69">
        <f>K566+I567-J567</f>
        <v>-7810105.5899999999</v>
      </c>
    </row>
    <row r="568" spans="1:11" ht="15">
      <c r="A568" s="137" t="str">
        <f t="shared" si="8"/>
        <v>HRNOMINA ADMONHR</v>
      </c>
      <c r="B568" t="s">
        <v>814</v>
      </c>
      <c r="C568" s="1">
        <v>45763</v>
      </c>
      <c r="D568" t="s">
        <v>29</v>
      </c>
      <c r="E568" t="s">
        <v>147</v>
      </c>
      <c r="F568" s="3" t="s">
        <v>29</v>
      </c>
      <c r="J568" s="382">
        <v>31444.81</v>
      </c>
      <c r="K568" s="69">
        <f>K567+I568-J568</f>
        <v>-7841550.3999999994</v>
      </c>
    </row>
    <row r="569" spans="1:11" ht="15">
      <c r="A569" s="137" t="str">
        <f t="shared" si="8"/>
        <v>CAPNOMINA ADMONCAPRICHOS</v>
      </c>
      <c r="B569" t="s">
        <v>814</v>
      </c>
      <c r="C569" s="1">
        <v>45763</v>
      </c>
      <c r="D569" t="s">
        <v>31</v>
      </c>
      <c r="E569" t="s">
        <v>147</v>
      </c>
      <c r="F569" s="12" t="s">
        <v>33</v>
      </c>
      <c r="J569" s="382">
        <v>28914.51</v>
      </c>
      <c r="K569" s="69">
        <f>K568+I569-J569</f>
        <v>-7870464.9099999992</v>
      </c>
    </row>
    <row r="570" spans="1:11" ht="15">
      <c r="A570" s="137" t="str">
        <f t="shared" si="8"/>
        <v>SERVICIOSNOMINA SUCURSALCEDIS</v>
      </c>
      <c r="B570" t="s">
        <v>814</v>
      </c>
      <c r="C570" s="1">
        <v>45763</v>
      </c>
      <c r="D570" t="s">
        <v>21</v>
      </c>
      <c r="E570" t="s">
        <v>154</v>
      </c>
      <c r="F570" s="12" t="s">
        <v>28</v>
      </c>
      <c r="J570" s="382">
        <v>54230.52</v>
      </c>
      <c r="K570" s="69">
        <f>K569+I570-J570</f>
        <v>-7924695.4299999988</v>
      </c>
    </row>
    <row r="571" spans="1:11" ht="15">
      <c r="A571" s="137" t="str">
        <f t="shared" si="8"/>
        <v>SERVICIOSNOMINA ADMONINVENTARIOS</v>
      </c>
      <c r="B571" t="s">
        <v>814</v>
      </c>
      <c r="C571" s="1">
        <v>45763</v>
      </c>
      <c r="D571" t="s">
        <v>21</v>
      </c>
      <c r="E571" t="s">
        <v>147</v>
      </c>
      <c r="F571" s="12" t="s">
        <v>34</v>
      </c>
      <c r="J571" s="382">
        <v>2706.6</v>
      </c>
      <c r="K571" s="69">
        <f>K570+I571-J571</f>
        <v>-7927402.0299999984</v>
      </c>
    </row>
    <row r="572" spans="1:11" ht="15">
      <c r="A572" s="137" t="str">
        <f t="shared" si="8"/>
        <v>SERVICIOSNOMINA ADMONMANTENIMIENTO</v>
      </c>
      <c r="B572" t="s">
        <v>814</v>
      </c>
      <c r="C572" s="1">
        <v>45763</v>
      </c>
      <c r="D572" t="s">
        <v>21</v>
      </c>
      <c r="E572" t="s">
        <v>147</v>
      </c>
      <c r="F572" s="12" t="s">
        <v>35</v>
      </c>
      <c r="J572" s="382">
        <v>8908.83</v>
      </c>
      <c r="K572" s="69">
        <f>K571+I572-J572</f>
        <v>-7936310.8599999985</v>
      </c>
    </row>
    <row r="573" spans="1:11" ht="15">
      <c r="A573" s="137" t="str">
        <f t="shared" si="8"/>
        <v>SERVICIOSNOMINA ADMONCADENA DE SUMINISTROS</v>
      </c>
      <c r="B573" t="s">
        <v>814</v>
      </c>
      <c r="C573" s="1">
        <v>45763</v>
      </c>
      <c r="D573" t="s">
        <v>21</v>
      </c>
      <c r="E573" t="s">
        <v>147</v>
      </c>
      <c r="F573" s="12" t="s">
        <v>134</v>
      </c>
      <c r="J573" s="382">
        <v>19418.400000000001</v>
      </c>
      <c r="K573" s="69">
        <f>K572+I573-J573</f>
        <v>-7955729.2599999988</v>
      </c>
    </row>
    <row r="574" spans="1:11" ht="15">
      <c r="A574" s="137" t="str">
        <f t="shared" si="8"/>
        <v>SERVICIOSNOMINA ADMONSISTEMAS</v>
      </c>
      <c r="B574" t="s">
        <v>814</v>
      </c>
      <c r="C574" s="1">
        <v>45763</v>
      </c>
      <c r="D574" t="s">
        <v>21</v>
      </c>
      <c r="E574" t="s">
        <v>147</v>
      </c>
      <c r="F574" s="12" t="s">
        <v>36</v>
      </c>
      <c r="J574" s="382">
        <v>10147.49</v>
      </c>
      <c r="K574" s="69">
        <f>K573+I574-J574</f>
        <v>-7965876.7499999991</v>
      </c>
    </row>
    <row r="575" spans="1:11" ht="15">
      <c r="A575" s="137" t="str">
        <f t="shared" si="8"/>
        <v>SERVICIOSNOMINA ADMONCOMPRAS</v>
      </c>
      <c r="B575" t="s">
        <v>814</v>
      </c>
      <c r="C575" s="1">
        <v>45763</v>
      </c>
      <c r="D575" t="s">
        <v>21</v>
      </c>
      <c r="E575" t="s">
        <v>147</v>
      </c>
      <c r="F575" s="12" t="s">
        <v>148</v>
      </c>
      <c r="J575" s="382">
        <v>23470.11</v>
      </c>
      <c r="K575" s="69">
        <f>K574+I575-J575</f>
        <v>-7989346.8599999994</v>
      </c>
    </row>
    <row r="576" spans="1:11" ht="15">
      <c r="A576" s="137" t="str">
        <f t="shared" si="8"/>
        <v>FINANZASNOMINA ADMONCONTABILIDAD</v>
      </c>
      <c r="B576" t="s">
        <v>814</v>
      </c>
      <c r="C576" s="1">
        <v>45763</v>
      </c>
      <c r="D576" t="s">
        <v>23</v>
      </c>
      <c r="E576" t="s">
        <v>147</v>
      </c>
      <c r="F576" s="12" t="s">
        <v>37</v>
      </c>
      <c r="J576" s="382">
        <v>12773.47</v>
      </c>
      <c r="K576" s="69">
        <f>K575+I576-J576</f>
        <v>-8002120.3299999991</v>
      </c>
    </row>
    <row r="577" spans="1:11" ht="15">
      <c r="A577" s="137" t="str">
        <f t="shared" si="8"/>
        <v>FINANZASNOMINA ADMONFINANZAS/LEGAL</v>
      </c>
      <c r="B577" t="s">
        <v>814</v>
      </c>
      <c r="C577" s="1">
        <v>45763</v>
      </c>
      <c r="D577" t="s">
        <v>23</v>
      </c>
      <c r="E577" t="s">
        <v>147</v>
      </c>
      <c r="F577" s="12" t="s">
        <v>149</v>
      </c>
      <c r="J577" s="382">
        <v>10019.19</v>
      </c>
      <c r="K577" s="69">
        <f>K576+I577-J577</f>
        <v>-8012139.5199999996</v>
      </c>
    </row>
    <row r="578" spans="1:11" ht="15">
      <c r="A578" s="137" t="str">
        <f t="shared" si="8"/>
        <v>FINANZASNOMINA ADMONRECURSOS HUMANOS</v>
      </c>
      <c r="B578" t="s">
        <v>814</v>
      </c>
      <c r="C578" s="1">
        <v>45763</v>
      </c>
      <c r="D578" t="s">
        <v>23</v>
      </c>
      <c r="E578" t="s">
        <v>147</v>
      </c>
      <c r="F578" s="12" t="s">
        <v>125</v>
      </c>
      <c r="J578" s="382">
        <v>10749.58</v>
      </c>
      <c r="K578" s="69">
        <f>K577+I578-J578</f>
        <v>-8022889.0999999996</v>
      </c>
    </row>
    <row r="579" spans="1:11" ht="15">
      <c r="A579" s="137" t="str">
        <f t="shared" si="8"/>
        <v>FINANZASNOMINA ADMONTESORERIA</v>
      </c>
      <c r="B579" t="s">
        <v>814</v>
      </c>
      <c r="C579" s="1">
        <v>45763</v>
      </c>
      <c r="D579" t="s">
        <v>23</v>
      </c>
      <c r="E579" t="s">
        <v>147</v>
      </c>
      <c r="F579" s="12" t="s">
        <v>38</v>
      </c>
      <c r="J579" s="382">
        <v>10935.8</v>
      </c>
      <c r="K579" s="69">
        <f>K578+I579-J579</f>
        <v>-8033824.8999999994</v>
      </c>
    </row>
    <row r="580" spans="1:11" ht="15">
      <c r="A580" s="137" t="str">
        <f t="shared" ref="A580:A643" si="9">D580&amp;E580&amp;F580</f>
        <v>FINANZASNOMINA ADMONHBG FINANZAS</v>
      </c>
      <c r="B580" t="s">
        <v>814</v>
      </c>
      <c r="C580" s="1">
        <v>45763</v>
      </c>
      <c r="D580" t="s">
        <v>23</v>
      </c>
      <c r="E580" t="s">
        <v>147</v>
      </c>
      <c r="F580" s="12" t="s">
        <v>150</v>
      </c>
      <c r="J580" s="382">
        <v>2935.4</v>
      </c>
      <c r="K580" s="69">
        <f>K579+I580-J580</f>
        <v>-8036760.2999999998</v>
      </c>
    </row>
    <row r="581" spans="1:11" ht="15">
      <c r="A581" s="137" t="str">
        <f t="shared" si="9"/>
        <v>SGENOMINA ADMONGESTION EMPRESARIAL</v>
      </c>
      <c r="B581" t="s">
        <v>814</v>
      </c>
      <c r="C581" s="1">
        <v>45763</v>
      </c>
      <c r="D581" t="s">
        <v>39</v>
      </c>
      <c r="E581" t="s">
        <v>147</v>
      </c>
      <c r="F581" s="12" t="s">
        <v>40</v>
      </c>
      <c r="J581" s="382">
        <v>21500.2</v>
      </c>
      <c r="K581" s="69">
        <f>K580+I581-J581</f>
        <v>-8058260.5</v>
      </c>
    </row>
    <row r="582" spans="1:11" ht="15">
      <c r="A582" s="137" t="str">
        <f t="shared" si="9"/>
        <v>DENOMINA ADMONDIRECCION</v>
      </c>
      <c r="B582" t="s">
        <v>814</v>
      </c>
      <c r="C582" s="1">
        <v>45763</v>
      </c>
      <c r="D582" t="s">
        <v>41</v>
      </c>
      <c r="E582" t="s">
        <v>147</v>
      </c>
      <c r="F582" s="12" t="s">
        <v>42</v>
      </c>
      <c r="J582" s="382">
        <v>6414</v>
      </c>
      <c r="K582" s="69">
        <f>K581+I582-J582</f>
        <v>-8064674.5</v>
      </c>
    </row>
    <row r="583" spans="1:11" ht="15">
      <c r="A583" s="137" t="str">
        <f t="shared" si="9"/>
        <v>FINANZASNOMINA ADMONHBG FINANZAS</v>
      </c>
      <c r="B583" t="s">
        <v>814</v>
      </c>
      <c r="C583" s="1">
        <v>45763</v>
      </c>
      <c r="D583" t="s">
        <v>23</v>
      </c>
      <c r="E583" t="s">
        <v>147</v>
      </c>
      <c r="F583" s="12" t="s">
        <v>150</v>
      </c>
      <c r="J583" s="382">
        <v>10950</v>
      </c>
      <c r="K583" s="69">
        <f>K582+I583-J583</f>
        <v>-8075624.5</v>
      </c>
    </row>
    <row r="584" spans="1:11" ht="15">
      <c r="A584" s="137" t="str">
        <f t="shared" si="9"/>
        <v>HRNOMINA ADMONHR</v>
      </c>
      <c r="B584" t="s">
        <v>814</v>
      </c>
      <c r="C584" s="1">
        <v>45763</v>
      </c>
      <c r="D584" t="s">
        <v>29</v>
      </c>
      <c r="E584" t="s">
        <v>147</v>
      </c>
      <c r="F584" s="3" t="s">
        <v>29</v>
      </c>
      <c r="J584" s="382">
        <v>5500</v>
      </c>
      <c r="K584" s="69">
        <f>K583+I584-J584</f>
        <v>-8081124.5</v>
      </c>
    </row>
    <row r="585" spans="1:11" ht="15">
      <c r="A585" s="137" t="str">
        <f t="shared" si="9"/>
        <v>CAPNOMINA ADMONCAPRICHOS</v>
      </c>
      <c r="B585" t="s">
        <v>814</v>
      </c>
      <c r="C585" s="1">
        <v>45763</v>
      </c>
      <c r="D585" t="s">
        <v>31</v>
      </c>
      <c r="E585" t="s">
        <v>147</v>
      </c>
      <c r="F585" s="12" t="s">
        <v>33</v>
      </c>
      <c r="J585" s="382">
        <v>3700</v>
      </c>
      <c r="K585" s="69">
        <f>K584+I585-J585</f>
        <v>-8084824.5</v>
      </c>
    </row>
    <row r="586" spans="1:11" ht="15">
      <c r="A586" s="137" t="str">
        <f t="shared" si="9"/>
        <v>SGENOMINA ADMONGESTION EMPRESARIAL</v>
      </c>
      <c r="B586" t="s">
        <v>814</v>
      </c>
      <c r="C586" s="1">
        <v>45763</v>
      </c>
      <c r="D586" t="s">
        <v>39</v>
      </c>
      <c r="E586" t="s">
        <v>147</v>
      </c>
      <c r="F586" s="12" t="s">
        <v>40</v>
      </c>
      <c r="J586" s="382">
        <v>2750</v>
      </c>
      <c r="K586" s="69">
        <f>K585+I586-J586</f>
        <v>-8087574.5</v>
      </c>
    </row>
    <row r="587" spans="1:11" ht="15">
      <c r="A587" s="137" t="str">
        <f t="shared" si="9"/>
        <v>SERVICIOSNOMINA ADMONSERVICIOS</v>
      </c>
      <c r="B587" t="s">
        <v>814</v>
      </c>
      <c r="C587" s="1">
        <v>45763</v>
      </c>
      <c r="D587" t="s">
        <v>21</v>
      </c>
      <c r="E587" t="s">
        <v>147</v>
      </c>
      <c r="F587" s="12" t="s">
        <v>21</v>
      </c>
      <c r="J587" s="382">
        <v>4750</v>
      </c>
      <c r="K587" s="69">
        <f>K586+I587-J587</f>
        <v>-8092324.5</v>
      </c>
    </row>
    <row r="588" spans="1:11" ht="15">
      <c r="A588" s="137" t="str">
        <f t="shared" si="9"/>
        <v>DENOMINA ADMONDIRECCION</v>
      </c>
      <c r="B588" t="s">
        <v>814</v>
      </c>
      <c r="C588" s="1">
        <v>45763</v>
      </c>
      <c r="D588" t="s">
        <v>41</v>
      </c>
      <c r="E588" t="s">
        <v>147</v>
      </c>
      <c r="F588" s="12" t="s">
        <v>42</v>
      </c>
      <c r="J588" s="382">
        <v>5750</v>
      </c>
      <c r="K588" s="69">
        <f>K587+I588-J588</f>
        <v>-8098074.5</v>
      </c>
    </row>
    <row r="589" spans="1:11" ht="15">
      <c r="A589" s="137" t="str">
        <f t="shared" si="9"/>
        <v>MMNOMINA ADMONMARKET MAX</v>
      </c>
      <c r="B589" t="s">
        <v>814</v>
      </c>
      <c r="C589" s="1">
        <v>45763</v>
      </c>
      <c r="D589" t="s">
        <v>45</v>
      </c>
      <c r="E589" t="s">
        <v>147</v>
      </c>
      <c r="F589" s="12" t="s">
        <v>46</v>
      </c>
      <c r="J589" s="382">
        <v>2000</v>
      </c>
      <c r="K589" s="69">
        <f>K588+I589-J589</f>
        <v>-8100074.5</v>
      </c>
    </row>
    <row r="590" spans="1:11" ht="15">
      <c r="A590" s="137" t="str">
        <f t="shared" si="9"/>
        <v>CAPVACACIONES/FINIQUITOSCAPRICHOS</v>
      </c>
      <c r="B590" t="s">
        <v>814</v>
      </c>
      <c r="C590" s="1">
        <v>45763</v>
      </c>
      <c r="D590" t="s">
        <v>31</v>
      </c>
      <c r="E590" s="12" t="s">
        <v>190</v>
      </c>
      <c r="F590" s="12" t="s">
        <v>33</v>
      </c>
      <c r="J590" s="382">
        <v>19642.86</v>
      </c>
      <c r="K590" s="69">
        <f>K589+I590-J590</f>
        <v>-8119717.3600000003</v>
      </c>
    </row>
    <row r="591" spans="1:11" ht="15">
      <c r="A591" s="137" t="str">
        <f t="shared" si="9"/>
        <v>SERVICIOSVACACIONES/FINIQUITOSSERVICIOS</v>
      </c>
      <c r="B591" t="s">
        <v>814</v>
      </c>
      <c r="C591" s="1">
        <v>45763</v>
      </c>
      <c r="D591" t="s">
        <v>21</v>
      </c>
      <c r="E591" s="12" t="s">
        <v>190</v>
      </c>
      <c r="F591" s="12" t="s">
        <v>21</v>
      </c>
      <c r="J591" s="382">
        <v>27385.71</v>
      </c>
      <c r="K591" s="69">
        <f>K590+I591-J591</f>
        <v>-8147103.0700000003</v>
      </c>
    </row>
    <row r="592" spans="1:11" ht="15">
      <c r="A592" s="137" t="str">
        <f t="shared" si="9"/>
        <v>SGEVACACIONES/FINIQUITOSGESTION EMPRESARIAL</v>
      </c>
      <c r="B592" t="s">
        <v>814</v>
      </c>
      <c r="C592" s="1">
        <v>45763</v>
      </c>
      <c r="D592" t="s">
        <v>39</v>
      </c>
      <c r="E592" s="12" t="s">
        <v>190</v>
      </c>
      <c r="F592" s="12" t="s">
        <v>40</v>
      </c>
      <c r="J592" s="382">
        <v>9428.57</v>
      </c>
      <c r="K592" s="69">
        <f>K591+I592-J592</f>
        <v>-8156531.6400000006</v>
      </c>
    </row>
    <row r="593" spans="1:11" ht="15">
      <c r="A593" s="137" t="str">
        <f t="shared" si="9"/>
        <v>HRVACACIONES/FINIQUITOSHR</v>
      </c>
      <c r="B593" t="s">
        <v>814</v>
      </c>
      <c r="C593" s="1">
        <v>45763</v>
      </c>
      <c r="D593" t="s">
        <v>29</v>
      </c>
      <c r="E593" s="12" t="s">
        <v>190</v>
      </c>
      <c r="F593" s="12" t="s">
        <v>29</v>
      </c>
      <c r="J593" s="382">
        <v>4560</v>
      </c>
      <c r="K593" s="69">
        <f>K592+I593-J593</f>
        <v>-8161091.6400000006</v>
      </c>
    </row>
    <row r="594" spans="1:11" ht="15">
      <c r="A594" s="137" t="str">
        <f t="shared" si="9"/>
        <v>HRVACACIONES/FINIQUITOSHR</v>
      </c>
      <c r="B594" t="s">
        <v>814</v>
      </c>
      <c r="C594" s="1">
        <v>45763</v>
      </c>
      <c r="D594" t="s">
        <v>29</v>
      </c>
      <c r="E594" s="12" t="s">
        <v>190</v>
      </c>
      <c r="F594" s="12" t="s">
        <v>29</v>
      </c>
      <c r="J594" s="382">
        <v>15714.29</v>
      </c>
      <c r="K594" s="69">
        <f>K593+I594-J594</f>
        <v>-8176805.9300000006</v>
      </c>
    </row>
    <row r="595" spans="1:11" ht="15">
      <c r="A595" s="137" t="str">
        <f t="shared" si="9"/>
        <v>HRVACACIONES/FINIQUITOSHR</v>
      </c>
      <c r="B595" t="s">
        <v>814</v>
      </c>
      <c r="C595" s="1">
        <v>45763</v>
      </c>
      <c r="D595" t="s">
        <v>29</v>
      </c>
      <c r="E595" s="12" t="s">
        <v>190</v>
      </c>
      <c r="F595" t="s">
        <v>29</v>
      </c>
      <c r="J595" s="382">
        <v>5357.14</v>
      </c>
      <c r="K595" s="69">
        <f>K594+I595-J595</f>
        <v>-8182163.0700000003</v>
      </c>
    </row>
    <row r="596" spans="1:11" ht="15">
      <c r="A596" s="137" t="str">
        <f t="shared" si="9"/>
        <v>HRNOMINA SUCURSALA1</v>
      </c>
      <c r="B596" t="s">
        <v>814</v>
      </c>
      <c r="C596" s="1">
        <v>45771</v>
      </c>
      <c r="D596" t="s">
        <v>29</v>
      </c>
      <c r="E596" t="s">
        <v>154</v>
      </c>
      <c r="F596" s="3" t="s">
        <v>88</v>
      </c>
      <c r="J596" s="382">
        <v>12187.8</v>
      </c>
      <c r="K596" s="69">
        <f>K595+I596-J596</f>
        <v>-8194350.8700000001</v>
      </c>
    </row>
    <row r="597" spans="1:11" ht="15">
      <c r="A597" s="137" t="str">
        <f t="shared" si="9"/>
        <v>HRNOMINA SUCURSALA2</v>
      </c>
      <c r="B597" t="s">
        <v>814</v>
      </c>
      <c r="C597" s="1">
        <v>45771</v>
      </c>
      <c r="D597" t="s">
        <v>29</v>
      </c>
      <c r="E597" t="s">
        <v>154</v>
      </c>
      <c r="F597" s="3" t="s">
        <v>89</v>
      </c>
      <c r="J597" s="382">
        <v>12857</v>
      </c>
      <c r="K597" s="69">
        <f>K596+I597-J597</f>
        <v>-8207207.8700000001</v>
      </c>
    </row>
    <row r="598" spans="1:11" ht="15">
      <c r="A598" s="137" t="str">
        <f t="shared" si="9"/>
        <v>HRNOMINA SUCURSALA3</v>
      </c>
      <c r="B598" t="s">
        <v>814</v>
      </c>
      <c r="C598" s="1">
        <v>45771</v>
      </c>
      <c r="D598" t="s">
        <v>29</v>
      </c>
      <c r="E598" t="s">
        <v>154</v>
      </c>
      <c r="F598" s="3" t="s">
        <v>90</v>
      </c>
      <c r="J598" s="382">
        <v>10441.450000000001</v>
      </c>
      <c r="K598" s="69">
        <f>K597+I598-J598</f>
        <v>-8217649.3200000003</v>
      </c>
    </row>
    <row r="599" spans="1:11" ht="15">
      <c r="A599" s="137" t="str">
        <f t="shared" si="9"/>
        <v>HRNOMINA SUCURSALA4</v>
      </c>
      <c r="B599" t="s">
        <v>814</v>
      </c>
      <c r="C599" s="1">
        <v>45771</v>
      </c>
      <c r="D599" t="s">
        <v>29</v>
      </c>
      <c r="E599" t="s">
        <v>154</v>
      </c>
      <c r="F599" s="3" t="s">
        <v>91</v>
      </c>
      <c r="J599" s="382">
        <v>9428.7999999999993</v>
      </c>
      <c r="K599" s="69">
        <f>K598+I599-J599</f>
        <v>-8227078.1200000001</v>
      </c>
    </row>
    <row r="600" spans="1:11" ht="15">
      <c r="A600" s="137" t="str">
        <f t="shared" si="9"/>
        <v>HRNOMINA SUCURSALA5</v>
      </c>
      <c r="B600" t="s">
        <v>814</v>
      </c>
      <c r="C600" s="1">
        <v>45771</v>
      </c>
      <c r="D600" t="s">
        <v>29</v>
      </c>
      <c r="E600" t="s">
        <v>154</v>
      </c>
      <c r="F600" s="3" t="s">
        <v>92</v>
      </c>
      <c r="J600" s="382">
        <v>9307.81</v>
      </c>
      <c r="K600" s="69">
        <f>K599+I600-J600</f>
        <v>-8236385.9299999997</v>
      </c>
    </row>
    <row r="601" spans="1:11" ht="15">
      <c r="A601" s="137" t="str">
        <f t="shared" si="9"/>
        <v>HRNOMINA SUCURSALA6</v>
      </c>
      <c r="B601" t="s">
        <v>814</v>
      </c>
      <c r="C601" s="1">
        <v>45771</v>
      </c>
      <c r="D601" t="s">
        <v>29</v>
      </c>
      <c r="E601" t="s">
        <v>154</v>
      </c>
      <c r="F601" s="3" t="s">
        <v>93</v>
      </c>
      <c r="J601" s="382">
        <v>14384.49</v>
      </c>
      <c r="K601" s="69">
        <f>K600+I601-J601</f>
        <v>-8250770.4199999999</v>
      </c>
    </row>
    <row r="602" spans="1:11" ht="15">
      <c r="A602" s="137" t="str">
        <f t="shared" si="9"/>
        <v>HRNOMINA SUCURSALA8</v>
      </c>
      <c r="B602" t="s">
        <v>814</v>
      </c>
      <c r="C602" s="1">
        <v>45771</v>
      </c>
      <c r="D602" t="s">
        <v>29</v>
      </c>
      <c r="E602" t="s">
        <v>154</v>
      </c>
      <c r="F602" s="3" t="s">
        <v>94</v>
      </c>
      <c r="J602" s="382">
        <v>15884.4</v>
      </c>
      <c r="K602" s="69">
        <f>K601+I602-J602</f>
        <v>-8266654.8200000003</v>
      </c>
    </row>
    <row r="603" spans="1:11" ht="15">
      <c r="A603" s="137" t="str">
        <f t="shared" si="9"/>
        <v>HRNOMINA SUCURSALA9</v>
      </c>
      <c r="B603" t="s">
        <v>814</v>
      </c>
      <c r="C603" s="1">
        <v>45771</v>
      </c>
      <c r="D603" t="s">
        <v>29</v>
      </c>
      <c r="E603" t="s">
        <v>154</v>
      </c>
      <c r="F603" s="3" t="s">
        <v>95</v>
      </c>
      <c r="J603" s="382">
        <v>10933.49</v>
      </c>
      <c r="K603" s="69">
        <f>K602+I603-J603</f>
        <v>-8277588.3100000005</v>
      </c>
    </row>
    <row r="604" spans="1:11" ht="15">
      <c r="A604" s="137" t="str">
        <f t="shared" si="9"/>
        <v>HRNOMINA SUCURSALA10</v>
      </c>
      <c r="B604" t="s">
        <v>814</v>
      </c>
      <c r="C604" s="1">
        <v>45771</v>
      </c>
      <c r="D604" t="s">
        <v>29</v>
      </c>
      <c r="E604" t="s">
        <v>154</v>
      </c>
      <c r="F604" s="3" t="s">
        <v>96</v>
      </c>
      <c r="J604" s="382">
        <v>16266.8</v>
      </c>
      <c r="K604" s="69">
        <f>K603+I604-J604</f>
        <v>-8293855.1100000003</v>
      </c>
    </row>
    <row r="605" spans="1:11" ht="15">
      <c r="A605" s="137" t="str">
        <f t="shared" si="9"/>
        <v>HRNOMINA SUCURSALA11</v>
      </c>
      <c r="B605" t="s">
        <v>814</v>
      </c>
      <c r="C605" s="1">
        <v>45771</v>
      </c>
      <c r="D605" t="s">
        <v>29</v>
      </c>
      <c r="E605" t="s">
        <v>154</v>
      </c>
      <c r="F605" s="62" t="s">
        <v>97</v>
      </c>
      <c r="J605" s="382">
        <v>13099.8</v>
      </c>
      <c r="K605" s="69">
        <f>K604+I605-J605</f>
        <v>-8306954.9100000001</v>
      </c>
    </row>
    <row r="606" spans="1:11" ht="15">
      <c r="A606" s="137" t="str">
        <f t="shared" si="9"/>
        <v>HRNOMINA SUCURSALA12</v>
      </c>
      <c r="B606" t="s">
        <v>814</v>
      </c>
      <c r="C606" s="1">
        <v>45771</v>
      </c>
      <c r="D606" t="s">
        <v>29</v>
      </c>
      <c r="E606" t="s">
        <v>154</v>
      </c>
      <c r="F606" s="3" t="s">
        <v>98</v>
      </c>
      <c r="J606" s="382">
        <v>18923.490000000002</v>
      </c>
      <c r="K606" s="69">
        <f>K605+I606-J606</f>
        <v>-8325878.4000000004</v>
      </c>
    </row>
    <row r="607" spans="1:11" ht="15">
      <c r="A607" s="137" t="str">
        <f t="shared" si="9"/>
        <v>HRNOMINA SUCURSALA14</v>
      </c>
      <c r="B607" t="s">
        <v>814</v>
      </c>
      <c r="C607" s="1">
        <v>45771</v>
      </c>
      <c r="D607" t="s">
        <v>29</v>
      </c>
      <c r="E607" t="s">
        <v>154</v>
      </c>
      <c r="F607" s="3" t="s">
        <v>99</v>
      </c>
      <c r="J607" s="382">
        <v>8631.7999999999993</v>
      </c>
      <c r="K607" s="69">
        <f>K606+I607-J607</f>
        <v>-8334510.2000000002</v>
      </c>
    </row>
    <row r="608" spans="1:11" ht="15">
      <c r="A608" s="137" t="str">
        <f t="shared" si="9"/>
        <v>HRNOMINA SUCURSALA15</v>
      </c>
      <c r="B608" t="s">
        <v>814</v>
      </c>
      <c r="C608" s="1">
        <v>45771</v>
      </c>
      <c r="D608" t="s">
        <v>29</v>
      </c>
      <c r="E608" t="s">
        <v>154</v>
      </c>
      <c r="F608" s="3" t="s">
        <v>100</v>
      </c>
      <c r="J608" s="382">
        <v>10756</v>
      </c>
      <c r="K608" s="69">
        <f>K607+I608-J608</f>
        <v>-8345266.2000000002</v>
      </c>
    </row>
    <row r="609" spans="1:11" ht="15">
      <c r="A609" s="137" t="str">
        <f t="shared" si="9"/>
        <v>HRNOMINA SUCURSALA16</v>
      </c>
      <c r="B609" t="s">
        <v>814</v>
      </c>
      <c r="C609" s="1">
        <v>45771</v>
      </c>
      <c r="D609" t="s">
        <v>29</v>
      </c>
      <c r="E609" t="s">
        <v>154</v>
      </c>
      <c r="F609" s="3" t="s">
        <v>101</v>
      </c>
      <c r="J609" s="382">
        <v>14276.29</v>
      </c>
      <c r="K609" s="69">
        <f>K608+I609-J609</f>
        <v>-8359542.4900000002</v>
      </c>
    </row>
    <row r="610" spans="1:11" ht="15">
      <c r="A610" s="137" t="str">
        <f t="shared" si="9"/>
        <v>HRNOMINA SUCURSALA17</v>
      </c>
      <c r="B610" t="s">
        <v>814</v>
      </c>
      <c r="C610" s="1">
        <v>45771</v>
      </c>
      <c r="D610" t="s">
        <v>29</v>
      </c>
      <c r="E610" t="s">
        <v>154</v>
      </c>
      <c r="F610" s="3" t="s">
        <v>102</v>
      </c>
      <c r="J610" s="382">
        <v>8403.6</v>
      </c>
      <c r="K610" s="69">
        <f>K609+I610-J610</f>
        <v>-8367946.0899999999</v>
      </c>
    </row>
    <row r="611" spans="1:11" ht="15">
      <c r="A611" s="137" t="str">
        <f t="shared" si="9"/>
        <v>HRNOMINA SUCURSALA18</v>
      </c>
      <c r="B611" t="s">
        <v>814</v>
      </c>
      <c r="C611" s="1">
        <v>45771</v>
      </c>
      <c r="D611" t="s">
        <v>29</v>
      </c>
      <c r="E611" t="s">
        <v>154</v>
      </c>
      <c r="F611" s="3" t="s">
        <v>103</v>
      </c>
      <c r="J611" s="382">
        <v>10907.2</v>
      </c>
      <c r="K611" s="69">
        <f>K610+I611-J611</f>
        <v>-8378853.29</v>
      </c>
    </row>
    <row r="612" spans="1:11" ht="15">
      <c r="A612" s="137" t="str">
        <f t="shared" si="9"/>
        <v>HRNOMINA SUCURSALA22</v>
      </c>
      <c r="B612" t="s">
        <v>814</v>
      </c>
      <c r="C612" s="1">
        <v>45771</v>
      </c>
      <c r="D612" t="s">
        <v>29</v>
      </c>
      <c r="E612" t="s">
        <v>154</v>
      </c>
      <c r="F612" s="3" t="s">
        <v>104</v>
      </c>
      <c r="J612" s="382">
        <v>11185.2</v>
      </c>
      <c r="K612" s="69">
        <f>K611+I612-J612</f>
        <v>-8390038.4900000002</v>
      </c>
    </row>
    <row r="613" spans="1:11" ht="15">
      <c r="A613" s="137" t="str">
        <f t="shared" si="9"/>
        <v>HRNOMINA SUCURSALA23</v>
      </c>
      <c r="B613" t="s">
        <v>814</v>
      </c>
      <c r="C613" s="1">
        <v>45771</v>
      </c>
      <c r="D613" t="s">
        <v>29</v>
      </c>
      <c r="E613" t="s">
        <v>154</v>
      </c>
      <c r="F613" s="3" t="s">
        <v>105</v>
      </c>
      <c r="J613" s="382">
        <v>11365.6</v>
      </c>
      <c r="K613" s="69">
        <f>K612+I613-J613</f>
        <v>-8401404.0899999999</v>
      </c>
    </row>
    <row r="614" spans="1:11" ht="15">
      <c r="A614" s="137" t="str">
        <f t="shared" si="9"/>
        <v>HRNOMINA SUCURSALA24</v>
      </c>
      <c r="B614" t="s">
        <v>814</v>
      </c>
      <c r="C614" s="1">
        <v>45771</v>
      </c>
      <c r="D614" t="s">
        <v>29</v>
      </c>
      <c r="E614" t="s">
        <v>154</v>
      </c>
      <c r="F614" s="3" t="s">
        <v>106</v>
      </c>
      <c r="J614" s="382">
        <v>9522.7999999999993</v>
      </c>
      <c r="K614" s="69">
        <f>K613+I614-J614</f>
        <v>-8410926.8900000006</v>
      </c>
    </row>
    <row r="615" spans="1:11" ht="15">
      <c r="A615" s="137" t="str">
        <f t="shared" si="9"/>
        <v>CAPNOMINA SUCURSALE1</v>
      </c>
      <c r="B615" t="s">
        <v>814</v>
      </c>
      <c r="C615" s="1">
        <v>45771</v>
      </c>
      <c r="D615" t="s">
        <v>31</v>
      </c>
      <c r="E615" t="s">
        <v>154</v>
      </c>
      <c r="F615" s="3" t="s">
        <v>107</v>
      </c>
      <c r="J615" s="382">
        <v>12813.2</v>
      </c>
      <c r="K615" s="69">
        <f>K614+I615-J615</f>
        <v>-8423740.0899999999</v>
      </c>
    </row>
    <row r="616" spans="1:11" ht="15">
      <c r="A616" s="137" t="str">
        <f t="shared" si="9"/>
        <v>CAPNOMINA SUCURSALE2</v>
      </c>
      <c r="B616" t="s">
        <v>814</v>
      </c>
      <c r="C616" s="1">
        <v>45771</v>
      </c>
      <c r="D616" t="s">
        <v>31</v>
      </c>
      <c r="E616" t="s">
        <v>154</v>
      </c>
      <c r="F616" s="3" t="s">
        <v>108</v>
      </c>
      <c r="J616" s="382">
        <v>16461.599999999999</v>
      </c>
      <c r="K616" s="69">
        <f>K615+I616-J616</f>
        <v>-8440201.6899999995</v>
      </c>
    </row>
    <row r="617" spans="1:11" ht="15">
      <c r="A617" s="137" t="str">
        <f t="shared" si="9"/>
        <v>CAPNOMINA SUCURSALE3</v>
      </c>
      <c r="B617" t="s">
        <v>814</v>
      </c>
      <c r="C617" s="1">
        <v>45771</v>
      </c>
      <c r="D617" t="s">
        <v>31</v>
      </c>
      <c r="E617" t="s">
        <v>154</v>
      </c>
      <c r="F617" s="3" t="s">
        <v>109</v>
      </c>
      <c r="J617" s="382">
        <v>13538.6</v>
      </c>
      <c r="K617" s="69">
        <f>K616+I617-J617</f>
        <v>-8453740.2899999991</v>
      </c>
    </row>
    <row r="618" spans="1:11" ht="15">
      <c r="A618" s="137" t="str">
        <f t="shared" si="9"/>
        <v>CAPNOMINA SUCURSALE4</v>
      </c>
      <c r="B618" t="s">
        <v>814</v>
      </c>
      <c r="C618" s="1">
        <v>45771</v>
      </c>
      <c r="D618" t="s">
        <v>31</v>
      </c>
      <c r="E618" t="s">
        <v>154</v>
      </c>
      <c r="F618" s="3" t="s">
        <v>110</v>
      </c>
      <c r="J618" s="382">
        <v>15848</v>
      </c>
      <c r="K618" s="69">
        <f>K617+I618-J618</f>
        <v>-8469588.2899999991</v>
      </c>
    </row>
    <row r="619" spans="1:11" ht="15">
      <c r="A619" s="137" t="str">
        <f t="shared" si="9"/>
        <v>CAPNOMINA SUCURSALE5</v>
      </c>
      <c r="B619" t="s">
        <v>814</v>
      </c>
      <c r="C619" s="1">
        <v>45771</v>
      </c>
      <c r="D619" t="s">
        <v>31</v>
      </c>
      <c r="E619" t="s">
        <v>154</v>
      </c>
      <c r="F619" s="3" t="s">
        <v>111</v>
      </c>
      <c r="J619" s="382">
        <v>18747.400000000001</v>
      </c>
      <c r="K619" s="69">
        <f>K618+I619-J619</f>
        <v>-8488335.6899999995</v>
      </c>
    </row>
    <row r="620" spans="1:11" ht="15">
      <c r="A620" s="137" t="str">
        <f t="shared" si="9"/>
        <v>CAPNOMINA SUCURSALE6</v>
      </c>
      <c r="B620" t="s">
        <v>814</v>
      </c>
      <c r="C620" s="1">
        <v>45771</v>
      </c>
      <c r="D620" t="s">
        <v>31</v>
      </c>
      <c r="E620" t="s">
        <v>154</v>
      </c>
      <c r="F620" s="3" t="s">
        <v>112</v>
      </c>
      <c r="J620" s="382">
        <v>12948.6</v>
      </c>
      <c r="K620" s="69">
        <f>K619+I620-J620</f>
        <v>-8501284.2899999991</v>
      </c>
    </row>
    <row r="621" spans="1:11" ht="15">
      <c r="A621" s="137" t="str">
        <f t="shared" si="9"/>
        <v>CAPNOMINA SUCURSALE7</v>
      </c>
      <c r="B621" t="s">
        <v>814</v>
      </c>
      <c r="C621" s="1">
        <v>45771</v>
      </c>
      <c r="D621" t="s">
        <v>31</v>
      </c>
      <c r="E621" t="s">
        <v>154</v>
      </c>
      <c r="F621" s="3" t="s">
        <v>113</v>
      </c>
      <c r="J621" s="382">
        <v>11836.6</v>
      </c>
      <c r="K621" s="69">
        <f>K620+I621-J621</f>
        <v>-8513120.8899999987</v>
      </c>
    </row>
    <row r="622" spans="1:11" ht="15">
      <c r="A622" s="137" t="str">
        <f t="shared" si="9"/>
        <v>CAPNOMINA SUCURSALE8</v>
      </c>
      <c r="B622" t="s">
        <v>814</v>
      </c>
      <c r="C622" s="1">
        <v>45771</v>
      </c>
      <c r="D622" t="s">
        <v>31</v>
      </c>
      <c r="E622" t="s">
        <v>154</v>
      </c>
      <c r="F622" s="3" t="s">
        <v>114</v>
      </c>
      <c r="J622" s="382">
        <v>23353</v>
      </c>
      <c r="K622" s="69">
        <f>K621+I622-J622</f>
        <v>-8536473.8899999987</v>
      </c>
    </row>
    <row r="623" spans="1:11" ht="15">
      <c r="A623" s="137" t="str">
        <f t="shared" si="9"/>
        <v>CAPNOMINA SUCURSALE9</v>
      </c>
      <c r="B623" t="s">
        <v>814</v>
      </c>
      <c r="C623" s="1">
        <v>45771</v>
      </c>
      <c r="D623" t="s">
        <v>31</v>
      </c>
      <c r="E623" t="s">
        <v>154</v>
      </c>
      <c r="F623" s="3" t="s">
        <v>116</v>
      </c>
      <c r="J623" s="382">
        <v>21450.400000000001</v>
      </c>
      <c r="K623" s="69">
        <f>K622+I623-J623</f>
        <v>-8557924.2899999991</v>
      </c>
    </row>
    <row r="624" spans="1:11" ht="15">
      <c r="A624" s="137" t="str">
        <f t="shared" si="9"/>
        <v>ELINOMINA SUCURSALL1</v>
      </c>
      <c r="B624" t="s">
        <v>814</v>
      </c>
      <c r="C624" s="1">
        <v>45771</v>
      </c>
      <c r="D624" t="s">
        <v>130</v>
      </c>
      <c r="E624" t="s">
        <v>154</v>
      </c>
      <c r="F624" s="3" t="s">
        <v>136</v>
      </c>
      <c r="J624" s="382">
        <v>3245</v>
      </c>
      <c r="K624" s="69">
        <f>K623+I624-J624</f>
        <v>-8561169.2899999991</v>
      </c>
    </row>
    <row r="625" spans="1:11" ht="15">
      <c r="A625" s="137" t="str">
        <f t="shared" si="9"/>
        <v>HRNOMINA ADMONHR</v>
      </c>
      <c r="B625" t="s">
        <v>814</v>
      </c>
      <c r="C625" s="1">
        <v>45771</v>
      </c>
      <c r="D625" t="s">
        <v>29</v>
      </c>
      <c r="E625" t="s">
        <v>147</v>
      </c>
      <c r="F625" s="3" t="s">
        <v>29</v>
      </c>
      <c r="J625" s="382">
        <v>31405.21</v>
      </c>
      <c r="K625" s="69">
        <f>K624+I625-J625</f>
        <v>-8592574.5</v>
      </c>
    </row>
    <row r="626" spans="1:11" ht="15">
      <c r="A626" s="137" t="str">
        <f t="shared" si="9"/>
        <v>CAPNOMINA ADMONCAPRICHOS</v>
      </c>
      <c r="B626" t="s">
        <v>814</v>
      </c>
      <c r="C626" s="1">
        <v>45771</v>
      </c>
      <c r="D626" t="s">
        <v>31</v>
      </c>
      <c r="E626" t="s">
        <v>147</v>
      </c>
      <c r="F626" s="12" t="s">
        <v>33</v>
      </c>
      <c r="J626" s="382">
        <v>27266.11</v>
      </c>
      <c r="K626" s="69">
        <f>K625+I626-J626</f>
        <v>-8619840.6099999994</v>
      </c>
    </row>
    <row r="627" spans="1:11" ht="15">
      <c r="A627" s="137" t="str">
        <f t="shared" si="9"/>
        <v>SERVICIOSNOMINA SUCURSALCEDIS</v>
      </c>
      <c r="B627" t="s">
        <v>814</v>
      </c>
      <c r="C627" s="1">
        <v>45771</v>
      </c>
      <c r="D627" t="s">
        <v>21</v>
      </c>
      <c r="E627" t="s">
        <v>154</v>
      </c>
      <c r="F627" s="12" t="s">
        <v>28</v>
      </c>
      <c r="J627" s="382">
        <v>54864</v>
      </c>
      <c r="K627" s="69">
        <f>K626+I627-J627</f>
        <v>-8674704.6099999994</v>
      </c>
    </row>
    <row r="628" spans="1:11" ht="15">
      <c r="A628" s="137" t="str">
        <f t="shared" si="9"/>
        <v>SERVICIOSNOMINA ADMONINVENTARIOS</v>
      </c>
      <c r="B628" t="s">
        <v>814</v>
      </c>
      <c r="C628" s="1">
        <v>45771</v>
      </c>
      <c r="D628" t="s">
        <v>21</v>
      </c>
      <c r="E628" t="s">
        <v>147</v>
      </c>
      <c r="F628" s="12" t="s">
        <v>34</v>
      </c>
      <c r="J628" s="382">
        <v>1991</v>
      </c>
      <c r="K628" s="69">
        <f>K627+I628-J628</f>
        <v>-8676695.6099999994</v>
      </c>
    </row>
    <row r="629" spans="1:11" ht="15">
      <c r="A629" s="137" t="str">
        <f t="shared" si="9"/>
        <v>SERVICIOSNOMINA ADMONMANTENIMIENTO</v>
      </c>
      <c r="B629" t="s">
        <v>814</v>
      </c>
      <c r="C629" s="1">
        <v>45771</v>
      </c>
      <c r="D629" t="s">
        <v>21</v>
      </c>
      <c r="E629" t="s">
        <v>147</v>
      </c>
      <c r="F629" s="12" t="s">
        <v>35</v>
      </c>
      <c r="J629" s="382">
        <v>5295.63</v>
      </c>
      <c r="K629" s="69">
        <f>K628+I629-J629</f>
        <v>-8681991.2400000002</v>
      </c>
    </row>
    <row r="630" spans="1:11" ht="15">
      <c r="A630" s="137" t="str">
        <f t="shared" si="9"/>
        <v>SERVICIOSNOMINA ADMONCADENA DE SUMINISTROS</v>
      </c>
      <c r="B630" t="s">
        <v>814</v>
      </c>
      <c r="C630" s="1">
        <v>45771</v>
      </c>
      <c r="D630" t="s">
        <v>21</v>
      </c>
      <c r="E630" t="s">
        <v>147</v>
      </c>
      <c r="F630" s="12" t="s">
        <v>134</v>
      </c>
      <c r="J630" s="382">
        <v>17658.2</v>
      </c>
      <c r="K630" s="69">
        <f>K629+I630-J630</f>
        <v>-8699649.4399999995</v>
      </c>
    </row>
    <row r="631" spans="1:11" ht="15">
      <c r="A631" s="137" t="str">
        <f t="shared" si="9"/>
        <v>SERVICIOSNOMINA ADMONSISTEMAS</v>
      </c>
      <c r="B631" t="s">
        <v>814</v>
      </c>
      <c r="C631" s="1">
        <v>45771</v>
      </c>
      <c r="D631" t="s">
        <v>21</v>
      </c>
      <c r="E631" t="s">
        <v>147</v>
      </c>
      <c r="F631" s="12" t="s">
        <v>36</v>
      </c>
      <c r="J631" s="382">
        <v>8451.49</v>
      </c>
      <c r="K631" s="69">
        <f>K630+I631-J631</f>
        <v>-8708100.9299999997</v>
      </c>
    </row>
    <row r="632" spans="1:11" ht="15">
      <c r="A632" s="137" t="str">
        <f t="shared" si="9"/>
        <v>SERVICIOSNOMINA ADMONCOMPRAS</v>
      </c>
      <c r="B632" t="s">
        <v>814</v>
      </c>
      <c r="C632" s="1">
        <v>45771</v>
      </c>
      <c r="D632" t="s">
        <v>21</v>
      </c>
      <c r="E632" t="s">
        <v>147</v>
      </c>
      <c r="F632" s="12" t="s">
        <v>148</v>
      </c>
      <c r="J632" s="382">
        <v>17167.509999999998</v>
      </c>
      <c r="K632" s="69">
        <f>K631+I632-J632</f>
        <v>-8725268.4399999995</v>
      </c>
    </row>
    <row r="633" spans="1:11" ht="15">
      <c r="A633" s="137" t="str">
        <f t="shared" si="9"/>
        <v>FINANZASNOMINA ADMONCONTABILIDAD</v>
      </c>
      <c r="B633" t="s">
        <v>814</v>
      </c>
      <c r="C633" s="1">
        <v>45771</v>
      </c>
      <c r="D633" t="s">
        <v>23</v>
      </c>
      <c r="E633" t="s">
        <v>147</v>
      </c>
      <c r="F633" s="12" t="s">
        <v>37</v>
      </c>
      <c r="J633" s="382">
        <v>12680.47</v>
      </c>
      <c r="K633" s="69">
        <f>K632+I633-J633</f>
        <v>-8737948.9100000001</v>
      </c>
    </row>
    <row r="634" spans="1:11" ht="15">
      <c r="A634" s="137" t="str">
        <f t="shared" si="9"/>
        <v>FINANZASNOMINA ADMONFINANZAS/LEGAL</v>
      </c>
      <c r="B634" t="s">
        <v>814</v>
      </c>
      <c r="C634" s="1">
        <v>45771</v>
      </c>
      <c r="D634" t="s">
        <v>23</v>
      </c>
      <c r="E634" t="s">
        <v>147</v>
      </c>
      <c r="F634" s="12" t="s">
        <v>149</v>
      </c>
      <c r="J634" s="382">
        <v>10428.790000000001</v>
      </c>
      <c r="K634" s="69">
        <f>K633+I634-J634</f>
        <v>-8748377.6999999993</v>
      </c>
    </row>
    <row r="635" spans="1:11" ht="15">
      <c r="A635" s="137" t="str">
        <f t="shared" si="9"/>
        <v>FINANZASNOMINA ADMONRECURSOS HUMANOS</v>
      </c>
      <c r="B635" t="s">
        <v>814</v>
      </c>
      <c r="C635" s="1">
        <v>45771</v>
      </c>
      <c r="D635" t="s">
        <v>23</v>
      </c>
      <c r="E635" t="s">
        <v>147</v>
      </c>
      <c r="F635" s="12" t="s">
        <v>125</v>
      </c>
      <c r="J635" s="382">
        <v>9498.98</v>
      </c>
      <c r="K635" s="69">
        <f>K634+I635-J635</f>
        <v>-8757876.6799999997</v>
      </c>
    </row>
    <row r="636" spans="1:11" ht="15">
      <c r="A636" s="137" t="str">
        <f t="shared" si="9"/>
        <v>FINANZASNOMINA ADMONTESORERIA</v>
      </c>
      <c r="B636" t="s">
        <v>814</v>
      </c>
      <c r="C636" s="1">
        <v>45771</v>
      </c>
      <c r="D636" t="s">
        <v>23</v>
      </c>
      <c r="E636" t="s">
        <v>147</v>
      </c>
      <c r="F636" s="12" t="s">
        <v>38</v>
      </c>
      <c r="J636" s="382">
        <v>11916.8</v>
      </c>
      <c r="K636" s="69">
        <f>K635+I636-J636</f>
        <v>-8769793.4800000004</v>
      </c>
    </row>
    <row r="637" spans="1:11" ht="15">
      <c r="A637" s="137" t="str">
        <f t="shared" si="9"/>
        <v>FINANZASNOMINA ADMONHBG FINANZAS</v>
      </c>
      <c r="B637" t="s">
        <v>814</v>
      </c>
      <c r="C637" s="1">
        <v>45771</v>
      </c>
      <c r="D637" t="s">
        <v>23</v>
      </c>
      <c r="E637" t="s">
        <v>147</v>
      </c>
      <c r="F637" s="12" t="s">
        <v>150</v>
      </c>
      <c r="J637" s="382">
        <v>3057</v>
      </c>
      <c r="K637" s="69">
        <f>K636+I637-J637</f>
        <v>-8772850.4800000004</v>
      </c>
    </row>
    <row r="638" spans="1:11" ht="15">
      <c r="A638" s="137" t="str">
        <f t="shared" si="9"/>
        <v>SGENOMINA ADMONGESTION EMPRESARIAL</v>
      </c>
      <c r="B638" t="s">
        <v>814</v>
      </c>
      <c r="C638" s="1">
        <v>45771</v>
      </c>
      <c r="D638" t="s">
        <v>39</v>
      </c>
      <c r="E638" t="s">
        <v>147</v>
      </c>
      <c r="F638" s="12" t="s">
        <v>40</v>
      </c>
      <c r="J638" s="382">
        <v>20510.8</v>
      </c>
      <c r="K638" s="69">
        <f>K637+I638-J638</f>
        <v>-8793361.2800000012</v>
      </c>
    </row>
    <row r="639" spans="1:11" ht="15">
      <c r="A639" s="137" t="str">
        <f t="shared" si="9"/>
        <v>DENOMINA ADMONDIRECCION</v>
      </c>
      <c r="B639" t="s">
        <v>814</v>
      </c>
      <c r="C639" s="1">
        <v>45771</v>
      </c>
      <c r="D639" t="s">
        <v>41</v>
      </c>
      <c r="E639" t="s">
        <v>147</v>
      </c>
      <c r="F639" s="12" t="s">
        <v>42</v>
      </c>
      <c r="J639" s="382">
        <v>6000.2</v>
      </c>
      <c r="K639" s="69">
        <f>K638+I639-J639</f>
        <v>-8799361.4800000004</v>
      </c>
    </row>
    <row r="640" spans="1:11" ht="15">
      <c r="A640" s="137" t="str">
        <f t="shared" si="9"/>
        <v>FINANZASNOMINA ADMONHBG FINANZAS</v>
      </c>
      <c r="B640" t="s">
        <v>814</v>
      </c>
      <c r="C640" s="1">
        <v>45771</v>
      </c>
      <c r="D640" t="s">
        <v>23</v>
      </c>
      <c r="E640" t="s">
        <v>147</v>
      </c>
      <c r="F640" s="12" t="s">
        <v>150</v>
      </c>
      <c r="J640" s="382">
        <v>10950</v>
      </c>
      <c r="K640" s="69">
        <f>K639+I640-J640</f>
        <v>-8810311.4800000004</v>
      </c>
    </row>
    <row r="641" spans="1:11" ht="15">
      <c r="A641" s="137" t="str">
        <f t="shared" si="9"/>
        <v>HRNOMINA ADMONHR</v>
      </c>
      <c r="B641" t="s">
        <v>814</v>
      </c>
      <c r="C641" s="1">
        <v>45771</v>
      </c>
      <c r="D641" t="s">
        <v>29</v>
      </c>
      <c r="E641" t="s">
        <v>147</v>
      </c>
      <c r="F641" s="3" t="s">
        <v>29</v>
      </c>
      <c r="J641" s="382">
        <v>5500</v>
      </c>
      <c r="K641" s="69">
        <f>K640+I641-J641</f>
        <v>-8815811.4800000004</v>
      </c>
    </row>
    <row r="642" spans="1:11" ht="15">
      <c r="A642" s="137" t="str">
        <f t="shared" si="9"/>
        <v>CAPNOMINA ADMONCAPRICHOS</v>
      </c>
      <c r="B642" t="s">
        <v>814</v>
      </c>
      <c r="C642" s="1">
        <v>45771</v>
      </c>
      <c r="D642" t="s">
        <v>31</v>
      </c>
      <c r="E642" t="s">
        <v>147</v>
      </c>
      <c r="F642" s="12" t="s">
        <v>33</v>
      </c>
      <c r="J642" s="382">
        <v>3700</v>
      </c>
      <c r="K642" s="69">
        <f>K641+I642-J642</f>
        <v>-8819511.4800000004</v>
      </c>
    </row>
    <row r="643" spans="1:11" ht="15">
      <c r="A643" s="137" t="str">
        <f t="shared" si="9"/>
        <v>SGENOMINA ADMONGESTION EMPRESARIAL</v>
      </c>
      <c r="B643" t="s">
        <v>814</v>
      </c>
      <c r="C643" s="1">
        <v>45771</v>
      </c>
      <c r="D643" t="s">
        <v>39</v>
      </c>
      <c r="E643" t="s">
        <v>147</v>
      </c>
      <c r="F643" s="12" t="s">
        <v>40</v>
      </c>
      <c r="J643" s="382">
        <v>2750</v>
      </c>
      <c r="K643" s="69">
        <f>K642+I643-J643</f>
        <v>-8822261.4800000004</v>
      </c>
    </row>
    <row r="644" spans="1:11" ht="15">
      <c r="A644" s="137" t="str">
        <f t="shared" ref="A644:A707" si="10">D644&amp;E644&amp;F644</f>
        <v>SERVICIOSNOMINA ADMONSERVICIOS</v>
      </c>
      <c r="B644" t="s">
        <v>814</v>
      </c>
      <c r="C644" s="1">
        <v>45771</v>
      </c>
      <c r="D644" t="s">
        <v>21</v>
      </c>
      <c r="E644" t="s">
        <v>147</v>
      </c>
      <c r="F644" s="12" t="s">
        <v>21</v>
      </c>
      <c r="J644" s="382">
        <v>4750</v>
      </c>
      <c r="K644" s="69">
        <f>K643+I644-J644</f>
        <v>-8827011.4800000004</v>
      </c>
    </row>
    <row r="645" spans="1:11" ht="15">
      <c r="A645" s="137" t="str">
        <f t="shared" si="10"/>
        <v>DENOMINA ADMONDIRECCION</v>
      </c>
      <c r="B645" t="s">
        <v>814</v>
      </c>
      <c r="C645" s="1">
        <v>45771</v>
      </c>
      <c r="D645" t="s">
        <v>41</v>
      </c>
      <c r="E645" t="s">
        <v>147</v>
      </c>
      <c r="F645" s="12" t="s">
        <v>42</v>
      </c>
      <c r="J645" s="382">
        <v>5750</v>
      </c>
      <c r="K645" s="69">
        <f>K644+I645-J645</f>
        <v>-8832761.4800000004</v>
      </c>
    </row>
    <row r="646" spans="1:11" ht="15">
      <c r="A646" s="137" t="str">
        <f t="shared" si="10"/>
        <v>MMNOMINA ADMONMARKET MAX</v>
      </c>
      <c r="B646" t="s">
        <v>814</v>
      </c>
      <c r="C646" s="1">
        <v>45771</v>
      </c>
      <c r="D646" t="s">
        <v>45</v>
      </c>
      <c r="E646" t="s">
        <v>147</v>
      </c>
      <c r="F646" s="12" t="s">
        <v>46</v>
      </c>
      <c r="J646" s="382">
        <v>2000</v>
      </c>
      <c r="K646" s="69">
        <f>K645+I646-J646</f>
        <v>-8834761.4800000004</v>
      </c>
    </row>
    <row r="647" spans="1:11" ht="15">
      <c r="A647" s="137" t="str">
        <f t="shared" si="10"/>
        <v>ELIVACACIONES/FINIQUITOSL1</v>
      </c>
      <c r="B647" t="s">
        <v>814</v>
      </c>
      <c r="C647" s="1">
        <v>45771</v>
      </c>
      <c r="D647" t="s">
        <v>130</v>
      </c>
      <c r="E647" s="12" t="s">
        <v>190</v>
      </c>
      <c r="F647" t="s">
        <v>136</v>
      </c>
      <c r="J647" s="382">
        <v>22028.573</v>
      </c>
      <c r="K647" s="69">
        <f>K646+I647-J647</f>
        <v>-8856790.0530000012</v>
      </c>
    </row>
    <row r="648" spans="1:11" ht="15">
      <c r="A648" s="137" t="str">
        <f t="shared" si="10"/>
        <v>SERVICIOSVACACIONES/FINIQUITOSSERVICIOS</v>
      </c>
      <c r="B648" t="s">
        <v>814</v>
      </c>
      <c r="C648" s="1">
        <v>45771</v>
      </c>
      <c r="D648" t="s">
        <v>21</v>
      </c>
      <c r="E648" s="12" t="s">
        <v>190</v>
      </c>
      <c r="F648" t="s">
        <v>21</v>
      </c>
      <c r="J648" s="382">
        <v>5087.1400000000003</v>
      </c>
      <c r="K648" s="69">
        <f>K647+I648-J648</f>
        <v>-8861877.1930000018</v>
      </c>
    </row>
    <row r="649" spans="1:11" ht="15">
      <c r="A649" s="137" t="str">
        <f t="shared" si="10"/>
        <v>SERVICIOSVACACIONES/FINIQUITOSSERVICIOS</v>
      </c>
      <c r="B649" t="s">
        <v>814</v>
      </c>
      <c r="C649" s="1">
        <v>45771</v>
      </c>
      <c r="D649" t="s">
        <v>21</v>
      </c>
      <c r="E649" s="12" t="s">
        <v>190</v>
      </c>
      <c r="F649" t="s">
        <v>21</v>
      </c>
      <c r="J649" s="382">
        <v>5087.1400000000003</v>
      </c>
      <c r="K649" s="69">
        <f>K648+I649-J649</f>
        <v>-8866964.3330000024</v>
      </c>
    </row>
    <row r="650" spans="1:11" ht="15">
      <c r="A650" s="137" t="str">
        <f t="shared" si="10"/>
        <v>HRNOMINA SUCURSALA1</v>
      </c>
      <c r="B650" t="s">
        <v>814</v>
      </c>
      <c r="C650" s="1">
        <v>45779</v>
      </c>
      <c r="D650" t="s">
        <v>29</v>
      </c>
      <c r="E650" t="s">
        <v>154</v>
      </c>
      <c r="F650" s="3" t="s">
        <v>88</v>
      </c>
      <c r="J650" s="385">
        <v>10209</v>
      </c>
      <c r="K650" s="69">
        <f>K649+I650-J650</f>
        <v>-8877173.3330000024</v>
      </c>
    </row>
    <row r="651" spans="1:11" ht="15">
      <c r="A651" s="137" t="str">
        <f t="shared" si="10"/>
        <v>HRNOMINA SUCURSALA2</v>
      </c>
      <c r="B651" t="s">
        <v>814</v>
      </c>
      <c r="C651" s="1">
        <v>45779</v>
      </c>
      <c r="D651" t="s">
        <v>29</v>
      </c>
      <c r="E651" t="s">
        <v>154</v>
      </c>
      <c r="F651" s="3" t="s">
        <v>89</v>
      </c>
      <c r="J651" s="385">
        <v>13502.2</v>
      </c>
      <c r="K651" s="69">
        <f>K650+I651-J651</f>
        <v>-8890675.5330000017</v>
      </c>
    </row>
    <row r="652" spans="1:11" ht="15">
      <c r="A652" s="137" t="str">
        <f t="shared" si="10"/>
        <v>HRNOMINA SUCURSALA3</v>
      </c>
      <c r="B652" t="s">
        <v>814</v>
      </c>
      <c r="C652" s="1">
        <v>45779</v>
      </c>
      <c r="D652" t="s">
        <v>29</v>
      </c>
      <c r="E652" t="s">
        <v>154</v>
      </c>
      <c r="F652" s="3" t="s">
        <v>90</v>
      </c>
      <c r="J652" s="385">
        <v>10410.049999999999</v>
      </c>
      <c r="K652" s="69">
        <f>K651+I652-J652</f>
        <v>-8901085.5830000024</v>
      </c>
    </row>
    <row r="653" spans="1:11" ht="15">
      <c r="A653" s="137" t="str">
        <f t="shared" si="10"/>
        <v>HRNOMINA SUCURSALA4</v>
      </c>
      <c r="B653" t="s">
        <v>814</v>
      </c>
      <c r="C653" s="1">
        <v>45779</v>
      </c>
      <c r="D653" t="s">
        <v>29</v>
      </c>
      <c r="E653" t="s">
        <v>154</v>
      </c>
      <c r="F653" s="3" t="s">
        <v>91</v>
      </c>
      <c r="J653" s="385">
        <v>9428.7999999999993</v>
      </c>
      <c r="K653" s="69">
        <f>K652+I653-J653</f>
        <v>-8910514.3830000032</v>
      </c>
    </row>
    <row r="654" spans="1:11" ht="15">
      <c r="A654" s="137" t="str">
        <f t="shared" si="10"/>
        <v>HRNOMINA SUCURSALA5</v>
      </c>
      <c r="B654" t="s">
        <v>814</v>
      </c>
      <c r="C654" s="1">
        <v>45779</v>
      </c>
      <c r="D654" t="s">
        <v>29</v>
      </c>
      <c r="E654" t="s">
        <v>154</v>
      </c>
      <c r="F654" s="3" t="s">
        <v>92</v>
      </c>
      <c r="J654" s="385">
        <v>8166.6</v>
      </c>
      <c r="K654" s="69">
        <f>K653+I654-J654</f>
        <v>-8918680.9830000028</v>
      </c>
    </row>
    <row r="655" spans="1:11" ht="15">
      <c r="A655" s="137" t="str">
        <f t="shared" si="10"/>
        <v>HRNOMINA SUCURSALA6</v>
      </c>
      <c r="B655" t="s">
        <v>814</v>
      </c>
      <c r="C655" s="1">
        <v>45779</v>
      </c>
      <c r="D655" t="s">
        <v>29</v>
      </c>
      <c r="E655" t="s">
        <v>154</v>
      </c>
      <c r="F655" s="3" t="s">
        <v>93</v>
      </c>
      <c r="J655" s="385">
        <v>11945.4</v>
      </c>
      <c r="K655" s="69">
        <f>K654+I655-J655</f>
        <v>-8930626.3830000032</v>
      </c>
    </row>
    <row r="656" spans="1:11" ht="15">
      <c r="A656" s="137" t="str">
        <f t="shared" si="10"/>
        <v>HRNOMINA SUCURSALA8</v>
      </c>
      <c r="B656" t="s">
        <v>814</v>
      </c>
      <c r="C656" s="1">
        <v>45779</v>
      </c>
      <c r="D656" t="s">
        <v>29</v>
      </c>
      <c r="E656" t="s">
        <v>154</v>
      </c>
      <c r="F656" s="3" t="s">
        <v>94</v>
      </c>
      <c r="J656" s="385">
        <v>16731.8</v>
      </c>
      <c r="K656" s="69">
        <f>K655+I656-J656</f>
        <v>-8947358.1830000039</v>
      </c>
    </row>
    <row r="657" spans="1:11" ht="15">
      <c r="A657" s="137" t="str">
        <f t="shared" si="10"/>
        <v>HRNOMINA SUCURSALA9</v>
      </c>
      <c r="B657" t="s">
        <v>814</v>
      </c>
      <c r="C657" s="1">
        <v>45779</v>
      </c>
      <c r="D657" t="s">
        <v>29</v>
      </c>
      <c r="E657" t="s">
        <v>154</v>
      </c>
      <c r="F657" s="3" t="s">
        <v>95</v>
      </c>
      <c r="J657" s="385">
        <v>12170.69</v>
      </c>
      <c r="K657" s="69">
        <f>K656+I657-J657</f>
        <v>-8959528.8730000034</v>
      </c>
    </row>
    <row r="658" spans="1:11" ht="15">
      <c r="A658" s="137" t="str">
        <f t="shared" si="10"/>
        <v>HRNOMINA SUCURSALA10</v>
      </c>
      <c r="B658" t="s">
        <v>814</v>
      </c>
      <c r="C658" s="1">
        <v>45779</v>
      </c>
      <c r="D658" t="s">
        <v>29</v>
      </c>
      <c r="E658" t="s">
        <v>154</v>
      </c>
      <c r="F658" s="3" t="s">
        <v>96</v>
      </c>
      <c r="J658" s="385">
        <v>13724</v>
      </c>
      <c r="K658" s="69">
        <f>K657+I658-J658</f>
        <v>-8973252.8730000034</v>
      </c>
    </row>
    <row r="659" spans="1:11" ht="15">
      <c r="A659" s="137" t="str">
        <f t="shared" si="10"/>
        <v>HRNOMINA SUCURSALA11</v>
      </c>
      <c r="B659" t="s">
        <v>814</v>
      </c>
      <c r="C659" s="1">
        <v>45779</v>
      </c>
      <c r="D659" t="s">
        <v>29</v>
      </c>
      <c r="E659" t="s">
        <v>154</v>
      </c>
      <c r="F659" s="62" t="s">
        <v>97</v>
      </c>
      <c r="J659" s="385">
        <v>13100.4</v>
      </c>
      <c r="K659" s="69">
        <f>K658+I659-J659</f>
        <v>-8986353.2730000038</v>
      </c>
    </row>
    <row r="660" spans="1:11" ht="15">
      <c r="A660" s="137" t="str">
        <f t="shared" si="10"/>
        <v>HRNOMINA SUCURSALA12</v>
      </c>
      <c r="B660" t="s">
        <v>814</v>
      </c>
      <c r="C660" s="1">
        <v>45779</v>
      </c>
      <c r="D660" t="s">
        <v>29</v>
      </c>
      <c r="E660" t="s">
        <v>154</v>
      </c>
      <c r="F660" s="3" t="s">
        <v>98</v>
      </c>
      <c r="J660" s="385">
        <v>15957.2</v>
      </c>
      <c r="K660" s="69">
        <f>K659+I660-J660</f>
        <v>-9002310.473000003</v>
      </c>
    </row>
    <row r="661" spans="1:11" ht="15">
      <c r="A661" s="137" t="str">
        <f t="shared" si="10"/>
        <v>HRNOMINA SUCURSALA14</v>
      </c>
      <c r="B661" t="s">
        <v>814</v>
      </c>
      <c r="C661" s="1">
        <v>45779</v>
      </c>
      <c r="D661" t="s">
        <v>29</v>
      </c>
      <c r="E661" t="s">
        <v>154</v>
      </c>
      <c r="F661" s="3" t="s">
        <v>99</v>
      </c>
      <c r="J661" s="385">
        <v>11878.8</v>
      </c>
      <c r="K661" s="69">
        <f>K660+I661-J661</f>
        <v>-9014189.2730000038</v>
      </c>
    </row>
    <row r="662" spans="1:11" ht="15">
      <c r="A662" s="137" t="str">
        <f t="shared" si="10"/>
        <v>HRNOMINA SUCURSALA15</v>
      </c>
      <c r="B662" t="s">
        <v>814</v>
      </c>
      <c r="C662" s="1">
        <v>45779</v>
      </c>
      <c r="D662" t="s">
        <v>29</v>
      </c>
      <c r="E662" t="s">
        <v>154</v>
      </c>
      <c r="F662" s="3" t="s">
        <v>100</v>
      </c>
      <c r="J662" s="385">
        <v>11255.8</v>
      </c>
      <c r="K662" s="69">
        <f>K661+I662-J662</f>
        <v>-9025445.0730000045</v>
      </c>
    </row>
    <row r="663" spans="1:11" ht="15">
      <c r="A663" s="137" t="str">
        <f t="shared" si="10"/>
        <v>HRNOMINA SUCURSALA16</v>
      </c>
      <c r="B663" t="s">
        <v>814</v>
      </c>
      <c r="C663" s="1">
        <v>45779</v>
      </c>
      <c r="D663" t="s">
        <v>29</v>
      </c>
      <c r="E663" t="s">
        <v>154</v>
      </c>
      <c r="F663" s="3" t="s">
        <v>101</v>
      </c>
      <c r="J663" s="385">
        <v>12548.69</v>
      </c>
    </row>
    <row r="664" spans="1:11" ht="15">
      <c r="A664" s="137" t="str">
        <f t="shared" si="10"/>
        <v>HRNOMINA SUCURSALA17</v>
      </c>
      <c r="B664" t="s">
        <v>814</v>
      </c>
      <c r="C664" s="1">
        <v>45779</v>
      </c>
      <c r="D664" t="s">
        <v>29</v>
      </c>
      <c r="E664" t="s">
        <v>154</v>
      </c>
      <c r="F664" s="3" t="s">
        <v>102</v>
      </c>
      <c r="J664" s="385">
        <v>12078.2</v>
      </c>
    </row>
    <row r="665" spans="1:11" ht="15">
      <c r="A665" s="137" t="str">
        <f t="shared" si="10"/>
        <v>HRNOMINA SUCURSALA18</v>
      </c>
      <c r="B665" t="s">
        <v>814</v>
      </c>
      <c r="C665" s="1">
        <v>45779</v>
      </c>
      <c r="D665" t="s">
        <v>29</v>
      </c>
      <c r="E665" t="s">
        <v>154</v>
      </c>
      <c r="F665" s="3" t="s">
        <v>103</v>
      </c>
      <c r="J665" s="385">
        <v>11894.4</v>
      </c>
    </row>
    <row r="666" spans="1:11" ht="15">
      <c r="A666" s="137" t="str">
        <f t="shared" si="10"/>
        <v>HRNOMINA SUCURSALA22</v>
      </c>
      <c r="B666" t="s">
        <v>814</v>
      </c>
      <c r="C666" s="1">
        <v>45779</v>
      </c>
      <c r="D666" t="s">
        <v>29</v>
      </c>
      <c r="E666" t="s">
        <v>154</v>
      </c>
      <c r="F666" s="3" t="s">
        <v>104</v>
      </c>
      <c r="J666" s="385">
        <v>12759.6</v>
      </c>
    </row>
    <row r="667" spans="1:11" ht="15">
      <c r="A667" s="137" t="str">
        <f t="shared" si="10"/>
        <v>HRNOMINA SUCURSALA23</v>
      </c>
      <c r="B667" t="s">
        <v>814</v>
      </c>
      <c r="C667" s="1">
        <v>45779</v>
      </c>
      <c r="D667" t="s">
        <v>29</v>
      </c>
      <c r="E667" t="s">
        <v>154</v>
      </c>
      <c r="F667" s="3" t="s">
        <v>105</v>
      </c>
      <c r="J667" s="385">
        <v>12766.6</v>
      </c>
    </row>
    <row r="668" spans="1:11" ht="15">
      <c r="A668" s="137" t="str">
        <f t="shared" si="10"/>
        <v>HRNOMINA SUCURSALA24</v>
      </c>
      <c r="B668" t="s">
        <v>814</v>
      </c>
      <c r="C668" s="1">
        <v>45779</v>
      </c>
      <c r="D668" t="s">
        <v>29</v>
      </c>
      <c r="E668" t="s">
        <v>154</v>
      </c>
      <c r="F668" s="3" t="s">
        <v>106</v>
      </c>
      <c r="J668" s="385">
        <v>13134.2</v>
      </c>
    </row>
    <row r="669" spans="1:11" ht="15">
      <c r="A669" s="137" t="str">
        <f t="shared" si="10"/>
        <v>CAPNOMINA SUCURSALE1</v>
      </c>
      <c r="B669" t="s">
        <v>814</v>
      </c>
      <c r="C669" s="1">
        <v>45779</v>
      </c>
      <c r="D669" t="s">
        <v>31</v>
      </c>
      <c r="E669" t="s">
        <v>154</v>
      </c>
      <c r="F669" s="3" t="s">
        <v>107</v>
      </c>
      <c r="J669" s="385">
        <v>12722.8</v>
      </c>
    </row>
    <row r="670" spans="1:11" ht="15">
      <c r="A670" s="137" t="str">
        <f t="shared" si="10"/>
        <v>CAPNOMINA SUCURSALE2</v>
      </c>
      <c r="B670" t="s">
        <v>814</v>
      </c>
      <c r="C670" s="1">
        <v>45779</v>
      </c>
      <c r="D670" t="s">
        <v>31</v>
      </c>
      <c r="E670" t="s">
        <v>154</v>
      </c>
      <c r="F670" s="3" t="s">
        <v>108</v>
      </c>
      <c r="J670" s="385">
        <v>13898</v>
      </c>
    </row>
    <row r="671" spans="1:11" ht="15">
      <c r="A671" s="137" t="str">
        <f t="shared" si="10"/>
        <v>CAPNOMINA SUCURSALE3</v>
      </c>
      <c r="B671" t="s">
        <v>814</v>
      </c>
      <c r="C671" s="1">
        <v>45779</v>
      </c>
      <c r="D671" t="s">
        <v>31</v>
      </c>
      <c r="E671" t="s">
        <v>154</v>
      </c>
      <c r="F671" s="3" t="s">
        <v>109</v>
      </c>
      <c r="J671" s="385">
        <v>12316.2</v>
      </c>
    </row>
    <row r="672" spans="1:11" ht="15">
      <c r="A672" s="137" t="str">
        <f t="shared" si="10"/>
        <v>CAPNOMINA SUCURSALE4</v>
      </c>
      <c r="B672" t="s">
        <v>814</v>
      </c>
      <c r="C672" s="1">
        <v>45779</v>
      </c>
      <c r="D672" t="s">
        <v>31</v>
      </c>
      <c r="E672" t="s">
        <v>154</v>
      </c>
      <c r="F672" s="3" t="s">
        <v>110</v>
      </c>
      <c r="J672" s="385">
        <v>14832.2</v>
      </c>
    </row>
    <row r="673" spans="1:10" ht="15">
      <c r="A673" s="137" t="str">
        <f t="shared" si="10"/>
        <v>CAPNOMINA SUCURSALE5</v>
      </c>
      <c r="B673" t="s">
        <v>814</v>
      </c>
      <c r="C673" s="1">
        <v>45779</v>
      </c>
      <c r="D673" t="s">
        <v>31</v>
      </c>
      <c r="E673" t="s">
        <v>154</v>
      </c>
      <c r="F673" s="3" t="s">
        <v>111</v>
      </c>
      <c r="J673" s="385">
        <v>20099.2</v>
      </c>
    </row>
    <row r="674" spans="1:10" ht="15">
      <c r="A674" s="137" t="str">
        <f t="shared" si="10"/>
        <v>CAPNOMINA SUCURSALE6</v>
      </c>
      <c r="B674" t="s">
        <v>814</v>
      </c>
      <c r="C674" s="1">
        <v>45779</v>
      </c>
      <c r="D674" t="s">
        <v>31</v>
      </c>
      <c r="E674" t="s">
        <v>154</v>
      </c>
      <c r="F674" s="3" t="s">
        <v>112</v>
      </c>
      <c r="J674" s="385">
        <v>13792.2</v>
      </c>
    </row>
    <row r="675" spans="1:10" ht="15">
      <c r="A675" s="137" t="str">
        <f t="shared" si="10"/>
        <v>CAPNOMINA SUCURSALE7</v>
      </c>
      <c r="B675" t="s">
        <v>814</v>
      </c>
      <c r="C675" s="1">
        <v>45779</v>
      </c>
      <c r="D675" t="s">
        <v>31</v>
      </c>
      <c r="E675" t="s">
        <v>154</v>
      </c>
      <c r="F675" s="3" t="s">
        <v>113</v>
      </c>
      <c r="J675" s="385">
        <v>12313.8</v>
      </c>
    </row>
    <row r="676" spans="1:10" ht="15">
      <c r="A676" s="137" t="str">
        <f t="shared" si="10"/>
        <v>CAPNOMINA SUCURSALE8</v>
      </c>
      <c r="B676" t="s">
        <v>814</v>
      </c>
      <c r="C676" s="1">
        <v>45779</v>
      </c>
      <c r="D676" t="s">
        <v>31</v>
      </c>
      <c r="E676" t="s">
        <v>154</v>
      </c>
      <c r="F676" s="3" t="s">
        <v>114</v>
      </c>
      <c r="J676" s="385">
        <v>25434</v>
      </c>
    </row>
    <row r="677" spans="1:10" ht="15">
      <c r="A677" s="137" t="str">
        <f t="shared" si="10"/>
        <v>CAPNOMINA SUCURSALE9</v>
      </c>
      <c r="B677" t="s">
        <v>814</v>
      </c>
      <c r="C677" s="1">
        <v>45779</v>
      </c>
      <c r="D677" t="s">
        <v>31</v>
      </c>
      <c r="E677" t="s">
        <v>154</v>
      </c>
      <c r="F677" s="3" t="s">
        <v>116</v>
      </c>
      <c r="J677" s="385">
        <v>35087.800000000003</v>
      </c>
    </row>
    <row r="678" spans="1:10" ht="15">
      <c r="A678" s="137" t="str">
        <f t="shared" si="10"/>
        <v>ELINOMINA SUCURSALL1</v>
      </c>
      <c r="B678" t="s">
        <v>814</v>
      </c>
      <c r="C678" s="1">
        <v>45779</v>
      </c>
      <c r="D678" t="s">
        <v>130</v>
      </c>
      <c r="E678" t="s">
        <v>154</v>
      </c>
      <c r="F678" s="3" t="s">
        <v>136</v>
      </c>
      <c r="J678" s="385">
        <v>9767</v>
      </c>
    </row>
    <row r="679" spans="1:10" ht="15">
      <c r="A679" s="137" t="str">
        <f t="shared" si="10"/>
        <v>HRNOMINA ADMONHR</v>
      </c>
      <c r="B679" t="s">
        <v>814</v>
      </c>
      <c r="C679" s="1">
        <v>45779</v>
      </c>
      <c r="D679" t="s">
        <v>29</v>
      </c>
      <c r="E679" t="s">
        <v>147</v>
      </c>
      <c r="F679" s="3" t="s">
        <v>29</v>
      </c>
      <c r="J679" s="385">
        <v>31445.01</v>
      </c>
    </row>
    <row r="680" spans="1:10" ht="15">
      <c r="A680" s="137" t="str">
        <f t="shared" si="10"/>
        <v>CAPNOMINA ADMONCAPRICHOS</v>
      </c>
      <c r="B680" t="s">
        <v>814</v>
      </c>
      <c r="C680" s="1">
        <v>45779</v>
      </c>
      <c r="D680" t="s">
        <v>31</v>
      </c>
      <c r="E680" t="s">
        <v>147</v>
      </c>
      <c r="F680" s="12" t="s">
        <v>33</v>
      </c>
      <c r="J680" s="385">
        <v>27302.11</v>
      </c>
    </row>
    <row r="681" spans="1:10" ht="15">
      <c r="A681" s="137" t="str">
        <f t="shared" si="10"/>
        <v>SERVICIOSNOMINA SUCURSALCEDIS</v>
      </c>
      <c r="B681" t="s">
        <v>814</v>
      </c>
      <c r="C681" s="1">
        <v>45779</v>
      </c>
      <c r="D681" t="s">
        <v>21</v>
      </c>
      <c r="E681" t="s">
        <v>154</v>
      </c>
      <c r="F681" s="12" t="s">
        <v>28</v>
      </c>
      <c r="J681" s="385">
        <v>52601.82</v>
      </c>
    </row>
    <row r="682" spans="1:10" ht="15">
      <c r="A682" s="137" t="str">
        <f t="shared" si="10"/>
        <v>SERVICIOSNOMINA ADMONINVENTARIOS</v>
      </c>
      <c r="B682" t="s">
        <v>814</v>
      </c>
      <c r="C682" s="1">
        <v>45779</v>
      </c>
      <c r="D682" t="s">
        <v>21</v>
      </c>
      <c r="E682" t="s">
        <v>147</v>
      </c>
      <c r="F682" s="12" t="s">
        <v>34</v>
      </c>
      <c r="J682" s="385">
        <v>2800</v>
      </c>
    </row>
    <row r="683" spans="1:10" ht="15">
      <c r="A683" s="137" t="str">
        <f t="shared" si="10"/>
        <v>SERVICIOSNOMINA ADMONMANTENIMIENTO</v>
      </c>
      <c r="B683" t="s">
        <v>814</v>
      </c>
      <c r="C683" s="1">
        <v>45779</v>
      </c>
      <c r="D683" t="s">
        <v>21</v>
      </c>
      <c r="E683" t="s">
        <v>147</v>
      </c>
      <c r="F683" s="12" t="s">
        <v>35</v>
      </c>
      <c r="J683" s="385">
        <v>5639.83</v>
      </c>
    </row>
    <row r="684" spans="1:10" ht="15">
      <c r="A684" s="137" t="str">
        <f t="shared" si="10"/>
        <v>SERVICIOSNOMINA ADMONCADENA DE SUMINISTROS</v>
      </c>
      <c r="B684" t="s">
        <v>814</v>
      </c>
      <c r="C684" s="1">
        <v>45779</v>
      </c>
      <c r="D684" t="s">
        <v>21</v>
      </c>
      <c r="E684" t="s">
        <v>147</v>
      </c>
      <c r="F684" s="12" t="s">
        <v>134</v>
      </c>
      <c r="J684" s="385">
        <v>19324.8</v>
      </c>
    </row>
    <row r="685" spans="1:10" ht="15">
      <c r="A685" s="137" t="str">
        <f t="shared" si="10"/>
        <v>SERVICIOSNOMINA ADMONSISTEMAS</v>
      </c>
      <c r="B685" t="s">
        <v>814</v>
      </c>
      <c r="C685" s="1">
        <v>45779</v>
      </c>
      <c r="D685" t="s">
        <v>21</v>
      </c>
      <c r="E685" t="s">
        <v>147</v>
      </c>
      <c r="F685" s="12" t="s">
        <v>36</v>
      </c>
      <c r="J685" s="385">
        <v>7772.09</v>
      </c>
    </row>
    <row r="686" spans="1:10" ht="15">
      <c r="A686" s="137" t="str">
        <f t="shared" si="10"/>
        <v>SERVICIOSNOMINA ADMONCOMPRAS</v>
      </c>
      <c r="B686" t="s">
        <v>814</v>
      </c>
      <c r="C686" s="1">
        <v>45779</v>
      </c>
      <c r="D686" t="s">
        <v>21</v>
      </c>
      <c r="E686" t="s">
        <v>147</v>
      </c>
      <c r="F686" s="12" t="s">
        <v>148</v>
      </c>
      <c r="J686" s="385">
        <v>16100.71</v>
      </c>
    </row>
    <row r="687" spans="1:10" ht="15">
      <c r="A687" s="137" t="str">
        <f t="shared" si="10"/>
        <v>FINANZASNOMINA ADMONCONTABILIDAD</v>
      </c>
      <c r="B687" t="s">
        <v>814</v>
      </c>
      <c r="C687" s="1">
        <v>45779</v>
      </c>
      <c r="D687" t="s">
        <v>23</v>
      </c>
      <c r="E687" t="s">
        <v>147</v>
      </c>
      <c r="F687" s="12" t="s">
        <v>37</v>
      </c>
      <c r="J687" s="385">
        <v>12773.47</v>
      </c>
    </row>
    <row r="688" spans="1:10" ht="15">
      <c r="A688" s="137" t="str">
        <f t="shared" si="10"/>
        <v>FINANZASNOMINA ADMONFINANZAS/LEGAL</v>
      </c>
      <c r="B688" t="s">
        <v>814</v>
      </c>
      <c r="C688" s="1">
        <v>45779</v>
      </c>
      <c r="D688" t="s">
        <v>23</v>
      </c>
      <c r="E688" t="s">
        <v>147</v>
      </c>
      <c r="F688" s="12" t="s">
        <v>149</v>
      </c>
      <c r="J688" s="385">
        <v>9357.99</v>
      </c>
    </row>
    <row r="689" spans="1:14" ht="15">
      <c r="A689" s="137" t="str">
        <f t="shared" si="10"/>
        <v>FINANZASNOMINA ADMONRECURSOS HUMANOS</v>
      </c>
      <c r="B689" t="s">
        <v>814</v>
      </c>
      <c r="C689" s="1">
        <v>45779</v>
      </c>
      <c r="D689" t="s">
        <v>23</v>
      </c>
      <c r="E689" t="s">
        <v>147</v>
      </c>
      <c r="F689" s="12" t="s">
        <v>125</v>
      </c>
      <c r="J689" s="385">
        <v>9578.7800000000007</v>
      </c>
    </row>
    <row r="690" spans="1:14" ht="15">
      <c r="A690" s="137" t="str">
        <f t="shared" si="10"/>
        <v>FINANZASNOMINA ADMONTESORERIA</v>
      </c>
      <c r="B690" t="s">
        <v>814</v>
      </c>
      <c r="C690" s="1">
        <v>45779</v>
      </c>
      <c r="D690" t="s">
        <v>23</v>
      </c>
      <c r="E690" t="s">
        <v>147</v>
      </c>
      <c r="F690" s="12" t="s">
        <v>38</v>
      </c>
      <c r="J690" s="385">
        <v>11871.2</v>
      </c>
    </row>
    <row r="691" spans="1:14" ht="15">
      <c r="A691" s="137" t="str">
        <f t="shared" si="10"/>
        <v>FINANZASNOMINA ADMONHBG FINANZAS</v>
      </c>
      <c r="B691" t="s">
        <v>814</v>
      </c>
      <c r="C691" s="1">
        <v>45779</v>
      </c>
      <c r="D691" t="s">
        <v>23</v>
      </c>
      <c r="E691" t="s">
        <v>147</v>
      </c>
      <c r="F691" s="12" t="s">
        <v>150</v>
      </c>
      <c r="J691" s="385">
        <v>3057</v>
      </c>
    </row>
    <row r="692" spans="1:14" ht="15">
      <c r="A692" s="137" t="str">
        <f t="shared" si="10"/>
        <v>SGENOMINA ADMONGESTION EMPRESARIAL</v>
      </c>
      <c r="B692" t="s">
        <v>814</v>
      </c>
      <c r="C692" s="1">
        <v>45779</v>
      </c>
      <c r="D692" t="s">
        <v>39</v>
      </c>
      <c r="E692" t="s">
        <v>147</v>
      </c>
      <c r="F692" s="12" t="s">
        <v>40</v>
      </c>
      <c r="J692" s="385">
        <v>20150.8</v>
      </c>
    </row>
    <row r="693" spans="1:14" ht="15">
      <c r="A693" s="137" t="str">
        <f t="shared" si="10"/>
        <v>DENOMINA ADMONDIRECCION</v>
      </c>
      <c r="B693" t="s">
        <v>814</v>
      </c>
      <c r="C693" s="1">
        <v>45779</v>
      </c>
      <c r="D693" t="s">
        <v>41</v>
      </c>
      <c r="E693" t="s">
        <v>147</v>
      </c>
      <c r="F693" s="12" t="s">
        <v>42</v>
      </c>
      <c r="J693" s="385">
        <v>6000</v>
      </c>
    </row>
    <row r="694" spans="1:14" ht="15">
      <c r="A694" s="137" t="str">
        <f t="shared" si="10"/>
        <v>HRVACACIONES/FINIQUITOSHR</v>
      </c>
      <c r="B694" t="s">
        <v>814</v>
      </c>
      <c r="C694" s="1">
        <v>45779</v>
      </c>
      <c r="D694" t="s">
        <v>29</v>
      </c>
      <c r="E694" s="12" t="s">
        <v>190</v>
      </c>
      <c r="F694" t="s">
        <v>29</v>
      </c>
      <c r="J694" s="382">
        <v>7500</v>
      </c>
    </row>
    <row r="695" spans="1:14" ht="15">
      <c r="A695" s="137" t="str">
        <f t="shared" si="10"/>
        <v>SGEVACACIONES/FINIQUITOSGESTION EMPRESARIAL</v>
      </c>
      <c r="B695" t="s">
        <v>814</v>
      </c>
      <c r="C695" s="1">
        <v>45779</v>
      </c>
      <c r="D695" t="s">
        <v>39</v>
      </c>
      <c r="E695" s="12" t="s">
        <v>190</v>
      </c>
      <c r="F695" t="s">
        <v>40</v>
      </c>
      <c r="J695" s="382">
        <v>8678.57</v>
      </c>
    </row>
    <row r="696" spans="1:14" ht="15">
      <c r="A696" s="137" t="str">
        <f t="shared" si="10"/>
        <v>SERVICIOSVACACIONES/FINIQUITOSSERVICIOS</v>
      </c>
      <c r="B696" t="s">
        <v>814</v>
      </c>
      <c r="C696" s="1">
        <v>45779</v>
      </c>
      <c r="D696" t="s">
        <v>21</v>
      </c>
      <c r="E696" s="12" t="s">
        <v>190</v>
      </c>
      <c r="F696" t="s">
        <v>21</v>
      </c>
      <c r="J696" s="382">
        <v>12857.14</v>
      </c>
    </row>
    <row r="697" spans="1:14" ht="15">
      <c r="A697" s="137" t="str">
        <f t="shared" si="10"/>
        <v>SERVICIOSVACACIONES/FINIQUITOSSERVICIOS</v>
      </c>
      <c r="B697" t="s">
        <v>814</v>
      </c>
      <c r="C697" s="1">
        <v>45779</v>
      </c>
      <c r="D697" t="s">
        <v>21</v>
      </c>
      <c r="E697" s="12" t="s">
        <v>190</v>
      </c>
      <c r="F697" t="s">
        <v>21</v>
      </c>
      <c r="J697" s="382">
        <v>6428.57</v>
      </c>
    </row>
    <row r="698" spans="1:14" ht="15">
      <c r="A698" s="137" t="str">
        <f t="shared" si="10"/>
        <v>FINANZASVACACIONES/FINIQUITOSHBG FINANZAS</v>
      </c>
      <c r="B698" t="s">
        <v>814</v>
      </c>
      <c r="C698" s="1">
        <v>45771</v>
      </c>
      <c r="D698" t="s">
        <v>23</v>
      </c>
      <c r="E698" s="12" t="s">
        <v>190</v>
      </c>
      <c r="F698" s="12" t="s">
        <v>150</v>
      </c>
      <c r="G698" s="158"/>
      <c r="H698" s="77"/>
      <c r="I698" s="144"/>
      <c r="J698" s="383">
        <v>1071.43</v>
      </c>
      <c r="K698" s="159"/>
      <c r="N698" s="187"/>
    </row>
    <row r="699" spans="1:14" ht="15">
      <c r="A699" s="137" t="str">
        <f t="shared" si="10"/>
        <v>FINANZASVACACIONES/FINIQUITOSHBG FINANZAS</v>
      </c>
      <c r="B699" t="s">
        <v>814</v>
      </c>
      <c r="C699" s="1">
        <v>45771</v>
      </c>
      <c r="D699" t="s">
        <v>23</v>
      </c>
      <c r="E699" s="12" t="s">
        <v>190</v>
      </c>
      <c r="F699" s="12" t="s">
        <v>150</v>
      </c>
      <c r="J699" s="382">
        <v>1017.43</v>
      </c>
    </row>
    <row r="700" spans="1:14" ht="15">
      <c r="A700" s="137" t="str">
        <f t="shared" si="10"/>
        <v>FINANZASNOMINA ADMONHBG FINANZAS</v>
      </c>
      <c r="B700" t="s">
        <v>814</v>
      </c>
      <c r="C700" s="1">
        <v>45779</v>
      </c>
      <c r="D700" t="s">
        <v>23</v>
      </c>
      <c r="E700" t="s">
        <v>147</v>
      </c>
      <c r="F700" s="12" t="s">
        <v>150</v>
      </c>
      <c r="J700" s="382">
        <v>10950</v>
      </c>
    </row>
    <row r="701" spans="1:14" ht="15">
      <c r="A701" s="137" t="str">
        <f t="shared" si="10"/>
        <v>HRNOMINA ADMONHR</v>
      </c>
      <c r="B701" t="s">
        <v>814</v>
      </c>
      <c r="C701" s="1">
        <v>45779</v>
      </c>
      <c r="D701" t="s">
        <v>29</v>
      </c>
      <c r="E701" t="s">
        <v>147</v>
      </c>
      <c r="F701" s="3" t="s">
        <v>29</v>
      </c>
      <c r="J701" s="382">
        <v>5500</v>
      </c>
    </row>
    <row r="702" spans="1:14" ht="15">
      <c r="A702" s="137" t="str">
        <f t="shared" si="10"/>
        <v>CAPNOMINA ADMONCAPRICHOS</v>
      </c>
      <c r="B702" t="s">
        <v>814</v>
      </c>
      <c r="C702" s="1">
        <v>45779</v>
      </c>
      <c r="D702" t="s">
        <v>31</v>
      </c>
      <c r="E702" t="s">
        <v>147</v>
      </c>
      <c r="F702" s="12" t="s">
        <v>33</v>
      </c>
      <c r="J702" s="382">
        <v>3700</v>
      </c>
    </row>
    <row r="703" spans="1:14" ht="15">
      <c r="A703" s="137" t="str">
        <f t="shared" si="10"/>
        <v>SGENOMINA ADMONGESTION EMPRESARIAL</v>
      </c>
      <c r="B703" t="s">
        <v>814</v>
      </c>
      <c r="C703" s="1">
        <v>45779</v>
      </c>
      <c r="D703" t="s">
        <v>39</v>
      </c>
      <c r="E703" t="s">
        <v>147</v>
      </c>
      <c r="F703" s="12" t="s">
        <v>40</v>
      </c>
      <c r="J703" s="382">
        <v>2750</v>
      </c>
    </row>
    <row r="704" spans="1:14" ht="15">
      <c r="A704" s="137" t="str">
        <f t="shared" si="10"/>
        <v>SERVICIOSNOMINA ADMONSERVICIOS</v>
      </c>
      <c r="B704" t="s">
        <v>814</v>
      </c>
      <c r="C704" s="1">
        <v>45779</v>
      </c>
      <c r="D704" t="s">
        <v>21</v>
      </c>
      <c r="E704" t="s">
        <v>147</v>
      </c>
      <c r="F704" s="12" t="s">
        <v>21</v>
      </c>
      <c r="J704" s="382">
        <v>4750</v>
      </c>
    </row>
    <row r="705" spans="1:10" ht="15">
      <c r="A705" s="137" t="str">
        <f t="shared" si="10"/>
        <v>DENOMINA ADMONDIRECCION</v>
      </c>
      <c r="B705" t="s">
        <v>814</v>
      </c>
      <c r="C705" s="1">
        <v>45779</v>
      </c>
      <c r="D705" t="s">
        <v>41</v>
      </c>
      <c r="E705" t="s">
        <v>147</v>
      </c>
      <c r="F705" s="12" t="s">
        <v>42</v>
      </c>
      <c r="J705" s="382">
        <v>5750</v>
      </c>
    </row>
    <row r="706" spans="1:10" ht="15">
      <c r="A706" s="137" t="str">
        <f t="shared" si="10"/>
        <v>FINANZASNOMINA ADMONHBG FINANZAS</v>
      </c>
      <c r="B706" t="s">
        <v>1049</v>
      </c>
      <c r="C706" s="1">
        <v>45786</v>
      </c>
      <c r="D706" t="s">
        <v>23</v>
      </c>
      <c r="E706" t="s">
        <v>147</v>
      </c>
      <c r="F706" s="12" t="s">
        <v>150</v>
      </c>
      <c r="J706" s="382">
        <v>10950</v>
      </c>
    </row>
    <row r="707" spans="1:10" ht="15">
      <c r="A707" s="137" t="str">
        <f t="shared" si="10"/>
        <v>HRNOMINA ADMONHR</v>
      </c>
      <c r="B707" t="s">
        <v>1049</v>
      </c>
      <c r="C707" s="1">
        <v>45786</v>
      </c>
      <c r="D707" t="s">
        <v>29</v>
      </c>
      <c r="E707" t="s">
        <v>147</v>
      </c>
      <c r="F707" s="3" t="s">
        <v>29</v>
      </c>
      <c r="J707" s="382">
        <v>5500</v>
      </c>
    </row>
    <row r="708" spans="1:10" ht="15">
      <c r="A708" s="137" t="str">
        <f t="shared" ref="A708:A771" si="11">D708&amp;E708&amp;F708</f>
        <v>CAPNOMINA ADMONCAPRICHOS</v>
      </c>
      <c r="B708" t="s">
        <v>1049</v>
      </c>
      <c r="C708" s="1">
        <v>45786</v>
      </c>
      <c r="D708" t="s">
        <v>31</v>
      </c>
      <c r="E708" t="s">
        <v>147</v>
      </c>
      <c r="F708" s="12" t="s">
        <v>33</v>
      </c>
      <c r="J708" s="382">
        <v>3700</v>
      </c>
    </row>
    <row r="709" spans="1:10" ht="15">
      <c r="A709" s="137" t="str">
        <f t="shared" si="11"/>
        <v>SGENOMINA ADMONGESTION EMPRESARIAL</v>
      </c>
      <c r="B709" t="s">
        <v>1049</v>
      </c>
      <c r="C709" s="1">
        <v>45786</v>
      </c>
      <c r="D709" t="s">
        <v>39</v>
      </c>
      <c r="E709" t="s">
        <v>147</v>
      </c>
      <c r="F709" s="12" t="s">
        <v>40</v>
      </c>
      <c r="J709" s="382">
        <v>2750</v>
      </c>
    </row>
    <row r="710" spans="1:10" ht="15">
      <c r="A710" s="137" t="str">
        <f t="shared" si="11"/>
        <v>SERVICIOSNOMINA ADMONSERVICIOS</v>
      </c>
      <c r="B710" t="s">
        <v>1049</v>
      </c>
      <c r="C710" s="1">
        <v>45786</v>
      </c>
      <c r="D710" t="s">
        <v>21</v>
      </c>
      <c r="E710" t="s">
        <v>147</v>
      </c>
      <c r="F710" s="12" t="s">
        <v>21</v>
      </c>
      <c r="J710" s="382">
        <v>4750</v>
      </c>
    </row>
    <row r="711" spans="1:10" ht="15">
      <c r="A711" s="137" t="str">
        <f t="shared" si="11"/>
        <v>DENOMINA ADMONDIRECCION</v>
      </c>
      <c r="B711" t="s">
        <v>1049</v>
      </c>
      <c r="C711" s="1">
        <v>45786</v>
      </c>
      <c r="D711" t="s">
        <v>41</v>
      </c>
      <c r="E711" t="s">
        <v>147</v>
      </c>
      <c r="F711" s="12" t="s">
        <v>42</v>
      </c>
      <c r="J711" s="382">
        <v>5750</v>
      </c>
    </row>
    <row r="712" spans="1:10" ht="15">
      <c r="A712" s="137" t="str">
        <f t="shared" si="11"/>
        <v>HRNOMINA SUCURSALA1</v>
      </c>
      <c r="B712" t="s">
        <v>1049</v>
      </c>
      <c r="C712" s="1">
        <v>45786</v>
      </c>
      <c r="D712" t="s">
        <v>29</v>
      </c>
      <c r="E712" t="s">
        <v>154</v>
      </c>
      <c r="F712" s="3" t="s">
        <v>88</v>
      </c>
      <c r="J712" s="385">
        <v>12617</v>
      </c>
    </row>
    <row r="713" spans="1:10" ht="15">
      <c r="A713" s="137" t="str">
        <f t="shared" si="11"/>
        <v>HRNOMINA SUCURSALA2</v>
      </c>
      <c r="B713" t="s">
        <v>1049</v>
      </c>
      <c r="C713" s="1">
        <v>45786</v>
      </c>
      <c r="D713" t="s">
        <v>29</v>
      </c>
      <c r="E713" t="s">
        <v>154</v>
      </c>
      <c r="F713" s="3" t="s">
        <v>89</v>
      </c>
      <c r="J713" s="385">
        <v>16814</v>
      </c>
    </row>
    <row r="714" spans="1:10" ht="15">
      <c r="A714" s="137" t="str">
        <f t="shared" si="11"/>
        <v>HRNOMINA SUCURSALA3</v>
      </c>
      <c r="B714" t="s">
        <v>1049</v>
      </c>
      <c r="C714" s="1">
        <v>45786</v>
      </c>
      <c r="D714" t="s">
        <v>29</v>
      </c>
      <c r="E714" t="s">
        <v>154</v>
      </c>
      <c r="F714" s="3" t="s">
        <v>90</v>
      </c>
      <c r="J714" s="385">
        <v>9160.7999999999993</v>
      </c>
    </row>
    <row r="715" spans="1:10" ht="15">
      <c r="A715" s="137" t="str">
        <f t="shared" si="11"/>
        <v>HRNOMINA SUCURSALA4</v>
      </c>
      <c r="B715" t="s">
        <v>1049</v>
      </c>
      <c r="C715" s="1">
        <v>45786</v>
      </c>
      <c r="D715" t="s">
        <v>29</v>
      </c>
      <c r="E715" t="s">
        <v>154</v>
      </c>
      <c r="F715" s="3" t="s">
        <v>91</v>
      </c>
      <c r="J715" s="385">
        <v>12150.8</v>
      </c>
    </row>
    <row r="716" spans="1:10" ht="15">
      <c r="A716" s="137" t="str">
        <f t="shared" si="11"/>
        <v>HRNOMINA SUCURSALA5</v>
      </c>
      <c r="B716" t="s">
        <v>1049</v>
      </c>
      <c r="C716" s="1">
        <v>45786</v>
      </c>
      <c r="D716" t="s">
        <v>29</v>
      </c>
      <c r="E716" t="s">
        <v>154</v>
      </c>
      <c r="F716" s="3" t="s">
        <v>92</v>
      </c>
      <c r="J716" s="385">
        <v>9771.7999999999993</v>
      </c>
    </row>
    <row r="717" spans="1:10" ht="15">
      <c r="A717" s="137" t="str">
        <f t="shared" si="11"/>
        <v>HRNOMINA SUCURSALA6</v>
      </c>
      <c r="B717" t="s">
        <v>1049</v>
      </c>
      <c r="C717" s="1">
        <v>45786</v>
      </c>
      <c r="D717" t="s">
        <v>29</v>
      </c>
      <c r="E717" t="s">
        <v>154</v>
      </c>
      <c r="F717" s="3" t="s">
        <v>93</v>
      </c>
      <c r="J717" s="385">
        <v>15255.89</v>
      </c>
    </row>
    <row r="718" spans="1:10" ht="15">
      <c r="A718" s="137" t="str">
        <f t="shared" si="11"/>
        <v>HRNOMINA SUCURSALA8</v>
      </c>
      <c r="B718" t="s">
        <v>1049</v>
      </c>
      <c r="C718" s="1">
        <v>45786</v>
      </c>
      <c r="D718" t="s">
        <v>29</v>
      </c>
      <c r="E718" t="s">
        <v>154</v>
      </c>
      <c r="F718" s="3" t="s">
        <v>94</v>
      </c>
      <c r="J718" s="385">
        <v>19644.400000000001</v>
      </c>
    </row>
    <row r="719" spans="1:10" ht="15">
      <c r="A719" s="137" t="str">
        <f t="shared" si="11"/>
        <v>HRNOMINA SUCURSALA9</v>
      </c>
      <c r="B719" t="s">
        <v>1049</v>
      </c>
      <c r="C719" s="1">
        <v>45786</v>
      </c>
      <c r="D719" t="s">
        <v>29</v>
      </c>
      <c r="E719" t="s">
        <v>154</v>
      </c>
      <c r="F719" s="3" t="s">
        <v>95</v>
      </c>
      <c r="J719" s="385">
        <v>13224.69</v>
      </c>
    </row>
    <row r="720" spans="1:10" ht="15">
      <c r="A720" s="137" t="str">
        <f t="shared" si="11"/>
        <v>HRNOMINA SUCURSALA10</v>
      </c>
      <c r="B720" t="s">
        <v>1049</v>
      </c>
      <c r="C720" s="1">
        <v>45786</v>
      </c>
      <c r="D720" t="s">
        <v>29</v>
      </c>
      <c r="E720" t="s">
        <v>154</v>
      </c>
      <c r="F720" s="3" t="s">
        <v>96</v>
      </c>
      <c r="J720" s="385">
        <v>17359.599999999999</v>
      </c>
    </row>
    <row r="721" spans="1:10" ht="15">
      <c r="A721" s="137" t="str">
        <f t="shared" si="11"/>
        <v>HRNOMINA SUCURSALA11</v>
      </c>
      <c r="B721" t="s">
        <v>1049</v>
      </c>
      <c r="C721" s="1">
        <v>45786</v>
      </c>
      <c r="D721" t="s">
        <v>29</v>
      </c>
      <c r="E721" t="s">
        <v>154</v>
      </c>
      <c r="F721" s="62" t="s">
        <v>97</v>
      </c>
      <c r="J721" s="385">
        <v>15727</v>
      </c>
    </row>
    <row r="722" spans="1:10" ht="15">
      <c r="A722" s="137" t="str">
        <f t="shared" si="11"/>
        <v>HRNOMINA SUCURSALA12</v>
      </c>
      <c r="B722" t="s">
        <v>1049</v>
      </c>
      <c r="C722" s="1">
        <v>45786</v>
      </c>
      <c r="D722" t="s">
        <v>29</v>
      </c>
      <c r="E722" t="s">
        <v>154</v>
      </c>
      <c r="F722" s="3" t="s">
        <v>98</v>
      </c>
      <c r="J722" s="385">
        <v>18181.490000000002</v>
      </c>
    </row>
    <row r="723" spans="1:10" ht="15">
      <c r="A723" s="137" t="str">
        <f t="shared" si="11"/>
        <v>HRNOMINA SUCURSALA14</v>
      </c>
      <c r="B723" t="s">
        <v>1049</v>
      </c>
      <c r="C723" s="1">
        <v>45786</v>
      </c>
      <c r="D723" t="s">
        <v>29</v>
      </c>
      <c r="E723" t="s">
        <v>154</v>
      </c>
      <c r="F723" s="3" t="s">
        <v>99</v>
      </c>
      <c r="J723" s="385">
        <v>13547.8</v>
      </c>
    </row>
    <row r="724" spans="1:10" ht="15">
      <c r="A724" s="137" t="str">
        <f t="shared" si="11"/>
        <v>HRNOMINA SUCURSALA15</v>
      </c>
      <c r="B724" t="s">
        <v>1049</v>
      </c>
      <c r="C724" s="1">
        <v>45786</v>
      </c>
      <c r="D724" t="s">
        <v>29</v>
      </c>
      <c r="E724" t="s">
        <v>154</v>
      </c>
      <c r="F724" s="3" t="s">
        <v>100</v>
      </c>
      <c r="J724" s="385">
        <v>13745.6</v>
      </c>
    </row>
    <row r="725" spans="1:10" ht="15">
      <c r="A725" s="137" t="str">
        <f t="shared" si="11"/>
        <v>HRNOMINA SUCURSALA16</v>
      </c>
      <c r="B725" t="s">
        <v>1049</v>
      </c>
      <c r="C725" s="1">
        <v>45786</v>
      </c>
      <c r="D725" t="s">
        <v>29</v>
      </c>
      <c r="E725" t="s">
        <v>154</v>
      </c>
      <c r="F725" s="3" t="s">
        <v>101</v>
      </c>
      <c r="J725" s="385">
        <v>17523.689999999999</v>
      </c>
    </row>
    <row r="726" spans="1:10" ht="15">
      <c r="A726" s="137" t="str">
        <f t="shared" si="11"/>
        <v>HRNOMINA SUCURSALA17</v>
      </c>
      <c r="B726" t="s">
        <v>1049</v>
      </c>
      <c r="C726" s="1">
        <v>45786</v>
      </c>
      <c r="D726" t="s">
        <v>29</v>
      </c>
      <c r="E726" t="s">
        <v>154</v>
      </c>
      <c r="F726" s="3" t="s">
        <v>102</v>
      </c>
      <c r="J726" s="385">
        <v>13314</v>
      </c>
    </row>
    <row r="727" spans="1:10" ht="15">
      <c r="A727" s="137" t="str">
        <f t="shared" si="11"/>
        <v>HRNOMINA SUCURSALA18</v>
      </c>
      <c r="B727" t="s">
        <v>1049</v>
      </c>
      <c r="C727" s="1">
        <v>45786</v>
      </c>
      <c r="D727" t="s">
        <v>29</v>
      </c>
      <c r="E727" t="s">
        <v>154</v>
      </c>
      <c r="F727" s="3" t="s">
        <v>103</v>
      </c>
      <c r="J727" s="385">
        <v>15390.4</v>
      </c>
    </row>
    <row r="728" spans="1:10" ht="15">
      <c r="A728" s="137" t="str">
        <f t="shared" si="11"/>
        <v>HRNOMINA SUCURSALA22</v>
      </c>
      <c r="B728" t="s">
        <v>1049</v>
      </c>
      <c r="C728" s="1">
        <v>45786</v>
      </c>
      <c r="D728" t="s">
        <v>29</v>
      </c>
      <c r="E728" t="s">
        <v>154</v>
      </c>
      <c r="F728" s="3" t="s">
        <v>104</v>
      </c>
      <c r="J728" s="385">
        <v>17525.599999999999</v>
      </c>
    </row>
    <row r="729" spans="1:10" ht="15">
      <c r="A729" s="137" t="str">
        <f t="shared" si="11"/>
        <v>HRNOMINA SUCURSALA23</v>
      </c>
      <c r="B729" t="s">
        <v>1049</v>
      </c>
      <c r="C729" s="1">
        <v>45786</v>
      </c>
      <c r="D729" t="s">
        <v>29</v>
      </c>
      <c r="E729" t="s">
        <v>154</v>
      </c>
      <c r="F729" s="3" t="s">
        <v>105</v>
      </c>
      <c r="J729" s="385">
        <v>15057.6</v>
      </c>
    </row>
    <row r="730" spans="1:10" ht="15">
      <c r="A730" s="137" t="str">
        <f t="shared" si="11"/>
        <v>HRNOMINA SUCURSALA24</v>
      </c>
      <c r="B730" t="s">
        <v>1049</v>
      </c>
      <c r="C730" s="1">
        <v>45786</v>
      </c>
      <c r="D730" t="s">
        <v>29</v>
      </c>
      <c r="E730" t="s">
        <v>154</v>
      </c>
      <c r="F730" s="3" t="s">
        <v>106</v>
      </c>
      <c r="J730" s="385">
        <v>17269.599999999999</v>
      </c>
    </row>
    <row r="731" spans="1:10" ht="15">
      <c r="A731" s="137" t="str">
        <f t="shared" si="11"/>
        <v>CAPNOMINA SUCURSALE1</v>
      </c>
      <c r="B731" t="s">
        <v>1049</v>
      </c>
      <c r="C731" s="1">
        <v>45786</v>
      </c>
      <c r="D731" t="s">
        <v>31</v>
      </c>
      <c r="E731" t="s">
        <v>154</v>
      </c>
      <c r="F731" s="3" t="s">
        <v>107</v>
      </c>
      <c r="J731" s="385">
        <v>15114.4</v>
      </c>
    </row>
    <row r="732" spans="1:10" ht="15">
      <c r="A732" s="137" t="str">
        <f t="shared" si="11"/>
        <v>CAPNOMINA SUCURSALE2</v>
      </c>
      <c r="B732" t="s">
        <v>1049</v>
      </c>
      <c r="C732" s="1">
        <v>45786</v>
      </c>
      <c r="D732" t="s">
        <v>31</v>
      </c>
      <c r="E732" t="s">
        <v>154</v>
      </c>
      <c r="F732" s="3" t="s">
        <v>108</v>
      </c>
      <c r="J732" s="385">
        <v>13954.2</v>
      </c>
    </row>
    <row r="733" spans="1:10" ht="15">
      <c r="A733" s="137" t="str">
        <f t="shared" si="11"/>
        <v>CAPNOMINA SUCURSALE3</v>
      </c>
      <c r="B733" t="s">
        <v>1049</v>
      </c>
      <c r="C733" s="1">
        <v>45786</v>
      </c>
      <c r="D733" t="s">
        <v>31</v>
      </c>
      <c r="E733" t="s">
        <v>154</v>
      </c>
      <c r="F733" s="3" t="s">
        <v>109</v>
      </c>
      <c r="J733" s="385">
        <v>13319.4</v>
      </c>
    </row>
    <row r="734" spans="1:10" ht="15">
      <c r="A734" s="137" t="str">
        <f t="shared" si="11"/>
        <v>CAPNOMINA SUCURSALE4</v>
      </c>
      <c r="B734" t="s">
        <v>1049</v>
      </c>
      <c r="C734" s="1">
        <v>45786</v>
      </c>
      <c r="D734" t="s">
        <v>31</v>
      </c>
      <c r="E734" t="s">
        <v>154</v>
      </c>
      <c r="F734" s="3" t="s">
        <v>110</v>
      </c>
      <c r="J734" s="385">
        <v>18814.2</v>
      </c>
    </row>
    <row r="735" spans="1:10" ht="15">
      <c r="A735" s="137" t="str">
        <f t="shared" si="11"/>
        <v>CAPNOMINA SUCURSALE5</v>
      </c>
      <c r="B735" t="s">
        <v>1049</v>
      </c>
      <c r="C735" s="1">
        <v>45786</v>
      </c>
      <c r="D735" t="s">
        <v>31</v>
      </c>
      <c r="E735" t="s">
        <v>154</v>
      </c>
      <c r="F735" s="3" t="s">
        <v>111</v>
      </c>
      <c r="J735" s="385">
        <v>24488.6</v>
      </c>
    </row>
    <row r="736" spans="1:10" ht="15">
      <c r="A736" s="137" t="str">
        <f t="shared" si="11"/>
        <v>CAPNOMINA SUCURSALE6</v>
      </c>
      <c r="B736" t="s">
        <v>1049</v>
      </c>
      <c r="C736" s="1">
        <v>45786</v>
      </c>
      <c r="D736" t="s">
        <v>31</v>
      </c>
      <c r="E736" t="s">
        <v>154</v>
      </c>
      <c r="F736" s="3" t="s">
        <v>112</v>
      </c>
      <c r="J736" s="385">
        <v>18012.2</v>
      </c>
    </row>
    <row r="737" spans="1:10" ht="15">
      <c r="A737" s="137" t="str">
        <f t="shared" si="11"/>
        <v>CAPNOMINA SUCURSALE7</v>
      </c>
      <c r="B737" t="s">
        <v>1049</v>
      </c>
      <c r="C737" s="1">
        <v>45786</v>
      </c>
      <c r="D737" t="s">
        <v>31</v>
      </c>
      <c r="E737" t="s">
        <v>154</v>
      </c>
      <c r="F737" s="3" t="s">
        <v>113</v>
      </c>
      <c r="J737" s="385">
        <v>15143.4</v>
      </c>
    </row>
    <row r="738" spans="1:10" ht="15">
      <c r="A738" s="137" t="str">
        <f t="shared" si="11"/>
        <v>CAPNOMINA SUCURSALE8</v>
      </c>
      <c r="B738" t="s">
        <v>1049</v>
      </c>
      <c r="C738" s="1">
        <v>45786</v>
      </c>
      <c r="D738" t="s">
        <v>31</v>
      </c>
      <c r="E738" t="s">
        <v>154</v>
      </c>
      <c r="F738" s="3" t="s">
        <v>114</v>
      </c>
      <c r="J738" s="385">
        <v>28239.4</v>
      </c>
    </row>
    <row r="739" spans="1:10" ht="15">
      <c r="A739" s="137" t="str">
        <f t="shared" si="11"/>
        <v>CAPNOMINA SUCURSALE9</v>
      </c>
      <c r="B739" t="s">
        <v>1049</v>
      </c>
      <c r="C739" s="1">
        <v>45786</v>
      </c>
      <c r="D739" t="s">
        <v>31</v>
      </c>
      <c r="E739" t="s">
        <v>154</v>
      </c>
      <c r="F739" s="3" t="s">
        <v>116</v>
      </c>
      <c r="J739" s="385">
        <v>33023</v>
      </c>
    </row>
    <row r="740" spans="1:10" ht="15">
      <c r="A740" s="137" t="str">
        <f t="shared" si="11"/>
        <v>ELINOMINA SUCURSALL1</v>
      </c>
      <c r="B740" t="s">
        <v>1049</v>
      </c>
      <c r="C740" s="1">
        <v>45786</v>
      </c>
      <c r="D740" t="s">
        <v>130</v>
      </c>
      <c r="E740" t="s">
        <v>154</v>
      </c>
      <c r="F740" s="3" t="s">
        <v>136</v>
      </c>
      <c r="J740" s="385">
        <v>10294.799999999999</v>
      </c>
    </row>
    <row r="741" spans="1:10" ht="15">
      <c r="A741" s="137" t="str">
        <f t="shared" si="11"/>
        <v>HRNOMINA ADMONHR</v>
      </c>
      <c r="B741" t="s">
        <v>1049</v>
      </c>
      <c r="C741" s="1">
        <v>45786</v>
      </c>
      <c r="D741" t="s">
        <v>29</v>
      </c>
      <c r="E741" t="s">
        <v>147</v>
      </c>
      <c r="F741" s="3" t="s">
        <v>29</v>
      </c>
      <c r="J741" s="385">
        <v>31445.81</v>
      </c>
    </row>
    <row r="742" spans="1:10" ht="15">
      <c r="A742" s="137" t="str">
        <f t="shared" si="11"/>
        <v>CAPNOMINA ADMONCAPRICHOS</v>
      </c>
      <c r="B742" t="s">
        <v>1049</v>
      </c>
      <c r="C742" s="1">
        <v>45786</v>
      </c>
      <c r="D742" t="s">
        <v>31</v>
      </c>
      <c r="E742" t="s">
        <v>147</v>
      </c>
      <c r="F742" s="12" t="s">
        <v>33</v>
      </c>
      <c r="J742" s="385">
        <v>27215.71</v>
      </c>
    </row>
    <row r="743" spans="1:10" ht="15">
      <c r="A743" s="137" t="str">
        <f t="shared" si="11"/>
        <v>SERVICIOSNOMINA SUCURSALCEDIS</v>
      </c>
      <c r="B743" t="s">
        <v>1049</v>
      </c>
      <c r="C743" s="1">
        <v>45786</v>
      </c>
      <c r="D743" t="s">
        <v>21</v>
      </c>
      <c r="E743" t="s">
        <v>154</v>
      </c>
      <c r="F743" s="12" t="s">
        <v>28</v>
      </c>
      <c r="J743" s="385">
        <v>55093.62</v>
      </c>
    </row>
    <row r="744" spans="1:10" ht="15">
      <c r="A744" s="137" t="str">
        <f t="shared" si="11"/>
        <v>SERVICIOSNOMINA ADMONINVENTARIOS</v>
      </c>
      <c r="B744" t="s">
        <v>1049</v>
      </c>
      <c r="C744" s="1">
        <v>45786</v>
      </c>
      <c r="D744" t="s">
        <v>21</v>
      </c>
      <c r="E744" t="s">
        <v>147</v>
      </c>
      <c r="F744" s="12" t="s">
        <v>34</v>
      </c>
      <c r="J744" s="385">
        <v>2800</v>
      </c>
    </row>
    <row r="745" spans="1:10" ht="15">
      <c r="A745" s="137" t="str">
        <f t="shared" si="11"/>
        <v>SERVICIOSNOMINA ADMONMANTENIMIENTO</v>
      </c>
      <c r="B745" t="s">
        <v>1049</v>
      </c>
      <c r="C745" s="1">
        <v>45786</v>
      </c>
      <c r="D745" t="s">
        <v>21</v>
      </c>
      <c r="E745" t="s">
        <v>147</v>
      </c>
      <c r="F745" s="12" t="s">
        <v>35</v>
      </c>
      <c r="J745" s="385">
        <v>6494.83</v>
      </c>
    </row>
    <row r="746" spans="1:10" ht="15">
      <c r="A746" s="137" t="str">
        <f t="shared" si="11"/>
        <v>SERVICIOSNOMINA ADMONCADENA DE SUMINISTROS</v>
      </c>
      <c r="B746" t="s">
        <v>1049</v>
      </c>
      <c r="C746" s="1">
        <v>45786</v>
      </c>
      <c r="D746" t="s">
        <v>21</v>
      </c>
      <c r="E746" t="s">
        <v>147</v>
      </c>
      <c r="F746" s="12" t="s">
        <v>134</v>
      </c>
      <c r="J746" s="385">
        <v>19325.2</v>
      </c>
    </row>
    <row r="747" spans="1:10" ht="15">
      <c r="A747" s="137" t="str">
        <f t="shared" si="11"/>
        <v>SERVICIOSNOMINA ADMONSISTEMAS</v>
      </c>
      <c r="B747" t="s">
        <v>1049</v>
      </c>
      <c r="C747" s="1">
        <v>45786</v>
      </c>
      <c r="D747" t="s">
        <v>21</v>
      </c>
      <c r="E747" t="s">
        <v>147</v>
      </c>
      <c r="F747" s="12" t="s">
        <v>36</v>
      </c>
      <c r="J747" s="385">
        <v>7917.27</v>
      </c>
    </row>
    <row r="748" spans="1:10" ht="15">
      <c r="A748" s="137" t="str">
        <f t="shared" si="11"/>
        <v>SERVICIOSNOMINA ADMONCOMPRAS</v>
      </c>
      <c r="B748" t="s">
        <v>1049</v>
      </c>
      <c r="C748" s="1">
        <v>45786</v>
      </c>
      <c r="D748" t="s">
        <v>21</v>
      </c>
      <c r="E748" t="s">
        <v>147</v>
      </c>
      <c r="F748" s="12" t="s">
        <v>148</v>
      </c>
      <c r="J748" s="385">
        <v>23593.31</v>
      </c>
    </row>
    <row r="749" spans="1:10" ht="15">
      <c r="A749" s="137" t="str">
        <f t="shared" si="11"/>
        <v>FINANZASNOMINA ADMONCONTABILIDAD</v>
      </c>
      <c r="B749" t="s">
        <v>1049</v>
      </c>
      <c r="C749" s="1">
        <v>45786</v>
      </c>
      <c r="D749" t="s">
        <v>23</v>
      </c>
      <c r="E749" t="s">
        <v>147</v>
      </c>
      <c r="F749" s="12" t="s">
        <v>37</v>
      </c>
      <c r="J749" s="385">
        <v>10399.469999999999</v>
      </c>
    </row>
    <row r="750" spans="1:10" ht="15">
      <c r="A750" s="137" t="str">
        <f t="shared" si="11"/>
        <v>FINANZASNOMINA ADMONFINANZAS/LEGAL</v>
      </c>
      <c r="B750" t="s">
        <v>1049</v>
      </c>
      <c r="C750" s="1">
        <v>45786</v>
      </c>
      <c r="D750" t="s">
        <v>23</v>
      </c>
      <c r="E750" t="s">
        <v>147</v>
      </c>
      <c r="F750" s="12" t="s">
        <v>149</v>
      </c>
      <c r="J750" s="385">
        <v>6182.99</v>
      </c>
    </row>
    <row r="751" spans="1:10" ht="15">
      <c r="A751" s="137" t="str">
        <f t="shared" si="11"/>
        <v>FINANZASNOMINA ADMONRECURSOS HUMANOS</v>
      </c>
      <c r="B751" t="s">
        <v>1049</v>
      </c>
      <c r="C751" s="1">
        <v>45786</v>
      </c>
      <c r="D751" t="s">
        <v>23</v>
      </c>
      <c r="E751" t="s">
        <v>147</v>
      </c>
      <c r="F751" s="12" t="s">
        <v>125</v>
      </c>
      <c r="J751" s="385">
        <v>9578.7800000000007</v>
      </c>
    </row>
    <row r="752" spans="1:10" ht="15">
      <c r="A752" s="137" t="str">
        <f t="shared" si="11"/>
        <v>FINANZASNOMINA ADMONTESORERIA</v>
      </c>
      <c r="B752" t="s">
        <v>1049</v>
      </c>
      <c r="C752" s="1">
        <v>45786</v>
      </c>
      <c r="D752" t="s">
        <v>23</v>
      </c>
      <c r="E752" t="s">
        <v>147</v>
      </c>
      <c r="F752" s="12" t="s">
        <v>38</v>
      </c>
      <c r="J752" s="385">
        <v>11931</v>
      </c>
    </row>
    <row r="753" spans="1:10" ht="15">
      <c r="A753" s="137" t="str">
        <f t="shared" si="11"/>
        <v>FINANZASNOMINA ADMONHBG FINANZAS</v>
      </c>
      <c r="B753" t="s">
        <v>1049</v>
      </c>
      <c r="C753" s="1">
        <v>45786</v>
      </c>
      <c r="D753" t="s">
        <v>23</v>
      </c>
      <c r="E753" t="s">
        <v>147</v>
      </c>
      <c r="F753" s="12" t="s">
        <v>150</v>
      </c>
      <c r="J753" s="385">
        <v>3057</v>
      </c>
    </row>
    <row r="754" spans="1:10" ht="15">
      <c r="A754" s="137" t="str">
        <f t="shared" si="11"/>
        <v>SGENOMINA ADMONGESTION EMPRESARIAL</v>
      </c>
      <c r="B754" t="s">
        <v>1049</v>
      </c>
      <c r="C754" s="1">
        <v>45786</v>
      </c>
      <c r="D754" t="s">
        <v>39</v>
      </c>
      <c r="E754" t="s">
        <v>147</v>
      </c>
      <c r="F754" s="12" t="s">
        <v>40</v>
      </c>
      <c r="J754" s="385">
        <v>20400.7</v>
      </c>
    </row>
    <row r="755" spans="1:10" ht="15">
      <c r="A755" s="137" t="str">
        <f t="shared" si="11"/>
        <v>DENOMINA ADMONDIRECCION</v>
      </c>
      <c r="B755" t="s">
        <v>1049</v>
      </c>
      <c r="C755" s="1">
        <v>45786</v>
      </c>
      <c r="D755" t="s">
        <v>41</v>
      </c>
      <c r="E755" t="s">
        <v>147</v>
      </c>
      <c r="F755" s="12" t="s">
        <v>42</v>
      </c>
      <c r="J755" s="385">
        <v>6000</v>
      </c>
    </row>
    <row r="756" spans="1:10" ht="15">
      <c r="A756" s="137" t="str">
        <f t="shared" si="11"/>
        <v>MMNOMINA ADMONMARKET MAX</v>
      </c>
      <c r="B756" t="s">
        <v>1049</v>
      </c>
      <c r="C756" s="1">
        <v>45786</v>
      </c>
      <c r="D756" t="s">
        <v>45</v>
      </c>
      <c r="E756" t="s">
        <v>147</v>
      </c>
      <c r="F756" s="12" t="s">
        <v>46</v>
      </c>
      <c r="J756" s="382">
        <v>2000</v>
      </c>
    </row>
    <row r="757" spans="1:10" ht="15">
      <c r="A757" s="137" t="str">
        <f t="shared" si="11"/>
        <v>HRNOMINA SUCURSALA1</v>
      </c>
      <c r="B757" t="s">
        <v>1049</v>
      </c>
      <c r="C757" s="1">
        <v>45793</v>
      </c>
      <c r="D757" t="s">
        <v>29</v>
      </c>
      <c r="E757" t="s">
        <v>154</v>
      </c>
      <c r="F757" s="3" t="s">
        <v>88</v>
      </c>
      <c r="J757" s="382">
        <v>10660</v>
      </c>
    </row>
    <row r="758" spans="1:10" ht="15">
      <c r="A758" s="137" t="str">
        <f t="shared" si="11"/>
        <v>HRNOMINA SUCURSALA2</v>
      </c>
      <c r="B758" t="s">
        <v>1049</v>
      </c>
      <c r="C758" s="1">
        <v>45793</v>
      </c>
      <c r="D758" t="s">
        <v>29</v>
      </c>
      <c r="E758" t="s">
        <v>154</v>
      </c>
      <c r="F758" s="3" t="s">
        <v>89</v>
      </c>
      <c r="J758" s="382">
        <v>14084.8</v>
      </c>
    </row>
    <row r="759" spans="1:10" ht="15">
      <c r="A759" s="137" t="str">
        <f t="shared" si="11"/>
        <v>HRNOMINA SUCURSALA3</v>
      </c>
      <c r="B759" t="s">
        <v>1049</v>
      </c>
      <c r="C759" s="1">
        <v>45793</v>
      </c>
      <c r="D759" t="s">
        <v>29</v>
      </c>
      <c r="E759" t="s">
        <v>154</v>
      </c>
      <c r="F759" s="3" t="s">
        <v>90</v>
      </c>
      <c r="J759" s="382">
        <v>8467.4</v>
      </c>
    </row>
    <row r="760" spans="1:10" ht="15">
      <c r="A760" s="137" t="str">
        <f t="shared" si="11"/>
        <v>HRNOMINA SUCURSALA4</v>
      </c>
      <c r="B760" t="s">
        <v>1049</v>
      </c>
      <c r="C760" s="1">
        <v>45793</v>
      </c>
      <c r="D760" t="s">
        <v>29</v>
      </c>
      <c r="E760" t="s">
        <v>154</v>
      </c>
      <c r="F760" s="3" t="s">
        <v>91</v>
      </c>
      <c r="J760" s="382">
        <v>9428.7999999999993</v>
      </c>
    </row>
    <row r="761" spans="1:10" ht="15">
      <c r="A761" s="137" t="str">
        <f t="shared" si="11"/>
        <v>HRNOMINA SUCURSALA5</v>
      </c>
      <c r="B761" t="s">
        <v>1049</v>
      </c>
      <c r="C761" s="1">
        <v>45793</v>
      </c>
      <c r="D761" t="s">
        <v>29</v>
      </c>
      <c r="E761" t="s">
        <v>154</v>
      </c>
      <c r="F761" s="3" t="s">
        <v>92</v>
      </c>
      <c r="J761" s="382">
        <v>12840.4</v>
      </c>
    </row>
    <row r="762" spans="1:10" ht="15">
      <c r="A762" s="137" t="str">
        <f t="shared" si="11"/>
        <v>HRNOMINA SUCURSALA6</v>
      </c>
      <c r="B762" t="s">
        <v>1049</v>
      </c>
      <c r="C762" s="1">
        <v>45793</v>
      </c>
      <c r="D762" t="s">
        <v>29</v>
      </c>
      <c r="E762" t="s">
        <v>154</v>
      </c>
      <c r="F762" s="3" t="s">
        <v>93</v>
      </c>
      <c r="J762" s="382">
        <v>12367.89</v>
      </c>
    </row>
    <row r="763" spans="1:10" ht="15">
      <c r="A763" s="137" t="str">
        <f t="shared" si="11"/>
        <v>HRNOMINA SUCURSALA8</v>
      </c>
      <c r="B763" t="s">
        <v>1049</v>
      </c>
      <c r="C763" s="1">
        <v>45793</v>
      </c>
      <c r="D763" t="s">
        <v>29</v>
      </c>
      <c r="E763" t="s">
        <v>154</v>
      </c>
      <c r="F763" s="3" t="s">
        <v>94</v>
      </c>
      <c r="J763" s="382">
        <v>13411.4</v>
      </c>
    </row>
    <row r="764" spans="1:10" ht="15">
      <c r="A764" s="137" t="str">
        <f t="shared" si="11"/>
        <v>HRNOMINA SUCURSALA9</v>
      </c>
      <c r="B764" t="s">
        <v>1049</v>
      </c>
      <c r="C764" s="1">
        <v>45793</v>
      </c>
      <c r="D764" t="s">
        <v>29</v>
      </c>
      <c r="E764" t="s">
        <v>154</v>
      </c>
      <c r="F764" s="3" t="s">
        <v>95</v>
      </c>
      <c r="J764" s="382">
        <v>11342.09</v>
      </c>
    </row>
    <row r="765" spans="1:10" ht="15">
      <c r="A765" s="137" t="str">
        <f t="shared" si="11"/>
        <v>HRNOMINA SUCURSALA10</v>
      </c>
      <c r="B765" t="s">
        <v>1049</v>
      </c>
      <c r="C765" s="1">
        <v>45793</v>
      </c>
      <c r="D765" t="s">
        <v>29</v>
      </c>
      <c r="E765" t="s">
        <v>154</v>
      </c>
      <c r="F765" s="3" t="s">
        <v>96</v>
      </c>
      <c r="J765" s="382">
        <v>16793</v>
      </c>
    </row>
    <row r="766" spans="1:10" ht="15">
      <c r="A766" s="137" t="str">
        <f t="shared" si="11"/>
        <v>HRNOMINA SUCURSALA11</v>
      </c>
      <c r="B766" t="s">
        <v>1049</v>
      </c>
      <c r="C766" s="1">
        <v>45793</v>
      </c>
      <c r="D766" t="s">
        <v>29</v>
      </c>
      <c r="E766" t="s">
        <v>154</v>
      </c>
      <c r="F766" s="62" t="s">
        <v>97</v>
      </c>
      <c r="J766" s="382">
        <v>13100</v>
      </c>
    </row>
    <row r="767" spans="1:10" ht="15">
      <c r="A767" s="137" t="str">
        <f t="shared" si="11"/>
        <v>HRNOMINA SUCURSALA12</v>
      </c>
      <c r="B767" t="s">
        <v>1049</v>
      </c>
      <c r="C767" s="1">
        <v>45793</v>
      </c>
      <c r="D767" t="s">
        <v>29</v>
      </c>
      <c r="E767" t="s">
        <v>154</v>
      </c>
      <c r="F767" s="3" t="s">
        <v>98</v>
      </c>
      <c r="J767" s="382">
        <v>15428.29</v>
      </c>
    </row>
    <row r="768" spans="1:10" ht="15">
      <c r="A768" s="137" t="str">
        <f t="shared" si="11"/>
        <v>HRNOMINA SUCURSALA14</v>
      </c>
      <c r="B768" t="s">
        <v>1049</v>
      </c>
      <c r="C768" s="1">
        <v>45793</v>
      </c>
      <c r="D768" t="s">
        <v>29</v>
      </c>
      <c r="E768" t="s">
        <v>154</v>
      </c>
      <c r="F768" s="3" t="s">
        <v>99</v>
      </c>
      <c r="J768" s="382">
        <v>12834.6</v>
      </c>
    </row>
    <row r="769" spans="1:10" ht="15">
      <c r="A769" s="137" t="str">
        <f t="shared" si="11"/>
        <v>HRNOMINA SUCURSALA15</v>
      </c>
      <c r="B769" t="s">
        <v>1049</v>
      </c>
      <c r="C769" s="1">
        <v>45793</v>
      </c>
      <c r="D769" t="s">
        <v>29</v>
      </c>
      <c r="E769" t="s">
        <v>154</v>
      </c>
      <c r="F769" s="3" t="s">
        <v>100</v>
      </c>
      <c r="J769" s="382">
        <v>11656.6</v>
      </c>
    </row>
    <row r="770" spans="1:10" ht="15">
      <c r="A770" s="137" t="str">
        <f t="shared" si="11"/>
        <v>HRNOMINA SUCURSALA16</v>
      </c>
      <c r="B770" t="s">
        <v>1049</v>
      </c>
      <c r="C770" s="1">
        <v>45793</v>
      </c>
      <c r="D770" t="s">
        <v>29</v>
      </c>
      <c r="E770" t="s">
        <v>154</v>
      </c>
      <c r="F770" s="3" t="s">
        <v>101</v>
      </c>
      <c r="J770" s="382">
        <v>16850.09</v>
      </c>
    </row>
    <row r="771" spans="1:10" ht="15">
      <c r="A771" s="137" t="str">
        <f t="shared" si="11"/>
        <v>HRNOMINA SUCURSALA17</v>
      </c>
      <c r="B771" t="s">
        <v>1049</v>
      </c>
      <c r="C771" s="1">
        <v>45793</v>
      </c>
      <c r="D771" t="s">
        <v>29</v>
      </c>
      <c r="E771" t="s">
        <v>154</v>
      </c>
      <c r="F771" s="3" t="s">
        <v>102</v>
      </c>
      <c r="J771" s="382">
        <v>11547</v>
      </c>
    </row>
    <row r="772" spans="1:10" ht="15">
      <c r="A772" s="137" t="str">
        <f t="shared" ref="A772:A835" si="12">D772&amp;E772&amp;F772</f>
        <v>HRNOMINA SUCURSALA18</v>
      </c>
      <c r="B772" t="s">
        <v>1049</v>
      </c>
      <c r="C772" s="1">
        <v>45793</v>
      </c>
      <c r="D772" t="s">
        <v>29</v>
      </c>
      <c r="E772" t="s">
        <v>154</v>
      </c>
      <c r="F772" s="3" t="s">
        <v>103</v>
      </c>
      <c r="J772" s="382">
        <v>13007.2</v>
      </c>
    </row>
    <row r="773" spans="1:10" ht="15">
      <c r="A773" s="137" t="str">
        <f t="shared" si="12"/>
        <v>HRNOMINA SUCURSALA22</v>
      </c>
      <c r="B773" t="s">
        <v>1049</v>
      </c>
      <c r="C773" s="1">
        <v>45793</v>
      </c>
      <c r="D773" t="s">
        <v>29</v>
      </c>
      <c r="E773" t="s">
        <v>154</v>
      </c>
      <c r="F773" s="3" t="s">
        <v>104</v>
      </c>
      <c r="J773" s="382">
        <v>12546.8</v>
      </c>
    </row>
    <row r="774" spans="1:10" ht="15">
      <c r="A774" s="137" t="str">
        <f t="shared" si="12"/>
        <v>HRNOMINA SUCURSALA23</v>
      </c>
      <c r="B774" t="s">
        <v>1049</v>
      </c>
      <c r="C774" s="1">
        <v>45793</v>
      </c>
      <c r="D774" t="s">
        <v>29</v>
      </c>
      <c r="E774" t="s">
        <v>154</v>
      </c>
      <c r="F774" s="3" t="s">
        <v>105</v>
      </c>
      <c r="J774" s="382">
        <v>13140.4</v>
      </c>
    </row>
    <row r="775" spans="1:10" ht="15">
      <c r="A775" s="137" t="str">
        <f t="shared" si="12"/>
        <v>HRNOMINA SUCURSALA24</v>
      </c>
      <c r="B775" t="s">
        <v>1049</v>
      </c>
      <c r="C775" s="1">
        <v>45793</v>
      </c>
      <c r="D775" t="s">
        <v>29</v>
      </c>
      <c r="E775" t="s">
        <v>154</v>
      </c>
      <c r="F775" s="3" t="s">
        <v>106</v>
      </c>
      <c r="J775" s="382">
        <v>14985</v>
      </c>
    </row>
    <row r="776" spans="1:10" ht="15">
      <c r="A776" s="137" t="str">
        <f t="shared" si="12"/>
        <v>CAPNOMINA SUCURSALE1</v>
      </c>
      <c r="B776" t="s">
        <v>1049</v>
      </c>
      <c r="C776" s="1">
        <v>45793</v>
      </c>
      <c r="D776" t="s">
        <v>31</v>
      </c>
      <c r="E776" t="s">
        <v>154</v>
      </c>
      <c r="F776" s="3" t="s">
        <v>107</v>
      </c>
      <c r="J776" s="382">
        <v>9958.4</v>
      </c>
    </row>
    <row r="777" spans="1:10" ht="15">
      <c r="A777" s="137" t="str">
        <f t="shared" si="12"/>
        <v>CAPNOMINA SUCURSALE2</v>
      </c>
      <c r="B777" t="s">
        <v>1049</v>
      </c>
      <c r="C777" s="1">
        <v>45793</v>
      </c>
      <c r="D777" t="s">
        <v>31</v>
      </c>
      <c r="E777" t="s">
        <v>154</v>
      </c>
      <c r="F777" s="3" t="s">
        <v>108</v>
      </c>
      <c r="J777" s="382">
        <v>16104.8</v>
      </c>
    </row>
    <row r="778" spans="1:10" ht="15">
      <c r="A778" s="137" t="str">
        <f t="shared" si="12"/>
        <v>CAPNOMINA SUCURSALE3</v>
      </c>
      <c r="B778" t="s">
        <v>1049</v>
      </c>
      <c r="C778" s="1">
        <v>45793</v>
      </c>
      <c r="D778" t="s">
        <v>31</v>
      </c>
      <c r="E778" t="s">
        <v>154</v>
      </c>
      <c r="F778" s="3" t="s">
        <v>109</v>
      </c>
      <c r="J778" s="382">
        <v>13714.6</v>
      </c>
    </row>
    <row r="779" spans="1:10" ht="15">
      <c r="A779" s="137" t="str">
        <f t="shared" si="12"/>
        <v>CAPNOMINA SUCURSALE4</v>
      </c>
      <c r="B779" t="s">
        <v>1049</v>
      </c>
      <c r="C779" s="1">
        <v>45793</v>
      </c>
      <c r="D779" t="s">
        <v>31</v>
      </c>
      <c r="E779" t="s">
        <v>154</v>
      </c>
      <c r="F779" s="3" t="s">
        <v>110</v>
      </c>
      <c r="J779" s="382">
        <v>17631.599999999999</v>
      </c>
    </row>
    <row r="780" spans="1:10" ht="15">
      <c r="A780" s="137" t="str">
        <f t="shared" si="12"/>
        <v>CAPNOMINA SUCURSALE5</v>
      </c>
      <c r="B780" t="s">
        <v>1049</v>
      </c>
      <c r="C780" s="1">
        <v>45793</v>
      </c>
      <c r="D780" t="s">
        <v>31</v>
      </c>
      <c r="E780" t="s">
        <v>154</v>
      </c>
      <c r="F780" s="3" t="s">
        <v>111</v>
      </c>
      <c r="J780" s="382">
        <v>20236</v>
      </c>
    </row>
    <row r="781" spans="1:10" ht="15">
      <c r="A781" s="137" t="str">
        <f t="shared" si="12"/>
        <v>CAPNOMINA SUCURSALE6</v>
      </c>
      <c r="B781" t="s">
        <v>1049</v>
      </c>
      <c r="C781" s="1">
        <v>45793</v>
      </c>
      <c r="D781" t="s">
        <v>31</v>
      </c>
      <c r="E781" t="s">
        <v>154</v>
      </c>
      <c r="F781" s="3" t="s">
        <v>112</v>
      </c>
      <c r="J781" s="382">
        <v>13394.8</v>
      </c>
    </row>
    <row r="782" spans="1:10" ht="15">
      <c r="A782" s="137" t="str">
        <f t="shared" si="12"/>
        <v>CAPNOMINA SUCURSALE7</v>
      </c>
      <c r="B782" t="s">
        <v>1049</v>
      </c>
      <c r="C782" s="1">
        <v>45793</v>
      </c>
      <c r="D782" t="s">
        <v>31</v>
      </c>
      <c r="E782" t="s">
        <v>154</v>
      </c>
      <c r="F782" s="3" t="s">
        <v>113</v>
      </c>
      <c r="J782" s="382">
        <v>13040</v>
      </c>
    </row>
    <row r="783" spans="1:10" ht="15">
      <c r="A783" s="137" t="str">
        <f t="shared" si="12"/>
        <v>CAPNOMINA SUCURSALE8</v>
      </c>
      <c r="B783" t="s">
        <v>1049</v>
      </c>
      <c r="C783" s="1">
        <v>45793</v>
      </c>
      <c r="D783" t="s">
        <v>31</v>
      </c>
      <c r="E783" t="s">
        <v>154</v>
      </c>
      <c r="F783" s="3" t="s">
        <v>114</v>
      </c>
      <c r="J783" s="382">
        <v>28294.400000000001</v>
      </c>
    </row>
    <row r="784" spans="1:10" ht="15">
      <c r="A784" s="137" t="str">
        <f t="shared" si="12"/>
        <v>CAPNOMINA SUCURSALE9</v>
      </c>
      <c r="B784" t="s">
        <v>1049</v>
      </c>
      <c r="C784" s="1">
        <v>45793</v>
      </c>
      <c r="D784" t="s">
        <v>31</v>
      </c>
      <c r="E784" t="s">
        <v>154</v>
      </c>
      <c r="F784" s="3" t="s">
        <v>116</v>
      </c>
      <c r="J784" s="382">
        <v>31641.4</v>
      </c>
    </row>
    <row r="785" spans="1:10" ht="15">
      <c r="A785" s="137" t="str">
        <f t="shared" si="12"/>
        <v>ELINOMINA SUCURSALL1</v>
      </c>
      <c r="B785" t="s">
        <v>1049</v>
      </c>
      <c r="C785" s="1">
        <v>45793</v>
      </c>
      <c r="D785" t="s">
        <v>130</v>
      </c>
      <c r="E785" t="s">
        <v>154</v>
      </c>
      <c r="F785" s="3" t="s">
        <v>136</v>
      </c>
      <c r="J785" s="382">
        <v>9439.7999999999993</v>
      </c>
    </row>
    <row r="786" spans="1:10" ht="15">
      <c r="A786" s="137" t="str">
        <f t="shared" si="12"/>
        <v>HRNOMINA ADMONHR</v>
      </c>
      <c r="B786" t="s">
        <v>1049</v>
      </c>
      <c r="C786" s="1">
        <v>45793</v>
      </c>
      <c r="D786" t="s">
        <v>29</v>
      </c>
      <c r="E786" t="s">
        <v>147</v>
      </c>
      <c r="F786" s="3" t="s">
        <v>29</v>
      </c>
      <c r="J786" s="382">
        <v>31448.81</v>
      </c>
    </row>
    <row r="787" spans="1:10" ht="15">
      <c r="A787" s="137" t="str">
        <f t="shared" si="12"/>
        <v>CAPNOMINA ADMONCAPRICHOS</v>
      </c>
      <c r="B787" t="s">
        <v>1049</v>
      </c>
      <c r="C787" s="1">
        <v>45793</v>
      </c>
      <c r="D787" t="s">
        <v>31</v>
      </c>
      <c r="E787" t="s">
        <v>147</v>
      </c>
      <c r="F787" s="12" t="s">
        <v>33</v>
      </c>
      <c r="J787" s="382">
        <v>29215.71</v>
      </c>
    </row>
    <row r="788" spans="1:10" ht="15">
      <c r="A788" s="137" t="str">
        <f t="shared" si="12"/>
        <v>SERVICIOSNOMINA SUCURSALCEDIS</v>
      </c>
      <c r="B788" t="s">
        <v>1049</v>
      </c>
      <c r="C788" s="1">
        <v>45793</v>
      </c>
      <c r="D788" t="s">
        <v>21</v>
      </c>
      <c r="E788" t="s">
        <v>154</v>
      </c>
      <c r="F788" s="12" t="s">
        <v>28</v>
      </c>
      <c r="J788" s="382">
        <v>55721.02</v>
      </c>
    </row>
    <row r="789" spans="1:10" ht="15">
      <c r="A789" s="137" t="str">
        <f t="shared" si="12"/>
        <v>SERVICIOSNOMINA ADMONINVENTARIOS</v>
      </c>
      <c r="B789" t="s">
        <v>1049</v>
      </c>
      <c r="C789" s="1">
        <v>45793</v>
      </c>
      <c r="D789" t="s">
        <v>21</v>
      </c>
      <c r="E789" t="s">
        <v>147</v>
      </c>
      <c r="F789" s="12" t="s">
        <v>34</v>
      </c>
      <c r="J789" s="382">
        <v>2700.2</v>
      </c>
    </row>
    <row r="790" spans="1:10" ht="15">
      <c r="A790" s="137" t="str">
        <f t="shared" si="12"/>
        <v>SERVICIOSNOMINA ADMONMANTENIMIENTO</v>
      </c>
      <c r="B790" t="s">
        <v>1049</v>
      </c>
      <c r="C790" s="1">
        <v>45793</v>
      </c>
      <c r="D790" t="s">
        <v>21</v>
      </c>
      <c r="E790" t="s">
        <v>147</v>
      </c>
      <c r="F790" s="12" t="s">
        <v>35</v>
      </c>
      <c r="J790" s="382">
        <v>6705.83</v>
      </c>
    </row>
    <row r="791" spans="1:10" ht="15">
      <c r="A791" s="137" t="str">
        <f t="shared" si="12"/>
        <v>SERVICIOSNOMINA ADMONCADENA DE SUMINISTROS</v>
      </c>
      <c r="B791" t="s">
        <v>1049</v>
      </c>
      <c r="C791" s="1">
        <v>45793</v>
      </c>
      <c r="D791" t="s">
        <v>21</v>
      </c>
      <c r="E791" t="s">
        <v>147</v>
      </c>
      <c r="F791" s="12" t="s">
        <v>134</v>
      </c>
      <c r="J791" s="382">
        <v>17828.400000000001</v>
      </c>
    </row>
    <row r="792" spans="1:10" ht="15">
      <c r="A792" s="137" t="str">
        <f t="shared" si="12"/>
        <v>SERVICIOSNOMINA ADMONSISTEMAS</v>
      </c>
      <c r="B792" t="s">
        <v>1049</v>
      </c>
      <c r="C792" s="1">
        <v>45793</v>
      </c>
      <c r="D792" t="s">
        <v>21</v>
      </c>
      <c r="E792" t="s">
        <v>147</v>
      </c>
      <c r="F792" s="12" t="s">
        <v>36</v>
      </c>
      <c r="J792" s="382">
        <v>10719.51</v>
      </c>
    </row>
    <row r="793" spans="1:10" ht="15">
      <c r="A793" s="137" t="str">
        <f t="shared" si="12"/>
        <v>SERVICIOSNOMINA ADMONCOMPRAS</v>
      </c>
      <c r="B793" t="s">
        <v>1049</v>
      </c>
      <c r="C793" s="1">
        <v>45793</v>
      </c>
      <c r="D793" t="s">
        <v>21</v>
      </c>
      <c r="E793" t="s">
        <v>147</v>
      </c>
      <c r="F793" s="12" t="s">
        <v>148</v>
      </c>
      <c r="J793" s="382">
        <v>18338.11</v>
      </c>
    </row>
    <row r="794" spans="1:10" ht="15">
      <c r="A794" s="137" t="str">
        <f t="shared" si="12"/>
        <v>FINANZASNOMINA ADMONCONTABILIDAD</v>
      </c>
      <c r="B794" t="s">
        <v>1049</v>
      </c>
      <c r="C794" s="1">
        <v>45793</v>
      </c>
      <c r="D794" t="s">
        <v>23</v>
      </c>
      <c r="E794" t="s">
        <v>147</v>
      </c>
      <c r="F794" s="12" t="s">
        <v>37</v>
      </c>
      <c r="J794" s="382">
        <v>10399.27</v>
      </c>
    </row>
    <row r="795" spans="1:10" ht="15">
      <c r="A795" s="137" t="str">
        <f t="shared" si="12"/>
        <v>FINANZASNOMINA ADMONFINANZAS/LEGAL</v>
      </c>
      <c r="B795" t="s">
        <v>1049</v>
      </c>
      <c r="C795" s="1">
        <v>45793</v>
      </c>
      <c r="D795" t="s">
        <v>23</v>
      </c>
      <c r="E795" t="s">
        <v>147</v>
      </c>
      <c r="F795" s="12" t="s">
        <v>149</v>
      </c>
      <c r="J795" s="382">
        <v>6845.79</v>
      </c>
    </row>
    <row r="796" spans="1:10" ht="15">
      <c r="A796" s="137" t="str">
        <f t="shared" si="12"/>
        <v>FINANZASNOMINA ADMONRECURSOS HUMANOS</v>
      </c>
      <c r="B796" t="s">
        <v>1049</v>
      </c>
      <c r="C796" s="1">
        <v>45793</v>
      </c>
      <c r="D796" t="s">
        <v>23</v>
      </c>
      <c r="E796" t="s">
        <v>147</v>
      </c>
      <c r="F796" s="12" t="s">
        <v>125</v>
      </c>
      <c r="J796" s="382">
        <v>9964.4</v>
      </c>
    </row>
    <row r="797" spans="1:10" ht="15">
      <c r="A797" s="137" t="str">
        <f t="shared" si="12"/>
        <v>FINANZASNOMINA ADMONTESORERIA</v>
      </c>
      <c r="B797" t="s">
        <v>1049</v>
      </c>
      <c r="C797" s="1">
        <v>45793</v>
      </c>
      <c r="D797" t="s">
        <v>23</v>
      </c>
      <c r="E797" t="s">
        <v>147</v>
      </c>
      <c r="F797" s="12" t="s">
        <v>38</v>
      </c>
      <c r="J797" s="382">
        <v>15112.8</v>
      </c>
    </row>
    <row r="798" spans="1:10" ht="15">
      <c r="A798" s="137" t="str">
        <f t="shared" si="12"/>
        <v>FINANZASNOMINA ADMONHBG FINANZAS</v>
      </c>
      <c r="B798" t="s">
        <v>1049</v>
      </c>
      <c r="C798" s="1">
        <v>45793</v>
      </c>
      <c r="D798" t="s">
        <v>23</v>
      </c>
      <c r="E798" t="s">
        <v>147</v>
      </c>
      <c r="F798" s="12" t="s">
        <v>150</v>
      </c>
      <c r="J798" s="382">
        <v>2646</v>
      </c>
    </row>
    <row r="799" spans="1:10" ht="15">
      <c r="A799" s="137" t="str">
        <f t="shared" si="12"/>
        <v>SGENOMINA ADMONGESTION EMPRESARIAL</v>
      </c>
      <c r="B799" t="s">
        <v>1049</v>
      </c>
      <c r="C799" s="1">
        <v>45793</v>
      </c>
      <c r="D799" t="s">
        <v>39</v>
      </c>
      <c r="E799" t="s">
        <v>147</v>
      </c>
      <c r="F799" s="12" t="s">
        <v>40</v>
      </c>
      <c r="J799" s="382">
        <v>21700.3</v>
      </c>
    </row>
    <row r="800" spans="1:10" ht="15">
      <c r="A800" s="137" t="str">
        <f t="shared" si="12"/>
        <v>DENOMINA ADMONDIRECCION</v>
      </c>
      <c r="B800" t="s">
        <v>1049</v>
      </c>
      <c r="C800" s="1">
        <v>45793</v>
      </c>
      <c r="D800" t="s">
        <v>41</v>
      </c>
      <c r="E800" t="s">
        <v>147</v>
      </c>
      <c r="F800" s="12" t="s">
        <v>42</v>
      </c>
      <c r="J800" s="382">
        <v>6000</v>
      </c>
    </row>
    <row r="801" spans="1:10" ht="15">
      <c r="A801" s="137" t="str">
        <f t="shared" si="12"/>
        <v>FINANZASNOMINA ADMONHBG FINANZAS</v>
      </c>
      <c r="B801" t="s">
        <v>1049</v>
      </c>
      <c r="C801" s="1">
        <v>45793</v>
      </c>
      <c r="D801" t="s">
        <v>23</v>
      </c>
      <c r="E801" t="s">
        <v>147</v>
      </c>
      <c r="F801" s="12" t="s">
        <v>150</v>
      </c>
      <c r="J801" s="382">
        <v>10950</v>
      </c>
    </row>
    <row r="802" spans="1:10" ht="15">
      <c r="A802" s="137" t="str">
        <f t="shared" si="12"/>
        <v>HRNOMINA ADMONHR</v>
      </c>
      <c r="B802" t="s">
        <v>1049</v>
      </c>
      <c r="C802" s="1">
        <v>45793</v>
      </c>
      <c r="D802" t="s">
        <v>29</v>
      </c>
      <c r="E802" t="s">
        <v>147</v>
      </c>
      <c r="F802" s="3" t="s">
        <v>29</v>
      </c>
      <c r="J802" s="382">
        <v>5500</v>
      </c>
    </row>
    <row r="803" spans="1:10" ht="15">
      <c r="A803" s="137" t="str">
        <f t="shared" si="12"/>
        <v>CAPNOMINA ADMONCAPRICHOS</v>
      </c>
      <c r="B803" t="s">
        <v>1049</v>
      </c>
      <c r="C803" s="1">
        <v>45793</v>
      </c>
      <c r="D803" t="s">
        <v>31</v>
      </c>
      <c r="E803" t="s">
        <v>147</v>
      </c>
      <c r="F803" s="12" t="s">
        <v>33</v>
      </c>
      <c r="J803" s="382">
        <v>3700</v>
      </c>
    </row>
    <row r="804" spans="1:10" ht="15">
      <c r="A804" s="137" t="str">
        <f t="shared" si="12"/>
        <v>SGENOMINA ADMONGESTION EMPRESARIAL</v>
      </c>
      <c r="B804" t="s">
        <v>1049</v>
      </c>
      <c r="C804" s="1">
        <v>45793</v>
      </c>
      <c r="D804" t="s">
        <v>39</v>
      </c>
      <c r="E804" t="s">
        <v>147</v>
      </c>
      <c r="F804" s="12" t="s">
        <v>40</v>
      </c>
      <c r="J804" s="382">
        <v>2750</v>
      </c>
    </row>
    <row r="805" spans="1:10" ht="15">
      <c r="A805" s="137" t="str">
        <f t="shared" si="12"/>
        <v>SERVICIOSNOMINA ADMONSERVICIOS</v>
      </c>
      <c r="B805" t="s">
        <v>1049</v>
      </c>
      <c r="C805" s="1">
        <v>45793</v>
      </c>
      <c r="D805" t="s">
        <v>21</v>
      </c>
      <c r="E805" t="s">
        <v>147</v>
      </c>
      <c r="F805" s="12" t="s">
        <v>21</v>
      </c>
      <c r="J805" s="382">
        <v>4750</v>
      </c>
    </row>
    <row r="806" spans="1:10" ht="15">
      <c r="A806" s="137" t="str">
        <f t="shared" si="12"/>
        <v>DENOMINA ADMONDIRECCION</v>
      </c>
      <c r="B806" t="s">
        <v>1049</v>
      </c>
      <c r="C806" s="1">
        <v>45793</v>
      </c>
      <c r="D806" t="s">
        <v>41</v>
      </c>
      <c r="E806" t="s">
        <v>147</v>
      </c>
      <c r="F806" s="12" t="s">
        <v>42</v>
      </c>
      <c r="J806" s="382">
        <v>5750</v>
      </c>
    </row>
    <row r="807" spans="1:10" ht="15">
      <c r="A807" s="137" t="str">
        <f t="shared" si="12"/>
        <v>MMNOMINA ADMONMARKET MAX</v>
      </c>
      <c r="B807" t="s">
        <v>1049</v>
      </c>
      <c r="C807" s="1">
        <v>45793</v>
      </c>
      <c r="D807" t="s">
        <v>45</v>
      </c>
      <c r="E807" t="s">
        <v>147</v>
      </c>
      <c r="F807" s="12" t="s">
        <v>46</v>
      </c>
      <c r="J807" s="382">
        <v>2000</v>
      </c>
    </row>
    <row r="808" spans="1:10" ht="15">
      <c r="A808" s="137" t="str">
        <f t="shared" si="12"/>
        <v>HRVACACIONES/FINIQUITOSHR</v>
      </c>
      <c r="B808" t="s">
        <v>1049</v>
      </c>
      <c r="C808" s="1">
        <v>45793</v>
      </c>
      <c r="D808" t="s">
        <v>29</v>
      </c>
      <c r="E808" s="12" t="s">
        <v>190</v>
      </c>
      <c r="F808" t="s">
        <v>29</v>
      </c>
      <c r="J808" s="382">
        <v>12000</v>
      </c>
    </row>
    <row r="809" spans="1:10" ht="15">
      <c r="A809" s="137" t="str">
        <f t="shared" si="12"/>
        <v>HRVACACIONES/FINIQUITOSHR</v>
      </c>
      <c r="B809" t="s">
        <v>1049</v>
      </c>
      <c r="C809" s="1">
        <v>45793</v>
      </c>
      <c r="D809" t="s">
        <v>29</v>
      </c>
      <c r="E809" s="12" t="s">
        <v>190</v>
      </c>
      <c r="F809" t="s">
        <v>29</v>
      </c>
      <c r="J809" s="382">
        <v>912</v>
      </c>
    </row>
    <row r="810" spans="1:10" ht="15">
      <c r="A810" s="137" t="str">
        <f t="shared" si="12"/>
        <v>CAPVACACIONES/FINIQUITOSCAPRICHOS</v>
      </c>
      <c r="B810" t="s">
        <v>1049</v>
      </c>
      <c r="C810" s="1">
        <v>45793</v>
      </c>
      <c r="D810" t="s">
        <v>31</v>
      </c>
      <c r="E810" s="12" t="s">
        <v>190</v>
      </c>
      <c r="F810" s="12" t="s">
        <v>33</v>
      </c>
      <c r="J810" s="382">
        <v>912</v>
      </c>
    </row>
    <row r="811" spans="1:10" ht="15">
      <c r="A811" s="137" t="str">
        <f t="shared" si="12"/>
        <v>HRNOMINA SUCURSALA1</v>
      </c>
      <c r="B811" t="s">
        <v>1049</v>
      </c>
      <c r="C811" s="1">
        <v>45800</v>
      </c>
      <c r="D811" t="s">
        <v>29</v>
      </c>
      <c r="E811" t="s">
        <v>154</v>
      </c>
      <c r="F811" s="3" t="s">
        <v>88</v>
      </c>
      <c r="J811" s="382">
        <v>8731.7999999999993</v>
      </c>
    </row>
    <row r="812" spans="1:10" ht="15">
      <c r="A812" s="137" t="str">
        <f t="shared" si="12"/>
        <v>HRNOMINA SUCURSALA2</v>
      </c>
      <c r="B812" t="s">
        <v>1049</v>
      </c>
      <c r="C812" s="1">
        <v>45800</v>
      </c>
      <c r="D812" t="s">
        <v>29</v>
      </c>
      <c r="E812" t="s">
        <v>154</v>
      </c>
      <c r="F812" s="3" t="s">
        <v>89</v>
      </c>
      <c r="J812" s="382">
        <v>13767</v>
      </c>
    </row>
    <row r="813" spans="1:10" ht="15">
      <c r="A813" s="137" t="str">
        <f t="shared" si="12"/>
        <v>HRNOMINA SUCURSALA3</v>
      </c>
      <c r="B813" t="s">
        <v>1049</v>
      </c>
      <c r="C813" s="1">
        <v>45800</v>
      </c>
      <c r="D813" t="s">
        <v>29</v>
      </c>
      <c r="E813" t="s">
        <v>154</v>
      </c>
      <c r="F813" s="3" t="s">
        <v>90</v>
      </c>
      <c r="J813" s="382">
        <v>8040.6</v>
      </c>
    </row>
    <row r="814" spans="1:10" ht="15">
      <c r="A814" s="137" t="str">
        <f t="shared" si="12"/>
        <v>HRNOMINA SUCURSALA4</v>
      </c>
      <c r="B814" t="s">
        <v>1049</v>
      </c>
      <c r="C814" s="1">
        <v>45800</v>
      </c>
      <c r="D814" t="s">
        <v>29</v>
      </c>
      <c r="E814" t="s">
        <v>154</v>
      </c>
      <c r="F814" s="3" t="s">
        <v>91</v>
      </c>
      <c r="J814" s="382">
        <v>9429</v>
      </c>
    </row>
    <row r="815" spans="1:10" ht="15">
      <c r="A815" s="137" t="str">
        <f t="shared" si="12"/>
        <v>HRNOMINA SUCURSALA5</v>
      </c>
      <c r="B815" t="s">
        <v>1049</v>
      </c>
      <c r="C815" s="1">
        <v>45800</v>
      </c>
      <c r="D815" t="s">
        <v>29</v>
      </c>
      <c r="E815" t="s">
        <v>154</v>
      </c>
      <c r="F815" s="3" t="s">
        <v>92</v>
      </c>
      <c r="J815" s="382">
        <v>10690.2</v>
      </c>
    </row>
    <row r="816" spans="1:10" ht="15">
      <c r="A816" s="137" t="str">
        <f t="shared" si="12"/>
        <v>HRNOMINA SUCURSALA6</v>
      </c>
      <c r="B816" t="s">
        <v>1049</v>
      </c>
      <c r="C816" s="1">
        <v>45800</v>
      </c>
      <c r="D816" t="s">
        <v>29</v>
      </c>
      <c r="E816" t="s">
        <v>154</v>
      </c>
      <c r="F816" s="3" t="s">
        <v>93</v>
      </c>
      <c r="J816" s="382">
        <v>14738.29</v>
      </c>
    </row>
    <row r="817" spans="1:10" ht="15">
      <c r="A817" s="137" t="str">
        <f t="shared" si="12"/>
        <v>HRNOMINA SUCURSALA8</v>
      </c>
      <c r="B817" t="s">
        <v>1049</v>
      </c>
      <c r="C817" s="1">
        <v>45800</v>
      </c>
      <c r="D817" t="s">
        <v>29</v>
      </c>
      <c r="E817" t="s">
        <v>154</v>
      </c>
      <c r="F817" s="3" t="s">
        <v>94</v>
      </c>
      <c r="J817" s="382">
        <v>13851.8</v>
      </c>
    </row>
    <row r="818" spans="1:10" ht="15">
      <c r="A818" s="137" t="str">
        <f t="shared" si="12"/>
        <v>HRNOMINA SUCURSALA9</v>
      </c>
      <c r="B818" t="s">
        <v>1049</v>
      </c>
      <c r="C818" s="1">
        <v>45800</v>
      </c>
      <c r="D818" t="s">
        <v>29</v>
      </c>
      <c r="E818" t="s">
        <v>154</v>
      </c>
      <c r="F818" s="3" t="s">
        <v>95</v>
      </c>
      <c r="J818" s="382">
        <v>10905.29</v>
      </c>
    </row>
    <row r="819" spans="1:10" ht="15">
      <c r="A819" s="137" t="str">
        <f t="shared" si="12"/>
        <v>HRNOMINA SUCURSALA10</v>
      </c>
      <c r="B819" t="s">
        <v>1049</v>
      </c>
      <c r="C819" s="1">
        <v>45800</v>
      </c>
      <c r="D819" t="s">
        <v>29</v>
      </c>
      <c r="E819" t="s">
        <v>154</v>
      </c>
      <c r="F819" s="3" t="s">
        <v>96</v>
      </c>
      <c r="J819" s="382">
        <v>15920</v>
      </c>
    </row>
    <row r="820" spans="1:10" ht="15">
      <c r="A820" s="137" t="str">
        <f t="shared" si="12"/>
        <v>HRNOMINA SUCURSALA11</v>
      </c>
      <c r="B820" t="s">
        <v>1049</v>
      </c>
      <c r="C820" s="1">
        <v>45800</v>
      </c>
      <c r="D820" t="s">
        <v>29</v>
      </c>
      <c r="E820" t="s">
        <v>154</v>
      </c>
      <c r="F820" s="62" t="s">
        <v>97</v>
      </c>
      <c r="J820" s="382">
        <v>13100.4</v>
      </c>
    </row>
    <row r="821" spans="1:10" ht="15">
      <c r="A821" s="137" t="str">
        <f t="shared" si="12"/>
        <v>HRNOMINA SUCURSALA12</v>
      </c>
      <c r="B821" t="s">
        <v>1049</v>
      </c>
      <c r="C821" s="1">
        <v>45800</v>
      </c>
      <c r="D821" t="s">
        <v>29</v>
      </c>
      <c r="E821" t="s">
        <v>154</v>
      </c>
      <c r="F821" s="3" t="s">
        <v>98</v>
      </c>
      <c r="J821" s="382">
        <v>11825.49</v>
      </c>
    </row>
    <row r="822" spans="1:10" ht="15">
      <c r="A822" s="137" t="str">
        <f t="shared" si="12"/>
        <v>HRNOMINA SUCURSALA14</v>
      </c>
      <c r="B822" t="s">
        <v>1049</v>
      </c>
      <c r="C822" s="1">
        <v>45800</v>
      </c>
      <c r="D822" t="s">
        <v>29</v>
      </c>
      <c r="E822" t="s">
        <v>154</v>
      </c>
      <c r="F822" s="3" t="s">
        <v>99</v>
      </c>
      <c r="J822" s="382">
        <v>11883.8</v>
      </c>
    </row>
    <row r="823" spans="1:10" ht="15">
      <c r="A823" s="137" t="str">
        <f t="shared" si="12"/>
        <v>HRNOMINA SUCURSALA15</v>
      </c>
      <c r="B823" t="s">
        <v>1049</v>
      </c>
      <c r="C823" s="1">
        <v>45800</v>
      </c>
      <c r="D823" t="s">
        <v>29</v>
      </c>
      <c r="E823" t="s">
        <v>154</v>
      </c>
      <c r="F823" s="3" t="s">
        <v>100</v>
      </c>
      <c r="J823" s="382">
        <v>10513.4</v>
      </c>
    </row>
    <row r="824" spans="1:10" ht="15">
      <c r="A824" s="137" t="str">
        <f t="shared" si="12"/>
        <v>HRNOMINA SUCURSALA16</v>
      </c>
      <c r="B824" t="s">
        <v>1049</v>
      </c>
      <c r="C824" s="1">
        <v>45800</v>
      </c>
      <c r="D824" t="s">
        <v>29</v>
      </c>
      <c r="E824" t="s">
        <v>154</v>
      </c>
      <c r="F824" s="3" t="s">
        <v>101</v>
      </c>
      <c r="J824" s="382">
        <v>16109.29</v>
      </c>
    </row>
    <row r="825" spans="1:10" ht="15">
      <c r="A825" s="137" t="str">
        <f t="shared" si="12"/>
        <v>HRNOMINA SUCURSALA17</v>
      </c>
      <c r="B825" t="s">
        <v>1049</v>
      </c>
      <c r="C825" s="1">
        <v>45800</v>
      </c>
      <c r="D825" t="s">
        <v>29</v>
      </c>
      <c r="E825" t="s">
        <v>154</v>
      </c>
      <c r="F825" s="3" t="s">
        <v>102</v>
      </c>
      <c r="J825" s="382">
        <v>12552</v>
      </c>
    </row>
    <row r="826" spans="1:10" ht="15">
      <c r="A826" s="137" t="str">
        <f t="shared" si="12"/>
        <v>HRNOMINA SUCURSALA18</v>
      </c>
      <c r="B826" t="s">
        <v>1049</v>
      </c>
      <c r="C826" s="1">
        <v>45800</v>
      </c>
      <c r="D826" t="s">
        <v>29</v>
      </c>
      <c r="E826" t="s">
        <v>154</v>
      </c>
      <c r="F826" s="3" t="s">
        <v>103</v>
      </c>
      <c r="J826" s="382">
        <v>11805</v>
      </c>
    </row>
    <row r="827" spans="1:10" ht="15">
      <c r="A827" s="137" t="str">
        <f t="shared" si="12"/>
        <v>HRNOMINA SUCURSALA22</v>
      </c>
      <c r="B827" t="s">
        <v>1049</v>
      </c>
      <c r="C827" s="1">
        <v>45800</v>
      </c>
      <c r="D827" t="s">
        <v>29</v>
      </c>
      <c r="E827" t="s">
        <v>154</v>
      </c>
      <c r="F827" s="3" t="s">
        <v>104</v>
      </c>
      <c r="J827" s="382">
        <v>12257.4</v>
      </c>
    </row>
    <row r="828" spans="1:10" ht="15">
      <c r="A828" s="137" t="str">
        <f t="shared" si="12"/>
        <v>HRNOMINA SUCURSALA23</v>
      </c>
      <c r="B828" t="s">
        <v>1049</v>
      </c>
      <c r="C828" s="1">
        <v>45800</v>
      </c>
      <c r="D828" t="s">
        <v>29</v>
      </c>
      <c r="E828" t="s">
        <v>154</v>
      </c>
      <c r="F828" s="3" t="s">
        <v>105</v>
      </c>
      <c r="J828" s="382">
        <v>13734</v>
      </c>
    </row>
    <row r="829" spans="1:10" ht="15">
      <c r="A829" s="137" t="str">
        <f t="shared" si="12"/>
        <v>HRNOMINA SUCURSALA24</v>
      </c>
      <c r="B829" t="s">
        <v>1049</v>
      </c>
      <c r="C829" s="1">
        <v>45800</v>
      </c>
      <c r="D829" t="s">
        <v>29</v>
      </c>
      <c r="E829" t="s">
        <v>154</v>
      </c>
      <c r="F829" s="3" t="s">
        <v>106</v>
      </c>
      <c r="J829" s="382">
        <v>15082.4</v>
      </c>
    </row>
    <row r="830" spans="1:10" ht="15">
      <c r="A830" s="137" t="str">
        <f t="shared" si="12"/>
        <v>CAPNOMINA SUCURSALE1</v>
      </c>
      <c r="B830" t="s">
        <v>1049</v>
      </c>
      <c r="C830" s="1">
        <v>45800</v>
      </c>
      <c r="D830" t="s">
        <v>31</v>
      </c>
      <c r="E830" t="s">
        <v>154</v>
      </c>
      <c r="F830" s="3" t="s">
        <v>107</v>
      </c>
      <c r="J830" s="382">
        <v>11637.8</v>
      </c>
    </row>
    <row r="831" spans="1:10" ht="15">
      <c r="A831" s="137" t="str">
        <f t="shared" si="12"/>
        <v>CAPNOMINA SUCURSALE2</v>
      </c>
      <c r="B831" t="s">
        <v>1049</v>
      </c>
      <c r="C831" s="1">
        <v>45800</v>
      </c>
      <c r="D831" t="s">
        <v>31</v>
      </c>
      <c r="E831" t="s">
        <v>154</v>
      </c>
      <c r="F831" s="3" t="s">
        <v>108</v>
      </c>
      <c r="J831" s="382">
        <v>15592.4</v>
      </c>
    </row>
    <row r="832" spans="1:10" ht="15">
      <c r="A832" s="137" t="str">
        <f t="shared" si="12"/>
        <v>CAPNOMINA SUCURSALE3</v>
      </c>
      <c r="B832" t="s">
        <v>1049</v>
      </c>
      <c r="C832" s="1">
        <v>45800</v>
      </c>
      <c r="D832" t="s">
        <v>31</v>
      </c>
      <c r="E832" t="s">
        <v>154</v>
      </c>
      <c r="F832" s="3" t="s">
        <v>109</v>
      </c>
      <c r="J832" s="382">
        <v>14227.8</v>
      </c>
    </row>
    <row r="833" spans="1:10" ht="15">
      <c r="A833" s="137" t="str">
        <f t="shared" si="12"/>
        <v>CAPNOMINA SUCURSALE4</v>
      </c>
      <c r="B833" t="s">
        <v>1049</v>
      </c>
      <c r="C833" s="1">
        <v>45800</v>
      </c>
      <c r="D833" t="s">
        <v>31</v>
      </c>
      <c r="E833" t="s">
        <v>154</v>
      </c>
      <c r="F833" s="3" t="s">
        <v>110</v>
      </c>
      <c r="J833" s="382">
        <v>12770.6</v>
      </c>
    </row>
    <row r="834" spans="1:10" ht="15">
      <c r="A834" s="137" t="str">
        <f t="shared" si="12"/>
        <v>CAPNOMINA SUCURSALE5</v>
      </c>
      <c r="B834" t="s">
        <v>1049</v>
      </c>
      <c r="C834" s="1">
        <v>45800</v>
      </c>
      <c r="D834" t="s">
        <v>31</v>
      </c>
      <c r="E834" t="s">
        <v>154</v>
      </c>
      <c r="F834" s="3" t="s">
        <v>111</v>
      </c>
      <c r="J834" s="382">
        <v>14816.6</v>
      </c>
    </row>
    <row r="835" spans="1:10" ht="15">
      <c r="A835" s="137" t="str">
        <f t="shared" si="12"/>
        <v>CAPNOMINA SUCURSALE6</v>
      </c>
      <c r="B835" t="s">
        <v>1049</v>
      </c>
      <c r="C835" s="1">
        <v>45800</v>
      </c>
      <c r="D835" t="s">
        <v>31</v>
      </c>
      <c r="E835" t="s">
        <v>154</v>
      </c>
      <c r="F835" s="3" t="s">
        <v>112</v>
      </c>
      <c r="J835" s="382">
        <v>11508.8</v>
      </c>
    </row>
    <row r="836" spans="1:10" ht="15">
      <c r="A836" s="137" t="str">
        <f t="shared" ref="A836:A899" si="13">D836&amp;E836&amp;F836</f>
        <v>CAPNOMINA SUCURSALE7</v>
      </c>
      <c r="B836" t="s">
        <v>1049</v>
      </c>
      <c r="C836" s="1">
        <v>45800</v>
      </c>
      <c r="D836" t="s">
        <v>31</v>
      </c>
      <c r="E836" t="s">
        <v>154</v>
      </c>
      <c r="F836" s="3" t="s">
        <v>113</v>
      </c>
      <c r="J836" s="382">
        <v>11760.4</v>
      </c>
    </row>
    <row r="837" spans="1:10" ht="15">
      <c r="A837" s="137" t="str">
        <f t="shared" si="13"/>
        <v>CAPNOMINA SUCURSALE8</v>
      </c>
      <c r="B837" t="s">
        <v>1049</v>
      </c>
      <c r="C837" s="1">
        <v>45800</v>
      </c>
      <c r="D837" t="s">
        <v>31</v>
      </c>
      <c r="E837" t="s">
        <v>154</v>
      </c>
      <c r="F837" s="3" t="s">
        <v>114</v>
      </c>
      <c r="J837" s="382">
        <v>25243.8</v>
      </c>
    </row>
    <row r="838" spans="1:10" ht="15">
      <c r="A838" s="137" t="str">
        <f t="shared" si="13"/>
        <v>CAPNOMINA SUCURSALE9</v>
      </c>
      <c r="B838" t="s">
        <v>1049</v>
      </c>
      <c r="C838" s="1">
        <v>45800</v>
      </c>
      <c r="D838" t="s">
        <v>31</v>
      </c>
      <c r="E838" t="s">
        <v>154</v>
      </c>
      <c r="F838" s="3" t="s">
        <v>116</v>
      </c>
      <c r="J838" s="382">
        <v>31680.6</v>
      </c>
    </row>
    <row r="839" spans="1:10" ht="15">
      <c r="A839" s="137" t="str">
        <f t="shared" si="13"/>
        <v>ELINOMINA SUCURSALL1</v>
      </c>
      <c r="B839" t="s">
        <v>1049</v>
      </c>
      <c r="C839" s="1">
        <v>45800</v>
      </c>
      <c r="D839" t="s">
        <v>130</v>
      </c>
      <c r="E839" t="s">
        <v>154</v>
      </c>
      <c r="F839" s="3" t="s">
        <v>136</v>
      </c>
      <c r="J839" s="382">
        <v>9998</v>
      </c>
    </row>
    <row r="840" spans="1:10" ht="15">
      <c r="A840" s="137" t="str">
        <f t="shared" si="13"/>
        <v>HRNOMINA ADMONHR</v>
      </c>
      <c r="B840" t="s">
        <v>1049</v>
      </c>
      <c r="C840" s="1">
        <v>45800</v>
      </c>
      <c r="D840" t="s">
        <v>29</v>
      </c>
      <c r="E840" t="s">
        <v>147</v>
      </c>
      <c r="F840" s="3" t="s">
        <v>29</v>
      </c>
      <c r="J840" s="382">
        <v>31445.01</v>
      </c>
    </row>
    <row r="841" spans="1:10" ht="15">
      <c r="A841" s="137" t="str">
        <f t="shared" si="13"/>
        <v>CAPNOMINA ADMONCAPRICHOS</v>
      </c>
      <c r="B841" t="s">
        <v>1049</v>
      </c>
      <c r="C841" s="1">
        <v>45800</v>
      </c>
      <c r="D841" t="s">
        <v>31</v>
      </c>
      <c r="E841" t="s">
        <v>147</v>
      </c>
      <c r="F841" s="12" t="s">
        <v>33</v>
      </c>
      <c r="J841" s="382">
        <v>23043.51</v>
      </c>
    </row>
    <row r="842" spans="1:10" ht="15">
      <c r="A842" s="137" t="str">
        <f t="shared" si="13"/>
        <v>SERVICIOSNOMINA SUCURSALCEDIS</v>
      </c>
      <c r="B842" t="s">
        <v>1049</v>
      </c>
      <c r="C842" s="1">
        <v>45800</v>
      </c>
      <c r="D842" t="s">
        <v>21</v>
      </c>
      <c r="E842" t="s">
        <v>154</v>
      </c>
      <c r="F842" s="12" t="s">
        <v>28</v>
      </c>
      <c r="J842" s="382">
        <v>61513.82</v>
      </c>
    </row>
    <row r="843" spans="1:10" ht="15">
      <c r="A843" s="137" t="str">
        <f t="shared" si="13"/>
        <v>SERVICIOSNOMINA ADMONINVENTARIOS</v>
      </c>
      <c r="B843" t="s">
        <v>1049</v>
      </c>
      <c r="C843" s="1">
        <v>45800</v>
      </c>
      <c r="D843" t="s">
        <v>21</v>
      </c>
      <c r="E843" t="s">
        <v>147</v>
      </c>
      <c r="F843" s="12" t="s">
        <v>34</v>
      </c>
      <c r="J843" s="382">
        <v>2700</v>
      </c>
    </row>
    <row r="844" spans="1:10" ht="15">
      <c r="A844" s="137" t="str">
        <f t="shared" si="13"/>
        <v>SERVICIOSNOMINA ADMONMANTENIMIENTO</v>
      </c>
      <c r="B844" t="s">
        <v>1049</v>
      </c>
      <c r="C844" s="1">
        <v>45800</v>
      </c>
      <c r="D844" t="s">
        <v>21</v>
      </c>
      <c r="E844" t="s">
        <v>147</v>
      </c>
      <c r="F844" s="12" t="s">
        <v>35</v>
      </c>
      <c r="J844" s="382">
        <v>5378.63</v>
      </c>
    </row>
    <row r="845" spans="1:10" ht="15">
      <c r="A845" s="137" t="str">
        <f t="shared" si="13"/>
        <v>SERVICIOSNOMINA ADMONCADENA DE SUMINISTROS</v>
      </c>
      <c r="B845" t="s">
        <v>1049</v>
      </c>
      <c r="C845" s="1">
        <v>45800</v>
      </c>
      <c r="D845" t="s">
        <v>21</v>
      </c>
      <c r="E845" t="s">
        <v>147</v>
      </c>
      <c r="F845" s="12" t="s">
        <v>134</v>
      </c>
      <c r="J845" s="382">
        <v>16268.2</v>
      </c>
    </row>
    <row r="846" spans="1:10" ht="15">
      <c r="A846" s="137" t="str">
        <f t="shared" si="13"/>
        <v>SERVICIOSNOMINA ADMONSISTEMAS</v>
      </c>
      <c r="B846" t="s">
        <v>1049</v>
      </c>
      <c r="C846" s="1">
        <v>45800</v>
      </c>
      <c r="D846" t="s">
        <v>21</v>
      </c>
      <c r="E846" t="s">
        <v>147</v>
      </c>
      <c r="F846" s="12" t="s">
        <v>36</v>
      </c>
      <c r="J846" s="382">
        <v>7646.89</v>
      </c>
    </row>
    <row r="847" spans="1:10" ht="15">
      <c r="A847" s="137" t="str">
        <f t="shared" si="13"/>
        <v>SERVICIOSNOMINA ADMONCOMPRAS</v>
      </c>
      <c r="B847" t="s">
        <v>1049</v>
      </c>
      <c r="C847" s="1">
        <v>45800</v>
      </c>
      <c r="D847" t="s">
        <v>21</v>
      </c>
      <c r="E847" t="s">
        <v>147</v>
      </c>
      <c r="F847" s="12" t="s">
        <v>148</v>
      </c>
      <c r="J847" s="382">
        <v>19188.310000000001</v>
      </c>
    </row>
    <row r="848" spans="1:10" ht="15">
      <c r="A848" s="137" t="str">
        <f t="shared" si="13"/>
        <v>FINANZASNOMINA ADMONCONTABILIDAD</v>
      </c>
      <c r="B848" t="s">
        <v>1049</v>
      </c>
      <c r="C848" s="1">
        <v>45800</v>
      </c>
      <c r="D848" t="s">
        <v>23</v>
      </c>
      <c r="E848" t="s">
        <v>147</v>
      </c>
      <c r="F848" s="12" t="s">
        <v>37</v>
      </c>
      <c r="J848" s="382">
        <v>10306.07</v>
      </c>
    </row>
    <row r="849" spans="1:11" ht="15">
      <c r="A849" s="137" t="str">
        <f t="shared" si="13"/>
        <v>FINANZASNOMINA ADMONFINANZAS/LEGAL</v>
      </c>
      <c r="B849" t="s">
        <v>1049</v>
      </c>
      <c r="C849" s="1">
        <v>45800</v>
      </c>
      <c r="D849" t="s">
        <v>23</v>
      </c>
      <c r="E849" t="s">
        <v>147</v>
      </c>
      <c r="F849" s="12" t="s">
        <v>149</v>
      </c>
      <c r="J849" s="382">
        <v>7518.39</v>
      </c>
    </row>
    <row r="850" spans="1:11" ht="15">
      <c r="A850" s="137" t="str">
        <f t="shared" si="13"/>
        <v>FINANZASNOMINA ADMONRECURSOS HUMANOS</v>
      </c>
      <c r="B850" t="s">
        <v>1049</v>
      </c>
      <c r="C850" s="1">
        <v>45800</v>
      </c>
      <c r="D850" t="s">
        <v>23</v>
      </c>
      <c r="E850" t="s">
        <v>147</v>
      </c>
      <c r="F850" s="12" t="s">
        <v>125</v>
      </c>
      <c r="J850" s="382">
        <v>11049.18</v>
      </c>
    </row>
    <row r="851" spans="1:11" ht="15">
      <c r="A851" s="137" t="str">
        <f t="shared" si="13"/>
        <v>FINANZASNOMINA ADMONTESORERIA</v>
      </c>
      <c r="B851" t="s">
        <v>1049</v>
      </c>
      <c r="C851" s="1">
        <v>45800</v>
      </c>
      <c r="D851" t="s">
        <v>23</v>
      </c>
      <c r="E851" t="s">
        <v>147</v>
      </c>
      <c r="F851" s="12" t="s">
        <v>38</v>
      </c>
      <c r="J851" s="382">
        <v>12886.62</v>
      </c>
    </row>
    <row r="852" spans="1:11" ht="15">
      <c r="A852" s="137" t="str">
        <f t="shared" si="13"/>
        <v>FINANZASNOMINA ADMONHBG FINANZAS</v>
      </c>
      <c r="B852" t="s">
        <v>1049</v>
      </c>
      <c r="C852" s="1">
        <v>45800</v>
      </c>
      <c r="D852" t="s">
        <v>23</v>
      </c>
      <c r="E852" t="s">
        <v>147</v>
      </c>
      <c r="F852" s="12" t="s">
        <v>150</v>
      </c>
      <c r="J852" s="382">
        <v>2562.1999999999998</v>
      </c>
    </row>
    <row r="853" spans="1:11" ht="15">
      <c r="A853" s="137" t="str">
        <f t="shared" si="13"/>
        <v>SGENOMINA ADMONGESTION EMPRESARIAL</v>
      </c>
      <c r="B853" t="s">
        <v>1049</v>
      </c>
      <c r="C853" s="1">
        <v>45800</v>
      </c>
      <c r="D853" t="s">
        <v>39</v>
      </c>
      <c r="E853" t="s">
        <v>147</v>
      </c>
      <c r="F853" s="12" t="s">
        <v>40</v>
      </c>
      <c r="J853" s="382">
        <v>18900.900000000001</v>
      </c>
    </row>
    <row r="854" spans="1:11" ht="15">
      <c r="A854" s="137" t="str">
        <f t="shared" si="13"/>
        <v>DENOMINA ADMONDIRECCION</v>
      </c>
      <c r="B854" t="s">
        <v>1049</v>
      </c>
      <c r="C854" s="1">
        <v>45800</v>
      </c>
      <c r="D854" t="s">
        <v>41</v>
      </c>
      <c r="E854" t="s">
        <v>147</v>
      </c>
      <c r="F854" s="12" t="s">
        <v>42</v>
      </c>
      <c r="J854" s="382">
        <v>3080</v>
      </c>
    </row>
    <row r="855" spans="1:11" ht="15">
      <c r="A855" s="137" t="str">
        <f t="shared" si="13"/>
        <v>FINANZASNOMINA ADMONHBG FINANZAS</v>
      </c>
      <c r="B855" t="s">
        <v>1049</v>
      </c>
      <c r="C855" s="1">
        <v>45800</v>
      </c>
      <c r="D855" s="89" t="s">
        <v>23</v>
      </c>
      <c r="E855" s="89" t="s">
        <v>147</v>
      </c>
      <c r="F855" s="14" t="s">
        <v>150</v>
      </c>
      <c r="J855" s="382">
        <v>10950</v>
      </c>
    </row>
    <row r="856" spans="1:11" ht="15">
      <c r="A856" s="137" t="str">
        <f t="shared" si="13"/>
        <v>HRNOMINA ADMONHR</v>
      </c>
      <c r="B856" t="s">
        <v>1049</v>
      </c>
      <c r="C856" s="1">
        <v>45800</v>
      </c>
      <c r="D856" t="s">
        <v>29</v>
      </c>
      <c r="E856" t="s">
        <v>147</v>
      </c>
      <c r="F856" s="3" t="s">
        <v>29</v>
      </c>
      <c r="J856" s="382">
        <v>5500</v>
      </c>
    </row>
    <row r="857" spans="1:11" ht="15">
      <c r="A857" s="137" t="str">
        <f t="shared" si="13"/>
        <v>CAPNOMINA ADMONCAPRICHOS</v>
      </c>
      <c r="B857" t="s">
        <v>1049</v>
      </c>
      <c r="C857" s="1">
        <v>45800</v>
      </c>
      <c r="D857" t="s">
        <v>31</v>
      </c>
      <c r="E857" t="s">
        <v>147</v>
      </c>
      <c r="F857" s="12" t="s">
        <v>33</v>
      </c>
      <c r="J857" s="382">
        <v>3700</v>
      </c>
    </row>
    <row r="858" spans="1:11" ht="15">
      <c r="A858" s="137" t="str">
        <f t="shared" si="13"/>
        <v>SGENOMINA ADMONGESTION EMPRESARIAL</v>
      </c>
      <c r="B858" t="s">
        <v>1049</v>
      </c>
      <c r="C858" s="1">
        <v>45800</v>
      </c>
      <c r="D858" t="s">
        <v>39</v>
      </c>
      <c r="E858" t="s">
        <v>147</v>
      </c>
      <c r="F858" s="12" t="s">
        <v>40</v>
      </c>
      <c r="J858" s="382">
        <v>2750</v>
      </c>
    </row>
    <row r="859" spans="1:11" ht="15">
      <c r="A859" s="137" t="str">
        <f t="shared" si="13"/>
        <v>SERVICIOSNOMINA ADMONSERVICIOS</v>
      </c>
      <c r="B859" t="s">
        <v>1049</v>
      </c>
      <c r="C859" s="1">
        <v>45800</v>
      </c>
      <c r="D859" t="s">
        <v>21</v>
      </c>
      <c r="E859" t="s">
        <v>147</v>
      </c>
      <c r="F859" s="12" t="s">
        <v>21</v>
      </c>
      <c r="J859" s="382">
        <v>4750</v>
      </c>
    </row>
    <row r="860" spans="1:11" ht="15">
      <c r="A860" s="137" t="str">
        <f t="shared" si="13"/>
        <v>DENOMINA ADMONDIRECCION</v>
      </c>
      <c r="B860" t="s">
        <v>1049</v>
      </c>
      <c r="C860" s="1">
        <v>45800</v>
      </c>
      <c r="D860" t="s">
        <v>41</v>
      </c>
      <c r="E860" t="s">
        <v>147</v>
      </c>
      <c r="F860" s="12" t="s">
        <v>42</v>
      </c>
      <c r="J860" s="382">
        <v>10750</v>
      </c>
    </row>
    <row r="861" spans="1:11" ht="15">
      <c r="A861" s="137" t="str">
        <f t="shared" si="13"/>
        <v>MMNOMINA ADMONMARKET MAX</v>
      </c>
      <c r="B861" t="s">
        <v>1049</v>
      </c>
      <c r="C861" s="1">
        <v>45800</v>
      </c>
      <c r="D861" t="s">
        <v>45</v>
      </c>
      <c r="E861" t="s">
        <v>147</v>
      </c>
      <c r="F861" s="12" t="s">
        <v>46</v>
      </c>
      <c r="J861" s="382">
        <v>6000.94</v>
      </c>
    </row>
    <row r="862" spans="1:11" ht="15">
      <c r="A862" s="137" t="str">
        <f t="shared" si="13"/>
        <v>MMNOMINA ADMONMARKET MAX</v>
      </c>
      <c r="B862" t="s">
        <v>1049</v>
      </c>
      <c r="C862" s="1">
        <v>45800</v>
      </c>
      <c r="D862" t="s">
        <v>45</v>
      </c>
      <c r="E862" t="s">
        <v>147</v>
      </c>
      <c r="F862" s="12" t="s">
        <v>46</v>
      </c>
      <c r="J862" s="382">
        <v>2000</v>
      </c>
    </row>
    <row r="863" spans="1:11" ht="15">
      <c r="A863" s="137" t="str">
        <f t="shared" si="13"/>
        <v>FINANZASVACACIONES/FINIQUITOSFINANZAS</v>
      </c>
      <c r="B863" t="s">
        <v>1049</v>
      </c>
      <c r="C863" s="1">
        <v>45800</v>
      </c>
      <c r="D863" t="s">
        <v>23</v>
      </c>
      <c r="E863" s="12" t="s">
        <v>190</v>
      </c>
      <c r="F863" s="12" t="s">
        <v>23</v>
      </c>
      <c r="J863" s="382">
        <v>3000</v>
      </c>
      <c r="K863" s="298"/>
    </row>
    <row r="864" spans="1:11" ht="15">
      <c r="A864" s="137" t="str">
        <f t="shared" si="13"/>
        <v>HRNOMINA SUCURSALA1</v>
      </c>
      <c r="B864" t="s">
        <v>1049</v>
      </c>
      <c r="C864" s="1">
        <v>45807</v>
      </c>
      <c r="D864" t="s">
        <v>29</v>
      </c>
      <c r="E864" t="s">
        <v>154</v>
      </c>
      <c r="F864" s="3" t="s">
        <v>88</v>
      </c>
      <c r="J864" s="386">
        <v>10934.6</v>
      </c>
    </row>
    <row r="865" spans="1:10" ht="15">
      <c r="A865" s="137" t="str">
        <f t="shared" si="13"/>
        <v>HRNOMINA SUCURSALA2</v>
      </c>
      <c r="B865" t="s">
        <v>1049</v>
      </c>
      <c r="C865" s="1">
        <v>45807</v>
      </c>
      <c r="D865" t="s">
        <v>29</v>
      </c>
      <c r="E865" t="s">
        <v>154</v>
      </c>
      <c r="F865" s="3" t="s">
        <v>89</v>
      </c>
      <c r="J865" s="386">
        <v>13385.2</v>
      </c>
    </row>
    <row r="866" spans="1:10" ht="15">
      <c r="A866" s="137" t="str">
        <f t="shared" si="13"/>
        <v>HRNOMINA SUCURSALA3</v>
      </c>
      <c r="B866" t="s">
        <v>1049</v>
      </c>
      <c r="C866" s="1">
        <v>45807</v>
      </c>
      <c r="D866" t="s">
        <v>29</v>
      </c>
      <c r="E866" t="s">
        <v>154</v>
      </c>
      <c r="F866" s="3" t="s">
        <v>90</v>
      </c>
      <c r="J866" s="386">
        <v>7981.6</v>
      </c>
    </row>
    <row r="867" spans="1:10" ht="15">
      <c r="A867" s="137" t="str">
        <f t="shared" si="13"/>
        <v>HRNOMINA SUCURSALA4</v>
      </c>
      <c r="B867" t="s">
        <v>1049</v>
      </c>
      <c r="C867" s="1">
        <v>45807</v>
      </c>
      <c r="D867" t="s">
        <v>29</v>
      </c>
      <c r="E867" t="s">
        <v>154</v>
      </c>
      <c r="F867" s="3" t="s">
        <v>91</v>
      </c>
      <c r="J867" s="386">
        <v>9429.7999999999993</v>
      </c>
    </row>
    <row r="868" spans="1:10" ht="15">
      <c r="A868" s="137" t="str">
        <f t="shared" si="13"/>
        <v>HRNOMINA SUCURSALA5</v>
      </c>
      <c r="B868" t="s">
        <v>1049</v>
      </c>
      <c r="C868" s="1">
        <v>45807</v>
      </c>
      <c r="D868" t="s">
        <v>29</v>
      </c>
      <c r="E868" t="s">
        <v>154</v>
      </c>
      <c r="F868" s="3" t="s">
        <v>92</v>
      </c>
      <c r="J868" s="386">
        <v>10198.799999999999</v>
      </c>
    </row>
    <row r="869" spans="1:10" ht="15">
      <c r="A869" s="137" t="str">
        <f t="shared" si="13"/>
        <v>HRNOMINA SUCURSALA6</v>
      </c>
      <c r="B869" t="s">
        <v>1049</v>
      </c>
      <c r="C869" s="1">
        <v>45807</v>
      </c>
      <c r="D869" t="s">
        <v>29</v>
      </c>
      <c r="E869" t="s">
        <v>154</v>
      </c>
      <c r="F869" s="3" t="s">
        <v>93</v>
      </c>
      <c r="J869" s="386">
        <v>14071.09</v>
      </c>
    </row>
    <row r="870" spans="1:10" ht="15">
      <c r="A870" s="137" t="str">
        <f t="shared" si="13"/>
        <v>HRNOMINA SUCURSALA8</v>
      </c>
      <c r="B870" t="s">
        <v>1049</v>
      </c>
      <c r="C870" s="1">
        <v>45807</v>
      </c>
      <c r="D870" t="s">
        <v>29</v>
      </c>
      <c r="E870" t="s">
        <v>154</v>
      </c>
      <c r="F870" s="3" t="s">
        <v>94</v>
      </c>
      <c r="J870" s="386">
        <v>13434</v>
      </c>
    </row>
    <row r="871" spans="1:10" ht="15">
      <c r="A871" s="137" t="str">
        <f t="shared" si="13"/>
        <v>HRNOMINA SUCURSALA9</v>
      </c>
      <c r="B871" t="s">
        <v>1049</v>
      </c>
      <c r="C871" s="1">
        <v>45807</v>
      </c>
      <c r="D871" t="s">
        <v>29</v>
      </c>
      <c r="E871" t="s">
        <v>154</v>
      </c>
      <c r="F871" s="3" t="s">
        <v>95</v>
      </c>
      <c r="J871" s="386">
        <v>11035.09</v>
      </c>
    </row>
    <row r="872" spans="1:10" ht="15">
      <c r="A872" s="137" t="str">
        <f t="shared" si="13"/>
        <v>HRNOMINA SUCURSALA10</v>
      </c>
      <c r="B872" t="s">
        <v>1049</v>
      </c>
      <c r="C872" s="1">
        <v>45807</v>
      </c>
      <c r="D872" t="s">
        <v>29</v>
      </c>
      <c r="E872" t="s">
        <v>154</v>
      </c>
      <c r="F872" s="3" t="s">
        <v>96</v>
      </c>
      <c r="J872" s="386">
        <v>15144.2</v>
      </c>
    </row>
    <row r="873" spans="1:10" ht="15">
      <c r="A873" s="137" t="str">
        <f t="shared" si="13"/>
        <v>HRNOMINA SUCURSALA11</v>
      </c>
      <c r="B873" t="s">
        <v>1049</v>
      </c>
      <c r="C873" s="1">
        <v>45807</v>
      </c>
      <c r="D873" t="s">
        <v>29</v>
      </c>
      <c r="E873" t="s">
        <v>154</v>
      </c>
      <c r="F873" s="62" t="s">
        <v>97</v>
      </c>
      <c r="J873" s="386">
        <v>13098.4</v>
      </c>
    </row>
    <row r="874" spans="1:10" ht="15">
      <c r="A874" s="137" t="str">
        <f t="shared" si="13"/>
        <v>HRNOMINA SUCURSALA12</v>
      </c>
      <c r="B874" t="s">
        <v>1049</v>
      </c>
      <c r="C874" s="1">
        <v>45807</v>
      </c>
      <c r="D874" t="s">
        <v>29</v>
      </c>
      <c r="E874" t="s">
        <v>154</v>
      </c>
      <c r="F874" s="3" t="s">
        <v>98</v>
      </c>
      <c r="J874" s="386">
        <v>15745.49</v>
      </c>
    </row>
    <row r="875" spans="1:10" ht="15">
      <c r="A875" s="137" t="str">
        <f t="shared" si="13"/>
        <v>HRNOMINA SUCURSALA14</v>
      </c>
      <c r="B875" t="s">
        <v>1049</v>
      </c>
      <c r="C875" s="1">
        <v>45807</v>
      </c>
      <c r="D875" t="s">
        <v>29</v>
      </c>
      <c r="E875" t="s">
        <v>154</v>
      </c>
      <c r="F875" s="3" t="s">
        <v>99</v>
      </c>
      <c r="J875" s="386">
        <v>10555.8</v>
      </c>
    </row>
    <row r="876" spans="1:10" ht="15">
      <c r="A876" s="137" t="str">
        <f t="shared" si="13"/>
        <v>HRNOMINA SUCURSALA15</v>
      </c>
      <c r="B876" t="s">
        <v>1049</v>
      </c>
      <c r="C876" s="1">
        <v>45807</v>
      </c>
      <c r="D876" t="s">
        <v>29</v>
      </c>
      <c r="E876" t="s">
        <v>154</v>
      </c>
      <c r="F876" s="3" t="s">
        <v>100</v>
      </c>
      <c r="J876" s="386">
        <v>9902.6</v>
      </c>
    </row>
    <row r="877" spans="1:10" ht="15">
      <c r="A877" s="137" t="str">
        <f t="shared" si="13"/>
        <v>HRNOMINA SUCURSALA16</v>
      </c>
      <c r="B877" t="s">
        <v>1049</v>
      </c>
      <c r="C877" s="1">
        <v>45807</v>
      </c>
      <c r="D877" t="s">
        <v>29</v>
      </c>
      <c r="E877" t="s">
        <v>154</v>
      </c>
      <c r="F877" s="3" t="s">
        <v>101</v>
      </c>
      <c r="J877" s="386">
        <v>14970.89</v>
      </c>
    </row>
    <row r="878" spans="1:10" ht="15">
      <c r="A878" s="137" t="str">
        <f t="shared" si="13"/>
        <v>HRNOMINA SUCURSALA17</v>
      </c>
      <c r="B878" t="s">
        <v>1049</v>
      </c>
      <c r="C878" s="1">
        <v>45807</v>
      </c>
      <c r="D878" t="s">
        <v>29</v>
      </c>
      <c r="E878" t="s">
        <v>154</v>
      </c>
      <c r="F878" s="3" t="s">
        <v>102</v>
      </c>
      <c r="J878" s="386">
        <v>11836.8</v>
      </c>
    </row>
    <row r="879" spans="1:10" ht="15">
      <c r="A879" s="137" t="str">
        <f t="shared" si="13"/>
        <v>HRNOMINA SUCURSALA18</v>
      </c>
      <c r="B879" t="s">
        <v>1049</v>
      </c>
      <c r="C879" s="1">
        <v>45807</v>
      </c>
      <c r="D879" t="s">
        <v>29</v>
      </c>
      <c r="E879" t="s">
        <v>154</v>
      </c>
      <c r="F879" s="3" t="s">
        <v>103</v>
      </c>
      <c r="J879" s="386">
        <v>11051.8</v>
      </c>
    </row>
    <row r="880" spans="1:10" ht="15">
      <c r="A880" s="137" t="str">
        <f t="shared" si="13"/>
        <v>HRNOMINA SUCURSALA22</v>
      </c>
      <c r="B880" t="s">
        <v>1049</v>
      </c>
      <c r="C880" s="1">
        <v>45807</v>
      </c>
      <c r="D880" t="s">
        <v>29</v>
      </c>
      <c r="E880" t="s">
        <v>154</v>
      </c>
      <c r="F880" s="3" t="s">
        <v>104</v>
      </c>
      <c r="J880" s="386">
        <v>12256.6</v>
      </c>
    </row>
    <row r="881" spans="1:10" ht="15">
      <c r="A881" s="137" t="str">
        <f t="shared" si="13"/>
        <v>HRNOMINA SUCURSALA23</v>
      </c>
      <c r="B881" t="s">
        <v>1049</v>
      </c>
      <c r="C881" s="1">
        <v>45807</v>
      </c>
      <c r="D881" t="s">
        <v>29</v>
      </c>
      <c r="E881" t="s">
        <v>154</v>
      </c>
      <c r="F881" s="3" t="s">
        <v>105</v>
      </c>
      <c r="J881" s="386">
        <v>13436</v>
      </c>
    </row>
    <row r="882" spans="1:10" ht="15">
      <c r="A882" s="137" t="str">
        <f t="shared" si="13"/>
        <v>HRNOMINA SUCURSALA24</v>
      </c>
      <c r="B882" t="s">
        <v>1049</v>
      </c>
      <c r="C882" s="1">
        <v>45807</v>
      </c>
      <c r="D882" t="s">
        <v>29</v>
      </c>
      <c r="E882" t="s">
        <v>154</v>
      </c>
      <c r="F882" s="3" t="s">
        <v>106</v>
      </c>
      <c r="J882" s="386">
        <v>14980.6</v>
      </c>
    </row>
    <row r="883" spans="1:10" ht="15">
      <c r="A883" s="137" t="str">
        <f t="shared" si="13"/>
        <v>CAPNOMINA SUCURSALE1</v>
      </c>
      <c r="B883" t="s">
        <v>1049</v>
      </c>
      <c r="C883" s="1">
        <v>45807</v>
      </c>
      <c r="D883" t="s">
        <v>31</v>
      </c>
      <c r="E883" t="s">
        <v>154</v>
      </c>
      <c r="F883" s="3" t="s">
        <v>107</v>
      </c>
      <c r="J883" s="386">
        <v>11638</v>
      </c>
    </row>
    <row r="884" spans="1:10" ht="15">
      <c r="A884" s="137" t="str">
        <f t="shared" si="13"/>
        <v>CAPNOMINA SUCURSALE2</v>
      </c>
      <c r="B884" t="s">
        <v>1049</v>
      </c>
      <c r="C884" s="1">
        <v>45807</v>
      </c>
      <c r="D884" t="s">
        <v>31</v>
      </c>
      <c r="E884" t="s">
        <v>154</v>
      </c>
      <c r="F884" s="3" t="s">
        <v>108</v>
      </c>
      <c r="J884" s="386">
        <v>14455</v>
      </c>
    </row>
    <row r="885" spans="1:10" ht="15">
      <c r="A885" s="137" t="str">
        <f t="shared" si="13"/>
        <v>CAPNOMINA SUCURSALE3</v>
      </c>
      <c r="B885" t="s">
        <v>1049</v>
      </c>
      <c r="C885" s="1">
        <v>45807</v>
      </c>
      <c r="D885" t="s">
        <v>31</v>
      </c>
      <c r="E885" t="s">
        <v>154</v>
      </c>
      <c r="F885" s="3" t="s">
        <v>109</v>
      </c>
      <c r="J885" s="386">
        <v>12185</v>
      </c>
    </row>
    <row r="886" spans="1:10" ht="15">
      <c r="A886" s="137" t="str">
        <f t="shared" si="13"/>
        <v>CAPNOMINA SUCURSALE4</v>
      </c>
      <c r="B886" t="s">
        <v>1049</v>
      </c>
      <c r="C886" s="1">
        <v>45807</v>
      </c>
      <c r="D886" t="s">
        <v>31</v>
      </c>
      <c r="E886" t="s">
        <v>154</v>
      </c>
      <c r="F886" s="3" t="s">
        <v>110</v>
      </c>
      <c r="J886" s="386">
        <v>16519</v>
      </c>
    </row>
    <row r="887" spans="1:10" ht="15">
      <c r="A887" s="137" t="str">
        <f t="shared" si="13"/>
        <v>CAPNOMINA SUCURSALE5</v>
      </c>
      <c r="B887" t="s">
        <v>1049</v>
      </c>
      <c r="C887" s="1">
        <v>45807</v>
      </c>
      <c r="D887" t="s">
        <v>31</v>
      </c>
      <c r="E887" t="s">
        <v>154</v>
      </c>
      <c r="F887" s="3" t="s">
        <v>111</v>
      </c>
      <c r="J887" s="386">
        <v>16290</v>
      </c>
    </row>
    <row r="888" spans="1:10" ht="15">
      <c r="A888" s="137" t="str">
        <f t="shared" si="13"/>
        <v>CAPNOMINA SUCURSALE6</v>
      </c>
      <c r="B888" t="s">
        <v>1049</v>
      </c>
      <c r="C888" s="1">
        <v>45807</v>
      </c>
      <c r="D888" t="s">
        <v>31</v>
      </c>
      <c r="E888" t="s">
        <v>154</v>
      </c>
      <c r="F888" s="3" t="s">
        <v>112</v>
      </c>
      <c r="J888" s="386">
        <v>10238</v>
      </c>
    </row>
    <row r="889" spans="1:10" ht="15">
      <c r="A889" s="137" t="str">
        <f t="shared" si="13"/>
        <v>CAPNOMINA SUCURSALE7</v>
      </c>
      <c r="B889" t="s">
        <v>1049</v>
      </c>
      <c r="C889" s="1">
        <v>45807</v>
      </c>
      <c r="D889" t="s">
        <v>31</v>
      </c>
      <c r="E889" t="s">
        <v>154</v>
      </c>
      <c r="F889" s="3" t="s">
        <v>113</v>
      </c>
      <c r="J889" s="386">
        <v>12730.4</v>
      </c>
    </row>
    <row r="890" spans="1:10" ht="15">
      <c r="A890" s="137" t="str">
        <f t="shared" si="13"/>
        <v>CAPNOMINA SUCURSALE8</v>
      </c>
      <c r="B890" t="s">
        <v>1049</v>
      </c>
      <c r="C890" s="1">
        <v>45807</v>
      </c>
      <c r="D890" t="s">
        <v>31</v>
      </c>
      <c r="E890" t="s">
        <v>154</v>
      </c>
      <c r="F890" s="3" t="s">
        <v>114</v>
      </c>
      <c r="J890" s="386">
        <v>25939.200000000001</v>
      </c>
    </row>
    <row r="891" spans="1:10" ht="15">
      <c r="A891" s="137" t="str">
        <f t="shared" si="13"/>
        <v>CAPNOMINA SUCURSALE9</v>
      </c>
      <c r="B891" t="s">
        <v>1049</v>
      </c>
      <c r="C891" s="1">
        <v>45807</v>
      </c>
      <c r="D891" t="s">
        <v>31</v>
      </c>
      <c r="E891" t="s">
        <v>154</v>
      </c>
      <c r="F891" s="3" t="s">
        <v>116</v>
      </c>
      <c r="J891" s="386">
        <v>30196.6</v>
      </c>
    </row>
    <row r="892" spans="1:10" ht="15">
      <c r="A892" s="137" t="str">
        <f t="shared" si="13"/>
        <v>ELINOMINA SUCURSALL1</v>
      </c>
      <c r="B892" t="s">
        <v>1049</v>
      </c>
      <c r="C892" s="1">
        <v>45807</v>
      </c>
      <c r="D892" t="s">
        <v>130</v>
      </c>
      <c r="E892" t="s">
        <v>154</v>
      </c>
      <c r="F892" s="3" t="s">
        <v>136</v>
      </c>
      <c r="J892" s="386">
        <v>9796.2000000000007</v>
      </c>
    </row>
    <row r="893" spans="1:10" ht="15">
      <c r="A893" s="137" t="str">
        <f t="shared" si="13"/>
        <v>HRNOMINA ADMONHR</v>
      </c>
      <c r="B893" t="s">
        <v>1049</v>
      </c>
      <c r="C893" s="1">
        <v>45807</v>
      </c>
      <c r="D893" t="s">
        <v>29</v>
      </c>
      <c r="E893" t="s">
        <v>147</v>
      </c>
      <c r="F893" s="3" t="s">
        <v>29</v>
      </c>
      <c r="J893" s="386">
        <v>28771.21</v>
      </c>
    </row>
    <row r="894" spans="1:10" ht="15">
      <c r="A894" s="137" t="str">
        <f t="shared" si="13"/>
        <v>CAPNOMINA ADMONCAPRICHOS</v>
      </c>
      <c r="B894" t="s">
        <v>1049</v>
      </c>
      <c r="C894" s="1">
        <v>45807</v>
      </c>
      <c r="D894" t="s">
        <v>31</v>
      </c>
      <c r="E894" t="s">
        <v>147</v>
      </c>
      <c r="F894" s="12" t="s">
        <v>33</v>
      </c>
      <c r="J894" s="386">
        <v>27516.91</v>
      </c>
    </row>
    <row r="895" spans="1:10" ht="15">
      <c r="A895" s="137" t="str">
        <f t="shared" si="13"/>
        <v>SERVICIOSNOMINA SUCURSALCEDIS</v>
      </c>
      <c r="B895" t="s">
        <v>1049</v>
      </c>
      <c r="C895" s="1">
        <v>45807</v>
      </c>
      <c r="D895" t="s">
        <v>21</v>
      </c>
      <c r="E895" t="s">
        <v>154</v>
      </c>
      <c r="F895" s="12" t="s">
        <v>28</v>
      </c>
      <c r="J895" s="386">
        <v>54626</v>
      </c>
    </row>
    <row r="896" spans="1:10" ht="15">
      <c r="A896" s="137" t="str">
        <f t="shared" si="13"/>
        <v>SERVICIOSNOMINA ADMONINVENTARIOS</v>
      </c>
      <c r="B896" t="s">
        <v>1049</v>
      </c>
      <c r="C896" s="1">
        <v>45807</v>
      </c>
      <c r="D896" t="s">
        <v>21</v>
      </c>
      <c r="E896" t="s">
        <v>147</v>
      </c>
      <c r="F896" s="12" t="s">
        <v>34</v>
      </c>
      <c r="J896" s="386">
        <v>2700.6</v>
      </c>
    </row>
    <row r="897" spans="1:10" ht="15">
      <c r="A897" s="137" t="str">
        <f t="shared" si="13"/>
        <v>SERVICIOSNOMINA ADMONMANTENIMIENTO</v>
      </c>
      <c r="B897" t="s">
        <v>1049</v>
      </c>
      <c r="C897" s="1">
        <v>45807</v>
      </c>
      <c r="D897" t="s">
        <v>21</v>
      </c>
      <c r="E897" t="s">
        <v>147</v>
      </c>
      <c r="F897" s="12" t="s">
        <v>35</v>
      </c>
      <c r="J897" s="386">
        <v>3513.03</v>
      </c>
    </row>
    <row r="898" spans="1:10" ht="15">
      <c r="A898" s="137" t="str">
        <f t="shared" si="13"/>
        <v>SERVICIOSNOMINA ADMONCADENA DE SUMINISTROS</v>
      </c>
      <c r="B898" t="s">
        <v>1049</v>
      </c>
      <c r="C898" s="1">
        <v>45807</v>
      </c>
      <c r="D898" t="s">
        <v>21</v>
      </c>
      <c r="E898" t="s">
        <v>147</v>
      </c>
      <c r="F898" s="12" t="s">
        <v>134</v>
      </c>
      <c r="J898" s="386">
        <v>15381.4</v>
      </c>
    </row>
    <row r="899" spans="1:10" ht="15">
      <c r="A899" s="137" t="str">
        <f t="shared" si="13"/>
        <v>SERVICIOSNOMINA ADMONSISTEMAS</v>
      </c>
      <c r="B899" t="s">
        <v>1049</v>
      </c>
      <c r="C899" s="1">
        <v>45807</v>
      </c>
      <c r="D899" t="s">
        <v>21</v>
      </c>
      <c r="E899" t="s">
        <v>147</v>
      </c>
      <c r="F899" s="12" t="s">
        <v>36</v>
      </c>
      <c r="J899" s="386">
        <v>10952</v>
      </c>
    </row>
    <row r="900" spans="1:10" ht="15">
      <c r="A900" s="137" t="str">
        <f t="shared" ref="A900:A963" si="14">D900&amp;E900&amp;F900</f>
        <v>SERVICIOSNOMINA ADMONCOMPRAS</v>
      </c>
      <c r="B900" t="s">
        <v>1049</v>
      </c>
      <c r="C900" s="1">
        <v>45807</v>
      </c>
      <c r="D900" t="s">
        <v>21</v>
      </c>
      <c r="E900" t="s">
        <v>147</v>
      </c>
      <c r="F900" s="12" t="s">
        <v>148</v>
      </c>
      <c r="J900" s="386">
        <v>20292.91</v>
      </c>
    </row>
    <row r="901" spans="1:10" ht="15">
      <c r="A901" s="137" t="str">
        <f t="shared" si="14"/>
        <v>FINANZASNOMINA ADMONCONTABILIDAD</v>
      </c>
      <c r="B901" t="s">
        <v>1049</v>
      </c>
      <c r="C901" s="1">
        <v>45807</v>
      </c>
      <c r="D901" t="s">
        <v>23</v>
      </c>
      <c r="E901" t="s">
        <v>147</v>
      </c>
      <c r="F901" s="12" t="s">
        <v>37</v>
      </c>
      <c r="J901" s="386">
        <v>10400.27</v>
      </c>
    </row>
    <row r="902" spans="1:10" ht="15">
      <c r="A902" s="137" t="str">
        <f t="shared" si="14"/>
        <v>FINANZASNOMINA ADMONFINANZAS/LEGAL</v>
      </c>
      <c r="B902" t="s">
        <v>1049</v>
      </c>
      <c r="C902" s="1">
        <v>45807</v>
      </c>
      <c r="D902" t="s">
        <v>23</v>
      </c>
      <c r="E902" t="s">
        <v>147</v>
      </c>
      <c r="F902" s="12" t="s">
        <v>149</v>
      </c>
      <c r="J902" s="386">
        <v>9205.7900000000009</v>
      </c>
    </row>
    <row r="903" spans="1:10" ht="15">
      <c r="A903" s="137" t="str">
        <f t="shared" si="14"/>
        <v>FINANZASNOMINA ADMONRECURSOS HUMANOS</v>
      </c>
      <c r="B903" t="s">
        <v>1049</v>
      </c>
      <c r="C903" s="1">
        <v>45807</v>
      </c>
      <c r="D903" t="s">
        <v>23</v>
      </c>
      <c r="E903" t="s">
        <v>147</v>
      </c>
      <c r="F903" s="12" t="s">
        <v>125</v>
      </c>
      <c r="J903" s="386">
        <v>10750.18</v>
      </c>
    </row>
    <row r="904" spans="1:10" ht="15">
      <c r="A904" s="137" t="str">
        <f t="shared" si="14"/>
        <v>FINANZASNOMINA ADMONTESORERIA</v>
      </c>
      <c r="B904" t="s">
        <v>1049</v>
      </c>
      <c r="C904" s="1">
        <v>45807</v>
      </c>
      <c r="D904" t="s">
        <v>23</v>
      </c>
      <c r="E904" t="s">
        <v>147</v>
      </c>
      <c r="F904" s="12" t="s">
        <v>38</v>
      </c>
      <c r="J904" s="386">
        <v>14363.4</v>
      </c>
    </row>
    <row r="905" spans="1:10" ht="15">
      <c r="A905" s="137" t="str">
        <f t="shared" si="14"/>
        <v>FINANZASNOMINA ADMONHBG FINANZAS</v>
      </c>
      <c r="B905" t="s">
        <v>1049</v>
      </c>
      <c r="C905" s="1">
        <v>45807</v>
      </c>
      <c r="D905" t="s">
        <v>23</v>
      </c>
      <c r="E905" t="s">
        <v>147</v>
      </c>
      <c r="F905" s="12" t="s">
        <v>150</v>
      </c>
      <c r="J905" s="386">
        <v>3057</v>
      </c>
    </row>
    <row r="906" spans="1:10" ht="15">
      <c r="A906" s="137" t="str">
        <f t="shared" si="14"/>
        <v>SGENOMINA ADMONGESTION EMPRESARIAL</v>
      </c>
      <c r="B906" t="s">
        <v>1049</v>
      </c>
      <c r="C906" s="1">
        <v>45807</v>
      </c>
      <c r="D906" t="s">
        <v>39</v>
      </c>
      <c r="E906" t="s">
        <v>147</v>
      </c>
      <c r="F906" s="12" t="s">
        <v>40</v>
      </c>
      <c r="J906" s="386">
        <v>19503.900000000001</v>
      </c>
    </row>
    <row r="907" spans="1:10" ht="15">
      <c r="A907" s="137" t="str">
        <f t="shared" si="14"/>
        <v>DENOMINA ADMONDIRECCION</v>
      </c>
      <c r="B907" t="s">
        <v>1049</v>
      </c>
      <c r="C907" s="1">
        <v>45807</v>
      </c>
      <c r="D907" t="s">
        <v>41</v>
      </c>
      <c r="E907" t="s">
        <v>147</v>
      </c>
      <c r="F907" s="12" t="s">
        <v>42</v>
      </c>
      <c r="J907" s="386">
        <v>5420.6</v>
      </c>
    </row>
    <row r="908" spans="1:10" ht="15">
      <c r="A908" s="137" t="str">
        <f t="shared" si="14"/>
        <v>MMNOMINA ADMONMARKET MAX</v>
      </c>
      <c r="B908" t="s">
        <v>1049</v>
      </c>
      <c r="C908" s="1">
        <v>45807</v>
      </c>
      <c r="D908" t="s">
        <v>45</v>
      </c>
      <c r="E908" t="s">
        <v>147</v>
      </c>
      <c r="F908" s="12" t="s">
        <v>46</v>
      </c>
      <c r="J908" s="386">
        <v>5983.54</v>
      </c>
    </row>
    <row r="909" spans="1:10" ht="15">
      <c r="A909" s="137" t="str">
        <f t="shared" si="14"/>
        <v>FINANZASNOMINA ADMONHBG FINANZAS</v>
      </c>
      <c r="B909" t="s">
        <v>1049</v>
      </c>
      <c r="C909" s="1">
        <v>45807</v>
      </c>
      <c r="D909" t="s">
        <v>23</v>
      </c>
      <c r="E909" t="s">
        <v>147</v>
      </c>
      <c r="F909" s="12" t="s">
        <v>150</v>
      </c>
      <c r="J909" s="385">
        <v>10950</v>
      </c>
    </row>
    <row r="910" spans="1:10" ht="15">
      <c r="A910" s="137" t="str">
        <f t="shared" si="14"/>
        <v>HRNOMINA ADMONHR</v>
      </c>
      <c r="B910" t="s">
        <v>1049</v>
      </c>
      <c r="C910" s="1">
        <v>45807</v>
      </c>
      <c r="D910" t="s">
        <v>29</v>
      </c>
      <c r="E910" t="s">
        <v>147</v>
      </c>
      <c r="F910" s="3" t="s">
        <v>29</v>
      </c>
      <c r="J910" s="385">
        <v>5500</v>
      </c>
    </row>
    <row r="911" spans="1:10" ht="15">
      <c r="A911" s="137" t="str">
        <f t="shared" si="14"/>
        <v>CAPNOMINA ADMONCAPRICHOS</v>
      </c>
      <c r="B911" t="s">
        <v>1049</v>
      </c>
      <c r="C911" s="1">
        <v>45807</v>
      </c>
      <c r="D911" t="s">
        <v>31</v>
      </c>
      <c r="E911" t="s">
        <v>147</v>
      </c>
      <c r="F911" s="12" t="s">
        <v>33</v>
      </c>
      <c r="J911" s="385">
        <v>3700</v>
      </c>
    </row>
    <row r="912" spans="1:10" ht="15">
      <c r="A912" s="137" t="str">
        <f t="shared" si="14"/>
        <v>SGENOMINA ADMONGESTION EMPRESARIAL</v>
      </c>
      <c r="B912" t="s">
        <v>1049</v>
      </c>
      <c r="C912" s="1">
        <v>45807</v>
      </c>
      <c r="D912" t="s">
        <v>39</v>
      </c>
      <c r="E912" t="s">
        <v>147</v>
      </c>
      <c r="F912" s="12" t="s">
        <v>40</v>
      </c>
      <c r="J912" s="385">
        <v>2750</v>
      </c>
    </row>
    <row r="913" spans="1:10" ht="15">
      <c r="A913" s="137" t="str">
        <f t="shared" si="14"/>
        <v>SERVICIOSNOMINA ADMONSERVICIOS</v>
      </c>
      <c r="B913" t="s">
        <v>1049</v>
      </c>
      <c r="C913" s="1">
        <v>45807</v>
      </c>
      <c r="D913" t="s">
        <v>21</v>
      </c>
      <c r="E913" t="s">
        <v>147</v>
      </c>
      <c r="F913" s="12" t="s">
        <v>21</v>
      </c>
      <c r="J913" s="385">
        <v>4750</v>
      </c>
    </row>
    <row r="914" spans="1:10" ht="15">
      <c r="A914" s="137" t="str">
        <f t="shared" si="14"/>
        <v>MMNOMINA ADMONMARKET MAX</v>
      </c>
      <c r="B914" t="s">
        <v>1049</v>
      </c>
      <c r="C914" s="1">
        <v>45807</v>
      </c>
      <c r="D914" t="s">
        <v>45</v>
      </c>
      <c r="E914" t="s">
        <v>147</v>
      </c>
      <c r="F914" s="12" t="s">
        <v>46</v>
      </c>
      <c r="J914" s="385">
        <v>2000</v>
      </c>
    </row>
    <row r="915" spans="1:10" ht="15">
      <c r="A915" s="137" t="str">
        <f t="shared" si="14"/>
        <v>HRNOMINA SUCURSALA1</v>
      </c>
      <c r="B915" t="s">
        <v>1277</v>
      </c>
      <c r="C915" s="1">
        <v>45814</v>
      </c>
      <c r="D915" t="s">
        <v>29</v>
      </c>
      <c r="E915" t="s">
        <v>154</v>
      </c>
      <c r="F915" s="3" t="s">
        <v>88</v>
      </c>
      <c r="J915" s="385">
        <v>10932</v>
      </c>
    </row>
    <row r="916" spans="1:10" ht="15">
      <c r="A916" s="137" t="str">
        <f t="shared" si="14"/>
        <v>HRNOMINA SUCURSALA2</v>
      </c>
      <c r="B916" t="s">
        <v>1277</v>
      </c>
      <c r="C916" s="1">
        <v>45814</v>
      </c>
      <c r="D916" t="s">
        <v>29</v>
      </c>
      <c r="E916" t="s">
        <v>154</v>
      </c>
      <c r="F916" s="3" t="s">
        <v>89</v>
      </c>
      <c r="J916" s="385">
        <v>13733.6</v>
      </c>
    </row>
    <row r="917" spans="1:10" ht="15">
      <c r="A917" s="137" t="str">
        <f t="shared" si="14"/>
        <v>HRNOMINA SUCURSALA3</v>
      </c>
      <c r="B917" t="s">
        <v>1277</v>
      </c>
      <c r="C917" s="1">
        <v>45814</v>
      </c>
      <c r="D917" t="s">
        <v>29</v>
      </c>
      <c r="E917" t="s">
        <v>154</v>
      </c>
      <c r="F917" s="3" t="s">
        <v>90</v>
      </c>
      <c r="J917" s="385">
        <v>8223.4</v>
      </c>
    </row>
    <row r="918" spans="1:10" ht="15">
      <c r="A918" s="137" t="str">
        <f t="shared" si="14"/>
        <v>HRNOMINA SUCURSALA4</v>
      </c>
      <c r="B918" t="s">
        <v>1277</v>
      </c>
      <c r="C918" s="1">
        <v>45814</v>
      </c>
      <c r="D918" t="s">
        <v>29</v>
      </c>
      <c r="E918" t="s">
        <v>154</v>
      </c>
      <c r="F918" s="3" t="s">
        <v>91</v>
      </c>
      <c r="J918" s="385">
        <v>9429</v>
      </c>
    </row>
    <row r="919" spans="1:10" ht="15">
      <c r="A919" s="137" t="str">
        <f t="shared" si="14"/>
        <v>HRNOMINA SUCURSALA5</v>
      </c>
      <c r="B919" t="s">
        <v>1277</v>
      </c>
      <c r="C919" s="1">
        <v>45814</v>
      </c>
      <c r="D919" t="s">
        <v>29</v>
      </c>
      <c r="E919" t="s">
        <v>154</v>
      </c>
      <c r="F919" s="3" t="s">
        <v>92</v>
      </c>
      <c r="J919" s="385">
        <v>10611</v>
      </c>
    </row>
    <row r="920" spans="1:10" ht="15">
      <c r="A920" s="137" t="str">
        <f t="shared" si="14"/>
        <v>HRNOMINA SUCURSALA6</v>
      </c>
      <c r="B920" t="s">
        <v>1277</v>
      </c>
      <c r="C920" s="1">
        <v>45814</v>
      </c>
      <c r="D920" t="s">
        <v>29</v>
      </c>
      <c r="E920" t="s">
        <v>154</v>
      </c>
      <c r="F920" s="3" t="s">
        <v>93</v>
      </c>
      <c r="J920" s="385">
        <v>14619.49</v>
      </c>
    </row>
    <row r="921" spans="1:10" ht="15">
      <c r="A921" s="137" t="str">
        <f t="shared" si="14"/>
        <v>HRNOMINA SUCURSALA8</v>
      </c>
      <c r="B921" t="s">
        <v>1277</v>
      </c>
      <c r="C921" s="1">
        <v>45814</v>
      </c>
      <c r="D921" t="s">
        <v>29</v>
      </c>
      <c r="E921" t="s">
        <v>154</v>
      </c>
      <c r="F921" s="3" t="s">
        <v>94</v>
      </c>
      <c r="J921" s="385">
        <v>14977</v>
      </c>
    </row>
    <row r="922" spans="1:10" ht="15">
      <c r="A922" s="137" t="str">
        <f t="shared" si="14"/>
        <v>HRNOMINA SUCURSALA9</v>
      </c>
      <c r="B922" t="s">
        <v>1277</v>
      </c>
      <c r="C922" s="1">
        <v>45814</v>
      </c>
      <c r="D922" t="s">
        <v>29</v>
      </c>
      <c r="E922" t="s">
        <v>154</v>
      </c>
      <c r="F922" s="3" t="s">
        <v>95</v>
      </c>
      <c r="J922" s="385">
        <v>9556.69</v>
      </c>
    </row>
    <row r="923" spans="1:10" ht="15">
      <c r="A923" s="137" t="str">
        <f t="shared" si="14"/>
        <v>HRNOMINA SUCURSALA10</v>
      </c>
      <c r="B923" t="s">
        <v>1277</v>
      </c>
      <c r="C923" s="1">
        <v>45814</v>
      </c>
      <c r="D923" t="s">
        <v>29</v>
      </c>
      <c r="E923" t="s">
        <v>154</v>
      </c>
      <c r="F923" s="3" t="s">
        <v>96</v>
      </c>
      <c r="J923" s="385">
        <v>16947</v>
      </c>
    </row>
    <row r="924" spans="1:10" ht="15">
      <c r="A924" s="137" t="str">
        <f t="shared" si="14"/>
        <v>HRNOMINA SUCURSALA11</v>
      </c>
      <c r="B924" t="s">
        <v>1277</v>
      </c>
      <c r="C924" s="1">
        <v>45814</v>
      </c>
      <c r="D924" t="s">
        <v>29</v>
      </c>
      <c r="E924" t="s">
        <v>154</v>
      </c>
      <c r="F924" s="62" t="s">
        <v>97</v>
      </c>
      <c r="J924" s="385">
        <v>13096.8</v>
      </c>
    </row>
    <row r="925" spans="1:10" ht="15">
      <c r="A925" s="137" t="str">
        <f t="shared" si="14"/>
        <v>HRNOMINA SUCURSALA12</v>
      </c>
      <c r="B925" t="s">
        <v>1277</v>
      </c>
      <c r="C925" s="1">
        <v>45814</v>
      </c>
      <c r="D925" t="s">
        <v>29</v>
      </c>
      <c r="E925" t="s">
        <v>154</v>
      </c>
      <c r="F925" s="3" t="s">
        <v>98</v>
      </c>
      <c r="J925" s="385">
        <v>16212.29</v>
      </c>
    </row>
    <row r="926" spans="1:10" ht="15">
      <c r="A926" s="137" t="str">
        <f t="shared" si="14"/>
        <v>HRNOMINA SUCURSALA14</v>
      </c>
      <c r="B926" t="s">
        <v>1277</v>
      </c>
      <c r="C926" s="1">
        <v>45814</v>
      </c>
      <c r="D926" t="s">
        <v>29</v>
      </c>
      <c r="E926" t="s">
        <v>154</v>
      </c>
      <c r="F926" s="3" t="s">
        <v>99</v>
      </c>
      <c r="J926" s="385">
        <v>10285.200000000001</v>
      </c>
    </row>
    <row r="927" spans="1:10" ht="15">
      <c r="A927" s="137" t="str">
        <f t="shared" si="14"/>
        <v>HRNOMINA SUCURSALA15</v>
      </c>
      <c r="B927" t="s">
        <v>1277</v>
      </c>
      <c r="C927" s="1">
        <v>45814</v>
      </c>
      <c r="D927" t="s">
        <v>29</v>
      </c>
      <c r="E927" t="s">
        <v>154</v>
      </c>
      <c r="F927" s="3" t="s">
        <v>100</v>
      </c>
      <c r="J927" s="385">
        <v>11456.4</v>
      </c>
    </row>
    <row r="928" spans="1:10" ht="15">
      <c r="A928" s="137" t="str">
        <f t="shared" si="14"/>
        <v>HRNOMINA SUCURSALA16</v>
      </c>
      <c r="B928" t="s">
        <v>1277</v>
      </c>
      <c r="C928" s="1">
        <v>45814</v>
      </c>
      <c r="D928" t="s">
        <v>29</v>
      </c>
      <c r="E928" t="s">
        <v>154</v>
      </c>
      <c r="F928" s="3" t="s">
        <v>101</v>
      </c>
      <c r="J928" s="385">
        <v>16109.49</v>
      </c>
    </row>
    <row r="929" spans="1:10" ht="15">
      <c r="A929" s="137" t="str">
        <f t="shared" si="14"/>
        <v>HRNOMINA SUCURSALA17</v>
      </c>
      <c r="B929" t="s">
        <v>1277</v>
      </c>
      <c r="C929" s="1">
        <v>45814</v>
      </c>
      <c r="D929" t="s">
        <v>29</v>
      </c>
      <c r="E929" t="s">
        <v>154</v>
      </c>
      <c r="F929" s="3" t="s">
        <v>102</v>
      </c>
      <c r="J929" s="385">
        <v>12494.8</v>
      </c>
    </row>
    <row r="930" spans="1:10" ht="15">
      <c r="A930" s="137" t="str">
        <f t="shared" si="14"/>
        <v>HRNOMINA SUCURSALA18</v>
      </c>
      <c r="B930" t="s">
        <v>1277</v>
      </c>
      <c r="C930" s="1">
        <v>45814</v>
      </c>
      <c r="D930" t="s">
        <v>29</v>
      </c>
      <c r="E930" t="s">
        <v>154</v>
      </c>
      <c r="F930" s="3" t="s">
        <v>103</v>
      </c>
      <c r="J930" s="385">
        <v>12622.4</v>
      </c>
    </row>
    <row r="931" spans="1:10" ht="15">
      <c r="A931" s="137" t="str">
        <f t="shared" si="14"/>
        <v>HRNOMINA SUCURSALA22</v>
      </c>
      <c r="B931" t="s">
        <v>1277</v>
      </c>
      <c r="C931" s="1">
        <v>45814</v>
      </c>
      <c r="D931" t="s">
        <v>29</v>
      </c>
      <c r="E931" t="s">
        <v>154</v>
      </c>
      <c r="F931" s="3" t="s">
        <v>104</v>
      </c>
      <c r="J931" s="385">
        <v>13657.4</v>
      </c>
    </row>
    <row r="932" spans="1:10" ht="15">
      <c r="A932" s="137" t="str">
        <f t="shared" si="14"/>
        <v>HRNOMINA SUCURSALA23</v>
      </c>
      <c r="B932" t="s">
        <v>1277</v>
      </c>
      <c r="C932" s="1">
        <v>45814</v>
      </c>
      <c r="D932" t="s">
        <v>29</v>
      </c>
      <c r="E932" t="s">
        <v>154</v>
      </c>
      <c r="F932" s="3" t="s">
        <v>105</v>
      </c>
      <c r="J932" s="385">
        <v>14256.8</v>
      </c>
    </row>
    <row r="933" spans="1:10" ht="15">
      <c r="A933" s="137" t="str">
        <f t="shared" si="14"/>
        <v>HRNOMINA SUCURSALA24</v>
      </c>
      <c r="B933" t="s">
        <v>1277</v>
      </c>
      <c r="C933" s="1">
        <v>45814</v>
      </c>
      <c r="D933" t="s">
        <v>29</v>
      </c>
      <c r="E933" t="s">
        <v>154</v>
      </c>
      <c r="F933" s="3" t="s">
        <v>106</v>
      </c>
      <c r="J933" s="385">
        <v>13628.6</v>
      </c>
    </row>
    <row r="934" spans="1:10" ht="15">
      <c r="A934" s="137" t="str">
        <f t="shared" si="14"/>
        <v>CAPNOMINA SUCURSALE1</v>
      </c>
      <c r="B934" t="s">
        <v>1277</v>
      </c>
      <c r="C934" s="1">
        <v>45814</v>
      </c>
      <c r="D934" t="s">
        <v>31</v>
      </c>
      <c r="E934" t="s">
        <v>154</v>
      </c>
      <c r="F934" s="3" t="s">
        <v>107</v>
      </c>
      <c r="J934" s="385">
        <v>13624.6</v>
      </c>
    </row>
    <row r="935" spans="1:10" ht="15">
      <c r="A935" s="137" t="str">
        <f t="shared" si="14"/>
        <v>CAPNOMINA SUCURSALE2</v>
      </c>
      <c r="B935" t="s">
        <v>1277</v>
      </c>
      <c r="C935" s="1">
        <v>45814</v>
      </c>
      <c r="D935" t="s">
        <v>31</v>
      </c>
      <c r="E935" t="s">
        <v>154</v>
      </c>
      <c r="F935" s="3" t="s">
        <v>108</v>
      </c>
      <c r="J935" s="385">
        <v>13996</v>
      </c>
    </row>
    <row r="936" spans="1:10" ht="15">
      <c r="A936" s="137" t="str">
        <f t="shared" si="14"/>
        <v>CAPNOMINA SUCURSALE3</v>
      </c>
      <c r="B936" t="s">
        <v>1277</v>
      </c>
      <c r="C936" s="1">
        <v>45814</v>
      </c>
      <c r="D936" t="s">
        <v>31</v>
      </c>
      <c r="E936" t="s">
        <v>154</v>
      </c>
      <c r="F936" s="3" t="s">
        <v>109</v>
      </c>
      <c r="J936" s="385">
        <v>12043.4</v>
      </c>
    </row>
    <row r="937" spans="1:10" ht="15">
      <c r="A937" s="137" t="str">
        <f t="shared" si="14"/>
        <v>CAPNOMINA SUCURSALE4</v>
      </c>
      <c r="B937" t="s">
        <v>1277</v>
      </c>
      <c r="C937" s="1">
        <v>45814</v>
      </c>
      <c r="D937" t="s">
        <v>31</v>
      </c>
      <c r="E937" t="s">
        <v>154</v>
      </c>
      <c r="F937" s="3" t="s">
        <v>110</v>
      </c>
      <c r="J937" s="385">
        <v>16747.400000000001</v>
      </c>
    </row>
    <row r="938" spans="1:10" ht="15">
      <c r="A938" s="137" t="str">
        <f t="shared" si="14"/>
        <v>CAPNOMINA SUCURSALE5</v>
      </c>
      <c r="B938" t="s">
        <v>1277</v>
      </c>
      <c r="C938" s="1">
        <v>45814</v>
      </c>
      <c r="D938" t="s">
        <v>31</v>
      </c>
      <c r="E938" t="s">
        <v>154</v>
      </c>
      <c r="F938" s="3" t="s">
        <v>111</v>
      </c>
      <c r="J938" s="385">
        <v>16728</v>
      </c>
    </row>
    <row r="939" spans="1:10" ht="15">
      <c r="A939" s="137" t="str">
        <f t="shared" si="14"/>
        <v>CAPNOMINA SUCURSALE6</v>
      </c>
      <c r="B939" t="s">
        <v>1277</v>
      </c>
      <c r="C939" s="1">
        <v>45814</v>
      </c>
      <c r="D939" t="s">
        <v>31</v>
      </c>
      <c r="E939" t="s">
        <v>154</v>
      </c>
      <c r="F939" s="3" t="s">
        <v>112</v>
      </c>
      <c r="J939" s="385">
        <v>15485.2</v>
      </c>
    </row>
    <row r="940" spans="1:10" ht="15">
      <c r="A940" s="137" t="str">
        <f t="shared" si="14"/>
        <v>CAPNOMINA SUCURSALE7</v>
      </c>
      <c r="B940" t="s">
        <v>1277</v>
      </c>
      <c r="C940" s="1">
        <v>45814</v>
      </c>
      <c r="D940" t="s">
        <v>31</v>
      </c>
      <c r="E940" t="s">
        <v>154</v>
      </c>
      <c r="F940" s="3" t="s">
        <v>113</v>
      </c>
      <c r="J940" s="385">
        <v>10771</v>
      </c>
    </row>
    <row r="941" spans="1:10" ht="15">
      <c r="A941" s="137" t="str">
        <f t="shared" si="14"/>
        <v>CAPNOMINA SUCURSALE8</v>
      </c>
      <c r="B941" t="s">
        <v>1277</v>
      </c>
      <c r="C941" s="1">
        <v>45814</v>
      </c>
      <c r="D941" t="s">
        <v>31</v>
      </c>
      <c r="E941" t="s">
        <v>154</v>
      </c>
      <c r="F941" s="3" t="s">
        <v>114</v>
      </c>
      <c r="J941" s="385">
        <v>24950</v>
      </c>
    </row>
    <row r="942" spans="1:10" ht="15">
      <c r="A942" s="137" t="str">
        <f t="shared" si="14"/>
        <v>CAPNOMINA SUCURSALE9</v>
      </c>
      <c r="B942" t="s">
        <v>1277</v>
      </c>
      <c r="C942" s="1">
        <v>45814</v>
      </c>
      <c r="D942" t="s">
        <v>31</v>
      </c>
      <c r="E942" t="s">
        <v>154</v>
      </c>
      <c r="F942" s="3" t="s">
        <v>116</v>
      </c>
      <c r="J942" s="385">
        <v>28728.6</v>
      </c>
    </row>
    <row r="943" spans="1:10" ht="15">
      <c r="A943" s="137" t="str">
        <f t="shared" si="14"/>
        <v>ELINOMINA SUCURSALL1</v>
      </c>
      <c r="B943" t="s">
        <v>1277</v>
      </c>
      <c r="C943" s="1">
        <v>45814</v>
      </c>
      <c r="D943" t="s">
        <v>130</v>
      </c>
      <c r="E943" t="s">
        <v>154</v>
      </c>
      <c r="F943" t="s">
        <v>136</v>
      </c>
      <c r="J943" s="385">
        <v>9795.7999999999993</v>
      </c>
    </row>
    <row r="944" spans="1:10" ht="15">
      <c r="A944" s="137" t="str">
        <f t="shared" si="14"/>
        <v>HRNOMINA ADMONHR</v>
      </c>
      <c r="B944" t="s">
        <v>1277</v>
      </c>
      <c r="C944" s="1">
        <v>45814</v>
      </c>
      <c r="D944" t="s">
        <v>29</v>
      </c>
      <c r="E944" t="s">
        <v>147</v>
      </c>
      <c r="F944" t="s">
        <v>29</v>
      </c>
      <c r="J944" s="385">
        <v>27357.21</v>
      </c>
    </row>
    <row r="945" spans="1:10" ht="15">
      <c r="A945" s="137" t="str">
        <f t="shared" si="14"/>
        <v>CAPNOMINA ADMONCAPRICHOS</v>
      </c>
      <c r="B945" t="s">
        <v>1277</v>
      </c>
      <c r="C945" s="1">
        <v>45814</v>
      </c>
      <c r="D945" t="s">
        <v>31</v>
      </c>
      <c r="E945" t="s">
        <v>147</v>
      </c>
      <c r="F945" t="s">
        <v>33</v>
      </c>
      <c r="J945" s="385">
        <v>23217.599999999999</v>
      </c>
    </row>
    <row r="946" spans="1:10" ht="15">
      <c r="A946" s="137" t="str">
        <f t="shared" si="14"/>
        <v>SERVICIOSNOMINA SUCURSALCEDIS</v>
      </c>
      <c r="B946" t="s">
        <v>1277</v>
      </c>
      <c r="C946" s="1">
        <v>45814</v>
      </c>
      <c r="D946" t="s">
        <v>21</v>
      </c>
      <c r="E946" t="s">
        <v>154</v>
      </c>
      <c r="F946" t="s">
        <v>28</v>
      </c>
      <c r="J946" s="385">
        <v>60158.73</v>
      </c>
    </row>
    <row r="947" spans="1:10" ht="15">
      <c r="A947" s="137" t="str">
        <f t="shared" si="14"/>
        <v>SERVICIOSNOMINA ADMONINVENTARIOS</v>
      </c>
      <c r="B947" t="s">
        <v>1277</v>
      </c>
      <c r="C947" s="1">
        <v>45814</v>
      </c>
      <c r="D947" t="s">
        <v>21</v>
      </c>
      <c r="E947" t="s">
        <v>147</v>
      </c>
      <c r="F947" t="s">
        <v>34</v>
      </c>
      <c r="J947" s="385">
        <v>2800</v>
      </c>
    </row>
    <row r="948" spans="1:10" ht="15">
      <c r="A948" s="137" t="str">
        <f t="shared" si="14"/>
        <v>SERVICIOSNOMINA ADMONMANTENIMIENTO</v>
      </c>
      <c r="B948" t="s">
        <v>1277</v>
      </c>
      <c r="C948" s="1">
        <v>45814</v>
      </c>
      <c r="D948" t="s">
        <v>21</v>
      </c>
      <c r="E948" t="s">
        <v>147</v>
      </c>
      <c r="F948" t="s">
        <v>35</v>
      </c>
      <c r="J948" s="385">
        <v>3952.03</v>
      </c>
    </row>
    <row r="949" spans="1:10" ht="15">
      <c r="A949" s="137" t="str">
        <f t="shared" si="14"/>
        <v>SERVICIOSNOMINA ADMONCADENA DE SUMINISTROS</v>
      </c>
      <c r="B949" t="s">
        <v>1277</v>
      </c>
      <c r="C949" s="1">
        <v>45814</v>
      </c>
      <c r="D949" t="s">
        <v>21</v>
      </c>
      <c r="E949" t="s">
        <v>147</v>
      </c>
      <c r="F949" t="s">
        <v>134</v>
      </c>
      <c r="J949" s="385">
        <v>15863.4</v>
      </c>
    </row>
    <row r="950" spans="1:10" ht="15">
      <c r="A950" s="137" t="str">
        <f t="shared" si="14"/>
        <v>SERVICIOSNOMINA ADMONSISTEMAS</v>
      </c>
      <c r="B950" t="s">
        <v>1277</v>
      </c>
      <c r="C950" s="1">
        <v>45814</v>
      </c>
      <c r="D950" t="s">
        <v>21</v>
      </c>
      <c r="E950" t="s">
        <v>147</v>
      </c>
      <c r="F950" t="s">
        <v>36</v>
      </c>
      <c r="J950" s="385">
        <v>10146.290000000001</v>
      </c>
    </row>
    <row r="951" spans="1:10" ht="15">
      <c r="A951" s="137" t="str">
        <f t="shared" si="14"/>
        <v>SERVICIOSNOMINA ADMONCOMPRAS</v>
      </c>
      <c r="B951" t="s">
        <v>1277</v>
      </c>
      <c r="C951" s="1">
        <v>45814</v>
      </c>
      <c r="D951" t="s">
        <v>21</v>
      </c>
      <c r="E951" t="s">
        <v>147</v>
      </c>
      <c r="F951" t="s">
        <v>148</v>
      </c>
      <c r="J951" s="385">
        <v>20591.11</v>
      </c>
    </row>
    <row r="952" spans="1:10" ht="15">
      <c r="A952" s="137" t="str">
        <f t="shared" si="14"/>
        <v>FINANZASNOMINA ADMONCONTABILIDAD</v>
      </c>
      <c r="B952" t="s">
        <v>1277</v>
      </c>
      <c r="C952" s="1">
        <v>45814</v>
      </c>
      <c r="D952" t="s">
        <v>23</v>
      </c>
      <c r="E952" t="s">
        <v>147</v>
      </c>
      <c r="F952" t="s">
        <v>37</v>
      </c>
      <c r="J952" s="385">
        <v>10399.27</v>
      </c>
    </row>
    <row r="953" spans="1:10" ht="15">
      <c r="A953" s="137" t="str">
        <f t="shared" si="14"/>
        <v>FINANZASNOMINA ADMONFINANZAS/LEGAL</v>
      </c>
      <c r="B953" t="s">
        <v>1277</v>
      </c>
      <c r="C953" s="1">
        <v>45814</v>
      </c>
      <c r="D953" t="s">
        <v>23</v>
      </c>
      <c r="E953" t="s">
        <v>147</v>
      </c>
      <c r="F953" t="s">
        <v>149</v>
      </c>
      <c r="J953" s="385">
        <v>9874.19</v>
      </c>
    </row>
    <row r="954" spans="1:10" ht="15">
      <c r="A954" s="137" t="str">
        <f t="shared" si="14"/>
        <v>FINANZASNOMINA ADMONRECURSOS HUMANOS</v>
      </c>
      <c r="B954" t="s">
        <v>1277</v>
      </c>
      <c r="C954" s="1">
        <v>45814</v>
      </c>
      <c r="D954" t="s">
        <v>23</v>
      </c>
      <c r="E954" t="s">
        <v>147</v>
      </c>
      <c r="F954" t="s">
        <v>125</v>
      </c>
      <c r="J954" s="385">
        <v>9956.7800000000007</v>
      </c>
    </row>
    <row r="955" spans="1:10" ht="15">
      <c r="A955" s="137" t="str">
        <f t="shared" si="14"/>
        <v>FINANZASNOMINA ADMONTESORERIA</v>
      </c>
      <c r="B955" t="s">
        <v>1277</v>
      </c>
      <c r="C955" s="1">
        <v>45814</v>
      </c>
      <c r="D955" t="s">
        <v>23</v>
      </c>
      <c r="E955" t="s">
        <v>147</v>
      </c>
      <c r="F955" t="s">
        <v>38</v>
      </c>
      <c r="J955" s="385">
        <v>12249.2</v>
      </c>
    </row>
    <row r="956" spans="1:10" ht="15">
      <c r="A956" s="137" t="str">
        <f t="shared" si="14"/>
        <v>FINANZASNOMINA ADMONHBG FINANZAS</v>
      </c>
      <c r="B956" t="s">
        <v>1277</v>
      </c>
      <c r="C956" s="1">
        <v>45814</v>
      </c>
      <c r="D956" t="s">
        <v>23</v>
      </c>
      <c r="E956" t="s">
        <v>147</v>
      </c>
      <c r="F956" t="s">
        <v>150</v>
      </c>
      <c r="J956" s="385">
        <v>2545.4</v>
      </c>
    </row>
    <row r="957" spans="1:10" ht="15">
      <c r="A957" s="137" t="str">
        <f t="shared" si="14"/>
        <v>SGENOMINA ADMONGESTION EMPRESARIAL</v>
      </c>
      <c r="B957" t="s">
        <v>1277</v>
      </c>
      <c r="C957" s="1">
        <v>45814</v>
      </c>
      <c r="D957" t="s">
        <v>39</v>
      </c>
      <c r="E957" t="s">
        <v>147</v>
      </c>
      <c r="F957" t="s">
        <v>40</v>
      </c>
      <c r="J957" s="385">
        <v>21488.3</v>
      </c>
    </row>
    <row r="958" spans="1:10" ht="15">
      <c r="A958" s="137" t="str">
        <f t="shared" si="14"/>
        <v>DENOMINA ADMONDIRECCION</v>
      </c>
      <c r="B958" t="s">
        <v>1277</v>
      </c>
      <c r="C958" s="1">
        <v>45814</v>
      </c>
      <c r="D958" t="s">
        <v>41</v>
      </c>
      <c r="E958" t="s">
        <v>147</v>
      </c>
      <c r="F958" t="s">
        <v>42</v>
      </c>
      <c r="J958" s="385">
        <v>6000</v>
      </c>
    </row>
    <row r="959" spans="1:10" ht="15">
      <c r="A959" s="137" t="str">
        <f t="shared" si="14"/>
        <v>MMNOMINA ADMONMARKET MAX</v>
      </c>
      <c r="B959" t="s">
        <v>1277</v>
      </c>
      <c r="C959" s="1">
        <v>45814</v>
      </c>
      <c r="D959" t="s">
        <v>45</v>
      </c>
      <c r="E959" t="s">
        <v>147</v>
      </c>
      <c r="F959" t="s">
        <v>46</v>
      </c>
      <c r="J959" s="385">
        <v>6000.94</v>
      </c>
    </row>
    <row r="960" spans="1:10" ht="15">
      <c r="A960" s="137" t="str">
        <f t="shared" si="14"/>
        <v>FINANZASNOMINA ADMONHBG FINANZAS</v>
      </c>
      <c r="B960" t="s">
        <v>1277</v>
      </c>
      <c r="C960" s="1">
        <v>45814</v>
      </c>
      <c r="D960" s="229" t="s">
        <v>23</v>
      </c>
      <c r="E960" s="229" t="s">
        <v>147</v>
      </c>
      <c r="F960" s="230" t="s">
        <v>150</v>
      </c>
      <c r="J960" s="385">
        <v>10950</v>
      </c>
    </row>
    <row r="961" spans="1:10" ht="15">
      <c r="A961" s="137" t="str">
        <f t="shared" si="14"/>
        <v>HRNOMINA ADMONHR</v>
      </c>
      <c r="B961" t="s">
        <v>1277</v>
      </c>
      <c r="C961" s="1">
        <v>45814</v>
      </c>
      <c r="D961" t="s">
        <v>29</v>
      </c>
      <c r="E961" t="s">
        <v>147</v>
      </c>
      <c r="F961" s="3" t="s">
        <v>29</v>
      </c>
      <c r="J961" s="385">
        <v>5500</v>
      </c>
    </row>
    <row r="962" spans="1:10" ht="15">
      <c r="A962" s="137" t="str">
        <f t="shared" si="14"/>
        <v>CAPNOMINA ADMONCAPRICHOS</v>
      </c>
      <c r="B962" t="s">
        <v>1277</v>
      </c>
      <c r="C962" s="1">
        <v>45814</v>
      </c>
      <c r="D962" t="s">
        <v>31</v>
      </c>
      <c r="E962" t="s">
        <v>147</v>
      </c>
      <c r="F962" s="12" t="s">
        <v>33</v>
      </c>
      <c r="J962" s="385">
        <v>3700</v>
      </c>
    </row>
    <row r="963" spans="1:10" ht="15">
      <c r="A963" s="137" t="str">
        <f t="shared" si="14"/>
        <v>SGENOMINA ADMONGESTION EMPRESARIAL</v>
      </c>
      <c r="B963" t="s">
        <v>1277</v>
      </c>
      <c r="C963" s="1">
        <v>45814</v>
      </c>
      <c r="D963" t="s">
        <v>39</v>
      </c>
      <c r="E963" t="s">
        <v>147</v>
      </c>
      <c r="F963" s="12" t="s">
        <v>40</v>
      </c>
      <c r="J963" s="385">
        <v>2750</v>
      </c>
    </row>
    <row r="964" spans="1:10" ht="15">
      <c r="A964" s="137" t="str">
        <f t="shared" ref="A964:A1027" si="15">D964&amp;E964&amp;F964</f>
        <v>SERVICIOSNOMINA ADMONSERVICIOS</v>
      </c>
      <c r="B964" t="s">
        <v>1277</v>
      </c>
      <c r="C964" s="1">
        <v>45814</v>
      </c>
      <c r="D964" t="s">
        <v>21</v>
      </c>
      <c r="E964" t="s">
        <v>147</v>
      </c>
      <c r="F964" s="12" t="s">
        <v>21</v>
      </c>
      <c r="J964" s="385">
        <v>4750</v>
      </c>
    </row>
    <row r="965" spans="1:10" ht="15">
      <c r="A965" s="137" t="str">
        <f t="shared" si="15"/>
        <v>DENOMINA ADMONDIRECCION</v>
      </c>
      <c r="B965" t="s">
        <v>1277</v>
      </c>
      <c r="C965" s="1">
        <v>45814</v>
      </c>
      <c r="D965" t="s">
        <v>41</v>
      </c>
      <c r="E965" t="s">
        <v>147</v>
      </c>
      <c r="F965" s="12" t="s">
        <v>42</v>
      </c>
      <c r="J965" s="385">
        <v>20750</v>
      </c>
    </row>
    <row r="966" spans="1:10" ht="15">
      <c r="A966" s="137" t="str">
        <f t="shared" si="15"/>
        <v>MMNOMINA ADMONMARKET MAX</v>
      </c>
      <c r="B966" t="s">
        <v>1277</v>
      </c>
      <c r="C966" s="1">
        <v>45814</v>
      </c>
      <c r="D966" t="s">
        <v>45</v>
      </c>
      <c r="E966" t="s">
        <v>147</v>
      </c>
      <c r="F966" s="12" t="s">
        <v>46</v>
      </c>
      <c r="J966" s="385">
        <v>2000</v>
      </c>
    </row>
    <row r="967" spans="1:10" ht="15">
      <c r="A967" s="137" t="str">
        <f t="shared" si="15"/>
        <v>HRVACACIONES/FINIQUITOSHR</v>
      </c>
      <c r="B967" t="s">
        <v>4806</v>
      </c>
      <c r="C967" s="1">
        <v>45814</v>
      </c>
      <c r="D967" t="s">
        <v>29</v>
      </c>
      <c r="E967" s="12" t="s">
        <v>190</v>
      </c>
      <c r="F967" t="s">
        <v>29</v>
      </c>
      <c r="J967" s="385">
        <v>7142.86</v>
      </c>
    </row>
    <row r="968" spans="1:10" ht="15">
      <c r="A968" s="137" t="str">
        <f t="shared" si="15"/>
        <v>HRVACACIONES/FINIQUITOSHR</v>
      </c>
      <c r="B968" t="s">
        <v>4806</v>
      </c>
      <c r="C968" s="1">
        <v>45814</v>
      </c>
      <c r="D968" t="s">
        <v>29</v>
      </c>
      <c r="E968" s="12" t="s">
        <v>190</v>
      </c>
      <c r="F968" t="s">
        <v>29</v>
      </c>
      <c r="J968" s="385">
        <v>1900</v>
      </c>
    </row>
    <row r="969" spans="1:10" ht="15">
      <c r="A969" s="137" t="str">
        <f t="shared" si="15"/>
        <v>HRNOMINA SUCURSALA1</v>
      </c>
      <c r="B969" t="s">
        <v>1277</v>
      </c>
      <c r="C969" s="1">
        <v>45821</v>
      </c>
      <c r="D969" t="s">
        <v>29</v>
      </c>
      <c r="E969" t="s">
        <v>154</v>
      </c>
      <c r="F969" s="3" t="s">
        <v>88</v>
      </c>
      <c r="J969" s="386">
        <v>10632.8</v>
      </c>
    </row>
    <row r="970" spans="1:10" ht="15">
      <c r="A970" s="137" t="str">
        <f t="shared" si="15"/>
        <v>HRNOMINA SUCURSALA2</v>
      </c>
      <c r="B970" t="s">
        <v>1277</v>
      </c>
      <c r="C970" s="1">
        <v>45821</v>
      </c>
      <c r="D970" t="s">
        <v>29</v>
      </c>
      <c r="E970" t="s">
        <v>154</v>
      </c>
      <c r="F970" s="3" t="s">
        <v>89</v>
      </c>
      <c r="J970" s="386">
        <v>13958.2</v>
      </c>
    </row>
    <row r="971" spans="1:10" ht="15">
      <c r="A971" s="137" t="str">
        <f t="shared" si="15"/>
        <v>HRNOMINA SUCURSALA3</v>
      </c>
      <c r="B971" t="s">
        <v>1277</v>
      </c>
      <c r="C971" s="1">
        <v>45821</v>
      </c>
      <c r="D971" t="s">
        <v>29</v>
      </c>
      <c r="E971" t="s">
        <v>154</v>
      </c>
      <c r="F971" s="3" t="s">
        <v>90</v>
      </c>
      <c r="J971" s="386">
        <v>6813.6</v>
      </c>
    </row>
    <row r="972" spans="1:10" ht="15">
      <c r="A972" s="137" t="str">
        <f t="shared" si="15"/>
        <v>HRNOMINA SUCURSALA4</v>
      </c>
      <c r="B972" t="s">
        <v>1277</v>
      </c>
      <c r="C972" s="1">
        <v>45821</v>
      </c>
      <c r="D972" t="s">
        <v>29</v>
      </c>
      <c r="E972" t="s">
        <v>154</v>
      </c>
      <c r="F972" s="3" t="s">
        <v>91</v>
      </c>
      <c r="J972" s="386">
        <v>9428.7999999999993</v>
      </c>
    </row>
    <row r="973" spans="1:10" ht="15">
      <c r="A973" s="137" t="str">
        <f t="shared" si="15"/>
        <v>HRNOMINA SUCURSALA5</v>
      </c>
      <c r="B973" t="s">
        <v>1277</v>
      </c>
      <c r="C973" s="1">
        <v>45821</v>
      </c>
      <c r="D973" t="s">
        <v>29</v>
      </c>
      <c r="E973" t="s">
        <v>154</v>
      </c>
      <c r="F973" s="3" t="s">
        <v>92</v>
      </c>
      <c r="J973" s="386">
        <v>9734.7999999999993</v>
      </c>
    </row>
    <row r="974" spans="1:10" ht="15">
      <c r="A974" s="137" t="str">
        <f t="shared" si="15"/>
        <v>HRNOMINA SUCURSALA6</v>
      </c>
      <c r="B974" t="s">
        <v>1277</v>
      </c>
      <c r="C974" s="1">
        <v>45821</v>
      </c>
      <c r="D974" t="s">
        <v>29</v>
      </c>
      <c r="E974" t="s">
        <v>154</v>
      </c>
      <c r="F974" s="3" t="s">
        <v>93</v>
      </c>
      <c r="J974" s="386">
        <v>13836.89</v>
      </c>
    </row>
    <row r="975" spans="1:10" ht="15">
      <c r="A975" s="137" t="str">
        <f t="shared" si="15"/>
        <v>HRNOMINA SUCURSALA8</v>
      </c>
      <c r="B975" t="s">
        <v>1277</v>
      </c>
      <c r="C975" s="1">
        <v>45821</v>
      </c>
      <c r="D975" t="s">
        <v>29</v>
      </c>
      <c r="E975" t="s">
        <v>154</v>
      </c>
      <c r="F975" s="3" t="s">
        <v>94</v>
      </c>
      <c r="J975" s="386">
        <v>16077.6</v>
      </c>
    </row>
    <row r="976" spans="1:10" ht="15">
      <c r="A976" s="137" t="str">
        <f t="shared" si="15"/>
        <v>HRNOMINA SUCURSALA9</v>
      </c>
      <c r="B976" t="s">
        <v>1277</v>
      </c>
      <c r="C976" s="1">
        <v>45821</v>
      </c>
      <c r="D976" t="s">
        <v>29</v>
      </c>
      <c r="E976" t="s">
        <v>154</v>
      </c>
      <c r="F976" s="3" t="s">
        <v>95</v>
      </c>
      <c r="J976" s="386">
        <v>10986.89</v>
      </c>
    </row>
    <row r="977" spans="1:12" ht="15">
      <c r="A977" s="137" t="str">
        <f t="shared" si="15"/>
        <v>HRNOMINA SUCURSALA10</v>
      </c>
      <c r="B977" t="s">
        <v>1277</v>
      </c>
      <c r="C977" s="1">
        <v>45821</v>
      </c>
      <c r="D977" t="s">
        <v>29</v>
      </c>
      <c r="E977" t="s">
        <v>154</v>
      </c>
      <c r="F977" s="3" t="s">
        <v>96</v>
      </c>
      <c r="J977" s="386">
        <v>15644.8</v>
      </c>
    </row>
    <row r="978" spans="1:12" ht="15">
      <c r="A978" s="137" t="str">
        <f t="shared" si="15"/>
        <v>HRNOMINA SUCURSALA11</v>
      </c>
      <c r="B978" t="s">
        <v>1277</v>
      </c>
      <c r="C978" s="1">
        <v>45821</v>
      </c>
      <c r="D978" t="s">
        <v>29</v>
      </c>
      <c r="E978" t="s">
        <v>154</v>
      </c>
      <c r="F978" s="62" t="s">
        <v>97</v>
      </c>
      <c r="J978" s="386">
        <v>13100.2</v>
      </c>
    </row>
    <row r="979" spans="1:12" ht="15">
      <c r="A979" s="137" t="str">
        <f t="shared" si="15"/>
        <v>HRNOMINA SUCURSALA12</v>
      </c>
      <c r="B979" t="s">
        <v>1277</v>
      </c>
      <c r="C979" s="1">
        <v>45821</v>
      </c>
      <c r="D979" t="s">
        <v>29</v>
      </c>
      <c r="E979" t="s">
        <v>154</v>
      </c>
      <c r="F979" s="3" t="s">
        <v>98</v>
      </c>
      <c r="J979" s="386">
        <v>17812.29</v>
      </c>
    </row>
    <row r="980" spans="1:12" ht="15">
      <c r="A980" s="137" t="str">
        <f t="shared" si="15"/>
        <v>HRNOMINA SUCURSALA14</v>
      </c>
      <c r="B980" t="s">
        <v>1277</v>
      </c>
      <c r="C980" s="1">
        <v>45821</v>
      </c>
      <c r="D980" t="s">
        <v>29</v>
      </c>
      <c r="E980" t="s">
        <v>154</v>
      </c>
      <c r="F980" s="3" t="s">
        <v>99</v>
      </c>
      <c r="J980" s="386">
        <v>13259.6</v>
      </c>
    </row>
    <row r="981" spans="1:12" ht="15">
      <c r="A981" s="137" t="str">
        <f t="shared" si="15"/>
        <v>HRNOMINA SUCURSALA15</v>
      </c>
      <c r="B981" t="s">
        <v>1277</v>
      </c>
      <c r="C981" s="1">
        <v>45821</v>
      </c>
      <c r="D981" t="s">
        <v>29</v>
      </c>
      <c r="E981" t="s">
        <v>154</v>
      </c>
      <c r="F981" s="3" t="s">
        <v>100</v>
      </c>
      <c r="J981" s="386">
        <v>11411.6</v>
      </c>
    </row>
    <row r="982" spans="1:12" ht="15">
      <c r="A982" s="137" t="str">
        <f t="shared" si="15"/>
        <v>HRNOMINA SUCURSALA16</v>
      </c>
      <c r="B982" t="s">
        <v>1277</v>
      </c>
      <c r="C982" s="1">
        <v>45821</v>
      </c>
      <c r="D982" t="s">
        <v>29</v>
      </c>
      <c r="E982" t="s">
        <v>154</v>
      </c>
      <c r="F982" s="3" t="s">
        <v>101</v>
      </c>
      <c r="J982" s="386">
        <v>16564.89</v>
      </c>
    </row>
    <row r="983" spans="1:12" ht="15">
      <c r="A983" s="137" t="str">
        <f t="shared" si="15"/>
        <v>HRNOMINA SUCURSALA17</v>
      </c>
      <c r="B983" t="s">
        <v>1277</v>
      </c>
      <c r="C983" s="1">
        <v>45821</v>
      </c>
      <c r="D983" t="s">
        <v>29</v>
      </c>
      <c r="E983" t="s">
        <v>154</v>
      </c>
      <c r="F983" s="3" t="s">
        <v>102</v>
      </c>
      <c r="J983" s="386">
        <v>12323.6</v>
      </c>
    </row>
    <row r="984" spans="1:12" ht="15">
      <c r="A984" s="137" t="str">
        <f t="shared" si="15"/>
        <v>HRNOMINA SUCURSALA18</v>
      </c>
      <c r="B984" t="s">
        <v>1277</v>
      </c>
      <c r="C984" s="1">
        <v>45821</v>
      </c>
      <c r="D984" t="s">
        <v>29</v>
      </c>
      <c r="E984" t="s">
        <v>154</v>
      </c>
      <c r="F984" s="3" t="s">
        <v>103</v>
      </c>
      <c r="J984" s="386">
        <v>14284.4</v>
      </c>
    </row>
    <row r="985" spans="1:12" ht="15">
      <c r="A985" s="137" t="str">
        <f t="shared" si="15"/>
        <v>HRNOMINA SUCURSALA22</v>
      </c>
      <c r="B985" t="s">
        <v>1277</v>
      </c>
      <c r="C985" s="1">
        <v>45821</v>
      </c>
      <c r="D985" t="s">
        <v>29</v>
      </c>
      <c r="E985" t="s">
        <v>154</v>
      </c>
      <c r="F985" s="3" t="s">
        <v>104</v>
      </c>
      <c r="J985" s="386">
        <v>16512.2</v>
      </c>
    </row>
    <row r="986" spans="1:12" ht="15">
      <c r="A986" s="137" t="str">
        <f t="shared" si="15"/>
        <v>HRNOMINA SUCURSALA23</v>
      </c>
      <c r="B986" t="s">
        <v>1277</v>
      </c>
      <c r="C986" s="1">
        <v>45821</v>
      </c>
      <c r="D986" t="s">
        <v>29</v>
      </c>
      <c r="E986" t="s">
        <v>154</v>
      </c>
      <c r="F986" s="3" t="s">
        <v>105</v>
      </c>
      <c r="J986" s="386">
        <v>14258.4</v>
      </c>
    </row>
    <row r="987" spans="1:12" ht="15">
      <c r="A987" s="137" t="str">
        <f t="shared" si="15"/>
        <v>HRNOMINA SUCURSALA24</v>
      </c>
      <c r="B987" t="s">
        <v>1277</v>
      </c>
      <c r="C987" s="1">
        <v>45821</v>
      </c>
      <c r="D987" t="s">
        <v>29</v>
      </c>
      <c r="E987" t="s">
        <v>154</v>
      </c>
      <c r="F987" s="3" t="s">
        <v>106</v>
      </c>
      <c r="J987" s="386">
        <v>14509</v>
      </c>
    </row>
    <row r="988" spans="1:12" ht="15">
      <c r="A988" s="137" t="str">
        <f t="shared" si="15"/>
        <v>CAPNOMINA SUCURSALE1</v>
      </c>
      <c r="B988" t="s">
        <v>1277</v>
      </c>
      <c r="C988" s="1">
        <v>45821</v>
      </c>
      <c r="D988" t="s">
        <v>31</v>
      </c>
      <c r="E988" t="s">
        <v>154</v>
      </c>
      <c r="F988" s="3" t="s">
        <v>107</v>
      </c>
      <c r="J988" s="386">
        <v>13458.6</v>
      </c>
      <c r="K988"/>
      <c r="L988" s="3"/>
    </row>
    <row r="989" spans="1:12" ht="15">
      <c r="A989" s="137" t="str">
        <f t="shared" si="15"/>
        <v>CAPNOMINA SUCURSALE2</v>
      </c>
      <c r="B989" t="s">
        <v>1277</v>
      </c>
      <c r="C989" s="1">
        <v>45821</v>
      </c>
      <c r="D989" t="s">
        <v>31</v>
      </c>
      <c r="E989" t="s">
        <v>154</v>
      </c>
      <c r="F989" s="3" t="s">
        <v>108</v>
      </c>
      <c r="J989" s="386">
        <v>19489.2</v>
      </c>
      <c r="K989"/>
      <c r="L989" s="3"/>
    </row>
    <row r="990" spans="1:12" ht="15">
      <c r="A990" s="137" t="str">
        <f t="shared" si="15"/>
        <v>CAPNOMINA SUCURSALE3</v>
      </c>
      <c r="B990" t="s">
        <v>1277</v>
      </c>
      <c r="C990" s="1">
        <v>45821</v>
      </c>
      <c r="D990" t="s">
        <v>31</v>
      </c>
      <c r="E990" t="s">
        <v>154</v>
      </c>
      <c r="F990" s="3" t="s">
        <v>109</v>
      </c>
      <c r="J990" s="386">
        <v>12184.4</v>
      </c>
      <c r="K990"/>
      <c r="L990" s="3"/>
    </row>
    <row r="991" spans="1:12" ht="15">
      <c r="A991" s="137" t="str">
        <f t="shared" si="15"/>
        <v>CAPNOMINA SUCURSALE4</v>
      </c>
      <c r="B991" t="s">
        <v>1277</v>
      </c>
      <c r="C991" s="1">
        <v>45821</v>
      </c>
      <c r="D991" t="s">
        <v>31</v>
      </c>
      <c r="E991" t="s">
        <v>154</v>
      </c>
      <c r="F991" s="3" t="s">
        <v>110</v>
      </c>
      <c r="J991" s="386">
        <v>15326.4</v>
      </c>
      <c r="K991"/>
      <c r="L991" s="3"/>
    </row>
    <row r="992" spans="1:12" ht="15">
      <c r="A992" s="137" t="str">
        <f t="shared" si="15"/>
        <v>CAPNOMINA SUCURSALE5</v>
      </c>
      <c r="B992" t="s">
        <v>1277</v>
      </c>
      <c r="C992" s="1">
        <v>45821</v>
      </c>
      <c r="D992" t="s">
        <v>31</v>
      </c>
      <c r="E992" t="s">
        <v>154</v>
      </c>
      <c r="F992" s="3" t="s">
        <v>111</v>
      </c>
      <c r="J992" s="386">
        <v>19401.8</v>
      </c>
      <c r="K992"/>
      <c r="L992" s="3"/>
    </row>
    <row r="993" spans="1:12" ht="15">
      <c r="A993" s="137" t="str">
        <f t="shared" si="15"/>
        <v>CAPNOMINA SUCURSALE6</v>
      </c>
      <c r="B993" t="s">
        <v>1277</v>
      </c>
      <c r="C993" s="1">
        <v>45821</v>
      </c>
      <c r="D993" t="s">
        <v>31</v>
      </c>
      <c r="E993" t="s">
        <v>154</v>
      </c>
      <c r="F993" s="3" t="s">
        <v>112</v>
      </c>
      <c r="J993" s="386">
        <v>12766.4</v>
      </c>
      <c r="K993"/>
      <c r="L993" s="3"/>
    </row>
    <row r="994" spans="1:12" ht="15">
      <c r="A994" s="137" t="str">
        <f t="shared" si="15"/>
        <v>CAPNOMINA SUCURSALE7</v>
      </c>
      <c r="B994" t="s">
        <v>1277</v>
      </c>
      <c r="C994" s="1">
        <v>45821</v>
      </c>
      <c r="D994" t="s">
        <v>31</v>
      </c>
      <c r="E994" t="s">
        <v>154</v>
      </c>
      <c r="F994" s="3" t="s">
        <v>113</v>
      </c>
      <c r="J994" s="386">
        <v>13911.8</v>
      </c>
      <c r="K994"/>
      <c r="L994" s="3"/>
    </row>
    <row r="995" spans="1:12" ht="15">
      <c r="A995" s="137" t="str">
        <f t="shared" si="15"/>
        <v>CAPNOMINA SUCURSALE8</v>
      </c>
      <c r="B995" t="s">
        <v>1277</v>
      </c>
      <c r="C995" s="1">
        <v>45821</v>
      </c>
      <c r="D995" t="s">
        <v>31</v>
      </c>
      <c r="E995" t="s">
        <v>154</v>
      </c>
      <c r="F995" s="3" t="s">
        <v>114</v>
      </c>
      <c r="J995" s="386">
        <v>25369.200000000001</v>
      </c>
      <c r="K995"/>
      <c r="L995" s="3"/>
    </row>
    <row r="996" spans="1:12" ht="15">
      <c r="A996" s="137" t="str">
        <f t="shared" si="15"/>
        <v>CAPNOMINA SUCURSALE9</v>
      </c>
      <c r="B996" t="s">
        <v>1277</v>
      </c>
      <c r="C996" s="1">
        <v>45821</v>
      </c>
      <c r="D996" t="s">
        <v>31</v>
      </c>
      <c r="E996" t="s">
        <v>154</v>
      </c>
      <c r="F996" s="3" t="s">
        <v>116</v>
      </c>
      <c r="J996" s="386">
        <v>31531.200000000001</v>
      </c>
      <c r="K996"/>
      <c r="L996" s="3"/>
    </row>
    <row r="997" spans="1:12" ht="15">
      <c r="A997" s="137" t="str">
        <f t="shared" si="15"/>
        <v>ELINOMINA SUCURSALL1</v>
      </c>
      <c r="B997" t="s">
        <v>1277</v>
      </c>
      <c r="C997" s="1">
        <v>45821</v>
      </c>
      <c r="D997" t="s">
        <v>130</v>
      </c>
      <c r="E997" t="s">
        <v>154</v>
      </c>
      <c r="F997" t="s">
        <v>136</v>
      </c>
      <c r="J997" s="386">
        <v>10087.799999999999</v>
      </c>
      <c r="K997"/>
    </row>
    <row r="998" spans="1:12" ht="15">
      <c r="A998" s="137" t="str">
        <f t="shared" si="15"/>
        <v>HRNOMINA ADMONHR</v>
      </c>
      <c r="B998" t="s">
        <v>1277</v>
      </c>
      <c r="C998" s="1">
        <v>45821</v>
      </c>
      <c r="D998" t="s">
        <v>29</v>
      </c>
      <c r="E998" t="s">
        <v>147</v>
      </c>
      <c r="F998" t="s">
        <v>29</v>
      </c>
      <c r="J998" s="386">
        <v>28344.21</v>
      </c>
    </row>
    <row r="999" spans="1:12" ht="15">
      <c r="A999" s="137" t="str">
        <f t="shared" si="15"/>
        <v>CAPNOMINA ADMONCAPRICHOS</v>
      </c>
      <c r="B999" t="s">
        <v>1277</v>
      </c>
      <c r="C999" s="1">
        <v>45821</v>
      </c>
      <c r="D999" t="s">
        <v>31</v>
      </c>
      <c r="E999" t="s">
        <v>147</v>
      </c>
      <c r="F999" t="s">
        <v>33</v>
      </c>
      <c r="J999" s="386">
        <v>23716.6</v>
      </c>
    </row>
    <row r="1000" spans="1:12" ht="15">
      <c r="A1000" s="137" t="str">
        <f t="shared" si="15"/>
        <v>SERVICIOSNOMINA SUCURSALCEDIS</v>
      </c>
      <c r="B1000" t="s">
        <v>1277</v>
      </c>
      <c r="C1000" s="1">
        <v>45821</v>
      </c>
      <c r="D1000" t="s">
        <v>21</v>
      </c>
      <c r="E1000" t="s">
        <v>154</v>
      </c>
      <c r="F1000" t="s">
        <v>28</v>
      </c>
      <c r="J1000" s="386">
        <v>56132.13</v>
      </c>
    </row>
    <row r="1001" spans="1:12" ht="15">
      <c r="A1001" s="137" t="str">
        <f t="shared" si="15"/>
        <v>SERVICIOSNOMINA ADMONINVENTARIOS</v>
      </c>
      <c r="B1001" t="s">
        <v>1277</v>
      </c>
      <c r="C1001" s="1">
        <v>45821</v>
      </c>
      <c r="D1001" t="s">
        <v>21</v>
      </c>
      <c r="E1001" t="s">
        <v>147</v>
      </c>
      <c r="F1001" t="s">
        <v>34</v>
      </c>
      <c r="J1001" s="386">
        <v>2700</v>
      </c>
    </row>
    <row r="1002" spans="1:12" ht="15">
      <c r="A1002" s="137" t="str">
        <f t="shared" si="15"/>
        <v>SERVICIOSNOMINA ADMONMANTENIMIENTO</v>
      </c>
      <c r="B1002" t="s">
        <v>1277</v>
      </c>
      <c r="C1002" s="1">
        <v>45821</v>
      </c>
      <c r="D1002" t="s">
        <v>21</v>
      </c>
      <c r="E1002" t="s">
        <v>147</v>
      </c>
      <c r="F1002" t="s">
        <v>35</v>
      </c>
      <c r="J1002" s="386">
        <v>4580.83</v>
      </c>
    </row>
    <row r="1003" spans="1:12" ht="15">
      <c r="A1003" s="137" t="str">
        <f t="shared" si="15"/>
        <v>SERVICIOSNOMINA ADMONCADENA DE SUMINISTROS</v>
      </c>
      <c r="B1003" t="s">
        <v>1277</v>
      </c>
      <c r="C1003" s="1">
        <v>45821</v>
      </c>
      <c r="D1003" t="s">
        <v>21</v>
      </c>
      <c r="E1003" t="s">
        <v>147</v>
      </c>
      <c r="F1003" t="s">
        <v>134</v>
      </c>
      <c r="J1003" s="386">
        <v>15723.2</v>
      </c>
    </row>
    <row r="1004" spans="1:12" ht="15">
      <c r="A1004" s="137" t="str">
        <f t="shared" si="15"/>
        <v>SERVICIOSNOMINA ADMONSISTEMAS</v>
      </c>
      <c r="B1004" t="s">
        <v>1277</v>
      </c>
      <c r="C1004" s="1">
        <v>45821</v>
      </c>
      <c r="D1004" t="s">
        <v>21</v>
      </c>
      <c r="E1004" t="s">
        <v>147</v>
      </c>
      <c r="F1004" t="s">
        <v>36</v>
      </c>
      <c r="J1004" s="386">
        <v>10146.09</v>
      </c>
    </row>
    <row r="1005" spans="1:12" ht="15">
      <c r="A1005" s="137" t="str">
        <f t="shared" si="15"/>
        <v>SERVICIOSNOMINA ADMONCOMPRAS</v>
      </c>
      <c r="B1005" t="s">
        <v>1277</v>
      </c>
      <c r="C1005" s="1">
        <v>45821</v>
      </c>
      <c r="D1005" t="s">
        <v>21</v>
      </c>
      <c r="E1005" t="s">
        <v>147</v>
      </c>
      <c r="F1005" t="s">
        <v>148</v>
      </c>
      <c r="J1005" s="386">
        <v>20591.11</v>
      </c>
    </row>
    <row r="1006" spans="1:12" ht="15">
      <c r="A1006" s="137" t="str">
        <f t="shared" si="15"/>
        <v>FINANZASNOMINA ADMONCONTABILIDAD</v>
      </c>
      <c r="B1006" t="s">
        <v>1277</v>
      </c>
      <c r="C1006" s="1">
        <v>45821</v>
      </c>
      <c r="D1006" t="s">
        <v>23</v>
      </c>
      <c r="E1006" t="s">
        <v>147</v>
      </c>
      <c r="F1006" t="s">
        <v>37</v>
      </c>
      <c r="J1006" s="386">
        <v>10399.469999999999</v>
      </c>
    </row>
    <row r="1007" spans="1:12" ht="15">
      <c r="A1007" s="137" t="str">
        <f t="shared" si="15"/>
        <v>FINANZASNOMINA ADMONFINANZAS/LEGAL</v>
      </c>
      <c r="B1007" t="s">
        <v>1277</v>
      </c>
      <c r="C1007" s="1">
        <v>45821</v>
      </c>
      <c r="D1007" t="s">
        <v>23</v>
      </c>
      <c r="E1007" t="s">
        <v>147</v>
      </c>
      <c r="F1007" t="s">
        <v>149</v>
      </c>
      <c r="J1007" s="386">
        <v>9892.59</v>
      </c>
    </row>
    <row r="1008" spans="1:12" ht="15">
      <c r="A1008" s="137" t="str">
        <f t="shared" si="15"/>
        <v>FINANZASNOMINA ADMONRECURSOS HUMANOS</v>
      </c>
      <c r="B1008" t="s">
        <v>1277</v>
      </c>
      <c r="C1008" s="1">
        <v>45821</v>
      </c>
      <c r="D1008" t="s">
        <v>23</v>
      </c>
      <c r="E1008" t="s">
        <v>147</v>
      </c>
      <c r="F1008" t="s">
        <v>125</v>
      </c>
      <c r="J1008" s="386">
        <v>11048.98</v>
      </c>
    </row>
    <row r="1009" spans="1:10" ht="15">
      <c r="A1009" s="137" t="str">
        <f t="shared" si="15"/>
        <v>FINANZASNOMINA ADMONTESORERIA</v>
      </c>
      <c r="B1009" t="s">
        <v>1277</v>
      </c>
      <c r="C1009" s="1">
        <v>45821</v>
      </c>
      <c r="D1009" t="s">
        <v>23</v>
      </c>
      <c r="E1009" t="s">
        <v>147</v>
      </c>
      <c r="F1009" t="s">
        <v>38</v>
      </c>
      <c r="J1009" s="386">
        <v>12153.2</v>
      </c>
    </row>
    <row r="1010" spans="1:10" ht="15">
      <c r="A1010" s="137" t="str">
        <f t="shared" si="15"/>
        <v>FINANZASNOMINA ADMONHBG FINANZAS</v>
      </c>
      <c r="B1010" t="s">
        <v>1277</v>
      </c>
      <c r="C1010" s="1">
        <v>45821</v>
      </c>
      <c r="D1010" t="s">
        <v>23</v>
      </c>
      <c r="E1010" t="s">
        <v>147</v>
      </c>
      <c r="F1010" t="s">
        <v>150</v>
      </c>
      <c r="J1010" s="386">
        <v>2554</v>
      </c>
    </row>
    <row r="1011" spans="1:10" ht="15">
      <c r="A1011" s="137" t="str">
        <f t="shared" si="15"/>
        <v>SGENOMINA ADMONGESTION EMPRESARIAL</v>
      </c>
      <c r="B1011" t="s">
        <v>1277</v>
      </c>
      <c r="C1011" s="1">
        <v>45821</v>
      </c>
      <c r="D1011" t="s">
        <v>39</v>
      </c>
      <c r="E1011" t="s">
        <v>147</v>
      </c>
      <c r="F1011" t="s">
        <v>40</v>
      </c>
      <c r="J1011" s="386">
        <v>21575.1</v>
      </c>
    </row>
    <row r="1012" spans="1:10" ht="15">
      <c r="A1012" s="137" t="str">
        <f t="shared" si="15"/>
        <v>DENOMINA ADMONDIRECCION</v>
      </c>
      <c r="B1012" t="s">
        <v>1277</v>
      </c>
      <c r="C1012" s="1">
        <v>45821</v>
      </c>
      <c r="D1012" t="s">
        <v>41</v>
      </c>
      <c r="E1012" t="s">
        <v>147</v>
      </c>
      <c r="F1012" t="s">
        <v>42</v>
      </c>
      <c r="J1012" s="386">
        <v>6000.2</v>
      </c>
    </row>
    <row r="1013" spans="1:10" ht="15">
      <c r="A1013" s="137" t="str">
        <f t="shared" si="15"/>
        <v>MMNOMINA ADMONMARKET MAX</v>
      </c>
      <c r="B1013" t="s">
        <v>1277</v>
      </c>
      <c r="C1013" s="1">
        <v>45821</v>
      </c>
      <c r="D1013" t="s">
        <v>45</v>
      </c>
      <c r="E1013" t="s">
        <v>147</v>
      </c>
      <c r="F1013" s="12" t="s">
        <v>46</v>
      </c>
      <c r="J1013" s="386">
        <v>6000.94</v>
      </c>
    </row>
    <row r="1014" spans="1:10" ht="15">
      <c r="A1014" s="137" t="str">
        <f t="shared" si="15"/>
        <v>FINANZASNOMINA ADMONHBG FINANZAS</v>
      </c>
      <c r="B1014" t="s">
        <v>1277</v>
      </c>
      <c r="C1014" s="1">
        <v>45821</v>
      </c>
      <c r="D1014" t="s">
        <v>23</v>
      </c>
      <c r="E1014" t="s">
        <v>147</v>
      </c>
      <c r="F1014" s="12" t="s">
        <v>150</v>
      </c>
      <c r="J1014" s="385">
        <v>10950</v>
      </c>
    </row>
    <row r="1015" spans="1:10" ht="15">
      <c r="A1015" s="137" t="str">
        <f t="shared" si="15"/>
        <v>HRNOMINA ADMONHR</v>
      </c>
      <c r="B1015" t="s">
        <v>1277</v>
      </c>
      <c r="C1015" s="1">
        <v>45821</v>
      </c>
      <c r="D1015" t="s">
        <v>29</v>
      </c>
      <c r="E1015" t="s">
        <v>147</v>
      </c>
      <c r="F1015" s="3" t="s">
        <v>29</v>
      </c>
      <c r="J1015" s="385">
        <v>5500</v>
      </c>
    </row>
    <row r="1016" spans="1:10" ht="15">
      <c r="A1016" s="137" t="str">
        <f t="shared" si="15"/>
        <v>CAPNOMINA ADMONCAPRICHOS</v>
      </c>
      <c r="B1016" t="s">
        <v>1277</v>
      </c>
      <c r="C1016" s="1">
        <v>45821</v>
      </c>
      <c r="D1016" t="s">
        <v>31</v>
      </c>
      <c r="E1016" t="s">
        <v>147</v>
      </c>
      <c r="F1016" s="12" t="s">
        <v>33</v>
      </c>
      <c r="J1016" s="385">
        <v>3700</v>
      </c>
    </row>
    <row r="1017" spans="1:10" ht="15">
      <c r="A1017" s="137" t="str">
        <f t="shared" si="15"/>
        <v>SGENOMINA ADMONGESTION EMPRESARIAL</v>
      </c>
      <c r="B1017" t="s">
        <v>1277</v>
      </c>
      <c r="C1017" s="1">
        <v>45821</v>
      </c>
      <c r="D1017" t="s">
        <v>39</v>
      </c>
      <c r="E1017" t="s">
        <v>147</v>
      </c>
      <c r="F1017" s="12" t="s">
        <v>40</v>
      </c>
      <c r="J1017" s="385">
        <v>2750</v>
      </c>
    </row>
    <row r="1018" spans="1:10" ht="15">
      <c r="A1018" s="137" t="str">
        <f t="shared" si="15"/>
        <v>SERVICIOSNOMINA ADMONSERVICIOS</v>
      </c>
      <c r="B1018" t="s">
        <v>1277</v>
      </c>
      <c r="C1018" s="1">
        <v>45821</v>
      </c>
      <c r="D1018" t="s">
        <v>21</v>
      </c>
      <c r="E1018" t="s">
        <v>147</v>
      </c>
      <c r="F1018" s="12" t="s">
        <v>21</v>
      </c>
      <c r="J1018" s="385">
        <v>4750</v>
      </c>
    </row>
    <row r="1019" spans="1:10" ht="15">
      <c r="A1019" s="137" t="str">
        <f t="shared" si="15"/>
        <v>DENOMINA ADMONDIRECCION</v>
      </c>
      <c r="B1019" t="s">
        <v>1277</v>
      </c>
      <c r="C1019" s="1">
        <v>45821</v>
      </c>
      <c r="D1019" t="s">
        <v>41</v>
      </c>
      <c r="E1019" t="s">
        <v>147</v>
      </c>
      <c r="F1019" s="12" t="s">
        <v>42</v>
      </c>
      <c r="J1019" s="385">
        <v>5750</v>
      </c>
    </row>
    <row r="1020" spans="1:10" ht="15">
      <c r="A1020" s="137" t="str">
        <f t="shared" si="15"/>
        <v>MMNOMINA ADMONMARKET MAX</v>
      </c>
      <c r="B1020" t="s">
        <v>1277</v>
      </c>
      <c r="C1020" s="1">
        <v>45821</v>
      </c>
      <c r="D1020" t="s">
        <v>45</v>
      </c>
      <c r="E1020" t="s">
        <v>147</v>
      </c>
      <c r="F1020" s="12" t="s">
        <v>46</v>
      </c>
      <c r="J1020" s="385">
        <v>2000</v>
      </c>
    </row>
    <row r="1021" spans="1:10" ht="15">
      <c r="A1021" s="137" t="str">
        <f t="shared" si="15"/>
        <v>HRVACACIONES/FINIQUITOSHR</v>
      </c>
      <c r="B1021" t="s">
        <v>4806</v>
      </c>
      <c r="C1021" s="1">
        <v>45821</v>
      </c>
      <c r="D1021" t="s">
        <v>29</v>
      </c>
      <c r="E1021" s="12" t="s">
        <v>190</v>
      </c>
      <c r="F1021" t="s">
        <v>29</v>
      </c>
      <c r="J1021" s="385">
        <v>5500</v>
      </c>
    </row>
    <row r="1022" spans="1:10" ht="15">
      <c r="A1022" s="137" t="str">
        <f t="shared" si="15"/>
        <v>SERVICIOSVACACIONES/FINIQUITOSSERVICIOS</v>
      </c>
      <c r="B1022" t="s">
        <v>4806</v>
      </c>
      <c r="C1022" s="1">
        <v>45821</v>
      </c>
      <c r="D1022" t="s">
        <v>21</v>
      </c>
      <c r="E1022" s="12" t="s">
        <v>190</v>
      </c>
      <c r="F1022" t="s">
        <v>21</v>
      </c>
      <c r="J1022" s="385">
        <v>2035</v>
      </c>
    </row>
    <row r="1023" spans="1:10" ht="15">
      <c r="A1023" s="137" t="str">
        <f t="shared" si="15"/>
        <v>CAPVACACIONES/FINIQUITOSCAPRICHOS</v>
      </c>
      <c r="B1023" t="s">
        <v>4806</v>
      </c>
      <c r="C1023" s="1">
        <v>45821</v>
      </c>
      <c r="D1023" t="s">
        <v>31</v>
      </c>
      <c r="E1023" t="s">
        <v>190</v>
      </c>
      <c r="F1023" s="12" t="s">
        <v>33</v>
      </c>
      <c r="J1023" s="385">
        <v>550</v>
      </c>
    </row>
    <row r="1024" spans="1:10" ht="15">
      <c r="A1024" s="137" t="str">
        <f t="shared" si="15"/>
        <v>HRVACACIONES/FINIQUITOSHR</v>
      </c>
      <c r="B1024" t="s">
        <v>4806</v>
      </c>
      <c r="C1024" s="1">
        <v>45821</v>
      </c>
      <c r="D1024" t="s">
        <v>29</v>
      </c>
      <c r="E1024" s="12" t="s">
        <v>190</v>
      </c>
      <c r="F1024" t="s">
        <v>29</v>
      </c>
      <c r="J1024" s="385">
        <v>1200</v>
      </c>
    </row>
    <row r="1025" spans="1:10" ht="15">
      <c r="A1025" s="137" t="str">
        <f t="shared" si="15"/>
        <v>HRNOMINA SUCURSALA1</v>
      </c>
      <c r="B1025" t="s">
        <v>4806</v>
      </c>
      <c r="C1025" s="1">
        <v>45828</v>
      </c>
      <c r="D1025" t="s">
        <v>29</v>
      </c>
      <c r="E1025" t="s">
        <v>154</v>
      </c>
      <c r="F1025" s="3" t="s">
        <v>88</v>
      </c>
      <c r="J1025" s="386">
        <v>10632.8</v>
      </c>
    </row>
    <row r="1026" spans="1:10" ht="15">
      <c r="A1026" s="137" t="str">
        <f t="shared" si="15"/>
        <v>HRNOMINA SUCURSALA2</v>
      </c>
      <c r="B1026" t="s">
        <v>4806</v>
      </c>
      <c r="C1026" s="1">
        <v>45828</v>
      </c>
      <c r="D1026" t="s">
        <v>29</v>
      </c>
      <c r="E1026" t="s">
        <v>154</v>
      </c>
      <c r="F1026" s="3" t="s">
        <v>89</v>
      </c>
      <c r="J1026" s="386">
        <v>13984.2</v>
      </c>
    </row>
    <row r="1027" spans="1:10" ht="15">
      <c r="A1027" s="137" t="str">
        <f t="shared" si="15"/>
        <v>HRNOMINA SUCURSALA3</v>
      </c>
      <c r="B1027" t="s">
        <v>4806</v>
      </c>
      <c r="C1027" s="1">
        <v>45828</v>
      </c>
      <c r="D1027" t="s">
        <v>29</v>
      </c>
      <c r="E1027" t="s">
        <v>154</v>
      </c>
      <c r="F1027" s="3" t="s">
        <v>90</v>
      </c>
      <c r="J1027" s="386">
        <v>9595.4</v>
      </c>
    </row>
    <row r="1028" spans="1:10" ht="15">
      <c r="A1028" s="137" t="str">
        <f t="shared" ref="A1028:A1091" si="16">D1028&amp;E1028&amp;F1028</f>
        <v>HRNOMINA SUCURSALA4</v>
      </c>
      <c r="B1028" t="s">
        <v>4806</v>
      </c>
      <c r="C1028" s="1">
        <v>45828</v>
      </c>
      <c r="D1028" t="s">
        <v>29</v>
      </c>
      <c r="E1028" t="s">
        <v>154</v>
      </c>
      <c r="F1028" s="3" t="s">
        <v>91</v>
      </c>
      <c r="J1028" s="386">
        <v>10846.8</v>
      </c>
    </row>
    <row r="1029" spans="1:10" ht="15">
      <c r="A1029" s="137" t="str">
        <f t="shared" si="16"/>
        <v>HRNOMINA SUCURSALA5</v>
      </c>
      <c r="B1029" t="s">
        <v>4806</v>
      </c>
      <c r="C1029" s="1">
        <v>45828</v>
      </c>
      <c r="D1029" t="s">
        <v>29</v>
      </c>
      <c r="E1029" t="s">
        <v>154</v>
      </c>
      <c r="F1029" s="3" t="s">
        <v>92</v>
      </c>
      <c r="J1029" s="386">
        <v>10032.4</v>
      </c>
    </row>
    <row r="1030" spans="1:10" ht="15">
      <c r="A1030" s="137" t="str">
        <f t="shared" si="16"/>
        <v>HRNOMINA SUCURSALA6</v>
      </c>
      <c r="B1030" t="s">
        <v>4806</v>
      </c>
      <c r="C1030" s="1">
        <v>45828</v>
      </c>
      <c r="D1030" t="s">
        <v>29</v>
      </c>
      <c r="E1030" t="s">
        <v>154</v>
      </c>
      <c r="F1030" s="3" t="s">
        <v>93</v>
      </c>
      <c r="J1030" s="386">
        <v>11677.69</v>
      </c>
    </row>
    <row r="1031" spans="1:10" ht="15">
      <c r="A1031" s="137" t="str">
        <f t="shared" si="16"/>
        <v>HRNOMINA SUCURSALA8</v>
      </c>
      <c r="B1031" t="s">
        <v>4806</v>
      </c>
      <c r="C1031" s="1">
        <v>45828</v>
      </c>
      <c r="D1031" t="s">
        <v>29</v>
      </c>
      <c r="E1031" t="s">
        <v>154</v>
      </c>
      <c r="F1031" s="3" t="s">
        <v>94</v>
      </c>
      <c r="J1031" s="386">
        <v>19658.400000000001</v>
      </c>
    </row>
    <row r="1032" spans="1:10" ht="15">
      <c r="A1032" s="137" t="str">
        <f t="shared" si="16"/>
        <v>HRNOMINA SUCURSALA9</v>
      </c>
      <c r="B1032" t="s">
        <v>4806</v>
      </c>
      <c r="C1032" s="1">
        <v>45828</v>
      </c>
      <c r="D1032" t="s">
        <v>29</v>
      </c>
      <c r="E1032" t="s">
        <v>154</v>
      </c>
      <c r="F1032" s="3" t="s">
        <v>95</v>
      </c>
      <c r="J1032" s="386">
        <v>10121.89</v>
      </c>
    </row>
    <row r="1033" spans="1:10" ht="15">
      <c r="A1033" s="137" t="str">
        <f t="shared" si="16"/>
        <v>HRNOMINA SUCURSALA10</v>
      </c>
      <c r="B1033" t="s">
        <v>4806</v>
      </c>
      <c r="C1033" s="1">
        <v>45828</v>
      </c>
      <c r="D1033" t="s">
        <v>29</v>
      </c>
      <c r="E1033" t="s">
        <v>154</v>
      </c>
      <c r="F1033" s="3" t="s">
        <v>96</v>
      </c>
      <c r="J1033" s="386">
        <v>14757.6</v>
      </c>
    </row>
    <row r="1034" spans="1:10" ht="15">
      <c r="A1034" s="137" t="str">
        <f t="shared" si="16"/>
        <v>HRNOMINA SUCURSALA11</v>
      </c>
      <c r="B1034" t="s">
        <v>4806</v>
      </c>
      <c r="C1034" s="1">
        <v>45828</v>
      </c>
      <c r="D1034" t="s">
        <v>29</v>
      </c>
      <c r="E1034" t="s">
        <v>154</v>
      </c>
      <c r="F1034" s="62" t="s">
        <v>97</v>
      </c>
      <c r="J1034" s="386">
        <v>13291.2</v>
      </c>
    </row>
    <row r="1035" spans="1:10" ht="15">
      <c r="A1035" s="137" t="str">
        <f t="shared" si="16"/>
        <v>HRNOMINA SUCURSALA12</v>
      </c>
      <c r="B1035" t="s">
        <v>4806</v>
      </c>
      <c r="C1035" s="1">
        <v>45828</v>
      </c>
      <c r="D1035" t="s">
        <v>29</v>
      </c>
      <c r="E1035" t="s">
        <v>154</v>
      </c>
      <c r="F1035" s="3" t="s">
        <v>98</v>
      </c>
      <c r="J1035" s="386">
        <v>20212.490000000002</v>
      </c>
    </row>
    <row r="1036" spans="1:10" ht="15">
      <c r="A1036" s="137" t="str">
        <f t="shared" si="16"/>
        <v>HRNOMINA SUCURSALA14</v>
      </c>
      <c r="B1036" t="s">
        <v>4806</v>
      </c>
      <c r="C1036" s="1">
        <v>45828</v>
      </c>
      <c r="D1036" t="s">
        <v>29</v>
      </c>
      <c r="E1036" t="s">
        <v>154</v>
      </c>
      <c r="F1036" s="3" t="s">
        <v>99</v>
      </c>
      <c r="J1036" s="386">
        <v>11695.4</v>
      </c>
    </row>
    <row r="1037" spans="1:10" ht="15">
      <c r="A1037" s="137" t="str">
        <f t="shared" si="16"/>
        <v>HRNOMINA SUCURSALA15</v>
      </c>
      <c r="B1037" t="s">
        <v>4806</v>
      </c>
      <c r="C1037" s="1">
        <v>45828</v>
      </c>
      <c r="D1037" t="s">
        <v>29</v>
      </c>
      <c r="E1037" t="s">
        <v>154</v>
      </c>
      <c r="F1037" s="3" t="s">
        <v>100</v>
      </c>
      <c r="J1037" s="386">
        <v>11456.6</v>
      </c>
    </row>
    <row r="1038" spans="1:10" ht="15">
      <c r="A1038" s="137" t="str">
        <f t="shared" si="16"/>
        <v>HRNOMINA SUCURSALA16</v>
      </c>
      <c r="B1038" t="s">
        <v>4806</v>
      </c>
      <c r="C1038" s="1">
        <v>45828</v>
      </c>
      <c r="D1038" t="s">
        <v>29</v>
      </c>
      <c r="E1038" t="s">
        <v>154</v>
      </c>
      <c r="F1038" s="3" t="s">
        <v>101</v>
      </c>
      <c r="J1038" s="386">
        <v>16109.69</v>
      </c>
    </row>
    <row r="1039" spans="1:10" ht="15">
      <c r="A1039" s="137" t="str">
        <f t="shared" si="16"/>
        <v>HRNOMINA SUCURSALA17</v>
      </c>
      <c r="B1039" t="s">
        <v>4806</v>
      </c>
      <c r="C1039" s="1">
        <v>45828</v>
      </c>
      <c r="D1039" t="s">
        <v>29</v>
      </c>
      <c r="E1039" t="s">
        <v>154</v>
      </c>
      <c r="F1039" s="3" t="s">
        <v>102</v>
      </c>
      <c r="J1039" s="386">
        <v>10190.799999999999</v>
      </c>
    </row>
    <row r="1040" spans="1:10" ht="15">
      <c r="A1040" s="137" t="str">
        <f t="shared" si="16"/>
        <v>HRNOMINA SUCURSALA18</v>
      </c>
      <c r="B1040" t="s">
        <v>4806</v>
      </c>
      <c r="C1040" s="1">
        <v>45828</v>
      </c>
      <c r="D1040" t="s">
        <v>29</v>
      </c>
      <c r="E1040" t="s">
        <v>154</v>
      </c>
      <c r="F1040" s="3" t="s">
        <v>103</v>
      </c>
      <c r="J1040" s="386">
        <v>12938.8</v>
      </c>
    </row>
    <row r="1041" spans="1:10" ht="15">
      <c r="A1041" s="137" t="str">
        <f t="shared" si="16"/>
        <v>HRNOMINA SUCURSALA22</v>
      </c>
      <c r="B1041" t="s">
        <v>4806</v>
      </c>
      <c r="C1041" s="1">
        <v>45828</v>
      </c>
      <c r="D1041" t="s">
        <v>29</v>
      </c>
      <c r="E1041" t="s">
        <v>154</v>
      </c>
      <c r="F1041" s="3" t="s">
        <v>104</v>
      </c>
      <c r="J1041" s="386">
        <v>16612.400000000001</v>
      </c>
    </row>
    <row r="1042" spans="1:10" ht="15">
      <c r="A1042" s="137" t="str">
        <f t="shared" si="16"/>
        <v>HRNOMINA SUCURSALA23</v>
      </c>
      <c r="B1042" t="s">
        <v>4806</v>
      </c>
      <c r="C1042" s="1">
        <v>45828</v>
      </c>
      <c r="D1042" t="s">
        <v>29</v>
      </c>
      <c r="E1042" t="s">
        <v>154</v>
      </c>
      <c r="F1042" s="3" t="s">
        <v>105</v>
      </c>
      <c r="J1042" s="386">
        <v>14357.4</v>
      </c>
    </row>
    <row r="1043" spans="1:10" ht="15">
      <c r="A1043" s="137" t="str">
        <f t="shared" si="16"/>
        <v>HRNOMINA SUCURSALA24</v>
      </c>
      <c r="B1043" t="s">
        <v>4806</v>
      </c>
      <c r="C1043" s="1">
        <v>45828</v>
      </c>
      <c r="D1043" t="s">
        <v>29</v>
      </c>
      <c r="E1043" t="s">
        <v>154</v>
      </c>
      <c r="F1043" s="3" t="s">
        <v>106</v>
      </c>
      <c r="J1043" s="386">
        <v>13406</v>
      </c>
    </row>
    <row r="1044" spans="1:10" ht="15">
      <c r="A1044" s="137" t="str">
        <f t="shared" si="16"/>
        <v>CAPNOMINA SUCURSALE1</v>
      </c>
      <c r="B1044" t="s">
        <v>4806</v>
      </c>
      <c r="C1044" s="1">
        <v>45828</v>
      </c>
      <c r="D1044" t="s">
        <v>31</v>
      </c>
      <c r="E1044" t="s">
        <v>154</v>
      </c>
      <c r="F1044" s="3" t="s">
        <v>107</v>
      </c>
      <c r="J1044" s="386">
        <v>14445.8</v>
      </c>
    </row>
    <row r="1045" spans="1:10" ht="15">
      <c r="A1045" s="137" t="str">
        <f t="shared" si="16"/>
        <v>CAPNOMINA SUCURSALE2</v>
      </c>
      <c r="B1045" t="s">
        <v>4806</v>
      </c>
      <c r="C1045" s="1">
        <v>45828</v>
      </c>
      <c r="D1045" t="s">
        <v>31</v>
      </c>
      <c r="E1045" t="s">
        <v>154</v>
      </c>
      <c r="F1045" s="3" t="s">
        <v>108</v>
      </c>
      <c r="J1045" s="386">
        <v>21563.599999999999</v>
      </c>
    </row>
    <row r="1046" spans="1:10" ht="15">
      <c r="A1046" s="137" t="str">
        <f t="shared" si="16"/>
        <v>CAPNOMINA SUCURSALE3</v>
      </c>
      <c r="B1046" t="s">
        <v>4806</v>
      </c>
      <c r="C1046" s="1">
        <v>45828</v>
      </c>
      <c r="D1046" t="s">
        <v>31</v>
      </c>
      <c r="E1046" t="s">
        <v>154</v>
      </c>
      <c r="F1046" s="3" t="s">
        <v>109</v>
      </c>
      <c r="J1046" s="386">
        <v>11800.2</v>
      </c>
    </row>
    <row r="1047" spans="1:10" ht="15">
      <c r="A1047" s="137" t="str">
        <f t="shared" si="16"/>
        <v>CAPNOMINA SUCURSALE4</v>
      </c>
      <c r="B1047" t="s">
        <v>4806</v>
      </c>
      <c r="C1047" s="1">
        <v>45828</v>
      </c>
      <c r="D1047" t="s">
        <v>31</v>
      </c>
      <c r="E1047" t="s">
        <v>154</v>
      </c>
      <c r="F1047" s="3" t="s">
        <v>110</v>
      </c>
      <c r="J1047" s="386">
        <v>17415.2</v>
      </c>
    </row>
    <row r="1048" spans="1:10" ht="15">
      <c r="A1048" s="137" t="str">
        <f t="shared" si="16"/>
        <v>CAPNOMINA SUCURSALE5</v>
      </c>
      <c r="B1048" t="s">
        <v>4806</v>
      </c>
      <c r="C1048" s="1">
        <v>45828</v>
      </c>
      <c r="D1048" t="s">
        <v>31</v>
      </c>
      <c r="E1048" t="s">
        <v>154</v>
      </c>
      <c r="F1048" s="3" t="s">
        <v>111</v>
      </c>
      <c r="J1048" s="386">
        <v>18827.099999999999</v>
      </c>
    </row>
    <row r="1049" spans="1:10" ht="15">
      <c r="A1049" s="137" t="str">
        <f t="shared" si="16"/>
        <v>CAPNOMINA SUCURSALE6</v>
      </c>
      <c r="B1049" t="s">
        <v>4806</v>
      </c>
      <c r="C1049" s="1">
        <v>45828</v>
      </c>
      <c r="D1049" t="s">
        <v>31</v>
      </c>
      <c r="E1049" t="s">
        <v>154</v>
      </c>
      <c r="F1049" s="3" t="s">
        <v>112</v>
      </c>
      <c r="J1049" s="386">
        <v>13167.2</v>
      </c>
    </row>
    <row r="1050" spans="1:10" ht="15">
      <c r="A1050" s="137" t="str">
        <f t="shared" si="16"/>
        <v>CAPNOMINA SUCURSALE7</v>
      </c>
      <c r="B1050" t="s">
        <v>4806</v>
      </c>
      <c r="C1050" s="1">
        <v>45828</v>
      </c>
      <c r="D1050" t="s">
        <v>31</v>
      </c>
      <c r="E1050" t="s">
        <v>154</v>
      </c>
      <c r="F1050" s="3" t="s">
        <v>113</v>
      </c>
      <c r="J1050" s="386">
        <v>13460.4</v>
      </c>
    </row>
    <row r="1051" spans="1:10" ht="15">
      <c r="A1051" s="137" t="str">
        <f t="shared" si="16"/>
        <v>CAPNOMINA SUCURSALE8</v>
      </c>
      <c r="B1051" t="s">
        <v>4806</v>
      </c>
      <c r="C1051" s="1">
        <v>45828</v>
      </c>
      <c r="D1051" t="s">
        <v>31</v>
      </c>
      <c r="E1051" t="s">
        <v>154</v>
      </c>
      <c r="F1051" s="3" t="s">
        <v>114</v>
      </c>
      <c r="J1051" s="386">
        <v>23781.4</v>
      </c>
    </row>
    <row r="1052" spans="1:10" ht="15">
      <c r="A1052" s="137" t="str">
        <f t="shared" si="16"/>
        <v>CAPNOMINA SUCURSALE9</v>
      </c>
      <c r="B1052" t="s">
        <v>4806</v>
      </c>
      <c r="C1052" s="1">
        <v>45828</v>
      </c>
      <c r="D1052" t="s">
        <v>31</v>
      </c>
      <c r="E1052" t="s">
        <v>154</v>
      </c>
      <c r="F1052" s="3" t="s">
        <v>116</v>
      </c>
      <c r="J1052" s="386">
        <v>33689.599999999999</v>
      </c>
    </row>
    <row r="1053" spans="1:10" ht="15">
      <c r="A1053" s="137" t="str">
        <f t="shared" si="16"/>
        <v>ELINOMINA SUCURSALL1</v>
      </c>
      <c r="B1053" t="s">
        <v>4806</v>
      </c>
      <c r="C1053" s="1">
        <v>45828</v>
      </c>
      <c r="D1053" t="s">
        <v>130</v>
      </c>
      <c r="E1053" t="s">
        <v>154</v>
      </c>
      <c r="F1053" t="s">
        <v>136</v>
      </c>
      <c r="J1053" s="386">
        <v>10232.6</v>
      </c>
    </row>
    <row r="1054" spans="1:10" ht="15">
      <c r="A1054" s="137" t="str">
        <f t="shared" si="16"/>
        <v>HRNOMINA ADMONHR</v>
      </c>
      <c r="B1054" t="s">
        <v>4806</v>
      </c>
      <c r="C1054" s="1">
        <v>45828</v>
      </c>
      <c r="D1054" t="s">
        <v>29</v>
      </c>
      <c r="E1054" t="s">
        <v>147</v>
      </c>
      <c r="F1054" t="s">
        <v>29</v>
      </c>
      <c r="J1054" s="386">
        <v>32062.01</v>
      </c>
    </row>
    <row r="1055" spans="1:10" ht="15">
      <c r="A1055" s="137" t="str">
        <f t="shared" si="16"/>
        <v>CAPNOMINA ADMONCAPRICHOS</v>
      </c>
      <c r="B1055" t="s">
        <v>4806</v>
      </c>
      <c r="C1055" s="1">
        <v>45828</v>
      </c>
      <c r="D1055" t="s">
        <v>31</v>
      </c>
      <c r="E1055" t="s">
        <v>147</v>
      </c>
      <c r="F1055" t="s">
        <v>33</v>
      </c>
      <c r="J1055" s="386">
        <v>26519.8</v>
      </c>
    </row>
    <row r="1056" spans="1:10" ht="15">
      <c r="A1056" s="137" t="str">
        <f t="shared" si="16"/>
        <v>SERVICIOSNOMINA SUCURSALCEDIS</v>
      </c>
      <c r="B1056" t="s">
        <v>4806</v>
      </c>
      <c r="C1056" s="1">
        <v>45828</v>
      </c>
      <c r="D1056" t="s">
        <v>21</v>
      </c>
      <c r="E1056" t="s">
        <v>154</v>
      </c>
      <c r="F1056" t="s">
        <v>28</v>
      </c>
      <c r="J1056" s="386">
        <v>54485.73</v>
      </c>
    </row>
    <row r="1057" spans="1:10" ht="15">
      <c r="A1057" s="137" t="str">
        <f t="shared" si="16"/>
        <v>SERVICIOSNOMINA ADMONINVENTARIOS</v>
      </c>
      <c r="B1057" t="s">
        <v>4806</v>
      </c>
      <c r="C1057" s="1">
        <v>45828</v>
      </c>
      <c r="D1057" t="s">
        <v>21</v>
      </c>
      <c r="E1057" t="s">
        <v>147</v>
      </c>
      <c r="F1057" t="s">
        <v>34</v>
      </c>
      <c r="J1057" s="386">
        <v>2410.6</v>
      </c>
    </row>
    <row r="1058" spans="1:10" ht="15">
      <c r="A1058" s="137" t="str">
        <f t="shared" si="16"/>
        <v>SERVICIOSNOMINA ADMONMANTENIMIENTO</v>
      </c>
      <c r="B1058" t="s">
        <v>4806</v>
      </c>
      <c r="C1058" s="1">
        <v>45828</v>
      </c>
      <c r="D1058" t="s">
        <v>21</v>
      </c>
      <c r="E1058" t="s">
        <v>147</v>
      </c>
      <c r="F1058" t="s">
        <v>35</v>
      </c>
      <c r="J1058" s="386">
        <v>9270.6299999999992</v>
      </c>
    </row>
    <row r="1059" spans="1:10" ht="15">
      <c r="A1059" s="137" t="str">
        <f t="shared" si="16"/>
        <v>SERVICIOSNOMINA ADMONCADENA DE SUMINISTROS</v>
      </c>
      <c r="B1059" t="s">
        <v>4806</v>
      </c>
      <c r="C1059" s="1">
        <v>45828</v>
      </c>
      <c r="D1059" t="s">
        <v>21</v>
      </c>
      <c r="E1059" t="s">
        <v>147</v>
      </c>
      <c r="F1059" t="s">
        <v>134</v>
      </c>
      <c r="J1059" s="386">
        <v>17444.2</v>
      </c>
    </row>
    <row r="1060" spans="1:10" ht="15">
      <c r="A1060" s="137" t="str">
        <f t="shared" si="16"/>
        <v>SERVICIOSNOMINA ADMONSISTEMAS</v>
      </c>
      <c r="B1060" t="s">
        <v>4806</v>
      </c>
      <c r="C1060" s="1">
        <v>45828</v>
      </c>
      <c r="D1060" t="s">
        <v>21</v>
      </c>
      <c r="E1060" t="s">
        <v>147</v>
      </c>
      <c r="F1060" t="s">
        <v>36</v>
      </c>
      <c r="J1060" s="386">
        <v>10146.09</v>
      </c>
    </row>
    <row r="1061" spans="1:10" ht="15">
      <c r="A1061" s="137" t="str">
        <f t="shared" si="16"/>
        <v>SERVICIOSNOMINA ADMONCOMPRAS</v>
      </c>
      <c r="B1061" t="s">
        <v>4806</v>
      </c>
      <c r="C1061" s="1">
        <v>45828</v>
      </c>
      <c r="D1061" t="s">
        <v>21</v>
      </c>
      <c r="E1061" t="s">
        <v>147</v>
      </c>
      <c r="F1061" t="s">
        <v>148</v>
      </c>
      <c r="J1061" s="386">
        <v>20591.310000000001</v>
      </c>
    </row>
    <row r="1062" spans="1:10" ht="15">
      <c r="A1062" s="137" t="str">
        <f t="shared" si="16"/>
        <v>FINANZASNOMINA ADMONCONTABILIDAD</v>
      </c>
      <c r="B1062" t="s">
        <v>4806</v>
      </c>
      <c r="C1062" s="1">
        <v>45828</v>
      </c>
      <c r="D1062" t="s">
        <v>23</v>
      </c>
      <c r="E1062" t="s">
        <v>147</v>
      </c>
      <c r="F1062" t="s">
        <v>37</v>
      </c>
      <c r="J1062" s="386">
        <v>10010.07</v>
      </c>
    </row>
    <row r="1063" spans="1:10" ht="15">
      <c r="A1063" s="137" t="str">
        <f t="shared" si="16"/>
        <v>FINANZASNOMINA ADMONFINANZAS/LEGAL</v>
      </c>
      <c r="B1063" t="s">
        <v>4806</v>
      </c>
      <c r="C1063" s="1">
        <v>45828</v>
      </c>
      <c r="D1063" t="s">
        <v>23</v>
      </c>
      <c r="E1063" t="s">
        <v>147</v>
      </c>
      <c r="F1063" t="s">
        <v>149</v>
      </c>
      <c r="J1063" s="386">
        <v>9892.39</v>
      </c>
    </row>
    <row r="1064" spans="1:10" ht="15">
      <c r="A1064" s="137" t="str">
        <f t="shared" si="16"/>
        <v>FINANZASNOMINA ADMONRECURSOS HUMANOS</v>
      </c>
      <c r="B1064" t="s">
        <v>4806</v>
      </c>
      <c r="C1064" s="1">
        <v>45828</v>
      </c>
      <c r="D1064" t="s">
        <v>23</v>
      </c>
      <c r="E1064" t="s">
        <v>147</v>
      </c>
      <c r="F1064" t="s">
        <v>125</v>
      </c>
      <c r="J1064" s="386">
        <v>10458.98</v>
      </c>
    </row>
    <row r="1065" spans="1:10" ht="15">
      <c r="A1065" s="137" t="str">
        <f t="shared" si="16"/>
        <v>FINANZASNOMINA ADMONTESORERIA</v>
      </c>
      <c r="B1065" t="s">
        <v>4806</v>
      </c>
      <c r="C1065" s="1">
        <v>45828</v>
      </c>
      <c r="D1065" t="s">
        <v>23</v>
      </c>
      <c r="E1065" t="s">
        <v>147</v>
      </c>
      <c r="F1065" t="s">
        <v>38</v>
      </c>
      <c r="J1065" s="386">
        <v>12122.8</v>
      </c>
    </row>
    <row r="1066" spans="1:10" ht="15">
      <c r="A1066" s="137" t="str">
        <f t="shared" si="16"/>
        <v>FINANZASNOMINA ADMONHBG FINANZAS</v>
      </c>
      <c r="B1066" t="s">
        <v>4806</v>
      </c>
      <c r="C1066" s="1">
        <v>45828</v>
      </c>
      <c r="D1066" t="s">
        <v>23</v>
      </c>
      <c r="E1066" t="s">
        <v>147</v>
      </c>
      <c r="F1066" t="s">
        <v>150</v>
      </c>
      <c r="J1066" s="386">
        <v>3057</v>
      </c>
    </row>
    <row r="1067" spans="1:10" ht="15">
      <c r="A1067" s="137" t="str">
        <f t="shared" si="16"/>
        <v>SGENOMINA ADMONGESTION EMPRESARIAL</v>
      </c>
      <c r="B1067" t="s">
        <v>4806</v>
      </c>
      <c r="C1067" s="1">
        <v>45828</v>
      </c>
      <c r="D1067" t="s">
        <v>39</v>
      </c>
      <c r="E1067" t="s">
        <v>147</v>
      </c>
      <c r="F1067" t="s">
        <v>40</v>
      </c>
      <c r="J1067" s="386">
        <v>19500.2</v>
      </c>
    </row>
    <row r="1068" spans="1:10" ht="15">
      <c r="A1068" s="137" t="str">
        <f t="shared" si="16"/>
        <v>DENOMINA ADMONDIRECCION</v>
      </c>
      <c r="B1068" t="s">
        <v>4806</v>
      </c>
      <c r="C1068" s="1">
        <v>45828</v>
      </c>
      <c r="D1068" t="s">
        <v>41</v>
      </c>
      <c r="E1068" t="s">
        <v>147</v>
      </c>
      <c r="F1068" t="s">
        <v>42</v>
      </c>
      <c r="J1068" s="386">
        <v>6000</v>
      </c>
    </row>
    <row r="1069" spans="1:10" ht="15">
      <c r="A1069" s="137" t="str">
        <f t="shared" si="16"/>
        <v>MMNOMINA ADMONMARKET MAX</v>
      </c>
      <c r="B1069" t="s">
        <v>4806</v>
      </c>
      <c r="C1069" s="1">
        <v>45828</v>
      </c>
      <c r="D1069" t="s">
        <v>45</v>
      </c>
      <c r="E1069" t="s">
        <v>147</v>
      </c>
      <c r="F1069" s="12" t="s">
        <v>46</v>
      </c>
      <c r="J1069" s="386">
        <v>6001.14</v>
      </c>
    </row>
    <row r="1070" spans="1:10" ht="15">
      <c r="A1070" s="137" t="str">
        <f t="shared" si="16"/>
        <v>FINANZASNOMINA ADMONHBG FINANZAS</v>
      </c>
      <c r="B1070" t="s">
        <v>4806</v>
      </c>
      <c r="C1070" s="1">
        <v>45828</v>
      </c>
      <c r="D1070" t="s">
        <v>23</v>
      </c>
      <c r="E1070" t="s">
        <v>147</v>
      </c>
      <c r="F1070" s="12" t="s">
        <v>150</v>
      </c>
      <c r="J1070" s="385">
        <v>10950</v>
      </c>
    </row>
    <row r="1071" spans="1:10" ht="15">
      <c r="A1071" s="137" t="str">
        <f t="shared" si="16"/>
        <v>HRNOMINA ADMONHR</v>
      </c>
      <c r="B1071" t="s">
        <v>4806</v>
      </c>
      <c r="C1071" s="1">
        <v>45828</v>
      </c>
      <c r="D1071" t="s">
        <v>29</v>
      </c>
      <c r="E1071" t="s">
        <v>147</v>
      </c>
      <c r="F1071" s="3" t="s">
        <v>29</v>
      </c>
      <c r="J1071" s="385">
        <v>5500</v>
      </c>
    </row>
    <row r="1072" spans="1:10" ht="15">
      <c r="A1072" s="137" t="str">
        <f t="shared" si="16"/>
        <v>CAPNOMINA ADMONCAPRICHOS</v>
      </c>
      <c r="B1072" t="s">
        <v>4806</v>
      </c>
      <c r="C1072" s="1">
        <v>45828</v>
      </c>
      <c r="D1072" t="s">
        <v>31</v>
      </c>
      <c r="E1072" t="s">
        <v>147</v>
      </c>
      <c r="F1072" s="12" t="s">
        <v>33</v>
      </c>
      <c r="J1072" s="385">
        <v>3700</v>
      </c>
    </row>
    <row r="1073" spans="1:10" ht="15">
      <c r="A1073" s="137" t="str">
        <f t="shared" si="16"/>
        <v>SGENOMINA ADMONGESTION EMPRESARIAL</v>
      </c>
      <c r="B1073" t="s">
        <v>4806</v>
      </c>
      <c r="C1073" s="1">
        <v>45828</v>
      </c>
      <c r="D1073" t="s">
        <v>39</v>
      </c>
      <c r="E1073" t="s">
        <v>147</v>
      </c>
      <c r="F1073" s="12" t="s">
        <v>40</v>
      </c>
      <c r="J1073" s="385">
        <v>2750</v>
      </c>
    </row>
    <row r="1074" spans="1:10" ht="15">
      <c r="A1074" s="137" t="str">
        <f t="shared" si="16"/>
        <v>SERVICIOSNOMINA ADMONSERVICIOS</v>
      </c>
      <c r="B1074" t="s">
        <v>4806</v>
      </c>
      <c r="C1074" s="1">
        <v>45828</v>
      </c>
      <c r="D1074" t="s">
        <v>21</v>
      </c>
      <c r="E1074" t="s">
        <v>147</v>
      </c>
      <c r="F1074" s="12" t="s">
        <v>21</v>
      </c>
      <c r="J1074" s="385">
        <v>4750</v>
      </c>
    </row>
    <row r="1075" spans="1:10" ht="15">
      <c r="A1075" s="137" t="str">
        <f t="shared" si="16"/>
        <v>DENOMINA ADMONDIRECCION</v>
      </c>
      <c r="B1075" t="s">
        <v>4806</v>
      </c>
      <c r="C1075" s="1">
        <v>45828</v>
      </c>
      <c r="D1075" t="s">
        <v>41</v>
      </c>
      <c r="E1075" t="s">
        <v>147</v>
      </c>
      <c r="F1075" s="12" t="s">
        <v>42</v>
      </c>
      <c r="J1075" s="385">
        <v>5750</v>
      </c>
    </row>
    <row r="1076" spans="1:10" ht="15">
      <c r="A1076" s="137" t="str">
        <f t="shared" si="16"/>
        <v>MMNOMINA ADMONMARKET MAX</v>
      </c>
      <c r="B1076" t="s">
        <v>4806</v>
      </c>
      <c r="C1076" s="1">
        <v>45828</v>
      </c>
      <c r="D1076" t="s">
        <v>45</v>
      </c>
      <c r="E1076" t="s">
        <v>147</v>
      </c>
      <c r="F1076" s="12" t="s">
        <v>46</v>
      </c>
      <c r="J1076" s="385">
        <v>2000</v>
      </c>
    </row>
    <row r="1077" spans="1:10" ht="15">
      <c r="A1077" s="137" t="str">
        <f t="shared" si="16"/>
        <v>CAPVACACIONES/FINIQUITOSCAPRICHOS</v>
      </c>
      <c r="B1077" t="s">
        <v>4806</v>
      </c>
      <c r="C1077" s="1">
        <v>45828</v>
      </c>
      <c r="D1077" t="s">
        <v>31</v>
      </c>
      <c r="E1077" t="s">
        <v>190</v>
      </c>
      <c r="F1077" s="12" t="s">
        <v>33</v>
      </c>
      <c r="J1077" s="385">
        <v>1064</v>
      </c>
    </row>
    <row r="1078" spans="1:10" ht="15">
      <c r="A1078" s="137" t="str">
        <f t="shared" si="16"/>
        <v>HRVACACIONES/FINIQUITOSHR</v>
      </c>
      <c r="B1078" t="s">
        <v>4806</v>
      </c>
      <c r="C1078" s="1">
        <v>45828</v>
      </c>
      <c r="D1078" t="s">
        <v>29</v>
      </c>
      <c r="E1078" s="12" t="s">
        <v>190</v>
      </c>
      <c r="F1078" t="s">
        <v>29</v>
      </c>
      <c r="J1078" s="385">
        <v>1250</v>
      </c>
    </row>
    <row r="1079" spans="1:10" ht="15">
      <c r="A1079" s="137" t="str">
        <f t="shared" si="16"/>
        <v>HRNOMINA SUCURSALA1</v>
      </c>
      <c r="B1079" t="s">
        <v>4806</v>
      </c>
      <c r="C1079" s="1">
        <v>45835</v>
      </c>
      <c r="D1079" t="s">
        <v>29</v>
      </c>
      <c r="E1079" t="s">
        <v>154</v>
      </c>
      <c r="F1079" s="3" t="s">
        <v>88</v>
      </c>
      <c r="J1079" s="386">
        <v>10929.2</v>
      </c>
    </row>
    <row r="1080" spans="1:10" ht="15">
      <c r="A1080" s="137" t="str">
        <f t="shared" si="16"/>
        <v>HRNOMINA SUCURSALA2</v>
      </c>
      <c r="B1080" t="s">
        <v>4806</v>
      </c>
      <c r="C1080" s="1">
        <v>45835</v>
      </c>
      <c r="D1080" t="s">
        <v>29</v>
      </c>
      <c r="E1080" t="s">
        <v>154</v>
      </c>
      <c r="F1080" s="3" t="s">
        <v>89</v>
      </c>
      <c r="J1080" s="386">
        <v>13385.2</v>
      </c>
    </row>
    <row r="1081" spans="1:10" ht="15">
      <c r="A1081" s="137" t="str">
        <f t="shared" si="16"/>
        <v>HRNOMINA SUCURSALA3</v>
      </c>
      <c r="B1081" t="s">
        <v>4806</v>
      </c>
      <c r="C1081" s="1">
        <v>45835</v>
      </c>
      <c r="D1081" t="s">
        <v>29</v>
      </c>
      <c r="E1081" t="s">
        <v>154</v>
      </c>
      <c r="F1081" s="3" t="s">
        <v>90</v>
      </c>
      <c r="J1081" s="386">
        <v>6032.2</v>
      </c>
    </row>
    <row r="1082" spans="1:10" ht="15">
      <c r="A1082" s="137" t="str">
        <f t="shared" si="16"/>
        <v>HRNOMINA SUCURSALA4</v>
      </c>
      <c r="B1082" t="s">
        <v>4806</v>
      </c>
      <c r="C1082" s="1">
        <v>45835</v>
      </c>
      <c r="D1082" t="s">
        <v>29</v>
      </c>
      <c r="E1082" t="s">
        <v>154</v>
      </c>
      <c r="F1082" s="3" t="s">
        <v>91</v>
      </c>
      <c r="J1082" s="386">
        <v>9506.4</v>
      </c>
    </row>
    <row r="1083" spans="1:10" ht="15">
      <c r="A1083" s="137" t="str">
        <f t="shared" si="16"/>
        <v>HRNOMINA SUCURSALA5</v>
      </c>
      <c r="B1083" t="s">
        <v>4806</v>
      </c>
      <c r="C1083" s="1">
        <v>45835</v>
      </c>
      <c r="D1083" t="s">
        <v>29</v>
      </c>
      <c r="E1083" t="s">
        <v>154</v>
      </c>
      <c r="F1083" s="3" t="s">
        <v>92</v>
      </c>
      <c r="J1083" s="386">
        <v>10525.2</v>
      </c>
    </row>
    <row r="1084" spans="1:10" ht="15">
      <c r="A1084" s="137" t="str">
        <f t="shared" si="16"/>
        <v>HRNOMINA SUCURSALA6</v>
      </c>
      <c r="B1084" t="s">
        <v>4806</v>
      </c>
      <c r="C1084" s="1">
        <v>45835</v>
      </c>
      <c r="D1084" t="s">
        <v>29</v>
      </c>
      <c r="E1084" t="s">
        <v>154</v>
      </c>
      <c r="F1084" s="3" t="s">
        <v>93</v>
      </c>
      <c r="J1084" s="386">
        <v>13702.49</v>
      </c>
    </row>
    <row r="1085" spans="1:10" ht="15">
      <c r="A1085" s="137" t="str">
        <f t="shared" si="16"/>
        <v>HRNOMINA SUCURSALA8</v>
      </c>
      <c r="B1085" t="s">
        <v>4806</v>
      </c>
      <c r="C1085" s="1">
        <v>45835</v>
      </c>
      <c r="D1085" t="s">
        <v>29</v>
      </c>
      <c r="E1085" t="s">
        <v>154</v>
      </c>
      <c r="F1085" s="3" t="s">
        <v>94</v>
      </c>
      <c r="J1085" s="386">
        <v>22585.4</v>
      </c>
    </row>
    <row r="1086" spans="1:10" ht="15">
      <c r="A1086" s="137" t="str">
        <f t="shared" si="16"/>
        <v>HRNOMINA SUCURSALA9</v>
      </c>
      <c r="B1086" t="s">
        <v>4806</v>
      </c>
      <c r="C1086" s="1">
        <v>45835</v>
      </c>
      <c r="D1086" t="s">
        <v>29</v>
      </c>
      <c r="E1086" t="s">
        <v>154</v>
      </c>
      <c r="F1086" s="3" t="s">
        <v>95</v>
      </c>
      <c r="J1086" s="386">
        <v>9730.49</v>
      </c>
    </row>
    <row r="1087" spans="1:10" ht="15">
      <c r="A1087" s="137" t="str">
        <f t="shared" si="16"/>
        <v>HRNOMINA SUCURSALA10</v>
      </c>
      <c r="B1087" t="s">
        <v>4806</v>
      </c>
      <c r="C1087" s="1">
        <v>45835</v>
      </c>
      <c r="D1087" t="s">
        <v>29</v>
      </c>
      <c r="E1087" t="s">
        <v>154</v>
      </c>
      <c r="F1087" s="3" t="s">
        <v>96</v>
      </c>
      <c r="J1087" s="386">
        <v>16645</v>
      </c>
    </row>
    <row r="1088" spans="1:10" ht="15">
      <c r="A1088" s="137" t="str">
        <f t="shared" si="16"/>
        <v>HRNOMINA SUCURSALA11</v>
      </c>
      <c r="B1088" t="s">
        <v>4806</v>
      </c>
      <c r="C1088" s="1">
        <v>45835</v>
      </c>
      <c r="D1088" t="s">
        <v>29</v>
      </c>
      <c r="E1088" t="s">
        <v>154</v>
      </c>
      <c r="F1088" s="62" t="s">
        <v>97</v>
      </c>
      <c r="J1088" s="386">
        <v>13267.8</v>
      </c>
    </row>
    <row r="1089" spans="1:10" ht="15">
      <c r="A1089" s="137" t="str">
        <f t="shared" si="16"/>
        <v>HRNOMINA SUCURSALA12</v>
      </c>
      <c r="B1089" t="s">
        <v>4806</v>
      </c>
      <c r="C1089" s="1">
        <v>45835</v>
      </c>
      <c r="D1089" t="s">
        <v>29</v>
      </c>
      <c r="E1089" t="s">
        <v>154</v>
      </c>
      <c r="F1089" s="3" t="s">
        <v>98</v>
      </c>
      <c r="J1089" s="386">
        <v>21338.29</v>
      </c>
    </row>
    <row r="1090" spans="1:10" ht="15">
      <c r="A1090" s="137" t="str">
        <f t="shared" si="16"/>
        <v>HRNOMINA SUCURSALA14</v>
      </c>
      <c r="B1090" t="s">
        <v>4806</v>
      </c>
      <c r="C1090" s="1">
        <v>45835</v>
      </c>
      <c r="D1090" t="s">
        <v>29</v>
      </c>
      <c r="E1090" t="s">
        <v>154</v>
      </c>
      <c r="F1090" s="3" t="s">
        <v>99</v>
      </c>
      <c r="J1090" s="386">
        <v>13060.8</v>
      </c>
    </row>
    <row r="1091" spans="1:10" ht="15">
      <c r="A1091" s="137" t="str">
        <f t="shared" si="16"/>
        <v>HRNOMINA SUCURSALA15</v>
      </c>
      <c r="B1091" t="s">
        <v>4806</v>
      </c>
      <c r="C1091" s="1">
        <v>45835</v>
      </c>
      <c r="D1091" t="s">
        <v>29</v>
      </c>
      <c r="E1091" t="s">
        <v>154</v>
      </c>
      <c r="F1091" s="3" t="s">
        <v>100</v>
      </c>
      <c r="J1091" s="386">
        <v>11455.8</v>
      </c>
    </row>
    <row r="1092" spans="1:10" ht="15">
      <c r="A1092" s="137" t="str">
        <f t="shared" ref="A1092:A1155" si="17">D1092&amp;E1092&amp;F1092</f>
        <v>HRNOMINA SUCURSALA16</v>
      </c>
      <c r="B1092" t="s">
        <v>4806</v>
      </c>
      <c r="C1092" s="1">
        <v>45835</v>
      </c>
      <c r="D1092" t="s">
        <v>29</v>
      </c>
      <c r="E1092" t="s">
        <v>154</v>
      </c>
      <c r="F1092" s="3" t="s">
        <v>101</v>
      </c>
      <c r="J1092" s="386">
        <v>16109.29</v>
      </c>
    </row>
    <row r="1093" spans="1:10" ht="15">
      <c r="A1093" s="137" t="str">
        <f t="shared" si="17"/>
        <v>HRNOMINA SUCURSALA17</v>
      </c>
      <c r="B1093" t="s">
        <v>4806</v>
      </c>
      <c r="C1093" s="1">
        <v>45835</v>
      </c>
      <c r="D1093" t="s">
        <v>29</v>
      </c>
      <c r="E1093" t="s">
        <v>154</v>
      </c>
      <c r="F1093" s="3" t="s">
        <v>102</v>
      </c>
      <c r="J1093" s="386">
        <v>3800.6</v>
      </c>
    </row>
    <row r="1094" spans="1:10" ht="15">
      <c r="A1094" s="137" t="str">
        <f t="shared" si="17"/>
        <v>HRNOMINA SUCURSALA18</v>
      </c>
      <c r="B1094" t="s">
        <v>4806</v>
      </c>
      <c r="C1094" s="1">
        <v>45835</v>
      </c>
      <c r="D1094" t="s">
        <v>29</v>
      </c>
      <c r="E1094" t="s">
        <v>154</v>
      </c>
      <c r="F1094" s="3" t="s">
        <v>103</v>
      </c>
      <c r="J1094" s="386">
        <v>15012.8</v>
      </c>
    </row>
    <row r="1095" spans="1:10" ht="15">
      <c r="A1095" s="137" t="str">
        <f t="shared" si="17"/>
        <v>HRNOMINA SUCURSALA22</v>
      </c>
      <c r="B1095" t="s">
        <v>4806</v>
      </c>
      <c r="C1095" s="1">
        <v>45835</v>
      </c>
      <c r="D1095" t="s">
        <v>29</v>
      </c>
      <c r="E1095" t="s">
        <v>154</v>
      </c>
      <c r="F1095" s="3" t="s">
        <v>104</v>
      </c>
      <c r="J1095" s="386">
        <v>16362.6</v>
      </c>
    </row>
    <row r="1096" spans="1:10" ht="15">
      <c r="A1096" s="137" t="str">
        <f t="shared" si="17"/>
        <v>HRNOMINA SUCURSALA23</v>
      </c>
      <c r="B1096" t="s">
        <v>4806</v>
      </c>
      <c r="C1096" s="1">
        <v>45835</v>
      </c>
      <c r="D1096" t="s">
        <v>29</v>
      </c>
      <c r="E1096" t="s">
        <v>154</v>
      </c>
      <c r="F1096" s="3" t="s">
        <v>105</v>
      </c>
      <c r="J1096" s="386">
        <v>14587.8</v>
      </c>
    </row>
    <row r="1097" spans="1:10" ht="15">
      <c r="A1097" s="137" t="str">
        <f t="shared" si="17"/>
        <v>HRNOMINA SUCURSALA24</v>
      </c>
      <c r="B1097" t="s">
        <v>4806</v>
      </c>
      <c r="C1097" s="1">
        <v>45835</v>
      </c>
      <c r="D1097" t="s">
        <v>29</v>
      </c>
      <c r="E1097" t="s">
        <v>154</v>
      </c>
      <c r="F1097" s="3" t="s">
        <v>106</v>
      </c>
      <c r="J1097" s="386">
        <v>16785.8</v>
      </c>
    </row>
    <row r="1098" spans="1:10" ht="15">
      <c r="A1098" s="137" t="str">
        <f t="shared" si="17"/>
        <v>CAPNOMINA SUCURSALE1</v>
      </c>
      <c r="B1098" t="s">
        <v>4806</v>
      </c>
      <c r="C1098" s="1">
        <v>45835</v>
      </c>
      <c r="D1098" t="s">
        <v>31</v>
      </c>
      <c r="E1098" t="s">
        <v>154</v>
      </c>
      <c r="F1098" s="3" t="s">
        <v>107</v>
      </c>
      <c r="J1098" s="386">
        <v>12678.8</v>
      </c>
    </row>
    <row r="1099" spans="1:10" ht="15">
      <c r="A1099" s="137" t="str">
        <f t="shared" si="17"/>
        <v>CAPNOMINA SUCURSALE2</v>
      </c>
      <c r="B1099" t="s">
        <v>4806</v>
      </c>
      <c r="C1099" s="1">
        <v>45835</v>
      </c>
      <c r="D1099" t="s">
        <v>31</v>
      </c>
      <c r="E1099" t="s">
        <v>154</v>
      </c>
      <c r="F1099" s="3" t="s">
        <v>108</v>
      </c>
      <c r="J1099" s="386">
        <v>25975.8</v>
      </c>
    </row>
    <row r="1100" spans="1:10" ht="15">
      <c r="A1100" s="137" t="str">
        <f t="shared" si="17"/>
        <v>CAPNOMINA SUCURSALE3</v>
      </c>
      <c r="B1100" t="s">
        <v>4806</v>
      </c>
      <c r="C1100" s="1">
        <v>45835</v>
      </c>
      <c r="D1100" t="s">
        <v>31</v>
      </c>
      <c r="E1100" t="s">
        <v>154</v>
      </c>
      <c r="F1100" s="3" t="s">
        <v>109</v>
      </c>
      <c r="J1100" s="386">
        <v>14204.4</v>
      </c>
    </row>
    <row r="1101" spans="1:10" ht="15">
      <c r="A1101" s="137" t="str">
        <f t="shared" si="17"/>
        <v>CAPNOMINA SUCURSALE4</v>
      </c>
      <c r="B1101" t="s">
        <v>4806</v>
      </c>
      <c r="C1101" s="1">
        <v>45835</v>
      </c>
      <c r="D1101" t="s">
        <v>31</v>
      </c>
      <c r="E1101" t="s">
        <v>154</v>
      </c>
      <c r="F1101" s="3" t="s">
        <v>110</v>
      </c>
      <c r="J1101" s="386">
        <v>17995.599999999999</v>
      </c>
    </row>
    <row r="1102" spans="1:10" ht="15">
      <c r="A1102" s="137" t="str">
        <f t="shared" si="17"/>
        <v>CAPNOMINA SUCURSALE5</v>
      </c>
      <c r="B1102" t="s">
        <v>4806</v>
      </c>
      <c r="C1102" s="1">
        <v>45835</v>
      </c>
      <c r="D1102" t="s">
        <v>31</v>
      </c>
      <c r="E1102" t="s">
        <v>154</v>
      </c>
      <c r="F1102" s="3" t="s">
        <v>111</v>
      </c>
      <c r="J1102" s="386">
        <v>16784.599999999999</v>
      </c>
    </row>
    <row r="1103" spans="1:10" ht="15">
      <c r="A1103" s="137" t="str">
        <f t="shared" si="17"/>
        <v>CAPNOMINA SUCURSALE6</v>
      </c>
      <c r="B1103" t="s">
        <v>4806</v>
      </c>
      <c r="C1103" s="1">
        <v>45835</v>
      </c>
      <c r="D1103" t="s">
        <v>31</v>
      </c>
      <c r="E1103" t="s">
        <v>154</v>
      </c>
      <c r="F1103" s="3" t="s">
        <v>112</v>
      </c>
      <c r="J1103" s="386">
        <v>14492</v>
      </c>
    </row>
    <row r="1104" spans="1:10" ht="15">
      <c r="A1104" s="137" t="str">
        <f t="shared" si="17"/>
        <v>CAPNOMINA SUCURSALE7</v>
      </c>
      <c r="B1104" t="s">
        <v>4806</v>
      </c>
      <c r="C1104" s="1">
        <v>45835</v>
      </c>
      <c r="D1104" t="s">
        <v>31</v>
      </c>
      <c r="E1104" t="s">
        <v>154</v>
      </c>
      <c r="F1104" s="3" t="s">
        <v>113</v>
      </c>
      <c r="J1104" s="386">
        <v>12389.4</v>
      </c>
    </row>
    <row r="1105" spans="1:10" ht="15">
      <c r="A1105" s="137" t="str">
        <f t="shared" si="17"/>
        <v>CAPNOMINA SUCURSALE8</v>
      </c>
      <c r="B1105" t="s">
        <v>4806</v>
      </c>
      <c r="C1105" s="1">
        <v>45835</v>
      </c>
      <c r="D1105" t="s">
        <v>31</v>
      </c>
      <c r="E1105" t="s">
        <v>154</v>
      </c>
      <c r="F1105" s="3" t="s">
        <v>114</v>
      </c>
      <c r="J1105" s="386">
        <v>23466.6</v>
      </c>
    </row>
    <row r="1106" spans="1:10" ht="15">
      <c r="A1106" s="137" t="str">
        <f t="shared" si="17"/>
        <v>CAPNOMINA SUCURSALE9</v>
      </c>
      <c r="B1106" t="s">
        <v>4806</v>
      </c>
      <c r="C1106" s="1">
        <v>45835</v>
      </c>
      <c r="D1106" t="s">
        <v>31</v>
      </c>
      <c r="E1106" t="s">
        <v>154</v>
      </c>
      <c r="F1106" s="3" t="s">
        <v>116</v>
      </c>
      <c r="J1106" s="386">
        <v>32109.599999999999</v>
      </c>
    </row>
    <row r="1107" spans="1:10" ht="15">
      <c r="A1107" s="137" t="str">
        <f t="shared" si="17"/>
        <v>ELINOMINA SUCURSALL1</v>
      </c>
      <c r="B1107" t="s">
        <v>4806</v>
      </c>
      <c r="C1107" s="1">
        <v>45835</v>
      </c>
      <c r="D1107" t="s">
        <v>130</v>
      </c>
      <c r="E1107" t="s">
        <v>154</v>
      </c>
      <c r="F1107" t="s">
        <v>136</v>
      </c>
      <c r="J1107" s="386">
        <v>10087</v>
      </c>
    </row>
    <row r="1108" spans="1:10" ht="15">
      <c r="A1108" s="137" t="str">
        <f t="shared" si="17"/>
        <v>HRNOMINA ADMONHR</v>
      </c>
      <c r="B1108" t="s">
        <v>4806</v>
      </c>
      <c r="C1108" s="1">
        <v>45835</v>
      </c>
      <c r="D1108" t="s">
        <v>29</v>
      </c>
      <c r="E1108" t="s">
        <v>147</v>
      </c>
      <c r="F1108" t="s">
        <v>29</v>
      </c>
      <c r="J1108" s="386">
        <v>32239.21</v>
      </c>
    </row>
    <row r="1109" spans="1:10" ht="15">
      <c r="A1109" s="137" t="str">
        <f t="shared" si="17"/>
        <v>CAPNOMINA ADMONCAPRICHOS</v>
      </c>
      <c r="B1109" t="s">
        <v>4806</v>
      </c>
      <c r="C1109" s="1">
        <v>45835</v>
      </c>
      <c r="D1109" t="s">
        <v>31</v>
      </c>
      <c r="E1109" t="s">
        <v>147</v>
      </c>
      <c r="F1109" t="s">
        <v>33</v>
      </c>
      <c r="J1109" s="386">
        <v>20705.2</v>
      </c>
    </row>
    <row r="1110" spans="1:10" ht="15">
      <c r="A1110" s="137" t="str">
        <f t="shared" si="17"/>
        <v>SERVICIOSNOMINA SUCURSALCEDIS</v>
      </c>
      <c r="B1110" t="s">
        <v>4806</v>
      </c>
      <c r="C1110" s="1">
        <v>45835</v>
      </c>
      <c r="D1110" t="s">
        <v>21</v>
      </c>
      <c r="E1110" t="s">
        <v>154</v>
      </c>
      <c r="F1110" t="s">
        <v>28</v>
      </c>
      <c r="J1110" s="386">
        <v>63883.97</v>
      </c>
    </row>
    <row r="1111" spans="1:10" ht="15">
      <c r="A1111" s="137" t="str">
        <f t="shared" si="17"/>
        <v>SERVICIOSNOMINA ADMONINVENTARIOS</v>
      </c>
      <c r="B1111" t="s">
        <v>4806</v>
      </c>
      <c r="C1111" s="1">
        <v>45835</v>
      </c>
      <c r="D1111" t="s">
        <v>21</v>
      </c>
      <c r="E1111" t="s">
        <v>147</v>
      </c>
      <c r="F1111" t="s">
        <v>34</v>
      </c>
      <c r="J1111" s="386">
        <v>2800</v>
      </c>
    </row>
    <row r="1112" spans="1:10" ht="15">
      <c r="A1112" s="137" t="str">
        <f t="shared" si="17"/>
        <v>SERVICIOSNOMINA ADMONMANTENIMIENTO</v>
      </c>
      <c r="B1112" t="s">
        <v>4806</v>
      </c>
      <c r="C1112" s="1">
        <v>45835</v>
      </c>
      <c r="D1112" t="s">
        <v>21</v>
      </c>
      <c r="E1112" t="s">
        <v>147</v>
      </c>
      <c r="F1112" t="s">
        <v>35</v>
      </c>
      <c r="J1112" s="386">
        <v>11122.43</v>
      </c>
    </row>
    <row r="1113" spans="1:10" ht="15">
      <c r="A1113" s="137" t="str">
        <f t="shared" si="17"/>
        <v>SERVICIOSNOMINA ADMONCADENA DE SUMINISTROS</v>
      </c>
      <c r="B1113" t="s">
        <v>4806</v>
      </c>
      <c r="C1113" s="1">
        <v>45835</v>
      </c>
      <c r="D1113" t="s">
        <v>21</v>
      </c>
      <c r="E1113" t="s">
        <v>147</v>
      </c>
      <c r="F1113" t="s">
        <v>134</v>
      </c>
      <c r="J1113" s="386">
        <v>20192.400000000001</v>
      </c>
    </row>
    <row r="1114" spans="1:10" ht="15">
      <c r="A1114" s="137" t="str">
        <f t="shared" si="17"/>
        <v>SERVICIOSNOMINA ADMONSISTEMAS</v>
      </c>
      <c r="B1114" t="s">
        <v>4806</v>
      </c>
      <c r="C1114" s="1">
        <v>45835</v>
      </c>
      <c r="D1114" t="s">
        <v>21</v>
      </c>
      <c r="E1114" t="s">
        <v>147</v>
      </c>
      <c r="F1114" t="s">
        <v>36</v>
      </c>
      <c r="J1114" s="386">
        <v>11131.09</v>
      </c>
    </row>
    <row r="1115" spans="1:10" ht="15">
      <c r="A1115" s="137" t="str">
        <f t="shared" si="17"/>
        <v>SERVICIOSNOMINA ADMONCOMPRAS</v>
      </c>
      <c r="B1115" t="s">
        <v>4806</v>
      </c>
      <c r="C1115" s="1">
        <v>45835</v>
      </c>
      <c r="D1115" t="s">
        <v>21</v>
      </c>
      <c r="E1115" t="s">
        <v>147</v>
      </c>
      <c r="F1115" t="s">
        <v>148</v>
      </c>
      <c r="J1115" s="386">
        <v>20591.11</v>
      </c>
    </row>
    <row r="1116" spans="1:10" ht="15">
      <c r="A1116" s="137" t="str">
        <f t="shared" si="17"/>
        <v>FINANZASNOMINA ADMONCONTABILIDAD</v>
      </c>
      <c r="B1116" t="s">
        <v>4806</v>
      </c>
      <c r="C1116" s="1">
        <v>45835</v>
      </c>
      <c r="D1116" t="s">
        <v>23</v>
      </c>
      <c r="E1116" t="s">
        <v>147</v>
      </c>
      <c r="F1116" t="s">
        <v>37</v>
      </c>
      <c r="J1116" s="386">
        <v>8979.27</v>
      </c>
    </row>
    <row r="1117" spans="1:10" ht="15">
      <c r="A1117" s="137" t="str">
        <f t="shared" si="17"/>
        <v>FINANZASNOMINA ADMONFINANZAS/LEGAL</v>
      </c>
      <c r="B1117" t="s">
        <v>4806</v>
      </c>
      <c r="C1117" s="1">
        <v>45835</v>
      </c>
      <c r="D1117" t="s">
        <v>23</v>
      </c>
      <c r="E1117" t="s">
        <v>147</v>
      </c>
      <c r="F1117" t="s">
        <v>149</v>
      </c>
      <c r="J1117" s="386">
        <v>9892.19</v>
      </c>
    </row>
    <row r="1118" spans="1:10" ht="15">
      <c r="A1118" s="137" t="str">
        <f t="shared" si="17"/>
        <v>FINANZASNOMINA ADMONRECURSOS HUMANOS</v>
      </c>
      <c r="B1118" t="s">
        <v>4806</v>
      </c>
      <c r="C1118" s="1">
        <v>45835</v>
      </c>
      <c r="D1118" t="s">
        <v>23</v>
      </c>
      <c r="E1118" t="s">
        <v>147</v>
      </c>
      <c r="F1118" t="s">
        <v>125</v>
      </c>
      <c r="J1118" s="386">
        <v>10333.98</v>
      </c>
    </row>
    <row r="1119" spans="1:10" ht="15">
      <c r="A1119" s="137" t="str">
        <f t="shared" si="17"/>
        <v>FINANZASNOMINA ADMONTESORERIA</v>
      </c>
      <c r="B1119" t="s">
        <v>4806</v>
      </c>
      <c r="C1119" s="1">
        <v>45835</v>
      </c>
      <c r="D1119" t="s">
        <v>23</v>
      </c>
      <c r="E1119" t="s">
        <v>147</v>
      </c>
      <c r="F1119" t="s">
        <v>38</v>
      </c>
      <c r="J1119" s="386">
        <v>12248.8</v>
      </c>
    </row>
    <row r="1120" spans="1:10" ht="15">
      <c r="A1120" s="137" t="str">
        <f t="shared" si="17"/>
        <v>FINANZASNOMINA ADMONHBG FINANZAS</v>
      </c>
      <c r="B1120" t="s">
        <v>4806</v>
      </c>
      <c r="C1120" s="1">
        <v>45835</v>
      </c>
      <c r="D1120" t="s">
        <v>23</v>
      </c>
      <c r="E1120" t="s">
        <v>147</v>
      </c>
      <c r="F1120" t="s">
        <v>150</v>
      </c>
      <c r="J1120" s="386">
        <v>3057</v>
      </c>
    </row>
    <row r="1121" spans="1:10" ht="15">
      <c r="A1121" s="137" t="str">
        <f t="shared" si="17"/>
        <v>SGENOMINA ADMONGESTION EMPRESARIAL</v>
      </c>
      <c r="B1121" t="s">
        <v>4806</v>
      </c>
      <c r="C1121" s="1">
        <v>45835</v>
      </c>
      <c r="D1121" t="s">
        <v>39</v>
      </c>
      <c r="E1121" t="s">
        <v>147</v>
      </c>
      <c r="F1121" t="s">
        <v>40</v>
      </c>
      <c r="J1121" s="386">
        <v>18300.599999999999</v>
      </c>
    </row>
    <row r="1122" spans="1:10" ht="15">
      <c r="A1122" s="137" t="str">
        <f t="shared" si="17"/>
        <v>DENOMINA ADMONDIRECCION</v>
      </c>
      <c r="B1122" t="s">
        <v>4806</v>
      </c>
      <c r="C1122" s="1">
        <v>45835</v>
      </c>
      <c r="D1122" t="s">
        <v>41</v>
      </c>
      <c r="E1122" t="s">
        <v>147</v>
      </c>
      <c r="F1122" t="s">
        <v>42</v>
      </c>
      <c r="J1122" s="386">
        <v>6333</v>
      </c>
    </row>
    <row r="1123" spans="1:10" ht="15">
      <c r="A1123" s="137" t="str">
        <f t="shared" si="17"/>
        <v>MMNOMINA ADMONMARKET MAX</v>
      </c>
      <c r="B1123" t="s">
        <v>4806</v>
      </c>
      <c r="C1123" s="1">
        <v>45835</v>
      </c>
      <c r="D1123" t="s">
        <v>45</v>
      </c>
      <c r="E1123" t="s">
        <v>147</v>
      </c>
      <c r="F1123" s="12" t="s">
        <v>46</v>
      </c>
      <c r="J1123" s="386">
        <v>6000.94</v>
      </c>
    </row>
    <row r="1124" spans="1:10" ht="15">
      <c r="A1124" s="137" t="str">
        <f t="shared" si="17"/>
        <v>FINANZASNOMINA ADMONHBG FINANZAS</v>
      </c>
      <c r="B1124" t="s">
        <v>4806</v>
      </c>
      <c r="C1124" s="1">
        <v>45835</v>
      </c>
      <c r="D1124" t="s">
        <v>23</v>
      </c>
      <c r="E1124" t="s">
        <v>147</v>
      </c>
      <c r="F1124" s="12" t="s">
        <v>150</v>
      </c>
      <c r="J1124" s="385">
        <v>10950</v>
      </c>
    </row>
    <row r="1125" spans="1:10" ht="15">
      <c r="A1125" s="137" t="str">
        <f t="shared" si="17"/>
        <v>HRNOMINA ADMONHR</v>
      </c>
      <c r="B1125" t="s">
        <v>4806</v>
      </c>
      <c r="C1125" s="1">
        <v>45835</v>
      </c>
      <c r="D1125" t="s">
        <v>29</v>
      </c>
      <c r="E1125" t="s">
        <v>147</v>
      </c>
      <c r="F1125" s="3" t="s">
        <v>29</v>
      </c>
      <c r="J1125" s="385">
        <v>5500</v>
      </c>
    </row>
    <row r="1126" spans="1:10" ht="15">
      <c r="A1126" s="137" t="str">
        <f t="shared" si="17"/>
        <v>CAPNOMINA ADMONCAPRICHOS</v>
      </c>
      <c r="B1126" t="s">
        <v>4806</v>
      </c>
      <c r="C1126" s="1">
        <v>45835</v>
      </c>
      <c r="D1126" t="s">
        <v>31</v>
      </c>
      <c r="E1126" t="s">
        <v>147</v>
      </c>
      <c r="F1126" s="12" t="s">
        <v>33</v>
      </c>
      <c r="J1126" s="385">
        <v>3700</v>
      </c>
    </row>
    <row r="1127" spans="1:10" ht="15">
      <c r="A1127" s="137" t="str">
        <f t="shared" si="17"/>
        <v>SGENOMINA ADMONGESTION EMPRESARIAL</v>
      </c>
      <c r="B1127" t="s">
        <v>4806</v>
      </c>
      <c r="C1127" s="1">
        <v>45835</v>
      </c>
      <c r="D1127" t="s">
        <v>39</v>
      </c>
      <c r="E1127" t="s">
        <v>147</v>
      </c>
      <c r="F1127" s="12" t="s">
        <v>40</v>
      </c>
      <c r="J1127" s="385">
        <v>2750</v>
      </c>
    </row>
    <row r="1128" spans="1:10" ht="15">
      <c r="A1128" s="137" t="str">
        <f t="shared" si="17"/>
        <v>SERVICIOSNOMINA ADMONSERVICIOS</v>
      </c>
      <c r="B1128" t="s">
        <v>4806</v>
      </c>
      <c r="C1128" s="1">
        <v>45835</v>
      </c>
      <c r="D1128" t="s">
        <v>21</v>
      </c>
      <c r="E1128" t="s">
        <v>147</v>
      </c>
      <c r="F1128" s="12" t="s">
        <v>21</v>
      </c>
      <c r="J1128" s="385">
        <v>4750</v>
      </c>
    </row>
    <row r="1129" spans="1:10" ht="15">
      <c r="A1129" s="137" t="str">
        <f t="shared" si="17"/>
        <v>DENOMINA ADMONDIRECCION</v>
      </c>
      <c r="B1129" t="s">
        <v>4806</v>
      </c>
      <c r="C1129" s="1">
        <v>45835</v>
      </c>
      <c r="D1129" t="s">
        <v>41</v>
      </c>
      <c r="E1129" t="s">
        <v>147</v>
      </c>
      <c r="F1129" s="12" t="s">
        <v>42</v>
      </c>
      <c r="J1129" s="385">
        <v>20750</v>
      </c>
    </row>
    <row r="1130" spans="1:10" ht="15">
      <c r="A1130" s="137" t="str">
        <f t="shared" si="17"/>
        <v>MMNOMINA ADMONMARKET MAX</v>
      </c>
      <c r="B1130" t="s">
        <v>4806</v>
      </c>
      <c r="C1130" s="1">
        <v>45835</v>
      </c>
      <c r="D1130" t="s">
        <v>45</v>
      </c>
      <c r="E1130" t="s">
        <v>147</v>
      </c>
      <c r="F1130" s="12" t="s">
        <v>46</v>
      </c>
      <c r="J1130" s="385">
        <v>2000</v>
      </c>
    </row>
    <row r="1131" spans="1:10" ht="15">
      <c r="A1131" s="137" t="str">
        <f t="shared" si="17"/>
        <v>CAPVACACIONES/FINIQUITOSCAPRICHOS</v>
      </c>
      <c r="B1131" t="s">
        <v>1277</v>
      </c>
      <c r="C1131" s="1">
        <v>45835</v>
      </c>
      <c r="D1131" t="s">
        <v>31</v>
      </c>
      <c r="E1131" t="s">
        <v>190</v>
      </c>
      <c r="F1131" s="12" t="s">
        <v>33</v>
      </c>
      <c r="J1131" s="475">
        <v>14464.29</v>
      </c>
    </row>
    <row r="1132" spans="1:10" ht="15">
      <c r="A1132" s="137" t="str">
        <f t="shared" si="17"/>
        <v>HRVACACIONES/FINIQUITOSHR</v>
      </c>
      <c r="B1132" t="s">
        <v>1277</v>
      </c>
      <c r="C1132" s="1">
        <v>45835</v>
      </c>
      <c r="D1132" t="s">
        <v>29</v>
      </c>
      <c r="E1132" s="12" t="s">
        <v>190</v>
      </c>
      <c r="F1132" t="s">
        <v>29</v>
      </c>
      <c r="J1132" s="62">
        <v>1064</v>
      </c>
    </row>
    <row r="1133" spans="1:10" ht="15">
      <c r="A1133" s="137" t="str">
        <f t="shared" si="17"/>
        <v>HRVACACIONES/FINIQUITOSHR</v>
      </c>
      <c r="B1133" t="s">
        <v>1277</v>
      </c>
      <c r="C1133" s="1">
        <v>45835</v>
      </c>
      <c r="D1133" t="s">
        <v>29</v>
      </c>
      <c r="E1133" s="12" t="s">
        <v>190</v>
      </c>
      <c r="F1133" t="s">
        <v>29</v>
      </c>
      <c r="J1133" s="62">
        <v>912</v>
      </c>
    </row>
    <row r="1134" spans="1:10" ht="15">
      <c r="A1134" s="137" t="str">
        <f t="shared" si="17"/>
        <v>CAPVACACIONES/FINIQUITOSCAPRICHOS</v>
      </c>
      <c r="B1134" t="s">
        <v>1277</v>
      </c>
      <c r="C1134" s="1">
        <v>45835</v>
      </c>
      <c r="D1134" t="s">
        <v>31</v>
      </c>
      <c r="E1134" t="s">
        <v>190</v>
      </c>
      <c r="F1134" s="12" t="s">
        <v>33</v>
      </c>
      <c r="J1134" s="62">
        <v>1885.71</v>
      </c>
    </row>
    <row r="1135" spans="1:10" ht="15">
      <c r="A1135" s="137" t="str">
        <f t="shared" si="17"/>
        <v>CAPVACACIONES/FINIQUITOSCAPRICHOS</v>
      </c>
      <c r="B1135" t="s">
        <v>1277</v>
      </c>
      <c r="C1135" s="1">
        <v>45835</v>
      </c>
      <c r="D1135" t="s">
        <v>31</v>
      </c>
      <c r="E1135" t="s">
        <v>190</v>
      </c>
      <c r="F1135" s="12" t="s">
        <v>33</v>
      </c>
      <c r="J1135" s="62">
        <v>912</v>
      </c>
    </row>
    <row r="1136" spans="1:10" ht="15">
      <c r="A1136" s="137" t="str">
        <f t="shared" si="17"/>
        <v>HRNOMINA SUCURSALA1</v>
      </c>
      <c r="B1136" t="s">
        <v>1277</v>
      </c>
      <c r="C1136" s="1">
        <v>45842</v>
      </c>
      <c r="D1136" t="s">
        <v>29</v>
      </c>
      <c r="E1136" t="s">
        <v>154</v>
      </c>
      <c r="F1136" s="3" t="s">
        <v>88</v>
      </c>
      <c r="J1136" s="386">
        <v>10933.2</v>
      </c>
    </row>
    <row r="1137" spans="1:10" ht="15">
      <c r="A1137" s="137" t="str">
        <f t="shared" si="17"/>
        <v>HRNOMINA SUCURSALA2</v>
      </c>
      <c r="B1137" t="s">
        <v>1277</v>
      </c>
      <c r="C1137" s="1">
        <v>45842</v>
      </c>
      <c r="D1137" t="s">
        <v>29</v>
      </c>
      <c r="E1137" t="s">
        <v>154</v>
      </c>
      <c r="F1137" s="3" t="s">
        <v>89</v>
      </c>
      <c r="J1137" s="386">
        <v>11634</v>
      </c>
    </row>
    <row r="1138" spans="1:10" ht="15">
      <c r="A1138" s="137" t="str">
        <f t="shared" si="17"/>
        <v>HRNOMINA SUCURSALA3</v>
      </c>
      <c r="B1138" t="s">
        <v>1277</v>
      </c>
      <c r="C1138" s="1">
        <v>45842</v>
      </c>
      <c r="D1138" t="s">
        <v>29</v>
      </c>
      <c r="E1138" t="s">
        <v>154</v>
      </c>
      <c r="F1138" s="3" t="s">
        <v>90</v>
      </c>
      <c r="J1138" s="386">
        <v>5554.4</v>
      </c>
    </row>
    <row r="1139" spans="1:10" ht="15">
      <c r="A1139" s="137" t="str">
        <f t="shared" si="17"/>
        <v>HRNOMINA SUCURSALA4</v>
      </c>
      <c r="B1139" t="s">
        <v>1277</v>
      </c>
      <c r="C1139" s="1">
        <v>45842</v>
      </c>
      <c r="D1139" t="s">
        <v>29</v>
      </c>
      <c r="E1139" t="s">
        <v>154</v>
      </c>
      <c r="F1139" s="3" t="s">
        <v>91</v>
      </c>
      <c r="J1139" s="386">
        <v>9556.2000000000007</v>
      </c>
    </row>
    <row r="1140" spans="1:10" ht="15">
      <c r="A1140" s="137" t="str">
        <f t="shared" si="17"/>
        <v>HRNOMINA SUCURSALA5</v>
      </c>
      <c r="B1140" t="s">
        <v>1277</v>
      </c>
      <c r="C1140" s="1">
        <v>45842</v>
      </c>
      <c r="D1140" t="s">
        <v>29</v>
      </c>
      <c r="E1140" t="s">
        <v>154</v>
      </c>
      <c r="F1140" s="3" t="s">
        <v>92</v>
      </c>
      <c r="J1140" s="386">
        <v>10263.200000000001</v>
      </c>
    </row>
    <row r="1141" spans="1:10" ht="15">
      <c r="A1141" s="137" t="str">
        <f t="shared" si="17"/>
        <v>HRNOMINA SUCURSALA6</v>
      </c>
      <c r="B1141" t="s">
        <v>1277</v>
      </c>
      <c r="C1141" s="1">
        <v>45842</v>
      </c>
      <c r="D1141" t="s">
        <v>29</v>
      </c>
      <c r="E1141" t="s">
        <v>154</v>
      </c>
      <c r="F1141" s="3" t="s">
        <v>93</v>
      </c>
      <c r="J1141" s="386">
        <v>12257.09</v>
      </c>
    </row>
    <row r="1142" spans="1:10" ht="15">
      <c r="A1142" s="137" t="str">
        <f t="shared" si="17"/>
        <v>HRNOMINA SUCURSALA8</v>
      </c>
      <c r="B1142" t="s">
        <v>1277</v>
      </c>
      <c r="C1142" s="1">
        <v>45842</v>
      </c>
      <c r="D1142" t="s">
        <v>29</v>
      </c>
      <c r="E1142" t="s">
        <v>154</v>
      </c>
      <c r="F1142" s="3" t="s">
        <v>94</v>
      </c>
      <c r="J1142" s="386">
        <v>17308.2</v>
      </c>
    </row>
    <row r="1143" spans="1:10" ht="15">
      <c r="A1143" s="137" t="str">
        <f t="shared" si="17"/>
        <v>HRNOMINA SUCURSALA9</v>
      </c>
      <c r="B1143" t="s">
        <v>1277</v>
      </c>
      <c r="C1143" s="1">
        <v>45842</v>
      </c>
      <c r="D1143" t="s">
        <v>29</v>
      </c>
      <c r="E1143" t="s">
        <v>154</v>
      </c>
      <c r="F1143" s="3" t="s">
        <v>95</v>
      </c>
      <c r="J1143" s="386">
        <v>12051.89</v>
      </c>
    </row>
    <row r="1144" spans="1:10" ht="15">
      <c r="A1144" s="137" t="str">
        <f t="shared" si="17"/>
        <v>HRNOMINA SUCURSALA10</v>
      </c>
      <c r="B1144" t="s">
        <v>1277</v>
      </c>
      <c r="C1144" s="1">
        <v>45842</v>
      </c>
      <c r="D1144" t="s">
        <v>29</v>
      </c>
      <c r="E1144" t="s">
        <v>154</v>
      </c>
      <c r="F1144" s="3" t="s">
        <v>96</v>
      </c>
      <c r="J1144" s="386">
        <v>14134.2</v>
      </c>
    </row>
    <row r="1145" spans="1:10" ht="15">
      <c r="A1145" s="137" t="str">
        <f t="shared" si="17"/>
        <v>HRNOMINA SUCURSALA11</v>
      </c>
      <c r="B1145" t="s">
        <v>1277</v>
      </c>
      <c r="C1145" s="1">
        <v>45842</v>
      </c>
      <c r="D1145" t="s">
        <v>29</v>
      </c>
      <c r="E1145" t="s">
        <v>154</v>
      </c>
      <c r="F1145" s="62" t="s">
        <v>97</v>
      </c>
      <c r="J1145" s="386">
        <v>13099.6</v>
      </c>
    </row>
    <row r="1146" spans="1:10" ht="15">
      <c r="A1146" s="137" t="str">
        <f t="shared" si="17"/>
        <v>HRNOMINA SUCURSALA12</v>
      </c>
      <c r="B1146" t="s">
        <v>1277</v>
      </c>
      <c r="C1146" s="1">
        <v>45842</v>
      </c>
      <c r="D1146" t="s">
        <v>29</v>
      </c>
      <c r="E1146" t="s">
        <v>154</v>
      </c>
      <c r="F1146" s="3" t="s">
        <v>98</v>
      </c>
      <c r="J1146" s="386">
        <v>19021.8</v>
      </c>
    </row>
    <row r="1147" spans="1:10" ht="15">
      <c r="A1147" s="137" t="str">
        <f t="shared" si="17"/>
        <v>HRNOMINA SUCURSALA14</v>
      </c>
      <c r="B1147" t="s">
        <v>1277</v>
      </c>
      <c r="C1147" s="1">
        <v>45842</v>
      </c>
      <c r="D1147" t="s">
        <v>29</v>
      </c>
      <c r="E1147" t="s">
        <v>154</v>
      </c>
      <c r="F1147" s="3" t="s">
        <v>99</v>
      </c>
      <c r="J1147" s="386">
        <v>12968.6</v>
      </c>
    </row>
    <row r="1148" spans="1:10" ht="15">
      <c r="A1148" s="137" t="str">
        <f t="shared" si="17"/>
        <v>HRNOMINA SUCURSALA15</v>
      </c>
      <c r="B1148" t="s">
        <v>1277</v>
      </c>
      <c r="C1148" s="1">
        <v>45842</v>
      </c>
      <c r="D1148" t="s">
        <v>29</v>
      </c>
      <c r="E1148" t="s">
        <v>154</v>
      </c>
      <c r="F1148" s="3" t="s">
        <v>100</v>
      </c>
      <c r="J1148" s="386">
        <v>11031.4</v>
      </c>
    </row>
    <row r="1149" spans="1:10" ht="15">
      <c r="A1149" s="137" t="str">
        <f t="shared" si="17"/>
        <v>HRNOMINA SUCURSALA16</v>
      </c>
      <c r="B1149" t="s">
        <v>1277</v>
      </c>
      <c r="C1149" s="1">
        <v>45842</v>
      </c>
      <c r="D1149" t="s">
        <v>29</v>
      </c>
      <c r="E1149" t="s">
        <v>154</v>
      </c>
      <c r="F1149" s="3" t="s">
        <v>101</v>
      </c>
      <c r="J1149" s="386">
        <v>16109.09</v>
      </c>
    </row>
    <row r="1150" spans="1:10" ht="15">
      <c r="A1150" s="137" t="str">
        <f t="shared" si="17"/>
        <v>HRNOMINA SUCURSALA17</v>
      </c>
      <c r="B1150" t="s">
        <v>1277</v>
      </c>
      <c r="C1150" s="1">
        <v>45842</v>
      </c>
      <c r="D1150" t="s">
        <v>29</v>
      </c>
      <c r="E1150" t="s">
        <v>154</v>
      </c>
      <c r="F1150" s="3" t="s">
        <v>102</v>
      </c>
      <c r="J1150" s="386">
        <v>10764.69</v>
      </c>
    </row>
    <row r="1151" spans="1:10" ht="15">
      <c r="A1151" s="137" t="str">
        <f t="shared" si="17"/>
        <v>HRNOMINA SUCURSALA18</v>
      </c>
      <c r="B1151" t="s">
        <v>1277</v>
      </c>
      <c r="C1151" s="1">
        <v>45842</v>
      </c>
      <c r="D1151" t="s">
        <v>29</v>
      </c>
      <c r="E1151" t="s">
        <v>154</v>
      </c>
      <c r="F1151" s="3" t="s">
        <v>103</v>
      </c>
      <c r="J1151" s="386">
        <v>16184.8</v>
      </c>
    </row>
    <row r="1152" spans="1:10" ht="15">
      <c r="A1152" s="137" t="str">
        <f t="shared" si="17"/>
        <v>HRNOMINA SUCURSALA22</v>
      </c>
      <c r="B1152" t="s">
        <v>1277</v>
      </c>
      <c r="C1152" s="1">
        <v>45842</v>
      </c>
      <c r="D1152" t="s">
        <v>29</v>
      </c>
      <c r="E1152" t="s">
        <v>154</v>
      </c>
      <c r="F1152" s="3" t="s">
        <v>104</v>
      </c>
      <c r="J1152" s="386">
        <v>14045.4</v>
      </c>
    </row>
    <row r="1153" spans="1:10" ht="15">
      <c r="A1153" s="137" t="str">
        <f t="shared" si="17"/>
        <v>HRNOMINA SUCURSALA23</v>
      </c>
      <c r="B1153" t="s">
        <v>1277</v>
      </c>
      <c r="C1153" s="1">
        <v>45842</v>
      </c>
      <c r="D1153" t="s">
        <v>29</v>
      </c>
      <c r="E1153" t="s">
        <v>154</v>
      </c>
      <c r="F1153" s="3" t="s">
        <v>105</v>
      </c>
      <c r="J1153" s="386">
        <v>14594.2</v>
      </c>
    </row>
    <row r="1154" spans="1:10" ht="15">
      <c r="A1154" s="137" t="str">
        <f t="shared" si="17"/>
        <v>HRNOMINA SUCURSALA24</v>
      </c>
      <c r="B1154" t="s">
        <v>1277</v>
      </c>
      <c r="C1154" s="1">
        <v>45842</v>
      </c>
      <c r="D1154" t="s">
        <v>29</v>
      </c>
      <c r="E1154" t="s">
        <v>154</v>
      </c>
      <c r="F1154" s="3" t="s">
        <v>106</v>
      </c>
      <c r="J1154" s="386">
        <v>17639</v>
      </c>
    </row>
    <row r="1155" spans="1:10" ht="15">
      <c r="A1155" s="137" t="str">
        <f t="shared" si="17"/>
        <v>CAPNOMINA SUCURSALE1</v>
      </c>
      <c r="B1155" t="s">
        <v>1277</v>
      </c>
      <c r="C1155" s="1">
        <v>45842</v>
      </c>
      <c r="D1155" t="s">
        <v>31</v>
      </c>
      <c r="E1155" t="s">
        <v>154</v>
      </c>
      <c r="F1155" s="3" t="s">
        <v>107</v>
      </c>
      <c r="J1155" s="386">
        <v>15533.2</v>
      </c>
    </row>
    <row r="1156" spans="1:10" ht="15">
      <c r="A1156" s="137" t="str">
        <f t="shared" ref="A1156:A1219" si="18">D1156&amp;E1156&amp;F1156</f>
        <v>CAPNOMINA SUCURSALE2</v>
      </c>
      <c r="B1156" t="s">
        <v>1277</v>
      </c>
      <c r="C1156" s="1">
        <v>45842</v>
      </c>
      <c r="D1156" t="s">
        <v>31</v>
      </c>
      <c r="E1156" t="s">
        <v>154</v>
      </c>
      <c r="F1156" s="3" t="s">
        <v>108</v>
      </c>
      <c r="J1156" s="386">
        <v>25149.599999999999</v>
      </c>
    </row>
    <row r="1157" spans="1:10" ht="15">
      <c r="A1157" s="137" t="str">
        <f t="shared" si="18"/>
        <v>CAPNOMINA SUCURSALE3</v>
      </c>
      <c r="B1157" t="s">
        <v>1277</v>
      </c>
      <c r="C1157" s="1">
        <v>45842</v>
      </c>
      <c r="D1157" t="s">
        <v>31</v>
      </c>
      <c r="E1157" t="s">
        <v>154</v>
      </c>
      <c r="F1157" s="3" t="s">
        <v>109</v>
      </c>
      <c r="J1157" s="386">
        <v>13772.2</v>
      </c>
    </row>
    <row r="1158" spans="1:10" ht="15">
      <c r="A1158" s="137" t="str">
        <f t="shared" si="18"/>
        <v>CAPNOMINA SUCURSALE4</v>
      </c>
      <c r="B1158" t="s">
        <v>1277</v>
      </c>
      <c r="C1158" s="1">
        <v>45842</v>
      </c>
      <c r="D1158" t="s">
        <v>31</v>
      </c>
      <c r="E1158" t="s">
        <v>154</v>
      </c>
      <c r="F1158" s="3" t="s">
        <v>110</v>
      </c>
      <c r="J1158" s="386">
        <v>17578.599999999999</v>
      </c>
    </row>
    <row r="1159" spans="1:10" ht="15">
      <c r="A1159" s="137" t="str">
        <f t="shared" si="18"/>
        <v>CAPNOMINA SUCURSALE5</v>
      </c>
      <c r="B1159" t="s">
        <v>1277</v>
      </c>
      <c r="C1159" s="1">
        <v>45842</v>
      </c>
      <c r="D1159" t="s">
        <v>31</v>
      </c>
      <c r="E1159" t="s">
        <v>154</v>
      </c>
      <c r="F1159" s="3" t="s">
        <v>111</v>
      </c>
      <c r="J1159" s="386">
        <v>19121.599999999999</v>
      </c>
    </row>
    <row r="1160" spans="1:10" ht="15">
      <c r="A1160" s="137" t="str">
        <f t="shared" si="18"/>
        <v>CAPNOMINA SUCURSALE6</v>
      </c>
      <c r="B1160" t="s">
        <v>1277</v>
      </c>
      <c r="C1160" s="1">
        <v>45842</v>
      </c>
      <c r="D1160" t="s">
        <v>31</v>
      </c>
      <c r="E1160" t="s">
        <v>154</v>
      </c>
      <c r="F1160" s="3" t="s">
        <v>112</v>
      </c>
      <c r="J1160" s="386">
        <v>16144.4</v>
      </c>
    </row>
    <row r="1161" spans="1:10" ht="15">
      <c r="A1161" s="137" t="str">
        <f t="shared" si="18"/>
        <v>CAPNOMINA SUCURSALE7</v>
      </c>
      <c r="B1161" t="s">
        <v>1277</v>
      </c>
      <c r="C1161" s="1">
        <v>45842</v>
      </c>
      <c r="D1161" t="s">
        <v>31</v>
      </c>
      <c r="E1161" t="s">
        <v>154</v>
      </c>
      <c r="F1161" s="3" t="s">
        <v>113</v>
      </c>
      <c r="J1161" s="386">
        <v>11080.4</v>
      </c>
    </row>
    <row r="1162" spans="1:10" ht="15">
      <c r="A1162" s="137" t="str">
        <f t="shared" si="18"/>
        <v>CAPNOMINA SUCURSALE8</v>
      </c>
      <c r="B1162" t="s">
        <v>1277</v>
      </c>
      <c r="C1162" s="1">
        <v>45842</v>
      </c>
      <c r="D1162" t="s">
        <v>31</v>
      </c>
      <c r="E1162" t="s">
        <v>154</v>
      </c>
      <c r="F1162" s="3" t="s">
        <v>114</v>
      </c>
      <c r="J1162" s="386">
        <v>23867.8</v>
      </c>
    </row>
    <row r="1163" spans="1:10" ht="15">
      <c r="A1163" s="137" t="str">
        <f t="shared" si="18"/>
        <v>CAPNOMINA SUCURSALE9</v>
      </c>
      <c r="B1163" t="s">
        <v>1277</v>
      </c>
      <c r="C1163" s="1">
        <v>45842</v>
      </c>
      <c r="D1163" t="s">
        <v>31</v>
      </c>
      <c r="E1163" t="s">
        <v>154</v>
      </c>
      <c r="F1163" s="3" t="s">
        <v>116</v>
      </c>
      <c r="J1163" s="386">
        <v>28817.8</v>
      </c>
    </row>
    <row r="1164" spans="1:10" ht="15">
      <c r="A1164" s="137" t="str">
        <f t="shared" si="18"/>
        <v>ELINOMINA SUCURSALL1</v>
      </c>
      <c r="B1164" t="s">
        <v>1277</v>
      </c>
      <c r="C1164" s="1">
        <v>45842</v>
      </c>
      <c r="D1164" t="s">
        <v>130</v>
      </c>
      <c r="E1164" t="s">
        <v>154</v>
      </c>
      <c r="F1164" t="s">
        <v>136</v>
      </c>
      <c r="J1164" s="386">
        <v>10088.799999999999</v>
      </c>
    </row>
    <row r="1165" spans="1:10" ht="15">
      <c r="A1165" s="137" t="str">
        <f t="shared" si="18"/>
        <v>HRNOMINA ADMONHR</v>
      </c>
      <c r="B1165" t="s">
        <v>1277</v>
      </c>
      <c r="C1165" s="1">
        <v>45842</v>
      </c>
      <c r="D1165" t="s">
        <v>29</v>
      </c>
      <c r="E1165" t="s">
        <v>147</v>
      </c>
      <c r="F1165" t="s">
        <v>29</v>
      </c>
      <c r="J1165" s="386">
        <v>31512.21</v>
      </c>
    </row>
    <row r="1166" spans="1:10" ht="15">
      <c r="A1166" s="137" t="str">
        <f t="shared" si="18"/>
        <v>CAPNOMINA ADMONCAPRICHOS</v>
      </c>
      <c r="B1166" t="s">
        <v>1277</v>
      </c>
      <c r="C1166" s="1">
        <v>45842</v>
      </c>
      <c r="D1166" t="s">
        <v>31</v>
      </c>
      <c r="E1166" t="s">
        <v>147</v>
      </c>
      <c r="F1166" t="s">
        <v>33</v>
      </c>
      <c r="J1166" s="386">
        <v>22813.200000000001</v>
      </c>
    </row>
    <row r="1167" spans="1:10" ht="15">
      <c r="A1167" s="137" t="str">
        <f t="shared" si="18"/>
        <v>SERVICIOSNOMINA SUCURSALCEDIS</v>
      </c>
      <c r="B1167" t="s">
        <v>1277</v>
      </c>
      <c r="C1167" s="1">
        <v>45842</v>
      </c>
      <c r="D1167" t="s">
        <v>21</v>
      </c>
      <c r="E1167" t="s">
        <v>154</v>
      </c>
      <c r="F1167" t="s">
        <v>28</v>
      </c>
      <c r="J1167" s="386">
        <v>58367.97</v>
      </c>
    </row>
    <row r="1168" spans="1:10" ht="15">
      <c r="A1168" s="137" t="str">
        <f t="shared" si="18"/>
        <v>SERVICIOSNOMINA ADMONINVENTARIOS</v>
      </c>
      <c r="B1168" t="s">
        <v>1277</v>
      </c>
      <c r="C1168" s="1">
        <v>45842</v>
      </c>
      <c r="D1168" t="s">
        <v>21</v>
      </c>
      <c r="E1168" t="s">
        <v>147</v>
      </c>
      <c r="F1168" t="s">
        <v>34</v>
      </c>
      <c r="J1168" s="386">
        <v>2700.2</v>
      </c>
    </row>
    <row r="1169" spans="1:10" ht="15">
      <c r="A1169" s="137" t="str">
        <f t="shared" si="18"/>
        <v>SERVICIOSNOMINA ADMONMANTENIMIENTO</v>
      </c>
      <c r="B1169" t="s">
        <v>1277</v>
      </c>
      <c r="C1169" s="1">
        <v>45842</v>
      </c>
      <c r="D1169" t="s">
        <v>21</v>
      </c>
      <c r="E1169" t="s">
        <v>147</v>
      </c>
      <c r="F1169" t="s">
        <v>35</v>
      </c>
      <c r="J1169" s="386">
        <v>11498.03</v>
      </c>
    </row>
    <row r="1170" spans="1:10" ht="15">
      <c r="A1170" s="137" t="str">
        <f t="shared" si="18"/>
        <v>SERVICIOSNOMINA ADMONCADENA DE SUMINISTROS</v>
      </c>
      <c r="B1170" t="s">
        <v>1277</v>
      </c>
      <c r="C1170" s="1">
        <v>45842</v>
      </c>
      <c r="D1170" t="s">
        <v>21</v>
      </c>
      <c r="E1170" t="s">
        <v>147</v>
      </c>
      <c r="F1170" t="s">
        <v>134</v>
      </c>
      <c r="J1170" s="386">
        <v>20434.8</v>
      </c>
    </row>
    <row r="1171" spans="1:10" ht="15">
      <c r="A1171" s="137" t="str">
        <f t="shared" si="18"/>
        <v>SERVICIOSNOMINA ADMONSISTEMAS</v>
      </c>
      <c r="B1171" t="s">
        <v>1277</v>
      </c>
      <c r="C1171" s="1">
        <v>45842</v>
      </c>
      <c r="D1171" t="s">
        <v>21</v>
      </c>
      <c r="E1171" t="s">
        <v>147</v>
      </c>
      <c r="F1171" t="s">
        <v>36</v>
      </c>
      <c r="J1171" s="386">
        <v>10156.09</v>
      </c>
    </row>
    <row r="1172" spans="1:10" ht="15">
      <c r="A1172" s="137" t="str">
        <f t="shared" si="18"/>
        <v>SERVICIOSNOMINA ADMONCOMPRAS</v>
      </c>
      <c r="B1172" t="s">
        <v>1277</v>
      </c>
      <c r="C1172" s="1">
        <v>45842</v>
      </c>
      <c r="D1172" t="s">
        <v>21</v>
      </c>
      <c r="E1172" t="s">
        <v>147</v>
      </c>
      <c r="F1172" t="s">
        <v>148</v>
      </c>
      <c r="J1172" s="386">
        <v>20601.509999999998</v>
      </c>
    </row>
    <row r="1173" spans="1:10" ht="15">
      <c r="A1173" s="137" t="str">
        <f t="shared" si="18"/>
        <v>FINANZASNOMINA ADMONCONTABILIDAD</v>
      </c>
      <c r="B1173" t="s">
        <v>1277</v>
      </c>
      <c r="C1173" s="1">
        <v>45842</v>
      </c>
      <c r="D1173" t="s">
        <v>23</v>
      </c>
      <c r="E1173" t="s">
        <v>147</v>
      </c>
      <c r="F1173" t="s">
        <v>37</v>
      </c>
      <c r="J1173" s="386">
        <v>8481.07</v>
      </c>
    </row>
    <row r="1174" spans="1:10" ht="15">
      <c r="A1174" s="137" t="str">
        <f t="shared" si="18"/>
        <v>FINANZASNOMINA ADMONFINANZAS/LEGAL</v>
      </c>
      <c r="B1174" t="s">
        <v>1277</v>
      </c>
      <c r="C1174" s="1">
        <v>45842</v>
      </c>
      <c r="D1174" t="s">
        <v>23</v>
      </c>
      <c r="E1174" t="s">
        <v>147</v>
      </c>
      <c r="F1174" t="s">
        <v>149</v>
      </c>
      <c r="J1174" s="386">
        <v>9782.39</v>
      </c>
    </row>
    <row r="1175" spans="1:10" ht="15">
      <c r="A1175" s="137" t="str">
        <f t="shared" si="18"/>
        <v>FINANZASNOMINA ADMONRECURSOS HUMANOS</v>
      </c>
      <c r="B1175" t="s">
        <v>1277</v>
      </c>
      <c r="C1175" s="1">
        <v>45842</v>
      </c>
      <c r="D1175" t="s">
        <v>23</v>
      </c>
      <c r="E1175" t="s">
        <v>147</v>
      </c>
      <c r="F1175" t="s">
        <v>125</v>
      </c>
      <c r="J1175" s="386">
        <v>11715.78</v>
      </c>
    </row>
    <row r="1176" spans="1:10" ht="15">
      <c r="A1176" s="137" t="str">
        <f t="shared" si="18"/>
        <v>FINANZASNOMINA ADMONTESORERIA</v>
      </c>
      <c r="B1176" t="s">
        <v>1277</v>
      </c>
      <c r="C1176" s="1">
        <v>45842</v>
      </c>
      <c r="D1176" t="s">
        <v>23</v>
      </c>
      <c r="E1176" t="s">
        <v>147</v>
      </c>
      <c r="F1176" t="s">
        <v>38</v>
      </c>
      <c r="J1176" s="386">
        <v>12155.4</v>
      </c>
    </row>
    <row r="1177" spans="1:10" ht="15">
      <c r="A1177" s="137" t="str">
        <f t="shared" si="18"/>
        <v>FINANZASNOMINA ADMONHBG FINANZAS</v>
      </c>
      <c r="B1177" t="s">
        <v>1277</v>
      </c>
      <c r="C1177" s="1">
        <v>45842</v>
      </c>
      <c r="D1177" t="s">
        <v>23</v>
      </c>
      <c r="E1177" t="s">
        <v>147</v>
      </c>
      <c r="F1177" t="s">
        <v>150</v>
      </c>
      <c r="J1177" s="386">
        <v>3056.8</v>
      </c>
    </row>
    <row r="1178" spans="1:10" ht="15">
      <c r="A1178" s="137" t="str">
        <f t="shared" si="18"/>
        <v>SGENOMINA ADMONGESTION EMPRESARIAL</v>
      </c>
      <c r="B1178" t="s">
        <v>1277</v>
      </c>
      <c r="C1178" s="1">
        <v>45842</v>
      </c>
      <c r="D1178" t="s">
        <v>39</v>
      </c>
      <c r="E1178" t="s">
        <v>147</v>
      </c>
      <c r="F1178" t="s">
        <v>40</v>
      </c>
      <c r="J1178" s="386">
        <v>19801.400000000001</v>
      </c>
    </row>
    <row r="1179" spans="1:10" ht="15">
      <c r="A1179" s="137" t="str">
        <f t="shared" si="18"/>
        <v>DENOMINA ADMONDIRECCION</v>
      </c>
      <c r="B1179" t="s">
        <v>1277</v>
      </c>
      <c r="C1179" s="1">
        <v>45842</v>
      </c>
      <c r="D1179" t="s">
        <v>41</v>
      </c>
      <c r="E1179" t="s">
        <v>147</v>
      </c>
      <c r="F1179" t="s">
        <v>42</v>
      </c>
      <c r="J1179" s="386">
        <v>6000</v>
      </c>
    </row>
    <row r="1180" spans="1:10" ht="15">
      <c r="A1180" s="137" t="str">
        <f t="shared" si="18"/>
        <v>MMNOMINA ADMONMARKET MAX</v>
      </c>
      <c r="B1180" t="s">
        <v>1277</v>
      </c>
      <c r="C1180" s="1">
        <v>45842</v>
      </c>
      <c r="D1180" t="s">
        <v>45</v>
      </c>
      <c r="E1180" t="s">
        <v>147</v>
      </c>
      <c r="F1180" s="12" t="s">
        <v>46</v>
      </c>
      <c r="J1180" s="386">
        <v>6002.74</v>
      </c>
    </row>
    <row r="1181" spans="1:10" ht="15">
      <c r="A1181" s="137" t="str">
        <f t="shared" si="18"/>
        <v>FINANZASNOMINA ADMONHBG FINANZAS</v>
      </c>
      <c r="B1181" t="s">
        <v>1277</v>
      </c>
      <c r="C1181" s="1">
        <v>45842</v>
      </c>
      <c r="D1181" t="s">
        <v>23</v>
      </c>
      <c r="E1181" t="s">
        <v>147</v>
      </c>
      <c r="F1181" s="12" t="s">
        <v>150</v>
      </c>
      <c r="J1181" s="385">
        <v>10950</v>
      </c>
    </row>
    <row r="1182" spans="1:10" ht="15">
      <c r="A1182" s="137" t="str">
        <f t="shared" si="18"/>
        <v>HRNOMINA ADMONHR</v>
      </c>
      <c r="B1182" t="s">
        <v>1277</v>
      </c>
      <c r="C1182" s="1">
        <v>45842</v>
      </c>
      <c r="D1182" t="s">
        <v>29</v>
      </c>
      <c r="E1182" t="s">
        <v>147</v>
      </c>
      <c r="F1182" s="3" t="s">
        <v>29</v>
      </c>
      <c r="J1182" s="385">
        <v>5500</v>
      </c>
    </row>
    <row r="1183" spans="1:10" ht="15">
      <c r="A1183" s="137" t="str">
        <f t="shared" si="18"/>
        <v>CAPNOMINA ADMONCAPRICHOS</v>
      </c>
      <c r="B1183" t="s">
        <v>1277</v>
      </c>
      <c r="C1183" s="1">
        <v>45842</v>
      </c>
      <c r="D1183" t="s">
        <v>31</v>
      </c>
      <c r="E1183" t="s">
        <v>147</v>
      </c>
      <c r="F1183" s="12" t="s">
        <v>33</v>
      </c>
      <c r="J1183" s="385">
        <v>3700</v>
      </c>
    </row>
    <row r="1184" spans="1:10" ht="15">
      <c r="A1184" s="137" t="str">
        <f t="shared" si="18"/>
        <v>SGENOMINA ADMONGESTION EMPRESARIAL</v>
      </c>
      <c r="B1184" t="s">
        <v>1277</v>
      </c>
      <c r="C1184" s="1">
        <v>45842</v>
      </c>
      <c r="D1184" t="s">
        <v>39</v>
      </c>
      <c r="E1184" t="s">
        <v>147</v>
      </c>
      <c r="F1184" s="12" t="s">
        <v>40</v>
      </c>
      <c r="J1184" s="385">
        <v>2750</v>
      </c>
    </row>
    <row r="1185" spans="1:10" ht="15">
      <c r="A1185" s="137" t="str">
        <f t="shared" si="18"/>
        <v>SERVICIOSNOMINA ADMONSERVICIOS</v>
      </c>
      <c r="B1185" t="s">
        <v>1277</v>
      </c>
      <c r="C1185" s="1">
        <v>45842</v>
      </c>
      <c r="D1185" t="s">
        <v>21</v>
      </c>
      <c r="E1185" t="s">
        <v>147</v>
      </c>
      <c r="F1185" s="12" t="s">
        <v>21</v>
      </c>
      <c r="J1185" s="385">
        <v>4750</v>
      </c>
    </row>
    <row r="1186" spans="1:10" ht="15">
      <c r="A1186" s="137" t="str">
        <f t="shared" si="18"/>
        <v>DENOMINA ADMONDIRECCION</v>
      </c>
      <c r="B1186" t="s">
        <v>1277</v>
      </c>
      <c r="C1186" s="1">
        <v>45842</v>
      </c>
      <c r="D1186" t="s">
        <v>41</v>
      </c>
      <c r="E1186" t="s">
        <v>147</v>
      </c>
      <c r="F1186" s="12" t="s">
        <v>42</v>
      </c>
      <c r="J1186" s="385">
        <v>20750</v>
      </c>
    </row>
    <row r="1187" spans="1:10" ht="15">
      <c r="A1187" s="137" t="str">
        <f t="shared" si="18"/>
        <v>MMNOMINA ADMONMARKET MAX</v>
      </c>
      <c r="B1187" t="s">
        <v>1277</v>
      </c>
      <c r="C1187" s="1">
        <v>45842</v>
      </c>
      <c r="D1187" t="s">
        <v>45</v>
      </c>
      <c r="E1187" t="s">
        <v>147</v>
      </c>
      <c r="F1187" s="12" t="s">
        <v>46</v>
      </c>
      <c r="J1187" s="385">
        <v>2000</v>
      </c>
    </row>
    <row r="1188" spans="1:10" ht="15">
      <c r="A1188" s="137" t="str">
        <f t="shared" si="18"/>
        <v>HRNOMINA SUCURSALA1</v>
      </c>
      <c r="B1188" t="s">
        <v>1560</v>
      </c>
      <c r="C1188" s="1">
        <v>45849</v>
      </c>
      <c r="D1188" t="s">
        <v>29</v>
      </c>
      <c r="E1188" t="s">
        <v>154</v>
      </c>
      <c r="F1188" s="3" t="s">
        <v>88</v>
      </c>
      <c r="J1188" s="386">
        <v>10931.8</v>
      </c>
    </row>
    <row r="1189" spans="1:10" ht="15">
      <c r="A1189" s="137" t="str">
        <f t="shared" si="18"/>
        <v>HRNOMINA SUCURSALA2</v>
      </c>
      <c r="B1189" t="s">
        <v>1560</v>
      </c>
      <c r="C1189" s="1">
        <v>45849</v>
      </c>
      <c r="D1189" t="s">
        <v>29</v>
      </c>
      <c r="E1189" t="s">
        <v>154</v>
      </c>
      <c r="F1189" s="3" t="s">
        <v>89</v>
      </c>
      <c r="J1189" s="386">
        <v>11706.8</v>
      </c>
    </row>
    <row r="1190" spans="1:10" ht="15">
      <c r="A1190" s="137" t="str">
        <f t="shared" si="18"/>
        <v>HRNOMINA SUCURSALA3</v>
      </c>
      <c r="B1190" t="s">
        <v>1560</v>
      </c>
      <c r="C1190" s="1">
        <v>45849</v>
      </c>
      <c r="D1190" t="s">
        <v>29</v>
      </c>
      <c r="E1190" t="s">
        <v>154</v>
      </c>
      <c r="F1190" s="3" t="s">
        <v>90</v>
      </c>
      <c r="J1190" s="386">
        <v>10928.6</v>
      </c>
    </row>
    <row r="1191" spans="1:10" ht="15">
      <c r="A1191" s="137" t="str">
        <f t="shared" si="18"/>
        <v>HRNOMINA SUCURSALA4</v>
      </c>
      <c r="B1191" t="s">
        <v>1560</v>
      </c>
      <c r="C1191" s="1">
        <v>45849</v>
      </c>
      <c r="D1191" t="s">
        <v>29</v>
      </c>
      <c r="E1191" t="s">
        <v>154</v>
      </c>
      <c r="F1191" s="3" t="s">
        <v>91</v>
      </c>
      <c r="J1191" s="386">
        <v>9355.4</v>
      </c>
    </row>
    <row r="1192" spans="1:10" ht="15">
      <c r="A1192" s="137" t="str">
        <f t="shared" si="18"/>
        <v>HRNOMINA SUCURSALA5</v>
      </c>
      <c r="B1192" t="s">
        <v>1560</v>
      </c>
      <c r="C1192" s="1">
        <v>45849</v>
      </c>
      <c r="D1192" t="s">
        <v>29</v>
      </c>
      <c r="E1192" t="s">
        <v>154</v>
      </c>
      <c r="F1192" s="3" t="s">
        <v>92</v>
      </c>
      <c r="J1192" s="386">
        <v>17134.8</v>
      </c>
    </row>
    <row r="1193" spans="1:10" ht="15">
      <c r="A1193" s="137" t="str">
        <f t="shared" si="18"/>
        <v>HRNOMINA SUCURSALA6</v>
      </c>
      <c r="B1193" t="s">
        <v>1560</v>
      </c>
      <c r="C1193" s="1">
        <v>45849</v>
      </c>
      <c r="D1193" t="s">
        <v>29</v>
      </c>
      <c r="E1193" t="s">
        <v>154</v>
      </c>
      <c r="F1193" s="3" t="s">
        <v>93</v>
      </c>
      <c r="J1193" s="386">
        <v>13320.89</v>
      </c>
    </row>
    <row r="1194" spans="1:10" ht="15">
      <c r="A1194" s="137" t="str">
        <f t="shared" si="18"/>
        <v>HRNOMINA SUCURSALA8</v>
      </c>
      <c r="B1194" t="s">
        <v>1560</v>
      </c>
      <c r="C1194" s="1">
        <v>45849</v>
      </c>
      <c r="D1194" t="s">
        <v>29</v>
      </c>
      <c r="E1194" t="s">
        <v>154</v>
      </c>
      <c r="F1194" s="3" t="s">
        <v>94</v>
      </c>
      <c r="J1194" s="386">
        <v>17134.8</v>
      </c>
    </row>
    <row r="1195" spans="1:10" ht="15">
      <c r="A1195" s="137" t="str">
        <f t="shared" si="18"/>
        <v>HRNOMINA SUCURSALA9</v>
      </c>
      <c r="B1195" t="s">
        <v>1560</v>
      </c>
      <c r="C1195" s="1">
        <v>45849</v>
      </c>
      <c r="D1195" t="s">
        <v>29</v>
      </c>
      <c r="E1195" t="s">
        <v>154</v>
      </c>
      <c r="F1195" s="3" t="s">
        <v>95</v>
      </c>
      <c r="J1195" s="386">
        <v>11079.11</v>
      </c>
    </row>
    <row r="1196" spans="1:10" ht="15">
      <c r="A1196" s="137" t="str">
        <f t="shared" si="18"/>
        <v>HRNOMINA SUCURSALA10</v>
      </c>
      <c r="B1196" t="s">
        <v>1560</v>
      </c>
      <c r="C1196" s="1">
        <v>45849</v>
      </c>
      <c r="D1196" t="s">
        <v>29</v>
      </c>
      <c r="E1196" t="s">
        <v>154</v>
      </c>
      <c r="F1196" s="3" t="s">
        <v>96</v>
      </c>
      <c r="J1196" s="386">
        <v>18607.8</v>
      </c>
    </row>
    <row r="1197" spans="1:10" ht="15">
      <c r="A1197" s="137" t="str">
        <f t="shared" si="18"/>
        <v>HRNOMINA SUCURSALA11</v>
      </c>
      <c r="B1197" t="s">
        <v>1560</v>
      </c>
      <c r="C1197" s="1">
        <v>45849</v>
      </c>
      <c r="D1197" t="s">
        <v>29</v>
      </c>
      <c r="E1197" t="s">
        <v>154</v>
      </c>
      <c r="F1197" s="62" t="s">
        <v>97</v>
      </c>
      <c r="J1197" s="386">
        <v>13096.6</v>
      </c>
    </row>
    <row r="1198" spans="1:10" ht="15">
      <c r="A1198" s="137" t="str">
        <f t="shared" si="18"/>
        <v>HRNOMINA SUCURSALA12</v>
      </c>
      <c r="B1198" t="s">
        <v>1560</v>
      </c>
      <c r="C1198" s="1">
        <v>45849</v>
      </c>
      <c r="D1198" t="s">
        <v>29</v>
      </c>
      <c r="E1198" t="s">
        <v>154</v>
      </c>
      <c r="F1198" s="3" t="s">
        <v>98</v>
      </c>
      <c r="J1198" s="386">
        <v>19568.2</v>
      </c>
    </row>
    <row r="1199" spans="1:10" ht="15">
      <c r="A1199" s="137" t="str">
        <f t="shared" si="18"/>
        <v>HRNOMINA SUCURSALA14</v>
      </c>
      <c r="B1199" t="s">
        <v>1560</v>
      </c>
      <c r="C1199" s="1">
        <v>45849</v>
      </c>
      <c r="D1199" t="s">
        <v>29</v>
      </c>
      <c r="E1199" t="s">
        <v>154</v>
      </c>
      <c r="F1199" s="3" t="s">
        <v>99</v>
      </c>
      <c r="J1199" s="386">
        <v>14084.4</v>
      </c>
    </row>
    <row r="1200" spans="1:10" ht="15">
      <c r="A1200" s="137" t="str">
        <f t="shared" si="18"/>
        <v>HRNOMINA SUCURSALA15</v>
      </c>
      <c r="B1200" t="s">
        <v>1560</v>
      </c>
      <c r="C1200" s="1">
        <v>45849</v>
      </c>
      <c r="D1200" t="s">
        <v>29</v>
      </c>
      <c r="E1200" t="s">
        <v>154</v>
      </c>
      <c r="F1200" s="3" t="s">
        <v>100</v>
      </c>
      <c r="J1200" s="386">
        <v>11456.8</v>
      </c>
    </row>
    <row r="1201" spans="1:10" ht="15">
      <c r="A1201" s="137" t="str">
        <f t="shared" si="18"/>
        <v>HRNOMINA SUCURSALA16</v>
      </c>
      <c r="B1201" t="s">
        <v>1560</v>
      </c>
      <c r="C1201" s="1">
        <v>45849</v>
      </c>
      <c r="D1201" t="s">
        <v>29</v>
      </c>
      <c r="E1201" t="s">
        <v>154</v>
      </c>
      <c r="F1201" s="3" t="s">
        <v>101</v>
      </c>
      <c r="J1201" s="386">
        <v>15709.49</v>
      </c>
    </row>
    <row r="1202" spans="1:10" ht="15">
      <c r="A1202" s="137" t="str">
        <f t="shared" si="18"/>
        <v>HRNOMINA SUCURSALA17</v>
      </c>
      <c r="B1202" t="s">
        <v>1560</v>
      </c>
      <c r="C1202" s="1">
        <v>45849</v>
      </c>
      <c r="D1202" t="s">
        <v>29</v>
      </c>
      <c r="E1202" t="s">
        <v>154</v>
      </c>
      <c r="F1202" s="3" t="s">
        <v>102</v>
      </c>
      <c r="J1202" s="386">
        <v>12338.49</v>
      </c>
    </row>
    <row r="1203" spans="1:10" ht="15">
      <c r="A1203" s="137" t="str">
        <f t="shared" si="18"/>
        <v>HRNOMINA SUCURSALA18</v>
      </c>
      <c r="B1203" t="s">
        <v>1560</v>
      </c>
      <c r="C1203" s="1">
        <v>45849</v>
      </c>
      <c r="D1203" t="s">
        <v>29</v>
      </c>
      <c r="E1203" t="s">
        <v>154</v>
      </c>
      <c r="F1203" s="3" t="s">
        <v>103</v>
      </c>
      <c r="J1203" s="386">
        <v>16631.599999999999</v>
      </c>
    </row>
    <row r="1204" spans="1:10" ht="15">
      <c r="A1204" s="137" t="str">
        <f t="shared" si="18"/>
        <v>HRNOMINA SUCURSALA22</v>
      </c>
      <c r="B1204" t="s">
        <v>1560</v>
      </c>
      <c r="C1204" s="1">
        <v>45849</v>
      </c>
      <c r="D1204" t="s">
        <v>29</v>
      </c>
      <c r="E1204" t="s">
        <v>154</v>
      </c>
      <c r="F1204" s="3" t="s">
        <v>104</v>
      </c>
      <c r="J1204" s="386">
        <v>14456.6</v>
      </c>
    </row>
    <row r="1205" spans="1:10" ht="15">
      <c r="A1205" s="137" t="str">
        <f t="shared" si="18"/>
        <v>HRNOMINA SUCURSALA23</v>
      </c>
      <c r="B1205" t="s">
        <v>1560</v>
      </c>
      <c r="C1205" s="1">
        <v>45849</v>
      </c>
      <c r="D1205" t="s">
        <v>29</v>
      </c>
      <c r="E1205" t="s">
        <v>154</v>
      </c>
      <c r="F1205" s="3" t="s">
        <v>105</v>
      </c>
      <c r="J1205" s="386">
        <v>14280.8</v>
      </c>
    </row>
    <row r="1206" spans="1:10" ht="15">
      <c r="A1206" s="137" t="str">
        <f t="shared" si="18"/>
        <v>HRNOMINA SUCURSALA24</v>
      </c>
      <c r="B1206" t="s">
        <v>1560</v>
      </c>
      <c r="C1206" s="1">
        <v>45849</v>
      </c>
      <c r="D1206" t="s">
        <v>29</v>
      </c>
      <c r="E1206" t="s">
        <v>154</v>
      </c>
      <c r="F1206" s="3" t="s">
        <v>106</v>
      </c>
      <c r="J1206" s="386">
        <v>17395.599999999999</v>
      </c>
    </row>
    <row r="1207" spans="1:10" ht="15">
      <c r="A1207" s="137" t="str">
        <f t="shared" si="18"/>
        <v>CAPNOMINA SUCURSALE1</v>
      </c>
      <c r="B1207" t="s">
        <v>1560</v>
      </c>
      <c r="C1207" s="1">
        <v>45849</v>
      </c>
      <c r="D1207" t="s">
        <v>31</v>
      </c>
      <c r="E1207" t="s">
        <v>154</v>
      </c>
      <c r="F1207" s="3" t="s">
        <v>107</v>
      </c>
      <c r="J1207" s="386">
        <v>17309.8</v>
      </c>
    </row>
    <row r="1208" spans="1:10" ht="15">
      <c r="A1208" s="137" t="str">
        <f t="shared" si="18"/>
        <v>CAPNOMINA SUCURSALE2</v>
      </c>
      <c r="B1208" t="s">
        <v>1560</v>
      </c>
      <c r="C1208" s="1">
        <v>45849</v>
      </c>
      <c r="D1208" t="s">
        <v>31</v>
      </c>
      <c r="E1208" t="s">
        <v>154</v>
      </c>
      <c r="F1208" s="3" t="s">
        <v>108</v>
      </c>
      <c r="J1208" s="386">
        <v>23139.200000000001</v>
      </c>
    </row>
    <row r="1209" spans="1:10" ht="15">
      <c r="A1209" s="137" t="str">
        <f t="shared" si="18"/>
        <v>CAPNOMINA SUCURSALE3</v>
      </c>
      <c r="B1209" t="s">
        <v>1560</v>
      </c>
      <c r="C1209" s="1">
        <v>45849</v>
      </c>
      <c r="D1209" t="s">
        <v>31</v>
      </c>
      <c r="E1209" t="s">
        <v>154</v>
      </c>
      <c r="F1209" s="3" t="s">
        <v>109</v>
      </c>
      <c r="J1209" s="386">
        <v>14208.4</v>
      </c>
    </row>
    <row r="1210" spans="1:10" ht="15">
      <c r="A1210" s="137" t="str">
        <f t="shared" si="18"/>
        <v>CAPNOMINA SUCURSALE4</v>
      </c>
      <c r="B1210" t="s">
        <v>1560</v>
      </c>
      <c r="C1210" s="1">
        <v>45849</v>
      </c>
      <c r="D1210" t="s">
        <v>31</v>
      </c>
      <c r="E1210" t="s">
        <v>154</v>
      </c>
      <c r="F1210" s="3" t="s">
        <v>110</v>
      </c>
      <c r="J1210" s="386">
        <v>19879.8</v>
      </c>
    </row>
    <row r="1211" spans="1:10" ht="15">
      <c r="A1211" s="137" t="str">
        <f t="shared" si="18"/>
        <v>CAPNOMINA SUCURSALE5</v>
      </c>
      <c r="B1211" t="s">
        <v>1560</v>
      </c>
      <c r="C1211" s="1">
        <v>45849</v>
      </c>
      <c r="D1211" t="s">
        <v>31</v>
      </c>
      <c r="E1211" t="s">
        <v>154</v>
      </c>
      <c r="F1211" s="3" t="s">
        <v>111</v>
      </c>
      <c r="J1211" s="386">
        <v>20535</v>
      </c>
    </row>
    <row r="1212" spans="1:10" ht="15">
      <c r="A1212" s="137" t="str">
        <f t="shared" si="18"/>
        <v>CAPNOMINA SUCURSALE6</v>
      </c>
      <c r="B1212" t="s">
        <v>1560</v>
      </c>
      <c r="C1212" s="1">
        <v>45849</v>
      </c>
      <c r="D1212" t="s">
        <v>31</v>
      </c>
      <c r="E1212" t="s">
        <v>154</v>
      </c>
      <c r="F1212" s="3" t="s">
        <v>112</v>
      </c>
      <c r="J1212" s="386">
        <v>16691.8</v>
      </c>
    </row>
    <row r="1213" spans="1:10" ht="15">
      <c r="A1213" s="137" t="str">
        <f t="shared" si="18"/>
        <v>CAPNOMINA SUCURSALE7</v>
      </c>
      <c r="B1213" t="s">
        <v>1560</v>
      </c>
      <c r="C1213" s="1">
        <v>45849</v>
      </c>
      <c r="D1213" t="s">
        <v>31</v>
      </c>
      <c r="E1213" t="s">
        <v>154</v>
      </c>
      <c r="F1213" s="3" t="s">
        <v>113</v>
      </c>
      <c r="J1213" s="386">
        <v>12456.4</v>
      </c>
    </row>
    <row r="1214" spans="1:10" ht="15">
      <c r="A1214" s="137" t="str">
        <f t="shared" si="18"/>
        <v>CAPNOMINA SUCURSALE8</v>
      </c>
      <c r="B1214" t="s">
        <v>1560</v>
      </c>
      <c r="C1214" s="1">
        <v>45849</v>
      </c>
      <c r="D1214" t="s">
        <v>31</v>
      </c>
      <c r="E1214" t="s">
        <v>154</v>
      </c>
      <c r="F1214" s="3" t="s">
        <v>114</v>
      </c>
      <c r="J1214" s="386">
        <v>22433.4</v>
      </c>
    </row>
    <row r="1215" spans="1:10" ht="15">
      <c r="A1215" s="137" t="str">
        <f t="shared" si="18"/>
        <v>CAPNOMINA SUCURSALE9</v>
      </c>
      <c r="B1215" t="s">
        <v>1560</v>
      </c>
      <c r="C1215" s="1">
        <v>45849</v>
      </c>
      <c r="D1215" t="s">
        <v>31</v>
      </c>
      <c r="E1215" t="s">
        <v>154</v>
      </c>
      <c r="F1215" s="3" t="s">
        <v>116</v>
      </c>
      <c r="J1215" s="386">
        <v>25998.2</v>
      </c>
    </row>
    <row r="1216" spans="1:10" ht="15">
      <c r="A1216" s="137" t="str">
        <f t="shared" si="18"/>
        <v>ELINOMINA SUCURSALL1</v>
      </c>
      <c r="B1216" t="s">
        <v>1560</v>
      </c>
      <c r="C1216" s="1">
        <v>45849</v>
      </c>
      <c r="D1216" t="s">
        <v>130</v>
      </c>
      <c r="E1216" t="s">
        <v>154</v>
      </c>
      <c r="F1216" t="s">
        <v>136</v>
      </c>
      <c r="J1216" s="386">
        <v>7025.2</v>
      </c>
    </row>
    <row r="1217" spans="1:10" ht="15">
      <c r="A1217" s="137" t="str">
        <f t="shared" si="18"/>
        <v>HRNOMINA ADMONHR</v>
      </c>
      <c r="B1217" t="s">
        <v>1560</v>
      </c>
      <c r="C1217" s="1">
        <v>45849</v>
      </c>
      <c r="D1217" t="s">
        <v>29</v>
      </c>
      <c r="E1217" t="s">
        <v>147</v>
      </c>
      <c r="F1217" t="s">
        <v>29</v>
      </c>
      <c r="J1217" s="386">
        <v>32472.6</v>
      </c>
    </row>
    <row r="1218" spans="1:10" ht="15">
      <c r="A1218" s="137" t="str">
        <f t="shared" si="18"/>
        <v>CAPNOMINA ADMONCAPRICHOS</v>
      </c>
      <c r="B1218" t="s">
        <v>1560</v>
      </c>
      <c r="C1218" s="1">
        <v>45849</v>
      </c>
      <c r="D1218" t="s">
        <v>31</v>
      </c>
      <c r="E1218" t="s">
        <v>147</v>
      </c>
      <c r="F1218" t="s">
        <v>33</v>
      </c>
      <c r="J1218" s="386">
        <v>26714.400000000001</v>
      </c>
    </row>
    <row r="1219" spans="1:10" ht="15">
      <c r="A1219" s="137" t="str">
        <f t="shared" si="18"/>
        <v>SERVICIOSNOMINA SUCURSALCEDIS</v>
      </c>
      <c r="B1219" t="s">
        <v>1560</v>
      </c>
      <c r="C1219" s="1">
        <v>45849</v>
      </c>
      <c r="D1219" t="s">
        <v>21</v>
      </c>
      <c r="E1219" t="s">
        <v>154</v>
      </c>
      <c r="F1219" t="s">
        <v>28</v>
      </c>
      <c r="J1219" s="386">
        <v>70343.570000000007</v>
      </c>
    </row>
    <row r="1220" spans="1:10" ht="15">
      <c r="A1220" s="137" t="str">
        <f t="shared" ref="A1220:A1283" si="19">D1220&amp;E1220&amp;F1220</f>
        <v>SERVICIOSNOMINA ADMONINVENTARIOS</v>
      </c>
      <c r="B1220" t="s">
        <v>1560</v>
      </c>
      <c r="C1220" s="1">
        <v>45849</v>
      </c>
      <c r="D1220" t="s">
        <v>21</v>
      </c>
      <c r="E1220" t="s">
        <v>147</v>
      </c>
      <c r="F1220" t="s">
        <v>34</v>
      </c>
      <c r="J1220" s="386">
        <v>2700</v>
      </c>
    </row>
    <row r="1221" spans="1:10" ht="15">
      <c r="A1221" s="137" t="str">
        <f t="shared" si="19"/>
        <v>SERVICIOSNOMINA ADMONMANTENIMIENTO</v>
      </c>
      <c r="B1221" t="s">
        <v>1560</v>
      </c>
      <c r="C1221" s="1">
        <v>45849</v>
      </c>
      <c r="D1221" t="s">
        <v>21</v>
      </c>
      <c r="E1221" t="s">
        <v>147</v>
      </c>
      <c r="F1221" t="s">
        <v>35</v>
      </c>
      <c r="J1221" s="386">
        <v>12609.03</v>
      </c>
    </row>
    <row r="1222" spans="1:10" ht="15">
      <c r="A1222" s="137" t="str">
        <f t="shared" si="19"/>
        <v>SERVICIOSNOMINA ADMONCADENA DE SUMINISTROS</v>
      </c>
      <c r="B1222" t="s">
        <v>1560</v>
      </c>
      <c r="C1222" s="1">
        <v>45849</v>
      </c>
      <c r="D1222" t="s">
        <v>21</v>
      </c>
      <c r="E1222" t="s">
        <v>147</v>
      </c>
      <c r="F1222" t="s">
        <v>134</v>
      </c>
      <c r="J1222" s="386">
        <v>19831.599999999999</v>
      </c>
    </row>
    <row r="1223" spans="1:10" ht="15">
      <c r="A1223" s="137" t="str">
        <f t="shared" si="19"/>
        <v>SERVICIOSNOMINA ADMONSISTEMAS</v>
      </c>
      <c r="B1223" t="s">
        <v>1560</v>
      </c>
      <c r="C1223" s="1">
        <v>45849</v>
      </c>
      <c r="D1223" t="s">
        <v>21</v>
      </c>
      <c r="E1223" t="s">
        <v>147</v>
      </c>
      <c r="F1223" t="s">
        <v>36</v>
      </c>
      <c r="J1223" s="386">
        <v>10156.09</v>
      </c>
    </row>
    <row r="1224" spans="1:10" ht="15">
      <c r="A1224" s="137" t="str">
        <f t="shared" si="19"/>
        <v>SERVICIOSNOMINA ADMONCOMPRAS</v>
      </c>
      <c r="B1224" t="s">
        <v>1560</v>
      </c>
      <c r="C1224" s="1">
        <v>45849</v>
      </c>
      <c r="D1224" t="s">
        <v>21</v>
      </c>
      <c r="E1224" t="s">
        <v>147</v>
      </c>
      <c r="F1224" t="s">
        <v>148</v>
      </c>
      <c r="J1224" s="386">
        <v>19930.509999999998</v>
      </c>
    </row>
    <row r="1225" spans="1:10" ht="15">
      <c r="A1225" s="137" t="str">
        <f t="shared" si="19"/>
        <v>FINANZASNOMINA ADMONCONTABILIDAD</v>
      </c>
      <c r="B1225" t="s">
        <v>1560</v>
      </c>
      <c r="C1225" s="1">
        <v>45849</v>
      </c>
      <c r="D1225" t="s">
        <v>23</v>
      </c>
      <c r="E1225" t="s">
        <v>147</v>
      </c>
      <c r="F1225" t="s">
        <v>37</v>
      </c>
      <c r="J1225" s="386">
        <v>10101.17</v>
      </c>
    </row>
    <row r="1226" spans="1:10" ht="15">
      <c r="A1226" s="137" t="str">
        <f t="shared" si="19"/>
        <v>FINANZASNOMINA ADMONFINANZAS/LEGAL</v>
      </c>
      <c r="B1226" t="s">
        <v>1560</v>
      </c>
      <c r="C1226" s="1">
        <v>45849</v>
      </c>
      <c r="D1226" t="s">
        <v>23</v>
      </c>
      <c r="E1226" t="s">
        <v>147</v>
      </c>
      <c r="F1226" t="s">
        <v>149</v>
      </c>
      <c r="J1226" s="386">
        <v>6521.79</v>
      </c>
    </row>
    <row r="1227" spans="1:10" ht="15">
      <c r="A1227" s="137" t="str">
        <f t="shared" si="19"/>
        <v>FINANZASNOMINA ADMONRECURSOS HUMANOS</v>
      </c>
      <c r="B1227" t="s">
        <v>1560</v>
      </c>
      <c r="C1227" s="1">
        <v>45849</v>
      </c>
      <c r="D1227" t="s">
        <v>23</v>
      </c>
      <c r="E1227" t="s">
        <v>147</v>
      </c>
      <c r="F1227" t="s">
        <v>125</v>
      </c>
      <c r="J1227" s="386">
        <v>10759.18</v>
      </c>
    </row>
    <row r="1228" spans="1:10" ht="15">
      <c r="A1228" s="137" t="str">
        <f t="shared" si="19"/>
        <v>FINANZASNOMINA ADMONTESORERIA</v>
      </c>
      <c r="B1228" t="s">
        <v>1560</v>
      </c>
      <c r="C1228" s="1">
        <v>45849</v>
      </c>
      <c r="D1228" t="s">
        <v>23</v>
      </c>
      <c r="E1228" t="s">
        <v>147</v>
      </c>
      <c r="F1228" t="s">
        <v>38</v>
      </c>
      <c r="J1228" s="386">
        <v>12249</v>
      </c>
    </row>
    <row r="1229" spans="1:10" ht="15">
      <c r="A1229" s="137" t="str">
        <f t="shared" si="19"/>
        <v>FINANZASNOMINA ADMONHBG FINANZAS</v>
      </c>
      <c r="B1229" t="s">
        <v>1560</v>
      </c>
      <c r="C1229" s="1">
        <v>45849</v>
      </c>
      <c r="D1229" t="s">
        <v>23</v>
      </c>
      <c r="E1229" t="s">
        <v>147</v>
      </c>
      <c r="F1229" t="s">
        <v>150</v>
      </c>
      <c r="J1229" s="386">
        <v>2549.8000000000002</v>
      </c>
    </row>
    <row r="1230" spans="1:10" ht="15">
      <c r="A1230" s="137" t="str">
        <f t="shared" si="19"/>
        <v>SGENOMINA ADMONGESTION EMPRESARIAL</v>
      </c>
      <c r="B1230" t="s">
        <v>1560</v>
      </c>
      <c r="C1230" s="1">
        <v>45849</v>
      </c>
      <c r="D1230" t="s">
        <v>39</v>
      </c>
      <c r="E1230" t="s">
        <v>147</v>
      </c>
      <c r="F1230" t="s">
        <v>40</v>
      </c>
      <c r="J1230" s="386">
        <v>19600</v>
      </c>
    </row>
    <row r="1231" spans="1:10" ht="15">
      <c r="A1231" s="137" t="str">
        <f t="shared" si="19"/>
        <v>DENOMINA ADMONDIRECCION</v>
      </c>
      <c r="B1231" t="s">
        <v>1560</v>
      </c>
      <c r="C1231" s="1">
        <v>45849</v>
      </c>
      <c r="D1231" t="s">
        <v>41</v>
      </c>
      <c r="E1231" t="s">
        <v>147</v>
      </c>
      <c r="F1231" t="s">
        <v>42</v>
      </c>
      <c r="J1231" s="386">
        <v>6000</v>
      </c>
    </row>
    <row r="1232" spans="1:10" ht="15">
      <c r="A1232" s="137" t="str">
        <f t="shared" si="19"/>
        <v>MMNOMINA ADMONMARKET MAX</v>
      </c>
      <c r="B1232" t="s">
        <v>1560</v>
      </c>
      <c r="C1232" s="1">
        <v>45849</v>
      </c>
      <c r="D1232" t="s">
        <v>45</v>
      </c>
      <c r="E1232" t="s">
        <v>147</v>
      </c>
      <c r="F1232" s="12" t="s">
        <v>46</v>
      </c>
      <c r="J1232" s="386">
        <v>6502.54</v>
      </c>
    </row>
    <row r="1233" spans="1:10" ht="15">
      <c r="A1233" s="137" t="str">
        <f t="shared" si="19"/>
        <v>FINANZASNOMINA ADMONHBG FINANZAS</v>
      </c>
      <c r="B1233" t="s">
        <v>1560</v>
      </c>
      <c r="C1233" s="1">
        <v>45849</v>
      </c>
      <c r="D1233" t="s">
        <v>23</v>
      </c>
      <c r="E1233" t="s">
        <v>147</v>
      </c>
      <c r="F1233" s="12" t="s">
        <v>150</v>
      </c>
      <c r="J1233" s="385">
        <v>10950</v>
      </c>
    </row>
    <row r="1234" spans="1:10" ht="15">
      <c r="A1234" s="137" t="str">
        <f t="shared" si="19"/>
        <v>HRNOMINA ADMONHR</v>
      </c>
      <c r="B1234" t="s">
        <v>1560</v>
      </c>
      <c r="C1234" s="1">
        <v>45849</v>
      </c>
      <c r="D1234" t="s">
        <v>29</v>
      </c>
      <c r="E1234" t="s">
        <v>147</v>
      </c>
      <c r="F1234" s="3" t="s">
        <v>29</v>
      </c>
      <c r="J1234" s="385">
        <v>5500</v>
      </c>
    </row>
    <row r="1235" spans="1:10" ht="15">
      <c r="A1235" s="137" t="str">
        <f t="shared" si="19"/>
        <v>CAPNOMINA ADMONCAPRICHOS</v>
      </c>
      <c r="B1235" t="s">
        <v>1560</v>
      </c>
      <c r="C1235" s="1">
        <v>45849</v>
      </c>
      <c r="D1235" t="s">
        <v>31</v>
      </c>
      <c r="E1235" t="s">
        <v>147</v>
      </c>
      <c r="F1235" s="12" t="s">
        <v>33</v>
      </c>
      <c r="J1235" s="385">
        <v>3700</v>
      </c>
    </row>
    <row r="1236" spans="1:10" ht="15">
      <c r="A1236" s="137" t="str">
        <f t="shared" si="19"/>
        <v>SGENOMINA ADMONGESTION EMPRESARIAL</v>
      </c>
      <c r="B1236" t="s">
        <v>1560</v>
      </c>
      <c r="C1236" s="1">
        <v>45849</v>
      </c>
      <c r="D1236" t="s">
        <v>39</v>
      </c>
      <c r="E1236" t="s">
        <v>147</v>
      </c>
      <c r="F1236" s="12" t="s">
        <v>40</v>
      </c>
      <c r="J1236" s="385">
        <v>2750</v>
      </c>
    </row>
    <row r="1237" spans="1:10" ht="15">
      <c r="A1237" s="137" t="str">
        <f t="shared" si="19"/>
        <v>SERVICIOSNOMINA ADMONSERVICIOS</v>
      </c>
      <c r="B1237" t="s">
        <v>1560</v>
      </c>
      <c r="C1237" s="1">
        <v>45849</v>
      </c>
      <c r="D1237" t="s">
        <v>21</v>
      </c>
      <c r="E1237" t="s">
        <v>147</v>
      </c>
      <c r="F1237" s="12" t="s">
        <v>21</v>
      </c>
      <c r="J1237" s="385">
        <v>4750</v>
      </c>
    </row>
    <row r="1238" spans="1:10" ht="15">
      <c r="A1238" s="137" t="str">
        <f t="shared" si="19"/>
        <v>DENOMINA ADMONDIRECCION</v>
      </c>
      <c r="B1238" t="s">
        <v>1560</v>
      </c>
      <c r="C1238" s="1">
        <v>45849</v>
      </c>
      <c r="D1238" t="s">
        <v>41</v>
      </c>
      <c r="E1238" t="s">
        <v>147</v>
      </c>
      <c r="F1238" s="12" t="s">
        <v>42</v>
      </c>
      <c r="J1238" s="385">
        <v>5750</v>
      </c>
    </row>
    <row r="1239" spans="1:10" ht="15">
      <c r="A1239" s="137" t="str">
        <f t="shared" si="19"/>
        <v>MMNOMINA ADMONMARKET MAX</v>
      </c>
      <c r="B1239" t="s">
        <v>1560</v>
      </c>
      <c r="C1239" s="1">
        <v>45849</v>
      </c>
      <c r="D1239" t="s">
        <v>45</v>
      </c>
      <c r="E1239" t="s">
        <v>147</v>
      </c>
      <c r="F1239" s="12" t="s">
        <v>46</v>
      </c>
      <c r="J1239" s="385">
        <v>2000</v>
      </c>
    </row>
    <row r="1240" spans="1:10" ht="15">
      <c r="A1240" s="137" t="str">
        <f t="shared" si="19"/>
        <v>HRVACACIONES/FINIQUITOSHR</v>
      </c>
      <c r="B1240" t="s">
        <v>1560</v>
      </c>
      <c r="C1240" s="1">
        <v>45849</v>
      </c>
      <c r="D1240" t="s">
        <v>29</v>
      </c>
      <c r="E1240" s="12" t="s">
        <v>190</v>
      </c>
      <c r="F1240" t="s">
        <v>29</v>
      </c>
      <c r="J1240" s="385">
        <v>2357.14</v>
      </c>
    </row>
    <row r="1241" spans="1:10" ht="15">
      <c r="A1241" s="137" t="str">
        <f t="shared" si="19"/>
        <v>CAPVACACIONES/FINIQUITOSCAPRICHOS</v>
      </c>
      <c r="B1241" t="s">
        <v>1560</v>
      </c>
      <c r="C1241" s="1">
        <v>45849</v>
      </c>
      <c r="D1241" t="s">
        <v>31</v>
      </c>
      <c r="E1241" t="s">
        <v>190</v>
      </c>
      <c r="F1241" s="12" t="s">
        <v>33</v>
      </c>
      <c r="J1241" s="385">
        <v>760</v>
      </c>
    </row>
    <row r="1242" spans="1:10" ht="15">
      <c r="A1242" s="137" t="str">
        <f t="shared" si="19"/>
        <v>HRVACACIONES/FINIQUITOSHR</v>
      </c>
      <c r="B1242" t="s">
        <v>1560</v>
      </c>
      <c r="C1242" s="1">
        <v>45849</v>
      </c>
      <c r="D1242" t="s">
        <v>29</v>
      </c>
      <c r="E1242" s="12" t="s">
        <v>190</v>
      </c>
      <c r="F1242" t="s">
        <v>29</v>
      </c>
      <c r="J1242" s="385">
        <v>2475</v>
      </c>
    </row>
    <row r="1243" spans="1:10" ht="15">
      <c r="A1243" s="137" t="str">
        <f t="shared" si="19"/>
        <v>CAPVACACIONES/FINIQUITOSCAPRICHOS</v>
      </c>
      <c r="B1243" t="s">
        <v>1560</v>
      </c>
      <c r="C1243" s="1">
        <v>45849</v>
      </c>
      <c r="D1243" t="s">
        <v>31</v>
      </c>
      <c r="E1243" t="s">
        <v>190</v>
      </c>
      <c r="F1243" s="12" t="s">
        <v>33</v>
      </c>
      <c r="J1243" s="385">
        <v>19210.21</v>
      </c>
    </row>
    <row r="1244" spans="1:10" ht="15">
      <c r="A1244" s="137" t="str">
        <f t="shared" si="19"/>
        <v>HRNOMINA SUCURSALA1</v>
      </c>
      <c r="B1244" t="s">
        <v>1560</v>
      </c>
      <c r="C1244" s="1">
        <v>45856</v>
      </c>
      <c r="D1244" t="s">
        <v>29</v>
      </c>
      <c r="E1244" t="s">
        <v>154</v>
      </c>
      <c r="F1244" s="3" t="s">
        <v>88</v>
      </c>
      <c r="J1244" s="385">
        <v>10933</v>
      </c>
    </row>
    <row r="1245" spans="1:10" ht="15">
      <c r="A1245" s="137" t="str">
        <f t="shared" si="19"/>
        <v>HRNOMINA SUCURSALA2</v>
      </c>
      <c r="B1245" t="s">
        <v>1560</v>
      </c>
      <c r="C1245" s="1">
        <v>45856</v>
      </c>
      <c r="D1245" t="s">
        <v>29</v>
      </c>
      <c r="E1245" t="s">
        <v>154</v>
      </c>
      <c r="F1245" s="3" t="s">
        <v>89</v>
      </c>
      <c r="J1245" s="385">
        <v>12360.4</v>
      </c>
    </row>
    <row r="1246" spans="1:10" ht="15">
      <c r="A1246" s="137" t="str">
        <f t="shared" si="19"/>
        <v>HRNOMINA SUCURSALA3</v>
      </c>
      <c r="B1246" t="s">
        <v>1560</v>
      </c>
      <c r="C1246" s="1">
        <v>45856</v>
      </c>
      <c r="D1246" t="s">
        <v>29</v>
      </c>
      <c r="E1246" t="s">
        <v>154</v>
      </c>
      <c r="F1246" s="3" t="s">
        <v>90</v>
      </c>
      <c r="J1246" s="385">
        <v>11628.6</v>
      </c>
    </row>
    <row r="1247" spans="1:10" ht="15">
      <c r="A1247" s="137" t="str">
        <f t="shared" si="19"/>
        <v>HRNOMINA SUCURSALA4</v>
      </c>
      <c r="B1247" t="s">
        <v>1560</v>
      </c>
      <c r="C1247" s="1">
        <v>45856</v>
      </c>
      <c r="D1247" t="s">
        <v>29</v>
      </c>
      <c r="E1247" t="s">
        <v>154</v>
      </c>
      <c r="F1247" s="3" t="s">
        <v>91</v>
      </c>
      <c r="J1247" s="385">
        <v>11299.8</v>
      </c>
    </row>
    <row r="1248" spans="1:10" ht="15">
      <c r="A1248" s="137" t="str">
        <f t="shared" si="19"/>
        <v>HRNOMINA SUCURSALA5</v>
      </c>
      <c r="B1248" t="s">
        <v>1560</v>
      </c>
      <c r="C1248" s="1">
        <v>45856</v>
      </c>
      <c r="D1248" t="s">
        <v>29</v>
      </c>
      <c r="E1248" t="s">
        <v>154</v>
      </c>
      <c r="F1248" s="3" t="s">
        <v>92</v>
      </c>
      <c r="J1248" s="385">
        <v>11835.6</v>
      </c>
    </row>
    <row r="1249" spans="1:10" ht="15">
      <c r="A1249" s="137" t="str">
        <f t="shared" si="19"/>
        <v>HRNOMINA SUCURSALA6</v>
      </c>
      <c r="B1249" t="s">
        <v>1560</v>
      </c>
      <c r="C1249" s="1">
        <v>45856</v>
      </c>
      <c r="D1249" t="s">
        <v>29</v>
      </c>
      <c r="E1249" t="s">
        <v>154</v>
      </c>
      <c r="F1249" s="3" t="s">
        <v>93</v>
      </c>
      <c r="J1249" s="385">
        <v>15976.29</v>
      </c>
    </row>
    <row r="1250" spans="1:10" ht="15">
      <c r="A1250" s="137" t="str">
        <f t="shared" si="19"/>
        <v>HRNOMINA SUCURSALA8</v>
      </c>
      <c r="B1250" t="s">
        <v>1560</v>
      </c>
      <c r="C1250" s="1">
        <v>45856</v>
      </c>
      <c r="D1250" t="s">
        <v>29</v>
      </c>
      <c r="E1250" t="s">
        <v>154</v>
      </c>
      <c r="F1250" s="3" t="s">
        <v>94</v>
      </c>
      <c r="J1250" s="385">
        <v>16088.2</v>
      </c>
    </row>
    <row r="1251" spans="1:10" ht="15">
      <c r="A1251" s="137" t="str">
        <f t="shared" si="19"/>
        <v>HRNOMINA SUCURSALA9</v>
      </c>
      <c r="B1251" t="s">
        <v>1560</v>
      </c>
      <c r="C1251" s="1">
        <v>45856</v>
      </c>
      <c r="D1251" t="s">
        <v>29</v>
      </c>
      <c r="E1251" t="s">
        <v>154</v>
      </c>
      <c r="F1251" s="3" t="s">
        <v>95</v>
      </c>
      <c r="J1251" s="385">
        <v>12303.91</v>
      </c>
    </row>
    <row r="1252" spans="1:10" ht="15">
      <c r="A1252" s="137" t="str">
        <f t="shared" si="19"/>
        <v>HRNOMINA SUCURSALA10</v>
      </c>
      <c r="B1252" t="s">
        <v>1560</v>
      </c>
      <c r="C1252" s="1">
        <v>45856</v>
      </c>
      <c r="D1252" t="s">
        <v>29</v>
      </c>
      <c r="E1252" t="s">
        <v>154</v>
      </c>
      <c r="F1252" s="3" t="s">
        <v>96</v>
      </c>
      <c r="J1252" s="385">
        <v>16529.400000000001</v>
      </c>
    </row>
    <row r="1253" spans="1:10" ht="15">
      <c r="A1253" s="137" t="str">
        <f t="shared" si="19"/>
        <v>HRNOMINA SUCURSALA11</v>
      </c>
      <c r="B1253" t="s">
        <v>1560</v>
      </c>
      <c r="C1253" s="1">
        <v>45856</v>
      </c>
      <c r="D1253" t="s">
        <v>29</v>
      </c>
      <c r="E1253" t="s">
        <v>154</v>
      </c>
      <c r="F1253" s="62" t="s">
        <v>97</v>
      </c>
      <c r="J1253" s="385">
        <v>13448.8</v>
      </c>
    </row>
    <row r="1254" spans="1:10" ht="15">
      <c r="A1254" s="137" t="str">
        <f t="shared" si="19"/>
        <v>HRNOMINA SUCURSALA12</v>
      </c>
      <c r="B1254" t="s">
        <v>1560</v>
      </c>
      <c r="C1254" s="1">
        <v>45856</v>
      </c>
      <c r="D1254" t="s">
        <v>29</v>
      </c>
      <c r="E1254" t="s">
        <v>154</v>
      </c>
      <c r="F1254" s="3" t="s">
        <v>98</v>
      </c>
      <c r="J1254" s="385">
        <v>16833.2</v>
      </c>
    </row>
    <row r="1255" spans="1:10" ht="15">
      <c r="A1255" s="137" t="str">
        <f t="shared" si="19"/>
        <v>HRNOMINA SUCURSALA14</v>
      </c>
      <c r="B1255" t="s">
        <v>1560</v>
      </c>
      <c r="C1255" s="1">
        <v>45856</v>
      </c>
      <c r="D1255" t="s">
        <v>29</v>
      </c>
      <c r="E1255" t="s">
        <v>154</v>
      </c>
      <c r="F1255" s="3" t="s">
        <v>99</v>
      </c>
      <c r="J1255" s="385">
        <v>14085.2</v>
      </c>
    </row>
    <row r="1256" spans="1:10" ht="15">
      <c r="A1256" s="137" t="str">
        <f t="shared" si="19"/>
        <v>HRNOMINA SUCURSALA15</v>
      </c>
      <c r="B1256" t="s">
        <v>1560</v>
      </c>
      <c r="C1256" s="1">
        <v>45856</v>
      </c>
      <c r="D1256" t="s">
        <v>29</v>
      </c>
      <c r="E1256" t="s">
        <v>154</v>
      </c>
      <c r="F1256" s="3" t="s">
        <v>100</v>
      </c>
      <c r="J1256" s="385">
        <v>11455.8</v>
      </c>
    </row>
    <row r="1257" spans="1:10" ht="15">
      <c r="A1257" s="137" t="str">
        <f t="shared" si="19"/>
        <v>HRNOMINA SUCURSALA16</v>
      </c>
      <c r="B1257" t="s">
        <v>1560</v>
      </c>
      <c r="C1257" s="1">
        <v>45856</v>
      </c>
      <c r="D1257" t="s">
        <v>29</v>
      </c>
      <c r="E1257" t="s">
        <v>154</v>
      </c>
      <c r="F1257" s="3" t="s">
        <v>101</v>
      </c>
      <c r="J1257" s="385">
        <v>16564.09</v>
      </c>
    </row>
    <row r="1258" spans="1:10" ht="15">
      <c r="A1258" s="137" t="str">
        <f t="shared" si="19"/>
        <v>HRNOMINA SUCURSALA17</v>
      </c>
      <c r="B1258" t="s">
        <v>1560</v>
      </c>
      <c r="C1258" s="1">
        <v>45856</v>
      </c>
      <c r="D1258" t="s">
        <v>29</v>
      </c>
      <c r="E1258" t="s">
        <v>154</v>
      </c>
      <c r="F1258" s="3" t="s">
        <v>102</v>
      </c>
      <c r="J1258" s="385">
        <v>11133.29</v>
      </c>
    </row>
    <row r="1259" spans="1:10" ht="15">
      <c r="A1259" s="137" t="str">
        <f t="shared" si="19"/>
        <v>HRNOMINA SUCURSALA18</v>
      </c>
      <c r="B1259" t="s">
        <v>1560</v>
      </c>
      <c r="C1259" s="1">
        <v>45856</v>
      </c>
      <c r="D1259" t="s">
        <v>29</v>
      </c>
      <c r="E1259" t="s">
        <v>154</v>
      </c>
      <c r="F1259" s="3" t="s">
        <v>103</v>
      </c>
      <c r="J1259" s="385">
        <v>17905</v>
      </c>
    </row>
    <row r="1260" spans="1:10" ht="15">
      <c r="A1260" s="137" t="str">
        <f t="shared" si="19"/>
        <v>HRNOMINA SUCURSALA22</v>
      </c>
      <c r="B1260" t="s">
        <v>1560</v>
      </c>
      <c r="C1260" s="1">
        <v>45856</v>
      </c>
      <c r="D1260" t="s">
        <v>29</v>
      </c>
      <c r="E1260" t="s">
        <v>154</v>
      </c>
      <c r="F1260" s="3" t="s">
        <v>104</v>
      </c>
      <c r="J1260" s="385">
        <v>15376.4</v>
      </c>
    </row>
    <row r="1261" spans="1:10" ht="15">
      <c r="A1261" s="137" t="str">
        <f t="shared" si="19"/>
        <v>HRNOMINA SUCURSALA23</v>
      </c>
      <c r="B1261" t="s">
        <v>1560</v>
      </c>
      <c r="C1261" s="1">
        <v>45856</v>
      </c>
      <c r="D1261" t="s">
        <v>29</v>
      </c>
      <c r="E1261" t="s">
        <v>154</v>
      </c>
      <c r="F1261" s="3" t="s">
        <v>105</v>
      </c>
      <c r="J1261" s="385">
        <v>14158.4</v>
      </c>
    </row>
    <row r="1262" spans="1:10" ht="15">
      <c r="A1262" s="137" t="str">
        <f t="shared" si="19"/>
        <v>HRNOMINA SUCURSALA24</v>
      </c>
      <c r="B1262" t="s">
        <v>1560</v>
      </c>
      <c r="C1262" s="1">
        <v>45856</v>
      </c>
      <c r="D1262" t="s">
        <v>29</v>
      </c>
      <c r="E1262" t="s">
        <v>154</v>
      </c>
      <c r="F1262" s="3" t="s">
        <v>106</v>
      </c>
      <c r="J1262" s="385">
        <v>17095.2</v>
      </c>
    </row>
    <row r="1263" spans="1:10" ht="15">
      <c r="A1263" s="137" t="str">
        <f t="shared" si="19"/>
        <v>CAPNOMINA SUCURSALE1</v>
      </c>
      <c r="B1263" t="s">
        <v>1560</v>
      </c>
      <c r="C1263" s="1">
        <v>45856</v>
      </c>
      <c r="D1263" t="s">
        <v>31</v>
      </c>
      <c r="E1263" t="s">
        <v>154</v>
      </c>
      <c r="F1263" s="3" t="s">
        <v>107</v>
      </c>
      <c r="J1263" s="385">
        <v>14496.6</v>
      </c>
    </row>
    <row r="1264" spans="1:10" ht="15">
      <c r="A1264" s="137" t="str">
        <f t="shared" si="19"/>
        <v>CAPNOMINA SUCURSALE2</v>
      </c>
      <c r="B1264" t="s">
        <v>1560</v>
      </c>
      <c r="C1264" s="1">
        <v>45856</v>
      </c>
      <c r="D1264" t="s">
        <v>31</v>
      </c>
      <c r="E1264" t="s">
        <v>154</v>
      </c>
      <c r="F1264" s="3" t="s">
        <v>108</v>
      </c>
      <c r="J1264" s="385">
        <v>23837.599999999999</v>
      </c>
    </row>
    <row r="1265" spans="1:10" ht="15">
      <c r="A1265" s="137" t="str">
        <f t="shared" si="19"/>
        <v>CAPNOMINA SUCURSALE3</v>
      </c>
      <c r="B1265" t="s">
        <v>1560</v>
      </c>
      <c r="C1265" s="1">
        <v>45856</v>
      </c>
      <c r="D1265" t="s">
        <v>31</v>
      </c>
      <c r="E1265" t="s">
        <v>154</v>
      </c>
      <c r="F1265" s="3" t="s">
        <v>109</v>
      </c>
      <c r="J1265" s="385">
        <v>13497</v>
      </c>
    </row>
    <row r="1266" spans="1:10" ht="15">
      <c r="A1266" s="137" t="str">
        <f t="shared" si="19"/>
        <v>CAPNOMINA SUCURSALE4</v>
      </c>
      <c r="B1266" t="s">
        <v>1560</v>
      </c>
      <c r="C1266" s="1">
        <v>45856</v>
      </c>
      <c r="D1266" t="s">
        <v>31</v>
      </c>
      <c r="E1266" t="s">
        <v>154</v>
      </c>
      <c r="F1266" s="3" t="s">
        <v>110</v>
      </c>
      <c r="J1266" s="385">
        <v>19447.2</v>
      </c>
    </row>
    <row r="1267" spans="1:10" ht="15">
      <c r="A1267" s="137" t="str">
        <f t="shared" si="19"/>
        <v>CAPNOMINA SUCURSALE5</v>
      </c>
      <c r="B1267" t="s">
        <v>1560</v>
      </c>
      <c r="C1267" s="1">
        <v>45856</v>
      </c>
      <c r="D1267" t="s">
        <v>31</v>
      </c>
      <c r="E1267" t="s">
        <v>154</v>
      </c>
      <c r="F1267" s="3" t="s">
        <v>111</v>
      </c>
      <c r="J1267" s="385">
        <v>20282.400000000001</v>
      </c>
    </row>
    <row r="1268" spans="1:10" ht="15">
      <c r="A1268" s="137" t="str">
        <f t="shared" si="19"/>
        <v>CAPNOMINA SUCURSALE6</v>
      </c>
      <c r="B1268" t="s">
        <v>1560</v>
      </c>
      <c r="C1268" s="1">
        <v>45856</v>
      </c>
      <c r="D1268" t="s">
        <v>31</v>
      </c>
      <c r="E1268" t="s">
        <v>154</v>
      </c>
      <c r="F1268" s="3" t="s">
        <v>112</v>
      </c>
      <c r="J1268" s="385">
        <v>16443</v>
      </c>
    </row>
    <row r="1269" spans="1:10" ht="15">
      <c r="A1269" s="137" t="str">
        <f t="shared" si="19"/>
        <v>CAPNOMINA SUCURSALE7</v>
      </c>
      <c r="B1269" t="s">
        <v>1560</v>
      </c>
      <c r="C1269" s="1">
        <v>45856</v>
      </c>
      <c r="D1269" t="s">
        <v>31</v>
      </c>
      <c r="E1269" t="s">
        <v>154</v>
      </c>
      <c r="F1269" s="3" t="s">
        <v>113</v>
      </c>
      <c r="J1269" s="385">
        <v>12641.2</v>
      </c>
    </row>
    <row r="1270" spans="1:10" ht="15">
      <c r="A1270" s="137" t="str">
        <f t="shared" si="19"/>
        <v>CAPNOMINA SUCURSALE8</v>
      </c>
      <c r="B1270" t="s">
        <v>1560</v>
      </c>
      <c r="C1270" s="1">
        <v>45856</v>
      </c>
      <c r="D1270" t="s">
        <v>31</v>
      </c>
      <c r="E1270" t="s">
        <v>154</v>
      </c>
      <c r="F1270" s="3" t="s">
        <v>114</v>
      </c>
      <c r="J1270" s="385">
        <v>22953.4</v>
      </c>
    </row>
    <row r="1271" spans="1:10" ht="15">
      <c r="A1271" s="137" t="str">
        <f t="shared" si="19"/>
        <v>CAPNOMINA SUCURSALE9</v>
      </c>
      <c r="B1271" t="s">
        <v>1560</v>
      </c>
      <c r="C1271" s="1">
        <v>45856</v>
      </c>
      <c r="D1271" t="s">
        <v>31</v>
      </c>
      <c r="E1271" t="s">
        <v>154</v>
      </c>
      <c r="F1271" s="3" t="s">
        <v>116</v>
      </c>
      <c r="J1271" s="385">
        <v>25741.4</v>
      </c>
    </row>
    <row r="1272" spans="1:10" ht="15">
      <c r="A1272" s="137" t="str">
        <f t="shared" si="19"/>
        <v>ELINOMINA SUCURSALL1</v>
      </c>
      <c r="B1272" t="s">
        <v>1560</v>
      </c>
      <c r="C1272" s="1">
        <v>45856</v>
      </c>
      <c r="D1272" t="s">
        <v>130</v>
      </c>
      <c r="E1272" t="s">
        <v>154</v>
      </c>
      <c r="F1272" t="s">
        <v>136</v>
      </c>
      <c r="J1272" s="385">
        <v>9226.7999999999993</v>
      </c>
    </row>
    <row r="1273" spans="1:10" ht="15">
      <c r="A1273" s="137" t="str">
        <f t="shared" si="19"/>
        <v>HRNOMINA ADMONHR</v>
      </c>
      <c r="B1273" t="s">
        <v>1560</v>
      </c>
      <c r="C1273" s="1">
        <v>45856</v>
      </c>
      <c r="D1273" t="s">
        <v>29</v>
      </c>
      <c r="E1273" t="s">
        <v>147</v>
      </c>
      <c r="F1273" t="s">
        <v>29</v>
      </c>
      <c r="J1273" s="385">
        <v>31844</v>
      </c>
    </row>
    <row r="1274" spans="1:10" ht="15">
      <c r="A1274" s="137" t="str">
        <f t="shared" si="19"/>
        <v>CAPNOMINA ADMONCAPRICHOS</v>
      </c>
      <c r="B1274" t="s">
        <v>1560</v>
      </c>
      <c r="C1274" s="1">
        <v>45856</v>
      </c>
      <c r="D1274" t="s">
        <v>31</v>
      </c>
      <c r="E1274" t="s">
        <v>147</v>
      </c>
      <c r="F1274" t="s">
        <v>33</v>
      </c>
      <c r="J1274" s="385">
        <v>26699.3</v>
      </c>
    </row>
    <row r="1275" spans="1:10" ht="15">
      <c r="A1275" s="137" t="str">
        <f t="shared" si="19"/>
        <v>SERVICIOSNOMINA SUCURSALCEDIS</v>
      </c>
      <c r="B1275" t="s">
        <v>1560</v>
      </c>
      <c r="C1275" s="1">
        <v>45856</v>
      </c>
      <c r="D1275" t="s">
        <v>21</v>
      </c>
      <c r="E1275" t="s">
        <v>154</v>
      </c>
      <c r="F1275" t="s">
        <v>28</v>
      </c>
      <c r="J1275" s="385">
        <v>61725.37</v>
      </c>
    </row>
    <row r="1276" spans="1:10" ht="15">
      <c r="A1276" s="137" t="str">
        <f t="shared" si="19"/>
        <v>SERVICIOSNOMINA ADMONINVENTARIOS</v>
      </c>
      <c r="B1276" t="s">
        <v>1560</v>
      </c>
      <c r="C1276" s="1">
        <v>45856</v>
      </c>
      <c r="D1276" t="s">
        <v>21</v>
      </c>
      <c r="E1276" t="s">
        <v>147</v>
      </c>
      <c r="F1276" t="s">
        <v>34</v>
      </c>
      <c r="J1276" s="385">
        <v>2750</v>
      </c>
    </row>
    <row r="1277" spans="1:10" ht="15">
      <c r="A1277" s="137" t="str">
        <f t="shared" si="19"/>
        <v>SERVICIOSNOMINA ADMONMANTENIMIENTO</v>
      </c>
      <c r="B1277" t="s">
        <v>1560</v>
      </c>
      <c r="C1277" s="1">
        <v>45856</v>
      </c>
      <c r="D1277" t="s">
        <v>21</v>
      </c>
      <c r="E1277" t="s">
        <v>147</v>
      </c>
      <c r="F1277" t="s">
        <v>35</v>
      </c>
      <c r="J1277" s="385">
        <v>12609.23</v>
      </c>
    </row>
    <row r="1278" spans="1:10" ht="15">
      <c r="A1278" s="137" t="str">
        <f t="shared" si="19"/>
        <v>SERVICIOSNOMINA ADMONCADENA DE SUMINISTROS</v>
      </c>
      <c r="B1278" t="s">
        <v>1560</v>
      </c>
      <c r="C1278" s="1">
        <v>45856</v>
      </c>
      <c r="D1278" t="s">
        <v>21</v>
      </c>
      <c r="E1278" t="s">
        <v>147</v>
      </c>
      <c r="F1278" t="s">
        <v>134</v>
      </c>
      <c r="J1278" s="385">
        <v>19625</v>
      </c>
    </row>
    <row r="1279" spans="1:10" ht="15">
      <c r="A1279" s="137" t="str">
        <f t="shared" si="19"/>
        <v>SERVICIOSNOMINA ADMONSISTEMAS</v>
      </c>
      <c r="B1279" t="s">
        <v>1560</v>
      </c>
      <c r="C1279" s="1">
        <v>45856</v>
      </c>
      <c r="D1279" t="s">
        <v>21</v>
      </c>
      <c r="E1279" t="s">
        <v>147</v>
      </c>
      <c r="F1279" t="s">
        <v>36</v>
      </c>
      <c r="J1279" s="385">
        <v>8837.89</v>
      </c>
    </row>
    <row r="1280" spans="1:10" ht="15">
      <c r="A1280" s="137" t="str">
        <f t="shared" si="19"/>
        <v>SERVICIOSNOMINA ADMONCOMPRAS</v>
      </c>
      <c r="B1280" t="s">
        <v>1560</v>
      </c>
      <c r="C1280" s="1">
        <v>45856</v>
      </c>
      <c r="D1280" t="s">
        <v>21</v>
      </c>
      <c r="E1280" t="s">
        <v>147</v>
      </c>
      <c r="F1280" t="s">
        <v>148</v>
      </c>
      <c r="J1280" s="385">
        <v>20598.509999999998</v>
      </c>
    </row>
    <row r="1281" spans="1:10" ht="15">
      <c r="A1281" s="137" t="str">
        <f t="shared" si="19"/>
        <v>FINANZASNOMINA ADMONCONTABILIDAD</v>
      </c>
      <c r="B1281" t="s">
        <v>1560</v>
      </c>
      <c r="C1281" s="1">
        <v>45856</v>
      </c>
      <c r="D1281" t="s">
        <v>23</v>
      </c>
      <c r="E1281" t="s">
        <v>147</v>
      </c>
      <c r="F1281" t="s">
        <v>37</v>
      </c>
      <c r="J1281" s="385">
        <v>10304.27</v>
      </c>
    </row>
    <row r="1282" spans="1:10" ht="15">
      <c r="A1282" s="137" t="str">
        <f t="shared" si="19"/>
        <v>FINANZASNOMINA ADMONFINANZAS/LEGAL</v>
      </c>
      <c r="B1282" t="s">
        <v>1560</v>
      </c>
      <c r="C1282" s="1">
        <v>45856</v>
      </c>
      <c r="D1282" t="s">
        <v>23</v>
      </c>
      <c r="E1282" t="s">
        <v>147</v>
      </c>
      <c r="F1282" t="s">
        <v>149</v>
      </c>
      <c r="J1282" s="385">
        <v>9897.39</v>
      </c>
    </row>
    <row r="1283" spans="1:10" ht="15">
      <c r="A1283" s="137" t="str">
        <f t="shared" si="19"/>
        <v>FINANZASNOMINA ADMONRECURSOS HUMANOS</v>
      </c>
      <c r="B1283" t="s">
        <v>1560</v>
      </c>
      <c r="C1283" s="1">
        <v>45856</v>
      </c>
      <c r="D1283" t="s">
        <v>23</v>
      </c>
      <c r="E1283" t="s">
        <v>147</v>
      </c>
      <c r="F1283" t="s">
        <v>125</v>
      </c>
      <c r="J1283" s="385">
        <v>10759.18</v>
      </c>
    </row>
    <row r="1284" spans="1:10" ht="15">
      <c r="A1284" s="137" t="str">
        <f t="shared" ref="A1284:A1347" si="20">D1284&amp;E1284&amp;F1284</f>
        <v>FINANZASNOMINA ADMONTESORERIA</v>
      </c>
      <c r="B1284" t="s">
        <v>1560</v>
      </c>
      <c r="C1284" s="1">
        <v>45856</v>
      </c>
      <c r="D1284" t="s">
        <v>23</v>
      </c>
      <c r="E1284" t="s">
        <v>147</v>
      </c>
      <c r="F1284" t="s">
        <v>38</v>
      </c>
      <c r="J1284" s="385">
        <v>12224</v>
      </c>
    </row>
    <row r="1285" spans="1:10" ht="15">
      <c r="A1285" s="137" t="str">
        <f t="shared" si="20"/>
        <v>FINANZASNOMINA ADMONHBG FINANZAS</v>
      </c>
      <c r="B1285" t="s">
        <v>1560</v>
      </c>
      <c r="C1285" s="1">
        <v>45856</v>
      </c>
      <c r="D1285" t="s">
        <v>23</v>
      </c>
      <c r="E1285" t="s">
        <v>147</v>
      </c>
      <c r="F1285" t="s">
        <v>150</v>
      </c>
      <c r="J1285" s="385">
        <v>3057</v>
      </c>
    </row>
    <row r="1286" spans="1:10" ht="15">
      <c r="A1286" s="137" t="str">
        <f t="shared" si="20"/>
        <v>SGENOMINA ADMONGESTION EMPRESARIAL</v>
      </c>
      <c r="B1286" t="s">
        <v>1560</v>
      </c>
      <c r="C1286" s="1">
        <v>45856</v>
      </c>
      <c r="D1286" t="s">
        <v>39</v>
      </c>
      <c r="E1286" t="s">
        <v>147</v>
      </c>
      <c r="F1286" t="s">
        <v>40</v>
      </c>
      <c r="J1286" s="385">
        <v>21101</v>
      </c>
    </row>
    <row r="1287" spans="1:10" ht="15">
      <c r="A1287" s="137" t="str">
        <f t="shared" si="20"/>
        <v>DENOMINA ADMONDIRECCION</v>
      </c>
      <c r="B1287" t="s">
        <v>1560</v>
      </c>
      <c r="C1287" s="1">
        <v>45856</v>
      </c>
      <c r="D1287" t="s">
        <v>41</v>
      </c>
      <c r="E1287" t="s">
        <v>147</v>
      </c>
      <c r="F1287" t="s">
        <v>42</v>
      </c>
      <c r="J1287" s="385">
        <v>6000.2</v>
      </c>
    </row>
    <row r="1288" spans="1:10" ht="15">
      <c r="A1288" s="137" t="str">
        <f t="shared" si="20"/>
        <v>MMNOMINA ADMONMARKET MAX</v>
      </c>
      <c r="B1288" t="s">
        <v>1560</v>
      </c>
      <c r="C1288" s="1">
        <v>45856</v>
      </c>
      <c r="D1288" t="s">
        <v>45</v>
      </c>
      <c r="E1288" t="s">
        <v>147</v>
      </c>
      <c r="F1288" s="12" t="s">
        <v>46</v>
      </c>
      <c r="J1288" s="385">
        <v>3502.74</v>
      </c>
    </row>
    <row r="1289" spans="1:10" ht="15">
      <c r="A1289" s="137" t="str">
        <f t="shared" si="20"/>
        <v>FINANZASNOMINA ADMONHBG FINANZAS</v>
      </c>
      <c r="B1289" t="s">
        <v>1560</v>
      </c>
      <c r="C1289" s="1">
        <v>45856</v>
      </c>
      <c r="D1289" t="s">
        <v>23</v>
      </c>
      <c r="E1289" t="s">
        <v>147</v>
      </c>
      <c r="F1289" s="12" t="s">
        <v>150</v>
      </c>
      <c r="J1289" s="385">
        <v>10950</v>
      </c>
    </row>
    <row r="1290" spans="1:10" ht="15">
      <c r="A1290" s="137" t="str">
        <f t="shared" si="20"/>
        <v>HRNOMINA ADMONHR</v>
      </c>
      <c r="B1290" t="s">
        <v>1560</v>
      </c>
      <c r="C1290" s="1">
        <v>45856</v>
      </c>
      <c r="D1290" t="s">
        <v>29</v>
      </c>
      <c r="E1290" t="s">
        <v>147</v>
      </c>
      <c r="F1290" s="3" t="s">
        <v>29</v>
      </c>
      <c r="J1290" s="385">
        <v>5500</v>
      </c>
    </row>
    <row r="1291" spans="1:10" ht="15">
      <c r="A1291" s="137" t="str">
        <f t="shared" si="20"/>
        <v>CAPNOMINA ADMONCAPRICHOS</v>
      </c>
      <c r="B1291" t="s">
        <v>1560</v>
      </c>
      <c r="C1291" s="1">
        <v>45856</v>
      </c>
      <c r="D1291" t="s">
        <v>31</v>
      </c>
      <c r="E1291" t="s">
        <v>147</v>
      </c>
      <c r="F1291" s="12" t="s">
        <v>33</v>
      </c>
      <c r="J1291" s="385">
        <v>3700</v>
      </c>
    </row>
    <row r="1292" spans="1:10" ht="15">
      <c r="A1292" s="137" t="str">
        <f t="shared" si="20"/>
        <v>SGENOMINA ADMONGESTION EMPRESARIAL</v>
      </c>
      <c r="B1292" t="s">
        <v>1560</v>
      </c>
      <c r="C1292" s="1">
        <v>45856</v>
      </c>
      <c r="D1292" t="s">
        <v>39</v>
      </c>
      <c r="E1292" t="s">
        <v>147</v>
      </c>
      <c r="F1292" s="12" t="s">
        <v>40</v>
      </c>
      <c r="J1292" s="385">
        <v>2750</v>
      </c>
    </row>
    <row r="1293" spans="1:10" ht="15">
      <c r="A1293" s="137" t="str">
        <f t="shared" si="20"/>
        <v>SERVICIOSNOMINA ADMONSERVICIOS</v>
      </c>
      <c r="B1293" t="s">
        <v>1560</v>
      </c>
      <c r="C1293" s="1">
        <v>45856</v>
      </c>
      <c r="D1293" t="s">
        <v>21</v>
      </c>
      <c r="E1293" t="s">
        <v>147</v>
      </c>
      <c r="F1293" s="12" t="s">
        <v>21</v>
      </c>
      <c r="J1293" s="385">
        <v>4750</v>
      </c>
    </row>
    <row r="1294" spans="1:10" ht="15">
      <c r="A1294" s="137" t="str">
        <f t="shared" si="20"/>
        <v>DENOMINA ADMONDIRECCION</v>
      </c>
      <c r="B1294" t="s">
        <v>1560</v>
      </c>
      <c r="C1294" s="1">
        <v>45856</v>
      </c>
      <c r="D1294" t="s">
        <v>41</v>
      </c>
      <c r="E1294" t="s">
        <v>147</v>
      </c>
      <c r="F1294" s="12" t="s">
        <v>42</v>
      </c>
      <c r="J1294" s="385">
        <v>5750</v>
      </c>
    </row>
    <row r="1295" spans="1:10" ht="15">
      <c r="A1295" s="137" t="str">
        <f t="shared" si="20"/>
        <v>MMNOMINA ADMONMARKET MAX</v>
      </c>
      <c r="B1295" t="s">
        <v>1560</v>
      </c>
      <c r="C1295" s="1">
        <v>45856</v>
      </c>
      <c r="D1295" t="s">
        <v>45</v>
      </c>
      <c r="E1295" t="s">
        <v>147</v>
      </c>
      <c r="F1295" s="12" t="s">
        <v>46</v>
      </c>
      <c r="J1295" s="385">
        <v>2000</v>
      </c>
    </row>
    <row r="1296" spans="1:10" ht="15">
      <c r="A1296" s="137" t="str">
        <f t="shared" si="20"/>
        <v>HRVACACIONES/FINIQUITOSHR</v>
      </c>
      <c r="B1296" t="s">
        <v>1560</v>
      </c>
      <c r="C1296" s="1">
        <v>45856</v>
      </c>
      <c r="D1296" t="s">
        <v>29</v>
      </c>
      <c r="E1296" s="12" t="s">
        <v>190</v>
      </c>
      <c r="F1296" t="s">
        <v>29</v>
      </c>
      <c r="J1296" s="385">
        <v>515</v>
      </c>
    </row>
    <row r="1297" spans="1:10" ht="15">
      <c r="A1297" s="137" t="str">
        <f t="shared" si="20"/>
        <v>HRVACACIONES/FINIQUITOSHR</v>
      </c>
      <c r="B1297" t="s">
        <v>1560</v>
      </c>
      <c r="C1297" s="1">
        <v>45856</v>
      </c>
      <c r="D1297" t="s">
        <v>29</v>
      </c>
      <c r="E1297" s="12" t="s">
        <v>190</v>
      </c>
      <c r="F1297" t="s">
        <v>29</v>
      </c>
      <c r="J1297" s="385">
        <v>1650</v>
      </c>
    </row>
    <row r="1298" spans="1:10" ht="15">
      <c r="A1298" s="137" t="str">
        <f t="shared" si="20"/>
        <v>SERVICIOSVACACIONES/FINIQUITOSSERVICIOS</v>
      </c>
      <c r="B1298" t="s">
        <v>1560</v>
      </c>
      <c r="C1298" s="1">
        <v>45856</v>
      </c>
      <c r="D1298" t="s">
        <v>21</v>
      </c>
      <c r="E1298" s="12" t="s">
        <v>190</v>
      </c>
      <c r="F1298" t="s">
        <v>21</v>
      </c>
      <c r="J1298" s="385">
        <v>1006</v>
      </c>
    </row>
    <row r="1299" spans="1:10" ht="15">
      <c r="A1299" s="137" t="str">
        <f t="shared" si="20"/>
        <v>CAPVACACIONES/FINIQUITOSCAPRICHOS</v>
      </c>
      <c r="B1299" t="s">
        <v>1560</v>
      </c>
      <c r="C1299" s="1">
        <v>45856</v>
      </c>
      <c r="D1299" t="s">
        <v>31</v>
      </c>
      <c r="E1299" t="s">
        <v>190</v>
      </c>
      <c r="F1299" s="12" t="s">
        <v>33</v>
      </c>
      <c r="J1299" s="385">
        <v>2750</v>
      </c>
    </row>
    <row r="1300" spans="1:10" ht="15">
      <c r="A1300" s="137" t="str">
        <f t="shared" si="20"/>
        <v>HRVACACIONES/FINIQUITOSHR</v>
      </c>
      <c r="B1300" t="s">
        <v>1560</v>
      </c>
      <c r="C1300" s="1">
        <v>45856</v>
      </c>
      <c r="D1300" t="s">
        <v>29</v>
      </c>
      <c r="E1300" s="12" t="s">
        <v>190</v>
      </c>
      <c r="F1300" t="s">
        <v>29</v>
      </c>
      <c r="J1300" s="385">
        <v>5087.1400000000003</v>
      </c>
    </row>
    <row r="1301" spans="1:10" ht="15">
      <c r="A1301" s="137" t="str">
        <f t="shared" si="20"/>
        <v>HRNOMINA SUCURSALA1</v>
      </c>
      <c r="B1301" t="s">
        <v>1560</v>
      </c>
      <c r="C1301" s="1">
        <v>45863</v>
      </c>
      <c r="D1301" t="s">
        <v>29</v>
      </c>
      <c r="E1301" t="s">
        <v>154</v>
      </c>
      <c r="F1301" s="3" t="s">
        <v>88</v>
      </c>
      <c r="J1301" s="386">
        <v>10882</v>
      </c>
    </row>
    <row r="1302" spans="1:10" ht="15">
      <c r="A1302" s="137" t="str">
        <f t="shared" si="20"/>
        <v>HRNOMINA SUCURSALA2</v>
      </c>
      <c r="B1302" t="s">
        <v>1560</v>
      </c>
      <c r="C1302" s="1">
        <v>45863</v>
      </c>
      <c r="D1302" t="s">
        <v>29</v>
      </c>
      <c r="E1302" t="s">
        <v>154</v>
      </c>
      <c r="F1302" s="3" t="s">
        <v>89</v>
      </c>
      <c r="J1302" s="386">
        <v>13359</v>
      </c>
    </row>
    <row r="1303" spans="1:10" ht="15">
      <c r="A1303" s="137" t="str">
        <f t="shared" si="20"/>
        <v>HRNOMINA SUCURSALA3</v>
      </c>
      <c r="B1303" t="s">
        <v>1560</v>
      </c>
      <c r="C1303" s="1">
        <v>45863</v>
      </c>
      <c r="D1303" t="s">
        <v>29</v>
      </c>
      <c r="E1303" t="s">
        <v>154</v>
      </c>
      <c r="F1303" s="3" t="s">
        <v>90</v>
      </c>
      <c r="J1303" s="386">
        <v>12152.4</v>
      </c>
    </row>
    <row r="1304" spans="1:10" ht="15">
      <c r="A1304" s="137" t="str">
        <f t="shared" si="20"/>
        <v>HRNOMINA SUCURSALA4</v>
      </c>
      <c r="B1304" t="s">
        <v>1560</v>
      </c>
      <c r="C1304" s="1">
        <v>45863</v>
      </c>
      <c r="D1304" t="s">
        <v>29</v>
      </c>
      <c r="E1304" t="s">
        <v>154</v>
      </c>
      <c r="F1304" s="3" t="s">
        <v>91</v>
      </c>
      <c r="J1304" s="386">
        <v>9957.4</v>
      </c>
    </row>
    <row r="1305" spans="1:10" ht="15">
      <c r="A1305" s="137" t="str">
        <f t="shared" si="20"/>
        <v>HRNOMINA SUCURSALA5</v>
      </c>
      <c r="B1305" t="s">
        <v>1560</v>
      </c>
      <c r="C1305" s="1">
        <v>45863</v>
      </c>
      <c r="D1305" t="s">
        <v>29</v>
      </c>
      <c r="E1305" t="s">
        <v>154</v>
      </c>
      <c r="F1305" s="3" t="s">
        <v>92</v>
      </c>
      <c r="J1305" s="386">
        <v>12943.8</v>
      </c>
    </row>
    <row r="1306" spans="1:10" ht="15">
      <c r="A1306" s="137" t="str">
        <f t="shared" si="20"/>
        <v>HRNOMINA SUCURSALA6</v>
      </c>
      <c r="B1306" t="s">
        <v>1560</v>
      </c>
      <c r="C1306" s="1">
        <v>45863</v>
      </c>
      <c r="D1306" t="s">
        <v>29</v>
      </c>
      <c r="E1306" t="s">
        <v>154</v>
      </c>
      <c r="F1306" s="3" t="s">
        <v>93</v>
      </c>
      <c r="J1306" s="386">
        <v>12658.69</v>
      </c>
    </row>
    <row r="1307" spans="1:10" ht="15">
      <c r="A1307" s="137" t="str">
        <f t="shared" si="20"/>
        <v>HRNOMINA SUCURSALA8</v>
      </c>
      <c r="B1307" t="s">
        <v>1560</v>
      </c>
      <c r="C1307" s="1">
        <v>45863</v>
      </c>
      <c r="D1307" t="s">
        <v>29</v>
      </c>
      <c r="E1307" t="s">
        <v>154</v>
      </c>
      <c r="F1307" s="3" t="s">
        <v>94</v>
      </c>
      <c r="J1307" s="386">
        <v>13995.6</v>
      </c>
    </row>
    <row r="1308" spans="1:10" ht="15">
      <c r="A1308" s="137" t="str">
        <f t="shared" si="20"/>
        <v>HRNOMINA SUCURSALA9</v>
      </c>
      <c r="B1308" t="s">
        <v>1560</v>
      </c>
      <c r="C1308" s="1">
        <v>45863</v>
      </c>
      <c r="D1308" t="s">
        <v>29</v>
      </c>
      <c r="E1308" t="s">
        <v>154</v>
      </c>
      <c r="F1308" s="3" t="s">
        <v>95</v>
      </c>
      <c r="J1308" s="386">
        <v>11079.71</v>
      </c>
    </row>
    <row r="1309" spans="1:10" ht="15">
      <c r="A1309" s="137" t="str">
        <f t="shared" si="20"/>
        <v>HRNOMINA SUCURSALA10</v>
      </c>
      <c r="B1309" t="s">
        <v>1560</v>
      </c>
      <c r="C1309" s="1">
        <v>45863</v>
      </c>
      <c r="D1309" t="s">
        <v>29</v>
      </c>
      <c r="E1309" t="s">
        <v>154</v>
      </c>
      <c r="F1309" s="3" t="s">
        <v>96</v>
      </c>
      <c r="J1309" s="386">
        <v>14784.6</v>
      </c>
    </row>
    <row r="1310" spans="1:10" ht="15">
      <c r="A1310" s="137" t="str">
        <f t="shared" si="20"/>
        <v>HRNOMINA SUCURSALA11</v>
      </c>
      <c r="B1310" t="s">
        <v>1560</v>
      </c>
      <c r="C1310" s="1">
        <v>45863</v>
      </c>
      <c r="D1310" t="s">
        <v>29</v>
      </c>
      <c r="E1310" t="s">
        <v>154</v>
      </c>
      <c r="F1310" s="62" t="s">
        <v>97</v>
      </c>
      <c r="J1310" s="386">
        <v>13097</v>
      </c>
    </row>
    <row r="1311" spans="1:10" ht="15">
      <c r="A1311" s="137" t="str">
        <f t="shared" si="20"/>
        <v>HRNOMINA SUCURSALA12</v>
      </c>
      <c r="B1311" t="s">
        <v>1560</v>
      </c>
      <c r="C1311" s="1">
        <v>45863</v>
      </c>
      <c r="D1311" t="s">
        <v>29</v>
      </c>
      <c r="E1311" t="s">
        <v>154</v>
      </c>
      <c r="F1311" s="3" t="s">
        <v>98</v>
      </c>
      <c r="J1311" s="386">
        <v>17086.8</v>
      </c>
    </row>
    <row r="1312" spans="1:10" ht="15">
      <c r="A1312" s="137" t="str">
        <f t="shared" si="20"/>
        <v>HRNOMINA SUCURSALA14</v>
      </c>
      <c r="B1312" t="s">
        <v>1560</v>
      </c>
      <c r="C1312" s="1">
        <v>45863</v>
      </c>
      <c r="D1312" t="s">
        <v>29</v>
      </c>
      <c r="E1312" t="s">
        <v>154</v>
      </c>
      <c r="F1312" s="3" t="s">
        <v>99</v>
      </c>
      <c r="J1312" s="386">
        <v>12859.2</v>
      </c>
    </row>
    <row r="1313" spans="1:10" ht="15">
      <c r="A1313" s="137" t="str">
        <f t="shared" si="20"/>
        <v>HRNOMINA SUCURSALA15</v>
      </c>
      <c r="B1313" t="s">
        <v>1560</v>
      </c>
      <c r="C1313" s="1">
        <v>45863</v>
      </c>
      <c r="D1313" t="s">
        <v>29</v>
      </c>
      <c r="E1313" t="s">
        <v>154</v>
      </c>
      <c r="F1313" s="3" t="s">
        <v>100</v>
      </c>
      <c r="J1313" s="386">
        <v>11456.4</v>
      </c>
    </row>
    <row r="1314" spans="1:10" ht="15">
      <c r="A1314" s="137" t="str">
        <f t="shared" si="20"/>
        <v>HRNOMINA SUCURSALA16</v>
      </c>
      <c r="B1314" t="s">
        <v>1560</v>
      </c>
      <c r="C1314" s="1">
        <v>45863</v>
      </c>
      <c r="D1314" t="s">
        <v>29</v>
      </c>
      <c r="E1314" t="s">
        <v>154</v>
      </c>
      <c r="F1314" s="3" t="s">
        <v>101</v>
      </c>
      <c r="J1314" s="386">
        <v>14154.89</v>
      </c>
    </row>
    <row r="1315" spans="1:10" ht="15">
      <c r="A1315" s="137" t="str">
        <f t="shared" si="20"/>
        <v>HRNOMINA SUCURSALA17</v>
      </c>
      <c r="B1315" t="s">
        <v>1560</v>
      </c>
      <c r="C1315" s="1">
        <v>45863</v>
      </c>
      <c r="D1315" t="s">
        <v>29</v>
      </c>
      <c r="E1315" t="s">
        <v>154</v>
      </c>
      <c r="F1315" s="3" t="s">
        <v>102</v>
      </c>
      <c r="J1315" s="386">
        <v>6028.2</v>
      </c>
    </row>
    <row r="1316" spans="1:10" ht="15">
      <c r="A1316" s="137" t="str">
        <f t="shared" si="20"/>
        <v>HRNOMINA SUCURSALA18</v>
      </c>
      <c r="B1316" t="s">
        <v>1560</v>
      </c>
      <c r="C1316" s="1">
        <v>45863</v>
      </c>
      <c r="D1316" t="s">
        <v>29</v>
      </c>
      <c r="E1316" t="s">
        <v>154</v>
      </c>
      <c r="F1316" s="3" t="s">
        <v>103</v>
      </c>
      <c r="J1316" s="386">
        <v>15743.6</v>
      </c>
    </row>
    <row r="1317" spans="1:10" ht="15">
      <c r="A1317" s="137" t="str">
        <f t="shared" si="20"/>
        <v>HRNOMINA SUCURSALA22</v>
      </c>
      <c r="B1317" t="s">
        <v>1560</v>
      </c>
      <c r="C1317" s="1">
        <v>45863</v>
      </c>
      <c r="D1317" t="s">
        <v>29</v>
      </c>
      <c r="E1317" t="s">
        <v>154</v>
      </c>
      <c r="F1317" s="3" t="s">
        <v>104</v>
      </c>
      <c r="J1317" s="386">
        <v>16513</v>
      </c>
    </row>
    <row r="1318" spans="1:10" ht="15">
      <c r="A1318" s="137" t="str">
        <f t="shared" si="20"/>
        <v>HRNOMINA SUCURSALA23</v>
      </c>
      <c r="B1318" t="s">
        <v>1560</v>
      </c>
      <c r="C1318" s="1">
        <v>45863</v>
      </c>
      <c r="D1318" t="s">
        <v>29</v>
      </c>
      <c r="E1318" t="s">
        <v>154</v>
      </c>
      <c r="F1318" s="3" t="s">
        <v>105</v>
      </c>
      <c r="J1318" s="386">
        <v>12742.4</v>
      </c>
    </row>
    <row r="1319" spans="1:10" ht="15">
      <c r="A1319" s="137" t="str">
        <f t="shared" si="20"/>
        <v>HRNOMINA SUCURSALA24</v>
      </c>
      <c r="B1319" t="s">
        <v>1560</v>
      </c>
      <c r="C1319" s="1">
        <v>45863</v>
      </c>
      <c r="D1319" t="s">
        <v>29</v>
      </c>
      <c r="E1319" t="s">
        <v>154</v>
      </c>
      <c r="F1319" s="3" t="s">
        <v>106</v>
      </c>
      <c r="J1319" s="386">
        <v>16258.8</v>
      </c>
    </row>
    <row r="1320" spans="1:10" ht="15">
      <c r="A1320" s="137" t="str">
        <f t="shared" si="20"/>
        <v>CAPNOMINA SUCURSALE1</v>
      </c>
      <c r="B1320" t="s">
        <v>1560</v>
      </c>
      <c r="C1320" s="1">
        <v>45863</v>
      </c>
      <c r="D1320" t="s">
        <v>31</v>
      </c>
      <c r="E1320" t="s">
        <v>154</v>
      </c>
      <c r="F1320" s="3" t="s">
        <v>107</v>
      </c>
      <c r="J1320" s="386">
        <v>14496.6</v>
      </c>
    </row>
    <row r="1321" spans="1:10" ht="15">
      <c r="A1321" s="137" t="str">
        <f t="shared" si="20"/>
        <v>CAPNOMINA SUCURSALE2</v>
      </c>
      <c r="B1321" t="s">
        <v>1560</v>
      </c>
      <c r="C1321" s="1">
        <v>45863</v>
      </c>
      <c r="D1321" t="s">
        <v>31</v>
      </c>
      <c r="E1321" t="s">
        <v>154</v>
      </c>
      <c r="F1321" s="3" t="s">
        <v>108</v>
      </c>
      <c r="J1321" s="386">
        <v>23837.599999999999</v>
      </c>
    </row>
    <row r="1322" spans="1:10" ht="15">
      <c r="A1322" s="137" t="str">
        <f t="shared" si="20"/>
        <v>CAPNOMINA SUCURSALE3</v>
      </c>
      <c r="B1322" t="s">
        <v>1560</v>
      </c>
      <c r="C1322" s="1">
        <v>45863</v>
      </c>
      <c r="D1322" t="s">
        <v>31</v>
      </c>
      <c r="E1322" t="s">
        <v>154</v>
      </c>
      <c r="F1322" s="3" t="s">
        <v>109</v>
      </c>
      <c r="J1322" s="386">
        <v>13497</v>
      </c>
    </row>
    <row r="1323" spans="1:10" ht="15">
      <c r="A1323" s="137" t="str">
        <f t="shared" si="20"/>
        <v>CAPNOMINA SUCURSALE4</v>
      </c>
      <c r="B1323" t="s">
        <v>1560</v>
      </c>
      <c r="C1323" s="1">
        <v>45863</v>
      </c>
      <c r="D1323" t="s">
        <v>31</v>
      </c>
      <c r="E1323" t="s">
        <v>154</v>
      </c>
      <c r="F1323" s="3" t="s">
        <v>110</v>
      </c>
      <c r="J1323" s="386">
        <v>19447.2</v>
      </c>
    </row>
    <row r="1324" spans="1:10" ht="15">
      <c r="A1324" s="137" t="str">
        <f t="shared" si="20"/>
        <v>CAPNOMINA SUCURSALE5</v>
      </c>
      <c r="B1324" t="s">
        <v>1560</v>
      </c>
      <c r="C1324" s="1">
        <v>45863</v>
      </c>
      <c r="D1324" t="s">
        <v>31</v>
      </c>
      <c r="E1324" t="s">
        <v>154</v>
      </c>
      <c r="F1324" s="3" t="s">
        <v>111</v>
      </c>
      <c r="J1324" s="386">
        <v>20282.400000000001</v>
      </c>
    </row>
    <row r="1325" spans="1:10" ht="15">
      <c r="A1325" s="137" t="str">
        <f t="shared" si="20"/>
        <v>CAPNOMINA SUCURSALE6</v>
      </c>
      <c r="B1325" t="s">
        <v>1560</v>
      </c>
      <c r="C1325" s="1">
        <v>45863</v>
      </c>
      <c r="D1325" t="s">
        <v>31</v>
      </c>
      <c r="E1325" t="s">
        <v>154</v>
      </c>
      <c r="F1325" s="3" t="s">
        <v>112</v>
      </c>
      <c r="J1325" s="386">
        <v>16443</v>
      </c>
    </row>
    <row r="1326" spans="1:10" ht="15">
      <c r="A1326" s="137" t="str">
        <f t="shared" si="20"/>
        <v>CAPNOMINA SUCURSALE7</v>
      </c>
      <c r="B1326" t="s">
        <v>1560</v>
      </c>
      <c r="C1326" s="1">
        <v>45863</v>
      </c>
      <c r="D1326" t="s">
        <v>31</v>
      </c>
      <c r="E1326" t="s">
        <v>154</v>
      </c>
      <c r="F1326" s="3" t="s">
        <v>113</v>
      </c>
      <c r="J1326" s="386">
        <v>12641.2</v>
      </c>
    </row>
    <row r="1327" spans="1:10" ht="15">
      <c r="A1327" s="137" t="str">
        <f t="shared" si="20"/>
        <v>CAPNOMINA SUCURSALE8</v>
      </c>
      <c r="B1327" t="s">
        <v>1560</v>
      </c>
      <c r="C1327" s="1">
        <v>45863</v>
      </c>
      <c r="D1327" t="s">
        <v>31</v>
      </c>
      <c r="E1327" t="s">
        <v>154</v>
      </c>
      <c r="F1327" s="3" t="s">
        <v>114</v>
      </c>
      <c r="J1327" s="386">
        <v>22953.4</v>
      </c>
    </row>
    <row r="1328" spans="1:10" ht="15">
      <c r="A1328" s="137" t="str">
        <f t="shared" si="20"/>
        <v>CAPNOMINA SUCURSALE9</v>
      </c>
      <c r="B1328" t="s">
        <v>1560</v>
      </c>
      <c r="C1328" s="1">
        <v>45863</v>
      </c>
      <c r="D1328" t="s">
        <v>31</v>
      </c>
      <c r="E1328" t="s">
        <v>154</v>
      </c>
      <c r="F1328" s="3" t="s">
        <v>116</v>
      </c>
      <c r="J1328" s="386">
        <v>25741.4</v>
      </c>
    </row>
    <row r="1329" spans="1:10" ht="15">
      <c r="A1329" s="137" t="str">
        <f t="shared" si="20"/>
        <v>ELINOMINA SUCURSALL1</v>
      </c>
      <c r="B1329" t="s">
        <v>1560</v>
      </c>
      <c r="C1329" s="1">
        <v>45863</v>
      </c>
      <c r="D1329" t="s">
        <v>130</v>
      </c>
      <c r="E1329" t="s">
        <v>154</v>
      </c>
      <c r="F1329" t="s">
        <v>136</v>
      </c>
      <c r="J1329" s="386">
        <v>10087.200000000001</v>
      </c>
    </row>
    <row r="1330" spans="1:10" ht="15">
      <c r="A1330" s="137" t="str">
        <f t="shared" si="20"/>
        <v>HRNOMINA ADMONHR</v>
      </c>
      <c r="B1330" t="s">
        <v>1560</v>
      </c>
      <c r="C1330" s="1">
        <v>45863</v>
      </c>
      <c r="D1330" t="s">
        <v>29</v>
      </c>
      <c r="E1330" t="s">
        <v>147</v>
      </c>
      <c r="F1330" t="s">
        <v>29</v>
      </c>
      <c r="J1330" s="386">
        <v>24554.6</v>
      </c>
    </row>
    <row r="1331" spans="1:10" ht="15">
      <c r="A1331" s="137" t="str">
        <f t="shared" si="20"/>
        <v>CAPNOMINA ADMONCAPRICHOS</v>
      </c>
      <c r="B1331" t="s">
        <v>1560</v>
      </c>
      <c r="C1331" s="1">
        <v>45863</v>
      </c>
      <c r="D1331" t="s">
        <v>31</v>
      </c>
      <c r="E1331" t="s">
        <v>147</v>
      </c>
      <c r="F1331" t="s">
        <v>33</v>
      </c>
      <c r="J1331" s="386">
        <v>22071</v>
      </c>
    </row>
    <row r="1332" spans="1:10" ht="15">
      <c r="A1332" s="137" t="str">
        <f t="shared" si="20"/>
        <v>SERVICIOSNOMINA SUCURSALCEDIS</v>
      </c>
      <c r="B1332" t="s">
        <v>1560</v>
      </c>
      <c r="C1332" s="1">
        <v>45863</v>
      </c>
      <c r="D1332" t="s">
        <v>21</v>
      </c>
      <c r="E1332" t="s">
        <v>154</v>
      </c>
      <c r="F1332" t="s">
        <v>28</v>
      </c>
      <c r="J1332" s="386">
        <v>65353.77</v>
      </c>
    </row>
    <row r="1333" spans="1:10" ht="15">
      <c r="A1333" s="137" t="str">
        <f t="shared" si="20"/>
        <v>SERVICIOSNOMINA ADMONINVENTARIOS</v>
      </c>
      <c r="B1333" t="s">
        <v>1560</v>
      </c>
      <c r="C1333" s="1">
        <v>45863</v>
      </c>
      <c r="D1333" t="s">
        <v>21</v>
      </c>
      <c r="E1333" t="s">
        <v>147</v>
      </c>
      <c r="F1333" t="s">
        <v>34</v>
      </c>
      <c r="J1333" s="386">
        <v>2310.6</v>
      </c>
    </row>
    <row r="1334" spans="1:10" ht="15">
      <c r="A1334" s="137" t="str">
        <f t="shared" si="20"/>
        <v>SERVICIOSNOMINA ADMONMANTENIMIENTO</v>
      </c>
      <c r="B1334" t="s">
        <v>1560</v>
      </c>
      <c r="C1334" s="1">
        <v>45863</v>
      </c>
      <c r="D1334" t="s">
        <v>21</v>
      </c>
      <c r="E1334" t="s">
        <v>147</v>
      </c>
      <c r="F1334" t="s">
        <v>35</v>
      </c>
      <c r="J1334" s="386">
        <v>11990.43</v>
      </c>
    </row>
    <row r="1335" spans="1:10" ht="15">
      <c r="A1335" s="137" t="str">
        <f t="shared" si="20"/>
        <v>SERVICIOSNOMINA ADMONCADENA DE SUMINISTROS</v>
      </c>
      <c r="B1335" t="s">
        <v>1560</v>
      </c>
      <c r="C1335" s="1">
        <v>45863</v>
      </c>
      <c r="D1335" t="s">
        <v>21</v>
      </c>
      <c r="E1335" t="s">
        <v>147</v>
      </c>
      <c r="F1335" t="s">
        <v>134</v>
      </c>
      <c r="J1335" s="386">
        <v>19418.599999999999</v>
      </c>
    </row>
    <row r="1336" spans="1:10" ht="15">
      <c r="A1336" s="137" t="str">
        <f t="shared" si="20"/>
        <v>SERVICIOSNOMINA ADMONSISTEMAS</v>
      </c>
      <c r="B1336" t="s">
        <v>1560</v>
      </c>
      <c r="C1336" s="1">
        <v>45863</v>
      </c>
      <c r="D1336" t="s">
        <v>21</v>
      </c>
      <c r="E1336" t="s">
        <v>147</v>
      </c>
      <c r="F1336" t="s">
        <v>36</v>
      </c>
      <c r="J1336" s="386">
        <v>8377.69</v>
      </c>
    </row>
    <row r="1337" spans="1:10" ht="15">
      <c r="A1337" s="137" t="str">
        <f t="shared" si="20"/>
        <v>SERVICIOSNOMINA ADMONCOMPRAS</v>
      </c>
      <c r="B1337" t="s">
        <v>1560</v>
      </c>
      <c r="C1337" s="1">
        <v>45863</v>
      </c>
      <c r="D1337" t="s">
        <v>21</v>
      </c>
      <c r="E1337" t="s">
        <v>147</v>
      </c>
      <c r="F1337" t="s">
        <v>148</v>
      </c>
      <c r="J1337" s="386">
        <v>20299.71</v>
      </c>
    </row>
    <row r="1338" spans="1:10" ht="15">
      <c r="A1338" s="137" t="str">
        <f t="shared" si="20"/>
        <v>FINANZASNOMINA ADMONCONTABILIDAD</v>
      </c>
      <c r="B1338" t="s">
        <v>1560</v>
      </c>
      <c r="C1338" s="1">
        <v>45863</v>
      </c>
      <c r="D1338" t="s">
        <v>23</v>
      </c>
      <c r="E1338" t="s">
        <v>147</v>
      </c>
      <c r="F1338" t="s">
        <v>37</v>
      </c>
      <c r="J1338" s="386">
        <v>9262.67</v>
      </c>
    </row>
    <row r="1339" spans="1:10" ht="15">
      <c r="A1339" s="137" t="str">
        <f t="shared" si="20"/>
        <v>FINANZASNOMINA ADMONFINANZAS/LEGAL</v>
      </c>
      <c r="B1339" t="s">
        <v>1560</v>
      </c>
      <c r="C1339" s="1">
        <v>45863</v>
      </c>
      <c r="D1339" t="s">
        <v>23</v>
      </c>
      <c r="E1339" t="s">
        <v>147</v>
      </c>
      <c r="F1339" t="s">
        <v>149</v>
      </c>
      <c r="J1339" s="386">
        <v>9874.99</v>
      </c>
    </row>
    <row r="1340" spans="1:10" ht="15">
      <c r="A1340" s="137" t="str">
        <f t="shared" si="20"/>
        <v>FINANZASNOMINA ADMONRECURSOS HUMANOS</v>
      </c>
      <c r="B1340" t="s">
        <v>1560</v>
      </c>
      <c r="C1340" s="1">
        <v>45863</v>
      </c>
      <c r="D1340" t="s">
        <v>23</v>
      </c>
      <c r="E1340" t="s">
        <v>147</v>
      </c>
      <c r="F1340" t="s">
        <v>125</v>
      </c>
      <c r="J1340" s="386">
        <v>11059.18</v>
      </c>
    </row>
    <row r="1341" spans="1:10" ht="15">
      <c r="A1341" s="137" t="str">
        <f t="shared" si="20"/>
        <v>FINANZASNOMINA ADMONTESORERIA</v>
      </c>
      <c r="B1341" t="s">
        <v>1560</v>
      </c>
      <c r="C1341" s="1">
        <v>45863</v>
      </c>
      <c r="D1341" t="s">
        <v>23</v>
      </c>
      <c r="E1341" t="s">
        <v>147</v>
      </c>
      <c r="F1341" t="s">
        <v>38</v>
      </c>
      <c r="J1341" s="386">
        <v>13086.81</v>
      </c>
    </row>
    <row r="1342" spans="1:10" ht="15">
      <c r="A1342" s="137" t="str">
        <f t="shared" si="20"/>
        <v>FINANZASNOMINA ADMONHBG FINANZAS</v>
      </c>
      <c r="B1342" t="s">
        <v>1560</v>
      </c>
      <c r="C1342" s="1">
        <v>45863</v>
      </c>
      <c r="D1342" t="s">
        <v>23</v>
      </c>
      <c r="E1342" t="s">
        <v>147</v>
      </c>
      <c r="F1342" t="s">
        <v>150</v>
      </c>
      <c r="J1342" s="386">
        <v>3057</v>
      </c>
    </row>
    <row r="1343" spans="1:10" ht="15">
      <c r="A1343" s="137" t="str">
        <f t="shared" si="20"/>
        <v>SGENOMINA ADMONGESTION EMPRESARIAL</v>
      </c>
      <c r="B1343" t="s">
        <v>1560</v>
      </c>
      <c r="C1343" s="1">
        <v>45863</v>
      </c>
      <c r="D1343" t="s">
        <v>39</v>
      </c>
      <c r="E1343" t="s">
        <v>147</v>
      </c>
      <c r="F1343" t="s">
        <v>40</v>
      </c>
      <c r="J1343" s="386">
        <v>22100.2</v>
      </c>
    </row>
    <row r="1344" spans="1:10" ht="15">
      <c r="A1344" s="137" t="str">
        <f t="shared" si="20"/>
        <v>DENOMINA ADMONDIRECCION</v>
      </c>
      <c r="B1344" t="s">
        <v>1560</v>
      </c>
      <c r="C1344" s="1">
        <v>45863</v>
      </c>
      <c r="D1344" t="s">
        <v>41</v>
      </c>
      <c r="E1344" t="s">
        <v>147</v>
      </c>
      <c r="F1344" t="s">
        <v>42</v>
      </c>
      <c r="J1344" s="386">
        <v>6000</v>
      </c>
    </row>
    <row r="1345" spans="1:10" ht="15">
      <c r="A1345" s="137" t="str">
        <f t="shared" si="20"/>
        <v>MMNOMINA ADMONMARKET MAX</v>
      </c>
      <c r="B1345" t="s">
        <v>1560</v>
      </c>
      <c r="C1345" s="1">
        <v>45863</v>
      </c>
      <c r="D1345" t="s">
        <v>45</v>
      </c>
      <c r="E1345" t="s">
        <v>147</v>
      </c>
      <c r="F1345" s="12" t="s">
        <v>46</v>
      </c>
      <c r="J1345" s="386">
        <v>3895.74</v>
      </c>
    </row>
    <row r="1346" spans="1:10" ht="15">
      <c r="A1346" s="137" t="str">
        <f t="shared" si="20"/>
        <v>FINANZASNOMINA ADMONHBG FINANZAS</v>
      </c>
      <c r="B1346" t="s">
        <v>1560</v>
      </c>
      <c r="C1346" s="1">
        <v>45863</v>
      </c>
      <c r="D1346" t="s">
        <v>23</v>
      </c>
      <c r="E1346" t="s">
        <v>147</v>
      </c>
      <c r="F1346" s="12" t="s">
        <v>150</v>
      </c>
      <c r="J1346" s="385">
        <v>10950</v>
      </c>
    </row>
    <row r="1347" spans="1:10" ht="15">
      <c r="A1347" s="137" t="str">
        <f t="shared" si="20"/>
        <v>HRNOMINA ADMONHR</v>
      </c>
      <c r="B1347" t="s">
        <v>1560</v>
      </c>
      <c r="C1347" s="1">
        <v>45863</v>
      </c>
      <c r="D1347" t="s">
        <v>29</v>
      </c>
      <c r="E1347" t="s">
        <v>147</v>
      </c>
      <c r="F1347" s="3" t="s">
        <v>29</v>
      </c>
      <c r="J1347" s="385">
        <v>5500</v>
      </c>
    </row>
    <row r="1348" spans="1:10" ht="15">
      <c r="A1348" s="137" t="str">
        <f t="shared" ref="A1348:A1411" si="21">D1348&amp;E1348&amp;F1348</f>
        <v>CAPNOMINA ADMONCAPRICHOS</v>
      </c>
      <c r="B1348" t="s">
        <v>1560</v>
      </c>
      <c r="C1348" s="1">
        <v>45863</v>
      </c>
      <c r="D1348" t="s">
        <v>31</v>
      </c>
      <c r="E1348" t="s">
        <v>147</v>
      </c>
      <c r="F1348" s="12" t="s">
        <v>33</v>
      </c>
      <c r="J1348" s="385">
        <v>3700</v>
      </c>
    </row>
    <row r="1349" spans="1:10" ht="15">
      <c r="A1349" s="137" t="str">
        <f t="shared" si="21"/>
        <v>SGENOMINA ADMONGESTION EMPRESARIAL</v>
      </c>
      <c r="B1349" t="s">
        <v>1560</v>
      </c>
      <c r="C1349" s="1">
        <v>45863</v>
      </c>
      <c r="D1349" t="s">
        <v>39</v>
      </c>
      <c r="E1349" t="s">
        <v>147</v>
      </c>
      <c r="F1349" s="12" t="s">
        <v>40</v>
      </c>
      <c r="J1349" s="385">
        <v>2750</v>
      </c>
    </row>
    <row r="1350" spans="1:10" ht="15">
      <c r="A1350" s="137" t="str">
        <f t="shared" si="21"/>
        <v>SERVICIOSNOMINA ADMONSERVICIOS</v>
      </c>
      <c r="B1350" t="s">
        <v>1560</v>
      </c>
      <c r="C1350" s="1">
        <v>45863</v>
      </c>
      <c r="D1350" t="s">
        <v>21</v>
      </c>
      <c r="E1350" t="s">
        <v>147</v>
      </c>
      <c r="F1350" s="12" t="s">
        <v>21</v>
      </c>
      <c r="J1350" s="385">
        <v>4750</v>
      </c>
    </row>
    <row r="1351" spans="1:10" ht="15">
      <c r="A1351" s="137" t="str">
        <f t="shared" si="21"/>
        <v>DENOMINA ADMONDIRECCION</v>
      </c>
      <c r="B1351" t="s">
        <v>1560</v>
      </c>
      <c r="C1351" s="1">
        <v>45863</v>
      </c>
      <c r="D1351" t="s">
        <v>41</v>
      </c>
      <c r="E1351" t="s">
        <v>147</v>
      </c>
      <c r="F1351" s="12" t="s">
        <v>42</v>
      </c>
      <c r="J1351" s="385">
        <v>5750</v>
      </c>
    </row>
    <row r="1352" spans="1:10" ht="15">
      <c r="A1352" s="137" t="str">
        <f t="shared" si="21"/>
        <v>MMNOMINA ADMONMARKET MAX</v>
      </c>
      <c r="B1352" t="s">
        <v>1560</v>
      </c>
      <c r="C1352" s="1">
        <v>45863</v>
      </c>
      <c r="D1352" t="s">
        <v>45</v>
      </c>
      <c r="E1352" t="s">
        <v>147</v>
      </c>
      <c r="F1352" s="12" t="s">
        <v>46</v>
      </c>
      <c r="J1352" s="385">
        <v>2000</v>
      </c>
    </row>
    <row r="1353" spans="1:10" ht="15">
      <c r="A1353" s="137" t="str">
        <f t="shared" si="21"/>
        <v>HRVACACIONES/FINIQUITOSHR</v>
      </c>
      <c r="B1353" t="s">
        <v>1560</v>
      </c>
      <c r="C1353" s="1">
        <v>45863</v>
      </c>
      <c r="D1353" t="s">
        <v>29</v>
      </c>
      <c r="E1353" s="12" t="s">
        <v>190</v>
      </c>
      <c r="F1353" t="s">
        <v>29</v>
      </c>
      <c r="J1353" s="385">
        <v>943</v>
      </c>
    </row>
    <row r="1354" spans="1:10" ht="15">
      <c r="A1354" s="137" t="str">
        <f t="shared" si="21"/>
        <v>CAPVACACIONES/FINIQUITOSCAPRICHOS</v>
      </c>
      <c r="B1354" t="s">
        <v>1560</v>
      </c>
      <c r="C1354" s="1">
        <v>45863</v>
      </c>
      <c r="D1354" t="s">
        <v>31</v>
      </c>
      <c r="E1354" t="s">
        <v>190</v>
      </c>
      <c r="F1354" s="12" t="s">
        <v>33</v>
      </c>
      <c r="J1354" s="385">
        <v>1071</v>
      </c>
    </row>
    <row r="1355" spans="1:10" ht="15">
      <c r="A1355" s="137" t="str">
        <f t="shared" si="21"/>
        <v>SERVICIOSVACACIONES/FINIQUITOSSERVICIOS</v>
      </c>
      <c r="B1355" t="s">
        <v>1560</v>
      </c>
      <c r="C1355" s="1">
        <v>45863</v>
      </c>
      <c r="D1355" t="s">
        <v>21</v>
      </c>
      <c r="E1355" s="12" t="s">
        <v>190</v>
      </c>
      <c r="F1355" t="s">
        <v>21</v>
      </c>
      <c r="J1355" s="385">
        <v>943</v>
      </c>
    </row>
    <row r="1356" spans="1:10" ht="15">
      <c r="A1356" s="137" t="str">
        <f t="shared" si="21"/>
        <v>SERVICIOSVACACIONES/FINIQUITOSSERVICIOS</v>
      </c>
      <c r="B1356" t="s">
        <v>1560</v>
      </c>
      <c r="C1356" s="1">
        <v>45863</v>
      </c>
      <c r="D1356" t="s">
        <v>21</v>
      </c>
      <c r="E1356" s="12" t="s">
        <v>190</v>
      </c>
      <c r="F1356" t="s">
        <v>21</v>
      </c>
      <c r="J1356" s="385">
        <v>2357</v>
      </c>
    </row>
    <row r="1357" spans="1:10" ht="15">
      <c r="A1357" s="137" t="str">
        <f t="shared" si="21"/>
        <v>HRVACACIONES/FINIQUITOSHR</v>
      </c>
      <c r="B1357" t="s">
        <v>1560</v>
      </c>
      <c r="C1357" s="1">
        <v>45863</v>
      </c>
      <c r="D1357" t="s">
        <v>29</v>
      </c>
      <c r="E1357" s="12" t="s">
        <v>190</v>
      </c>
      <c r="F1357" t="s">
        <v>29</v>
      </c>
      <c r="J1357" s="385">
        <v>6000</v>
      </c>
    </row>
    <row r="1358" spans="1:10" ht="15">
      <c r="A1358" s="137" t="str">
        <f t="shared" si="21"/>
        <v>HRNOMINA SUCURSALA1</v>
      </c>
      <c r="B1358" t="s">
        <v>1560</v>
      </c>
      <c r="C1358" s="1">
        <v>45870</v>
      </c>
      <c r="D1358" t="s">
        <v>29</v>
      </c>
      <c r="E1358" t="s">
        <v>154</v>
      </c>
      <c r="F1358" s="3" t="s">
        <v>88</v>
      </c>
      <c r="J1358" s="386">
        <v>11857</v>
      </c>
    </row>
    <row r="1359" spans="1:10" ht="15">
      <c r="A1359" s="137" t="str">
        <f t="shared" si="21"/>
        <v>HRNOMINA SUCURSALA2</v>
      </c>
      <c r="B1359" t="s">
        <v>1560</v>
      </c>
      <c r="C1359" s="1">
        <v>45870</v>
      </c>
      <c r="D1359" t="s">
        <v>29</v>
      </c>
      <c r="E1359" t="s">
        <v>154</v>
      </c>
      <c r="F1359" s="3" t="s">
        <v>89</v>
      </c>
      <c r="J1359" s="386">
        <v>13607.6</v>
      </c>
    </row>
    <row r="1360" spans="1:10" ht="15">
      <c r="A1360" s="137" t="str">
        <f t="shared" si="21"/>
        <v>HRNOMINA SUCURSALA3</v>
      </c>
      <c r="B1360" t="s">
        <v>1560</v>
      </c>
      <c r="C1360" s="1">
        <v>45870</v>
      </c>
      <c r="D1360" t="s">
        <v>29</v>
      </c>
      <c r="E1360" t="s">
        <v>154</v>
      </c>
      <c r="F1360" s="3" t="s">
        <v>90</v>
      </c>
      <c r="J1360" s="386">
        <v>11633.2</v>
      </c>
    </row>
    <row r="1361" spans="1:10" ht="15">
      <c r="A1361" s="137" t="str">
        <f t="shared" si="21"/>
        <v>HRNOMINA SUCURSALA4</v>
      </c>
      <c r="B1361" t="s">
        <v>1560</v>
      </c>
      <c r="C1361" s="1">
        <v>45870</v>
      </c>
      <c r="D1361" t="s">
        <v>29</v>
      </c>
      <c r="E1361" t="s">
        <v>154</v>
      </c>
      <c r="F1361" s="3" t="s">
        <v>91</v>
      </c>
      <c r="J1361" s="386">
        <v>11983</v>
      </c>
    </row>
    <row r="1362" spans="1:10" ht="15">
      <c r="A1362" s="137" t="str">
        <f t="shared" si="21"/>
        <v>HRNOMINA SUCURSALA5</v>
      </c>
      <c r="B1362" t="s">
        <v>1560</v>
      </c>
      <c r="C1362" s="1">
        <v>45870</v>
      </c>
      <c r="D1362" t="s">
        <v>29</v>
      </c>
      <c r="E1362" t="s">
        <v>154</v>
      </c>
      <c r="F1362" s="3" t="s">
        <v>92</v>
      </c>
      <c r="J1362" s="386">
        <v>13182</v>
      </c>
    </row>
    <row r="1363" spans="1:10" ht="15">
      <c r="A1363" s="137" t="str">
        <f t="shared" si="21"/>
        <v>HRNOMINA SUCURSALA6</v>
      </c>
      <c r="B1363" t="s">
        <v>1560</v>
      </c>
      <c r="C1363" s="1">
        <v>45870</v>
      </c>
      <c r="D1363" t="s">
        <v>29</v>
      </c>
      <c r="E1363" t="s">
        <v>154</v>
      </c>
      <c r="F1363" s="3" t="s">
        <v>93</v>
      </c>
      <c r="J1363" s="386">
        <v>12330.09</v>
      </c>
    </row>
    <row r="1364" spans="1:10" ht="15">
      <c r="A1364" s="137" t="str">
        <f t="shared" si="21"/>
        <v>HRNOMINA SUCURSALA8</v>
      </c>
      <c r="B1364" t="s">
        <v>1560</v>
      </c>
      <c r="C1364" s="1">
        <v>45870</v>
      </c>
      <c r="D1364" t="s">
        <v>29</v>
      </c>
      <c r="E1364" t="s">
        <v>154</v>
      </c>
      <c r="F1364" s="3" t="s">
        <v>94</v>
      </c>
      <c r="J1364" s="386">
        <v>13533.8</v>
      </c>
    </row>
    <row r="1365" spans="1:10" ht="15">
      <c r="A1365" s="137" t="str">
        <f t="shared" si="21"/>
        <v>HRNOMINA SUCURSALA9</v>
      </c>
      <c r="B1365" t="s">
        <v>1560</v>
      </c>
      <c r="C1365" s="1">
        <v>45870</v>
      </c>
      <c r="D1365" t="s">
        <v>29</v>
      </c>
      <c r="E1365" t="s">
        <v>154</v>
      </c>
      <c r="F1365" s="3" t="s">
        <v>95</v>
      </c>
      <c r="J1365" s="386">
        <v>10979.71</v>
      </c>
    </row>
    <row r="1366" spans="1:10" ht="15">
      <c r="A1366" s="137" t="str">
        <f t="shared" si="21"/>
        <v>HRNOMINA SUCURSALA10</v>
      </c>
      <c r="B1366" t="s">
        <v>1560</v>
      </c>
      <c r="C1366" s="1">
        <v>45870</v>
      </c>
      <c r="D1366" t="s">
        <v>29</v>
      </c>
      <c r="E1366" t="s">
        <v>154</v>
      </c>
      <c r="F1366" s="3" t="s">
        <v>96</v>
      </c>
      <c r="J1366" s="386">
        <v>15136.2</v>
      </c>
    </row>
    <row r="1367" spans="1:10" ht="15">
      <c r="A1367" s="137" t="str">
        <f t="shared" si="21"/>
        <v>HRNOMINA SUCURSALA11</v>
      </c>
      <c r="B1367" t="s">
        <v>1560</v>
      </c>
      <c r="C1367" s="1">
        <v>45870</v>
      </c>
      <c r="D1367" t="s">
        <v>29</v>
      </c>
      <c r="E1367" t="s">
        <v>154</v>
      </c>
      <c r="F1367" s="62" t="s">
        <v>97</v>
      </c>
      <c r="J1367" s="386">
        <v>13264</v>
      </c>
    </row>
    <row r="1368" spans="1:10" ht="15">
      <c r="A1368" s="137" t="str">
        <f t="shared" si="21"/>
        <v>HRNOMINA SUCURSALA12</v>
      </c>
      <c r="B1368" t="s">
        <v>1560</v>
      </c>
      <c r="C1368" s="1">
        <v>45870</v>
      </c>
      <c r="D1368" t="s">
        <v>29</v>
      </c>
      <c r="E1368" t="s">
        <v>154</v>
      </c>
      <c r="F1368" s="3" t="s">
        <v>98</v>
      </c>
      <c r="J1368" s="386">
        <v>17146.2</v>
      </c>
    </row>
    <row r="1369" spans="1:10" ht="15">
      <c r="A1369" s="137" t="str">
        <f t="shared" si="21"/>
        <v>HRNOMINA SUCURSALA14</v>
      </c>
      <c r="B1369" t="s">
        <v>1560</v>
      </c>
      <c r="C1369" s="1">
        <v>45870</v>
      </c>
      <c r="D1369" t="s">
        <v>29</v>
      </c>
      <c r="E1369" t="s">
        <v>154</v>
      </c>
      <c r="F1369" s="3" t="s">
        <v>99</v>
      </c>
      <c r="J1369" s="386">
        <v>13258.4</v>
      </c>
    </row>
    <row r="1370" spans="1:10" ht="15">
      <c r="A1370" s="137" t="str">
        <f t="shared" si="21"/>
        <v>HRNOMINA SUCURSALA15</v>
      </c>
      <c r="B1370" t="s">
        <v>1560</v>
      </c>
      <c r="C1370" s="1">
        <v>45870</v>
      </c>
      <c r="D1370" t="s">
        <v>29</v>
      </c>
      <c r="E1370" t="s">
        <v>154</v>
      </c>
      <c r="F1370" s="3" t="s">
        <v>100</v>
      </c>
      <c r="J1370" s="386">
        <v>11325.6</v>
      </c>
    </row>
    <row r="1371" spans="1:10" ht="15">
      <c r="A1371" s="137" t="str">
        <f t="shared" si="21"/>
        <v>HRNOMINA SUCURSALA16</v>
      </c>
      <c r="B1371" t="s">
        <v>1560</v>
      </c>
      <c r="C1371" s="1">
        <v>45870</v>
      </c>
      <c r="D1371" t="s">
        <v>29</v>
      </c>
      <c r="E1371" t="s">
        <v>154</v>
      </c>
      <c r="F1371" s="3" t="s">
        <v>101</v>
      </c>
      <c r="J1371" s="386">
        <v>16392.490000000002</v>
      </c>
    </row>
    <row r="1372" spans="1:10" ht="15">
      <c r="A1372" s="137" t="str">
        <f t="shared" si="21"/>
        <v>HRNOMINA SUCURSALA17</v>
      </c>
      <c r="B1372" t="s">
        <v>1560</v>
      </c>
      <c r="C1372" s="1">
        <v>45870</v>
      </c>
      <c r="D1372" t="s">
        <v>29</v>
      </c>
      <c r="E1372" t="s">
        <v>154</v>
      </c>
      <c r="F1372" s="3" t="s">
        <v>102</v>
      </c>
      <c r="J1372" s="386">
        <v>8983.7999999999993</v>
      </c>
    </row>
    <row r="1373" spans="1:10" ht="15">
      <c r="A1373" s="137" t="str">
        <f t="shared" si="21"/>
        <v>HRNOMINA SUCURSALA18</v>
      </c>
      <c r="B1373" t="s">
        <v>1560</v>
      </c>
      <c r="C1373" s="1">
        <v>45870</v>
      </c>
      <c r="D1373" t="s">
        <v>29</v>
      </c>
      <c r="E1373" t="s">
        <v>154</v>
      </c>
      <c r="F1373" s="3" t="s">
        <v>103</v>
      </c>
      <c r="J1373" s="386">
        <v>15533.8</v>
      </c>
    </row>
    <row r="1374" spans="1:10" ht="15">
      <c r="A1374" s="137" t="str">
        <f t="shared" si="21"/>
        <v>HRNOMINA SUCURSALA22</v>
      </c>
      <c r="B1374" t="s">
        <v>1560</v>
      </c>
      <c r="C1374" s="1">
        <v>45870</v>
      </c>
      <c r="D1374" t="s">
        <v>29</v>
      </c>
      <c r="E1374" t="s">
        <v>154</v>
      </c>
      <c r="F1374" s="3" t="s">
        <v>104</v>
      </c>
      <c r="J1374" s="386">
        <v>16512.599999999999</v>
      </c>
    </row>
    <row r="1375" spans="1:10" ht="15">
      <c r="A1375" s="137" t="str">
        <f t="shared" si="21"/>
        <v>HRNOMINA SUCURSALA23</v>
      </c>
      <c r="B1375" t="s">
        <v>1560</v>
      </c>
      <c r="C1375" s="1">
        <v>45870</v>
      </c>
      <c r="D1375" t="s">
        <v>29</v>
      </c>
      <c r="E1375" t="s">
        <v>154</v>
      </c>
      <c r="F1375" s="3" t="s">
        <v>105</v>
      </c>
      <c r="J1375" s="386">
        <v>12029.4</v>
      </c>
    </row>
    <row r="1376" spans="1:10" ht="15">
      <c r="A1376" s="137" t="str">
        <f t="shared" si="21"/>
        <v>HRNOMINA SUCURSALA24</v>
      </c>
      <c r="B1376" t="s">
        <v>1560</v>
      </c>
      <c r="C1376" s="1">
        <v>45870</v>
      </c>
      <c r="D1376" t="s">
        <v>29</v>
      </c>
      <c r="E1376" t="s">
        <v>154</v>
      </c>
      <c r="F1376" s="3" t="s">
        <v>106</v>
      </c>
      <c r="J1376" s="386">
        <v>17708.599999999999</v>
      </c>
    </row>
    <row r="1377" spans="1:10" ht="15">
      <c r="A1377" s="137" t="str">
        <f t="shared" si="21"/>
        <v>CAPNOMINA SUCURSALE1</v>
      </c>
      <c r="B1377" t="s">
        <v>1560</v>
      </c>
      <c r="C1377" s="1">
        <v>45870</v>
      </c>
      <c r="D1377" t="s">
        <v>31</v>
      </c>
      <c r="E1377" t="s">
        <v>154</v>
      </c>
      <c r="F1377" s="3" t="s">
        <v>107</v>
      </c>
      <c r="J1377" s="386">
        <v>14559.4</v>
      </c>
    </row>
    <row r="1378" spans="1:10" ht="15">
      <c r="A1378" s="137" t="str">
        <f t="shared" si="21"/>
        <v>CAPNOMINA SUCURSALE2</v>
      </c>
      <c r="B1378" t="s">
        <v>1560</v>
      </c>
      <c r="C1378" s="1">
        <v>45870</v>
      </c>
      <c r="D1378" t="s">
        <v>31</v>
      </c>
      <c r="E1378" t="s">
        <v>154</v>
      </c>
      <c r="F1378" s="3" t="s">
        <v>108</v>
      </c>
      <c r="J1378" s="386">
        <v>20420.8</v>
      </c>
    </row>
    <row r="1379" spans="1:10" ht="15">
      <c r="A1379" s="137" t="str">
        <f t="shared" si="21"/>
        <v>CAPNOMINA SUCURSALE3</v>
      </c>
      <c r="B1379" t="s">
        <v>1560</v>
      </c>
      <c r="C1379" s="1">
        <v>45870</v>
      </c>
      <c r="D1379" t="s">
        <v>31</v>
      </c>
      <c r="E1379" t="s">
        <v>154</v>
      </c>
      <c r="F1379" s="3" t="s">
        <v>109</v>
      </c>
      <c r="J1379" s="386">
        <v>14206.6</v>
      </c>
    </row>
    <row r="1380" spans="1:10" ht="15">
      <c r="A1380" s="137" t="str">
        <f t="shared" si="21"/>
        <v>CAPNOMINA SUCURSALE4</v>
      </c>
      <c r="B1380" t="s">
        <v>1560</v>
      </c>
      <c r="C1380" s="1">
        <v>45870</v>
      </c>
      <c r="D1380" t="s">
        <v>31</v>
      </c>
      <c r="E1380" t="s">
        <v>154</v>
      </c>
      <c r="F1380" s="3" t="s">
        <v>110</v>
      </c>
      <c r="J1380" s="386">
        <v>20843.400000000001</v>
      </c>
    </row>
    <row r="1381" spans="1:10" ht="15">
      <c r="A1381" s="137" t="str">
        <f t="shared" si="21"/>
        <v>CAPNOMINA SUCURSALE5</v>
      </c>
      <c r="B1381" t="s">
        <v>1560</v>
      </c>
      <c r="C1381" s="1">
        <v>45870</v>
      </c>
      <c r="D1381" t="s">
        <v>31</v>
      </c>
      <c r="E1381" t="s">
        <v>154</v>
      </c>
      <c r="F1381" s="3" t="s">
        <v>111</v>
      </c>
      <c r="J1381" s="386">
        <v>17708.599999999999</v>
      </c>
    </row>
    <row r="1382" spans="1:10" ht="15">
      <c r="A1382" s="137" t="str">
        <f t="shared" si="21"/>
        <v>CAPNOMINA SUCURSALE6</v>
      </c>
      <c r="B1382" t="s">
        <v>1560</v>
      </c>
      <c r="C1382" s="1">
        <v>45870</v>
      </c>
      <c r="D1382" t="s">
        <v>31</v>
      </c>
      <c r="E1382" t="s">
        <v>154</v>
      </c>
      <c r="F1382" s="3" t="s">
        <v>112</v>
      </c>
      <c r="J1382" s="386">
        <v>13832.4</v>
      </c>
    </row>
    <row r="1383" spans="1:10" ht="15">
      <c r="A1383" s="137" t="str">
        <f t="shared" si="21"/>
        <v>CAPNOMINA SUCURSALE7</v>
      </c>
      <c r="B1383" t="s">
        <v>1560</v>
      </c>
      <c r="C1383" s="1">
        <v>45870</v>
      </c>
      <c r="D1383" t="s">
        <v>31</v>
      </c>
      <c r="E1383" t="s">
        <v>154</v>
      </c>
      <c r="F1383" s="3" t="s">
        <v>113</v>
      </c>
      <c r="J1383" s="386">
        <v>14272.6</v>
      </c>
    </row>
    <row r="1384" spans="1:10" ht="15">
      <c r="A1384" s="137" t="str">
        <f t="shared" si="21"/>
        <v>CAPNOMINA SUCURSALE8</v>
      </c>
      <c r="B1384" t="s">
        <v>1560</v>
      </c>
      <c r="C1384" s="1">
        <v>45870</v>
      </c>
      <c r="D1384" t="s">
        <v>31</v>
      </c>
      <c r="E1384" t="s">
        <v>154</v>
      </c>
      <c r="F1384" s="3" t="s">
        <v>114</v>
      </c>
      <c r="J1384" s="386">
        <v>25439.200000000001</v>
      </c>
    </row>
    <row r="1385" spans="1:10" ht="15">
      <c r="A1385" s="137" t="str">
        <f t="shared" si="21"/>
        <v>CAPNOMINA SUCURSALE9</v>
      </c>
      <c r="B1385" t="s">
        <v>1560</v>
      </c>
      <c r="C1385" s="1">
        <v>45870</v>
      </c>
      <c r="D1385" t="s">
        <v>31</v>
      </c>
      <c r="E1385" t="s">
        <v>154</v>
      </c>
      <c r="F1385" s="3" t="s">
        <v>116</v>
      </c>
      <c r="J1385" s="386">
        <v>25740.799999999999</v>
      </c>
    </row>
    <row r="1386" spans="1:10" ht="15">
      <c r="A1386" s="137" t="str">
        <f t="shared" si="21"/>
        <v>ELINOMINA SUCURSALL1</v>
      </c>
      <c r="B1386" t="s">
        <v>1560</v>
      </c>
      <c r="C1386" s="1">
        <v>45870</v>
      </c>
      <c r="D1386" t="s">
        <v>130</v>
      </c>
      <c r="E1386" t="s">
        <v>154</v>
      </c>
      <c r="F1386" t="s">
        <v>136</v>
      </c>
      <c r="J1386" s="386">
        <v>10211</v>
      </c>
    </row>
    <row r="1387" spans="1:10" ht="15">
      <c r="A1387" s="137" t="str">
        <f t="shared" si="21"/>
        <v>HRNOMINA ADMONHR</v>
      </c>
      <c r="B1387" t="s">
        <v>1560</v>
      </c>
      <c r="C1387" s="1">
        <v>45870</v>
      </c>
      <c r="D1387" t="s">
        <v>29</v>
      </c>
      <c r="E1387" t="s">
        <v>147</v>
      </c>
      <c r="F1387" t="s">
        <v>29</v>
      </c>
      <c r="J1387" s="386">
        <v>21552</v>
      </c>
    </row>
    <row r="1388" spans="1:10" ht="15">
      <c r="A1388" s="137" t="str">
        <f t="shared" si="21"/>
        <v>CAPNOMINA ADMONCAPRICHOS</v>
      </c>
      <c r="B1388" t="s">
        <v>1560</v>
      </c>
      <c r="C1388" s="1">
        <v>45870</v>
      </c>
      <c r="D1388" t="s">
        <v>31</v>
      </c>
      <c r="E1388" t="s">
        <v>147</v>
      </c>
      <c r="F1388" t="s">
        <v>33</v>
      </c>
      <c r="J1388" s="386">
        <v>20913.5</v>
      </c>
    </row>
    <row r="1389" spans="1:10" ht="15">
      <c r="A1389" s="137" t="str">
        <f t="shared" si="21"/>
        <v>SERVICIOSNOMINA SUCURSALCEDIS</v>
      </c>
      <c r="B1389" t="s">
        <v>1560</v>
      </c>
      <c r="C1389" s="1">
        <v>45870</v>
      </c>
      <c r="D1389" t="s">
        <v>21</v>
      </c>
      <c r="E1389" t="s">
        <v>154</v>
      </c>
      <c r="F1389" t="s">
        <v>28</v>
      </c>
      <c r="J1389" s="386">
        <v>66038.87</v>
      </c>
    </row>
    <row r="1390" spans="1:10" ht="15">
      <c r="A1390" s="137" t="str">
        <f t="shared" si="21"/>
        <v>SERVICIOSNOMINA ADMONINVENTARIOS</v>
      </c>
      <c r="B1390" t="s">
        <v>1560</v>
      </c>
      <c r="C1390" s="1">
        <v>45870</v>
      </c>
      <c r="D1390" t="s">
        <v>21</v>
      </c>
      <c r="E1390" t="s">
        <v>147</v>
      </c>
      <c r="F1390" t="s">
        <v>34</v>
      </c>
      <c r="J1390" s="386">
        <v>2800</v>
      </c>
    </row>
    <row r="1391" spans="1:10" ht="15">
      <c r="A1391" s="137" t="str">
        <f t="shared" si="21"/>
        <v>SERVICIOSNOMINA ADMONMANTENIMIENTO</v>
      </c>
      <c r="B1391" t="s">
        <v>1560</v>
      </c>
      <c r="C1391" s="1">
        <v>45870</v>
      </c>
      <c r="D1391" t="s">
        <v>21</v>
      </c>
      <c r="E1391" t="s">
        <v>147</v>
      </c>
      <c r="F1391" t="s">
        <v>35</v>
      </c>
      <c r="J1391" s="386">
        <v>13968.03</v>
      </c>
    </row>
    <row r="1392" spans="1:10" ht="15">
      <c r="A1392" s="137" t="str">
        <f t="shared" si="21"/>
        <v>SERVICIOSNOMINA ADMONCADENA DE SUMINISTROS</v>
      </c>
      <c r="B1392" t="s">
        <v>1560</v>
      </c>
      <c r="C1392" s="1">
        <v>45870</v>
      </c>
      <c r="D1392" t="s">
        <v>21</v>
      </c>
      <c r="E1392" t="s">
        <v>147</v>
      </c>
      <c r="F1392" t="s">
        <v>134</v>
      </c>
      <c r="J1392" s="386">
        <v>19234.2</v>
      </c>
    </row>
    <row r="1393" spans="1:10" ht="15">
      <c r="A1393" s="137" t="str">
        <f t="shared" si="21"/>
        <v>SERVICIOSNOMINA ADMONSISTEMAS</v>
      </c>
      <c r="B1393" t="s">
        <v>1560</v>
      </c>
      <c r="C1393" s="1">
        <v>45870</v>
      </c>
      <c r="D1393" t="s">
        <v>21</v>
      </c>
      <c r="E1393" t="s">
        <v>147</v>
      </c>
      <c r="F1393" t="s">
        <v>36</v>
      </c>
      <c r="J1393" s="386">
        <v>10156.49</v>
      </c>
    </row>
    <row r="1394" spans="1:10" ht="15">
      <c r="A1394" s="137" t="str">
        <f t="shared" si="21"/>
        <v>SERVICIOSNOMINA ADMONCOMPRAS</v>
      </c>
      <c r="B1394" t="s">
        <v>1560</v>
      </c>
      <c r="C1394" s="1">
        <v>45870</v>
      </c>
      <c r="D1394" t="s">
        <v>21</v>
      </c>
      <c r="E1394" t="s">
        <v>147</v>
      </c>
      <c r="F1394" t="s">
        <v>148</v>
      </c>
      <c r="J1394" s="386">
        <v>20598.509999999998</v>
      </c>
    </row>
    <row r="1395" spans="1:10" ht="15">
      <c r="A1395" s="137" t="str">
        <f t="shared" si="21"/>
        <v>FINANZASNOMINA ADMONCONTABILIDAD</v>
      </c>
      <c r="B1395" t="s">
        <v>1560</v>
      </c>
      <c r="C1395" s="1">
        <v>45870</v>
      </c>
      <c r="D1395" t="s">
        <v>23</v>
      </c>
      <c r="E1395" t="s">
        <v>147</v>
      </c>
      <c r="F1395" t="s">
        <v>37</v>
      </c>
      <c r="J1395" s="386">
        <v>8314.27</v>
      </c>
    </row>
    <row r="1396" spans="1:10" ht="15">
      <c r="A1396" s="137" t="str">
        <f t="shared" si="21"/>
        <v>FINANZASNOMINA ADMONFINANZAS/LEGAL</v>
      </c>
      <c r="B1396" t="s">
        <v>1560</v>
      </c>
      <c r="C1396" s="1">
        <v>45870</v>
      </c>
      <c r="D1396" t="s">
        <v>23</v>
      </c>
      <c r="E1396" t="s">
        <v>147</v>
      </c>
      <c r="F1396" t="s">
        <v>149</v>
      </c>
      <c r="J1396" s="386">
        <v>9874.99</v>
      </c>
    </row>
    <row r="1397" spans="1:10" ht="15">
      <c r="A1397" s="137" t="str">
        <f t="shared" si="21"/>
        <v>FINANZASNOMINA ADMONRECURSOS HUMANOS</v>
      </c>
      <c r="B1397" t="s">
        <v>1560</v>
      </c>
      <c r="C1397" s="1">
        <v>45870</v>
      </c>
      <c r="D1397" t="s">
        <v>23</v>
      </c>
      <c r="E1397" t="s">
        <v>147</v>
      </c>
      <c r="F1397" t="s">
        <v>125</v>
      </c>
      <c r="J1397" s="386">
        <v>10759.18</v>
      </c>
    </row>
    <row r="1398" spans="1:10" ht="15">
      <c r="A1398" s="137" t="str">
        <f t="shared" si="21"/>
        <v>FINANZASNOMINA ADMONTESORERIA</v>
      </c>
      <c r="B1398" t="s">
        <v>1560</v>
      </c>
      <c r="C1398" s="1">
        <v>45870</v>
      </c>
      <c r="D1398" t="s">
        <v>23</v>
      </c>
      <c r="E1398" t="s">
        <v>147</v>
      </c>
      <c r="F1398" t="s">
        <v>38</v>
      </c>
      <c r="J1398" s="386">
        <v>11755.01</v>
      </c>
    </row>
    <row r="1399" spans="1:10" ht="15">
      <c r="A1399" s="137" t="str">
        <f t="shared" si="21"/>
        <v>FINANZASNOMINA ADMONHBG FINANZAS</v>
      </c>
      <c r="B1399" t="s">
        <v>1560</v>
      </c>
      <c r="C1399" s="1">
        <v>45870</v>
      </c>
      <c r="D1399" t="s">
        <v>23</v>
      </c>
      <c r="E1399" t="s">
        <v>147</v>
      </c>
      <c r="F1399" t="s">
        <v>150</v>
      </c>
      <c r="J1399" s="386">
        <v>3057</v>
      </c>
    </row>
    <row r="1400" spans="1:10" ht="15">
      <c r="A1400" s="137" t="str">
        <f t="shared" si="21"/>
        <v>SGENOMINA ADMONGESTION EMPRESARIAL</v>
      </c>
      <c r="B1400" t="s">
        <v>1560</v>
      </c>
      <c r="C1400" s="1">
        <v>45870</v>
      </c>
      <c r="D1400" t="s">
        <v>39</v>
      </c>
      <c r="E1400" t="s">
        <v>147</v>
      </c>
      <c r="F1400" t="s">
        <v>40</v>
      </c>
      <c r="J1400" s="386">
        <v>21700.400000000001</v>
      </c>
    </row>
    <row r="1401" spans="1:10" ht="15">
      <c r="A1401" s="137" t="str">
        <f t="shared" si="21"/>
        <v>DENOMINA ADMONDIRECCION</v>
      </c>
      <c r="B1401" t="s">
        <v>1560</v>
      </c>
      <c r="C1401" s="1">
        <v>45870</v>
      </c>
      <c r="D1401" t="s">
        <v>41</v>
      </c>
      <c r="E1401" t="s">
        <v>147</v>
      </c>
      <c r="F1401" t="s">
        <v>42</v>
      </c>
      <c r="J1401" s="386">
        <v>6000</v>
      </c>
    </row>
    <row r="1402" spans="1:10" ht="15">
      <c r="A1402" s="137" t="str">
        <f t="shared" si="21"/>
        <v>MMNOMINA ADMONMARKET MAX</v>
      </c>
      <c r="B1402" t="s">
        <v>1560</v>
      </c>
      <c r="C1402" s="1">
        <v>45870</v>
      </c>
      <c r="D1402" t="s">
        <v>45</v>
      </c>
      <c r="E1402" t="s">
        <v>147</v>
      </c>
      <c r="F1402" s="12" t="s">
        <v>46</v>
      </c>
      <c r="J1402" s="386">
        <v>5876.54</v>
      </c>
    </row>
    <row r="1403" spans="1:10" ht="15">
      <c r="A1403" s="137" t="str">
        <f t="shared" si="21"/>
        <v>FINANZASNOMINA ADMONHBG FINANZAS</v>
      </c>
      <c r="B1403" t="s">
        <v>1560</v>
      </c>
      <c r="C1403" s="1">
        <v>45870</v>
      </c>
      <c r="D1403" t="s">
        <v>23</v>
      </c>
      <c r="E1403" t="s">
        <v>147</v>
      </c>
      <c r="F1403" s="12" t="s">
        <v>150</v>
      </c>
      <c r="J1403" s="385">
        <v>10950</v>
      </c>
    </row>
    <row r="1404" spans="1:10" ht="15">
      <c r="A1404" s="137" t="str">
        <f t="shared" si="21"/>
        <v>HRNOMINA ADMONHR</v>
      </c>
      <c r="B1404" t="s">
        <v>1560</v>
      </c>
      <c r="C1404" s="1">
        <v>45870</v>
      </c>
      <c r="D1404" t="s">
        <v>29</v>
      </c>
      <c r="E1404" t="s">
        <v>147</v>
      </c>
      <c r="F1404" s="3" t="s">
        <v>29</v>
      </c>
      <c r="J1404" s="385">
        <v>5500</v>
      </c>
    </row>
    <row r="1405" spans="1:10" ht="15">
      <c r="A1405" s="137" t="str">
        <f t="shared" si="21"/>
        <v>CAPNOMINA ADMONCAPRICHOS</v>
      </c>
      <c r="B1405" t="s">
        <v>1560</v>
      </c>
      <c r="C1405" s="1">
        <v>45870</v>
      </c>
      <c r="D1405" t="s">
        <v>31</v>
      </c>
      <c r="E1405" t="s">
        <v>147</v>
      </c>
      <c r="F1405" s="12" t="s">
        <v>33</v>
      </c>
      <c r="J1405" s="385">
        <v>3700</v>
      </c>
    </row>
    <row r="1406" spans="1:10" ht="15">
      <c r="A1406" s="137" t="str">
        <f t="shared" si="21"/>
        <v>SGENOMINA ADMONGESTION EMPRESARIAL</v>
      </c>
      <c r="B1406" t="s">
        <v>1560</v>
      </c>
      <c r="C1406" s="1">
        <v>45870</v>
      </c>
      <c r="D1406" t="s">
        <v>39</v>
      </c>
      <c r="E1406" t="s">
        <v>147</v>
      </c>
      <c r="F1406" s="12" t="s">
        <v>40</v>
      </c>
      <c r="J1406" s="385">
        <v>2750</v>
      </c>
    </row>
    <row r="1407" spans="1:10" ht="15">
      <c r="A1407" s="137" t="str">
        <f t="shared" si="21"/>
        <v>SERVICIOSNOMINA ADMONSERVICIOS</v>
      </c>
      <c r="B1407" t="s">
        <v>1560</v>
      </c>
      <c r="C1407" s="1">
        <v>45870</v>
      </c>
      <c r="D1407" t="s">
        <v>21</v>
      </c>
      <c r="E1407" t="s">
        <v>147</v>
      </c>
      <c r="F1407" s="12" t="s">
        <v>21</v>
      </c>
      <c r="J1407" s="385">
        <v>4750</v>
      </c>
    </row>
    <row r="1408" spans="1:10" ht="15">
      <c r="A1408" s="137" t="str">
        <f t="shared" si="21"/>
        <v>DENOMINA ADMONDIRECCION</v>
      </c>
      <c r="B1408" t="s">
        <v>1560</v>
      </c>
      <c r="C1408" s="1">
        <v>45870</v>
      </c>
      <c r="D1408" t="s">
        <v>41</v>
      </c>
      <c r="E1408" t="s">
        <v>147</v>
      </c>
      <c r="F1408" s="12" t="s">
        <v>42</v>
      </c>
      <c r="J1408" s="385">
        <v>5750</v>
      </c>
    </row>
    <row r="1409" spans="1:10" ht="15">
      <c r="A1409" s="137" t="str">
        <f t="shared" si="21"/>
        <v>MMNOMINA ADMONMARKET MAX</v>
      </c>
      <c r="B1409" t="s">
        <v>1560</v>
      </c>
      <c r="C1409" s="1">
        <v>45870</v>
      </c>
      <c r="D1409" t="s">
        <v>45</v>
      </c>
      <c r="E1409" t="s">
        <v>147</v>
      </c>
      <c r="F1409" s="12" t="s">
        <v>46</v>
      </c>
      <c r="J1409" s="385">
        <v>2000</v>
      </c>
    </row>
    <row r="1410" spans="1:10" ht="15">
      <c r="A1410" s="137" t="str">
        <f t="shared" si="21"/>
        <v>HRNOMINA SUCURSALA1</v>
      </c>
      <c r="B1410" t="s">
        <v>1807</v>
      </c>
      <c r="C1410" s="1">
        <v>45877</v>
      </c>
      <c r="D1410" t="s">
        <v>29</v>
      </c>
      <c r="E1410" t="s">
        <v>154</v>
      </c>
      <c r="F1410" s="3" t="s">
        <v>88</v>
      </c>
      <c r="J1410" s="389">
        <v>10857.2</v>
      </c>
    </row>
    <row r="1411" spans="1:10" ht="15">
      <c r="A1411" s="137" t="str">
        <f>D1411&amp;E1411&amp;F1411</f>
        <v>HRNOMINA SUCURSALA2</v>
      </c>
      <c r="B1411" t="s">
        <v>1807</v>
      </c>
      <c r="C1411" s="1">
        <v>45877</v>
      </c>
      <c r="D1411" t="s">
        <v>29</v>
      </c>
      <c r="E1411" t="s">
        <v>154</v>
      </c>
      <c r="F1411" s="3" t="s">
        <v>89</v>
      </c>
      <c r="J1411" s="389">
        <v>13757.8</v>
      </c>
    </row>
    <row r="1412" spans="1:10" ht="15">
      <c r="A1412" s="137" t="str">
        <f>D1412&amp;E1412&amp;F1412</f>
        <v>HRNOMINA SUCURSALA3</v>
      </c>
      <c r="B1412" t="s">
        <v>1807</v>
      </c>
      <c r="C1412" s="1">
        <v>45877</v>
      </c>
      <c r="D1412" t="s">
        <v>29</v>
      </c>
      <c r="E1412" t="s">
        <v>154</v>
      </c>
      <c r="F1412" s="3" t="s">
        <v>90</v>
      </c>
      <c r="J1412" s="389">
        <v>10855</v>
      </c>
    </row>
    <row r="1413" spans="1:10" ht="15">
      <c r="A1413" s="137" t="str">
        <f>D1413&amp;E1413&amp;F1413</f>
        <v>HRNOMINA SUCURSALA4</v>
      </c>
      <c r="B1413" t="s">
        <v>1807</v>
      </c>
      <c r="C1413" s="1">
        <v>45877</v>
      </c>
      <c r="D1413" t="s">
        <v>29</v>
      </c>
      <c r="E1413" t="s">
        <v>154</v>
      </c>
      <c r="F1413" s="3" t="s">
        <v>91</v>
      </c>
      <c r="J1413" s="389">
        <v>9529.6</v>
      </c>
    </row>
    <row r="1414" spans="1:10" ht="15">
      <c r="A1414" s="137" t="str">
        <f>D1414&amp;E1414&amp;F1414</f>
        <v>HRNOMINA SUCURSALA5</v>
      </c>
      <c r="B1414" t="s">
        <v>1807</v>
      </c>
      <c r="C1414" s="1">
        <v>45877</v>
      </c>
      <c r="D1414" t="s">
        <v>29</v>
      </c>
      <c r="E1414" t="s">
        <v>154</v>
      </c>
      <c r="F1414" s="3" t="s">
        <v>92</v>
      </c>
      <c r="J1414" s="389">
        <v>12982</v>
      </c>
    </row>
    <row r="1415" spans="1:10" ht="15">
      <c r="A1415" s="137" t="str">
        <f>D1415&amp;E1415&amp;F1415</f>
        <v>HRNOMINA SUCURSALA6</v>
      </c>
      <c r="B1415" t="s">
        <v>1807</v>
      </c>
      <c r="C1415" s="1">
        <v>45877</v>
      </c>
      <c r="D1415" t="s">
        <v>29</v>
      </c>
      <c r="E1415" t="s">
        <v>154</v>
      </c>
      <c r="F1415" s="3" t="s">
        <v>93</v>
      </c>
      <c r="J1415" s="389">
        <v>11947.09</v>
      </c>
    </row>
    <row r="1416" spans="1:10" ht="15">
      <c r="A1416" s="137" t="str">
        <f>D1416&amp;E1416&amp;F1416</f>
        <v>HRNOMINA SUCURSALA8</v>
      </c>
      <c r="B1416" t="s">
        <v>1807</v>
      </c>
      <c r="C1416" s="1">
        <v>45877</v>
      </c>
      <c r="D1416" t="s">
        <v>29</v>
      </c>
      <c r="E1416" t="s">
        <v>154</v>
      </c>
      <c r="F1416" s="3" t="s">
        <v>94</v>
      </c>
      <c r="J1416" s="389">
        <v>13184.4</v>
      </c>
    </row>
    <row r="1417" spans="1:10" ht="15">
      <c r="A1417" s="137" t="str">
        <f>D1417&amp;E1417&amp;F1417</f>
        <v>HRNOMINA SUCURSALA9</v>
      </c>
      <c r="B1417" t="s">
        <v>1807</v>
      </c>
      <c r="C1417" s="1">
        <v>45877</v>
      </c>
      <c r="D1417" t="s">
        <v>29</v>
      </c>
      <c r="E1417" t="s">
        <v>154</v>
      </c>
      <c r="F1417" s="3" t="s">
        <v>95</v>
      </c>
      <c r="J1417" s="389">
        <v>11087.51</v>
      </c>
    </row>
    <row r="1418" spans="1:10" ht="15">
      <c r="A1418" s="137" t="str">
        <f>D1418&amp;E1418&amp;F1418</f>
        <v>HRNOMINA SUCURSALA10</v>
      </c>
      <c r="B1418" t="s">
        <v>1807</v>
      </c>
      <c r="C1418" s="1">
        <v>45877</v>
      </c>
      <c r="D1418" t="s">
        <v>29</v>
      </c>
      <c r="E1418" t="s">
        <v>154</v>
      </c>
      <c r="F1418" s="3" t="s">
        <v>96</v>
      </c>
      <c r="J1418" s="389">
        <v>13860.6</v>
      </c>
    </row>
    <row r="1419" spans="1:10" ht="15">
      <c r="A1419" s="137" t="str">
        <f>D1419&amp;E1419&amp;F1419</f>
        <v>HRNOMINA SUCURSALA11</v>
      </c>
      <c r="B1419" t="s">
        <v>1807</v>
      </c>
      <c r="C1419" s="1">
        <v>45877</v>
      </c>
      <c r="D1419" t="s">
        <v>29</v>
      </c>
      <c r="E1419" t="s">
        <v>154</v>
      </c>
      <c r="F1419" s="62" t="s">
        <v>97</v>
      </c>
      <c r="J1419" s="389">
        <v>11573</v>
      </c>
    </row>
    <row r="1420" spans="1:10" ht="15">
      <c r="A1420" s="137" t="str">
        <f>D1420&amp;E1420&amp;F1420</f>
        <v>HRNOMINA SUCURSALA12</v>
      </c>
      <c r="B1420" t="s">
        <v>1807</v>
      </c>
      <c r="C1420" s="1">
        <v>45877</v>
      </c>
      <c r="D1420" t="s">
        <v>29</v>
      </c>
      <c r="E1420" t="s">
        <v>154</v>
      </c>
      <c r="F1420" s="3" t="s">
        <v>98</v>
      </c>
      <c r="J1420" s="389">
        <v>16640.599999999999</v>
      </c>
    </row>
    <row r="1421" spans="1:10" ht="15">
      <c r="A1421" s="137" t="str">
        <f>D1421&amp;E1421&amp;F1421</f>
        <v>HRNOMINA SUCURSALA14</v>
      </c>
      <c r="B1421" t="s">
        <v>1807</v>
      </c>
      <c r="C1421" s="1">
        <v>45877</v>
      </c>
      <c r="D1421" t="s">
        <v>29</v>
      </c>
      <c r="E1421" t="s">
        <v>154</v>
      </c>
      <c r="F1421" s="3" t="s">
        <v>99</v>
      </c>
      <c r="J1421" s="389">
        <v>12959.6</v>
      </c>
    </row>
    <row r="1422" spans="1:10" ht="15">
      <c r="A1422" s="137" t="str">
        <f>D1422&amp;E1422&amp;F1422</f>
        <v>HRNOMINA SUCURSALA15</v>
      </c>
      <c r="B1422" t="s">
        <v>1807</v>
      </c>
      <c r="C1422" s="1">
        <v>45877</v>
      </c>
      <c r="D1422" t="s">
        <v>29</v>
      </c>
      <c r="E1422" t="s">
        <v>154</v>
      </c>
      <c r="F1422" s="3" t="s">
        <v>100</v>
      </c>
      <c r="J1422" s="389">
        <v>11996.2</v>
      </c>
    </row>
    <row r="1423" spans="1:10" ht="15">
      <c r="A1423" s="137" t="str">
        <f>D1423&amp;E1423&amp;F1423</f>
        <v>HRNOMINA SUCURSALA16</v>
      </c>
      <c r="B1423" t="s">
        <v>1807</v>
      </c>
      <c r="C1423" s="1">
        <v>45877</v>
      </c>
      <c r="D1423" t="s">
        <v>29</v>
      </c>
      <c r="E1423" t="s">
        <v>154</v>
      </c>
      <c r="F1423" s="3" t="s">
        <v>101</v>
      </c>
      <c r="J1423" s="389">
        <v>15325.29</v>
      </c>
    </row>
    <row r="1424" spans="1:10" ht="15">
      <c r="A1424" s="137" t="str">
        <f>D1424&amp;E1424&amp;F1424</f>
        <v>HRNOMINA SUCURSALA17</v>
      </c>
      <c r="B1424" t="s">
        <v>1807</v>
      </c>
      <c r="C1424" s="1">
        <v>45877</v>
      </c>
      <c r="D1424" t="s">
        <v>29</v>
      </c>
      <c r="E1424" t="s">
        <v>154</v>
      </c>
      <c r="F1424" s="3" t="s">
        <v>102</v>
      </c>
      <c r="J1424" s="389">
        <v>9540.6</v>
      </c>
    </row>
    <row r="1425" spans="1:10" ht="15">
      <c r="A1425" s="137" t="str">
        <f>D1425&amp;E1425&amp;F1425</f>
        <v>HRNOMINA SUCURSALA18</v>
      </c>
      <c r="B1425" t="s">
        <v>1807</v>
      </c>
      <c r="C1425" s="1">
        <v>45877</v>
      </c>
      <c r="D1425" t="s">
        <v>29</v>
      </c>
      <c r="E1425" t="s">
        <v>154</v>
      </c>
      <c r="F1425" s="3" t="s">
        <v>103</v>
      </c>
      <c r="J1425" s="389">
        <v>11960.4</v>
      </c>
    </row>
    <row r="1426" spans="1:10" ht="15">
      <c r="A1426" s="137" t="str">
        <f>D1426&amp;E1426&amp;F1426</f>
        <v>HRNOMINA SUCURSALA22</v>
      </c>
      <c r="B1426" t="s">
        <v>1807</v>
      </c>
      <c r="C1426" s="1">
        <v>45877</v>
      </c>
      <c r="D1426" t="s">
        <v>29</v>
      </c>
      <c r="E1426" t="s">
        <v>154</v>
      </c>
      <c r="F1426" s="3" t="s">
        <v>104</v>
      </c>
      <c r="J1426" s="389">
        <v>15123</v>
      </c>
    </row>
    <row r="1427" spans="1:10" ht="15">
      <c r="A1427" s="137" t="str">
        <f>D1427&amp;E1427&amp;F1427</f>
        <v>HRNOMINA SUCURSALA23</v>
      </c>
      <c r="B1427" t="s">
        <v>1807</v>
      </c>
      <c r="C1427" s="1">
        <v>45877</v>
      </c>
      <c r="D1427" t="s">
        <v>29</v>
      </c>
      <c r="E1427" t="s">
        <v>154</v>
      </c>
      <c r="F1427" s="3" t="s">
        <v>105</v>
      </c>
      <c r="J1427" s="389">
        <v>12218</v>
      </c>
    </row>
    <row r="1428" spans="1:10" ht="15">
      <c r="A1428" s="137" t="str">
        <f>D1428&amp;E1428&amp;F1428</f>
        <v>HRNOMINA SUCURSALA24</v>
      </c>
      <c r="B1428" t="s">
        <v>1807</v>
      </c>
      <c r="C1428" s="1">
        <v>45877</v>
      </c>
      <c r="D1428" t="s">
        <v>29</v>
      </c>
      <c r="E1428" t="s">
        <v>154</v>
      </c>
      <c r="F1428" s="3" t="s">
        <v>106</v>
      </c>
      <c r="J1428" s="389">
        <v>17479.2</v>
      </c>
    </row>
    <row r="1429" spans="1:10" ht="15">
      <c r="A1429" s="137" t="str">
        <f>D1429&amp;E1429&amp;F1429</f>
        <v>CAPNOMINA SUCURSALE1</v>
      </c>
      <c r="B1429" t="s">
        <v>1807</v>
      </c>
      <c r="C1429" s="1">
        <v>45877</v>
      </c>
      <c r="D1429" t="s">
        <v>31</v>
      </c>
      <c r="E1429" t="s">
        <v>154</v>
      </c>
      <c r="F1429" s="3" t="s">
        <v>107</v>
      </c>
      <c r="J1429" s="389">
        <v>14326.4</v>
      </c>
    </row>
    <row r="1430" spans="1:10" ht="15">
      <c r="A1430" s="137" t="str">
        <f>D1430&amp;E1430&amp;F1430</f>
        <v>CAPNOMINA SUCURSALE2</v>
      </c>
      <c r="B1430" t="s">
        <v>1807</v>
      </c>
      <c r="C1430" s="1">
        <v>45877</v>
      </c>
      <c r="D1430" t="s">
        <v>31</v>
      </c>
      <c r="E1430" t="s">
        <v>154</v>
      </c>
      <c r="F1430" s="3" t="s">
        <v>108</v>
      </c>
      <c r="J1430" s="389">
        <v>16547.2</v>
      </c>
    </row>
    <row r="1431" spans="1:10" ht="15">
      <c r="A1431" s="137" t="str">
        <f>D1431&amp;E1431&amp;F1431</f>
        <v>CAPNOMINA SUCURSALE3</v>
      </c>
      <c r="B1431" t="s">
        <v>1807</v>
      </c>
      <c r="C1431" s="1">
        <v>45877</v>
      </c>
      <c r="D1431" t="s">
        <v>31</v>
      </c>
      <c r="E1431" t="s">
        <v>154</v>
      </c>
      <c r="F1431" s="3" t="s">
        <v>109</v>
      </c>
      <c r="J1431" s="389">
        <v>14207.6</v>
      </c>
    </row>
    <row r="1432" spans="1:10" ht="15">
      <c r="A1432" s="137" t="str">
        <f>D1432&amp;E1432&amp;F1432</f>
        <v>CAPNOMINA SUCURSALE4</v>
      </c>
      <c r="B1432" t="s">
        <v>1807</v>
      </c>
      <c r="C1432" s="1">
        <v>45877</v>
      </c>
      <c r="D1432" t="s">
        <v>31</v>
      </c>
      <c r="E1432" t="s">
        <v>154</v>
      </c>
      <c r="F1432" s="3" t="s">
        <v>110</v>
      </c>
      <c r="J1432" s="389">
        <v>20662.400000000001</v>
      </c>
    </row>
    <row r="1433" spans="1:10" ht="15">
      <c r="A1433" s="137" t="str">
        <f>D1433&amp;E1433&amp;F1433</f>
        <v>CAPNOMINA SUCURSALE5</v>
      </c>
      <c r="B1433" t="s">
        <v>1807</v>
      </c>
      <c r="C1433" s="1">
        <v>45877</v>
      </c>
      <c r="D1433" t="s">
        <v>31</v>
      </c>
      <c r="E1433" t="s">
        <v>154</v>
      </c>
      <c r="F1433" s="3" t="s">
        <v>111</v>
      </c>
      <c r="J1433" s="389">
        <v>17256.8</v>
      </c>
    </row>
    <row r="1434" spans="1:10" ht="15">
      <c r="A1434" s="137" t="str">
        <f>D1434&amp;E1434&amp;F1434</f>
        <v>CAPNOMINA SUCURSALE6</v>
      </c>
      <c r="B1434" t="s">
        <v>1807</v>
      </c>
      <c r="C1434" s="1">
        <v>45877</v>
      </c>
      <c r="D1434" t="s">
        <v>31</v>
      </c>
      <c r="E1434" t="s">
        <v>154</v>
      </c>
      <c r="F1434" s="3" t="s">
        <v>112</v>
      </c>
      <c r="J1434" s="389">
        <v>16406.400000000001</v>
      </c>
    </row>
    <row r="1435" spans="1:10" ht="15">
      <c r="A1435" s="137" t="str">
        <f>D1435&amp;E1435&amp;F1435</f>
        <v>CAPNOMINA SUCURSALE7</v>
      </c>
      <c r="B1435" t="s">
        <v>1807</v>
      </c>
      <c r="C1435" s="1">
        <v>45877</v>
      </c>
      <c r="D1435" t="s">
        <v>31</v>
      </c>
      <c r="E1435" t="s">
        <v>154</v>
      </c>
      <c r="F1435" s="3" t="s">
        <v>113</v>
      </c>
      <c r="J1435" s="389">
        <v>13494.2</v>
      </c>
    </row>
    <row r="1436" spans="1:10" ht="15">
      <c r="A1436" s="137" t="str">
        <f>D1436&amp;E1436&amp;F1436</f>
        <v>CAPNOMINA SUCURSALE8</v>
      </c>
      <c r="B1436" t="s">
        <v>1807</v>
      </c>
      <c r="C1436" s="1">
        <v>45877</v>
      </c>
      <c r="D1436" t="s">
        <v>31</v>
      </c>
      <c r="E1436" t="s">
        <v>154</v>
      </c>
      <c r="F1436" s="3" t="s">
        <v>114</v>
      </c>
      <c r="J1436" s="389">
        <v>24802.400000000001</v>
      </c>
    </row>
    <row r="1437" spans="1:10" ht="15">
      <c r="A1437" s="137" t="str">
        <f>D1437&amp;E1437&amp;F1437</f>
        <v>CAPNOMINA SUCURSALE9</v>
      </c>
      <c r="B1437" t="s">
        <v>1807</v>
      </c>
      <c r="C1437" s="1">
        <v>45877</v>
      </c>
      <c r="D1437" t="s">
        <v>31</v>
      </c>
      <c r="E1437" t="s">
        <v>154</v>
      </c>
      <c r="F1437" s="3" t="s">
        <v>116</v>
      </c>
      <c r="J1437" s="389">
        <v>28729.200000000001</v>
      </c>
    </row>
    <row r="1438" spans="1:10" ht="15">
      <c r="A1438" s="137" t="str">
        <f>D1438&amp;E1438&amp;F1438</f>
        <v>ELINOMINA SUCURSALL1</v>
      </c>
      <c r="B1438" t="s">
        <v>1807</v>
      </c>
      <c r="C1438" s="1">
        <v>45877</v>
      </c>
      <c r="D1438" t="s">
        <v>130</v>
      </c>
      <c r="E1438" t="s">
        <v>154</v>
      </c>
      <c r="F1438" t="s">
        <v>136</v>
      </c>
      <c r="J1438" s="388">
        <v>10186.799999999999</v>
      </c>
    </row>
    <row r="1439" spans="1:10" ht="15">
      <c r="A1439" s="137" t="str">
        <f>D1439&amp;E1439&amp;F1439</f>
        <v>HRNOMINA ADMONHR</v>
      </c>
      <c r="B1439" t="s">
        <v>1807</v>
      </c>
      <c r="C1439" s="1">
        <v>45877</v>
      </c>
      <c r="D1439" t="s">
        <v>29</v>
      </c>
      <c r="E1439" t="s">
        <v>147</v>
      </c>
      <c r="F1439" t="s">
        <v>29</v>
      </c>
      <c r="J1439" s="388">
        <v>28644.2</v>
      </c>
    </row>
    <row r="1440" spans="1:10" ht="15">
      <c r="A1440" s="137" t="str">
        <f>D1440&amp;E1440&amp;F1440</f>
        <v>CAPNOMINA ADMONCAPRICHOS</v>
      </c>
      <c r="B1440" t="s">
        <v>1807</v>
      </c>
      <c r="C1440" s="1">
        <v>45877</v>
      </c>
      <c r="D1440" t="s">
        <v>31</v>
      </c>
      <c r="E1440" t="s">
        <v>147</v>
      </c>
      <c r="F1440" t="s">
        <v>33</v>
      </c>
      <c r="J1440" s="388">
        <v>21605</v>
      </c>
    </row>
    <row r="1441" spans="1:10" ht="15">
      <c r="A1441" s="137" t="str">
        <f>D1441&amp;E1441&amp;F1441</f>
        <v>SERVICIOSNOMINA SUCURSALCEDIS</v>
      </c>
      <c r="B1441" t="s">
        <v>1807</v>
      </c>
      <c r="C1441" s="1">
        <v>45877</v>
      </c>
      <c r="D1441" t="s">
        <v>21</v>
      </c>
      <c r="E1441" t="s">
        <v>154</v>
      </c>
      <c r="F1441" t="s">
        <v>28</v>
      </c>
      <c r="J1441" s="388">
        <v>76213.87</v>
      </c>
    </row>
    <row r="1442" spans="1:10" ht="15">
      <c r="A1442" s="137" t="str">
        <f>D1442&amp;E1442&amp;F1442</f>
        <v>SERVICIOSNOMINA ADMONINVENTARIOS</v>
      </c>
      <c r="B1442" t="s">
        <v>1807</v>
      </c>
      <c r="C1442" s="1">
        <v>45877</v>
      </c>
      <c r="D1442" t="s">
        <v>21</v>
      </c>
      <c r="E1442" t="s">
        <v>147</v>
      </c>
      <c r="F1442" t="s">
        <v>34</v>
      </c>
      <c r="J1442" s="388">
        <v>2520.1999999999998</v>
      </c>
    </row>
    <row r="1443" spans="1:10" ht="15">
      <c r="A1443" s="137" t="str">
        <f>D1443&amp;E1443&amp;F1443</f>
        <v>SERVICIOSNOMINA ADMONMANTENIMIENTO</v>
      </c>
      <c r="B1443" t="s">
        <v>1807</v>
      </c>
      <c r="C1443" s="1">
        <v>45877</v>
      </c>
      <c r="D1443" t="s">
        <v>21</v>
      </c>
      <c r="E1443" t="s">
        <v>147</v>
      </c>
      <c r="F1443" t="s">
        <v>35</v>
      </c>
      <c r="J1443" s="388">
        <v>17085.43</v>
      </c>
    </row>
    <row r="1444" spans="1:10" ht="15">
      <c r="A1444" s="137" t="str">
        <f>D1444&amp;E1444&amp;F1444</f>
        <v>SERVICIOSNOMINA ADMONCADENA DE SUMINISTROS</v>
      </c>
      <c r="B1444" t="s">
        <v>1807</v>
      </c>
      <c r="C1444" s="1">
        <v>45877</v>
      </c>
      <c r="D1444" t="s">
        <v>21</v>
      </c>
      <c r="E1444" t="s">
        <v>147</v>
      </c>
      <c r="F1444" t="s">
        <v>134</v>
      </c>
      <c r="J1444" s="388">
        <v>21618.400000000001</v>
      </c>
    </row>
    <row r="1445" spans="1:10" ht="15">
      <c r="A1445" s="137" t="str">
        <f>D1445&amp;E1445&amp;F1445</f>
        <v>SERVICIOSNOMINA ADMONSISTEMAS</v>
      </c>
      <c r="B1445" t="s">
        <v>1807</v>
      </c>
      <c r="C1445" s="1">
        <v>45877</v>
      </c>
      <c r="D1445" t="s">
        <v>21</v>
      </c>
      <c r="E1445" t="s">
        <v>147</v>
      </c>
      <c r="F1445" t="s">
        <v>36</v>
      </c>
      <c r="J1445" s="388">
        <v>10157.09</v>
      </c>
    </row>
    <row r="1446" spans="1:10" ht="15">
      <c r="A1446" s="137" t="str">
        <f>D1446&amp;E1446&amp;F1446</f>
        <v>SERVICIOSNOMINA ADMONCOMPRAS</v>
      </c>
      <c r="B1446" t="s">
        <v>1807</v>
      </c>
      <c r="C1446" s="1">
        <v>45877</v>
      </c>
      <c r="D1446" t="s">
        <v>21</v>
      </c>
      <c r="E1446" t="s">
        <v>147</v>
      </c>
      <c r="F1446" t="s">
        <v>148</v>
      </c>
      <c r="J1446" s="388">
        <v>20599.71</v>
      </c>
    </row>
    <row r="1447" spans="1:10" ht="15">
      <c r="A1447" s="137" t="str">
        <f>D1447&amp;E1447&amp;F1447</f>
        <v>FINANZASNOMINA ADMONCONTABILIDAD</v>
      </c>
      <c r="B1447" t="s">
        <v>1807</v>
      </c>
      <c r="C1447" s="1">
        <v>45877</v>
      </c>
      <c r="D1447" t="s">
        <v>23</v>
      </c>
      <c r="E1447" t="s">
        <v>147</v>
      </c>
      <c r="F1447" t="s">
        <v>37</v>
      </c>
      <c r="J1447" s="388">
        <v>10397.67</v>
      </c>
    </row>
    <row r="1448" spans="1:10" ht="15">
      <c r="A1448" s="137" t="str">
        <f>D1448&amp;E1448&amp;F1448</f>
        <v>FINANZASNOMINA ADMONFINANZAS/LEGAL</v>
      </c>
      <c r="B1448" t="s">
        <v>1807</v>
      </c>
      <c r="C1448" s="1">
        <v>45877</v>
      </c>
      <c r="D1448" t="s">
        <v>23</v>
      </c>
      <c r="E1448" t="s">
        <v>147</v>
      </c>
      <c r="F1448" t="s">
        <v>149</v>
      </c>
      <c r="J1448" s="388">
        <v>10388.19</v>
      </c>
    </row>
    <row r="1449" spans="1:10" ht="15">
      <c r="A1449" s="137" t="str">
        <f>D1449&amp;E1449&amp;F1449</f>
        <v>FINANZASNOMINA ADMONRECURSOS HUMANOS</v>
      </c>
      <c r="B1449" t="s">
        <v>1807</v>
      </c>
      <c r="C1449" s="1">
        <v>45877</v>
      </c>
      <c r="D1449" t="s">
        <v>23</v>
      </c>
      <c r="E1449" t="s">
        <v>147</v>
      </c>
      <c r="F1449" t="s">
        <v>125</v>
      </c>
      <c r="J1449" s="388">
        <v>10375.98</v>
      </c>
    </row>
    <row r="1450" spans="1:10" ht="15">
      <c r="A1450" s="137" t="str">
        <f>D1450&amp;E1450&amp;F1450</f>
        <v>FINANZASNOMINA ADMONTESORERIA</v>
      </c>
      <c r="B1450" t="s">
        <v>1807</v>
      </c>
      <c r="C1450" s="1">
        <v>45877</v>
      </c>
      <c r="D1450" t="s">
        <v>23</v>
      </c>
      <c r="E1450" t="s">
        <v>147</v>
      </c>
      <c r="F1450" t="s">
        <v>38</v>
      </c>
      <c r="J1450" s="388">
        <v>12248.2</v>
      </c>
    </row>
    <row r="1451" spans="1:10" ht="15">
      <c r="A1451" s="137" t="str">
        <f>D1451&amp;E1451&amp;F1451</f>
        <v>FINANZASNOMINA ADMONHBG FINANZAS</v>
      </c>
      <c r="B1451" t="s">
        <v>1807</v>
      </c>
      <c r="C1451" s="1">
        <v>45877</v>
      </c>
      <c r="D1451" t="s">
        <v>23</v>
      </c>
      <c r="E1451" t="s">
        <v>147</v>
      </c>
      <c r="F1451" t="s">
        <v>150</v>
      </c>
      <c r="J1451" s="388">
        <v>3057</v>
      </c>
    </row>
    <row r="1452" spans="1:10" ht="15">
      <c r="A1452" s="137" t="str">
        <f>D1452&amp;E1452&amp;F1452</f>
        <v>SGENOMINA ADMONGESTION EMPRESARIAL</v>
      </c>
      <c r="B1452" t="s">
        <v>1807</v>
      </c>
      <c r="C1452" s="1">
        <v>45877</v>
      </c>
      <c r="D1452" t="s">
        <v>39</v>
      </c>
      <c r="E1452" t="s">
        <v>147</v>
      </c>
      <c r="F1452" t="s">
        <v>40</v>
      </c>
      <c r="J1452" s="388">
        <v>19751.39</v>
      </c>
    </row>
    <row r="1453" spans="1:10" ht="15">
      <c r="A1453" s="137" t="str">
        <f>D1453&amp;E1453&amp;F1453</f>
        <v>DENOMINA ADMONDIRECCION</v>
      </c>
      <c r="B1453" t="s">
        <v>1807</v>
      </c>
      <c r="C1453" s="1">
        <v>45877</v>
      </c>
      <c r="D1453" t="s">
        <v>41</v>
      </c>
      <c r="E1453" t="s">
        <v>147</v>
      </c>
      <c r="F1453" t="s">
        <v>42</v>
      </c>
      <c r="J1453" s="388">
        <v>6000</v>
      </c>
    </row>
    <row r="1454" spans="1:10" ht="15">
      <c r="A1454" s="137" t="str">
        <f>D1454&amp;E1454&amp;F1454</f>
        <v>MMNOMINA ADMONMARKET MAX</v>
      </c>
      <c r="B1454" t="s">
        <v>1807</v>
      </c>
      <c r="C1454" s="1">
        <v>45877</v>
      </c>
      <c r="D1454" t="s">
        <v>45</v>
      </c>
      <c r="E1454" t="s">
        <v>147</v>
      </c>
      <c r="F1454" s="12" t="s">
        <v>46</v>
      </c>
      <c r="J1454" s="388">
        <v>5876.54</v>
      </c>
    </row>
    <row r="1455" spans="1:10" ht="15">
      <c r="A1455" s="137" t="str">
        <f>D1455&amp;E1455&amp;F1455</f>
        <v>FINANZASNOMINA ADMONHBG FINANZAS</v>
      </c>
      <c r="B1455" t="s">
        <v>1807</v>
      </c>
      <c r="C1455" s="1">
        <v>45877</v>
      </c>
      <c r="D1455" t="s">
        <v>23</v>
      </c>
      <c r="E1455" t="s">
        <v>147</v>
      </c>
      <c r="F1455" s="12" t="s">
        <v>150</v>
      </c>
      <c r="J1455" s="385">
        <v>10450</v>
      </c>
    </row>
    <row r="1456" spans="1:10" ht="15">
      <c r="A1456" s="137" t="str">
        <f>D1456&amp;E1456&amp;F1456</f>
        <v>HRNOMINA ADMONHR</v>
      </c>
      <c r="B1456" t="s">
        <v>1807</v>
      </c>
      <c r="C1456" s="1">
        <v>45877</v>
      </c>
      <c r="D1456" t="s">
        <v>29</v>
      </c>
      <c r="E1456" t="s">
        <v>147</v>
      </c>
      <c r="F1456" s="3" t="s">
        <v>29</v>
      </c>
      <c r="J1456" s="385">
        <v>5500</v>
      </c>
    </row>
    <row r="1457" spans="1:10" ht="15">
      <c r="A1457" s="137" t="str">
        <f>D1457&amp;E1457&amp;F1457</f>
        <v>CAPNOMINA ADMONCAPRICHOS</v>
      </c>
      <c r="B1457" t="s">
        <v>1807</v>
      </c>
      <c r="C1457" s="1">
        <v>45877</v>
      </c>
      <c r="D1457" t="s">
        <v>31</v>
      </c>
      <c r="E1457" t="s">
        <v>147</v>
      </c>
      <c r="F1457" s="12" t="s">
        <v>33</v>
      </c>
      <c r="J1457" s="385">
        <v>3700</v>
      </c>
    </row>
    <row r="1458" spans="1:10" ht="15">
      <c r="A1458" s="137" t="str">
        <f>D1458&amp;E1458&amp;F1458</f>
        <v>SGENOMINA ADMONGESTION EMPRESARIAL</v>
      </c>
      <c r="B1458" t="s">
        <v>1807</v>
      </c>
      <c r="C1458" s="1">
        <v>45877</v>
      </c>
      <c r="D1458" t="s">
        <v>39</v>
      </c>
      <c r="E1458" t="s">
        <v>147</v>
      </c>
      <c r="F1458" s="12" t="s">
        <v>40</v>
      </c>
      <c r="J1458" s="385">
        <v>2750</v>
      </c>
    </row>
    <row r="1459" spans="1:10" ht="15">
      <c r="A1459" s="137" t="str">
        <f>D1459&amp;E1459&amp;F1459</f>
        <v>SERVICIOSNOMINA ADMONSERVICIOS</v>
      </c>
      <c r="B1459" t="s">
        <v>1807</v>
      </c>
      <c r="C1459" s="1">
        <v>45877</v>
      </c>
      <c r="D1459" t="s">
        <v>21</v>
      </c>
      <c r="E1459" t="s">
        <v>147</v>
      </c>
      <c r="F1459" s="12" t="s">
        <v>21</v>
      </c>
      <c r="J1459" s="385">
        <v>4750</v>
      </c>
    </row>
    <row r="1460" spans="1:10" ht="15">
      <c r="A1460" s="137" t="str">
        <f>D1460&amp;E1460&amp;F1460</f>
        <v>DENOMINA ADMONDIRECCION</v>
      </c>
      <c r="B1460" t="s">
        <v>1807</v>
      </c>
      <c r="C1460" s="1">
        <v>45877</v>
      </c>
      <c r="D1460" t="s">
        <v>41</v>
      </c>
      <c r="E1460" t="s">
        <v>147</v>
      </c>
      <c r="F1460" s="12" t="s">
        <v>42</v>
      </c>
      <c r="J1460" s="385">
        <v>5750</v>
      </c>
    </row>
    <row r="1461" spans="1:10" ht="15">
      <c r="A1461" s="137" t="str">
        <f>D1461&amp;E1461&amp;F1461</f>
        <v>MMNOMINA ADMONMARKET MAX</v>
      </c>
      <c r="B1461" t="s">
        <v>1807</v>
      </c>
      <c r="C1461" s="1">
        <v>45877</v>
      </c>
      <c r="D1461" t="s">
        <v>45</v>
      </c>
      <c r="E1461" t="s">
        <v>147</v>
      </c>
      <c r="F1461" s="12" t="s">
        <v>46</v>
      </c>
      <c r="J1461" s="385">
        <v>2000</v>
      </c>
    </row>
    <row r="1462" spans="1:10" ht="15">
      <c r="A1462" s="137" t="str">
        <f>D1462&amp;E1462&amp;F1462</f>
        <v>HRNOMINA SUCURSALA1</v>
      </c>
      <c r="B1462" t="s">
        <v>1807</v>
      </c>
      <c r="C1462" s="1">
        <v>45884</v>
      </c>
      <c r="D1462" t="s">
        <v>29</v>
      </c>
      <c r="E1462" t="s">
        <v>154</v>
      </c>
      <c r="F1462" s="3" t="s">
        <v>88</v>
      </c>
      <c r="J1462" s="402">
        <v>11028.8</v>
      </c>
    </row>
    <row r="1463" spans="1:10" ht="15">
      <c r="A1463" s="137" t="str">
        <f>D1463&amp;E1463&amp;F1463</f>
        <v>HRNOMINA SUCURSALA2</v>
      </c>
      <c r="B1463" t="s">
        <v>1807</v>
      </c>
      <c r="C1463" s="1">
        <v>45884</v>
      </c>
      <c r="D1463" t="s">
        <v>29</v>
      </c>
      <c r="E1463" t="s">
        <v>154</v>
      </c>
      <c r="F1463" s="3" t="s">
        <v>89</v>
      </c>
      <c r="J1463" s="402">
        <v>13359.4</v>
      </c>
    </row>
    <row r="1464" spans="1:10" ht="15">
      <c r="A1464" s="137" t="str">
        <f>D1464&amp;E1464&amp;F1464</f>
        <v>HRNOMINA SUCURSALA3</v>
      </c>
      <c r="B1464" t="s">
        <v>1807</v>
      </c>
      <c r="C1464" s="1">
        <v>45884</v>
      </c>
      <c r="D1464" t="s">
        <v>29</v>
      </c>
      <c r="E1464" t="s">
        <v>154</v>
      </c>
      <c r="F1464" s="3" t="s">
        <v>90</v>
      </c>
      <c r="J1464" s="402">
        <v>13431.4</v>
      </c>
    </row>
    <row r="1465" spans="1:10" ht="15">
      <c r="A1465" s="137" t="str">
        <f>D1465&amp;E1465&amp;F1465</f>
        <v>HRNOMINA SUCURSALA4</v>
      </c>
      <c r="B1465" t="s">
        <v>1807</v>
      </c>
      <c r="C1465" s="1">
        <v>45884</v>
      </c>
      <c r="D1465" t="s">
        <v>29</v>
      </c>
      <c r="E1465" t="s">
        <v>154</v>
      </c>
      <c r="F1465" s="3" t="s">
        <v>91</v>
      </c>
      <c r="J1465" s="402">
        <v>9730.4</v>
      </c>
    </row>
    <row r="1466" spans="1:10" ht="15">
      <c r="A1466" s="137" t="str">
        <f>D1466&amp;E1466&amp;F1466</f>
        <v>HRNOMINA SUCURSALA5</v>
      </c>
      <c r="B1466" t="s">
        <v>1807</v>
      </c>
      <c r="C1466" s="1">
        <v>45884</v>
      </c>
      <c r="D1466" t="s">
        <v>29</v>
      </c>
      <c r="E1466" t="s">
        <v>154</v>
      </c>
      <c r="F1466" s="3" t="s">
        <v>92</v>
      </c>
      <c r="J1466" s="402">
        <v>10337.6</v>
      </c>
    </row>
    <row r="1467" spans="1:10" ht="15">
      <c r="A1467" s="137" t="str">
        <f>D1467&amp;E1467&amp;F1467</f>
        <v>HRNOMINA SUCURSALA6</v>
      </c>
      <c r="B1467" t="s">
        <v>1807</v>
      </c>
      <c r="C1467" s="1">
        <v>45884</v>
      </c>
      <c r="D1467" t="s">
        <v>29</v>
      </c>
      <c r="E1467" t="s">
        <v>154</v>
      </c>
      <c r="F1467" s="3" t="s">
        <v>93</v>
      </c>
      <c r="J1467" s="402">
        <v>13905.49</v>
      </c>
    </row>
    <row r="1468" spans="1:10" ht="15">
      <c r="A1468" s="137" t="str">
        <f>D1468&amp;E1468&amp;F1468</f>
        <v>HRNOMINA SUCURSALA8</v>
      </c>
      <c r="B1468" t="s">
        <v>1807</v>
      </c>
      <c r="C1468" s="1">
        <v>45884</v>
      </c>
      <c r="D1468" t="s">
        <v>29</v>
      </c>
      <c r="E1468" t="s">
        <v>154</v>
      </c>
      <c r="F1468" s="3" t="s">
        <v>94</v>
      </c>
      <c r="J1468" s="402">
        <v>17557.8</v>
      </c>
    </row>
    <row r="1469" spans="1:10" ht="15">
      <c r="A1469" s="137" t="str">
        <f>D1469&amp;E1469&amp;F1469</f>
        <v>HRNOMINA SUCURSALA9</v>
      </c>
      <c r="B1469" t="s">
        <v>1807</v>
      </c>
      <c r="C1469" s="1">
        <v>45884</v>
      </c>
      <c r="D1469" t="s">
        <v>29</v>
      </c>
      <c r="E1469" t="s">
        <v>154</v>
      </c>
      <c r="F1469" s="3" t="s">
        <v>95</v>
      </c>
      <c r="J1469" s="402">
        <v>10782.71</v>
      </c>
    </row>
    <row r="1470" spans="1:10" ht="15">
      <c r="A1470" s="137" t="str">
        <f>D1470&amp;E1470&amp;F1470</f>
        <v>HRNOMINA SUCURSALA10</v>
      </c>
      <c r="B1470" t="s">
        <v>1807</v>
      </c>
      <c r="C1470" s="1">
        <v>45884</v>
      </c>
      <c r="D1470" t="s">
        <v>29</v>
      </c>
      <c r="E1470" t="s">
        <v>154</v>
      </c>
      <c r="F1470" s="3" t="s">
        <v>96</v>
      </c>
      <c r="J1470" s="402">
        <v>14342.4</v>
      </c>
    </row>
    <row r="1471" spans="1:10" ht="15">
      <c r="A1471" s="137" t="str">
        <f>D1471&amp;E1471&amp;F1471</f>
        <v>HRNOMINA SUCURSALA11</v>
      </c>
      <c r="B1471" t="s">
        <v>1807</v>
      </c>
      <c r="C1471" s="1">
        <v>45884</v>
      </c>
      <c r="D1471" t="s">
        <v>29</v>
      </c>
      <c r="E1471" t="s">
        <v>154</v>
      </c>
      <c r="F1471" s="62" t="s">
        <v>97</v>
      </c>
      <c r="J1471" s="402">
        <v>13844</v>
      </c>
    </row>
    <row r="1472" spans="1:10" ht="15">
      <c r="A1472" s="137" t="str">
        <f>D1472&amp;E1472&amp;F1472</f>
        <v>HRNOMINA SUCURSALA12</v>
      </c>
      <c r="B1472" t="s">
        <v>1807</v>
      </c>
      <c r="C1472" s="1">
        <v>45884</v>
      </c>
      <c r="D1472" t="s">
        <v>29</v>
      </c>
      <c r="E1472" t="s">
        <v>154</v>
      </c>
      <c r="F1472" s="3" t="s">
        <v>98</v>
      </c>
      <c r="J1472" s="402">
        <v>17085.2</v>
      </c>
    </row>
    <row r="1473" spans="1:10" ht="15">
      <c r="A1473" s="137" t="str">
        <f>D1473&amp;E1473&amp;F1473</f>
        <v>HRNOMINA SUCURSALA14</v>
      </c>
      <c r="B1473" t="s">
        <v>1807</v>
      </c>
      <c r="C1473" s="1">
        <v>45884</v>
      </c>
      <c r="D1473" t="s">
        <v>29</v>
      </c>
      <c r="E1473" t="s">
        <v>154</v>
      </c>
      <c r="F1473" s="3" t="s">
        <v>99</v>
      </c>
      <c r="J1473" s="402">
        <v>13057.6</v>
      </c>
    </row>
    <row r="1474" spans="1:10" ht="15">
      <c r="A1474" s="137" t="str">
        <f>D1474&amp;E1474&amp;F1474</f>
        <v>HRNOMINA SUCURSALA15</v>
      </c>
      <c r="B1474" t="s">
        <v>1807</v>
      </c>
      <c r="C1474" s="1">
        <v>45884</v>
      </c>
      <c r="D1474" t="s">
        <v>29</v>
      </c>
      <c r="E1474" t="s">
        <v>154</v>
      </c>
      <c r="F1474" s="3" t="s">
        <v>100</v>
      </c>
      <c r="J1474" s="402">
        <v>12024.6</v>
      </c>
    </row>
    <row r="1475" spans="1:10" ht="15">
      <c r="A1475" s="137" t="str">
        <f>D1475&amp;E1475&amp;F1475</f>
        <v>HRNOMINA SUCURSALA16</v>
      </c>
      <c r="B1475" t="s">
        <v>1807</v>
      </c>
      <c r="C1475" s="1">
        <v>45884</v>
      </c>
      <c r="D1475" t="s">
        <v>29</v>
      </c>
      <c r="E1475" t="s">
        <v>154</v>
      </c>
      <c r="F1475" s="3" t="s">
        <v>101</v>
      </c>
      <c r="J1475" s="402">
        <v>15677.69</v>
      </c>
    </row>
    <row r="1476" spans="1:10" ht="15">
      <c r="A1476" s="137" t="str">
        <f>D1476&amp;E1476&amp;F1476</f>
        <v>HRNOMINA SUCURSALA17</v>
      </c>
      <c r="B1476" t="s">
        <v>1807</v>
      </c>
      <c r="C1476" s="1">
        <v>45884</v>
      </c>
      <c r="D1476" t="s">
        <v>29</v>
      </c>
      <c r="E1476" t="s">
        <v>154</v>
      </c>
      <c r="F1476" s="3" t="s">
        <v>102</v>
      </c>
      <c r="J1476" s="402">
        <v>7791</v>
      </c>
    </row>
    <row r="1477" spans="1:10" ht="15">
      <c r="A1477" s="137" t="str">
        <f>D1477&amp;E1477&amp;F1477</f>
        <v>HRNOMINA SUCURSALA18</v>
      </c>
      <c r="B1477" t="s">
        <v>1807</v>
      </c>
      <c r="C1477" s="1">
        <v>45884</v>
      </c>
      <c r="D1477" t="s">
        <v>29</v>
      </c>
      <c r="E1477" t="s">
        <v>154</v>
      </c>
      <c r="F1477" s="3" t="s">
        <v>103</v>
      </c>
      <c r="J1477" s="402">
        <v>11756.4</v>
      </c>
    </row>
    <row r="1478" spans="1:10" ht="15">
      <c r="A1478" s="137" t="str">
        <f>D1478&amp;E1478&amp;F1478</f>
        <v>HRNOMINA SUCURSALA22</v>
      </c>
      <c r="B1478" t="s">
        <v>1807</v>
      </c>
      <c r="C1478" s="1">
        <v>45884</v>
      </c>
      <c r="D1478" t="s">
        <v>29</v>
      </c>
      <c r="E1478" t="s">
        <v>154</v>
      </c>
      <c r="F1478" s="3" t="s">
        <v>104</v>
      </c>
      <c r="J1478" s="402">
        <v>15012.2</v>
      </c>
    </row>
    <row r="1479" spans="1:10" ht="15">
      <c r="A1479" s="137" t="str">
        <f>D1479&amp;E1479&amp;F1479</f>
        <v>HRNOMINA SUCURSALA23</v>
      </c>
      <c r="B1479" t="s">
        <v>1807</v>
      </c>
      <c r="C1479" s="1">
        <v>45884</v>
      </c>
      <c r="D1479" t="s">
        <v>29</v>
      </c>
      <c r="E1479" t="s">
        <v>154</v>
      </c>
      <c r="F1479" s="3" t="s">
        <v>105</v>
      </c>
      <c r="J1479" s="402">
        <v>14578.2</v>
      </c>
    </row>
    <row r="1480" spans="1:10" ht="15">
      <c r="A1480" s="137" t="str">
        <f>D1480&amp;E1480&amp;F1480</f>
        <v>HRNOMINA SUCURSALA24</v>
      </c>
      <c r="B1480" t="s">
        <v>1807</v>
      </c>
      <c r="C1480" s="1">
        <v>45884</v>
      </c>
      <c r="D1480" t="s">
        <v>29</v>
      </c>
      <c r="E1480" t="s">
        <v>154</v>
      </c>
      <c r="F1480" s="3" t="s">
        <v>106</v>
      </c>
      <c r="J1480" s="402">
        <v>17467.8</v>
      </c>
    </row>
    <row r="1481" spans="1:10" ht="15">
      <c r="A1481" s="137" t="str">
        <f>D1481&amp;E1481&amp;F1481</f>
        <v>CAPNOMINA SUCURSALE1</v>
      </c>
      <c r="B1481" t="s">
        <v>1807</v>
      </c>
      <c r="C1481" s="1">
        <v>45884</v>
      </c>
      <c r="D1481" t="s">
        <v>31</v>
      </c>
      <c r="E1481" t="s">
        <v>154</v>
      </c>
      <c r="F1481" s="3" t="s">
        <v>107</v>
      </c>
      <c r="J1481" s="402">
        <v>15515.2</v>
      </c>
    </row>
    <row r="1482" spans="1:10" ht="15">
      <c r="A1482" s="137" t="str">
        <f>D1482&amp;E1482&amp;F1482</f>
        <v>CAPNOMINA SUCURSALE2</v>
      </c>
      <c r="B1482" t="s">
        <v>1807</v>
      </c>
      <c r="C1482" s="1">
        <v>45884</v>
      </c>
      <c r="D1482" t="s">
        <v>31</v>
      </c>
      <c r="E1482" t="s">
        <v>154</v>
      </c>
      <c r="F1482" s="3" t="s">
        <v>108</v>
      </c>
      <c r="J1482" s="402">
        <v>16427.2</v>
      </c>
    </row>
    <row r="1483" spans="1:10" ht="15">
      <c r="A1483" s="137" t="str">
        <f>D1483&amp;E1483&amp;F1483</f>
        <v>CAPNOMINA SUCURSALE3</v>
      </c>
      <c r="B1483" t="s">
        <v>1807</v>
      </c>
      <c r="C1483" s="1">
        <v>45884</v>
      </c>
      <c r="D1483" t="s">
        <v>31</v>
      </c>
      <c r="E1483" t="s">
        <v>154</v>
      </c>
      <c r="F1483" s="3" t="s">
        <v>109</v>
      </c>
      <c r="J1483" s="402">
        <v>14081.4</v>
      </c>
    </row>
    <row r="1484" spans="1:10" ht="15">
      <c r="A1484" s="137" t="str">
        <f>D1484&amp;E1484&amp;F1484</f>
        <v>CAPNOMINA SUCURSALE4</v>
      </c>
      <c r="B1484" t="s">
        <v>1807</v>
      </c>
      <c r="C1484" s="1">
        <v>45884</v>
      </c>
      <c r="D1484" t="s">
        <v>31</v>
      </c>
      <c r="E1484" t="s">
        <v>154</v>
      </c>
      <c r="F1484" s="3" t="s">
        <v>110</v>
      </c>
      <c r="J1484" s="402">
        <v>22849.4</v>
      </c>
    </row>
    <row r="1485" spans="1:10" ht="15">
      <c r="A1485" s="137" t="str">
        <f>D1485&amp;E1485&amp;F1485</f>
        <v>CAPNOMINA SUCURSALE5</v>
      </c>
      <c r="B1485" t="s">
        <v>1807</v>
      </c>
      <c r="C1485" s="1">
        <v>45884</v>
      </c>
      <c r="D1485" t="s">
        <v>31</v>
      </c>
      <c r="E1485" t="s">
        <v>154</v>
      </c>
      <c r="F1485" s="3" t="s">
        <v>111</v>
      </c>
      <c r="J1485" s="402">
        <v>18106.8</v>
      </c>
    </row>
    <row r="1486" spans="1:10" ht="15">
      <c r="A1486" s="137" t="str">
        <f>D1486&amp;E1486&amp;F1486</f>
        <v>CAPNOMINA SUCURSALE6</v>
      </c>
      <c r="B1486" t="s">
        <v>1807</v>
      </c>
      <c r="C1486" s="1">
        <v>45884</v>
      </c>
      <c r="D1486" t="s">
        <v>31</v>
      </c>
      <c r="E1486" t="s">
        <v>154</v>
      </c>
      <c r="F1486" s="3" t="s">
        <v>112</v>
      </c>
      <c r="J1486" s="402">
        <v>16054.8</v>
      </c>
    </row>
    <row r="1487" spans="1:10" ht="15">
      <c r="A1487" s="137" t="str">
        <f>D1487&amp;E1487&amp;F1487</f>
        <v>CAPNOMINA SUCURSALE7</v>
      </c>
      <c r="B1487" t="s">
        <v>1807</v>
      </c>
      <c r="C1487" s="1">
        <v>45884</v>
      </c>
      <c r="D1487" t="s">
        <v>31</v>
      </c>
      <c r="E1487" t="s">
        <v>154</v>
      </c>
      <c r="F1487" s="3" t="s">
        <v>113</v>
      </c>
      <c r="J1487" s="402">
        <v>14219</v>
      </c>
    </row>
    <row r="1488" spans="1:10" ht="15">
      <c r="A1488" s="137" t="str">
        <f>D1488&amp;E1488&amp;F1488</f>
        <v>CAPNOMINA SUCURSALE8</v>
      </c>
      <c r="B1488" t="s">
        <v>1807</v>
      </c>
      <c r="C1488" s="1">
        <v>45884</v>
      </c>
      <c r="D1488" t="s">
        <v>31</v>
      </c>
      <c r="E1488" t="s">
        <v>154</v>
      </c>
      <c r="F1488" s="3" t="s">
        <v>114</v>
      </c>
      <c r="J1488" s="402">
        <v>22498</v>
      </c>
    </row>
    <row r="1489" spans="1:10" ht="15">
      <c r="A1489" s="137" t="str">
        <f>D1489&amp;E1489&amp;F1489</f>
        <v>CAPNOMINA SUCURSALE9</v>
      </c>
      <c r="B1489" t="s">
        <v>1807</v>
      </c>
      <c r="C1489" s="1">
        <v>45884</v>
      </c>
      <c r="D1489" t="s">
        <v>31</v>
      </c>
      <c r="E1489" t="s">
        <v>154</v>
      </c>
      <c r="F1489" s="3" t="s">
        <v>116</v>
      </c>
      <c r="J1489" s="402">
        <v>28728.2</v>
      </c>
    </row>
    <row r="1490" spans="1:10" ht="15">
      <c r="A1490" s="137" t="str">
        <f>D1490&amp;E1490&amp;F1490</f>
        <v>ELINOMINA SUCURSALL1</v>
      </c>
      <c r="B1490" t="s">
        <v>1807</v>
      </c>
      <c r="C1490" s="1">
        <v>45884</v>
      </c>
      <c r="D1490" t="s">
        <v>130</v>
      </c>
      <c r="E1490" t="s">
        <v>154</v>
      </c>
      <c r="F1490" t="s">
        <v>136</v>
      </c>
      <c r="J1490" s="385">
        <v>10189</v>
      </c>
    </row>
    <row r="1491" spans="1:10" ht="15">
      <c r="A1491" s="137" t="str">
        <f>D1491&amp;E1491&amp;F1491</f>
        <v>HRNOMINA ADMONHR</v>
      </c>
      <c r="B1491" t="s">
        <v>1807</v>
      </c>
      <c r="C1491" s="1">
        <v>45884</v>
      </c>
      <c r="D1491" t="s">
        <v>29</v>
      </c>
      <c r="E1491" t="s">
        <v>147</v>
      </c>
      <c r="F1491" t="s">
        <v>29</v>
      </c>
      <c r="J1491" s="385">
        <v>29744.799999999999</v>
      </c>
    </row>
    <row r="1492" spans="1:10" ht="15">
      <c r="A1492" s="137" t="str">
        <f>D1492&amp;E1492&amp;F1492</f>
        <v>CAPNOMINA ADMONCAPRICHOS</v>
      </c>
      <c r="B1492" t="s">
        <v>1807</v>
      </c>
      <c r="C1492" s="1">
        <v>45884</v>
      </c>
      <c r="D1492" t="s">
        <v>31</v>
      </c>
      <c r="E1492" t="s">
        <v>147</v>
      </c>
      <c r="F1492" t="s">
        <v>33</v>
      </c>
      <c r="J1492" s="385">
        <v>21513.4</v>
      </c>
    </row>
    <row r="1493" spans="1:10" ht="15">
      <c r="A1493" s="137" t="str">
        <f>D1493&amp;E1493&amp;F1493</f>
        <v>SERVICIOSNOMINA SUCURSALCEDIS</v>
      </c>
      <c r="B1493" t="s">
        <v>1807</v>
      </c>
      <c r="C1493" s="1">
        <v>45884</v>
      </c>
      <c r="D1493" t="s">
        <v>21</v>
      </c>
      <c r="E1493" t="s">
        <v>154</v>
      </c>
      <c r="F1493" t="s">
        <v>28</v>
      </c>
      <c r="J1493" s="385">
        <v>75238.77</v>
      </c>
    </row>
    <row r="1494" spans="1:10" ht="15">
      <c r="A1494" s="137" t="str">
        <f>D1494&amp;E1494&amp;F1494</f>
        <v>SERVICIOSNOMINA ADMONINVENTARIOS</v>
      </c>
      <c r="B1494" t="s">
        <v>1807</v>
      </c>
      <c r="C1494" s="1">
        <v>45884</v>
      </c>
      <c r="D1494" t="s">
        <v>21</v>
      </c>
      <c r="E1494" t="s">
        <v>147</v>
      </c>
      <c r="F1494" t="s">
        <v>34</v>
      </c>
      <c r="J1494" s="385">
        <v>2800</v>
      </c>
    </row>
    <row r="1495" spans="1:10" ht="15">
      <c r="A1495" s="137" t="str">
        <f>D1495&amp;E1495&amp;F1495</f>
        <v>SERVICIOSNOMINA ADMONMANTENIMIENTO</v>
      </c>
      <c r="B1495" t="s">
        <v>1807</v>
      </c>
      <c r="C1495" s="1">
        <v>45884</v>
      </c>
      <c r="D1495" t="s">
        <v>21</v>
      </c>
      <c r="E1495" t="s">
        <v>147</v>
      </c>
      <c r="F1495" t="s">
        <v>35</v>
      </c>
      <c r="J1495" s="385">
        <v>12793.63</v>
      </c>
    </row>
    <row r="1496" spans="1:10" ht="15">
      <c r="A1496" s="137" t="str">
        <f>D1496&amp;E1496&amp;F1496</f>
        <v>SERVICIOSNOMINA ADMONCADENA DE SUMINISTROS</v>
      </c>
      <c r="B1496" t="s">
        <v>1807</v>
      </c>
      <c r="C1496" s="1">
        <v>45884</v>
      </c>
      <c r="D1496" t="s">
        <v>21</v>
      </c>
      <c r="E1496" t="s">
        <v>147</v>
      </c>
      <c r="F1496" t="s">
        <v>134</v>
      </c>
      <c r="J1496" s="385">
        <v>19244.599999999999</v>
      </c>
    </row>
    <row r="1497" spans="1:10" ht="15">
      <c r="A1497" s="137" t="str">
        <f>D1497&amp;E1497&amp;F1497</f>
        <v>SERVICIOSNOMINA ADMONSISTEMAS</v>
      </c>
      <c r="B1497" t="s">
        <v>1807</v>
      </c>
      <c r="C1497" s="1">
        <v>45884</v>
      </c>
      <c r="D1497" t="s">
        <v>21</v>
      </c>
      <c r="E1497" t="s">
        <v>147</v>
      </c>
      <c r="F1497" t="s">
        <v>36</v>
      </c>
      <c r="J1497" s="385">
        <v>10156.09</v>
      </c>
    </row>
    <row r="1498" spans="1:10" ht="15">
      <c r="A1498" s="137" t="str">
        <f>D1498&amp;E1498&amp;F1498</f>
        <v>SERVICIOSNOMINA ADMONCOMPRAS</v>
      </c>
      <c r="B1498" t="s">
        <v>1807</v>
      </c>
      <c r="C1498" s="1">
        <v>45884</v>
      </c>
      <c r="D1498" t="s">
        <v>21</v>
      </c>
      <c r="E1498" t="s">
        <v>147</v>
      </c>
      <c r="F1498" t="s">
        <v>148</v>
      </c>
      <c r="J1498" s="385">
        <v>23098.71</v>
      </c>
    </row>
    <row r="1499" spans="1:10" ht="15">
      <c r="A1499" s="137" t="str">
        <f>D1499&amp;E1499&amp;F1499</f>
        <v>FINANZASNOMINA ADMONCONTABILIDAD</v>
      </c>
      <c r="B1499" t="s">
        <v>1807</v>
      </c>
      <c r="C1499" s="1">
        <v>45884</v>
      </c>
      <c r="D1499" t="s">
        <v>23</v>
      </c>
      <c r="E1499" t="s">
        <v>147</v>
      </c>
      <c r="F1499" t="s">
        <v>37</v>
      </c>
      <c r="J1499" s="385">
        <v>10398.07</v>
      </c>
    </row>
    <row r="1500" spans="1:10" ht="15">
      <c r="A1500" s="137" t="str">
        <f>D1500&amp;E1500&amp;F1500</f>
        <v>FINANZASNOMINA ADMONFINANZAS/LEGAL</v>
      </c>
      <c r="B1500" t="s">
        <v>1807</v>
      </c>
      <c r="C1500" s="1">
        <v>45884</v>
      </c>
      <c r="D1500" t="s">
        <v>23</v>
      </c>
      <c r="E1500" t="s">
        <v>147</v>
      </c>
      <c r="F1500" t="s">
        <v>149</v>
      </c>
      <c r="J1500" s="385">
        <v>9887.99</v>
      </c>
    </row>
    <row r="1501" spans="1:10" ht="15">
      <c r="A1501" s="137" t="str">
        <f>D1501&amp;E1501&amp;F1501</f>
        <v>FINANZASNOMINA ADMONRECURSOS HUMANOS</v>
      </c>
      <c r="B1501" t="s">
        <v>1807</v>
      </c>
      <c r="C1501" s="1">
        <v>45884</v>
      </c>
      <c r="D1501" t="s">
        <v>23</v>
      </c>
      <c r="E1501" t="s">
        <v>147</v>
      </c>
      <c r="F1501" t="s">
        <v>125</v>
      </c>
      <c r="J1501" s="385">
        <v>10659.58</v>
      </c>
    </row>
    <row r="1502" spans="1:10" ht="15">
      <c r="A1502" s="137" t="str">
        <f>D1502&amp;E1502&amp;F1502</f>
        <v>FINANZASNOMINA ADMONTESORERIA</v>
      </c>
      <c r="B1502" t="s">
        <v>1807</v>
      </c>
      <c r="C1502" s="1">
        <v>45884</v>
      </c>
      <c r="D1502" t="s">
        <v>23</v>
      </c>
      <c r="E1502" t="s">
        <v>147</v>
      </c>
      <c r="F1502" t="s">
        <v>38</v>
      </c>
      <c r="J1502" s="385">
        <v>12300.02</v>
      </c>
    </row>
    <row r="1503" spans="1:10" ht="15">
      <c r="A1503" s="137" t="str">
        <f>D1503&amp;E1503&amp;F1503</f>
        <v>FINANZASNOMINA ADMONHBG FINANZAS</v>
      </c>
      <c r="B1503" t="s">
        <v>1807</v>
      </c>
      <c r="C1503" s="1">
        <v>45884</v>
      </c>
      <c r="D1503" t="s">
        <v>23</v>
      </c>
      <c r="E1503" t="s">
        <v>147</v>
      </c>
      <c r="F1503" t="s">
        <v>150</v>
      </c>
      <c r="J1503" s="385">
        <v>3057</v>
      </c>
    </row>
    <row r="1504" spans="1:10" ht="15">
      <c r="A1504" s="137" t="str">
        <f>D1504&amp;E1504&amp;F1504</f>
        <v>SGENOMINA ADMONGESTION EMPRESARIAL</v>
      </c>
      <c r="B1504" t="s">
        <v>1807</v>
      </c>
      <c r="C1504" s="1">
        <v>45884</v>
      </c>
      <c r="D1504" t="s">
        <v>39</v>
      </c>
      <c r="E1504" t="s">
        <v>147</v>
      </c>
      <c r="F1504" t="s">
        <v>40</v>
      </c>
      <c r="J1504" s="385">
        <v>17200</v>
      </c>
    </row>
    <row r="1505" spans="1:10" ht="15">
      <c r="A1505" s="137" t="str">
        <f>D1505&amp;E1505&amp;F1505</f>
        <v>DENOMINA ADMONDIRECCION</v>
      </c>
      <c r="B1505" t="s">
        <v>1807</v>
      </c>
      <c r="C1505" s="1">
        <v>45884</v>
      </c>
      <c r="D1505" t="s">
        <v>41</v>
      </c>
      <c r="E1505" t="s">
        <v>147</v>
      </c>
      <c r="F1505" t="s">
        <v>42</v>
      </c>
      <c r="J1505" s="385">
        <v>6000</v>
      </c>
    </row>
    <row r="1506" spans="1:10" ht="15">
      <c r="A1506" s="137" t="str">
        <f>D1506&amp;E1506&amp;F1506</f>
        <v>MMNOMINA ADMONMARKET MAX</v>
      </c>
      <c r="B1506" t="s">
        <v>1807</v>
      </c>
      <c r="C1506" s="235">
        <v>45884</v>
      </c>
      <c r="D1506" t="s">
        <v>45</v>
      </c>
      <c r="E1506" t="s">
        <v>147</v>
      </c>
      <c r="F1506" t="s">
        <v>46</v>
      </c>
      <c r="G1506" s="89"/>
      <c r="H1506" s="89"/>
      <c r="I1506" s="237"/>
      <c r="J1506" s="410">
        <v>5876.94</v>
      </c>
    </row>
    <row r="1507" spans="1:10" ht="15">
      <c r="A1507" s="137" t="str">
        <f>D1507&amp;E1507&amp;F1507</f>
        <v>ANALISISNOMINA ADMONANALISIS DE DATOS</v>
      </c>
      <c r="B1507" t="s">
        <v>1807</v>
      </c>
      <c r="C1507" s="1">
        <v>45884</v>
      </c>
      <c r="D1507" t="s">
        <v>152</v>
      </c>
      <c r="E1507" s="12" t="s">
        <v>147</v>
      </c>
      <c r="F1507" t="s">
        <v>153</v>
      </c>
      <c r="J1507" s="385">
        <v>5000.2</v>
      </c>
    </row>
    <row r="1508" spans="1:10" ht="15">
      <c r="A1508" s="137" t="str">
        <f>D1508&amp;E1508&amp;F1508</f>
        <v>MKTNOMINA ADMONMKT</v>
      </c>
      <c r="B1508" t="s">
        <v>1807</v>
      </c>
      <c r="C1508" s="1">
        <v>45884</v>
      </c>
      <c r="D1508" t="s">
        <v>19</v>
      </c>
      <c r="E1508" s="12" t="s">
        <v>147</v>
      </c>
      <c r="F1508" t="s">
        <v>19</v>
      </c>
      <c r="J1508" s="385">
        <v>21301.599999999999</v>
      </c>
    </row>
    <row r="1509" spans="1:10" ht="15">
      <c r="A1509" s="137" t="str">
        <f>D1509&amp;E1509&amp;F1509</f>
        <v>FINANZASNOMINA ADMONHBG FINANZAS</v>
      </c>
      <c r="B1509" t="s">
        <v>1807</v>
      </c>
      <c r="C1509" s="1">
        <v>45884</v>
      </c>
      <c r="D1509" t="s">
        <v>23</v>
      </c>
      <c r="E1509" t="s">
        <v>147</v>
      </c>
      <c r="F1509" s="12" t="s">
        <v>150</v>
      </c>
      <c r="J1509" s="385">
        <v>10450</v>
      </c>
    </row>
    <row r="1510" spans="1:10" ht="15">
      <c r="A1510" s="137" t="str">
        <f>D1510&amp;E1510&amp;F1510</f>
        <v>HRNOMINA ADMONHR</v>
      </c>
      <c r="B1510" t="s">
        <v>1807</v>
      </c>
      <c r="C1510" s="1">
        <v>45884</v>
      </c>
      <c r="D1510" t="s">
        <v>29</v>
      </c>
      <c r="E1510" t="s">
        <v>147</v>
      </c>
      <c r="F1510" s="3" t="s">
        <v>29</v>
      </c>
      <c r="J1510" s="385">
        <v>5500</v>
      </c>
    </row>
    <row r="1511" spans="1:10" ht="15">
      <c r="A1511" s="137" t="str">
        <f>D1511&amp;E1511&amp;F1511</f>
        <v>CAPNOMINA ADMONCAPRICHOS</v>
      </c>
      <c r="B1511" t="s">
        <v>1807</v>
      </c>
      <c r="C1511" s="1">
        <v>45884</v>
      </c>
      <c r="D1511" t="s">
        <v>31</v>
      </c>
      <c r="E1511" t="s">
        <v>147</v>
      </c>
      <c r="F1511" s="12" t="s">
        <v>33</v>
      </c>
      <c r="J1511" s="385">
        <v>3700</v>
      </c>
    </row>
    <row r="1512" spans="1:10" ht="15">
      <c r="A1512" s="137" t="str">
        <f>D1512&amp;E1512&amp;F1512</f>
        <v>SGENOMINA ADMONGESTION EMPRESARIAL</v>
      </c>
      <c r="B1512" t="s">
        <v>1807</v>
      </c>
      <c r="C1512" s="1">
        <v>45884</v>
      </c>
      <c r="D1512" t="s">
        <v>39</v>
      </c>
      <c r="E1512" t="s">
        <v>147</v>
      </c>
      <c r="F1512" s="12" t="s">
        <v>40</v>
      </c>
      <c r="J1512" s="385">
        <v>2750</v>
      </c>
    </row>
    <row r="1513" spans="1:10" ht="15">
      <c r="A1513" s="137" t="str">
        <f>D1513&amp;E1513&amp;F1513</f>
        <v>SERVICIOSNOMINA ADMONSERVICIOS</v>
      </c>
      <c r="B1513" t="s">
        <v>1807</v>
      </c>
      <c r="C1513" s="1">
        <v>45884</v>
      </c>
      <c r="D1513" t="s">
        <v>21</v>
      </c>
      <c r="E1513" t="s">
        <v>147</v>
      </c>
      <c r="F1513" s="12" t="s">
        <v>21</v>
      </c>
      <c r="J1513" s="385">
        <v>4750</v>
      </c>
    </row>
    <row r="1514" spans="1:10" ht="15">
      <c r="A1514" s="137" t="str">
        <f>D1514&amp;E1514&amp;F1514</f>
        <v>DENOMINA ADMONDIRECCION</v>
      </c>
      <c r="B1514" t="s">
        <v>1807</v>
      </c>
      <c r="C1514" s="1">
        <v>45884</v>
      </c>
      <c r="D1514" t="s">
        <v>41</v>
      </c>
      <c r="E1514" t="s">
        <v>147</v>
      </c>
      <c r="F1514" s="12" t="s">
        <v>42</v>
      </c>
      <c r="J1514" s="385">
        <v>5750</v>
      </c>
    </row>
    <row r="1515" spans="1:10" ht="15">
      <c r="A1515" s="137" t="str">
        <f>D1515&amp;E1515&amp;F1515</f>
        <v>MMNOMINA ADMONMARKET MAX</v>
      </c>
      <c r="B1515" t="s">
        <v>1807</v>
      </c>
      <c r="C1515" s="1">
        <v>45884</v>
      </c>
      <c r="D1515" t="s">
        <v>45</v>
      </c>
      <c r="E1515" t="s">
        <v>147</v>
      </c>
      <c r="F1515" s="12" t="s">
        <v>46</v>
      </c>
      <c r="J1515" s="385">
        <v>2000</v>
      </c>
    </row>
    <row r="1516" spans="1:10" ht="15">
      <c r="A1516" s="137" t="str">
        <f>D1516&amp;E1516&amp;F1516</f>
        <v>HRNOMINA SUCURSALA1</v>
      </c>
      <c r="B1516" t="s">
        <v>1807</v>
      </c>
      <c r="C1516" s="1">
        <v>45891</v>
      </c>
      <c r="D1516" t="s">
        <v>29</v>
      </c>
      <c r="E1516" t="s">
        <v>154</v>
      </c>
      <c r="F1516" s="3" t="s">
        <v>88</v>
      </c>
      <c r="J1516" s="299">
        <v>10933.8</v>
      </c>
    </row>
    <row r="1517" spans="1:10" ht="15">
      <c r="A1517" s="137" t="str">
        <f>D1517&amp;E1517&amp;F1517</f>
        <v>HRNOMINA SUCURSALA2</v>
      </c>
      <c r="B1517" t="s">
        <v>1807</v>
      </c>
      <c r="C1517" s="1">
        <v>45891</v>
      </c>
      <c r="D1517" t="s">
        <v>29</v>
      </c>
      <c r="E1517" t="s">
        <v>154</v>
      </c>
      <c r="F1517" s="3" t="s">
        <v>89</v>
      </c>
      <c r="J1517" s="299">
        <v>12686.6</v>
      </c>
    </row>
    <row r="1518" spans="1:10" ht="15">
      <c r="A1518" s="137" t="str">
        <f>D1518&amp;E1518&amp;F1518</f>
        <v>HRNOMINA SUCURSALA3</v>
      </c>
      <c r="B1518" t="s">
        <v>1807</v>
      </c>
      <c r="C1518" s="1">
        <v>45891</v>
      </c>
      <c r="D1518" t="s">
        <v>29</v>
      </c>
      <c r="E1518" t="s">
        <v>154</v>
      </c>
      <c r="F1518" s="3" t="s">
        <v>90</v>
      </c>
      <c r="J1518" s="299">
        <v>11161.4</v>
      </c>
    </row>
    <row r="1519" spans="1:10" ht="15">
      <c r="A1519" s="137" t="str">
        <f>D1519&amp;E1519&amp;F1519</f>
        <v>HRNOMINA SUCURSALA4</v>
      </c>
      <c r="B1519" t="s">
        <v>1807</v>
      </c>
      <c r="C1519" s="1">
        <v>45891</v>
      </c>
      <c r="D1519" t="s">
        <v>29</v>
      </c>
      <c r="E1519" t="s">
        <v>154</v>
      </c>
      <c r="F1519" s="3" t="s">
        <v>91</v>
      </c>
      <c r="J1519" s="299">
        <v>8635</v>
      </c>
    </row>
    <row r="1520" spans="1:10" ht="15">
      <c r="A1520" s="137" t="str">
        <f>D1520&amp;E1520&amp;F1520</f>
        <v>HRNOMINA SUCURSALA5</v>
      </c>
      <c r="B1520" t="s">
        <v>1807</v>
      </c>
      <c r="C1520" s="1">
        <v>45891</v>
      </c>
      <c r="D1520" t="s">
        <v>29</v>
      </c>
      <c r="E1520" t="s">
        <v>154</v>
      </c>
      <c r="F1520" s="3" t="s">
        <v>92</v>
      </c>
      <c r="J1520" s="299">
        <v>10537.8</v>
      </c>
    </row>
    <row r="1521" spans="1:10" ht="15">
      <c r="A1521" s="137" t="str">
        <f>D1521&amp;E1521&amp;F1521</f>
        <v>HRNOMINA SUCURSALA6</v>
      </c>
      <c r="B1521" t="s">
        <v>1807</v>
      </c>
      <c r="C1521" s="1">
        <v>45891</v>
      </c>
      <c r="D1521" t="s">
        <v>29</v>
      </c>
      <c r="E1521" t="s">
        <v>154</v>
      </c>
      <c r="F1521" s="3" t="s">
        <v>93</v>
      </c>
      <c r="J1521" s="299">
        <v>14223.49</v>
      </c>
    </row>
    <row r="1522" spans="1:10" ht="15">
      <c r="A1522" s="137" t="str">
        <f>D1522&amp;E1522&amp;F1522</f>
        <v>HRNOMINA SUCURSALA8</v>
      </c>
      <c r="B1522" t="s">
        <v>1807</v>
      </c>
      <c r="C1522" s="1">
        <v>45891</v>
      </c>
      <c r="D1522" t="s">
        <v>29</v>
      </c>
      <c r="E1522" t="s">
        <v>154</v>
      </c>
      <c r="F1522" s="3" t="s">
        <v>94</v>
      </c>
      <c r="J1522" s="299">
        <v>17591</v>
      </c>
    </row>
    <row r="1523" spans="1:10" ht="15">
      <c r="A1523" s="137" t="str">
        <f>D1523&amp;E1523&amp;F1523</f>
        <v>HRNOMINA SUCURSALA9</v>
      </c>
      <c r="B1523" t="s">
        <v>1807</v>
      </c>
      <c r="C1523" s="1">
        <v>45891</v>
      </c>
      <c r="D1523" t="s">
        <v>29</v>
      </c>
      <c r="E1523" t="s">
        <v>154</v>
      </c>
      <c r="F1523" s="3" t="s">
        <v>95</v>
      </c>
      <c r="J1523" s="299">
        <v>10160.51</v>
      </c>
    </row>
    <row r="1524" spans="1:10" ht="15">
      <c r="A1524" s="137" t="str">
        <f>D1524&amp;E1524&amp;F1524</f>
        <v>HRNOMINA SUCURSALA10</v>
      </c>
      <c r="B1524" t="s">
        <v>1807</v>
      </c>
      <c r="C1524" s="1">
        <v>45891</v>
      </c>
      <c r="D1524" t="s">
        <v>29</v>
      </c>
      <c r="E1524" t="s">
        <v>154</v>
      </c>
      <c r="F1524" s="3" t="s">
        <v>96</v>
      </c>
      <c r="J1524" s="299">
        <v>14834.6</v>
      </c>
    </row>
    <row r="1525" spans="1:10" ht="15">
      <c r="A1525" s="137" t="str">
        <f>D1525&amp;E1525&amp;F1525</f>
        <v>HRNOMINA SUCURSALA11</v>
      </c>
      <c r="B1525" t="s">
        <v>1807</v>
      </c>
      <c r="C1525" s="1">
        <v>45891</v>
      </c>
      <c r="D1525" t="s">
        <v>29</v>
      </c>
      <c r="E1525" t="s">
        <v>154</v>
      </c>
      <c r="F1525" s="62" t="s">
        <v>97</v>
      </c>
      <c r="J1525" s="299">
        <v>13189.4</v>
      </c>
    </row>
    <row r="1526" spans="1:10" ht="15">
      <c r="A1526" s="137" t="str">
        <f>D1526&amp;E1526&amp;F1526</f>
        <v>HRNOMINA SUCURSALA12</v>
      </c>
      <c r="B1526" t="s">
        <v>1807</v>
      </c>
      <c r="C1526" s="1">
        <v>45891</v>
      </c>
      <c r="D1526" t="s">
        <v>29</v>
      </c>
      <c r="E1526" t="s">
        <v>154</v>
      </c>
      <c r="F1526" s="3" t="s">
        <v>98</v>
      </c>
      <c r="J1526" s="299">
        <v>18591</v>
      </c>
    </row>
    <row r="1527" spans="1:10" ht="15">
      <c r="A1527" s="137" t="str">
        <f>D1527&amp;E1527&amp;F1527</f>
        <v>HRNOMINA SUCURSALA14</v>
      </c>
      <c r="B1527" t="s">
        <v>1807</v>
      </c>
      <c r="C1527" s="1">
        <v>45891</v>
      </c>
      <c r="D1527" t="s">
        <v>29</v>
      </c>
      <c r="E1527" t="s">
        <v>154</v>
      </c>
      <c r="F1527" s="3" t="s">
        <v>99</v>
      </c>
      <c r="J1527" s="299">
        <v>13058.6</v>
      </c>
    </row>
    <row r="1528" spans="1:10" ht="15">
      <c r="A1528" s="137" t="str">
        <f>D1528&amp;E1528&amp;F1528</f>
        <v>HRNOMINA SUCURSALA15</v>
      </c>
      <c r="B1528" t="s">
        <v>1807</v>
      </c>
      <c r="C1528" s="1">
        <v>45891</v>
      </c>
      <c r="D1528" t="s">
        <v>29</v>
      </c>
      <c r="E1528" t="s">
        <v>154</v>
      </c>
      <c r="F1528" s="3" t="s">
        <v>100</v>
      </c>
      <c r="J1528" s="299">
        <v>11556.6</v>
      </c>
    </row>
    <row r="1529" spans="1:10" ht="15">
      <c r="A1529" s="137" t="str">
        <f>D1529&amp;E1529&amp;F1529</f>
        <v>HRNOMINA SUCURSALA16</v>
      </c>
      <c r="B1529" t="s">
        <v>1807</v>
      </c>
      <c r="C1529" s="1">
        <v>45891</v>
      </c>
      <c r="D1529" t="s">
        <v>29</v>
      </c>
      <c r="E1529" t="s">
        <v>154</v>
      </c>
      <c r="F1529" s="3" t="s">
        <v>101</v>
      </c>
      <c r="J1529" s="299">
        <v>14367.09</v>
      </c>
    </row>
    <row r="1530" spans="1:10" ht="15">
      <c r="A1530" s="137" t="str">
        <f>D1530&amp;E1530&amp;F1530</f>
        <v>HRNOMINA SUCURSALA17</v>
      </c>
      <c r="B1530" t="s">
        <v>1807</v>
      </c>
      <c r="C1530" s="1">
        <v>45891</v>
      </c>
      <c r="D1530" t="s">
        <v>29</v>
      </c>
      <c r="E1530" t="s">
        <v>154</v>
      </c>
      <c r="F1530" s="3" t="s">
        <v>102</v>
      </c>
      <c r="J1530" s="299">
        <v>8883.7999999999993</v>
      </c>
    </row>
    <row r="1531" spans="1:10" ht="15">
      <c r="A1531" s="137" t="str">
        <f>D1531&amp;E1531&amp;F1531</f>
        <v>HRNOMINA SUCURSALA18</v>
      </c>
      <c r="B1531" t="s">
        <v>1807</v>
      </c>
      <c r="C1531" s="1">
        <v>45891</v>
      </c>
      <c r="D1531" t="s">
        <v>29</v>
      </c>
      <c r="E1531" t="s">
        <v>154</v>
      </c>
      <c r="F1531" s="3" t="s">
        <v>103</v>
      </c>
      <c r="J1531" s="299">
        <v>14150</v>
      </c>
    </row>
    <row r="1532" spans="1:10" ht="15">
      <c r="A1532" s="137" t="str">
        <f>D1532&amp;E1532&amp;F1532</f>
        <v>HRNOMINA SUCURSALA22</v>
      </c>
      <c r="B1532" t="s">
        <v>1807</v>
      </c>
      <c r="C1532" s="1">
        <v>45891</v>
      </c>
      <c r="D1532" t="s">
        <v>29</v>
      </c>
      <c r="E1532" t="s">
        <v>154</v>
      </c>
      <c r="F1532" s="3" t="s">
        <v>104</v>
      </c>
      <c r="J1532" s="299">
        <v>14939.8</v>
      </c>
    </row>
    <row r="1533" spans="1:10" ht="15">
      <c r="A1533" s="137" t="str">
        <f>D1533&amp;E1533&amp;F1533</f>
        <v>HRNOMINA SUCURSALA23</v>
      </c>
      <c r="B1533" t="s">
        <v>1807</v>
      </c>
      <c r="C1533" s="1">
        <v>45891</v>
      </c>
      <c r="D1533" t="s">
        <v>29</v>
      </c>
      <c r="E1533" t="s">
        <v>154</v>
      </c>
      <c r="F1533" s="3" t="s">
        <v>105</v>
      </c>
      <c r="J1533" s="299">
        <v>13258.2</v>
      </c>
    </row>
    <row r="1534" spans="1:10" ht="15">
      <c r="A1534" s="137" t="str">
        <f>D1534&amp;E1534&amp;F1534</f>
        <v>HRNOMINA SUCURSALA24</v>
      </c>
      <c r="B1534" t="s">
        <v>1807</v>
      </c>
      <c r="C1534" s="1">
        <v>45891</v>
      </c>
      <c r="D1534" t="s">
        <v>29</v>
      </c>
      <c r="E1534" t="s">
        <v>154</v>
      </c>
      <c r="F1534" s="3" t="s">
        <v>106</v>
      </c>
      <c r="J1534" s="299">
        <v>16354.8</v>
      </c>
    </row>
    <row r="1535" spans="1:10" ht="15">
      <c r="A1535" s="137" t="str">
        <f>D1535&amp;E1535&amp;F1535</f>
        <v>CAPNOMINA SUCURSALE1</v>
      </c>
      <c r="B1535" t="s">
        <v>1807</v>
      </c>
      <c r="C1535" s="1">
        <v>45891</v>
      </c>
      <c r="D1535" t="s">
        <v>31</v>
      </c>
      <c r="E1535" t="s">
        <v>154</v>
      </c>
      <c r="F1535" s="3" t="s">
        <v>107</v>
      </c>
      <c r="J1535" s="389">
        <v>15865.8</v>
      </c>
    </row>
    <row r="1536" spans="1:10" ht="15">
      <c r="A1536" s="137" t="str">
        <f>D1536&amp;E1536&amp;F1536</f>
        <v>CAPNOMINA SUCURSALE2</v>
      </c>
      <c r="B1536" t="s">
        <v>1807</v>
      </c>
      <c r="C1536" s="1">
        <v>45891</v>
      </c>
      <c r="D1536" t="s">
        <v>31</v>
      </c>
      <c r="E1536" t="s">
        <v>154</v>
      </c>
      <c r="F1536" s="3" t="s">
        <v>108</v>
      </c>
      <c r="J1536" s="389">
        <v>15710.6</v>
      </c>
    </row>
    <row r="1537" spans="1:10" ht="15">
      <c r="A1537" s="137" t="str">
        <f>D1537&amp;E1537&amp;F1537</f>
        <v>CAPNOMINA SUCURSALE3</v>
      </c>
      <c r="B1537" t="s">
        <v>1807</v>
      </c>
      <c r="C1537" s="1">
        <v>45891</v>
      </c>
      <c r="D1537" t="s">
        <v>31</v>
      </c>
      <c r="E1537" t="s">
        <v>154</v>
      </c>
      <c r="F1537" s="3" t="s">
        <v>109</v>
      </c>
      <c r="J1537" s="389">
        <v>14757.8</v>
      </c>
    </row>
    <row r="1538" spans="1:10" ht="15">
      <c r="A1538" s="137" t="str">
        <f>D1538&amp;E1538&amp;F1538</f>
        <v>CAPNOMINA SUCURSALE4</v>
      </c>
      <c r="B1538" t="s">
        <v>1807</v>
      </c>
      <c r="C1538" s="1">
        <v>45891</v>
      </c>
      <c r="D1538" t="s">
        <v>31</v>
      </c>
      <c r="E1538" t="s">
        <v>154</v>
      </c>
      <c r="F1538" s="3" t="s">
        <v>110</v>
      </c>
      <c r="J1538" s="389">
        <v>21427.8</v>
      </c>
    </row>
    <row r="1539" spans="1:10" ht="15">
      <c r="A1539" s="137" t="str">
        <f>D1539&amp;E1539&amp;F1539</f>
        <v>CAPNOMINA SUCURSALE5</v>
      </c>
      <c r="B1539" t="s">
        <v>1807</v>
      </c>
      <c r="C1539" s="1">
        <v>45891</v>
      </c>
      <c r="D1539" t="s">
        <v>31</v>
      </c>
      <c r="E1539" t="s">
        <v>154</v>
      </c>
      <c r="F1539" s="3" t="s">
        <v>111</v>
      </c>
      <c r="J1539" s="389">
        <v>15967</v>
      </c>
    </row>
    <row r="1540" spans="1:10" ht="15">
      <c r="A1540" s="137" t="str">
        <f>D1540&amp;E1540&amp;F1540</f>
        <v>CAPNOMINA SUCURSALE6</v>
      </c>
      <c r="B1540" t="s">
        <v>1807</v>
      </c>
      <c r="C1540" s="1">
        <v>45891</v>
      </c>
      <c r="D1540" t="s">
        <v>31</v>
      </c>
      <c r="E1540" t="s">
        <v>154</v>
      </c>
      <c r="F1540" s="3" t="s">
        <v>112</v>
      </c>
      <c r="J1540" s="389">
        <v>15446.4</v>
      </c>
    </row>
    <row r="1541" spans="1:10" ht="15">
      <c r="A1541" s="137" t="str">
        <f>D1541&amp;E1541&amp;F1541</f>
        <v>CAPNOMINA SUCURSALE7</v>
      </c>
      <c r="B1541" t="s">
        <v>1807</v>
      </c>
      <c r="C1541" s="1">
        <v>45891</v>
      </c>
      <c r="D1541" t="s">
        <v>31</v>
      </c>
      <c r="E1541" t="s">
        <v>154</v>
      </c>
      <c r="F1541" s="3" t="s">
        <v>113</v>
      </c>
      <c r="J1541" s="389">
        <v>13725</v>
      </c>
    </row>
    <row r="1542" spans="1:10" ht="15">
      <c r="A1542" s="137" t="str">
        <f>D1542&amp;E1542&amp;F1542</f>
        <v>CAPNOMINA SUCURSALE8</v>
      </c>
      <c r="B1542" t="s">
        <v>1807</v>
      </c>
      <c r="C1542" s="1">
        <v>45891</v>
      </c>
      <c r="D1542" t="s">
        <v>31</v>
      </c>
      <c r="E1542" t="s">
        <v>154</v>
      </c>
      <c r="F1542" s="3" t="s">
        <v>114</v>
      </c>
      <c r="J1542" s="389">
        <v>24352</v>
      </c>
    </row>
    <row r="1543" spans="1:10" ht="15">
      <c r="A1543" s="137" t="str">
        <f>D1543&amp;E1543&amp;F1543</f>
        <v>CAPNOMINA SUCURSALE9</v>
      </c>
      <c r="B1543" t="s">
        <v>1807</v>
      </c>
      <c r="C1543" s="1">
        <v>45891</v>
      </c>
      <c r="D1543" t="s">
        <v>31</v>
      </c>
      <c r="E1543" t="s">
        <v>154</v>
      </c>
      <c r="F1543" s="3" t="s">
        <v>116</v>
      </c>
      <c r="J1543" s="389">
        <v>28221.4</v>
      </c>
    </row>
    <row r="1544" spans="1:10" ht="15">
      <c r="A1544" s="137" t="str">
        <f>D1544&amp;E1544&amp;F1544</f>
        <v>ELINOMINA SUCURSALL1</v>
      </c>
      <c r="B1544" t="s">
        <v>1807</v>
      </c>
      <c r="C1544" s="1">
        <v>45891</v>
      </c>
      <c r="D1544" t="s">
        <v>130</v>
      </c>
      <c r="E1544" t="s">
        <v>154</v>
      </c>
      <c r="F1544" t="s">
        <v>136</v>
      </c>
      <c r="H1544" t="s">
        <v>168</v>
      </c>
      <c r="J1544" s="385">
        <v>8494.7999999999993</v>
      </c>
    </row>
    <row r="1545" spans="1:10" ht="15">
      <c r="A1545" s="137" t="str">
        <f>D1545&amp;E1545&amp;F1545</f>
        <v>HRNOMINA ADMONHR</v>
      </c>
      <c r="B1545" t="s">
        <v>1807</v>
      </c>
      <c r="C1545" s="1">
        <v>45891</v>
      </c>
      <c r="D1545" t="s">
        <v>29</v>
      </c>
      <c r="E1545" t="s">
        <v>147</v>
      </c>
      <c r="F1545" t="s">
        <v>29</v>
      </c>
      <c r="H1545" t="s">
        <v>187</v>
      </c>
      <c r="J1545" s="299">
        <v>28543.200000000001</v>
      </c>
    </row>
    <row r="1546" spans="1:10" ht="15">
      <c r="A1546" s="137" t="str">
        <f>D1546&amp;E1546&amp;F1546</f>
        <v>CAPNOMINA ADMONCAPRICHOS</v>
      </c>
      <c r="B1546" t="s">
        <v>1807</v>
      </c>
      <c r="C1546" s="1">
        <v>45891</v>
      </c>
      <c r="D1546" t="s">
        <v>31</v>
      </c>
      <c r="E1546" t="s">
        <v>147</v>
      </c>
      <c r="F1546" t="s">
        <v>33</v>
      </c>
      <c r="H1546" t="s">
        <v>188</v>
      </c>
      <c r="J1546" s="299">
        <v>21513</v>
      </c>
    </row>
    <row r="1547" spans="1:10" ht="15">
      <c r="A1547" s="137" t="str">
        <f>D1547&amp;E1547&amp;F1547</f>
        <v>SERVICIOSNOMINA SUCURSALCEDIS</v>
      </c>
      <c r="B1547" t="s">
        <v>1807</v>
      </c>
      <c r="C1547" s="1">
        <v>45891</v>
      </c>
      <c r="D1547" t="s">
        <v>21</v>
      </c>
      <c r="E1547" t="s">
        <v>154</v>
      </c>
      <c r="F1547" t="s">
        <v>28</v>
      </c>
      <c r="H1547" t="s">
        <v>28</v>
      </c>
      <c r="J1547" s="299">
        <v>80029.69</v>
      </c>
    </row>
    <row r="1548" spans="1:10" ht="15">
      <c r="A1548" s="137" t="str">
        <f>D1548&amp;E1548&amp;F1548</f>
        <v>SERVICIOSNOMINA ADMONINVENTARIOS</v>
      </c>
      <c r="B1548" t="s">
        <v>1807</v>
      </c>
      <c r="C1548" s="1">
        <v>45891</v>
      </c>
      <c r="D1548" t="s">
        <v>21</v>
      </c>
      <c r="E1548" t="s">
        <v>147</v>
      </c>
      <c r="F1548" t="s">
        <v>34</v>
      </c>
      <c r="H1548" t="s">
        <v>34</v>
      </c>
      <c r="J1548" s="385">
        <v>2800</v>
      </c>
    </row>
    <row r="1549" spans="1:10" ht="15">
      <c r="A1549" s="137" t="str">
        <f>D1549&amp;E1549&amp;F1549</f>
        <v>SERVICIOSNOMINA ADMONMANTENIMIENTO</v>
      </c>
      <c r="B1549" t="s">
        <v>1807</v>
      </c>
      <c r="C1549" s="1">
        <v>45891</v>
      </c>
      <c r="D1549" t="s">
        <v>21</v>
      </c>
      <c r="E1549" t="s">
        <v>147</v>
      </c>
      <c r="F1549" t="s">
        <v>35</v>
      </c>
      <c r="H1549" t="s">
        <v>35</v>
      </c>
      <c r="J1549" s="299">
        <v>11046.63</v>
      </c>
    </row>
    <row r="1550" spans="1:10" ht="15">
      <c r="A1550" s="137" t="str">
        <f>D1550&amp;E1550&amp;F1550</f>
        <v>SERVICIOSNOMINA ADMONCADENA DE SUMINISTROS</v>
      </c>
      <c r="B1550" t="s">
        <v>1807</v>
      </c>
      <c r="C1550" s="1">
        <v>45891</v>
      </c>
      <c r="D1550" t="s">
        <v>21</v>
      </c>
      <c r="E1550" t="s">
        <v>147</v>
      </c>
      <c r="F1550" t="s">
        <v>134</v>
      </c>
      <c r="H1550" t="s">
        <v>4807</v>
      </c>
      <c r="J1550" s="299">
        <v>19244.2</v>
      </c>
    </row>
    <row r="1551" spans="1:10" ht="15">
      <c r="A1551" s="137" t="str">
        <f>D1551&amp;E1551&amp;F1551</f>
        <v>SERVICIOSNOMINA ADMONSISTEMAS</v>
      </c>
      <c r="B1551" t="s">
        <v>1807</v>
      </c>
      <c r="C1551" s="1">
        <v>45891</v>
      </c>
      <c r="D1551" t="s">
        <v>21</v>
      </c>
      <c r="E1551" t="s">
        <v>147</v>
      </c>
      <c r="F1551" t="s">
        <v>36</v>
      </c>
      <c r="H1551" t="s">
        <v>36</v>
      </c>
      <c r="J1551" s="385">
        <v>14408.69</v>
      </c>
    </row>
    <row r="1552" spans="1:10" ht="15">
      <c r="A1552" s="137" t="str">
        <f>D1552&amp;E1552&amp;F1552</f>
        <v>SERVICIOSNOMINA ADMONCOMPRAS</v>
      </c>
      <c r="B1552" t="s">
        <v>1807</v>
      </c>
      <c r="C1552" s="1">
        <v>45891</v>
      </c>
      <c r="D1552" t="s">
        <v>21</v>
      </c>
      <c r="E1552" t="s">
        <v>147</v>
      </c>
      <c r="F1552" t="s">
        <v>148</v>
      </c>
      <c r="H1552" t="s">
        <v>4808</v>
      </c>
      <c r="J1552" s="385">
        <v>22746.51</v>
      </c>
    </row>
    <row r="1553" spans="1:10" ht="15">
      <c r="A1553" s="137" t="str">
        <f>D1553&amp;E1553&amp;F1553</f>
        <v>FINANZASNOMINA ADMONCONTABILIDAD</v>
      </c>
      <c r="B1553" t="s">
        <v>1807</v>
      </c>
      <c r="C1553" s="1">
        <v>45891</v>
      </c>
      <c r="D1553" t="s">
        <v>23</v>
      </c>
      <c r="E1553" t="s">
        <v>147</v>
      </c>
      <c r="F1553" t="s">
        <v>37</v>
      </c>
      <c r="H1553" t="s">
        <v>37</v>
      </c>
      <c r="J1553" s="385">
        <v>9989.4699999999993</v>
      </c>
    </row>
    <row r="1554" spans="1:10" ht="15">
      <c r="A1554" s="137" t="str">
        <f>D1554&amp;E1554&amp;F1554</f>
        <v>FINANZASNOMINA ADMONFINANZAS/LEGAL</v>
      </c>
      <c r="B1554" t="s">
        <v>1807</v>
      </c>
      <c r="C1554" s="1">
        <v>45891</v>
      </c>
      <c r="D1554" t="s">
        <v>23</v>
      </c>
      <c r="E1554" t="s">
        <v>147</v>
      </c>
      <c r="F1554" t="s">
        <v>149</v>
      </c>
      <c r="H1554" t="s">
        <v>149</v>
      </c>
      <c r="J1554" s="385">
        <v>9888.19</v>
      </c>
    </row>
    <row r="1555" spans="1:10" ht="15">
      <c r="A1555" s="137" t="str">
        <f>D1555&amp;E1555&amp;F1555</f>
        <v>FINANZASNOMINA ADMONRECURSOS HUMANOS</v>
      </c>
      <c r="B1555" t="s">
        <v>1807</v>
      </c>
      <c r="C1555" s="1">
        <v>45891</v>
      </c>
      <c r="D1555" t="s">
        <v>23</v>
      </c>
      <c r="E1555" t="s">
        <v>147</v>
      </c>
      <c r="F1555" t="s">
        <v>125</v>
      </c>
      <c r="H1555" t="s">
        <v>4809</v>
      </c>
      <c r="J1555" s="385">
        <v>9769.7800000000007</v>
      </c>
    </row>
    <row r="1556" spans="1:10" ht="15">
      <c r="A1556" s="137" t="str">
        <f>D1556&amp;E1556&amp;F1556</f>
        <v>FINANZASNOMINA ADMONTESORERIA</v>
      </c>
      <c r="B1556" t="s">
        <v>1807</v>
      </c>
      <c r="C1556" s="1">
        <v>45891</v>
      </c>
      <c r="D1556" t="s">
        <v>23</v>
      </c>
      <c r="E1556" t="s">
        <v>147</v>
      </c>
      <c r="F1556" t="s">
        <v>38</v>
      </c>
      <c r="H1556" t="s">
        <v>38</v>
      </c>
      <c r="J1556" s="385">
        <v>11851.2</v>
      </c>
    </row>
    <row r="1557" spans="1:10" ht="15">
      <c r="A1557" s="137" t="str">
        <f>D1557&amp;E1557&amp;F1557</f>
        <v>FINANZASNOMINA ADMONHBG FINANZAS</v>
      </c>
      <c r="B1557" t="s">
        <v>1807</v>
      </c>
      <c r="C1557" s="1">
        <v>45891</v>
      </c>
      <c r="D1557" t="s">
        <v>23</v>
      </c>
      <c r="E1557" t="s">
        <v>147</v>
      </c>
      <c r="F1557" t="s">
        <v>150</v>
      </c>
      <c r="H1557" t="s">
        <v>150</v>
      </c>
      <c r="J1557" s="385">
        <v>3057</v>
      </c>
    </row>
    <row r="1558" spans="1:10" ht="15">
      <c r="A1558" s="137" t="str">
        <f>D1558&amp;E1558&amp;F1558</f>
        <v>SGENOMINA ADMONGESTION EMPRESARIAL</v>
      </c>
      <c r="B1558" t="s">
        <v>1807</v>
      </c>
      <c r="C1558" s="1">
        <v>45891</v>
      </c>
      <c r="D1558" t="s">
        <v>39</v>
      </c>
      <c r="E1558" t="s">
        <v>147</v>
      </c>
      <c r="F1558" t="s">
        <v>40</v>
      </c>
      <c r="H1558" t="s">
        <v>4810</v>
      </c>
      <c r="J1558" s="385">
        <v>21100.400000000001</v>
      </c>
    </row>
    <row r="1559" spans="1:10" ht="15">
      <c r="A1559" s="137" t="str">
        <f>D1559&amp;E1559&amp;F1559</f>
        <v>DENOMINA ADMONDIRECCION</v>
      </c>
      <c r="B1559" t="s">
        <v>1807</v>
      </c>
      <c r="C1559" s="1">
        <v>45891</v>
      </c>
      <c r="D1559" t="s">
        <v>41</v>
      </c>
      <c r="E1559" t="s">
        <v>147</v>
      </c>
      <c r="F1559" t="s">
        <v>42</v>
      </c>
      <c r="H1559" t="s">
        <v>42</v>
      </c>
      <c r="J1559" s="385">
        <v>6000</v>
      </c>
    </row>
    <row r="1560" spans="1:10" ht="15">
      <c r="A1560" s="137" t="str">
        <f>D1560&amp;E1560&amp;F1560</f>
        <v>MMNOMINA ADMONMARKET MAX</v>
      </c>
      <c r="B1560" t="s">
        <v>1807</v>
      </c>
      <c r="C1560" s="1">
        <v>45891</v>
      </c>
      <c r="D1560" t="s">
        <v>45</v>
      </c>
      <c r="E1560" t="s">
        <v>147</v>
      </c>
      <c r="F1560" t="s">
        <v>46</v>
      </c>
      <c r="H1560" t="s">
        <v>4811</v>
      </c>
      <c r="J1560" s="385">
        <v>5876.74</v>
      </c>
    </row>
    <row r="1561" spans="1:10" ht="15">
      <c r="A1561" s="137" t="str">
        <f>D1561&amp;E1561&amp;F1561</f>
        <v>ANALISISNOMINA ADMONANALISIS DE DATOS</v>
      </c>
      <c r="B1561" t="s">
        <v>1807</v>
      </c>
      <c r="C1561" s="1">
        <v>45891</v>
      </c>
      <c r="D1561" t="s">
        <v>152</v>
      </c>
      <c r="E1561" t="s">
        <v>147</v>
      </c>
      <c r="F1561" t="s">
        <v>153</v>
      </c>
      <c r="H1561" t="s">
        <v>4812</v>
      </c>
      <c r="J1561" s="385">
        <v>2200</v>
      </c>
    </row>
    <row r="1562" spans="1:10" ht="15">
      <c r="A1562" s="137" t="str">
        <f>D1562&amp;E1562&amp;F1562</f>
        <v>MKTNOMINA ADMONMKT</v>
      </c>
      <c r="B1562" t="s">
        <v>1807</v>
      </c>
      <c r="C1562" s="1">
        <v>45891</v>
      </c>
      <c r="D1562" t="s">
        <v>19</v>
      </c>
      <c r="E1562" t="s">
        <v>147</v>
      </c>
      <c r="F1562" t="s">
        <v>19</v>
      </c>
      <c r="H1562" t="s">
        <v>4813</v>
      </c>
      <c r="J1562" s="385">
        <v>17301.2</v>
      </c>
    </row>
    <row r="1563" spans="1:10" ht="15">
      <c r="A1563" s="137" t="str">
        <f>D1563&amp;E1563&amp;F1563</f>
        <v>FINANZASNOMINA ADMONHBG FINANZAS</v>
      </c>
      <c r="B1563" t="s">
        <v>1807</v>
      </c>
      <c r="C1563" s="1">
        <v>45891</v>
      </c>
      <c r="D1563" t="s">
        <v>23</v>
      </c>
      <c r="E1563" t="s">
        <v>147</v>
      </c>
      <c r="F1563" s="12" t="s">
        <v>150</v>
      </c>
      <c r="J1563" s="385">
        <v>10950</v>
      </c>
    </row>
    <row r="1564" spans="1:10" ht="15">
      <c r="A1564" s="137" t="str">
        <f>D1564&amp;E1564&amp;F1564</f>
        <v>HRNOMINA ADMONHR</v>
      </c>
      <c r="B1564" t="s">
        <v>1807</v>
      </c>
      <c r="C1564" s="1">
        <v>45891</v>
      </c>
      <c r="D1564" t="s">
        <v>29</v>
      </c>
      <c r="E1564" t="s">
        <v>147</v>
      </c>
      <c r="F1564" s="3" t="s">
        <v>29</v>
      </c>
      <c r="J1564" s="385">
        <v>5500</v>
      </c>
    </row>
    <row r="1565" spans="1:10" ht="15">
      <c r="A1565" s="137" t="str">
        <f>D1565&amp;E1565&amp;F1565</f>
        <v>CAPNOMINA ADMONCAPRICHOS</v>
      </c>
      <c r="B1565" t="s">
        <v>1807</v>
      </c>
      <c r="C1565" s="1">
        <v>45891</v>
      </c>
      <c r="D1565" t="s">
        <v>31</v>
      </c>
      <c r="E1565" t="s">
        <v>147</v>
      </c>
      <c r="F1565" s="12" t="s">
        <v>33</v>
      </c>
      <c r="J1565" s="385">
        <v>3700</v>
      </c>
    </row>
    <row r="1566" spans="1:10" ht="15">
      <c r="A1566" s="137" t="str">
        <f>D1566&amp;E1566&amp;F1566</f>
        <v>SGENOMINA ADMONGESTION EMPRESARIAL</v>
      </c>
      <c r="B1566" t="s">
        <v>1807</v>
      </c>
      <c r="C1566" s="1">
        <v>45891</v>
      </c>
      <c r="D1566" t="s">
        <v>39</v>
      </c>
      <c r="E1566" t="s">
        <v>147</v>
      </c>
      <c r="F1566" s="12" t="s">
        <v>40</v>
      </c>
      <c r="J1566" s="385">
        <v>2750</v>
      </c>
    </row>
    <row r="1567" spans="1:10" ht="15">
      <c r="A1567" s="137" t="str">
        <f>D1567&amp;E1567&amp;F1567</f>
        <v>SERVICIOSNOMINA ADMONSERVICIOS</v>
      </c>
      <c r="B1567" t="s">
        <v>1807</v>
      </c>
      <c r="C1567" s="1">
        <v>45891</v>
      </c>
      <c r="D1567" t="s">
        <v>21</v>
      </c>
      <c r="E1567" t="s">
        <v>147</v>
      </c>
      <c r="F1567" s="12" t="s">
        <v>21</v>
      </c>
      <c r="J1567" s="385">
        <v>4750</v>
      </c>
    </row>
    <row r="1568" spans="1:10" ht="15">
      <c r="A1568" s="137" t="str">
        <f>D1568&amp;E1568&amp;F1568</f>
        <v>DENOMINA ADMONDIRECCION</v>
      </c>
      <c r="B1568" t="s">
        <v>1807</v>
      </c>
      <c r="C1568" s="1">
        <v>45891</v>
      </c>
      <c r="D1568" t="s">
        <v>41</v>
      </c>
      <c r="E1568" t="s">
        <v>147</v>
      </c>
      <c r="F1568" s="12" t="s">
        <v>42</v>
      </c>
      <c r="J1568" s="385">
        <v>5750</v>
      </c>
    </row>
    <row r="1569" spans="1:10" ht="15">
      <c r="A1569" s="137" t="str">
        <f>D1569&amp;E1569&amp;F1569</f>
        <v>MMNOMINA ADMONMARKET MAX</v>
      </c>
      <c r="B1569" t="s">
        <v>1807</v>
      </c>
      <c r="C1569" s="1">
        <v>45891</v>
      </c>
      <c r="D1569" t="s">
        <v>45</v>
      </c>
      <c r="E1569" t="s">
        <v>147</v>
      </c>
      <c r="F1569" s="12" t="s">
        <v>46</v>
      </c>
      <c r="J1569" s="385">
        <v>2000</v>
      </c>
    </row>
    <row r="1570" spans="1:10" ht="15">
      <c r="A1570" s="137" t="str">
        <f>D1570&amp;E1570&amp;F1570</f>
        <v>HRVACACIONES/FINIQUITOSHR</v>
      </c>
      <c r="B1570" t="s">
        <v>1807</v>
      </c>
      <c r="C1570" s="1">
        <v>45877</v>
      </c>
      <c r="D1570" t="s">
        <v>29</v>
      </c>
      <c r="E1570" s="12" t="s">
        <v>190</v>
      </c>
      <c r="F1570" t="s">
        <v>29</v>
      </c>
      <c r="H1570" t="s">
        <v>104</v>
      </c>
      <c r="J1570" s="385">
        <v>912</v>
      </c>
    </row>
    <row r="1571" spans="1:10" ht="15">
      <c r="A1571" s="137" t="str">
        <f>D1571&amp;E1571&amp;F1571</f>
        <v>HRVACACIONES/FINIQUITOSHR</v>
      </c>
      <c r="B1571" t="s">
        <v>1807</v>
      </c>
      <c r="C1571" s="1">
        <v>45877</v>
      </c>
      <c r="D1571" t="s">
        <v>29</v>
      </c>
      <c r="E1571" s="12" t="s">
        <v>190</v>
      </c>
      <c r="F1571" t="s">
        <v>29</v>
      </c>
      <c r="H1571" t="s">
        <v>100</v>
      </c>
      <c r="J1571" s="385">
        <v>1350</v>
      </c>
    </row>
    <row r="1572" spans="1:10" ht="15">
      <c r="A1572" s="137" t="str">
        <f>D1572&amp;E1572&amp;F1572</f>
        <v>SGEVACACIONES/FINIQUITOSGESTION EMPRESARIAL</v>
      </c>
      <c r="B1572" t="s">
        <v>1807</v>
      </c>
      <c r="C1572" s="1">
        <v>45877</v>
      </c>
      <c r="D1572" t="s">
        <v>39</v>
      </c>
      <c r="E1572" s="12" t="s">
        <v>190</v>
      </c>
      <c r="F1572" t="s">
        <v>40</v>
      </c>
      <c r="H1572" t="s">
        <v>4814</v>
      </c>
      <c r="J1572" s="385">
        <v>1018</v>
      </c>
    </row>
    <row r="1573" spans="1:10" ht="15">
      <c r="A1573" s="137" t="str">
        <f>D1573&amp;E1573&amp;F1573</f>
        <v>SGEVACACIONES/FINIQUITOSGESTION EMPRESARIAL</v>
      </c>
      <c r="B1573" t="s">
        <v>1807</v>
      </c>
      <c r="C1573" s="1">
        <v>45877</v>
      </c>
      <c r="D1573" t="s">
        <v>39</v>
      </c>
      <c r="E1573" s="12" t="s">
        <v>190</v>
      </c>
      <c r="F1573" t="s">
        <v>40</v>
      </c>
      <c r="H1573" t="s">
        <v>4814</v>
      </c>
      <c r="J1573" s="385">
        <v>1018</v>
      </c>
    </row>
    <row r="1574" spans="1:10" ht="15">
      <c r="A1574" s="137" t="str">
        <f>D1574&amp;E1574&amp;F1574</f>
        <v>SERVICIOSVACACIONES/FINIQUITOSSERVICIOS</v>
      </c>
      <c r="B1574" t="s">
        <v>1807</v>
      </c>
      <c r="C1574" s="1">
        <v>45877</v>
      </c>
      <c r="D1574" t="s">
        <v>21</v>
      </c>
      <c r="E1574" s="12" t="s">
        <v>190</v>
      </c>
      <c r="F1574" t="s">
        <v>21</v>
      </c>
      <c r="H1574" t="s">
        <v>28</v>
      </c>
      <c r="J1574" s="385">
        <v>2278</v>
      </c>
    </row>
    <row r="1575" spans="1:10" ht="15">
      <c r="A1575" s="137" t="str">
        <f>D1575&amp;E1575&amp;F1575</f>
        <v>HRVACACIONES/FINIQUITOSHR</v>
      </c>
      <c r="B1575" t="s">
        <v>1807</v>
      </c>
      <c r="C1575" s="1">
        <v>45891</v>
      </c>
      <c r="D1575" t="s">
        <v>29</v>
      </c>
      <c r="E1575" s="12" t="s">
        <v>190</v>
      </c>
      <c r="F1575" t="s">
        <v>29</v>
      </c>
      <c r="H1575" t="s">
        <v>104</v>
      </c>
      <c r="J1575" s="385">
        <v>1100</v>
      </c>
    </row>
    <row r="1576" spans="1:10" ht="15">
      <c r="A1576" s="137" t="str">
        <f>D1576&amp;E1576&amp;F1576</f>
        <v>CAPVACACIONES/FINIQUITOSCAPRICHOS</v>
      </c>
      <c r="B1576" t="s">
        <v>1807</v>
      </c>
      <c r="C1576" s="1">
        <v>45891</v>
      </c>
      <c r="D1576" t="s">
        <v>31</v>
      </c>
      <c r="E1576" s="12" t="s">
        <v>190</v>
      </c>
      <c r="F1576" t="s">
        <v>33</v>
      </c>
      <c r="H1576" t="s">
        <v>111</v>
      </c>
      <c r="J1576" s="385">
        <v>912</v>
      </c>
    </row>
    <row r="1577" spans="1:10" ht="15">
      <c r="A1577" s="137" t="str">
        <f>D1577&amp;E1577&amp;F1577</f>
        <v>SERVICIOSVACACIONES/FINIQUITOSSERVICIOS</v>
      </c>
      <c r="B1577" t="s">
        <v>1807</v>
      </c>
      <c r="C1577" s="1">
        <v>45891</v>
      </c>
      <c r="D1577" t="s">
        <v>21</v>
      </c>
      <c r="E1577" s="12" t="s">
        <v>190</v>
      </c>
      <c r="F1577" t="s">
        <v>21</v>
      </c>
      <c r="H1577" t="s">
        <v>4815</v>
      </c>
      <c r="J1577" s="385">
        <v>5478</v>
      </c>
    </row>
    <row r="1578" spans="1:10" ht="15">
      <c r="A1578" s="137" t="str">
        <f>D1578&amp;E1578&amp;F1578</f>
        <v>SERVICIOSVACACIONES/FINIQUITOSSERVICIOS</v>
      </c>
      <c r="B1578" t="s">
        <v>1807</v>
      </c>
      <c r="C1578" s="1">
        <v>45891</v>
      </c>
      <c r="D1578" t="s">
        <v>21</v>
      </c>
      <c r="E1578" s="12" t="s">
        <v>190</v>
      </c>
      <c r="F1578" t="s">
        <v>21</v>
      </c>
      <c r="H1578" t="s">
        <v>148</v>
      </c>
      <c r="J1578" s="385">
        <v>3300</v>
      </c>
    </row>
    <row r="1579" spans="1:10" ht="15">
      <c r="A1579" s="137" t="str">
        <f>D1579&amp;E1579&amp;F1579</f>
        <v>HRVACACIONES/FINIQUITOSHR</v>
      </c>
      <c r="B1579" t="s">
        <v>1807</v>
      </c>
      <c r="C1579" s="1">
        <v>45898</v>
      </c>
      <c r="D1579" t="s">
        <v>29</v>
      </c>
      <c r="E1579" s="12" t="s">
        <v>190</v>
      </c>
      <c r="F1579" t="s">
        <v>29</v>
      </c>
      <c r="H1579" t="s">
        <v>4816</v>
      </c>
      <c r="J1579" s="385">
        <v>2553.5700000000002</v>
      </c>
    </row>
    <row r="1580" spans="1:10" ht="15">
      <c r="A1580" s="137" t="str">
        <f>D1580&amp;E1580&amp;F1580</f>
        <v>SERVICIOSVACACIONES/FINIQUITOSSERVICIOS</v>
      </c>
      <c r="B1580" t="s">
        <v>1807</v>
      </c>
      <c r="C1580" s="1">
        <v>45898</v>
      </c>
      <c r="D1580" t="s">
        <v>21</v>
      </c>
      <c r="E1580" s="12" t="s">
        <v>190</v>
      </c>
      <c r="F1580" t="s">
        <v>21</v>
      </c>
      <c r="H1580" t="s">
        <v>36</v>
      </c>
      <c r="J1580" s="385">
        <v>1526</v>
      </c>
    </row>
    <row r="1581" spans="1:10" ht="15">
      <c r="A1581" s="137" t="str">
        <f>D1581&amp;E1581&amp;F1581</f>
        <v>HRVACACIONES/FINIQUITOSHR</v>
      </c>
      <c r="B1581" t="s">
        <v>1807</v>
      </c>
      <c r="C1581" s="1">
        <v>45898</v>
      </c>
      <c r="D1581" t="s">
        <v>29</v>
      </c>
      <c r="E1581" s="12" t="s">
        <v>190</v>
      </c>
      <c r="F1581" t="s">
        <v>29</v>
      </c>
      <c r="H1581" t="s">
        <v>101</v>
      </c>
      <c r="J1581" s="385">
        <v>1493.5</v>
      </c>
    </row>
    <row r="1582" spans="1:10" ht="15">
      <c r="A1582" s="137" t="str">
        <f>D1582&amp;E1582&amp;F1582</f>
        <v>CAPVACACIONES/FINIQUITOSCAPRICHOS</v>
      </c>
      <c r="B1582" t="s">
        <v>1807</v>
      </c>
      <c r="C1582" s="1">
        <v>45898</v>
      </c>
      <c r="D1582" t="s">
        <v>31</v>
      </c>
      <c r="E1582" s="12" t="s">
        <v>190</v>
      </c>
      <c r="F1582" t="s">
        <v>33</v>
      </c>
      <c r="H1582" t="s">
        <v>113</v>
      </c>
      <c r="J1582" s="385">
        <v>1885.71</v>
      </c>
    </row>
    <row r="1583" spans="1:10" ht="15">
      <c r="A1583" s="137" t="str">
        <f>D1583&amp;E1583&amp;F1583</f>
        <v>MMVACACIONES/FINIQUITOSMARKET MAX</v>
      </c>
      <c r="B1583" t="s">
        <v>1807</v>
      </c>
      <c r="C1583" s="1">
        <v>45898</v>
      </c>
      <c r="D1583" t="s">
        <v>45</v>
      </c>
      <c r="E1583" s="12" t="s">
        <v>190</v>
      </c>
      <c r="F1583" s="12" t="s">
        <v>46</v>
      </c>
      <c r="H1583" t="s">
        <v>46</v>
      </c>
      <c r="J1583" s="385">
        <v>3000</v>
      </c>
    </row>
    <row r="1584" spans="1:10" ht="15">
      <c r="A1584" s="137" t="str">
        <f>D1584&amp;E1584&amp;F1584</f>
        <v>HRNOMINA SUCURSALA1</v>
      </c>
      <c r="B1584" t="s">
        <v>1807</v>
      </c>
      <c r="C1584" s="1">
        <v>45898</v>
      </c>
      <c r="D1584" t="s">
        <v>29</v>
      </c>
      <c r="E1584" t="s">
        <v>154</v>
      </c>
      <c r="F1584" s="3" t="s">
        <v>88</v>
      </c>
      <c r="J1584" s="299">
        <v>10934</v>
      </c>
    </row>
    <row r="1585" spans="1:10" ht="15">
      <c r="A1585" s="137" t="str">
        <f>D1585&amp;E1585&amp;F1585</f>
        <v>HRNOMINA SUCURSALA2</v>
      </c>
      <c r="B1585" t="s">
        <v>1807</v>
      </c>
      <c r="C1585" s="1">
        <v>45898</v>
      </c>
      <c r="D1585" t="s">
        <v>29</v>
      </c>
      <c r="E1585" t="s">
        <v>154</v>
      </c>
      <c r="F1585" s="3" t="s">
        <v>89</v>
      </c>
      <c r="J1585" s="299">
        <v>11858.2</v>
      </c>
    </row>
    <row r="1586" spans="1:10" ht="15">
      <c r="A1586" s="137" t="str">
        <f>D1586&amp;E1586&amp;F1586</f>
        <v>HRNOMINA SUCURSALA3</v>
      </c>
      <c r="B1586" t="s">
        <v>1807</v>
      </c>
      <c r="C1586" s="1">
        <v>45898</v>
      </c>
      <c r="D1586" t="s">
        <v>29</v>
      </c>
      <c r="E1586" t="s">
        <v>154</v>
      </c>
      <c r="F1586" s="3" t="s">
        <v>90</v>
      </c>
      <c r="J1586" s="299">
        <v>8175.8</v>
      </c>
    </row>
    <row r="1587" spans="1:10" ht="15">
      <c r="A1587" s="137" t="str">
        <f>D1587&amp;E1587&amp;F1587</f>
        <v>HRNOMINA SUCURSALA4</v>
      </c>
      <c r="B1587" t="s">
        <v>1807</v>
      </c>
      <c r="C1587" s="1">
        <v>45898</v>
      </c>
      <c r="D1587" t="s">
        <v>29</v>
      </c>
      <c r="E1587" t="s">
        <v>154</v>
      </c>
      <c r="F1587" s="3" t="s">
        <v>91</v>
      </c>
      <c r="J1587" s="299">
        <v>9729.7999999999993</v>
      </c>
    </row>
    <row r="1588" spans="1:10" ht="15">
      <c r="A1588" s="137" t="str">
        <f>D1588&amp;E1588&amp;F1588</f>
        <v>HRNOMINA SUCURSALA5</v>
      </c>
      <c r="B1588" t="s">
        <v>1807</v>
      </c>
      <c r="C1588" s="1">
        <v>45898</v>
      </c>
      <c r="D1588" t="s">
        <v>29</v>
      </c>
      <c r="E1588" t="s">
        <v>154</v>
      </c>
      <c r="F1588" s="3" t="s">
        <v>92</v>
      </c>
      <c r="J1588" s="299">
        <v>11268.2</v>
      </c>
    </row>
    <row r="1589" spans="1:10" ht="15">
      <c r="A1589" s="137" t="str">
        <f>D1589&amp;E1589&amp;F1589</f>
        <v>HRNOMINA SUCURSALA6</v>
      </c>
      <c r="B1589" t="s">
        <v>1807</v>
      </c>
      <c r="C1589" s="1">
        <v>45898</v>
      </c>
      <c r="D1589" t="s">
        <v>29</v>
      </c>
      <c r="E1589" t="s">
        <v>154</v>
      </c>
      <c r="F1589" s="3" t="s">
        <v>93</v>
      </c>
      <c r="J1589" s="299">
        <v>13835.69</v>
      </c>
    </row>
    <row r="1590" spans="1:10" ht="15">
      <c r="A1590" s="137" t="str">
        <f>D1590&amp;E1590&amp;F1590</f>
        <v>HRNOMINA SUCURSALA8</v>
      </c>
      <c r="B1590" t="s">
        <v>1807</v>
      </c>
      <c r="C1590" s="1">
        <v>45898</v>
      </c>
      <c r="D1590" t="s">
        <v>29</v>
      </c>
      <c r="E1590" t="s">
        <v>154</v>
      </c>
      <c r="F1590" s="3" t="s">
        <v>94</v>
      </c>
      <c r="J1590" s="299">
        <v>18814.400000000001</v>
      </c>
    </row>
    <row r="1591" spans="1:10" ht="15">
      <c r="A1591" s="137" t="str">
        <f>D1591&amp;E1591&amp;F1591</f>
        <v>HRNOMINA SUCURSALA9</v>
      </c>
      <c r="B1591" t="s">
        <v>1807</v>
      </c>
      <c r="C1591" s="1">
        <v>45898</v>
      </c>
      <c r="D1591" t="s">
        <v>29</v>
      </c>
      <c r="E1591" t="s">
        <v>154</v>
      </c>
      <c r="F1591" s="3" t="s">
        <v>95</v>
      </c>
      <c r="J1591" s="299">
        <v>11087.71</v>
      </c>
    </row>
    <row r="1592" spans="1:10" ht="15">
      <c r="A1592" s="137" t="str">
        <f>D1592&amp;E1592&amp;F1592</f>
        <v>HRNOMINA SUCURSALA10</v>
      </c>
      <c r="B1592" t="s">
        <v>1807</v>
      </c>
      <c r="C1592" s="1">
        <v>45898</v>
      </c>
      <c r="D1592" t="s">
        <v>29</v>
      </c>
      <c r="E1592" t="s">
        <v>154</v>
      </c>
      <c r="F1592" s="3" t="s">
        <v>96</v>
      </c>
      <c r="J1592" s="299">
        <v>16150.2</v>
      </c>
    </row>
    <row r="1593" spans="1:10" ht="15">
      <c r="A1593" s="137" t="str">
        <f>D1593&amp;E1593&amp;F1593</f>
        <v>HRNOMINA SUCURSALA11</v>
      </c>
      <c r="B1593" t="s">
        <v>1807</v>
      </c>
      <c r="C1593" s="1">
        <v>45898</v>
      </c>
      <c r="D1593" t="s">
        <v>29</v>
      </c>
      <c r="E1593" t="s">
        <v>154</v>
      </c>
      <c r="F1593" s="62" t="s">
        <v>97</v>
      </c>
      <c r="J1593" s="299">
        <v>13196</v>
      </c>
    </row>
    <row r="1594" spans="1:10" ht="15">
      <c r="A1594" s="137" t="str">
        <f>D1594&amp;E1594&amp;F1594</f>
        <v>HRNOMINA SUCURSALA12</v>
      </c>
      <c r="B1594" t="s">
        <v>1807</v>
      </c>
      <c r="C1594" s="1">
        <v>45898</v>
      </c>
      <c r="D1594" t="s">
        <v>29</v>
      </c>
      <c r="E1594" t="s">
        <v>154</v>
      </c>
      <c r="F1594" s="3" t="s">
        <v>98</v>
      </c>
      <c r="J1594" s="299">
        <v>13719.6</v>
      </c>
    </row>
    <row r="1595" spans="1:10" ht="15">
      <c r="A1595" s="137" t="str">
        <f>D1595&amp;E1595&amp;F1595</f>
        <v>HRNOMINA SUCURSALA14</v>
      </c>
      <c r="B1595" t="s">
        <v>1807</v>
      </c>
      <c r="C1595" s="1">
        <v>45898</v>
      </c>
      <c r="D1595" t="s">
        <v>29</v>
      </c>
      <c r="E1595" t="s">
        <v>154</v>
      </c>
      <c r="F1595" s="3" t="s">
        <v>99</v>
      </c>
      <c r="J1595" s="299">
        <v>12959.6</v>
      </c>
    </row>
    <row r="1596" spans="1:10" ht="15">
      <c r="A1596" s="137" t="str">
        <f>D1596&amp;E1596&amp;F1596</f>
        <v>HRNOMINA SUCURSALA15</v>
      </c>
      <c r="B1596" t="s">
        <v>1807</v>
      </c>
      <c r="C1596" s="1">
        <v>45898</v>
      </c>
      <c r="D1596" t="s">
        <v>29</v>
      </c>
      <c r="E1596" t="s">
        <v>154</v>
      </c>
      <c r="F1596" s="3" t="s">
        <v>100</v>
      </c>
      <c r="J1596" s="299">
        <v>11558</v>
      </c>
    </row>
    <row r="1597" spans="1:10" ht="15">
      <c r="A1597" s="137" t="str">
        <f>D1597&amp;E1597&amp;F1597</f>
        <v>HRNOMINA SUCURSALA16</v>
      </c>
      <c r="B1597" t="s">
        <v>1807</v>
      </c>
      <c r="C1597" s="1">
        <v>45898</v>
      </c>
      <c r="D1597" t="s">
        <v>29</v>
      </c>
      <c r="E1597" t="s">
        <v>154</v>
      </c>
      <c r="F1597" s="3" t="s">
        <v>101</v>
      </c>
      <c r="J1597" s="299">
        <v>15018.29</v>
      </c>
    </row>
    <row r="1598" spans="1:10" ht="15">
      <c r="A1598" s="137" t="str">
        <f>D1598&amp;E1598&amp;F1598</f>
        <v>HRNOMINA SUCURSALA17</v>
      </c>
      <c r="B1598" t="s">
        <v>1807</v>
      </c>
      <c r="C1598" s="1">
        <v>45898</v>
      </c>
      <c r="D1598" t="s">
        <v>29</v>
      </c>
      <c r="E1598" t="s">
        <v>154</v>
      </c>
      <c r="F1598" s="3" t="s">
        <v>102</v>
      </c>
      <c r="J1598" s="299">
        <v>7366.6</v>
      </c>
    </row>
    <row r="1599" spans="1:10" ht="15">
      <c r="A1599" s="137" t="str">
        <f>D1599&amp;E1599&amp;F1599</f>
        <v>HRNOMINA SUCURSALA18</v>
      </c>
      <c r="B1599" t="s">
        <v>1807</v>
      </c>
      <c r="C1599" s="1">
        <v>45898</v>
      </c>
      <c r="D1599" t="s">
        <v>29</v>
      </c>
      <c r="E1599" t="s">
        <v>154</v>
      </c>
      <c r="F1599" s="3" t="s">
        <v>103</v>
      </c>
      <c r="J1599" s="299">
        <v>12036</v>
      </c>
    </row>
    <row r="1600" spans="1:10" ht="15">
      <c r="A1600" s="137" t="str">
        <f>D1600&amp;E1600&amp;F1600</f>
        <v>HRNOMINA SUCURSALA22</v>
      </c>
      <c r="B1600" t="s">
        <v>1807</v>
      </c>
      <c r="C1600" s="1">
        <v>45898</v>
      </c>
      <c r="D1600" t="s">
        <v>29</v>
      </c>
      <c r="E1600" t="s">
        <v>154</v>
      </c>
      <c r="F1600" s="3" t="s">
        <v>104</v>
      </c>
      <c r="J1600" s="299">
        <v>17817.8</v>
      </c>
    </row>
    <row r="1601" spans="1:10" ht="15">
      <c r="A1601" s="137" t="str">
        <f>D1601&amp;E1601&amp;F1601</f>
        <v>HRNOMINA SUCURSALA23</v>
      </c>
      <c r="B1601" t="s">
        <v>1807</v>
      </c>
      <c r="C1601" s="1">
        <v>45898</v>
      </c>
      <c r="D1601" t="s">
        <v>29</v>
      </c>
      <c r="E1601" t="s">
        <v>154</v>
      </c>
      <c r="F1601" s="3" t="s">
        <v>105</v>
      </c>
      <c r="J1601" s="299">
        <v>14457.2</v>
      </c>
    </row>
    <row r="1602" spans="1:10" ht="15">
      <c r="A1602" s="137" t="str">
        <f>D1602&amp;E1602&amp;F1602</f>
        <v>HRNOMINA SUCURSALA24</v>
      </c>
      <c r="B1602" t="s">
        <v>1807</v>
      </c>
      <c r="C1602" s="1">
        <v>45898</v>
      </c>
      <c r="D1602" t="s">
        <v>29</v>
      </c>
      <c r="E1602" t="s">
        <v>154</v>
      </c>
      <c r="F1602" s="3" t="s">
        <v>106</v>
      </c>
      <c r="J1602" s="299">
        <v>17094</v>
      </c>
    </row>
    <row r="1603" spans="1:10" ht="15">
      <c r="A1603" s="137" t="str">
        <f>D1603&amp;E1603&amp;F1603</f>
        <v>CAPNOMINA SUCURSALE1</v>
      </c>
      <c r="B1603" t="s">
        <v>1807</v>
      </c>
      <c r="C1603" s="1">
        <v>45898</v>
      </c>
      <c r="D1603" t="s">
        <v>31</v>
      </c>
      <c r="E1603" t="s">
        <v>154</v>
      </c>
      <c r="F1603" s="3" t="s">
        <v>107</v>
      </c>
      <c r="J1603" s="299">
        <v>15681</v>
      </c>
    </row>
    <row r="1604" spans="1:10" ht="15">
      <c r="A1604" s="137" t="str">
        <f>D1604&amp;E1604&amp;F1604</f>
        <v>CAPNOMINA SUCURSALE2</v>
      </c>
      <c r="B1604" t="s">
        <v>1807</v>
      </c>
      <c r="C1604" s="1">
        <v>45898</v>
      </c>
      <c r="D1604" t="s">
        <v>31</v>
      </c>
      <c r="E1604" t="s">
        <v>154</v>
      </c>
      <c r="F1604" s="3" t="s">
        <v>108</v>
      </c>
      <c r="J1604" s="299">
        <v>18146.599999999999</v>
      </c>
    </row>
    <row r="1605" spans="1:10" ht="15">
      <c r="A1605" s="137" t="str">
        <f>D1605&amp;E1605&amp;F1605</f>
        <v>CAPNOMINA SUCURSALE3</v>
      </c>
      <c r="B1605" t="s">
        <v>1807</v>
      </c>
      <c r="C1605" s="1">
        <v>45898</v>
      </c>
      <c r="D1605" t="s">
        <v>31</v>
      </c>
      <c r="E1605" t="s">
        <v>154</v>
      </c>
      <c r="F1605" s="3" t="s">
        <v>109</v>
      </c>
      <c r="J1605" s="299">
        <v>13603.8</v>
      </c>
    </row>
    <row r="1606" spans="1:10" ht="15">
      <c r="A1606" s="137" t="str">
        <f>D1606&amp;E1606&amp;F1606</f>
        <v>CAPNOMINA SUCURSALE4</v>
      </c>
      <c r="B1606" t="s">
        <v>1807</v>
      </c>
      <c r="C1606" s="1">
        <v>45898</v>
      </c>
      <c r="D1606" t="s">
        <v>31</v>
      </c>
      <c r="E1606" t="s">
        <v>154</v>
      </c>
      <c r="F1606" s="3" t="s">
        <v>110</v>
      </c>
      <c r="J1606" s="299">
        <v>22716</v>
      </c>
    </row>
    <row r="1607" spans="1:10" ht="15">
      <c r="A1607" s="137" t="str">
        <f>D1607&amp;E1607&amp;F1607</f>
        <v>CAPNOMINA SUCURSALE5</v>
      </c>
      <c r="B1607" t="s">
        <v>1807</v>
      </c>
      <c r="C1607" s="1">
        <v>45898</v>
      </c>
      <c r="D1607" t="s">
        <v>31</v>
      </c>
      <c r="E1607" t="s">
        <v>154</v>
      </c>
      <c r="F1607" s="3" t="s">
        <v>111</v>
      </c>
      <c r="J1607" s="299">
        <v>15933.6</v>
      </c>
    </row>
    <row r="1608" spans="1:10" ht="15">
      <c r="A1608" s="137" t="str">
        <f>D1608&amp;E1608&amp;F1608</f>
        <v>CAPNOMINA SUCURSALE6</v>
      </c>
      <c r="B1608" t="s">
        <v>1807</v>
      </c>
      <c r="C1608" s="1">
        <v>45898</v>
      </c>
      <c r="D1608" t="s">
        <v>31</v>
      </c>
      <c r="E1608" t="s">
        <v>154</v>
      </c>
      <c r="F1608" s="3" t="s">
        <v>112</v>
      </c>
      <c r="J1608" s="299">
        <v>16563.400000000001</v>
      </c>
    </row>
    <row r="1609" spans="1:10" ht="15">
      <c r="A1609" s="137" t="str">
        <f>D1609&amp;E1609&amp;F1609</f>
        <v>CAPNOMINA SUCURSALE7</v>
      </c>
      <c r="B1609" t="s">
        <v>1807</v>
      </c>
      <c r="C1609" s="1">
        <v>45898</v>
      </c>
      <c r="D1609" t="s">
        <v>31</v>
      </c>
      <c r="E1609" t="s">
        <v>154</v>
      </c>
      <c r="F1609" s="3" t="s">
        <v>113</v>
      </c>
      <c r="J1609" s="299">
        <v>14420.2</v>
      </c>
    </row>
    <row r="1610" spans="1:10" ht="15">
      <c r="A1610" s="137" t="str">
        <f>D1610&amp;E1610&amp;F1610</f>
        <v>CAPNOMINA SUCURSALE8</v>
      </c>
      <c r="B1610" t="s">
        <v>1807</v>
      </c>
      <c r="C1610" s="1">
        <v>45898</v>
      </c>
      <c r="D1610" t="s">
        <v>31</v>
      </c>
      <c r="E1610" t="s">
        <v>154</v>
      </c>
      <c r="F1610" s="3" t="s">
        <v>114</v>
      </c>
      <c r="J1610" s="299">
        <v>25485.599999999999</v>
      </c>
    </row>
    <row r="1611" spans="1:10" ht="15">
      <c r="A1611" s="137" t="str">
        <f>D1611&amp;E1611&amp;F1611</f>
        <v>CAPNOMINA SUCURSALE9</v>
      </c>
      <c r="B1611" t="s">
        <v>1807</v>
      </c>
      <c r="C1611" s="1">
        <v>45898</v>
      </c>
      <c r="D1611" t="s">
        <v>31</v>
      </c>
      <c r="E1611" t="s">
        <v>154</v>
      </c>
      <c r="F1611" s="3" t="s">
        <v>116</v>
      </c>
      <c r="J1611" s="299">
        <v>25676.400000000001</v>
      </c>
    </row>
    <row r="1612" spans="1:10" ht="15">
      <c r="A1612" s="137" t="str">
        <f>D1612&amp;E1612&amp;F1612</f>
        <v>ELINOMINA SUCURSALL1</v>
      </c>
      <c r="B1612" t="s">
        <v>1807</v>
      </c>
      <c r="C1612" s="1">
        <v>45898</v>
      </c>
      <c r="D1612" t="s">
        <v>130</v>
      </c>
      <c r="E1612" t="s">
        <v>154</v>
      </c>
      <c r="F1612" t="s">
        <v>136</v>
      </c>
      <c r="J1612" s="385">
        <v>7687</v>
      </c>
    </row>
    <row r="1613" spans="1:10" ht="15">
      <c r="A1613" s="137" t="str">
        <f>D1613&amp;E1613&amp;F1613</f>
        <v>HRNOMINA ADMONHR</v>
      </c>
      <c r="B1613" t="s">
        <v>1807</v>
      </c>
      <c r="C1613" s="1">
        <v>45898</v>
      </c>
      <c r="D1613" t="s">
        <v>29</v>
      </c>
      <c r="E1613" t="s">
        <v>147</v>
      </c>
      <c r="F1613" t="s">
        <v>29</v>
      </c>
      <c r="J1613" s="385">
        <v>24242</v>
      </c>
    </row>
    <row r="1614" spans="1:10" ht="15">
      <c r="A1614" s="137" t="str">
        <f>D1614&amp;E1614&amp;F1614</f>
        <v>CAPNOMINA ADMONCAPRICHOS</v>
      </c>
      <c r="B1614" t="s">
        <v>1807</v>
      </c>
      <c r="C1614" s="1">
        <v>45898</v>
      </c>
      <c r="D1614" t="s">
        <v>31</v>
      </c>
      <c r="E1614" t="s">
        <v>147</v>
      </c>
      <c r="F1614" t="s">
        <v>33</v>
      </c>
      <c r="J1614" s="385">
        <v>21628</v>
      </c>
    </row>
    <row r="1615" spans="1:10" ht="15">
      <c r="A1615" s="137" t="str">
        <f>D1615&amp;E1615&amp;F1615</f>
        <v>SERVICIOSNOMINA SUCURSALCEDIS</v>
      </c>
      <c r="B1615" t="s">
        <v>1807</v>
      </c>
      <c r="C1615" s="1">
        <v>45898</v>
      </c>
      <c r="D1615" t="s">
        <v>21</v>
      </c>
      <c r="E1615" t="s">
        <v>154</v>
      </c>
      <c r="F1615" t="s">
        <v>28</v>
      </c>
      <c r="J1615" s="385">
        <v>75529</v>
      </c>
    </row>
    <row r="1616" spans="1:10" ht="15">
      <c r="A1616" s="137" t="str">
        <f>D1616&amp;E1616&amp;F1616</f>
        <v>SERVICIOSNOMINA ADMONINVENTARIOS</v>
      </c>
      <c r="B1616" t="s">
        <v>1807</v>
      </c>
      <c r="C1616" s="1">
        <v>45898</v>
      </c>
      <c r="D1616" t="s">
        <v>21</v>
      </c>
      <c r="E1616" t="s">
        <v>147</v>
      </c>
      <c r="F1616" t="s">
        <v>34</v>
      </c>
      <c r="J1616" s="385">
        <v>2800</v>
      </c>
    </row>
    <row r="1617" spans="1:10" ht="15">
      <c r="A1617" s="137" t="str">
        <f>D1617&amp;E1617&amp;F1617</f>
        <v>SERVICIOSNOMINA ADMONMANTENIMIENTO</v>
      </c>
      <c r="B1617" t="s">
        <v>1807</v>
      </c>
      <c r="C1617" s="1">
        <v>45898</v>
      </c>
      <c r="D1617" t="s">
        <v>21</v>
      </c>
      <c r="E1617" t="s">
        <v>147</v>
      </c>
      <c r="F1617" t="s">
        <v>35</v>
      </c>
      <c r="J1617" s="385">
        <v>13897</v>
      </c>
    </row>
    <row r="1618" spans="1:10" ht="15">
      <c r="A1618" s="137" t="str">
        <f>D1618&amp;E1618&amp;F1618</f>
        <v>SERVICIOSNOMINA ADMONCADENA DE SUMINISTROS</v>
      </c>
      <c r="B1618" t="s">
        <v>1807</v>
      </c>
      <c r="C1618" s="1">
        <v>45898</v>
      </c>
      <c r="D1618" t="s">
        <v>21</v>
      </c>
      <c r="E1618" t="s">
        <v>147</v>
      </c>
      <c r="F1618" t="s">
        <v>134</v>
      </c>
      <c r="J1618" s="385">
        <v>22908</v>
      </c>
    </row>
    <row r="1619" spans="1:10" ht="15">
      <c r="A1619" s="137" t="str">
        <f>D1619&amp;E1619&amp;F1619</f>
        <v>SERVICIOSNOMINA ADMONSISTEMAS</v>
      </c>
      <c r="B1619" t="s">
        <v>1807</v>
      </c>
      <c r="C1619" s="1">
        <v>45898</v>
      </c>
      <c r="D1619" t="s">
        <v>21</v>
      </c>
      <c r="E1619" t="s">
        <v>147</v>
      </c>
      <c r="F1619" t="s">
        <v>36</v>
      </c>
      <c r="J1619" s="385">
        <v>13349</v>
      </c>
    </row>
    <row r="1620" spans="1:10" ht="15">
      <c r="A1620" s="137" t="str">
        <f>D1620&amp;E1620&amp;F1620</f>
        <v>SERVICIOSNOMINA ADMONCOMPRAS</v>
      </c>
      <c r="B1620" t="s">
        <v>1807</v>
      </c>
      <c r="C1620" s="1">
        <v>45898</v>
      </c>
      <c r="D1620" t="s">
        <v>21</v>
      </c>
      <c r="E1620" t="s">
        <v>147</v>
      </c>
      <c r="F1620" t="s">
        <v>148</v>
      </c>
      <c r="J1620" s="385">
        <v>22900</v>
      </c>
    </row>
    <row r="1621" spans="1:10" ht="15">
      <c r="A1621" s="137" t="str">
        <f>D1621&amp;E1621&amp;F1621</f>
        <v>FINANZASNOMINA ADMONCONTABILIDAD</v>
      </c>
      <c r="B1621" t="s">
        <v>1807</v>
      </c>
      <c r="C1621" s="1">
        <v>45898</v>
      </c>
      <c r="D1621" t="s">
        <v>23</v>
      </c>
      <c r="E1621" t="s">
        <v>147</v>
      </c>
      <c r="F1621" t="s">
        <v>37</v>
      </c>
      <c r="J1621" s="385">
        <v>10002</v>
      </c>
    </row>
    <row r="1622" spans="1:10" ht="15">
      <c r="A1622" s="137" t="str">
        <f>D1622&amp;E1622&amp;F1622</f>
        <v>FINANZASNOMINA ADMONFINANZAS/LEGAL</v>
      </c>
      <c r="B1622" t="s">
        <v>1807</v>
      </c>
      <c r="C1622" s="1">
        <v>45898</v>
      </c>
      <c r="D1622" t="s">
        <v>23</v>
      </c>
      <c r="E1622" t="s">
        <v>147</v>
      </c>
      <c r="F1622" t="s">
        <v>149</v>
      </c>
      <c r="J1622" s="385">
        <v>11212</v>
      </c>
    </row>
    <row r="1623" spans="1:10" ht="15">
      <c r="A1623" s="137" t="str">
        <f>D1623&amp;E1623&amp;F1623</f>
        <v>FINANZASNOMINA ADMONRECURSOS HUMANOS</v>
      </c>
      <c r="B1623" t="s">
        <v>1807</v>
      </c>
      <c r="C1623" s="1">
        <v>45898</v>
      </c>
      <c r="D1623" t="s">
        <v>23</v>
      </c>
      <c r="E1623" t="s">
        <v>147</v>
      </c>
      <c r="F1623" t="s">
        <v>125</v>
      </c>
      <c r="J1623" s="385">
        <v>10156</v>
      </c>
    </row>
    <row r="1624" spans="1:10" ht="15">
      <c r="A1624" s="137" t="str">
        <f>D1624&amp;E1624&amp;F1624</f>
        <v>FINANZASNOMINA ADMONTESORERIA</v>
      </c>
      <c r="B1624" t="s">
        <v>1807</v>
      </c>
      <c r="C1624" s="1">
        <v>45898</v>
      </c>
      <c r="D1624" t="s">
        <v>23</v>
      </c>
      <c r="E1624" t="s">
        <v>147</v>
      </c>
      <c r="F1624" t="s">
        <v>38</v>
      </c>
      <c r="J1624" s="385">
        <v>12249</v>
      </c>
    </row>
    <row r="1625" spans="1:10" ht="15">
      <c r="A1625" s="137" t="str">
        <f>D1625&amp;E1625&amp;F1625</f>
        <v>FINANZASNOMINA ADMONHBG FINANZAS</v>
      </c>
      <c r="B1625" t="s">
        <v>1807</v>
      </c>
      <c r="C1625" s="1">
        <v>45898</v>
      </c>
      <c r="D1625" t="s">
        <v>23</v>
      </c>
      <c r="E1625" t="s">
        <v>147</v>
      </c>
      <c r="F1625" t="s">
        <v>150</v>
      </c>
      <c r="J1625" s="385">
        <v>506</v>
      </c>
    </row>
    <row r="1626" spans="1:10" ht="15">
      <c r="A1626" s="137" t="str">
        <f>D1626&amp;E1626&amp;F1626</f>
        <v>SGENOMINA ADMONGESTION EMPRESARIAL</v>
      </c>
      <c r="B1626" t="s">
        <v>1807</v>
      </c>
      <c r="C1626" s="1">
        <v>45898</v>
      </c>
      <c r="D1626" t="s">
        <v>39</v>
      </c>
      <c r="E1626" t="s">
        <v>147</v>
      </c>
      <c r="F1626" t="s">
        <v>40</v>
      </c>
      <c r="J1626" s="385">
        <v>19803</v>
      </c>
    </row>
    <row r="1627" spans="1:10" ht="15">
      <c r="A1627" s="137" t="str">
        <f>D1627&amp;E1627&amp;F1627</f>
        <v>DENOMINA ADMONDIRECCION</v>
      </c>
      <c r="B1627" t="s">
        <v>1807</v>
      </c>
      <c r="C1627" s="1">
        <v>45898</v>
      </c>
      <c r="D1627" t="s">
        <v>41</v>
      </c>
      <c r="E1627" t="s">
        <v>147</v>
      </c>
      <c r="F1627" t="s">
        <v>42</v>
      </c>
      <c r="J1627" s="385">
        <v>6000</v>
      </c>
    </row>
    <row r="1628" spans="1:10" ht="15">
      <c r="A1628" s="137" t="str">
        <f>D1628&amp;E1628&amp;F1628</f>
        <v>MELNOMINA ADMONMELISSA</v>
      </c>
      <c r="B1628" t="s">
        <v>1807</v>
      </c>
      <c r="C1628" s="1">
        <v>45898</v>
      </c>
      <c r="D1628" t="s">
        <v>43</v>
      </c>
      <c r="E1628" s="12" t="s">
        <v>147</v>
      </c>
      <c r="F1628" s="12" t="s">
        <v>44</v>
      </c>
      <c r="H1628" t="s">
        <v>4817</v>
      </c>
      <c r="J1628" s="385">
        <v>4191</v>
      </c>
    </row>
    <row r="1629" spans="1:10" ht="15">
      <c r="A1629" s="137" t="str">
        <f>D1629&amp;E1629&amp;F1629</f>
        <v>MMNOMINA ADMONMARKET MAX</v>
      </c>
      <c r="B1629" t="s">
        <v>1807</v>
      </c>
      <c r="C1629" s="1">
        <v>45898</v>
      </c>
      <c r="D1629" t="s">
        <v>45</v>
      </c>
      <c r="E1629" t="s">
        <v>147</v>
      </c>
      <c r="F1629" t="s">
        <v>46</v>
      </c>
      <c r="H1629" t="s">
        <v>4811</v>
      </c>
      <c r="J1629" s="385">
        <v>5875</v>
      </c>
    </row>
    <row r="1630" spans="1:10" ht="15">
      <c r="A1630" s="137" t="str">
        <f>D1630&amp;E1630&amp;F1630</f>
        <v>ANALISISNOMINA ADMONANALISIS DE DATOS</v>
      </c>
      <c r="B1630" t="s">
        <v>1807</v>
      </c>
      <c r="C1630" s="1">
        <v>45898</v>
      </c>
      <c r="D1630" t="s">
        <v>152</v>
      </c>
      <c r="E1630" t="s">
        <v>147</v>
      </c>
      <c r="F1630" t="s">
        <v>153</v>
      </c>
      <c r="H1630" t="s">
        <v>4812</v>
      </c>
      <c r="J1630" s="385">
        <v>3800</v>
      </c>
    </row>
    <row r="1631" spans="1:10" ht="15">
      <c r="A1631" s="137" t="str">
        <f>D1631&amp;E1631&amp;F1631</f>
        <v>MKTNOMINA ADMONMKT</v>
      </c>
      <c r="B1631" t="s">
        <v>1807</v>
      </c>
      <c r="C1631" s="1">
        <v>45898</v>
      </c>
      <c r="D1631" t="s">
        <v>19</v>
      </c>
      <c r="E1631" t="s">
        <v>147</v>
      </c>
      <c r="F1631" t="s">
        <v>19</v>
      </c>
      <c r="H1631" t="s">
        <v>4813</v>
      </c>
      <c r="J1631" s="385">
        <v>17303</v>
      </c>
    </row>
    <row r="1632" spans="1:10" ht="15">
      <c r="A1632" s="137" t="str">
        <f>D1632&amp;E1632&amp;F1632</f>
        <v>FINANZASNOMINA ADMONHBG FINANZAS</v>
      </c>
      <c r="B1632" t="s">
        <v>1807</v>
      </c>
      <c r="C1632" s="1">
        <v>45898</v>
      </c>
      <c r="D1632" t="s">
        <v>23</v>
      </c>
      <c r="E1632" t="s">
        <v>147</v>
      </c>
      <c r="F1632" s="12" t="s">
        <v>150</v>
      </c>
      <c r="J1632" s="385">
        <v>10950</v>
      </c>
    </row>
    <row r="1633" spans="1:10" ht="15">
      <c r="A1633" s="137" t="str">
        <f>D1633&amp;E1633&amp;F1633</f>
        <v>HRNOMINA ADMONHR</v>
      </c>
      <c r="B1633" t="s">
        <v>1807</v>
      </c>
      <c r="C1633" s="1">
        <v>45898</v>
      </c>
      <c r="D1633" t="s">
        <v>29</v>
      </c>
      <c r="E1633" t="s">
        <v>147</v>
      </c>
      <c r="F1633" s="3" t="s">
        <v>29</v>
      </c>
      <c r="J1633" s="385">
        <v>5500</v>
      </c>
    </row>
    <row r="1634" spans="1:10" ht="15">
      <c r="A1634" s="137" t="str">
        <f>D1634&amp;E1634&amp;F1634</f>
        <v>CAPNOMINA ADMONCAPRICHOS</v>
      </c>
      <c r="B1634" t="s">
        <v>1807</v>
      </c>
      <c r="C1634" s="1">
        <v>45898</v>
      </c>
      <c r="D1634" t="s">
        <v>31</v>
      </c>
      <c r="E1634" t="s">
        <v>147</v>
      </c>
      <c r="F1634" s="12" t="s">
        <v>33</v>
      </c>
      <c r="J1634" s="385">
        <v>3700</v>
      </c>
    </row>
    <row r="1635" spans="1:10" ht="15">
      <c r="A1635" s="137" t="str">
        <f>D1635&amp;E1635&amp;F1635</f>
        <v>SGENOMINA ADMONGESTION EMPRESARIAL</v>
      </c>
      <c r="B1635" t="s">
        <v>1807</v>
      </c>
      <c r="C1635" s="1">
        <v>45898</v>
      </c>
      <c r="D1635" t="s">
        <v>39</v>
      </c>
      <c r="E1635" t="s">
        <v>147</v>
      </c>
      <c r="F1635" s="12" t="s">
        <v>40</v>
      </c>
      <c r="J1635" s="385">
        <v>2750</v>
      </c>
    </row>
    <row r="1636" spans="1:10" ht="15">
      <c r="A1636" s="137" t="str">
        <f>D1636&amp;E1636&amp;F1636</f>
        <v>SERVICIOSNOMINA ADMONSERVICIOS</v>
      </c>
      <c r="B1636" t="s">
        <v>1807</v>
      </c>
      <c r="C1636" s="1">
        <v>45898</v>
      </c>
      <c r="D1636" t="s">
        <v>21</v>
      </c>
      <c r="E1636" t="s">
        <v>147</v>
      </c>
      <c r="F1636" s="12" t="s">
        <v>21</v>
      </c>
      <c r="J1636" s="385">
        <v>4750</v>
      </c>
    </row>
    <row r="1637" spans="1:10" ht="15">
      <c r="A1637" s="137" t="str">
        <f>D1637&amp;E1637&amp;F1637</f>
        <v>DENOMINA ADMONDIRECCION</v>
      </c>
      <c r="B1637" t="s">
        <v>1807</v>
      </c>
      <c r="C1637" s="1">
        <v>45898</v>
      </c>
      <c r="D1637" t="s">
        <v>41</v>
      </c>
      <c r="E1637" t="s">
        <v>147</v>
      </c>
      <c r="F1637" s="12" t="s">
        <v>42</v>
      </c>
      <c r="J1637" s="385">
        <v>20750</v>
      </c>
    </row>
    <row r="1638" spans="1:10" ht="15">
      <c r="A1638" s="137" t="str">
        <f>D1638&amp;E1638&amp;F1638</f>
        <v>MMNOMINA ADMONMARKET MAX</v>
      </c>
      <c r="B1638" t="s">
        <v>1807</v>
      </c>
      <c r="C1638" s="1">
        <v>45898</v>
      </c>
      <c r="D1638" t="s">
        <v>45</v>
      </c>
      <c r="E1638" t="s">
        <v>147</v>
      </c>
      <c r="F1638" s="12" t="s">
        <v>46</v>
      </c>
      <c r="J1638" s="385">
        <v>2000</v>
      </c>
    </row>
    <row r="1639" spans="1:10" ht="15">
      <c r="A1639" s="137" t="str">
        <f>D1639&amp;E1639&amp;F1639</f>
        <v>MMVACACIONES/FINIQUITOSMARKET MAX</v>
      </c>
      <c r="B1639" t="s">
        <v>1807</v>
      </c>
      <c r="C1639" s="1">
        <v>45898</v>
      </c>
      <c r="D1639" t="s">
        <v>45</v>
      </c>
      <c r="E1639" s="12" t="s">
        <v>190</v>
      </c>
      <c r="F1639" s="12" t="s">
        <v>46</v>
      </c>
      <c r="J1639" s="385">
        <v>1285.68</v>
      </c>
    </row>
    <row r="1640" spans="1:10" ht="15">
      <c r="A1640" s="137" t="str">
        <f>D1640&amp;E1640&amp;F1640</f>
        <v>HRVACACIONES/FINIQUITOSHR</v>
      </c>
      <c r="B1640" t="s">
        <v>1807</v>
      </c>
      <c r="C1640" s="1">
        <v>45898</v>
      </c>
      <c r="D1640" t="s">
        <v>29</v>
      </c>
      <c r="E1640" s="12" t="s">
        <v>190</v>
      </c>
      <c r="F1640" t="s">
        <v>29</v>
      </c>
      <c r="J1640" s="385">
        <v>4321.3999999999996</v>
      </c>
    </row>
    <row r="1641" spans="1:10" ht="15">
      <c r="A1641" s="137" t="str">
        <f t="shared" ref="A1604:A1667" si="22">D1641&amp;E1641&amp;F1641</f>
        <v>HRNOMINA SUCURSALA1</v>
      </c>
      <c r="B1641" t="s">
        <v>2028</v>
      </c>
      <c r="C1641" s="1">
        <v>45905</v>
      </c>
      <c r="D1641" t="s">
        <v>29</v>
      </c>
      <c r="E1641" t="s">
        <v>154</v>
      </c>
      <c r="F1641" s="3" t="s">
        <v>88</v>
      </c>
      <c r="J1641" s="299">
        <v>10933.8</v>
      </c>
    </row>
    <row r="1642" spans="1:10" ht="15">
      <c r="A1642" s="137" t="str">
        <f t="shared" si="22"/>
        <v>HRNOMINA SUCURSALA2</v>
      </c>
      <c r="B1642" t="s">
        <v>2028</v>
      </c>
      <c r="C1642" s="1">
        <v>45905</v>
      </c>
      <c r="D1642" t="s">
        <v>29</v>
      </c>
      <c r="E1642" t="s">
        <v>154</v>
      </c>
      <c r="F1642" s="3" t="s">
        <v>89</v>
      </c>
      <c r="J1642" s="299">
        <v>11857.4</v>
      </c>
    </row>
    <row r="1643" spans="1:10" ht="15">
      <c r="A1643" s="137" t="str">
        <f t="shared" si="22"/>
        <v>HRNOMINA SUCURSALA3</v>
      </c>
      <c r="B1643" t="s">
        <v>2028</v>
      </c>
      <c r="C1643" s="1">
        <v>45905</v>
      </c>
      <c r="D1643" t="s">
        <v>29</v>
      </c>
      <c r="E1643" t="s">
        <v>154</v>
      </c>
      <c r="F1643" s="3" t="s">
        <v>90</v>
      </c>
      <c r="J1643" s="299">
        <v>6766.6</v>
      </c>
    </row>
    <row r="1644" spans="1:10" ht="15">
      <c r="A1644" s="137" t="str">
        <f t="shared" si="22"/>
        <v>HRNOMINA SUCURSALA4</v>
      </c>
      <c r="B1644" t="s">
        <v>2028</v>
      </c>
      <c r="C1644" s="1">
        <v>45905</v>
      </c>
      <c r="D1644" t="s">
        <v>29</v>
      </c>
      <c r="E1644" t="s">
        <v>154</v>
      </c>
      <c r="F1644" s="3" t="s">
        <v>91</v>
      </c>
      <c r="J1644" s="299">
        <v>9729.6</v>
      </c>
    </row>
    <row r="1645" spans="1:10" ht="15">
      <c r="A1645" s="137" t="str">
        <f t="shared" si="22"/>
        <v>HRNOMINA SUCURSALA5</v>
      </c>
      <c r="B1645" t="s">
        <v>2028</v>
      </c>
      <c r="C1645" s="1">
        <v>45905</v>
      </c>
      <c r="D1645" t="s">
        <v>29</v>
      </c>
      <c r="E1645" t="s">
        <v>154</v>
      </c>
      <c r="F1645" s="3" t="s">
        <v>92</v>
      </c>
      <c r="J1645" s="299">
        <v>11134</v>
      </c>
    </row>
    <row r="1646" spans="1:10" ht="15">
      <c r="A1646" s="137" t="str">
        <f t="shared" si="22"/>
        <v>HRNOMINA SUCURSALA6</v>
      </c>
      <c r="B1646" t="s">
        <v>2028</v>
      </c>
      <c r="C1646" s="1">
        <v>45905</v>
      </c>
      <c r="D1646" t="s">
        <v>29</v>
      </c>
      <c r="E1646" t="s">
        <v>154</v>
      </c>
      <c r="F1646" s="3" t="s">
        <v>93</v>
      </c>
      <c r="J1646" s="299">
        <v>14058.49</v>
      </c>
    </row>
    <row r="1647" spans="1:10" ht="15">
      <c r="A1647" s="137" t="str">
        <f t="shared" si="22"/>
        <v>HRNOMINA SUCURSALA8</v>
      </c>
      <c r="B1647" t="s">
        <v>2028</v>
      </c>
      <c r="C1647" s="1">
        <v>45905</v>
      </c>
      <c r="D1647" t="s">
        <v>29</v>
      </c>
      <c r="E1647" t="s">
        <v>154</v>
      </c>
      <c r="F1647" s="3" t="s">
        <v>94</v>
      </c>
      <c r="J1647" s="299">
        <v>15790.8</v>
      </c>
    </row>
    <row r="1648" spans="1:10" ht="15">
      <c r="A1648" s="137" t="str">
        <f t="shared" si="22"/>
        <v>HRNOMINA SUCURSALA9</v>
      </c>
      <c r="B1648" t="s">
        <v>2028</v>
      </c>
      <c r="C1648" s="1">
        <v>45905</v>
      </c>
      <c r="D1648" t="s">
        <v>29</v>
      </c>
      <c r="E1648" t="s">
        <v>154</v>
      </c>
      <c r="F1648" s="3" t="s">
        <v>95</v>
      </c>
      <c r="J1648" s="299">
        <v>11571.31</v>
      </c>
    </row>
    <row r="1649" spans="1:10" ht="15">
      <c r="A1649" s="137" t="str">
        <f t="shared" si="22"/>
        <v>HRNOMINA SUCURSALA10</v>
      </c>
      <c r="B1649" t="s">
        <v>2028</v>
      </c>
      <c r="C1649" s="1">
        <v>45905</v>
      </c>
      <c r="D1649" t="s">
        <v>29</v>
      </c>
      <c r="E1649" t="s">
        <v>154</v>
      </c>
      <c r="F1649" s="3" t="s">
        <v>96</v>
      </c>
      <c r="J1649" s="299">
        <v>16143.4</v>
      </c>
    </row>
    <row r="1650" spans="1:10" ht="15">
      <c r="A1650" s="137" t="str">
        <f t="shared" si="22"/>
        <v>HRNOMINA SUCURSALA11</v>
      </c>
      <c r="B1650" t="s">
        <v>2028</v>
      </c>
      <c r="C1650" s="1">
        <v>45905</v>
      </c>
      <c r="D1650" t="s">
        <v>29</v>
      </c>
      <c r="E1650" t="s">
        <v>154</v>
      </c>
      <c r="F1650" s="62" t="s">
        <v>97</v>
      </c>
      <c r="J1650" s="299">
        <v>11268.6</v>
      </c>
    </row>
    <row r="1651" spans="1:10" ht="15">
      <c r="A1651" s="137" t="str">
        <f t="shared" si="22"/>
        <v>HRNOMINA SUCURSALA12</v>
      </c>
      <c r="B1651" t="s">
        <v>2028</v>
      </c>
      <c r="C1651" s="1">
        <v>45905</v>
      </c>
      <c r="D1651" t="s">
        <v>29</v>
      </c>
      <c r="E1651" t="s">
        <v>154</v>
      </c>
      <c r="F1651" s="3" t="s">
        <v>98</v>
      </c>
      <c r="J1651" s="299">
        <v>14046.2</v>
      </c>
    </row>
    <row r="1652" spans="1:10" ht="15">
      <c r="A1652" s="137" t="str">
        <f t="shared" si="22"/>
        <v>HRNOMINA SUCURSALA14</v>
      </c>
      <c r="B1652" t="s">
        <v>2028</v>
      </c>
      <c r="C1652" s="1">
        <v>45905</v>
      </c>
      <c r="D1652" t="s">
        <v>29</v>
      </c>
      <c r="E1652" t="s">
        <v>154</v>
      </c>
      <c r="F1652" s="3" t="s">
        <v>99</v>
      </c>
      <c r="J1652" s="299">
        <v>12926.4</v>
      </c>
    </row>
    <row r="1653" spans="1:10" ht="15">
      <c r="A1653" s="137" t="str">
        <f t="shared" si="22"/>
        <v>HRNOMINA SUCURSALA15</v>
      </c>
      <c r="B1653" t="s">
        <v>2028</v>
      </c>
      <c r="C1653" s="1">
        <v>45905</v>
      </c>
      <c r="D1653" t="s">
        <v>29</v>
      </c>
      <c r="E1653" t="s">
        <v>154</v>
      </c>
      <c r="F1653" s="3" t="s">
        <v>100</v>
      </c>
      <c r="J1653" s="299">
        <v>11555.6</v>
      </c>
    </row>
    <row r="1654" spans="1:10" ht="15">
      <c r="A1654" s="137" t="str">
        <f t="shared" si="22"/>
        <v>HRNOMINA SUCURSALA16</v>
      </c>
      <c r="B1654" t="s">
        <v>2028</v>
      </c>
      <c r="C1654" s="1">
        <v>45905</v>
      </c>
      <c r="D1654" t="s">
        <v>29</v>
      </c>
      <c r="E1654" t="s">
        <v>154</v>
      </c>
      <c r="F1654" s="3" t="s">
        <v>101</v>
      </c>
      <c r="J1654" s="299">
        <v>15496.09</v>
      </c>
    </row>
    <row r="1655" spans="1:10" ht="15">
      <c r="A1655" s="137" t="str">
        <f t="shared" si="22"/>
        <v>HRNOMINA SUCURSALA17</v>
      </c>
      <c r="B1655" t="s">
        <v>2028</v>
      </c>
      <c r="C1655" s="1">
        <v>45905</v>
      </c>
      <c r="D1655" t="s">
        <v>29</v>
      </c>
      <c r="E1655" t="s">
        <v>154</v>
      </c>
      <c r="F1655" s="3" t="s">
        <v>102</v>
      </c>
      <c r="J1655" s="299">
        <v>9577.4</v>
      </c>
    </row>
    <row r="1656" spans="1:10" ht="15">
      <c r="A1656" s="137" t="str">
        <f t="shared" si="22"/>
        <v>HRNOMINA SUCURSALA18</v>
      </c>
      <c r="B1656" t="s">
        <v>2028</v>
      </c>
      <c r="C1656" s="1">
        <v>45905</v>
      </c>
      <c r="D1656" t="s">
        <v>29</v>
      </c>
      <c r="E1656" t="s">
        <v>154</v>
      </c>
      <c r="F1656" s="3" t="s">
        <v>103</v>
      </c>
      <c r="J1656" s="299">
        <v>15058</v>
      </c>
    </row>
    <row r="1657" spans="1:10" ht="15">
      <c r="A1657" s="137" t="str">
        <f t="shared" si="22"/>
        <v>HRNOMINA SUCURSALA22</v>
      </c>
      <c r="B1657" t="s">
        <v>2028</v>
      </c>
      <c r="C1657" s="1">
        <v>45905</v>
      </c>
      <c r="D1657" t="s">
        <v>29</v>
      </c>
      <c r="E1657" t="s">
        <v>154</v>
      </c>
      <c r="F1657" s="3" t="s">
        <v>104</v>
      </c>
      <c r="J1657" s="299">
        <v>15169.4</v>
      </c>
    </row>
    <row r="1658" spans="1:10" ht="15">
      <c r="A1658" s="137" t="str">
        <f t="shared" si="22"/>
        <v>HRNOMINA SUCURSALA23</v>
      </c>
      <c r="B1658" t="s">
        <v>2028</v>
      </c>
      <c r="C1658" s="1">
        <v>45905</v>
      </c>
      <c r="D1658" t="s">
        <v>29</v>
      </c>
      <c r="E1658" t="s">
        <v>154</v>
      </c>
      <c r="F1658" s="3" t="s">
        <v>105</v>
      </c>
      <c r="J1658" s="299">
        <v>13156.2</v>
      </c>
    </row>
    <row r="1659" spans="1:10" ht="15">
      <c r="A1659" s="137" t="str">
        <f t="shared" si="22"/>
        <v>HRNOMINA SUCURSALA24</v>
      </c>
      <c r="B1659" t="s">
        <v>2028</v>
      </c>
      <c r="C1659" s="1">
        <v>45905</v>
      </c>
      <c r="D1659" t="s">
        <v>29</v>
      </c>
      <c r="E1659" t="s">
        <v>154</v>
      </c>
      <c r="F1659" s="3" t="s">
        <v>106</v>
      </c>
      <c r="J1659" s="299">
        <v>18631</v>
      </c>
    </row>
    <row r="1660" spans="1:10" ht="15">
      <c r="A1660" s="137" t="str">
        <f t="shared" si="22"/>
        <v>CAPNOMINA SUCURSALE1</v>
      </c>
      <c r="B1660" t="s">
        <v>2028</v>
      </c>
      <c r="C1660" s="1">
        <v>45905</v>
      </c>
      <c r="D1660" t="s">
        <v>31</v>
      </c>
      <c r="E1660" t="s">
        <v>154</v>
      </c>
      <c r="F1660" s="3" t="s">
        <v>107</v>
      </c>
      <c r="J1660" s="299">
        <v>13896</v>
      </c>
    </row>
    <row r="1661" spans="1:10" ht="15">
      <c r="A1661" s="137" t="str">
        <f t="shared" si="22"/>
        <v>CAPNOMINA SUCURSALE2</v>
      </c>
      <c r="B1661" t="s">
        <v>2028</v>
      </c>
      <c r="C1661" s="1">
        <v>45905</v>
      </c>
      <c r="D1661" t="s">
        <v>31</v>
      </c>
      <c r="E1661" t="s">
        <v>154</v>
      </c>
      <c r="F1661" s="3" t="s">
        <v>108</v>
      </c>
      <c r="J1661" s="299">
        <v>18056</v>
      </c>
    </row>
    <row r="1662" spans="1:10" ht="15">
      <c r="A1662" s="137" t="str">
        <f t="shared" si="22"/>
        <v>CAPNOMINA SUCURSALE3</v>
      </c>
      <c r="B1662" t="s">
        <v>2028</v>
      </c>
      <c r="C1662" s="1">
        <v>45905</v>
      </c>
      <c r="D1662" t="s">
        <v>31</v>
      </c>
      <c r="E1662" t="s">
        <v>154</v>
      </c>
      <c r="F1662" s="3" t="s">
        <v>109</v>
      </c>
      <c r="J1662" s="299">
        <v>15695.2</v>
      </c>
    </row>
    <row r="1663" spans="1:10" ht="15">
      <c r="A1663" s="137" t="str">
        <f t="shared" si="22"/>
        <v>CAPNOMINA SUCURSALE4</v>
      </c>
      <c r="B1663" t="s">
        <v>2028</v>
      </c>
      <c r="C1663" s="1">
        <v>45905</v>
      </c>
      <c r="D1663" t="s">
        <v>31</v>
      </c>
      <c r="E1663" t="s">
        <v>154</v>
      </c>
      <c r="F1663" s="3" t="s">
        <v>110</v>
      </c>
      <c r="J1663" s="299">
        <v>23169.8</v>
      </c>
    </row>
    <row r="1664" spans="1:10" ht="15">
      <c r="A1664" s="137" t="str">
        <f t="shared" si="22"/>
        <v>CAPNOMINA SUCURSALE5</v>
      </c>
      <c r="B1664" t="s">
        <v>2028</v>
      </c>
      <c r="C1664" s="1">
        <v>45905</v>
      </c>
      <c r="D1664" t="s">
        <v>31</v>
      </c>
      <c r="E1664" t="s">
        <v>154</v>
      </c>
      <c r="F1664" s="3" t="s">
        <v>111</v>
      </c>
      <c r="J1664" s="299">
        <v>17116.599999999999</v>
      </c>
    </row>
    <row r="1665" spans="1:10" ht="15">
      <c r="A1665" s="137" t="str">
        <f t="shared" si="22"/>
        <v>CAPNOMINA SUCURSALE6</v>
      </c>
      <c r="B1665" t="s">
        <v>2028</v>
      </c>
      <c r="C1665" s="1">
        <v>45905</v>
      </c>
      <c r="D1665" t="s">
        <v>31</v>
      </c>
      <c r="E1665" t="s">
        <v>154</v>
      </c>
      <c r="F1665" s="3" t="s">
        <v>112</v>
      </c>
      <c r="J1665" s="299">
        <v>16615.2</v>
      </c>
    </row>
    <row r="1666" spans="1:10" ht="15">
      <c r="A1666" s="137" t="str">
        <f t="shared" si="22"/>
        <v>CAPNOMINA SUCURSALE7</v>
      </c>
      <c r="B1666" t="s">
        <v>2028</v>
      </c>
      <c r="C1666" s="1">
        <v>45905</v>
      </c>
      <c r="D1666" t="s">
        <v>31</v>
      </c>
      <c r="E1666" t="s">
        <v>154</v>
      </c>
      <c r="F1666" s="3" t="s">
        <v>113</v>
      </c>
      <c r="J1666" s="299">
        <v>13111.6</v>
      </c>
    </row>
    <row r="1667" spans="1:10" ht="15">
      <c r="A1667" s="137" t="str">
        <f t="shared" si="22"/>
        <v>CAPNOMINA SUCURSALE8</v>
      </c>
      <c r="B1667" t="s">
        <v>2028</v>
      </c>
      <c r="C1667" s="1">
        <v>45905</v>
      </c>
      <c r="D1667" t="s">
        <v>31</v>
      </c>
      <c r="E1667" t="s">
        <v>154</v>
      </c>
      <c r="F1667" s="3" t="s">
        <v>114</v>
      </c>
      <c r="J1667" s="299">
        <v>24923.4</v>
      </c>
    </row>
    <row r="1668" spans="1:10" ht="15">
      <c r="A1668" s="137" t="str">
        <f t="shared" ref="A1668:A1731" si="23">D1668&amp;E1668&amp;F1668</f>
        <v>CAPNOMINA SUCURSALE9</v>
      </c>
      <c r="B1668" t="s">
        <v>2028</v>
      </c>
      <c r="C1668" s="1">
        <v>45905</v>
      </c>
      <c r="D1668" t="s">
        <v>31</v>
      </c>
      <c r="E1668" t="s">
        <v>154</v>
      </c>
      <c r="F1668" s="3" t="s">
        <v>116</v>
      </c>
      <c r="J1668" s="299">
        <v>22753</v>
      </c>
    </row>
    <row r="1669" spans="1:10" ht="15">
      <c r="A1669" s="137" t="str">
        <f t="shared" si="23"/>
        <v>ELINOMINA SUCURSALL1</v>
      </c>
      <c r="B1669" t="s">
        <v>2028</v>
      </c>
      <c r="C1669" s="1">
        <v>45905</v>
      </c>
      <c r="D1669" t="s">
        <v>130</v>
      </c>
      <c r="E1669" t="s">
        <v>154</v>
      </c>
      <c r="F1669" t="s">
        <v>136</v>
      </c>
      <c r="J1669" s="385">
        <v>6030</v>
      </c>
    </row>
    <row r="1670" spans="1:10" ht="15">
      <c r="A1670" s="137" t="str">
        <f t="shared" si="23"/>
        <v>HRNOMINA ADMONHR</v>
      </c>
      <c r="B1670" t="s">
        <v>2028</v>
      </c>
      <c r="C1670" s="1">
        <v>45905</v>
      </c>
      <c r="D1670" t="s">
        <v>29</v>
      </c>
      <c r="E1670" t="s">
        <v>147</v>
      </c>
      <c r="F1670" t="s">
        <v>29</v>
      </c>
      <c r="J1670" s="385">
        <v>28843.8</v>
      </c>
    </row>
    <row r="1671" spans="1:10" ht="15">
      <c r="A1671" s="137" t="str">
        <f t="shared" si="23"/>
        <v>CAPNOMINA ADMONCAPRICHOS</v>
      </c>
      <c r="B1671" t="s">
        <v>2028</v>
      </c>
      <c r="C1671" s="1">
        <v>45905</v>
      </c>
      <c r="D1671" t="s">
        <v>31</v>
      </c>
      <c r="E1671" t="s">
        <v>147</v>
      </c>
      <c r="F1671" t="s">
        <v>33</v>
      </c>
      <c r="J1671" s="385">
        <v>23200.400000000001</v>
      </c>
    </row>
    <row r="1672" spans="1:10" ht="15">
      <c r="A1672" s="137" t="str">
        <f t="shared" si="23"/>
        <v>SERVICIOSNOMINA SUCURSALCEDIS</v>
      </c>
      <c r="B1672" t="s">
        <v>2028</v>
      </c>
      <c r="C1672" s="1">
        <v>45905</v>
      </c>
      <c r="D1672" t="s">
        <v>21</v>
      </c>
      <c r="E1672" t="s">
        <v>154</v>
      </c>
      <c r="F1672" t="s">
        <v>28</v>
      </c>
      <c r="J1672" s="385">
        <v>69422.490000000005</v>
      </c>
    </row>
    <row r="1673" spans="1:10" ht="15">
      <c r="A1673" s="137" t="str">
        <f t="shared" si="23"/>
        <v>SERVICIOSNOMINA ADMONINVENTARIOS</v>
      </c>
      <c r="B1673" t="s">
        <v>2028</v>
      </c>
      <c r="C1673" s="1">
        <v>45905</v>
      </c>
      <c r="D1673" t="s">
        <v>21</v>
      </c>
      <c r="E1673" t="s">
        <v>147</v>
      </c>
      <c r="F1673" t="s">
        <v>34</v>
      </c>
      <c r="J1673" s="385">
        <v>2800.2</v>
      </c>
    </row>
    <row r="1674" spans="1:10" ht="15">
      <c r="A1674" s="137" t="str">
        <f t="shared" si="23"/>
        <v>SERVICIOSNOMINA ADMONMANTENIMIENTO</v>
      </c>
      <c r="B1674" t="s">
        <v>2028</v>
      </c>
      <c r="C1674" s="1">
        <v>45905</v>
      </c>
      <c r="D1674" t="s">
        <v>21</v>
      </c>
      <c r="E1674" t="s">
        <v>147</v>
      </c>
      <c r="F1674" t="s">
        <v>35</v>
      </c>
      <c r="J1674" s="385">
        <v>15041.03</v>
      </c>
    </row>
    <row r="1675" spans="1:10" ht="15">
      <c r="A1675" s="137" t="str">
        <f t="shared" si="23"/>
        <v>SERVICIOSNOMINA ADMONCADENA DE SUMINISTROS</v>
      </c>
      <c r="B1675" t="s">
        <v>2028</v>
      </c>
      <c r="C1675" s="1">
        <v>45905</v>
      </c>
      <c r="D1675" t="s">
        <v>21</v>
      </c>
      <c r="E1675" t="s">
        <v>147</v>
      </c>
      <c r="F1675" t="s">
        <v>134</v>
      </c>
      <c r="J1675" s="385">
        <v>25244.2</v>
      </c>
    </row>
    <row r="1676" spans="1:10" ht="15">
      <c r="A1676" s="137" t="str">
        <f t="shared" si="23"/>
        <v>SERVICIOSNOMINA ADMONSISTEMAS</v>
      </c>
      <c r="B1676" t="s">
        <v>2028</v>
      </c>
      <c r="C1676" s="1">
        <v>45905</v>
      </c>
      <c r="D1676" t="s">
        <v>21</v>
      </c>
      <c r="E1676" t="s">
        <v>147</v>
      </c>
      <c r="F1676" t="s">
        <v>36</v>
      </c>
      <c r="J1676" s="385">
        <v>11678.49</v>
      </c>
    </row>
    <row r="1677" spans="1:10" ht="15">
      <c r="A1677" s="137" t="str">
        <f t="shared" si="23"/>
        <v>SERVICIOSNOMINA ADMONCOMPRAS</v>
      </c>
      <c r="B1677" t="s">
        <v>2028</v>
      </c>
      <c r="C1677" s="1">
        <v>45905</v>
      </c>
      <c r="D1677" t="s">
        <v>21</v>
      </c>
      <c r="E1677" t="s">
        <v>147</v>
      </c>
      <c r="F1677" t="s">
        <v>148</v>
      </c>
      <c r="J1677" s="385">
        <v>23097.91</v>
      </c>
    </row>
    <row r="1678" spans="1:10" ht="15">
      <c r="A1678" s="137" t="str">
        <f t="shared" si="23"/>
        <v>FINANZASNOMINA ADMONCONTABILIDAD</v>
      </c>
      <c r="B1678" t="s">
        <v>2028</v>
      </c>
      <c r="C1678" s="1">
        <v>45905</v>
      </c>
      <c r="D1678" t="s">
        <v>23</v>
      </c>
      <c r="E1678" t="s">
        <v>147</v>
      </c>
      <c r="F1678" t="s">
        <v>37</v>
      </c>
      <c r="J1678" s="385">
        <v>9980.4699999999993</v>
      </c>
    </row>
    <row r="1679" spans="1:10" ht="15">
      <c r="A1679" s="137" t="str">
        <f t="shared" si="23"/>
        <v>FINANZASNOMINA ADMONFINANZAS/LEGAL</v>
      </c>
      <c r="B1679" t="s">
        <v>2028</v>
      </c>
      <c r="C1679" s="1">
        <v>45905</v>
      </c>
      <c r="D1679" t="s">
        <v>23</v>
      </c>
      <c r="E1679" t="s">
        <v>147</v>
      </c>
      <c r="F1679" t="s">
        <v>149</v>
      </c>
      <c r="J1679" s="385">
        <v>9874.2900000000009</v>
      </c>
    </row>
    <row r="1680" spans="1:10" ht="15">
      <c r="A1680" s="137" t="str">
        <f t="shared" si="23"/>
        <v>FINANZASNOMINA ADMONRECURSOS HUMANOS</v>
      </c>
      <c r="B1680" t="s">
        <v>2028</v>
      </c>
      <c r="C1680" s="1">
        <v>45905</v>
      </c>
      <c r="D1680" t="s">
        <v>23</v>
      </c>
      <c r="E1680" t="s">
        <v>147</v>
      </c>
      <c r="F1680" t="s">
        <v>125</v>
      </c>
      <c r="J1680" s="385">
        <v>9592.98</v>
      </c>
    </row>
    <row r="1681" spans="1:10" ht="15">
      <c r="A1681" s="137" t="str">
        <f t="shared" si="23"/>
        <v>FINANZASNOMINA ADMONTESORERIA</v>
      </c>
      <c r="B1681" t="s">
        <v>2028</v>
      </c>
      <c r="C1681" s="1">
        <v>45905</v>
      </c>
      <c r="D1681" t="s">
        <v>23</v>
      </c>
      <c r="E1681" t="s">
        <v>147</v>
      </c>
      <c r="F1681" t="s">
        <v>38</v>
      </c>
      <c r="J1681" s="385">
        <v>13323.2</v>
      </c>
    </row>
    <row r="1682" spans="1:10" ht="15">
      <c r="A1682" s="137" t="str">
        <f t="shared" si="23"/>
        <v>FINANZASNOMINA ADMONHBG FINANZAS</v>
      </c>
      <c r="B1682" t="s">
        <v>2028</v>
      </c>
      <c r="C1682" s="1">
        <v>45905</v>
      </c>
      <c r="D1682" t="s">
        <v>23</v>
      </c>
      <c r="E1682" t="s">
        <v>147</v>
      </c>
      <c r="F1682" t="s">
        <v>150</v>
      </c>
      <c r="J1682" s="385">
        <v>3057</v>
      </c>
    </row>
    <row r="1683" spans="1:10" ht="15">
      <c r="A1683" s="137" t="str">
        <f t="shared" si="23"/>
        <v>SGENOMINA ADMONGESTION EMPRESARIAL</v>
      </c>
      <c r="B1683" t="s">
        <v>2028</v>
      </c>
      <c r="C1683" s="1">
        <v>45905</v>
      </c>
      <c r="D1683" t="s">
        <v>39</v>
      </c>
      <c r="E1683" t="s">
        <v>147</v>
      </c>
      <c r="F1683" t="s">
        <v>40</v>
      </c>
      <c r="J1683" s="385">
        <v>20582.2</v>
      </c>
    </row>
    <row r="1684" spans="1:10" ht="15">
      <c r="A1684" s="137" t="str">
        <f t="shared" si="23"/>
        <v>DENOMINA ADMONDIRECCION</v>
      </c>
      <c r="B1684" t="s">
        <v>2028</v>
      </c>
      <c r="C1684" s="1">
        <v>45905</v>
      </c>
      <c r="D1684" t="s">
        <v>41</v>
      </c>
      <c r="E1684" t="s">
        <v>147</v>
      </c>
      <c r="F1684" t="s">
        <v>42</v>
      </c>
      <c r="J1684" s="385">
        <v>6000.2</v>
      </c>
    </row>
    <row r="1685" spans="1:10" ht="15">
      <c r="A1685" s="137" t="str">
        <f t="shared" si="23"/>
        <v>MELNOMINA ADMONMELISSA</v>
      </c>
      <c r="B1685" t="s">
        <v>2028</v>
      </c>
      <c r="C1685" s="1">
        <v>45905</v>
      </c>
      <c r="D1685" t="s">
        <v>43</v>
      </c>
      <c r="E1685" t="s">
        <v>147</v>
      </c>
      <c r="F1685" t="s">
        <v>44</v>
      </c>
      <c r="J1685" s="385">
        <v>4190.6000000000004</v>
      </c>
    </row>
    <row r="1686" spans="1:10" ht="15">
      <c r="A1686" s="137" t="str">
        <f t="shared" si="23"/>
        <v>MMNOMINA ADMONMARKET MAX</v>
      </c>
      <c r="B1686" t="s">
        <v>2028</v>
      </c>
      <c r="C1686" s="1">
        <v>45905</v>
      </c>
      <c r="D1686" t="s">
        <v>45</v>
      </c>
      <c r="E1686" t="s">
        <v>147</v>
      </c>
      <c r="F1686" t="s">
        <v>46</v>
      </c>
      <c r="J1686" s="385">
        <v>6002.54</v>
      </c>
    </row>
    <row r="1687" spans="1:10" ht="15">
      <c r="A1687" s="137" t="str">
        <f t="shared" si="23"/>
        <v>ANALISISNOMINA ADMONANALISIS DE DATOS</v>
      </c>
      <c r="B1687" t="s">
        <v>2028</v>
      </c>
      <c r="C1687" s="1">
        <v>45905</v>
      </c>
      <c r="D1687" t="s">
        <v>152</v>
      </c>
      <c r="E1687" t="s">
        <v>147</v>
      </c>
      <c r="F1687" t="s">
        <v>153</v>
      </c>
      <c r="J1687" s="385">
        <v>3800</v>
      </c>
    </row>
    <row r="1688" spans="1:10" ht="15">
      <c r="A1688" s="137" t="str">
        <f t="shared" si="23"/>
        <v>MKTNOMINA ADMONMKT</v>
      </c>
      <c r="B1688" t="s">
        <v>2028</v>
      </c>
      <c r="C1688" s="1">
        <v>45905</v>
      </c>
      <c r="D1688" t="s">
        <v>19</v>
      </c>
      <c r="E1688" t="s">
        <v>147</v>
      </c>
      <c r="F1688" t="s">
        <v>19</v>
      </c>
      <c r="J1688" s="385">
        <v>19318.8</v>
      </c>
    </row>
    <row r="1689" spans="1:10" ht="15">
      <c r="A1689" s="137" t="str">
        <f t="shared" si="23"/>
        <v>FINANZASNOMINA ADMONHBG FINANZAS</v>
      </c>
      <c r="B1689" t="s">
        <v>2028</v>
      </c>
      <c r="C1689" s="1">
        <v>45905</v>
      </c>
      <c r="D1689" t="s">
        <v>23</v>
      </c>
      <c r="E1689" t="s">
        <v>147</v>
      </c>
      <c r="F1689" s="12" t="s">
        <v>150</v>
      </c>
      <c r="J1689" s="385">
        <v>10950</v>
      </c>
    </row>
    <row r="1690" spans="1:10" ht="15">
      <c r="A1690" s="137" t="str">
        <f t="shared" si="23"/>
        <v>HRNOMINA ADMONHR</v>
      </c>
      <c r="B1690" t="s">
        <v>2028</v>
      </c>
      <c r="C1690" s="1">
        <v>45905</v>
      </c>
      <c r="D1690" t="s">
        <v>29</v>
      </c>
      <c r="E1690" t="s">
        <v>147</v>
      </c>
      <c r="F1690" s="3" t="s">
        <v>29</v>
      </c>
      <c r="J1690" s="385">
        <v>5500</v>
      </c>
    </row>
    <row r="1691" spans="1:10" ht="15">
      <c r="A1691" s="137" t="str">
        <f t="shared" si="23"/>
        <v>CAPNOMINA ADMONCAPRICHOS</v>
      </c>
      <c r="B1691" t="s">
        <v>2028</v>
      </c>
      <c r="C1691" s="1">
        <v>45905</v>
      </c>
      <c r="D1691" t="s">
        <v>31</v>
      </c>
      <c r="E1691" t="s">
        <v>147</v>
      </c>
      <c r="F1691" s="12" t="s">
        <v>33</v>
      </c>
      <c r="J1691" s="385">
        <v>3700</v>
      </c>
    </row>
    <row r="1692" spans="1:10" ht="15">
      <c r="A1692" s="137" t="str">
        <f t="shared" si="23"/>
        <v>SGENOMINA ADMONGESTION EMPRESARIAL</v>
      </c>
      <c r="B1692" t="s">
        <v>2028</v>
      </c>
      <c r="C1692" s="1">
        <v>45905</v>
      </c>
      <c r="D1692" t="s">
        <v>39</v>
      </c>
      <c r="E1692" t="s">
        <v>147</v>
      </c>
      <c r="F1692" s="12" t="s">
        <v>40</v>
      </c>
      <c r="J1692" s="385">
        <v>2750</v>
      </c>
    </row>
    <row r="1693" spans="1:10" ht="15">
      <c r="A1693" s="137" t="str">
        <f t="shared" si="23"/>
        <v>SERVICIOSNOMINA ADMONSERVICIOS</v>
      </c>
      <c r="B1693" t="s">
        <v>2028</v>
      </c>
      <c r="C1693" s="1">
        <v>45905</v>
      </c>
      <c r="D1693" t="s">
        <v>21</v>
      </c>
      <c r="E1693" t="s">
        <v>147</v>
      </c>
      <c r="F1693" s="12" t="s">
        <v>21</v>
      </c>
      <c r="J1693" s="385">
        <v>4750</v>
      </c>
    </row>
    <row r="1694" spans="1:10" ht="15">
      <c r="A1694" s="137" t="str">
        <f t="shared" si="23"/>
        <v>DENOMINA ADMONDIRECCION</v>
      </c>
      <c r="B1694" t="s">
        <v>2028</v>
      </c>
      <c r="C1694" s="1">
        <v>45905</v>
      </c>
      <c r="D1694" t="s">
        <v>41</v>
      </c>
      <c r="E1694" t="s">
        <v>147</v>
      </c>
      <c r="F1694" s="12" t="s">
        <v>42</v>
      </c>
      <c r="J1694" s="385">
        <v>5750</v>
      </c>
    </row>
    <row r="1695" spans="1:10" ht="15">
      <c r="A1695" s="137" t="str">
        <f t="shared" si="23"/>
        <v>MMNOMINA ADMONMARKET MAX</v>
      </c>
      <c r="B1695" t="s">
        <v>2028</v>
      </c>
      <c r="C1695" s="1">
        <v>45905</v>
      </c>
      <c r="D1695" t="s">
        <v>45</v>
      </c>
      <c r="E1695" t="s">
        <v>147</v>
      </c>
      <c r="F1695" s="12" t="s">
        <v>46</v>
      </c>
      <c r="J1695" s="385">
        <v>2000</v>
      </c>
    </row>
    <row r="1696" spans="1:10" ht="15">
      <c r="A1696" s="137" t="str">
        <f t="shared" si="23"/>
        <v>HRNOMINA SUCURSALA1</v>
      </c>
      <c r="B1696" t="s">
        <v>2028</v>
      </c>
      <c r="C1696" s="1">
        <v>45912</v>
      </c>
      <c r="D1696" t="s">
        <v>29</v>
      </c>
      <c r="E1696" t="s">
        <v>154</v>
      </c>
      <c r="F1696" t="s">
        <v>88</v>
      </c>
      <c r="J1696" s="385">
        <v>10932.8</v>
      </c>
    </row>
    <row r="1697" spans="1:10" ht="15">
      <c r="A1697" s="137" t="str">
        <f t="shared" si="23"/>
        <v>HRNOMINA SUCURSALA2</v>
      </c>
      <c r="B1697" t="s">
        <v>2028</v>
      </c>
      <c r="C1697" s="1">
        <v>45912</v>
      </c>
      <c r="D1697" t="s">
        <v>29</v>
      </c>
      <c r="E1697" t="s">
        <v>154</v>
      </c>
      <c r="F1697" t="s">
        <v>89</v>
      </c>
      <c r="J1697" s="385">
        <v>11857.4</v>
      </c>
    </row>
    <row r="1698" spans="1:10" ht="15">
      <c r="A1698" s="137" t="str">
        <f t="shared" si="23"/>
        <v>HRNOMINA SUCURSALA3</v>
      </c>
      <c r="B1698" t="s">
        <v>2028</v>
      </c>
      <c r="C1698" s="1">
        <v>45912</v>
      </c>
      <c r="D1698" t="s">
        <v>29</v>
      </c>
      <c r="E1698" t="s">
        <v>154</v>
      </c>
      <c r="F1698" t="s">
        <v>90</v>
      </c>
      <c r="J1698" s="385">
        <v>6040</v>
      </c>
    </row>
    <row r="1699" spans="1:10" ht="15">
      <c r="A1699" s="137" t="str">
        <f t="shared" si="23"/>
        <v>HRNOMINA SUCURSALA4</v>
      </c>
      <c r="B1699" t="s">
        <v>2028</v>
      </c>
      <c r="C1699" s="1">
        <v>45912</v>
      </c>
      <c r="D1699" t="s">
        <v>29</v>
      </c>
      <c r="E1699" t="s">
        <v>154</v>
      </c>
      <c r="F1699" t="s">
        <v>91</v>
      </c>
      <c r="J1699" s="385">
        <v>9729.6</v>
      </c>
    </row>
    <row r="1700" spans="1:10" ht="15">
      <c r="A1700" s="137" t="str">
        <f t="shared" si="23"/>
        <v>HRNOMINA SUCURSALA5</v>
      </c>
      <c r="B1700" t="s">
        <v>2028</v>
      </c>
      <c r="C1700" s="1">
        <v>45912</v>
      </c>
      <c r="D1700" t="s">
        <v>29</v>
      </c>
      <c r="E1700" t="s">
        <v>154</v>
      </c>
      <c r="F1700" t="s">
        <v>92</v>
      </c>
      <c r="J1700" s="385">
        <v>12468</v>
      </c>
    </row>
    <row r="1701" spans="1:10" ht="15">
      <c r="A1701" s="137" t="str">
        <f t="shared" si="23"/>
        <v>HRNOMINA SUCURSALA6</v>
      </c>
      <c r="B1701" t="s">
        <v>2028</v>
      </c>
      <c r="C1701" s="1">
        <v>45912</v>
      </c>
      <c r="D1701" t="s">
        <v>29</v>
      </c>
      <c r="E1701" t="s">
        <v>154</v>
      </c>
      <c r="F1701" t="s">
        <v>93</v>
      </c>
      <c r="J1701" s="385">
        <v>14386.09</v>
      </c>
    </row>
    <row r="1702" spans="1:10" ht="15">
      <c r="A1702" s="137" t="str">
        <f t="shared" si="23"/>
        <v>HRNOMINA SUCURSALA8</v>
      </c>
      <c r="B1702" t="s">
        <v>2028</v>
      </c>
      <c r="C1702" s="1">
        <v>45912</v>
      </c>
      <c r="D1702" t="s">
        <v>29</v>
      </c>
      <c r="E1702" t="s">
        <v>154</v>
      </c>
      <c r="F1702" t="s">
        <v>94</v>
      </c>
      <c r="J1702" s="385">
        <v>14537.6</v>
      </c>
    </row>
    <row r="1703" spans="1:10" ht="15">
      <c r="A1703" s="137" t="str">
        <f t="shared" si="23"/>
        <v>HRNOMINA SUCURSALA9</v>
      </c>
      <c r="B1703" t="s">
        <v>2028</v>
      </c>
      <c r="C1703" s="1">
        <v>45912</v>
      </c>
      <c r="D1703" t="s">
        <v>29</v>
      </c>
      <c r="E1703" t="s">
        <v>154</v>
      </c>
      <c r="F1703" t="s">
        <v>95</v>
      </c>
      <c r="J1703" s="385">
        <v>9729.51</v>
      </c>
    </row>
    <row r="1704" spans="1:10" ht="15">
      <c r="A1704" s="137" t="str">
        <f t="shared" si="23"/>
        <v>HRNOMINA SUCURSALA10</v>
      </c>
      <c r="B1704" t="s">
        <v>2028</v>
      </c>
      <c r="C1704" s="1">
        <v>45912</v>
      </c>
      <c r="D1704" t="s">
        <v>29</v>
      </c>
      <c r="E1704" t="s">
        <v>154</v>
      </c>
      <c r="F1704" t="s">
        <v>96</v>
      </c>
      <c r="J1704" s="385">
        <v>15442.8</v>
      </c>
    </row>
    <row r="1705" spans="1:10" ht="15">
      <c r="A1705" s="137" t="str">
        <f t="shared" si="23"/>
        <v>HRNOMINA SUCURSALA11</v>
      </c>
      <c r="B1705" t="s">
        <v>2028</v>
      </c>
      <c r="C1705" s="1">
        <v>45912</v>
      </c>
      <c r="D1705" t="s">
        <v>29</v>
      </c>
      <c r="E1705" t="s">
        <v>154</v>
      </c>
      <c r="F1705" t="s">
        <v>97</v>
      </c>
      <c r="J1705" s="385">
        <v>12394</v>
      </c>
    </row>
    <row r="1706" spans="1:10" ht="15">
      <c r="A1706" s="137" t="str">
        <f t="shared" si="23"/>
        <v>HRNOMINA SUCURSALA12</v>
      </c>
      <c r="B1706" t="s">
        <v>2028</v>
      </c>
      <c r="C1706" s="1">
        <v>45912</v>
      </c>
      <c r="D1706" t="s">
        <v>29</v>
      </c>
      <c r="E1706" t="s">
        <v>154</v>
      </c>
      <c r="F1706" t="s">
        <v>98</v>
      </c>
      <c r="J1706" s="385">
        <v>16098.4</v>
      </c>
    </row>
    <row r="1707" spans="1:10" ht="15">
      <c r="A1707" s="137" t="str">
        <f t="shared" si="23"/>
        <v>HRNOMINA SUCURSALA14</v>
      </c>
      <c r="B1707" t="s">
        <v>2028</v>
      </c>
      <c r="C1707" s="1">
        <v>45912</v>
      </c>
      <c r="D1707" t="s">
        <v>29</v>
      </c>
      <c r="E1707" t="s">
        <v>154</v>
      </c>
      <c r="F1707" t="s">
        <v>99</v>
      </c>
      <c r="J1707" s="385">
        <v>13065.4</v>
      </c>
    </row>
    <row r="1708" spans="1:10" ht="15">
      <c r="A1708" s="137" t="str">
        <f t="shared" si="23"/>
        <v>HRNOMINA SUCURSALA15</v>
      </c>
      <c r="B1708" t="s">
        <v>2028</v>
      </c>
      <c r="C1708" s="1">
        <v>45912</v>
      </c>
      <c r="D1708" t="s">
        <v>29</v>
      </c>
      <c r="E1708" t="s">
        <v>154</v>
      </c>
      <c r="F1708" t="s">
        <v>100</v>
      </c>
      <c r="J1708" s="385">
        <v>11543.4</v>
      </c>
    </row>
    <row r="1709" spans="1:10" ht="15">
      <c r="A1709" s="137" t="str">
        <f t="shared" si="23"/>
        <v>HRNOMINA SUCURSALA16</v>
      </c>
      <c r="B1709" t="s">
        <v>2028</v>
      </c>
      <c r="C1709" s="1">
        <v>45912</v>
      </c>
      <c r="D1709" t="s">
        <v>29</v>
      </c>
      <c r="E1709" t="s">
        <v>154</v>
      </c>
      <c r="F1709" t="s">
        <v>101</v>
      </c>
      <c r="J1709" s="385">
        <v>15755.89</v>
      </c>
    </row>
    <row r="1710" spans="1:10" ht="15">
      <c r="A1710" s="137" t="str">
        <f t="shared" si="23"/>
        <v>HRNOMINA SUCURSALA17</v>
      </c>
      <c r="B1710" t="s">
        <v>2028</v>
      </c>
      <c r="C1710" s="1">
        <v>45912</v>
      </c>
      <c r="D1710" t="s">
        <v>29</v>
      </c>
      <c r="E1710" t="s">
        <v>154</v>
      </c>
      <c r="F1710" t="s">
        <v>102</v>
      </c>
      <c r="J1710" s="385">
        <v>10157.799999999999</v>
      </c>
    </row>
    <row r="1711" spans="1:10" ht="15">
      <c r="A1711" s="137" t="str">
        <f t="shared" si="23"/>
        <v>HRNOMINA SUCURSALA18</v>
      </c>
      <c r="B1711" t="s">
        <v>2028</v>
      </c>
      <c r="C1711" s="1">
        <v>45912</v>
      </c>
      <c r="D1711" t="s">
        <v>29</v>
      </c>
      <c r="E1711" t="s">
        <v>154</v>
      </c>
      <c r="F1711" t="s">
        <v>103</v>
      </c>
      <c r="J1711" s="385">
        <v>14744.2</v>
      </c>
    </row>
    <row r="1712" spans="1:10" ht="15">
      <c r="A1712" s="137" t="str">
        <f t="shared" si="23"/>
        <v>HRNOMINA SUCURSALA22</v>
      </c>
      <c r="B1712" t="s">
        <v>2028</v>
      </c>
      <c r="C1712" s="1">
        <v>45912</v>
      </c>
      <c r="D1712" t="s">
        <v>29</v>
      </c>
      <c r="E1712" t="s">
        <v>154</v>
      </c>
      <c r="F1712" t="s">
        <v>104</v>
      </c>
      <c r="J1712" s="385">
        <v>11705.6</v>
      </c>
    </row>
    <row r="1713" spans="1:10" ht="15">
      <c r="A1713" s="137" t="str">
        <f t="shared" si="23"/>
        <v>HRNOMINA SUCURSALA23</v>
      </c>
      <c r="B1713" t="s">
        <v>2028</v>
      </c>
      <c r="C1713" s="1">
        <v>45912</v>
      </c>
      <c r="D1713" t="s">
        <v>29</v>
      </c>
      <c r="E1713" t="s">
        <v>154</v>
      </c>
      <c r="F1713" t="s">
        <v>105</v>
      </c>
      <c r="J1713" s="385">
        <v>11227.2</v>
      </c>
    </row>
    <row r="1714" spans="1:10" ht="15">
      <c r="A1714" s="137" t="str">
        <f t="shared" si="23"/>
        <v>HRNOMINA SUCURSALA24</v>
      </c>
      <c r="B1714" t="s">
        <v>2028</v>
      </c>
      <c r="C1714" s="1">
        <v>45912</v>
      </c>
      <c r="D1714" t="s">
        <v>29</v>
      </c>
      <c r="E1714" t="s">
        <v>154</v>
      </c>
      <c r="F1714" t="s">
        <v>106</v>
      </c>
      <c r="J1714" s="385">
        <v>16581.400000000001</v>
      </c>
    </row>
    <row r="1715" spans="1:10" ht="15">
      <c r="A1715" s="137" t="str">
        <f t="shared" si="23"/>
        <v>CAPNOMINA SUCURSALE1</v>
      </c>
      <c r="B1715" t="s">
        <v>2028</v>
      </c>
      <c r="C1715" s="1">
        <v>45912</v>
      </c>
      <c r="D1715" t="s">
        <v>31</v>
      </c>
      <c r="E1715" t="s">
        <v>154</v>
      </c>
      <c r="F1715" t="s">
        <v>107</v>
      </c>
      <c r="J1715" s="385">
        <v>15922.4</v>
      </c>
    </row>
    <row r="1716" spans="1:10" ht="15">
      <c r="A1716" s="137" t="str">
        <f t="shared" si="23"/>
        <v>CAPNOMINA SUCURSALE2</v>
      </c>
      <c r="B1716" t="s">
        <v>2028</v>
      </c>
      <c r="C1716" s="1">
        <v>45912</v>
      </c>
      <c r="D1716" t="s">
        <v>31</v>
      </c>
      <c r="E1716" t="s">
        <v>154</v>
      </c>
      <c r="F1716" t="s">
        <v>108</v>
      </c>
      <c r="J1716" s="385">
        <v>19261.8</v>
      </c>
    </row>
    <row r="1717" spans="1:10" ht="15">
      <c r="A1717" s="137" t="str">
        <f t="shared" si="23"/>
        <v>CAPNOMINA SUCURSALE3</v>
      </c>
      <c r="B1717" t="s">
        <v>2028</v>
      </c>
      <c r="C1717" s="1">
        <v>45912</v>
      </c>
      <c r="D1717" t="s">
        <v>31</v>
      </c>
      <c r="E1717" t="s">
        <v>154</v>
      </c>
      <c r="F1717" t="s">
        <v>109</v>
      </c>
      <c r="J1717" s="385">
        <v>14052.2</v>
      </c>
    </row>
    <row r="1718" spans="1:10" ht="15">
      <c r="A1718" s="137" t="str">
        <f t="shared" si="23"/>
        <v>CAPNOMINA SUCURSALE4</v>
      </c>
      <c r="B1718" t="s">
        <v>2028</v>
      </c>
      <c r="C1718" s="1">
        <v>45912</v>
      </c>
      <c r="D1718" t="s">
        <v>31</v>
      </c>
      <c r="E1718" t="s">
        <v>154</v>
      </c>
      <c r="F1718" t="s">
        <v>110</v>
      </c>
      <c r="J1718" s="385">
        <v>19327.2</v>
      </c>
    </row>
    <row r="1719" spans="1:10" ht="15">
      <c r="A1719" s="137" t="str">
        <f t="shared" si="23"/>
        <v>CAPNOMINA SUCURSALE5</v>
      </c>
      <c r="B1719" t="s">
        <v>2028</v>
      </c>
      <c r="C1719" s="1">
        <v>45912</v>
      </c>
      <c r="D1719" t="s">
        <v>31</v>
      </c>
      <c r="E1719" t="s">
        <v>154</v>
      </c>
      <c r="F1719" t="s">
        <v>111</v>
      </c>
      <c r="J1719" s="385">
        <v>17781.8</v>
      </c>
    </row>
    <row r="1720" spans="1:10" ht="15">
      <c r="A1720" s="137" t="str">
        <f t="shared" si="23"/>
        <v>CAPNOMINA SUCURSALE6</v>
      </c>
      <c r="B1720" t="s">
        <v>2028</v>
      </c>
      <c r="C1720" s="1">
        <v>45912</v>
      </c>
      <c r="D1720" t="s">
        <v>31</v>
      </c>
      <c r="E1720" t="s">
        <v>154</v>
      </c>
      <c r="F1720" t="s">
        <v>112</v>
      </c>
      <c r="J1720" s="385">
        <v>15220.6</v>
      </c>
    </row>
    <row r="1721" spans="1:10" ht="15">
      <c r="A1721" s="137" t="str">
        <f t="shared" si="23"/>
        <v>CAPNOMINA SUCURSALE7</v>
      </c>
      <c r="B1721" t="s">
        <v>2028</v>
      </c>
      <c r="C1721" s="1">
        <v>45912</v>
      </c>
      <c r="D1721" t="s">
        <v>31</v>
      </c>
      <c r="E1721" t="s">
        <v>154</v>
      </c>
      <c r="F1721" t="s">
        <v>113</v>
      </c>
      <c r="J1721" s="385">
        <v>11528</v>
      </c>
    </row>
    <row r="1722" spans="1:10" ht="15">
      <c r="A1722" s="137" t="str">
        <f t="shared" si="23"/>
        <v>CAPNOMINA SUCURSALE8</v>
      </c>
      <c r="B1722" t="s">
        <v>2028</v>
      </c>
      <c r="C1722" s="1">
        <v>45912</v>
      </c>
      <c r="D1722" t="s">
        <v>31</v>
      </c>
      <c r="E1722" t="s">
        <v>154</v>
      </c>
      <c r="F1722" t="s">
        <v>114</v>
      </c>
      <c r="J1722" s="385">
        <v>24435.599999999999</v>
      </c>
    </row>
    <row r="1723" spans="1:10" ht="15">
      <c r="A1723" s="137" t="str">
        <f t="shared" si="23"/>
        <v>CAPNOMINA SUCURSALE9</v>
      </c>
      <c r="B1723" t="s">
        <v>2028</v>
      </c>
      <c r="C1723" s="1">
        <v>45912</v>
      </c>
      <c r="D1723" t="s">
        <v>31</v>
      </c>
      <c r="E1723" t="s">
        <v>154</v>
      </c>
      <c r="F1723" t="s">
        <v>116</v>
      </c>
      <c r="J1723" s="385">
        <v>22550.2</v>
      </c>
    </row>
    <row r="1724" spans="1:10" ht="15">
      <c r="A1724" s="137" t="str">
        <f t="shared" si="23"/>
        <v>ELINOMINA SUCURSALL1</v>
      </c>
      <c r="B1724" t="s">
        <v>2028</v>
      </c>
      <c r="C1724" s="1">
        <v>45912</v>
      </c>
      <c r="D1724" t="s">
        <v>130</v>
      </c>
      <c r="E1724" t="s">
        <v>154</v>
      </c>
      <c r="F1724" t="s">
        <v>136</v>
      </c>
      <c r="J1724" s="385">
        <v>8331.7999999999993</v>
      </c>
    </row>
    <row r="1725" spans="1:10" ht="15">
      <c r="A1725" s="137" t="str">
        <f t="shared" si="23"/>
        <v>HRNOMINA ADMONHR</v>
      </c>
      <c r="B1725" t="s">
        <v>2028</v>
      </c>
      <c r="C1725" s="1">
        <v>45912</v>
      </c>
      <c r="D1725" t="s">
        <v>29</v>
      </c>
      <c r="E1725" t="s">
        <v>147</v>
      </c>
      <c r="F1725" t="s">
        <v>29</v>
      </c>
      <c r="J1725" s="385">
        <v>25144.2</v>
      </c>
    </row>
    <row r="1726" spans="1:10" ht="15">
      <c r="A1726" s="137" t="str">
        <f t="shared" si="23"/>
        <v>CAPNOMINA ADMONCAPRICHOS</v>
      </c>
      <c r="B1726" t="s">
        <v>2028</v>
      </c>
      <c r="C1726" s="1">
        <v>45912</v>
      </c>
      <c r="D1726" t="s">
        <v>31</v>
      </c>
      <c r="E1726" t="s">
        <v>147</v>
      </c>
      <c r="F1726" t="s">
        <v>33</v>
      </c>
      <c r="J1726" s="385">
        <v>24202.2</v>
      </c>
    </row>
    <row r="1727" spans="1:10" ht="15">
      <c r="A1727" s="137" t="str">
        <f t="shared" si="23"/>
        <v>SERVICIOSNOMINA SUCURSALCEDIS</v>
      </c>
      <c r="B1727" t="s">
        <v>2028</v>
      </c>
      <c r="C1727" s="1">
        <v>45912</v>
      </c>
      <c r="D1727" t="s">
        <v>21</v>
      </c>
      <c r="E1727" t="s">
        <v>154</v>
      </c>
      <c r="F1727" t="s">
        <v>28</v>
      </c>
      <c r="J1727" s="385">
        <v>72030.649999999994</v>
      </c>
    </row>
    <row r="1728" spans="1:10" ht="15">
      <c r="A1728" s="137" t="str">
        <f t="shared" si="23"/>
        <v>SERVICIOSNOMINA ADMONINVENTARIOS</v>
      </c>
      <c r="B1728" t="s">
        <v>2028</v>
      </c>
      <c r="C1728" s="1">
        <v>45912</v>
      </c>
      <c r="D1728" t="s">
        <v>21</v>
      </c>
      <c r="E1728" t="s">
        <v>147</v>
      </c>
      <c r="F1728" t="s">
        <v>34</v>
      </c>
      <c r="J1728" s="385">
        <v>2800</v>
      </c>
    </row>
    <row r="1729" spans="1:10" ht="15">
      <c r="A1729" s="137" t="str">
        <f t="shared" si="23"/>
        <v>SERVICIOSNOMINA ADMONMANTENIMIENTO</v>
      </c>
      <c r="B1729" t="s">
        <v>2028</v>
      </c>
      <c r="C1729" s="1">
        <v>45912</v>
      </c>
      <c r="D1729" t="s">
        <v>21</v>
      </c>
      <c r="E1729" t="s">
        <v>147</v>
      </c>
      <c r="F1729" t="s">
        <v>35</v>
      </c>
      <c r="J1729" s="385">
        <v>16618.03</v>
      </c>
    </row>
    <row r="1730" spans="1:10" ht="15">
      <c r="A1730" s="137" t="str">
        <f t="shared" si="23"/>
        <v>SERVICIOSNOMINA ADMONCADENA DE SUMINISTROS</v>
      </c>
      <c r="B1730" t="s">
        <v>2028</v>
      </c>
      <c r="C1730" s="1">
        <v>45912</v>
      </c>
      <c r="D1730" t="s">
        <v>21</v>
      </c>
      <c r="E1730" t="s">
        <v>147</v>
      </c>
      <c r="F1730" t="s">
        <v>134</v>
      </c>
      <c r="J1730" s="385">
        <v>24904</v>
      </c>
    </row>
    <row r="1731" spans="1:10" ht="15">
      <c r="A1731" s="137" t="str">
        <f t="shared" si="23"/>
        <v>SERVICIOSNOMINA ADMONSISTEMAS</v>
      </c>
      <c r="B1731" t="s">
        <v>2028</v>
      </c>
      <c r="C1731" s="1">
        <v>45912</v>
      </c>
      <c r="D1731" t="s">
        <v>21</v>
      </c>
      <c r="E1731" t="s">
        <v>147</v>
      </c>
      <c r="F1731" t="s">
        <v>36</v>
      </c>
      <c r="J1731" s="385">
        <v>11669.09</v>
      </c>
    </row>
    <row r="1732" spans="1:10" ht="15">
      <c r="A1732" s="137" t="str">
        <f t="shared" ref="A1732:A1795" si="24">D1732&amp;E1732&amp;F1732</f>
        <v>SERVICIOSNOMINA ADMONCOMPRAS</v>
      </c>
      <c r="B1732" t="s">
        <v>2028</v>
      </c>
      <c r="C1732" s="1">
        <v>45912</v>
      </c>
      <c r="D1732" t="s">
        <v>21</v>
      </c>
      <c r="E1732" t="s">
        <v>147</v>
      </c>
      <c r="F1732" t="s">
        <v>148</v>
      </c>
      <c r="J1732" s="385">
        <v>23529.31</v>
      </c>
    </row>
    <row r="1733" spans="1:10" ht="15">
      <c r="A1733" s="137" t="str">
        <f t="shared" si="24"/>
        <v>FINANZASNOMINA ADMONCONTABILIDAD</v>
      </c>
      <c r="B1733" t="s">
        <v>2028</v>
      </c>
      <c r="C1733" s="1">
        <v>45912</v>
      </c>
      <c r="D1733" t="s">
        <v>23</v>
      </c>
      <c r="E1733" t="s">
        <v>147</v>
      </c>
      <c r="F1733" t="s">
        <v>37</v>
      </c>
      <c r="J1733" s="385">
        <v>9283.65</v>
      </c>
    </row>
    <row r="1734" spans="1:10" ht="15">
      <c r="A1734" s="137" t="str">
        <f t="shared" si="24"/>
        <v>FINANZASNOMINA ADMONFINANZAS/LEGAL</v>
      </c>
      <c r="B1734" t="s">
        <v>2028</v>
      </c>
      <c r="C1734" s="1">
        <v>45912</v>
      </c>
      <c r="D1734" t="s">
        <v>23</v>
      </c>
      <c r="E1734" t="s">
        <v>147</v>
      </c>
      <c r="F1734" t="s">
        <v>149</v>
      </c>
      <c r="J1734" s="385">
        <v>9874.69</v>
      </c>
    </row>
    <row r="1735" spans="1:10" ht="15">
      <c r="A1735" s="137" t="str">
        <f t="shared" si="24"/>
        <v>FINANZASNOMINA ADMONRECURSOS HUMANOS</v>
      </c>
      <c r="B1735" t="s">
        <v>2028</v>
      </c>
      <c r="C1735" s="1">
        <v>45912</v>
      </c>
      <c r="D1735" t="s">
        <v>23</v>
      </c>
      <c r="E1735" t="s">
        <v>147</v>
      </c>
      <c r="F1735" t="s">
        <v>125</v>
      </c>
      <c r="H1735" s="220"/>
      <c r="J1735" s="385">
        <v>11348.78</v>
      </c>
    </row>
    <row r="1736" spans="1:10" ht="15">
      <c r="A1736" s="137" t="str">
        <f t="shared" si="24"/>
        <v>FINANZASNOMINA ADMONTESORERIA</v>
      </c>
      <c r="B1736" t="s">
        <v>2028</v>
      </c>
      <c r="C1736" s="1">
        <v>45912</v>
      </c>
      <c r="D1736" t="s">
        <v>23</v>
      </c>
      <c r="E1736" t="s">
        <v>147</v>
      </c>
      <c r="F1736" t="s">
        <v>38</v>
      </c>
      <c r="H1736" s="220"/>
      <c r="J1736" s="385">
        <v>12388.4</v>
      </c>
    </row>
    <row r="1737" spans="1:10" ht="15">
      <c r="A1737" s="137" t="str">
        <f t="shared" si="24"/>
        <v>FINANZASNOMINA ADMONHBG FINANZAS</v>
      </c>
      <c r="B1737" t="s">
        <v>2028</v>
      </c>
      <c r="C1737" s="1">
        <v>45912</v>
      </c>
      <c r="D1737" t="s">
        <v>23</v>
      </c>
      <c r="E1737" t="s">
        <v>147</v>
      </c>
      <c r="F1737" t="s">
        <v>150</v>
      </c>
      <c r="H1737" s="220"/>
      <c r="J1737" s="385">
        <v>2546</v>
      </c>
    </row>
    <row r="1738" spans="1:10" ht="15">
      <c r="A1738" s="137" t="str">
        <f t="shared" si="24"/>
        <v>SGENOMINA ADMONGESTION EMPRESARIAL</v>
      </c>
      <c r="B1738" t="s">
        <v>2028</v>
      </c>
      <c r="C1738" s="1">
        <v>45912</v>
      </c>
      <c r="D1738" t="s">
        <v>39</v>
      </c>
      <c r="E1738" t="s">
        <v>147</v>
      </c>
      <c r="F1738" t="s">
        <v>40</v>
      </c>
      <c r="H1738" s="220"/>
      <c r="J1738" s="385">
        <v>22950.2</v>
      </c>
    </row>
    <row r="1739" spans="1:10" ht="15">
      <c r="A1739" s="137" t="str">
        <f t="shared" si="24"/>
        <v>DENOMINA ADMONDIRECCION</v>
      </c>
      <c r="B1739" t="s">
        <v>2028</v>
      </c>
      <c r="C1739" s="1">
        <v>45912</v>
      </c>
      <c r="D1739" t="s">
        <v>41</v>
      </c>
      <c r="E1739" t="s">
        <v>147</v>
      </c>
      <c r="F1739" t="s">
        <v>42</v>
      </c>
      <c r="H1739" s="220"/>
      <c r="J1739" s="385">
        <v>7000</v>
      </c>
    </row>
    <row r="1740" spans="1:10" ht="15">
      <c r="A1740" s="137" t="str">
        <f t="shared" si="24"/>
        <v>MELNOMINA ADMONMELISSA</v>
      </c>
      <c r="B1740" t="s">
        <v>2028</v>
      </c>
      <c r="C1740" s="1">
        <v>45912</v>
      </c>
      <c r="D1740" t="s">
        <v>43</v>
      </c>
      <c r="E1740" t="s">
        <v>147</v>
      </c>
      <c r="F1740" t="s">
        <v>44</v>
      </c>
      <c r="H1740" s="220"/>
      <c r="J1740" s="385">
        <v>4255.6000000000004</v>
      </c>
    </row>
    <row r="1741" spans="1:10" ht="15">
      <c r="A1741" s="137" t="str">
        <f t="shared" si="24"/>
        <v>MMNOMINA ADMONMARKET MAX</v>
      </c>
      <c r="B1741" t="s">
        <v>2028</v>
      </c>
      <c r="C1741" s="1">
        <v>45912</v>
      </c>
      <c r="D1741" t="s">
        <v>45</v>
      </c>
      <c r="E1741" t="s">
        <v>147</v>
      </c>
      <c r="F1741" t="s">
        <v>46</v>
      </c>
      <c r="H1741" s="220"/>
      <c r="J1741" s="385">
        <v>5874.94</v>
      </c>
    </row>
    <row r="1742" spans="1:10" ht="15">
      <c r="A1742" s="137" t="str">
        <f t="shared" si="24"/>
        <v>ANALISISNOMINA ADMONANALISIS DE DATOS</v>
      </c>
      <c r="B1742" t="s">
        <v>2028</v>
      </c>
      <c r="C1742" s="1">
        <v>45912</v>
      </c>
      <c r="D1742" t="s">
        <v>152</v>
      </c>
      <c r="E1742" t="s">
        <v>147</v>
      </c>
      <c r="F1742" t="s">
        <v>153</v>
      </c>
      <c r="H1742" s="220"/>
      <c r="J1742" s="385">
        <v>3800</v>
      </c>
    </row>
    <row r="1743" spans="1:10" ht="15">
      <c r="A1743" s="137" t="str">
        <f t="shared" si="24"/>
        <v>MKTNOMINA ADMONMKT</v>
      </c>
      <c r="B1743" t="s">
        <v>2028</v>
      </c>
      <c r="C1743" s="1">
        <v>45912</v>
      </c>
      <c r="D1743" t="s">
        <v>19</v>
      </c>
      <c r="E1743" t="s">
        <v>147</v>
      </c>
      <c r="F1743" t="s">
        <v>19</v>
      </c>
      <c r="H1743" s="220"/>
      <c r="J1743" s="385">
        <v>21001.4</v>
      </c>
    </row>
    <row r="1744" spans="1:10" ht="15">
      <c r="A1744" s="137" t="str">
        <f t="shared" si="24"/>
        <v>SGEVACACIONES/FINIQUITOSGESTION EMPRESARIAL</v>
      </c>
      <c r="B1744" t="s">
        <v>2028</v>
      </c>
      <c r="C1744" s="1">
        <v>45904</v>
      </c>
      <c r="D1744" t="s">
        <v>39</v>
      </c>
      <c r="E1744" s="12" t="s">
        <v>190</v>
      </c>
      <c r="F1744" s="12" t="s">
        <v>40</v>
      </c>
      <c r="H1744" s="427" t="s">
        <v>4818</v>
      </c>
      <c r="J1744" s="385">
        <v>2034</v>
      </c>
    </row>
    <row r="1745" spans="1:10" ht="15">
      <c r="A1745" s="137" t="str">
        <f t="shared" si="24"/>
        <v>MKTVACACIONES/FINIQUITOSMKT</v>
      </c>
      <c r="B1745" t="s">
        <v>2028</v>
      </c>
      <c r="C1745" s="1">
        <v>45904</v>
      </c>
      <c r="D1745" t="s">
        <v>19</v>
      </c>
      <c r="E1745" s="12" t="s">
        <v>190</v>
      </c>
      <c r="F1745" t="s">
        <v>19</v>
      </c>
      <c r="H1745" s="427" t="s">
        <v>4813</v>
      </c>
      <c r="J1745" s="385">
        <v>2357</v>
      </c>
    </row>
    <row r="1746" spans="1:10" ht="15">
      <c r="A1746" s="137" t="str">
        <f t="shared" si="24"/>
        <v>MKTVACACIONES/FINIQUITOSMKT</v>
      </c>
      <c r="B1746" t="s">
        <v>2028</v>
      </c>
      <c r="C1746" s="1">
        <v>45904</v>
      </c>
      <c r="D1746" t="s">
        <v>19</v>
      </c>
      <c r="E1746" s="12" t="s">
        <v>190</v>
      </c>
      <c r="F1746" t="s">
        <v>19</v>
      </c>
      <c r="H1746" s="427" t="s">
        <v>4813</v>
      </c>
      <c r="J1746" s="385">
        <v>2200</v>
      </c>
    </row>
    <row r="1747" spans="1:10" ht="15">
      <c r="A1747" s="137" t="str">
        <f t="shared" si="24"/>
        <v>HRVACACIONES/FINIQUITOSHR</v>
      </c>
      <c r="B1747" t="s">
        <v>2028</v>
      </c>
      <c r="C1747" s="1">
        <v>45904</v>
      </c>
      <c r="D1747" t="s">
        <v>29</v>
      </c>
      <c r="E1747" s="12" t="s">
        <v>190</v>
      </c>
      <c r="F1747" t="s">
        <v>29</v>
      </c>
      <c r="H1747" s="427" t="s">
        <v>4819</v>
      </c>
      <c r="J1747" s="385">
        <v>1400</v>
      </c>
    </row>
    <row r="1748" spans="1:10" ht="15">
      <c r="A1748" s="137" t="str">
        <f t="shared" si="24"/>
        <v>CAPVACACIONES/FINIQUITOSCAPRICHOS</v>
      </c>
      <c r="B1748" t="s">
        <v>2028</v>
      </c>
      <c r="C1748" s="1">
        <v>45904</v>
      </c>
      <c r="D1748" t="s">
        <v>31</v>
      </c>
      <c r="E1748" s="12" t="s">
        <v>190</v>
      </c>
      <c r="F1748" t="s">
        <v>33</v>
      </c>
      <c r="H1748" s="427" t="s">
        <v>108</v>
      </c>
      <c r="J1748" s="385">
        <v>472</v>
      </c>
    </row>
    <row r="1749" spans="1:10" ht="15">
      <c r="A1749" s="137" t="str">
        <f t="shared" si="24"/>
        <v>SERVICIOSVACACIONES/FINIQUITOSSERVICIOS</v>
      </c>
      <c r="B1749" t="s">
        <v>2028</v>
      </c>
      <c r="C1749" s="1">
        <v>45911</v>
      </c>
      <c r="D1749" t="s">
        <v>21</v>
      </c>
      <c r="E1749" s="12" t="s">
        <v>190</v>
      </c>
      <c r="F1749" t="s">
        <v>21</v>
      </c>
      <c r="H1749" s="427" t="s">
        <v>148</v>
      </c>
      <c r="J1749" s="385">
        <v>1072</v>
      </c>
    </row>
    <row r="1750" spans="1:10" ht="15">
      <c r="A1750" s="137" t="str">
        <f t="shared" si="24"/>
        <v>HRVACACIONES/FINIQUITOSHR</v>
      </c>
      <c r="B1750" t="s">
        <v>2028</v>
      </c>
      <c r="C1750" s="1">
        <v>45911</v>
      </c>
      <c r="D1750" t="s">
        <v>29</v>
      </c>
      <c r="E1750" s="12" t="s">
        <v>190</v>
      </c>
      <c r="F1750" t="s">
        <v>29</v>
      </c>
      <c r="H1750" s="427" t="s">
        <v>187</v>
      </c>
      <c r="J1750" s="385">
        <v>1350</v>
      </c>
    </row>
    <row r="1751" spans="1:10" ht="15">
      <c r="A1751" s="137" t="str">
        <f t="shared" si="24"/>
        <v>HRVACACIONES/FINIQUITOSHR</v>
      </c>
      <c r="B1751" t="s">
        <v>2028</v>
      </c>
      <c r="C1751" s="1">
        <v>45911</v>
      </c>
      <c r="D1751" t="s">
        <v>29</v>
      </c>
      <c r="E1751" s="12" t="s">
        <v>190</v>
      </c>
      <c r="F1751" t="s">
        <v>29</v>
      </c>
      <c r="H1751" s="427" t="s">
        <v>91</v>
      </c>
      <c r="J1751" s="385">
        <v>1064</v>
      </c>
    </row>
    <row r="1752" spans="1:10" ht="15">
      <c r="A1752" s="137" t="str">
        <f t="shared" si="24"/>
        <v>HRVACACIONES/FINIQUITOSHR</v>
      </c>
      <c r="B1752" t="s">
        <v>2028</v>
      </c>
      <c r="C1752" s="1">
        <v>45911</v>
      </c>
      <c r="D1752" t="s">
        <v>29</v>
      </c>
      <c r="E1752" s="12" t="s">
        <v>190</v>
      </c>
      <c r="F1752" t="s">
        <v>29</v>
      </c>
      <c r="H1752" s="427" t="s">
        <v>97</v>
      </c>
      <c r="J1752" s="385">
        <v>912</v>
      </c>
    </row>
    <row r="1753" spans="1:10" ht="15">
      <c r="A1753" s="137" t="str">
        <f t="shared" si="24"/>
        <v>FINANZASNOMINA ADMONHBG FINANZAS</v>
      </c>
      <c r="B1753" t="s">
        <v>2028</v>
      </c>
      <c r="C1753" s="1">
        <v>45912</v>
      </c>
      <c r="D1753" t="s">
        <v>23</v>
      </c>
      <c r="E1753" t="s">
        <v>147</v>
      </c>
      <c r="F1753" s="12" t="s">
        <v>150</v>
      </c>
      <c r="J1753" s="385">
        <v>10950</v>
      </c>
    </row>
    <row r="1754" spans="1:10" ht="15">
      <c r="A1754" s="137" t="str">
        <f t="shared" si="24"/>
        <v>HRNOMINA ADMONHR</v>
      </c>
      <c r="B1754" t="s">
        <v>2028</v>
      </c>
      <c r="C1754" s="1">
        <v>45912</v>
      </c>
      <c r="D1754" t="s">
        <v>29</v>
      </c>
      <c r="E1754" t="s">
        <v>147</v>
      </c>
      <c r="F1754" s="3" t="s">
        <v>29</v>
      </c>
      <c r="J1754" s="385">
        <v>5500</v>
      </c>
    </row>
    <row r="1755" spans="1:10" ht="15">
      <c r="A1755" s="137" t="str">
        <f t="shared" si="24"/>
        <v>CAPNOMINA ADMONCAPRICHOS</v>
      </c>
      <c r="B1755" t="s">
        <v>2028</v>
      </c>
      <c r="C1755" s="1">
        <v>45912</v>
      </c>
      <c r="D1755" t="s">
        <v>31</v>
      </c>
      <c r="E1755" t="s">
        <v>147</v>
      </c>
      <c r="F1755" s="12" t="s">
        <v>33</v>
      </c>
      <c r="J1755" s="385">
        <v>3700</v>
      </c>
    </row>
    <row r="1756" spans="1:10" ht="15">
      <c r="A1756" s="137" t="str">
        <f t="shared" si="24"/>
        <v>SGENOMINA ADMONGESTION EMPRESARIAL</v>
      </c>
      <c r="B1756" t="s">
        <v>2028</v>
      </c>
      <c r="C1756" s="1">
        <v>45912</v>
      </c>
      <c r="D1756" t="s">
        <v>39</v>
      </c>
      <c r="E1756" t="s">
        <v>147</v>
      </c>
      <c r="F1756" s="12" t="s">
        <v>40</v>
      </c>
      <c r="J1756" s="385">
        <v>2750</v>
      </c>
    </row>
    <row r="1757" spans="1:10" ht="15">
      <c r="A1757" s="137" t="str">
        <f t="shared" si="24"/>
        <v>SERVICIOSNOMINA ADMONSERVICIOS</v>
      </c>
      <c r="B1757" t="s">
        <v>2028</v>
      </c>
      <c r="C1757" s="1">
        <v>45912</v>
      </c>
      <c r="D1757" t="s">
        <v>21</v>
      </c>
      <c r="E1757" t="s">
        <v>147</v>
      </c>
      <c r="F1757" s="12" t="s">
        <v>21</v>
      </c>
      <c r="J1757" s="385">
        <v>4750</v>
      </c>
    </row>
    <row r="1758" spans="1:10" ht="15">
      <c r="A1758" s="137" t="str">
        <f t="shared" si="24"/>
        <v>DENOMINA ADMONDIRECCION</v>
      </c>
      <c r="B1758" t="s">
        <v>2028</v>
      </c>
      <c r="C1758" s="1">
        <v>45912</v>
      </c>
      <c r="D1758" t="s">
        <v>41</v>
      </c>
      <c r="E1758" t="s">
        <v>147</v>
      </c>
      <c r="F1758" s="12" t="s">
        <v>42</v>
      </c>
      <c r="J1758" s="385">
        <v>20750</v>
      </c>
    </row>
    <row r="1759" spans="1:10" ht="15">
      <c r="A1759" s="137" t="str">
        <f t="shared" si="24"/>
        <v>MMNOMINA ADMONMARKET MAX</v>
      </c>
      <c r="B1759" t="s">
        <v>2028</v>
      </c>
      <c r="C1759" s="1">
        <v>45912</v>
      </c>
      <c r="D1759" t="s">
        <v>45</v>
      </c>
      <c r="E1759" t="s">
        <v>147</v>
      </c>
      <c r="F1759" s="12" t="s">
        <v>46</v>
      </c>
      <c r="J1759" s="385">
        <v>2000</v>
      </c>
    </row>
    <row r="1760" spans="1:10" ht="15">
      <c r="A1760" s="137" t="str">
        <f t="shared" si="24"/>
        <v>HRNOMINA SUCURSALA1</v>
      </c>
      <c r="B1760" t="s">
        <v>2028</v>
      </c>
      <c r="C1760" s="1">
        <v>45919</v>
      </c>
      <c r="D1760" t="s">
        <v>29</v>
      </c>
      <c r="E1760" t="s">
        <v>154</v>
      </c>
      <c r="F1760" t="s">
        <v>88</v>
      </c>
      <c r="J1760" s="299">
        <v>10933.6</v>
      </c>
    </row>
    <row r="1761" spans="1:10" ht="15">
      <c r="A1761" s="137" t="str">
        <f t="shared" si="24"/>
        <v>HRNOMINA SUCURSALA2</v>
      </c>
      <c r="B1761" t="s">
        <v>2028</v>
      </c>
      <c r="C1761" s="1">
        <v>45919</v>
      </c>
      <c r="D1761" t="s">
        <v>29</v>
      </c>
      <c r="E1761" t="s">
        <v>154</v>
      </c>
      <c r="F1761" t="s">
        <v>89</v>
      </c>
      <c r="J1761" s="299">
        <v>11626.2</v>
      </c>
    </row>
    <row r="1762" spans="1:10" ht="15">
      <c r="A1762" s="137" t="str">
        <f t="shared" si="24"/>
        <v>HRNOMINA SUCURSALA3</v>
      </c>
      <c r="B1762" t="s">
        <v>2028</v>
      </c>
      <c r="C1762" s="1">
        <v>45919</v>
      </c>
      <c r="D1762" t="s">
        <v>29</v>
      </c>
      <c r="E1762" t="s">
        <v>154</v>
      </c>
      <c r="F1762" t="s">
        <v>90</v>
      </c>
      <c r="J1762" s="299">
        <v>8962.6</v>
      </c>
    </row>
    <row r="1763" spans="1:10" ht="15">
      <c r="A1763" s="137" t="str">
        <f t="shared" si="24"/>
        <v>HRNOMINA SUCURSALA4</v>
      </c>
      <c r="B1763" t="s">
        <v>2028</v>
      </c>
      <c r="C1763" s="1">
        <v>45919</v>
      </c>
      <c r="D1763" t="s">
        <v>29</v>
      </c>
      <c r="E1763" t="s">
        <v>154</v>
      </c>
      <c r="F1763" t="s">
        <v>91</v>
      </c>
      <c r="J1763" s="299">
        <v>11857.6</v>
      </c>
    </row>
    <row r="1764" spans="1:10" ht="15">
      <c r="A1764" s="137" t="str">
        <f t="shared" si="24"/>
        <v>HRNOMINA SUCURSALA5</v>
      </c>
      <c r="B1764" t="s">
        <v>2028</v>
      </c>
      <c r="C1764" s="1">
        <v>45919</v>
      </c>
      <c r="D1764" t="s">
        <v>29</v>
      </c>
      <c r="E1764" t="s">
        <v>154</v>
      </c>
      <c r="F1764" t="s">
        <v>92</v>
      </c>
      <c r="J1764" s="299">
        <v>11313.4</v>
      </c>
    </row>
    <row r="1765" spans="1:10" ht="15">
      <c r="A1765" s="137" t="str">
        <f t="shared" si="24"/>
        <v>HRNOMINA SUCURSALA6</v>
      </c>
      <c r="B1765" t="s">
        <v>2028</v>
      </c>
      <c r="C1765" s="1">
        <v>45919</v>
      </c>
      <c r="D1765" t="s">
        <v>29</v>
      </c>
      <c r="E1765" t="s">
        <v>154</v>
      </c>
      <c r="F1765" t="s">
        <v>93</v>
      </c>
      <c r="J1765" s="299">
        <v>15453.09</v>
      </c>
    </row>
    <row r="1766" spans="1:10" ht="15">
      <c r="A1766" s="137" t="str">
        <f t="shared" si="24"/>
        <v>HRNOMINA SUCURSALA8</v>
      </c>
      <c r="B1766" t="s">
        <v>2028</v>
      </c>
      <c r="C1766" s="1">
        <v>45919</v>
      </c>
      <c r="D1766" t="s">
        <v>29</v>
      </c>
      <c r="E1766" t="s">
        <v>154</v>
      </c>
      <c r="F1766" t="s">
        <v>94</v>
      </c>
      <c r="J1766" s="299">
        <v>13991.2</v>
      </c>
    </row>
    <row r="1767" spans="1:10" ht="15">
      <c r="A1767" s="137" t="str">
        <f t="shared" si="24"/>
        <v>HRNOMINA SUCURSALA9</v>
      </c>
      <c r="B1767" t="s">
        <v>2028</v>
      </c>
      <c r="C1767" s="1">
        <v>45919</v>
      </c>
      <c r="D1767" t="s">
        <v>29</v>
      </c>
      <c r="E1767" t="s">
        <v>154</v>
      </c>
      <c r="F1767" t="s">
        <v>95</v>
      </c>
      <c r="J1767" s="299">
        <v>9730.31</v>
      </c>
    </row>
    <row r="1768" spans="1:10" ht="15">
      <c r="A1768" s="137" t="str">
        <f t="shared" si="24"/>
        <v>HRNOMINA SUCURSALA10</v>
      </c>
      <c r="B1768" t="s">
        <v>2028</v>
      </c>
      <c r="C1768" s="1">
        <v>45919</v>
      </c>
      <c r="D1768" t="s">
        <v>29</v>
      </c>
      <c r="E1768" t="s">
        <v>154</v>
      </c>
      <c r="F1768" t="s">
        <v>96</v>
      </c>
      <c r="J1768" s="299">
        <v>17574.400000000001</v>
      </c>
    </row>
    <row r="1769" spans="1:10" ht="15">
      <c r="A1769" s="137" t="str">
        <f t="shared" si="24"/>
        <v>HRNOMINA SUCURSALA11</v>
      </c>
      <c r="B1769" t="s">
        <v>2028</v>
      </c>
      <c r="C1769" s="1">
        <v>45919</v>
      </c>
      <c r="D1769" t="s">
        <v>29</v>
      </c>
      <c r="E1769" t="s">
        <v>154</v>
      </c>
      <c r="F1769" t="s">
        <v>97</v>
      </c>
      <c r="J1769" s="299">
        <v>11255.6</v>
      </c>
    </row>
    <row r="1770" spans="1:10" ht="15">
      <c r="A1770" s="137" t="str">
        <f t="shared" si="24"/>
        <v>HRNOMINA SUCURSALA12</v>
      </c>
      <c r="B1770" t="s">
        <v>2028</v>
      </c>
      <c r="C1770" s="1">
        <v>45919</v>
      </c>
      <c r="D1770" t="s">
        <v>29</v>
      </c>
      <c r="E1770" t="s">
        <v>154</v>
      </c>
      <c r="F1770" t="s">
        <v>98</v>
      </c>
      <c r="J1770" s="299">
        <v>15390.6</v>
      </c>
    </row>
    <row r="1771" spans="1:10" ht="15">
      <c r="A1771" s="137" t="str">
        <f t="shared" si="24"/>
        <v>HRNOMINA SUCURSALA14</v>
      </c>
      <c r="B1771" t="s">
        <v>2028</v>
      </c>
      <c r="C1771" s="1">
        <v>45919</v>
      </c>
      <c r="D1771" t="s">
        <v>29</v>
      </c>
      <c r="E1771" t="s">
        <v>154</v>
      </c>
      <c r="F1771" t="s">
        <v>99</v>
      </c>
      <c r="J1771" s="299">
        <v>13058.4</v>
      </c>
    </row>
    <row r="1772" spans="1:10" ht="15">
      <c r="A1772" s="137" t="str">
        <f t="shared" si="24"/>
        <v>HRNOMINA SUCURSALA15</v>
      </c>
      <c r="B1772" t="s">
        <v>2028</v>
      </c>
      <c r="C1772" s="1">
        <v>45919</v>
      </c>
      <c r="D1772" t="s">
        <v>29</v>
      </c>
      <c r="E1772" t="s">
        <v>154</v>
      </c>
      <c r="F1772" t="s">
        <v>100</v>
      </c>
      <c r="J1772" s="299">
        <v>11325.8</v>
      </c>
    </row>
    <row r="1773" spans="1:10" ht="15">
      <c r="A1773" s="137" t="str">
        <f t="shared" si="24"/>
        <v>HRNOMINA SUCURSALA16</v>
      </c>
      <c r="B1773" t="s">
        <v>2028</v>
      </c>
      <c r="C1773" s="1">
        <v>45919</v>
      </c>
      <c r="D1773" t="s">
        <v>29</v>
      </c>
      <c r="E1773" t="s">
        <v>154</v>
      </c>
      <c r="F1773" t="s">
        <v>101</v>
      </c>
      <c r="J1773" s="299">
        <v>15877.29</v>
      </c>
    </row>
    <row r="1774" spans="1:10" ht="15">
      <c r="A1774" s="137" t="str">
        <f t="shared" si="24"/>
        <v>HRNOMINA SUCURSALA17</v>
      </c>
      <c r="B1774" t="s">
        <v>2028</v>
      </c>
      <c r="C1774" s="1">
        <v>45919</v>
      </c>
      <c r="D1774" t="s">
        <v>29</v>
      </c>
      <c r="E1774" t="s">
        <v>154</v>
      </c>
      <c r="F1774" t="s">
        <v>102</v>
      </c>
      <c r="J1774" s="299">
        <v>10458.4</v>
      </c>
    </row>
    <row r="1775" spans="1:10" ht="15">
      <c r="A1775" s="137" t="str">
        <f t="shared" si="24"/>
        <v>HRNOMINA SUCURSALA18</v>
      </c>
      <c r="B1775" t="s">
        <v>2028</v>
      </c>
      <c r="C1775" s="1">
        <v>45919</v>
      </c>
      <c r="D1775" t="s">
        <v>29</v>
      </c>
      <c r="E1775" t="s">
        <v>154</v>
      </c>
      <c r="F1775" t="s">
        <v>103</v>
      </c>
      <c r="J1775" s="299">
        <v>13042.4</v>
      </c>
    </row>
    <row r="1776" spans="1:10" ht="15">
      <c r="A1776" s="137" t="str">
        <f t="shared" si="24"/>
        <v>HRNOMINA SUCURSALA22</v>
      </c>
      <c r="B1776" t="s">
        <v>2028</v>
      </c>
      <c r="C1776" s="1">
        <v>45919</v>
      </c>
      <c r="D1776" t="s">
        <v>29</v>
      </c>
      <c r="E1776" t="s">
        <v>154</v>
      </c>
      <c r="F1776" t="s">
        <v>104</v>
      </c>
      <c r="J1776" s="299">
        <v>13151.4</v>
      </c>
    </row>
    <row r="1777" spans="1:10" ht="15">
      <c r="A1777" s="137" t="str">
        <f t="shared" si="24"/>
        <v>HRNOMINA SUCURSALA23</v>
      </c>
      <c r="B1777" t="s">
        <v>2028</v>
      </c>
      <c r="C1777" s="1">
        <v>45919</v>
      </c>
      <c r="D1777" t="s">
        <v>29</v>
      </c>
      <c r="E1777" t="s">
        <v>154</v>
      </c>
      <c r="F1777" t="s">
        <v>105</v>
      </c>
      <c r="J1777" s="299">
        <v>11025.2</v>
      </c>
    </row>
    <row r="1778" spans="1:10" ht="15">
      <c r="A1778" s="137" t="str">
        <f t="shared" si="24"/>
        <v>HRNOMINA SUCURSALA24</v>
      </c>
      <c r="B1778" t="s">
        <v>2028</v>
      </c>
      <c r="C1778" s="1">
        <v>45919</v>
      </c>
      <c r="D1778" t="s">
        <v>29</v>
      </c>
      <c r="E1778" t="s">
        <v>154</v>
      </c>
      <c r="F1778" t="s">
        <v>106</v>
      </c>
      <c r="J1778" s="299">
        <v>18998.8</v>
      </c>
    </row>
    <row r="1779" spans="1:10" ht="15">
      <c r="A1779" s="137" t="str">
        <f t="shared" si="24"/>
        <v>CAPNOMINA SUCURSALE1</v>
      </c>
      <c r="B1779" t="s">
        <v>2028</v>
      </c>
      <c r="C1779" s="1">
        <v>45919</v>
      </c>
      <c r="D1779" t="s">
        <v>31</v>
      </c>
      <c r="E1779" t="s">
        <v>154</v>
      </c>
      <c r="F1779" t="s">
        <v>107</v>
      </c>
      <c r="J1779" s="299">
        <v>14420</v>
      </c>
    </row>
    <row r="1780" spans="1:10" ht="15">
      <c r="A1780" s="137" t="str">
        <f t="shared" si="24"/>
        <v>CAPNOMINA SUCURSALE2</v>
      </c>
      <c r="B1780" t="s">
        <v>2028</v>
      </c>
      <c r="C1780" s="1">
        <v>45919</v>
      </c>
      <c r="D1780" t="s">
        <v>31</v>
      </c>
      <c r="E1780" t="s">
        <v>154</v>
      </c>
      <c r="F1780" t="s">
        <v>108</v>
      </c>
      <c r="J1780" s="299">
        <v>31304.799999999999</v>
      </c>
    </row>
    <row r="1781" spans="1:10" ht="15">
      <c r="A1781" s="137" t="str">
        <f t="shared" si="24"/>
        <v>CAPNOMINA SUCURSALE3</v>
      </c>
      <c r="B1781" t="s">
        <v>2028</v>
      </c>
      <c r="C1781" s="1">
        <v>45919</v>
      </c>
      <c r="D1781" t="s">
        <v>31</v>
      </c>
      <c r="E1781" t="s">
        <v>154</v>
      </c>
      <c r="F1781" t="s">
        <v>109</v>
      </c>
      <c r="J1781" s="299">
        <v>13927.6</v>
      </c>
    </row>
    <row r="1782" spans="1:10" ht="15">
      <c r="A1782" s="137" t="str">
        <f t="shared" si="24"/>
        <v>CAPNOMINA SUCURSALE4</v>
      </c>
      <c r="B1782" t="s">
        <v>2028</v>
      </c>
      <c r="C1782" s="1">
        <v>45919</v>
      </c>
      <c r="D1782" t="s">
        <v>31</v>
      </c>
      <c r="E1782" t="s">
        <v>154</v>
      </c>
      <c r="F1782" t="s">
        <v>110</v>
      </c>
      <c r="J1782" s="299">
        <v>21060</v>
      </c>
    </row>
    <row r="1783" spans="1:10" ht="15">
      <c r="A1783" s="137" t="str">
        <f t="shared" si="24"/>
        <v>CAPNOMINA SUCURSALE5</v>
      </c>
      <c r="B1783" t="s">
        <v>2028</v>
      </c>
      <c r="C1783" s="1">
        <v>45919</v>
      </c>
      <c r="D1783" t="s">
        <v>31</v>
      </c>
      <c r="E1783" t="s">
        <v>154</v>
      </c>
      <c r="F1783" t="s">
        <v>111</v>
      </c>
      <c r="J1783" s="299">
        <v>15329.8</v>
      </c>
    </row>
    <row r="1784" spans="1:10" ht="15">
      <c r="A1784" s="137" t="str">
        <f t="shared" si="24"/>
        <v>CAPNOMINA SUCURSALE6</v>
      </c>
      <c r="B1784" t="s">
        <v>2028</v>
      </c>
      <c r="C1784" s="1">
        <v>45919</v>
      </c>
      <c r="D1784" t="s">
        <v>31</v>
      </c>
      <c r="E1784" t="s">
        <v>154</v>
      </c>
      <c r="F1784" t="s">
        <v>112</v>
      </c>
      <c r="J1784" s="299">
        <v>14252.2</v>
      </c>
    </row>
    <row r="1785" spans="1:10" ht="15">
      <c r="A1785" s="137" t="str">
        <f t="shared" si="24"/>
        <v>CAPNOMINA SUCURSALE7</v>
      </c>
      <c r="B1785" t="s">
        <v>2028</v>
      </c>
      <c r="C1785" s="1">
        <v>45919</v>
      </c>
      <c r="D1785" t="s">
        <v>31</v>
      </c>
      <c r="E1785" t="s">
        <v>154</v>
      </c>
      <c r="F1785" t="s">
        <v>113</v>
      </c>
      <c r="J1785" s="299">
        <v>12935.8</v>
      </c>
    </row>
    <row r="1786" spans="1:10" ht="15">
      <c r="A1786" s="137" t="str">
        <f t="shared" si="24"/>
        <v>CAPNOMINA SUCURSALE8</v>
      </c>
      <c r="B1786" t="s">
        <v>2028</v>
      </c>
      <c r="C1786" s="1">
        <v>45919</v>
      </c>
      <c r="D1786" t="s">
        <v>31</v>
      </c>
      <c r="E1786" t="s">
        <v>154</v>
      </c>
      <c r="F1786" t="s">
        <v>114</v>
      </c>
      <c r="J1786" s="299">
        <v>23908</v>
      </c>
    </row>
    <row r="1787" spans="1:10" ht="15">
      <c r="A1787" s="137" t="str">
        <f t="shared" si="24"/>
        <v>CAPNOMINA SUCURSALE9</v>
      </c>
      <c r="B1787" t="s">
        <v>2028</v>
      </c>
      <c r="C1787" s="1">
        <v>45919</v>
      </c>
      <c r="D1787" t="s">
        <v>31</v>
      </c>
      <c r="E1787" t="s">
        <v>154</v>
      </c>
      <c r="F1787" t="s">
        <v>116</v>
      </c>
      <c r="J1787" s="299">
        <v>22753.200000000001</v>
      </c>
    </row>
    <row r="1788" spans="1:10" ht="15">
      <c r="A1788" s="137" t="str">
        <f t="shared" si="24"/>
        <v>ELINOMINA SUCURSALL1</v>
      </c>
      <c r="B1788" t="s">
        <v>2028</v>
      </c>
      <c r="C1788" s="1">
        <v>45919</v>
      </c>
      <c r="D1788" t="s">
        <v>130</v>
      </c>
      <c r="E1788" t="s">
        <v>154</v>
      </c>
      <c r="F1788" t="s">
        <v>136</v>
      </c>
      <c r="J1788" s="385">
        <v>8148</v>
      </c>
    </row>
    <row r="1789" spans="1:10" ht="15">
      <c r="A1789" s="137" t="str">
        <f t="shared" si="24"/>
        <v>HRNOMINA ADMONHR</v>
      </c>
      <c r="B1789" t="s">
        <v>2028</v>
      </c>
      <c r="C1789" s="1">
        <v>45919</v>
      </c>
      <c r="D1789" t="s">
        <v>29</v>
      </c>
      <c r="E1789" t="s">
        <v>147</v>
      </c>
      <c r="F1789" t="s">
        <v>29</v>
      </c>
      <c r="J1789" s="385">
        <v>25128.58</v>
      </c>
    </row>
    <row r="1790" spans="1:10" ht="15">
      <c r="A1790" s="137" t="str">
        <f t="shared" si="24"/>
        <v>CAPNOMINA ADMONCAPRICHOS</v>
      </c>
      <c r="B1790" t="s">
        <v>2028</v>
      </c>
      <c r="C1790" s="1">
        <v>45919</v>
      </c>
      <c r="D1790" t="s">
        <v>31</v>
      </c>
      <c r="E1790" t="s">
        <v>147</v>
      </c>
      <c r="F1790" t="s">
        <v>33</v>
      </c>
      <c r="J1790" s="385">
        <v>23710.2</v>
      </c>
    </row>
    <row r="1791" spans="1:10" ht="15">
      <c r="A1791" s="137" t="str">
        <f t="shared" si="24"/>
        <v>SERVICIOSNOMINA SUCURSALCEDIS</v>
      </c>
      <c r="B1791" t="s">
        <v>2028</v>
      </c>
      <c r="C1791" s="1">
        <v>45919</v>
      </c>
      <c r="D1791" t="s">
        <v>21</v>
      </c>
      <c r="E1791" t="s">
        <v>154</v>
      </c>
      <c r="F1791" t="s">
        <v>28</v>
      </c>
      <c r="J1791" s="385">
        <v>77679.05</v>
      </c>
    </row>
    <row r="1792" spans="1:10" ht="15">
      <c r="A1792" s="137" t="str">
        <f t="shared" si="24"/>
        <v>SERVICIOSNOMINA ADMONINVENTARIOS</v>
      </c>
      <c r="B1792" t="s">
        <v>2028</v>
      </c>
      <c r="C1792" s="1">
        <v>45919</v>
      </c>
      <c r="D1792" t="s">
        <v>21</v>
      </c>
      <c r="E1792" t="s">
        <v>147</v>
      </c>
      <c r="F1792" t="s">
        <v>34</v>
      </c>
      <c r="J1792" s="385">
        <v>2800</v>
      </c>
    </row>
    <row r="1793" spans="1:10" ht="15">
      <c r="A1793" s="137" t="str">
        <f t="shared" si="24"/>
        <v>SERVICIOSNOMINA ADMONMANTENIMIENTO</v>
      </c>
      <c r="B1793" t="s">
        <v>2028</v>
      </c>
      <c r="C1793" s="1">
        <v>45919</v>
      </c>
      <c r="D1793" t="s">
        <v>21</v>
      </c>
      <c r="E1793" t="s">
        <v>147</v>
      </c>
      <c r="F1793" t="s">
        <v>35</v>
      </c>
      <c r="J1793" s="385">
        <v>14608.83</v>
      </c>
    </row>
    <row r="1794" spans="1:10" ht="15">
      <c r="A1794" s="137" t="str">
        <f t="shared" si="24"/>
        <v>SERVICIOSNOMINA ADMONCADENA DE SUMINISTROS</v>
      </c>
      <c r="B1794" t="s">
        <v>2028</v>
      </c>
      <c r="C1794" s="1">
        <v>45919</v>
      </c>
      <c r="D1794" t="s">
        <v>21</v>
      </c>
      <c r="E1794" t="s">
        <v>147</v>
      </c>
      <c r="F1794" t="s">
        <v>134</v>
      </c>
      <c r="J1794" s="385">
        <v>26101.8</v>
      </c>
    </row>
    <row r="1795" spans="1:10" ht="15">
      <c r="A1795" s="137" t="str">
        <f t="shared" si="24"/>
        <v>SERVICIOSNOMINA ADMONSISTEMAS</v>
      </c>
      <c r="B1795" t="s">
        <v>2028</v>
      </c>
      <c r="C1795" s="1">
        <v>45919</v>
      </c>
      <c r="D1795" t="s">
        <v>21</v>
      </c>
      <c r="E1795" t="s">
        <v>147</v>
      </c>
      <c r="F1795" t="s">
        <v>36</v>
      </c>
      <c r="J1795" s="385">
        <v>13768.29</v>
      </c>
    </row>
    <row r="1796" spans="1:10" ht="15">
      <c r="A1796" s="137" t="str">
        <f t="shared" ref="A1796:A1859" si="25">D1796&amp;E1796&amp;F1796</f>
        <v>SERVICIOSNOMINA ADMONCOMPRAS</v>
      </c>
      <c r="B1796" t="s">
        <v>2028</v>
      </c>
      <c r="C1796" s="1">
        <v>45919</v>
      </c>
      <c r="D1796" t="s">
        <v>21</v>
      </c>
      <c r="E1796" t="s">
        <v>147</v>
      </c>
      <c r="F1796" t="s">
        <v>148</v>
      </c>
      <c r="J1796" s="385">
        <v>23529.11</v>
      </c>
    </row>
    <row r="1797" spans="1:10" ht="15">
      <c r="A1797" s="137" t="str">
        <f t="shared" si="25"/>
        <v>FINANZASNOMINA ADMONCONTABILIDAD</v>
      </c>
      <c r="B1797" t="s">
        <v>2028</v>
      </c>
      <c r="C1797" s="1">
        <v>45919</v>
      </c>
      <c r="D1797" t="s">
        <v>23</v>
      </c>
      <c r="E1797" t="s">
        <v>147</v>
      </c>
      <c r="F1797" t="s">
        <v>37</v>
      </c>
      <c r="J1797" s="385">
        <v>13559.27</v>
      </c>
    </row>
    <row r="1798" spans="1:10" ht="15">
      <c r="A1798" s="137" t="str">
        <f t="shared" si="25"/>
        <v>FINANZASNOMINA ADMONFINANZAS/LEGAL</v>
      </c>
      <c r="B1798" t="s">
        <v>2028</v>
      </c>
      <c r="C1798" s="1">
        <v>45919</v>
      </c>
      <c r="D1798" t="s">
        <v>23</v>
      </c>
      <c r="E1798" t="s">
        <v>147</v>
      </c>
      <c r="F1798" t="s">
        <v>149</v>
      </c>
      <c r="J1798" s="385">
        <v>9874.89</v>
      </c>
    </row>
    <row r="1799" spans="1:10" ht="15">
      <c r="A1799" s="137" t="str">
        <f t="shared" si="25"/>
        <v>FINANZASNOMINA ADMONRECURSOS HUMANOS</v>
      </c>
      <c r="B1799" t="s">
        <v>2028</v>
      </c>
      <c r="C1799" s="1">
        <v>45919</v>
      </c>
      <c r="D1799" t="s">
        <v>23</v>
      </c>
      <c r="E1799" t="s">
        <v>147</v>
      </c>
      <c r="F1799" t="s">
        <v>125</v>
      </c>
      <c r="J1799" s="385">
        <v>9578.7800000000007</v>
      </c>
    </row>
    <row r="1800" spans="1:10" ht="15">
      <c r="A1800" s="137" t="str">
        <f t="shared" si="25"/>
        <v>FINANZASNOMINA ADMONTESORERIA</v>
      </c>
      <c r="B1800" t="s">
        <v>2028</v>
      </c>
      <c r="C1800" s="1">
        <v>45919</v>
      </c>
      <c r="D1800" t="s">
        <v>23</v>
      </c>
      <c r="E1800" t="s">
        <v>147</v>
      </c>
      <c r="F1800" t="s">
        <v>38</v>
      </c>
      <c r="J1800" s="385">
        <v>12248</v>
      </c>
    </row>
    <row r="1801" spans="1:10" ht="15">
      <c r="A1801" s="137" t="str">
        <f t="shared" si="25"/>
        <v>FINANZASNOMINA ADMONHBG FINANZAS</v>
      </c>
      <c r="B1801" t="s">
        <v>2028</v>
      </c>
      <c r="C1801" s="1">
        <v>45919</v>
      </c>
      <c r="D1801" t="s">
        <v>23</v>
      </c>
      <c r="E1801" t="s">
        <v>147</v>
      </c>
      <c r="F1801" t="s">
        <v>150</v>
      </c>
      <c r="J1801" s="385">
        <v>3057</v>
      </c>
    </row>
    <row r="1802" spans="1:10" ht="15">
      <c r="A1802" s="137" t="str">
        <f t="shared" si="25"/>
        <v>SGENOMINA ADMONGESTION EMPRESARIAL</v>
      </c>
      <c r="B1802" t="s">
        <v>2028</v>
      </c>
      <c r="C1802" s="1">
        <v>45919</v>
      </c>
      <c r="D1802" t="s">
        <v>39</v>
      </c>
      <c r="E1802" t="s">
        <v>147</v>
      </c>
      <c r="F1802" t="s">
        <v>40</v>
      </c>
      <c r="J1802" s="385">
        <v>23250.400000000001</v>
      </c>
    </row>
    <row r="1803" spans="1:10" ht="15">
      <c r="A1803" s="137" t="str">
        <f t="shared" si="25"/>
        <v>DENOMINA ADMONDIRECCION</v>
      </c>
      <c r="B1803" t="s">
        <v>2028</v>
      </c>
      <c r="C1803" s="1">
        <v>45919</v>
      </c>
      <c r="D1803" t="s">
        <v>41</v>
      </c>
      <c r="E1803" t="s">
        <v>147</v>
      </c>
      <c r="F1803" t="s">
        <v>42</v>
      </c>
      <c r="J1803" s="385">
        <v>7000</v>
      </c>
    </row>
    <row r="1804" spans="1:10" ht="15">
      <c r="A1804" s="137" t="str">
        <f t="shared" si="25"/>
        <v>MELNOMINA ADMONMELISSA</v>
      </c>
      <c r="B1804" t="s">
        <v>2028</v>
      </c>
      <c r="C1804" s="1">
        <v>45919</v>
      </c>
      <c r="D1804" t="s">
        <v>43</v>
      </c>
      <c r="E1804" t="s">
        <v>147</v>
      </c>
      <c r="F1804" t="s">
        <v>44</v>
      </c>
      <c r="J1804" s="385">
        <v>3769.2</v>
      </c>
    </row>
    <row r="1805" spans="1:10" ht="15">
      <c r="A1805" s="137" t="str">
        <f t="shared" si="25"/>
        <v>MMNOMINA ADMONMARKET MAX</v>
      </c>
      <c r="B1805" t="s">
        <v>2028</v>
      </c>
      <c r="C1805" s="1">
        <v>45919</v>
      </c>
      <c r="D1805" t="s">
        <v>45</v>
      </c>
      <c r="E1805" t="s">
        <v>147</v>
      </c>
      <c r="F1805" t="s">
        <v>46</v>
      </c>
      <c r="J1805" s="385">
        <v>5874.94</v>
      </c>
    </row>
    <row r="1806" spans="1:10" ht="15">
      <c r="A1806" s="137" t="str">
        <f t="shared" si="25"/>
        <v>ANALISISNOMINA ADMONANALISIS DE DATOS</v>
      </c>
      <c r="B1806" t="s">
        <v>2028</v>
      </c>
      <c r="C1806" s="1">
        <v>45919</v>
      </c>
      <c r="D1806" t="s">
        <v>152</v>
      </c>
      <c r="E1806" t="s">
        <v>147</v>
      </c>
      <c r="F1806" t="s">
        <v>153</v>
      </c>
      <c r="J1806" s="385">
        <v>2332</v>
      </c>
    </row>
    <row r="1807" spans="1:10" ht="15">
      <c r="A1807" s="137" t="str">
        <f t="shared" si="25"/>
        <v>MKTNOMINA ADMONMKT</v>
      </c>
      <c r="B1807" t="s">
        <v>2028</v>
      </c>
      <c r="C1807" s="1">
        <v>45919</v>
      </c>
      <c r="D1807" t="s">
        <v>19</v>
      </c>
      <c r="E1807" t="s">
        <v>147</v>
      </c>
      <c r="F1807" t="s">
        <v>19</v>
      </c>
      <c r="J1807" s="385">
        <v>21000.400000000001</v>
      </c>
    </row>
    <row r="1808" spans="1:10" ht="15">
      <c r="A1808" s="137" t="str">
        <f t="shared" si="25"/>
        <v>FINANZASNOMINA ADMONHBG FINANZAS</v>
      </c>
      <c r="B1808" t="s">
        <v>2028</v>
      </c>
      <c r="C1808" s="1">
        <v>45919</v>
      </c>
      <c r="D1808" t="s">
        <v>23</v>
      </c>
      <c r="E1808" t="s">
        <v>147</v>
      </c>
      <c r="F1808" s="12" t="s">
        <v>150</v>
      </c>
      <c r="J1808" s="385">
        <v>10950</v>
      </c>
    </row>
    <row r="1809" spans="1:10" ht="15">
      <c r="A1809" s="137" t="str">
        <f t="shared" si="25"/>
        <v>HRNOMINA ADMONHR</v>
      </c>
      <c r="B1809" t="s">
        <v>2028</v>
      </c>
      <c r="C1809" s="1">
        <v>45919</v>
      </c>
      <c r="D1809" t="s">
        <v>29</v>
      </c>
      <c r="E1809" t="s">
        <v>147</v>
      </c>
      <c r="F1809" s="3" t="s">
        <v>29</v>
      </c>
      <c r="J1809" s="385">
        <v>5500</v>
      </c>
    </row>
    <row r="1810" spans="1:10" ht="15">
      <c r="A1810" s="137" t="str">
        <f t="shared" si="25"/>
        <v>CAPNOMINA ADMONCAPRICHOS</v>
      </c>
      <c r="B1810" t="s">
        <v>2028</v>
      </c>
      <c r="C1810" s="1">
        <v>45919</v>
      </c>
      <c r="D1810" t="s">
        <v>31</v>
      </c>
      <c r="E1810" t="s">
        <v>147</v>
      </c>
      <c r="F1810" s="12" t="s">
        <v>33</v>
      </c>
      <c r="J1810" s="385">
        <v>3700</v>
      </c>
    </row>
    <row r="1811" spans="1:10" ht="15">
      <c r="A1811" s="137" t="str">
        <f t="shared" si="25"/>
        <v>SGENOMINA ADMONGESTION EMPRESARIAL</v>
      </c>
      <c r="B1811" t="s">
        <v>2028</v>
      </c>
      <c r="C1811" s="1">
        <v>45919</v>
      </c>
      <c r="D1811" t="s">
        <v>39</v>
      </c>
      <c r="E1811" t="s">
        <v>147</v>
      </c>
      <c r="F1811" s="12" t="s">
        <v>40</v>
      </c>
      <c r="J1811" s="385">
        <v>2750</v>
      </c>
    </row>
    <row r="1812" spans="1:10" ht="15">
      <c r="A1812" s="137" t="str">
        <f t="shared" si="25"/>
        <v>SERVICIOSNOMINA ADMONSERVICIOS</v>
      </c>
      <c r="B1812" t="s">
        <v>2028</v>
      </c>
      <c r="C1812" s="1">
        <v>45919</v>
      </c>
      <c r="D1812" t="s">
        <v>21</v>
      </c>
      <c r="E1812" t="s">
        <v>147</v>
      </c>
      <c r="F1812" s="12" t="s">
        <v>21</v>
      </c>
      <c r="J1812" s="385">
        <v>4750</v>
      </c>
    </row>
    <row r="1813" spans="1:10" ht="15">
      <c r="A1813" s="137" t="str">
        <f t="shared" si="25"/>
        <v>DENOMINA ADMONDIRECCION</v>
      </c>
      <c r="B1813" t="s">
        <v>2028</v>
      </c>
      <c r="C1813" s="1">
        <v>45919</v>
      </c>
      <c r="D1813" t="s">
        <v>41</v>
      </c>
      <c r="E1813" t="s">
        <v>147</v>
      </c>
      <c r="F1813" s="12" t="s">
        <v>42</v>
      </c>
      <c r="J1813" s="385">
        <v>5750</v>
      </c>
    </row>
    <row r="1814" spans="1:10" ht="15">
      <c r="A1814" s="137" t="str">
        <f t="shared" si="25"/>
        <v>MMNOMINA ADMONMARKET MAX</v>
      </c>
      <c r="B1814" t="s">
        <v>2028</v>
      </c>
      <c r="C1814" s="1">
        <v>45919</v>
      </c>
      <c r="D1814" t="s">
        <v>45</v>
      </c>
      <c r="E1814" t="s">
        <v>147</v>
      </c>
      <c r="F1814" s="12" t="s">
        <v>46</v>
      </c>
      <c r="J1814" s="385">
        <v>2000</v>
      </c>
    </row>
    <row r="1815" spans="1:10" ht="15">
      <c r="A1815" s="137" t="str">
        <f t="shared" si="25"/>
        <v>FINANZASVACACIONES/FINIQUITOSFINANZAS</v>
      </c>
      <c r="B1815" t="s">
        <v>2028</v>
      </c>
      <c r="C1815" s="1">
        <v>45919</v>
      </c>
      <c r="D1815" t="s">
        <v>23</v>
      </c>
      <c r="E1815" s="12" t="s">
        <v>190</v>
      </c>
      <c r="F1815" s="12" t="s">
        <v>23</v>
      </c>
      <c r="J1815" s="385">
        <v>1965</v>
      </c>
    </row>
    <row r="1816" spans="1:10" ht="15">
      <c r="A1816" s="137" t="str">
        <f t="shared" si="25"/>
        <v>HRVACACIONES/FINIQUITOSHR</v>
      </c>
      <c r="B1816" t="s">
        <v>2028</v>
      </c>
      <c r="C1816" s="1">
        <v>45919</v>
      </c>
      <c r="D1816" t="s">
        <v>29</v>
      </c>
      <c r="E1816" s="12" t="s">
        <v>190</v>
      </c>
      <c r="F1816" t="s">
        <v>29</v>
      </c>
      <c r="H1816" t="s">
        <v>93</v>
      </c>
      <c r="J1816" s="385">
        <v>1885</v>
      </c>
    </row>
    <row r="1817" spans="1:10" ht="15">
      <c r="A1817" s="137" t="str">
        <f t="shared" si="25"/>
        <v>HRVACACIONES/FINIQUITOSHR</v>
      </c>
      <c r="B1817" t="s">
        <v>2028</v>
      </c>
      <c r="C1817" s="1">
        <v>45919</v>
      </c>
      <c r="D1817" t="s">
        <v>29</v>
      </c>
      <c r="E1817" s="12" t="s">
        <v>190</v>
      </c>
      <c r="F1817" t="s">
        <v>29</v>
      </c>
      <c r="H1817" t="s">
        <v>105</v>
      </c>
      <c r="J1817" s="385">
        <v>912</v>
      </c>
    </row>
    <row r="1818" spans="1:10" ht="15">
      <c r="A1818" s="137" t="str">
        <f t="shared" si="25"/>
        <v>CAPVACACIONES/FINIQUITOSCAPRICHOS</v>
      </c>
      <c r="B1818" t="s">
        <v>2028</v>
      </c>
      <c r="C1818" s="1">
        <v>45919</v>
      </c>
      <c r="D1818" t="s">
        <v>31</v>
      </c>
      <c r="E1818" s="12" t="s">
        <v>190</v>
      </c>
      <c r="F1818" t="s">
        <v>33</v>
      </c>
      <c r="H1818" t="s">
        <v>110</v>
      </c>
      <c r="J1818" s="385">
        <v>1072</v>
      </c>
    </row>
    <row r="1819" spans="1:10" ht="15">
      <c r="A1819" s="137" t="str">
        <f t="shared" si="25"/>
        <v>SERVICIOSVACACIONES/FINIQUITOSSERVICIOS</v>
      </c>
      <c r="B1819" t="s">
        <v>2028</v>
      </c>
      <c r="C1819" s="1">
        <v>45919</v>
      </c>
      <c r="D1819" t="s">
        <v>21</v>
      </c>
      <c r="E1819" s="12" t="s">
        <v>190</v>
      </c>
      <c r="F1819" t="s">
        <v>21</v>
      </c>
      <c r="H1819" t="s">
        <v>34</v>
      </c>
      <c r="J1819" s="385">
        <v>1017</v>
      </c>
    </row>
    <row r="1820" spans="1:10" ht="15">
      <c r="A1820" s="137" t="str">
        <f t="shared" si="25"/>
        <v>SERVICIOSVACACIONES/FINIQUITOSSERVICIOS</v>
      </c>
      <c r="B1820" t="s">
        <v>2028</v>
      </c>
      <c r="C1820" s="1">
        <v>45919</v>
      </c>
      <c r="D1820" t="s">
        <v>21</v>
      </c>
      <c r="E1820" s="12" t="s">
        <v>190</v>
      </c>
      <c r="F1820" t="s">
        <v>21</v>
      </c>
      <c r="H1820" t="s">
        <v>4820</v>
      </c>
      <c r="J1820" s="385">
        <v>1063</v>
      </c>
    </row>
    <row r="1821" spans="1:10" ht="15">
      <c r="A1821" s="137" t="str">
        <f t="shared" si="25"/>
        <v>FINANZASVACACIONES/FINIQUITOSFINANZAS</v>
      </c>
      <c r="B1821" t="s">
        <v>2028</v>
      </c>
      <c r="C1821" s="1">
        <v>45919</v>
      </c>
      <c r="D1821" t="s">
        <v>23</v>
      </c>
      <c r="E1821" s="12" t="s">
        <v>190</v>
      </c>
      <c r="F1821" s="12" t="s">
        <v>23</v>
      </c>
      <c r="H1821" t="s">
        <v>37</v>
      </c>
      <c r="J1821" s="385">
        <v>1964</v>
      </c>
    </row>
    <row r="1822" spans="1:10" ht="15">
      <c r="A1822" s="137" t="str">
        <f t="shared" si="25"/>
        <v>HRVACACIONES/FINIQUITOSHR</v>
      </c>
      <c r="B1822" t="s">
        <v>2028</v>
      </c>
      <c r="C1822" s="1">
        <v>45919</v>
      </c>
      <c r="D1822" t="s">
        <v>29</v>
      </c>
      <c r="E1822" s="12" t="s">
        <v>190</v>
      </c>
      <c r="F1822" t="s">
        <v>29</v>
      </c>
      <c r="H1822" t="s">
        <v>4821</v>
      </c>
      <c r="J1822" s="385">
        <v>2985</v>
      </c>
    </row>
    <row r="1823" spans="1:10" ht="15">
      <c r="A1823" s="137" t="str">
        <f t="shared" si="25"/>
        <v>HRNOMINA SUCURSALA1</v>
      </c>
      <c r="B1823" t="s">
        <v>2028</v>
      </c>
      <c r="C1823" s="1">
        <v>45926</v>
      </c>
      <c r="D1823" t="s">
        <v>29</v>
      </c>
      <c r="E1823" t="s">
        <v>154</v>
      </c>
      <c r="F1823" t="s">
        <v>88</v>
      </c>
      <c r="J1823" s="299">
        <v>14234.4</v>
      </c>
    </row>
    <row r="1824" spans="1:10" ht="15">
      <c r="A1824" s="137" t="str">
        <f t="shared" si="25"/>
        <v>HRNOMINA SUCURSALA2</v>
      </c>
      <c r="B1824" t="s">
        <v>2028</v>
      </c>
      <c r="C1824" s="1">
        <v>45926</v>
      </c>
      <c r="D1824" t="s">
        <v>29</v>
      </c>
      <c r="E1824" t="s">
        <v>154</v>
      </c>
      <c r="F1824" t="s">
        <v>89</v>
      </c>
      <c r="J1824" s="299">
        <v>14981.4</v>
      </c>
    </row>
    <row r="1825" spans="1:10" ht="15">
      <c r="A1825" s="137" t="str">
        <f t="shared" si="25"/>
        <v>HRNOMINA SUCURSALA3</v>
      </c>
      <c r="B1825" t="s">
        <v>2028</v>
      </c>
      <c r="C1825" s="1">
        <v>45926</v>
      </c>
      <c r="D1825" t="s">
        <v>29</v>
      </c>
      <c r="E1825" t="s">
        <v>154</v>
      </c>
      <c r="F1825" t="s">
        <v>90</v>
      </c>
      <c r="J1825" s="299">
        <v>10342.4</v>
      </c>
    </row>
    <row r="1826" spans="1:10" ht="15">
      <c r="A1826" s="137" t="str">
        <f t="shared" si="25"/>
        <v>HRNOMINA SUCURSALA4</v>
      </c>
      <c r="B1826" t="s">
        <v>2028</v>
      </c>
      <c r="C1826" s="1">
        <v>45926</v>
      </c>
      <c r="D1826" t="s">
        <v>29</v>
      </c>
      <c r="E1826" t="s">
        <v>154</v>
      </c>
      <c r="F1826" t="s">
        <v>91</v>
      </c>
      <c r="J1826" s="299">
        <v>14645.8</v>
      </c>
    </row>
    <row r="1827" spans="1:10" ht="15">
      <c r="A1827" s="137" t="str">
        <f t="shared" si="25"/>
        <v>HRNOMINA SUCURSALA5</v>
      </c>
      <c r="B1827" t="s">
        <v>2028</v>
      </c>
      <c r="C1827" s="1">
        <v>45926</v>
      </c>
      <c r="D1827" t="s">
        <v>29</v>
      </c>
      <c r="E1827" t="s">
        <v>154</v>
      </c>
      <c r="F1827" t="s">
        <v>92</v>
      </c>
      <c r="J1827" s="299">
        <v>15088.4</v>
      </c>
    </row>
    <row r="1828" spans="1:10" ht="15">
      <c r="A1828" s="137" t="str">
        <f t="shared" si="25"/>
        <v>HRNOMINA SUCURSALA6</v>
      </c>
      <c r="B1828" t="s">
        <v>2028</v>
      </c>
      <c r="C1828" s="1">
        <v>45926</v>
      </c>
      <c r="D1828" t="s">
        <v>29</v>
      </c>
      <c r="E1828" t="s">
        <v>154</v>
      </c>
      <c r="F1828" t="s">
        <v>93</v>
      </c>
      <c r="J1828" s="299">
        <v>18210.689999999999</v>
      </c>
    </row>
    <row r="1829" spans="1:10" ht="15">
      <c r="A1829" s="137" t="str">
        <f t="shared" si="25"/>
        <v>HRNOMINA SUCURSALA8</v>
      </c>
      <c r="B1829" t="s">
        <v>2028</v>
      </c>
      <c r="C1829" s="1">
        <v>45926</v>
      </c>
      <c r="D1829" t="s">
        <v>29</v>
      </c>
      <c r="E1829" t="s">
        <v>154</v>
      </c>
      <c r="F1829" t="s">
        <v>94</v>
      </c>
      <c r="J1829" s="299">
        <v>16868</v>
      </c>
    </row>
    <row r="1830" spans="1:10" ht="15">
      <c r="A1830" s="137" t="str">
        <f t="shared" si="25"/>
        <v>HRNOMINA SUCURSALA9</v>
      </c>
      <c r="B1830" t="s">
        <v>2028</v>
      </c>
      <c r="C1830" s="1">
        <v>45926</v>
      </c>
      <c r="D1830" t="s">
        <v>29</v>
      </c>
      <c r="E1830" t="s">
        <v>154</v>
      </c>
      <c r="F1830" t="s">
        <v>95</v>
      </c>
      <c r="J1830" s="299">
        <v>11822.51</v>
      </c>
    </row>
    <row r="1831" spans="1:10" ht="15">
      <c r="A1831" s="137" t="str">
        <f t="shared" si="25"/>
        <v>HRNOMINA SUCURSALA10</v>
      </c>
      <c r="B1831" t="s">
        <v>2028</v>
      </c>
      <c r="C1831" s="1">
        <v>45926</v>
      </c>
      <c r="D1831" t="s">
        <v>29</v>
      </c>
      <c r="E1831" t="s">
        <v>154</v>
      </c>
      <c r="F1831" t="s">
        <v>96</v>
      </c>
      <c r="J1831" s="299">
        <v>20223.8</v>
      </c>
    </row>
    <row r="1832" spans="1:10" ht="15">
      <c r="A1832" s="137" t="str">
        <f t="shared" si="25"/>
        <v>HRNOMINA SUCURSALA11</v>
      </c>
      <c r="B1832" t="s">
        <v>2028</v>
      </c>
      <c r="C1832" s="1">
        <v>45926</v>
      </c>
      <c r="D1832" t="s">
        <v>29</v>
      </c>
      <c r="E1832" t="s">
        <v>154</v>
      </c>
      <c r="F1832" t="s">
        <v>97</v>
      </c>
      <c r="J1832" s="299">
        <v>16986.2</v>
      </c>
    </row>
    <row r="1833" spans="1:10" ht="15">
      <c r="A1833" s="137" t="str">
        <f t="shared" si="25"/>
        <v>HRNOMINA SUCURSALA12</v>
      </c>
      <c r="B1833" t="s">
        <v>2028</v>
      </c>
      <c r="C1833" s="1">
        <v>45926</v>
      </c>
      <c r="D1833" t="s">
        <v>29</v>
      </c>
      <c r="E1833" t="s">
        <v>154</v>
      </c>
      <c r="F1833" t="s">
        <v>98</v>
      </c>
      <c r="J1833" s="299">
        <v>20440.599999999999</v>
      </c>
    </row>
    <row r="1834" spans="1:10" ht="15">
      <c r="A1834" s="137" t="str">
        <f t="shared" si="25"/>
        <v>HRNOMINA SUCURSALA14</v>
      </c>
      <c r="B1834" t="s">
        <v>2028</v>
      </c>
      <c r="C1834" s="1">
        <v>45926</v>
      </c>
      <c r="D1834" t="s">
        <v>29</v>
      </c>
      <c r="E1834" t="s">
        <v>154</v>
      </c>
      <c r="F1834" t="s">
        <v>99</v>
      </c>
      <c r="J1834" s="299">
        <v>18013.2</v>
      </c>
    </row>
    <row r="1835" spans="1:10" ht="15">
      <c r="A1835" s="137" t="str">
        <f t="shared" si="25"/>
        <v>HRNOMINA SUCURSALA15</v>
      </c>
      <c r="B1835" t="s">
        <v>2028</v>
      </c>
      <c r="C1835" s="1">
        <v>45926</v>
      </c>
      <c r="D1835" t="s">
        <v>29</v>
      </c>
      <c r="E1835" t="s">
        <v>154</v>
      </c>
      <c r="F1835" t="s">
        <v>100</v>
      </c>
      <c r="J1835" s="299">
        <v>13909.2</v>
      </c>
    </row>
    <row r="1836" spans="1:10" ht="15">
      <c r="A1836" s="137" t="str">
        <f t="shared" si="25"/>
        <v>HRNOMINA SUCURSALA16</v>
      </c>
      <c r="B1836" t="s">
        <v>2028</v>
      </c>
      <c r="C1836" s="1">
        <v>45926</v>
      </c>
      <c r="D1836" t="s">
        <v>29</v>
      </c>
      <c r="E1836" t="s">
        <v>154</v>
      </c>
      <c r="F1836" t="s">
        <v>101</v>
      </c>
      <c r="J1836" s="299">
        <v>19233.29</v>
      </c>
    </row>
    <row r="1837" spans="1:10" ht="15">
      <c r="A1837" s="137" t="str">
        <f t="shared" si="25"/>
        <v>HRNOMINA SUCURSALA17</v>
      </c>
      <c r="B1837" t="s">
        <v>2028</v>
      </c>
      <c r="C1837" s="1">
        <v>45926</v>
      </c>
      <c r="D1837" t="s">
        <v>29</v>
      </c>
      <c r="E1837" t="s">
        <v>154</v>
      </c>
      <c r="F1837" t="s">
        <v>102</v>
      </c>
      <c r="J1837" s="299">
        <v>8660</v>
      </c>
    </row>
    <row r="1838" spans="1:10" ht="15">
      <c r="A1838" s="137" t="str">
        <f t="shared" si="25"/>
        <v>HRNOMINA SUCURSALA18</v>
      </c>
      <c r="B1838" t="s">
        <v>2028</v>
      </c>
      <c r="C1838" s="1">
        <v>45926</v>
      </c>
      <c r="D1838" t="s">
        <v>29</v>
      </c>
      <c r="E1838" t="s">
        <v>154</v>
      </c>
      <c r="F1838" t="s">
        <v>103</v>
      </c>
      <c r="J1838" s="299">
        <v>18053.2</v>
      </c>
    </row>
    <row r="1839" spans="1:10" ht="15">
      <c r="A1839" s="137" t="str">
        <f t="shared" si="25"/>
        <v>HRNOMINA SUCURSALA22</v>
      </c>
      <c r="B1839" t="s">
        <v>2028</v>
      </c>
      <c r="C1839" s="1">
        <v>45926</v>
      </c>
      <c r="D1839" t="s">
        <v>29</v>
      </c>
      <c r="E1839" t="s">
        <v>154</v>
      </c>
      <c r="F1839" t="s">
        <v>104</v>
      </c>
      <c r="J1839" s="299">
        <v>14486.2</v>
      </c>
    </row>
    <row r="1840" spans="1:10" ht="15">
      <c r="A1840" s="137" t="str">
        <f t="shared" si="25"/>
        <v>HRNOMINA SUCURSALA23</v>
      </c>
      <c r="B1840" t="s">
        <v>2028</v>
      </c>
      <c r="C1840" s="1">
        <v>45926</v>
      </c>
      <c r="D1840" t="s">
        <v>29</v>
      </c>
      <c r="E1840" t="s">
        <v>154</v>
      </c>
      <c r="F1840" t="s">
        <v>105</v>
      </c>
      <c r="J1840" s="299">
        <v>14297</v>
      </c>
    </row>
    <row r="1841" spans="1:10" ht="15">
      <c r="A1841" s="137" t="str">
        <f t="shared" si="25"/>
        <v>HRNOMINA SUCURSALA24</v>
      </c>
      <c r="B1841" t="s">
        <v>2028</v>
      </c>
      <c r="C1841" s="1">
        <v>45926</v>
      </c>
      <c r="D1841" t="s">
        <v>29</v>
      </c>
      <c r="E1841" t="s">
        <v>154</v>
      </c>
      <c r="F1841" t="s">
        <v>106</v>
      </c>
      <c r="J1841" s="299">
        <v>18834.8</v>
      </c>
    </row>
    <row r="1842" spans="1:10" ht="15">
      <c r="A1842" s="137" t="str">
        <f t="shared" si="25"/>
        <v>CAPNOMINA SUCURSALE1</v>
      </c>
      <c r="B1842" t="s">
        <v>2028</v>
      </c>
      <c r="C1842" s="1">
        <v>45926</v>
      </c>
      <c r="D1842" t="s">
        <v>31</v>
      </c>
      <c r="E1842" t="s">
        <v>154</v>
      </c>
      <c r="F1842" t="s">
        <v>107</v>
      </c>
      <c r="J1842" s="299">
        <v>18518.400000000001</v>
      </c>
    </row>
    <row r="1843" spans="1:10" ht="15">
      <c r="A1843" s="137" t="str">
        <f t="shared" si="25"/>
        <v>CAPNOMINA SUCURSALE2</v>
      </c>
      <c r="B1843" t="s">
        <v>2028</v>
      </c>
      <c r="C1843" s="1">
        <v>45926</v>
      </c>
      <c r="D1843" t="s">
        <v>31</v>
      </c>
      <c r="E1843" t="s">
        <v>154</v>
      </c>
      <c r="F1843" t="s">
        <v>108</v>
      </c>
      <c r="J1843" s="299">
        <v>29070.2</v>
      </c>
    </row>
    <row r="1844" spans="1:10" ht="15">
      <c r="A1844" s="137" t="str">
        <f t="shared" si="25"/>
        <v>CAPNOMINA SUCURSALE3</v>
      </c>
      <c r="B1844" t="s">
        <v>2028</v>
      </c>
      <c r="C1844" s="1">
        <v>45926</v>
      </c>
      <c r="D1844" t="s">
        <v>31</v>
      </c>
      <c r="E1844" t="s">
        <v>154</v>
      </c>
      <c r="F1844" t="s">
        <v>109</v>
      </c>
      <c r="J1844" s="299">
        <v>18236.8</v>
      </c>
    </row>
    <row r="1845" spans="1:10" ht="15">
      <c r="A1845" s="137" t="str">
        <f t="shared" si="25"/>
        <v>CAPNOMINA SUCURSALE4</v>
      </c>
      <c r="B1845" t="s">
        <v>2028</v>
      </c>
      <c r="C1845" s="1">
        <v>45926</v>
      </c>
      <c r="D1845" t="s">
        <v>31</v>
      </c>
      <c r="E1845" t="s">
        <v>154</v>
      </c>
      <c r="F1845" t="s">
        <v>110</v>
      </c>
      <c r="J1845" s="299">
        <v>25276.2</v>
      </c>
    </row>
    <row r="1846" spans="1:10" ht="15">
      <c r="A1846" s="137" t="str">
        <f t="shared" si="25"/>
        <v>CAPNOMINA SUCURSALE5</v>
      </c>
      <c r="B1846" t="s">
        <v>2028</v>
      </c>
      <c r="C1846" s="1">
        <v>45926</v>
      </c>
      <c r="D1846" t="s">
        <v>31</v>
      </c>
      <c r="E1846" t="s">
        <v>154</v>
      </c>
      <c r="F1846" t="s">
        <v>111</v>
      </c>
      <c r="J1846" s="299">
        <v>18381</v>
      </c>
    </row>
    <row r="1847" spans="1:10" ht="15">
      <c r="A1847" s="137" t="str">
        <f t="shared" si="25"/>
        <v>CAPNOMINA SUCURSALE6</v>
      </c>
      <c r="B1847" t="s">
        <v>2028</v>
      </c>
      <c r="C1847" s="1">
        <v>45926</v>
      </c>
      <c r="D1847" t="s">
        <v>31</v>
      </c>
      <c r="E1847" t="s">
        <v>154</v>
      </c>
      <c r="F1847" t="s">
        <v>112</v>
      </c>
      <c r="J1847" s="299">
        <v>17975</v>
      </c>
    </row>
    <row r="1848" spans="1:10" ht="15">
      <c r="A1848" s="137" t="str">
        <f t="shared" si="25"/>
        <v>CAPNOMINA SUCURSALE7</v>
      </c>
      <c r="B1848" t="s">
        <v>2028</v>
      </c>
      <c r="C1848" s="1">
        <v>45926</v>
      </c>
      <c r="D1848" t="s">
        <v>31</v>
      </c>
      <c r="E1848" t="s">
        <v>154</v>
      </c>
      <c r="F1848" t="s">
        <v>113</v>
      </c>
      <c r="J1848" s="299">
        <v>14931.4</v>
      </c>
    </row>
    <row r="1849" spans="1:10" ht="15">
      <c r="A1849" s="137" t="str">
        <f t="shared" si="25"/>
        <v>CAPNOMINA SUCURSALE8</v>
      </c>
      <c r="B1849" t="s">
        <v>2028</v>
      </c>
      <c r="C1849" s="1">
        <v>45926</v>
      </c>
      <c r="D1849" t="s">
        <v>31</v>
      </c>
      <c r="E1849" t="s">
        <v>154</v>
      </c>
      <c r="F1849" t="s">
        <v>114</v>
      </c>
      <c r="J1849" s="299">
        <v>29644.400000000001</v>
      </c>
    </row>
    <row r="1850" spans="1:10" ht="15">
      <c r="A1850" s="137" t="str">
        <f t="shared" si="25"/>
        <v>CAPNOMINA SUCURSALE9</v>
      </c>
      <c r="B1850" t="s">
        <v>2028</v>
      </c>
      <c r="C1850" s="1">
        <v>45926</v>
      </c>
      <c r="D1850" t="s">
        <v>31</v>
      </c>
      <c r="E1850" t="s">
        <v>154</v>
      </c>
      <c r="F1850" t="s">
        <v>116</v>
      </c>
      <c r="J1850" s="299">
        <v>27544</v>
      </c>
    </row>
    <row r="1851" spans="1:10" ht="15">
      <c r="A1851" s="137" t="str">
        <f t="shared" si="25"/>
        <v>ELINOMINA SUCURSALL1</v>
      </c>
      <c r="B1851" t="s">
        <v>2028</v>
      </c>
      <c r="C1851" s="1">
        <v>45926</v>
      </c>
      <c r="D1851" t="s">
        <v>130</v>
      </c>
      <c r="E1851" t="s">
        <v>154</v>
      </c>
      <c r="F1851" t="s">
        <v>136</v>
      </c>
      <c r="J1851" s="385">
        <v>11202.4</v>
      </c>
    </row>
    <row r="1852" spans="1:10" ht="15">
      <c r="A1852" s="137" t="str">
        <f t="shared" si="25"/>
        <v>HRNOMINA ADMONHR</v>
      </c>
      <c r="B1852" t="s">
        <v>2028</v>
      </c>
      <c r="C1852" s="1">
        <v>45926</v>
      </c>
      <c r="D1852" t="s">
        <v>29</v>
      </c>
      <c r="E1852" t="s">
        <v>147</v>
      </c>
      <c r="F1852" t="s">
        <v>29</v>
      </c>
      <c r="J1852" s="385">
        <v>25143.8</v>
      </c>
    </row>
    <row r="1853" spans="1:10" ht="15">
      <c r="A1853" s="137" t="str">
        <f t="shared" si="25"/>
        <v>CAPNOMINA ADMONCAPRICHOS</v>
      </c>
      <c r="B1853" t="s">
        <v>2028</v>
      </c>
      <c r="C1853" s="1">
        <v>45926</v>
      </c>
      <c r="D1853" t="s">
        <v>31</v>
      </c>
      <c r="E1853" t="s">
        <v>147</v>
      </c>
      <c r="F1853" t="s">
        <v>33</v>
      </c>
      <c r="J1853" s="385">
        <v>23210.3</v>
      </c>
    </row>
    <row r="1854" spans="1:10" ht="15">
      <c r="A1854" s="137" t="str">
        <f t="shared" si="25"/>
        <v>SERVICIOSNOMINA SUCURSALCEDIS</v>
      </c>
      <c r="B1854" t="s">
        <v>2028</v>
      </c>
      <c r="C1854" s="1">
        <v>45926</v>
      </c>
      <c r="D1854" t="s">
        <v>21</v>
      </c>
      <c r="E1854" t="s">
        <v>154</v>
      </c>
      <c r="F1854" t="s">
        <v>28</v>
      </c>
      <c r="J1854" s="385">
        <v>69692.649999999994</v>
      </c>
    </row>
    <row r="1855" spans="1:10" ht="15">
      <c r="A1855" s="137" t="str">
        <f t="shared" si="25"/>
        <v>SERVICIOSNOMINA ADMONINVENTARIOS</v>
      </c>
      <c r="B1855" t="s">
        <v>2028</v>
      </c>
      <c r="C1855" s="1">
        <v>45926</v>
      </c>
      <c r="D1855" t="s">
        <v>21</v>
      </c>
      <c r="E1855" t="s">
        <v>147</v>
      </c>
      <c r="F1855" t="s">
        <v>34</v>
      </c>
      <c r="J1855" s="385">
        <v>2800</v>
      </c>
    </row>
    <row r="1856" spans="1:10" ht="15">
      <c r="A1856" s="137" t="str">
        <f t="shared" si="25"/>
        <v>SERVICIOSNOMINA ADMONMANTENIMIENTO</v>
      </c>
      <c r="B1856" t="s">
        <v>2028</v>
      </c>
      <c r="C1856" s="1">
        <v>45926</v>
      </c>
      <c r="D1856" t="s">
        <v>21</v>
      </c>
      <c r="E1856" t="s">
        <v>147</v>
      </c>
      <c r="F1856" t="s">
        <v>35</v>
      </c>
      <c r="J1856" s="385">
        <v>14714.82</v>
      </c>
    </row>
    <row r="1857" spans="1:10" ht="15">
      <c r="A1857" s="137" t="str">
        <f t="shared" si="25"/>
        <v>SERVICIOSNOMINA ADMONCADENA DE SUMINISTROS</v>
      </c>
      <c r="B1857" t="s">
        <v>2028</v>
      </c>
      <c r="C1857" s="1">
        <v>45926</v>
      </c>
      <c r="D1857" t="s">
        <v>21</v>
      </c>
      <c r="E1857" t="s">
        <v>147</v>
      </c>
      <c r="F1857" t="s">
        <v>134</v>
      </c>
      <c r="J1857" s="385">
        <v>26895</v>
      </c>
    </row>
    <row r="1858" spans="1:10" ht="15">
      <c r="A1858" s="137" t="str">
        <f t="shared" si="25"/>
        <v>SERVICIOSNOMINA ADMONSISTEMAS</v>
      </c>
      <c r="B1858" t="s">
        <v>2028</v>
      </c>
      <c r="C1858" s="1">
        <v>45926</v>
      </c>
      <c r="D1858" t="s">
        <v>21</v>
      </c>
      <c r="E1858" t="s">
        <v>147</v>
      </c>
      <c r="F1858" t="s">
        <v>36</v>
      </c>
      <c r="J1858" s="385">
        <v>11111.89</v>
      </c>
    </row>
    <row r="1859" spans="1:10" ht="15">
      <c r="A1859" s="137" t="str">
        <f t="shared" si="25"/>
        <v>SERVICIOSNOMINA ADMONCOMPRAS</v>
      </c>
      <c r="B1859" t="s">
        <v>2028</v>
      </c>
      <c r="C1859" s="1">
        <v>45926</v>
      </c>
      <c r="D1859" t="s">
        <v>21</v>
      </c>
      <c r="E1859" t="s">
        <v>147</v>
      </c>
      <c r="F1859" t="s">
        <v>148</v>
      </c>
      <c r="J1859" s="385">
        <v>23091.11</v>
      </c>
    </row>
    <row r="1860" spans="1:10" ht="15">
      <c r="A1860" s="137" t="str">
        <f t="shared" ref="A1860:A1923" si="26">D1860&amp;E1860&amp;F1860</f>
        <v>FINANZASNOMINA ADMONCONTABILIDAD</v>
      </c>
      <c r="B1860" t="s">
        <v>2028</v>
      </c>
      <c r="C1860" s="1">
        <v>45926</v>
      </c>
      <c r="D1860" t="s">
        <v>23</v>
      </c>
      <c r="E1860" t="s">
        <v>147</v>
      </c>
      <c r="F1860" t="s">
        <v>37</v>
      </c>
      <c r="J1860" s="385">
        <v>15147.27</v>
      </c>
    </row>
    <row r="1861" spans="1:10" ht="15">
      <c r="A1861" s="137" t="str">
        <f t="shared" si="26"/>
        <v>FINANZASNOMINA ADMONFINANZAS/LEGAL</v>
      </c>
      <c r="B1861" t="s">
        <v>2028</v>
      </c>
      <c r="C1861" s="1">
        <v>45926</v>
      </c>
      <c r="D1861" t="s">
        <v>23</v>
      </c>
      <c r="E1861" t="s">
        <v>147</v>
      </c>
      <c r="F1861" t="s">
        <v>149</v>
      </c>
      <c r="J1861" s="385">
        <v>9205</v>
      </c>
    </row>
    <row r="1862" spans="1:10" ht="15">
      <c r="A1862" s="137" t="str">
        <f t="shared" si="26"/>
        <v>FINANZASNOMINA ADMONRECURSOS HUMANOS</v>
      </c>
      <c r="B1862" t="s">
        <v>2028</v>
      </c>
      <c r="C1862" s="1">
        <v>45926</v>
      </c>
      <c r="D1862" t="s">
        <v>23</v>
      </c>
      <c r="E1862" t="s">
        <v>147</v>
      </c>
      <c r="F1862" t="s">
        <v>125</v>
      </c>
      <c r="J1862" s="385">
        <v>10278.58</v>
      </c>
    </row>
    <row r="1863" spans="1:10" ht="15">
      <c r="A1863" s="137" t="str">
        <f t="shared" si="26"/>
        <v>FINANZASNOMINA ADMONTESORERIA</v>
      </c>
      <c r="B1863" t="s">
        <v>2028</v>
      </c>
      <c r="C1863" s="1">
        <v>45926</v>
      </c>
      <c r="D1863" t="s">
        <v>23</v>
      </c>
      <c r="E1863" t="s">
        <v>147</v>
      </c>
      <c r="F1863" t="s">
        <v>38</v>
      </c>
      <c r="J1863" s="385">
        <v>11538.58</v>
      </c>
    </row>
    <row r="1864" spans="1:10" ht="15">
      <c r="A1864" s="137" t="str">
        <f t="shared" si="26"/>
        <v>FINANZASNOMINA ADMONHBG FINANZAS</v>
      </c>
      <c r="B1864" t="s">
        <v>2028</v>
      </c>
      <c r="C1864" s="1">
        <v>45926</v>
      </c>
      <c r="D1864" t="s">
        <v>23</v>
      </c>
      <c r="E1864" t="s">
        <v>147</v>
      </c>
      <c r="F1864" t="s">
        <v>150</v>
      </c>
      <c r="J1864" s="385">
        <v>3057</v>
      </c>
    </row>
    <row r="1865" spans="1:10" ht="15">
      <c r="A1865" s="137" t="str">
        <f t="shared" si="26"/>
        <v>SGENOMINA ADMONGESTION EMPRESARIAL</v>
      </c>
      <c r="B1865" t="s">
        <v>2028</v>
      </c>
      <c r="C1865" s="1">
        <v>45926</v>
      </c>
      <c r="D1865" t="s">
        <v>39</v>
      </c>
      <c r="E1865" t="s">
        <v>147</v>
      </c>
      <c r="F1865" t="s">
        <v>40</v>
      </c>
      <c r="J1865" s="385">
        <v>23468.7</v>
      </c>
    </row>
    <row r="1866" spans="1:10" ht="15">
      <c r="A1866" s="137" t="str">
        <f t="shared" si="26"/>
        <v>DENOMINA ADMONDIRECCION</v>
      </c>
      <c r="B1866" t="s">
        <v>2028</v>
      </c>
      <c r="C1866" s="1">
        <v>45926</v>
      </c>
      <c r="D1866" t="s">
        <v>41</v>
      </c>
      <c r="E1866" t="s">
        <v>147</v>
      </c>
      <c r="F1866" t="s">
        <v>42</v>
      </c>
      <c r="J1866" s="385">
        <v>7000</v>
      </c>
    </row>
    <row r="1867" spans="1:10" ht="15">
      <c r="A1867" s="137" t="str">
        <f t="shared" si="26"/>
        <v>MELNOMINA ADMONMELISSA</v>
      </c>
      <c r="B1867" t="s">
        <v>2028</v>
      </c>
      <c r="C1867" s="1">
        <v>45926</v>
      </c>
      <c r="D1867" t="s">
        <v>43</v>
      </c>
      <c r="E1867" t="s">
        <v>147</v>
      </c>
      <c r="F1867" t="s">
        <v>44</v>
      </c>
      <c r="J1867" s="385">
        <v>2578</v>
      </c>
    </row>
    <row r="1868" spans="1:10" ht="15">
      <c r="A1868" s="137" t="str">
        <f t="shared" si="26"/>
        <v>MMNOMINA ADMONMARKET MAX</v>
      </c>
      <c r="B1868" t="s">
        <v>2028</v>
      </c>
      <c r="C1868" s="1">
        <v>45926</v>
      </c>
      <c r="D1868" t="s">
        <v>45</v>
      </c>
      <c r="E1868" t="s">
        <v>147</v>
      </c>
      <c r="F1868" t="s">
        <v>46</v>
      </c>
      <c r="J1868" s="385">
        <v>5874.94</v>
      </c>
    </row>
    <row r="1869" spans="1:10" ht="15">
      <c r="A1869" s="137" t="str">
        <f t="shared" si="26"/>
        <v>ANALISISNOMINA ADMONANALISIS DE DATOS</v>
      </c>
      <c r="B1869" t="s">
        <v>2028</v>
      </c>
      <c r="C1869" s="1">
        <v>45926</v>
      </c>
      <c r="D1869" t="s">
        <v>152</v>
      </c>
      <c r="E1869" t="s">
        <v>147</v>
      </c>
      <c r="F1869" t="s">
        <v>153</v>
      </c>
      <c r="J1869" s="385">
        <v>3800</v>
      </c>
    </row>
    <row r="1870" spans="1:10" ht="15">
      <c r="A1870" s="137" t="str">
        <f t="shared" si="26"/>
        <v>MKTNOMINA ADMONMKT</v>
      </c>
      <c r="B1870" t="s">
        <v>2028</v>
      </c>
      <c r="C1870" s="1">
        <v>45926</v>
      </c>
      <c r="D1870" t="s">
        <v>19</v>
      </c>
      <c r="E1870" t="s">
        <v>147</v>
      </c>
      <c r="F1870" t="s">
        <v>19</v>
      </c>
      <c r="J1870" s="385">
        <v>21001.599999999999</v>
      </c>
    </row>
    <row r="1871" spans="1:10" ht="15">
      <c r="A1871" s="137" t="str">
        <f t="shared" si="26"/>
        <v>SGEVACACIONES/FINIQUITOSGESTION EMPRESARIAL</v>
      </c>
      <c r="B1871" t="s">
        <v>2028</v>
      </c>
      <c r="C1871" s="1">
        <v>45926</v>
      </c>
      <c r="D1871" t="s">
        <v>39</v>
      </c>
      <c r="E1871" s="12" t="s">
        <v>190</v>
      </c>
      <c r="F1871" t="s">
        <v>40</v>
      </c>
      <c r="H1871" t="s">
        <v>4822</v>
      </c>
      <c r="J1871" s="385">
        <v>3732</v>
      </c>
    </row>
    <row r="1872" spans="1:10" ht="15">
      <c r="A1872" s="137" t="str">
        <f t="shared" si="26"/>
        <v>FINANZASVACACIONES/FINIQUITOSFINANZAS</v>
      </c>
      <c r="B1872" t="s">
        <v>2028</v>
      </c>
      <c r="C1872" s="1">
        <v>45926</v>
      </c>
      <c r="D1872" t="s">
        <v>23</v>
      </c>
      <c r="E1872" s="12" t="s">
        <v>190</v>
      </c>
      <c r="F1872" t="s">
        <v>23</v>
      </c>
      <c r="H1872" t="s">
        <v>4823</v>
      </c>
      <c r="J1872" s="385">
        <v>1964</v>
      </c>
    </row>
    <row r="1873" spans="1:10" ht="15">
      <c r="A1873" s="137" t="str">
        <f t="shared" si="26"/>
        <v>HRVACACIONES/FINIQUITOSHR</v>
      </c>
      <c r="B1873" t="s">
        <v>2028</v>
      </c>
      <c r="C1873" s="1">
        <v>45926</v>
      </c>
      <c r="D1873" t="s">
        <v>29</v>
      </c>
      <c r="E1873" s="12" t="s">
        <v>190</v>
      </c>
      <c r="F1873" t="s">
        <v>29</v>
      </c>
      <c r="H1873" t="s">
        <v>96</v>
      </c>
      <c r="J1873" s="385">
        <v>2171</v>
      </c>
    </row>
    <row r="1874" spans="1:10" ht="15">
      <c r="A1874" s="137" t="str">
        <f t="shared" si="26"/>
        <v>FINANZASNOMINA ADMONHBG FINANZAS</v>
      </c>
      <c r="B1874" t="s">
        <v>2028</v>
      </c>
      <c r="C1874" s="1">
        <v>45926</v>
      </c>
      <c r="D1874" t="s">
        <v>23</v>
      </c>
      <c r="E1874" t="s">
        <v>147</v>
      </c>
      <c r="F1874" s="12" t="s">
        <v>150</v>
      </c>
      <c r="J1874" s="385">
        <v>10950</v>
      </c>
    </row>
    <row r="1875" spans="1:10" ht="15">
      <c r="A1875" s="137" t="str">
        <f t="shared" si="26"/>
        <v>HRNOMINA ADMONHR</v>
      </c>
      <c r="B1875" t="s">
        <v>2028</v>
      </c>
      <c r="C1875" s="1">
        <v>45926</v>
      </c>
      <c r="D1875" t="s">
        <v>29</v>
      </c>
      <c r="E1875" t="s">
        <v>147</v>
      </c>
      <c r="F1875" s="3" t="s">
        <v>29</v>
      </c>
      <c r="J1875" s="385">
        <v>5500</v>
      </c>
    </row>
    <row r="1876" spans="1:10" ht="15">
      <c r="A1876" s="137" t="str">
        <f t="shared" si="26"/>
        <v>CAPNOMINA ADMONCAPRICHOS</v>
      </c>
      <c r="B1876" t="s">
        <v>2028</v>
      </c>
      <c r="C1876" s="1">
        <v>45926</v>
      </c>
      <c r="D1876" t="s">
        <v>31</v>
      </c>
      <c r="E1876" t="s">
        <v>147</v>
      </c>
      <c r="F1876" s="12" t="s">
        <v>33</v>
      </c>
      <c r="J1876" s="385">
        <v>3700</v>
      </c>
    </row>
    <row r="1877" spans="1:10" ht="15">
      <c r="A1877" s="137" t="str">
        <f t="shared" si="26"/>
        <v>SGENOMINA ADMONGESTION EMPRESARIAL</v>
      </c>
      <c r="B1877" t="s">
        <v>2028</v>
      </c>
      <c r="C1877" s="1">
        <v>45926</v>
      </c>
      <c r="D1877" t="s">
        <v>39</v>
      </c>
      <c r="E1877" t="s">
        <v>147</v>
      </c>
      <c r="F1877" s="12" t="s">
        <v>40</v>
      </c>
      <c r="J1877" s="385">
        <v>2750</v>
      </c>
    </row>
    <row r="1878" spans="1:10" ht="15">
      <c r="A1878" s="137" t="str">
        <f t="shared" si="26"/>
        <v>SERVICIOSNOMINA ADMONSERVICIOS</v>
      </c>
      <c r="B1878" t="s">
        <v>2028</v>
      </c>
      <c r="C1878" s="1">
        <v>45926</v>
      </c>
      <c r="D1878" t="s">
        <v>21</v>
      </c>
      <c r="E1878" t="s">
        <v>147</v>
      </c>
      <c r="F1878" s="12" t="s">
        <v>21</v>
      </c>
      <c r="J1878" s="385">
        <v>4750</v>
      </c>
    </row>
    <row r="1879" spans="1:10" ht="15">
      <c r="A1879" s="137" t="str">
        <f t="shared" si="26"/>
        <v>DENOMINA ADMONDIRECCION</v>
      </c>
      <c r="B1879" t="s">
        <v>2028</v>
      </c>
      <c r="C1879" s="1">
        <v>45926</v>
      </c>
      <c r="D1879" t="s">
        <v>41</v>
      </c>
      <c r="E1879" t="s">
        <v>147</v>
      </c>
      <c r="F1879" s="12" t="s">
        <v>42</v>
      </c>
      <c r="J1879" s="385">
        <v>5750</v>
      </c>
    </row>
    <row r="1880" spans="1:10" ht="15">
      <c r="A1880" s="137" t="str">
        <f t="shared" si="26"/>
        <v>MMNOMINA ADMONMARKET MAX</v>
      </c>
      <c r="B1880" t="s">
        <v>2028</v>
      </c>
      <c r="C1880" s="1">
        <v>45926</v>
      </c>
      <c r="D1880" t="s">
        <v>45</v>
      </c>
      <c r="E1880" t="s">
        <v>147</v>
      </c>
      <c r="F1880" s="12" t="s">
        <v>46</v>
      </c>
      <c r="J1880" s="385">
        <v>2000</v>
      </c>
    </row>
    <row r="1881" spans="1:10" ht="15">
      <c r="A1881" s="137" t="str">
        <f t="shared" si="26"/>
        <v>SGEVACACIONES/FINIQUITOSGESTION EMPRESARIAL</v>
      </c>
      <c r="B1881" t="s">
        <v>2028</v>
      </c>
      <c r="C1881" s="1">
        <v>45926</v>
      </c>
      <c r="D1881" t="s">
        <v>39</v>
      </c>
      <c r="E1881" s="12" t="s">
        <v>190</v>
      </c>
      <c r="F1881" t="s">
        <v>40</v>
      </c>
      <c r="J1881" s="385">
        <v>2160</v>
      </c>
    </row>
    <row r="1882" spans="1:10" ht="15">
      <c r="A1882" s="137" t="str">
        <f t="shared" si="26"/>
        <v>HRVACACIONES/FINIQUITOSHR</v>
      </c>
      <c r="B1882" t="s">
        <v>2028</v>
      </c>
      <c r="C1882" s="1">
        <v>45933</v>
      </c>
      <c r="D1882" t="s">
        <v>29</v>
      </c>
      <c r="E1882" s="12" t="s">
        <v>190</v>
      </c>
      <c r="F1882" t="s">
        <v>29</v>
      </c>
      <c r="H1882" s="444" t="s">
        <v>4819</v>
      </c>
      <c r="J1882" s="385">
        <v>728</v>
      </c>
    </row>
    <row r="1883" spans="1:10" ht="15">
      <c r="A1883" s="137" t="str">
        <f t="shared" si="26"/>
        <v>SERVICIOSVACACIONES/FINIQUITOSSERVICIOS</v>
      </c>
      <c r="B1883" t="s">
        <v>2028</v>
      </c>
      <c r="C1883" s="1">
        <v>45933</v>
      </c>
      <c r="D1883" t="s">
        <v>21</v>
      </c>
      <c r="E1883" s="12" t="s">
        <v>190</v>
      </c>
      <c r="F1883" t="s">
        <v>21</v>
      </c>
      <c r="H1883" s="427" t="s">
        <v>4820</v>
      </c>
      <c r="J1883" s="385">
        <v>1366</v>
      </c>
    </row>
    <row r="1884" spans="1:10" ht="15">
      <c r="A1884" s="137" t="str">
        <f t="shared" si="26"/>
        <v>HRVACACIONES/FINIQUITOSHR</v>
      </c>
      <c r="B1884" t="s">
        <v>2028</v>
      </c>
      <c r="C1884" s="1">
        <v>45933</v>
      </c>
      <c r="D1884" t="s">
        <v>29</v>
      </c>
      <c r="E1884" s="12" t="s">
        <v>190</v>
      </c>
      <c r="F1884" t="s">
        <v>29</v>
      </c>
      <c r="H1884" s="427" t="s">
        <v>88</v>
      </c>
      <c r="J1884" s="385">
        <v>2357</v>
      </c>
    </row>
    <row r="1885" spans="1:10" ht="15">
      <c r="A1885" s="137" t="str">
        <f t="shared" si="26"/>
        <v>CAPVACACIONES/FINIQUITOSCAPRICHOS</v>
      </c>
      <c r="B1885" t="s">
        <v>2028</v>
      </c>
      <c r="C1885" s="1">
        <v>45933</v>
      </c>
      <c r="D1885" t="s">
        <v>31</v>
      </c>
      <c r="E1885" s="12" t="s">
        <v>190</v>
      </c>
      <c r="F1885" t="s">
        <v>33</v>
      </c>
      <c r="H1885" s="427" t="s">
        <v>114</v>
      </c>
      <c r="J1885" s="385">
        <v>1500</v>
      </c>
    </row>
    <row r="1886" spans="1:10" ht="15">
      <c r="A1886" s="137" t="str">
        <f t="shared" si="26"/>
        <v>CAPVACACIONES/FINIQUITOSCAPRICHOS</v>
      </c>
      <c r="B1886" t="s">
        <v>2028</v>
      </c>
      <c r="C1886" s="1">
        <v>45933</v>
      </c>
      <c r="D1886" t="s">
        <v>31</v>
      </c>
      <c r="E1886" s="12" t="s">
        <v>190</v>
      </c>
      <c r="F1886" t="s">
        <v>33</v>
      </c>
      <c r="H1886" s="427" t="s">
        <v>114</v>
      </c>
      <c r="J1886" s="385">
        <v>1285</v>
      </c>
    </row>
    <row r="1887" spans="1:10" ht="15">
      <c r="A1887" s="137" t="str">
        <f t="shared" si="26"/>
        <v>CAPVACACIONES/FINIQUITOSCAPRICHOS</v>
      </c>
      <c r="B1887" t="s">
        <v>2028</v>
      </c>
      <c r="C1887" s="1">
        <v>45933</v>
      </c>
      <c r="D1887" t="s">
        <v>31</v>
      </c>
      <c r="E1887" s="12" t="s">
        <v>190</v>
      </c>
      <c r="F1887" t="s">
        <v>33</v>
      </c>
      <c r="H1887" s="427" t="s">
        <v>109</v>
      </c>
      <c r="J1887" s="385">
        <v>2592</v>
      </c>
    </row>
    <row r="1888" spans="1:10" ht="15">
      <c r="A1888" s="137" t="str">
        <f t="shared" si="26"/>
        <v>FINANZASVACACIONES/FINIQUITOSFINANZAS</v>
      </c>
      <c r="B1888" t="s">
        <v>2028</v>
      </c>
      <c r="C1888" s="1">
        <v>45933</v>
      </c>
      <c r="D1888" t="s">
        <v>23</v>
      </c>
      <c r="E1888" s="12" t="s">
        <v>190</v>
      </c>
      <c r="F1888" s="12" t="s">
        <v>23</v>
      </c>
      <c r="H1888" s="427" t="s">
        <v>4824</v>
      </c>
      <c r="J1888" s="385">
        <v>1071</v>
      </c>
    </row>
    <row r="1889" spans="1:10" ht="15">
      <c r="A1889" s="137" t="str">
        <f t="shared" si="26"/>
        <v>FINANZASNOMINA ADMONHBG FINANZAS</v>
      </c>
      <c r="B1889" t="s">
        <v>2028</v>
      </c>
      <c r="C1889" s="1">
        <v>45933</v>
      </c>
      <c r="D1889" t="s">
        <v>23</v>
      </c>
      <c r="E1889" t="s">
        <v>147</v>
      </c>
      <c r="F1889" s="12" t="s">
        <v>150</v>
      </c>
      <c r="J1889" s="385">
        <v>10950</v>
      </c>
    </row>
    <row r="1890" spans="1:10" ht="15">
      <c r="A1890" s="137" t="str">
        <f t="shared" si="26"/>
        <v>HRNOMINA ADMONHR</v>
      </c>
      <c r="B1890" t="s">
        <v>2028</v>
      </c>
      <c r="C1890" s="1">
        <v>45933</v>
      </c>
      <c r="D1890" t="s">
        <v>29</v>
      </c>
      <c r="E1890" t="s">
        <v>147</v>
      </c>
      <c r="F1890" s="3" t="s">
        <v>29</v>
      </c>
      <c r="J1890" s="385">
        <v>5500</v>
      </c>
    </row>
    <row r="1891" spans="1:10" ht="15">
      <c r="A1891" s="137" t="str">
        <f t="shared" si="26"/>
        <v>CAPNOMINA ADMONCAPRICHOS</v>
      </c>
      <c r="B1891" t="s">
        <v>2028</v>
      </c>
      <c r="C1891" s="1">
        <v>45933</v>
      </c>
      <c r="D1891" t="s">
        <v>31</v>
      </c>
      <c r="E1891" t="s">
        <v>147</v>
      </c>
      <c r="F1891" s="12" t="s">
        <v>33</v>
      </c>
      <c r="J1891" s="385">
        <v>3700</v>
      </c>
    </row>
    <row r="1892" spans="1:10" ht="15">
      <c r="A1892" s="137" t="str">
        <f t="shared" si="26"/>
        <v>SGENOMINA ADMONGESTION EMPRESARIAL</v>
      </c>
      <c r="B1892" t="s">
        <v>2028</v>
      </c>
      <c r="C1892" s="1">
        <v>45933</v>
      </c>
      <c r="D1892" t="s">
        <v>39</v>
      </c>
      <c r="E1892" t="s">
        <v>147</v>
      </c>
      <c r="F1892" s="12" t="s">
        <v>40</v>
      </c>
      <c r="J1892" s="385">
        <v>2750</v>
      </c>
    </row>
    <row r="1893" spans="1:10" ht="15">
      <c r="A1893" s="137" t="str">
        <f t="shared" si="26"/>
        <v>SERVICIOSNOMINA ADMONSERVICIOS</v>
      </c>
      <c r="B1893" t="s">
        <v>2028</v>
      </c>
      <c r="C1893" s="1">
        <v>45933</v>
      </c>
      <c r="D1893" t="s">
        <v>21</v>
      </c>
      <c r="E1893" t="s">
        <v>147</v>
      </c>
      <c r="F1893" s="12" t="s">
        <v>21</v>
      </c>
      <c r="J1893" s="385">
        <v>4750</v>
      </c>
    </row>
    <row r="1894" spans="1:10" ht="15">
      <c r="A1894" s="137" t="str">
        <f t="shared" si="26"/>
        <v>DENOMINA ADMONDIRECCION</v>
      </c>
      <c r="B1894" t="s">
        <v>2028</v>
      </c>
      <c r="C1894" s="1">
        <v>45933</v>
      </c>
      <c r="D1894" t="s">
        <v>41</v>
      </c>
      <c r="E1894" t="s">
        <v>147</v>
      </c>
      <c r="F1894" s="12" t="s">
        <v>42</v>
      </c>
      <c r="J1894" s="385">
        <v>5750</v>
      </c>
    </row>
    <row r="1895" spans="1:10" ht="15">
      <c r="A1895" s="137" t="str">
        <f t="shared" si="26"/>
        <v>MMNOMINA ADMONMARKET MAX</v>
      </c>
      <c r="B1895" t="s">
        <v>2028</v>
      </c>
      <c r="C1895" s="1">
        <v>45933</v>
      </c>
      <c r="D1895" t="s">
        <v>45</v>
      </c>
      <c r="E1895" t="s">
        <v>147</v>
      </c>
      <c r="F1895" s="12" t="s">
        <v>46</v>
      </c>
      <c r="J1895" s="385">
        <v>2000</v>
      </c>
    </row>
    <row r="1896" spans="1:10" ht="15">
      <c r="A1896" s="137" t="str">
        <f t="shared" si="26"/>
        <v>HRNOMINA SUCURSALA1</v>
      </c>
      <c r="B1896" t="s">
        <v>2028</v>
      </c>
      <c r="C1896" s="1">
        <v>45933</v>
      </c>
      <c r="D1896" t="s">
        <v>29</v>
      </c>
      <c r="E1896" t="s">
        <v>154</v>
      </c>
      <c r="F1896" t="s">
        <v>88</v>
      </c>
      <c r="J1896" s="389">
        <v>10932.8</v>
      </c>
    </row>
    <row r="1897" spans="1:10" ht="15">
      <c r="A1897" s="137" t="str">
        <f t="shared" si="26"/>
        <v>HRNOMINA SUCURSALA2</v>
      </c>
      <c r="B1897" t="s">
        <v>2028</v>
      </c>
      <c r="C1897" s="1">
        <v>45933</v>
      </c>
      <c r="D1897" t="s">
        <v>29</v>
      </c>
      <c r="E1897" t="s">
        <v>154</v>
      </c>
      <c r="F1897" t="s">
        <v>89</v>
      </c>
      <c r="J1897" s="389">
        <v>11856.4</v>
      </c>
    </row>
    <row r="1898" spans="1:10" ht="15">
      <c r="A1898" s="137" t="str">
        <f t="shared" si="26"/>
        <v>HRNOMINA SUCURSALA3</v>
      </c>
      <c r="B1898" t="s">
        <v>2028</v>
      </c>
      <c r="C1898" s="1">
        <v>45933</v>
      </c>
      <c r="D1898" t="s">
        <v>29</v>
      </c>
      <c r="E1898" t="s">
        <v>154</v>
      </c>
      <c r="F1898" t="s">
        <v>90</v>
      </c>
      <c r="J1898" s="389">
        <v>8656.2000000000007</v>
      </c>
    </row>
    <row r="1899" spans="1:10" ht="15">
      <c r="A1899" s="137" t="str">
        <f t="shared" si="26"/>
        <v>HRNOMINA SUCURSALA4</v>
      </c>
      <c r="B1899" t="s">
        <v>2028</v>
      </c>
      <c r="C1899" s="1">
        <v>45933</v>
      </c>
      <c r="D1899" t="s">
        <v>29</v>
      </c>
      <c r="E1899" t="s">
        <v>154</v>
      </c>
      <c r="F1899" t="s">
        <v>91</v>
      </c>
      <c r="J1899" s="389">
        <v>9920.7999999999993</v>
      </c>
    </row>
    <row r="1900" spans="1:10" ht="15">
      <c r="A1900" s="137" t="str">
        <f t="shared" si="26"/>
        <v>HRNOMINA SUCURSALA5</v>
      </c>
      <c r="B1900" t="s">
        <v>2028</v>
      </c>
      <c r="C1900" s="1">
        <v>45933</v>
      </c>
      <c r="D1900" t="s">
        <v>29</v>
      </c>
      <c r="E1900" t="s">
        <v>154</v>
      </c>
      <c r="F1900" t="s">
        <v>92</v>
      </c>
      <c r="J1900" s="389">
        <v>12368.8</v>
      </c>
    </row>
    <row r="1901" spans="1:10" ht="15">
      <c r="A1901" s="137" t="str">
        <f t="shared" si="26"/>
        <v>HRNOMINA SUCURSALA6</v>
      </c>
      <c r="B1901" t="s">
        <v>2028</v>
      </c>
      <c r="C1901" s="1">
        <v>45933</v>
      </c>
      <c r="D1901" t="s">
        <v>29</v>
      </c>
      <c r="E1901" t="s">
        <v>154</v>
      </c>
      <c r="F1901" t="s">
        <v>93</v>
      </c>
      <c r="J1901" s="389">
        <v>14404.29</v>
      </c>
    </row>
    <row r="1902" spans="1:10" ht="15">
      <c r="A1902" s="137" t="str">
        <f t="shared" si="26"/>
        <v>HRNOMINA SUCURSALA8</v>
      </c>
      <c r="B1902" t="s">
        <v>2028</v>
      </c>
      <c r="C1902" s="1">
        <v>45933</v>
      </c>
      <c r="D1902" t="s">
        <v>29</v>
      </c>
      <c r="E1902" t="s">
        <v>154</v>
      </c>
      <c r="F1902" t="s">
        <v>94</v>
      </c>
      <c r="J1902" s="389">
        <v>13677.2</v>
      </c>
    </row>
    <row r="1903" spans="1:10" ht="15">
      <c r="A1903" s="137" t="str">
        <f t="shared" si="26"/>
        <v>HRNOMINA SUCURSALA9</v>
      </c>
      <c r="B1903" t="s">
        <v>2028</v>
      </c>
      <c r="C1903" s="1">
        <v>45933</v>
      </c>
      <c r="D1903" t="s">
        <v>29</v>
      </c>
      <c r="E1903" t="s">
        <v>154</v>
      </c>
      <c r="F1903" t="s">
        <v>95</v>
      </c>
      <c r="J1903" s="389">
        <v>9730.31</v>
      </c>
    </row>
    <row r="1904" spans="1:10" ht="15">
      <c r="A1904" s="137" t="str">
        <f t="shared" si="26"/>
        <v>HRNOMINA SUCURSALA10</v>
      </c>
      <c r="B1904" t="s">
        <v>2028</v>
      </c>
      <c r="C1904" s="1">
        <v>45933</v>
      </c>
      <c r="D1904" t="s">
        <v>29</v>
      </c>
      <c r="E1904" t="s">
        <v>154</v>
      </c>
      <c r="F1904" t="s">
        <v>96</v>
      </c>
      <c r="J1904" s="389">
        <v>14922</v>
      </c>
    </row>
    <row r="1905" spans="1:10" ht="15">
      <c r="A1905" s="137" t="str">
        <f t="shared" si="26"/>
        <v>HRNOMINA SUCURSALA11</v>
      </c>
      <c r="B1905" t="s">
        <v>2028</v>
      </c>
      <c r="C1905" s="1">
        <v>45933</v>
      </c>
      <c r="D1905" t="s">
        <v>29</v>
      </c>
      <c r="E1905" t="s">
        <v>154</v>
      </c>
      <c r="F1905" t="s">
        <v>97</v>
      </c>
      <c r="J1905" s="389">
        <v>13567.6</v>
      </c>
    </row>
    <row r="1906" spans="1:10" ht="15">
      <c r="A1906" s="137" t="str">
        <f t="shared" si="26"/>
        <v>HRNOMINA SUCURSALA12</v>
      </c>
      <c r="B1906" t="s">
        <v>2028</v>
      </c>
      <c r="C1906" s="1">
        <v>45933</v>
      </c>
      <c r="D1906" t="s">
        <v>29</v>
      </c>
      <c r="E1906" t="s">
        <v>154</v>
      </c>
      <c r="F1906" t="s">
        <v>98</v>
      </c>
      <c r="J1906" s="389">
        <v>14689</v>
      </c>
    </row>
    <row r="1907" spans="1:10" ht="15">
      <c r="A1907" s="137" t="str">
        <f t="shared" si="26"/>
        <v>HRNOMINA SUCURSALA14</v>
      </c>
      <c r="B1907" t="s">
        <v>2028</v>
      </c>
      <c r="C1907" s="1">
        <v>45933</v>
      </c>
      <c r="D1907" t="s">
        <v>29</v>
      </c>
      <c r="E1907" t="s">
        <v>154</v>
      </c>
      <c r="F1907" t="s">
        <v>99</v>
      </c>
      <c r="J1907" s="389">
        <v>12726.4</v>
      </c>
    </row>
    <row r="1908" spans="1:10" ht="15">
      <c r="A1908" s="137" t="str">
        <f t="shared" si="26"/>
        <v>HRNOMINA SUCURSALA15</v>
      </c>
      <c r="B1908" t="s">
        <v>2028</v>
      </c>
      <c r="C1908" s="1">
        <v>45933</v>
      </c>
      <c r="D1908" t="s">
        <v>29</v>
      </c>
      <c r="E1908" t="s">
        <v>154</v>
      </c>
      <c r="F1908" t="s">
        <v>100</v>
      </c>
      <c r="J1908" s="389">
        <v>9859.2000000000007</v>
      </c>
    </row>
    <row r="1909" spans="1:10" ht="15">
      <c r="A1909" s="137" t="str">
        <f t="shared" si="26"/>
        <v>HRNOMINA SUCURSALA16</v>
      </c>
      <c r="B1909" t="s">
        <v>2028</v>
      </c>
      <c r="C1909" s="1">
        <v>45933</v>
      </c>
      <c r="D1909" t="s">
        <v>29</v>
      </c>
      <c r="E1909" t="s">
        <v>154</v>
      </c>
      <c r="F1909" t="s">
        <v>101</v>
      </c>
      <c r="J1909" s="389">
        <v>14020.89</v>
      </c>
    </row>
    <row r="1910" spans="1:10" ht="15">
      <c r="A1910" s="137" t="str">
        <f t="shared" si="26"/>
        <v>HRNOMINA SUCURSALA17</v>
      </c>
      <c r="B1910" t="s">
        <v>2028</v>
      </c>
      <c r="C1910" s="1">
        <v>45933</v>
      </c>
      <c r="D1910" t="s">
        <v>29</v>
      </c>
      <c r="E1910" t="s">
        <v>154</v>
      </c>
      <c r="F1910" t="s">
        <v>102</v>
      </c>
      <c r="J1910" s="299">
        <v>10318.200000000001</v>
      </c>
    </row>
    <row r="1911" spans="1:10" ht="15">
      <c r="A1911" s="137" t="str">
        <f t="shared" si="26"/>
        <v>HRNOMINA SUCURSALA18</v>
      </c>
      <c r="B1911" t="s">
        <v>2028</v>
      </c>
      <c r="C1911" s="1">
        <v>45933</v>
      </c>
      <c r="D1911" t="s">
        <v>29</v>
      </c>
      <c r="E1911" t="s">
        <v>154</v>
      </c>
      <c r="F1911" t="s">
        <v>103</v>
      </c>
      <c r="J1911" s="299">
        <v>14435</v>
      </c>
    </row>
    <row r="1912" spans="1:10" ht="15">
      <c r="A1912" s="137" t="str">
        <f t="shared" si="26"/>
        <v>HRNOMINA SUCURSALA22</v>
      </c>
      <c r="B1912" t="s">
        <v>2028</v>
      </c>
      <c r="C1912" s="1">
        <v>45933</v>
      </c>
      <c r="D1912" t="s">
        <v>29</v>
      </c>
      <c r="E1912" t="s">
        <v>154</v>
      </c>
      <c r="F1912" t="s">
        <v>104</v>
      </c>
      <c r="J1912" s="299">
        <v>15385.4</v>
      </c>
    </row>
    <row r="1913" spans="1:10" ht="15">
      <c r="A1913" s="137" t="str">
        <f t="shared" si="26"/>
        <v>HRNOMINA SUCURSALA23</v>
      </c>
      <c r="B1913" t="s">
        <v>2028</v>
      </c>
      <c r="C1913" s="1">
        <v>45933</v>
      </c>
      <c r="D1913" t="s">
        <v>29</v>
      </c>
      <c r="E1913" t="s">
        <v>154</v>
      </c>
      <c r="F1913" t="s">
        <v>105</v>
      </c>
      <c r="J1913" s="299">
        <v>11755.6</v>
      </c>
    </row>
    <row r="1914" spans="1:10" ht="15">
      <c r="A1914" s="137" t="str">
        <f t="shared" si="26"/>
        <v>HRNOMINA SUCURSALA24</v>
      </c>
      <c r="B1914" t="s">
        <v>2028</v>
      </c>
      <c r="C1914" s="1">
        <v>45933</v>
      </c>
      <c r="D1914" t="s">
        <v>29</v>
      </c>
      <c r="E1914" t="s">
        <v>154</v>
      </c>
      <c r="F1914" t="s">
        <v>106</v>
      </c>
      <c r="J1914" s="299">
        <v>15854.2</v>
      </c>
    </row>
    <row r="1915" spans="1:10" ht="15">
      <c r="A1915" s="137" t="str">
        <f t="shared" si="26"/>
        <v>CAPNOMINA SUCURSALE1</v>
      </c>
      <c r="B1915" t="s">
        <v>2028</v>
      </c>
      <c r="C1915" s="1">
        <v>45933</v>
      </c>
      <c r="D1915" t="s">
        <v>31</v>
      </c>
      <c r="E1915" t="s">
        <v>154</v>
      </c>
      <c r="F1915" t="s">
        <v>107</v>
      </c>
      <c r="J1915" s="299">
        <v>15851.6</v>
      </c>
    </row>
    <row r="1916" spans="1:10" ht="15">
      <c r="A1916" s="137" t="str">
        <f t="shared" si="26"/>
        <v>CAPNOMINA SUCURSALE2</v>
      </c>
      <c r="B1916" t="s">
        <v>2028</v>
      </c>
      <c r="C1916" s="1">
        <v>45933</v>
      </c>
      <c r="D1916" t="s">
        <v>31</v>
      </c>
      <c r="E1916" t="s">
        <v>154</v>
      </c>
      <c r="F1916" t="s">
        <v>108</v>
      </c>
      <c r="J1916" s="299">
        <v>23799.200000000001</v>
      </c>
    </row>
    <row r="1917" spans="1:10" ht="15">
      <c r="A1917" s="137" t="str">
        <f t="shared" si="26"/>
        <v>CAPNOMINA SUCURSALE3</v>
      </c>
      <c r="B1917" t="s">
        <v>2028</v>
      </c>
      <c r="C1917" s="1">
        <v>45933</v>
      </c>
      <c r="D1917" t="s">
        <v>31</v>
      </c>
      <c r="E1917" t="s">
        <v>154</v>
      </c>
      <c r="F1917" t="s">
        <v>109</v>
      </c>
      <c r="J1917" s="299">
        <v>11000.6</v>
      </c>
    </row>
    <row r="1918" spans="1:10" ht="15">
      <c r="A1918" s="137" t="str">
        <f t="shared" si="26"/>
        <v>CAPNOMINA SUCURSALE4</v>
      </c>
      <c r="B1918" t="s">
        <v>2028</v>
      </c>
      <c r="C1918" s="1">
        <v>45933</v>
      </c>
      <c r="D1918" t="s">
        <v>31</v>
      </c>
      <c r="E1918" t="s">
        <v>154</v>
      </c>
      <c r="F1918" t="s">
        <v>110</v>
      </c>
      <c r="J1918" s="299">
        <v>18435.400000000001</v>
      </c>
    </row>
    <row r="1919" spans="1:10" ht="15">
      <c r="A1919" s="137" t="str">
        <f t="shared" si="26"/>
        <v>CAPNOMINA SUCURSALE5</v>
      </c>
      <c r="B1919" t="s">
        <v>2028</v>
      </c>
      <c r="C1919" s="1">
        <v>45933</v>
      </c>
      <c r="D1919" t="s">
        <v>31</v>
      </c>
      <c r="E1919" t="s">
        <v>154</v>
      </c>
      <c r="F1919" t="s">
        <v>111</v>
      </c>
      <c r="J1919" s="299">
        <v>17067</v>
      </c>
    </row>
    <row r="1920" spans="1:10" ht="15">
      <c r="A1920" s="137" t="str">
        <f t="shared" si="26"/>
        <v>CAPNOMINA SUCURSALE6</v>
      </c>
      <c r="B1920" t="s">
        <v>2028</v>
      </c>
      <c r="C1920" s="1">
        <v>45933</v>
      </c>
      <c r="D1920" t="s">
        <v>31</v>
      </c>
      <c r="E1920" t="s">
        <v>154</v>
      </c>
      <c r="F1920" t="s">
        <v>112</v>
      </c>
      <c r="J1920" s="299">
        <v>13806.4</v>
      </c>
    </row>
    <row r="1921" spans="1:10" ht="15">
      <c r="A1921" s="137" t="str">
        <f t="shared" si="26"/>
        <v>CAPNOMINA SUCURSALE7</v>
      </c>
      <c r="B1921" t="s">
        <v>2028</v>
      </c>
      <c r="C1921" s="1">
        <v>45933</v>
      </c>
      <c r="D1921" t="s">
        <v>31</v>
      </c>
      <c r="E1921" t="s">
        <v>154</v>
      </c>
      <c r="F1921" t="s">
        <v>113</v>
      </c>
      <c r="J1921" s="299">
        <v>12149</v>
      </c>
    </row>
    <row r="1922" spans="1:10" ht="15">
      <c r="A1922" s="137" t="str">
        <f t="shared" si="26"/>
        <v>CAPNOMINA SUCURSALE8</v>
      </c>
      <c r="B1922" t="s">
        <v>2028</v>
      </c>
      <c r="C1922" s="1">
        <v>45933</v>
      </c>
      <c r="D1922" t="s">
        <v>31</v>
      </c>
      <c r="E1922" t="s">
        <v>154</v>
      </c>
      <c r="F1922" t="s">
        <v>114</v>
      </c>
      <c r="J1922" s="299">
        <v>25438.799999999999</v>
      </c>
    </row>
    <row r="1923" spans="1:10" ht="15">
      <c r="A1923" s="137" t="str">
        <f t="shared" si="26"/>
        <v>CAPNOMINA SUCURSALE9</v>
      </c>
      <c r="B1923" t="s">
        <v>2028</v>
      </c>
      <c r="C1923" s="1">
        <v>45933</v>
      </c>
      <c r="D1923" t="s">
        <v>31</v>
      </c>
      <c r="E1923" t="s">
        <v>154</v>
      </c>
      <c r="F1923" t="s">
        <v>116</v>
      </c>
      <c r="J1923" s="299">
        <v>22733.200000000001</v>
      </c>
    </row>
    <row r="1924" spans="1:10" ht="15">
      <c r="A1924" s="137" t="str">
        <f t="shared" ref="A1924:A1987" si="27">D1924&amp;E1924&amp;F1924</f>
        <v>ELINOMINA SUCURSALL1</v>
      </c>
      <c r="B1924" t="s">
        <v>2028</v>
      </c>
      <c r="C1924" s="1">
        <v>45933</v>
      </c>
      <c r="D1924" t="s">
        <v>130</v>
      </c>
      <c r="E1924" t="s">
        <v>154</v>
      </c>
      <c r="F1924" t="s">
        <v>136</v>
      </c>
      <c r="J1924" s="299">
        <v>9938.4</v>
      </c>
    </row>
    <row r="1925" spans="1:10" ht="15">
      <c r="A1925" s="137" t="str">
        <f t="shared" si="27"/>
        <v>HRNOMINA ADMONHR</v>
      </c>
      <c r="B1925" t="s">
        <v>2028</v>
      </c>
      <c r="C1925" s="1">
        <v>45933</v>
      </c>
      <c r="D1925" t="s">
        <v>29</v>
      </c>
      <c r="E1925" t="s">
        <v>147</v>
      </c>
      <c r="F1925" t="s">
        <v>29</v>
      </c>
      <c r="J1925" s="299">
        <v>25144</v>
      </c>
    </row>
    <row r="1926" spans="1:10" ht="15">
      <c r="A1926" s="137" t="str">
        <f t="shared" si="27"/>
        <v>CAPNOMINA ADMONCAPRICHOS</v>
      </c>
      <c r="B1926" t="s">
        <v>2028</v>
      </c>
      <c r="C1926" s="1">
        <v>45933</v>
      </c>
      <c r="D1926" t="s">
        <v>31</v>
      </c>
      <c r="E1926" t="s">
        <v>147</v>
      </c>
      <c r="F1926" t="s">
        <v>33</v>
      </c>
      <c r="J1926" s="299">
        <v>23209.9</v>
      </c>
    </row>
    <row r="1927" spans="1:10" ht="15">
      <c r="A1927" s="137" t="str">
        <f t="shared" si="27"/>
        <v>SERVICIOSNOMINA SUCURSALCEDIS</v>
      </c>
      <c r="B1927" t="s">
        <v>2028</v>
      </c>
      <c r="C1927" s="1">
        <v>45933</v>
      </c>
      <c r="D1927" t="s">
        <v>21</v>
      </c>
      <c r="E1927" t="s">
        <v>154</v>
      </c>
      <c r="F1927" t="s">
        <v>28</v>
      </c>
      <c r="J1927" s="299">
        <v>72962.649999999994</v>
      </c>
    </row>
    <row r="1928" spans="1:10" ht="15">
      <c r="A1928" s="137" t="str">
        <f t="shared" si="27"/>
        <v>SERVICIOSNOMINA ADMONINVENTARIOS</v>
      </c>
      <c r="B1928" t="s">
        <v>2028</v>
      </c>
      <c r="C1928" s="1">
        <v>45933</v>
      </c>
      <c r="D1928" t="s">
        <v>21</v>
      </c>
      <c r="E1928" t="s">
        <v>147</v>
      </c>
      <c r="F1928" t="s">
        <v>34</v>
      </c>
      <c r="J1928" s="299">
        <v>2800</v>
      </c>
    </row>
    <row r="1929" spans="1:10" ht="15">
      <c r="A1929" s="137" t="str">
        <f t="shared" si="27"/>
        <v>SERVICIOSNOMINA ADMONMANTENIMIENTO</v>
      </c>
      <c r="B1929" t="s">
        <v>2028</v>
      </c>
      <c r="C1929" s="1">
        <v>45933</v>
      </c>
      <c r="D1929" t="s">
        <v>21</v>
      </c>
      <c r="E1929" t="s">
        <v>147</v>
      </c>
      <c r="F1929" t="s">
        <v>35</v>
      </c>
      <c r="J1929" s="299">
        <v>17106.82</v>
      </c>
    </row>
    <row r="1930" spans="1:10" ht="15">
      <c r="A1930" s="137" t="str">
        <f t="shared" si="27"/>
        <v>SERVICIOSNOMINA ADMONCADENA DE SUMINISTROS</v>
      </c>
      <c r="B1930" t="s">
        <v>2028</v>
      </c>
      <c r="C1930" s="1">
        <v>45933</v>
      </c>
      <c r="D1930" t="s">
        <v>21</v>
      </c>
      <c r="E1930" t="s">
        <v>147</v>
      </c>
      <c r="F1930" t="s">
        <v>134</v>
      </c>
      <c r="J1930" s="299">
        <v>27210.2</v>
      </c>
    </row>
    <row r="1931" spans="1:10" ht="15">
      <c r="A1931" s="137" t="str">
        <f t="shared" si="27"/>
        <v>SERVICIOSNOMINA ADMONSISTEMAS</v>
      </c>
      <c r="B1931" t="s">
        <v>2028</v>
      </c>
      <c r="C1931" s="1">
        <v>45933</v>
      </c>
      <c r="D1931" t="s">
        <v>21</v>
      </c>
      <c r="E1931" t="s">
        <v>147</v>
      </c>
      <c r="F1931" t="s">
        <v>36</v>
      </c>
      <c r="J1931" s="299">
        <v>11109.89</v>
      </c>
    </row>
    <row r="1932" spans="1:10" ht="15">
      <c r="A1932" s="137" t="str">
        <f t="shared" si="27"/>
        <v>SERVICIOSNOMINA ADMONCOMPRAS</v>
      </c>
      <c r="B1932" t="s">
        <v>2028</v>
      </c>
      <c r="C1932" s="1">
        <v>45933</v>
      </c>
      <c r="D1932" t="s">
        <v>21</v>
      </c>
      <c r="E1932" t="s">
        <v>147</v>
      </c>
      <c r="F1932" t="s">
        <v>148</v>
      </c>
      <c r="J1932" s="299">
        <v>23091.91</v>
      </c>
    </row>
    <row r="1933" spans="1:10" ht="15">
      <c r="A1933" s="137" t="str">
        <f t="shared" si="27"/>
        <v>FINANZASNOMINA ADMONCONTABILIDAD</v>
      </c>
      <c r="B1933" t="s">
        <v>2028</v>
      </c>
      <c r="C1933" s="1">
        <v>45933</v>
      </c>
      <c r="D1933" t="s">
        <v>23</v>
      </c>
      <c r="E1933" t="s">
        <v>147</v>
      </c>
      <c r="F1933" t="s">
        <v>37</v>
      </c>
      <c r="J1933" s="299">
        <v>15147.27</v>
      </c>
    </row>
    <row r="1934" spans="1:10" ht="15">
      <c r="A1934" s="137" t="str">
        <f t="shared" si="27"/>
        <v>FINANZASNOMINA ADMONFINANZAS/LEGAL</v>
      </c>
      <c r="B1934" t="s">
        <v>2028</v>
      </c>
      <c r="C1934" s="1">
        <v>45933</v>
      </c>
      <c r="D1934" t="s">
        <v>23</v>
      </c>
      <c r="E1934" t="s">
        <v>147</v>
      </c>
      <c r="F1934" t="s">
        <v>149</v>
      </c>
      <c r="J1934" s="385">
        <v>9874</v>
      </c>
    </row>
    <row r="1935" spans="1:10" ht="15">
      <c r="A1935" s="137" t="str">
        <f t="shared" si="27"/>
        <v>FINANZASNOMINA ADMONRECURSOS HUMANOS</v>
      </c>
      <c r="B1935" t="s">
        <v>2028</v>
      </c>
      <c r="C1935" s="1">
        <v>45933</v>
      </c>
      <c r="D1935" t="s">
        <v>23</v>
      </c>
      <c r="E1935" t="s">
        <v>147</v>
      </c>
      <c r="F1935" t="s">
        <v>125</v>
      </c>
      <c r="J1935" s="299">
        <v>10748.98</v>
      </c>
    </row>
    <row r="1936" spans="1:10" ht="15">
      <c r="A1936" s="137" t="str">
        <f t="shared" si="27"/>
        <v>FINANZASNOMINA ADMONTESORERIA</v>
      </c>
      <c r="B1936" t="s">
        <v>2028</v>
      </c>
      <c r="C1936" s="1">
        <v>45933</v>
      </c>
      <c r="D1936" t="s">
        <v>23</v>
      </c>
      <c r="E1936" t="s">
        <v>147</v>
      </c>
      <c r="F1936" t="s">
        <v>38</v>
      </c>
      <c r="J1936" s="299">
        <v>11373.6</v>
      </c>
    </row>
    <row r="1937" spans="1:10" ht="15">
      <c r="A1937" s="137" t="str">
        <f t="shared" si="27"/>
        <v>FINANZASNOMINA ADMONHBG FINANZAS</v>
      </c>
      <c r="B1937" t="s">
        <v>2028</v>
      </c>
      <c r="C1937" s="1">
        <v>45933</v>
      </c>
      <c r="D1937" t="s">
        <v>23</v>
      </c>
      <c r="E1937" t="s">
        <v>147</v>
      </c>
      <c r="F1937" t="s">
        <v>150</v>
      </c>
      <c r="J1937" s="385">
        <v>3057</v>
      </c>
    </row>
    <row r="1938" spans="1:10" ht="15">
      <c r="A1938" s="137" t="str">
        <f t="shared" si="27"/>
        <v>SGENOMINA ADMONGESTION EMPRESARIAL</v>
      </c>
      <c r="B1938" t="s">
        <v>2028</v>
      </c>
      <c r="C1938" s="1">
        <v>45933</v>
      </c>
      <c r="D1938" t="s">
        <v>39</v>
      </c>
      <c r="E1938" t="s">
        <v>147</v>
      </c>
      <c r="F1938" t="s">
        <v>40</v>
      </c>
      <c r="J1938" s="299">
        <v>22950.400000000001</v>
      </c>
    </row>
    <row r="1939" spans="1:10" ht="15">
      <c r="A1939" s="137" t="str">
        <f t="shared" si="27"/>
        <v>DENOMINA ADMONDIRECCION</v>
      </c>
      <c r="B1939" t="s">
        <v>2028</v>
      </c>
      <c r="C1939" s="1">
        <v>45933</v>
      </c>
      <c r="D1939" t="s">
        <v>41</v>
      </c>
      <c r="E1939" t="s">
        <v>147</v>
      </c>
      <c r="F1939" t="s">
        <v>42</v>
      </c>
      <c r="J1939" s="385">
        <v>7000</v>
      </c>
    </row>
    <row r="1940" spans="1:10" ht="15">
      <c r="A1940" s="137" t="str">
        <f t="shared" si="27"/>
        <v>MELNOMINA ADMONMELISSA</v>
      </c>
      <c r="B1940" t="s">
        <v>2028</v>
      </c>
      <c r="C1940" s="1">
        <v>45933</v>
      </c>
      <c r="D1940" t="s">
        <v>43</v>
      </c>
      <c r="E1940" t="s">
        <v>147</v>
      </c>
      <c r="F1940" t="s">
        <v>44</v>
      </c>
      <c r="J1940" s="385">
        <v>3020.8</v>
      </c>
    </row>
    <row r="1941" spans="1:10" ht="15">
      <c r="A1941" s="137" t="str">
        <f t="shared" si="27"/>
        <v>MMNOMINA ADMONMARKET MAX</v>
      </c>
      <c r="B1941" t="s">
        <v>2028</v>
      </c>
      <c r="C1941" s="1">
        <v>45933</v>
      </c>
      <c r="D1941" t="s">
        <v>45</v>
      </c>
      <c r="E1941" t="s">
        <v>147</v>
      </c>
      <c r="F1941" t="s">
        <v>46</v>
      </c>
      <c r="J1941" s="385">
        <v>5875.14</v>
      </c>
    </row>
    <row r="1942" spans="1:10" ht="15">
      <c r="A1942" s="137" t="str">
        <f t="shared" si="27"/>
        <v>ANALISISNOMINA ADMONANALISIS DE DATOS</v>
      </c>
      <c r="B1942" t="s">
        <v>2028</v>
      </c>
      <c r="C1942" s="1">
        <v>45933</v>
      </c>
      <c r="D1942" t="s">
        <v>152</v>
      </c>
      <c r="E1942" t="s">
        <v>147</v>
      </c>
      <c r="F1942" t="s">
        <v>153</v>
      </c>
      <c r="J1942" s="385">
        <v>2864.2</v>
      </c>
    </row>
    <row r="1943" spans="1:10" ht="15">
      <c r="A1943" s="137" t="str">
        <f t="shared" si="27"/>
        <v>MKTNOMINA ADMONMKT</v>
      </c>
      <c r="B1943" t="s">
        <v>2028</v>
      </c>
      <c r="C1943" s="1">
        <v>45933</v>
      </c>
      <c r="D1943" t="s">
        <v>19</v>
      </c>
      <c r="E1943" t="s">
        <v>147</v>
      </c>
      <c r="F1943" t="s">
        <v>19</v>
      </c>
      <c r="J1943" s="385">
        <v>23501.8</v>
      </c>
    </row>
    <row r="1944" spans="1:10" ht="15">
      <c r="A1944" s="137" t="str">
        <f t="shared" si="27"/>
        <v>FINANZASNOMINA ADMONHBG FINANZAS</v>
      </c>
      <c r="B1944" t="s">
        <v>2281</v>
      </c>
      <c r="C1944" s="1">
        <v>45940</v>
      </c>
      <c r="D1944" t="s">
        <v>23</v>
      </c>
      <c r="E1944" t="s">
        <v>147</v>
      </c>
      <c r="F1944" s="12" t="s">
        <v>150</v>
      </c>
      <c r="J1944" s="385">
        <v>10950</v>
      </c>
    </row>
    <row r="1945" spans="1:10" ht="15">
      <c r="A1945" s="137" t="str">
        <f t="shared" si="27"/>
        <v>HRNOMINA ADMONHR</v>
      </c>
      <c r="B1945" t="s">
        <v>2281</v>
      </c>
      <c r="C1945" s="1">
        <f>C1944</f>
        <v>45940</v>
      </c>
      <c r="D1945" t="s">
        <v>29</v>
      </c>
      <c r="E1945" t="s">
        <v>147</v>
      </c>
      <c r="F1945" s="3" t="s">
        <v>29</v>
      </c>
      <c r="J1945" s="385">
        <v>5500</v>
      </c>
    </row>
    <row r="1946" spans="1:10" ht="15">
      <c r="A1946" s="137" t="str">
        <f t="shared" si="27"/>
        <v>CAPNOMINA ADMONCAPRICHOS</v>
      </c>
      <c r="B1946" t="s">
        <v>2281</v>
      </c>
      <c r="C1946" s="1">
        <f>C1945</f>
        <v>45940</v>
      </c>
      <c r="D1946" t="s">
        <v>31</v>
      </c>
      <c r="E1946" t="s">
        <v>147</v>
      </c>
      <c r="F1946" s="12" t="s">
        <v>33</v>
      </c>
      <c r="J1946" s="385">
        <v>3700</v>
      </c>
    </row>
    <row r="1947" spans="1:10" ht="15">
      <c r="A1947" s="137" t="str">
        <f t="shared" si="27"/>
        <v>SGENOMINA ADMONGESTION EMPRESARIAL</v>
      </c>
      <c r="B1947" t="s">
        <v>2281</v>
      </c>
      <c r="C1947" s="1">
        <f>C1946</f>
        <v>45940</v>
      </c>
      <c r="D1947" t="s">
        <v>39</v>
      </c>
      <c r="E1947" t="s">
        <v>147</v>
      </c>
      <c r="F1947" s="12" t="s">
        <v>40</v>
      </c>
      <c r="J1947" s="385">
        <v>2750</v>
      </c>
    </row>
    <row r="1948" spans="1:10" ht="15">
      <c r="A1948" s="137" t="str">
        <f t="shared" si="27"/>
        <v>SERVICIOSNOMINA ADMONSERVICIOS</v>
      </c>
      <c r="B1948" t="s">
        <v>2281</v>
      </c>
      <c r="C1948" s="1">
        <f>C1947</f>
        <v>45940</v>
      </c>
      <c r="D1948" t="s">
        <v>21</v>
      </c>
      <c r="E1948" t="s">
        <v>147</v>
      </c>
      <c r="F1948" s="12" t="s">
        <v>21</v>
      </c>
      <c r="J1948" s="385">
        <v>4750</v>
      </c>
    </row>
    <row r="1949" spans="1:10" ht="15">
      <c r="A1949" s="137" t="str">
        <f t="shared" si="27"/>
        <v>DENOMINA ADMONDIRECCION</v>
      </c>
      <c r="B1949" t="s">
        <v>2281</v>
      </c>
      <c r="C1949" s="1">
        <f>C1948</f>
        <v>45940</v>
      </c>
      <c r="D1949" t="s">
        <v>41</v>
      </c>
      <c r="E1949" t="s">
        <v>147</v>
      </c>
      <c r="F1949" s="12" t="s">
        <v>42</v>
      </c>
      <c r="J1949" s="385">
        <v>5750</v>
      </c>
    </row>
    <row r="1950" spans="1:10" ht="15">
      <c r="A1950" s="137" t="str">
        <f t="shared" si="27"/>
        <v>MMNOMINA ADMONMARKET MAX</v>
      </c>
      <c r="B1950" t="s">
        <v>2281</v>
      </c>
      <c r="C1950" s="1">
        <f>C1949</f>
        <v>45940</v>
      </c>
      <c r="D1950" t="s">
        <v>45</v>
      </c>
      <c r="E1950" t="s">
        <v>147</v>
      </c>
      <c r="F1950" s="12" t="s">
        <v>46</v>
      </c>
      <c r="J1950" s="385">
        <v>2000</v>
      </c>
    </row>
    <row r="1951" spans="1:10" ht="15">
      <c r="A1951" s="137" t="str">
        <f t="shared" si="27"/>
        <v>HRNOMINA SUCURSALA1</v>
      </c>
      <c r="B1951" t="s">
        <v>2281</v>
      </c>
      <c r="C1951" s="1">
        <f>C1950</f>
        <v>45940</v>
      </c>
      <c r="D1951" t="s">
        <v>29</v>
      </c>
      <c r="E1951" t="s">
        <v>154</v>
      </c>
      <c r="F1951" t="s">
        <v>88</v>
      </c>
      <c r="J1951" s="389">
        <v>10943.4</v>
      </c>
    </row>
    <row r="1952" spans="1:10" ht="15">
      <c r="A1952" s="137" t="str">
        <f t="shared" si="27"/>
        <v>HRNOMINA SUCURSALA2</v>
      </c>
      <c r="B1952" t="s">
        <v>2281</v>
      </c>
      <c r="C1952" s="1">
        <f>C1951</f>
        <v>45940</v>
      </c>
      <c r="D1952" t="s">
        <v>29</v>
      </c>
      <c r="E1952" t="s">
        <v>154</v>
      </c>
      <c r="F1952" t="s">
        <v>89</v>
      </c>
      <c r="J1952" s="389">
        <v>11000.8</v>
      </c>
    </row>
    <row r="1953" spans="1:10" ht="15">
      <c r="A1953" s="137" t="str">
        <f t="shared" si="27"/>
        <v>HRNOMINA SUCURSALA3</v>
      </c>
      <c r="B1953" t="s">
        <v>2281</v>
      </c>
      <c r="C1953" s="1">
        <f>C1952</f>
        <v>45940</v>
      </c>
      <c r="D1953" t="s">
        <v>29</v>
      </c>
      <c r="E1953" t="s">
        <v>154</v>
      </c>
      <c r="F1953" t="s">
        <v>90</v>
      </c>
      <c r="J1953" s="389">
        <v>9690</v>
      </c>
    </row>
    <row r="1954" spans="1:10" ht="15">
      <c r="A1954" s="137" t="str">
        <f t="shared" si="27"/>
        <v>HRNOMINA SUCURSALA4</v>
      </c>
      <c r="B1954" t="s">
        <v>2281</v>
      </c>
      <c r="C1954" s="1">
        <f>C1953</f>
        <v>45940</v>
      </c>
      <c r="D1954" t="s">
        <v>29</v>
      </c>
      <c r="E1954" t="s">
        <v>154</v>
      </c>
      <c r="F1954" t="s">
        <v>91</v>
      </c>
      <c r="J1954" s="389">
        <v>9729.6</v>
      </c>
    </row>
    <row r="1955" spans="1:10" ht="15">
      <c r="A1955" s="137" t="str">
        <f t="shared" si="27"/>
        <v>HRNOMINA SUCURSALA5</v>
      </c>
      <c r="B1955" t="s">
        <v>2281</v>
      </c>
      <c r="C1955" s="1">
        <f>C1954</f>
        <v>45940</v>
      </c>
      <c r="D1955" t="s">
        <v>29</v>
      </c>
      <c r="E1955" t="s">
        <v>154</v>
      </c>
      <c r="F1955" t="s">
        <v>92</v>
      </c>
      <c r="J1955" s="389">
        <v>12021.8</v>
      </c>
    </row>
    <row r="1956" spans="1:10" ht="15">
      <c r="A1956" s="137" t="str">
        <f t="shared" si="27"/>
        <v>HRNOMINA SUCURSALA6</v>
      </c>
      <c r="B1956" t="s">
        <v>2281</v>
      </c>
      <c r="C1956" s="1">
        <f>C1955</f>
        <v>45940</v>
      </c>
      <c r="D1956" t="s">
        <v>29</v>
      </c>
      <c r="E1956" t="s">
        <v>154</v>
      </c>
      <c r="F1956" t="s">
        <v>93</v>
      </c>
      <c r="J1956" s="389">
        <v>12658.89</v>
      </c>
    </row>
    <row r="1957" spans="1:10" ht="15">
      <c r="A1957" s="137" t="str">
        <f t="shared" si="27"/>
        <v>HRNOMINA SUCURSALA8</v>
      </c>
      <c r="B1957" t="s">
        <v>2281</v>
      </c>
      <c r="C1957" s="1">
        <f>C1956</f>
        <v>45940</v>
      </c>
      <c r="D1957" t="s">
        <v>29</v>
      </c>
      <c r="E1957" t="s">
        <v>154</v>
      </c>
      <c r="F1957" t="s">
        <v>94</v>
      </c>
      <c r="J1957" s="389">
        <v>13619</v>
      </c>
    </row>
    <row r="1958" spans="1:10" ht="15">
      <c r="A1958" s="137" t="str">
        <f t="shared" si="27"/>
        <v>HRNOMINA SUCURSALA9</v>
      </c>
      <c r="B1958" t="s">
        <v>2281</v>
      </c>
      <c r="C1958" s="1">
        <f>C1957</f>
        <v>45940</v>
      </c>
      <c r="D1958" t="s">
        <v>29</v>
      </c>
      <c r="E1958" t="s">
        <v>154</v>
      </c>
      <c r="F1958" t="s">
        <v>95</v>
      </c>
      <c r="J1958" s="389">
        <v>9730.51</v>
      </c>
    </row>
    <row r="1959" spans="1:10" ht="15">
      <c r="A1959" s="137" t="str">
        <f t="shared" si="27"/>
        <v>HRNOMINA SUCURSALA10</v>
      </c>
      <c r="B1959" t="s">
        <v>2281</v>
      </c>
      <c r="C1959" s="1">
        <f>C1958</f>
        <v>45940</v>
      </c>
      <c r="D1959" t="s">
        <v>29</v>
      </c>
      <c r="E1959" t="s">
        <v>154</v>
      </c>
      <c r="F1959" t="s">
        <v>96</v>
      </c>
      <c r="J1959" s="389">
        <v>15532.8</v>
      </c>
    </row>
    <row r="1960" spans="1:10" ht="15">
      <c r="A1960" s="137" t="str">
        <f t="shared" si="27"/>
        <v>HRNOMINA SUCURSALA11</v>
      </c>
      <c r="B1960" t="s">
        <v>2281</v>
      </c>
      <c r="C1960" s="1">
        <f>C1959</f>
        <v>45940</v>
      </c>
      <c r="D1960" t="s">
        <v>29</v>
      </c>
      <c r="E1960" t="s">
        <v>154</v>
      </c>
      <c r="F1960" t="s">
        <v>97</v>
      </c>
      <c r="J1960" s="389">
        <v>13418</v>
      </c>
    </row>
    <row r="1961" spans="1:10" ht="15">
      <c r="A1961" s="137" t="str">
        <f t="shared" si="27"/>
        <v>HRNOMINA SUCURSALA12</v>
      </c>
      <c r="B1961" t="s">
        <v>2281</v>
      </c>
      <c r="C1961" s="1">
        <f>C1960</f>
        <v>45940</v>
      </c>
      <c r="D1961" t="s">
        <v>29</v>
      </c>
      <c r="E1961" t="s">
        <v>154</v>
      </c>
      <c r="F1961" t="s">
        <v>98</v>
      </c>
      <c r="J1961" s="389">
        <v>14009.4</v>
      </c>
    </row>
    <row r="1962" spans="1:10" ht="15">
      <c r="A1962" s="137" t="str">
        <f t="shared" si="27"/>
        <v>HRNOMINA SUCURSALA14</v>
      </c>
      <c r="B1962" t="s">
        <v>2281</v>
      </c>
      <c r="C1962" s="1">
        <f>C1961</f>
        <v>45940</v>
      </c>
      <c r="D1962" t="s">
        <v>29</v>
      </c>
      <c r="E1962" t="s">
        <v>154</v>
      </c>
      <c r="F1962" t="s">
        <v>99</v>
      </c>
      <c r="J1962" s="389">
        <v>13667</v>
      </c>
    </row>
    <row r="1963" spans="1:10" ht="15">
      <c r="A1963" s="137" t="str">
        <f t="shared" si="27"/>
        <v>HRNOMINA SUCURSALA15</v>
      </c>
      <c r="B1963" t="s">
        <v>2281</v>
      </c>
      <c r="C1963" s="1">
        <f>C1962</f>
        <v>45940</v>
      </c>
      <c r="D1963" t="s">
        <v>29</v>
      </c>
      <c r="E1963" t="s">
        <v>154</v>
      </c>
      <c r="F1963" t="s">
        <v>100</v>
      </c>
      <c r="J1963" s="389">
        <v>10005.200000000001</v>
      </c>
    </row>
    <row r="1964" spans="1:10" ht="15">
      <c r="A1964" s="137" t="str">
        <f t="shared" si="27"/>
        <v>HRNOMINA SUCURSALA16</v>
      </c>
      <c r="B1964" t="s">
        <v>2281</v>
      </c>
      <c r="C1964" s="1">
        <f>C1963</f>
        <v>45940</v>
      </c>
      <c r="D1964" t="s">
        <v>29</v>
      </c>
      <c r="E1964" t="s">
        <v>154</v>
      </c>
      <c r="F1964" t="s">
        <v>101</v>
      </c>
      <c r="J1964" s="389">
        <v>15496.09</v>
      </c>
    </row>
    <row r="1965" spans="1:10" ht="15">
      <c r="A1965" s="137" t="str">
        <f t="shared" si="27"/>
        <v>HRNOMINA SUCURSALA17</v>
      </c>
      <c r="B1965" t="s">
        <v>2281</v>
      </c>
      <c r="C1965" s="1">
        <f>C1964</f>
        <v>45940</v>
      </c>
      <c r="D1965" t="s">
        <v>29</v>
      </c>
      <c r="E1965" t="s">
        <v>154</v>
      </c>
      <c r="F1965" t="s">
        <v>102</v>
      </c>
      <c r="J1965" s="389">
        <v>9832.6</v>
      </c>
    </row>
    <row r="1966" spans="1:10" ht="15">
      <c r="A1966" s="137" t="str">
        <f t="shared" si="27"/>
        <v>HRNOMINA SUCURSALA18</v>
      </c>
      <c r="B1966" t="s">
        <v>2281</v>
      </c>
      <c r="C1966" s="1">
        <f>C1965</f>
        <v>45940</v>
      </c>
      <c r="D1966" t="s">
        <v>29</v>
      </c>
      <c r="E1966" t="s">
        <v>154</v>
      </c>
      <c r="F1966" t="s">
        <v>103</v>
      </c>
      <c r="J1966" s="389">
        <v>12259</v>
      </c>
    </row>
    <row r="1967" spans="1:10" ht="15">
      <c r="A1967" s="137" t="str">
        <f t="shared" si="27"/>
        <v>HRNOMINA SUCURSALA22</v>
      </c>
      <c r="B1967" t="s">
        <v>2281</v>
      </c>
      <c r="C1967" s="1">
        <f>C1966</f>
        <v>45940</v>
      </c>
      <c r="D1967" t="s">
        <v>29</v>
      </c>
      <c r="E1967" t="s">
        <v>154</v>
      </c>
      <c r="F1967" t="s">
        <v>104</v>
      </c>
      <c r="J1967" s="389">
        <v>14312.4</v>
      </c>
    </row>
    <row r="1968" spans="1:10" ht="15">
      <c r="A1968" s="137" t="str">
        <f t="shared" si="27"/>
        <v>HRNOMINA SUCURSALA23</v>
      </c>
      <c r="B1968" t="s">
        <v>2281</v>
      </c>
      <c r="C1968" s="1">
        <f>C1967</f>
        <v>45940</v>
      </c>
      <c r="D1968" t="s">
        <v>29</v>
      </c>
      <c r="E1968" t="s">
        <v>154</v>
      </c>
      <c r="F1968" t="s">
        <v>105</v>
      </c>
      <c r="J1968" s="389">
        <v>10768</v>
      </c>
    </row>
    <row r="1969" spans="1:10" ht="15">
      <c r="A1969" s="137" t="str">
        <f t="shared" si="27"/>
        <v>HRNOMINA SUCURSALA24</v>
      </c>
      <c r="B1969" t="s">
        <v>2281</v>
      </c>
      <c r="C1969" s="1">
        <f>C1968</f>
        <v>45940</v>
      </c>
      <c r="D1969" t="s">
        <v>29</v>
      </c>
      <c r="E1969" t="s">
        <v>154</v>
      </c>
      <c r="F1969" t="s">
        <v>106</v>
      </c>
      <c r="J1969" s="389">
        <v>13523</v>
      </c>
    </row>
    <row r="1970" spans="1:10" ht="15">
      <c r="A1970" s="137" t="str">
        <f t="shared" si="27"/>
        <v>CAPNOMINA SUCURSALE1</v>
      </c>
      <c r="B1970" t="s">
        <v>2281</v>
      </c>
      <c r="C1970" s="1">
        <f>C1969</f>
        <v>45940</v>
      </c>
      <c r="D1970" t="s">
        <v>31</v>
      </c>
      <c r="E1970" t="s">
        <v>154</v>
      </c>
      <c r="F1970" t="s">
        <v>107</v>
      </c>
      <c r="J1970" s="389">
        <v>16173.2</v>
      </c>
    </row>
    <row r="1971" spans="1:10" ht="15">
      <c r="A1971" s="137" t="str">
        <f t="shared" si="27"/>
        <v>CAPNOMINA SUCURSALE2</v>
      </c>
      <c r="B1971" t="s">
        <v>2281</v>
      </c>
      <c r="C1971" s="1">
        <f>C1970</f>
        <v>45940</v>
      </c>
      <c r="D1971" t="s">
        <v>31</v>
      </c>
      <c r="E1971" t="s">
        <v>154</v>
      </c>
      <c r="F1971" t="s">
        <v>108</v>
      </c>
      <c r="J1971" s="389">
        <v>21655</v>
      </c>
    </row>
    <row r="1972" spans="1:10" ht="15">
      <c r="A1972" s="137" t="str">
        <f t="shared" si="27"/>
        <v>CAPNOMINA SUCURSALE3</v>
      </c>
      <c r="B1972" t="s">
        <v>2281</v>
      </c>
      <c r="C1972" s="1">
        <f>C1971</f>
        <v>45940</v>
      </c>
      <c r="D1972" t="s">
        <v>31</v>
      </c>
      <c r="E1972" t="s">
        <v>154</v>
      </c>
      <c r="F1972" t="s">
        <v>109</v>
      </c>
      <c r="J1972" s="389">
        <v>14079.8</v>
      </c>
    </row>
    <row r="1973" spans="1:10" ht="15">
      <c r="A1973" s="137" t="str">
        <f t="shared" si="27"/>
        <v>CAPNOMINA SUCURSALE4</v>
      </c>
      <c r="B1973" t="s">
        <v>2281</v>
      </c>
      <c r="C1973" s="1">
        <f>C1972</f>
        <v>45940</v>
      </c>
      <c r="D1973" t="s">
        <v>31</v>
      </c>
      <c r="E1973" t="s">
        <v>154</v>
      </c>
      <c r="F1973" t="s">
        <v>110</v>
      </c>
      <c r="J1973" s="389">
        <v>17817.599999999999</v>
      </c>
    </row>
    <row r="1974" spans="1:10" ht="15">
      <c r="A1974" s="137" t="str">
        <f t="shared" si="27"/>
        <v>CAPNOMINA SUCURSALE5</v>
      </c>
      <c r="B1974" t="s">
        <v>2281</v>
      </c>
      <c r="C1974" s="1">
        <f>C1973</f>
        <v>45940</v>
      </c>
      <c r="D1974" t="s">
        <v>31</v>
      </c>
      <c r="E1974" t="s">
        <v>154</v>
      </c>
      <c r="F1974" t="s">
        <v>111</v>
      </c>
      <c r="J1974" s="389">
        <v>18776.400000000001</v>
      </c>
    </row>
    <row r="1975" spans="1:10" ht="15">
      <c r="A1975" s="137" t="str">
        <f t="shared" si="27"/>
        <v>CAPNOMINA SUCURSALE6</v>
      </c>
      <c r="B1975" t="s">
        <v>2281</v>
      </c>
      <c r="C1975" s="1">
        <f>C1974</f>
        <v>45940</v>
      </c>
      <c r="D1975" t="s">
        <v>31</v>
      </c>
      <c r="E1975" t="s">
        <v>154</v>
      </c>
      <c r="F1975" t="s">
        <v>112</v>
      </c>
      <c r="J1975" s="389">
        <v>14235</v>
      </c>
    </row>
    <row r="1976" spans="1:10" ht="15">
      <c r="A1976" s="137" t="str">
        <f t="shared" si="27"/>
        <v>CAPNOMINA SUCURSALE7</v>
      </c>
      <c r="B1976" t="s">
        <v>2281</v>
      </c>
      <c r="C1976" s="1">
        <f>C1975</f>
        <v>45940</v>
      </c>
      <c r="D1976" t="s">
        <v>31</v>
      </c>
      <c r="E1976" t="s">
        <v>154</v>
      </c>
      <c r="F1976" t="s">
        <v>113</v>
      </c>
      <c r="J1976" s="389">
        <v>13658.8</v>
      </c>
    </row>
    <row r="1977" spans="1:10" ht="15">
      <c r="A1977" s="137" t="str">
        <f t="shared" si="27"/>
        <v>CAPNOMINA SUCURSALE8</v>
      </c>
      <c r="B1977" t="s">
        <v>2281</v>
      </c>
      <c r="C1977" s="1">
        <f>C1976</f>
        <v>45940</v>
      </c>
      <c r="D1977" t="s">
        <v>31</v>
      </c>
      <c r="E1977" t="s">
        <v>154</v>
      </c>
      <c r="F1977" t="s">
        <v>114</v>
      </c>
      <c r="J1977" s="389">
        <v>22432.2</v>
      </c>
    </row>
    <row r="1978" spans="1:10" ht="15">
      <c r="A1978" s="137" t="str">
        <f t="shared" si="27"/>
        <v>CAPNOMINA SUCURSALE9</v>
      </c>
      <c r="B1978" t="s">
        <v>2281</v>
      </c>
      <c r="C1978" s="1">
        <f>C1977</f>
        <v>45940</v>
      </c>
      <c r="D1978" t="s">
        <v>31</v>
      </c>
      <c r="E1978" t="s">
        <v>154</v>
      </c>
      <c r="F1978" t="s">
        <v>116</v>
      </c>
      <c r="J1978" s="389">
        <v>23024.799999999999</v>
      </c>
    </row>
    <row r="1979" spans="1:10" ht="15">
      <c r="A1979" s="137" t="str">
        <f t="shared" si="27"/>
        <v>ELINOMINA SUCURSALL1</v>
      </c>
      <c r="B1979" t="s">
        <v>2281</v>
      </c>
      <c r="C1979" s="1">
        <f>C1978</f>
        <v>45940</v>
      </c>
      <c r="D1979" t="s">
        <v>130</v>
      </c>
      <c r="E1979" t="s">
        <v>154</v>
      </c>
      <c r="F1979" t="s">
        <v>136</v>
      </c>
      <c r="J1979" s="388">
        <v>9990</v>
      </c>
    </row>
    <row r="1980" spans="1:10" ht="15">
      <c r="A1980" s="137" t="str">
        <f t="shared" si="27"/>
        <v>HRNOMINA ADMONHR</v>
      </c>
      <c r="B1980" t="s">
        <v>2281</v>
      </c>
      <c r="C1980" s="1">
        <f>C1979</f>
        <v>45940</v>
      </c>
      <c r="D1980" t="s">
        <v>29</v>
      </c>
      <c r="E1980" t="s">
        <v>147</v>
      </c>
      <c r="F1980" t="s">
        <v>29</v>
      </c>
      <c r="J1980" s="389">
        <v>25410.2</v>
      </c>
    </row>
    <row r="1981" spans="1:10" ht="15">
      <c r="A1981" s="137" t="str">
        <f t="shared" si="27"/>
        <v>CAPNOMINA ADMONCAPRICHOS</v>
      </c>
      <c r="B1981" t="s">
        <v>2281</v>
      </c>
      <c r="C1981" s="1">
        <f>C1980</f>
        <v>45940</v>
      </c>
      <c r="D1981" t="s">
        <v>31</v>
      </c>
      <c r="E1981" t="s">
        <v>147</v>
      </c>
      <c r="F1981" t="s">
        <v>33</v>
      </c>
      <c r="J1981" s="389">
        <v>23909.9</v>
      </c>
    </row>
    <row r="1982" spans="1:10" ht="15">
      <c r="A1982" s="137" t="str">
        <f t="shared" si="27"/>
        <v>SERVICIOSNOMINA SUCURSALCEDIS</v>
      </c>
      <c r="B1982" t="s">
        <v>2281</v>
      </c>
      <c r="C1982" s="1">
        <f>C1981</f>
        <v>45940</v>
      </c>
      <c r="D1982" t="s">
        <v>21</v>
      </c>
      <c r="E1982" t="s">
        <v>154</v>
      </c>
      <c r="F1982" t="s">
        <v>28</v>
      </c>
      <c r="J1982" s="389">
        <v>80108.25</v>
      </c>
    </row>
    <row r="1983" spans="1:10" ht="15">
      <c r="A1983" s="137" t="str">
        <f t="shared" si="27"/>
        <v>SERVICIOSNOMINA ADMONINVENTARIOS</v>
      </c>
      <c r="B1983" t="s">
        <v>2281</v>
      </c>
      <c r="C1983" s="1">
        <f>C1982</f>
        <v>45940</v>
      </c>
      <c r="D1983" t="s">
        <v>21</v>
      </c>
      <c r="E1983" t="s">
        <v>147</v>
      </c>
      <c r="F1983" t="s">
        <v>34</v>
      </c>
      <c r="J1983" s="389">
        <v>2800.2</v>
      </c>
    </row>
    <row r="1984" spans="1:10" ht="15">
      <c r="A1984" s="137" t="str">
        <f t="shared" si="27"/>
        <v>SERVICIOSNOMINA ADMONMANTENIMIENTO</v>
      </c>
      <c r="B1984" t="s">
        <v>2281</v>
      </c>
      <c r="C1984" s="1">
        <f>C1983</f>
        <v>45940</v>
      </c>
      <c r="D1984" t="s">
        <v>21</v>
      </c>
      <c r="E1984" t="s">
        <v>147</v>
      </c>
      <c r="F1984" t="s">
        <v>35</v>
      </c>
      <c r="J1984" s="389">
        <v>16644.62</v>
      </c>
    </row>
    <row r="1985" spans="1:10" ht="15">
      <c r="A1985" s="137" t="str">
        <f t="shared" si="27"/>
        <v>SERVICIOSNOMINA ADMONCADENA DE SUMINISTROS</v>
      </c>
      <c r="B1985" t="s">
        <v>2281</v>
      </c>
      <c r="C1985" s="1">
        <f>C1984</f>
        <v>45940</v>
      </c>
      <c r="D1985" t="s">
        <v>21</v>
      </c>
      <c r="E1985" t="s">
        <v>147</v>
      </c>
      <c r="F1985" t="s">
        <v>134</v>
      </c>
      <c r="J1985" s="389">
        <v>24673.200000000001</v>
      </c>
    </row>
    <row r="1986" spans="1:10" ht="15">
      <c r="A1986" s="137" t="str">
        <f t="shared" si="27"/>
        <v>SERVICIOSNOMINA ADMONSISTEMAS</v>
      </c>
      <c r="B1986" t="s">
        <v>2281</v>
      </c>
      <c r="C1986" s="1">
        <f>C1985</f>
        <v>45940</v>
      </c>
      <c r="D1986" t="s">
        <v>21</v>
      </c>
      <c r="E1986" t="s">
        <v>147</v>
      </c>
      <c r="F1986" t="s">
        <v>36</v>
      </c>
      <c r="J1986" s="389">
        <v>11019.79</v>
      </c>
    </row>
    <row r="1987" spans="1:10" ht="15">
      <c r="A1987" s="137" t="str">
        <f t="shared" si="27"/>
        <v>SERVICIOSNOMINA ADMONCOMPRAS</v>
      </c>
      <c r="B1987" t="s">
        <v>2281</v>
      </c>
      <c r="C1987" s="1">
        <f>C1986</f>
        <v>45940</v>
      </c>
      <c r="D1987" t="s">
        <v>21</v>
      </c>
      <c r="E1987" t="s">
        <v>147</v>
      </c>
      <c r="F1987" t="s">
        <v>148</v>
      </c>
      <c r="J1987" s="389">
        <v>25465.11</v>
      </c>
    </row>
    <row r="1988" spans="1:10" ht="15">
      <c r="A1988" s="137" t="str">
        <f t="shared" ref="A1988:A2051" si="28">D1988&amp;E1988&amp;F1988</f>
        <v>FINANZASNOMINA ADMONCONTABILIDAD</v>
      </c>
      <c r="B1988" t="s">
        <v>2281</v>
      </c>
      <c r="C1988" s="1">
        <f>C1987</f>
        <v>45940</v>
      </c>
      <c r="D1988" t="s">
        <v>23</v>
      </c>
      <c r="E1988" t="s">
        <v>147</v>
      </c>
      <c r="F1988" t="s">
        <v>37</v>
      </c>
      <c r="J1988" s="389">
        <v>14867.47</v>
      </c>
    </row>
    <row r="1989" spans="1:10" ht="15">
      <c r="A1989" s="137" t="str">
        <f t="shared" si="28"/>
        <v>FINANZASNOMINA ADMONFINANZAS/LEGAL</v>
      </c>
      <c r="B1989" t="s">
        <v>2281</v>
      </c>
      <c r="C1989" s="1">
        <f>C1988</f>
        <v>45940</v>
      </c>
      <c r="D1989" t="s">
        <v>23</v>
      </c>
      <c r="E1989" t="s">
        <v>147</v>
      </c>
      <c r="F1989" t="s">
        <v>149</v>
      </c>
      <c r="J1989" s="389">
        <v>9205.4</v>
      </c>
    </row>
    <row r="1990" spans="1:10" ht="15">
      <c r="A1990" s="137" t="str">
        <f t="shared" si="28"/>
        <v>FINANZASNOMINA ADMONRECURSOS HUMANOS</v>
      </c>
      <c r="B1990" t="s">
        <v>2281</v>
      </c>
      <c r="C1990" s="1">
        <f>C1989</f>
        <v>45940</v>
      </c>
      <c r="D1990" t="s">
        <v>23</v>
      </c>
      <c r="E1990" t="s">
        <v>147</v>
      </c>
      <c r="F1990" t="s">
        <v>125</v>
      </c>
      <c r="J1990" s="389">
        <v>10582.98</v>
      </c>
    </row>
    <row r="1991" spans="1:10" ht="15">
      <c r="A1991" s="137" t="str">
        <f t="shared" si="28"/>
        <v>FINANZASNOMINA ADMONTESORERIA</v>
      </c>
      <c r="B1991" t="s">
        <v>2281</v>
      </c>
      <c r="C1991" s="1">
        <f>C1990</f>
        <v>45940</v>
      </c>
      <c r="D1991" t="s">
        <v>23</v>
      </c>
      <c r="E1991" t="s">
        <v>147</v>
      </c>
      <c r="F1991" t="s">
        <v>38</v>
      </c>
      <c r="J1991" s="389">
        <v>14354.2</v>
      </c>
    </row>
    <row r="1992" spans="1:10" ht="15">
      <c r="A1992" s="137" t="str">
        <f t="shared" si="28"/>
        <v>FINANZASNOMINA ADMONHBG FINANZAS</v>
      </c>
      <c r="B1992" t="s">
        <v>2281</v>
      </c>
      <c r="C1992" s="1">
        <f>C1991</f>
        <v>45940</v>
      </c>
      <c r="D1992" t="s">
        <v>23</v>
      </c>
      <c r="E1992" t="s">
        <v>147</v>
      </c>
      <c r="F1992" t="s">
        <v>150</v>
      </c>
      <c r="J1992" s="389">
        <v>3057</v>
      </c>
    </row>
    <row r="1993" spans="1:10" ht="15">
      <c r="A1993" s="137" t="str">
        <f t="shared" si="28"/>
        <v>SGENOMINA ADMONGESTION EMPRESARIAL</v>
      </c>
      <c r="B1993" t="s">
        <v>2281</v>
      </c>
      <c r="C1993" s="1">
        <f>C1992</f>
        <v>45940</v>
      </c>
      <c r="D1993" t="s">
        <v>39</v>
      </c>
      <c r="E1993" t="s">
        <v>147</v>
      </c>
      <c r="F1993" t="s">
        <v>40</v>
      </c>
      <c r="J1993" s="389">
        <v>22950.2</v>
      </c>
    </row>
    <row r="1994" spans="1:10" ht="15">
      <c r="A1994" s="137" t="str">
        <f t="shared" si="28"/>
        <v>DENOMINA ADMONDIRECCION</v>
      </c>
      <c r="B1994" t="s">
        <v>2281</v>
      </c>
      <c r="C1994" s="1">
        <f>C1993</f>
        <v>45940</v>
      </c>
      <c r="D1994" t="s">
        <v>41</v>
      </c>
      <c r="E1994" t="s">
        <v>147</v>
      </c>
      <c r="F1994" t="s">
        <v>42</v>
      </c>
      <c r="J1994" s="389">
        <v>7000.2</v>
      </c>
    </row>
    <row r="1995" spans="1:10" ht="15">
      <c r="A1995" s="137" t="str">
        <f t="shared" si="28"/>
        <v>MELNOMINA ADMONMELISSA</v>
      </c>
      <c r="B1995" t="s">
        <v>2281</v>
      </c>
      <c r="C1995" s="1">
        <f>C1994</f>
        <v>45940</v>
      </c>
      <c r="D1995" t="s">
        <v>43</v>
      </c>
      <c r="E1995" t="s">
        <v>147</v>
      </c>
      <c r="F1995" t="s">
        <v>44</v>
      </c>
      <c r="J1995" s="389">
        <v>4253.6000000000004</v>
      </c>
    </row>
    <row r="1996" spans="1:10" ht="15">
      <c r="A1996" s="137" t="str">
        <f t="shared" si="28"/>
        <v>MMNOMINA ADMONMARKET MAX</v>
      </c>
      <c r="B1996" t="s">
        <v>2281</v>
      </c>
      <c r="C1996" s="1">
        <f>C1995</f>
        <v>45940</v>
      </c>
      <c r="D1996" t="s">
        <v>45</v>
      </c>
      <c r="E1996" t="s">
        <v>147</v>
      </c>
      <c r="F1996" t="s">
        <v>46</v>
      </c>
      <c r="J1996" s="389">
        <v>8755.5400000000009</v>
      </c>
    </row>
    <row r="1997" spans="1:10" ht="15">
      <c r="A1997" s="137" t="str">
        <f t="shared" si="28"/>
        <v>ANALISISNOMINA ADMONANALISIS DE DATOS</v>
      </c>
      <c r="B1997" t="s">
        <v>2281</v>
      </c>
      <c r="C1997" s="1">
        <f>C1996</f>
        <v>45940</v>
      </c>
      <c r="D1997" t="s">
        <v>152</v>
      </c>
      <c r="E1997" t="s">
        <v>147</v>
      </c>
      <c r="F1997" t="s">
        <v>153</v>
      </c>
      <c r="J1997" s="389">
        <v>1464.6</v>
      </c>
    </row>
    <row r="1998" spans="1:10" ht="15">
      <c r="A1998" s="137" t="str">
        <f t="shared" si="28"/>
        <v>MKTNOMINA ADMONMKT</v>
      </c>
      <c r="B1998" t="s">
        <v>2281</v>
      </c>
      <c r="C1998" s="1">
        <f>C1997</f>
        <v>45940</v>
      </c>
      <c r="D1998" t="s">
        <v>19</v>
      </c>
      <c r="E1998" t="s">
        <v>147</v>
      </c>
      <c r="F1998" t="s">
        <v>19</v>
      </c>
      <c r="J1998" s="389">
        <v>23501.8</v>
      </c>
    </row>
    <row r="1999" spans="1:10" ht="15">
      <c r="A1999" s="137" t="str">
        <f t="shared" si="28"/>
        <v>HRNOMINA SUCURSALA1</v>
      </c>
      <c r="B1999" t="s">
        <v>2281</v>
      </c>
      <c r="C1999" s="1">
        <v>45947</v>
      </c>
      <c r="D1999" t="s">
        <v>29</v>
      </c>
      <c r="E1999" t="s">
        <v>154</v>
      </c>
      <c r="F1999" t="s">
        <v>88</v>
      </c>
      <c r="J1999" s="389">
        <v>11086.6</v>
      </c>
    </row>
    <row r="2000" spans="1:10" ht="15">
      <c r="A2000" s="137" t="str">
        <f t="shared" si="28"/>
        <v>HRNOMINA SUCURSALA2</v>
      </c>
      <c r="B2000" t="s">
        <v>2281</v>
      </c>
      <c r="C2000" s="1">
        <f>C1999</f>
        <v>45947</v>
      </c>
      <c r="D2000" t="s">
        <v>29</v>
      </c>
      <c r="E2000" t="s">
        <v>154</v>
      </c>
      <c r="F2000" t="s">
        <v>89</v>
      </c>
      <c r="J2000" s="389">
        <v>13545.8</v>
      </c>
    </row>
    <row r="2001" spans="1:10" ht="15">
      <c r="A2001" s="137" t="str">
        <f t="shared" si="28"/>
        <v>HRNOMINA SUCURSALA3</v>
      </c>
      <c r="B2001" t="s">
        <v>2281</v>
      </c>
      <c r="C2001" s="1">
        <f>C2000</f>
        <v>45947</v>
      </c>
      <c r="D2001" t="s">
        <v>29</v>
      </c>
      <c r="E2001" t="s">
        <v>154</v>
      </c>
      <c r="F2001" t="s">
        <v>90</v>
      </c>
      <c r="J2001" s="389">
        <v>11222.4</v>
      </c>
    </row>
    <row r="2002" spans="1:10" ht="15">
      <c r="A2002" s="137" t="str">
        <f t="shared" si="28"/>
        <v>HRNOMINA SUCURSALA4</v>
      </c>
      <c r="B2002" t="s">
        <v>2281</v>
      </c>
      <c r="C2002" s="1">
        <f>C2001</f>
        <v>45947</v>
      </c>
      <c r="D2002" t="s">
        <v>29</v>
      </c>
      <c r="E2002" t="s">
        <v>154</v>
      </c>
      <c r="F2002" t="s">
        <v>91</v>
      </c>
      <c r="J2002" s="389">
        <v>9730.4</v>
      </c>
    </row>
    <row r="2003" spans="1:10" ht="15">
      <c r="A2003" s="137" t="str">
        <f t="shared" si="28"/>
        <v>HRNOMINA SUCURSALA5</v>
      </c>
      <c r="B2003" t="s">
        <v>2281</v>
      </c>
      <c r="C2003" s="1">
        <f>C2002</f>
        <v>45947</v>
      </c>
      <c r="D2003" t="s">
        <v>29</v>
      </c>
      <c r="E2003" t="s">
        <v>154</v>
      </c>
      <c r="F2003" t="s">
        <v>92</v>
      </c>
      <c r="J2003" s="389">
        <v>12064.8</v>
      </c>
    </row>
    <row r="2004" spans="1:10" ht="15">
      <c r="A2004" s="137" t="str">
        <f t="shared" si="28"/>
        <v>HRNOMINA SUCURSALA6</v>
      </c>
      <c r="B2004" t="s">
        <v>2281</v>
      </c>
      <c r="C2004" s="1">
        <f>C2003</f>
        <v>45947</v>
      </c>
      <c r="D2004" t="s">
        <v>29</v>
      </c>
      <c r="E2004" t="s">
        <v>154</v>
      </c>
      <c r="F2004" t="s">
        <v>93</v>
      </c>
      <c r="J2004" s="389">
        <v>12424.89</v>
      </c>
    </row>
    <row r="2005" spans="1:10" ht="15">
      <c r="A2005" s="137" t="str">
        <f t="shared" si="28"/>
        <v>HRNOMINA SUCURSALA8</v>
      </c>
      <c r="B2005" t="s">
        <v>2281</v>
      </c>
      <c r="C2005" s="1">
        <f>C2004</f>
        <v>45947</v>
      </c>
      <c r="D2005" t="s">
        <v>29</v>
      </c>
      <c r="E2005" t="s">
        <v>154</v>
      </c>
      <c r="F2005" t="s">
        <v>94</v>
      </c>
      <c r="J2005" s="389">
        <v>14310.4</v>
      </c>
    </row>
    <row r="2006" spans="1:10" ht="15">
      <c r="A2006" s="137" t="str">
        <f t="shared" si="28"/>
        <v>HRNOMINA SUCURSALA9</v>
      </c>
      <c r="B2006" t="s">
        <v>2281</v>
      </c>
      <c r="C2006" s="1">
        <f>C2005</f>
        <v>45947</v>
      </c>
      <c r="D2006" t="s">
        <v>29</v>
      </c>
      <c r="E2006" t="s">
        <v>154</v>
      </c>
      <c r="F2006" t="s">
        <v>95</v>
      </c>
      <c r="J2006" s="389">
        <v>10080.91</v>
      </c>
    </row>
    <row r="2007" spans="1:10" ht="15">
      <c r="A2007" s="137" t="str">
        <f t="shared" si="28"/>
        <v>HRNOMINA SUCURSALA10</v>
      </c>
      <c r="B2007" t="s">
        <v>2281</v>
      </c>
      <c r="C2007" s="1">
        <f>C2006</f>
        <v>45947</v>
      </c>
      <c r="D2007" t="s">
        <v>29</v>
      </c>
      <c r="E2007" t="s">
        <v>154</v>
      </c>
      <c r="F2007" t="s">
        <v>96</v>
      </c>
      <c r="J2007" s="389">
        <v>18500.2</v>
      </c>
    </row>
    <row r="2008" spans="1:10" ht="15">
      <c r="A2008" s="137" t="str">
        <f t="shared" si="28"/>
        <v>HRNOMINA SUCURSALA11</v>
      </c>
      <c r="B2008" t="s">
        <v>2281</v>
      </c>
      <c r="C2008" s="1">
        <f>C2007</f>
        <v>45947</v>
      </c>
      <c r="D2008" t="s">
        <v>29</v>
      </c>
      <c r="E2008" t="s">
        <v>154</v>
      </c>
      <c r="F2008" t="s">
        <v>97</v>
      </c>
      <c r="J2008" s="389">
        <v>13295.4</v>
      </c>
    </row>
    <row r="2009" spans="1:10" ht="15">
      <c r="A2009" s="137" t="str">
        <f t="shared" si="28"/>
        <v>HRNOMINA SUCURSALA12</v>
      </c>
      <c r="B2009" t="s">
        <v>2281</v>
      </c>
      <c r="C2009" s="1">
        <f>C2008</f>
        <v>45947</v>
      </c>
      <c r="D2009" t="s">
        <v>29</v>
      </c>
      <c r="E2009" t="s">
        <v>154</v>
      </c>
      <c r="F2009" t="s">
        <v>98</v>
      </c>
      <c r="J2009" s="389">
        <v>14680.8</v>
      </c>
    </row>
    <row r="2010" spans="1:10" ht="15">
      <c r="A2010" s="137" t="str">
        <f t="shared" si="28"/>
        <v>HRNOMINA SUCURSALA14</v>
      </c>
      <c r="B2010" t="s">
        <v>2281</v>
      </c>
      <c r="C2010" s="1">
        <f>C2009</f>
        <v>45947</v>
      </c>
      <c r="D2010" t="s">
        <v>29</v>
      </c>
      <c r="E2010" t="s">
        <v>154</v>
      </c>
      <c r="F2010" t="s">
        <v>99</v>
      </c>
      <c r="J2010" s="389">
        <v>12729</v>
      </c>
    </row>
    <row r="2011" spans="1:10" ht="15">
      <c r="A2011" s="137" t="str">
        <f t="shared" si="28"/>
        <v>HRNOMINA SUCURSALA15</v>
      </c>
      <c r="B2011" t="s">
        <v>2281</v>
      </c>
      <c r="C2011" s="1">
        <f>C2010</f>
        <v>45947</v>
      </c>
      <c r="D2011" t="s">
        <v>29</v>
      </c>
      <c r="E2011" t="s">
        <v>154</v>
      </c>
      <c r="F2011" t="s">
        <v>100</v>
      </c>
      <c r="J2011" s="389">
        <v>9355.7999999999993</v>
      </c>
    </row>
    <row r="2012" spans="1:10" ht="15">
      <c r="A2012" s="137" t="str">
        <f t="shared" si="28"/>
        <v>HRNOMINA SUCURSALA16</v>
      </c>
      <c r="B2012" t="s">
        <v>2281</v>
      </c>
      <c r="C2012" s="1">
        <f>C2011</f>
        <v>45947</v>
      </c>
      <c r="D2012" t="s">
        <v>29</v>
      </c>
      <c r="E2012" t="s">
        <v>154</v>
      </c>
      <c r="F2012" t="s">
        <v>101</v>
      </c>
      <c r="J2012" s="389">
        <v>15496.09</v>
      </c>
    </row>
    <row r="2013" spans="1:10" ht="15">
      <c r="A2013" s="137" t="str">
        <f t="shared" si="28"/>
        <v>HRNOMINA SUCURSALA17</v>
      </c>
      <c r="B2013" t="s">
        <v>2281</v>
      </c>
      <c r="C2013" s="1">
        <f>C2012</f>
        <v>45947</v>
      </c>
      <c r="D2013" t="s">
        <v>29</v>
      </c>
      <c r="E2013" t="s">
        <v>154</v>
      </c>
      <c r="F2013" t="s">
        <v>102</v>
      </c>
      <c r="J2013" s="389">
        <v>8387.7999999999993</v>
      </c>
    </row>
    <row r="2014" spans="1:10" ht="15">
      <c r="A2014" s="137" t="str">
        <f t="shared" si="28"/>
        <v>HRNOMINA SUCURSALA18</v>
      </c>
      <c r="B2014" t="s">
        <v>2281</v>
      </c>
      <c r="C2014" s="1">
        <f>C2013</f>
        <v>45947</v>
      </c>
      <c r="D2014" t="s">
        <v>29</v>
      </c>
      <c r="E2014" t="s">
        <v>154</v>
      </c>
      <c r="F2014" t="s">
        <v>103</v>
      </c>
      <c r="J2014" s="389">
        <v>13745.2</v>
      </c>
    </row>
    <row r="2015" spans="1:10" ht="15">
      <c r="A2015" s="137" t="str">
        <f t="shared" si="28"/>
        <v>HRNOMINA SUCURSALA22</v>
      </c>
      <c r="B2015" t="s">
        <v>2281</v>
      </c>
      <c r="C2015" s="1">
        <f>C2014</f>
        <v>45947</v>
      </c>
      <c r="D2015" t="s">
        <v>29</v>
      </c>
      <c r="E2015" t="s">
        <v>154</v>
      </c>
      <c r="F2015" t="s">
        <v>104</v>
      </c>
      <c r="J2015" s="389">
        <v>15575</v>
      </c>
    </row>
    <row r="2016" spans="1:10" ht="15">
      <c r="A2016" s="137" t="str">
        <f t="shared" si="28"/>
        <v>HRNOMINA SUCURSALA23</v>
      </c>
      <c r="B2016" t="s">
        <v>2281</v>
      </c>
      <c r="C2016" s="1">
        <f>C2015</f>
        <v>45947</v>
      </c>
      <c r="D2016" t="s">
        <v>29</v>
      </c>
      <c r="E2016" t="s">
        <v>154</v>
      </c>
      <c r="F2016" t="s">
        <v>105</v>
      </c>
      <c r="J2016" s="389">
        <v>9229.4</v>
      </c>
    </row>
    <row r="2017" spans="1:10" ht="15">
      <c r="A2017" s="137" t="str">
        <f t="shared" si="28"/>
        <v>HRNOMINA SUCURSALA24</v>
      </c>
      <c r="B2017" t="s">
        <v>2281</v>
      </c>
      <c r="C2017" s="1">
        <f>C2016</f>
        <v>45947</v>
      </c>
      <c r="D2017" t="s">
        <v>29</v>
      </c>
      <c r="E2017" t="s">
        <v>154</v>
      </c>
      <c r="F2017" t="s">
        <v>106</v>
      </c>
      <c r="J2017" s="389">
        <v>13993.2</v>
      </c>
    </row>
    <row r="2018" spans="1:10" ht="15">
      <c r="A2018" s="137" t="str">
        <f t="shared" si="28"/>
        <v>CAPNOMINA SUCURSALE1</v>
      </c>
      <c r="B2018" t="s">
        <v>2281</v>
      </c>
      <c r="C2018" s="1">
        <f>C2017</f>
        <v>45947</v>
      </c>
      <c r="D2018" t="s">
        <v>31</v>
      </c>
      <c r="E2018" t="s">
        <v>154</v>
      </c>
      <c r="F2018" t="s">
        <v>107</v>
      </c>
      <c r="J2018" s="389">
        <v>13454.48</v>
      </c>
    </row>
    <row r="2019" spans="1:10" ht="15">
      <c r="A2019" s="137" t="str">
        <f t="shared" si="28"/>
        <v>CAPNOMINA SUCURSALE2</v>
      </c>
      <c r="B2019" t="s">
        <v>2281</v>
      </c>
      <c r="C2019" s="1">
        <f>C2018</f>
        <v>45947</v>
      </c>
      <c r="D2019" t="s">
        <v>31</v>
      </c>
      <c r="E2019" t="s">
        <v>154</v>
      </c>
      <c r="F2019" t="s">
        <v>108</v>
      </c>
      <c r="J2019" s="389">
        <v>22722</v>
      </c>
    </row>
    <row r="2020" spans="1:10" ht="15">
      <c r="A2020" s="137" t="str">
        <f t="shared" si="28"/>
        <v>CAPNOMINA SUCURSALE3</v>
      </c>
      <c r="B2020" t="s">
        <v>2281</v>
      </c>
      <c r="C2020" s="1">
        <f>C2019</f>
        <v>45947</v>
      </c>
      <c r="D2020" t="s">
        <v>31</v>
      </c>
      <c r="E2020" t="s">
        <v>154</v>
      </c>
      <c r="F2020" t="s">
        <v>109</v>
      </c>
      <c r="J2020" s="389">
        <v>14842.6</v>
      </c>
    </row>
    <row r="2021" spans="1:10" ht="15">
      <c r="A2021" s="137" t="str">
        <f t="shared" si="28"/>
        <v>CAPNOMINA SUCURSALE4</v>
      </c>
      <c r="B2021" t="s">
        <v>2281</v>
      </c>
      <c r="C2021" s="1">
        <f>C2020</f>
        <v>45947</v>
      </c>
      <c r="D2021" t="s">
        <v>31</v>
      </c>
      <c r="E2021" t="s">
        <v>154</v>
      </c>
      <c r="F2021" t="s">
        <v>110</v>
      </c>
      <c r="J2021" s="389">
        <v>17202.599999999999</v>
      </c>
    </row>
    <row r="2022" spans="1:10" ht="15">
      <c r="A2022" s="137" t="str">
        <f t="shared" si="28"/>
        <v>CAPNOMINA SUCURSALE5</v>
      </c>
      <c r="B2022" t="s">
        <v>2281</v>
      </c>
      <c r="C2022" s="1">
        <f>C2021</f>
        <v>45947</v>
      </c>
      <c r="D2022" t="s">
        <v>31</v>
      </c>
      <c r="E2022" t="s">
        <v>154</v>
      </c>
      <c r="F2022" t="s">
        <v>111</v>
      </c>
      <c r="J2022" s="389">
        <v>18865.400000000001</v>
      </c>
    </row>
    <row r="2023" spans="1:10" ht="15">
      <c r="A2023" s="137" t="str">
        <f t="shared" si="28"/>
        <v>CAPNOMINA SUCURSALE6</v>
      </c>
      <c r="B2023" t="s">
        <v>2281</v>
      </c>
      <c r="C2023" s="1">
        <f>C2022</f>
        <v>45947</v>
      </c>
      <c r="D2023" t="s">
        <v>31</v>
      </c>
      <c r="E2023" t="s">
        <v>154</v>
      </c>
      <c r="F2023" t="s">
        <v>112</v>
      </c>
      <c r="J2023" s="389">
        <v>13787.6</v>
      </c>
    </row>
    <row r="2024" spans="1:10" ht="15">
      <c r="A2024" s="137" t="str">
        <f t="shared" si="28"/>
        <v>CAPNOMINA SUCURSALE7</v>
      </c>
      <c r="B2024" t="s">
        <v>2281</v>
      </c>
      <c r="C2024" s="1">
        <f>C2023</f>
        <v>45947</v>
      </c>
      <c r="D2024" t="s">
        <v>31</v>
      </c>
      <c r="E2024" t="s">
        <v>154</v>
      </c>
      <c r="F2024" t="s">
        <v>113</v>
      </c>
      <c r="J2024" s="389">
        <v>14137.4</v>
      </c>
    </row>
    <row r="2025" spans="1:10" ht="15">
      <c r="A2025" s="137" t="str">
        <f t="shared" si="28"/>
        <v>CAPNOMINA SUCURSALE8</v>
      </c>
      <c r="B2025" t="s">
        <v>2281</v>
      </c>
      <c r="C2025" s="1">
        <f>C2024</f>
        <v>45947</v>
      </c>
      <c r="D2025" t="s">
        <v>31</v>
      </c>
      <c r="E2025" t="s">
        <v>154</v>
      </c>
      <c r="F2025" t="s">
        <v>114</v>
      </c>
      <c r="J2025" s="389">
        <v>29314.6</v>
      </c>
    </row>
    <row r="2026" spans="1:10" ht="15">
      <c r="A2026" s="137" t="str">
        <f t="shared" si="28"/>
        <v>CAPNOMINA SUCURSALE9</v>
      </c>
      <c r="B2026" t="s">
        <v>2281</v>
      </c>
      <c r="C2026" s="1">
        <f>C2025</f>
        <v>45947</v>
      </c>
      <c r="D2026" t="s">
        <v>31</v>
      </c>
      <c r="E2026" t="s">
        <v>154</v>
      </c>
      <c r="F2026" t="s">
        <v>116</v>
      </c>
      <c r="J2026" s="389">
        <v>22297.8</v>
      </c>
    </row>
    <row r="2027" spans="1:10" ht="15">
      <c r="A2027" s="137" t="str">
        <f t="shared" si="28"/>
        <v>ELINOMINA SUCURSALL1</v>
      </c>
      <c r="B2027" t="s">
        <v>2281</v>
      </c>
      <c r="C2027" s="1">
        <f>C2026</f>
        <v>45947</v>
      </c>
      <c r="D2027" t="s">
        <v>130</v>
      </c>
      <c r="E2027" t="s">
        <v>154</v>
      </c>
      <c r="F2027" t="s">
        <v>136</v>
      </c>
      <c r="J2027" s="389">
        <v>10022.200000000001</v>
      </c>
    </row>
    <row r="2028" spans="1:10" ht="15">
      <c r="A2028" s="137" t="str">
        <f t="shared" si="28"/>
        <v>HRNOMINA ADMONHR</v>
      </c>
      <c r="B2028" t="s">
        <v>2281</v>
      </c>
      <c r="C2028" s="1">
        <f>C2027</f>
        <v>45947</v>
      </c>
      <c r="D2028" t="s">
        <v>29</v>
      </c>
      <c r="E2028" t="s">
        <v>147</v>
      </c>
      <c r="F2028" t="s">
        <v>29</v>
      </c>
      <c r="J2028" s="389">
        <v>28483.200000000001</v>
      </c>
    </row>
    <row r="2029" spans="1:10" ht="15">
      <c r="A2029" s="137" t="str">
        <f t="shared" si="28"/>
        <v>CAPNOMINA ADMONCAPRICHOS</v>
      </c>
      <c r="B2029" t="s">
        <v>2281</v>
      </c>
      <c r="C2029" s="1">
        <f>C2028</f>
        <v>45947</v>
      </c>
      <c r="D2029" t="s">
        <v>31</v>
      </c>
      <c r="E2029" t="s">
        <v>147</v>
      </c>
      <c r="F2029" t="s">
        <v>33</v>
      </c>
      <c r="J2029" s="389">
        <v>23202.1</v>
      </c>
    </row>
    <row r="2030" spans="1:10" ht="15">
      <c r="A2030" s="137" t="str">
        <f t="shared" si="28"/>
        <v>SERVICIOSNOMINA SUCURSALCEDIS</v>
      </c>
      <c r="B2030" t="s">
        <v>2281</v>
      </c>
      <c r="C2030" s="1">
        <f>C2029</f>
        <v>45947</v>
      </c>
      <c r="D2030" t="s">
        <v>21</v>
      </c>
      <c r="E2030" t="s">
        <v>154</v>
      </c>
      <c r="F2030" t="s">
        <v>28</v>
      </c>
      <c r="J2030" s="389">
        <v>80504.850000000006</v>
      </c>
    </row>
    <row r="2031" spans="1:10" ht="15">
      <c r="A2031" s="137" t="str">
        <f t="shared" si="28"/>
        <v>SERVICIOSNOMINA ADMONINVENTARIOS</v>
      </c>
      <c r="B2031" t="s">
        <v>2281</v>
      </c>
      <c r="C2031" s="1">
        <f>C2030</f>
        <v>45947</v>
      </c>
      <c r="D2031" t="s">
        <v>21</v>
      </c>
      <c r="E2031" t="s">
        <v>147</v>
      </c>
      <c r="F2031" t="s">
        <v>34</v>
      </c>
      <c r="J2031" s="389">
        <v>2800</v>
      </c>
    </row>
    <row r="2032" spans="1:10" ht="15">
      <c r="A2032" s="137" t="str">
        <f t="shared" si="28"/>
        <v>SERVICIOSNOMINA ADMONMANTENIMIENTO</v>
      </c>
      <c r="B2032" t="s">
        <v>2281</v>
      </c>
      <c r="C2032" s="1">
        <f>C2031</f>
        <v>45947</v>
      </c>
      <c r="D2032" t="s">
        <v>21</v>
      </c>
      <c r="E2032" t="s">
        <v>147</v>
      </c>
      <c r="F2032" t="s">
        <v>35</v>
      </c>
      <c r="J2032" s="389">
        <v>16617.22</v>
      </c>
    </row>
    <row r="2033" spans="1:10" ht="15">
      <c r="A2033" s="137" t="str">
        <f t="shared" si="28"/>
        <v>SERVICIOSNOMINA ADMONCADENA DE SUMINISTROS</v>
      </c>
      <c r="B2033" t="s">
        <v>2281</v>
      </c>
      <c r="C2033" s="1">
        <f>C2032</f>
        <v>45947</v>
      </c>
      <c r="D2033" t="s">
        <v>21</v>
      </c>
      <c r="E2033" t="s">
        <v>147</v>
      </c>
      <c r="F2033" t="s">
        <v>134</v>
      </c>
      <c r="J2033" s="389">
        <v>25648</v>
      </c>
    </row>
    <row r="2034" spans="1:10" ht="15">
      <c r="A2034" s="137" t="str">
        <f t="shared" si="28"/>
        <v>SERVICIOSNOMINA ADMONSISTEMAS</v>
      </c>
      <c r="B2034" t="s">
        <v>2281</v>
      </c>
      <c r="C2034" s="1">
        <f>C2033</f>
        <v>45947</v>
      </c>
      <c r="D2034" t="s">
        <v>21</v>
      </c>
      <c r="E2034" t="s">
        <v>147</v>
      </c>
      <c r="F2034" t="s">
        <v>36</v>
      </c>
      <c r="J2034" s="389">
        <v>11557.69</v>
      </c>
    </row>
    <row r="2035" spans="1:10" ht="15">
      <c r="A2035" s="137" t="str">
        <f t="shared" si="28"/>
        <v>SERVICIOSNOMINA ADMONCOMPRAS</v>
      </c>
      <c r="B2035" t="s">
        <v>2281</v>
      </c>
      <c r="C2035" s="1">
        <f>C2034</f>
        <v>45947</v>
      </c>
      <c r="D2035" t="s">
        <v>21</v>
      </c>
      <c r="E2035" t="s">
        <v>147</v>
      </c>
      <c r="F2035" t="s">
        <v>148</v>
      </c>
      <c r="J2035" s="389">
        <v>24621.71</v>
      </c>
    </row>
    <row r="2036" spans="1:10" ht="15">
      <c r="A2036" s="137" t="str">
        <f t="shared" si="28"/>
        <v>FINANZASNOMINA ADMONCONTABILIDAD</v>
      </c>
      <c r="B2036" t="s">
        <v>2281</v>
      </c>
      <c r="C2036" s="1">
        <f>C2035</f>
        <v>45947</v>
      </c>
      <c r="D2036" t="s">
        <v>23</v>
      </c>
      <c r="E2036" t="s">
        <v>147</v>
      </c>
      <c r="F2036" t="s">
        <v>37</v>
      </c>
      <c r="J2036" s="389">
        <v>15147.87</v>
      </c>
    </row>
    <row r="2037" spans="1:10" ht="15">
      <c r="A2037" s="137" t="str">
        <f t="shared" si="28"/>
        <v>FINANZASNOMINA ADMONFINANZAS/LEGAL</v>
      </c>
      <c r="B2037" t="s">
        <v>2281</v>
      </c>
      <c r="C2037" s="1">
        <f>C2036</f>
        <v>45947</v>
      </c>
      <c r="D2037" t="s">
        <v>23</v>
      </c>
      <c r="E2037" t="s">
        <v>147</v>
      </c>
      <c r="F2037" t="s">
        <v>149</v>
      </c>
      <c r="J2037" s="389">
        <v>9205.4</v>
      </c>
    </row>
    <row r="2038" spans="1:10" ht="15">
      <c r="A2038" s="137" t="str">
        <f t="shared" si="28"/>
        <v>FINANZASNOMINA ADMONRECURSOS HUMANOS</v>
      </c>
      <c r="B2038" t="s">
        <v>2281</v>
      </c>
      <c r="C2038" s="1">
        <f>C2037</f>
        <v>45947</v>
      </c>
      <c r="D2038" t="s">
        <v>23</v>
      </c>
      <c r="E2038" t="s">
        <v>147</v>
      </c>
      <c r="F2038" t="s">
        <v>125</v>
      </c>
      <c r="J2038" s="389">
        <v>10731.38</v>
      </c>
    </row>
    <row r="2039" spans="1:10" ht="15">
      <c r="A2039" s="137" t="str">
        <f t="shared" si="28"/>
        <v>FINANZASNOMINA ADMONTESORERIA</v>
      </c>
      <c r="B2039" t="s">
        <v>2281</v>
      </c>
      <c r="C2039" s="1">
        <f>C2038</f>
        <v>45947</v>
      </c>
      <c r="D2039" t="s">
        <v>23</v>
      </c>
      <c r="E2039" t="s">
        <v>147</v>
      </c>
      <c r="F2039" t="s">
        <v>38</v>
      </c>
      <c r="J2039" s="389">
        <v>11830.2</v>
      </c>
    </row>
    <row r="2040" spans="1:10" ht="15">
      <c r="A2040" s="137" t="str">
        <f t="shared" si="28"/>
        <v>FINANZASNOMINA ADMONHBG FINANZAS</v>
      </c>
      <c r="B2040" t="s">
        <v>2281</v>
      </c>
      <c r="C2040" s="1">
        <f>C2039</f>
        <v>45947</v>
      </c>
      <c r="D2040" t="s">
        <v>23</v>
      </c>
      <c r="E2040" t="s">
        <v>147</v>
      </c>
      <c r="F2040" t="s">
        <v>150</v>
      </c>
      <c r="J2040" s="389">
        <v>3057</v>
      </c>
    </row>
    <row r="2041" spans="1:10" ht="15">
      <c r="A2041" s="137" t="str">
        <f t="shared" si="28"/>
        <v>SGENOMINA ADMONGESTION EMPRESARIAL</v>
      </c>
      <c r="B2041" t="s">
        <v>2281</v>
      </c>
      <c r="C2041" s="1">
        <f>C2040</f>
        <v>45947</v>
      </c>
      <c r="D2041" t="s">
        <v>39</v>
      </c>
      <c r="E2041" t="s">
        <v>147</v>
      </c>
      <c r="F2041" t="s">
        <v>40</v>
      </c>
      <c r="J2041" s="389">
        <v>22950.2</v>
      </c>
    </row>
    <row r="2042" spans="1:10" ht="15">
      <c r="A2042" s="137" t="str">
        <f t="shared" si="28"/>
        <v>DENOMINA ADMONDIRECCION</v>
      </c>
      <c r="B2042" t="s">
        <v>2281</v>
      </c>
      <c r="C2042" s="1">
        <f>C2041</f>
        <v>45947</v>
      </c>
      <c r="D2042" t="s">
        <v>41</v>
      </c>
      <c r="E2042" t="s">
        <v>147</v>
      </c>
      <c r="F2042" t="s">
        <v>42</v>
      </c>
      <c r="J2042" s="389">
        <v>7000</v>
      </c>
    </row>
    <row r="2043" spans="1:10" ht="15">
      <c r="A2043" s="137" t="str">
        <f t="shared" si="28"/>
        <v>MELNOMINA ADMONMELISSA</v>
      </c>
      <c r="B2043" t="s">
        <v>2281</v>
      </c>
      <c r="C2043" s="1">
        <f>C2042</f>
        <v>45947</v>
      </c>
      <c r="D2043" t="s">
        <v>43</v>
      </c>
      <c r="E2043" t="s">
        <v>147</v>
      </c>
      <c r="F2043" t="s">
        <v>44</v>
      </c>
      <c r="J2043" s="389">
        <v>4549</v>
      </c>
    </row>
    <row r="2044" spans="1:10" ht="15">
      <c r="A2044" s="137" t="str">
        <f t="shared" si="28"/>
        <v>MMNOMINA ADMONMARKET MAX</v>
      </c>
      <c r="B2044" t="s">
        <v>2281</v>
      </c>
      <c r="C2044" s="1">
        <f>C2043</f>
        <v>45947</v>
      </c>
      <c r="D2044" t="s">
        <v>45</v>
      </c>
      <c r="E2044" t="s">
        <v>147</v>
      </c>
      <c r="F2044" t="s">
        <v>46</v>
      </c>
      <c r="J2044" s="389">
        <v>8435.5400000000009</v>
      </c>
    </row>
    <row r="2045" spans="1:10" ht="15">
      <c r="A2045" s="137" t="str">
        <f t="shared" si="28"/>
        <v>ANALISISNOMINA ADMONANALISIS DE DATOS</v>
      </c>
      <c r="B2045" t="s">
        <v>2281</v>
      </c>
      <c r="C2045" s="1">
        <f>C2044</f>
        <v>45947</v>
      </c>
      <c r="D2045" t="s">
        <v>152</v>
      </c>
      <c r="E2045" t="s">
        <v>147</v>
      </c>
      <c r="F2045" t="s">
        <v>153</v>
      </c>
      <c r="J2045" s="389">
        <v>3800</v>
      </c>
    </row>
    <row r="2046" spans="1:10" ht="15">
      <c r="A2046" s="137" t="str">
        <f t="shared" si="28"/>
        <v>MKTNOMINA ADMONMKT</v>
      </c>
      <c r="B2046" t="s">
        <v>2281</v>
      </c>
      <c r="C2046" s="1">
        <f>C2045</f>
        <v>45947</v>
      </c>
      <c r="D2046" t="s">
        <v>19</v>
      </c>
      <c r="E2046" t="s">
        <v>147</v>
      </c>
      <c r="F2046" t="s">
        <v>19</v>
      </c>
      <c r="J2046" s="389">
        <v>23314.400000000001</v>
      </c>
    </row>
    <row r="2047" spans="1:10" ht="15">
      <c r="A2047" s="137" t="str">
        <f t="shared" si="28"/>
        <v>FINANZASNOMINA ADMONHBG FINANZAS</v>
      </c>
      <c r="B2047" t="s">
        <v>2281</v>
      </c>
      <c r="C2047" s="1">
        <f>C2046</f>
        <v>45947</v>
      </c>
      <c r="D2047" t="s">
        <v>23</v>
      </c>
      <c r="E2047" t="s">
        <v>147</v>
      </c>
      <c r="F2047" s="12" t="s">
        <v>150</v>
      </c>
      <c r="J2047" s="385">
        <v>10950</v>
      </c>
    </row>
    <row r="2048" spans="1:10" ht="15">
      <c r="A2048" s="137" t="str">
        <f t="shared" si="28"/>
        <v>HRNOMINA ADMONHR</v>
      </c>
      <c r="B2048" t="s">
        <v>2281</v>
      </c>
      <c r="C2048" s="1">
        <f>C2047</f>
        <v>45947</v>
      </c>
      <c r="D2048" t="s">
        <v>29</v>
      </c>
      <c r="E2048" t="s">
        <v>147</v>
      </c>
      <c r="F2048" s="3" t="s">
        <v>29</v>
      </c>
      <c r="J2048" s="385">
        <v>5500</v>
      </c>
    </row>
    <row r="2049" spans="1:10" ht="15">
      <c r="A2049" s="137" t="str">
        <f t="shared" si="28"/>
        <v>CAPNOMINA ADMONCAPRICHOS</v>
      </c>
      <c r="B2049" t="s">
        <v>2281</v>
      </c>
      <c r="C2049" s="1">
        <f>C2048</f>
        <v>45947</v>
      </c>
      <c r="D2049" t="s">
        <v>31</v>
      </c>
      <c r="E2049" t="s">
        <v>147</v>
      </c>
      <c r="F2049" s="12" t="s">
        <v>33</v>
      </c>
      <c r="J2049" s="385">
        <v>3700</v>
      </c>
    </row>
    <row r="2050" spans="1:10" ht="15">
      <c r="A2050" s="137" t="str">
        <f t="shared" si="28"/>
        <v>SGENOMINA ADMONGESTION EMPRESARIAL</v>
      </c>
      <c r="B2050" t="s">
        <v>2281</v>
      </c>
      <c r="C2050" s="1">
        <f>C2049</f>
        <v>45947</v>
      </c>
      <c r="D2050" t="s">
        <v>39</v>
      </c>
      <c r="E2050" t="s">
        <v>147</v>
      </c>
      <c r="F2050" s="12" t="s">
        <v>40</v>
      </c>
      <c r="J2050" s="385">
        <v>2750</v>
      </c>
    </row>
    <row r="2051" spans="1:10" ht="15">
      <c r="A2051" s="137" t="str">
        <f t="shared" si="28"/>
        <v>SERVICIOSNOMINA ADMONSERVICIOS</v>
      </c>
      <c r="B2051" t="s">
        <v>2281</v>
      </c>
      <c r="C2051" s="1">
        <f>C2050</f>
        <v>45947</v>
      </c>
      <c r="D2051" t="s">
        <v>21</v>
      </c>
      <c r="E2051" t="s">
        <v>147</v>
      </c>
      <c r="F2051" s="12" t="s">
        <v>21</v>
      </c>
      <c r="J2051" s="385">
        <v>4750</v>
      </c>
    </row>
    <row r="2052" spans="1:10" ht="15">
      <c r="A2052" s="137" t="str">
        <f t="shared" ref="A2052:A2115" si="29">D2052&amp;E2052&amp;F2052</f>
        <v>DENOMINA ADMONDIRECCION</v>
      </c>
      <c r="B2052" t="s">
        <v>2281</v>
      </c>
      <c r="C2052" s="1">
        <f>C2051</f>
        <v>45947</v>
      </c>
      <c r="D2052" t="s">
        <v>41</v>
      </c>
      <c r="E2052" t="s">
        <v>147</v>
      </c>
      <c r="F2052" s="12" t="s">
        <v>42</v>
      </c>
      <c r="J2052" s="385">
        <v>20750</v>
      </c>
    </row>
    <row r="2053" spans="1:10" ht="15">
      <c r="A2053" s="137" t="str">
        <f t="shared" si="29"/>
        <v>MMNOMINA ADMONMARKET MAX</v>
      </c>
      <c r="B2053" t="s">
        <v>2281</v>
      </c>
      <c r="C2053" s="1">
        <f>C2052</f>
        <v>45947</v>
      </c>
      <c r="D2053" t="s">
        <v>45</v>
      </c>
      <c r="E2053" t="s">
        <v>147</v>
      </c>
      <c r="F2053" s="12" t="s">
        <v>46</v>
      </c>
      <c r="J2053" s="385">
        <v>2000</v>
      </c>
    </row>
    <row r="2054" spans="1:10" ht="15">
      <c r="A2054" s="137" t="str">
        <f t="shared" si="29"/>
        <v>HRVACACIONES/FINIQUITOSHR</v>
      </c>
      <c r="B2054" t="s">
        <v>2281</v>
      </c>
      <c r="C2054" s="1">
        <f>C2053</f>
        <v>45947</v>
      </c>
      <c r="D2054" t="s">
        <v>29</v>
      </c>
      <c r="E2054" s="12" t="s">
        <v>190</v>
      </c>
      <c r="F2054" t="s">
        <v>29</v>
      </c>
      <c r="J2054" s="385">
        <v>985.71</v>
      </c>
    </row>
    <row r="2055" spans="1:10" ht="15">
      <c r="A2055" s="137" t="str">
        <f t="shared" si="29"/>
        <v>CAPVACACIONES/FINIQUITOSCAPRICHOS</v>
      </c>
      <c r="B2055" t="s">
        <v>2281</v>
      </c>
      <c r="C2055" s="1">
        <f>C2054</f>
        <v>45947</v>
      </c>
      <c r="D2055" t="s">
        <v>31</v>
      </c>
      <c r="E2055" s="12" t="s">
        <v>190</v>
      </c>
      <c r="F2055" t="s">
        <v>33</v>
      </c>
      <c r="J2055" s="385">
        <v>1858.5</v>
      </c>
    </row>
    <row r="2056" spans="1:10" ht="15">
      <c r="A2056" s="137" t="str">
        <f t="shared" si="29"/>
        <v>HRNOMINA SUCURSALA1</v>
      </c>
      <c r="B2056" t="s">
        <v>2281</v>
      </c>
      <c r="C2056" s="1">
        <v>45954</v>
      </c>
      <c r="D2056" t="s">
        <v>29</v>
      </c>
      <c r="E2056" t="s">
        <v>154</v>
      </c>
      <c r="F2056" t="s">
        <v>88</v>
      </c>
      <c r="J2056" s="389">
        <v>10942.2</v>
      </c>
    </row>
    <row r="2057" spans="1:10" ht="15">
      <c r="A2057" s="137" t="str">
        <f t="shared" si="29"/>
        <v>HRNOMINA SUCURSALA2</v>
      </c>
      <c r="B2057" t="s">
        <v>2281</v>
      </c>
      <c r="C2057" s="1">
        <v>45954</v>
      </c>
      <c r="D2057" t="s">
        <v>29</v>
      </c>
      <c r="E2057" t="s">
        <v>154</v>
      </c>
      <c r="F2057" t="s">
        <v>89</v>
      </c>
      <c r="J2057" s="389">
        <v>14458</v>
      </c>
    </row>
    <row r="2058" spans="1:10" ht="15">
      <c r="A2058" s="137" t="str">
        <f t="shared" si="29"/>
        <v>HRNOMINA SUCURSALA3</v>
      </c>
      <c r="B2058" t="s">
        <v>2281</v>
      </c>
      <c r="C2058" s="1">
        <v>45954</v>
      </c>
      <c r="D2058" t="s">
        <v>29</v>
      </c>
      <c r="E2058" t="s">
        <v>154</v>
      </c>
      <c r="F2058" t="s">
        <v>90</v>
      </c>
      <c r="J2058" s="389">
        <v>9573.7999999999993</v>
      </c>
    </row>
    <row r="2059" spans="1:10" ht="15">
      <c r="A2059" s="137" t="str">
        <f t="shared" si="29"/>
        <v>HRNOMINA SUCURSALA4</v>
      </c>
      <c r="B2059" t="s">
        <v>2281</v>
      </c>
      <c r="C2059" s="1">
        <v>45954</v>
      </c>
      <c r="D2059" t="s">
        <v>29</v>
      </c>
      <c r="E2059" t="s">
        <v>154</v>
      </c>
      <c r="F2059" t="s">
        <v>91</v>
      </c>
      <c r="J2059" s="389">
        <v>10829.6</v>
      </c>
    </row>
    <row r="2060" spans="1:10" ht="15">
      <c r="A2060" s="137" t="str">
        <f t="shared" si="29"/>
        <v>HRNOMINA SUCURSALA5</v>
      </c>
      <c r="B2060" t="s">
        <v>2281</v>
      </c>
      <c r="C2060" s="1">
        <v>45954</v>
      </c>
      <c r="D2060" t="s">
        <v>29</v>
      </c>
      <c r="E2060" t="s">
        <v>154</v>
      </c>
      <c r="F2060" t="s">
        <v>92</v>
      </c>
      <c r="J2060" s="389">
        <v>12218.8</v>
      </c>
    </row>
    <row r="2061" spans="1:10" ht="15">
      <c r="A2061" s="137" t="str">
        <f t="shared" si="29"/>
        <v>HRNOMINA SUCURSALA6</v>
      </c>
      <c r="B2061" t="s">
        <v>2281</v>
      </c>
      <c r="C2061" s="1">
        <v>45954</v>
      </c>
      <c r="D2061" t="s">
        <v>29</v>
      </c>
      <c r="E2061" t="s">
        <v>154</v>
      </c>
      <c r="F2061" t="s">
        <v>93</v>
      </c>
      <c r="J2061" s="389">
        <v>12153.09</v>
      </c>
    </row>
    <row r="2062" spans="1:10" ht="15">
      <c r="A2062" s="137" t="str">
        <f t="shared" si="29"/>
        <v>HRNOMINA SUCURSALA8</v>
      </c>
      <c r="B2062" t="s">
        <v>2281</v>
      </c>
      <c r="C2062" s="1">
        <v>45954</v>
      </c>
      <c r="D2062" t="s">
        <v>29</v>
      </c>
      <c r="E2062" t="s">
        <v>154</v>
      </c>
      <c r="F2062" t="s">
        <v>94</v>
      </c>
      <c r="J2062" s="389">
        <v>13623.2</v>
      </c>
    </row>
    <row r="2063" spans="1:10" ht="15">
      <c r="A2063" s="137" t="str">
        <f t="shared" si="29"/>
        <v>HRNOMINA SUCURSALA9</v>
      </c>
      <c r="B2063" t="s">
        <v>2281</v>
      </c>
      <c r="C2063" s="1">
        <v>45954</v>
      </c>
      <c r="D2063" t="s">
        <v>29</v>
      </c>
      <c r="E2063" t="s">
        <v>154</v>
      </c>
      <c r="F2063" t="s">
        <v>95</v>
      </c>
      <c r="J2063" s="389">
        <v>9768.89</v>
      </c>
    </row>
    <row r="2064" spans="1:10" ht="15">
      <c r="A2064" s="137" t="str">
        <f t="shared" si="29"/>
        <v>HRNOMINA SUCURSALA10</v>
      </c>
      <c r="B2064" t="s">
        <v>2281</v>
      </c>
      <c r="C2064" s="1">
        <v>45954</v>
      </c>
      <c r="D2064" t="s">
        <v>29</v>
      </c>
      <c r="E2064" t="s">
        <v>154</v>
      </c>
      <c r="F2064" t="s">
        <v>96</v>
      </c>
      <c r="J2064" s="389">
        <v>15049.86</v>
      </c>
    </row>
    <row r="2065" spans="1:10" ht="15">
      <c r="A2065" s="137" t="str">
        <f t="shared" si="29"/>
        <v>HRNOMINA SUCURSALA11</v>
      </c>
      <c r="B2065" t="s">
        <v>2281</v>
      </c>
      <c r="C2065" s="1">
        <v>45954</v>
      </c>
      <c r="D2065" t="s">
        <v>29</v>
      </c>
      <c r="E2065" t="s">
        <v>154</v>
      </c>
      <c r="F2065" t="s">
        <v>97</v>
      </c>
      <c r="J2065" s="389">
        <v>13543.85</v>
      </c>
    </row>
    <row r="2066" spans="1:10" ht="15">
      <c r="A2066" s="137" t="str">
        <f t="shared" si="29"/>
        <v>HRNOMINA SUCURSALA12</v>
      </c>
      <c r="B2066" t="s">
        <v>2281</v>
      </c>
      <c r="C2066" s="1">
        <v>45954</v>
      </c>
      <c r="D2066" t="s">
        <v>29</v>
      </c>
      <c r="E2066" t="s">
        <v>154</v>
      </c>
      <c r="F2066" t="s">
        <v>98</v>
      </c>
      <c r="J2066" s="389">
        <v>14917.05</v>
      </c>
    </row>
    <row r="2067" spans="1:10" ht="15">
      <c r="A2067" s="137" t="str">
        <f t="shared" si="29"/>
        <v>HRNOMINA SUCURSALA14</v>
      </c>
      <c r="B2067" t="s">
        <v>2281</v>
      </c>
      <c r="C2067" s="1">
        <v>45954</v>
      </c>
      <c r="D2067" t="s">
        <v>29</v>
      </c>
      <c r="E2067" t="s">
        <v>154</v>
      </c>
      <c r="F2067" t="s">
        <v>99</v>
      </c>
      <c r="J2067" s="389">
        <v>14610.79</v>
      </c>
    </row>
    <row r="2068" spans="1:10" ht="15">
      <c r="A2068" s="137" t="str">
        <f t="shared" si="29"/>
        <v>HRNOMINA SUCURSALA15</v>
      </c>
      <c r="B2068" t="s">
        <v>2281</v>
      </c>
      <c r="C2068" s="1">
        <v>45954</v>
      </c>
      <c r="D2068" t="s">
        <v>29</v>
      </c>
      <c r="E2068" t="s">
        <v>154</v>
      </c>
      <c r="F2068" t="s">
        <v>100</v>
      </c>
      <c r="J2068" s="389">
        <v>11614</v>
      </c>
    </row>
    <row r="2069" spans="1:10" ht="15">
      <c r="A2069" s="137" t="str">
        <f t="shared" si="29"/>
        <v>HRNOMINA SUCURSALA16</v>
      </c>
      <c r="B2069" t="s">
        <v>2281</v>
      </c>
      <c r="C2069" s="1">
        <v>45954</v>
      </c>
      <c r="D2069" t="s">
        <v>29</v>
      </c>
      <c r="E2069" t="s">
        <v>154</v>
      </c>
      <c r="F2069" t="s">
        <v>101</v>
      </c>
      <c r="J2069" s="389">
        <v>16565.490000000002</v>
      </c>
    </row>
    <row r="2070" spans="1:10" ht="15">
      <c r="A2070" s="137" t="str">
        <f t="shared" si="29"/>
        <v>HRNOMINA SUCURSALA17</v>
      </c>
      <c r="B2070" t="s">
        <v>2281</v>
      </c>
      <c r="C2070" s="1">
        <v>45954</v>
      </c>
      <c r="D2070" t="s">
        <v>29</v>
      </c>
      <c r="E2070" t="s">
        <v>154</v>
      </c>
      <c r="F2070" t="s">
        <v>102</v>
      </c>
      <c r="J2070" s="389">
        <v>11420.6</v>
      </c>
    </row>
    <row r="2071" spans="1:10" ht="15">
      <c r="A2071" s="137" t="str">
        <f t="shared" si="29"/>
        <v>HRNOMINA SUCURSALA18</v>
      </c>
      <c r="B2071" t="s">
        <v>2281</v>
      </c>
      <c r="C2071" s="1">
        <v>45954</v>
      </c>
      <c r="D2071" t="s">
        <v>29</v>
      </c>
      <c r="E2071" t="s">
        <v>154</v>
      </c>
      <c r="F2071" t="s">
        <v>103</v>
      </c>
      <c r="J2071" s="389">
        <v>13662.93</v>
      </c>
    </row>
    <row r="2072" spans="1:10" ht="15">
      <c r="A2072" s="137" t="str">
        <f t="shared" si="29"/>
        <v>HRNOMINA SUCURSALA22</v>
      </c>
      <c r="B2072" t="s">
        <v>2281</v>
      </c>
      <c r="C2072" s="1">
        <v>45954</v>
      </c>
      <c r="D2072" t="s">
        <v>29</v>
      </c>
      <c r="E2072" t="s">
        <v>154</v>
      </c>
      <c r="F2072" t="s">
        <v>104</v>
      </c>
      <c r="J2072" s="389">
        <v>12564.2</v>
      </c>
    </row>
    <row r="2073" spans="1:10" ht="15">
      <c r="A2073" s="137" t="str">
        <f t="shared" si="29"/>
        <v>HRNOMINA SUCURSALA23</v>
      </c>
      <c r="B2073" t="s">
        <v>2281</v>
      </c>
      <c r="C2073" s="1">
        <v>45954</v>
      </c>
      <c r="D2073" t="s">
        <v>29</v>
      </c>
      <c r="E2073" t="s">
        <v>154</v>
      </c>
      <c r="F2073" t="s">
        <v>105</v>
      </c>
      <c r="J2073" s="389">
        <v>11625.4</v>
      </c>
    </row>
    <row r="2074" spans="1:10" ht="15">
      <c r="A2074" s="137" t="str">
        <f t="shared" si="29"/>
        <v>HRNOMINA SUCURSALA24</v>
      </c>
      <c r="B2074" t="s">
        <v>2281</v>
      </c>
      <c r="C2074" s="1">
        <v>45954</v>
      </c>
      <c r="D2074" t="s">
        <v>29</v>
      </c>
      <c r="E2074" t="s">
        <v>154</v>
      </c>
      <c r="F2074" t="s">
        <v>106</v>
      </c>
      <c r="J2074" s="389">
        <v>15750</v>
      </c>
    </row>
    <row r="2075" spans="1:10" ht="15">
      <c r="A2075" s="137" t="str">
        <f t="shared" si="29"/>
        <v>CAPNOMINA SUCURSALE1</v>
      </c>
      <c r="B2075" t="s">
        <v>2281</v>
      </c>
      <c r="C2075" s="1">
        <v>45954</v>
      </c>
      <c r="D2075" t="s">
        <v>31</v>
      </c>
      <c r="E2075" t="s">
        <v>154</v>
      </c>
      <c r="F2075" t="s">
        <v>107</v>
      </c>
      <c r="J2075" s="389">
        <v>14888.28</v>
      </c>
    </row>
    <row r="2076" spans="1:10" ht="15">
      <c r="A2076" s="137" t="str">
        <f t="shared" si="29"/>
        <v>CAPNOMINA SUCURSALE2</v>
      </c>
      <c r="B2076" t="s">
        <v>2281</v>
      </c>
      <c r="C2076" s="1">
        <v>45954</v>
      </c>
      <c r="D2076" t="s">
        <v>31</v>
      </c>
      <c r="E2076" t="s">
        <v>154</v>
      </c>
      <c r="F2076" t="s">
        <v>108</v>
      </c>
      <c r="J2076" s="389">
        <v>25416.799999999999</v>
      </c>
    </row>
    <row r="2077" spans="1:10" ht="15">
      <c r="A2077" s="137" t="str">
        <f t="shared" si="29"/>
        <v>CAPNOMINA SUCURSALE3</v>
      </c>
      <c r="B2077" t="s">
        <v>2281</v>
      </c>
      <c r="C2077" s="1">
        <v>45954</v>
      </c>
      <c r="D2077" t="s">
        <v>31</v>
      </c>
      <c r="E2077" t="s">
        <v>154</v>
      </c>
      <c r="F2077" t="s">
        <v>109</v>
      </c>
      <c r="J2077" s="389">
        <v>13844.8</v>
      </c>
    </row>
    <row r="2078" spans="1:10" ht="15">
      <c r="A2078" s="137" t="str">
        <f t="shared" si="29"/>
        <v>CAPNOMINA SUCURSALE4</v>
      </c>
      <c r="B2078" t="s">
        <v>2281</v>
      </c>
      <c r="C2078" s="1">
        <v>45954</v>
      </c>
      <c r="D2078" t="s">
        <v>31</v>
      </c>
      <c r="E2078" t="s">
        <v>154</v>
      </c>
      <c r="F2078" t="s">
        <v>110</v>
      </c>
      <c r="J2078" s="389">
        <v>16584.400000000001</v>
      </c>
    </row>
    <row r="2079" spans="1:10" ht="15">
      <c r="A2079" s="137" t="str">
        <f t="shared" si="29"/>
        <v>CAPNOMINA SUCURSALE5</v>
      </c>
      <c r="B2079" t="s">
        <v>2281</v>
      </c>
      <c r="C2079" s="1">
        <v>45954</v>
      </c>
      <c r="D2079" t="s">
        <v>31</v>
      </c>
      <c r="E2079" t="s">
        <v>154</v>
      </c>
      <c r="F2079" t="s">
        <v>111</v>
      </c>
      <c r="J2079" s="389">
        <v>21299.8</v>
      </c>
    </row>
    <row r="2080" spans="1:10" ht="15">
      <c r="A2080" s="137" t="str">
        <f t="shared" si="29"/>
        <v>CAPNOMINA SUCURSALE6</v>
      </c>
      <c r="B2080" t="s">
        <v>2281</v>
      </c>
      <c r="C2080" s="1">
        <v>45954</v>
      </c>
      <c r="D2080" t="s">
        <v>31</v>
      </c>
      <c r="E2080" t="s">
        <v>154</v>
      </c>
      <c r="F2080" t="s">
        <v>112</v>
      </c>
      <c r="J2080" s="389">
        <v>15698.2</v>
      </c>
    </row>
    <row r="2081" spans="1:10" ht="15">
      <c r="A2081" s="137" t="str">
        <f t="shared" si="29"/>
        <v>CAPNOMINA SUCURSALE7</v>
      </c>
      <c r="B2081" t="s">
        <v>2281</v>
      </c>
      <c r="C2081" s="1">
        <v>45954</v>
      </c>
      <c r="D2081" t="s">
        <v>31</v>
      </c>
      <c r="E2081" t="s">
        <v>154</v>
      </c>
      <c r="F2081" t="s">
        <v>113</v>
      </c>
      <c r="J2081" s="389">
        <v>13957</v>
      </c>
    </row>
    <row r="2082" spans="1:10" ht="15">
      <c r="A2082" s="137" t="str">
        <f t="shared" si="29"/>
        <v>CAPNOMINA SUCURSALE8</v>
      </c>
      <c r="B2082" t="s">
        <v>2281</v>
      </c>
      <c r="C2082" s="1">
        <v>45954</v>
      </c>
      <c r="D2082" t="s">
        <v>31</v>
      </c>
      <c r="E2082" t="s">
        <v>154</v>
      </c>
      <c r="F2082" t="s">
        <v>114</v>
      </c>
      <c r="J2082" s="389">
        <v>28883.4</v>
      </c>
    </row>
    <row r="2083" spans="1:10" ht="15">
      <c r="A2083" s="137" t="str">
        <f t="shared" si="29"/>
        <v>CAPNOMINA SUCURSALE9</v>
      </c>
      <c r="B2083" t="s">
        <v>2281</v>
      </c>
      <c r="C2083" s="1">
        <v>45954</v>
      </c>
      <c r="D2083" t="s">
        <v>31</v>
      </c>
      <c r="E2083" t="s">
        <v>154</v>
      </c>
      <c r="F2083" t="s">
        <v>116</v>
      </c>
      <c r="J2083" s="389">
        <v>22681</v>
      </c>
    </row>
    <row r="2084" spans="1:10" ht="15">
      <c r="A2084" s="137" t="str">
        <f t="shared" si="29"/>
        <v>ELINOMINA SUCURSALL1</v>
      </c>
      <c r="B2084" t="s">
        <v>2281</v>
      </c>
      <c r="C2084" s="1">
        <v>45954</v>
      </c>
      <c r="D2084" t="s">
        <v>130</v>
      </c>
      <c r="E2084" t="s">
        <v>154</v>
      </c>
      <c r="F2084" t="s">
        <v>136</v>
      </c>
      <c r="J2084" s="389">
        <v>10102.200000000001</v>
      </c>
    </row>
    <row r="2085" spans="1:10" ht="15">
      <c r="A2085" s="137" t="str">
        <f t="shared" si="29"/>
        <v>HRNOMINA ADMONHR</v>
      </c>
      <c r="B2085" t="s">
        <v>2281</v>
      </c>
      <c r="C2085" s="1">
        <v>45954</v>
      </c>
      <c r="D2085" t="s">
        <v>29</v>
      </c>
      <c r="E2085" t="s">
        <v>147</v>
      </c>
      <c r="F2085" t="s">
        <v>29</v>
      </c>
      <c r="J2085" s="389">
        <v>27097.4</v>
      </c>
    </row>
    <row r="2086" spans="1:10" ht="15">
      <c r="A2086" s="137" t="str">
        <f t="shared" si="29"/>
        <v>CAPNOMINA ADMONCAPRICHOS</v>
      </c>
      <c r="B2086" t="s">
        <v>2281</v>
      </c>
      <c r="C2086" s="1">
        <v>45954</v>
      </c>
      <c r="D2086" t="s">
        <v>31</v>
      </c>
      <c r="E2086" t="s">
        <v>147</v>
      </c>
      <c r="F2086" t="s">
        <v>33</v>
      </c>
      <c r="J2086" s="389">
        <v>25002.5</v>
      </c>
    </row>
    <row r="2087" spans="1:10" ht="15">
      <c r="A2087" s="137" t="str">
        <f t="shared" si="29"/>
        <v>SERVICIOSNOMINA SUCURSALCEDIS</v>
      </c>
      <c r="B2087" t="s">
        <v>2281</v>
      </c>
      <c r="C2087" s="1">
        <v>45954</v>
      </c>
      <c r="D2087" t="s">
        <v>21</v>
      </c>
      <c r="E2087" t="s">
        <v>154</v>
      </c>
      <c r="F2087" t="s">
        <v>28</v>
      </c>
      <c r="J2087" s="389">
        <v>74731.73</v>
      </c>
    </row>
    <row r="2088" spans="1:10" ht="15">
      <c r="A2088" s="137" t="str">
        <f t="shared" si="29"/>
        <v>SERVICIOSNOMINA ADMONINVENTARIOS</v>
      </c>
      <c r="B2088" t="s">
        <v>2281</v>
      </c>
      <c r="C2088" s="1">
        <v>45954</v>
      </c>
      <c r="D2088" t="s">
        <v>21</v>
      </c>
      <c r="E2088" t="s">
        <v>147</v>
      </c>
      <c r="F2088" t="s">
        <v>34</v>
      </c>
      <c r="J2088" s="389">
        <v>2800</v>
      </c>
    </row>
    <row r="2089" spans="1:10" ht="15">
      <c r="A2089" s="137" t="str">
        <f t="shared" si="29"/>
        <v>SERVICIOSNOMINA ADMONMANTENIMIENTO</v>
      </c>
      <c r="B2089" t="s">
        <v>2281</v>
      </c>
      <c r="C2089" s="1">
        <v>45954</v>
      </c>
      <c r="D2089" t="s">
        <v>21</v>
      </c>
      <c r="E2089" t="s">
        <v>147</v>
      </c>
      <c r="F2089" t="s">
        <v>35</v>
      </c>
      <c r="J2089" s="389">
        <v>19059.62</v>
      </c>
    </row>
    <row r="2090" spans="1:10" ht="15">
      <c r="A2090" s="137" t="str">
        <f t="shared" si="29"/>
        <v>SERVICIOSNOMINA ADMONCADENA DE SUMINISTROS</v>
      </c>
      <c r="B2090" t="s">
        <v>2281</v>
      </c>
      <c r="C2090" s="1">
        <v>45954</v>
      </c>
      <c r="D2090" t="s">
        <v>21</v>
      </c>
      <c r="E2090" t="s">
        <v>147</v>
      </c>
      <c r="F2090" t="s">
        <v>134</v>
      </c>
      <c r="J2090" s="389">
        <v>24967</v>
      </c>
    </row>
    <row r="2091" spans="1:10" ht="15">
      <c r="A2091" s="137" t="str">
        <f t="shared" si="29"/>
        <v>SERVICIOSNOMINA ADMONSISTEMAS</v>
      </c>
      <c r="B2091" t="s">
        <v>2281</v>
      </c>
      <c r="C2091" s="1">
        <v>45954</v>
      </c>
      <c r="D2091" t="s">
        <v>21</v>
      </c>
      <c r="E2091" t="s">
        <v>147</v>
      </c>
      <c r="F2091" t="s">
        <v>36</v>
      </c>
      <c r="J2091" s="389">
        <v>10574.09</v>
      </c>
    </row>
    <row r="2092" spans="1:10" ht="15">
      <c r="A2092" s="137" t="str">
        <f t="shared" si="29"/>
        <v>SERVICIOSNOMINA ADMONCOMPRAS</v>
      </c>
      <c r="B2092" t="s">
        <v>2281</v>
      </c>
      <c r="C2092" s="1">
        <v>45954</v>
      </c>
      <c r="D2092" t="s">
        <v>21</v>
      </c>
      <c r="E2092" t="s">
        <v>147</v>
      </c>
      <c r="F2092" t="s">
        <v>148</v>
      </c>
      <c r="J2092" s="389">
        <v>21346.79</v>
      </c>
    </row>
    <row r="2093" spans="1:10" ht="15">
      <c r="A2093" s="137" t="str">
        <f t="shared" si="29"/>
        <v>FINANZASNOMINA ADMONCONTABILIDAD</v>
      </c>
      <c r="B2093" t="s">
        <v>2281</v>
      </c>
      <c r="C2093" s="1">
        <v>45954</v>
      </c>
      <c r="D2093" t="s">
        <v>23</v>
      </c>
      <c r="E2093" t="s">
        <v>147</v>
      </c>
      <c r="F2093" t="s">
        <v>37</v>
      </c>
      <c r="J2093" s="389">
        <v>16304.87</v>
      </c>
    </row>
    <row r="2094" spans="1:10" ht="15">
      <c r="A2094" s="137" t="str">
        <f t="shared" si="29"/>
        <v>FINANZASNOMINA ADMONFINANZAS/LEGAL</v>
      </c>
      <c r="B2094" t="s">
        <v>2281</v>
      </c>
      <c r="C2094" s="1">
        <v>45954</v>
      </c>
      <c r="D2094" t="s">
        <v>23</v>
      </c>
      <c r="E2094" t="s">
        <v>147</v>
      </c>
      <c r="F2094" t="s">
        <v>149</v>
      </c>
      <c r="J2094" s="389">
        <v>10074</v>
      </c>
    </row>
    <row r="2095" spans="1:10" ht="15">
      <c r="A2095" s="137" t="str">
        <f t="shared" si="29"/>
        <v>FINANZASNOMINA ADMONRECURSOS HUMANOS</v>
      </c>
      <c r="B2095" t="s">
        <v>2281</v>
      </c>
      <c r="C2095" s="1">
        <v>45954</v>
      </c>
      <c r="D2095" t="s">
        <v>23</v>
      </c>
      <c r="E2095" t="s">
        <v>147</v>
      </c>
      <c r="F2095" t="s">
        <v>125</v>
      </c>
      <c r="J2095" s="389">
        <v>12208.98</v>
      </c>
    </row>
    <row r="2096" spans="1:10" ht="15">
      <c r="A2096" s="137" t="str">
        <f t="shared" si="29"/>
        <v>FINANZASNOMINA ADMONTESORERIA</v>
      </c>
      <c r="B2096" t="s">
        <v>2281</v>
      </c>
      <c r="C2096" s="1">
        <v>45954</v>
      </c>
      <c r="D2096" t="s">
        <v>23</v>
      </c>
      <c r="E2096" t="s">
        <v>147</v>
      </c>
      <c r="F2096" t="s">
        <v>38</v>
      </c>
      <c r="J2096" s="389">
        <v>12914.2</v>
      </c>
    </row>
    <row r="2097" spans="1:10" ht="15">
      <c r="A2097" s="137" t="str">
        <f t="shared" si="29"/>
        <v>FINANZASNOMINA ADMONHBG FINANZAS</v>
      </c>
      <c r="B2097" t="s">
        <v>2281</v>
      </c>
      <c r="C2097" s="1">
        <v>45954</v>
      </c>
      <c r="D2097" t="s">
        <v>23</v>
      </c>
      <c r="E2097" t="s">
        <v>147</v>
      </c>
      <c r="F2097" t="s">
        <v>150</v>
      </c>
      <c r="J2097" s="389">
        <v>3057</v>
      </c>
    </row>
    <row r="2098" spans="1:10" ht="15">
      <c r="A2098" s="137" t="str">
        <f t="shared" si="29"/>
        <v>SGENOMINA ADMONGESTION EMPRESARIAL</v>
      </c>
      <c r="B2098" t="s">
        <v>2281</v>
      </c>
      <c r="C2098" s="1">
        <v>45954</v>
      </c>
      <c r="D2098" t="s">
        <v>39</v>
      </c>
      <c r="E2098" t="s">
        <v>147</v>
      </c>
      <c r="F2098" t="s">
        <v>40</v>
      </c>
      <c r="J2098" s="389">
        <v>23558</v>
      </c>
    </row>
    <row r="2099" spans="1:10" ht="15">
      <c r="A2099" s="137" t="str">
        <f t="shared" si="29"/>
        <v>DENOMINA ADMONDIRECCION</v>
      </c>
      <c r="B2099" t="s">
        <v>2281</v>
      </c>
      <c r="C2099" s="1">
        <v>45954</v>
      </c>
      <c r="D2099" t="s">
        <v>41</v>
      </c>
      <c r="E2099" t="s">
        <v>147</v>
      </c>
      <c r="F2099" t="s">
        <v>42</v>
      </c>
      <c r="J2099" s="389">
        <v>7350</v>
      </c>
    </row>
    <row r="2100" spans="1:10" ht="15">
      <c r="A2100" s="137" t="str">
        <f t="shared" si="29"/>
        <v>MELNOMINA ADMONMELISSA</v>
      </c>
      <c r="B2100" t="s">
        <v>2281</v>
      </c>
      <c r="C2100" s="1">
        <v>45954</v>
      </c>
      <c r="D2100" t="s">
        <v>43</v>
      </c>
      <c r="E2100" t="s">
        <v>147</v>
      </c>
      <c r="F2100" t="s">
        <v>44</v>
      </c>
      <c r="J2100" s="389">
        <v>4403.8</v>
      </c>
    </row>
    <row r="2101" spans="1:10" ht="15">
      <c r="A2101" s="137" t="str">
        <f t="shared" si="29"/>
        <v>MMNOMINA ADMONMARKET MAX</v>
      </c>
      <c r="B2101" t="s">
        <v>2281</v>
      </c>
      <c r="C2101" s="1">
        <v>45954</v>
      </c>
      <c r="D2101" t="s">
        <v>45</v>
      </c>
      <c r="E2101" t="s">
        <v>147</v>
      </c>
      <c r="F2101" t="s">
        <v>46</v>
      </c>
      <c r="J2101" s="389">
        <v>8594.94</v>
      </c>
    </row>
    <row r="2102" spans="1:10" ht="15">
      <c r="A2102" s="137" t="str">
        <f t="shared" si="29"/>
        <v>ANALISISNOMINA ADMONANALISIS DE DATOS</v>
      </c>
      <c r="B2102" t="s">
        <v>2281</v>
      </c>
      <c r="C2102" s="1">
        <v>45954</v>
      </c>
      <c r="D2102" t="s">
        <v>152</v>
      </c>
      <c r="E2102" t="s">
        <v>147</v>
      </c>
      <c r="F2102" t="s">
        <v>153</v>
      </c>
      <c r="J2102" s="389">
        <v>3893.8</v>
      </c>
    </row>
    <row r="2103" spans="1:10" ht="15">
      <c r="A2103" s="137" t="str">
        <f t="shared" si="29"/>
        <v>MKTNOMINA ADMONMKT</v>
      </c>
      <c r="B2103" t="s">
        <v>2281</v>
      </c>
      <c r="C2103" s="1">
        <v>45954</v>
      </c>
      <c r="D2103" t="s">
        <v>19</v>
      </c>
      <c r="E2103" t="s">
        <v>147</v>
      </c>
      <c r="F2103" t="s">
        <v>19</v>
      </c>
      <c r="J2103" s="389">
        <v>24553</v>
      </c>
    </row>
    <row r="2104" spans="1:10" ht="15">
      <c r="A2104" s="137" t="str">
        <f t="shared" si="29"/>
        <v>CAPVACACIONES/FINIQUITOSCAPRICHOS</v>
      </c>
      <c r="B2104" t="s">
        <v>2281</v>
      </c>
      <c r="C2104" s="1">
        <v>45954</v>
      </c>
      <c r="D2104" t="s">
        <v>31</v>
      </c>
      <c r="E2104" s="12" t="s">
        <v>190</v>
      </c>
      <c r="F2104" t="s">
        <v>33</v>
      </c>
      <c r="H2104" t="s">
        <v>4825</v>
      </c>
      <c r="J2104" s="385">
        <v>3357.14</v>
      </c>
    </row>
    <row r="2105" spans="1:10" ht="15">
      <c r="A2105" s="137" t="str">
        <f t="shared" si="29"/>
        <v>CAPVACACIONES/FINIQUITOSCAPRICHOS</v>
      </c>
      <c r="B2105" t="s">
        <v>2281</v>
      </c>
      <c r="C2105" s="1">
        <v>45954</v>
      </c>
      <c r="D2105" t="s">
        <v>31</v>
      </c>
      <c r="E2105" s="12" t="s">
        <v>190</v>
      </c>
      <c r="F2105" t="s">
        <v>33</v>
      </c>
      <c r="H2105" t="s">
        <v>111</v>
      </c>
      <c r="J2105" s="385">
        <v>1164.43</v>
      </c>
    </row>
    <row r="2106" spans="1:10" ht="15">
      <c r="A2106" s="137" t="str">
        <f t="shared" si="29"/>
        <v>CAPVACACIONES/FINIQUITOSCAPRICHOS</v>
      </c>
      <c r="B2106" t="s">
        <v>2281</v>
      </c>
      <c r="C2106" s="1">
        <v>45954</v>
      </c>
      <c r="D2106" t="s">
        <v>31</v>
      </c>
      <c r="E2106" s="12" t="s">
        <v>190</v>
      </c>
      <c r="F2106" t="s">
        <v>33</v>
      </c>
      <c r="H2106" t="s">
        <v>112</v>
      </c>
      <c r="J2106" s="385">
        <v>1404</v>
      </c>
    </row>
    <row r="2107" spans="1:10" ht="15">
      <c r="A2107" s="137" t="str">
        <f t="shared" si="29"/>
        <v>CAPVACACIONES/FINIQUITOSCAPRICHOS</v>
      </c>
      <c r="B2107" t="s">
        <v>2281</v>
      </c>
      <c r="C2107" s="1">
        <v>45954</v>
      </c>
      <c r="D2107" t="s">
        <v>31</v>
      </c>
      <c r="E2107" s="12" t="s">
        <v>190</v>
      </c>
      <c r="F2107" t="s">
        <v>33</v>
      </c>
      <c r="H2107" t="s">
        <v>110</v>
      </c>
      <c r="J2107" s="385">
        <v>407.14</v>
      </c>
    </row>
    <row r="2108" spans="1:10" ht="15">
      <c r="A2108" s="137" t="str">
        <f t="shared" si="29"/>
        <v>HRVACACIONES/FINIQUITOSHR</v>
      </c>
      <c r="B2108" t="s">
        <v>2281</v>
      </c>
      <c r="C2108" s="1">
        <v>45954</v>
      </c>
      <c r="D2108" t="s">
        <v>29</v>
      </c>
      <c r="E2108" s="12" t="s">
        <v>190</v>
      </c>
      <c r="F2108" t="s">
        <v>29</v>
      </c>
      <c r="H2108" t="s">
        <v>88</v>
      </c>
      <c r="J2108" s="385">
        <v>912</v>
      </c>
    </row>
    <row r="2109" spans="1:10" ht="15">
      <c r="A2109" s="137" t="str">
        <f t="shared" si="29"/>
        <v>SERVICIOSVACACIONES/FINIQUITOSSERVICIOS</v>
      </c>
      <c r="B2109" t="s">
        <v>2281</v>
      </c>
      <c r="C2109" s="1">
        <v>45954</v>
      </c>
      <c r="D2109" t="s">
        <v>21</v>
      </c>
      <c r="E2109" s="12" t="s">
        <v>190</v>
      </c>
      <c r="F2109" s="12" t="s">
        <v>21</v>
      </c>
      <c r="H2109" t="s">
        <v>4826</v>
      </c>
      <c r="J2109" s="385">
        <v>1500</v>
      </c>
    </row>
    <row r="2110" spans="1:10" ht="15">
      <c r="A2110" s="137" t="str">
        <f t="shared" si="29"/>
        <v>HRVACACIONES/FINIQUITOSHR</v>
      </c>
      <c r="B2110" t="s">
        <v>2281</v>
      </c>
      <c r="C2110" s="1">
        <v>45954</v>
      </c>
      <c r="D2110" t="s">
        <v>29</v>
      </c>
      <c r="E2110" s="12" t="s">
        <v>190</v>
      </c>
      <c r="F2110" t="s">
        <v>29</v>
      </c>
      <c r="H2110" t="s">
        <v>97</v>
      </c>
      <c r="J2110" s="385">
        <v>1100</v>
      </c>
    </row>
    <row r="2111" spans="1:10" ht="15">
      <c r="A2111" s="137" t="str">
        <f t="shared" si="29"/>
        <v>MMVACACIONES/FINIQUITOSMARKET MAX</v>
      </c>
      <c r="B2111" t="s">
        <v>2281</v>
      </c>
      <c r="C2111" s="1">
        <v>45954</v>
      </c>
      <c r="D2111" t="s">
        <v>45</v>
      </c>
      <c r="E2111" s="12" t="s">
        <v>190</v>
      </c>
      <c r="F2111" s="12" t="s">
        <v>46</v>
      </c>
      <c r="H2111" t="s">
        <v>46</v>
      </c>
      <c r="J2111" s="385">
        <v>1028.57</v>
      </c>
    </row>
    <row r="2112" spans="1:10" ht="15">
      <c r="A2112" s="137" t="str">
        <f t="shared" si="29"/>
        <v>HRVACACIONES/FINIQUITOSHR</v>
      </c>
      <c r="B2112" t="s">
        <v>2281</v>
      </c>
      <c r="C2112" s="1">
        <v>45954</v>
      </c>
      <c r="D2112" t="s">
        <v>29</v>
      </c>
      <c r="E2112" s="12" t="s">
        <v>190</v>
      </c>
      <c r="F2112" t="s">
        <v>29</v>
      </c>
      <c r="H2112" t="s">
        <v>95</v>
      </c>
      <c r="J2112" s="385">
        <v>912</v>
      </c>
    </row>
    <row r="2113" spans="1:10" ht="15">
      <c r="A2113" s="137" t="str">
        <f t="shared" si="29"/>
        <v>FINANZASNOMINA ADMONHBG FINANZAS</v>
      </c>
      <c r="B2113" t="s">
        <v>2281</v>
      </c>
      <c r="C2113" s="1">
        <v>45954</v>
      </c>
      <c r="D2113" t="s">
        <v>23</v>
      </c>
      <c r="E2113" t="s">
        <v>147</v>
      </c>
      <c r="F2113" s="12" t="s">
        <v>150</v>
      </c>
      <c r="J2113" s="385">
        <v>10950</v>
      </c>
    </row>
    <row r="2114" spans="1:10" ht="15">
      <c r="A2114" s="137" t="str">
        <f t="shared" si="29"/>
        <v>HRNOMINA ADMONHR</v>
      </c>
      <c r="B2114" t="s">
        <v>2281</v>
      </c>
      <c r="C2114" s="1">
        <v>45954</v>
      </c>
      <c r="D2114" t="s">
        <v>29</v>
      </c>
      <c r="E2114" t="s">
        <v>147</v>
      </c>
      <c r="F2114" s="3" t="s">
        <v>29</v>
      </c>
      <c r="J2114" s="385">
        <v>5500</v>
      </c>
    </row>
    <row r="2115" spans="1:10" ht="15">
      <c r="A2115" s="137" t="str">
        <f t="shared" si="29"/>
        <v>CAPNOMINA ADMONCAPRICHOS</v>
      </c>
      <c r="B2115" t="s">
        <v>2281</v>
      </c>
      <c r="C2115" s="1">
        <v>45954</v>
      </c>
      <c r="D2115" t="s">
        <v>31</v>
      </c>
      <c r="E2115" t="s">
        <v>147</v>
      </c>
      <c r="F2115" s="12" t="s">
        <v>33</v>
      </c>
      <c r="J2115" s="385">
        <v>3700</v>
      </c>
    </row>
    <row r="2116" spans="1:10" ht="15">
      <c r="A2116" s="137" t="str">
        <f t="shared" ref="A2116:A2179" si="30">D2116&amp;E2116&amp;F2116</f>
        <v>SGENOMINA ADMONGESTION EMPRESARIAL</v>
      </c>
      <c r="B2116" t="s">
        <v>2281</v>
      </c>
      <c r="C2116" s="1">
        <v>45954</v>
      </c>
      <c r="D2116" t="s">
        <v>39</v>
      </c>
      <c r="E2116" t="s">
        <v>147</v>
      </c>
      <c r="F2116" s="12" t="s">
        <v>40</v>
      </c>
      <c r="J2116" s="385">
        <v>2750</v>
      </c>
    </row>
    <row r="2117" spans="1:10" ht="15">
      <c r="A2117" s="137" t="str">
        <f t="shared" si="30"/>
        <v>SERVICIOSNOMINA ADMONSERVICIOS</v>
      </c>
      <c r="B2117" t="s">
        <v>2281</v>
      </c>
      <c r="C2117" s="1">
        <v>45954</v>
      </c>
      <c r="D2117" t="s">
        <v>21</v>
      </c>
      <c r="E2117" t="s">
        <v>147</v>
      </c>
      <c r="F2117" s="12" t="s">
        <v>21</v>
      </c>
      <c r="J2117" s="385">
        <v>4750</v>
      </c>
    </row>
    <row r="2118" spans="1:10" ht="15">
      <c r="A2118" s="137" t="str">
        <f t="shared" si="30"/>
        <v>DENOMINA ADMONDIRECCION</v>
      </c>
      <c r="B2118" t="s">
        <v>2281</v>
      </c>
      <c r="C2118" s="1">
        <v>45954</v>
      </c>
      <c r="D2118" t="s">
        <v>41</v>
      </c>
      <c r="E2118" t="s">
        <v>147</v>
      </c>
      <c r="F2118" s="12" t="s">
        <v>42</v>
      </c>
      <c r="J2118" s="385">
        <v>5750</v>
      </c>
    </row>
    <row r="2119" spans="1:10" ht="15">
      <c r="A2119" s="137" t="str">
        <f t="shared" si="30"/>
        <v>MMNOMINA ADMONMARKET MAX</v>
      </c>
      <c r="B2119" t="s">
        <v>2281</v>
      </c>
      <c r="C2119" s="1">
        <v>45954</v>
      </c>
      <c r="D2119" t="s">
        <v>45</v>
      </c>
      <c r="E2119" t="s">
        <v>147</v>
      </c>
      <c r="F2119" s="12" t="s">
        <v>46</v>
      </c>
      <c r="J2119" s="385">
        <v>2000</v>
      </c>
    </row>
    <row r="2120" spans="1:10" ht="15">
      <c r="A2120" s="137" t="str">
        <f t="shared" si="30"/>
        <v>HRNOMINA SUCURSALA1</v>
      </c>
      <c r="B2120" t="s">
        <v>2281</v>
      </c>
      <c r="C2120" s="1">
        <v>45961</v>
      </c>
      <c r="D2120" t="s">
        <v>29</v>
      </c>
      <c r="E2120" t="s">
        <v>154</v>
      </c>
      <c r="F2120" t="s">
        <v>88</v>
      </c>
      <c r="J2120" s="299">
        <v>11335.6</v>
      </c>
    </row>
    <row r="2121" spans="1:10" ht="15">
      <c r="A2121" s="137" t="str">
        <f t="shared" si="30"/>
        <v>HRNOMINA SUCURSALA2</v>
      </c>
      <c r="B2121" t="s">
        <v>2281</v>
      </c>
      <c r="C2121" s="1">
        <f>C2120</f>
        <v>45961</v>
      </c>
      <c r="D2121" t="s">
        <v>29</v>
      </c>
      <c r="E2121" t="s">
        <v>154</v>
      </c>
      <c r="F2121" t="s">
        <v>89</v>
      </c>
      <c r="J2121" s="299">
        <v>13764.33</v>
      </c>
    </row>
    <row r="2122" spans="1:10" ht="15">
      <c r="A2122" s="137" t="str">
        <f t="shared" si="30"/>
        <v>HRNOMINA SUCURSALA3</v>
      </c>
      <c r="B2122" t="s">
        <v>2281</v>
      </c>
      <c r="C2122" s="1">
        <f>C2121</f>
        <v>45961</v>
      </c>
      <c r="D2122" t="s">
        <v>29</v>
      </c>
      <c r="E2122" t="s">
        <v>154</v>
      </c>
      <c r="F2122" t="s">
        <v>90</v>
      </c>
      <c r="J2122" s="299">
        <v>8062.6</v>
      </c>
    </row>
    <row r="2123" spans="1:10" ht="15">
      <c r="A2123" s="137" t="str">
        <f t="shared" si="30"/>
        <v>HRNOMINA SUCURSALA4</v>
      </c>
      <c r="B2123" t="s">
        <v>2281</v>
      </c>
      <c r="C2123" s="1">
        <f>C2122</f>
        <v>45961</v>
      </c>
      <c r="D2123" t="s">
        <v>29</v>
      </c>
      <c r="E2123" t="s">
        <v>154</v>
      </c>
      <c r="F2123" t="s">
        <v>91</v>
      </c>
      <c r="J2123" s="299">
        <v>11254.33</v>
      </c>
    </row>
    <row r="2124" spans="1:10" ht="15">
      <c r="A2124" s="137" t="str">
        <f t="shared" si="30"/>
        <v>HRNOMINA SUCURSALA5</v>
      </c>
      <c r="B2124" t="s">
        <v>2281</v>
      </c>
      <c r="C2124" s="1">
        <f>C2123</f>
        <v>45961</v>
      </c>
      <c r="D2124" t="s">
        <v>29</v>
      </c>
      <c r="E2124" t="s">
        <v>154</v>
      </c>
      <c r="F2124" t="s">
        <v>92</v>
      </c>
      <c r="J2124" s="299">
        <v>11403</v>
      </c>
    </row>
    <row r="2125" spans="1:10" ht="15">
      <c r="A2125" s="137" t="str">
        <f t="shared" si="30"/>
        <v>HRNOMINA SUCURSALA6</v>
      </c>
      <c r="B2125" t="s">
        <v>2281</v>
      </c>
      <c r="C2125" s="1">
        <f>C2124</f>
        <v>45961</v>
      </c>
      <c r="D2125" t="s">
        <v>29</v>
      </c>
      <c r="E2125" t="s">
        <v>154</v>
      </c>
      <c r="F2125" t="s">
        <v>93</v>
      </c>
      <c r="J2125" s="299">
        <v>14532.89</v>
      </c>
    </row>
    <row r="2126" spans="1:10" ht="15">
      <c r="A2126" s="137" t="str">
        <f t="shared" si="30"/>
        <v>HRNOMINA SUCURSALA8</v>
      </c>
      <c r="B2126" t="s">
        <v>2281</v>
      </c>
      <c r="C2126" s="1">
        <f>C2125</f>
        <v>45961</v>
      </c>
      <c r="D2126" t="s">
        <v>29</v>
      </c>
      <c r="E2126" t="s">
        <v>154</v>
      </c>
      <c r="F2126" t="s">
        <v>94</v>
      </c>
      <c r="J2126" s="299">
        <v>15445</v>
      </c>
    </row>
    <row r="2127" spans="1:10" ht="15">
      <c r="A2127" s="137" t="str">
        <f t="shared" si="30"/>
        <v>HRNOMINA SUCURSALA9</v>
      </c>
      <c r="B2127" t="s">
        <v>2281</v>
      </c>
      <c r="C2127" s="1">
        <f>C2126</f>
        <v>45961</v>
      </c>
      <c r="D2127" t="s">
        <v>29</v>
      </c>
      <c r="E2127" t="s">
        <v>154</v>
      </c>
      <c r="F2127" t="s">
        <v>95</v>
      </c>
      <c r="J2127" s="299">
        <v>10538.93</v>
      </c>
    </row>
    <row r="2128" spans="1:10" ht="15">
      <c r="A2128" s="137" t="str">
        <f t="shared" si="30"/>
        <v>HRNOMINA SUCURSALA10</v>
      </c>
      <c r="B2128" t="s">
        <v>2281</v>
      </c>
      <c r="C2128" s="1">
        <f>C2127</f>
        <v>45961</v>
      </c>
      <c r="D2128" t="s">
        <v>29</v>
      </c>
      <c r="E2128" t="s">
        <v>154</v>
      </c>
      <c r="F2128" t="s">
        <v>96</v>
      </c>
      <c r="J2128" s="299">
        <v>16420.93</v>
      </c>
    </row>
    <row r="2129" spans="1:10" ht="15">
      <c r="A2129" s="137" t="str">
        <f t="shared" si="30"/>
        <v>HRNOMINA SUCURSALA11</v>
      </c>
      <c r="B2129" t="s">
        <v>2281</v>
      </c>
      <c r="C2129" s="1">
        <f>C2128</f>
        <v>45961</v>
      </c>
      <c r="D2129" t="s">
        <v>29</v>
      </c>
      <c r="E2129" t="s">
        <v>154</v>
      </c>
      <c r="F2129" t="s">
        <v>97</v>
      </c>
      <c r="J2129" s="299">
        <v>13396.2</v>
      </c>
    </row>
    <row r="2130" spans="1:10" ht="15">
      <c r="A2130" s="137" t="str">
        <f t="shared" si="30"/>
        <v>HRNOMINA SUCURSALA12</v>
      </c>
      <c r="B2130" t="s">
        <v>2281</v>
      </c>
      <c r="C2130" s="1">
        <f>C2129</f>
        <v>45961</v>
      </c>
      <c r="D2130" t="s">
        <v>29</v>
      </c>
      <c r="E2130" t="s">
        <v>154</v>
      </c>
      <c r="F2130" t="s">
        <v>98</v>
      </c>
      <c r="J2130" s="299">
        <v>14057.4</v>
      </c>
    </row>
    <row r="2131" spans="1:10" ht="15">
      <c r="A2131" s="137" t="str">
        <f t="shared" si="30"/>
        <v>HRNOMINA SUCURSALA14</v>
      </c>
      <c r="B2131" t="s">
        <v>2281</v>
      </c>
      <c r="C2131" s="1">
        <f>C2130</f>
        <v>45961</v>
      </c>
      <c r="D2131" t="s">
        <v>29</v>
      </c>
      <c r="E2131" t="s">
        <v>154</v>
      </c>
      <c r="F2131" t="s">
        <v>99</v>
      </c>
      <c r="J2131" s="299">
        <v>13083.8</v>
      </c>
    </row>
    <row r="2132" spans="1:10" ht="15">
      <c r="A2132" s="137" t="str">
        <f t="shared" si="30"/>
        <v>HRNOMINA SUCURSALA15</v>
      </c>
      <c r="B2132" t="s">
        <v>2281</v>
      </c>
      <c r="C2132" s="1">
        <f>C2131</f>
        <v>45961</v>
      </c>
      <c r="D2132" t="s">
        <v>29</v>
      </c>
      <c r="E2132" t="s">
        <v>154</v>
      </c>
      <c r="F2132" t="s">
        <v>100</v>
      </c>
      <c r="J2132" s="299">
        <v>11558.2</v>
      </c>
    </row>
    <row r="2133" spans="1:10" ht="15">
      <c r="A2133" s="137" t="str">
        <f t="shared" si="30"/>
        <v>HRNOMINA SUCURSALA16</v>
      </c>
      <c r="B2133" t="s">
        <v>2281</v>
      </c>
      <c r="C2133" s="1">
        <f>C2132</f>
        <v>45961</v>
      </c>
      <c r="D2133" t="s">
        <v>29</v>
      </c>
      <c r="E2133" t="s">
        <v>154</v>
      </c>
      <c r="F2133" t="s">
        <v>101</v>
      </c>
      <c r="J2133" s="299">
        <v>16383.49</v>
      </c>
    </row>
    <row r="2134" spans="1:10" ht="15">
      <c r="A2134" s="137" t="str">
        <f t="shared" si="30"/>
        <v>HRNOMINA SUCURSALA17</v>
      </c>
      <c r="B2134" t="s">
        <v>2281</v>
      </c>
      <c r="C2134" s="1">
        <f>C2133</f>
        <v>45961</v>
      </c>
      <c r="D2134" t="s">
        <v>29</v>
      </c>
      <c r="E2134" t="s">
        <v>154</v>
      </c>
      <c r="F2134" t="s">
        <v>102</v>
      </c>
      <c r="J2134" s="299">
        <v>11908.8</v>
      </c>
    </row>
    <row r="2135" spans="1:10" ht="15">
      <c r="A2135" s="137" t="str">
        <f t="shared" si="30"/>
        <v>HRNOMINA SUCURSALA18</v>
      </c>
      <c r="B2135" t="s">
        <v>2281</v>
      </c>
      <c r="C2135" s="1">
        <f>C2134</f>
        <v>45961</v>
      </c>
      <c r="D2135" t="s">
        <v>29</v>
      </c>
      <c r="E2135" t="s">
        <v>154</v>
      </c>
      <c r="F2135" t="s">
        <v>103</v>
      </c>
      <c r="J2135" s="299">
        <v>13866.4</v>
      </c>
    </row>
    <row r="2136" spans="1:10" ht="15">
      <c r="A2136" s="137" t="str">
        <f t="shared" si="30"/>
        <v>HRNOMINA SUCURSALA22</v>
      </c>
      <c r="B2136" t="s">
        <v>2281</v>
      </c>
      <c r="C2136" s="1">
        <f>C2135</f>
        <v>45961</v>
      </c>
      <c r="D2136" t="s">
        <v>29</v>
      </c>
      <c r="E2136" t="s">
        <v>154</v>
      </c>
      <c r="F2136" t="s">
        <v>104</v>
      </c>
      <c r="J2136" s="299">
        <v>15091.6</v>
      </c>
    </row>
    <row r="2137" spans="1:10" ht="15">
      <c r="A2137" s="137" t="str">
        <f t="shared" si="30"/>
        <v>HRNOMINA SUCURSALA23</v>
      </c>
      <c r="B2137" t="s">
        <v>2281</v>
      </c>
      <c r="C2137" s="1">
        <f>C2136</f>
        <v>45961</v>
      </c>
      <c r="D2137" t="s">
        <v>29</v>
      </c>
      <c r="E2137" t="s">
        <v>154</v>
      </c>
      <c r="F2137" t="s">
        <v>105</v>
      </c>
      <c r="J2137" s="299">
        <v>11557.2</v>
      </c>
    </row>
    <row r="2138" spans="1:10" ht="15">
      <c r="A2138" s="137" t="str">
        <f t="shared" si="30"/>
        <v>HRNOMINA SUCURSALA24</v>
      </c>
      <c r="B2138" t="s">
        <v>2281</v>
      </c>
      <c r="C2138" s="1">
        <f>C2137</f>
        <v>45961</v>
      </c>
      <c r="D2138" t="s">
        <v>29</v>
      </c>
      <c r="E2138" t="s">
        <v>154</v>
      </c>
      <c r="F2138" t="s">
        <v>106</v>
      </c>
      <c r="J2138" s="299">
        <v>17136</v>
      </c>
    </row>
    <row r="2139" spans="1:10" ht="15">
      <c r="A2139" s="137" t="str">
        <f t="shared" si="30"/>
        <v>CAPNOMINA SUCURSALE1</v>
      </c>
      <c r="B2139" t="s">
        <v>2281</v>
      </c>
      <c r="C2139" s="1">
        <f>C2138</f>
        <v>45961</v>
      </c>
      <c r="D2139" t="s">
        <v>31</v>
      </c>
      <c r="E2139" t="s">
        <v>154</v>
      </c>
      <c r="F2139" t="s">
        <v>107</v>
      </c>
      <c r="J2139" s="299">
        <v>15868.48</v>
      </c>
    </row>
    <row r="2140" spans="1:10" ht="15">
      <c r="A2140" s="137" t="str">
        <f t="shared" si="30"/>
        <v>CAPNOMINA SUCURSALE2</v>
      </c>
      <c r="B2140" t="s">
        <v>2281</v>
      </c>
      <c r="C2140" s="1">
        <f>C2139</f>
        <v>45961</v>
      </c>
      <c r="D2140" t="s">
        <v>31</v>
      </c>
      <c r="E2140" t="s">
        <v>154</v>
      </c>
      <c r="F2140" t="s">
        <v>108</v>
      </c>
      <c r="J2140" s="299">
        <v>24455.4</v>
      </c>
    </row>
    <row r="2141" spans="1:10" ht="15">
      <c r="A2141" s="137" t="str">
        <f t="shared" si="30"/>
        <v>CAPNOMINA SUCURSALE3</v>
      </c>
      <c r="B2141" t="s">
        <v>2281</v>
      </c>
      <c r="C2141" s="1">
        <f>C2140</f>
        <v>45961</v>
      </c>
      <c r="D2141" t="s">
        <v>31</v>
      </c>
      <c r="E2141" t="s">
        <v>154</v>
      </c>
      <c r="F2141" t="s">
        <v>109</v>
      </c>
      <c r="J2141" s="299">
        <v>14494.2</v>
      </c>
    </row>
    <row r="2142" spans="1:10" ht="15">
      <c r="A2142" s="137" t="str">
        <f t="shared" si="30"/>
        <v>CAPNOMINA SUCURSALE4</v>
      </c>
      <c r="B2142" t="s">
        <v>2281</v>
      </c>
      <c r="C2142" s="1">
        <f>C2141</f>
        <v>45961</v>
      </c>
      <c r="D2142" t="s">
        <v>31</v>
      </c>
      <c r="E2142" t="s">
        <v>154</v>
      </c>
      <c r="F2142" t="s">
        <v>110</v>
      </c>
      <c r="J2142" s="299">
        <v>17568.400000000001</v>
      </c>
    </row>
    <row r="2143" spans="1:10" ht="15">
      <c r="A2143" s="137" t="str">
        <f t="shared" si="30"/>
        <v>CAPNOMINA SUCURSALE5</v>
      </c>
      <c r="B2143" t="s">
        <v>2281</v>
      </c>
      <c r="C2143" s="1">
        <f>C2142</f>
        <v>45961</v>
      </c>
      <c r="D2143" t="s">
        <v>31</v>
      </c>
      <c r="E2143" t="s">
        <v>154</v>
      </c>
      <c r="F2143" t="s">
        <v>111</v>
      </c>
      <c r="J2143" s="299">
        <v>23469.8</v>
      </c>
    </row>
    <row r="2144" spans="1:10" ht="15">
      <c r="A2144" s="137" t="str">
        <f t="shared" si="30"/>
        <v>CAPNOMINA SUCURSALE6</v>
      </c>
      <c r="B2144" t="s">
        <v>2281</v>
      </c>
      <c r="C2144" s="1">
        <f>C2143</f>
        <v>45961</v>
      </c>
      <c r="D2144" t="s">
        <v>31</v>
      </c>
      <c r="E2144" t="s">
        <v>154</v>
      </c>
      <c r="F2144" t="s">
        <v>112</v>
      </c>
      <c r="J2144" s="299">
        <v>15955.4</v>
      </c>
    </row>
    <row r="2145" spans="1:10" ht="15">
      <c r="A2145" s="137" t="str">
        <f t="shared" si="30"/>
        <v>CAPNOMINA SUCURSALE7</v>
      </c>
      <c r="B2145" t="s">
        <v>2281</v>
      </c>
      <c r="C2145" s="1">
        <f>C2144</f>
        <v>45961</v>
      </c>
      <c r="D2145" t="s">
        <v>31</v>
      </c>
      <c r="E2145" t="s">
        <v>154</v>
      </c>
      <c r="F2145" t="s">
        <v>113</v>
      </c>
      <c r="J2145" s="299">
        <v>13798.4</v>
      </c>
    </row>
    <row r="2146" spans="1:10" ht="15">
      <c r="A2146" s="137" t="str">
        <f t="shared" si="30"/>
        <v>CAPNOMINA SUCURSALE8</v>
      </c>
      <c r="B2146" t="s">
        <v>2281</v>
      </c>
      <c r="C2146" s="1">
        <f>C2145</f>
        <v>45961</v>
      </c>
      <c r="D2146" t="s">
        <v>31</v>
      </c>
      <c r="E2146" t="s">
        <v>154</v>
      </c>
      <c r="F2146" t="s">
        <v>114</v>
      </c>
      <c r="J2146" s="299">
        <v>29380.799999999999</v>
      </c>
    </row>
    <row r="2147" spans="1:10" ht="15">
      <c r="A2147" s="137" t="str">
        <f t="shared" si="30"/>
        <v>CAPNOMINA SUCURSALE9</v>
      </c>
      <c r="B2147" t="s">
        <v>2281</v>
      </c>
      <c r="C2147" s="1">
        <f>C2146</f>
        <v>45961</v>
      </c>
      <c r="D2147" t="s">
        <v>31</v>
      </c>
      <c r="E2147" t="s">
        <v>154</v>
      </c>
      <c r="F2147" t="s">
        <v>116</v>
      </c>
      <c r="J2147" s="299">
        <v>22750.799999999999</v>
      </c>
    </row>
    <row r="2148" spans="1:10" ht="15">
      <c r="A2148" s="137" t="str">
        <f t="shared" si="30"/>
        <v>ELINOMINA SUCURSALL1</v>
      </c>
      <c r="B2148" t="s">
        <v>2281</v>
      </c>
      <c r="C2148" s="1">
        <f>C2147</f>
        <v>45961</v>
      </c>
      <c r="D2148" t="s">
        <v>130</v>
      </c>
      <c r="E2148" t="s">
        <v>154</v>
      </c>
      <c r="F2148" t="s">
        <v>136</v>
      </c>
      <c r="J2148" s="299">
        <v>10369</v>
      </c>
    </row>
    <row r="2149" spans="1:10" ht="15">
      <c r="A2149" s="137" t="str">
        <f t="shared" si="30"/>
        <v>HRNOMINA ADMONHR</v>
      </c>
      <c r="B2149" t="s">
        <v>2281</v>
      </c>
      <c r="C2149" s="1">
        <f>C2148</f>
        <v>45961</v>
      </c>
      <c r="D2149" t="s">
        <v>29</v>
      </c>
      <c r="E2149" t="s">
        <v>147</v>
      </c>
      <c r="F2149" t="s">
        <v>29</v>
      </c>
      <c r="J2149" s="299">
        <v>25539.599999999999</v>
      </c>
    </row>
    <row r="2150" spans="1:10" ht="15">
      <c r="A2150" s="137" t="str">
        <f t="shared" si="30"/>
        <v>CAPNOMINA ADMONCAPRICHOS</v>
      </c>
      <c r="B2150" t="s">
        <v>2281</v>
      </c>
      <c r="C2150" s="1">
        <f>C2149</f>
        <v>45961</v>
      </c>
      <c r="D2150" t="s">
        <v>31</v>
      </c>
      <c r="E2150" t="s">
        <v>147</v>
      </c>
      <c r="F2150" t="s">
        <v>33</v>
      </c>
      <c r="J2150" s="299">
        <v>23827.9</v>
      </c>
    </row>
    <row r="2151" spans="1:10" ht="15">
      <c r="A2151" s="137" t="str">
        <f t="shared" si="30"/>
        <v>SERVICIOSNOMINA SUCURSALCEDIS</v>
      </c>
      <c r="B2151" t="s">
        <v>2281</v>
      </c>
      <c r="C2151" s="1">
        <f>C2150</f>
        <v>45961</v>
      </c>
      <c r="D2151" t="s">
        <v>21</v>
      </c>
      <c r="E2151" t="s">
        <v>154</v>
      </c>
      <c r="F2151" t="s">
        <v>28</v>
      </c>
      <c r="J2151" s="299">
        <v>82201.13</v>
      </c>
    </row>
    <row r="2152" spans="1:10" ht="15">
      <c r="A2152" s="137" t="str">
        <f t="shared" si="30"/>
        <v>SERVICIOSNOMINA ADMONINVENTARIOS</v>
      </c>
      <c r="B2152" t="s">
        <v>2281</v>
      </c>
      <c r="C2152" s="1">
        <f>C2151</f>
        <v>45961</v>
      </c>
      <c r="D2152" t="s">
        <v>21</v>
      </c>
      <c r="E2152" t="s">
        <v>147</v>
      </c>
      <c r="F2152" t="s">
        <v>34</v>
      </c>
      <c r="J2152" s="299">
        <v>2403.4</v>
      </c>
    </row>
    <row r="2153" spans="1:10" ht="15">
      <c r="A2153" s="137" t="str">
        <f t="shared" si="30"/>
        <v>SERVICIOSNOMINA ADMONMANTENIMIENTO</v>
      </c>
      <c r="B2153" t="s">
        <v>2281</v>
      </c>
      <c r="C2153" s="1">
        <f>C2152</f>
        <v>45961</v>
      </c>
      <c r="D2153" t="s">
        <v>21</v>
      </c>
      <c r="E2153" t="s">
        <v>147</v>
      </c>
      <c r="F2153" t="s">
        <v>35</v>
      </c>
      <c r="J2153" s="299">
        <v>18699.82</v>
      </c>
    </row>
    <row r="2154" spans="1:10" ht="15">
      <c r="A2154" s="137" t="str">
        <f t="shared" si="30"/>
        <v>SERVICIOSNOMINA ADMONCADENA DE SUMINISTROS</v>
      </c>
      <c r="B2154" t="s">
        <v>2281</v>
      </c>
      <c r="C2154" s="1">
        <f>C2153</f>
        <v>45961</v>
      </c>
      <c r="D2154" t="s">
        <v>21</v>
      </c>
      <c r="E2154" t="s">
        <v>147</v>
      </c>
      <c r="F2154" t="s">
        <v>134</v>
      </c>
      <c r="J2154" s="299">
        <v>25355</v>
      </c>
    </row>
    <row r="2155" spans="1:10" ht="15">
      <c r="A2155" s="137" t="str">
        <f t="shared" si="30"/>
        <v>SERVICIOSNOMINA ADMONSISTEMAS</v>
      </c>
      <c r="B2155" t="s">
        <v>2281</v>
      </c>
      <c r="C2155" s="1">
        <f>C2154</f>
        <v>45961</v>
      </c>
      <c r="D2155" t="s">
        <v>21</v>
      </c>
      <c r="E2155" t="s">
        <v>147</v>
      </c>
      <c r="F2155" t="s">
        <v>36</v>
      </c>
      <c r="J2155" s="299">
        <v>11125.29</v>
      </c>
    </row>
    <row r="2156" spans="1:10" ht="15">
      <c r="A2156" s="137" t="str">
        <f t="shared" si="30"/>
        <v>SERVICIOSNOMINA ADMONCOMPRAS</v>
      </c>
      <c r="B2156" t="s">
        <v>2281</v>
      </c>
      <c r="C2156" s="1">
        <f>C2155</f>
        <v>45961</v>
      </c>
      <c r="D2156" t="s">
        <v>21</v>
      </c>
      <c r="E2156" t="s">
        <v>147</v>
      </c>
      <c r="F2156" t="s">
        <v>148</v>
      </c>
      <c r="J2156" s="299">
        <v>23715.11</v>
      </c>
    </row>
    <row r="2157" spans="1:10" ht="15">
      <c r="A2157" s="137" t="str">
        <f t="shared" si="30"/>
        <v>FINANZASNOMINA ADMONCONTABILIDAD</v>
      </c>
      <c r="B2157" t="s">
        <v>2281</v>
      </c>
      <c r="C2157" s="1">
        <f>C2156</f>
        <v>45961</v>
      </c>
      <c r="D2157" t="s">
        <v>23</v>
      </c>
      <c r="E2157" t="s">
        <v>147</v>
      </c>
      <c r="F2157" t="s">
        <v>37</v>
      </c>
      <c r="J2157" s="299">
        <v>15394.07</v>
      </c>
    </row>
    <row r="2158" spans="1:10" ht="15">
      <c r="A2158" s="137" t="str">
        <f t="shared" si="30"/>
        <v>FINANZASNOMINA ADMONFINANZAS/LEGAL</v>
      </c>
      <c r="B2158" t="s">
        <v>2281</v>
      </c>
      <c r="C2158" s="1">
        <f>C2157</f>
        <v>45961</v>
      </c>
      <c r="D2158" t="s">
        <v>23</v>
      </c>
      <c r="E2158" t="s">
        <v>147</v>
      </c>
      <c r="F2158" t="s">
        <v>149</v>
      </c>
      <c r="J2158" s="299">
        <v>9875.2000000000007</v>
      </c>
    </row>
    <row r="2159" spans="1:10" ht="15">
      <c r="A2159" s="137" t="str">
        <f t="shared" si="30"/>
        <v>FINANZASNOMINA ADMONRECURSOS HUMANOS</v>
      </c>
      <c r="B2159" t="s">
        <v>2281</v>
      </c>
      <c r="C2159" s="1">
        <f>C2158</f>
        <v>45961</v>
      </c>
      <c r="D2159" t="s">
        <v>23</v>
      </c>
      <c r="E2159" t="s">
        <v>147</v>
      </c>
      <c r="F2159" t="s">
        <v>125</v>
      </c>
      <c r="J2159" s="299">
        <v>11151.38</v>
      </c>
    </row>
    <row r="2160" spans="1:10" ht="15">
      <c r="A2160" s="137" t="str">
        <f t="shared" si="30"/>
        <v>FINANZASNOMINA ADMONTESORERIA</v>
      </c>
      <c r="B2160" t="s">
        <v>2281</v>
      </c>
      <c r="C2160" s="1">
        <f>C2159</f>
        <v>45961</v>
      </c>
      <c r="D2160" t="s">
        <v>23</v>
      </c>
      <c r="E2160" t="s">
        <v>147</v>
      </c>
      <c r="F2160" t="s">
        <v>38</v>
      </c>
      <c r="J2160" s="299">
        <v>12375.8</v>
      </c>
    </row>
    <row r="2161" spans="1:10" ht="15">
      <c r="A2161" s="137" t="str">
        <f t="shared" si="30"/>
        <v>FINANZASNOMINA ADMONHBG FINANZAS</v>
      </c>
      <c r="B2161" t="s">
        <v>2281</v>
      </c>
      <c r="C2161" s="1">
        <f>C2160</f>
        <v>45961</v>
      </c>
      <c r="D2161" t="s">
        <v>23</v>
      </c>
      <c r="E2161" t="s">
        <v>147</v>
      </c>
      <c r="F2161" t="s">
        <v>150</v>
      </c>
      <c r="J2161" s="299">
        <v>3057</v>
      </c>
    </row>
    <row r="2162" spans="1:10" ht="15">
      <c r="A2162" s="137" t="str">
        <f t="shared" si="30"/>
        <v>SGENOMINA ADMONGESTION EMPRESARIAL</v>
      </c>
      <c r="B2162" t="s">
        <v>2281</v>
      </c>
      <c r="C2162" s="1">
        <f>C2161</f>
        <v>45961</v>
      </c>
      <c r="D2162" t="s">
        <v>39</v>
      </c>
      <c r="E2162" t="s">
        <v>147</v>
      </c>
      <c r="F2162" t="s">
        <v>40</v>
      </c>
      <c r="J2162" s="299">
        <v>23641.8</v>
      </c>
    </row>
    <row r="2163" spans="1:10" ht="15">
      <c r="A2163" s="137" t="str">
        <f t="shared" si="30"/>
        <v>DENOMINA ADMONDIRECCION</v>
      </c>
      <c r="B2163" t="s">
        <v>2281</v>
      </c>
      <c r="C2163" s="1">
        <f>C2162</f>
        <v>45961</v>
      </c>
      <c r="D2163" t="s">
        <v>41</v>
      </c>
      <c r="E2163" t="s">
        <v>147</v>
      </c>
      <c r="F2163" t="s">
        <v>42</v>
      </c>
      <c r="J2163" s="299">
        <v>7000.6</v>
      </c>
    </row>
    <row r="2164" spans="1:10" ht="15">
      <c r="A2164" s="137" t="str">
        <f t="shared" si="30"/>
        <v>MELNOMINA ADMONMELISSA</v>
      </c>
      <c r="B2164" t="s">
        <v>2281</v>
      </c>
      <c r="C2164" s="1">
        <f>C2163</f>
        <v>45961</v>
      </c>
      <c r="D2164" t="s">
        <v>43</v>
      </c>
      <c r="E2164" t="s">
        <v>147</v>
      </c>
      <c r="F2164" t="s">
        <v>44</v>
      </c>
      <c r="J2164" s="299">
        <v>4252.8</v>
      </c>
    </row>
    <row r="2165" spans="1:10" ht="15">
      <c r="A2165" s="137" t="str">
        <f t="shared" si="30"/>
        <v>MMNOMINA ADMONMARKET MAX</v>
      </c>
      <c r="B2165" t="s">
        <v>2281</v>
      </c>
      <c r="C2165" s="1">
        <f>C2164</f>
        <v>45961</v>
      </c>
      <c r="D2165" t="s">
        <v>45</v>
      </c>
      <c r="E2165" t="s">
        <v>147</v>
      </c>
      <c r="F2165" t="s">
        <v>46</v>
      </c>
      <c r="J2165" s="299">
        <v>8514.94</v>
      </c>
    </row>
    <row r="2166" spans="1:10" ht="15">
      <c r="A2166" s="137" t="str">
        <f t="shared" si="30"/>
        <v>ANALISISNOMINA ADMONANALISIS DE DATOS</v>
      </c>
      <c r="B2166" t="s">
        <v>2281</v>
      </c>
      <c r="C2166" s="1">
        <f>C2165</f>
        <v>45961</v>
      </c>
      <c r="D2166" t="s">
        <v>152</v>
      </c>
      <c r="E2166" t="s">
        <v>147</v>
      </c>
      <c r="F2166" t="s">
        <v>153</v>
      </c>
      <c r="J2166" s="299">
        <v>3800</v>
      </c>
    </row>
    <row r="2167" spans="1:10" ht="15">
      <c r="A2167" s="137" t="str">
        <f t="shared" si="30"/>
        <v>MKTNOMINA ADMONMKT</v>
      </c>
      <c r="B2167" t="s">
        <v>2281</v>
      </c>
      <c r="C2167" s="1">
        <f>C2166</f>
        <v>45961</v>
      </c>
      <c r="D2167" t="s">
        <v>19</v>
      </c>
      <c r="E2167" t="s">
        <v>147</v>
      </c>
      <c r="F2167" t="s">
        <v>19</v>
      </c>
      <c r="J2167" s="299">
        <v>26003.599999999999</v>
      </c>
    </row>
    <row r="2168" spans="1:10" ht="15">
      <c r="A2168" s="137" t="str">
        <f t="shared" si="30"/>
        <v>FINANZASNOMINA ADMONHBG FINANZAS</v>
      </c>
      <c r="B2168" t="s">
        <v>2281</v>
      </c>
      <c r="C2168" s="1">
        <f>C2167</f>
        <v>45961</v>
      </c>
      <c r="D2168" t="s">
        <v>23</v>
      </c>
      <c r="E2168" t="s">
        <v>147</v>
      </c>
      <c r="F2168" s="12" t="s">
        <v>150</v>
      </c>
      <c r="J2168" s="385">
        <v>10950</v>
      </c>
    </row>
    <row r="2169" spans="1:10" ht="15">
      <c r="A2169" s="137" t="str">
        <f t="shared" si="30"/>
        <v>HRNOMINA ADMONHR</v>
      </c>
      <c r="B2169" t="s">
        <v>2281</v>
      </c>
      <c r="C2169" s="1">
        <f>C2168</f>
        <v>45961</v>
      </c>
      <c r="D2169" t="s">
        <v>29</v>
      </c>
      <c r="E2169" t="s">
        <v>147</v>
      </c>
      <c r="F2169" s="3" t="s">
        <v>29</v>
      </c>
      <c r="J2169" s="385">
        <v>5500</v>
      </c>
    </row>
    <row r="2170" spans="1:10" ht="15">
      <c r="A2170" s="137" t="str">
        <f t="shared" si="30"/>
        <v>CAPNOMINA ADMONCAPRICHOS</v>
      </c>
      <c r="B2170" t="s">
        <v>2281</v>
      </c>
      <c r="C2170" s="1">
        <f>C2169</f>
        <v>45961</v>
      </c>
      <c r="D2170" t="s">
        <v>31</v>
      </c>
      <c r="E2170" t="s">
        <v>147</v>
      </c>
      <c r="F2170" s="12" t="s">
        <v>33</v>
      </c>
      <c r="J2170" s="385">
        <v>3700</v>
      </c>
    </row>
    <row r="2171" spans="1:10" ht="15">
      <c r="A2171" s="137" t="str">
        <f t="shared" si="30"/>
        <v>SGENOMINA ADMONGESTION EMPRESARIAL</v>
      </c>
      <c r="B2171" t="s">
        <v>2281</v>
      </c>
      <c r="C2171" s="1">
        <f>C2170</f>
        <v>45961</v>
      </c>
      <c r="D2171" t="s">
        <v>39</v>
      </c>
      <c r="E2171" t="s">
        <v>147</v>
      </c>
      <c r="F2171" s="12" t="s">
        <v>40</v>
      </c>
      <c r="J2171" s="385">
        <v>2750</v>
      </c>
    </row>
    <row r="2172" spans="1:10" ht="15">
      <c r="A2172" s="137" t="str">
        <f t="shared" si="30"/>
        <v>SERVICIOSNOMINA ADMONSERVICIOS</v>
      </c>
      <c r="B2172" t="s">
        <v>2281</v>
      </c>
      <c r="C2172" s="1">
        <f>C2171</f>
        <v>45961</v>
      </c>
      <c r="D2172" t="s">
        <v>21</v>
      </c>
      <c r="E2172" t="s">
        <v>147</v>
      </c>
      <c r="F2172" s="12" t="s">
        <v>21</v>
      </c>
      <c r="J2172" s="385">
        <v>4750</v>
      </c>
    </row>
    <row r="2173" spans="1:10" ht="15">
      <c r="A2173" s="137" t="str">
        <f t="shared" si="30"/>
        <v>DENOMINA ADMONDIRECCION</v>
      </c>
      <c r="B2173" t="s">
        <v>2281</v>
      </c>
      <c r="C2173" s="1">
        <f>C2172</f>
        <v>45961</v>
      </c>
      <c r="D2173" t="s">
        <v>41</v>
      </c>
      <c r="E2173" t="s">
        <v>147</v>
      </c>
      <c r="F2173" s="12" t="s">
        <v>42</v>
      </c>
      <c r="J2173" s="385">
        <v>5750</v>
      </c>
    </row>
    <row r="2174" spans="1:10" ht="15">
      <c r="A2174" s="137" t="str">
        <f t="shared" si="30"/>
        <v>MMNOMINA ADMONMARKET MAX</v>
      </c>
      <c r="B2174" t="s">
        <v>2281</v>
      </c>
      <c r="C2174" s="1">
        <f>C2173</f>
        <v>45961</v>
      </c>
      <c r="D2174" t="s">
        <v>45</v>
      </c>
      <c r="E2174" t="s">
        <v>147</v>
      </c>
      <c r="F2174" s="12" t="s">
        <v>46</v>
      </c>
      <c r="J2174" s="385">
        <v>2000</v>
      </c>
    </row>
    <row r="2175" spans="1:10" ht="15">
      <c r="A2175" s="137" t="str">
        <f t="shared" si="30"/>
        <v>SERVICIOSVACACIONES/FINIQUITOSSERVICIOS</v>
      </c>
      <c r="B2175" t="s">
        <v>2281</v>
      </c>
      <c r="C2175" s="1">
        <f>C2174</f>
        <v>45961</v>
      </c>
      <c r="D2175" t="s">
        <v>21</v>
      </c>
      <c r="E2175" s="12" t="s">
        <v>190</v>
      </c>
      <c r="F2175" t="s">
        <v>21</v>
      </c>
      <c r="H2175" t="s">
        <v>4827</v>
      </c>
      <c r="J2175" s="385">
        <v>1017.43</v>
      </c>
    </row>
    <row r="2176" spans="1:10" ht="15">
      <c r="A2176" s="137" t="str">
        <f t="shared" si="30"/>
        <v>HRVACACIONES/FINIQUITOSHR</v>
      </c>
      <c r="B2176" t="s">
        <v>2281</v>
      </c>
      <c r="C2176" s="1">
        <f>C2175</f>
        <v>45961</v>
      </c>
      <c r="D2176" t="s">
        <v>29</v>
      </c>
      <c r="E2176" s="12" t="s">
        <v>190</v>
      </c>
      <c r="F2176" t="s">
        <v>29</v>
      </c>
      <c r="H2176" t="s">
        <v>96</v>
      </c>
      <c r="J2176" s="385">
        <v>912</v>
      </c>
    </row>
    <row r="2177" spans="1:10" ht="15">
      <c r="A2177" s="137" t="str">
        <f t="shared" si="30"/>
        <v>CAPVACACIONES/FINIQUITOSCAPRICHOS</v>
      </c>
      <c r="B2177" t="s">
        <v>2281</v>
      </c>
      <c r="C2177" s="1">
        <f>C2176</f>
        <v>45961</v>
      </c>
      <c r="D2177" t="s">
        <v>31</v>
      </c>
      <c r="E2177" s="12" t="s">
        <v>190</v>
      </c>
      <c r="F2177" t="s">
        <v>33</v>
      </c>
      <c r="H2177" t="s">
        <v>4828</v>
      </c>
      <c r="J2177" s="385">
        <v>407.4</v>
      </c>
    </row>
    <row r="2178" spans="1:10" ht="15">
      <c r="A2178" s="137" t="str">
        <f t="shared" si="30"/>
        <v>HRNOMINA SUCURSALA1</v>
      </c>
      <c r="B2178" t="s">
        <v>2565</v>
      </c>
      <c r="C2178" s="1">
        <v>45968</v>
      </c>
      <c r="D2178" t="s">
        <v>29</v>
      </c>
      <c r="E2178" t="s">
        <v>154</v>
      </c>
      <c r="F2178" t="s">
        <v>88</v>
      </c>
      <c r="J2178" s="389">
        <v>11470</v>
      </c>
    </row>
    <row r="2179" spans="1:10" ht="15">
      <c r="A2179" s="137" t="str">
        <f>D2179&amp;E2179&amp;F2179</f>
        <v>HRNOMINA SUCURSALA2</v>
      </c>
      <c r="B2179" t="s">
        <v>2565</v>
      </c>
      <c r="C2179" s="1">
        <f>C2178</f>
        <v>45968</v>
      </c>
      <c r="D2179" t="s">
        <v>29</v>
      </c>
      <c r="E2179" t="s">
        <v>154</v>
      </c>
      <c r="F2179" t="s">
        <v>89</v>
      </c>
      <c r="J2179" s="389">
        <v>16216.2</v>
      </c>
    </row>
    <row r="2180" spans="1:10" ht="15">
      <c r="A2180" s="137" t="str">
        <f>D2180&amp;E2180&amp;F2180</f>
        <v>HRNOMINA SUCURSALA3</v>
      </c>
      <c r="B2180" t="s">
        <v>2565</v>
      </c>
      <c r="C2180" s="1">
        <f>C2179</f>
        <v>45968</v>
      </c>
      <c r="D2180" t="s">
        <v>29</v>
      </c>
      <c r="E2180" t="s">
        <v>154</v>
      </c>
      <c r="F2180" t="s">
        <v>90</v>
      </c>
      <c r="J2180" s="389">
        <v>9951</v>
      </c>
    </row>
    <row r="2181" spans="1:10" ht="15">
      <c r="A2181" s="137" t="str">
        <f>D2181&amp;E2181&amp;F2181</f>
        <v>HRNOMINA SUCURSALA4</v>
      </c>
      <c r="B2181" t="s">
        <v>2565</v>
      </c>
      <c r="C2181" s="1">
        <f>C2180</f>
        <v>45968</v>
      </c>
      <c r="D2181" t="s">
        <v>29</v>
      </c>
      <c r="E2181" t="s">
        <v>154</v>
      </c>
      <c r="F2181" t="s">
        <v>91</v>
      </c>
      <c r="J2181" s="389">
        <v>11939.8</v>
      </c>
    </row>
    <row r="2182" spans="1:10" ht="15">
      <c r="A2182" s="137" t="str">
        <f>D2182&amp;E2182&amp;F2182</f>
        <v>HRNOMINA SUCURSALA5</v>
      </c>
      <c r="B2182" t="s">
        <v>2565</v>
      </c>
      <c r="C2182" s="1">
        <f>C2181</f>
        <v>45968</v>
      </c>
      <c r="D2182" t="s">
        <v>29</v>
      </c>
      <c r="E2182" t="s">
        <v>154</v>
      </c>
      <c r="F2182" t="s">
        <v>92</v>
      </c>
      <c r="J2182" s="389">
        <v>13356.4</v>
      </c>
    </row>
    <row r="2183" spans="1:10" ht="15">
      <c r="A2183" s="137" t="str">
        <f>D2183&amp;E2183&amp;F2183</f>
        <v>HRNOMINA SUCURSALA6</v>
      </c>
      <c r="B2183" t="s">
        <v>2565</v>
      </c>
      <c r="C2183" s="1">
        <f>C2182</f>
        <v>45968</v>
      </c>
      <c r="D2183" t="s">
        <v>29</v>
      </c>
      <c r="E2183" t="s">
        <v>154</v>
      </c>
      <c r="F2183" t="s">
        <v>93</v>
      </c>
      <c r="J2183" s="389">
        <v>14619.29</v>
      </c>
    </row>
    <row r="2184" spans="1:10" ht="15">
      <c r="A2184" s="137" t="str">
        <f>D2184&amp;E2184&amp;F2184</f>
        <v>HRNOMINA SUCURSALA8</v>
      </c>
      <c r="B2184" t="s">
        <v>2565</v>
      </c>
      <c r="C2184" s="1">
        <f>C2183</f>
        <v>45968</v>
      </c>
      <c r="D2184" t="s">
        <v>29</v>
      </c>
      <c r="E2184" t="s">
        <v>154</v>
      </c>
      <c r="F2184" t="s">
        <v>94</v>
      </c>
      <c r="J2184" s="389">
        <v>15490.4</v>
      </c>
    </row>
    <row r="2185" spans="1:10" ht="15">
      <c r="A2185" s="137" t="str">
        <f>D2185&amp;E2185&amp;F2185</f>
        <v>HRNOMINA SUCURSALA9</v>
      </c>
      <c r="B2185" t="s">
        <v>2565</v>
      </c>
      <c r="C2185" s="1">
        <f>C2184</f>
        <v>45968</v>
      </c>
      <c r="D2185" t="s">
        <v>29</v>
      </c>
      <c r="E2185" t="s">
        <v>154</v>
      </c>
      <c r="F2185" t="s">
        <v>95</v>
      </c>
      <c r="J2185" s="389">
        <v>12742.91</v>
      </c>
    </row>
    <row r="2186" spans="1:10" ht="15">
      <c r="A2186" s="137" t="str">
        <f>D2186&amp;E2186&amp;F2186</f>
        <v>HRNOMINA SUCURSALA10</v>
      </c>
      <c r="B2186" t="s">
        <v>2565</v>
      </c>
      <c r="C2186" s="1">
        <f>C2185</f>
        <v>45968</v>
      </c>
      <c r="D2186" t="s">
        <v>29</v>
      </c>
      <c r="E2186" t="s">
        <v>154</v>
      </c>
      <c r="F2186" t="s">
        <v>96</v>
      </c>
      <c r="J2186" s="389">
        <v>22425.599999999999</v>
      </c>
    </row>
    <row r="2187" spans="1:10" ht="15">
      <c r="A2187" s="137" t="str">
        <f>D2187&amp;E2187&amp;F2187</f>
        <v>HRNOMINA SUCURSALA11</v>
      </c>
      <c r="B2187" t="s">
        <v>2565</v>
      </c>
      <c r="C2187" s="1">
        <f>C2186</f>
        <v>45968</v>
      </c>
      <c r="D2187" t="s">
        <v>29</v>
      </c>
      <c r="E2187" t="s">
        <v>154</v>
      </c>
      <c r="F2187" t="s">
        <v>97</v>
      </c>
      <c r="J2187" s="389">
        <v>13331.6</v>
      </c>
    </row>
    <row r="2188" spans="1:10" ht="15">
      <c r="A2188" s="137" t="str">
        <f>D2188&amp;E2188&amp;F2188</f>
        <v>HRNOMINA SUCURSALA12</v>
      </c>
      <c r="B2188" t="s">
        <v>2565</v>
      </c>
      <c r="C2188" s="1">
        <f>C2187</f>
        <v>45968</v>
      </c>
      <c r="D2188" t="s">
        <v>29</v>
      </c>
      <c r="E2188" t="s">
        <v>154</v>
      </c>
      <c r="F2188" t="s">
        <v>98</v>
      </c>
      <c r="J2188" s="389">
        <v>16581.400000000001</v>
      </c>
    </row>
    <row r="2189" spans="1:10" ht="15">
      <c r="A2189" s="137" t="str">
        <f>D2189&amp;E2189&amp;F2189</f>
        <v>HRNOMINA SUCURSALA14</v>
      </c>
      <c r="B2189" t="s">
        <v>2565</v>
      </c>
      <c r="C2189" s="1">
        <f>C2188</f>
        <v>45968</v>
      </c>
      <c r="D2189" t="s">
        <v>29</v>
      </c>
      <c r="E2189" t="s">
        <v>154</v>
      </c>
      <c r="F2189" t="s">
        <v>99</v>
      </c>
      <c r="J2189" s="389">
        <v>14835.4</v>
      </c>
    </row>
    <row r="2190" spans="1:10" ht="15">
      <c r="A2190" s="137" t="str">
        <f>D2190&amp;E2190&amp;F2190</f>
        <v>HRNOMINA SUCURSALA15</v>
      </c>
      <c r="B2190" t="s">
        <v>2565</v>
      </c>
      <c r="C2190" s="1">
        <f>C2189</f>
        <v>45968</v>
      </c>
      <c r="D2190" t="s">
        <v>29</v>
      </c>
      <c r="E2190" t="s">
        <v>154</v>
      </c>
      <c r="F2190" t="s">
        <v>100</v>
      </c>
      <c r="J2190" s="389">
        <v>12121</v>
      </c>
    </row>
    <row r="2191" spans="1:10" ht="15">
      <c r="A2191" s="137" t="str">
        <f>D2191&amp;E2191&amp;F2191</f>
        <v>HRNOMINA SUCURSALA16</v>
      </c>
      <c r="B2191" t="s">
        <v>2565</v>
      </c>
      <c r="C2191" s="1">
        <f>C2190</f>
        <v>45968</v>
      </c>
      <c r="D2191" t="s">
        <v>29</v>
      </c>
      <c r="E2191" t="s">
        <v>154</v>
      </c>
      <c r="F2191" t="s">
        <v>101</v>
      </c>
      <c r="J2191" s="389">
        <v>16733.689999999999</v>
      </c>
    </row>
    <row r="2192" spans="1:10" ht="15">
      <c r="A2192" s="137" t="str">
        <f>D2192&amp;E2192&amp;F2192</f>
        <v>HRNOMINA SUCURSALA17</v>
      </c>
      <c r="B2192" t="s">
        <v>2565</v>
      </c>
      <c r="C2192" s="1">
        <f>C2191</f>
        <v>45968</v>
      </c>
      <c r="D2192" t="s">
        <v>29</v>
      </c>
      <c r="E2192" t="s">
        <v>154</v>
      </c>
      <c r="F2192" t="s">
        <v>102</v>
      </c>
      <c r="J2192" s="389">
        <v>12016.6</v>
      </c>
    </row>
    <row r="2193" spans="1:10" ht="15">
      <c r="A2193" s="137" t="str">
        <f>D2193&amp;E2193&amp;F2193</f>
        <v>HRNOMINA SUCURSALA18</v>
      </c>
      <c r="B2193" t="s">
        <v>2565</v>
      </c>
      <c r="C2193" s="1">
        <f>C2192</f>
        <v>45968</v>
      </c>
      <c r="D2193" t="s">
        <v>29</v>
      </c>
      <c r="E2193" t="s">
        <v>154</v>
      </c>
      <c r="F2193" t="s">
        <v>103</v>
      </c>
      <c r="J2193" s="389">
        <v>16309</v>
      </c>
    </row>
    <row r="2194" spans="1:10" ht="15">
      <c r="A2194" s="137" t="str">
        <f>D2194&amp;E2194&amp;F2194</f>
        <v>HRNOMINA SUCURSALA22</v>
      </c>
      <c r="B2194" t="s">
        <v>2565</v>
      </c>
      <c r="C2194" s="1">
        <f>C2193</f>
        <v>45968</v>
      </c>
      <c r="D2194" t="s">
        <v>29</v>
      </c>
      <c r="E2194" t="s">
        <v>154</v>
      </c>
      <c r="F2194" t="s">
        <v>104</v>
      </c>
      <c r="J2194" s="389">
        <v>16251</v>
      </c>
    </row>
    <row r="2195" spans="1:10" ht="15">
      <c r="A2195" s="137" t="str">
        <f>D2195&amp;E2195&amp;F2195</f>
        <v>HRNOMINA SUCURSALA23</v>
      </c>
      <c r="B2195" t="s">
        <v>2565</v>
      </c>
      <c r="C2195" s="1">
        <f>C2194</f>
        <v>45968</v>
      </c>
      <c r="D2195" t="s">
        <v>29</v>
      </c>
      <c r="E2195" t="s">
        <v>154</v>
      </c>
      <c r="F2195" t="s">
        <v>105</v>
      </c>
      <c r="J2195" s="389">
        <v>14621.4</v>
      </c>
    </row>
    <row r="2196" spans="1:10" ht="15">
      <c r="A2196" s="137" t="str">
        <f>D2196&amp;E2196&amp;F2196</f>
        <v>HRNOMINA SUCURSALA24</v>
      </c>
      <c r="B2196" t="s">
        <v>2565</v>
      </c>
      <c r="C2196" s="1">
        <f>C2195</f>
        <v>45968</v>
      </c>
      <c r="D2196" t="s">
        <v>29</v>
      </c>
      <c r="E2196" t="s">
        <v>154</v>
      </c>
      <c r="F2196" t="s">
        <v>106</v>
      </c>
      <c r="J2196" s="389">
        <v>16339.8</v>
      </c>
    </row>
    <row r="2197" spans="1:10" ht="15">
      <c r="A2197" s="137" t="str">
        <f>D2197&amp;E2197&amp;F2197</f>
        <v>CAPNOMINA SUCURSALE1</v>
      </c>
      <c r="B2197" t="s">
        <v>2565</v>
      </c>
      <c r="C2197" s="1">
        <f>C2196</f>
        <v>45968</v>
      </c>
      <c r="D2197" t="s">
        <v>31</v>
      </c>
      <c r="E2197" t="s">
        <v>154</v>
      </c>
      <c r="F2197" t="s">
        <v>107</v>
      </c>
      <c r="J2197" s="389">
        <v>15841.48</v>
      </c>
    </row>
    <row r="2198" spans="1:10" ht="15">
      <c r="A2198" s="137" t="str">
        <f>D2198&amp;E2198&amp;F2198</f>
        <v>CAPNOMINA SUCURSALE2</v>
      </c>
      <c r="B2198" t="s">
        <v>2565</v>
      </c>
      <c r="C2198" s="1">
        <f>C2197</f>
        <v>45968</v>
      </c>
      <c r="D2198" t="s">
        <v>31</v>
      </c>
      <c r="E2198" t="s">
        <v>154</v>
      </c>
      <c r="F2198" t="s">
        <v>108</v>
      </c>
      <c r="J2198" s="389">
        <v>30030.400000000001</v>
      </c>
    </row>
    <row r="2199" spans="1:10" ht="15">
      <c r="A2199" s="137" t="str">
        <f>D2199&amp;E2199&amp;F2199</f>
        <v>CAPNOMINA SUCURSALE3</v>
      </c>
      <c r="B2199" t="s">
        <v>2565</v>
      </c>
      <c r="C2199" s="1">
        <f>C2198</f>
        <v>45968</v>
      </c>
      <c r="D2199" t="s">
        <v>31</v>
      </c>
      <c r="E2199" t="s">
        <v>154</v>
      </c>
      <c r="F2199" t="s">
        <v>109</v>
      </c>
      <c r="J2199" s="389">
        <v>15121.4</v>
      </c>
    </row>
    <row r="2200" spans="1:10" ht="15">
      <c r="A2200" s="137" t="str">
        <f>D2200&amp;E2200&amp;F2200</f>
        <v>CAPNOMINA SUCURSALE4</v>
      </c>
      <c r="B2200" t="s">
        <v>2565</v>
      </c>
      <c r="C2200" s="1">
        <f>C2199</f>
        <v>45968</v>
      </c>
      <c r="D2200" t="s">
        <v>31</v>
      </c>
      <c r="E2200" t="s">
        <v>154</v>
      </c>
      <c r="F2200" t="s">
        <v>110</v>
      </c>
      <c r="J2200" s="389">
        <v>25498.400000000001</v>
      </c>
    </row>
    <row r="2201" spans="1:10" ht="15">
      <c r="A2201" s="137" t="str">
        <f>D2201&amp;E2201&amp;F2201</f>
        <v>CAPNOMINA SUCURSALE5</v>
      </c>
      <c r="B2201" t="s">
        <v>2565</v>
      </c>
      <c r="C2201" s="1">
        <f>C2200</f>
        <v>45968</v>
      </c>
      <c r="D2201" t="s">
        <v>31</v>
      </c>
      <c r="E2201" t="s">
        <v>154</v>
      </c>
      <c r="F2201" t="s">
        <v>111</v>
      </c>
      <c r="J2201" s="389">
        <v>23022.2</v>
      </c>
    </row>
    <row r="2202" spans="1:10" ht="15">
      <c r="A2202" s="137" t="str">
        <f>D2202&amp;E2202&amp;F2202</f>
        <v>CAPNOMINA SUCURSALE6</v>
      </c>
      <c r="B2202" t="s">
        <v>2565</v>
      </c>
      <c r="C2202" s="1">
        <f>C2201</f>
        <v>45968</v>
      </c>
      <c r="D2202" t="s">
        <v>31</v>
      </c>
      <c r="E2202" t="s">
        <v>154</v>
      </c>
      <c r="F2202" t="s">
        <v>112</v>
      </c>
      <c r="J2202" s="389">
        <v>13944.8</v>
      </c>
    </row>
    <row r="2203" spans="1:10" ht="15">
      <c r="A2203" s="137" t="str">
        <f>D2203&amp;E2203&amp;F2203</f>
        <v>CAPNOMINA SUCURSALE7</v>
      </c>
      <c r="B2203" t="s">
        <v>2565</v>
      </c>
      <c r="C2203" s="1">
        <f>C2202</f>
        <v>45968</v>
      </c>
      <c r="D2203" t="s">
        <v>31</v>
      </c>
      <c r="E2203" t="s">
        <v>154</v>
      </c>
      <c r="F2203" t="s">
        <v>113</v>
      </c>
      <c r="J2203" s="389">
        <v>13235.6</v>
      </c>
    </row>
    <row r="2204" spans="1:10" ht="15">
      <c r="A2204" s="137" t="str">
        <f>D2204&amp;E2204&amp;F2204</f>
        <v>CAPNOMINA SUCURSALE8</v>
      </c>
      <c r="B2204" t="s">
        <v>2565</v>
      </c>
      <c r="C2204" s="1">
        <f>C2203</f>
        <v>45968</v>
      </c>
      <c r="D2204" t="s">
        <v>31</v>
      </c>
      <c r="E2204" t="s">
        <v>154</v>
      </c>
      <c r="F2204" t="s">
        <v>114</v>
      </c>
      <c r="J2204" s="389">
        <v>34039</v>
      </c>
    </row>
    <row r="2205" spans="1:10" ht="15">
      <c r="A2205" s="137" t="str">
        <f>D2205&amp;E2205&amp;F2205</f>
        <v>CAPNOMINA SUCURSALE9</v>
      </c>
      <c r="B2205" t="s">
        <v>2565</v>
      </c>
      <c r="C2205" s="1">
        <f>C2204</f>
        <v>45968</v>
      </c>
      <c r="D2205" t="s">
        <v>31</v>
      </c>
      <c r="E2205" t="s">
        <v>154</v>
      </c>
      <c r="F2205" t="s">
        <v>116</v>
      </c>
      <c r="J2205" s="389">
        <v>22397.8</v>
      </c>
    </row>
    <row r="2206" spans="1:10" ht="15">
      <c r="A2206" s="137" t="str">
        <f>D2206&amp;E2206&amp;F2206</f>
        <v>ELINOMINA SUCURSALL1</v>
      </c>
      <c r="B2206" t="s">
        <v>2565</v>
      </c>
      <c r="C2206" s="1">
        <f>C2205</f>
        <v>45968</v>
      </c>
      <c r="D2206" t="s">
        <v>130</v>
      </c>
      <c r="E2206" t="s">
        <v>154</v>
      </c>
      <c r="F2206" t="s">
        <v>136</v>
      </c>
      <c r="J2206" s="389">
        <v>11207.2</v>
      </c>
    </row>
    <row r="2207" spans="1:10" ht="15">
      <c r="A2207" s="137" t="str">
        <f>D2207&amp;E2207&amp;F2207</f>
        <v>HRNOMINA ADMONHR</v>
      </c>
      <c r="B2207" t="s">
        <v>2565</v>
      </c>
      <c r="C2207" s="1">
        <f>C2206</f>
        <v>45968</v>
      </c>
      <c r="D2207" t="s">
        <v>29</v>
      </c>
      <c r="E2207" t="s">
        <v>147</v>
      </c>
      <c r="F2207" t="s">
        <v>29</v>
      </c>
      <c r="J2207" s="389">
        <v>33732.6</v>
      </c>
    </row>
    <row r="2208" spans="1:10" ht="15">
      <c r="A2208" s="137" t="str">
        <f>D2208&amp;E2208&amp;F2208</f>
        <v>CAPNOMINA ADMONCAPRICHOS</v>
      </c>
      <c r="B2208" t="s">
        <v>2565</v>
      </c>
      <c r="C2208" s="1">
        <f>C2207</f>
        <v>45968</v>
      </c>
      <c r="D2208" t="s">
        <v>31</v>
      </c>
      <c r="E2208" t="s">
        <v>147</v>
      </c>
      <c r="F2208" t="s">
        <v>33</v>
      </c>
      <c r="J2208" s="389">
        <v>23402.3</v>
      </c>
    </row>
    <row r="2209" spans="1:10" ht="15">
      <c r="A2209" s="137" t="str">
        <f>D2209&amp;E2209&amp;F2209</f>
        <v>SERVICIOSNOMINA SUCURSALCEDIS</v>
      </c>
      <c r="B2209" t="s">
        <v>2565</v>
      </c>
      <c r="C2209" s="1">
        <f>C2208</f>
        <v>45968</v>
      </c>
      <c r="D2209" t="s">
        <v>21</v>
      </c>
      <c r="E2209" t="s">
        <v>154</v>
      </c>
      <c r="F2209" t="s">
        <v>28</v>
      </c>
      <c r="J2209" s="388">
        <v>92482.69</v>
      </c>
    </row>
    <row r="2210" spans="1:10" ht="15">
      <c r="A2210" s="137" t="str">
        <f>D2210&amp;E2210&amp;F2210</f>
        <v>SERVICIOSNOMINA ADMONINVENTARIOS</v>
      </c>
      <c r="B2210" t="s">
        <v>2565</v>
      </c>
      <c r="C2210" s="1">
        <f>C2209</f>
        <v>45968</v>
      </c>
      <c r="D2210" t="s">
        <v>21</v>
      </c>
      <c r="E2210" t="s">
        <v>147</v>
      </c>
      <c r="F2210" t="s">
        <v>34</v>
      </c>
      <c r="J2210" s="389">
        <v>2800.2</v>
      </c>
    </row>
    <row r="2211" spans="1:10" ht="15">
      <c r="A2211" s="137" t="str">
        <f>D2211&amp;E2211&amp;F2211</f>
        <v>SERVICIOSNOMINA ADMONMANTENIMIENTO</v>
      </c>
      <c r="B2211" t="s">
        <v>2565</v>
      </c>
      <c r="C2211" s="1">
        <f>C2210</f>
        <v>45968</v>
      </c>
      <c r="D2211" t="s">
        <v>21</v>
      </c>
      <c r="E2211" t="s">
        <v>147</v>
      </c>
      <c r="F2211" t="s">
        <v>35</v>
      </c>
      <c r="J2211" s="389">
        <v>16863.02</v>
      </c>
    </row>
    <row r="2212" spans="1:10" ht="15">
      <c r="A2212" s="137" t="str">
        <f>D2212&amp;E2212&amp;F2212</f>
        <v>SERVICIOSNOMINA ADMONCADENA DE SUMINISTROS</v>
      </c>
      <c r="B2212" t="s">
        <v>2565</v>
      </c>
      <c r="C2212" s="1">
        <f>C2211</f>
        <v>45968</v>
      </c>
      <c r="D2212" t="s">
        <v>21</v>
      </c>
      <c r="E2212" t="s">
        <v>147</v>
      </c>
      <c r="F2212" t="s">
        <v>134</v>
      </c>
      <c r="J2212" s="389">
        <v>26205.200000000001</v>
      </c>
    </row>
    <row r="2213" spans="1:10" ht="15">
      <c r="A2213" s="137" t="str">
        <f>D2213&amp;E2213&amp;F2213</f>
        <v>SERVICIOSNOMINA ADMONSISTEMAS</v>
      </c>
      <c r="B2213" t="s">
        <v>2565</v>
      </c>
      <c r="C2213" s="1">
        <f>C2212</f>
        <v>45968</v>
      </c>
      <c r="D2213" t="s">
        <v>21</v>
      </c>
      <c r="E2213" t="s">
        <v>147</v>
      </c>
      <c r="F2213" t="s">
        <v>36</v>
      </c>
      <c r="J2213" s="389">
        <v>10774.49</v>
      </c>
    </row>
    <row r="2214" spans="1:10" ht="15">
      <c r="A2214" s="137" t="str">
        <f>D2214&amp;E2214&amp;F2214</f>
        <v>SERVICIOSNOMINA ADMONCOMPRAS</v>
      </c>
      <c r="B2214" t="s">
        <v>2565</v>
      </c>
      <c r="C2214" s="1">
        <f>C2213</f>
        <v>45968</v>
      </c>
      <c r="D2214" t="s">
        <v>21</v>
      </c>
      <c r="E2214" t="s">
        <v>147</v>
      </c>
      <c r="F2214" t="s">
        <v>148</v>
      </c>
      <c r="J2214" s="389">
        <v>23472.91</v>
      </c>
    </row>
    <row r="2215" spans="1:10" ht="15">
      <c r="A2215" s="137" t="str">
        <f>D2215&amp;E2215&amp;F2215</f>
        <v>FINANZASNOMINA ADMONCONTABILIDAD</v>
      </c>
      <c r="B2215" t="s">
        <v>2565</v>
      </c>
      <c r="C2215" s="1">
        <f>C2214</f>
        <v>45968</v>
      </c>
      <c r="D2215" t="s">
        <v>23</v>
      </c>
      <c r="E2215" t="s">
        <v>147</v>
      </c>
      <c r="F2215" t="s">
        <v>37</v>
      </c>
      <c r="J2215" s="389">
        <v>15147.27</v>
      </c>
    </row>
    <row r="2216" spans="1:10" ht="15">
      <c r="A2216" s="137" t="str">
        <f>D2216&amp;E2216&amp;F2216</f>
        <v>FINANZASNOMINA ADMONFINANZAS/LEGAL</v>
      </c>
      <c r="B2216" t="s">
        <v>2565</v>
      </c>
      <c r="C2216" s="1">
        <f>C2215</f>
        <v>45968</v>
      </c>
      <c r="D2216" t="s">
        <v>23</v>
      </c>
      <c r="E2216" t="s">
        <v>147</v>
      </c>
      <c r="F2216" t="s">
        <v>149</v>
      </c>
      <c r="J2216" s="389">
        <v>9874.2000000000007</v>
      </c>
    </row>
    <row r="2217" spans="1:10" ht="15">
      <c r="A2217" s="137" t="str">
        <f>D2217&amp;E2217&amp;F2217</f>
        <v>FINANZASNOMINA ADMONRECURSOS HUMANOS</v>
      </c>
      <c r="B2217" t="s">
        <v>2565</v>
      </c>
      <c r="C2217" s="1">
        <f>C2216</f>
        <v>45968</v>
      </c>
      <c r="D2217" t="s">
        <v>23</v>
      </c>
      <c r="E2217" t="s">
        <v>147</v>
      </c>
      <c r="F2217" t="s">
        <v>125</v>
      </c>
      <c r="J2217" s="389">
        <v>11296.03</v>
      </c>
    </row>
    <row r="2218" spans="1:10" ht="15">
      <c r="A2218" s="137" t="str">
        <f>D2218&amp;E2218&amp;F2218</f>
        <v>FINANZASNOMINA ADMONTESORERIA</v>
      </c>
      <c r="B2218" t="s">
        <v>2565</v>
      </c>
      <c r="C2218" s="1">
        <f>C2217</f>
        <v>45968</v>
      </c>
      <c r="D2218" t="s">
        <v>23</v>
      </c>
      <c r="E2218" t="s">
        <v>147</v>
      </c>
      <c r="F2218" t="s">
        <v>38</v>
      </c>
      <c r="J2218" s="389">
        <v>12674</v>
      </c>
    </row>
    <row r="2219" spans="1:10" ht="15">
      <c r="A2219" s="137" t="str">
        <f>D2219&amp;E2219&amp;F2219</f>
        <v>FINANZASNOMINA ADMONHBG FINANZAS</v>
      </c>
      <c r="B2219" t="s">
        <v>2565</v>
      </c>
      <c r="C2219" s="1">
        <f>C2218</f>
        <v>45968</v>
      </c>
      <c r="D2219" t="s">
        <v>23</v>
      </c>
      <c r="E2219" t="s">
        <v>147</v>
      </c>
      <c r="F2219" t="s">
        <v>150</v>
      </c>
      <c r="J2219" s="389">
        <v>3057</v>
      </c>
    </row>
    <row r="2220" spans="1:10" ht="15">
      <c r="A2220" s="137" t="str">
        <f>D2220&amp;E2220&amp;F2220</f>
        <v>SGENOMINA ADMONGESTION EMPRESARIAL</v>
      </c>
      <c r="B2220" t="s">
        <v>2565</v>
      </c>
      <c r="C2220" s="1">
        <f>C2219</f>
        <v>45968</v>
      </c>
      <c r="D2220" t="s">
        <v>39</v>
      </c>
      <c r="E2220" t="s">
        <v>147</v>
      </c>
      <c r="F2220" t="s">
        <v>40</v>
      </c>
      <c r="J2220" s="389">
        <v>23851.200000000001</v>
      </c>
    </row>
    <row r="2221" spans="1:10" ht="15">
      <c r="A2221" s="137" t="str">
        <f>D2221&amp;E2221&amp;F2221</f>
        <v>DENOMINA ADMONDIRECCION</v>
      </c>
      <c r="B2221" t="s">
        <v>2565</v>
      </c>
      <c r="C2221" s="1">
        <f>C2220</f>
        <v>45968</v>
      </c>
      <c r="D2221" t="s">
        <v>41</v>
      </c>
      <c r="E2221" t="s">
        <v>147</v>
      </c>
      <c r="F2221" t="s">
        <v>42</v>
      </c>
      <c r="J2221" s="389">
        <v>7000</v>
      </c>
    </row>
    <row r="2222" spans="1:10" ht="15">
      <c r="A2222" s="137" t="str">
        <f>D2222&amp;E2222&amp;F2222</f>
        <v>MELNOMINA ADMONMELISSA</v>
      </c>
      <c r="B2222" t="s">
        <v>2565</v>
      </c>
      <c r="C2222" s="1">
        <f>C2221</f>
        <v>45968</v>
      </c>
      <c r="D2222" t="s">
        <v>43</v>
      </c>
      <c r="E2222" t="s">
        <v>147</v>
      </c>
      <c r="F2222" t="s">
        <v>44</v>
      </c>
      <c r="J2222" s="389">
        <v>5900.4</v>
      </c>
    </row>
    <row r="2223" spans="1:10" ht="15">
      <c r="A2223" s="137" t="str">
        <f>D2223&amp;E2223&amp;F2223</f>
        <v>MMNOMINA ADMONMARKET MAX</v>
      </c>
      <c r="B2223" t="s">
        <v>2565</v>
      </c>
      <c r="C2223" s="1">
        <f>C2222</f>
        <v>45968</v>
      </c>
      <c r="D2223" t="s">
        <v>45</v>
      </c>
      <c r="E2223" t="s">
        <v>147</v>
      </c>
      <c r="F2223" t="s">
        <v>46</v>
      </c>
      <c r="J2223" s="388">
        <v>8274.94</v>
      </c>
    </row>
    <row r="2224" spans="1:10" ht="15">
      <c r="A2224" s="137" t="str">
        <f>D2224&amp;E2224&amp;F2224</f>
        <v>ANALISISNOMINA ADMONANALISIS DE DATOS</v>
      </c>
      <c r="B2224" t="s">
        <v>2565</v>
      </c>
      <c r="C2224" s="1">
        <f>C2223</f>
        <v>45968</v>
      </c>
      <c r="D2224" t="s">
        <v>152</v>
      </c>
      <c r="E2224" t="s">
        <v>147</v>
      </c>
      <c r="F2224" t="s">
        <v>153</v>
      </c>
      <c r="J2224" s="389">
        <v>5410.4</v>
      </c>
    </row>
    <row r="2225" spans="1:10" ht="15">
      <c r="A2225" s="137" t="str">
        <f>D2225&amp;E2225&amp;F2225</f>
        <v>MKTNOMINA ADMONMKT</v>
      </c>
      <c r="B2225" t="s">
        <v>2565</v>
      </c>
      <c r="C2225" s="1">
        <f>C2224</f>
        <v>45968</v>
      </c>
      <c r="D2225" t="s">
        <v>19</v>
      </c>
      <c r="E2225" t="s">
        <v>147</v>
      </c>
      <c r="F2225" t="s">
        <v>19</v>
      </c>
      <c r="J2225" s="389">
        <v>26001.4</v>
      </c>
    </row>
    <row r="2226" spans="1:10" ht="15">
      <c r="A2226" s="137" t="str">
        <f>D2226&amp;E2226&amp;F2226</f>
        <v>FINANZASNOMINA ADMONHBG FINANZAS</v>
      </c>
      <c r="B2226" t="s">
        <v>2565</v>
      </c>
      <c r="C2226" s="1">
        <f>C2225</f>
        <v>45968</v>
      </c>
      <c r="D2226" t="s">
        <v>23</v>
      </c>
      <c r="E2226" t="s">
        <v>147</v>
      </c>
      <c r="F2226" s="12" t="s">
        <v>150</v>
      </c>
      <c r="J2226" s="385">
        <v>10950</v>
      </c>
    </row>
    <row r="2227" spans="1:10" ht="15">
      <c r="A2227" s="137" t="str">
        <f>D2227&amp;E2227&amp;F2227</f>
        <v>HRNOMINA ADMONHR</v>
      </c>
      <c r="B2227" t="s">
        <v>2565</v>
      </c>
      <c r="C2227" s="1">
        <f>C2226</f>
        <v>45968</v>
      </c>
      <c r="D2227" t="s">
        <v>29</v>
      </c>
      <c r="E2227" t="s">
        <v>147</v>
      </c>
      <c r="F2227" s="3" t="s">
        <v>29</v>
      </c>
      <c r="J2227" s="385">
        <v>5500</v>
      </c>
    </row>
    <row r="2228" spans="1:10" ht="15">
      <c r="A2228" s="137" t="str">
        <f>D2228&amp;E2228&amp;F2228</f>
        <v>CAPNOMINA ADMONCAPRICHOS</v>
      </c>
      <c r="B2228" t="s">
        <v>2565</v>
      </c>
      <c r="C2228" s="1">
        <f>C2227</f>
        <v>45968</v>
      </c>
      <c r="D2228" t="s">
        <v>31</v>
      </c>
      <c r="E2228" t="s">
        <v>147</v>
      </c>
      <c r="F2228" s="12" t="s">
        <v>33</v>
      </c>
      <c r="J2228" s="385">
        <v>3700</v>
      </c>
    </row>
    <row r="2229" spans="1:10" ht="15">
      <c r="A2229" s="137" t="str">
        <f>D2229&amp;E2229&amp;F2229</f>
        <v>SGENOMINA ADMONGESTION EMPRESARIAL</v>
      </c>
      <c r="B2229" t="s">
        <v>2565</v>
      </c>
      <c r="C2229" s="1">
        <f>C2228</f>
        <v>45968</v>
      </c>
      <c r="D2229" t="s">
        <v>39</v>
      </c>
      <c r="E2229" t="s">
        <v>147</v>
      </c>
      <c r="F2229" s="12" t="s">
        <v>40</v>
      </c>
      <c r="J2229" s="385">
        <v>2750</v>
      </c>
    </row>
    <row r="2230" spans="1:10" ht="15">
      <c r="A2230" s="137" t="str">
        <f>D2230&amp;E2230&amp;F2230</f>
        <v>SERVICIOSNOMINA ADMONSERVICIOS</v>
      </c>
      <c r="B2230" t="s">
        <v>2565</v>
      </c>
      <c r="C2230" s="1">
        <f>C2229</f>
        <v>45968</v>
      </c>
      <c r="D2230" t="s">
        <v>21</v>
      </c>
      <c r="E2230" t="s">
        <v>147</v>
      </c>
      <c r="F2230" s="12" t="s">
        <v>21</v>
      </c>
      <c r="J2230" s="385">
        <v>4750</v>
      </c>
    </row>
    <row r="2231" spans="1:10" ht="15">
      <c r="A2231" s="137" t="str">
        <f>D2231&amp;E2231&amp;F2231</f>
        <v>DENOMINA ADMONDIRECCION</v>
      </c>
      <c r="B2231" t="s">
        <v>2565</v>
      </c>
      <c r="C2231" s="1">
        <f>C2230</f>
        <v>45968</v>
      </c>
      <c r="D2231" t="s">
        <v>41</v>
      </c>
      <c r="E2231" t="s">
        <v>147</v>
      </c>
      <c r="F2231" s="12" t="s">
        <v>42</v>
      </c>
      <c r="J2231" s="385">
        <v>5750</v>
      </c>
    </row>
    <row r="2232" spans="1:10" ht="15">
      <c r="A2232" s="137" t="str">
        <f>D2232&amp;E2232&amp;F2232</f>
        <v>MMNOMINA ADMONMARKET MAX</v>
      </c>
      <c r="B2232" t="s">
        <v>2565</v>
      </c>
      <c r="C2232" s="1">
        <f>C2231</f>
        <v>45968</v>
      </c>
      <c r="D2232" t="s">
        <v>45</v>
      </c>
      <c r="E2232" t="s">
        <v>147</v>
      </c>
      <c r="F2232" s="12" t="s">
        <v>46</v>
      </c>
      <c r="J2232" s="385">
        <v>2000</v>
      </c>
    </row>
    <row r="2233" spans="1:10" ht="15">
      <c r="A2233" s="137" t="str">
        <f>D2233&amp;E2233&amp;F2233</f>
        <v>HRVACACIONES/FINIQUITOSHR</v>
      </c>
      <c r="B2233" t="s">
        <v>2565</v>
      </c>
      <c r="C2233" s="1">
        <f>C2232</f>
        <v>45968</v>
      </c>
      <c r="D2233" t="s">
        <v>29</v>
      </c>
      <c r="E2233" s="12" t="s">
        <v>190</v>
      </c>
      <c r="F2233" t="s">
        <v>29</v>
      </c>
      <c r="H2233" t="s">
        <v>92</v>
      </c>
      <c r="J2233" s="385">
        <v>1714.29</v>
      </c>
    </row>
    <row r="2234" spans="1:10" ht="15">
      <c r="A2234" s="137" t="str">
        <f>D2234&amp;E2234&amp;F2234</f>
        <v>FINANZASVACACIONES/FINIQUITOSFINANZAS</v>
      </c>
      <c r="B2234" t="s">
        <v>2565</v>
      </c>
      <c r="C2234" s="1">
        <f>C2233</f>
        <v>45968</v>
      </c>
      <c r="D2234" t="s">
        <v>23</v>
      </c>
      <c r="E2234" s="12" t="s">
        <v>190</v>
      </c>
      <c r="F2234" s="12" t="s">
        <v>23</v>
      </c>
      <c r="H2234" t="s">
        <v>38</v>
      </c>
      <c r="J2234" s="385">
        <v>1071.43</v>
      </c>
    </row>
    <row r="2235" spans="1:10" ht="15">
      <c r="A2235" s="137" t="str">
        <f>D2235&amp;E2235&amp;F2235</f>
        <v>HRNOMINA SUCURSALA1</v>
      </c>
      <c r="B2235" t="s">
        <v>2565</v>
      </c>
      <c r="C2235" s="1">
        <v>45975</v>
      </c>
      <c r="D2235" t="s">
        <v>29</v>
      </c>
      <c r="E2235" t="s">
        <v>154</v>
      </c>
      <c r="F2235" t="s">
        <v>88</v>
      </c>
      <c r="J2235" s="389">
        <v>11164</v>
      </c>
    </row>
    <row r="2236" spans="1:10" ht="15">
      <c r="A2236" s="137" t="str">
        <f>D2236&amp;E2236&amp;F2236</f>
        <v>HRNOMINA SUCURSALA2</v>
      </c>
      <c r="B2236" t="s">
        <v>2565</v>
      </c>
      <c r="C2236" s="1">
        <v>45975</v>
      </c>
      <c r="D2236" t="s">
        <v>29</v>
      </c>
      <c r="E2236" t="s">
        <v>154</v>
      </c>
      <c r="F2236" t="s">
        <v>89</v>
      </c>
      <c r="J2236" s="389">
        <v>14153.4</v>
      </c>
    </row>
    <row r="2237" spans="1:10" ht="15">
      <c r="A2237" s="137" t="str">
        <f>D2237&amp;E2237&amp;F2237</f>
        <v>HRNOMINA SUCURSALA3</v>
      </c>
      <c r="B2237" t="s">
        <v>2565</v>
      </c>
      <c r="C2237" s="1">
        <v>45975</v>
      </c>
      <c r="D2237" t="s">
        <v>29</v>
      </c>
      <c r="E2237" t="s">
        <v>154</v>
      </c>
      <c r="F2237" t="s">
        <v>90</v>
      </c>
      <c r="J2237" s="389">
        <v>7219.4</v>
      </c>
    </row>
    <row r="2238" spans="1:10" ht="15">
      <c r="A2238" s="137" t="str">
        <f>D2238&amp;E2238&amp;F2238</f>
        <v>HRNOMINA SUCURSALA4</v>
      </c>
      <c r="B2238" t="s">
        <v>2565</v>
      </c>
      <c r="C2238" s="1">
        <v>45975</v>
      </c>
      <c r="D2238" t="s">
        <v>29</v>
      </c>
      <c r="E2238" t="s">
        <v>154</v>
      </c>
      <c r="F2238" t="s">
        <v>91</v>
      </c>
      <c r="J2238" s="389">
        <v>11391</v>
      </c>
    </row>
    <row r="2239" spans="1:10" ht="15">
      <c r="A2239" s="137" t="str">
        <f>D2239&amp;E2239&amp;F2239</f>
        <v>HRNOMINA SUCURSALA5</v>
      </c>
      <c r="B2239" t="s">
        <v>2565</v>
      </c>
      <c r="C2239" s="1">
        <v>45975</v>
      </c>
      <c r="D2239" t="s">
        <v>29</v>
      </c>
      <c r="E2239" t="s">
        <v>154</v>
      </c>
      <c r="F2239" t="s">
        <v>92</v>
      </c>
      <c r="J2239" s="389">
        <v>11979.2</v>
      </c>
    </row>
    <row r="2240" spans="1:10" ht="15">
      <c r="A2240" s="137" t="str">
        <f>D2240&amp;E2240&amp;F2240</f>
        <v>HRNOMINA SUCURSALA6</v>
      </c>
      <c r="B2240" t="s">
        <v>2565</v>
      </c>
      <c r="C2240" s="1">
        <v>45975</v>
      </c>
      <c r="D2240" t="s">
        <v>29</v>
      </c>
      <c r="E2240" t="s">
        <v>154</v>
      </c>
      <c r="F2240" t="s">
        <v>93</v>
      </c>
      <c r="J2240" s="389">
        <v>15005.09</v>
      </c>
    </row>
    <row r="2241" spans="1:10" ht="15">
      <c r="A2241" s="137" t="str">
        <f>D2241&amp;E2241&amp;F2241</f>
        <v>HRNOMINA SUCURSALA8</v>
      </c>
      <c r="B2241" t="s">
        <v>2565</v>
      </c>
      <c r="C2241" s="1">
        <v>45975</v>
      </c>
      <c r="D2241" t="s">
        <v>29</v>
      </c>
      <c r="E2241" t="s">
        <v>154</v>
      </c>
      <c r="F2241" t="s">
        <v>94</v>
      </c>
      <c r="J2241" s="389">
        <v>15449.4</v>
      </c>
    </row>
    <row r="2242" spans="1:10" ht="15">
      <c r="A2242" s="137" t="str">
        <f>D2242&amp;E2242&amp;F2242</f>
        <v>HRNOMINA SUCURSALA9</v>
      </c>
      <c r="B2242" t="s">
        <v>2565</v>
      </c>
      <c r="C2242" s="1">
        <v>45975</v>
      </c>
      <c r="D2242" t="s">
        <v>29</v>
      </c>
      <c r="E2242" t="s">
        <v>154</v>
      </c>
      <c r="F2242" t="s">
        <v>95</v>
      </c>
      <c r="J2242" s="389">
        <v>12343.71</v>
      </c>
    </row>
    <row r="2243" spans="1:10" ht="15">
      <c r="A2243" s="137" t="str">
        <f>D2243&amp;E2243&amp;F2243</f>
        <v>HRNOMINA SUCURSALA10</v>
      </c>
      <c r="B2243" t="s">
        <v>2565</v>
      </c>
      <c r="C2243" s="1">
        <v>45975</v>
      </c>
      <c r="D2243" t="s">
        <v>29</v>
      </c>
      <c r="E2243" t="s">
        <v>154</v>
      </c>
      <c r="F2243" t="s">
        <v>96</v>
      </c>
      <c r="J2243" s="389">
        <v>17786.8</v>
      </c>
    </row>
    <row r="2244" spans="1:10" ht="15">
      <c r="A2244" s="137" t="str">
        <f>D2244&amp;E2244&amp;F2244</f>
        <v>HRNOMINA SUCURSALA11</v>
      </c>
      <c r="B2244" t="s">
        <v>2565</v>
      </c>
      <c r="C2244" s="1">
        <v>45975</v>
      </c>
      <c r="D2244" t="s">
        <v>29</v>
      </c>
      <c r="E2244" t="s">
        <v>154</v>
      </c>
      <c r="F2244" t="s">
        <v>97</v>
      </c>
      <c r="J2244" s="389">
        <v>11711.6</v>
      </c>
    </row>
    <row r="2245" spans="1:10" ht="15">
      <c r="A2245" s="137" t="str">
        <f>D2245&amp;E2245&amp;F2245</f>
        <v>HRNOMINA SUCURSALA12</v>
      </c>
      <c r="B2245" t="s">
        <v>2565</v>
      </c>
      <c r="C2245" s="1">
        <v>45975</v>
      </c>
      <c r="D2245" t="s">
        <v>29</v>
      </c>
      <c r="E2245" t="s">
        <v>154</v>
      </c>
      <c r="F2245" t="s">
        <v>98</v>
      </c>
      <c r="J2245" s="389">
        <v>17389</v>
      </c>
    </row>
    <row r="2246" spans="1:10" ht="15">
      <c r="A2246" s="137" t="str">
        <f>D2246&amp;E2246&amp;F2246</f>
        <v>HRNOMINA SUCURSALA14</v>
      </c>
      <c r="B2246" t="s">
        <v>2565</v>
      </c>
      <c r="C2246" s="1">
        <v>45975</v>
      </c>
      <c r="D2246" t="s">
        <v>29</v>
      </c>
      <c r="E2246" t="s">
        <v>154</v>
      </c>
      <c r="F2246" t="s">
        <v>99</v>
      </c>
      <c r="J2246" s="389">
        <v>15487.2</v>
      </c>
    </row>
    <row r="2247" spans="1:10" ht="15">
      <c r="A2247" s="137" t="str">
        <f>D2247&amp;E2247&amp;F2247</f>
        <v>HRNOMINA SUCURSALA15</v>
      </c>
      <c r="B2247" t="s">
        <v>2565</v>
      </c>
      <c r="C2247" s="1">
        <v>45975</v>
      </c>
      <c r="D2247" t="s">
        <v>29</v>
      </c>
      <c r="E2247" t="s">
        <v>154</v>
      </c>
      <c r="F2247" t="s">
        <v>100</v>
      </c>
      <c r="J2247" s="389">
        <v>11557.2</v>
      </c>
    </row>
    <row r="2248" spans="1:10" ht="15">
      <c r="A2248" s="137" t="str">
        <f>D2248&amp;E2248&amp;F2248</f>
        <v>HRNOMINA SUCURSALA16</v>
      </c>
      <c r="B2248" t="s">
        <v>2565</v>
      </c>
      <c r="C2248" s="1">
        <v>45975</v>
      </c>
      <c r="D2248" t="s">
        <v>29</v>
      </c>
      <c r="E2248" t="s">
        <v>154</v>
      </c>
      <c r="F2248" t="s">
        <v>101</v>
      </c>
      <c r="J2248" s="389">
        <v>16561.689999999999</v>
      </c>
    </row>
    <row r="2249" spans="1:10" ht="15">
      <c r="A2249" s="137" t="str">
        <f>D2249&amp;E2249&amp;F2249</f>
        <v>HRNOMINA SUCURSALA17</v>
      </c>
      <c r="B2249" t="s">
        <v>2565</v>
      </c>
      <c r="C2249" s="1">
        <v>45975</v>
      </c>
      <c r="D2249" t="s">
        <v>29</v>
      </c>
      <c r="E2249" t="s">
        <v>154</v>
      </c>
      <c r="F2249" t="s">
        <v>102</v>
      </c>
      <c r="J2249" s="389">
        <v>11492.9</v>
      </c>
    </row>
    <row r="2250" spans="1:10" ht="15">
      <c r="A2250" s="137" t="str">
        <f>D2250&amp;E2250&amp;F2250</f>
        <v>HRNOMINA SUCURSALA18</v>
      </c>
      <c r="B2250" t="s">
        <v>2565</v>
      </c>
      <c r="C2250" s="1">
        <v>45975</v>
      </c>
      <c r="D2250" t="s">
        <v>29</v>
      </c>
      <c r="E2250" t="s">
        <v>154</v>
      </c>
      <c r="F2250" t="s">
        <v>103</v>
      </c>
      <c r="J2250" s="389">
        <v>16917.599999999999</v>
      </c>
    </row>
    <row r="2251" spans="1:10" ht="15">
      <c r="A2251" s="137" t="str">
        <f>D2251&amp;E2251&amp;F2251</f>
        <v>HRNOMINA SUCURSALA22</v>
      </c>
      <c r="B2251" t="s">
        <v>2565</v>
      </c>
      <c r="C2251" s="1">
        <v>45975</v>
      </c>
      <c r="D2251" t="s">
        <v>29</v>
      </c>
      <c r="E2251" t="s">
        <v>154</v>
      </c>
      <c r="F2251" t="s">
        <v>104</v>
      </c>
      <c r="J2251" s="389">
        <v>16632.8</v>
      </c>
    </row>
    <row r="2252" spans="1:10" ht="15">
      <c r="A2252" s="137" t="str">
        <f>D2252&amp;E2252&amp;F2252</f>
        <v>HRNOMINA SUCURSALA23</v>
      </c>
      <c r="B2252" t="s">
        <v>2565</v>
      </c>
      <c r="C2252" s="1">
        <v>45975</v>
      </c>
      <c r="D2252" t="s">
        <v>29</v>
      </c>
      <c r="E2252" t="s">
        <v>154</v>
      </c>
      <c r="F2252" t="s">
        <v>105</v>
      </c>
      <c r="J2252" s="389">
        <v>14736.2</v>
      </c>
    </row>
    <row r="2253" spans="1:10" ht="15">
      <c r="A2253" s="137" t="str">
        <f>D2253&amp;E2253&amp;F2253</f>
        <v>HRNOMINA SUCURSALA24</v>
      </c>
      <c r="B2253" t="s">
        <v>2565</v>
      </c>
      <c r="C2253" s="1">
        <v>45975</v>
      </c>
      <c r="D2253" t="s">
        <v>29</v>
      </c>
      <c r="E2253" t="s">
        <v>154</v>
      </c>
      <c r="F2253" t="s">
        <v>106</v>
      </c>
      <c r="J2253" s="389">
        <v>13804.4</v>
      </c>
    </row>
    <row r="2254" spans="1:10" ht="15">
      <c r="A2254" s="137" t="str">
        <f>D2254&amp;E2254&amp;F2254</f>
        <v>CAPNOMINA SUCURSALE1</v>
      </c>
      <c r="B2254" t="s">
        <v>2565</v>
      </c>
      <c r="C2254" s="1">
        <v>45975</v>
      </c>
      <c r="D2254" t="s">
        <v>31</v>
      </c>
      <c r="E2254" t="s">
        <v>154</v>
      </c>
      <c r="F2254" t="s">
        <v>107</v>
      </c>
      <c r="J2254" s="389">
        <v>14040.08</v>
      </c>
    </row>
    <row r="2255" spans="1:10" ht="15">
      <c r="A2255" s="137" t="str">
        <f>D2255&amp;E2255&amp;F2255</f>
        <v>CAPNOMINA SUCURSALE2</v>
      </c>
      <c r="B2255" t="s">
        <v>2565</v>
      </c>
      <c r="C2255" s="1">
        <v>45975</v>
      </c>
      <c r="D2255" t="s">
        <v>31</v>
      </c>
      <c r="E2255" t="s">
        <v>154</v>
      </c>
      <c r="F2255" t="s">
        <v>108</v>
      </c>
      <c r="J2255" s="389">
        <v>27477.200000000001</v>
      </c>
    </row>
    <row r="2256" spans="1:10" ht="15">
      <c r="A2256" s="137" t="str">
        <f>D2256&amp;E2256&amp;F2256</f>
        <v>CAPNOMINA SUCURSALE3</v>
      </c>
      <c r="B2256" t="s">
        <v>2565</v>
      </c>
      <c r="C2256" s="1">
        <v>45975</v>
      </c>
      <c r="D2256" t="s">
        <v>31</v>
      </c>
      <c r="E2256" t="s">
        <v>154</v>
      </c>
      <c r="F2256" t="s">
        <v>109</v>
      </c>
      <c r="J2256" s="389">
        <v>14662</v>
      </c>
    </row>
    <row r="2257" spans="1:10" ht="15">
      <c r="A2257" s="137" t="str">
        <f>D2257&amp;E2257&amp;F2257</f>
        <v>CAPNOMINA SUCURSALE4</v>
      </c>
      <c r="B2257" t="s">
        <v>2565</v>
      </c>
      <c r="C2257" s="1">
        <v>45975</v>
      </c>
      <c r="D2257" t="s">
        <v>31</v>
      </c>
      <c r="E2257" t="s">
        <v>154</v>
      </c>
      <c r="F2257" t="s">
        <v>110</v>
      </c>
      <c r="J2257" s="389">
        <v>23582.6</v>
      </c>
    </row>
    <row r="2258" spans="1:10" ht="15">
      <c r="A2258" s="137" t="str">
        <f>D2258&amp;E2258&amp;F2258</f>
        <v>CAPNOMINA SUCURSALE5</v>
      </c>
      <c r="B2258" t="s">
        <v>2565</v>
      </c>
      <c r="C2258" s="1">
        <v>45975</v>
      </c>
      <c r="D2258" t="s">
        <v>31</v>
      </c>
      <c r="E2258" t="s">
        <v>154</v>
      </c>
      <c r="F2258" t="s">
        <v>111</v>
      </c>
      <c r="J2258" s="389">
        <v>23650.6</v>
      </c>
    </row>
    <row r="2259" spans="1:10" ht="15">
      <c r="A2259" s="137" t="str">
        <f>D2259&amp;E2259&amp;F2259</f>
        <v>CAPNOMINA SUCURSALE6</v>
      </c>
      <c r="B2259" t="s">
        <v>2565</v>
      </c>
      <c r="C2259" s="1">
        <v>45975</v>
      </c>
      <c r="D2259" t="s">
        <v>31</v>
      </c>
      <c r="E2259" t="s">
        <v>154</v>
      </c>
      <c r="F2259" t="s">
        <v>112</v>
      </c>
      <c r="J2259" s="389">
        <v>12582</v>
      </c>
    </row>
    <row r="2260" spans="1:10" ht="15">
      <c r="A2260" s="137" t="str">
        <f>D2260&amp;E2260&amp;F2260</f>
        <v>CAPNOMINA SUCURSALE7</v>
      </c>
      <c r="B2260" t="s">
        <v>2565</v>
      </c>
      <c r="C2260" s="1">
        <v>45975</v>
      </c>
      <c r="D2260" t="s">
        <v>31</v>
      </c>
      <c r="E2260" t="s">
        <v>154</v>
      </c>
      <c r="F2260" t="s">
        <v>113</v>
      </c>
      <c r="J2260" s="389">
        <v>14387.4</v>
      </c>
    </row>
    <row r="2261" spans="1:10" ht="15">
      <c r="A2261" s="137" t="str">
        <f>D2261&amp;E2261&amp;F2261</f>
        <v>CAPNOMINA SUCURSALE8</v>
      </c>
      <c r="B2261" t="s">
        <v>2565</v>
      </c>
      <c r="C2261" s="1">
        <v>45975</v>
      </c>
      <c r="D2261" t="s">
        <v>31</v>
      </c>
      <c r="E2261" t="s">
        <v>154</v>
      </c>
      <c r="F2261" t="s">
        <v>114</v>
      </c>
      <c r="J2261" s="389">
        <v>29311.200000000001</v>
      </c>
    </row>
    <row r="2262" spans="1:10" ht="15">
      <c r="A2262" s="137" t="str">
        <f>D2262&amp;E2262&amp;F2262</f>
        <v>CAPNOMINA SUCURSALE9</v>
      </c>
      <c r="B2262" t="s">
        <v>2565</v>
      </c>
      <c r="C2262" s="1">
        <v>45975</v>
      </c>
      <c r="D2262" t="s">
        <v>31</v>
      </c>
      <c r="E2262" t="s">
        <v>154</v>
      </c>
      <c r="F2262" t="s">
        <v>116</v>
      </c>
      <c r="J2262" s="389">
        <v>22948.799999999999</v>
      </c>
    </row>
    <row r="2263" spans="1:10" ht="15">
      <c r="A2263" s="137" t="str">
        <f>D2263&amp;E2263&amp;F2263</f>
        <v>ELINOMINA SUCURSALL1</v>
      </c>
      <c r="B2263" t="s">
        <v>2565</v>
      </c>
      <c r="C2263" s="1">
        <v>45975</v>
      </c>
      <c r="D2263" t="s">
        <v>130</v>
      </c>
      <c r="E2263" t="s">
        <v>154</v>
      </c>
      <c r="F2263" t="s">
        <v>136</v>
      </c>
      <c r="J2263" s="389">
        <v>11140.8</v>
      </c>
    </row>
    <row r="2264" spans="1:10" ht="15">
      <c r="A2264" s="137" t="str">
        <f>D2264&amp;E2264&amp;F2264</f>
        <v>HRNOMINA ADMONHR</v>
      </c>
      <c r="B2264" t="s">
        <v>2565</v>
      </c>
      <c r="C2264" s="1">
        <v>45975</v>
      </c>
      <c r="D2264" t="s">
        <v>29</v>
      </c>
      <c r="E2264" t="s">
        <v>147</v>
      </c>
      <c r="F2264" t="s">
        <v>29</v>
      </c>
      <c r="J2264" s="389">
        <v>30197</v>
      </c>
    </row>
    <row r="2265" spans="1:10" ht="15">
      <c r="A2265" s="137" t="str">
        <f>D2265&amp;E2265&amp;F2265</f>
        <v>CAPNOMINA ADMONCAPRICHOS</v>
      </c>
      <c r="B2265" t="s">
        <v>2565</v>
      </c>
      <c r="C2265" s="1">
        <v>45975</v>
      </c>
      <c r="D2265" t="s">
        <v>31</v>
      </c>
      <c r="E2265" t="s">
        <v>147</v>
      </c>
      <c r="F2265" t="s">
        <v>33</v>
      </c>
      <c r="J2265" s="389">
        <v>23727.1</v>
      </c>
    </row>
    <row r="2266" spans="1:10" ht="15">
      <c r="A2266" s="137" t="str">
        <f>D2266&amp;E2266&amp;F2266</f>
        <v>SERVICIOSNOMINA SUCURSALCEDIS</v>
      </c>
      <c r="B2266" t="s">
        <v>2565</v>
      </c>
      <c r="C2266" s="1">
        <v>45975</v>
      </c>
      <c r="D2266" t="s">
        <v>21</v>
      </c>
      <c r="E2266" t="s">
        <v>154</v>
      </c>
      <c r="F2266" t="s">
        <v>28</v>
      </c>
      <c r="J2266" s="389">
        <v>79664.289999999994</v>
      </c>
    </row>
    <row r="2267" spans="1:10" ht="15">
      <c r="A2267" s="137" t="str">
        <f>D2267&amp;E2267&amp;F2267</f>
        <v>SERVICIOSNOMINA ADMONINVENTARIOS</v>
      </c>
      <c r="B2267" t="s">
        <v>2565</v>
      </c>
      <c r="C2267" s="1">
        <v>45975</v>
      </c>
      <c r="D2267" t="s">
        <v>21</v>
      </c>
      <c r="E2267" t="s">
        <v>147</v>
      </c>
      <c r="F2267" t="s">
        <v>34</v>
      </c>
      <c r="J2267" s="389">
        <v>2802</v>
      </c>
    </row>
    <row r="2268" spans="1:10" ht="15">
      <c r="A2268" s="137" t="str">
        <f>D2268&amp;E2268&amp;F2268</f>
        <v>SERVICIOSNOMINA ADMONMANTENIMIENTO</v>
      </c>
      <c r="B2268" t="s">
        <v>2565</v>
      </c>
      <c r="C2268" s="1">
        <v>45975</v>
      </c>
      <c r="D2268" t="s">
        <v>21</v>
      </c>
      <c r="E2268" t="s">
        <v>147</v>
      </c>
      <c r="F2268" t="s">
        <v>35</v>
      </c>
      <c r="J2268" s="389">
        <v>19320.62</v>
      </c>
    </row>
    <row r="2269" spans="1:10" ht="15">
      <c r="A2269" s="137" t="str">
        <f>D2269&amp;E2269&amp;F2269</f>
        <v>SERVICIOSNOMINA ADMONCADENA DE SUMINISTROS</v>
      </c>
      <c r="B2269" t="s">
        <v>2565</v>
      </c>
      <c r="C2269" s="1">
        <v>45975</v>
      </c>
      <c r="D2269" t="s">
        <v>21</v>
      </c>
      <c r="E2269" t="s">
        <v>147</v>
      </c>
      <c r="F2269" t="s">
        <v>134</v>
      </c>
      <c r="J2269" s="389">
        <v>24960.2</v>
      </c>
    </row>
    <row r="2270" spans="1:10" ht="15">
      <c r="A2270" s="137" t="str">
        <f>D2270&amp;E2270&amp;F2270</f>
        <v>SERVICIOSNOMINA ADMONSISTEMAS</v>
      </c>
      <c r="B2270" t="s">
        <v>2565</v>
      </c>
      <c r="C2270" s="1">
        <v>45975</v>
      </c>
      <c r="D2270" t="s">
        <v>21</v>
      </c>
      <c r="E2270" t="s">
        <v>147</v>
      </c>
      <c r="F2270" t="s">
        <v>36</v>
      </c>
      <c r="J2270" s="389">
        <v>10215.09</v>
      </c>
    </row>
    <row r="2271" spans="1:10" ht="15">
      <c r="A2271" s="137" t="str">
        <f>D2271&amp;E2271&amp;F2271</f>
        <v>SERVICIOSNOMINA ADMONCOMPRAS</v>
      </c>
      <c r="B2271" t="s">
        <v>2565</v>
      </c>
      <c r="C2271" s="1">
        <v>45975</v>
      </c>
      <c r="D2271" t="s">
        <v>21</v>
      </c>
      <c r="E2271" t="s">
        <v>147</v>
      </c>
      <c r="F2271" t="s">
        <v>148</v>
      </c>
      <c r="J2271" s="389">
        <v>23207.91</v>
      </c>
    </row>
    <row r="2272" spans="1:10" ht="15">
      <c r="A2272" s="137" t="str">
        <f>D2272&amp;E2272&amp;F2272</f>
        <v>FINANZASNOMINA ADMONCONTABILIDAD</v>
      </c>
      <c r="B2272" t="s">
        <v>2565</v>
      </c>
      <c r="C2272" s="1">
        <v>45975</v>
      </c>
      <c r="D2272" t="s">
        <v>23</v>
      </c>
      <c r="E2272" t="s">
        <v>147</v>
      </c>
      <c r="F2272" t="s">
        <v>37</v>
      </c>
      <c r="J2272" s="389">
        <v>15147.27</v>
      </c>
    </row>
    <row r="2273" spans="1:10" ht="15">
      <c r="A2273" s="137" t="str">
        <f>D2273&amp;E2273&amp;F2273</f>
        <v>FINANZASNOMINA ADMONFINANZAS/LEGAL</v>
      </c>
      <c r="B2273" t="s">
        <v>2565</v>
      </c>
      <c r="C2273" s="1">
        <v>45975</v>
      </c>
      <c r="D2273" t="s">
        <v>23</v>
      </c>
      <c r="E2273" t="s">
        <v>147</v>
      </c>
      <c r="F2273" t="s">
        <v>149</v>
      </c>
      <c r="J2273" s="389">
        <v>8874.4</v>
      </c>
    </row>
    <row r="2274" spans="1:10" ht="15">
      <c r="A2274" s="137" t="str">
        <f>D2274&amp;E2274&amp;F2274</f>
        <v>FINANZASNOMINA ADMONRECURSOS HUMANOS</v>
      </c>
      <c r="B2274" t="s">
        <v>2565</v>
      </c>
      <c r="C2274" s="1">
        <v>45975</v>
      </c>
      <c r="D2274" t="s">
        <v>23</v>
      </c>
      <c r="E2274" t="s">
        <v>147</v>
      </c>
      <c r="F2274" t="s">
        <v>125</v>
      </c>
      <c r="J2274" s="389">
        <v>11500.85</v>
      </c>
    </row>
    <row r="2275" spans="1:10" ht="15">
      <c r="A2275" s="137" t="str">
        <f>D2275&amp;E2275&amp;F2275</f>
        <v>FINANZASNOMINA ADMONTESORERIA</v>
      </c>
      <c r="B2275" t="s">
        <v>2565</v>
      </c>
      <c r="C2275" s="1">
        <v>45975</v>
      </c>
      <c r="D2275" t="s">
        <v>23</v>
      </c>
      <c r="E2275" t="s">
        <v>147</v>
      </c>
      <c r="F2275" t="s">
        <v>38</v>
      </c>
      <c r="J2275" s="389">
        <v>12674.2</v>
      </c>
    </row>
    <row r="2276" spans="1:10" ht="15">
      <c r="A2276" s="137" t="str">
        <f>D2276&amp;E2276&amp;F2276</f>
        <v>FINANZASNOMINA ADMONHBG FINANZAS</v>
      </c>
      <c r="B2276" t="s">
        <v>2565</v>
      </c>
      <c r="C2276" s="1">
        <v>45975</v>
      </c>
      <c r="D2276" t="s">
        <v>23</v>
      </c>
      <c r="E2276" t="s">
        <v>147</v>
      </c>
      <c r="F2276" t="s">
        <v>150</v>
      </c>
      <c r="J2276" s="389">
        <v>3057</v>
      </c>
    </row>
    <row r="2277" spans="1:10" ht="15">
      <c r="A2277" s="137" t="str">
        <f>D2277&amp;E2277&amp;F2277</f>
        <v>SGENOMINA ADMONGESTION EMPRESARIAL</v>
      </c>
      <c r="B2277" t="s">
        <v>2565</v>
      </c>
      <c r="C2277" s="1">
        <v>45975</v>
      </c>
      <c r="D2277" t="s">
        <v>39</v>
      </c>
      <c r="E2277" t="s">
        <v>147</v>
      </c>
      <c r="F2277" t="s">
        <v>40</v>
      </c>
      <c r="J2277" s="389">
        <v>20957.400000000001</v>
      </c>
    </row>
    <row r="2278" spans="1:10" ht="15">
      <c r="A2278" s="137" t="str">
        <f>D2278&amp;E2278&amp;F2278</f>
        <v>DENOMINA ADMONDIRECCION</v>
      </c>
      <c r="B2278" t="s">
        <v>2565</v>
      </c>
      <c r="C2278" s="1">
        <v>45975</v>
      </c>
      <c r="D2278" t="s">
        <v>41</v>
      </c>
      <c r="E2278" t="s">
        <v>147</v>
      </c>
      <c r="F2278" t="s">
        <v>42</v>
      </c>
      <c r="J2278" s="389">
        <v>7000</v>
      </c>
    </row>
    <row r="2279" spans="1:10" ht="15">
      <c r="A2279" s="137" t="str">
        <f>D2279&amp;E2279&amp;F2279</f>
        <v>MELNOMINA ADMONMELISSA</v>
      </c>
      <c r="B2279" t="s">
        <v>2565</v>
      </c>
      <c r="C2279" s="1">
        <v>45975</v>
      </c>
      <c r="D2279" t="s">
        <v>43</v>
      </c>
      <c r="E2279" t="s">
        <v>147</v>
      </c>
      <c r="F2279" t="s">
        <v>44</v>
      </c>
      <c r="J2279" s="389">
        <v>5702.4</v>
      </c>
    </row>
    <row r="2280" spans="1:10" ht="15">
      <c r="A2280" s="137" t="str">
        <f>D2280&amp;E2280&amp;F2280</f>
        <v>MMNOMINA ADMONMARKET MAX</v>
      </c>
      <c r="B2280" t="s">
        <v>2565</v>
      </c>
      <c r="C2280" s="1">
        <v>45975</v>
      </c>
      <c r="D2280" t="s">
        <v>45</v>
      </c>
      <c r="E2280" t="s">
        <v>147</v>
      </c>
      <c r="F2280" t="s">
        <v>46</v>
      </c>
      <c r="J2280" s="389">
        <v>8835.14</v>
      </c>
    </row>
    <row r="2281" spans="1:10" ht="15">
      <c r="A2281" s="137" t="str">
        <f>D2281&amp;E2281&amp;F2281</f>
        <v>ANALISISNOMINA ADMONANALISIS DE DATOS</v>
      </c>
      <c r="B2281" t="s">
        <v>2565</v>
      </c>
      <c r="C2281" s="1">
        <v>45975</v>
      </c>
      <c r="D2281" t="s">
        <v>152</v>
      </c>
      <c r="E2281" t="s">
        <v>147</v>
      </c>
      <c r="F2281" t="s">
        <v>153</v>
      </c>
      <c r="J2281" s="389">
        <v>3893</v>
      </c>
    </row>
    <row r="2282" spans="1:10" ht="15">
      <c r="A2282" s="137" t="str">
        <f>D2282&amp;E2282&amp;F2282</f>
        <v>MKTNOMINA ADMONMKT</v>
      </c>
      <c r="B2282" t="s">
        <v>2565</v>
      </c>
      <c r="C2282" s="1">
        <v>45975</v>
      </c>
      <c r="D2282" t="s">
        <v>19</v>
      </c>
      <c r="E2282" t="s">
        <v>147</v>
      </c>
      <c r="F2282" t="s">
        <v>19</v>
      </c>
      <c r="J2282" s="389">
        <v>26002</v>
      </c>
    </row>
    <row r="2283" spans="1:10" ht="15">
      <c r="A2283" s="137" t="str">
        <f>D2283&amp;E2283&amp;F2283</f>
        <v>FINANZASNOMINA ADMONHBG FINANZAS</v>
      </c>
      <c r="B2283" t="s">
        <v>2565</v>
      </c>
      <c r="C2283" s="1">
        <v>45975</v>
      </c>
      <c r="D2283" t="s">
        <v>23</v>
      </c>
      <c r="E2283" t="s">
        <v>147</v>
      </c>
      <c r="F2283" s="12" t="s">
        <v>150</v>
      </c>
      <c r="J2283" s="385">
        <v>10950</v>
      </c>
    </row>
    <row r="2284" spans="1:10" ht="15">
      <c r="A2284" s="137" t="str">
        <f>D2284&amp;E2284&amp;F2284</f>
        <v>HRNOMINA ADMONHR</v>
      </c>
      <c r="B2284" t="s">
        <v>2565</v>
      </c>
      <c r="C2284" s="1">
        <v>45975</v>
      </c>
      <c r="D2284" t="s">
        <v>29</v>
      </c>
      <c r="E2284" t="s">
        <v>147</v>
      </c>
      <c r="F2284" s="3" t="s">
        <v>29</v>
      </c>
      <c r="J2284" s="385">
        <v>5500</v>
      </c>
    </row>
    <row r="2285" spans="1:10" ht="15">
      <c r="A2285" s="137" t="str">
        <f>D2285&amp;E2285&amp;F2285</f>
        <v>CAPNOMINA ADMONCAPRICHOS</v>
      </c>
      <c r="B2285" t="s">
        <v>2565</v>
      </c>
      <c r="C2285" s="1">
        <v>45975</v>
      </c>
      <c r="D2285" t="s">
        <v>31</v>
      </c>
      <c r="E2285" t="s">
        <v>147</v>
      </c>
      <c r="F2285" s="12" t="s">
        <v>33</v>
      </c>
      <c r="J2285" s="385">
        <v>3700</v>
      </c>
    </row>
    <row r="2286" spans="1:10" ht="15">
      <c r="A2286" s="137" t="str">
        <f>D2286&amp;E2286&amp;F2286</f>
        <v>SGENOMINA ADMONGESTION EMPRESARIAL</v>
      </c>
      <c r="B2286" t="s">
        <v>2565</v>
      </c>
      <c r="C2286" s="1">
        <v>45975</v>
      </c>
      <c r="D2286" t="s">
        <v>39</v>
      </c>
      <c r="E2286" t="s">
        <v>147</v>
      </c>
      <c r="F2286" s="12" t="s">
        <v>40</v>
      </c>
      <c r="J2286" s="385">
        <v>2750</v>
      </c>
    </row>
    <row r="2287" spans="1:10" ht="15">
      <c r="A2287" s="137" t="str">
        <f>D2287&amp;E2287&amp;F2287</f>
        <v>SERVICIOSNOMINA ADMONSERVICIOS</v>
      </c>
      <c r="B2287" t="s">
        <v>2565</v>
      </c>
      <c r="C2287" s="1">
        <v>45975</v>
      </c>
      <c r="D2287" t="s">
        <v>21</v>
      </c>
      <c r="E2287" t="s">
        <v>147</v>
      </c>
      <c r="F2287" s="12" t="s">
        <v>21</v>
      </c>
      <c r="J2287" s="385">
        <v>4750</v>
      </c>
    </row>
    <row r="2288" spans="1:10" ht="15">
      <c r="A2288" s="137" t="str">
        <f>D2288&amp;E2288&amp;F2288</f>
        <v>DENOMINA ADMONDIRECCION</v>
      </c>
      <c r="B2288" t="s">
        <v>2565</v>
      </c>
      <c r="C2288" s="1">
        <v>45975</v>
      </c>
      <c r="D2288" t="s">
        <v>41</v>
      </c>
      <c r="E2288" t="s">
        <v>147</v>
      </c>
      <c r="F2288" s="12" t="s">
        <v>42</v>
      </c>
      <c r="J2288" s="385">
        <v>5750</v>
      </c>
    </row>
    <row r="2289" spans="1:10" ht="15">
      <c r="A2289" s="137" t="str">
        <f>D2289&amp;E2289&amp;F2289</f>
        <v>MMNOMINA ADMONMARKET MAX</v>
      </c>
      <c r="B2289" t="s">
        <v>2565</v>
      </c>
      <c r="C2289" s="1">
        <v>45975</v>
      </c>
      <c r="D2289" t="s">
        <v>45</v>
      </c>
      <c r="E2289" t="s">
        <v>147</v>
      </c>
      <c r="F2289" s="12" t="s">
        <v>46</v>
      </c>
      <c r="J2289" s="385">
        <v>2000</v>
      </c>
    </row>
    <row r="2290" spans="1:10" ht="15">
      <c r="A2290" s="137" t="str">
        <f>D2290&amp;E2290&amp;F2290</f>
        <v>DEVACACIONES/FINIQUITOSDIRECCION</v>
      </c>
      <c r="B2290" t="s">
        <v>2565</v>
      </c>
      <c r="C2290" s="1">
        <v>45975</v>
      </c>
      <c r="D2290" t="s">
        <v>41</v>
      </c>
      <c r="E2290" s="12" t="s">
        <v>190</v>
      </c>
      <c r="F2290" s="12" t="s">
        <v>42</v>
      </c>
      <c r="J2290" s="385">
        <v>3500</v>
      </c>
    </row>
    <row r="2291" spans="1:10" ht="15">
      <c r="A2291" s="137" t="str">
        <f>D2291&amp;E2291&amp;F2291</f>
        <v>CAPVACACIONES/FINIQUITOSCAPRICHOS</v>
      </c>
      <c r="B2291" t="s">
        <v>2565</v>
      </c>
      <c r="C2291" s="1">
        <v>45975</v>
      </c>
      <c r="D2291" t="s">
        <v>31</v>
      </c>
      <c r="E2291" s="12" t="s">
        <v>190</v>
      </c>
      <c r="F2291" t="s">
        <v>33</v>
      </c>
      <c r="J2291" s="385">
        <v>2285.71</v>
      </c>
    </row>
    <row r="2292" spans="1:10" ht="15">
      <c r="A2292" s="137" t="str">
        <f>D2292&amp;E2292&amp;F2292</f>
        <v>HRNOMINA SUCURSALA1</v>
      </c>
      <c r="B2292" t="s">
        <v>2565</v>
      </c>
      <c r="C2292" s="1">
        <v>45982</v>
      </c>
      <c r="D2292" t="s">
        <v>29</v>
      </c>
      <c r="E2292" t="s">
        <v>154</v>
      </c>
      <c r="F2292" t="s">
        <v>88</v>
      </c>
      <c r="J2292" s="389">
        <v>13517</v>
      </c>
    </row>
    <row r="2293" spans="1:10" ht="15">
      <c r="A2293" s="137" t="str">
        <f>D2293&amp;E2293&amp;F2293</f>
        <v>HRNOMINA SUCURSALA2</v>
      </c>
      <c r="B2293" t="s">
        <v>2565</v>
      </c>
      <c r="C2293" s="1">
        <v>45982</v>
      </c>
      <c r="D2293" t="s">
        <v>29</v>
      </c>
      <c r="E2293" t="s">
        <v>154</v>
      </c>
      <c r="F2293" t="s">
        <v>89</v>
      </c>
      <c r="J2293" s="389">
        <v>18348.400000000001</v>
      </c>
    </row>
    <row r="2294" spans="1:10" ht="15">
      <c r="A2294" s="137" t="str">
        <f>D2294&amp;E2294&amp;F2294</f>
        <v>HRNOMINA SUCURSALA3</v>
      </c>
      <c r="B2294" t="s">
        <v>2565</v>
      </c>
      <c r="C2294" s="1">
        <v>45982</v>
      </c>
      <c r="D2294" t="s">
        <v>29</v>
      </c>
      <c r="E2294" t="s">
        <v>154</v>
      </c>
      <c r="F2294" t="s">
        <v>90</v>
      </c>
      <c r="J2294" s="389">
        <v>8311.2000000000007</v>
      </c>
    </row>
    <row r="2295" spans="1:10" ht="15">
      <c r="A2295" s="137" t="str">
        <f>D2295&amp;E2295&amp;F2295</f>
        <v>HRNOMINA SUCURSALA4</v>
      </c>
      <c r="B2295" t="s">
        <v>2565</v>
      </c>
      <c r="C2295" s="1">
        <v>45982</v>
      </c>
      <c r="D2295" t="s">
        <v>29</v>
      </c>
      <c r="E2295" t="s">
        <v>154</v>
      </c>
      <c r="F2295" t="s">
        <v>91</v>
      </c>
      <c r="J2295" s="389">
        <v>14555</v>
      </c>
    </row>
    <row r="2296" spans="1:10" ht="15">
      <c r="A2296" s="137" t="str">
        <f>D2296&amp;E2296&amp;F2296</f>
        <v>HRNOMINA SUCURSALA5</v>
      </c>
      <c r="B2296" t="s">
        <v>2565</v>
      </c>
      <c r="C2296" s="1">
        <v>45982</v>
      </c>
      <c r="D2296" t="s">
        <v>29</v>
      </c>
      <c r="E2296" t="s">
        <v>154</v>
      </c>
      <c r="F2296" t="s">
        <v>92</v>
      </c>
      <c r="J2296" s="389">
        <v>15777</v>
      </c>
    </row>
    <row r="2297" spans="1:10" ht="15">
      <c r="A2297" s="137" t="str">
        <f>D2297&amp;E2297&amp;F2297</f>
        <v>HRNOMINA SUCURSALA6</v>
      </c>
      <c r="B2297" t="s">
        <v>2565</v>
      </c>
      <c r="C2297" s="1">
        <v>45982</v>
      </c>
      <c r="D2297" t="s">
        <v>29</v>
      </c>
      <c r="E2297" t="s">
        <v>154</v>
      </c>
      <c r="F2297" t="s">
        <v>93</v>
      </c>
      <c r="J2297" s="389">
        <v>18138.09</v>
      </c>
    </row>
    <row r="2298" spans="1:10" ht="15">
      <c r="A2298" s="137" t="str">
        <f>D2298&amp;E2298&amp;F2298</f>
        <v>HRNOMINA SUCURSALA8</v>
      </c>
      <c r="B2298" t="s">
        <v>2565</v>
      </c>
      <c r="C2298" s="1">
        <v>45982</v>
      </c>
      <c r="D2298" t="s">
        <v>29</v>
      </c>
      <c r="E2298" t="s">
        <v>154</v>
      </c>
      <c r="F2298" t="s">
        <v>94</v>
      </c>
      <c r="J2298" s="389">
        <v>21289.200000000001</v>
      </c>
    </row>
    <row r="2299" spans="1:10" ht="15">
      <c r="A2299" s="137" t="str">
        <f>D2299&amp;E2299&amp;F2299</f>
        <v>HRNOMINA SUCURSALA9</v>
      </c>
      <c r="B2299" t="s">
        <v>2565</v>
      </c>
      <c r="C2299" s="1">
        <v>45982</v>
      </c>
      <c r="D2299" t="s">
        <v>29</v>
      </c>
      <c r="E2299" t="s">
        <v>154</v>
      </c>
      <c r="F2299" t="s">
        <v>95</v>
      </c>
      <c r="J2299" s="389">
        <v>14776.31</v>
      </c>
    </row>
    <row r="2300" spans="1:10" ht="15">
      <c r="A2300" s="137" t="str">
        <f>D2300&amp;E2300&amp;F2300</f>
        <v>HRNOMINA SUCURSALA10</v>
      </c>
      <c r="B2300" t="s">
        <v>2565</v>
      </c>
      <c r="C2300" s="1">
        <v>45982</v>
      </c>
      <c r="D2300" t="s">
        <v>29</v>
      </c>
      <c r="E2300" t="s">
        <v>154</v>
      </c>
      <c r="F2300" t="s">
        <v>96</v>
      </c>
      <c r="J2300" s="389">
        <v>26240.400000000001</v>
      </c>
    </row>
    <row r="2301" spans="1:10" ht="15">
      <c r="A2301" s="137" t="str">
        <f>D2301&amp;E2301&amp;F2301</f>
        <v>HRNOMINA SUCURSALA11</v>
      </c>
      <c r="B2301" t="s">
        <v>2565</v>
      </c>
      <c r="C2301" s="1">
        <v>45982</v>
      </c>
      <c r="D2301" t="s">
        <v>29</v>
      </c>
      <c r="E2301" t="s">
        <v>154</v>
      </c>
      <c r="F2301" t="s">
        <v>97</v>
      </c>
      <c r="J2301" s="389">
        <v>17797.8</v>
      </c>
    </row>
    <row r="2302" spans="1:10" ht="15">
      <c r="A2302" s="137" t="str">
        <f>D2302&amp;E2302&amp;F2302</f>
        <v>HRNOMINA SUCURSALA12</v>
      </c>
      <c r="B2302" t="s">
        <v>2565</v>
      </c>
      <c r="C2302" s="1">
        <v>45982</v>
      </c>
      <c r="D2302" t="s">
        <v>29</v>
      </c>
      <c r="E2302" t="s">
        <v>154</v>
      </c>
      <c r="F2302" t="s">
        <v>98</v>
      </c>
      <c r="J2302" s="389">
        <v>23340.2</v>
      </c>
    </row>
    <row r="2303" spans="1:10" ht="15">
      <c r="A2303" s="137" t="str">
        <f>D2303&amp;E2303&amp;F2303</f>
        <v>HRNOMINA SUCURSALA14</v>
      </c>
      <c r="B2303" t="s">
        <v>2565</v>
      </c>
      <c r="C2303" s="1">
        <v>45982</v>
      </c>
      <c r="D2303" t="s">
        <v>29</v>
      </c>
      <c r="E2303" t="s">
        <v>154</v>
      </c>
      <c r="F2303" t="s">
        <v>99</v>
      </c>
      <c r="J2303" s="389">
        <v>16703.2</v>
      </c>
    </row>
    <row r="2304" spans="1:10" ht="15">
      <c r="A2304" s="137" t="str">
        <f>D2304&amp;E2304&amp;F2304</f>
        <v>HRNOMINA SUCURSALA15</v>
      </c>
      <c r="B2304" t="s">
        <v>2565</v>
      </c>
      <c r="C2304" s="1">
        <v>45982</v>
      </c>
      <c r="D2304" t="s">
        <v>29</v>
      </c>
      <c r="E2304" t="s">
        <v>154</v>
      </c>
      <c r="F2304" t="s">
        <v>100</v>
      </c>
      <c r="J2304" s="389">
        <v>14901</v>
      </c>
    </row>
    <row r="2305" spans="1:10" ht="15">
      <c r="A2305" s="137" t="str">
        <f>D2305&amp;E2305&amp;F2305</f>
        <v>HRNOMINA SUCURSALA16</v>
      </c>
      <c r="B2305" t="s">
        <v>2565</v>
      </c>
      <c r="C2305" s="1">
        <v>45982</v>
      </c>
      <c r="D2305" t="s">
        <v>29</v>
      </c>
      <c r="E2305" t="s">
        <v>154</v>
      </c>
      <c r="F2305" t="s">
        <v>101</v>
      </c>
      <c r="J2305" s="389">
        <v>21556.49</v>
      </c>
    </row>
    <row r="2306" spans="1:10" ht="15">
      <c r="A2306" s="137" t="str">
        <f>D2306&amp;E2306&amp;F2306</f>
        <v>HRNOMINA SUCURSALA17</v>
      </c>
      <c r="B2306" t="s">
        <v>2565</v>
      </c>
      <c r="C2306" s="1">
        <v>45982</v>
      </c>
      <c r="D2306" t="s">
        <v>29</v>
      </c>
      <c r="E2306" t="s">
        <v>154</v>
      </c>
      <c r="F2306" t="s">
        <v>102</v>
      </c>
      <c r="J2306" s="389">
        <v>15272.8</v>
      </c>
    </row>
    <row r="2307" spans="1:10" ht="15">
      <c r="A2307" s="137" t="str">
        <f>D2307&amp;E2307&amp;F2307</f>
        <v>HRNOMINA SUCURSALA18</v>
      </c>
      <c r="B2307" t="s">
        <v>2565</v>
      </c>
      <c r="C2307" s="1">
        <v>45982</v>
      </c>
      <c r="D2307" t="s">
        <v>29</v>
      </c>
      <c r="E2307" t="s">
        <v>154</v>
      </c>
      <c r="F2307" t="s">
        <v>103</v>
      </c>
      <c r="J2307" s="389">
        <v>20037.2</v>
      </c>
    </row>
    <row r="2308" spans="1:10" ht="15">
      <c r="A2308" s="137" t="str">
        <f>D2308&amp;E2308&amp;F2308</f>
        <v>HRNOMINA SUCURSALA22</v>
      </c>
      <c r="B2308" t="s">
        <v>2565</v>
      </c>
      <c r="C2308" s="1">
        <v>45982</v>
      </c>
      <c r="D2308" t="s">
        <v>29</v>
      </c>
      <c r="E2308" t="s">
        <v>154</v>
      </c>
      <c r="F2308" t="s">
        <v>104</v>
      </c>
      <c r="J2308" s="389">
        <v>17842.8</v>
      </c>
    </row>
    <row r="2309" spans="1:10" ht="15">
      <c r="A2309" s="137" t="str">
        <f>D2309&amp;E2309&amp;F2309</f>
        <v>HRNOMINA SUCURSALA23</v>
      </c>
      <c r="B2309" t="s">
        <v>2565</v>
      </c>
      <c r="C2309" s="1">
        <v>45982</v>
      </c>
      <c r="D2309" t="s">
        <v>29</v>
      </c>
      <c r="E2309" t="s">
        <v>154</v>
      </c>
      <c r="F2309" t="s">
        <v>105</v>
      </c>
      <c r="J2309" s="389">
        <v>16980.599999999999</v>
      </c>
    </row>
    <row r="2310" spans="1:10" ht="15">
      <c r="A2310" s="137" t="str">
        <f>D2310&amp;E2310&amp;F2310</f>
        <v>HRNOMINA SUCURSALA24</v>
      </c>
      <c r="B2310" t="s">
        <v>2565</v>
      </c>
      <c r="C2310" s="1">
        <v>45982</v>
      </c>
      <c r="D2310" t="s">
        <v>29</v>
      </c>
      <c r="E2310" t="s">
        <v>154</v>
      </c>
      <c r="F2310" t="s">
        <v>106</v>
      </c>
      <c r="J2310" s="389">
        <v>20167.2</v>
      </c>
    </row>
    <row r="2311" spans="1:10" ht="15">
      <c r="A2311" s="137" t="str">
        <f>D2311&amp;E2311&amp;F2311</f>
        <v>CAPNOMINA SUCURSALE1</v>
      </c>
      <c r="B2311" t="s">
        <v>2565</v>
      </c>
      <c r="C2311" s="1">
        <v>45982</v>
      </c>
      <c r="D2311" t="s">
        <v>31</v>
      </c>
      <c r="E2311" t="s">
        <v>154</v>
      </c>
      <c r="F2311" t="s">
        <v>107</v>
      </c>
      <c r="J2311" s="389">
        <v>16800.080000000002</v>
      </c>
    </row>
    <row r="2312" spans="1:10" ht="15">
      <c r="A2312" s="137" t="str">
        <f>D2312&amp;E2312&amp;F2312</f>
        <v>CAPNOMINA SUCURSALE2</v>
      </c>
      <c r="B2312" t="s">
        <v>2565</v>
      </c>
      <c r="C2312" s="1">
        <v>45982</v>
      </c>
      <c r="D2312" t="s">
        <v>31</v>
      </c>
      <c r="E2312" t="s">
        <v>154</v>
      </c>
      <c r="F2312" t="s">
        <v>108</v>
      </c>
      <c r="J2312" s="389">
        <v>35528.400000000001</v>
      </c>
    </row>
    <row r="2313" spans="1:10" ht="15">
      <c r="A2313" s="137" t="str">
        <f>D2313&amp;E2313&amp;F2313</f>
        <v>CAPNOMINA SUCURSALE3</v>
      </c>
      <c r="B2313" t="s">
        <v>2565</v>
      </c>
      <c r="C2313" s="1">
        <v>45982</v>
      </c>
      <c r="D2313" t="s">
        <v>31</v>
      </c>
      <c r="E2313" t="s">
        <v>154</v>
      </c>
      <c r="F2313" t="s">
        <v>109</v>
      </c>
      <c r="J2313" s="389">
        <v>17901.8</v>
      </c>
    </row>
    <row r="2314" spans="1:10" ht="15">
      <c r="A2314" s="137" t="str">
        <f>D2314&amp;E2314&amp;F2314</f>
        <v>CAPNOMINA SUCURSALE4</v>
      </c>
      <c r="B2314" t="s">
        <v>2565</v>
      </c>
      <c r="C2314" s="1">
        <v>45982</v>
      </c>
      <c r="D2314" t="s">
        <v>31</v>
      </c>
      <c r="E2314" t="s">
        <v>154</v>
      </c>
      <c r="F2314" t="s">
        <v>110</v>
      </c>
      <c r="J2314" s="389">
        <v>28558.799999999999</v>
      </c>
    </row>
    <row r="2315" spans="1:10" ht="15">
      <c r="A2315" s="137" t="str">
        <f>D2315&amp;E2315&amp;F2315</f>
        <v>CAPNOMINA SUCURSALE5</v>
      </c>
      <c r="B2315" t="s">
        <v>2565</v>
      </c>
      <c r="C2315" s="1">
        <v>45982</v>
      </c>
      <c r="D2315" t="s">
        <v>31</v>
      </c>
      <c r="E2315" t="s">
        <v>154</v>
      </c>
      <c r="F2315" t="s">
        <v>111</v>
      </c>
      <c r="J2315" s="389">
        <v>32496.1</v>
      </c>
    </row>
    <row r="2316" spans="1:10" ht="15">
      <c r="A2316" s="137" t="str">
        <f>D2316&amp;E2316&amp;F2316</f>
        <v>CAPNOMINA SUCURSALE6</v>
      </c>
      <c r="B2316" t="s">
        <v>2565</v>
      </c>
      <c r="C2316" s="1">
        <v>45982</v>
      </c>
      <c r="D2316" t="s">
        <v>31</v>
      </c>
      <c r="E2316" t="s">
        <v>154</v>
      </c>
      <c r="F2316" t="s">
        <v>112</v>
      </c>
      <c r="J2316" s="389">
        <v>18390</v>
      </c>
    </row>
    <row r="2317" spans="1:10" ht="15">
      <c r="A2317" s="137" t="str">
        <f>D2317&amp;E2317&amp;F2317</f>
        <v>CAPNOMINA SUCURSALE7</v>
      </c>
      <c r="B2317" t="s">
        <v>2565</v>
      </c>
      <c r="C2317" s="1">
        <v>45982</v>
      </c>
      <c r="D2317" t="s">
        <v>31</v>
      </c>
      <c r="E2317" t="s">
        <v>154</v>
      </c>
      <c r="F2317" t="s">
        <v>113</v>
      </c>
      <c r="J2317" s="389">
        <v>19818.2</v>
      </c>
    </row>
    <row r="2318" spans="1:10" ht="15">
      <c r="A2318" s="137" t="str">
        <f>D2318&amp;E2318&amp;F2318</f>
        <v>CAPNOMINA SUCURSALE8</v>
      </c>
      <c r="B2318" t="s">
        <v>2565</v>
      </c>
      <c r="C2318" s="1">
        <v>45982</v>
      </c>
      <c r="D2318" t="s">
        <v>31</v>
      </c>
      <c r="E2318" t="s">
        <v>154</v>
      </c>
      <c r="F2318" t="s">
        <v>114</v>
      </c>
      <c r="J2318" s="389">
        <v>39672.6</v>
      </c>
    </row>
    <row r="2319" spans="1:10" ht="15">
      <c r="A2319" s="137" t="str">
        <f>D2319&amp;E2319&amp;F2319</f>
        <v>CAPNOMINA SUCURSALE9</v>
      </c>
      <c r="B2319" t="s">
        <v>2565</v>
      </c>
      <c r="C2319" s="1">
        <v>45982</v>
      </c>
      <c r="D2319" t="s">
        <v>31</v>
      </c>
      <c r="E2319" t="s">
        <v>154</v>
      </c>
      <c r="F2319" t="s">
        <v>116</v>
      </c>
      <c r="J2319" s="389">
        <v>29455.8</v>
      </c>
    </row>
    <row r="2320" spans="1:10" ht="15">
      <c r="A2320" s="137" t="str">
        <f>D2320&amp;E2320&amp;F2320</f>
        <v>ELINOMINA SUCURSALL1</v>
      </c>
      <c r="B2320" t="s">
        <v>2565</v>
      </c>
      <c r="C2320" s="1">
        <v>45982</v>
      </c>
      <c r="D2320" t="s">
        <v>130</v>
      </c>
      <c r="E2320" t="s">
        <v>154</v>
      </c>
      <c r="F2320" t="s">
        <v>136</v>
      </c>
      <c r="J2320" s="389">
        <v>13328</v>
      </c>
    </row>
    <row r="2321" spans="1:10" ht="15">
      <c r="A2321" s="137" t="str">
        <f>D2321&amp;E2321&amp;F2321</f>
        <v>HRNOMINA ADMONHR</v>
      </c>
      <c r="B2321" t="s">
        <v>2565</v>
      </c>
      <c r="C2321" s="1">
        <v>45982</v>
      </c>
      <c r="D2321" t="s">
        <v>29</v>
      </c>
      <c r="E2321" t="s">
        <v>147</v>
      </c>
      <c r="F2321" t="s">
        <v>29</v>
      </c>
      <c r="J2321" s="389">
        <v>25426.799999999999</v>
      </c>
    </row>
    <row r="2322" spans="1:10" ht="15">
      <c r="A2322" s="137" t="str">
        <f>D2322&amp;E2322&amp;F2322</f>
        <v>CAPNOMINA ADMONCAPRICHOS</v>
      </c>
      <c r="B2322" t="s">
        <v>2565</v>
      </c>
      <c r="C2322" s="1">
        <v>45982</v>
      </c>
      <c r="D2322" t="s">
        <v>31</v>
      </c>
      <c r="E2322" t="s">
        <v>147</v>
      </c>
      <c r="F2322" t="s">
        <v>33</v>
      </c>
      <c r="J2322" s="389">
        <v>23962.3</v>
      </c>
    </row>
    <row r="2323" spans="1:10" ht="15">
      <c r="A2323" s="137" t="str">
        <f>D2323&amp;E2323&amp;F2323</f>
        <v>SERVICIOSNOMINA SUCURSALCEDIS</v>
      </c>
      <c r="B2323" t="s">
        <v>2565</v>
      </c>
      <c r="C2323" s="1">
        <v>45982</v>
      </c>
      <c r="D2323" t="s">
        <v>21</v>
      </c>
      <c r="E2323" t="s">
        <v>154</v>
      </c>
      <c r="F2323" t="s">
        <v>28</v>
      </c>
      <c r="J2323" s="389">
        <v>77098.69</v>
      </c>
    </row>
    <row r="2324" spans="1:10" ht="15">
      <c r="A2324" s="137" t="str">
        <f>D2324&amp;E2324&amp;F2324</f>
        <v>SERVICIOSNOMINA ADMONINVENTARIOS</v>
      </c>
      <c r="B2324" t="s">
        <v>2565</v>
      </c>
      <c r="C2324" s="1">
        <v>45982</v>
      </c>
      <c r="D2324" t="s">
        <v>21</v>
      </c>
      <c r="E2324" t="s">
        <v>147</v>
      </c>
      <c r="F2324" t="s">
        <v>34</v>
      </c>
      <c r="J2324" s="389">
        <v>2800</v>
      </c>
    </row>
    <row r="2325" spans="1:10" ht="15">
      <c r="A2325" s="137" t="str">
        <f>D2325&amp;E2325&amp;F2325</f>
        <v>SERVICIOSNOMINA ADMONMANTENIMIENTO</v>
      </c>
      <c r="B2325" t="s">
        <v>2565</v>
      </c>
      <c r="C2325" s="1">
        <v>45982</v>
      </c>
      <c r="D2325" t="s">
        <v>21</v>
      </c>
      <c r="E2325" t="s">
        <v>147</v>
      </c>
      <c r="F2325" t="s">
        <v>35</v>
      </c>
      <c r="J2325" s="389">
        <v>17369.62</v>
      </c>
    </row>
    <row r="2326" spans="1:10" ht="15">
      <c r="A2326" s="137" t="str">
        <f>D2326&amp;E2326&amp;F2326</f>
        <v>SERVICIOSNOMINA ADMONCADENA DE SUMINISTROS</v>
      </c>
      <c r="B2326" t="s">
        <v>2565</v>
      </c>
      <c r="C2326" s="1">
        <v>45982</v>
      </c>
      <c r="D2326" t="s">
        <v>21</v>
      </c>
      <c r="E2326" t="s">
        <v>147</v>
      </c>
      <c r="F2326" t="s">
        <v>134</v>
      </c>
      <c r="J2326" s="389">
        <v>24676.2</v>
      </c>
    </row>
    <row r="2327" spans="1:10" ht="15">
      <c r="A2327" s="137" t="str">
        <f>D2327&amp;E2327&amp;F2327</f>
        <v>SERVICIOSNOMINA ADMONSISTEMAS</v>
      </c>
      <c r="B2327" t="s">
        <v>2565</v>
      </c>
      <c r="C2327" s="1">
        <v>45982</v>
      </c>
      <c r="D2327" t="s">
        <v>21</v>
      </c>
      <c r="E2327" t="s">
        <v>147</v>
      </c>
      <c r="F2327" t="s">
        <v>36</v>
      </c>
      <c r="J2327" s="389">
        <v>11607.89</v>
      </c>
    </row>
    <row r="2328" spans="1:10" ht="15">
      <c r="A2328" s="137" t="str">
        <f>D2328&amp;E2328&amp;F2328</f>
        <v>SERVICIOSNOMINA ADMONCOMPRAS</v>
      </c>
      <c r="B2328" t="s">
        <v>2565</v>
      </c>
      <c r="C2328" s="1">
        <v>45982</v>
      </c>
      <c r="D2328" t="s">
        <v>21</v>
      </c>
      <c r="E2328" t="s">
        <v>147</v>
      </c>
      <c r="F2328" t="s">
        <v>148</v>
      </c>
      <c r="J2328" s="389">
        <v>22674.91</v>
      </c>
    </row>
    <row r="2329" spans="1:10" ht="15">
      <c r="A2329" s="137" t="str">
        <f>D2329&amp;E2329&amp;F2329</f>
        <v>FINANZASNOMINA ADMONCONTABILIDAD</v>
      </c>
      <c r="B2329" t="s">
        <v>2565</v>
      </c>
      <c r="C2329" s="1">
        <v>45982</v>
      </c>
      <c r="D2329" t="s">
        <v>23</v>
      </c>
      <c r="E2329" t="s">
        <v>147</v>
      </c>
      <c r="F2329" t="s">
        <v>37</v>
      </c>
      <c r="J2329" s="389">
        <v>15237.27</v>
      </c>
    </row>
    <row r="2330" spans="1:10" ht="15">
      <c r="A2330" s="137" t="str">
        <f>D2330&amp;E2330&amp;F2330</f>
        <v>FINANZASNOMINA ADMONFINANZAS/LEGAL</v>
      </c>
      <c r="B2330" t="s">
        <v>2565</v>
      </c>
      <c r="C2330" s="1">
        <v>45982</v>
      </c>
      <c r="D2330" t="s">
        <v>23</v>
      </c>
      <c r="E2330" t="s">
        <v>147</v>
      </c>
      <c r="F2330" t="s">
        <v>149</v>
      </c>
      <c r="J2330" s="389">
        <v>6583.6</v>
      </c>
    </row>
    <row r="2331" spans="1:10" ht="15">
      <c r="A2331" s="137" t="str">
        <f>D2331&amp;E2331&amp;F2331</f>
        <v>FINANZASNOMINA ADMONRECURSOS HUMANOS</v>
      </c>
      <c r="B2331" t="s">
        <v>2565</v>
      </c>
      <c r="C2331" s="1">
        <v>45982</v>
      </c>
      <c r="D2331" t="s">
        <v>23</v>
      </c>
      <c r="E2331" t="s">
        <v>147</v>
      </c>
      <c r="F2331" t="s">
        <v>125</v>
      </c>
      <c r="J2331" s="389">
        <v>11908.65</v>
      </c>
    </row>
    <row r="2332" spans="1:10" ht="15">
      <c r="A2332" s="137" t="str">
        <f>D2332&amp;E2332&amp;F2332</f>
        <v>FINANZASNOMINA ADMONTESORERIA</v>
      </c>
      <c r="B2332" t="s">
        <v>2565</v>
      </c>
      <c r="C2332" s="1">
        <v>45982</v>
      </c>
      <c r="D2332" t="s">
        <v>23</v>
      </c>
      <c r="E2332" t="s">
        <v>147</v>
      </c>
      <c r="F2332" t="s">
        <v>38</v>
      </c>
      <c r="J2332" s="389">
        <v>12980.6</v>
      </c>
    </row>
    <row r="2333" spans="1:10" ht="15">
      <c r="A2333" s="137" t="str">
        <f>D2333&amp;E2333&amp;F2333</f>
        <v>FINANZASNOMINA ADMONHBG FINANZAS</v>
      </c>
      <c r="B2333" t="s">
        <v>2565</v>
      </c>
      <c r="C2333" s="1">
        <v>45982</v>
      </c>
      <c r="D2333" t="s">
        <v>23</v>
      </c>
      <c r="E2333" t="s">
        <v>147</v>
      </c>
      <c r="F2333" t="s">
        <v>150</v>
      </c>
      <c r="J2333" s="389">
        <v>3057</v>
      </c>
    </row>
    <row r="2334" spans="1:10" ht="15">
      <c r="A2334" s="137" t="str">
        <f>D2334&amp;E2334&amp;F2334</f>
        <v>SGENOMINA ADMONGESTION EMPRESARIAL</v>
      </c>
      <c r="B2334" t="s">
        <v>2565</v>
      </c>
      <c r="C2334" s="1">
        <v>45982</v>
      </c>
      <c r="D2334" t="s">
        <v>39</v>
      </c>
      <c r="E2334" t="s">
        <v>147</v>
      </c>
      <c r="F2334" t="s">
        <v>40</v>
      </c>
      <c r="J2334" s="389">
        <v>24757.4</v>
      </c>
    </row>
    <row r="2335" spans="1:10" ht="15">
      <c r="A2335" s="137" t="str">
        <f>D2335&amp;E2335&amp;F2335</f>
        <v>DENOMINA ADMONDIRECCION</v>
      </c>
      <c r="B2335" t="s">
        <v>2565</v>
      </c>
      <c r="C2335" s="1">
        <v>45982</v>
      </c>
      <c r="D2335" t="s">
        <v>41</v>
      </c>
      <c r="E2335" t="s">
        <v>147</v>
      </c>
      <c r="F2335" t="s">
        <v>42</v>
      </c>
      <c r="J2335" s="389">
        <v>7000</v>
      </c>
    </row>
    <row r="2336" spans="1:10" ht="15">
      <c r="A2336" s="137" t="str">
        <f>D2336&amp;E2336&amp;F2336</f>
        <v>MELNOMINA ADMONMELISSA</v>
      </c>
      <c r="B2336" t="s">
        <v>2565</v>
      </c>
      <c r="C2336" s="1">
        <v>45982</v>
      </c>
      <c r="D2336" t="s">
        <v>43</v>
      </c>
      <c r="E2336" t="s">
        <v>147</v>
      </c>
      <c r="F2336" t="s">
        <v>44</v>
      </c>
      <c r="J2336" s="389">
        <v>6903.8</v>
      </c>
    </row>
    <row r="2337" spans="1:11" ht="15">
      <c r="A2337" s="137" t="str">
        <f>D2337&amp;E2337&amp;F2337</f>
        <v>MMNOMINA ADMONMARKET MAX</v>
      </c>
      <c r="B2337" t="s">
        <v>2565</v>
      </c>
      <c r="C2337" s="1">
        <v>45982</v>
      </c>
      <c r="D2337" t="s">
        <v>45</v>
      </c>
      <c r="E2337" t="s">
        <v>147</v>
      </c>
      <c r="F2337" t="s">
        <v>46</v>
      </c>
      <c r="J2337" s="389">
        <v>9215.74</v>
      </c>
    </row>
    <row r="2338" spans="1:11" ht="15">
      <c r="A2338" s="137" t="str">
        <f>D2338&amp;E2338&amp;F2338</f>
        <v>ANALISISNOMINA ADMONANALISIS DE DATOS</v>
      </c>
      <c r="B2338" t="s">
        <v>2565</v>
      </c>
      <c r="C2338" s="1">
        <v>45982</v>
      </c>
      <c r="D2338" t="s">
        <v>152</v>
      </c>
      <c r="E2338" t="s">
        <v>147</v>
      </c>
      <c r="F2338" t="s">
        <v>153</v>
      </c>
      <c r="J2338" s="389">
        <v>3894</v>
      </c>
    </row>
    <row r="2339" spans="1:11" ht="15">
      <c r="A2339" s="137" t="str">
        <f>D2339&amp;E2339&amp;F2339</f>
        <v>MKTNOMINA ADMONMKT</v>
      </c>
      <c r="B2339" t="s">
        <v>2565</v>
      </c>
      <c r="C2339" s="1">
        <v>45982</v>
      </c>
      <c r="D2339" t="s">
        <v>19</v>
      </c>
      <c r="E2339" t="s">
        <v>147</v>
      </c>
      <c r="F2339" t="s">
        <v>19</v>
      </c>
      <c r="J2339" s="389">
        <v>26001.8</v>
      </c>
    </row>
    <row r="2340" spans="1:11" ht="15">
      <c r="A2340" s="137" t="str">
        <f>D2340&amp;E2340&amp;F2340</f>
        <v>FINANZASNOMINA ADMONHBG FINANZAS</v>
      </c>
      <c r="B2340" t="s">
        <v>2565</v>
      </c>
      <c r="C2340" s="1">
        <v>45982</v>
      </c>
      <c r="D2340" t="s">
        <v>23</v>
      </c>
      <c r="E2340" t="s">
        <v>147</v>
      </c>
      <c r="F2340" s="12" t="s">
        <v>150</v>
      </c>
      <c r="J2340" s="385">
        <v>10950</v>
      </c>
    </row>
    <row r="2341" spans="1:11" ht="15">
      <c r="A2341" s="137" t="str">
        <f>D2341&amp;E2341&amp;F2341</f>
        <v>HRNOMINA ADMONHR</v>
      </c>
      <c r="B2341" t="s">
        <v>2565</v>
      </c>
      <c r="C2341" s="1">
        <v>45982</v>
      </c>
      <c r="D2341" t="s">
        <v>29</v>
      </c>
      <c r="E2341" t="s">
        <v>147</v>
      </c>
      <c r="F2341" s="3" t="s">
        <v>29</v>
      </c>
      <c r="J2341" s="385">
        <v>5500</v>
      </c>
    </row>
    <row r="2342" spans="1:11" ht="15">
      <c r="A2342" s="137" t="str">
        <f>D2342&amp;E2342&amp;F2342</f>
        <v>CAPNOMINA ADMONCAPRICHOS</v>
      </c>
      <c r="B2342" t="s">
        <v>2565</v>
      </c>
      <c r="C2342" s="1">
        <v>45982</v>
      </c>
      <c r="D2342" t="s">
        <v>31</v>
      </c>
      <c r="E2342" t="s">
        <v>147</v>
      </c>
      <c r="F2342" s="12" t="s">
        <v>33</v>
      </c>
      <c r="J2342" s="385">
        <v>3700</v>
      </c>
    </row>
    <row r="2343" spans="1:11" ht="15">
      <c r="A2343" s="137" t="str">
        <f>D2343&amp;E2343&amp;F2343</f>
        <v>SGENOMINA ADMONGESTION EMPRESARIAL</v>
      </c>
      <c r="B2343" t="s">
        <v>2565</v>
      </c>
      <c r="C2343" s="1">
        <v>45982</v>
      </c>
      <c r="D2343" t="s">
        <v>39</v>
      </c>
      <c r="E2343" t="s">
        <v>147</v>
      </c>
      <c r="F2343" s="12" t="s">
        <v>40</v>
      </c>
      <c r="J2343" s="385">
        <v>2750</v>
      </c>
    </row>
    <row r="2344" spans="1:11" ht="15">
      <c r="A2344" s="137" t="str">
        <f>D2344&amp;E2344&amp;F2344</f>
        <v>SERVICIOSNOMINA ADMONSERVICIOS</v>
      </c>
      <c r="B2344" t="s">
        <v>2565</v>
      </c>
      <c r="C2344" s="1">
        <v>45982</v>
      </c>
      <c r="D2344" t="s">
        <v>21</v>
      </c>
      <c r="E2344" t="s">
        <v>147</v>
      </c>
      <c r="F2344" s="12" t="s">
        <v>21</v>
      </c>
      <c r="J2344" s="385">
        <v>4750</v>
      </c>
    </row>
    <row r="2345" spans="1:11" ht="15">
      <c r="A2345" s="137" t="str">
        <f>D2345&amp;E2345&amp;F2345</f>
        <v>DENOMINA ADMONDIRECCION</v>
      </c>
      <c r="B2345" t="s">
        <v>2565</v>
      </c>
      <c r="C2345" s="1">
        <v>45982</v>
      </c>
      <c r="D2345" t="s">
        <v>41</v>
      </c>
      <c r="E2345" t="s">
        <v>147</v>
      </c>
      <c r="F2345" s="12" t="s">
        <v>42</v>
      </c>
      <c r="J2345" s="385">
        <v>5750</v>
      </c>
    </row>
    <row r="2346" spans="1:11" ht="15">
      <c r="A2346" s="137" t="str">
        <f>D2346&amp;E2346&amp;F2346</f>
        <v>MMNOMINA ADMONMARKET MAX</v>
      </c>
      <c r="B2346" t="s">
        <v>2565</v>
      </c>
      <c r="C2346" s="1">
        <v>45982</v>
      </c>
      <c r="D2346" t="s">
        <v>45</v>
      </c>
      <c r="E2346" t="s">
        <v>147</v>
      </c>
      <c r="F2346" s="12" t="s">
        <v>46</v>
      </c>
      <c r="J2346" s="385">
        <v>2000</v>
      </c>
    </row>
    <row r="2347" spans="1:11" ht="15">
      <c r="A2347" s="137" t="str">
        <f>D2347&amp;E2347&amp;F2347</f>
        <v>SERVICIOSVACACIONES/FINIQUITOSSERVICIOS</v>
      </c>
      <c r="B2347" t="s">
        <v>2565</v>
      </c>
      <c r="C2347" s="1">
        <v>45982</v>
      </c>
      <c r="D2347" t="s">
        <v>21</v>
      </c>
      <c r="E2347" s="12" t="s">
        <v>190</v>
      </c>
      <c r="F2347" t="s">
        <v>21</v>
      </c>
      <c r="J2347" s="385">
        <v>1670</v>
      </c>
    </row>
    <row r="2348" spans="1:11" ht="15">
      <c r="A2348" s="137" t="str">
        <f>D2348&amp;E2348&amp;F2348</f>
        <v>HRVACACIONES/FINIQUITOSHR</v>
      </c>
      <c r="B2348" t="s">
        <v>2565</v>
      </c>
      <c r="C2348" s="1">
        <v>45982</v>
      </c>
      <c r="D2348" t="s">
        <v>29</v>
      </c>
      <c r="E2348" s="12" t="s">
        <v>190</v>
      </c>
      <c r="F2348" t="s">
        <v>29</v>
      </c>
      <c r="J2348" s="385">
        <v>1157</v>
      </c>
    </row>
    <row r="2349" spans="1:11" s="229" customFormat="1" ht="15">
      <c r="A2349" s="478" t="str">
        <f>D2349&amp;E2349&amp;F2349</f>
        <v>HRNOMINA SUCURSALA1</v>
      </c>
      <c r="B2349" s="229" t="s">
        <v>2565</v>
      </c>
      <c r="C2349" s="244">
        <v>45989</v>
      </c>
      <c r="D2349" s="229" t="s">
        <v>29</v>
      </c>
      <c r="E2349" s="229" t="s">
        <v>154</v>
      </c>
      <c r="F2349" s="229" t="s">
        <v>88</v>
      </c>
      <c r="I2349" s="161"/>
      <c r="J2349" s="479">
        <v>10896.15</v>
      </c>
      <c r="K2349" s="160"/>
    </row>
    <row r="2350" spans="1:11" ht="15">
      <c r="A2350" s="137" t="str">
        <f>D2350&amp;E2350&amp;F2350</f>
        <v>HRNOMINA SUCURSALA2</v>
      </c>
      <c r="B2350" t="s">
        <v>2565</v>
      </c>
      <c r="C2350" s="1">
        <v>45989</v>
      </c>
      <c r="D2350" t="s">
        <v>29</v>
      </c>
      <c r="E2350" t="s">
        <v>154</v>
      </c>
      <c r="F2350" t="s">
        <v>89</v>
      </c>
      <c r="J2350" s="389">
        <v>16994.2</v>
      </c>
    </row>
    <row r="2351" spans="1:11" ht="15">
      <c r="A2351" s="137" t="str">
        <f>D2351&amp;E2351&amp;F2351</f>
        <v>HRNOMINA SUCURSALA3</v>
      </c>
      <c r="B2351" t="s">
        <v>2565</v>
      </c>
      <c r="C2351" s="1">
        <v>45989</v>
      </c>
      <c r="D2351" t="s">
        <v>29</v>
      </c>
      <c r="E2351" t="s">
        <v>154</v>
      </c>
      <c r="F2351" t="s">
        <v>90</v>
      </c>
      <c r="J2351" s="389">
        <v>6567.4</v>
      </c>
    </row>
    <row r="2352" spans="1:11" ht="15">
      <c r="A2352" s="137" t="str">
        <f>D2352&amp;E2352&amp;F2352</f>
        <v>HRNOMINA SUCURSALA4</v>
      </c>
      <c r="B2352" t="s">
        <v>2565</v>
      </c>
      <c r="C2352" s="1">
        <v>45989</v>
      </c>
      <c r="D2352" t="s">
        <v>29</v>
      </c>
      <c r="E2352" t="s">
        <v>154</v>
      </c>
      <c r="F2352" t="s">
        <v>91</v>
      </c>
      <c r="J2352" s="389">
        <v>11447</v>
      </c>
    </row>
    <row r="2353" spans="1:10" ht="15">
      <c r="A2353" s="137" t="str">
        <f>D2353&amp;E2353&amp;F2353</f>
        <v>HRNOMINA SUCURSALA5</v>
      </c>
      <c r="B2353" t="s">
        <v>2565</v>
      </c>
      <c r="C2353" s="1">
        <v>45989</v>
      </c>
      <c r="D2353" t="s">
        <v>29</v>
      </c>
      <c r="E2353" t="s">
        <v>154</v>
      </c>
      <c r="F2353" t="s">
        <v>92</v>
      </c>
      <c r="J2353" s="389">
        <v>10689.8</v>
      </c>
    </row>
    <row r="2354" spans="1:10" ht="15">
      <c r="A2354" s="137" t="str">
        <f>D2354&amp;E2354&amp;F2354</f>
        <v>HRNOMINA SUCURSALA6</v>
      </c>
      <c r="B2354" t="s">
        <v>2565</v>
      </c>
      <c r="C2354" s="1">
        <v>45989</v>
      </c>
      <c r="D2354" t="s">
        <v>29</v>
      </c>
      <c r="E2354" t="s">
        <v>154</v>
      </c>
      <c r="F2354" t="s">
        <v>93</v>
      </c>
      <c r="J2354" s="389">
        <v>13727.29</v>
      </c>
    </row>
    <row r="2355" spans="1:10" ht="15">
      <c r="A2355" s="137" t="str">
        <f>D2355&amp;E2355&amp;F2355</f>
        <v>HRNOMINA SUCURSALA8</v>
      </c>
      <c r="B2355" t="s">
        <v>2565</v>
      </c>
      <c r="C2355" s="1">
        <v>45989</v>
      </c>
      <c r="D2355" t="s">
        <v>29</v>
      </c>
      <c r="E2355" t="s">
        <v>154</v>
      </c>
      <c r="F2355" t="s">
        <v>94</v>
      </c>
      <c r="J2355" s="389">
        <v>17308.2</v>
      </c>
    </row>
    <row r="2356" spans="1:10" ht="15">
      <c r="A2356" s="137" t="str">
        <f>D2356&amp;E2356&amp;F2356</f>
        <v>HRNOMINA SUCURSALA9</v>
      </c>
      <c r="B2356" t="s">
        <v>2565</v>
      </c>
      <c r="C2356" s="1">
        <v>45989</v>
      </c>
      <c r="D2356" t="s">
        <v>29</v>
      </c>
      <c r="E2356" t="s">
        <v>154</v>
      </c>
      <c r="F2356" t="s">
        <v>95</v>
      </c>
      <c r="J2356" s="389">
        <v>12374.11</v>
      </c>
    </row>
    <row r="2357" spans="1:10" ht="15">
      <c r="A2357" s="137" t="str">
        <f>D2357&amp;E2357&amp;F2357</f>
        <v>HRNOMINA SUCURSALA10</v>
      </c>
      <c r="B2357" t="s">
        <v>2565</v>
      </c>
      <c r="C2357" s="1">
        <v>45989</v>
      </c>
      <c r="D2357" t="s">
        <v>29</v>
      </c>
      <c r="E2357" t="s">
        <v>154</v>
      </c>
      <c r="F2357" t="s">
        <v>96</v>
      </c>
      <c r="J2357" s="389">
        <v>20778.599999999999</v>
      </c>
    </row>
    <row r="2358" spans="1:10" ht="15">
      <c r="A2358" s="137" t="str">
        <f>D2358&amp;E2358&amp;F2358</f>
        <v>HRNOMINA SUCURSALA11</v>
      </c>
      <c r="B2358" t="s">
        <v>2565</v>
      </c>
      <c r="C2358" s="1">
        <v>45989</v>
      </c>
      <c r="D2358" t="s">
        <v>29</v>
      </c>
      <c r="E2358" t="s">
        <v>154</v>
      </c>
      <c r="F2358" t="s">
        <v>97</v>
      </c>
      <c r="J2358" s="389">
        <v>13824.8</v>
      </c>
    </row>
    <row r="2359" spans="1:10" ht="15">
      <c r="A2359" s="137" t="str">
        <f>D2359&amp;E2359&amp;F2359</f>
        <v>HRNOMINA SUCURSALA12</v>
      </c>
      <c r="B2359" t="s">
        <v>2565</v>
      </c>
      <c r="C2359" s="1">
        <v>45989</v>
      </c>
      <c r="D2359" t="s">
        <v>29</v>
      </c>
      <c r="E2359" t="s">
        <v>154</v>
      </c>
      <c r="F2359" t="s">
        <v>98</v>
      </c>
      <c r="J2359" s="389">
        <v>18521.2</v>
      </c>
    </row>
    <row r="2360" spans="1:10" ht="15">
      <c r="A2360" s="137" t="str">
        <f>D2360&amp;E2360&amp;F2360</f>
        <v>HRNOMINA SUCURSALA14</v>
      </c>
      <c r="B2360" t="s">
        <v>2565</v>
      </c>
      <c r="C2360" s="1">
        <v>45989</v>
      </c>
      <c r="D2360" t="s">
        <v>29</v>
      </c>
      <c r="E2360" t="s">
        <v>154</v>
      </c>
      <c r="F2360" t="s">
        <v>99</v>
      </c>
      <c r="J2360" s="389">
        <v>13892.6</v>
      </c>
    </row>
    <row r="2361" spans="1:10" ht="15">
      <c r="A2361" s="137" t="str">
        <f>D2361&amp;E2361&amp;F2361</f>
        <v>HRNOMINA SUCURSALA15</v>
      </c>
      <c r="B2361" t="s">
        <v>2565</v>
      </c>
      <c r="C2361" s="1">
        <v>45989</v>
      </c>
      <c r="D2361" t="s">
        <v>29</v>
      </c>
      <c r="E2361" t="s">
        <v>154</v>
      </c>
      <c r="F2361" t="s">
        <v>100</v>
      </c>
      <c r="J2361" s="389">
        <v>11555.8</v>
      </c>
    </row>
    <row r="2362" spans="1:10" ht="15">
      <c r="A2362" s="137" t="str">
        <f>D2362&amp;E2362&amp;F2362</f>
        <v>HRNOMINA SUCURSALA16</v>
      </c>
      <c r="B2362" t="s">
        <v>2565</v>
      </c>
      <c r="C2362" s="1">
        <v>45989</v>
      </c>
      <c r="D2362" t="s">
        <v>29</v>
      </c>
      <c r="E2362" t="s">
        <v>154</v>
      </c>
      <c r="F2362" t="s">
        <v>101</v>
      </c>
      <c r="J2362" s="389">
        <v>16718.29</v>
      </c>
    </row>
    <row r="2363" spans="1:10" ht="15">
      <c r="A2363" s="137" t="str">
        <f>D2363&amp;E2363&amp;F2363</f>
        <v>HRNOMINA SUCURSALA17</v>
      </c>
      <c r="B2363" t="s">
        <v>2565</v>
      </c>
      <c r="C2363" s="1">
        <v>45989</v>
      </c>
      <c r="D2363" t="s">
        <v>29</v>
      </c>
      <c r="E2363" t="s">
        <v>154</v>
      </c>
      <c r="F2363" t="s">
        <v>102</v>
      </c>
      <c r="J2363" s="389">
        <v>11652.8</v>
      </c>
    </row>
    <row r="2364" spans="1:10" ht="15">
      <c r="A2364" s="137" t="str">
        <f>D2364&amp;E2364&amp;F2364</f>
        <v>HRNOMINA SUCURSALA18</v>
      </c>
      <c r="B2364" t="s">
        <v>2565</v>
      </c>
      <c r="C2364" s="1">
        <v>45989</v>
      </c>
      <c r="D2364" t="s">
        <v>29</v>
      </c>
      <c r="E2364" t="s">
        <v>154</v>
      </c>
      <c r="F2364" t="s">
        <v>103</v>
      </c>
      <c r="J2364" s="389">
        <v>17171.8</v>
      </c>
    </row>
    <row r="2365" spans="1:10" ht="15">
      <c r="A2365" s="137" t="str">
        <f>D2365&amp;E2365&amp;F2365</f>
        <v>HRNOMINA SUCURSALA22</v>
      </c>
      <c r="B2365" t="s">
        <v>2565</v>
      </c>
      <c r="C2365" s="1">
        <v>45989</v>
      </c>
      <c r="D2365" t="s">
        <v>29</v>
      </c>
      <c r="E2365" t="s">
        <v>154</v>
      </c>
      <c r="F2365" t="s">
        <v>104</v>
      </c>
      <c r="J2365" s="389">
        <v>15011.4</v>
      </c>
    </row>
    <row r="2366" spans="1:10" ht="15">
      <c r="A2366" s="137" t="str">
        <f>D2366&amp;E2366&amp;F2366</f>
        <v>HRNOMINA SUCURSALA23</v>
      </c>
      <c r="B2366" t="s">
        <v>2565</v>
      </c>
      <c r="C2366" s="1">
        <v>45989</v>
      </c>
      <c r="D2366" t="s">
        <v>29</v>
      </c>
      <c r="E2366" t="s">
        <v>154</v>
      </c>
      <c r="F2366" t="s">
        <v>105</v>
      </c>
      <c r="J2366" s="389">
        <v>12893.2</v>
      </c>
    </row>
    <row r="2367" spans="1:10" ht="15">
      <c r="A2367" s="137" t="str">
        <f>D2367&amp;E2367&amp;F2367</f>
        <v>HRNOMINA SUCURSALA24</v>
      </c>
      <c r="B2367" t="s">
        <v>2565</v>
      </c>
      <c r="C2367" s="1">
        <v>45989</v>
      </c>
      <c r="D2367" t="s">
        <v>29</v>
      </c>
      <c r="E2367" t="s">
        <v>154</v>
      </c>
      <c r="F2367" t="s">
        <v>106</v>
      </c>
      <c r="J2367" s="389">
        <v>20213.2</v>
      </c>
    </row>
    <row r="2368" spans="1:10" ht="15">
      <c r="A2368" s="137" t="str">
        <f>D2368&amp;E2368&amp;F2368</f>
        <v>CAPNOMINA SUCURSALE1</v>
      </c>
      <c r="B2368" t="s">
        <v>2565</v>
      </c>
      <c r="C2368" s="1">
        <v>45989</v>
      </c>
      <c r="D2368" t="s">
        <v>31</v>
      </c>
      <c r="E2368" t="s">
        <v>154</v>
      </c>
      <c r="F2368" t="s">
        <v>107</v>
      </c>
      <c r="J2368" s="389">
        <v>14598.48</v>
      </c>
    </row>
    <row r="2369" spans="1:10" ht="15">
      <c r="A2369" s="137" t="str">
        <f>D2369&amp;E2369&amp;F2369</f>
        <v>CAPNOMINA SUCURSALE2</v>
      </c>
      <c r="B2369" t="s">
        <v>2565</v>
      </c>
      <c r="C2369" s="1">
        <v>45989</v>
      </c>
      <c r="D2369" t="s">
        <v>31</v>
      </c>
      <c r="E2369" t="s">
        <v>154</v>
      </c>
      <c r="F2369" t="s">
        <v>108</v>
      </c>
      <c r="J2369" s="389">
        <v>30346.6</v>
      </c>
    </row>
    <row r="2370" spans="1:10" ht="15">
      <c r="A2370" s="137" t="str">
        <f>D2370&amp;E2370&amp;F2370</f>
        <v>CAPNOMINA SUCURSALE3</v>
      </c>
      <c r="B2370" t="s">
        <v>2565</v>
      </c>
      <c r="C2370" s="1">
        <v>45989</v>
      </c>
      <c r="D2370" t="s">
        <v>31</v>
      </c>
      <c r="E2370" t="s">
        <v>154</v>
      </c>
      <c r="F2370" t="s">
        <v>109</v>
      </c>
      <c r="J2370" s="389">
        <v>14422.6</v>
      </c>
    </row>
    <row r="2371" spans="1:10" ht="15">
      <c r="A2371" s="137" t="str">
        <f>D2371&amp;E2371&amp;F2371</f>
        <v>CAPNOMINA SUCURSALE4</v>
      </c>
      <c r="B2371" t="s">
        <v>2565</v>
      </c>
      <c r="C2371" s="1">
        <v>45989</v>
      </c>
      <c r="D2371" t="s">
        <v>31</v>
      </c>
      <c r="E2371" t="s">
        <v>154</v>
      </c>
      <c r="F2371" t="s">
        <v>110</v>
      </c>
      <c r="J2371" s="389">
        <v>23370.6</v>
      </c>
    </row>
    <row r="2372" spans="1:10" ht="15">
      <c r="A2372" s="137" t="str">
        <f>D2372&amp;E2372&amp;F2372</f>
        <v>CAPNOMINA SUCURSALE5</v>
      </c>
      <c r="B2372" t="s">
        <v>2565</v>
      </c>
      <c r="C2372" s="1">
        <v>45989</v>
      </c>
      <c r="D2372" t="s">
        <v>31</v>
      </c>
      <c r="E2372" t="s">
        <v>154</v>
      </c>
      <c r="F2372" t="s">
        <v>111</v>
      </c>
      <c r="J2372" s="389">
        <v>28377.4</v>
      </c>
    </row>
    <row r="2373" spans="1:10" ht="15">
      <c r="A2373" s="137" t="str">
        <f>D2373&amp;E2373&amp;F2373</f>
        <v>CAPNOMINA SUCURSALE6</v>
      </c>
      <c r="B2373" t="s">
        <v>2565</v>
      </c>
      <c r="C2373" s="1">
        <v>45989</v>
      </c>
      <c r="D2373" t="s">
        <v>31</v>
      </c>
      <c r="E2373" t="s">
        <v>154</v>
      </c>
      <c r="F2373" t="s">
        <v>112</v>
      </c>
      <c r="J2373" s="389">
        <v>15220.2</v>
      </c>
    </row>
    <row r="2374" spans="1:10" ht="15">
      <c r="A2374" s="137" t="str">
        <f>D2374&amp;E2374&amp;F2374</f>
        <v>CAPNOMINA SUCURSALE7</v>
      </c>
      <c r="B2374" t="s">
        <v>2565</v>
      </c>
      <c r="C2374" s="1">
        <v>45989</v>
      </c>
      <c r="D2374" t="s">
        <v>31</v>
      </c>
      <c r="E2374" t="s">
        <v>154</v>
      </c>
      <c r="F2374" t="s">
        <v>113</v>
      </c>
      <c r="J2374" s="389">
        <v>16103.8</v>
      </c>
    </row>
    <row r="2375" spans="1:10" ht="15">
      <c r="A2375" s="137" t="str">
        <f>D2375&amp;E2375&amp;F2375</f>
        <v>CAPNOMINA SUCURSALE8</v>
      </c>
      <c r="B2375" t="s">
        <v>2565</v>
      </c>
      <c r="C2375" s="1">
        <v>45989</v>
      </c>
      <c r="D2375" t="s">
        <v>31</v>
      </c>
      <c r="E2375" t="s">
        <v>154</v>
      </c>
      <c r="F2375" t="s">
        <v>114</v>
      </c>
      <c r="J2375" s="389">
        <v>30437.599999999999</v>
      </c>
    </row>
    <row r="2376" spans="1:10" ht="15">
      <c r="A2376" s="137" t="str">
        <f>D2376&amp;E2376&amp;F2376</f>
        <v>CAPNOMINA SUCURSALE9</v>
      </c>
      <c r="B2376" t="s">
        <v>2565</v>
      </c>
      <c r="C2376" s="1">
        <v>45989</v>
      </c>
      <c r="D2376" t="s">
        <v>31</v>
      </c>
      <c r="E2376" t="s">
        <v>154</v>
      </c>
      <c r="F2376" t="s">
        <v>116</v>
      </c>
      <c r="J2376" s="389">
        <v>22753.4</v>
      </c>
    </row>
    <row r="2377" spans="1:10" ht="15">
      <c r="A2377" s="137" t="str">
        <f>D2377&amp;E2377&amp;F2377</f>
        <v>ELINOMINA SUCURSALL1</v>
      </c>
      <c r="B2377" t="s">
        <v>2565</v>
      </c>
      <c r="C2377" s="1">
        <v>45989</v>
      </c>
      <c r="D2377" t="s">
        <v>130</v>
      </c>
      <c r="E2377" t="s">
        <v>154</v>
      </c>
      <c r="F2377" t="s">
        <v>136</v>
      </c>
      <c r="J2377" s="389">
        <v>12389.8</v>
      </c>
    </row>
    <row r="2378" spans="1:10" ht="15">
      <c r="A2378" s="137" t="str">
        <f>D2378&amp;E2378&amp;F2378</f>
        <v>HRNOMINA ADMONHR</v>
      </c>
      <c r="B2378" t="s">
        <v>2565</v>
      </c>
      <c r="C2378" s="1">
        <v>45989</v>
      </c>
      <c r="D2378" t="s">
        <v>29</v>
      </c>
      <c r="E2378" t="s">
        <v>147</v>
      </c>
      <c r="F2378" t="s">
        <v>29</v>
      </c>
      <c r="J2378" s="389">
        <v>23609</v>
      </c>
    </row>
    <row r="2379" spans="1:10" ht="15">
      <c r="A2379" s="137" t="str">
        <f>D2379&amp;E2379&amp;F2379</f>
        <v>CAPNOMINA ADMONCAPRICHOS</v>
      </c>
      <c r="B2379" t="s">
        <v>2565</v>
      </c>
      <c r="C2379" s="1">
        <v>45989</v>
      </c>
      <c r="D2379" t="s">
        <v>31</v>
      </c>
      <c r="E2379" t="s">
        <v>147</v>
      </c>
      <c r="F2379" t="s">
        <v>33</v>
      </c>
      <c r="J2379" s="389">
        <v>23420.9</v>
      </c>
    </row>
    <row r="2380" spans="1:10" ht="15">
      <c r="A2380" s="137" t="str">
        <f>D2380&amp;E2380&amp;F2380</f>
        <v>SERVICIOSNOMINA SUCURSALCEDIS</v>
      </c>
      <c r="B2380" t="s">
        <v>2565</v>
      </c>
      <c r="C2380" s="1">
        <v>45989</v>
      </c>
      <c r="D2380" t="s">
        <v>21</v>
      </c>
      <c r="E2380" t="s">
        <v>154</v>
      </c>
      <c r="F2380" t="s">
        <v>28</v>
      </c>
      <c r="J2380" s="389">
        <v>76005.929999999993</v>
      </c>
    </row>
    <row r="2381" spans="1:10" ht="15">
      <c r="A2381" s="137" t="str">
        <f>D2381&amp;E2381&amp;F2381</f>
        <v>SERVICIOSNOMINA ADMONINVENTARIOS</v>
      </c>
      <c r="B2381" t="s">
        <v>2565</v>
      </c>
      <c r="C2381" s="1">
        <v>45989</v>
      </c>
      <c r="D2381" t="s">
        <v>21</v>
      </c>
      <c r="E2381" t="s">
        <v>147</v>
      </c>
      <c r="F2381" t="s">
        <v>34</v>
      </c>
      <c r="J2381" s="389">
        <v>2993.6</v>
      </c>
    </row>
    <row r="2382" spans="1:10" ht="15">
      <c r="A2382" s="137" t="str">
        <f>D2382&amp;E2382&amp;F2382</f>
        <v>SERVICIOSNOMINA ADMONMANTENIMIENTO</v>
      </c>
      <c r="B2382" t="s">
        <v>2565</v>
      </c>
      <c r="C2382" s="1">
        <v>45989</v>
      </c>
      <c r="D2382" t="s">
        <v>21</v>
      </c>
      <c r="E2382" t="s">
        <v>147</v>
      </c>
      <c r="F2382" t="s">
        <v>35</v>
      </c>
      <c r="J2382" s="389">
        <v>22297.62</v>
      </c>
    </row>
    <row r="2383" spans="1:10" ht="15">
      <c r="A2383" s="137" t="str">
        <f>D2383&amp;E2383&amp;F2383</f>
        <v>SERVICIOSNOMINA ADMONCADENA DE SUMINISTROS</v>
      </c>
      <c r="B2383" t="s">
        <v>2565</v>
      </c>
      <c r="C2383" s="1">
        <v>45989</v>
      </c>
      <c r="D2383" t="s">
        <v>21</v>
      </c>
      <c r="E2383" t="s">
        <v>147</v>
      </c>
      <c r="F2383" t="s">
        <v>134</v>
      </c>
      <c r="J2383" s="389">
        <v>24437</v>
      </c>
    </row>
    <row r="2384" spans="1:10" ht="15">
      <c r="A2384" s="137" t="str">
        <f>D2384&amp;E2384&amp;F2384</f>
        <v>SERVICIOSNOMINA ADMONSISTEMAS</v>
      </c>
      <c r="B2384" t="s">
        <v>2565</v>
      </c>
      <c r="C2384" s="1">
        <v>45989</v>
      </c>
      <c r="D2384" t="s">
        <v>21</v>
      </c>
      <c r="E2384" t="s">
        <v>147</v>
      </c>
      <c r="F2384" t="s">
        <v>36</v>
      </c>
      <c r="J2384" s="389">
        <v>13917.29</v>
      </c>
    </row>
    <row r="2385" spans="1:10" ht="15">
      <c r="A2385" s="137" t="str">
        <f>D2385&amp;E2385&amp;F2385</f>
        <v>SERVICIOSNOMINA ADMONCOMPRAS</v>
      </c>
      <c r="B2385" t="s">
        <v>2565</v>
      </c>
      <c r="C2385" s="1">
        <v>45989</v>
      </c>
      <c r="D2385" t="s">
        <v>21</v>
      </c>
      <c r="E2385" t="s">
        <v>147</v>
      </c>
      <c r="F2385" t="s">
        <v>148</v>
      </c>
      <c r="J2385" s="389">
        <v>22898.91</v>
      </c>
    </row>
    <row r="2386" spans="1:10" ht="15">
      <c r="A2386" s="137" t="str">
        <f>D2386&amp;E2386&amp;F2386</f>
        <v>FINANZASNOMINA ADMONCONTABILIDAD</v>
      </c>
      <c r="B2386" t="s">
        <v>2565</v>
      </c>
      <c r="C2386" s="1">
        <v>45989</v>
      </c>
      <c r="D2386" t="s">
        <v>23</v>
      </c>
      <c r="E2386" t="s">
        <v>147</v>
      </c>
      <c r="F2386" t="s">
        <v>37</v>
      </c>
      <c r="J2386" s="389">
        <v>16273.47</v>
      </c>
    </row>
    <row r="2387" spans="1:10" ht="15">
      <c r="A2387" s="137" t="str">
        <f>D2387&amp;E2387&amp;F2387</f>
        <v>FINANZASNOMINA ADMONFINANZAS/LEGAL</v>
      </c>
      <c r="B2387" t="s">
        <v>2565</v>
      </c>
      <c r="C2387" s="1">
        <v>45989</v>
      </c>
      <c r="D2387" t="s">
        <v>23</v>
      </c>
      <c r="E2387" t="s">
        <v>147</v>
      </c>
      <c r="F2387" t="s">
        <v>149</v>
      </c>
      <c r="J2387" s="389">
        <v>9874.2000000000007</v>
      </c>
    </row>
    <row r="2388" spans="1:10" ht="15">
      <c r="A2388" s="137" t="str">
        <f>D2388&amp;E2388&amp;F2388</f>
        <v>FINANZASNOMINA ADMONRECURSOS HUMANOS</v>
      </c>
      <c r="B2388" t="s">
        <v>2565</v>
      </c>
      <c r="C2388" s="1">
        <v>45989</v>
      </c>
      <c r="D2388" t="s">
        <v>23</v>
      </c>
      <c r="E2388" t="s">
        <v>147</v>
      </c>
      <c r="F2388" t="s">
        <v>125</v>
      </c>
      <c r="J2388" s="389">
        <v>12001.05</v>
      </c>
    </row>
    <row r="2389" spans="1:10" ht="15">
      <c r="A2389" s="137" t="str">
        <f>D2389&amp;E2389&amp;F2389</f>
        <v>FINANZASNOMINA ADMONTESORERIA</v>
      </c>
      <c r="B2389" t="s">
        <v>2565</v>
      </c>
      <c r="C2389" s="1">
        <v>45989</v>
      </c>
      <c r="D2389" t="s">
        <v>23</v>
      </c>
      <c r="E2389" t="s">
        <v>147</v>
      </c>
      <c r="F2389" t="s">
        <v>38</v>
      </c>
      <c r="J2389" s="389">
        <v>13174.2</v>
      </c>
    </row>
    <row r="2390" spans="1:10" ht="15">
      <c r="A2390" s="137" t="str">
        <f>D2390&amp;E2390&amp;F2390</f>
        <v>FINANZASNOMINA ADMONHBG FINANZAS</v>
      </c>
      <c r="B2390" t="s">
        <v>2565</v>
      </c>
      <c r="C2390" s="1">
        <v>45989</v>
      </c>
      <c r="D2390" t="s">
        <v>23</v>
      </c>
      <c r="E2390" t="s">
        <v>147</v>
      </c>
      <c r="F2390" t="s">
        <v>150</v>
      </c>
      <c r="J2390" s="389">
        <v>3057</v>
      </c>
    </row>
    <row r="2391" spans="1:10" ht="15">
      <c r="A2391" s="137" t="str">
        <f>D2391&amp;E2391&amp;F2391</f>
        <v>SGENOMINA ADMONGESTION EMPRESARIAL</v>
      </c>
      <c r="B2391" t="s">
        <v>2565</v>
      </c>
      <c r="C2391" s="1">
        <v>45989</v>
      </c>
      <c r="D2391" t="s">
        <v>39</v>
      </c>
      <c r="E2391" t="s">
        <v>147</v>
      </c>
      <c r="F2391" t="s">
        <v>40</v>
      </c>
      <c r="J2391" s="389">
        <v>23852.799999999999</v>
      </c>
    </row>
    <row r="2392" spans="1:10" ht="15">
      <c r="A2392" s="137" t="str">
        <f>D2392&amp;E2392&amp;F2392</f>
        <v>DENOMINA ADMONDIRECCION</v>
      </c>
      <c r="B2392" t="s">
        <v>2565</v>
      </c>
      <c r="C2392" s="1">
        <v>45989</v>
      </c>
      <c r="D2392" t="s">
        <v>41</v>
      </c>
      <c r="E2392" t="s">
        <v>147</v>
      </c>
      <c r="F2392" t="s">
        <v>42</v>
      </c>
      <c r="J2392" s="389">
        <v>7000.2</v>
      </c>
    </row>
    <row r="2393" spans="1:10" ht="15">
      <c r="A2393" s="137" t="str">
        <f>D2393&amp;E2393&amp;F2393</f>
        <v>MELNOMINA ADMONMELISSA</v>
      </c>
      <c r="B2393" t="s">
        <v>2565</v>
      </c>
      <c r="C2393" s="1">
        <v>45989</v>
      </c>
      <c r="D2393" t="s">
        <v>43</v>
      </c>
      <c r="E2393" t="s">
        <v>147</v>
      </c>
      <c r="F2393" t="s">
        <v>44</v>
      </c>
      <c r="J2393" s="389">
        <v>5702.8</v>
      </c>
    </row>
    <row r="2394" spans="1:10" ht="15">
      <c r="A2394" s="137" t="str">
        <f>D2394&amp;E2394&amp;F2394</f>
        <v>MMNOMINA ADMONMARKET MAX</v>
      </c>
      <c r="B2394" t="s">
        <v>2565</v>
      </c>
      <c r="C2394" s="1">
        <v>45989</v>
      </c>
      <c r="D2394" t="s">
        <v>45</v>
      </c>
      <c r="E2394" t="s">
        <v>147</v>
      </c>
      <c r="F2394" t="s">
        <v>46</v>
      </c>
      <c r="J2394" s="389">
        <v>11615.14</v>
      </c>
    </row>
    <row r="2395" spans="1:10" ht="15">
      <c r="A2395" s="137" t="str">
        <f>D2395&amp;E2395&amp;F2395</f>
        <v>ANALISISNOMINA ADMONANALISIS DE DATOS</v>
      </c>
      <c r="B2395" t="s">
        <v>2565</v>
      </c>
      <c r="C2395" s="1">
        <v>45989</v>
      </c>
      <c r="D2395" t="s">
        <v>152</v>
      </c>
      <c r="E2395" t="s">
        <v>147</v>
      </c>
      <c r="F2395" t="s">
        <v>153</v>
      </c>
      <c r="J2395" s="389">
        <v>4287.05</v>
      </c>
    </row>
    <row r="2396" spans="1:10" ht="15">
      <c r="A2396" s="137" t="str">
        <f>D2396&amp;E2396&amp;F2396</f>
        <v>MKTNOMINA ADMONMKT</v>
      </c>
      <c r="B2396" t="s">
        <v>2565</v>
      </c>
      <c r="C2396" s="1">
        <v>45989</v>
      </c>
      <c r="D2396" t="s">
        <v>19</v>
      </c>
      <c r="E2396" t="s">
        <v>147</v>
      </c>
      <c r="F2396" t="s">
        <v>19</v>
      </c>
      <c r="J2396" s="389">
        <v>23289.4</v>
      </c>
    </row>
    <row r="2397" spans="1:10" ht="15">
      <c r="A2397" s="137" t="str">
        <f>D2397&amp;E2397&amp;F2397</f>
        <v>FINANZASNOMINA ADMONHBG FINANZAS</v>
      </c>
      <c r="B2397" t="s">
        <v>2565</v>
      </c>
      <c r="C2397" s="1">
        <v>45989</v>
      </c>
      <c r="D2397" t="s">
        <v>23</v>
      </c>
      <c r="E2397" t="s">
        <v>147</v>
      </c>
      <c r="F2397" s="12" t="s">
        <v>150</v>
      </c>
      <c r="J2397" s="385">
        <v>10950</v>
      </c>
    </row>
    <row r="2398" spans="1:10" ht="15">
      <c r="A2398" s="137" t="str">
        <f>D2398&amp;E2398&amp;F2398</f>
        <v>HRNOMINA ADMONHR</v>
      </c>
      <c r="B2398" t="s">
        <v>2565</v>
      </c>
      <c r="C2398" s="1">
        <v>45989</v>
      </c>
      <c r="D2398" t="s">
        <v>29</v>
      </c>
      <c r="E2398" t="s">
        <v>147</v>
      </c>
      <c r="F2398" s="3" t="s">
        <v>29</v>
      </c>
      <c r="J2398" s="385">
        <v>5500</v>
      </c>
    </row>
    <row r="2399" spans="1:10" ht="15">
      <c r="A2399" s="137" t="str">
        <f>D2399&amp;E2399&amp;F2399</f>
        <v>CAPNOMINA ADMONCAPRICHOS</v>
      </c>
      <c r="B2399" t="s">
        <v>2565</v>
      </c>
      <c r="C2399" s="1">
        <v>45989</v>
      </c>
      <c r="D2399" t="s">
        <v>31</v>
      </c>
      <c r="E2399" t="s">
        <v>147</v>
      </c>
      <c r="F2399" s="12" t="s">
        <v>33</v>
      </c>
      <c r="J2399" s="385">
        <v>3700</v>
      </c>
    </row>
    <row r="2400" spans="1:10" ht="15">
      <c r="A2400" s="137" t="str">
        <f>D2400&amp;E2400&amp;F2400</f>
        <v>SGENOMINA ADMONGESTION EMPRESARIAL</v>
      </c>
      <c r="B2400" t="s">
        <v>2565</v>
      </c>
      <c r="C2400" s="1">
        <v>45989</v>
      </c>
      <c r="D2400" t="s">
        <v>39</v>
      </c>
      <c r="E2400" t="s">
        <v>147</v>
      </c>
      <c r="F2400" s="12" t="s">
        <v>40</v>
      </c>
      <c r="J2400" s="385">
        <v>2750</v>
      </c>
    </row>
    <row r="2401" spans="1:10" ht="15">
      <c r="A2401" s="137" t="str">
        <f>D2401&amp;E2401&amp;F2401</f>
        <v>SERVICIOSNOMINA ADMONSERVICIOS</v>
      </c>
      <c r="B2401" t="s">
        <v>2565</v>
      </c>
      <c r="C2401" s="1">
        <v>45989</v>
      </c>
      <c r="D2401" t="s">
        <v>21</v>
      </c>
      <c r="E2401" t="s">
        <v>147</v>
      </c>
      <c r="F2401" s="12" t="s">
        <v>21</v>
      </c>
      <c r="J2401" s="385">
        <v>4750</v>
      </c>
    </row>
    <row r="2402" spans="1:10" ht="15">
      <c r="A2402" s="137" t="str">
        <f>D2402&amp;E2402&amp;F2402</f>
        <v>DENOMINA ADMONDIRECCION</v>
      </c>
      <c r="B2402" t="s">
        <v>2565</v>
      </c>
      <c r="C2402" s="1">
        <v>45989</v>
      </c>
      <c r="D2402" t="s">
        <v>41</v>
      </c>
      <c r="E2402" t="s">
        <v>147</v>
      </c>
      <c r="F2402" s="12" t="s">
        <v>42</v>
      </c>
      <c r="J2402" s="385">
        <v>20750</v>
      </c>
    </row>
    <row r="2403" spans="1:10" ht="15">
      <c r="A2403" s="137" t="str">
        <f>D2403&amp;E2403&amp;F2403</f>
        <v>MMNOMINA ADMONMARKET MAX</v>
      </c>
      <c r="B2403" t="s">
        <v>2565</v>
      </c>
      <c r="C2403" s="1">
        <v>45989</v>
      </c>
      <c r="D2403" t="s">
        <v>45</v>
      </c>
      <c r="E2403" t="s">
        <v>147</v>
      </c>
      <c r="F2403" s="12" t="s">
        <v>46</v>
      </c>
      <c r="J2403" s="385">
        <v>2000</v>
      </c>
    </row>
    <row r="2404" spans="1:10" ht="15">
      <c r="A2404" s="137" t="str">
        <f>D2404&amp;E2404&amp;F2404</f>
        <v>MMNOMINA ADMONMARKET MAX</v>
      </c>
      <c r="B2404" t="s">
        <v>2821</v>
      </c>
      <c r="C2404" s="1">
        <v>45996</v>
      </c>
      <c r="D2404" t="s">
        <v>45</v>
      </c>
      <c r="E2404" t="s">
        <v>147</v>
      </c>
      <c r="F2404" s="12" t="s">
        <v>46</v>
      </c>
      <c r="J2404" s="389">
        <v>2000</v>
      </c>
    </row>
    <row r="2405" spans="1:10" ht="15">
      <c r="A2405" s="137" t="str">
        <f>D2405&amp;E2405&amp;F2405</f>
        <v>HRNOMINA SUCURSALA1</v>
      </c>
      <c r="B2405" t="s">
        <v>2821</v>
      </c>
      <c r="C2405" s="1">
        <v>45996</v>
      </c>
      <c r="D2405" t="s">
        <v>29</v>
      </c>
      <c r="E2405" t="s">
        <v>154</v>
      </c>
      <c r="F2405" t="s">
        <v>88</v>
      </c>
      <c r="J2405" s="389">
        <v>11054.4</v>
      </c>
    </row>
    <row r="2406" spans="1:10" ht="15">
      <c r="A2406" s="137" t="str">
        <f>D2406&amp;E2406&amp;F2406</f>
        <v>HRNOMINA SUCURSALA2</v>
      </c>
      <c r="B2406" t="s">
        <v>2821</v>
      </c>
      <c r="C2406" s="1">
        <v>45996</v>
      </c>
      <c r="D2406" t="s">
        <v>29</v>
      </c>
      <c r="E2406" t="s">
        <v>154</v>
      </c>
      <c r="F2406" t="s">
        <v>89</v>
      </c>
      <c r="J2406" s="389">
        <v>17477.8</v>
      </c>
    </row>
    <row r="2407" spans="1:10" ht="15">
      <c r="A2407" s="137" t="str">
        <f>D2407&amp;E2407&amp;F2407</f>
        <v>HRNOMINA SUCURSALA3</v>
      </c>
      <c r="B2407" t="s">
        <v>2821</v>
      </c>
      <c r="C2407" s="1">
        <v>45996</v>
      </c>
      <c r="D2407" t="s">
        <v>29</v>
      </c>
      <c r="E2407" t="s">
        <v>154</v>
      </c>
      <c r="F2407" t="s">
        <v>90</v>
      </c>
      <c r="J2407" s="389">
        <v>10496.6</v>
      </c>
    </row>
    <row r="2408" spans="1:10" ht="15">
      <c r="A2408" s="137" t="str">
        <f>D2408&amp;E2408&amp;F2408</f>
        <v>HRNOMINA SUCURSALA4</v>
      </c>
      <c r="B2408" t="s">
        <v>2821</v>
      </c>
      <c r="C2408" s="1">
        <v>45996</v>
      </c>
      <c r="D2408" t="s">
        <v>29</v>
      </c>
      <c r="E2408" t="s">
        <v>154</v>
      </c>
      <c r="F2408" t="s">
        <v>91</v>
      </c>
      <c r="J2408" s="389">
        <v>11894.4</v>
      </c>
    </row>
    <row r="2409" spans="1:10" ht="15">
      <c r="A2409" s="137" t="str">
        <f>D2409&amp;E2409&amp;F2409</f>
        <v>HRNOMINA SUCURSALA5</v>
      </c>
      <c r="B2409" t="s">
        <v>2821</v>
      </c>
      <c r="C2409" s="1">
        <v>45996</v>
      </c>
      <c r="D2409" t="s">
        <v>29</v>
      </c>
      <c r="E2409" t="s">
        <v>154</v>
      </c>
      <c r="F2409" t="s">
        <v>92</v>
      </c>
      <c r="J2409" s="389">
        <v>14817.8</v>
      </c>
    </row>
    <row r="2410" spans="1:10" ht="15">
      <c r="A2410" s="137" t="str">
        <f>D2410&amp;E2410&amp;F2410</f>
        <v>HRNOMINA SUCURSALA6</v>
      </c>
      <c r="B2410" t="s">
        <v>2821</v>
      </c>
      <c r="C2410" s="1">
        <v>45996</v>
      </c>
      <c r="D2410" t="s">
        <v>29</v>
      </c>
      <c r="E2410" t="s">
        <v>154</v>
      </c>
      <c r="F2410" t="s">
        <v>93</v>
      </c>
      <c r="J2410" s="389">
        <v>14854.49</v>
      </c>
    </row>
    <row r="2411" spans="1:10" ht="15">
      <c r="A2411" s="137" t="str">
        <f>D2411&amp;E2411&amp;F2411</f>
        <v>HRNOMINA SUCURSALA8</v>
      </c>
      <c r="B2411" t="s">
        <v>2821</v>
      </c>
      <c r="C2411" s="1">
        <v>45996</v>
      </c>
      <c r="D2411" t="s">
        <v>29</v>
      </c>
      <c r="E2411" t="s">
        <v>154</v>
      </c>
      <c r="F2411" t="s">
        <v>94</v>
      </c>
      <c r="J2411" s="389">
        <v>23392.6</v>
      </c>
    </row>
    <row r="2412" spans="1:10" ht="15">
      <c r="A2412" s="137" t="str">
        <f>D2412&amp;E2412&amp;F2412</f>
        <v>HRNOMINA SUCURSALA9</v>
      </c>
      <c r="B2412" t="s">
        <v>2821</v>
      </c>
      <c r="C2412" s="1">
        <v>45996</v>
      </c>
      <c r="D2412" t="s">
        <v>29</v>
      </c>
      <c r="E2412" t="s">
        <v>154</v>
      </c>
      <c r="F2412" t="s">
        <v>95</v>
      </c>
      <c r="J2412" s="389">
        <v>14832.11</v>
      </c>
    </row>
    <row r="2413" spans="1:10" ht="15">
      <c r="A2413" s="137" t="str">
        <f>D2413&amp;E2413&amp;F2413</f>
        <v>HRNOMINA SUCURSALA10</v>
      </c>
      <c r="B2413" t="s">
        <v>2821</v>
      </c>
      <c r="C2413" s="1">
        <v>45996</v>
      </c>
      <c r="D2413" t="s">
        <v>29</v>
      </c>
      <c r="E2413" t="s">
        <v>154</v>
      </c>
      <c r="F2413" t="s">
        <v>96</v>
      </c>
      <c r="J2413" s="389">
        <v>22502.799999999999</v>
      </c>
    </row>
    <row r="2414" spans="1:10" ht="15">
      <c r="A2414" s="137" t="str">
        <f>D2414&amp;E2414&amp;F2414</f>
        <v>HRNOMINA SUCURSALA11</v>
      </c>
      <c r="B2414" t="s">
        <v>2821</v>
      </c>
      <c r="C2414" s="1">
        <v>45996</v>
      </c>
      <c r="D2414" t="s">
        <v>29</v>
      </c>
      <c r="E2414" t="s">
        <v>154</v>
      </c>
      <c r="F2414" t="s">
        <v>97</v>
      </c>
      <c r="J2414" s="389">
        <v>12135.45</v>
      </c>
    </row>
    <row r="2415" spans="1:10" ht="15">
      <c r="A2415" s="137" t="str">
        <f>D2415&amp;E2415&amp;F2415</f>
        <v>HRNOMINA SUCURSALA12</v>
      </c>
      <c r="B2415" t="s">
        <v>2821</v>
      </c>
      <c r="C2415" s="1">
        <v>45996</v>
      </c>
      <c r="D2415" t="s">
        <v>29</v>
      </c>
      <c r="E2415" t="s">
        <v>154</v>
      </c>
      <c r="F2415" t="s">
        <v>98</v>
      </c>
      <c r="J2415" s="389">
        <v>23182.400000000001</v>
      </c>
    </row>
    <row r="2416" spans="1:10" ht="15">
      <c r="A2416" s="137" t="str">
        <f>D2416&amp;E2416&amp;F2416</f>
        <v>HRNOMINA SUCURSALA14</v>
      </c>
      <c r="B2416" t="s">
        <v>2821</v>
      </c>
      <c r="C2416" s="1">
        <v>45996</v>
      </c>
      <c r="D2416" t="s">
        <v>29</v>
      </c>
      <c r="E2416" t="s">
        <v>154</v>
      </c>
      <c r="F2416" t="s">
        <v>99</v>
      </c>
      <c r="J2416" s="389">
        <v>13844.9</v>
      </c>
    </row>
    <row r="2417" spans="1:10" ht="15">
      <c r="A2417" s="137" t="str">
        <f>D2417&amp;E2417&amp;F2417</f>
        <v>HRNOMINA SUCURSALA15</v>
      </c>
      <c r="B2417" t="s">
        <v>2821</v>
      </c>
      <c r="C2417" s="1">
        <v>45996</v>
      </c>
      <c r="D2417" t="s">
        <v>29</v>
      </c>
      <c r="E2417" t="s">
        <v>154</v>
      </c>
      <c r="F2417" t="s">
        <v>100</v>
      </c>
      <c r="J2417" s="389">
        <v>11556.4</v>
      </c>
    </row>
    <row r="2418" spans="1:10" ht="15">
      <c r="A2418" s="137" t="str">
        <f>D2418&amp;E2418&amp;F2418</f>
        <v>HRNOMINA SUCURSALA16</v>
      </c>
      <c r="B2418" t="s">
        <v>2821</v>
      </c>
      <c r="C2418" s="1">
        <v>45996</v>
      </c>
      <c r="D2418" t="s">
        <v>29</v>
      </c>
      <c r="E2418" t="s">
        <v>154</v>
      </c>
      <c r="F2418" t="s">
        <v>101</v>
      </c>
      <c r="J2418" s="389">
        <v>17374.89</v>
      </c>
    </row>
    <row r="2419" spans="1:10" ht="15">
      <c r="A2419" s="137" t="str">
        <f>D2419&amp;E2419&amp;F2419</f>
        <v>HRNOMINA SUCURSALA17</v>
      </c>
      <c r="B2419" t="s">
        <v>2821</v>
      </c>
      <c r="C2419" s="1">
        <v>45996</v>
      </c>
      <c r="D2419" t="s">
        <v>29</v>
      </c>
      <c r="E2419" t="s">
        <v>154</v>
      </c>
      <c r="F2419" t="s">
        <v>102</v>
      </c>
      <c r="J2419" s="389">
        <v>12333.6</v>
      </c>
    </row>
    <row r="2420" spans="1:10" ht="15">
      <c r="A2420" s="137" t="str">
        <f>D2420&amp;E2420&amp;F2420</f>
        <v>HRNOMINA SUCURSALA18</v>
      </c>
      <c r="B2420" t="s">
        <v>2821</v>
      </c>
      <c r="C2420" s="1">
        <v>45996</v>
      </c>
      <c r="D2420" t="s">
        <v>29</v>
      </c>
      <c r="E2420" t="s">
        <v>154</v>
      </c>
      <c r="F2420" t="s">
        <v>103</v>
      </c>
      <c r="J2420" s="389">
        <v>17123.8</v>
      </c>
    </row>
    <row r="2421" spans="1:10" ht="15">
      <c r="A2421" s="137" t="str">
        <f>D2421&amp;E2421&amp;F2421</f>
        <v>HRNOMINA SUCURSALA22</v>
      </c>
      <c r="B2421" t="s">
        <v>2821</v>
      </c>
      <c r="C2421" s="1">
        <v>45996</v>
      </c>
      <c r="D2421" t="s">
        <v>29</v>
      </c>
      <c r="E2421" t="s">
        <v>154</v>
      </c>
      <c r="F2421" t="s">
        <v>104</v>
      </c>
      <c r="J2421" s="389">
        <v>14740.4</v>
      </c>
    </row>
    <row r="2422" spans="1:10" ht="15">
      <c r="A2422" s="137" t="str">
        <f>D2422&amp;E2422&amp;F2422</f>
        <v>HRNOMINA SUCURSALA23</v>
      </c>
      <c r="B2422" t="s">
        <v>2821</v>
      </c>
      <c r="C2422" s="1">
        <v>45996</v>
      </c>
      <c r="D2422" t="s">
        <v>29</v>
      </c>
      <c r="E2422" t="s">
        <v>154</v>
      </c>
      <c r="F2422" t="s">
        <v>105</v>
      </c>
      <c r="J2422" s="389">
        <v>13846</v>
      </c>
    </row>
    <row r="2423" spans="1:10" ht="15">
      <c r="A2423" s="137" t="str">
        <f>D2423&amp;E2423&amp;F2423</f>
        <v>HRNOMINA SUCURSALA24</v>
      </c>
      <c r="B2423" t="s">
        <v>2821</v>
      </c>
      <c r="C2423" s="1">
        <v>45996</v>
      </c>
      <c r="D2423" t="s">
        <v>29</v>
      </c>
      <c r="E2423" t="s">
        <v>154</v>
      </c>
      <c r="F2423" t="s">
        <v>106</v>
      </c>
      <c r="J2423" s="389">
        <v>24295.4</v>
      </c>
    </row>
    <row r="2424" spans="1:10" ht="15">
      <c r="A2424" s="137" t="str">
        <f>D2424&amp;E2424&amp;F2424</f>
        <v>CAPNOMINA SUCURSALE1</v>
      </c>
      <c r="B2424" t="s">
        <v>2821</v>
      </c>
      <c r="C2424" s="1">
        <v>45996</v>
      </c>
      <c r="D2424" t="s">
        <v>31</v>
      </c>
      <c r="E2424" t="s">
        <v>154</v>
      </c>
      <c r="F2424" t="s">
        <v>107</v>
      </c>
      <c r="J2424" s="389">
        <v>16189.68</v>
      </c>
    </row>
    <row r="2425" spans="1:10" ht="15">
      <c r="A2425" s="137" t="str">
        <f>D2425&amp;E2425&amp;F2425</f>
        <v>CAPNOMINA SUCURSALE2</v>
      </c>
      <c r="B2425" t="s">
        <v>2821</v>
      </c>
      <c r="C2425" s="1">
        <v>45996</v>
      </c>
      <c r="D2425" t="s">
        <v>31</v>
      </c>
      <c r="E2425" t="s">
        <v>154</v>
      </c>
      <c r="F2425" t="s">
        <v>108</v>
      </c>
      <c r="J2425" s="389">
        <v>30500</v>
      </c>
    </row>
    <row r="2426" spans="1:10" ht="15">
      <c r="A2426" s="137" t="str">
        <f>D2426&amp;E2426&amp;F2426</f>
        <v>CAPNOMINA SUCURSALE3</v>
      </c>
      <c r="B2426" t="s">
        <v>2821</v>
      </c>
      <c r="C2426" s="1">
        <v>45996</v>
      </c>
      <c r="D2426" t="s">
        <v>31</v>
      </c>
      <c r="E2426" t="s">
        <v>154</v>
      </c>
      <c r="F2426" t="s">
        <v>109</v>
      </c>
      <c r="J2426" s="389">
        <v>15824.8</v>
      </c>
    </row>
    <row r="2427" spans="1:10" ht="15">
      <c r="A2427" s="137" t="str">
        <f>D2427&amp;E2427&amp;F2427</f>
        <v>CAPNOMINA SUCURSALE4</v>
      </c>
      <c r="B2427" t="s">
        <v>2821</v>
      </c>
      <c r="C2427" s="1">
        <v>45996</v>
      </c>
      <c r="D2427" t="s">
        <v>31</v>
      </c>
      <c r="E2427" t="s">
        <v>154</v>
      </c>
      <c r="F2427" t="s">
        <v>110</v>
      </c>
      <c r="J2427" s="389">
        <v>26452.799999999999</v>
      </c>
    </row>
    <row r="2428" spans="1:10" ht="15">
      <c r="A2428" s="137" t="str">
        <f>D2428&amp;E2428&amp;F2428</f>
        <v>CAPNOMINA SUCURSALE5</v>
      </c>
      <c r="B2428" t="s">
        <v>2821</v>
      </c>
      <c r="C2428" s="1">
        <v>45996</v>
      </c>
      <c r="D2428" t="s">
        <v>31</v>
      </c>
      <c r="E2428" t="s">
        <v>154</v>
      </c>
      <c r="F2428" t="s">
        <v>111</v>
      </c>
      <c r="J2428" s="389">
        <v>35178.199999999997</v>
      </c>
    </row>
    <row r="2429" spans="1:10" ht="15">
      <c r="A2429" s="137" t="str">
        <f>D2429&amp;E2429&amp;F2429</f>
        <v>CAPNOMINA SUCURSALE6</v>
      </c>
      <c r="B2429" t="s">
        <v>2821</v>
      </c>
      <c r="C2429" s="1">
        <v>45996</v>
      </c>
      <c r="D2429" t="s">
        <v>31</v>
      </c>
      <c r="E2429" t="s">
        <v>154</v>
      </c>
      <c r="F2429" t="s">
        <v>112</v>
      </c>
      <c r="J2429" s="389">
        <v>15407.6</v>
      </c>
    </row>
    <row r="2430" spans="1:10" ht="15">
      <c r="A2430" s="137" t="str">
        <f>D2430&amp;E2430&amp;F2430</f>
        <v>CAPNOMINA SUCURSALE7</v>
      </c>
      <c r="B2430" t="s">
        <v>2821</v>
      </c>
      <c r="C2430" s="1">
        <v>45996</v>
      </c>
      <c r="D2430" t="s">
        <v>31</v>
      </c>
      <c r="E2430" t="s">
        <v>154</v>
      </c>
      <c r="F2430" t="s">
        <v>113</v>
      </c>
      <c r="J2430" s="389">
        <v>16206.6</v>
      </c>
    </row>
    <row r="2431" spans="1:10" ht="15">
      <c r="A2431" s="137" t="str">
        <f>D2431&amp;E2431&amp;F2431</f>
        <v>CAPNOMINA SUCURSALE8</v>
      </c>
      <c r="B2431" t="s">
        <v>2821</v>
      </c>
      <c r="C2431" s="1">
        <v>45996</v>
      </c>
      <c r="D2431" t="s">
        <v>31</v>
      </c>
      <c r="E2431" t="s">
        <v>154</v>
      </c>
      <c r="F2431" t="s">
        <v>114</v>
      </c>
      <c r="J2431" s="389">
        <v>32329.4</v>
      </c>
    </row>
    <row r="2432" spans="1:10" ht="15">
      <c r="A2432" s="137" t="str">
        <f>D2432&amp;E2432&amp;F2432</f>
        <v>CAPNOMINA SUCURSALE9</v>
      </c>
      <c r="B2432" t="s">
        <v>2821</v>
      </c>
      <c r="C2432" s="1">
        <v>45996</v>
      </c>
      <c r="D2432" t="s">
        <v>31</v>
      </c>
      <c r="E2432" t="s">
        <v>154</v>
      </c>
      <c r="F2432" t="s">
        <v>116</v>
      </c>
      <c r="J2432" s="389">
        <v>22753.200000000001</v>
      </c>
    </row>
    <row r="2433" spans="1:10" ht="15">
      <c r="A2433" s="137" t="str">
        <f>D2433&amp;E2433&amp;F2433</f>
        <v>ELINOMINA SUCURSALL1</v>
      </c>
      <c r="B2433" t="s">
        <v>2821</v>
      </c>
      <c r="C2433" s="1">
        <v>45996</v>
      </c>
      <c r="D2433" t="s">
        <v>130</v>
      </c>
      <c r="E2433" t="s">
        <v>154</v>
      </c>
      <c r="F2433" t="s">
        <v>136</v>
      </c>
      <c r="J2433" s="389">
        <v>12392</v>
      </c>
    </row>
    <row r="2434" spans="1:10" ht="15">
      <c r="A2434" s="137" t="str">
        <f>D2434&amp;E2434&amp;F2434</f>
        <v>HRNOMINA ADMONHR</v>
      </c>
      <c r="B2434" t="s">
        <v>2821</v>
      </c>
      <c r="C2434" s="1">
        <v>45996</v>
      </c>
      <c r="D2434" t="s">
        <v>29</v>
      </c>
      <c r="E2434" t="s">
        <v>147</v>
      </c>
      <c r="F2434" t="s">
        <v>29</v>
      </c>
      <c r="J2434" s="389">
        <v>23344.400000000001</v>
      </c>
    </row>
    <row r="2435" spans="1:10" ht="15">
      <c r="A2435" s="137" t="str">
        <f>D2435&amp;E2435&amp;F2435</f>
        <v>CAPNOMINA ADMONCAPRICHOS</v>
      </c>
      <c r="B2435" t="s">
        <v>2821</v>
      </c>
      <c r="C2435" s="1">
        <v>45996</v>
      </c>
      <c r="D2435" t="s">
        <v>31</v>
      </c>
      <c r="E2435" t="s">
        <v>147</v>
      </c>
      <c r="F2435" t="s">
        <v>33</v>
      </c>
      <c r="J2435" s="389">
        <v>23458.9</v>
      </c>
    </row>
    <row r="2436" spans="1:10" ht="15">
      <c r="A2436" s="137" t="str">
        <f>D2436&amp;E2436&amp;F2436</f>
        <v>SERVICIOSNOMINA SUCURSALCEDIS</v>
      </c>
      <c r="B2436" t="s">
        <v>2821</v>
      </c>
      <c r="C2436" s="1">
        <v>45996</v>
      </c>
      <c r="D2436" t="s">
        <v>21</v>
      </c>
      <c r="E2436" t="s">
        <v>154</v>
      </c>
      <c r="F2436" t="s">
        <v>28</v>
      </c>
      <c r="J2436" s="389">
        <v>74129.33</v>
      </c>
    </row>
    <row r="2437" spans="1:10" ht="15">
      <c r="A2437" s="137" t="str">
        <f>D2437&amp;E2437&amp;F2437</f>
        <v>SERVICIOSNOMINA ADMONINVENTARIOS</v>
      </c>
      <c r="B2437" t="s">
        <v>2821</v>
      </c>
      <c r="C2437" s="1">
        <v>45996</v>
      </c>
      <c r="D2437" t="s">
        <v>21</v>
      </c>
      <c r="E2437" t="s">
        <v>147</v>
      </c>
      <c r="F2437" t="s">
        <v>34</v>
      </c>
      <c r="J2437" s="389">
        <v>2800</v>
      </c>
    </row>
    <row r="2438" spans="1:10" ht="15">
      <c r="A2438" s="137" t="str">
        <f>D2438&amp;E2438&amp;F2438</f>
        <v>SERVICIOSNOMINA ADMONMANTENIMIENTO</v>
      </c>
      <c r="B2438" t="s">
        <v>2821</v>
      </c>
      <c r="C2438" s="1">
        <v>45996</v>
      </c>
      <c r="D2438" t="s">
        <v>21</v>
      </c>
      <c r="E2438" t="s">
        <v>147</v>
      </c>
      <c r="F2438" t="s">
        <v>35</v>
      </c>
      <c r="J2438" s="389">
        <v>22935.22</v>
      </c>
    </row>
    <row r="2439" spans="1:10" ht="15">
      <c r="A2439" s="137" t="str">
        <f>D2439&amp;E2439&amp;F2439</f>
        <v>SERVICIOSNOMINA ADMONCADENA DE SUMINISTROS</v>
      </c>
      <c r="B2439" t="s">
        <v>2821</v>
      </c>
      <c r="C2439" s="1">
        <v>45996</v>
      </c>
      <c r="D2439" t="s">
        <v>21</v>
      </c>
      <c r="E2439" t="s">
        <v>147</v>
      </c>
      <c r="F2439" t="s">
        <v>134</v>
      </c>
      <c r="J2439" s="389">
        <v>24921.4</v>
      </c>
    </row>
    <row r="2440" spans="1:10" ht="15">
      <c r="A2440" s="137" t="str">
        <f>D2440&amp;E2440&amp;F2440</f>
        <v>SERVICIOSNOMINA ADMONSISTEMAS</v>
      </c>
      <c r="B2440" t="s">
        <v>2821</v>
      </c>
      <c r="C2440" s="1">
        <v>45996</v>
      </c>
      <c r="D2440" t="s">
        <v>21</v>
      </c>
      <c r="E2440" t="s">
        <v>147</v>
      </c>
      <c r="F2440" t="s">
        <v>36</v>
      </c>
      <c r="J2440" s="389">
        <v>10729.49</v>
      </c>
    </row>
    <row r="2441" spans="1:10" ht="15">
      <c r="A2441" s="137" t="str">
        <f>D2441&amp;E2441&amp;F2441</f>
        <v>SERVICIOSNOMINA ADMONCOMPRAS</v>
      </c>
      <c r="B2441" t="s">
        <v>2821</v>
      </c>
      <c r="C2441" s="1">
        <v>45996</v>
      </c>
      <c r="D2441" t="s">
        <v>21</v>
      </c>
      <c r="E2441" t="s">
        <v>147</v>
      </c>
      <c r="F2441" t="s">
        <v>148</v>
      </c>
      <c r="J2441" s="389">
        <v>23505.11</v>
      </c>
    </row>
    <row r="2442" spans="1:10" ht="15">
      <c r="A2442" s="137" t="str">
        <f>D2442&amp;E2442&amp;F2442</f>
        <v>FINANZASNOMINA ADMONCONTABILIDAD</v>
      </c>
      <c r="B2442" t="s">
        <v>2821</v>
      </c>
      <c r="C2442" s="1">
        <v>45996</v>
      </c>
      <c r="D2442" t="s">
        <v>23</v>
      </c>
      <c r="E2442" t="s">
        <v>147</v>
      </c>
      <c r="F2442" t="s">
        <v>37</v>
      </c>
      <c r="J2442" s="389">
        <v>16273.27</v>
      </c>
    </row>
    <row r="2443" spans="1:10" ht="15">
      <c r="A2443" s="137" t="str">
        <f>D2443&amp;E2443&amp;F2443</f>
        <v>FINANZASNOMINA ADMONFINANZAS/LEGAL</v>
      </c>
      <c r="B2443" t="s">
        <v>2821</v>
      </c>
      <c r="C2443" s="1">
        <v>45996</v>
      </c>
      <c r="D2443" t="s">
        <v>23</v>
      </c>
      <c r="E2443" t="s">
        <v>147</v>
      </c>
      <c r="F2443" t="s">
        <v>149</v>
      </c>
      <c r="J2443" s="389">
        <v>9874</v>
      </c>
    </row>
    <row r="2444" spans="1:10" ht="15">
      <c r="A2444" s="137" t="str">
        <f>D2444&amp;E2444&amp;F2444</f>
        <v>FINANZASNOMINA ADMONRECURSOS HUMANOS</v>
      </c>
      <c r="B2444" t="s">
        <v>2821</v>
      </c>
      <c r="C2444" s="1">
        <v>45996</v>
      </c>
      <c r="D2444" t="s">
        <v>23</v>
      </c>
      <c r="E2444" t="s">
        <v>147</v>
      </c>
      <c r="F2444" t="s">
        <v>125</v>
      </c>
      <c r="J2444" s="389">
        <v>12000.85</v>
      </c>
    </row>
    <row r="2445" spans="1:10" ht="15">
      <c r="A2445" s="137" t="str">
        <f>D2445&amp;E2445&amp;F2445</f>
        <v>FINANZASNOMINA ADMONTESORERIA</v>
      </c>
      <c r="B2445" t="s">
        <v>2821</v>
      </c>
      <c r="C2445" s="1">
        <v>45996</v>
      </c>
      <c r="D2445" t="s">
        <v>23</v>
      </c>
      <c r="E2445" t="s">
        <v>147</v>
      </c>
      <c r="F2445" t="s">
        <v>38</v>
      </c>
      <c r="J2445" s="389">
        <v>12674</v>
      </c>
    </row>
    <row r="2446" spans="1:10" ht="15">
      <c r="A2446" s="137" t="str">
        <f>D2446&amp;E2446&amp;F2446</f>
        <v>FINANZASNOMINA ADMONHBG FINANZAS</v>
      </c>
      <c r="B2446" t="s">
        <v>2821</v>
      </c>
      <c r="C2446" s="1">
        <v>45996</v>
      </c>
      <c r="D2446" t="s">
        <v>23</v>
      </c>
      <c r="E2446" t="s">
        <v>147</v>
      </c>
      <c r="F2446" t="s">
        <v>150</v>
      </c>
      <c r="J2446" s="389">
        <v>3057</v>
      </c>
    </row>
    <row r="2447" spans="1:10" ht="15">
      <c r="A2447" s="137" t="str">
        <f>D2447&amp;E2447&amp;F2447</f>
        <v>SGENOMINA ADMONGESTION EMPRESARIAL</v>
      </c>
      <c r="B2447" t="s">
        <v>2821</v>
      </c>
      <c r="C2447" s="1">
        <v>45996</v>
      </c>
      <c r="D2447" t="s">
        <v>39</v>
      </c>
      <c r="E2447" t="s">
        <v>147</v>
      </c>
      <c r="F2447" t="s">
        <v>40</v>
      </c>
      <c r="J2447" s="389">
        <v>23250.2</v>
      </c>
    </row>
    <row r="2448" spans="1:10" ht="15">
      <c r="A2448" s="137" t="str">
        <f>D2448&amp;E2448&amp;F2448</f>
        <v>DENOMINA ADMONDIRECCION</v>
      </c>
      <c r="B2448" t="s">
        <v>2821</v>
      </c>
      <c r="C2448" s="1">
        <v>45996</v>
      </c>
      <c r="D2448" t="s">
        <v>41</v>
      </c>
      <c r="E2448" t="s">
        <v>147</v>
      </c>
      <c r="F2448" t="s">
        <v>42</v>
      </c>
      <c r="J2448" s="389">
        <v>7580</v>
      </c>
    </row>
    <row r="2449" spans="1:10" ht="15">
      <c r="A2449" s="137" t="str">
        <f>D2449&amp;E2449&amp;F2449</f>
        <v>MELNOMINA ADMONMELISSA</v>
      </c>
      <c r="B2449" t="s">
        <v>2821</v>
      </c>
      <c r="C2449" s="1">
        <v>45996</v>
      </c>
      <c r="D2449" t="s">
        <v>43</v>
      </c>
      <c r="E2449" t="s">
        <v>147</v>
      </c>
      <c r="F2449" t="s">
        <v>44</v>
      </c>
      <c r="J2449" s="389">
        <v>5702</v>
      </c>
    </row>
    <row r="2450" spans="1:10" ht="15">
      <c r="A2450" s="137" t="str">
        <f>D2450&amp;E2450&amp;F2450</f>
        <v>MMNOMINA ADMONMARKET MAX</v>
      </c>
      <c r="B2450" t="s">
        <v>2821</v>
      </c>
      <c r="C2450" s="1">
        <v>45996</v>
      </c>
      <c r="D2450" t="s">
        <v>45</v>
      </c>
      <c r="E2450" t="s">
        <v>147</v>
      </c>
      <c r="F2450" t="s">
        <v>46</v>
      </c>
      <c r="J2450" s="389">
        <v>11295.14</v>
      </c>
    </row>
    <row r="2451" spans="1:10" ht="15">
      <c r="A2451" s="137" t="str">
        <f>D2451&amp;E2451&amp;F2451</f>
        <v>ANALISISNOMINA ADMONANALISIS DE DATOS</v>
      </c>
      <c r="B2451" t="s">
        <v>2821</v>
      </c>
      <c r="C2451" s="1">
        <v>45996</v>
      </c>
      <c r="D2451" t="s">
        <v>152</v>
      </c>
      <c r="E2451" t="s">
        <v>147</v>
      </c>
      <c r="F2451" t="s">
        <v>153</v>
      </c>
      <c r="J2451" s="389">
        <v>4175.3999999999996</v>
      </c>
    </row>
    <row r="2452" spans="1:10" ht="15">
      <c r="A2452" s="137" t="str">
        <f>D2452&amp;E2452&amp;F2452</f>
        <v>MKTNOMINA ADMONMKT</v>
      </c>
      <c r="B2452" t="s">
        <v>2821</v>
      </c>
      <c r="C2452" s="1">
        <v>45996</v>
      </c>
      <c r="D2452" t="s">
        <v>19</v>
      </c>
      <c r="E2452" t="s">
        <v>147</v>
      </c>
      <c r="F2452" t="s">
        <v>19</v>
      </c>
      <c r="J2452" s="389">
        <v>24779.200000000001</v>
      </c>
    </row>
    <row r="2453" spans="1:10" ht="15">
      <c r="A2453" s="137" t="str">
        <f>D2453&amp;E2453&amp;F2453</f>
        <v>FINANZASNOMINA ADMONHBG FINANZAS</v>
      </c>
      <c r="B2453" t="s">
        <v>2821</v>
      </c>
      <c r="C2453" s="1">
        <v>45996</v>
      </c>
      <c r="D2453" t="s">
        <v>23</v>
      </c>
      <c r="E2453" t="s">
        <v>147</v>
      </c>
      <c r="F2453" s="12" t="s">
        <v>150</v>
      </c>
      <c r="J2453" s="385">
        <v>10950</v>
      </c>
    </row>
    <row r="2454" spans="1:10" ht="15">
      <c r="A2454" s="137" t="str">
        <f>D2454&amp;E2454&amp;F2454</f>
        <v>HRNOMINA ADMONHR</v>
      </c>
      <c r="B2454" t="s">
        <v>2821</v>
      </c>
      <c r="C2454" s="1">
        <v>45996</v>
      </c>
      <c r="D2454" t="s">
        <v>29</v>
      </c>
      <c r="E2454" t="s">
        <v>147</v>
      </c>
      <c r="F2454" s="3" t="s">
        <v>29</v>
      </c>
      <c r="J2454" s="385">
        <v>5500</v>
      </c>
    </row>
    <row r="2455" spans="1:10" ht="15">
      <c r="A2455" s="137" t="str">
        <f>D2455&amp;E2455&amp;F2455</f>
        <v>CAPNOMINA ADMONCAPRICHOS</v>
      </c>
      <c r="B2455" t="s">
        <v>2821</v>
      </c>
      <c r="C2455" s="1">
        <v>45996</v>
      </c>
      <c r="D2455" t="s">
        <v>31</v>
      </c>
      <c r="E2455" t="s">
        <v>147</v>
      </c>
      <c r="F2455" s="12" t="s">
        <v>33</v>
      </c>
      <c r="J2455" s="385">
        <v>3700</v>
      </c>
    </row>
    <row r="2456" spans="1:10" ht="15">
      <c r="A2456" s="137" t="str">
        <f>D2456&amp;E2456&amp;F2456</f>
        <v>SGENOMINA ADMONGESTION EMPRESARIAL</v>
      </c>
      <c r="B2456" t="s">
        <v>2821</v>
      </c>
      <c r="C2456" s="1">
        <v>45996</v>
      </c>
      <c r="D2456" t="s">
        <v>39</v>
      </c>
      <c r="E2456" t="s">
        <v>147</v>
      </c>
      <c r="F2456" s="12" t="s">
        <v>40</v>
      </c>
      <c r="J2456" s="385">
        <v>2750</v>
      </c>
    </row>
    <row r="2457" spans="1:10" ht="15">
      <c r="A2457" s="137" t="str">
        <f>D2457&amp;E2457&amp;F2457</f>
        <v>SERVICIOSNOMINA ADMONSERVICIOS</v>
      </c>
      <c r="B2457" t="s">
        <v>2821</v>
      </c>
      <c r="C2457" s="1">
        <v>45996</v>
      </c>
      <c r="D2457" t="s">
        <v>21</v>
      </c>
      <c r="E2457" t="s">
        <v>147</v>
      </c>
      <c r="F2457" s="12" t="s">
        <v>21</v>
      </c>
      <c r="J2457" s="385">
        <v>4750</v>
      </c>
    </row>
    <row r="2458" spans="1:10" ht="15">
      <c r="A2458" s="137" t="str">
        <f>D2458&amp;E2458&amp;F2458</f>
        <v>DENOMINA ADMONDIRECCION</v>
      </c>
      <c r="B2458" t="s">
        <v>2821</v>
      </c>
      <c r="C2458" s="1">
        <v>45996</v>
      </c>
      <c r="D2458" t="s">
        <v>41</v>
      </c>
      <c r="E2458" t="s">
        <v>147</v>
      </c>
      <c r="F2458" s="12" t="s">
        <v>42</v>
      </c>
      <c r="J2458" s="385">
        <v>5750</v>
      </c>
    </row>
    <row r="2459" spans="1:10" ht="15">
      <c r="A2459" s="137" t="str">
        <f>D2459&amp;E2459&amp;F2459</f>
        <v>HRVACACIONES/FINIQUITOSHR</v>
      </c>
      <c r="B2459" t="s">
        <v>2821</v>
      </c>
      <c r="C2459" s="1">
        <v>45996</v>
      </c>
      <c r="D2459" t="s">
        <v>29</v>
      </c>
      <c r="E2459" s="12" t="s">
        <v>190</v>
      </c>
      <c r="F2459" t="s">
        <v>29</v>
      </c>
      <c r="H2459" s="427" t="s">
        <v>99</v>
      </c>
      <c r="J2459" s="385">
        <v>1100</v>
      </c>
    </row>
    <row r="2460" spans="1:10" ht="15">
      <c r="A2460" s="137" t="str">
        <f>D2460&amp;E2460&amp;F2460</f>
        <v>HRVACACIONES/FINIQUITOSHR</v>
      </c>
      <c r="B2460" t="s">
        <v>2821</v>
      </c>
      <c r="C2460" s="1">
        <v>45996</v>
      </c>
      <c r="D2460" t="s">
        <v>29</v>
      </c>
      <c r="E2460" s="12" t="s">
        <v>190</v>
      </c>
      <c r="F2460" t="s">
        <v>29</v>
      </c>
      <c r="H2460" s="480" t="s">
        <v>4829</v>
      </c>
      <c r="J2460" s="385">
        <v>3071.43</v>
      </c>
    </row>
    <row r="2461" spans="1:10" ht="15">
      <c r="A2461" s="137" t="str">
        <f>D2461&amp;E2461&amp;F2461</f>
        <v>HRVACACIONES/FINIQUITOSHR</v>
      </c>
      <c r="B2461" t="s">
        <v>2821</v>
      </c>
      <c r="C2461" s="1">
        <v>45996</v>
      </c>
      <c r="D2461" t="s">
        <v>29</v>
      </c>
      <c r="E2461" s="12" t="s">
        <v>190</v>
      </c>
      <c r="F2461" t="s">
        <v>29</v>
      </c>
      <c r="H2461" s="480" t="s">
        <v>93</v>
      </c>
      <c r="J2461" s="385">
        <v>1071.43</v>
      </c>
    </row>
    <row r="2462" spans="1:10" ht="15">
      <c r="A2462" s="137" t="str">
        <f>D2462&amp;E2462&amp;F2462</f>
        <v>HRVACACIONES/FINIQUITOSHR</v>
      </c>
      <c r="B2462" t="s">
        <v>2821</v>
      </c>
      <c r="C2462" s="1">
        <v>45996</v>
      </c>
      <c r="D2462" t="s">
        <v>29</v>
      </c>
      <c r="E2462" s="12" t="s">
        <v>190</v>
      </c>
      <c r="F2462" t="s">
        <v>29</v>
      </c>
      <c r="H2462" s="480" t="s">
        <v>94</v>
      </c>
      <c r="J2462" s="385">
        <v>1071.43</v>
      </c>
    </row>
    <row r="2463" spans="1:10" ht="15">
      <c r="A2463" s="137" t="str">
        <f>D2463&amp;E2463&amp;F2463</f>
        <v>HRVACACIONES/FINIQUITOSHR</v>
      </c>
      <c r="B2463" t="s">
        <v>2821</v>
      </c>
      <c r="C2463" s="1">
        <v>45996</v>
      </c>
      <c r="D2463" t="s">
        <v>29</v>
      </c>
      <c r="E2463" s="12" t="s">
        <v>190</v>
      </c>
      <c r="F2463" t="s">
        <v>29</v>
      </c>
      <c r="H2463" s="480" t="s">
        <v>97</v>
      </c>
      <c r="J2463" s="385">
        <v>1200</v>
      </c>
    </row>
    <row r="2464" spans="1:10" ht="15">
      <c r="A2464" s="137" t="str">
        <f>D2464&amp;E2464&amp;F2464</f>
        <v>HRNOMINA SUCURSALA1</v>
      </c>
      <c r="B2464" t="s">
        <v>2821</v>
      </c>
      <c r="C2464" s="1">
        <v>46003</v>
      </c>
      <c r="D2464" t="s">
        <v>29</v>
      </c>
      <c r="E2464" t="s">
        <v>154</v>
      </c>
      <c r="F2464" t="s">
        <v>88</v>
      </c>
      <c r="J2464" s="299">
        <v>11481.2</v>
      </c>
    </row>
    <row r="2465" spans="1:10" ht="15">
      <c r="A2465" s="137" t="str">
        <f>D2465&amp;E2465&amp;F2465</f>
        <v>HRNOMINA SUCURSALA2</v>
      </c>
      <c r="B2465" t="s">
        <v>2821</v>
      </c>
      <c r="C2465" s="1">
        <f>C2464</f>
        <v>46003</v>
      </c>
      <c r="D2465" t="s">
        <v>29</v>
      </c>
      <c r="E2465" t="s">
        <v>154</v>
      </c>
      <c r="F2465" t="s">
        <v>89</v>
      </c>
      <c r="J2465" s="299">
        <v>20778</v>
      </c>
    </row>
    <row r="2466" spans="1:10" ht="15">
      <c r="A2466" s="137" t="str">
        <f>D2466&amp;E2466&amp;F2466</f>
        <v>HRNOMINA SUCURSALA3</v>
      </c>
      <c r="B2466" t="s">
        <v>2821</v>
      </c>
      <c r="C2466" s="1">
        <f>C2465</f>
        <v>46003</v>
      </c>
      <c r="D2466" t="s">
        <v>29</v>
      </c>
      <c r="E2466" t="s">
        <v>154</v>
      </c>
      <c r="F2466" t="s">
        <v>90</v>
      </c>
      <c r="J2466" s="299">
        <v>14313.8</v>
      </c>
    </row>
    <row r="2467" spans="1:10" ht="15">
      <c r="A2467" s="137" t="str">
        <f>D2467&amp;E2467&amp;F2467</f>
        <v>HRNOMINA SUCURSALA4</v>
      </c>
      <c r="B2467" t="s">
        <v>2821</v>
      </c>
      <c r="C2467" s="1">
        <f>C2466</f>
        <v>46003</v>
      </c>
      <c r="D2467" t="s">
        <v>29</v>
      </c>
      <c r="E2467" t="s">
        <v>154</v>
      </c>
      <c r="F2467" t="s">
        <v>91</v>
      </c>
      <c r="J2467" s="299">
        <v>12113.4</v>
      </c>
    </row>
    <row r="2468" spans="1:10" ht="15">
      <c r="A2468" s="137" t="str">
        <f>D2468&amp;E2468&amp;F2468</f>
        <v>HRNOMINA SUCURSALA5</v>
      </c>
      <c r="B2468" t="s">
        <v>2821</v>
      </c>
      <c r="C2468" s="1">
        <f>C2467</f>
        <v>46003</v>
      </c>
      <c r="D2468" t="s">
        <v>29</v>
      </c>
      <c r="E2468" t="s">
        <v>154</v>
      </c>
      <c r="F2468" t="s">
        <v>92</v>
      </c>
      <c r="J2468" s="299">
        <v>14724.4</v>
      </c>
    </row>
    <row r="2469" spans="1:10" ht="15">
      <c r="A2469" s="137" t="str">
        <f>D2469&amp;E2469&amp;F2469</f>
        <v>HRNOMINA SUCURSALA6</v>
      </c>
      <c r="B2469" t="s">
        <v>2821</v>
      </c>
      <c r="C2469" s="1">
        <f>C2468</f>
        <v>46003</v>
      </c>
      <c r="D2469" t="s">
        <v>29</v>
      </c>
      <c r="E2469" t="s">
        <v>154</v>
      </c>
      <c r="F2469" t="s">
        <v>93</v>
      </c>
      <c r="J2469" s="299">
        <v>16914.09</v>
      </c>
    </row>
    <row r="2470" spans="1:10" ht="15">
      <c r="A2470" s="137" t="str">
        <f>D2470&amp;E2470&amp;F2470</f>
        <v>HRNOMINA SUCURSALA8</v>
      </c>
      <c r="B2470" t="s">
        <v>2821</v>
      </c>
      <c r="C2470" s="1">
        <f>C2469</f>
        <v>46003</v>
      </c>
      <c r="D2470" t="s">
        <v>29</v>
      </c>
      <c r="E2470" t="s">
        <v>154</v>
      </c>
      <c r="F2470" t="s">
        <v>94</v>
      </c>
      <c r="J2470" s="299">
        <v>26745.599999999999</v>
      </c>
    </row>
    <row r="2471" spans="1:10" ht="15">
      <c r="A2471" s="137" t="str">
        <f>D2471&amp;E2471&amp;F2471</f>
        <v>HRNOMINA SUCURSALA9</v>
      </c>
      <c r="B2471" t="s">
        <v>2821</v>
      </c>
      <c r="C2471" s="1">
        <f>C2470</f>
        <v>46003</v>
      </c>
      <c r="D2471" t="s">
        <v>29</v>
      </c>
      <c r="E2471" t="s">
        <v>154</v>
      </c>
      <c r="F2471" t="s">
        <v>95</v>
      </c>
      <c r="J2471" s="299">
        <v>13317.11</v>
      </c>
    </row>
    <row r="2472" spans="1:10" ht="15">
      <c r="A2472" s="137" t="str">
        <f>D2472&amp;E2472&amp;F2472</f>
        <v>HRNOMINA SUCURSALA10</v>
      </c>
      <c r="B2472" t="s">
        <v>2821</v>
      </c>
      <c r="C2472" s="1">
        <f>C2471</f>
        <v>46003</v>
      </c>
      <c r="D2472" t="s">
        <v>29</v>
      </c>
      <c r="E2472" t="s">
        <v>154</v>
      </c>
      <c r="F2472" t="s">
        <v>96</v>
      </c>
      <c r="J2472" s="299">
        <v>35430.400000000001</v>
      </c>
    </row>
    <row r="2473" spans="1:10" ht="15">
      <c r="A2473" s="137" t="str">
        <f>D2473&amp;E2473&amp;F2473</f>
        <v>HRNOMINA SUCURSALA11</v>
      </c>
      <c r="B2473" t="s">
        <v>2821</v>
      </c>
      <c r="C2473" s="1">
        <f>C2472</f>
        <v>46003</v>
      </c>
      <c r="D2473" t="s">
        <v>29</v>
      </c>
      <c r="E2473" t="s">
        <v>154</v>
      </c>
      <c r="F2473" t="s">
        <v>97</v>
      </c>
      <c r="J2473" s="299">
        <v>15188</v>
      </c>
    </row>
    <row r="2474" spans="1:10" ht="15">
      <c r="A2474" s="137" t="str">
        <f>D2474&amp;E2474&amp;F2474</f>
        <v>HRNOMINA SUCURSALA12</v>
      </c>
      <c r="B2474" t="s">
        <v>2821</v>
      </c>
      <c r="C2474" s="1">
        <f>C2473</f>
        <v>46003</v>
      </c>
      <c r="D2474" t="s">
        <v>29</v>
      </c>
      <c r="E2474" t="s">
        <v>154</v>
      </c>
      <c r="F2474" t="s">
        <v>98</v>
      </c>
      <c r="J2474" s="299">
        <v>28697.599999999999</v>
      </c>
    </row>
    <row r="2475" spans="1:10" ht="15">
      <c r="A2475" s="137" t="str">
        <f>D2475&amp;E2475&amp;F2475</f>
        <v>HRNOMINA SUCURSALA14</v>
      </c>
      <c r="B2475" t="s">
        <v>2821</v>
      </c>
      <c r="C2475" s="1">
        <f>C2474</f>
        <v>46003</v>
      </c>
      <c r="D2475" t="s">
        <v>29</v>
      </c>
      <c r="E2475" t="s">
        <v>154</v>
      </c>
      <c r="F2475" t="s">
        <v>99</v>
      </c>
      <c r="J2475" s="299">
        <v>16131.8</v>
      </c>
    </row>
    <row r="2476" spans="1:10" ht="15">
      <c r="A2476" s="137" t="str">
        <f>D2476&amp;E2476&amp;F2476</f>
        <v>HRNOMINA SUCURSALA15</v>
      </c>
      <c r="B2476" t="s">
        <v>2821</v>
      </c>
      <c r="C2476" s="1">
        <f>C2475</f>
        <v>46003</v>
      </c>
      <c r="D2476" t="s">
        <v>29</v>
      </c>
      <c r="E2476" t="s">
        <v>154</v>
      </c>
      <c r="F2476" t="s">
        <v>100</v>
      </c>
      <c r="J2476" s="299">
        <v>11557.6</v>
      </c>
    </row>
    <row r="2477" spans="1:10" ht="15">
      <c r="A2477" s="137" t="str">
        <f>D2477&amp;E2477&amp;F2477</f>
        <v>HRNOMINA SUCURSALA16</v>
      </c>
      <c r="B2477" t="s">
        <v>2821</v>
      </c>
      <c r="C2477" s="1">
        <f>C2476</f>
        <v>46003</v>
      </c>
      <c r="D2477" t="s">
        <v>29</v>
      </c>
      <c r="E2477" t="s">
        <v>154</v>
      </c>
      <c r="F2477" t="s">
        <v>101</v>
      </c>
      <c r="J2477" s="299">
        <v>16809.29</v>
      </c>
    </row>
    <row r="2478" spans="1:10" ht="15">
      <c r="A2478" s="137" t="str">
        <f>D2478&amp;E2478&amp;F2478</f>
        <v>HRNOMINA SUCURSALA17</v>
      </c>
      <c r="B2478" t="s">
        <v>2821</v>
      </c>
      <c r="C2478" s="1">
        <f>C2477</f>
        <v>46003</v>
      </c>
      <c r="D2478" t="s">
        <v>29</v>
      </c>
      <c r="E2478" t="s">
        <v>154</v>
      </c>
      <c r="F2478" t="s">
        <v>102</v>
      </c>
      <c r="J2478" s="299">
        <v>16191</v>
      </c>
    </row>
    <row r="2479" spans="1:10" ht="15">
      <c r="A2479" s="137" t="str">
        <f>D2479&amp;E2479&amp;F2479</f>
        <v>HRNOMINA SUCURSALA18</v>
      </c>
      <c r="B2479" t="s">
        <v>2821</v>
      </c>
      <c r="C2479" s="1">
        <f>C2478</f>
        <v>46003</v>
      </c>
      <c r="D2479" t="s">
        <v>29</v>
      </c>
      <c r="E2479" t="s">
        <v>154</v>
      </c>
      <c r="F2479" t="s">
        <v>103</v>
      </c>
      <c r="J2479" s="299">
        <v>21771.8</v>
      </c>
    </row>
    <row r="2480" spans="1:10" ht="15">
      <c r="A2480" s="137" t="str">
        <f>D2480&amp;E2480&amp;F2480</f>
        <v>HRNOMINA SUCURSALA22</v>
      </c>
      <c r="B2480" t="s">
        <v>2821</v>
      </c>
      <c r="C2480" s="1">
        <f>C2479</f>
        <v>46003</v>
      </c>
      <c r="D2480" t="s">
        <v>29</v>
      </c>
      <c r="E2480" t="s">
        <v>154</v>
      </c>
      <c r="F2480" t="s">
        <v>104</v>
      </c>
      <c r="J2480" s="299">
        <v>23026.799999999999</v>
      </c>
    </row>
    <row r="2481" spans="1:10" ht="15">
      <c r="A2481" s="137" t="str">
        <f>D2481&amp;E2481&amp;F2481</f>
        <v>HRNOMINA SUCURSALA23</v>
      </c>
      <c r="B2481" t="s">
        <v>2821</v>
      </c>
      <c r="C2481" s="1">
        <f>C2480</f>
        <v>46003</v>
      </c>
      <c r="D2481" t="s">
        <v>29</v>
      </c>
      <c r="E2481" t="s">
        <v>154</v>
      </c>
      <c r="F2481" t="s">
        <v>105</v>
      </c>
      <c r="J2481" s="299">
        <v>16861.599999999999</v>
      </c>
    </row>
    <row r="2482" spans="1:10" ht="15">
      <c r="A2482" s="137" t="str">
        <f>D2482&amp;E2482&amp;F2482</f>
        <v>HRNOMINA SUCURSALA24</v>
      </c>
      <c r="B2482" t="s">
        <v>2821</v>
      </c>
      <c r="C2482" s="1">
        <f>C2481</f>
        <v>46003</v>
      </c>
      <c r="D2482" t="s">
        <v>29</v>
      </c>
      <c r="E2482" t="s">
        <v>154</v>
      </c>
      <c r="F2482" t="s">
        <v>106</v>
      </c>
      <c r="J2482" s="299">
        <v>29227.5</v>
      </c>
    </row>
    <row r="2483" spans="1:10" ht="15">
      <c r="A2483" s="137" t="str">
        <f>D2483&amp;E2483&amp;F2483</f>
        <v>CAPNOMINA SUCURSALE1</v>
      </c>
      <c r="B2483" t="s">
        <v>2821</v>
      </c>
      <c r="C2483" s="1">
        <f>C2482</f>
        <v>46003</v>
      </c>
      <c r="D2483" t="s">
        <v>31</v>
      </c>
      <c r="E2483" t="s">
        <v>154</v>
      </c>
      <c r="F2483" t="s">
        <v>107</v>
      </c>
      <c r="J2483" s="299">
        <v>20661.8</v>
      </c>
    </row>
    <row r="2484" spans="1:10" ht="15">
      <c r="A2484" s="137" t="str">
        <f>D2484&amp;E2484&amp;F2484</f>
        <v>CAPNOMINA SUCURSALE2</v>
      </c>
      <c r="B2484" t="s">
        <v>2821</v>
      </c>
      <c r="C2484" s="1">
        <f>C2483</f>
        <v>46003</v>
      </c>
      <c r="D2484" t="s">
        <v>31</v>
      </c>
      <c r="E2484" t="s">
        <v>154</v>
      </c>
      <c r="F2484" t="s">
        <v>108</v>
      </c>
      <c r="J2484" s="299">
        <v>34559.4</v>
      </c>
    </row>
    <row r="2485" spans="1:10" ht="15">
      <c r="A2485" s="137" t="str">
        <f>D2485&amp;E2485&amp;F2485</f>
        <v>CAPNOMINA SUCURSALE3</v>
      </c>
      <c r="B2485" t="s">
        <v>2821</v>
      </c>
      <c r="C2485" s="1">
        <f>C2484</f>
        <v>46003</v>
      </c>
      <c r="D2485" t="s">
        <v>31</v>
      </c>
      <c r="E2485" t="s">
        <v>154</v>
      </c>
      <c r="F2485" t="s">
        <v>109</v>
      </c>
      <c r="J2485" s="299">
        <v>18152.599999999999</v>
      </c>
    </row>
    <row r="2486" spans="1:10" ht="15">
      <c r="A2486" s="137" t="str">
        <f>D2486&amp;E2486&amp;F2486</f>
        <v>CAPNOMINA SUCURSALE4</v>
      </c>
      <c r="B2486" t="s">
        <v>2821</v>
      </c>
      <c r="C2486" s="1">
        <f>C2485</f>
        <v>46003</v>
      </c>
      <c r="D2486" t="s">
        <v>31</v>
      </c>
      <c r="E2486" t="s">
        <v>154</v>
      </c>
      <c r="F2486" t="s">
        <v>110</v>
      </c>
      <c r="J2486" s="299">
        <v>31260.6</v>
      </c>
    </row>
    <row r="2487" spans="1:10" ht="15">
      <c r="A2487" s="137" t="str">
        <f>D2487&amp;E2487&amp;F2487</f>
        <v>CAPNOMINA SUCURSALE5</v>
      </c>
      <c r="B2487" t="s">
        <v>2821</v>
      </c>
      <c r="C2487" s="1">
        <f>C2486</f>
        <v>46003</v>
      </c>
      <c r="D2487" t="s">
        <v>31</v>
      </c>
      <c r="E2487" t="s">
        <v>154</v>
      </c>
      <c r="F2487" t="s">
        <v>111</v>
      </c>
      <c r="J2487" s="299">
        <v>50451.15</v>
      </c>
    </row>
    <row r="2488" spans="1:10" ht="15">
      <c r="A2488" s="137" t="str">
        <f>D2488&amp;E2488&amp;F2488</f>
        <v>CAPNOMINA SUCURSALE6</v>
      </c>
      <c r="B2488" t="s">
        <v>2821</v>
      </c>
      <c r="C2488" s="1">
        <f>C2487</f>
        <v>46003</v>
      </c>
      <c r="D2488" t="s">
        <v>31</v>
      </c>
      <c r="E2488" t="s">
        <v>154</v>
      </c>
      <c r="F2488" t="s">
        <v>112</v>
      </c>
      <c r="J2488" s="299">
        <v>18995.8</v>
      </c>
    </row>
    <row r="2489" spans="1:10" ht="15">
      <c r="A2489" s="137" t="str">
        <f>D2489&amp;E2489&amp;F2489</f>
        <v>CAPNOMINA SUCURSALE7</v>
      </c>
      <c r="B2489" t="s">
        <v>2821</v>
      </c>
      <c r="C2489" s="1">
        <f>C2488</f>
        <v>46003</v>
      </c>
      <c r="D2489" t="s">
        <v>31</v>
      </c>
      <c r="E2489" t="s">
        <v>154</v>
      </c>
      <c r="F2489" t="s">
        <v>113</v>
      </c>
      <c r="J2489" s="299">
        <v>15682.4</v>
      </c>
    </row>
    <row r="2490" spans="1:10" ht="15">
      <c r="A2490" s="137" t="str">
        <f>D2490&amp;E2490&amp;F2490</f>
        <v>CAPNOMINA SUCURSALE8</v>
      </c>
      <c r="B2490" t="s">
        <v>2821</v>
      </c>
      <c r="C2490" s="1">
        <f>C2489</f>
        <v>46003</v>
      </c>
      <c r="D2490" t="s">
        <v>31</v>
      </c>
      <c r="E2490" t="s">
        <v>154</v>
      </c>
      <c r="F2490" t="s">
        <v>114</v>
      </c>
      <c r="J2490" s="299">
        <v>33970.400000000001</v>
      </c>
    </row>
    <row r="2491" spans="1:10" ht="15">
      <c r="A2491" s="137" t="str">
        <f>D2491&amp;E2491&amp;F2491</f>
        <v>CAPNOMINA SUCURSALE9</v>
      </c>
      <c r="B2491" t="s">
        <v>2821</v>
      </c>
      <c r="C2491" s="1">
        <f>C2490</f>
        <v>46003</v>
      </c>
      <c r="D2491" t="s">
        <v>31</v>
      </c>
      <c r="E2491" t="s">
        <v>154</v>
      </c>
      <c r="F2491" t="s">
        <v>116</v>
      </c>
      <c r="J2491" s="299">
        <v>27238</v>
      </c>
    </row>
    <row r="2492" spans="1:10" ht="15">
      <c r="A2492" s="137" t="str">
        <f>D2492&amp;E2492&amp;F2492</f>
        <v>ELINOMINA SUCURSALL1</v>
      </c>
      <c r="B2492" t="s">
        <v>2821</v>
      </c>
      <c r="C2492" s="1">
        <f>C2491</f>
        <v>46003</v>
      </c>
      <c r="D2492" t="s">
        <v>130</v>
      </c>
      <c r="E2492" t="s">
        <v>154</v>
      </c>
      <c r="F2492" t="s">
        <v>136</v>
      </c>
      <c r="J2492" s="389">
        <v>12740.4</v>
      </c>
    </row>
    <row r="2493" spans="1:10" ht="15">
      <c r="A2493" s="137" t="str">
        <f>D2493&amp;E2493&amp;F2493</f>
        <v>HRNOMINA ADMONHR</v>
      </c>
      <c r="B2493" t="s">
        <v>2821</v>
      </c>
      <c r="C2493" s="1">
        <f>C2492</f>
        <v>46003</v>
      </c>
      <c r="D2493" t="s">
        <v>29</v>
      </c>
      <c r="E2493" t="s">
        <v>147</v>
      </c>
      <c r="F2493" t="s">
        <v>29</v>
      </c>
      <c r="J2493" s="389">
        <v>27236.400000000001</v>
      </c>
    </row>
    <row r="2494" spans="1:10" ht="15">
      <c r="A2494" s="137" t="str">
        <f>D2494&amp;E2494&amp;F2494</f>
        <v>CAPNOMINA ADMONCAPRICHOS</v>
      </c>
      <c r="B2494" t="s">
        <v>2821</v>
      </c>
      <c r="C2494" s="1">
        <f>C2493</f>
        <v>46003</v>
      </c>
      <c r="D2494" t="s">
        <v>31</v>
      </c>
      <c r="E2494" t="s">
        <v>147</v>
      </c>
      <c r="F2494" t="s">
        <v>33</v>
      </c>
      <c r="J2494" s="389">
        <v>27882.1</v>
      </c>
    </row>
    <row r="2495" spans="1:10" ht="15">
      <c r="A2495" s="137" t="str">
        <f>D2495&amp;E2495&amp;F2495</f>
        <v>SERVICIOSNOMINA SUCURSALCEDIS</v>
      </c>
      <c r="B2495" t="s">
        <v>2821</v>
      </c>
      <c r="C2495" s="1">
        <f>C2494</f>
        <v>46003</v>
      </c>
      <c r="D2495" t="s">
        <v>21</v>
      </c>
      <c r="E2495" t="s">
        <v>154</v>
      </c>
      <c r="F2495" t="s">
        <v>28</v>
      </c>
      <c r="J2495" s="389">
        <v>72115.929999999993</v>
      </c>
    </row>
    <row r="2496" spans="1:10" ht="15">
      <c r="A2496" s="137" t="str">
        <f>D2496&amp;E2496&amp;F2496</f>
        <v>SERVICIOSNOMINA ADMONINVENTARIOS</v>
      </c>
      <c r="B2496" t="s">
        <v>2821</v>
      </c>
      <c r="C2496" s="1">
        <f>C2495</f>
        <v>46003</v>
      </c>
      <c r="D2496" t="s">
        <v>21</v>
      </c>
      <c r="E2496" t="s">
        <v>147</v>
      </c>
      <c r="F2496" t="s">
        <v>34</v>
      </c>
      <c r="J2496" s="389">
        <v>2800</v>
      </c>
    </row>
    <row r="2497" spans="1:10" ht="15">
      <c r="A2497" s="137" t="str">
        <f>D2497&amp;E2497&amp;F2497</f>
        <v>SERVICIOSNOMINA ADMONMANTENIMIENTO</v>
      </c>
      <c r="B2497" t="s">
        <v>2821</v>
      </c>
      <c r="C2497" s="1">
        <f>C2496</f>
        <v>46003</v>
      </c>
      <c r="D2497" t="s">
        <v>21</v>
      </c>
      <c r="E2497" t="s">
        <v>147</v>
      </c>
      <c r="F2497" t="s">
        <v>35</v>
      </c>
      <c r="J2497" s="389">
        <v>22767.62</v>
      </c>
    </row>
    <row r="2498" spans="1:10" ht="15">
      <c r="A2498" s="137" t="str">
        <f>D2498&amp;E2498&amp;F2498</f>
        <v>SERVICIOSNOMINA ADMONCADENA DE SUMINISTROS</v>
      </c>
      <c r="B2498" t="s">
        <v>2821</v>
      </c>
      <c r="C2498" s="1">
        <f>C2497</f>
        <v>46003</v>
      </c>
      <c r="D2498" t="s">
        <v>21</v>
      </c>
      <c r="E2498" t="s">
        <v>147</v>
      </c>
      <c r="F2498" t="s">
        <v>134</v>
      </c>
      <c r="J2498" s="389">
        <v>25721.599999999999</v>
      </c>
    </row>
    <row r="2499" spans="1:10" ht="15">
      <c r="A2499" s="137" t="str">
        <f>D2499&amp;E2499&amp;F2499</f>
        <v>SERVICIOSNOMINA ADMONSISTEMAS</v>
      </c>
      <c r="B2499" t="s">
        <v>2821</v>
      </c>
      <c r="C2499" s="1">
        <f>C2498</f>
        <v>46003</v>
      </c>
      <c r="D2499" t="s">
        <v>21</v>
      </c>
      <c r="E2499" t="s">
        <v>147</v>
      </c>
      <c r="F2499" t="s">
        <v>36</v>
      </c>
      <c r="J2499" s="389">
        <v>13424.29</v>
      </c>
    </row>
    <row r="2500" spans="1:10" ht="15">
      <c r="A2500" s="137" t="str">
        <f>D2500&amp;E2500&amp;F2500</f>
        <v>SERVICIOSNOMINA ADMONCOMPRAS</v>
      </c>
      <c r="B2500" t="s">
        <v>2821</v>
      </c>
      <c r="C2500" s="1">
        <f>C2499</f>
        <v>46003</v>
      </c>
      <c r="D2500" t="s">
        <v>21</v>
      </c>
      <c r="E2500" t="s">
        <v>147</v>
      </c>
      <c r="F2500" t="s">
        <v>148</v>
      </c>
      <c r="J2500" s="389">
        <v>23915.51</v>
      </c>
    </row>
    <row r="2501" spans="1:10" ht="15">
      <c r="A2501" s="137" t="str">
        <f>D2501&amp;E2501&amp;F2501</f>
        <v>FINANZASNOMINA ADMONCONTABILIDAD</v>
      </c>
      <c r="B2501" t="s">
        <v>2821</v>
      </c>
      <c r="C2501" s="1">
        <f>C2500</f>
        <v>46003</v>
      </c>
      <c r="D2501" t="s">
        <v>23</v>
      </c>
      <c r="E2501" t="s">
        <v>147</v>
      </c>
      <c r="F2501" t="s">
        <v>37</v>
      </c>
      <c r="J2501" s="389">
        <v>16512.87</v>
      </c>
    </row>
    <row r="2502" spans="1:10" ht="15">
      <c r="A2502" s="137" t="str">
        <f>D2502&amp;E2502&amp;F2502</f>
        <v>FINANZASNOMINA ADMONFINANZAS/LEGAL</v>
      </c>
      <c r="B2502" t="s">
        <v>2821</v>
      </c>
      <c r="C2502" s="1">
        <f>C2501</f>
        <v>46003</v>
      </c>
      <c r="D2502" t="s">
        <v>23</v>
      </c>
      <c r="E2502" t="s">
        <v>147</v>
      </c>
      <c r="F2502" t="s">
        <v>149</v>
      </c>
      <c r="J2502" s="389">
        <v>10224</v>
      </c>
    </row>
    <row r="2503" spans="1:10" ht="15">
      <c r="A2503" s="137" t="str">
        <f>D2503&amp;E2503&amp;F2503</f>
        <v>FINANZASNOMINA ADMONRECURSOS HUMANOS</v>
      </c>
      <c r="B2503" t="s">
        <v>2821</v>
      </c>
      <c r="C2503" s="1">
        <f>C2502</f>
        <v>46003</v>
      </c>
      <c r="D2503" t="s">
        <v>23</v>
      </c>
      <c r="E2503" t="s">
        <v>147</v>
      </c>
      <c r="F2503" t="s">
        <v>125</v>
      </c>
      <c r="J2503" s="389">
        <v>12001.25</v>
      </c>
    </row>
    <row r="2504" spans="1:10" ht="15">
      <c r="A2504" s="137" t="str">
        <f>D2504&amp;E2504&amp;F2504</f>
        <v>FINANZASNOMINA ADMONTESORERIA</v>
      </c>
      <c r="B2504" t="s">
        <v>2821</v>
      </c>
      <c r="C2504" s="1">
        <f>C2503</f>
        <v>46003</v>
      </c>
      <c r="D2504" t="s">
        <v>23</v>
      </c>
      <c r="E2504" t="s">
        <v>147</v>
      </c>
      <c r="F2504" t="s">
        <v>38</v>
      </c>
      <c r="J2504" s="389">
        <v>14174.2</v>
      </c>
    </row>
    <row r="2505" spans="1:10" ht="15">
      <c r="A2505" s="137" t="str">
        <f>D2505&amp;E2505&amp;F2505</f>
        <v>FINANZASNOMINA ADMONHBG FINANZAS</v>
      </c>
      <c r="B2505" t="s">
        <v>2821</v>
      </c>
      <c r="C2505" s="1">
        <f>C2504</f>
        <v>46003</v>
      </c>
      <c r="D2505" t="s">
        <v>23</v>
      </c>
      <c r="E2505" t="s">
        <v>147</v>
      </c>
      <c r="F2505" t="s">
        <v>150</v>
      </c>
      <c r="J2505" s="389">
        <v>3057</v>
      </c>
    </row>
    <row r="2506" spans="1:10" ht="15">
      <c r="A2506" s="137" t="str">
        <f>D2506&amp;E2506&amp;F2506</f>
        <v>SGENOMINA ADMONGESTION EMPRESARIAL</v>
      </c>
      <c r="B2506" t="s">
        <v>2821</v>
      </c>
      <c r="C2506" s="1">
        <f>C2505</f>
        <v>46003</v>
      </c>
      <c r="D2506" t="s">
        <v>39</v>
      </c>
      <c r="E2506" t="s">
        <v>147</v>
      </c>
      <c r="F2506" t="s">
        <v>40</v>
      </c>
      <c r="J2506" s="389">
        <v>24051.4</v>
      </c>
    </row>
    <row r="2507" spans="1:10" ht="15">
      <c r="A2507" s="137" t="str">
        <f>D2507&amp;E2507&amp;F2507</f>
        <v>DENOMINA ADMONDIRECCION</v>
      </c>
      <c r="B2507" t="s">
        <v>2821</v>
      </c>
      <c r="C2507" s="1">
        <f>C2506</f>
        <v>46003</v>
      </c>
      <c r="D2507" t="s">
        <v>41</v>
      </c>
      <c r="E2507" t="s">
        <v>147</v>
      </c>
      <c r="F2507" t="s">
        <v>42</v>
      </c>
      <c r="J2507" s="389">
        <v>7620</v>
      </c>
    </row>
    <row r="2508" spans="1:10" ht="15">
      <c r="A2508" s="137" t="str">
        <f>D2508&amp;E2508&amp;F2508</f>
        <v>MELNOMINA ADMONMELISSA</v>
      </c>
      <c r="B2508" t="s">
        <v>2821</v>
      </c>
      <c r="C2508" s="1">
        <f>C2507</f>
        <v>46003</v>
      </c>
      <c r="D2508" t="s">
        <v>43</v>
      </c>
      <c r="E2508" t="s">
        <v>147</v>
      </c>
      <c r="F2508" t="s">
        <v>44</v>
      </c>
      <c r="J2508" s="389">
        <v>5062</v>
      </c>
    </row>
    <row r="2509" spans="1:10" ht="15">
      <c r="A2509" s="137" t="str">
        <f>D2509&amp;E2509&amp;F2509</f>
        <v>MMNOMINA ADMONMARKET MAX</v>
      </c>
      <c r="B2509" t="s">
        <v>2821</v>
      </c>
      <c r="C2509" s="1">
        <f>C2508</f>
        <v>46003</v>
      </c>
      <c r="D2509" t="s">
        <v>45</v>
      </c>
      <c r="E2509" t="s">
        <v>147</v>
      </c>
      <c r="F2509" t="s">
        <v>46</v>
      </c>
      <c r="J2509" s="389">
        <v>13966.54</v>
      </c>
    </row>
    <row r="2510" spans="1:10" ht="15">
      <c r="A2510" s="137" t="str">
        <f>D2510&amp;E2510&amp;F2510</f>
        <v>ANALISISNOMINA ADMONANALISIS DE DATOS</v>
      </c>
      <c r="B2510" t="s">
        <v>2821</v>
      </c>
      <c r="C2510" s="1">
        <f>C2509</f>
        <v>46003</v>
      </c>
      <c r="D2510" t="s">
        <v>152</v>
      </c>
      <c r="E2510" t="s">
        <v>147</v>
      </c>
      <c r="F2510" t="s">
        <v>153</v>
      </c>
      <c r="J2510" s="389">
        <v>5366</v>
      </c>
    </row>
    <row r="2511" spans="1:10" ht="15">
      <c r="A2511" s="137" t="str">
        <f>D2511&amp;E2511&amp;F2511</f>
        <v>MKTNOMINA ADMONMKT</v>
      </c>
      <c r="B2511" t="s">
        <v>2821</v>
      </c>
      <c r="C2511" s="1">
        <f>C2510</f>
        <v>46003</v>
      </c>
      <c r="D2511" t="s">
        <v>19</v>
      </c>
      <c r="E2511" t="s">
        <v>147</v>
      </c>
      <c r="F2511" t="s">
        <v>19</v>
      </c>
      <c r="J2511" s="389">
        <v>25231.4</v>
      </c>
    </row>
    <row r="2512" spans="1:10" ht="15">
      <c r="A2512" s="137" t="str">
        <f>D2512&amp;E2512&amp;F2512</f>
        <v>FINANZASNOMINA ADMONHBG FINANZAS</v>
      </c>
      <c r="B2512" t="s">
        <v>2821</v>
      </c>
      <c r="C2512" s="1">
        <f>C2511</f>
        <v>46003</v>
      </c>
      <c r="D2512" t="s">
        <v>23</v>
      </c>
      <c r="E2512" t="s">
        <v>147</v>
      </c>
      <c r="F2512" s="12" t="s">
        <v>150</v>
      </c>
      <c r="J2512" s="385">
        <v>10950</v>
      </c>
    </row>
    <row r="2513" spans="1:10" ht="15">
      <c r="A2513" s="137" t="str">
        <f>D2513&amp;E2513&amp;F2513</f>
        <v>HRNOMINA ADMONHR</v>
      </c>
      <c r="B2513" t="s">
        <v>2821</v>
      </c>
      <c r="C2513" s="1">
        <f>C2512</f>
        <v>46003</v>
      </c>
      <c r="D2513" t="s">
        <v>29</v>
      </c>
      <c r="E2513" t="s">
        <v>147</v>
      </c>
      <c r="F2513" s="3" t="s">
        <v>29</v>
      </c>
      <c r="J2513" s="385">
        <v>5500</v>
      </c>
    </row>
    <row r="2514" spans="1:10" ht="15">
      <c r="A2514" s="137" t="str">
        <f>D2514&amp;E2514&amp;F2514</f>
        <v>CAPNOMINA ADMONCAPRICHOS</v>
      </c>
      <c r="B2514" t="s">
        <v>2821</v>
      </c>
      <c r="C2514" s="1">
        <f>C2513</f>
        <v>46003</v>
      </c>
      <c r="D2514" t="s">
        <v>31</v>
      </c>
      <c r="E2514" t="s">
        <v>147</v>
      </c>
      <c r="F2514" s="12" t="s">
        <v>33</v>
      </c>
      <c r="J2514" s="385">
        <v>3700</v>
      </c>
    </row>
    <row r="2515" spans="1:10" ht="15">
      <c r="A2515" s="137" t="str">
        <f>D2515&amp;E2515&amp;F2515</f>
        <v>SGENOMINA ADMONGESTION EMPRESARIAL</v>
      </c>
      <c r="B2515" t="s">
        <v>2821</v>
      </c>
      <c r="C2515" s="1">
        <f>C2514</f>
        <v>46003</v>
      </c>
      <c r="D2515" t="s">
        <v>39</v>
      </c>
      <c r="E2515" t="s">
        <v>147</v>
      </c>
      <c r="F2515" s="12" t="s">
        <v>40</v>
      </c>
      <c r="J2515" s="385">
        <v>2750</v>
      </c>
    </row>
    <row r="2516" spans="1:10" ht="15">
      <c r="A2516" s="137" t="str">
        <f>D2516&amp;E2516&amp;F2516</f>
        <v>SERVICIOSNOMINA ADMONSERVICIOS</v>
      </c>
      <c r="B2516" t="s">
        <v>2821</v>
      </c>
      <c r="C2516" s="1">
        <f>C2515</f>
        <v>46003</v>
      </c>
      <c r="D2516" t="s">
        <v>21</v>
      </c>
      <c r="E2516" t="s">
        <v>147</v>
      </c>
      <c r="F2516" s="12" t="s">
        <v>21</v>
      </c>
      <c r="J2516" s="385">
        <v>4750</v>
      </c>
    </row>
    <row r="2517" spans="1:10" ht="15">
      <c r="A2517" s="137" t="str">
        <f>D2517&amp;E2517&amp;F2517</f>
        <v>DENOMINA ADMONDIRECCION</v>
      </c>
      <c r="B2517" t="s">
        <v>2821</v>
      </c>
      <c r="C2517" s="1">
        <f>C2516</f>
        <v>46003</v>
      </c>
      <c r="D2517" t="s">
        <v>41</v>
      </c>
      <c r="E2517" t="s">
        <v>147</v>
      </c>
      <c r="F2517" s="12" t="s">
        <v>42</v>
      </c>
      <c r="J2517" s="385">
        <v>5750</v>
      </c>
    </row>
    <row r="2518" spans="1:10" ht="15">
      <c r="A2518" s="137" t="str">
        <f>D2518&amp;E2518&amp;F2518</f>
        <v>MMNOMINA ADMONMARKET MAX</v>
      </c>
      <c r="B2518" t="s">
        <v>2821</v>
      </c>
      <c r="C2518" s="1">
        <f>C2517</f>
        <v>46003</v>
      </c>
      <c r="D2518" t="s">
        <v>45</v>
      </c>
      <c r="E2518" t="s">
        <v>147</v>
      </c>
      <c r="F2518" t="s">
        <v>46</v>
      </c>
      <c r="J2518" s="385">
        <v>2000</v>
      </c>
    </row>
    <row r="2519" spans="1:10" ht="15">
      <c r="A2519" s="137" t="str">
        <f>D2519&amp;E2519&amp;F2519</f>
        <v>HRNOMINA SUCURSALA1</v>
      </c>
      <c r="B2519" t="s">
        <v>2821</v>
      </c>
      <c r="C2519" s="1">
        <v>46010</v>
      </c>
      <c r="D2519" t="s">
        <v>29</v>
      </c>
      <c r="E2519" t="s">
        <v>154</v>
      </c>
      <c r="F2519" t="s">
        <v>88</v>
      </c>
      <c r="J2519" s="389">
        <v>15689.2</v>
      </c>
    </row>
    <row r="2520" spans="1:10" ht="15">
      <c r="A2520" s="137" t="str">
        <f>D2520&amp;E2520&amp;F2520</f>
        <v>HRNOMINA SUCURSALA2</v>
      </c>
      <c r="B2520" t="s">
        <v>2821</v>
      </c>
      <c r="C2520" s="1">
        <v>46010</v>
      </c>
      <c r="D2520" t="s">
        <v>29</v>
      </c>
      <c r="E2520" t="s">
        <v>154</v>
      </c>
      <c r="F2520" t="s">
        <v>89</v>
      </c>
      <c r="J2520" s="389">
        <v>30112</v>
      </c>
    </row>
    <row r="2521" spans="1:10" ht="15">
      <c r="A2521" s="137" t="str">
        <f>D2521&amp;E2521&amp;F2521</f>
        <v>HRNOMINA SUCURSALA3</v>
      </c>
      <c r="B2521" t="s">
        <v>2821</v>
      </c>
      <c r="C2521" s="1">
        <v>46010</v>
      </c>
      <c r="D2521" t="s">
        <v>29</v>
      </c>
      <c r="E2521" t="s">
        <v>154</v>
      </c>
      <c r="F2521" t="s">
        <v>90</v>
      </c>
      <c r="J2521" s="389">
        <v>22310.2</v>
      </c>
    </row>
    <row r="2522" spans="1:10" ht="15">
      <c r="A2522" s="137" t="str">
        <f>D2522&amp;E2522&amp;F2522</f>
        <v>HRNOMINA SUCURSALA4</v>
      </c>
      <c r="B2522" t="s">
        <v>2821</v>
      </c>
      <c r="C2522" s="1">
        <v>46010</v>
      </c>
      <c r="D2522" t="s">
        <v>29</v>
      </c>
      <c r="E2522" t="s">
        <v>154</v>
      </c>
      <c r="F2522" t="s">
        <v>91</v>
      </c>
      <c r="J2522" s="389">
        <v>13506.6</v>
      </c>
    </row>
    <row r="2523" spans="1:10" ht="15">
      <c r="A2523" s="137" t="str">
        <f>D2523&amp;E2523&amp;F2523</f>
        <v>HRNOMINA SUCURSALA5</v>
      </c>
      <c r="B2523" t="s">
        <v>2821</v>
      </c>
      <c r="C2523" s="1">
        <v>46010</v>
      </c>
      <c r="D2523" t="s">
        <v>29</v>
      </c>
      <c r="E2523" t="s">
        <v>154</v>
      </c>
      <c r="F2523" t="s">
        <v>92</v>
      </c>
      <c r="J2523" s="389">
        <v>20708.2</v>
      </c>
    </row>
    <row r="2524" spans="1:10" ht="15">
      <c r="A2524" s="137" t="str">
        <f>D2524&amp;E2524&amp;F2524</f>
        <v>HRNOMINA SUCURSALA6</v>
      </c>
      <c r="B2524" t="s">
        <v>2821</v>
      </c>
      <c r="C2524" s="1">
        <v>46010</v>
      </c>
      <c r="D2524" t="s">
        <v>29</v>
      </c>
      <c r="E2524" t="s">
        <v>154</v>
      </c>
      <c r="F2524" t="s">
        <v>93</v>
      </c>
      <c r="J2524" s="389">
        <v>24232.09</v>
      </c>
    </row>
    <row r="2525" spans="1:10" ht="15">
      <c r="A2525" s="137" t="str">
        <f>D2525&amp;E2525&amp;F2525</f>
        <v>HRNOMINA SUCURSALA8</v>
      </c>
      <c r="B2525" t="s">
        <v>2821</v>
      </c>
      <c r="C2525" s="1">
        <v>46010</v>
      </c>
      <c r="D2525" t="s">
        <v>29</v>
      </c>
      <c r="E2525" t="s">
        <v>154</v>
      </c>
      <c r="F2525" t="s">
        <v>94</v>
      </c>
      <c r="J2525" s="389">
        <v>39552.199999999997</v>
      </c>
    </row>
    <row r="2526" spans="1:10" ht="15">
      <c r="A2526" s="137" t="str">
        <f>D2526&amp;E2526&amp;F2526</f>
        <v>HRNOMINA SUCURSALA9</v>
      </c>
      <c r="B2526" t="s">
        <v>2821</v>
      </c>
      <c r="C2526" s="1">
        <v>46010</v>
      </c>
      <c r="D2526" t="s">
        <v>29</v>
      </c>
      <c r="E2526" t="s">
        <v>154</v>
      </c>
      <c r="F2526" t="s">
        <v>95</v>
      </c>
      <c r="J2526" s="389">
        <v>16815.02</v>
      </c>
    </row>
    <row r="2527" spans="1:10" ht="15">
      <c r="A2527" s="137" t="str">
        <f>D2527&amp;E2527&amp;F2527</f>
        <v>HRNOMINA SUCURSALA10</v>
      </c>
      <c r="B2527" t="s">
        <v>2821</v>
      </c>
      <c r="C2527" s="1">
        <v>46010</v>
      </c>
      <c r="D2527" t="s">
        <v>29</v>
      </c>
      <c r="E2527" t="s">
        <v>154</v>
      </c>
      <c r="F2527" t="s">
        <v>96</v>
      </c>
      <c r="J2527" s="389">
        <v>36343.4</v>
      </c>
    </row>
    <row r="2528" spans="1:10" ht="15">
      <c r="A2528" s="137" t="str">
        <f>D2528&amp;E2528&amp;F2528</f>
        <v>HRNOMINA SUCURSALA11</v>
      </c>
      <c r="B2528" t="s">
        <v>2821</v>
      </c>
      <c r="C2528" s="1">
        <v>46010</v>
      </c>
      <c r="D2528" t="s">
        <v>29</v>
      </c>
      <c r="E2528" t="s">
        <v>154</v>
      </c>
      <c r="F2528" t="s">
        <v>97</v>
      </c>
      <c r="J2528" s="389">
        <v>17617.8</v>
      </c>
    </row>
    <row r="2529" spans="1:10" ht="15">
      <c r="A2529" s="137" t="str">
        <f>D2529&amp;E2529&amp;F2529</f>
        <v>HRNOMINA SUCURSALA12</v>
      </c>
      <c r="B2529" t="s">
        <v>2821</v>
      </c>
      <c r="C2529" s="1">
        <v>46010</v>
      </c>
      <c r="D2529" t="s">
        <v>29</v>
      </c>
      <c r="E2529" t="s">
        <v>154</v>
      </c>
      <c r="F2529" t="s">
        <v>98</v>
      </c>
      <c r="J2529" s="389">
        <v>45295</v>
      </c>
    </row>
    <row r="2530" spans="1:10" ht="15">
      <c r="A2530" s="137" t="str">
        <f>D2530&amp;E2530&amp;F2530</f>
        <v>HRNOMINA SUCURSALA14</v>
      </c>
      <c r="B2530" t="s">
        <v>2821</v>
      </c>
      <c r="C2530" s="1">
        <v>46010</v>
      </c>
      <c r="D2530" t="s">
        <v>29</v>
      </c>
      <c r="E2530" t="s">
        <v>154</v>
      </c>
      <c r="F2530" t="s">
        <v>99</v>
      </c>
      <c r="J2530" s="389">
        <v>25711</v>
      </c>
    </row>
    <row r="2531" spans="1:10" ht="15">
      <c r="A2531" s="137" t="str">
        <f>D2531&amp;E2531&amp;F2531</f>
        <v>HRNOMINA SUCURSALA15</v>
      </c>
      <c r="B2531" t="s">
        <v>2821</v>
      </c>
      <c r="C2531" s="1">
        <v>46010</v>
      </c>
      <c r="D2531" t="s">
        <v>29</v>
      </c>
      <c r="E2531" t="s">
        <v>154</v>
      </c>
      <c r="F2531" t="s">
        <v>100</v>
      </c>
      <c r="J2531" s="389">
        <v>17256.400000000001</v>
      </c>
    </row>
    <row r="2532" spans="1:10" ht="15">
      <c r="A2532" s="137" t="str">
        <f>D2532&amp;E2532&amp;F2532</f>
        <v>HRNOMINA SUCURSALA16</v>
      </c>
      <c r="B2532" t="s">
        <v>2821</v>
      </c>
      <c r="C2532" s="1">
        <v>46010</v>
      </c>
      <c r="D2532" t="s">
        <v>29</v>
      </c>
      <c r="E2532" t="s">
        <v>154</v>
      </c>
      <c r="F2532" t="s">
        <v>101</v>
      </c>
      <c r="J2532" s="389">
        <v>26176.29</v>
      </c>
    </row>
    <row r="2533" spans="1:10" ht="15">
      <c r="A2533" s="137" t="str">
        <f>D2533&amp;E2533&amp;F2533</f>
        <v>HRNOMINA SUCURSALA17</v>
      </c>
      <c r="B2533" t="s">
        <v>2821</v>
      </c>
      <c r="C2533" s="1">
        <v>46010</v>
      </c>
      <c r="D2533" t="s">
        <v>29</v>
      </c>
      <c r="E2533" t="s">
        <v>154</v>
      </c>
      <c r="F2533" t="s">
        <v>102</v>
      </c>
      <c r="J2533" s="389">
        <v>21637.8</v>
      </c>
    </row>
    <row r="2534" spans="1:10" ht="15">
      <c r="A2534" s="137" t="str">
        <f>D2534&amp;E2534&amp;F2534</f>
        <v>HRNOMINA SUCURSALA18</v>
      </c>
      <c r="B2534" t="s">
        <v>2821</v>
      </c>
      <c r="C2534" s="1">
        <v>46010</v>
      </c>
      <c r="D2534" t="s">
        <v>29</v>
      </c>
      <c r="E2534" t="s">
        <v>154</v>
      </c>
      <c r="F2534" t="s">
        <v>103</v>
      </c>
      <c r="J2534" s="389">
        <v>28782.799999999999</v>
      </c>
    </row>
    <row r="2535" spans="1:10" ht="15">
      <c r="A2535" s="137" t="str">
        <f>D2535&amp;E2535&amp;F2535</f>
        <v>HRNOMINA SUCURSALA22</v>
      </c>
      <c r="B2535" t="s">
        <v>2821</v>
      </c>
      <c r="C2535" s="1">
        <v>46010</v>
      </c>
      <c r="D2535" t="s">
        <v>29</v>
      </c>
      <c r="E2535" t="s">
        <v>154</v>
      </c>
      <c r="F2535" t="s">
        <v>104</v>
      </c>
      <c r="J2535" s="389">
        <v>24590.799999999999</v>
      </c>
    </row>
    <row r="2536" spans="1:10" ht="15">
      <c r="A2536" s="137" t="str">
        <f>D2536&amp;E2536&amp;F2536</f>
        <v>HRNOMINA SUCURSALA23</v>
      </c>
      <c r="B2536" t="s">
        <v>2821</v>
      </c>
      <c r="C2536" s="1">
        <v>46010</v>
      </c>
      <c r="D2536" t="s">
        <v>29</v>
      </c>
      <c r="E2536" t="s">
        <v>154</v>
      </c>
      <c r="F2536" t="s">
        <v>105</v>
      </c>
      <c r="J2536" s="389">
        <v>21079.200000000001</v>
      </c>
    </row>
    <row r="2537" spans="1:10" ht="15">
      <c r="A2537" s="137" t="str">
        <f>D2537&amp;E2537&amp;F2537</f>
        <v>HRNOMINA SUCURSALA24</v>
      </c>
      <c r="B2537" t="s">
        <v>2821</v>
      </c>
      <c r="C2537" s="1">
        <v>46010</v>
      </c>
      <c r="D2537" t="s">
        <v>29</v>
      </c>
      <c r="E2537" t="s">
        <v>154</v>
      </c>
      <c r="F2537" t="s">
        <v>106</v>
      </c>
      <c r="H2537" s="220"/>
      <c r="J2537" s="389">
        <v>41408.800000000003</v>
      </c>
    </row>
    <row r="2538" spans="1:10" ht="15">
      <c r="A2538" s="137" t="str">
        <f>D2538&amp;E2538&amp;F2538</f>
        <v>CAPNOMINA SUCURSALE1</v>
      </c>
      <c r="B2538" t="s">
        <v>2821</v>
      </c>
      <c r="C2538" s="1">
        <v>46010</v>
      </c>
      <c r="D2538" t="s">
        <v>31</v>
      </c>
      <c r="E2538" t="s">
        <v>154</v>
      </c>
      <c r="F2538" t="s">
        <v>107</v>
      </c>
      <c r="H2538" s="220"/>
      <c r="J2538" s="389">
        <v>19406.68</v>
      </c>
    </row>
    <row r="2539" spans="1:10" ht="15">
      <c r="A2539" s="137" t="str">
        <f>D2539&amp;E2539&amp;F2539</f>
        <v>CAPNOMINA SUCURSALE2</v>
      </c>
      <c r="B2539" t="s">
        <v>2821</v>
      </c>
      <c r="C2539" s="1">
        <v>46010</v>
      </c>
      <c r="D2539" t="s">
        <v>31</v>
      </c>
      <c r="E2539" t="s">
        <v>154</v>
      </c>
      <c r="F2539" t="s">
        <v>108</v>
      </c>
      <c r="H2539" s="220"/>
      <c r="J2539" s="389">
        <v>35008</v>
      </c>
    </row>
    <row r="2540" spans="1:10" ht="15">
      <c r="A2540" s="137" t="str">
        <f>D2540&amp;E2540&amp;F2540</f>
        <v>CAPNOMINA SUCURSALE3</v>
      </c>
      <c r="B2540" t="s">
        <v>2821</v>
      </c>
      <c r="C2540" s="1">
        <v>46010</v>
      </c>
      <c r="D2540" t="s">
        <v>31</v>
      </c>
      <c r="E2540" t="s">
        <v>154</v>
      </c>
      <c r="F2540" t="s">
        <v>109</v>
      </c>
      <c r="H2540" s="459"/>
      <c r="J2540" s="389">
        <v>22769.8</v>
      </c>
    </row>
    <row r="2541" spans="1:10" ht="15">
      <c r="A2541" s="137" t="str">
        <f>D2541&amp;E2541&amp;F2541</f>
        <v>CAPNOMINA SUCURSALE4</v>
      </c>
      <c r="B2541" t="s">
        <v>2821</v>
      </c>
      <c r="C2541" s="1">
        <v>46010</v>
      </c>
      <c r="D2541" t="s">
        <v>31</v>
      </c>
      <c r="E2541" t="s">
        <v>154</v>
      </c>
      <c r="F2541" t="s">
        <v>110</v>
      </c>
      <c r="H2541" s="459"/>
      <c r="J2541" s="389">
        <v>37724</v>
      </c>
    </row>
    <row r="2542" spans="1:10" ht="15">
      <c r="A2542" s="137" t="str">
        <f>D2542&amp;E2542&amp;F2542</f>
        <v>CAPNOMINA SUCURSALE5</v>
      </c>
      <c r="B2542" t="s">
        <v>2821</v>
      </c>
      <c r="C2542" s="1">
        <v>46010</v>
      </c>
      <c r="D2542" t="s">
        <v>31</v>
      </c>
      <c r="E2542" t="s">
        <v>154</v>
      </c>
      <c r="F2542" t="s">
        <v>111</v>
      </c>
      <c r="H2542" s="459"/>
      <c r="J2542" s="389">
        <v>30556.799999999999</v>
      </c>
    </row>
    <row r="2543" spans="1:10" ht="15">
      <c r="A2543" s="137" t="str">
        <f>D2543&amp;E2543&amp;F2543</f>
        <v>CAPNOMINA SUCURSALE6</v>
      </c>
      <c r="B2543" t="s">
        <v>2821</v>
      </c>
      <c r="C2543" s="1">
        <v>46010</v>
      </c>
      <c r="D2543" t="s">
        <v>31</v>
      </c>
      <c r="E2543" t="s">
        <v>154</v>
      </c>
      <c r="F2543" t="s">
        <v>112</v>
      </c>
      <c r="H2543" s="459"/>
      <c r="J2543" s="389">
        <v>19777.2</v>
      </c>
    </row>
    <row r="2544" spans="1:10" ht="15">
      <c r="A2544" s="137" t="str">
        <f>D2544&amp;E2544&amp;F2544</f>
        <v>CAPNOMINA SUCURSALE7</v>
      </c>
      <c r="B2544" t="s">
        <v>2821</v>
      </c>
      <c r="C2544" s="1">
        <v>46010</v>
      </c>
      <c r="D2544" t="s">
        <v>31</v>
      </c>
      <c r="E2544" t="s">
        <v>154</v>
      </c>
      <c r="F2544" t="s">
        <v>113</v>
      </c>
      <c r="H2544" s="459"/>
      <c r="J2544" s="389">
        <v>17669.400000000001</v>
      </c>
    </row>
    <row r="2545" spans="1:10" ht="15">
      <c r="A2545" s="137" t="str">
        <f>D2545&amp;E2545&amp;F2545</f>
        <v>CAPNOMINA SUCURSALE8</v>
      </c>
      <c r="B2545" t="s">
        <v>2821</v>
      </c>
      <c r="C2545" s="1">
        <v>46010</v>
      </c>
      <c r="D2545" t="s">
        <v>31</v>
      </c>
      <c r="E2545" t="s">
        <v>154</v>
      </c>
      <c r="F2545" t="s">
        <v>114</v>
      </c>
      <c r="H2545" s="459"/>
      <c r="J2545" s="389">
        <v>37878</v>
      </c>
    </row>
    <row r="2546" spans="1:10" ht="15">
      <c r="A2546" s="137" t="str">
        <f>D2546&amp;E2546&amp;F2546</f>
        <v>CAPNOMINA SUCURSALE9</v>
      </c>
      <c r="B2546" t="s">
        <v>2821</v>
      </c>
      <c r="C2546" s="1">
        <v>46010</v>
      </c>
      <c r="D2546" t="s">
        <v>31</v>
      </c>
      <c r="E2546" t="s">
        <v>154</v>
      </c>
      <c r="F2546" t="s">
        <v>116</v>
      </c>
      <c r="H2546" s="459"/>
      <c r="J2546" s="389">
        <v>27695.200000000001</v>
      </c>
    </row>
    <row r="2547" spans="1:10" ht="15">
      <c r="A2547" s="137" t="str">
        <f>D2547&amp;E2547&amp;F2547</f>
        <v>CAPNOMINA SUCURSALE11</v>
      </c>
      <c r="B2547" t="s">
        <v>2821</v>
      </c>
      <c r="C2547" s="1">
        <v>46010</v>
      </c>
      <c r="D2547" t="s">
        <v>31</v>
      </c>
      <c r="E2547" t="s">
        <v>154</v>
      </c>
      <c r="F2547" t="s">
        <v>118</v>
      </c>
      <c r="H2547" s="220"/>
      <c r="J2547" s="389">
        <v>24248.400000000001</v>
      </c>
    </row>
    <row r="2548" spans="1:10" ht="15">
      <c r="A2548" s="137" t="str">
        <f>D2548&amp;E2548&amp;F2548</f>
        <v>ELINOMINA SUCURSALL1</v>
      </c>
      <c r="B2548" t="s">
        <v>2821</v>
      </c>
      <c r="C2548" s="1">
        <v>46010</v>
      </c>
      <c r="D2548" t="s">
        <v>130</v>
      </c>
      <c r="E2548" t="s">
        <v>154</v>
      </c>
      <c r="F2548" t="s">
        <v>136</v>
      </c>
      <c r="H2548" s="220"/>
      <c r="J2548" s="389">
        <v>13300.8</v>
      </c>
    </row>
    <row r="2549" spans="1:10" ht="15">
      <c r="A2549" s="137" t="str">
        <f>D2549&amp;E2549&amp;F2549</f>
        <v>HRNOMINA ADMONHR</v>
      </c>
      <c r="B2549" t="s">
        <v>2821</v>
      </c>
      <c r="C2549" s="1">
        <v>46010</v>
      </c>
      <c r="D2549" t="s">
        <v>29</v>
      </c>
      <c r="E2549" t="s">
        <v>147</v>
      </c>
      <c r="F2549" t="s">
        <v>29</v>
      </c>
      <c r="H2549" s="220"/>
      <c r="J2549" s="389">
        <v>39323.599999999999</v>
      </c>
    </row>
    <row r="2550" spans="1:10" ht="15">
      <c r="A2550" s="137" t="str">
        <f>D2550&amp;E2550&amp;F2550</f>
        <v>CAPNOMINA ADMONCAPRICHOS</v>
      </c>
      <c r="B2550" t="s">
        <v>2821</v>
      </c>
      <c r="C2550" s="1">
        <v>46010</v>
      </c>
      <c r="D2550" t="s">
        <v>31</v>
      </c>
      <c r="E2550" t="s">
        <v>147</v>
      </c>
      <c r="F2550" t="s">
        <v>33</v>
      </c>
      <c r="J2550" s="389">
        <v>29483.3</v>
      </c>
    </row>
    <row r="2551" spans="1:10" ht="15">
      <c r="A2551" s="137" t="str">
        <f>D2551&amp;E2551&amp;F2551</f>
        <v>SERVICIOSNOMINA SUCURSALCEDIS</v>
      </c>
      <c r="B2551" t="s">
        <v>2821</v>
      </c>
      <c r="C2551" s="1">
        <v>46010</v>
      </c>
      <c r="D2551" t="s">
        <v>21</v>
      </c>
      <c r="E2551" t="s">
        <v>154</v>
      </c>
      <c r="F2551" t="s">
        <v>28</v>
      </c>
      <c r="J2551" s="389">
        <v>79454.13</v>
      </c>
    </row>
    <row r="2552" spans="1:10" ht="15">
      <c r="A2552" s="137" t="str">
        <f>D2552&amp;E2552&amp;F2552</f>
        <v>SERVICIOSNOMINA ADMONINVENTARIOS</v>
      </c>
      <c r="B2552" t="s">
        <v>2821</v>
      </c>
      <c r="C2552" s="1">
        <v>46010</v>
      </c>
      <c r="D2552" t="s">
        <v>21</v>
      </c>
      <c r="E2552" t="s">
        <v>147</v>
      </c>
      <c r="F2552" t="s">
        <v>34</v>
      </c>
      <c r="J2552" s="389">
        <v>2576.1999999999998</v>
      </c>
    </row>
    <row r="2553" spans="1:10" ht="15">
      <c r="A2553" s="137" t="str">
        <f>D2553&amp;E2553&amp;F2553</f>
        <v>SERVICIOSNOMINA ADMONMANTENIMIENTO</v>
      </c>
      <c r="B2553" t="s">
        <v>2821</v>
      </c>
      <c r="C2553" s="1">
        <v>46010</v>
      </c>
      <c r="D2553" t="s">
        <v>21</v>
      </c>
      <c r="E2553" t="s">
        <v>147</v>
      </c>
      <c r="F2553" t="s">
        <v>35</v>
      </c>
      <c r="J2553" s="389">
        <v>19365.62</v>
      </c>
    </row>
    <row r="2554" spans="1:10" ht="15">
      <c r="A2554" s="137" t="str">
        <f>D2554&amp;E2554&amp;F2554</f>
        <v>SERVICIOSNOMINA ADMONCADENA DE SUMINISTROS</v>
      </c>
      <c r="B2554" t="s">
        <v>2821</v>
      </c>
      <c r="C2554" s="1">
        <v>46010</v>
      </c>
      <c r="D2554" t="s">
        <v>21</v>
      </c>
      <c r="E2554" t="s">
        <v>147</v>
      </c>
      <c r="F2554" t="s">
        <v>134</v>
      </c>
      <c r="J2554" s="389">
        <v>25332.6</v>
      </c>
    </row>
    <row r="2555" spans="1:10" ht="15">
      <c r="A2555" s="137" t="str">
        <f>D2555&amp;E2555&amp;F2555</f>
        <v>SERVICIOSNOMINA ADMONSISTEMAS</v>
      </c>
      <c r="B2555" t="s">
        <v>2821</v>
      </c>
      <c r="C2555" s="1">
        <v>46010</v>
      </c>
      <c r="D2555" t="s">
        <v>21</v>
      </c>
      <c r="E2555" t="s">
        <v>147</v>
      </c>
      <c r="F2555" t="s">
        <v>36</v>
      </c>
      <c r="J2555" s="389">
        <v>12694.49</v>
      </c>
    </row>
    <row r="2556" spans="1:10" ht="15">
      <c r="A2556" s="137" t="str">
        <f>D2556&amp;E2556&amp;F2556</f>
        <v>SERVICIOSNOMINA ADMONCOMPRAS</v>
      </c>
      <c r="B2556" t="s">
        <v>2821</v>
      </c>
      <c r="C2556" s="1">
        <v>46010</v>
      </c>
      <c r="D2556" t="s">
        <v>21</v>
      </c>
      <c r="E2556" t="s">
        <v>147</v>
      </c>
      <c r="F2556" t="s">
        <v>148</v>
      </c>
      <c r="J2556" s="389">
        <v>23437.31</v>
      </c>
    </row>
    <row r="2557" spans="1:10" ht="15">
      <c r="A2557" s="137" t="str">
        <f>D2557&amp;E2557&amp;F2557</f>
        <v>FINANZASNOMINA ADMONCONTABILIDAD</v>
      </c>
      <c r="B2557" t="s">
        <v>2821</v>
      </c>
      <c r="C2557" s="1">
        <v>46010</v>
      </c>
      <c r="D2557" t="s">
        <v>23</v>
      </c>
      <c r="E2557" t="s">
        <v>147</v>
      </c>
      <c r="F2557" t="s">
        <v>37</v>
      </c>
      <c r="J2557" s="389">
        <v>19011.07</v>
      </c>
    </row>
    <row r="2558" spans="1:10" ht="15">
      <c r="A2558" s="137" t="str">
        <f>D2558&amp;E2558&amp;F2558</f>
        <v>FINANZASNOMINA ADMONFINANZAS/LEGAL</v>
      </c>
      <c r="B2558" t="s">
        <v>2821</v>
      </c>
      <c r="C2558" s="1">
        <v>46010</v>
      </c>
      <c r="D2558" t="s">
        <v>23</v>
      </c>
      <c r="E2558" t="s">
        <v>147</v>
      </c>
      <c r="F2558" t="s">
        <v>149</v>
      </c>
      <c r="J2558" s="389">
        <v>10436.799999999999</v>
      </c>
    </row>
    <row r="2559" spans="1:10" ht="15">
      <c r="A2559" s="137" t="str">
        <f>D2559&amp;E2559&amp;F2559</f>
        <v>FINANZASNOMINA ADMONRECURSOS HUMANOS</v>
      </c>
      <c r="B2559" t="s">
        <v>2821</v>
      </c>
      <c r="C2559" s="1">
        <v>46010</v>
      </c>
      <c r="D2559" t="s">
        <v>23</v>
      </c>
      <c r="E2559" t="s">
        <v>147</v>
      </c>
      <c r="F2559" t="s">
        <v>125</v>
      </c>
      <c r="J2559" s="389">
        <v>12936.85</v>
      </c>
    </row>
    <row r="2560" spans="1:10" ht="15">
      <c r="A2560" s="137" t="str">
        <f>D2560&amp;E2560&amp;F2560</f>
        <v>FINANZASNOMINA ADMONTESORERIA</v>
      </c>
      <c r="B2560" t="s">
        <v>2821</v>
      </c>
      <c r="C2560" s="1">
        <v>46010</v>
      </c>
      <c r="D2560" t="s">
        <v>23</v>
      </c>
      <c r="E2560" t="s">
        <v>147</v>
      </c>
      <c r="F2560" t="s">
        <v>38</v>
      </c>
      <c r="J2560" s="389">
        <v>16585.8</v>
      </c>
    </row>
    <row r="2561" spans="1:10" ht="15">
      <c r="A2561" s="137" t="str">
        <f>D2561&amp;E2561&amp;F2561</f>
        <v>FINANZASNOMINA ADMONHBG FINANZAS</v>
      </c>
      <c r="B2561" t="s">
        <v>2821</v>
      </c>
      <c r="C2561" s="1">
        <v>46010</v>
      </c>
      <c r="D2561" t="s">
        <v>23</v>
      </c>
      <c r="E2561" t="s">
        <v>147</v>
      </c>
      <c r="F2561" t="s">
        <v>150</v>
      </c>
      <c r="J2561" s="389">
        <v>3057</v>
      </c>
    </row>
    <row r="2562" spans="1:10" ht="15">
      <c r="A2562" s="137" t="str">
        <f>D2562&amp;E2562&amp;F2562</f>
        <v>SGENOMINA ADMONGESTION EMPRESARIAL</v>
      </c>
      <c r="B2562" t="s">
        <v>2821</v>
      </c>
      <c r="C2562" s="1">
        <v>46010</v>
      </c>
      <c r="D2562" t="s">
        <v>39</v>
      </c>
      <c r="E2562" t="s">
        <v>147</v>
      </c>
      <c r="F2562" t="s">
        <v>40</v>
      </c>
      <c r="J2562" s="389">
        <v>25651.200000000001</v>
      </c>
    </row>
    <row r="2563" spans="1:10" ht="15">
      <c r="A2563" s="137" t="str">
        <f>D2563&amp;E2563&amp;F2563</f>
        <v>DENOMINA ADMONDIRECCION</v>
      </c>
      <c r="B2563" t="s">
        <v>2821</v>
      </c>
      <c r="C2563" s="1">
        <v>46010</v>
      </c>
      <c r="D2563" t="s">
        <v>41</v>
      </c>
      <c r="E2563" t="s">
        <v>147</v>
      </c>
      <c r="F2563" t="s">
        <v>42</v>
      </c>
      <c r="J2563" s="389">
        <v>10735.2</v>
      </c>
    </row>
    <row r="2564" spans="1:10" ht="15">
      <c r="A2564" s="137" t="str">
        <f>D2564&amp;E2564&amp;F2564</f>
        <v>MELNOMINA ADMONMELISSA</v>
      </c>
      <c r="B2564" t="s">
        <v>2821</v>
      </c>
      <c r="C2564" s="1">
        <v>46010</v>
      </c>
      <c r="D2564" t="s">
        <v>43</v>
      </c>
      <c r="E2564" t="s">
        <v>147</v>
      </c>
      <c r="F2564" t="s">
        <v>44</v>
      </c>
      <c r="J2564" s="389">
        <v>5800.2</v>
      </c>
    </row>
    <row r="2565" spans="1:10" ht="15">
      <c r="A2565" s="137" t="str">
        <f>D2565&amp;E2565&amp;F2565</f>
        <v>MMNOMINA ADMONMARKET MAX</v>
      </c>
      <c r="B2565" t="s">
        <v>2821</v>
      </c>
      <c r="C2565" s="1">
        <v>46010</v>
      </c>
      <c r="D2565" t="s">
        <v>45</v>
      </c>
      <c r="E2565" t="s">
        <v>147</v>
      </c>
      <c r="F2565" t="s">
        <v>46</v>
      </c>
      <c r="J2565" s="389">
        <v>14537.34</v>
      </c>
    </row>
    <row r="2566" spans="1:10" ht="15">
      <c r="A2566" s="137" t="str">
        <f>D2566&amp;E2566&amp;F2566</f>
        <v>ANALISISNOMINA ADMONANALISIS DE DATOS</v>
      </c>
      <c r="B2566" t="s">
        <v>2821</v>
      </c>
      <c r="C2566" s="1">
        <v>46010</v>
      </c>
      <c r="D2566" t="s">
        <v>152</v>
      </c>
      <c r="E2566" t="s">
        <v>147</v>
      </c>
      <c r="F2566" t="s">
        <v>153</v>
      </c>
      <c r="J2566" s="389">
        <v>5100</v>
      </c>
    </row>
    <row r="2567" spans="1:10" ht="15">
      <c r="A2567" s="137" t="str">
        <f>D2567&amp;E2567&amp;F2567</f>
        <v>MKTNOMINA ADMONMKT</v>
      </c>
      <c r="B2567" t="s">
        <v>2821</v>
      </c>
      <c r="C2567" s="1">
        <v>46010</v>
      </c>
      <c r="D2567" t="s">
        <v>19</v>
      </c>
      <c r="E2567" t="s">
        <v>147</v>
      </c>
      <c r="F2567" t="s">
        <v>19</v>
      </c>
      <c r="J2567" s="389">
        <v>25311.599999999999</v>
      </c>
    </row>
    <row r="2568" spans="1:10" ht="15">
      <c r="A2568" s="137" t="str">
        <f>D2568&amp;E2568&amp;F2568</f>
        <v>FINANZASNOMINA ADMONHBG FINANZAS</v>
      </c>
      <c r="B2568" t="s">
        <v>2821</v>
      </c>
      <c r="C2568" s="1">
        <v>46010</v>
      </c>
      <c r="D2568" t="s">
        <v>23</v>
      </c>
      <c r="E2568" t="s">
        <v>147</v>
      </c>
      <c r="F2568" s="12" t="s">
        <v>150</v>
      </c>
      <c r="J2568" s="385">
        <v>10950</v>
      </c>
    </row>
    <row r="2569" spans="1:10" ht="15">
      <c r="A2569" s="137" t="str">
        <f>D2569&amp;E2569&amp;F2569</f>
        <v>HRNOMINA ADMONHR</v>
      </c>
      <c r="B2569" t="s">
        <v>2821</v>
      </c>
      <c r="C2569" s="1">
        <v>46010</v>
      </c>
      <c r="D2569" t="s">
        <v>29</v>
      </c>
      <c r="E2569" t="s">
        <v>147</v>
      </c>
      <c r="F2569" s="3" t="s">
        <v>29</v>
      </c>
      <c r="J2569" s="385">
        <v>5500</v>
      </c>
    </row>
    <row r="2570" spans="1:10" ht="15">
      <c r="A2570" s="137" t="str">
        <f>D2570&amp;E2570&amp;F2570</f>
        <v>CAPNOMINA ADMONCAPRICHOS</v>
      </c>
      <c r="B2570" t="s">
        <v>2821</v>
      </c>
      <c r="C2570" s="1">
        <v>46010</v>
      </c>
      <c r="D2570" t="s">
        <v>31</v>
      </c>
      <c r="E2570" t="s">
        <v>147</v>
      </c>
      <c r="F2570" s="12" t="s">
        <v>33</v>
      </c>
      <c r="J2570" s="385">
        <v>3700</v>
      </c>
    </row>
    <row r="2571" spans="1:10" ht="15">
      <c r="A2571" s="137" t="str">
        <f>D2571&amp;E2571&amp;F2571</f>
        <v>SGENOMINA ADMONGESTION EMPRESARIAL</v>
      </c>
      <c r="B2571" t="s">
        <v>2821</v>
      </c>
      <c r="C2571" s="1">
        <v>46010</v>
      </c>
      <c r="D2571" t="s">
        <v>39</v>
      </c>
      <c r="E2571" t="s">
        <v>147</v>
      </c>
      <c r="F2571" s="12" t="s">
        <v>40</v>
      </c>
      <c r="J2571" s="385">
        <v>2750</v>
      </c>
    </row>
    <row r="2572" spans="1:10" ht="15">
      <c r="A2572" s="137" t="str">
        <f>D2572&amp;E2572&amp;F2572</f>
        <v>SERVICIOSNOMINA ADMONSERVICIOS</v>
      </c>
      <c r="B2572" t="s">
        <v>2821</v>
      </c>
      <c r="C2572" s="1">
        <v>46010</v>
      </c>
      <c r="D2572" t="s">
        <v>21</v>
      </c>
      <c r="E2572" t="s">
        <v>147</v>
      </c>
      <c r="F2572" s="12" t="s">
        <v>21</v>
      </c>
      <c r="J2572" s="385">
        <v>4750</v>
      </c>
    </row>
    <row r="2573" spans="1:10" ht="15">
      <c r="A2573" s="137" t="str">
        <f>D2573&amp;E2573&amp;F2573</f>
        <v>DENOMINA ADMONDIRECCION</v>
      </c>
      <c r="B2573" t="s">
        <v>2821</v>
      </c>
      <c r="C2573" s="1">
        <v>46010</v>
      </c>
      <c r="D2573" t="s">
        <v>41</v>
      </c>
      <c r="E2573" t="s">
        <v>147</v>
      </c>
      <c r="F2573" s="12" t="s">
        <v>42</v>
      </c>
      <c r="J2573" s="385">
        <v>5750</v>
      </c>
    </row>
    <row r="2574" spans="1:10" ht="15">
      <c r="A2574" s="137" t="str">
        <f>D2574&amp;E2574&amp;F2574</f>
        <v>MMNOMINA ADMONMARKET MAX</v>
      </c>
      <c r="B2574" t="s">
        <v>2821</v>
      </c>
      <c r="C2574" s="1">
        <v>46010</v>
      </c>
      <c r="D2574" t="s">
        <v>45</v>
      </c>
      <c r="E2574" t="s">
        <v>147</v>
      </c>
      <c r="F2574" t="s">
        <v>46</v>
      </c>
      <c r="J2574" s="385">
        <v>2000</v>
      </c>
    </row>
    <row r="2575" spans="1:10" ht="15">
      <c r="A2575" s="137" t="str">
        <f>D2575&amp;E2575&amp;F2575</f>
        <v>HRVACACIONES/FINIQUITOSHR</v>
      </c>
      <c r="B2575" t="s">
        <v>2821</v>
      </c>
      <c r="C2575" s="1">
        <v>46010</v>
      </c>
      <c r="D2575" t="s">
        <v>29</v>
      </c>
      <c r="E2575" s="12" t="s">
        <v>190</v>
      </c>
      <c r="F2575" t="s">
        <v>29</v>
      </c>
      <c r="H2575" s="487" t="s">
        <v>96</v>
      </c>
      <c r="J2575" s="385">
        <v>985.71</v>
      </c>
    </row>
    <row r="2576" spans="1:10" ht="15">
      <c r="A2576" s="137" t="str">
        <f>D2576&amp;E2576&amp;F2576</f>
        <v>SERVICIOSVACACIONES/FINIQUITOSSERVICIOS</v>
      </c>
      <c r="B2576" t="s">
        <v>2821</v>
      </c>
      <c r="C2576" s="1">
        <v>46010</v>
      </c>
      <c r="D2576" t="s">
        <v>21</v>
      </c>
      <c r="E2576" s="12" t="s">
        <v>190</v>
      </c>
      <c r="F2576" t="s">
        <v>21</v>
      </c>
      <c r="H2576" s="488" t="s">
        <v>4830</v>
      </c>
      <c r="J2576" s="385">
        <v>3142.86</v>
      </c>
    </row>
    <row r="2577" spans="1:10" ht="15">
      <c r="A2577" s="137" t="str">
        <f>D2577&amp;E2577&amp;F2577</f>
        <v>SERVICIOSVACACIONES/FINIQUITOSSERVICIOS</v>
      </c>
      <c r="B2577" t="s">
        <v>2821</v>
      </c>
      <c r="C2577" s="1">
        <v>46010</v>
      </c>
      <c r="D2577" t="s">
        <v>21</v>
      </c>
      <c r="E2577" s="12" t="s">
        <v>190</v>
      </c>
      <c r="F2577" t="s">
        <v>21</v>
      </c>
      <c r="H2577" s="488" t="s">
        <v>4827</v>
      </c>
      <c r="J2577" s="385">
        <v>1017.43</v>
      </c>
    </row>
    <row r="2578" spans="1:10" ht="15">
      <c r="A2578" s="137" t="str">
        <f>D2578&amp;E2578&amp;F2578</f>
        <v>CAPVACACIONES/FINIQUITOSCAPRICHOS</v>
      </c>
      <c r="B2578" s="502" t="s">
        <v>2821</v>
      </c>
      <c r="C2578" s="503">
        <v>46010</v>
      </c>
      <c r="D2578" t="s">
        <v>31</v>
      </c>
      <c r="E2578" t="s">
        <v>190</v>
      </c>
      <c r="F2578" s="12" t="s">
        <v>33</v>
      </c>
      <c r="H2578" s="488" t="s">
        <v>4831</v>
      </c>
      <c r="J2578" s="385">
        <v>3214.29</v>
      </c>
    </row>
    <row r="2579" spans="1:10" ht="15">
      <c r="A2579" s="137" t="str">
        <f t="shared" ref="A2579:A2642" si="31">D2579&amp;E2579&amp;F2579</f>
        <v>HRNOMINA SUCURSALA1</v>
      </c>
      <c r="B2579" t="s">
        <v>2821</v>
      </c>
      <c r="C2579" s="1">
        <v>46017</v>
      </c>
      <c r="D2579" t="s">
        <v>29</v>
      </c>
      <c r="E2579" t="s">
        <v>154</v>
      </c>
      <c r="F2579" t="s">
        <v>88</v>
      </c>
      <c r="J2579" s="389">
        <v>23986.2</v>
      </c>
    </row>
    <row r="2580" spans="1:10" ht="15">
      <c r="A2580" s="137" t="str">
        <f t="shared" si="31"/>
        <v>HRNOMINA SUCURSALA2</v>
      </c>
      <c r="B2580" t="s">
        <v>2821</v>
      </c>
      <c r="C2580" s="1">
        <v>46017</v>
      </c>
      <c r="D2580" t="s">
        <v>29</v>
      </c>
      <c r="E2580" t="s">
        <v>154</v>
      </c>
      <c r="F2580" t="s">
        <v>89</v>
      </c>
      <c r="J2580" s="389">
        <v>43388.4</v>
      </c>
    </row>
    <row r="2581" spans="1:10" ht="15">
      <c r="A2581" s="137" t="str">
        <f t="shared" si="31"/>
        <v>HRNOMINA SUCURSALA3</v>
      </c>
      <c r="B2581" t="s">
        <v>2821</v>
      </c>
      <c r="C2581" s="1">
        <v>46017</v>
      </c>
      <c r="D2581" t="s">
        <v>29</v>
      </c>
      <c r="E2581" t="s">
        <v>154</v>
      </c>
      <c r="F2581" t="s">
        <v>90</v>
      </c>
      <c r="J2581" s="389">
        <v>30939</v>
      </c>
    </row>
    <row r="2582" spans="1:10" ht="15">
      <c r="A2582" s="137" t="str">
        <f t="shared" si="31"/>
        <v>HRNOMINA SUCURSALA4</v>
      </c>
      <c r="B2582" t="s">
        <v>2821</v>
      </c>
      <c r="C2582" s="1">
        <v>46017</v>
      </c>
      <c r="D2582" t="s">
        <v>29</v>
      </c>
      <c r="E2582" t="s">
        <v>154</v>
      </c>
      <c r="F2582" t="s">
        <v>91</v>
      </c>
      <c r="J2582" s="389">
        <v>19830</v>
      </c>
    </row>
    <row r="2583" spans="1:10" ht="15">
      <c r="A2583" s="137" t="str">
        <f t="shared" si="31"/>
        <v>HRNOMINA SUCURSALA5</v>
      </c>
      <c r="B2583" t="s">
        <v>2821</v>
      </c>
      <c r="C2583" s="1">
        <v>46017</v>
      </c>
      <c r="D2583" t="s">
        <v>29</v>
      </c>
      <c r="E2583" t="s">
        <v>154</v>
      </c>
      <c r="F2583" t="s">
        <v>92</v>
      </c>
      <c r="J2583" s="389">
        <v>28795.200000000001</v>
      </c>
    </row>
    <row r="2584" spans="1:10" ht="15">
      <c r="A2584" s="137" t="str">
        <f t="shared" si="31"/>
        <v>HRNOMINA SUCURSALA6</v>
      </c>
      <c r="B2584" t="s">
        <v>2821</v>
      </c>
      <c r="C2584" s="1">
        <v>46017</v>
      </c>
      <c r="D2584" t="s">
        <v>29</v>
      </c>
      <c r="E2584" t="s">
        <v>154</v>
      </c>
      <c r="F2584" t="s">
        <v>93</v>
      </c>
      <c r="J2584" s="389">
        <v>27833.69</v>
      </c>
    </row>
    <row r="2585" spans="1:10" ht="15">
      <c r="A2585" s="137" t="str">
        <f t="shared" si="31"/>
        <v>HRNOMINA SUCURSALA8</v>
      </c>
      <c r="B2585" t="s">
        <v>2821</v>
      </c>
      <c r="C2585" s="1">
        <v>46017</v>
      </c>
      <c r="D2585" t="s">
        <v>29</v>
      </c>
      <c r="E2585" t="s">
        <v>154</v>
      </c>
      <c r="F2585" t="s">
        <v>94</v>
      </c>
      <c r="J2585" s="389">
        <v>49062.6</v>
      </c>
    </row>
    <row r="2586" spans="1:10" ht="15">
      <c r="A2586" s="137" t="str">
        <f t="shared" si="31"/>
        <v>HRNOMINA SUCURSALA9</v>
      </c>
      <c r="B2586" t="s">
        <v>2821</v>
      </c>
      <c r="C2586" s="1">
        <v>46017</v>
      </c>
      <c r="D2586" t="s">
        <v>29</v>
      </c>
      <c r="E2586" t="s">
        <v>154</v>
      </c>
      <c r="F2586" t="s">
        <v>95</v>
      </c>
      <c r="J2586" s="389">
        <v>28948.82</v>
      </c>
    </row>
    <row r="2587" spans="1:10" ht="15">
      <c r="A2587" s="137" t="str">
        <f t="shared" si="31"/>
        <v>HRNOMINA SUCURSALA10</v>
      </c>
      <c r="B2587" t="s">
        <v>2821</v>
      </c>
      <c r="C2587" s="1">
        <v>46017</v>
      </c>
      <c r="D2587" t="s">
        <v>29</v>
      </c>
      <c r="E2587" t="s">
        <v>154</v>
      </c>
      <c r="F2587" t="s">
        <v>96</v>
      </c>
      <c r="J2587" s="389">
        <v>45554</v>
      </c>
    </row>
    <row r="2588" spans="1:10" ht="15">
      <c r="A2588" s="137" t="str">
        <f t="shared" si="31"/>
        <v>HRNOMINA SUCURSALA11</v>
      </c>
      <c r="B2588" t="s">
        <v>2821</v>
      </c>
      <c r="C2588" s="1">
        <v>46017</v>
      </c>
      <c r="D2588" t="s">
        <v>29</v>
      </c>
      <c r="E2588" t="s">
        <v>154</v>
      </c>
      <c r="F2588" t="s">
        <v>97</v>
      </c>
      <c r="J2588" s="389">
        <v>26903.8</v>
      </c>
    </row>
    <row r="2589" spans="1:10" ht="15">
      <c r="A2589" s="137" t="str">
        <f t="shared" si="31"/>
        <v>HRNOMINA SUCURSALA12</v>
      </c>
      <c r="B2589" t="s">
        <v>2821</v>
      </c>
      <c r="C2589" s="1">
        <v>46017</v>
      </c>
      <c r="D2589" t="s">
        <v>29</v>
      </c>
      <c r="E2589" t="s">
        <v>154</v>
      </c>
      <c r="F2589" t="s">
        <v>98</v>
      </c>
      <c r="J2589" s="389">
        <v>57354.400000000001</v>
      </c>
    </row>
    <row r="2590" spans="1:10" ht="15">
      <c r="A2590" s="137" t="str">
        <f t="shared" si="31"/>
        <v>HRNOMINA SUCURSALA14</v>
      </c>
      <c r="B2590" t="s">
        <v>2821</v>
      </c>
      <c r="C2590" s="1">
        <v>46017</v>
      </c>
      <c r="D2590" t="s">
        <v>29</v>
      </c>
      <c r="E2590" t="s">
        <v>154</v>
      </c>
      <c r="F2590" t="s">
        <v>99</v>
      </c>
      <c r="J2590" s="389">
        <v>33402.800000000003</v>
      </c>
    </row>
    <row r="2591" spans="1:10" ht="15">
      <c r="A2591" s="137" t="str">
        <f t="shared" si="31"/>
        <v>HRNOMINA SUCURSALA15</v>
      </c>
      <c r="B2591" t="s">
        <v>2821</v>
      </c>
      <c r="C2591" s="1">
        <v>46017</v>
      </c>
      <c r="D2591" t="s">
        <v>29</v>
      </c>
      <c r="E2591" t="s">
        <v>154</v>
      </c>
      <c r="F2591" t="s">
        <v>100</v>
      </c>
      <c r="J2591" s="389">
        <v>18937.400000000001</v>
      </c>
    </row>
    <row r="2592" spans="1:10" ht="15">
      <c r="A2592" s="137" t="str">
        <f t="shared" si="31"/>
        <v>HRNOMINA SUCURSALA16</v>
      </c>
      <c r="B2592" t="s">
        <v>2821</v>
      </c>
      <c r="C2592" s="1">
        <v>46017</v>
      </c>
      <c r="D2592" t="s">
        <v>29</v>
      </c>
      <c r="E2592" t="s">
        <v>154</v>
      </c>
      <c r="F2592" t="s">
        <v>101</v>
      </c>
      <c r="J2592" s="389">
        <v>31826.09</v>
      </c>
    </row>
    <row r="2593" spans="1:10" ht="15">
      <c r="A2593" s="137" t="str">
        <f t="shared" si="31"/>
        <v>HRNOMINA SUCURSALA17</v>
      </c>
      <c r="B2593" t="s">
        <v>2821</v>
      </c>
      <c r="C2593" s="1">
        <v>46017</v>
      </c>
      <c r="D2593" t="s">
        <v>29</v>
      </c>
      <c r="E2593" t="s">
        <v>154</v>
      </c>
      <c r="F2593" t="s">
        <v>102</v>
      </c>
      <c r="J2593" s="389">
        <v>26925.599999999999</v>
      </c>
    </row>
    <row r="2594" spans="1:10" ht="15">
      <c r="A2594" s="137" t="str">
        <f t="shared" si="31"/>
        <v>HRNOMINA SUCURSALA18</v>
      </c>
      <c r="B2594" t="s">
        <v>2821</v>
      </c>
      <c r="C2594" s="1">
        <v>46017</v>
      </c>
      <c r="D2594" t="s">
        <v>29</v>
      </c>
      <c r="E2594" t="s">
        <v>154</v>
      </c>
      <c r="F2594" t="s">
        <v>103</v>
      </c>
      <c r="J2594" s="389">
        <v>39217.800000000003</v>
      </c>
    </row>
    <row r="2595" spans="1:10" ht="15">
      <c r="A2595" s="137" t="str">
        <f t="shared" si="31"/>
        <v>HRNOMINA SUCURSALA22</v>
      </c>
      <c r="B2595" t="s">
        <v>2821</v>
      </c>
      <c r="C2595" s="1">
        <v>46017</v>
      </c>
      <c r="D2595" t="s">
        <v>29</v>
      </c>
      <c r="E2595" t="s">
        <v>154</v>
      </c>
      <c r="F2595" t="s">
        <v>104</v>
      </c>
      <c r="J2595" s="389">
        <v>36709</v>
      </c>
    </row>
    <row r="2596" spans="1:10" ht="15">
      <c r="A2596" s="137" t="str">
        <f t="shared" si="31"/>
        <v>HRNOMINA SUCURSALA23</v>
      </c>
      <c r="B2596" t="s">
        <v>2821</v>
      </c>
      <c r="C2596" s="1">
        <v>46017</v>
      </c>
      <c r="D2596" t="s">
        <v>29</v>
      </c>
      <c r="E2596" t="s">
        <v>154</v>
      </c>
      <c r="F2596" t="s">
        <v>105</v>
      </c>
      <c r="J2596" s="389">
        <v>26102.2</v>
      </c>
    </row>
    <row r="2597" spans="1:10" ht="15">
      <c r="A2597" s="137" t="str">
        <f t="shared" si="31"/>
        <v>HRNOMINA SUCURSALA24</v>
      </c>
      <c r="B2597" t="s">
        <v>2821</v>
      </c>
      <c r="C2597" s="1">
        <v>46017</v>
      </c>
      <c r="D2597" t="s">
        <v>29</v>
      </c>
      <c r="E2597" t="s">
        <v>154</v>
      </c>
      <c r="F2597" t="s">
        <v>106</v>
      </c>
      <c r="J2597" s="389">
        <v>49790.8</v>
      </c>
    </row>
    <row r="2598" spans="1:10" ht="15">
      <c r="A2598" s="137" t="str">
        <f t="shared" si="31"/>
        <v>CAPNOMINA SUCURSALE1</v>
      </c>
      <c r="B2598" t="s">
        <v>2821</v>
      </c>
      <c r="C2598" s="1">
        <v>46017</v>
      </c>
      <c r="D2598" t="s">
        <v>31</v>
      </c>
      <c r="E2598" t="s">
        <v>154</v>
      </c>
      <c r="F2598" t="s">
        <v>107</v>
      </c>
      <c r="J2598" s="389">
        <v>19145.88</v>
      </c>
    </row>
    <row r="2599" spans="1:10" ht="15">
      <c r="A2599" s="137" t="str">
        <f t="shared" si="31"/>
        <v>CAPNOMINA SUCURSALE2</v>
      </c>
      <c r="B2599" t="s">
        <v>2821</v>
      </c>
      <c r="C2599" s="1">
        <v>46017</v>
      </c>
      <c r="D2599" t="s">
        <v>31</v>
      </c>
      <c r="E2599" t="s">
        <v>154</v>
      </c>
      <c r="F2599" t="s">
        <v>108</v>
      </c>
      <c r="J2599" s="389">
        <v>43148.4</v>
      </c>
    </row>
    <row r="2600" spans="1:10" ht="15">
      <c r="A2600" s="137" t="str">
        <f t="shared" si="31"/>
        <v>CAPNOMINA SUCURSALE3</v>
      </c>
      <c r="B2600" t="s">
        <v>2821</v>
      </c>
      <c r="C2600" s="1">
        <v>46017</v>
      </c>
      <c r="D2600" t="s">
        <v>31</v>
      </c>
      <c r="E2600" t="s">
        <v>154</v>
      </c>
      <c r="F2600" t="s">
        <v>109</v>
      </c>
      <c r="J2600" s="389">
        <v>26862.400000000001</v>
      </c>
    </row>
    <row r="2601" spans="1:10" ht="15">
      <c r="A2601" s="137" t="str">
        <f t="shared" si="31"/>
        <v>CAPNOMINA SUCURSALE4</v>
      </c>
      <c r="B2601" t="s">
        <v>2821</v>
      </c>
      <c r="C2601" s="1">
        <v>46017</v>
      </c>
      <c r="D2601" t="s">
        <v>31</v>
      </c>
      <c r="E2601" t="s">
        <v>154</v>
      </c>
      <c r="F2601" t="s">
        <v>110</v>
      </c>
      <c r="J2601" s="389">
        <v>38813.599999999999</v>
      </c>
    </row>
    <row r="2602" spans="1:10" ht="15">
      <c r="A2602" s="137" t="str">
        <f t="shared" si="31"/>
        <v>CAPNOMINA SUCURSALE5</v>
      </c>
      <c r="B2602" t="s">
        <v>2821</v>
      </c>
      <c r="C2602" s="1">
        <v>46017</v>
      </c>
      <c r="D2602" t="s">
        <v>31</v>
      </c>
      <c r="E2602" t="s">
        <v>154</v>
      </c>
      <c r="F2602" t="s">
        <v>111</v>
      </c>
      <c r="J2602" s="389">
        <v>40319</v>
      </c>
    </row>
    <row r="2603" spans="1:10" ht="15">
      <c r="A2603" s="137" t="str">
        <f t="shared" si="31"/>
        <v>CAPNOMINA SUCURSALE6</v>
      </c>
      <c r="B2603" t="s">
        <v>2821</v>
      </c>
      <c r="C2603" s="1">
        <v>46017</v>
      </c>
      <c r="D2603" t="s">
        <v>31</v>
      </c>
      <c r="E2603" t="s">
        <v>154</v>
      </c>
      <c r="F2603" t="s">
        <v>112</v>
      </c>
      <c r="J2603" s="389">
        <v>20838.400000000001</v>
      </c>
    </row>
    <row r="2604" spans="1:10" ht="15">
      <c r="A2604" s="137" t="str">
        <f t="shared" si="31"/>
        <v>CAPNOMINA SUCURSALE7</v>
      </c>
      <c r="B2604" t="s">
        <v>2821</v>
      </c>
      <c r="C2604" s="1">
        <v>46017</v>
      </c>
      <c r="D2604" t="s">
        <v>31</v>
      </c>
      <c r="E2604" t="s">
        <v>154</v>
      </c>
      <c r="F2604" t="s">
        <v>113</v>
      </c>
      <c r="J2604" s="389">
        <v>19510.599999999999</v>
      </c>
    </row>
    <row r="2605" spans="1:10" ht="15">
      <c r="A2605" s="137" t="str">
        <f t="shared" si="31"/>
        <v>CAPNOMINA SUCURSALE8</v>
      </c>
      <c r="B2605" t="s">
        <v>2821</v>
      </c>
      <c r="C2605" s="1">
        <v>46017</v>
      </c>
      <c r="D2605" t="s">
        <v>31</v>
      </c>
      <c r="E2605" t="s">
        <v>154</v>
      </c>
      <c r="F2605" t="s">
        <v>114</v>
      </c>
      <c r="J2605" s="389">
        <v>40747.599999999999</v>
      </c>
    </row>
    <row r="2606" spans="1:10" ht="15">
      <c r="A2606" s="137" t="str">
        <f t="shared" si="31"/>
        <v>CAPNOMINA SUCURSALE9</v>
      </c>
      <c r="B2606" t="s">
        <v>2821</v>
      </c>
      <c r="C2606" s="1">
        <v>46017</v>
      </c>
      <c r="D2606" t="s">
        <v>31</v>
      </c>
      <c r="E2606" t="s">
        <v>154</v>
      </c>
      <c r="F2606" t="s">
        <v>116</v>
      </c>
      <c r="J2606" s="389">
        <v>31566.2</v>
      </c>
    </row>
    <row r="2607" spans="1:10" ht="15">
      <c r="A2607" s="137" t="str">
        <f t="shared" si="31"/>
        <v>CAPNOMINA SUCURSALE11</v>
      </c>
      <c r="B2607" t="s">
        <v>2821</v>
      </c>
      <c r="C2607" s="1">
        <v>46017</v>
      </c>
      <c r="D2607" t="s">
        <v>31</v>
      </c>
      <c r="E2607" t="s">
        <v>154</v>
      </c>
      <c r="F2607" t="s">
        <v>118</v>
      </c>
      <c r="J2607" s="389">
        <v>36647</v>
      </c>
    </row>
    <row r="2608" spans="1:10" ht="15">
      <c r="A2608" s="137" t="str">
        <f t="shared" si="31"/>
        <v>ELINOMINA SUCURSALL1</v>
      </c>
      <c r="B2608" t="s">
        <v>2821</v>
      </c>
      <c r="C2608" s="1">
        <v>46017</v>
      </c>
      <c r="D2608" t="s">
        <v>130</v>
      </c>
      <c r="E2608" t="s">
        <v>154</v>
      </c>
      <c r="F2608" t="s">
        <v>136</v>
      </c>
      <c r="J2608" s="389">
        <v>15319.6</v>
      </c>
    </row>
    <row r="2609" spans="1:10" ht="15">
      <c r="A2609" s="137" t="str">
        <f t="shared" si="31"/>
        <v>HRNOMINA ADMONHR</v>
      </c>
      <c r="B2609" t="s">
        <v>2821</v>
      </c>
      <c r="C2609" s="1">
        <v>46017</v>
      </c>
      <c r="D2609" t="s">
        <v>29</v>
      </c>
      <c r="E2609" t="s">
        <v>147</v>
      </c>
      <c r="F2609" t="s">
        <v>29</v>
      </c>
      <c r="J2609" s="389">
        <v>37302.400000000001</v>
      </c>
    </row>
    <row r="2610" spans="1:10" ht="15">
      <c r="A2610" s="137" t="str">
        <f t="shared" si="31"/>
        <v>CAPNOMINA ADMONCAPRICHOS</v>
      </c>
      <c r="B2610" t="s">
        <v>2821</v>
      </c>
      <c r="C2610" s="1">
        <v>46017</v>
      </c>
      <c r="D2610" t="s">
        <v>31</v>
      </c>
      <c r="E2610" t="s">
        <v>147</v>
      </c>
      <c r="F2610" t="s">
        <v>33</v>
      </c>
      <c r="J2610" s="389">
        <v>34291.699999999997</v>
      </c>
    </row>
    <row r="2611" spans="1:10" ht="15">
      <c r="A2611" s="137" t="str">
        <f t="shared" si="31"/>
        <v>SERVICIOSNOMINA SUCURSALCEDIS</v>
      </c>
      <c r="B2611" t="s">
        <v>2821</v>
      </c>
      <c r="C2611" s="1">
        <v>46017</v>
      </c>
      <c r="D2611" t="s">
        <v>21</v>
      </c>
      <c r="E2611" t="s">
        <v>154</v>
      </c>
      <c r="F2611" t="s">
        <v>28</v>
      </c>
      <c r="J2611" s="389">
        <v>97298.13</v>
      </c>
    </row>
    <row r="2612" spans="1:10" ht="15">
      <c r="A2612" s="137" t="str">
        <f t="shared" si="31"/>
        <v>SERVICIOSNOMINA ADMONINVENTARIOS</v>
      </c>
      <c r="B2612" t="s">
        <v>2821</v>
      </c>
      <c r="C2612" s="1">
        <v>46017</v>
      </c>
      <c r="D2612" t="s">
        <v>21</v>
      </c>
      <c r="E2612" t="s">
        <v>147</v>
      </c>
      <c r="F2612" t="s">
        <v>34</v>
      </c>
      <c r="J2612" s="389">
        <v>2576.6</v>
      </c>
    </row>
    <row r="2613" spans="1:10" ht="15">
      <c r="A2613" s="137" t="str">
        <f t="shared" si="31"/>
        <v>SERVICIOSNOMINA ADMONMANTENIMIENTO</v>
      </c>
      <c r="B2613" t="s">
        <v>2821</v>
      </c>
      <c r="C2613" s="1">
        <v>46017</v>
      </c>
      <c r="D2613" t="s">
        <v>21</v>
      </c>
      <c r="E2613" t="s">
        <v>147</v>
      </c>
      <c r="F2613" t="s">
        <v>35</v>
      </c>
      <c r="J2613" s="389">
        <v>22005.42</v>
      </c>
    </row>
    <row r="2614" spans="1:10" ht="15">
      <c r="A2614" s="137" t="str">
        <f t="shared" si="31"/>
        <v>SERVICIOSNOMINA ADMONCADENA DE SUMINISTROS</v>
      </c>
      <c r="B2614" t="s">
        <v>2821</v>
      </c>
      <c r="C2614" s="1">
        <v>46017</v>
      </c>
      <c r="D2614" t="s">
        <v>21</v>
      </c>
      <c r="E2614" t="s">
        <v>147</v>
      </c>
      <c r="F2614" t="s">
        <v>134</v>
      </c>
      <c r="J2614" s="389">
        <v>25396.6</v>
      </c>
    </row>
    <row r="2615" spans="1:10" ht="15">
      <c r="A2615" s="137" t="str">
        <f t="shared" si="31"/>
        <v>SERVICIOSNOMINA ADMONSISTEMAS</v>
      </c>
      <c r="B2615" t="s">
        <v>2821</v>
      </c>
      <c r="C2615" s="1">
        <v>46017</v>
      </c>
      <c r="D2615" t="s">
        <v>21</v>
      </c>
      <c r="E2615" t="s">
        <v>147</v>
      </c>
      <c r="F2615" t="s">
        <v>36</v>
      </c>
      <c r="J2615" s="389">
        <v>19693.490000000002</v>
      </c>
    </row>
    <row r="2616" spans="1:10" ht="15">
      <c r="A2616" s="137" t="str">
        <f t="shared" si="31"/>
        <v>SERVICIOSNOMINA ADMONCOMPRAS</v>
      </c>
      <c r="B2616" t="s">
        <v>2821</v>
      </c>
      <c r="C2616" s="1">
        <v>46017</v>
      </c>
      <c r="D2616" t="s">
        <v>21</v>
      </c>
      <c r="E2616" t="s">
        <v>147</v>
      </c>
      <c r="F2616" t="s">
        <v>148</v>
      </c>
      <c r="J2616" s="389">
        <v>24496.41</v>
      </c>
    </row>
    <row r="2617" spans="1:10" ht="15">
      <c r="A2617" s="137" t="str">
        <f t="shared" si="31"/>
        <v>FINANZASNOMINA ADMONCONTABILIDAD</v>
      </c>
      <c r="B2617" t="s">
        <v>2821</v>
      </c>
      <c r="C2617" s="1">
        <v>46017</v>
      </c>
      <c r="D2617" t="s">
        <v>23</v>
      </c>
      <c r="E2617" t="s">
        <v>147</v>
      </c>
      <c r="F2617" t="s">
        <v>37</v>
      </c>
      <c r="J2617" s="389">
        <v>21499.47</v>
      </c>
    </row>
    <row r="2618" spans="1:10" ht="15">
      <c r="A2618" s="137" t="str">
        <f t="shared" si="31"/>
        <v>FINANZASNOMINA ADMONFINANZAS/LEGAL</v>
      </c>
      <c r="B2618" t="s">
        <v>2821</v>
      </c>
      <c r="C2618" s="1">
        <v>46017</v>
      </c>
      <c r="D2618" t="s">
        <v>23</v>
      </c>
      <c r="E2618" t="s">
        <v>147</v>
      </c>
      <c r="F2618" t="s">
        <v>149</v>
      </c>
      <c r="J2618" s="389">
        <v>9635.2000000000007</v>
      </c>
    </row>
    <row r="2619" spans="1:10" ht="15">
      <c r="A2619" s="137" t="str">
        <f t="shared" si="31"/>
        <v>FINANZASNOMINA ADMONRECURSOS HUMANOS</v>
      </c>
      <c r="B2619" t="s">
        <v>2821</v>
      </c>
      <c r="C2619" s="1">
        <v>46017</v>
      </c>
      <c r="D2619" t="s">
        <v>23</v>
      </c>
      <c r="E2619" t="s">
        <v>147</v>
      </c>
      <c r="F2619" t="s">
        <v>125</v>
      </c>
      <c r="J2619" s="389">
        <v>12757.03</v>
      </c>
    </row>
    <row r="2620" spans="1:10" ht="15">
      <c r="A2620" s="137" t="str">
        <f t="shared" si="31"/>
        <v>FINANZASNOMINA ADMONTESORERIA</v>
      </c>
      <c r="B2620" t="s">
        <v>2821</v>
      </c>
      <c r="C2620" s="1">
        <v>46017</v>
      </c>
      <c r="D2620" t="s">
        <v>23</v>
      </c>
      <c r="E2620" t="s">
        <v>147</v>
      </c>
      <c r="F2620" t="s">
        <v>38</v>
      </c>
      <c r="J2620" s="389">
        <v>14174.2</v>
      </c>
    </row>
    <row r="2621" spans="1:10" ht="15">
      <c r="A2621" s="137" t="str">
        <f t="shared" si="31"/>
        <v>FINANZASNOMINA ADMONHBG FINANZAS</v>
      </c>
      <c r="B2621" t="s">
        <v>2821</v>
      </c>
      <c r="C2621" s="1">
        <v>46017</v>
      </c>
      <c r="D2621" t="s">
        <v>23</v>
      </c>
      <c r="E2621" t="s">
        <v>147</v>
      </c>
      <c r="F2621" t="s">
        <v>150</v>
      </c>
      <c r="J2621" s="389">
        <v>3057</v>
      </c>
    </row>
    <row r="2622" spans="1:10" ht="15">
      <c r="A2622" s="137" t="str">
        <f t="shared" si="31"/>
        <v>SGENOMINA ADMONGESTION EMPRESARIAL</v>
      </c>
      <c r="B2622" t="s">
        <v>2821</v>
      </c>
      <c r="C2622" s="1">
        <v>46017</v>
      </c>
      <c r="D2622" t="s">
        <v>39</v>
      </c>
      <c r="E2622" t="s">
        <v>147</v>
      </c>
      <c r="F2622" t="s">
        <v>40</v>
      </c>
      <c r="J2622" s="389">
        <v>23950.6</v>
      </c>
    </row>
    <row r="2623" spans="1:10" ht="15">
      <c r="A2623" s="137" t="str">
        <f t="shared" si="31"/>
        <v>DENOMINA ADMONDIRECCION</v>
      </c>
      <c r="B2623" t="s">
        <v>2821</v>
      </c>
      <c r="C2623" s="1">
        <v>46017</v>
      </c>
      <c r="D2623" t="s">
        <v>41</v>
      </c>
      <c r="E2623" t="s">
        <v>147</v>
      </c>
      <c r="F2623" t="s">
        <v>42</v>
      </c>
      <c r="J2623" s="389">
        <v>12901.2</v>
      </c>
    </row>
    <row r="2624" spans="1:10" ht="15">
      <c r="A2624" s="137" t="str">
        <f t="shared" si="31"/>
        <v>MELNOMINA ADMONMELISSA</v>
      </c>
      <c r="B2624" t="s">
        <v>2821</v>
      </c>
      <c r="C2624" s="1">
        <v>46017</v>
      </c>
      <c r="D2624" t="s">
        <v>43</v>
      </c>
      <c r="E2624" t="s">
        <v>147</v>
      </c>
      <c r="F2624" t="s">
        <v>44</v>
      </c>
      <c r="J2624" s="389">
        <v>5500.4</v>
      </c>
    </row>
    <row r="2625" spans="1:10" ht="15">
      <c r="A2625" s="137" t="str">
        <f t="shared" si="31"/>
        <v>MMNOMINA ADMONMARKET MAX</v>
      </c>
      <c r="B2625" t="s">
        <v>2821</v>
      </c>
      <c r="C2625" s="1">
        <v>46017</v>
      </c>
      <c r="D2625" t="s">
        <v>45</v>
      </c>
      <c r="E2625" t="s">
        <v>147</v>
      </c>
      <c r="F2625" t="s">
        <v>46</v>
      </c>
      <c r="J2625" s="389">
        <v>15241.14</v>
      </c>
    </row>
    <row r="2626" spans="1:10" ht="15">
      <c r="A2626" s="137" t="str">
        <f t="shared" si="31"/>
        <v>ANALISISNOMINA ADMONANALISIS DE DATOS</v>
      </c>
      <c r="B2626" t="s">
        <v>2821</v>
      </c>
      <c r="C2626" s="1">
        <v>46017</v>
      </c>
      <c r="D2626" t="s">
        <v>152</v>
      </c>
      <c r="E2626" t="s">
        <v>147</v>
      </c>
      <c r="F2626" t="s">
        <v>153</v>
      </c>
      <c r="J2626" s="389">
        <v>5980</v>
      </c>
    </row>
    <row r="2627" spans="1:10" ht="15">
      <c r="A2627" s="137" t="str">
        <f t="shared" si="31"/>
        <v>MKTNOMINA ADMONMKT</v>
      </c>
      <c r="B2627" t="s">
        <v>2821</v>
      </c>
      <c r="C2627" s="1">
        <v>46017</v>
      </c>
      <c r="D2627" t="s">
        <v>19</v>
      </c>
      <c r="E2627" t="s">
        <v>147</v>
      </c>
      <c r="F2627" t="s">
        <v>19</v>
      </c>
      <c r="J2627" s="389">
        <v>25591.599999999999</v>
      </c>
    </row>
    <row r="2628" spans="1:10" ht="15">
      <c r="A2628" s="137" t="str">
        <f t="shared" si="31"/>
        <v>FINANZASNOMINA ADMONHBG FINANZAS</v>
      </c>
      <c r="B2628" t="s">
        <v>2821</v>
      </c>
      <c r="C2628" s="1">
        <v>46017</v>
      </c>
      <c r="D2628" t="s">
        <v>23</v>
      </c>
      <c r="E2628" t="s">
        <v>147</v>
      </c>
      <c r="F2628" s="12" t="s">
        <v>150</v>
      </c>
      <c r="J2628" s="385">
        <v>10950</v>
      </c>
    </row>
    <row r="2629" spans="1:10" ht="15">
      <c r="A2629" s="137" t="str">
        <f t="shared" si="31"/>
        <v>HRNOMINA ADMONHR</v>
      </c>
      <c r="B2629" t="s">
        <v>2821</v>
      </c>
      <c r="C2629" s="1">
        <v>46017</v>
      </c>
      <c r="D2629" t="s">
        <v>29</v>
      </c>
      <c r="E2629" t="s">
        <v>147</v>
      </c>
      <c r="F2629" s="3" t="s">
        <v>29</v>
      </c>
      <c r="J2629" s="385">
        <v>5500</v>
      </c>
    </row>
    <row r="2630" spans="1:10" ht="15">
      <c r="A2630" s="137" t="str">
        <f t="shared" si="31"/>
        <v>CAPNOMINA ADMONCAPRICHOS</v>
      </c>
      <c r="B2630" t="s">
        <v>2821</v>
      </c>
      <c r="C2630" s="1">
        <v>46017</v>
      </c>
      <c r="D2630" t="s">
        <v>31</v>
      </c>
      <c r="E2630" t="s">
        <v>147</v>
      </c>
      <c r="F2630" s="12" t="s">
        <v>33</v>
      </c>
      <c r="J2630" s="385">
        <v>3700</v>
      </c>
    </row>
    <row r="2631" spans="1:10" ht="15">
      <c r="A2631" s="137" t="str">
        <f t="shared" si="31"/>
        <v>SGENOMINA ADMONGESTION EMPRESARIAL</v>
      </c>
      <c r="B2631" t="s">
        <v>2821</v>
      </c>
      <c r="C2631" s="1">
        <v>46017</v>
      </c>
      <c r="D2631" t="s">
        <v>39</v>
      </c>
      <c r="E2631" t="s">
        <v>147</v>
      </c>
      <c r="F2631" s="12" t="s">
        <v>40</v>
      </c>
      <c r="J2631" s="385">
        <v>2750</v>
      </c>
    </row>
    <row r="2632" spans="1:10" ht="15">
      <c r="A2632" s="137" t="str">
        <f t="shared" si="31"/>
        <v>SERVICIOSNOMINA ADMONSERVICIOS</v>
      </c>
      <c r="B2632" t="s">
        <v>2821</v>
      </c>
      <c r="C2632" s="1">
        <v>46017</v>
      </c>
      <c r="D2632" t="s">
        <v>21</v>
      </c>
      <c r="E2632" t="s">
        <v>147</v>
      </c>
      <c r="F2632" s="12" t="s">
        <v>21</v>
      </c>
      <c r="J2632" s="385">
        <v>4750</v>
      </c>
    </row>
    <row r="2633" spans="1:10" ht="15">
      <c r="A2633" s="137" t="str">
        <f t="shared" si="31"/>
        <v>DENOMINA ADMONDIRECCION</v>
      </c>
      <c r="B2633" t="s">
        <v>2821</v>
      </c>
      <c r="C2633" s="1">
        <v>46017</v>
      </c>
      <c r="D2633" t="s">
        <v>41</v>
      </c>
      <c r="E2633" t="s">
        <v>147</v>
      </c>
      <c r="F2633" s="12" t="s">
        <v>42</v>
      </c>
      <c r="J2633" s="385">
        <v>5750</v>
      </c>
    </row>
    <row r="2634" spans="1:10" ht="15">
      <c r="A2634" s="137" t="str">
        <f t="shared" si="31"/>
        <v>MMNOMINA ADMONMARKET MAX</v>
      </c>
      <c r="B2634" t="s">
        <v>2821</v>
      </c>
      <c r="C2634" s="1">
        <v>46017</v>
      </c>
      <c r="D2634" t="s">
        <v>45</v>
      </c>
      <c r="E2634" t="s">
        <v>147</v>
      </c>
      <c r="F2634" t="s">
        <v>46</v>
      </c>
      <c r="J2634" s="385">
        <v>2000</v>
      </c>
    </row>
    <row r="2635" spans="1:10" ht="15">
      <c r="A2635" s="137" t="str">
        <f t="shared" si="31"/>
        <v>HRNOMINA SUCURSALA1</v>
      </c>
      <c r="B2635" t="s">
        <v>2821</v>
      </c>
      <c r="C2635" s="1">
        <v>46024</v>
      </c>
      <c r="D2635" t="s">
        <v>29</v>
      </c>
      <c r="E2635" t="s">
        <v>154</v>
      </c>
      <c r="F2635" t="s">
        <v>88</v>
      </c>
      <c r="I2635" s="385"/>
      <c r="J2635" s="389">
        <v>15087.6</v>
      </c>
    </row>
    <row r="2636" spans="1:10" ht="15">
      <c r="A2636" s="137" t="str">
        <f t="shared" si="31"/>
        <v>HRNOMINA SUCURSALA2</v>
      </c>
      <c r="B2636" t="s">
        <v>2821</v>
      </c>
      <c r="C2636" s="1">
        <v>46024</v>
      </c>
      <c r="D2636" t="s">
        <v>29</v>
      </c>
      <c r="E2636" t="s">
        <v>154</v>
      </c>
      <c r="F2636" t="s">
        <v>89</v>
      </c>
      <c r="I2636" s="385"/>
      <c r="J2636" s="389">
        <v>24384</v>
      </c>
    </row>
    <row r="2637" spans="1:10" ht="15">
      <c r="A2637" s="137" t="str">
        <f t="shared" si="31"/>
        <v>HRNOMINA SUCURSALA3</v>
      </c>
      <c r="B2637" t="s">
        <v>2821</v>
      </c>
      <c r="C2637" s="1">
        <v>46024</v>
      </c>
      <c r="D2637" t="s">
        <v>29</v>
      </c>
      <c r="E2637" t="s">
        <v>154</v>
      </c>
      <c r="F2637" t="s">
        <v>90</v>
      </c>
      <c r="I2637" s="505"/>
      <c r="J2637" s="389">
        <v>14490.6</v>
      </c>
    </row>
    <row r="2638" spans="1:10" ht="15">
      <c r="A2638" s="137" t="str">
        <f t="shared" si="31"/>
        <v>HRNOMINA SUCURSALA4</v>
      </c>
      <c r="B2638" t="s">
        <v>2821</v>
      </c>
      <c r="C2638" s="1">
        <v>46024</v>
      </c>
      <c r="D2638" t="s">
        <v>29</v>
      </c>
      <c r="E2638" t="s">
        <v>154</v>
      </c>
      <c r="F2638" t="s">
        <v>91</v>
      </c>
      <c r="I2638" s="505"/>
      <c r="J2638" s="389">
        <v>12337.6</v>
      </c>
    </row>
    <row r="2639" spans="1:10" ht="15">
      <c r="A2639" s="137" t="str">
        <f t="shared" si="31"/>
        <v>HRNOMINA SUCURSALA5</v>
      </c>
      <c r="B2639" t="s">
        <v>2821</v>
      </c>
      <c r="C2639" s="1">
        <v>46024</v>
      </c>
      <c r="D2639" t="s">
        <v>29</v>
      </c>
      <c r="E2639" t="s">
        <v>154</v>
      </c>
      <c r="F2639" t="s">
        <v>92</v>
      </c>
      <c r="I2639" s="505"/>
      <c r="J2639" s="389">
        <v>17645.599999999999</v>
      </c>
    </row>
    <row r="2640" spans="1:10" ht="15">
      <c r="A2640" s="137" t="str">
        <f t="shared" si="31"/>
        <v>HRNOMINA SUCURSALA6</v>
      </c>
      <c r="B2640" t="s">
        <v>2821</v>
      </c>
      <c r="C2640" s="1">
        <v>46024</v>
      </c>
      <c r="D2640" t="s">
        <v>29</v>
      </c>
      <c r="E2640" t="s">
        <v>154</v>
      </c>
      <c r="F2640" t="s">
        <v>93</v>
      </c>
      <c r="I2640" s="505"/>
      <c r="J2640" s="389">
        <v>14587.49</v>
      </c>
    </row>
    <row r="2641" spans="1:10" ht="15">
      <c r="A2641" s="137" t="str">
        <f t="shared" si="31"/>
        <v>HRNOMINA SUCURSALA8</v>
      </c>
      <c r="B2641" t="s">
        <v>2821</v>
      </c>
      <c r="C2641" s="1">
        <v>46024</v>
      </c>
      <c r="D2641" t="s">
        <v>29</v>
      </c>
      <c r="E2641" t="s">
        <v>154</v>
      </c>
      <c r="F2641" t="s">
        <v>94</v>
      </c>
      <c r="I2641" s="505"/>
      <c r="J2641" s="389">
        <v>31515</v>
      </c>
    </row>
    <row r="2642" spans="1:10" ht="15">
      <c r="A2642" s="137" t="str">
        <f t="shared" si="31"/>
        <v>HRNOMINA SUCURSALA9</v>
      </c>
      <c r="B2642" t="s">
        <v>2821</v>
      </c>
      <c r="C2642" s="1">
        <v>46024</v>
      </c>
      <c r="D2642" t="s">
        <v>29</v>
      </c>
      <c r="E2642" t="s">
        <v>154</v>
      </c>
      <c r="F2642" t="s">
        <v>95</v>
      </c>
      <c r="I2642" s="505"/>
      <c r="J2642" s="389">
        <v>18525.02</v>
      </c>
    </row>
    <row r="2643" spans="1:10" ht="15">
      <c r="A2643" s="137" t="str">
        <f t="shared" ref="A2643:A2694" si="32">D2643&amp;E2643&amp;F2643</f>
        <v>HRNOMINA SUCURSALA10</v>
      </c>
      <c r="B2643" t="s">
        <v>2821</v>
      </c>
      <c r="C2643" s="1">
        <v>46024</v>
      </c>
      <c r="D2643" t="s">
        <v>29</v>
      </c>
      <c r="E2643" t="s">
        <v>154</v>
      </c>
      <c r="F2643" t="s">
        <v>96</v>
      </c>
      <c r="I2643" s="505"/>
      <c r="J2643" s="389">
        <v>26865.8</v>
      </c>
    </row>
    <row r="2644" spans="1:10" ht="15">
      <c r="A2644" s="137" t="str">
        <f t="shared" si="32"/>
        <v>HRNOMINA SUCURSALA11</v>
      </c>
      <c r="B2644" t="s">
        <v>2821</v>
      </c>
      <c r="C2644" s="1">
        <v>46024</v>
      </c>
      <c r="D2644" t="s">
        <v>29</v>
      </c>
      <c r="E2644" t="s">
        <v>154</v>
      </c>
      <c r="F2644" t="s">
        <v>97</v>
      </c>
      <c r="I2644" s="505"/>
      <c r="J2644" s="389">
        <v>14926.8</v>
      </c>
    </row>
    <row r="2645" spans="1:10" ht="15">
      <c r="A2645" s="137" t="str">
        <f t="shared" si="32"/>
        <v>HRNOMINA SUCURSALA12</v>
      </c>
      <c r="B2645" t="s">
        <v>2821</v>
      </c>
      <c r="C2645" s="1">
        <v>46024</v>
      </c>
      <c r="D2645" t="s">
        <v>29</v>
      </c>
      <c r="E2645" t="s">
        <v>154</v>
      </c>
      <c r="F2645" t="s">
        <v>98</v>
      </c>
      <c r="I2645" s="505"/>
      <c r="J2645" s="389">
        <v>28785.599999999999</v>
      </c>
    </row>
    <row r="2646" spans="1:10" ht="15">
      <c r="A2646" s="137" t="str">
        <f t="shared" si="32"/>
        <v>HRNOMINA SUCURSALA14</v>
      </c>
      <c r="B2646" t="s">
        <v>2821</v>
      </c>
      <c r="C2646" s="1">
        <v>46024</v>
      </c>
      <c r="D2646" t="s">
        <v>29</v>
      </c>
      <c r="E2646" t="s">
        <v>154</v>
      </c>
      <c r="F2646" t="s">
        <v>99</v>
      </c>
      <c r="I2646" s="505"/>
      <c r="J2646" s="389">
        <v>18031.400000000001</v>
      </c>
    </row>
    <row r="2647" spans="1:10" ht="15">
      <c r="A2647" s="137" t="str">
        <f t="shared" si="32"/>
        <v>HRNOMINA SUCURSALA15</v>
      </c>
      <c r="B2647" t="s">
        <v>2821</v>
      </c>
      <c r="C2647" s="1">
        <v>46024</v>
      </c>
      <c r="D2647" t="s">
        <v>29</v>
      </c>
      <c r="E2647" t="s">
        <v>154</v>
      </c>
      <c r="F2647" t="s">
        <v>100</v>
      </c>
      <c r="I2647" s="505"/>
      <c r="J2647" s="389">
        <v>13033.2</v>
      </c>
    </row>
    <row r="2648" spans="1:10" ht="15">
      <c r="A2648" s="137" t="str">
        <f t="shared" si="32"/>
        <v>HRNOMINA SUCURSALA16</v>
      </c>
      <c r="B2648" t="s">
        <v>2821</v>
      </c>
      <c r="C2648" s="1">
        <v>46024</v>
      </c>
      <c r="D2648" t="s">
        <v>29</v>
      </c>
      <c r="E2648" t="s">
        <v>154</v>
      </c>
      <c r="F2648" t="s">
        <v>101</v>
      </c>
      <c r="I2648" s="505"/>
      <c r="J2648" s="389">
        <v>18678.89</v>
      </c>
    </row>
    <row r="2649" spans="1:10" ht="15">
      <c r="A2649" s="137" t="str">
        <f t="shared" si="32"/>
        <v>HRNOMINA SUCURSALA17</v>
      </c>
      <c r="B2649" t="s">
        <v>2821</v>
      </c>
      <c r="C2649" s="1">
        <v>46024</v>
      </c>
      <c r="D2649" t="s">
        <v>29</v>
      </c>
      <c r="E2649" t="s">
        <v>154</v>
      </c>
      <c r="F2649" t="s">
        <v>102</v>
      </c>
      <c r="I2649" s="505"/>
      <c r="J2649" s="389">
        <v>18335</v>
      </c>
    </row>
    <row r="2650" spans="1:10" ht="15">
      <c r="A2650" s="137" t="str">
        <f t="shared" si="32"/>
        <v>HRNOMINA SUCURSALA18</v>
      </c>
      <c r="B2650" t="s">
        <v>2821</v>
      </c>
      <c r="C2650" s="1">
        <v>46024</v>
      </c>
      <c r="D2650" t="s">
        <v>29</v>
      </c>
      <c r="E2650" t="s">
        <v>154</v>
      </c>
      <c r="F2650" t="s">
        <v>103</v>
      </c>
      <c r="I2650" s="505"/>
      <c r="J2650" s="389">
        <v>25797.4</v>
      </c>
    </row>
    <row r="2651" spans="1:10" ht="15">
      <c r="A2651" s="137" t="str">
        <f t="shared" si="32"/>
        <v>HRNOMINA SUCURSALA22</v>
      </c>
      <c r="B2651" t="s">
        <v>2821</v>
      </c>
      <c r="C2651" s="1">
        <v>46024</v>
      </c>
      <c r="D2651" t="s">
        <v>29</v>
      </c>
      <c r="E2651" t="s">
        <v>154</v>
      </c>
      <c r="F2651" t="s">
        <v>104</v>
      </c>
      <c r="I2651" s="505"/>
      <c r="J2651" s="389">
        <v>16424</v>
      </c>
    </row>
    <row r="2652" spans="1:10" ht="15">
      <c r="A2652" s="137" t="str">
        <f t="shared" si="32"/>
        <v>HRNOMINA SUCURSALA23</v>
      </c>
      <c r="B2652" t="s">
        <v>2821</v>
      </c>
      <c r="C2652" s="1">
        <v>46024</v>
      </c>
      <c r="D2652" t="s">
        <v>29</v>
      </c>
      <c r="E2652" t="s">
        <v>154</v>
      </c>
      <c r="F2652" t="s">
        <v>105</v>
      </c>
      <c r="I2652" s="505"/>
      <c r="J2652" s="389">
        <v>16345</v>
      </c>
    </row>
    <row r="2653" spans="1:10" ht="15">
      <c r="A2653" s="137" t="str">
        <f t="shared" si="32"/>
        <v>HRNOMINA SUCURSALA24</v>
      </c>
      <c r="B2653" t="s">
        <v>2821</v>
      </c>
      <c r="C2653" s="1">
        <v>46024</v>
      </c>
      <c r="D2653" t="s">
        <v>29</v>
      </c>
      <c r="E2653" t="s">
        <v>154</v>
      </c>
      <c r="F2653" t="s">
        <v>106</v>
      </c>
      <c r="I2653" s="505"/>
      <c r="J2653" s="389">
        <v>30390.799999999999</v>
      </c>
    </row>
    <row r="2654" spans="1:10" ht="15">
      <c r="A2654" s="137" t="str">
        <f t="shared" si="32"/>
        <v>CAPNOMINA SUCURSALE1</v>
      </c>
      <c r="B2654" t="s">
        <v>2821</v>
      </c>
      <c r="C2654" s="1">
        <v>46024</v>
      </c>
      <c r="D2654" t="s">
        <v>31</v>
      </c>
      <c r="E2654" t="s">
        <v>154</v>
      </c>
      <c r="F2654" t="s">
        <v>107</v>
      </c>
      <c r="I2654" s="505"/>
      <c r="J2654" s="389">
        <v>27625.88</v>
      </c>
    </row>
    <row r="2655" spans="1:10" ht="15">
      <c r="A2655" s="137" t="str">
        <f t="shared" si="32"/>
        <v>CAPNOMINA SUCURSALE2</v>
      </c>
      <c r="B2655" t="s">
        <v>2821</v>
      </c>
      <c r="C2655" s="1">
        <v>46024</v>
      </c>
      <c r="D2655" t="s">
        <v>31</v>
      </c>
      <c r="E2655" t="s">
        <v>154</v>
      </c>
      <c r="F2655" t="s">
        <v>108</v>
      </c>
      <c r="I2655" s="505"/>
      <c r="J2655" s="389">
        <v>44534</v>
      </c>
    </row>
    <row r="2656" spans="1:10" ht="15">
      <c r="A2656" s="137" t="str">
        <f t="shared" si="32"/>
        <v>CAPNOMINA SUCURSALE3</v>
      </c>
      <c r="B2656" t="s">
        <v>2821</v>
      </c>
      <c r="C2656" s="1">
        <v>46024</v>
      </c>
      <c r="D2656" t="s">
        <v>31</v>
      </c>
      <c r="E2656" t="s">
        <v>154</v>
      </c>
      <c r="F2656" t="s">
        <v>109</v>
      </c>
      <c r="I2656" s="505"/>
      <c r="J2656" s="389">
        <v>26776</v>
      </c>
    </row>
    <row r="2657" spans="1:10" ht="15">
      <c r="A2657" s="137" t="str">
        <f t="shared" si="32"/>
        <v>CAPNOMINA SUCURSALE4</v>
      </c>
      <c r="B2657" t="s">
        <v>2821</v>
      </c>
      <c r="C2657" s="1">
        <v>46024</v>
      </c>
      <c r="D2657" t="s">
        <v>31</v>
      </c>
      <c r="E2657" t="s">
        <v>154</v>
      </c>
      <c r="F2657" t="s">
        <v>110</v>
      </c>
      <c r="I2657" s="505"/>
      <c r="J2657" s="389">
        <v>49029.2</v>
      </c>
    </row>
    <row r="2658" spans="1:10" ht="15">
      <c r="A2658" s="137" t="str">
        <f t="shared" si="32"/>
        <v>CAPNOMINA SUCURSALE5</v>
      </c>
      <c r="B2658" t="s">
        <v>2821</v>
      </c>
      <c r="C2658" s="1">
        <v>46024</v>
      </c>
      <c r="D2658" t="s">
        <v>31</v>
      </c>
      <c r="E2658" t="s">
        <v>154</v>
      </c>
      <c r="F2658" t="s">
        <v>111</v>
      </c>
      <c r="I2658" s="505"/>
      <c r="J2658" s="389">
        <v>38147.800000000003</v>
      </c>
    </row>
    <row r="2659" spans="1:10" ht="15">
      <c r="A2659" s="137" t="str">
        <f t="shared" si="32"/>
        <v>CAPNOMINA SUCURSALE6</v>
      </c>
      <c r="B2659" t="s">
        <v>2821</v>
      </c>
      <c r="C2659" s="1">
        <v>46024</v>
      </c>
      <c r="D2659" t="s">
        <v>31</v>
      </c>
      <c r="E2659" t="s">
        <v>154</v>
      </c>
      <c r="F2659" t="s">
        <v>112</v>
      </c>
      <c r="I2659" s="505"/>
      <c r="J2659" s="389">
        <v>23626</v>
      </c>
    </row>
    <row r="2660" spans="1:10" ht="15">
      <c r="A2660" s="137" t="str">
        <f t="shared" si="32"/>
        <v>CAPNOMINA SUCURSALE7</v>
      </c>
      <c r="B2660" t="s">
        <v>2821</v>
      </c>
      <c r="C2660" s="1">
        <v>46024</v>
      </c>
      <c r="D2660" t="s">
        <v>31</v>
      </c>
      <c r="E2660" t="s">
        <v>154</v>
      </c>
      <c r="F2660" t="s">
        <v>113</v>
      </c>
      <c r="I2660" s="505"/>
      <c r="J2660" s="389">
        <v>19966.2</v>
      </c>
    </row>
    <row r="2661" spans="1:10" ht="15">
      <c r="A2661" s="137" t="str">
        <f t="shared" si="32"/>
        <v>CAPNOMINA SUCURSALE8</v>
      </c>
      <c r="B2661" t="s">
        <v>2821</v>
      </c>
      <c r="C2661" s="1">
        <v>46024</v>
      </c>
      <c r="D2661" t="s">
        <v>31</v>
      </c>
      <c r="E2661" t="s">
        <v>154</v>
      </c>
      <c r="F2661" t="s">
        <v>114</v>
      </c>
      <c r="I2661" s="505"/>
      <c r="J2661" s="389">
        <v>37616.6</v>
      </c>
    </row>
    <row r="2662" spans="1:10" ht="15">
      <c r="A2662" s="137" t="str">
        <f t="shared" si="32"/>
        <v>CAPNOMINA SUCURSALE9</v>
      </c>
      <c r="B2662" t="s">
        <v>2821</v>
      </c>
      <c r="C2662" s="1">
        <v>46024</v>
      </c>
      <c r="D2662" t="s">
        <v>31</v>
      </c>
      <c r="E2662" t="s">
        <v>154</v>
      </c>
      <c r="F2662" t="s">
        <v>116</v>
      </c>
      <c r="I2662" s="505"/>
      <c r="J2662" s="389">
        <v>30545.4</v>
      </c>
    </row>
    <row r="2663" spans="1:10" ht="15">
      <c r="A2663" s="137" t="str">
        <f t="shared" si="32"/>
        <v>CAPNOMINA SUCURSALE11</v>
      </c>
      <c r="B2663" t="s">
        <v>2821</v>
      </c>
      <c r="C2663" s="1">
        <v>46024</v>
      </c>
      <c r="D2663" t="s">
        <v>31</v>
      </c>
      <c r="E2663" t="s">
        <v>154</v>
      </c>
      <c r="F2663" t="s">
        <v>118</v>
      </c>
      <c r="I2663" s="505"/>
      <c r="J2663" s="389">
        <v>35727</v>
      </c>
    </row>
    <row r="2664" spans="1:10" ht="15">
      <c r="A2664" s="137" t="str">
        <f t="shared" si="32"/>
        <v>ELINOMINA SUCURSALL1</v>
      </c>
      <c r="B2664" t="s">
        <v>2821</v>
      </c>
      <c r="C2664" s="1">
        <v>46024</v>
      </c>
      <c r="D2664" t="s">
        <v>130</v>
      </c>
      <c r="E2664" t="s">
        <v>154</v>
      </c>
      <c r="F2664" t="s">
        <v>136</v>
      </c>
      <c r="I2664" s="505"/>
      <c r="J2664" s="389">
        <v>12577.4</v>
      </c>
    </row>
    <row r="2665" spans="1:10" ht="15">
      <c r="A2665" s="137" t="str">
        <f t="shared" si="32"/>
        <v>HRNOMINA ADMONHR</v>
      </c>
      <c r="B2665" t="s">
        <v>2821</v>
      </c>
      <c r="C2665" s="1">
        <v>46024</v>
      </c>
      <c r="D2665" t="s">
        <v>29</v>
      </c>
      <c r="E2665" t="s">
        <v>147</v>
      </c>
      <c r="F2665" t="s">
        <v>29</v>
      </c>
      <c r="I2665" s="505"/>
      <c r="J2665" s="389">
        <v>25203.8</v>
      </c>
    </row>
    <row r="2666" spans="1:10" ht="15">
      <c r="A2666" s="137" t="str">
        <f t="shared" si="32"/>
        <v>CAPNOMINA ADMONCAPRICHOS</v>
      </c>
      <c r="B2666" t="s">
        <v>2821</v>
      </c>
      <c r="C2666" s="1">
        <v>46024</v>
      </c>
      <c r="D2666" t="s">
        <v>31</v>
      </c>
      <c r="E2666" t="s">
        <v>147</v>
      </c>
      <c r="F2666" t="s">
        <v>33</v>
      </c>
      <c r="I2666" s="505"/>
      <c r="J2666" s="389">
        <v>25787.9</v>
      </c>
    </row>
    <row r="2667" spans="1:10" ht="15">
      <c r="A2667" s="137" t="str">
        <f t="shared" si="32"/>
        <v>SERVICIOSNOMINA SUCURSALCEDIS</v>
      </c>
      <c r="B2667" t="s">
        <v>2821</v>
      </c>
      <c r="C2667" s="1">
        <v>46024</v>
      </c>
      <c r="D2667" t="s">
        <v>21</v>
      </c>
      <c r="E2667" t="s">
        <v>154</v>
      </c>
      <c r="F2667" t="s">
        <v>28</v>
      </c>
      <c r="I2667" s="505"/>
      <c r="J2667" s="389">
        <v>68239.73</v>
      </c>
    </row>
    <row r="2668" spans="1:10" ht="15">
      <c r="A2668" s="137" t="str">
        <f t="shared" si="32"/>
        <v>SERVICIOSNOMINA ADMONINVENTARIOS</v>
      </c>
      <c r="B2668" t="s">
        <v>2821</v>
      </c>
      <c r="C2668" s="1">
        <v>46024</v>
      </c>
      <c r="D2668" t="s">
        <v>21</v>
      </c>
      <c r="E2668" t="s">
        <v>147</v>
      </c>
      <c r="F2668" t="s">
        <v>34</v>
      </c>
      <c r="I2668" s="505"/>
      <c r="J2668" s="389">
        <v>2800</v>
      </c>
    </row>
    <row r="2669" spans="1:10" ht="15">
      <c r="A2669" s="137" t="str">
        <f t="shared" si="32"/>
        <v>SERVICIOSNOMINA ADMONMANTENIMIENTO</v>
      </c>
      <c r="B2669" t="s">
        <v>2821</v>
      </c>
      <c r="C2669" s="1">
        <v>46024</v>
      </c>
      <c r="D2669" t="s">
        <v>21</v>
      </c>
      <c r="E2669" t="s">
        <v>147</v>
      </c>
      <c r="F2669" t="s">
        <v>35</v>
      </c>
      <c r="I2669" s="505"/>
      <c r="J2669" s="389">
        <v>16197.02</v>
      </c>
    </row>
    <row r="2670" spans="1:10" ht="15">
      <c r="A2670" s="137" t="str">
        <f t="shared" si="32"/>
        <v>SERVICIOSNOMINA ADMONCADENA DE SUMINISTROS</v>
      </c>
      <c r="B2670" t="s">
        <v>2821</v>
      </c>
      <c r="C2670" s="1">
        <v>46024</v>
      </c>
      <c r="D2670" t="s">
        <v>21</v>
      </c>
      <c r="E2670" t="s">
        <v>147</v>
      </c>
      <c r="F2670" t="s">
        <v>134</v>
      </c>
      <c r="I2670" s="505"/>
      <c r="J2670" s="389">
        <v>21820</v>
      </c>
    </row>
    <row r="2671" spans="1:10" ht="15">
      <c r="A2671" s="137" t="str">
        <f t="shared" si="32"/>
        <v>SERVICIOSNOMINA ADMONSISTEMAS</v>
      </c>
      <c r="B2671" t="s">
        <v>2821</v>
      </c>
      <c r="C2671" s="1">
        <v>46024</v>
      </c>
      <c r="D2671" t="s">
        <v>21</v>
      </c>
      <c r="E2671" t="s">
        <v>147</v>
      </c>
      <c r="F2671" t="s">
        <v>36</v>
      </c>
      <c r="I2671" s="505"/>
      <c r="J2671" s="389">
        <v>10375.09</v>
      </c>
    </row>
    <row r="2672" spans="1:10" ht="15">
      <c r="A2672" s="137" t="str">
        <f t="shared" si="32"/>
        <v>SERVICIOSNOMINA ADMONCOMPRAS</v>
      </c>
      <c r="B2672" t="s">
        <v>2821</v>
      </c>
      <c r="C2672" s="1">
        <v>46024</v>
      </c>
      <c r="D2672" t="s">
        <v>21</v>
      </c>
      <c r="E2672" t="s">
        <v>147</v>
      </c>
      <c r="F2672" t="s">
        <v>148</v>
      </c>
      <c r="I2672" s="505"/>
      <c r="J2672" s="389">
        <v>31836.01</v>
      </c>
    </row>
    <row r="2673" spans="1:10" ht="15">
      <c r="A2673" s="137" t="str">
        <f t="shared" si="32"/>
        <v>FINANZASNOMINA ADMONCONTABILIDAD</v>
      </c>
      <c r="B2673" t="s">
        <v>2821</v>
      </c>
      <c r="C2673" s="1">
        <v>46024</v>
      </c>
      <c r="D2673" t="s">
        <v>23</v>
      </c>
      <c r="E2673" t="s">
        <v>147</v>
      </c>
      <c r="F2673" t="s">
        <v>37</v>
      </c>
      <c r="I2673" s="505"/>
      <c r="J2673" s="389">
        <v>18582.8</v>
      </c>
    </row>
    <row r="2674" spans="1:10" ht="15">
      <c r="A2674" s="137" t="str">
        <f t="shared" si="32"/>
        <v>FINANZASNOMINA ADMONFINANZAS/LEGAL</v>
      </c>
      <c r="B2674" t="s">
        <v>2821</v>
      </c>
      <c r="C2674" s="1">
        <v>46024</v>
      </c>
      <c r="D2674" t="s">
        <v>23</v>
      </c>
      <c r="E2674" t="s">
        <v>147</v>
      </c>
      <c r="F2674" t="s">
        <v>149</v>
      </c>
      <c r="I2674" s="505"/>
      <c r="J2674" s="389">
        <v>10874</v>
      </c>
    </row>
    <row r="2675" spans="1:10" ht="15">
      <c r="A2675" s="137" t="str">
        <f t="shared" si="32"/>
        <v>FINANZASNOMINA ADMONRECURSOS HUMANOS</v>
      </c>
      <c r="B2675" t="s">
        <v>2821</v>
      </c>
      <c r="C2675" s="1">
        <v>46024</v>
      </c>
      <c r="D2675" t="s">
        <v>23</v>
      </c>
      <c r="E2675" t="s">
        <v>147</v>
      </c>
      <c r="F2675" t="s">
        <v>125</v>
      </c>
      <c r="I2675" s="505"/>
      <c r="J2675" s="389">
        <v>17671.43</v>
      </c>
    </row>
    <row r="2676" spans="1:10" ht="15">
      <c r="A2676" s="137" t="str">
        <f t="shared" si="32"/>
        <v>FINANZASNOMINA ADMONTESORERIA</v>
      </c>
      <c r="B2676" t="s">
        <v>2821</v>
      </c>
      <c r="C2676" s="1">
        <v>46024</v>
      </c>
      <c r="D2676" t="s">
        <v>23</v>
      </c>
      <c r="E2676" t="s">
        <v>147</v>
      </c>
      <c r="F2676" t="s">
        <v>38</v>
      </c>
      <c r="I2676" s="505"/>
      <c r="J2676" s="389">
        <v>16199.2</v>
      </c>
    </row>
    <row r="2677" spans="1:10" ht="15">
      <c r="A2677" s="137" t="str">
        <f t="shared" si="32"/>
        <v>FINANZASNOMINA ADMONHBG FINANZAS</v>
      </c>
      <c r="B2677" t="s">
        <v>2821</v>
      </c>
      <c r="C2677" s="1">
        <v>46024</v>
      </c>
      <c r="D2677" t="s">
        <v>23</v>
      </c>
      <c r="E2677" t="s">
        <v>147</v>
      </c>
      <c r="F2677" t="s">
        <v>150</v>
      </c>
      <c r="I2677" s="505"/>
      <c r="J2677" s="389">
        <v>3057</v>
      </c>
    </row>
    <row r="2678" spans="1:10" ht="15">
      <c r="A2678" s="137" t="str">
        <f t="shared" si="32"/>
        <v>SGENOMINA ADMONGESTION EMPRESARIAL</v>
      </c>
      <c r="B2678" t="s">
        <v>2821</v>
      </c>
      <c r="C2678" s="1">
        <v>46024</v>
      </c>
      <c r="D2678" t="s">
        <v>39</v>
      </c>
      <c r="E2678" t="s">
        <v>147</v>
      </c>
      <c r="F2678" t="s">
        <v>40</v>
      </c>
      <c r="I2678" s="505"/>
      <c r="J2678" s="389">
        <v>23950.6</v>
      </c>
    </row>
    <row r="2679" spans="1:10" ht="15">
      <c r="A2679" s="137" t="str">
        <f t="shared" si="32"/>
        <v>DENOMINA ADMONDIRECCION</v>
      </c>
      <c r="B2679" t="s">
        <v>2821</v>
      </c>
      <c r="C2679" s="1">
        <v>46024</v>
      </c>
      <c r="D2679" t="s">
        <v>41</v>
      </c>
      <c r="E2679" t="s">
        <v>147</v>
      </c>
      <c r="F2679" t="s">
        <v>42</v>
      </c>
      <c r="I2679" s="505"/>
      <c r="J2679" s="389">
        <v>7000</v>
      </c>
    </row>
    <row r="2680" spans="1:10" ht="15">
      <c r="A2680" s="137" t="str">
        <f t="shared" si="32"/>
        <v>MELNOMINA ADMONMELISSA</v>
      </c>
      <c r="B2680" t="s">
        <v>2821</v>
      </c>
      <c r="C2680" s="1">
        <v>46024</v>
      </c>
      <c r="D2680" t="s">
        <v>43</v>
      </c>
      <c r="E2680" t="s">
        <v>147</v>
      </c>
      <c r="F2680" t="s">
        <v>44</v>
      </c>
      <c r="I2680" s="505"/>
      <c r="J2680" s="389">
        <v>5622.4</v>
      </c>
    </row>
    <row r="2681" spans="1:10" ht="15">
      <c r="A2681" s="137" t="str">
        <f t="shared" si="32"/>
        <v>MMNOMINA ADMONMARKET MAX</v>
      </c>
      <c r="B2681" t="s">
        <v>2821</v>
      </c>
      <c r="C2681" s="1">
        <v>46024</v>
      </c>
      <c r="D2681" t="s">
        <v>45</v>
      </c>
      <c r="E2681" t="s">
        <v>147</v>
      </c>
      <c r="F2681" t="s">
        <v>46</v>
      </c>
      <c r="I2681" s="505"/>
      <c r="J2681" s="389">
        <v>13441.14</v>
      </c>
    </row>
    <row r="2682" spans="1:10" ht="15">
      <c r="A2682" s="137" t="str">
        <f t="shared" si="32"/>
        <v>ANALISISNOMINA ADMONANALISIS DE DATOS</v>
      </c>
      <c r="B2682" t="s">
        <v>2821</v>
      </c>
      <c r="C2682" s="1">
        <v>46024</v>
      </c>
      <c r="D2682" t="s">
        <v>152</v>
      </c>
      <c r="E2682" t="s">
        <v>147</v>
      </c>
      <c r="F2682" t="s">
        <v>153</v>
      </c>
      <c r="I2682" s="505"/>
      <c r="J2682" s="389">
        <v>5150</v>
      </c>
    </row>
    <row r="2683" spans="1:10" ht="15">
      <c r="A2683" s="137" t="str">
        <f t="shared" si="32"/>
        <v>MKTNOMINA ADMONMKT</v>
      </c>
      <c r="B2683" t="s">
        <v>2821</v>
      </c>
      <c r="C2683" s="1">
        <v>46024</v>
      </c>
      <c r="D2683" t="s">
        <v>19</v>
      </c>
      <c r="E2683" t="s">
        <v>147</v>
      </c>
      <c r="F2683" t="s">
        <v>19</v>
      </c>
      <c r="I2683" s="505"/>
      <c r="J2683" s="389">
        <v>25126.400000000001</v>
      </c>
    </row>
    <row r="2684" spans="1:10" ht="15">
      <c r="A2684" s="137" t="str">
        <f t="shared" si="32"/>
        <v>FINANZASNOMINA ADMONHBG FINANZAS</v>
      </c>
      <c r="B2684" t="s">
        <v>2821</v>
      </c>
      <c r="C2684" s="1">
        <v>46024</v>
      </c>
      <c r="D2684" t="s">
        <v>23</v>
      </c>
      <c r="E2684" t="s">
        <v>147</v>
      </c>
      <c r="F2684" s="12" t="s">
        <v>150</v>
      </c>
      <c r="J2684" s="385">
        <v>10950</v>
      </c>
    </row>
    <row r="2685" spans="1:10" ht="15">
      <c r="A2685" s="137" t="str">
        <f t="shared" si="32"/>
        <v>HRNOMINA ADMONHR</v>
      </c>
      <c r="B2685" t="s">
        <v>2821</v>
      </c>
      <c r="C2685" s="1">
        <v>46024</v>
      </c>
      <c r="D2685" t="s">
        <v>29</v>
      </c>
      <c r="E2685" t="s">
        <v>147</v>
      </c>
      <c r="F2685" s="3" t="s">
        <v>29</v>
      </c>
      <c r="J2685" s="385">
        <v>5500</v>
      </c>
    </row>
    <row r="2686" spans="1:10" ht="15">
      <c r="A2686" s="137" t="str">
        <f t="shared" si="32"/>
        <v>CAPNOMINA ADMONCAPRICHOS</v>
      </c>
      <c r="B2686" t="s">
        <v>2821</v>
      </c>
      <c r="C2686" s="1">
        <v>46024</v>
      </c>
      <c r="D2686" t="s">
        <v>31</v>
      </c>
      <c r="E2686" t="s">
        <v>147</v>
      </c>
      <c r="F2686" s="12" t="s">
        <v>33</v>
      </c>
      <c r="J2686" s="385">
        <v>3700</v>
      </c>
    </row>
    <row r="2687" spans="1:10" ht="15">
      <c r="A2687" s="137" t="str">
        <f t="shared" si="32"/>
        <v>SGENOMINA ADMONGESTION EMPRESARIAL</v>
      </c>
      <c r="B2687" t="s">
        <v>2821</v>
      </c>
      <c r="C2687" s="1">
        <v>46024</v>
      </c>
      <c r="D2687" t="s">
        <v>39</v>
      </c>
      <c r="E2687" t="s">
        <v>147</v>
      </c>
      <c r="F2687" s="12" t="s">
        <v>40</v>
      </c>
      <c r="J2687" s="385">
        <v>2750</v>
      </c>
    </row>
    <row r="2688" spans="1:10" ht="15">
      <c r="A2688" s="137" t="str">
        <f t="shared" si="32"/>
        <v>SERVICIOSNOMINA ADMONSERVICIOS</v>
      </c>
      <c r="B2688" t="s">
        <v>2821</v>
      </c>
      <c r="C2688" s="1">
        <v>46024</v>
      </c>
      <c r="D2688" t="s">
        <v>21</v>
      </c>
      <c r="E2688" t="s">
        <v>147</v>
      </c>
      <c r="F2688" s="12" t="s">
        <v>21</v>
      </c>
      <c r="J2688" s="385">
        <v>4750</v>
      </c>
    </row>
    <row r="2689" spans="1:10" ht="15">
      <c r="A2689" s="137" t="str">
        <f t="shared" si="32"/>
        <v>DENOMINA ADMONDIRECCION</v>
      </c>
      <c r="B2689" t="s">
        <v>2821</v>
      </c>
      <c r="C2689" s="1">
        <v>46024</v>
      </c>
      <c r="D2689" t="s">
        <v>41</v>
      </c>
      <c r="E2689" t="s">
        <v>147</v>
      </c>
      <c r="F2689" s="12" t="s">
        <v>42</v>
      </c>
      <c r="J2689" s="385">
        <v>5750</v>
      </c>
    </row>
    <row r="2690" spans="1:10" ht="15">
      <c r="A2690" s="137" t="str">
        <f t="shared" si="32"/>
        <v>MMNOMINA ADMONMARKET MAX</v>
      </c>
      <c r="B2690" t="s">
        <v>2821</v>
      </c>
      <c r="C2690" s="1">
        <v>46024</v>
      </c>
      <c r="D2690" t="s">
        <v>45</v>
      </c>
      <c r="E2690" t="s">
        <v>147</v>
      </c>
      <c r="F2690" t="s">
        <v>46</v>
      </c>
      <c r="J2690" s="385">
        <v>2000</v>
      </c>
    </row>
    <row r="2691" spans="1:10" ht="15">
      <c r="A2691" s="137" t="str">
        <f t="shared" si="32"/>
        <v>HRVACACIONES/FINIQUITOSHR</v>
      </c>
      <c r="B2691" t="s">
        <v>2821</v>
      </c>
      <c r="C2691" s="1">
        <v>46024</v>
      </c>
      <c r="D2691" s="229" t="s">
        <v>29</v>
      </c>
      <c r="E2691" s="230" t="s">
        <v>190</v>
      </c>
      <c r="F2691" t="s">
        <v>29</v>
      </c>
      <c r="J2691" s="385">
        <v>1928.57</v>
      </c>
    </row>
    <row r="2692" spans="1:10" ht="15">
      <c r="A2692" s="137" t="str">
        <f t="shared" si="32"/>
        <v>HRVACACIONES/FINIQUITOSHR</v>
      </c>
      <c r="B2692" t="s">
        <v>2821</v>
      </c>
      <c r="C2692" s="1">
        <v>46024</v>
      </c>
      <c r="D2692" s="229" t="s">
        <v>29</v>
      </c>
      <c r="E2692" s="230" t="s">
        <v>190</v>
      </c>
      <c r="F2692" t="s">
        <v>29</v>
      </c>
      <c r="J2692" s="385">
        <v>1714.29</v>
      </c>
    </row>
    <row r="2693" spans="1:10" ht="15">
      <c r="A2693" s="137" t="str">
        <f t="shared" si="32"/>
        <v>HRVACACIONES/FINIQUITOSHR</v>
      </c>
      <c r="B2693" t="s">
        <v>2821</v>
      </c>
      <c r="C2693" s="1">
        <v>46024</v>
      </c>
      <c r="D2693" s="229" t="s">
        <v>29</v>
      </c>
      <c r="E2693" s="230" t="s">
        <v>190</v>
      </c>
      <c r="F2693" t="s">
        <v>29</v>
      </c>
      <c r="J2693" s="385">
        <v>1216</v>
      </c>
    </row>
    <row r="2694" spans="1:10" ht="15">
      <c r="A2694" s="137" t="str">
        <f t="shared" si="32"/>
        <v>SERVICIOSVACACIONES/FINIQUITOSSERVICIOS</v>
      </c>
      <c r="B2694" t="s">
        <v>2821</v>
      </c>
      <c r="C2694" s="1">
        <v>46024</v>
      </c>
      <c r="D2694" s="229" t="s">
        <v>21</v>
      </c>
      <c r="E2694" s="230" t="s">
        <v>190</v>
      </c>
      <c r="F2694" t="s">
        <v>21</v>
      </c>
      <c r="J2694" s="385">
        <v>4910.71</v>
      </c>
    </row>
    <row r="2695" spans="1:10" ht="15">
      <c r="A2695" s="137" t="str">
        <f>D2695&amp;E2695&amp;F2695</f>
        <v>HRNOMINA SUCURSALA1</v>
      </c>
      <c r="B2695" t="s">
        <v>3214</v>
      </c>
      <c r="C2695" s="1">
        <v>46031</v>
      </c>
      <c r="D2695" t="s">
        <v>29</v>
      </c>
      <c r="E2695" t="s">
        <v>154</v>
      </c>
      <c r="F2695" t="s">
        <v>88</v>
      </c>
      <c r="J2695" s="389">
        <v>11561.4</v>
      </c>
    </row>
    <row r="2696" spans="1:10" ht="15">
      <c r="A2696" s="137" t="str">
        <f>D2696&amp;E2696&amp;F2696</f>
        <v>HRNOMINA SUCURSALA2</v>
      </c>
      <c r="B2696" t="s">
        <v>3214</v>
      </c>
      <c r="C2696" s="1">
        <v>46031</v>
      </c>
      <c r="D2696" t="s">
        <v>29</v>
      </c>
      <c r="E2696" t="s">
        <v>154</v>
      </c>
      <c r="F2696" t="s">
        <v>89</v>
      </c>
      <c r="J2696" s="389">
        <v>16373.4</v>
      </c>
    </row>
    <row r="2697" spans="1:10" ht="15">
      <c r="A2697" s="137" t="str">
        <f>D2697&amp;E2697&amp;F2697</f>
        <v>HRNOMINA SUCURSALA3</v>
      </c>
      <c r="B2697" t="s">
        <v>3214</v>
      </c>
      <c r="C2697" s="1">
        <v>46031</v>
      </c>
      <c r="D2697" t="s">
        <v>29</v>
      </c>
      <c r="E2697" t="s">
        <v>154</v>
      </c>
      <c r="F2697" t="s">
        <v>90</v>
      </c>
      <c r="J2697" s="389">
        <v>12270.4</v>
      </c>
    </row>
    <row r="2698" spans="1:10" ht="15">
      <c r="A2698" s="137" t="str">
        <f>D2698&amp;E2698&amp;F2698</f>
        <v>HRNOMINA SUCURSALA4</v>
      </c>
      <c r="B2698" t="s">
        <v>3214</v>
      </c>
      <c r="C2698" s="1">
        <v>46031</v>
      </c>
      <c r="D2698" t="s">
        <v>29</v>
      </c>
      <c r="E2698" t="s">
        <v>154</v>
      </c>
      <c r="F2698" t="s">
        <v>91</v>
      </c>
      <c r="J2698" s="389">
        <v>7723.4</v>
      </c>
    </row>
    <row r="2699" spans="1:10" ht="15">
      <c r="A2699" s="137" t="str">
        <f>D2699&amp;E2699&amp;F2699</f>
        <v>HRNOMINA SUCURSALA5</v>
      </c>
      <c r="B2699" t="s">
        <v>3214</v>
      </c>
      <c r="C2699" s="1">
        <v>46031</v>
      </c>
      <c r="D2699" t="s">
        <v>29</v>
      </c>
      <c r="E2699" t="s">
        <v>154</v>
      </c>
      <c r="F2699" t="s">
        <v>92</v>
      </c>
      <c r="J2699" s="389">
        <v>14135.6</v>
      </c>
    </row>
    <row r="2700" spans="1:10" ht="15">
      <c r="A2700" s="137" t="str">
        <f>D2700&amp;E2700&amp;F2700</f>
        <v>HRNOMINA SUCURSALA6</v>
      </c>
      <c r="B2700" t="s">
        <v>3214</v>
      </c>
      <c r="C2700" s="1">
        <v>46031</v>
      </c>
      <c r="D2700" t="s">
        <v>29</v>
      </c>
      <c r="E2700" t="s">
        <v>154</v>
      </c>
      <c r="F2700" t="s">
        <v>93</v>
      </c>
      <c r="J2700" s="389">
        <v>11974.49</v>
      </c>
    </row>
    <row r="2701" spans="1:10" ht="15">
      <c r="A2701" s="137" t="str">
        <f>D2701&amp;E2701&amp;F2701</f>
        <v>HRNOMINA SUCURSALA8</v>
      </c>
      <c r="B2701" t="s">
        <v>3214</v>
      </c>
      <c r="C2701" s="1">
        <v>46031</v>
      </c>
      <c r="D2701" t="s">
        <v>29</v>
      </c>
      <c r="E2701" t="s">
        <v>154</v>
      </c>
      <c r="F2701" t="s">
        <v>94</v>
      </c>
      <c r="J2701" s="389">
        <v>22890</v>
      </c>
    </row>
    <row r="2702" spans="1:10" ht="15">
      <c r="A2702" s="137" t="str">
        <f>D2702&amp;E2702&amp;F2702</f>
        <v>HRNOMINA SUCURSALA9</v>
      </c>
      <c r="B2702" t="s">
        <v>3214</v>
      </c>
      <c r="C2702" s="1">
        <v>46031</v>
      </c>
      <c r="D2702" t="s">
        <v>29</v>
      </c>
      <c r="E2702" t="s">
        <v>154</v>
      </c>
      <c r="F2702" t="s">
        <v>95</v>
      </c>
      <c r="J2702" s="389">
        <v>11776.22</v>
      </c>
    </row>
    <row r="2703" spans="1:10" ht="15">
      <c r="A2703" s="137" t="str">
        <f>D2703&amp;E2703&amp;F2703</f>
        <v>HRNOMINA SUCURSALA10</v>
      </c>
      <c r="B2703" t="s">
        <v>3214</v>
      </c>
      <c r="C2703" s="1">
        <v>46031</v>
      </c>
      <c r="D2703" t="s">
        <v>29</v>
      </c>
      <c r="E2703" t="s">
        <v>154</v>
      </c>
      <c r="F2703" t="s">
        <v>96</v>
      </c>
      <c r="J2703" s="389">
        <v>24157.200000000001</v>
      </c>
    </row>
    <row r="2704" spans="1:10" ht="15">
      <c r="A2704" s="137" t="str">
        <f>D2704&amp;E2704&amp;F2704</f>
        <v>HRNOMINA SUCURSALA11</v>
      </c>
      <c r="B2704" t="s">
        <v>3214</v>
      </c>
      <c r="C2704" s="1">
        <v>46031</v>
      </c>
      <c r="D2704" t="s">
        <v>29</v>
      </c>
      <c r="E2704" t="s">
        <v>154</v>
      </c>
      <c r="F2704" t="s">
        <v>97</v>
      </c>
      <c r="J2704" s="389">
        <v>13890.2</v>
      </c>
    </row>
    <row r="2705" spans="1:10" ht="15">
      <c r="A2705" s="137" t="str">
        <f>D2705&amp;E2705&amp;F2705</f>
        <v>HRNOMINA SUCURSALA12</v>
      </c>
      <c r="B2705" t="s">
        <v>3214</v>
      </c>
      <c r="C2705" s="1">
        <v>46031</v>
      </c>
      <c r="D2705" t="s">
        <v>29</v>
      </c>
      <c r="E2705" t="s">
        <v>154</v>
      </c>
      <c r="F2705" t="s">
        <v>98</v>
      </c>
      <c r="J2705" s="389">
        <v>20125.8</v>
      </c>
    </row>
    <row r="2706" spans="1:10" ht="15">
      <c r="A2706" s="137" t="str">
        <f>D2706&amp;E2706&amp;F2706</f>
        <v>HRNOMINA SUCURSALA14</v>
      </c>
      <c r="B2706" t="s">
        <v>3214</v>
      </c>
      <c r="C2706" s="1">
        <v>46031</v>
      </c>
      <c r="D2706" t="s">
        <v>29</v>
      </c>
      <c r="E2706" t="s">
        <v>154</v>
      </c>
      <c r="F2706" t="s">
        <v>99</v>
      </c>
      <c r="J2706" s="389">
        <v>15472.2</v>
      </c>
    </row>
    <row r="2707" spans="1:10" ht="15">
      <c r="A2707" s="137" t="str">
        <f>D2707&amp;E2707&amp;F2707</f>
        <v>HRNOMINA SUCURSALA15</v>
      </c>
      <c r="B2707" t="s">
        <v>3214</v>
      </c>
      <c r="C2707" s="1">
        <v>46031</v>
      </c>
      <c r="D2707" t="s">
        <v>29</v>
      </c>
      <c r="E2707" t="s">
        <v>154</v>
      </c>
      <c r="F2707" t="s">
        <v>100</v>
      </c>
      <c r="J2707" s="389">
        <v>10787.6</v>
      </c>
    </row>
    <row r="2708" spans="1:10" ht="15">
      <c r="A2708" s="137" t="str">
        <f>D2708&amp;E2708&amp;F2708</f>
        <v>HRNOMINA SUCURSALA16</v>
      </c>
      <c r="B2708" t="s">
        <v>3214</v>
      </c>
      <c r="C2708" s="1">
        <v>46031</v>
      </c>
      <c r="D2708" t="s">
        <v>29</v>
      </c>
      <c r="E2708" t="s">
        <v>154</v>
      </c>
      <c r="F2708" t="s">
        <v>101</v>
      </c>
      <c r="J2708" s="389">
        <v>15790.89</v>
      </c>
    </row>
    <row r="2709" spans="1:10" ht="15">
      <c r="A2709" s="137" t="str">
        <f>D2709&amp;E2709&amp;F2709</f>
        <v>HRNOMINA SUCURSALA17</v>
      </c>
      <c r="B2709" t="s">
        <v>3214</v>
      </c>
      <c r="C2709" s="1">
        <v>46031</v>
      </c>
      <c r="D2709" t="s">
        <v>29</v>
      </c>
      <c r="E2709" t="s">
        <v>154</v>
      </c>
      <c r="F2709" t="s">
        <v>102</v>
      </c>
      <c r="J2709" s="389">
        <v>12525</v>
      </c>
    </row>
    <row r="2710" spans="1:10" ht="15">
      <c r="A2710" s="137" t="str">
        <f>D2710&amp;E2710&amp;F2710</f>
        <v>HRNOMINA SUCURSALA18</v>
      </c>
      <c r="B2710" t="s">
        <v>3214</v>
      </c>
      <c r="C2710" s="1">
        <v>46031</v>
      </c>
      <c r="D2710" t="s">
        <v>29</v>
      </c>
      <c r="E2710" t="s">
        <v>154</v>
      </c>
      <c r="F2710" t="s">
        <v>103</v>
      </c>
      <c r="J2710" s="389">
        <v>17220</v>
      </c>
    </row>
    <row r="2711" spans="1:10" ht="15">
      <c r="A2711" s="137" t="str">
        <f>D2711&amp;E2711&amp;F2711</f>
        <v>HRNOMINA SUCURSALA22</v>
      </c>
      <c r="B2711" t="s">
        <v>3214</v>
      </c>
      <c r="C2711" s="1">
        <v>46031</v>
      </c>
      <c r="D2711" t="s">
        <v>29</v>
      </c>
      <c r="E2711" t="s">
        <v>154</v>
      </c>
      <c r="F2711" t="s">
        <v>104</v>
      </c>
      <c r="J2711" s="389">
        <v>15349.2</v>
      </c>
    </row>
    <row r="2712" spans="1:10" ht="15">
      <c r="A2712" s="137" t="str">
        <f>D2712&amp;E2712&amp;F2712</f>
        <v>HRNOMINA SUCURSALA23</v>
      </c>
      <c r="B2712" t="s">
        <v>3214</v>
      </c>
      <c r="C2712" s="1">
        <v>46031</v>
      </c>
      <c r="D2712" t="s">
        <v>29</v>
      </c>
      <c r="E2712" t="s">
        <v>154</v>
      </c>
      <c r="F2712" t="s">
        <v>105</v>
      </c>
      <c r="J2712" s="389">
        <v>12020.6</v>
      </c>
    </row>
    <row r="2713" spans="1:10" ht="15">
      <c r="A2713" s="137" t="str">
        <f>D2713&amp;E2713&amp;F2713</f>
        <v>HRNOMINA SUCURSALA24</v>
      </c>
      <c r="B2713" t="s">
        <v>3214</v>
      </c>
      <c r="C2713" s="1">
        <v>46031</v>
      </c>
      <c r="D2713" t="s">
        <v>29</v>
      </c>
      <c r="E2713" t="s">
        <v>154</v>
      </c>
      <c r="F2713" t="s">
        <v>106</v>
      </c>
      <c r="J2713" s="389">
        <v>20460.400000000001</v>
      </c>
    </row>
    <row r="2714" spans="1:10" ht="15">
      <c r="A2714" s="137" t="str">
        <f>D2714&amp;E2714&amp;F2714</f>
        <v>CAPNOMINA SUCURSALE1</v>
      </c>
      <c r="B2714" t="s">
        <v>3214</v>
      </c>
      <c r="C2714" s="1">
        <v>46031</v>
      </c>
      <c r="D2714" t="s">
        <v>31</v>
      </c>
      <c r="E2714" t="s">
        <v>154</v>
      </c>
      <c r="F2714" t="s">
        <v>107</v>
      </c>
      <c r="J2714" s="389">
        <v>22025.08</v>
      </c>
    </row>
    <row r="2715" spans="1:10" ht="15">
      <c r="A2715" s="137" t="str">
        <f>D2715&amp;E2715&amp;F2715</f>
        <v>CAPNOMINA SUCURSALE2</v>
      </c>
      <c r="B2715" t="s">
        <v>3214</v>
      </c>
      <c r="C2715" s="1">
        <v>46031</v>
      </c>
      <c r="D2715" t="s">
        <v>31</v>
      </c>
      <c r="E2715" t="s">
        <v>154</v>
      </c>
      <c r="F2715" t="s">
        <v>108</v>
      </c>
      <c r="J2715" s="389">
        <v>35095.199999999997</v>
      </c>
    </row>
    <row r="2716" spans="1:10" ht="15">
      <c r="A2716" s="137" t="str">
        <f>D2716&amp;E2716&amp;F2716</f>
        <v>CAPNOMINA SUCURSALE3</v>
      </c>
      <c r="B2716" t="s">
        <v>3214</v>
      </c>
      <c r="C2716" s="1">
        <v>46031</v>
      </c>
      <c r="D2716" t="s">
        <v>31</v>
      </c>
      <c r="E2716" t="s">
        <v>154</v>
      </c>
      <c r="F2716" t="s">
        <v>109</v>
      </c>
      <c r="J2716" s="389">
        <v>18658.400000000001</v>
      </c>
    </row>
    <row r="2717" spans="1:10" ht="15">
      <c r="A2717" s="137" t="str">
        <f>D2717&amp;E2717&amp;F2717</f>
        <v>CAPNOMINA SUCURSALE4</v>
      </c>
      <c r="B2717" t="s">
        <v>3214</v>
      </c>
      <c r="C2717" s="1">
        <v>46031</v>
      </c>
      <c r="D2717" t="s">
        <v>31</v>
      </c>
      <c r="E2717" t="s">
        <v>154</v>
      </c>
      <c r="F2717" t="s">
        <v>110</v>
      </c>
      <c r="J2717" s="389">
        <v>45858.2</v>
      </c>
    </row>
    <row r="2718" spans="1:10" ht="15">
      <c r="A2718" s="137" t="str">
        <f>D2718&amp;E2718&amp;F2718</f>
        <v>CAPNOMINA SUCURSALE5</v>
      </c>
      <c r="B2718" t="s">
        <v>3214</v>
      </c>
      <c r="C2718" s="1">
        <v>46031</v>
      </c>
      <c r="D2718" t="s">
        <v>31</v>
      </c>
      <c r="E2718" t="s">
        <v>154</v>
      </c>
      <c r="F2718" t="s">
        <v>111</v>
      </c>
      <c r="J2718" s="389">
        <v>28593.599999999999</v>
      </c>
    </row>
    <row r="2719" spans="1:10" ht="15">
      <c r="A2719" s="137" t="str">
        <f>D2719&amp;E2719&amp;F2719</f>
        <v>CAPNOMINA SUCURSALE6</v>
      </c>
      <c r="B2719" t="s">
        <v>3214</v>
      </c>
      <c r="C2719" s="1">
        <v>46031</v>
      </c>
      <c r="D2719" t="s">
        <v>31</v>
      </c>
      <c r="E2719" t="s">
        <v>154</v>
      </c>
      <c r="F2719" t="s">
        <v>112</v>
      </c>
      <c r="J2719" s="389">
        <v>17478.8</v>
      </c>
    </row>
    <row r="2720" spans="1:10" ht="15">
      <c r="A2720" s="137" t="str">
        <f>D2720&amp;E2720&amp;F2720</f>
        <v>CAPNOMINA SUCURSALE7</v>
      </c>
      <c r="B2720" t="s">
        <v>3214</v>
      </c>
      <c r="C2720" s="1">
        <v>46031</v>
      </c>
      <c r="D2720" t="s">
        <v>31</v>
      </c>
      <c r="E2720" t="s">
        <v>154</v>
      </c>
      <c r="F2720" t="s">
        <v>113</v>
      </c>
      <c r="J2720" s="389">
        <v>19749.599999999999</v>
      </c>
    </row>
    <row r="2721" spans="1:10" ht="15">
      <c r="A2721" s="137" t="str">
        <f>D2721&amp;E2721&amp;F2721</f>
        <v>CAPNOMINA SUCURSALE8</v>
      </c>
      <c r="B2721" t="s">
        <v>3214</v>
      </c>
      <c r="C2721" s="1">
        <v>46031</v>
      </c>
      <c r="D2721" t="s">
        <v>31</v>
      </c>
      <c r="E2721" t="s">
        <v>154</v>
      </c>
      <c r="F2721" t="s">
        <v>114</v>
      </c>
      <c r="J2721" s="389">
        <v>37508.800000000003</v>
      </c>
    </row>
    <row r="2722" spans="1:10" ht="15">
      <c r="A2722" s="137" t="str">
        <f>D2722&amp;E2722&amp;F2722</f>
        <v>CAPNOMINA SUCURSALE9</v>
      </c>
      <c r="B2722" t="s">
        <v>3214</v>
      </c>
      <c r="C2722" s="1">
        <v>46031</v>
      </c>
      <c r="D2722" t="s">
        <v>31</v>
      </c>
      <c r="E2722" t="s">
        <v>154</v>
      </c>
      <c r="F2722" t="s">
        <v>116</v>
      </c>
      <c r="J2722" s="389">
        <v>24693.200000000001</v>
      </c>
    </row>
    <row r="2723" spans="1:10" ht="15">
      <c r="A2723" s="137" t="str">
        <f>D2723&amp;E2723&amp;F2723</f>
        <v>CAPNOMINA SUCURSALE11</v>
      </c>
      <c r="B2723" t="s">
        <v>3214</v>
      </c>
      <c r="C2723" s="1">
        <v>46031</v>
      </c>
      <c r="D2723" t="s">
        <v>31</v>
      </c>
      <c r="E2723" t="s">
        <v>154</v>
      </c>
      <c r="F2723" t="s">
        <v>118</v>
      </c>
      <c r="J2723" s="389">
        <v>27857.4</v>
      </c>
    </row>
    <row r="2724" spans="1:10" ht="15">
      <c r="A2724" s="137" t="str">
        <f>D2724&amp;E2724&amp;F2724</f>
        <v>ELINOMINA SUCURSALL1</v>
      </c>
      <c r="B2724" t="s">
        <v>3214</v>
      </c>
      <c r="C2724" s="1">
        <v>46031</v>
      </c>
      <c r="D2724" t="s">
        <v>130</v>
      </c>
      <c r="E2724" t="s">
        <v>154</v>
      </c>
      <c r="F2724" t="s">
        <v>136</v>
      </c>
      <c r="J2724" s="389">
        <v>12651.6</v>
      </c>
    </row>
    <row r="2725" spans="1:10" ht="15">
      <c r="A2725" s="137" t="str">
        <f>D2725&amp;E2725&amp;F2725</f>
        <v>HRNOMINA ADMONHR</v>
      </c>
      <c r="B2725" t="s">
        <v>3214</v>
      </c>
      <c r="C2725" s="1">
        <v>46031</v>
      </c>
      <c r="D2725" t="s">
        <v>29</v>
      </c>
      <c r="E2725" t="s">
        <v>147</v>
      </c>
      <c r="F2725" t="s">
        <v>29</v>
      </c>
      <c r="J2725" s="389">
        <v>26343.599999999999</v>
      </c>
    </row>
    <row r="2726" spans="1:10" ht="15">
      <c r="A2726" s="137" t="str">
        <f>D2726&amp;E2726&amp;F2726</f>
        <v>CAPNOMINA ADMONCAPRICHOS</v>
      </c>
      <c r="B2726" t="s">
        <v>3214</v>
      </c>
      <c r="C2726" s="1">
        <v>46031</v>
      </c>
      <c r="D2726" t="s">
        <v>31</v>
      </c>
      <c r="E2726" t="s">
        <v>147</v>
      </c>
      <c r="F2726" t="s">
        <v>33</v>
      </c>
      <c r="J2726" s="389">
        <v>22302.3</v>
      </c>
    </row>
    <row r="2727" spans="1:10" ht="15">
      <c r="A2727" s="137" t="str">
        <f>D2727&amp;E2727&amp;F2727</f>
        <v>SERVICIOSNOMINA SUCURSALCEDIS</v>
      </c>
      <c r="B2727" t="s">
        <v>3214</v>
      </c>
      <c r="C2727" s="1">
        <v>46031</v>
      </c>
      <c r="D2727" t="s">
        <v>21</v>
      </c>
      <c r="E2727" t="s">
        <v>154</v>
      </c>
      <c r="F2727" t="s">
        <v>28</v>
      </c>
      <c r="J2727" s="389">
        <v>68007.63</v>
      </c>
    </row>
    <row r="2728" spans="1:10" ht="15">
      <c r="A2728" s="137" t="str">
        <f>D2728&amp;E2728&amp;F2728</f>
        <v>SERVICIOSNOMINA ADMONINVENTARIOS</v>
      </c>
      <c r="B2728" t="s">
        <v>3214</v>
      </c>
      <c r="C2728" s="1">
        <v>46031</v>
      </c>
      <c r="D2728" t="s">
        <v>21</v>
      </c>
      <c r="E2728" t="s">
        <v>147</v>
      </c>
      <c r="F2728" t="s">
        <v>34</v>
      </c>
      <c r="J2728" s="389">
        <v>2828</v>
      </c>
    </row>
    <row r="2729" spans="1:10" ht="15">
      <c r="A2729" s="137" t="str">
        <f>D2729&amp;E2729&amp;F2729</f>
        <v>SERVICIOSNOMINA ADMONMANTENIMIENTO</v>
      </c>
      <c r="B2729" t="s">
        <v>3214</v>
      </c>
      <c r="C2729" s="1">
        <v>46031</v>
      </c>
      <c r="D2729" t="s">
        <v>21</v>
      </c>
      <c r="E2729" t="s">
        <v>147</v>
      </c>
      <c r="F2729" t="s">
        <v>35</v>
      </c>
      <c r="J2729" s="389">
        <v>15895.22</v>
      </c>
    </row>
    <row r="2730" spans="1:10" ht="15">
      <c r="A2730" s="137" t="str">
        <f>D2730&amp;E2730&amp;F2730</f>
        <v>SERVICIOSNOMINA ADMONCADENA DE SUMINISTROS</v>
      </c>
      <c r="B2730" t="s">
        <v>3214</v>
      </c>
      <c r="C2730" s="1">
        <v>46031</v>
      </c>
      <c r="D2730" t="s">
        <v>21</v>
      </c>
      <c r="E2730" t="s">
        <v>147</v>
      </c>
      <c r="F2730" t="s">
        <v>134</v>
      </c>
      <c r="J2730" s="389">
        <v>22110</v>
      </c>
    </row>
    <row r="2731" spans="1:10" ht="15">
      <c r="A2731" s="137" t="str">
        <f>D2731&amp;E2731&amp;F2731</f>
        <v>SERVICIOSNOMINA ADMONSISTEMAS</v>
      </c>
      <c r="B2731" t="s">
        <v>3214</v>
      </c>
      <c r="C2731" s="1">
        <v>46031</v>
      </c>
      <c r="D2731" t="s">
        <v>21</v>
      </c>
      <c r="E2731" t="s">
        <v>147</v>
      </c>
      <c r="F2731" t="s">
        <v>36</v>
      </c>
      <c r="J2731" s="389">
        <v>10450.09</v>
      </c>
    </row>
    <row r="2732" spans="1:10" ht="15">
      <c r="A2732" s="137" t="str">
        <f>D2732&amp;E2732&amp;F2732</f>
        <v>SERVICIOSNOMINA ADMONCOMPRAS</v>
      </c>
      <c r="B2732" t="s">
        <v>3214</v>
      </c>
      <c r="C2732" s="1">
        <v>46031</v>
      </c>
      <c r="D2732" t="s">
        <v>21</v>
      </c>
      <c r="E2732" t="s">
        <v>147</v>
      </c>
      <c r="F2732" t="s">
        <v>148</v>
      </c>
      <c r="J2732" s="389">
        <v>31741.81</v>
      </c>
    </row>
    <row r="2733" spans="1:10" ht="15">
      <c r="A2733" s="137" t="str">
        <f>D2733&amp;E2733&amp;F2733</f>
        <v>FINANZASNOMINA ADMONCONTABILIDAD</v>
      </c>
      <c r="B2733" t="s">
        <v>3214</v>
      </c>
      <c r="C2733" s="1">
        <v>46031</v>
      </c>
      <c r="D2733" t="s">
        <v>23</v>
      </c>
      <c r="E2733" t="s">
        <v>147</v>
      </c>
      <c r="F2733" t="s">
        <v>37</v>
      </c>
      <c r="J2733" s="389">
        <v>18350.8</v>
      </c>
    </row>
    <row r="2734" spans="1:10" ht="15">
      <c r="A2734" s="137" t="str">
        <f>D2734&amp;E2734&amp;F2734</f>
        <v>FINANZASNOMINA ADMONFINANZAS/LEGAL</v>
      </c>
      <c r="B2734" t="s">
        <v>3214</v>
      </c>
      <c r="C2734" s="1">
        <v>46031</v>
      </c>
      <c r="D2734" t="s">
        <v>23</v>
      </c>
      <c r="E2734" t="s">
        <v>147</v>
      </c>
      <c r="F2734" t="s">
        <v>149</v>
      </c>
      <c r="J2734" s="389">
        <v>9900</v>
      </c>
    </row>
    <row r="2735" spans="1:10" ht="15">
      <c r="A2735" s="137" t="str">
        <f>D2735&amp;E2735&amp;F2735</f>
        <v>FINANZASNOMINA ADMONRECURSOS HUMANOS</v>
      </c>
      <c r="B2735" t="s">
        <v>3214</v>
      </c>
      <c r="C2735" s="1">
        <v>46031</v>
      </c>
      <c r="D2735" t="s">
        <v>23</v>
      </c>
      <c r="E2735" t="s">
        <v>147</v>
      </c>
      <c r="F2735" t="s">
        <v>125</v>
      </c>
      <c r="J2735" s="389">
        <v>12381.43</v>
      </c>
    </row>
    <row r="2736" spans="1:10" ht="15">
      <c r="A2736" s="137" t="str">
        <f>D2736&amp;E2736&amp;F2736</f>
        <v>FINANZASNOMINA ADMONTESORERIA</v>
      </c>
      <c r="B2736" t="s">
        <v>3214</v>
      </c>
      <c r="C2736" s="1">
        <v>46031</v>
      </c>
      <c r="D2736" t="s">
        <v>23</v>
      </c>
      <c r="E2736" t="s">
        <v>147</v>
      </c>
      <c r="F2736" t="s">
        <v>38</v>
      </c>
      <c r="J2736" s="389">
        <v>12825</v>
      </c>
    </row>
    <row r="2737" spans="1:10" ht="15">
      <c r="A2737" s="137" t="str">
        <f>D2737&amp;E2737&amp;F2737</f>
        <v>FINANZASNOMINA ADMONHBG FINANZAS</v>
      </c>
      <c r="B2737" t="s">
        <v>3214</v>
      </c>
      <c r="C2737" s="1">
        <v>46031</v>
      </c>
      <c r="D2737" t="s">
        <v>23</v>
      </c>
      <c r="E2737" t="s">
        <v>147</v>
      </c>
      <c r="F2737" t="s">
        <v>150</v>
      </c>
      <c r="J2737" s="389">
        <v>3102.4</v>
      </c>
    </row>
    <row r="2738" spans="1:10" ht="15">
      <c r="A2738" s="137" t="str">
        <f>D2738&amp;E2738&amp;F2738</f>
        <v>SGENOMINA ADMONGESTION EMPRESARIAL</v>
      </c>
      <c r="B2738" t="s">
        <v>3214</v>
      </c>
      <c r="C2738" s="1">
        <v>46031</v>
      </c>
      <c r="D2738" t="s">
        <v>39</v>
      </c>
      <c r="E2738" t="s">
        <v>147</v>
      </c>
      <c r="F2738" t="s">
        <v>40</v>
      </c>
      <c r="J2738" s="389">
        <v>24550.799999999999</v>
      </c>
    </row>
    <row r="2739" spans="1:10" ht="15">
      <c r="A2739" s="137" t="str">
        <f>D2739&amp;E2739&amp;F2739</f>
        <v>DENOMINA ADMONDIRECCION</v>
      </c>
      <c r="B2739" t="s">
        <v>3214</v>
      </c>
      <c r="C2739" s="1">
        <v>46031</v>
      </c>
      <c r="D2739" t="s">
        <v>41</v>
      </c>
      <c r="E2739" t="s">
        <v>147</v>
      </c>
      <c r="F2739" t="s">
        <v>42</v>
      </c>
      <c r="J2739" s="389">
        <v>7120</v>
      </c>
    </row>
    <row r="2740" spans="1:10" ht="15">
      <c r="A2740" s="137" t="str">
        <f>D2740&amp;E2740&amp;F2740</f>
        <v>MELNOMINA ADMONMELISSA</v>
      </c>
      <c r="B2740" t="s">
        <v>3214</v>
      </c>
      <c r="C2740" s="1">
        <v>46031</v>
      </c>
      <c r="D2740" t="s">
        <v>43</v>
      </c>
      <c r="E2740" t="s">
        <v>147</v>
      </c>
      <c r="F2740" t="s">
        <v>44</v>
      </c>
      <c r="J2740" s="389">
        <v>5801</v>
      </c>
    </row>
    <row r="2741" spans="1:10" ht="15">
      <c r="A2741" s="137" t="str">
        <f>D2741&amp;E2741&amp;F2741</f>
        <v>MMNOMINA ADMONMARKET MAX</v>
      </c>
      <c r="B2741" t="s">
        <v>3214</v>
      </c>
      <c r="C2741" s="1">
        <v>46031</v>
      </c>
      <c r="D2741" t="s">
        <v>45</v>
      </c>
      <c r="E2741" t="s">
        <v>147</v>
      </c>
      <c r="F2741" t="s">
        <v>46</v>
      </c>
      <c r="J2741" s="389">
        <v>13441.14</v>
      </c>
    </row>
    <row r="2742" spans="1:10" ht="15">
      <c r="A2742" s="137" t="str">
        <f>D2742&amp;E2742&amp;F2742</f>
        <v>ANALISISNOMINA ADMONANALISIS DE DATOS</v>
      </c>
      <c r="B2742" t="s">
        <v>3214</v>
      </c>
      <c r="C2742" s="1">
        <v>46031</v>
      </c>
      <c r="D2742" t="s">
        <v>152</v>
      </c>
      <c r="E2742" t="s">
        <v>147</v>
      </c>
      <c r="F2742" t="s">
        <v>153</v>
      </c>
      <c r="J2742" s="389">
        <v>5150.2</v>
      </c>
    </row>
    <row r="2743" spans="1:10" ht="15">
      <c r="A2743" s="137" t="str">
        <f>D2743&amp;E2743&amp;F2743</f>
        <v>MKTNOMINA ADMONMKT</v>
      </c>
      <c r="B2743" t="s">
        <v>3214</v>
      </c>
      <c r="C2743" s="1">
        <v>46031</v>
      </c>
      <c r="D2743" t="s">
        <v>19</v>
      </c>
      <c r="E2743" t="s">
        <v>147</v>
      </c>
      <c r="F2743" t="s">
        <v>19</v>
      </c>
      <c r="J2743" s="389">
        <v>25126.2</v>
      </c>
    </row>
    <row r="2744" spans="1:10" ht="15">
      <c r="A2744" s="137" t="str">
        <f>D2744&amp;E2744&amp;F2744</f>
        <v>FINANZASNOMINA ADMONHBG FINANZAS</v>
      </c>
      <c r="B2744" t="s">
        <v>3214</v>
      </c>
      <c r="C2744" s="1">
        <v>46031</v>
      </c>
      <c r="D2744" t="s">
        <v>23</v>
      </c>
      <c r="E2744" t="s">
        <v>147</v>
      </c>
      <c r="F2744" s="12" t="s">
        <v>150</v>
      </c>
      <c r="J2744" s="385">
        <v>10950</v>
      </c>
    </row>
    <row r="2745" spans="1:10" ht="15">
      <c r="A2745" s="137" t="str">
        <f>D2745&amp;E2745&amp;F2745</f>
        <v>HRNOMINA ADMONHR</v>
      </c>
      <c r="B2745" t="s">
        <v>3214</v>
      </c>
      <c r="C2745" s="1">
        <v>46031</v>
      </c>
      <c r="D2745" t="s">
        <v>29</v>
      </c>
      <c r="E2745" t="s">
        <v>147</v>
      </c>
      <c r="F2745" s="3" t="s">
        <v>29</v>
      </c>
      <c r="J2745" s="385">
        <v>5500</v>
      </c>
    </row>
    <row r="2746" spans="1:10" ht="15">
      <c r="A2746" s="137" t="str">
        <f>D2746&amp;E2746&amp;F2746</f>
        <v>CAPNOMINA ADMONCAPRICHOS</v>
      </c>
      <c r="B2746" t="s">
        <v>3214</v>
      </c>
      <c r="C2746" s="1">
        <v>46031</v>
      </c>
      <c r="D2746" t="s">
        <v>31</v>
      </c>
      <c r="E2746" t="s">
        <v>147</v>
      </c>
      <c r="F2746" s="12" t="s">
        <v>33</v>
      </c>
      <c r="J2746" s="385">
        <v>3700</v>
      </c>
    </row>
    <row r="2747" spans="1:10" ht="15">
      <c r="A2747" s="137" t="str">
        <f>D2747&amp;E2747&amp;F2747</f>
        <v>SGENOMINA ADMONGESTION EMPRESARIAL</v>
      </c>
      <c r="B2747" t="s">
        <v>3214</v>
      </c>
      <c r="C2747" s="1">
        <v>46031</v>
      </c>
      <c r="D2747" t="s">
        <v>39</v>
      </c>
      <c r="E2747" t="s">
        <v>147</v>
      </c>
      <c r="F2747" s="12" t="s">
        <v>40</v>
      </c>
      <c r="J2747" s="385">
        <v>2750</v>
      </c>
    </row>
    <row r="2748" spans="1:10" ht="15">
      <c r="A2748" s="137" t="str">
        <f>D2748&amp;E2748&amp;F2748</f>
        <v>SERVICIOSNOMINA ADMONSERVICIOS</v>
      </c>
      <c r="B2748" t="s">
        <v>3214</v>
      </c>
      <c r="C2748" s="1">
        <v>46031</v>
      </c>
      <c r="D2748" t="s">
        <v>21</v>
      </c>
      <c r="E2748" t="s">
        <v>147</v>
      </c>
      <c r="F2748" s="12" t="s">
        <v>21</v>
      </c>
      <c r="J2748" s="385">
        <v>4750</v>
      </c>
    </row>
    <row r="2749" spans="1:10" ht="15">
      <c r="A2749" s="137" t="str">
        <f>D2749&amp;E2749&amp;F2749</f>
        <v>DENOMINA ADMONDIRECCION</v>
      </c>
      <c r="B2749" t="s">
        <v>3214</v>
      </c>
      <c r="C2749" s="1">
        <v>46031</v>
      </c>
      <c r="D2749" t="s">
        <v>41</v>
      </c>
      <c r="E2749" t="s">
        <v>147</v>
      </c>
      <c r="F2749" s="12" t="s">
        <v>42</v>
      </c>
      <c r="J2749" s="385">
        <v>20750</v>
      </c>
    </row>
    <row r="2750" spans="1:10" ht="15">
      <c r="A2750" s="137" t="str">
        <f>D2750&amp;E2750&amp;F2750</f>
        <v>MMNOMINA ADMONMARKET MAX</v>
      </c>
      <c r="B2750" t="s">
        <v>3214</v>
      </c>
      <c r="C2750" s="1">
        <v>46031</v>
      </c>
      <c r="D2750" t="s">
        <v>45</v>
      </c>
      <c r="E2750" t="s">
        <v>147</v>
      </c>
      <c r="F2750" t="s">
        <v>46</v>
      </c>
      <c r="J2750" s="385">
        <v>2000</v>
      </c>
    </row>
    <row r="2751" spans="1:10" ht="15">
      <c r="A2751" s="137" t="str">
        <f>D2751&amp;E2751&amp;F2751</f>
        <v>SERVICIOSVACACIONES/FINIQUITOSSERVICIOS</v>
      </c>
      <c r="B2751" t="s">
        <v>3214</v>
      </c>
      <c r="C2751" s="1">
        <v>46031</v>
      </c>
      <c r="D2751" t="s">
        <v>21</v>
      </c>
      <c r="E2751" s="12" t="s">
        <v>190</v>
      </c>
      <c r="F2751" t="s">
        <v>21</v>
      </c>
      <c r="J2751" s="385">
        <v>1500</v>
      </c>
    </row>
    <row r="2752" spans="1:10" ht="15">
      <c r="A2752" s="137" t="str">
        <f>D2752&amp;E2752&amp;F2752</f>
        <v>SERVICIOSVACACIONES/FINIQUITOSSERVICIOS</v>
      </c>
      <c r="B2752" t="s">
        <v>3214</v>
      </c>
      <c r="C2752" s="1">
        <v>46031</v>
      </c>
      <c r="D2752" t="s">
        <v>21</v>
      </c>
      <c r="E2752" s="12" t="s">
        <v>190</v>
      </c>
      <c r="F2752" t="s">
        <v>21</v>
      </c>
      <c r="J2752" s="385">
        <v>2585.14</v>
      </c>
    </row>
    <row r="2753" spans="1:10" ht="15">
      <c r="A2753" s="137" t="str">
        <f>D2753&amp;E2753&amp;F2753</f>
        <v>HRNOMINA SUCURSALA1</v>
      </c>
      <c r="B2753" t="s">
        <v>3214</v>
      </c>
      <c r="C2753" s="1">
        <v>46038</v>
      </c>
      <c r="D2753" t="s">
        <v>29</v>
      </c>
      <c r="E2753" t="s">
        <v>154</v>
      </c>
      <c r="F2753" t="s">
        <v>88</v>
      </c>
      <c r="J2753" s="385">
        <v>10425.799999999999</v>
      </c>
    </row>
    <row r="2754" spans="1:10" ht="15">
      <c r="A2754" s="137" t="str">
        <f>D2754&amp;E2754&amp;F2754</f>
        <v>HRNOMINA SUCURSALA2</v>
      </c>
      <c r="B2754" t="s">
        <v>3214</v>
      </c>
      <c r="C2754" s="1">
        <v>46038</v>
      </c>
      <c r="D2754" t="s">
        <v>29</v>
      </c>
      <c r="E2754" t="s">
        <v>154</v>
      </c>
      <c r="F2754" t="s">
        <v>89</v>
      </c>
      <c r="J2754" s="385">
        <v>15049.8</v>
      </c>
    </row>
    <row r="2755" spans="1:10" ht="15">
      <c r="A2755" s="137" t="str">
        <f>D2755&amp;E2755&amp;F2755</f>
        <v>HRNOMINA SUCURSALA3</v>
      </c>
      <c r="B2755" t="s">
        <v>3214</v>
      </c>
      <c r="C2755" s="1">
        <v>46038</v>
      </c>
      <c r="D2755" t="s">
        <v>29</v>
      </c>
      <c r="E2755" t="s">
        <v>154</v>
      </c>
      <c r="F2755" t="s">
        <v>90</v>
      </c>
      <c r="J2755" s="385">
        <v>11653.4</v>
      </c>
    </row>
    <row r="2756" spans="1:10" ht="15">
      <c r="A2756" s="137" t="str">
        <f>D2756&amp;E2756&amp;F2756</f>
        <v>HRNOMINA SUCURSALA4</v>
      </c>
      <c r="B2756" t="s">
        <v>3214</v>
      </c>
      <c r="C2756" s="1">
        <v>46038</v>
      </c>
      <c r="D2756" t="s">
        <v>29</v>
      </c>
      <c r="E2756" t="s">
        <v>154</v>
      </c>
      <c r="F2756" t="s">
        <v>91</v>
      </c>
      <c r="J2756" s="385">
        <v>10513.8</v>
      </c>
    </row>
    <row r="2757" spans="1:10" ht="15">
      <c r="A2757" s="137" t="str">
        <f>D2757&amp;E2757&amp;F2757</f>
        <v>HRNOMINA SUCURSALA5</v>
      </c>
      <c r="B2757" t="s">
        <v>3214</v>
      </c>
      <c r="C2757" s="1">
        <v>46038</v>
      </c>
      <c r="D2757" t="s">
        <v>29</v>
      </c>
      <c r="E2757" t="s">
        <v>154</v>
      </c>
      <c r="F2757" t="s">
        <v>92</v>
      </c>
      <c r="J2757" s="385">
        <v>14050.4</v>
      </c>
    </row>
    <row r="2758" spans="1:10" ht="15">
      <c r="A2758" s="137" t="str">
        <f>D2758&amp;E2758&amp;F2758</f>
        <v>HRNOMINA SUCURSALA6</v>
      </c>
      <c r="B2758" t="s">
        <v>3214</v>
      </c>
      <c r="C2758" s="1">
        <v>46038</v>
      </c>
      <c r="D2758" t="s">
        <v>29</v>
      </c>
      <c r="E2758" t="s">
        <v>154</v>
      </c>
      <c r="F2758" t="s">
        <v>93</v>
      </c>
      <c r="J2758" s="385">
        <v>15171.69</v>
      </c>
    </row>
    <row r="2759" spans="1:10" ht="15">
      <c r="A2759" s="137" t="str">
        <f>D2759&amp;E2759&amp;F2759</f>
        <v>HRNOMINA SUCURSALA8</v>
      </c>
      <c r="B2759" t="s">
        <v>3214</v>
      </c>
      <c r="C2759" s="1">
        <v>46038</v>
      </c>
      <c r="D2759" t="s">
        <v>29</v>
      </c>
      <c r="E2759" t="s">
        <v>154</v>
      </c>
      <c r="F2759" t="s">
        <v>94</v>
      </c>
      <c r="J2759" s="385">
        <v>26495</v>
      </c>
    </row>
    <row r="2760" spans="1:10" ht="15">
      <c r="A2760" s="137" t="str">
        <f>D2760&amp;E2760&amp;F2760</f>
        <v>HRNOMINA SUCURSALA9</v>
      </c>
      <c r="B2760" t="s">
        <v>3214</v>
      </c>
      <c r="C2760" s="1">
        <v>46038</v>
      </c>
      <c r="D2760" t="s">
        <v>29</v>
      </c>
      <c r="E2760" t="s">
        <v>154</v>
      </c>
      <c r="F2760" t="s">
        <v>95</v>
      </c>
      <c r="J2760" s="385">
        <v>12602.62</v>
      </c>
    </row>
    <row r="2761" spans="1:10" ht="15">
      <c r="A2761" s="137" t="str">
        <f>D2761&amp;E2761&amp;F2761</f>
        <v>HRNOMINA SUCURSALA10</v>
      </c>
      <c r="B2761" t="s">
        <v>3214</v>
      </c>
      <c r="C2761" s="1">
        <v>46038</v>
      </c>
      <c r="D2761" t="s">
        <v>29</v>
      </c>
      <c r="E2761" t="s">
        <v>154</v>
      </c>
      <c r="F2761" t="s">
        <v>96</v>
      </c>
      <c r="J2761" s="385">
        <v>23408.2</v>
      </c>
    </row>
    <row r="2762" spans="1:10" ht="15">
      <c r="A2762" s="137" t="str">
        <f>D2762&amp;E2762&amp;F2762</f>
        <v>HRNOMINA SUCURSALA11</v>
      </c>
      <c r="B2762" t="s">
        <v>3214</v>
      </c>
      <c r="C2762" s="1">
        <v>46038</v>
      </c>
      <c r="D2762" t="s">
        <v>29</v>
      </c>
      <c r="E2762" t="s">
        <v>154</v>
      </c>
      <c r="F2762" t="s">
        <v>97</v>
      </c>
      <c r="J2762" s="385">
        <v>14647.4</v>
      </c>
    </row>
    <row r="2763" spans="1:10" ht="15">
      <c r="A2763" s="137" t="str">
        <f>D2763&amp;E2763&amp;F2763</f>
        <v>HRNOMINA SUCURSALA12</v>
      </c>
      <c r="B2763" t="s">
        <v>3214</v>
      </c>
      <c r="C2763" s="1">
        <v>46038</v>
      </c>
      <c r="D2763" t="s">
        <v>29</v>
      </c>
      <c r="E2763" t="s">
        <v>154</v>
      </c>
      <c r="F2763" t="s">
        <v>98</v>
      </c>
      <c r="J2763" s="385">
        <v>21555.8</v>
      </c>
    </row>
    <row r="2764" spans="1:10" ht="15">
      <c r="A2764" s="137" t="str">
        <f>D2764&amp;E2764&amp;F2764</f>
        <v>HRNOMINA SUCURSALA14</v>
      </c>
      <c r="B2764" t="s">
        <v>3214</v>
      </c>
      <c r="C2764" s="1">
        <v>46038</v>
      </c>
      <c r="D2764" t="s">
        <v>29</v>
      </c>
      <c r="E2764" t="s">
        <v>154</v>
      </c>
      <c r="F2764" t="s">
        <v>99</v>
      </c>
      <c r="J2764" s="385">
        <v>15518.8</v>
      </c>
    </row>
    <row r="2765" spans="1:10" ht="15">
      <c r="A2765" s="137" t="str">
        <f>D2765&amp;E2765&amp;F2765</f>
        <v>HRNOMINA SUCURSALA15</v>
      </c>
      <c r="B2765" t="s">
        <v>3214</v>
      </c>
      <c r="C2765" s="1">
        <v>46038</v>
      </c>
      <c r="D2765" t="s">
        <v>29</v>
      </c>
      <c r="E2765" t="s">
        <v>154</v>
      </c>
      <c r="F2765" t="s">
        <v>100</v>
      </c>
      <c r="J2765" s="385">
        <v>11201.6</v>
      </c>
    </row>
    <row r="2766" spans="1:10" ht="15">
      <c r="A2766" s="137" t="str">
        <f>D2766&amp;E2766&amp;F2766</f>
        <v>HRNOMINA SUCURSALA16</v>
      </c>
      <c r="B2766" t="s">
        <v>3214</v>
      </c>
      <c r="C2766" s="1">
        <v>46038</v>
      </c>
      <c r="D2766" t="s">
        <v>29</v>
      </c>
      <c r="E2766" t="s">
        <v>154</v>
      </c>
      <c r="F2766" t="s">
        <v>101</v>
      </c>
      <c r="J2766" s="385">
        <v>16564.89</v>
      </c>
    </row>
    <row r="2767" spans="1:10" ht="15">
      <c r="A2767" s="137" t="str">
        <f>D2767&amp;E2767&amp;F2767</f>
        <v>HRNOMINA SUCURSALA17</v>
      </c>
      <c r="B2767" t="s">
        <v>3214</v>
      </c>
      <c r="C2767" s="1">
        <v>46038</v>
      </c>
      <c r="D2767" t="s">
        <v>29</v>
      </c>
      <c r="E2767" t="s">
        <v>154</v>
      </c>
      <c r="F2767" t="s">
        <v>102</v>
      </c>
      <c r="J2767" s="385">
        <v>12549</v>
      </c>
    </row>
    <row r="2768" spans="1:10" ht="15">
      <c r="A2768" s="137" t="str">
        <f>D2768&amp;E2768&amp;F2768</f>
        <v>HRNOMINA SUCURSALA18</v>
      </c>
      <c r="B2768" t="s">
        <v>3214</v>
      </c>
      <c r="C2768" s="1">
        <v>46038</v>
      </c>
      <c r="D2768" t="s">
        <v>29</v>
      </c>
      <c r="E2768" t="s">
        <v>154</v>
      </c>
      <c r="F2768" t="s">
        <v>103</v>
      </c>
      <c r="J2768" s="385">
        <v>15405.8</v>
      </c>
    </row>
    <row r="2769" spans="1:10" ht="15">
      <c r="A2769" s="137" t="str">
        <f>D2769&amp;E2769&amp;F2769</f>
        <v>HRNOMINA SUCURSALA22</v>
      </c>
      <c r="B2769" t="s">
        <v>3214</v>
      </c>
      <c r="C2769" s="1">
        <v>46038</v>
      </c>
      <c r="D2769" t="s">
        <v>29</v>
      </c>
      <c r="E2769" t="s">
        <v>154</v>
      </c>
      <c r="F2769" t="s">
        <v>104</v>
      </c>
      <c r="J2769" s="385">
        <v>15298.8</v>
      </c>
    </row>
    <row r="2770" spans="1:10" ht="15">
      <c r="A2770" s="137" t="str">
        <f>D2770&amp;E2770&amp;F2770</f>
        <v>HRNOMINA SUCURSALA23</v>
      </c>
      <c r="B2770" t="s">
        <v>3214</v>
      </c>
      <c r="C2770" s="1">
        <v>46038</v>
      </c>
      <c r="D2770" t="s">
        <v>29</v>
      </c>
      <c r="E2770" t="s">
        <v>154</v>
      </c>
      <c r="F2770" t="s">
        <v>105</v>
      </c>
      <c r="J2770" s="385">
        <v>10753.6</v>
      </c>
    </row>
    <row r="2771" spans="1:10" ht="15">
      <c r="A2771" s="137" t="str">
        <f>D2771&amp;E2771&amp;F2771</f>
        <v>HRNOMINA SUCURSALA24</v>
      </c>
      <c r="B2771" t="s">
        <v>3214</v>
      </c>
      <c r="C2771" s="1">
        <v>46038</v>
      </c>
      <c r="D2771" t="s">
        <v>29</v>
      </c>
      <c r="E2771" t="s">
        <v>154</v>
      </c>
      <c r="F2771" t="s">
        <v>106</v>
      </c>
      <c r="J2771" s="385">
        <v>17438</v>
      </c>
    </row>
    <row r="2772" spans="1:10" ht="15">
      <c r="A2772" s="137" t="str">
        <f>D2772&amp;E2772&amp;F2772</f>
        <v>CAPNOMINA SUCURSALE1</v>
      </c>
      <c r="B2772" t="s">
        <v>3214</v>
      </c>
      <c r="C2772" s="1">
        <v>46038</v>
      </c>
      <c r="D2772" t="s">
        <v>31</v>
      </c>
      <c r="E2772" t="s">
        <v>154</v>
      </c>
      <c r="F2772" t="s">
        <v>107</v>
      </c>
      <c r="J2772" s="385">
        <v>16972.88</v>
      </c>
    </row>
    <row r="2773" spans="1:10" ht="15">
      <c r="A2773" s="137" t="str">
        <f>D2773&amp;E2773&amp;F2773</f>
        <v>CAPNOMINA SUCURSALE2</v>
      </c>
      <c r="B2773" t="s">
        <v>3214</v>
      </c>
      <c r="C2773" s="1">
        <v>46038</v>
      </c>
      <c r="D2773" t="s">
        <v>31</v>
      </c>
      <c r="E2773" t="s">
        <v>154</v>
      </c>
      <c r="F2773" t="s">
        <v>108</v>
      </c>
      <c r="J2773" s="385">
        <v>34985.800000000003</v>
      </c>
    </row>
    <row r="2774" spans="1:10" ht="15">
      <c r="A2774" s="137" t="str">
        <f>D2774&amp;E2774&amp;F2774</f>
        <v>CAPNOMINA SUCURSALE3</v>
      </c>
      <c r="B2774" t="s">
        <v>3214</v>
      </c>
      <c r="C2774" s="1">
        <v>46038</v>
      </c>
      <c r="D2774" t="s">
        <v>31</v>
      </c>
      <c r="E2774" t="s">
        <v>154</v>
      </c>
      <c r="F2774" t="s">
        <v>109</v>
      </c>
      <c r="J2774" s="385">
        <v>16368.2</v>
      </c>
    </row>
    <row r="2775" spans="1:10" ht="15">
      <c r="A2775" s="137" t="str">
        <f>D2775&amp;E2775&amp;F2775</f>
        <v>CAPNOMINA SUCURSALE4</v>
      </c>
      <c r="B2775" t="s">
        <v>3214</v>
      </c>
      <c r="C2775" s="1">
        <v>46038</v>
      </c>
      <c r="D2775" t="s">
        <v>31</v>
      </c>
      <c r="E2775" t="s">
        <v>154</v>
      </c>
      <c r="F2775" t="s">
        <v>110</v>
      </c>
      <c r="J2775" s="385">
        <v>29546.799999999999</v>
      </c>
    </row>
    <row r="2776" spans="1:10" ht="15">
      <c r="A2776" s="137" t="str">
        <f>D2776&amp;E2776&amp;F2776</f>
        <v>CAPNOMINA SUCURSALE5</v>
      </c>
      <c r="B2776" t="s">
        <v>3214</v>
      </c>
      <c r="C2776" s="1">
        <v>46038</v>
      </c>
      <c r="D2776" t="s">
        <v>31</v>
      </c>
      <c r="E2776" t="s">
        <v>154</v>
      </c>
      <c r="F2776" t="s">
        <v>111</v>
      </c>
      <c r="J2776" s="385">
        <v>25040.2</v>
      </c>
    </row>
    <row r="2777" spans="1:10" ht="15">
      <c r="A2777" s="137" t="str">
        <f>D2777&amp;E2777&amp;F2777</f>
        <v>CAPNOMINA SUCURSALE6</v>
      </c>
      <c r="B2777" t="s">
        <v>3214</v>
      </c>
      <c r="C2777" s="1">
        <v>46038</v>
      </c>
      <c r="D2777" t="s">
        <v>31</v>
      </c>
      <c r="E2777" t="s">
        <v>154</v>
      </c>
      <c r="F2777" t="s">
        <v>112</v>
      </c>
      <c r="J2777" s="385">
        <v>15507.8</v>
      </c>
    </row>
    <row r="2778" spans="1:10" ht="15">
      <c r="A2778" s="137" t="str">
        <f>D2778&amp;E2778&amp;F2778</f>
        <v>CAPNOMINA SUCURSALE7</v>
      </c>
      <c r="B2778" t="s">
        <v>3214</v>
      </c>
      <c r="C2778" s="1">
        <v>46038</v>
      </c>
      <c r="D2778" t="s">
        <v>31</v>
      </c>
      <c r="E2778" t="s">
        <v>154</v>
      </c>
      <c r="F2778" t="s">
        <v>113</v>
      </c>
      <c r="J2778" s="385">
        <v>16844.599999999999</v>
      </c>
    </row>
    <row r="2779" spans="1:10" ht="15">
      <c r="A2779" s="137" t="str">
        <f>D2779&amp;E2779&amp;F2779</f>
        <v>CAPNOMINA SUCURSALE8</v>
      </c>
      <c r="B2779" t="s">
        <v>3214</v>
      </c>
      <c r="C2779" s="1">
        <v>46038</v>
      </c>
      <c r="D2779" t="s">
        <v>31</v>
      </c>
      <c r="E2779" t="s">
        <v>154</v>
      </c>
      <c r="F2779" t="s">
        <v>114</v>
      </c>
      <c r="J2779" s="385">
        <v>25504.2</v>
      </c>
    </row>
    <row r="2780" spans="1:10" ht="15">
      <c r="A2780" s="137" t="str">
        <f>D2780&amp;E2780&amp;F2780</f>
        <v>CAPNOMINA SUCURSALE9</v>
      </c>
      <c r="B2780" t="s">
        <v>3214</v>
      </c>
      <c r="C2780" s="1">
        <v>46038</v>
      </c>
      <c r="D2780" t="s">
        <v>31</v>
      </c>
      <c r="E2780" t="s">
        <v>154</v>
      </c>
      <c r="F2780" t="s">
        <v>116</v>
      </c>
      <c r="J2780" s="385">
        <v>22954.2</v>
      </c>
    </row>
    <row r="2781" spans="1:10" ht="15">
      <c r="A2781" s="137" t="str">
        <f>D2781&amp;E2781&amp;F2781</f>
        <v>CAPNOMINA SUCURSALE10</v>
      </c>
      <c r="B2781" t="s">
        <v>3214</v>
      </c>
      <c r="C2781" s="1">
        <v>46038</v>
      </c>
      <c r="D2781" t="s">
        <v>31</v>
      </c>
      <c r="E2781" t="s">
        <v>154</v>
      </c>
      <c r="F2781" t="s">
        <v>117</v>
      </c>
      <c r="J2781" s="385">
        <v>9692.6</v>
      </c>
    </row>
    <row r="2782" spans="1:10" ht="15">
      <c r="A2782" s="137" t="str">
        <f>D2782&amp;E2782&amp;F2782</f>
        <v>CAPNOMINA SUCURSALE11</v>
      </c>
      <c r="B2782" t="s">
        <v>3214</v>
      </c>
      <c r="C2782" s="1">
        <v>46038</v>
      </c>
      <c r="D2782" t="s">
        <v>31</v>
      </c>
      <c r="E2782" t="s">
        <v>154</v>
      </c>
      <c r="F2782" t="s">
        <v>118</v>
      </c>
      <c r="J2782" s="385">
        <v>33535.4</v>
      </c>
    </row>
    <row r="2783" spans="1:10" ht="15">
      <c r="A2783" s="137" t="str">
        <f>D2783&amp;E2783&amp;F2783</f>
        <v>ELINOMINA SUCURSALL1</v>
      </c>
      <c r="B2783" t="s">
        <v>3214</v>
      </c>
      <c r="C2783" s="1">
        <v>46038</v>
      </c>
      <c r="D2783" t="s">
        <v>130</v>
      </c>
      <c r="E2783" t="s">
        <v>154</v>
      </c>
      <c r="F2783" t="s">
        <v>136</v>
      </c>
      <c r="J2783" s="385">
        <v>12196.4</v>
      </c>
    </row>
    <row r="2784" spans="1:10" ht="15">
      <c r="A2784" s="137" t="str">
        <f>D2784&amp;E2784&amp;F2784</f>
        <v>HRNOMINA ADMONHR</v>
      </c>
      <c r="B2784" t="s">
        <v>3214</v>
      </c>
      <c r="C2784" s="1">
        <v>46038</v>
      </c>
      <c r="D2784" t="s">
        <v>29</v>
      </c>
      <c r="E2784" t="s">
        <v>147</v>
      </c>
      <c r="F2784" t="s">
        <v>29</v>
      </c>
      <c r="J2784" s="385">
        <v>28066.799999999999</v>
      </c>
    </row>
    <row r="2785" spans="1:10" ht="15">
      <c r="A2785" s="137" t="str">
        <f>D2785&amp;E2785&amp;F2785</f>
        <v>CAPNOMINA ADMONCAPRICHOS</v>
      </c>
      <c r="B2785" t="s">
        <v>3214</v>
      </c>
      <c r="C2785" s="1">
        <v>46038</v>
      </c>
      <c r="D2785" t="s">
        <v>31</v>
      </c>
      <c r="E2785" t="s">
        <v>147</v>
      </c>
      <c r="F2785" t="s">
        <v>33</v>
      </c>
      <c r="J2785" s="385">
        <v>23801.5</v>
      </c>
    </row>
    <row r="2786" spans="1:10" ht="15">
      <c r="A2786" s="137" t="str">
        <f>D2786&amp;E2786&amp;F2786</f>
        <v>SERVICIOSNOMINA SUCURSALCEDIS</v>
      </c>
      <c r="B2786" t="s">
        <v>3214</v>
      </c>
      <c r="C2786" s="1">
        <v>46038</v>
      </c>
      <c r="D2786" t="s">
        <v>21</v>
      </c>
      <c r="E2786" t="s">
        <v>154</v>
      </c>
      <c r="F2786" t="s">
        <v>28</v>
      </c>
      <c r="J2786" s="385">
        <v>70292.929999999993</v>
      </c>
    </row>
    <row r="2787" spans="1:10" ht="15">
      <c r="A2787" s="137" t="str">
        <f>D2787&amp;E2787&amp;F2787</f>
        <v>SERVICIOSNOMINA ADMONINVENTARIOS</v>
      </c>
      <c r="B2787" t="s">
        <v>3214</v>
      </c>
      <c r="C2787" s="1">
        <v>46038</v>
      </c>
      <c r="D2787" t="s">
        <v>21</v>
      </c>
      <c r="E2787" t="s">
        <v>147</v>
      </c>
      <c r="F2787" t="s">
        <v>34</v>
      </c>
      <c r="J2787" s="385">
        <v>2926</v>
      </c>
    </row>
    <row r="2788" spans="1:10" ht="15">
      <c r="A2788" s="137" t="str">
        <f>D2788&amp;E2788&amp;F2788</f>
        <v>SERVICIOSNOMINA ADMONMANTENIMIENTO</v>
      </c>
      <c r="B2788" t="s">
        <v>3214</v>
      </c>
      <c r="C2788" s="1">
        <v>46038</v>
      </c>
      <c r="D2788" t="s">
        <v>21</v>
      </c>
      <c r="E2788" t="s">
        <v>147</v>
      </c>
      <c r="F2788" t="s">
        <v>35</v>
      </c>
      <c r="J2788" s="385">
        <v>23705.62</v>
      </c>
    </row>
    <row r="2789" spans="1:10" ht="15">
      <c r="A2789" s="137" t="str">
        <f>D2789&amp;E2789&amp;F2789</f>
        <v>SERVICIOSNOMINA ADMONCADENA DE SUMINISTROS</v>
      </c>
      <c r="B2789" t="s">
        <v>3214</v>
      </c>
      <c r="C2789" s="1">
        <v>46038</v>
      </c>
      <c r="D2789" t="s">
        <v>21</v>
      </c>
      <c r="E2789" t="s">
        <v>147</v>
      </c>
      <c r="F2789" t="s">
        <v>134</v>
      </c>
      <c r="J2789" s="385">
        <v>22310</v>
      </c>
    </row>
    <row r="2790" spans="1:10" ht="15">
      <c r="A2790" s="137" t="str">
        <f>D2790&amp;E2790&amp;F2790</f>
        <v>SERVICIOSNOMINA ADMONSISTEMAS</v>
      </c>
      <c r="B2790" t="s">
        <v>3214</v>
      </c>
      <c r="C2790" s="1">
        <v>46038</v>
      </c>
      <c r="D2790" t="s">
        <v>21</v>
      </c>
      <c r="E2790" t="s">
        <v>147</v>
      </c>
      <c r="F2790" t="s">
        <v>36</v>
      </c>
      <c r="J2790" s="385">
        <v>14816.09</v>
      </c>
    </row>
    <row r="2791" spans="1:10" ht="15">
      <c r="A2791" s="137" t="str">
        <f>D2791&amp;E2791&amp;F2791</f>
        <v>SERVICIOSNOMINA ADMONCOMPRAS</v>
      </c>
      <c r="B2791" t="s">
        <v>3214</v>
      </c>
      <c r="C2791" s="1">
        <v>46038</v>
      </c>
      <c r="D2791" t="s">
        <v>21</v>
      </c>
      <c r="E2791" t="s">
        <v>147</v>
      </c>
      <c r="F2791" t="s">
        <v>148</v>
      </c>
      <c r="J2791" s="385">
        <v>31742.21</v>
      </c>
    </row>
    <row r="2792" spans="1:10" ht="15">
      <c r="A2792" s="137" t="str">
        <f>D2792&amp;E2792&amp;F2792</f>
        <v>FINANZASNOMINA ADMONCONTABILIDAD</v>
      </c>
      <c r="B2792" t="s">
        <v>3214</v>
      </c>
      <c r="C2792" s="1">
        <v>46038</v>
      </c>
      <c r="D2792" t="s">
        <v>23</v>
      </c>
      <c r="E2792" t="s">
        <v>147</v>
      </c>
      <c r="F2792" t="s">
        <v>37</v>
      </c>
      <c r="J2792" s="385">
        <v>18692</v>
      </c>
    </row>
    <row r="2793" spans="1:10" ht="15">
      <c r="A2793" s="137" t="str">
        <f>D2793&amp;E2793&amp;F2793</f>
        <v>FINANZASNOMINA ADMONFINANZAS/LEGAL</v>
      </c>
      <c r="B2793" t="s">
        <v>3214</v>
      </c>
      <c r="C2793" s="1">
        <v>46038</v>
      </c>
      <c r="D2793" t="s">
        <v>23</v>
      </c>
      <c r="E2793" t="s">
        <v>147</v>
      </c>
      <c r="F2793" t="s">
        <v>149</v>
      </c>
      <c r="J2793" s="385">
        <v>9900.2000000000007</v>
      </c>
    </row>
    <row r="2794" spans="1:10" ht="15">
      <c r="A2794" s="137" t="str">
        <f>D2794&amp;E2794&amp;F2794</f>
        <v>FINANZASNOMINA ADMONRECURSOS HUMANOS</v>
      </c>
      <c r="B2794" t="s">
        <v>3214</v>
      </c>
      <c r="C2794" s="1">
        <v>46038</v>
      </c>
      <c r="D2794" t="s">
        <v>23</v>
      </c>
      <c r="E2794" t="s">
        <v>147</v>
      </c>
      <c r="F2794" t="s">
        <v>125</v>
      </c>
      <c r="J2794" s="385">
        <v>12201.43</v>
      </c>
    </row>
    <row r="2795" spans="1:10" ht="15">
      <c r="A2795" s="137" t="str">
        <f>D2795&amp;E2795&amp;F2795</f>
        <v>FINANZASNOMINA ADMONTESORERIA</v>
      </c>
      <c r="B2795" t="s">
        <v>3214</v>
      </c>
      <c r="C2795" s="1">
        <v>46038</v>
      </c>
      <c r="D2795" t="s">
        <v>23</v>
      </c>
      <c r="E2795" t="s">
        <v>147</v>
      </c>
      <c r="F2795" t="s">
        <v>38</v>
      </c>
      <c r="J2795" s="385">
        <v>12600.2</v>
      </c>
    </row>
    <row r="2796" spans="1:10" ht="15">
      <c r="A2796" s="137" t="str">
        <f>D2796&amp;E2796&amp;F2796</f>
        <v>FINANZASNOMINA ADMONHBG FINANZAS</v>
      </c>
      <c r="B2796" t="s">
        <v>3214</v>
      </c>
      <c r="C2796" s="1">
        <v>46038</v>
      </c>
      <c r="D2796" t="s">
        <v>23</v>
      </c>
      <c r="E2796" t="s">
        <v>147</v>
      </c>
      <c r="F2796" t="s">
        <v>150</v>
      </c>
      <c r="J2796" s="385">
        <v>3102.4</v>
      </c>
    </row>
    <row r="2797" spans="1:10" ht="15">
      <c r="A2797" s="137" t="str">
        <f>D2797&amp;E2797&amp;F2797</f>
        <v>SGENOMINA ADMONGESTION EMPRESARIAL</v>
      </c>
      <c r="B2797" t="s">
        <v>3214</v>
      </c>
      <c r="C2797" s="1">
        <v>46038</v>
      </c>
      <c r="D2797" t="s">
        <v>39</v>
      </c>
      <c r="E2797" t="s">
        <v>147</v>
      </c>
      <c r="F2797" t="s">
        <v>40</v>
      </c>
      <c r="J2797" s="385">
        <v>24550.400000000001</v>
      </c>
    </row>
    <row r="2798" spans="1:10" ht="15">
      <c r="A2798" s="137" t="str">
        <f>D2798&amp;E2798&amp;F2798</f>
        <v>DENOMINA ADMONDIRECCION</v>
      </c>
      <c r="B2798" t="s">
        <v>3214</v>
      </c>
      <c r="C2798" s="1">
        <v>46038</v>
      </c>
      <c r="D2798" t="s">
        <v>41</v>
      </c>
      <c r="E2798" t="s">
        <v>147</v>
      </c>
      <c r="F2798" t="s">
        <v>42</v>
      </c>
      <c r="J2798" s="385">
        <v>9100</v>
      </c>
    </row>
    <row r="2799" spans="1:10" ht="15">
      <c r="A2799" s="137" t="str">
        <f>D2799&amp;E2799&amp;F2799</f>
        <v>MELNOMINA ADMONMELISSA</v>
      </c>
      <c r="B2799" t="s">
        <v>3214</v>
      </c>
      <c r="C2799" s="1">
        <v>46038</v>
      </c>
      <c r="D2799" t="s">
        <v>43</v>
      </c>
      <c r="E2799" t="s">
        <v>147</v>
      </c>
      <c r="F2799" t="s">
        <v>44</v>
      </c>
      <c r="J2799" s="385">
        <v>5801</v>
      </c>
    </row>
    <row r="2800" spans="1:10" ht="15">
      <c r="A2800" s="137" t="str">
        <f>D2800&amp;E2800&amp;F2800</f>
        <v>MMNOMINA ADMONMARKET MAX</v>
      </c>
      <c r="B2800" t="s">
        <v>3214</v>
      </c>
      <c r="C2800" s="1">
        <v>46038</v>
      </c>
      <c r="D2800" t="s">
        <v>45</v>
      </c>
      <c r="E2800" t="s">
        <v>147</v>
      </c>
      <c r="F2800" t="s">
        <v>46</v>
      </c>
      <c r="J2800" s="385">
        <v>13560.54</v>
      </c>
    </row>
    <row r="2801" spans="1:10" ht="15">
      <c r="A2801" s="137" t="str">
        <f>D2801&amp;E2801&amp;F2801</f>
        <v>ANALISISNOMINA ADMONANALISIS DE DATOS</v>
      </c>
      <c r="B2801" t="s">
        <v>3214</v>
      </c>
      <c r="C2801" s="1">
        <v>46038</v>
      </c>
      <c r="D2801" t="s">
        <v>152</v>
      </c>
      <c r="E2801" t="s">
        <v>147</v>
      </c>
      <c r="F2801" t="s">
        <v>153</v>
      </c>
      <c r="J2801" s="385">
        <v>5150</v>
      </c>
    </row>
    <row r="2802" spans="1:10" ht="15">
      <c r="A2802" s="137" t="str">
        <f>D2802&amp;E2802&amp;F2802</f>
        <v>MKTNOMINA ADMONMKT</v>
      </c>
      <c r="B2802" t="s">
        <v>3214</v>
      </c>
      <c r="C2802" s="1">
        <v>46038</v>
      </c>
      <c r="D2802" t="s">
        <v>19</v>
      </c>
      <c r="E2802" t="s">
        <v>147</v>
      </c>
      <c r="F2802" t="s">
        <v>19</v>
      </c>
      <c r="J2802" s="385">
        <v>25126.400000000001</v>
      </c>
    </row>
    <row r="2803" spans="1:10" ht="15">
      <c r="A2803" s="137" t="str">
        <f>D2803&amp;E2803&amp;F2803</f>
        <v>FINANZASNOMINA ADMONHBG FINANZAS</v>
      </c>
      <c r="B2803" t="s">
        <v>3214</v>
      </c>
      <c r="C2803" s="1">
        <v>46038</v>
      </c>
      <c r="D2803" t="s">
        <v>23</v>
      </c>
      <c r="E2803" t="s">
        <v>147</v>
      </c>
      <c r="F2803" s="12" t="s">
        <v>150</v>
      </c>
      <c r="J2803" s="385">
        <v>10950</v>
      </c>
    </row>
    <row r="2804" spans="1:10" ht="15">
      <c r="A2804" s="137" t="str">
        <f>D2804&amp;E2804&amp;F2804</f>
        <v>HRNOMINA ADMONHR</v>
      </c>
      <c r="B2804" t="s">
        <v>3214</v>
      </c>
      <c r="C2804" s="1">
        <v>46038</v>
      </c>
      <c r="D2804" t="s">
        <v>29</v>
      </c>
      <c r="E2804" t="s">
        <v>147</v>
      </c>
      <c r="F2804" s="3" t="s">
        <v>29</v>
      </c>
      <c r="J2804" s="385">
        <v>5500</v>
      </c>
    </row>
    <row r="2805" spans="1:10" ht="15">
      <c r="A2805" s="137" t="str">
        <f>D2805&amp;E2805&amp;F2805</f>
        <v>CAPNOMINA ADMONCAPRICHOS</v>
      </c>
      <c r="B2805" t="s">
        <v>3214</v>
      </c>
      <c r="C2805" s="1">
        <v>46038</v>
      </c>
      <c r="D2805" t="s">
        <v>31</v>
      </c>
      <c r="E2805" t="s">
        <v>147</v>
      </c>
      <c r="F2805" s="12" t="s">
        <v>33</v>
      </c>
      <c r="J2805" s="385">
        <v>3700</v>
      </c>
    </row>
    <row r="2806" spans="1:10" ht="15">
      <c r="A2806" s="137" t="str">
        <f>D2806&amp;E2806&amp;F2806</f>
        <v>SGENOMINA ADMONGESTION EMPRESARIAL</v>
      </c>
      <c r="B2806" t="s">
        <v>3214</v>
      </c>
      <c r="C2806" s="1">
        <v>46038</v>
      </c>
      <c r="D2806" t="s">
        <v>39</v>
      </c>
      <c r="E2806" t="s">
        <v>147</v>
      </c>
      <c r="F2806" s="12" t="s">
        <v>40</v>
      </c>
      <c r="J2806" s="385">
        <v>2750</v>
      </c>
    </row>
    <row r="2807" spans="1:10" ht="15">
      <c r="A2807" s="137" t="str">
        <f>D2807&amp;E2807&amp;F2807</f>
        <v>SERVICIOSNOMINA ADMONSERVICIOS</v>
      </c>
      <c r="B2807" t="s">
        <v>3214</v>
      </c>
      <c r="C2807" s="1">
        <v>46038</v>
      </c>
      <c r="D2807" t="s">
        <v>21</v>
      </c>
      <c r="E2807" t="s">
        <v>147</v>
      </c>
      <c r="F2807" s="12" t="s">
        <v>21</v>
      </c>
      <c r="J2807" s="385">
        <v>4750</v>
      </c>
    </row>
    <row r="2808" spans="1:10" ht="15">
      <c r="A2808" s="137" t="str">
        <f>D2808&amp;E2808&amp;F2808</f>
        <v>DENOMINA ADMONDIRECCION</v>
      </c>
      <c r="B2808" t="s">
        <v>3214</v>
      </c>
      <c r="C2808" s="1">
        <v>46038</v>
      </c>
      <c r="D2808" t="s">
        <v>41</v>
      </c>
      <c r="E2808" t="s">
        <v>147</v>
      </c>
      <c r="F2808" s="12" t="s">
        <v>42</v>
      </c>
      <c r="J2808" s="385">
        <v>5750</v>
      </c>
    </row>
    <row r="2809" spans="1:10" ht="15">
      <c r="A2809" s="137" t="str">
        <f>D2809&amp;E2809&amp;F2809</f>
        <v>MMNOMINA ADMONMARKET MAX</v>
      </c>
      <c r="B2809" t="s">
        <v>3214</v>
      </c>
      <c r="C2809" s="1">
        <v>46038</v>
      </c>
      <c r="D2809" t="s">
        <v>45</v>
      </c>
      <c r="E2809" t="s">
        <v>147</v>
      </c>
      <c r="F2809" t="s">
        <v>46</v>
      </c>
      <c r="J2809" s="385">
        <v>2000</v>
      </c>
    </row>
    <row r="2810" spans="1:10" ht="15">
      <c r="A2810" s="137"/>
      <c r="B2810" t="s">
        <v>3214</v>
      </c>
      <c r="C2810" s="1">
        <v>46038</v>
      </c>
      <c r="D2810" t="s">
        <v>21</v>
      </c>
      <c r="E2810" s="12" t="s">
        <v>190</v>
      </c>
      <c r="F2810" t="s">
        <v>21</v>
      </c>
      <c r="J2810" s="385">
        <v>1500</v>
      </c>
    </row>
    <row r="2811" spans="1:10" ht="15">
      <c r="A2811" s="137"/>
      <c r="B2811" t="s">
        <v>3214</v>
      </c>
      <c r="C2811" s="1">
        <v>46038</v>
      </c>
      <c r="D2811" t="s">
        <v>31</v>
      </c>
      <c r="E2811" s="12" t="s">
        <v>190</v>
      </c>
      <c r="F2811" t="s">
        <v>33</v>
      </c>
      <c r="J2811" s="385">
        <v>2250</v>
      </c>
    </row>
    <row r="2812" spans="1:10" ht="15">
      <c r="A2812" s="137"/>
      <c r="B2812" t="s">
        <v>3214</v>
      </c>
      <c r="C2812" s="1">
        <v>46038</v>
      </c>
      <c r="D2812" t="s">
        <v>31</v>
      </c>
      <c r="E2812" s="12" t="s">
        <v>190</v>
      </c>
      <c r="F2812" t="s">
        <v>33</v>
      </c>
      <c r="J2812" s="385">
        <v>1414.29</v>
      </c>
    </row>
    <row r="2813" spans="1:10" ht="15">
      <c r="A2813" s="137"/>
      <c r="B2813" t="s">
        <v>3214</v>
      </c>
      <c r="C2813" s="1">
        <v>46038</v>
      </c>
      <c r="D2813" t="s">
        <v>29</v>
      </c>
      <c r="E2813" s="12" t="s">
        <v>190</v>
      </c>
      <c r="F2813" t="s">
        <v>29</v>
      </c>
      <c r="J2813" s="385">
        <v>1500</v>
      </c>
    </row>
    <row r="2814" spans="1:10" ht="15">
      <c r="A2814" s="137" t="str">
        <f t="shared" ref="A2814:A2868" si="33">D2814&amp;E2814&amp;F2814</f>
        <v>HRNOMINA SUCURSALA1</v>
      </c>
      <c r="B2814" t="s">
        <v>3214</v>
      </c>
      <c r="C2814" s="1">
        <v>46045</v>
      </c>
      <c r="D2814" t="s">
        <v>29</v>
      </c>
      <c r="E2814" t="s">
        <v>154</v>
      </c>
      <c r="F2814" t="s">
        <v>88</v>
      </c>
      <c r="J2814" s="389">
        <v>10496</v>
      </c>
    </row>
    <row r="2815" spans="1:10" ht="15">
      <c r="A2815" s="137" t="str">
        <f t="shared" si="33"/>
        <v>HRNOMINA SUCURSALA2</v>
      </c>
      <c r="B2815" t="s">
        <v>3214</v>
      </c>
      <c r="C2815" s="1">
        <v>46045</v>
      </c>
      <c r="D2815" t="s">
        <v>29</v>
      </c>
      <c r="E2815" t="s">
        <v>154</v>
      </c>
      <c r="F2815" t="s">
        <v>89</v>
      </c>
      <c r="J2815" s="389">
        <v>15936</v>
      </c>
    </row>
    <row r="2816" spans="1:10" ht="15">
      <c r="A2816" s="137" t="str">
        <f t="shared" si="33"/>
        <v>HRNOMINA SUCURSALA3</v>
      </c>
      <c r="B2816" t="s">
        <v>3214</v>
      </c>
      <c r="C2816" s="1">
        <v>46045</v>
      </c>
      <c r="D2816" t="s">
        <v>29</v>
      </c>
      <c r="E2816" t="s">
        <v>154</v>
      </c>
      <c r="F2816" t="s">
        <v>90</v>
      </c>
      <c r="J2816" s="389">
        <v>10710</v>
      </c>
    </row>
    <row r="2817" spans="1:10" ht="15">
      <c r="A2817" s="137" t="str">
        <f t="shared" si="33"/>
        <v>HRNOMINA SUCURSALA4</v>
      </c>
      <c r="B2817" t="s">
        <v>3214</v>
      </c>
      <c r="C2817" s="1">
        <v>46045</v>
      </c>
      <c r="D2817" t="s">
        <v>29</v>
      </c>
      <c r="E2817" t="s">
        <v>154</v>
      </c>
      <c r="F2817" t="s">
        <v>91</v>
      </c>
      <c r="J2817" s="389">
        <v>10496</v>
      </c>
    </row>
    <row r="2818" spans="1:10" ht="15">
      <c r="A2818" s="137" t="str">
        <f t="shared" si="33"/>
        <v>HRNOMINA SUCURSALA5</v>
      </c>
      <c r="B2818" t="s">
        <v>3214</v>
      </c>
      <c r="C2818" s="1">
        <v>46045</v>
      </c>
      <c r="D2818" t="s">
        <v>29</v>
      </c>
      <c r="E2818" t="s">
        <v>154</v>
      </c>
      <c r="F2818" t="s">
        <v>92</v>
      </c>
      <c r="J2818" s="389">
        <v>13760</v>
      </c>
    </row>
    <row r="2819" spans="1:10" ht="15">
      <c r="A2819" s="137" t="str">
        <f t="shared" si="33"/>
        <v>HRNOMINA SUCURSALA6</v>
      </c>
      <c r="B2819" t="s">
        <v>3214</v>
      </c>
      <c r="C2819" s="1">
        <v>46045</v>
      </c>
      <c r="D2819" t="s">
        <v>29</v>
      </c>
      <c r="E2819" t="s">
        <v>154</v>
      </c>
      <c r="F2819" t="s">
        <v>93</v>
      </c>
      <c r="J2819" s="389">
        <v>16614.09</v>
      </c>
    </row>
    <row r="2820" spans="1:10" ht="15">
      <c r="A2820" s="137" t="str">
        <f t="shared" si="33"/>
        <v>HRNOMINA SUCURSALA8</v>
      </c>
      <c r="B2820" t="s">
        <v>3214</v>
      </c>
      <c r="C2820" s="1">
        <v>46045</v>
      </c>
      <c r="D2820" t="s">
        <v>29</v>
      </c>
      <c r="E2820" t="s">
        <v>154</v>
      </c>
      <c r="F2820" t="s">
        <v>94</v>
      </c>
      <c r="J2820" s="389">
        <v>25110</v>
      </c>
    </row>
    <row r="2821" spans="1:10" ht="15">
      <c r="A2821" s="137" t="str">
        <f t="shared" si="33"/>
        <v>HRNOMINA SUCURSALA9</v>
      </c>
      <c r="B2821" t="s">
        <v>3214</v>
      </c>
      <c r="C2821" s="1">
        <v>46045</v>
      </c>
      <c r="D2821" t="s">
        <v>29</v>
      </c>
      <c r="E2821" t="s">
        <v>154</v>
      </c>
      <c r="F2821" t="s">
        <v>95</v>
      </c>
      <c r="J2821" s="389">
        <v>11848.02</v>
      </c>
    </row>
    <row r="2822" spans="1:10" ht="15">
      <c r="A2822" s="137" t="str">
        <f t="shared" si="33"/>
        <v>HRNOMINA SUCURSALA10</v>
      </c>
      <c r="B2822" t="s">
        <v>3214</v>
      </c>
      <c r="C2822" s="1">
        <v>46045</v>
      </c>
      <c r="D2822" t="s">
        <v>29</v>
      </c>
      <c r="E2822" t="s">
        <v>154</v>
      </c>
      <c r="F2822" t="s">
        <v>96</v>
      </c>
      <c r="J2822" s="389">
        <v>20673</v>
      </c>
    </row>
    <row r="2823" spans="1:10" ht="15">
      <c r="A2823" s="137" t="str">
        <f t="shared" si="33"/>
        <v>HRNOMINA SUCURSALA11</v>
      </c>
      <c r="B2823" t="s">
        <v>3214</v>
      </c>
      <c r="C2823" s="1">
        <v>46045</v>
      </c>
      <c r="D2823" t="s">
        <v>29</v>
      </c>
      <c r="E2823" t="s">
        <v>154</v>
      </c>
      <c r="F2823" t="s">
        <v>97</v>
      </c>
      <c r="J2823" s="389">
        <v>12370</v>
      </c>
    </row>
    <row r="2824" spans="1:10" ht="15">
      <c r="A2824" s="137" t="str">
        <f t="shared" si="33"/>
        <v>HRNOMINA SUCURSALA12</v>
      </c>
      <c r="B2824" t="s">
        <v>3214</v>
      </c>
      <c r="C2824" s="1">
        <v>46045</v>
      </c>
      <c r="D2824" t="s">
        <v>29</v>
      </c>
      <c r="E2824" t="s">
        <v>154</v>
      </c>
      <c r="F2824" t="s">
        <v>98</v>
      </c>
      <c r="J2824" s="389">
        <v>21006</v>
      </c>
    </row>
    <row r="2825" spans="1:10" ht="15">
      <c r="A2825" s="137" t="str">
        <f t="shared" si="33"/>
        <v>HRNOMINA SUCURSALA14</v>
      </c>
      <c r="B2825" t="s">
        <v>3214</v>
      </c>
      <c r="C2825" s="1">
        <v>46045</v>
      </c>
      <c r="D2825" t="s">
        <v>29</v>
      </c>
      <c r="E2825" t="s">
        <v>154</v>
      </c>
      <c r="F2825" t="s">
        <v>99</v>
      </c>
      <c r="J2825" s="389">
        <v>15178</v>
      </c>
    </row>
    <row r="2826" spans="1:10" ht="15">
      <c r="A2826" s="137" t="str">
        <f t="shared" si="33"/>
        <v>HRNOMINA SUCURSALA15</v>
      </c>
      <c r="B2826" t="s">
        <v>3214</v>
      </c>
      <c r="C2826" s="1">
        <v>46045</v>
      </c>
      <c r="D2826" t="s">
        <v>29</v>
      </c>
      <c r="E2826" t="s">
        <v>154</v>
      </c>
      <c r="F2826" t="s">
        <v>100</v>
      </c>
      <c r="J2826" s="389">
        <v>12916</v>
      </c>
    </row>
    <row r="2827" spans="1:10" ht="15">
      <c r="A2827" s="137" t="str">
        <f t="shared" si="33"/>
        <v>HRNOMINA SUCURSALA16</v>
      </c>
      <c r="B2827" t="s">
        <v>3214</v>
      </c>
      <c r="C2827" s="1">
        <v>46045</v>
      </c>
      <c r="D2827" t="s">
        <v>29</v>
      </c>
      <c r="E2827" t="s">
        <v>154</v>
      </c>
      <c r="F2827" t="s">
        <v>101</v>
      </c>
      <c r="J2827" s="389">
        <v>17262.96</v>
      </c>
    </row>
    <row r="2828" spans="1:10" ht="15">
      <c r="A2828" s="137" t="str">
        <f t="shared" si="33"/>
        <v>HRNOMINA SUCURSALA17</v>
      </c>
      <c r="B2828" t="s">
        <v>3214</v>
      </c>
      <c r="C2828" s="1">
        <v>46045</v>
      </c>
      <c r="D2828" t="s">
        <v>29</v>
      </c>
      <c r="E2828" t="s">
        <v>154</v>
      </c>
      <c r="F2828" t="s">
        <v>102</v>
      </c>
      <c r="J2828" s="389">
        <v>11445</v>
      </c>
    </row>
    <row r="2829" spans="1:10" ht="15">
      <c r="A2829" s="137" t="str">
        <f t="shared" si="33"/>
        <v>HRNOMINA SUCURSALA18</v>
      </c>
      <c r="B2829" t="s">
        <v>3214</v>
      </c>
      <c r="C2829" s="1">
        <v>46045</v>
      </c>
      <c r="D2829" t="s">
        <v>29</v>
      </c>
      <c r="E2829" t="s">
        <v>154</v>
      </c>
      <c r="F2829" t="s">
        <v>103</v>
      </c>
      <c r="J2829" s="389">
        <v>19000</v>
      </c>
    </row>
    <row r="2830" spans="1:10" ht="15">
      <c r="A2830" s="137" t="str">
        <f t="shared" si="33"/>
        <v>HRNOMINA SUCURSALA22</v>
      </c>
      <c r="B2830" t="s">
        <v>3214</v>
      </c>
      <c r="C2830" s="1">
        <v>46045</v>
      </c>
      <c r="D2830" t="s">
        <v>29</v>
      </c>
      <c r="E2830" t="s">
        <v>154</v>
      </c>
      <c r="F2830" t="s">
        <v>104</v>
      </c>
      <c r="J2830" s="389">
        <v>17724</v>
      </c>
    </row>
    <row r="2831" spans="1:10" ht="15">
      <c r="A2831" s="137" t="str">
        <f t="shared" si="33"/>
        <v>HRNOMINA SUCURSALA23</v>
      </c>
      <c r="B2831" t="s">
        <v>3214</v>
      </c>
      <c r="C2831" s="1">
        <v>46045</v>
      </c>
      <c r="D2831" t="s">
        <v>29</v>
      </c>
      <c r="E2831" t="s">
        <v>154</v>
      </c>
      <c r="F2831" t="s">
        <v>105</v>
      </c>
      <c r="J2831" s="389">
        <v>11935</v>
      </c>
    </row>
    <row r="2832" spans="1:10" ht="15">
      <c r="A2832" s="137" t="str">
        <f t="shared" si="33"/>
        <v>HRNOMINA SUCURSALA24</v>
      </c>
      <c r="B2832" t="s">
        <v>3214</v>
      </c>
      <c r="C2832" s="1">
        <v>46045</v>
      </c>
      <c r="D2832" t="s">
        <v>29</v>
      </c>
      <c r="E2832" t="s">
        <v>154</v>
      </c>
      <c r="F2832" t="s">
        <v>106</v>
      </c>
      <c r="J2832" s="389">
        <v>19665</v>
      </c>
    </row>
    <row r="2833" spans="1:10" ht="15">
      <c r="A2833" s="137" t="str">
        <f t="shared" si="33"/>
        <v>CAPNOMINA SUCURSALE1</v>
      </c>
      <c r="B2833" t="s">
        <v>3214</v>
      </c>
      <c r="C2833" s="1">
        <v>46045</v>
      </c>
      <c r="D2833" t="s">
        <v>31</v>
      </c>
      <c r="E2833" t="s">
        <v>154</v>
      </c>
      <c r="F2833" t="s">
        <v>107</v>
      </c>
      <c r="J2833" s="389">
        <v>15493.88</v>
      </c>
    </row>
    <row r="2834" spans="1:10" ht="15">
      <c r="A2834" s="137" t="str">
        <f t="shared" si="33"/>
        <v>CAPNOMINA SUCURSALE2</v>
      </c>
      <c r="B2834" t="s">
        <v>3214</v>
      </c>
      <c r="C2834" s="1">
        <v>46045</v>
      </c>
      <c r="D2834" t="s">
        <v>31</v>
      </c>
      <c r="E2834" t="s">
        <v>154</v>
      </c>
      <c r="F2834" t="s">
        <v>108</v>
      </c>
      <c r="J2834" s="389">
        <v>31093.599999999999</v>
      </c>
    </row>
    <row r="2835" spans="1:10" ht="15">
      <c r="A2835" s="137" t="str">
        <f t="shared" si="33"/>
        <v>CAPNOMINA SUCURSALE3</v>
      </c>
      <c r="B2835" t="s">
        <v>3214</v>
      </c>
      <c r="C2835" s="1">
        <v>46045</v>
      </c>
      <c r="D2835" t="s">
        <v>31</v>
      </c>
      <c r="E2835" t="s">
        <v>154</v>
      </c>
      <c r="F2835" t="s">
        <v>109</v>
      </c>
      <c r="J2835" s="389">
        <v>16793.599999999999</v>
      </c>
    </row>
    <row r="2836" spans="1:10" ht="15">
      <c r="A2836" s="137" t="str">
        <f t="shared" si="33"/>
        <v>CAPNOMINA SUCURSALE4</v>
      </c>
      <c r="B2836" t="s">
        <v>3214</v>
      </c>
      <c r="C2836" s="1">
        <v>46045</v>
      </c>
      <c r="D2836" t="s">
        <v>31</v>
      </c>
      <c r="E2836" t="s">
        <v>154</v>
      </c>
      <c r="F2836" t="s">
        <v>110</v>
      </c>
      <c r="J2836" s="389">
        <v>27803.8</v>
      </c>
    </row>
    <row r="2837" spans="1:10" ht="15">
      <c r="A2837" s="137" t="str">
        <f t="shared" si="33"/>
        <v>CAPNOMINA SUCURSALE5</v>
      </c>
      <c r="B2837" t="s">
        <v>3214</v>
      </c>
      <c r="C2837" s="1">
        <v>46045</v>
      </c>
      <c r="D2837" t="s">
        <v>31</v>
      </c>
      <c r="E2837" t="s">
        <v>154</v>
      </c>
      <c r="F2837" t="s">
        <v>111</v>
      </c>
      <c r="J2837" s="389">
        <v>27477.8</v>
      </c>
    </row>
    <row r="2838" spans="1:10" ht="15">
      <c r="A2838" s="137" t="str">
        <f t="shared" si="33"/>
        <v>CAPNOMINA SUCURSALE6</v>
      </c>
      <c r="B2838" t="s">
        <v>3214</v>
      </c>
      <c r="C2838" s="1">
        <v>46045</v>
      </c>
      <c r="D2838" t="s">
        <v>31</v>
      </c>
      <c r="E2838" t="s">
        <v>154</v>
      </c>
      <c r="F2838" t="s">
        <v>112</v>
      </c>
      <c r="J2838" s="389">
        <v>15468.4</v>
      </c>
    </row>
    <row r="2839" spans="1:10" ht="15">
      <c r="A2839" s="137" t="str">
        <f t="shared" si="33"/>
        <v>CAPNOMINA SUCURSALE7</v>
      </c>
      <c r="B2839" t="s">
        <v>3214</v>
      </c>
      <c r="C2839" s="1">
        <v>46045</v>
      </c>
      <c r="D2839" t="s">
        <v>31</v>
      </c>
      <c r="E2839" t="s">
        <v>154</v>
      </c>
      <c r="F2839" t="s">
        <v>113</v>
      </c>
      <c r="J2839" s="389">
        <v>17453.8</v>
      </c>
    </row>
    <row r="2840" spans="1:10" ht="15">
      <c r="A2840" s="137" t="str">
        <f t="shared" si="33"/>
        <v>CAPNOMINA SUCURSALE8</v>
      </c>
      <c r="B2840" t="s">
        <v>3214</v>
      </c>
      <c r="C2840" s="1">
        <v>46045</v>
      </c>
      <c r="D2840" t="s">
        <v>31</v>
      </c>
      <c r="E2840" t="s">
        <v>154</v>
      </c>
      <c r="F2840" t="s">
        <v>114</v>
      </c>
      <c r="J2840" s="389">
        <v>28751</v>
      </c>
    </row>
    <row r="2841" spans="1:10" ht="15">
      <c r="A2841" s="137" t="str">
        <f t="shared" si="33"/>
        <v>CAPNOMINA SUCURSALE9</v>
      </c>
      <c r="B2841" t="s">
        <v>3214</v>
      </c>
      <c r="C2841" s="1">
        <v>46045</v>
      </c>
      <c r="D2841" t="s">
        <v>31</v>
      </c>
      <c r="E2841" t="s">
        <v>154</v>
      </c>
      <c r="F2841" t="s">
        <v>116</v>
      </c>
      <c r="J2841" s="389">
        <v>23809.200000000001</v>
      </c>
    </row>
    <row r="2842" spans="1:10" ht="15">
      <c r="A2842" s="137" t="str">
        <f t="shared" si="33"/>
        <v>CAPNOMINA SUCURSALE10</v>
      </c>
      <c r="B2842" t="s">
        <v>3214</v>
      </c>
      <c r="C2842" s="1">
        <v>46045</v>
      </c>
      <c r="D2842" t="s">
        <v>31</v>
      </c>
      <c r="E2842" t="s">
        <v>154</v>
      </c>
      <c r="F2842" t="s">
        <v>117</v>
      </c>
      <c r="J2842" s="389">
        <v>10476</v>
      </c>
    </row>
    <row r="2843" spans="1:10" ht="15">
      <c r="A2843" s="137" t="str">
        <f t="shared" si="33"/>
        <v>CAPNOMINA SUCURSALE11</v>
      </c>
      <c r="B2843" t="s">
        <v>3214</v>
      </c>
      <c r="C2843" s="1">
        <v>46045</v>
      </c>
      <c r="D2843" t="s">
        <v>31</v>
      </c>
      <c r="E2843" t="s">
        <v>154</v>
      </c>
      <c r="F2843" t="s">
        <v>118</v>
      </c>
      <c r="J2843" s="389">
        <v>41468.400000000001</v>
      </c>
    </row>
    <row r="2844" spans="1:10" ht="15">
      <c r="A2844" s="137" t="str">
        <f t="shared" si="33"/>
        <v>ELINOMINA SUCURSALL1</v>
      </c>
      <c r="B2844" t="s">
        <v>3214</v>
      </c>
      <c r="C2844" s="1">
        <v>46045</v>
      </c>
      <c r="D2844" t="s">
        <v>130</v>
      </c>
      <c r="E2844" t="s">
        <v>154</v>
      </c>
      <c r="F2844" t="s">
        <v>136</v>
      </c>
      <c r="J2844" s="389">
        <v>17671.2</v>
      </c>
    </row>
    <row r="2845" spans="1:10" ht="15">
      <c r="A2845" s="137" t="str">
        <f t="shared" si="33"/>
        <v>HRNOMINA ADMONHR</v>
      </c>
      <c r="B2845" t="s">
        <v>3214</v>
      </c>
      <c r="C2845" s="1">
        <v>46045</v>
      </c>
      <c r="D2845" t="s">
        <v>29</v>
      </c>
      <c r="E2845" t="s">
        <v>147</v>
      </c>
      <c r="F2845" t="s">
        <v>29</v>
      </c>
      <c r="J2845" s="389">
        <v>32380</v>
      </c>
    </row>
    <row r="2846" spans="1:10" ht="15">
      <c r="A2846" s="137" t="str">
        <f t="shared" si="33"/>
        <v>CAPNOMINA ADMONCAPRICHOS</v>
      </c>
      <c r="B2846" t="s">
        <v>3214</v>
      </c>
      <c r="C2846" s="1">
        <v>46045</v>
      </c>
      <c r="D2846" t="s">
        <v>31</v>
      </c>
      <c r="E2846" t="s">
        <v>147</v>
      </c>
      <c r="F2846" t="s">
        <v>33</v>
      </c>
      <c r="J2846" s="389">
        <v>19602.3</v>
      </c>
    </row>
    <row r="2847" spans="1:10" ht="15">
      <c r="A2847" s="137" t="str">
        <f t="shared" si="33"/>
        <v>SERVICIOSNOMINA SUCURSALCEDIS</v>
      </c>
      <c r="B2847" t="s">
        <v>3214</v>
      </c>
      <c r="C2847" s="1">
        <v>46045</v>
      </c>
      <c r="D2847" t="s">
        <v>21</v>
      </c>
      <c r="E2847" t="s">
        <v>154</v>
      </c>
      <c r="F2847" t="s">
        <v>28</v>
      </c>
      <c r="J2847" s="389">
        <v>81144.33</v>
      </c>
    </row>
    <row r="2848" spans="1:10" ht="15">
      <c r="A2848" s="137" t="str">
        <f t="shared" si="33"/>
        <v>SERVICIOSNOMINA ADMONINVENTARIOS</v>
      </c>
      <c r="B2848" t="s">
        <v>3214</v>
      </c>
      <c r="C2848" s="1">
        <v>46045</v>
      </c>
      <c r="D2848" t="s">
        <v>21</v>
      </c>
      <c r="E2848" t="s">
        <v>147</v>
      </c>
      <c r="F2848" t="s">
        <v>34</v>
      </c>
      <c r="J2848" s="389">
        <v>3316</v>
      </c>
    </row>
    <row r="2849" spans="1:10" ht="15">
      <c r="A2849" s="137" t="str">
        <f t="shared" si="33"/>
        <v>SERVICIOSNOMINA ADMONMANTENIMIENTO</v>
      </c>
      <c r="B2849" t="s">
        <v>3214</v>
      </c>
      <c r="C2849" s="1">
        <v>46045</v>
      </c>
      <c r="D2849" t="s">
        <v>21</v>
      </c>
      <c r="E2849" t="s">
        <v>147</v>
      </c>
      <c r="F2849" t="s">
        <v>35</v>
      </c>
      <c r="J2849" s="389">
        <v>27512.82</v>
      </c>
    </row>
    <row r="2850" spans="1:10" ht="15">
      <c r="A2850" s="137" t="str">
        <f t="shared" si="33"/>
        <v>SERVICIOSNOMINA ADMONCADENA DE SUMINISTROS</v>
      </c>
      <c r="B2850" t="s">
        <v>3214</v>
      </c>
      <c r="C2850" s="1">
        <v>46045</v>
      </c>
      <c r="D2850" t="s">
        <v>21</v>
      </c>
      <c r="E2850" t="s">
        <v>147</v>
      </c>
      <c r="F2850" t="s">
        <v>134</v>
      </c>
      <c r="J2850" s="389">
        <v>24126.2</v>
      </c>
    </row>
    <row r="2851" spans="1:10" ht="15">
      <c r="A2851" s="137" t="str">
        <f t="shared" si="33"/>
        <v>SERVICIOSNOMINA ADMONSISTEMAS</v>
      </c>
      <c r="B2851" t="s">
        <v>3214</v>
      </c>
      <c r="C2851" s="1">
        <v>46045</v>
      </c>
      <c r="D2851" t="s">
        <v>21</v>
      </c>
      <c r="E2851" t="s">
        <v>147</v>
      </c>
      <c r="F2851" t="s">
        <v>36</v>
      </c>
      <c r="J2851" s="389">
        <v>18246.099999999999</v>
      </c>
    </row>
    <row r="2852" spans="1:10" ht="15">
      <c r="A2852" s="137" t="str">
        <f t="shared" si="33"/>
        <v>SERVICIOSNOMINA ADMONCOMPRAS</v>
      </c>
      <c r="B2852" t="s">
        <v>3214</v>
      </c>
      <c r="C2852" s="1">
        <v>46045</v>
      </c>
      <c r="D2852" t="s">
        <v>21</v>
      </c>
      <c r="E2852" t="s">
        <v>147</v>
      </c>
      <c r="F2852" t="s">
        <v>148</v>
      </c>
      <c r="J2852" s="389">
        <v>35762.410000000003</v>
      </c>
    </row>
    <row r="2853" spans="1:10" ht="15">
      <c r="A2853" s="137" t="str">
        <f t="shared" si="33"/>
        <v>FINANZASNOMINA ADMONCONTABILIDAD</v>
      </c>
      <c r="B2853" t="s">
        <v>3214</v>
      </c>
      <c r="C2853" s="1">
        <v>46045</v>
      </c>
      <c r="D2853" t="s">
        <v>23</v>
      </c>
      <c r="E2853" t="s">
        <v>147</v>
      </c>
      <c r="F2853" t="s">
        <v>37</v>
      </c>
      <c r="J2853" s="389">
        <v>18828</v>
      </c>
    </row>
    <row r="2854" spans="1:10" ht="15">
      <c r="A2854" s="137" t="str">
        <f t="shared" si="33"/>
        <v>FINANZASNOMINA ADMONFINANZAS/LEGAL</v>
      </c>
      <c r="B2854" t="s">
        <v>3214</v>
      </c>
      <c r="C2854" s="1">
        <v>46045</v>
      </c>
      <c r="D2854" t="s">
        <v>23</v>
      </c>
      <c r="E2854" t="s">
        <v>147</v>
      </c>
      <c r="F2854" t="s">
        <v>149</v>
      </c>
      <c r="J2854" s="389">
        <v>10090</v>
      </c>
    </row>
    <row r="2855" spans="1:10" ht="15">
      <c r="A2855" s="137" t="str">
        <f t="shared" si="33"/>
        <v>FINANZASNOMINA ADMONRECURSOS HUMANOS</v>
      </c>
      <c r="B2855" t="s">
        <v>3214</v>
      </c>
      <c r="C2855" s="1">
        <v>46045</v>
      </c>
      <c r="D2855" t="s">
        <v>23</v>
      </c>
      <c r="E2855" t="s">
        <v>147</v>
      </c>
      <c r="F2855" t="s">
        <v>125</v>
      </c>
      <c r="J2855" s="389">
        <v>12321.63</v>
      </c>
    </row>
    <row r="2856" spans="1:10" ht="15">
      <c r="A2856" s="137" t="str">
        <f t="shared" si="33"/>
        <v>FINANZASNOMINA ADMONTESORERIA</v>
      </c>
      <c r="B2856" t="s">
        <v>3214</v>
      </c>
      <c r="C2856" s="1">
        <v>46045</v>
      </c>
      <c r="D2856" t="s">
        <v>23</v>
      </c>
      <c r="E2856" t="s">
        <v>147</v>
      </c>
      <c r="F2856" t="s">
        <v>38</v>
      </c>
      <c r="J2856" s="389">
        <v>12790.6</v>
      </c>
    </row>
    <row r="2857" spans="1:10" ht="15">
      <c r="A2857" s="137" t="str">
        <f t="shared" si="33"/>
        <v>FINANZASNOMINA ADMONHBG FINANZAS</v>
      </c>
      <c r="B2857" t="s">
        <v>3214</v>
      </c>
      <c r="C2857" s="1">
        <v>46045</v>
      </c>
      <c r="D2857" t="s">
        <v>23</v>
      </c>
      <c r="E2857" t="s">
        <v>147</v>
      </c>
      <c r="F2857" t="s">
        <v>150</v>
      </c>
      <c r="J2857" s="389">
        <v>3102.4</v>
      </c>
    </row>
    <row r="2858" spans="1:10" ht="15">
      <c r="A2858" s="137" t="str">
        <f t="shared" si="33"/>
        <v>SGENOMINA ADMONGESTION EMPRESARIAL</v>
      </c>
      <c r="B2858" t="s">
        <v>3214</v>
      </c>
      <c r="C2858" s="1">
        <v>46045</v>
      </c>
      <c r="D2858" t="s">
        <v>39</v>
      </c>
      <c r="E2858" t="s">
        <v>147</v>
      </c>
      <c r="F2858" t="s">
        <v>40</v>
      </c>
      <c r="J2858" s="389">
        <v>26452.6</v>
      </c>
    </row>
    <row r="2859" spans="1:10" ht="15">
      <c r="A2859" s="137" t="str">
        <f t="shared" si="33"/>
        <v>DENOMINA ADMONDIRECCION</v>
      </c>
      <c r="B2859" t="s">
        <v>3214</v>
      </c>
      <c r="C2859" s="1">
        <v>46045</v>
      </c>
      <c r="D2859" t="s">
        <v>41</v>
      </c>
      <c r="E2859" t="s">
        <v>147</v>
      </c>
      <c r="F2859" t="s">
        <v>42</v>
      </c>
      <c r="J2859" s="389">
        <v>3500</v>
      </c>
    </row>
    <row r="2860" spans="1:10" ht="15">
      <c r="A2860" s="137" t="str">
        <f t="shared" si="33"/>
        <v>MELNOMINA ADMONMELISSA</v>
      </c>
      <c r="B2860" t="s">
        <v>3214</v>
      </c>
      <c r="C2860" s="1">
        <v>46045</v>
      </c>
      <c r="D2860" t="s">
        <v>43</v>
      </c>
      <c r="E2860" t="s">
        <v>147</v>
      </c>
      <c r="F2860" t="s">
        <v>44</v>
      </c>
      <c r="J2860" s="389">
        <v>5807.8</v>
      </c>
    </row>
    <row r="2861" spans="1:10" ht="15">
      <c r="A2861" s="137" t="str">
        <f t="shared" si="33"/>
        <v>MMNOMINA ADMONMARKET MAX</v>
      </c>
      <c r="B2861" t="s">
        <v>3214</v>
      </c>
      <c r="C2861" s="1">
        <v>46045</v>
      </c>
      <c r="D2861" t="s">
        <v>45</v>
      </c>
      <c r="E2861" t="s">
        <v>147</v>
      </c>
      <c r="F2861" t="s">
        <v>46</v>
      </c>
      <c r="J2861" s="389">
        <v>15811.2</v>
      </c>
    </row>
    <row r="2862" spans="1:10" ht="15">
      <c r="A2862" s="137" t="str">
        <f t="shared" si="33"/>
        <v>ANALISISNOMINA ADMONANALISIS DE DATOS</v>
      </c>
      <c r="B2862" t="s">
        <v>3214</v>
      </c>
      <c r="C2862" s="1">
        <v>46045</v>
      </c>
      <c r="D2862" t="s">
        <v>152</v>
      </c>
      <c r="E2862" t="s">
        <v>147</v>
      </c>
      <c r="F2862" t="s">
        <v>153</v>
      </c>
      <c r="J2862" s="389">
        <v>6205.6</v>
      </c>
    </row>
    <row r="2863" spans="1:10" ht="15">
      <c r="A2863" s="137" t="str">
        <f t="shared" si="33"/>
        <v>MKTNOMINA ADMONMKT</v>
      </c>
      <c r="B2863" t="s">
        <v>3214</v>
      </c>
      <c r="C2863" s="1">
        <v>46045</v>
      </c>
      <c r="D2863" t="s">
        <v>19</v>
      </c>
      <c r="E2863" t="s">
        <v>147</v>
      </c>
      <c r="F2863" t="s">
        <v>19</v>
      </c>
      <c r="J2863" s="389">
        <v>25501.8</v>
      </c>
    </row>
    <row r="2864" spans="1:10" ht="15">
      <c r="A2864" s="137" t="str">
        <f t="shared" si="33"/>
        <v>FINANZASNOMINA ADMONHBG FINANZAS</v>
      </c>
      <c r="B2864" t="s">
        <v>3214</v>
      </c>
      <c r="C2864" s="1">
        <v>46045</v>
      </c>
      <c r="D2864" t="s">
        <v>23</v>
      </c>
      <c r="E2864" t="s">
        <v>147</v>
      </c>
      <c r="F2864" s="12" t="s">
        <v>150</v>
      </c>
      <c r="J2864" s="385">
        <v>10950</v>
      </c>
    </row>
    <row r="2865" spans="1:10" ht="15">
      <c r="A2865" s="137" t="str">
        <f t="shared" si="33"/>
        <v>HRNOMINA ADMONHR</v>
      </c>
      <c r="B2865" t="s">
        <v>3214</v>
      </c>
      <c r="C2865" s="1">
        <v>46045</v>
      </c>
      <c r="D2865" t="s">
        <v>29</v>
      </c>
      <c r="E2865" t="s">
        <v>147</v>
      </c>
      <c r="F2865" s="3" t="s">
        <v>29</v>
      </c>
      <c r="J2865" s="385">
        <v>5500</v>
      </c>
    </row>
    <row r="2866" spans="1:10" ht="15">
      <c r="A2866" s="137" t="str">
        <f t="shared" si="33"/>
        <v>CAPNOMINA ADMONCAPRICHOS</v>
      </c>
      <c r="B2866" t="s">
        <v>3214</v>
      </c>
      <c r="C2866" s="1">
        <v>46045</v>
      </c>
      <c r="D2866" t="s">
        <v>31</v>
      </c>
      <c r="E2866" t="s">
        <v>147</v>
      </c>
      <c r="F2866" s="12" t="s">
        <v>33</v>
      </c>
      <c r="J2866" s="385">
        <v>3700</v>
      </c>
    </row>
    <row r="2867" spans="1:10" ht="15">
      <c r="A2867" s="137" t="str">
        <f t="shared" si="33"/>
        <v>SGENOMINA ADMONGESTION EMPRESARIAL</v>
      </c>
      <c r="B2867" t="s">
        <v>3214</v>
      </c>
      <c r="C2867" s="1">
        <v>46045</v>
      </c>
      <c r="D2867" t="s">
        <v>39</v>
      </c>
      <c r="E2867" t="s">
        <v>147</v>
      </c>
      <c r="F2867" s="12" t="s">
        <v>40</v>
      </c>
      <c r="J2867" s="385">
        <v>2750</v>
      </c>
    </row>
    <row r="2868" spans="1:10" ht="15">
      <c r="A2868" s="137" t="str">
        <f t="shared" si="33"/>
        <v>SERVICIOSNOMINA ADMONSERVICIOS</v>
      </c>
      <c r="B2868" t="s">
        <v>3214</v>
      </c>
      <c r="C2868" s="1">
        <v>46045</v>
      </c>
      <c r="D2868" t="s">
        <v>21</v>
      </c>
      <c r="E2868" t="s">
        <v>147</v>
      </c>
      <c r="F2868" s="12" t="s">
        <v>21</v>
      </c>
      <c r="J2868" s="385">
        <v>4750</v>
      </c>
    </row>
    <row r="2869" spans="1:10" ht="15">
      <c r="A2869" s="137" t="str">
        <f t="shared" ref="A2869:A2930" si="34">D2869&amp;E2869&amp;F2869</f>
        <v>DENOMINA ADMONDIRECCION</v>
      </c>
      <c r="B2869" t="s">
        <v>3214</v>
      </c>
      <c r="C2869" s="1">
        <v>46045</v>
      </c>
      <c r="D2869" t="s">
        <v>41</v>
      </c>
      <c r="E2869" t="s">
        <v>147</v>
      </c>
      <c r="F2869" s="12" t="s">
        <v>42</v>
      </c>
      <c r="J2869" s="385">
        <v>5750</v>
      </c>
    </row>
    <row r="2870" spans="1:10" ht="15">
      <c r="A2870" s="137" t="str">
        <f t="shared" si="34"/>
        <v>MMNOMINA ADMONMARKET MAX</v>
      </c>
      <c r="B2870" t="s">
        <v>3214</v>
      </c>
      <c r="C2870" s="1">
        <v>46045</v>
      </c>
      <c r="D2870" t="s">
        <v>45</v>
      </c>
      <c r="E2870" t="s">
        <v>147</v>
      </c>
      <c r="F2870" t="s">
        <v>46</v>
      </c>
      <c r="J2870" s="385">
        <v>2000</v>
      </c>
    </row>
    <row r="2871" spans="1:10" ht="15">
      <c r="A2871" s="137" t="str">
        <f t="shared" si="34"/>
        <v>SERVICIOSVACACIONES/FINIQUITOSSERVICIOS</v>
      </c>
      <c r="B2871" t="s">
        <v>3214</v>
      </c>
      <c r="C2871" s="1">
        <v>46045</v>
      </c>
      <c r="D2871" t="s">
        <v>21</v>
      </c>
      <c r="E2871" s="12" t="s">
        <v>190</v>
      </c>
      <c r="F2871" t="s">
        <v>21</v>
      </c>
      <c r="J2871" s="385">
        <v>2357.14</v>
      </c>
    </row>
    <row r="2872" spans="1:10" ht="15">
      <c r="A2872" s="137" t="str">
        <f t="shared" si="34"/>
        <v>CAPVACACIONES/FINIQUITOSCAPRICHOS</v>
      </c>
      <c r="B2872" t="s">
        <v>3214</v>
      </c>
      <c r="C2872" s="1">
        <v>46045</v>
      </c>
      <c r="D2872" t="s">
        <v>31</v>
      </c>
      <c r="E2872" s="12" t="s">
        <v>190</v>
      </c>
      <c r="F2872" t="s">
        <v>33</v>
      </c>
      <c r="J2872" s="385">
        <v>1414.29</v>
      </c>
    </row>
    <row r="2873" spans="1:10" ht="15">
      <c r="A2873" s="137" t="str">
        <f t="shared" si="34"/>
        <v>HRNOMINA SUCURSALA1</v>
      </c>
      <c r="B2873" t="s">
        <v>3214</v>
      </c>
      <c r="C2873" s="1">
        <v>46052</v>
      </c>
      <c r="D2873" t="s">
        <v>29</v>
      </c>
      <c r="E2873" t="s">
        <v>154</v>
      </c>
      <c r="F2873" t="s">
        <v>88</v>
      </c>
      <c r="J2873" s="389">
        <v>11593</v>
      </c>
    </row>
    <row r="2874" spans="1:10" ht="15">
      <c r="A2874" s="137" t="str">
        <f t="shared" si="34"/>
        <v>HRNOMINA SUCURSALA2</v>
      </c>
      <c r="B2874" t="s">
        <v>3214</v>
      </c>
      <c r="C2874" s="1">
        <v>46052</v>
      </c>
      <c r="D2874" t="s">
        <v>29</v>
      </c>
      <c r="E2874" t="s">
        <v>154</v>
      </c>
      <c r="F2874" t="s">
        <v>89</v>
      </c>
      <c r="J2874" s="389">
        <v>14988</v>
      </c>
    </row>
    <row r="2875" spans="1:10" ht="15">
      <c r="A2875" s="137" t="str">
        <f t="shared" si="34"/>
        <v>HRNOMINA SUCURSALA3</v>
      </c>
      <c r="B2875" t="s">
        <v>3214</v>
      </c>
      <c r="C2875" s="1">
        <v>46052</v>
      </c>
      <c r="D2875" t="s">
        <v>29</v>
      </c>
      <c r="E2875" t="s">
        <v>154</v>
      </c>
      <c r="F2875" t="s">
        <v>90</v>
      </c>
      <c r="J2875" s="389">
        <v>12245</v>
      </c>
    </row>
    <row r="2876" spans="1:10" ht="15">
      <c r="A2876" s="137" t="str">
        <f t="shared" si="34"/>
        <v>HRNOMINA SUCURSALA4</v>
      </c>
      <c r="B2876" t="s">
        <v>3214</v>
      </c>
      <c r="C2876" s="1">
        <v>46052</v>
      </c>
      <c r="D2876" t="s">
        <v>29</v>
      </c>
      <c r="E2876" t="s">
        <v>154</v>
      </c>
      <c r="F2876" t="s">
        <v>91</v>
      </c>
      <c r="J2876" s="389">
        <v>10236</v>
      </c>
    </row>
    <row r="2877" spans="1:10" ht="15">
      <c r="A2877" s="137" t="str">
        <f t="shared" si="34"/>
        <v>HRNOMINA SUCURSALA5</v>
      </c>
      <c r="B2877" t="s">
        <v>3214</v>
      </c>
      <c r="C2877" s="1">
        <v>46052</v>
      </c>
      <c r="D2877" t="s">
        <v>29</v>
      </c>
      <c r="E2877" t="s">
        <v>154</v>
      </c>
      <c r="F2877" t="s">
        <v>92</v>
      </c>
      <c r="J2877" s="389">
        <v>13565</v>
      </c>
    </row>
    <row r="2878" spans="1:10" ht="15">
      <c r="A2878" s="137" t="str">
        <f t="shared" si="34"/>
        <v>HRNOMINA SUCURSALA6</v>
      </c>
      <c r="B2878" t="s">
        <v>3214</v>
      </c>
      <c r="C2878" s="1">
        <v>46052</v>
      </c>
      <c r="D2878" t="s">
        <v>29</v>
      </c>
      <c r="E2878" t="s">
        <v>154</v>
      </c>
      <c r="F2878" t="s">
        <v>93</v>
      </c>
      <c r="J2878" s="389">
        <v>16092.09</v>
      </c>
    </row>
    <row r="2879" spans="1:10" ht="15">
      <c r="A2879" s="137" t="str">
        <f t="shared" si="34"/>
        <v>HRNOMINA SUCURSALA8</v>
      </c>
      <c r="B2879" t="s">
        <v>3214</v>
      </c>
      <c r="C2879" s="1">
        <v>46052</v>
      </c>
      <c r="D2879" t="s">
        <v>29</v>
      </c>
      <c r="E2879" t="s">
        <v>154</v>
      </c>
      <c r="F2879" t="s">
        <v>94</v>
      </c>
      <c r="J2879" s="389">
        <v>24295</v>
      </c>
    </row>
    <row r="2880" spans="1:10" ht="15">
      <c r="A2880" s="137" t="str">
        <f t="shared" si="34"/>
        <v>HRNOMINA SUCURSALA9</v>
      </c>
      <c r="B2880" t="s">
        <v>3214</v>
      </c>
      <c r="C2880" s="1">
        <v>46052</v>
      </c>
      <c r="D2880" t="s">
        <v>29</v>
      </c>
      <c r="E2880" t="s">
        <v>154</v>
      </c>
      <c r="F2880" t="s">
        <v>95</v>
      </c>
      <c r="J2880" s="389">
        <v>12151.02</v>
      </c>
    </row>
    <row r="2881" spans="1:10" ht="15">
      <c r="A2881" s="137" t="str">
        <f t="shared" si="34"/>
        <v>HRNOMINA SUCURSALA10</v>
      </c>
      <c r="B2881" t="s">
        <v>3214</v>
      </c>
      <c r="C2881" s="1">
        <v>46052</v>
      </c>
      <c r="D2881" t="s">
        <v>29</v>
      </c>
      <c r="E2881" t="s">
        <v>154</v>
      </c>
      <c r="F2881" t="s">
        <v>96</v>
      </c>
      <c r="J2881" s="389">
        <v>20611</v>
      </c>
    </row>
    <row r="2882" spans="1:10" ht="15">
      <c r="A2882" s="137" t="str">
        <f t="shared" si="34"/>
        <v>HRNOMINA SUCURSALA11</v>
      </c>
      <c r="B2882" t="s">
        <v>3214</v>
      </c>
      <c r="C2882" s="1">
        <v>46052</v>
      </c>
      <c r="D2882" t="s">
        <v>29</v>
      </c>
      <c r="E2882" t="s">
        <v>154</v>
      </c>
      <c r="F2882" t="s">
        <v>97</v>
      </c>
      <c r="J2882" s="389">
        <v>14426</v>
      </c>
    </row>
    <row r="2883" spans="1:10" ht="15">
      <c r="A2883" s="137" t="str">
        <f t="shared" si="34"/>
        <v>HRNOMINA SUCURSALA12</v>
      </c>
      <c r="B2883" t="s">
        <v>3214</v>
      </c>
      <c r="C2883" s="1">
        <v>46052</v>
      </c>
      <c r="D2883" t="s">
        <v>29</v>
      </c>
      <c r="E2883" t="s">
        <v>154</v>
      </c>
      <c r="F2883" t="s">
        <v>98</v>
      </c>
      <c r="J2883" s="389">
        <v>20870</v>
      </c>
    </row>
    <row r="2884" spans="1:10" ht="15">
      <c r="A2884" s="137" t="str">
        <f t="shared" si="34"/>
        <v>HRNOMINA SUCURSALA14</v>
      </c>
      <c r="B2884" t="s">
        <v>3214</v>
      </c>
      <c r="C2884" s="1">
        <v>46052</v>
      </c>
      <c r="D2884" t="s">
        <v>29</v>
      </c>
      <c r="E2884" t="s">
        <v>154</v>
      </c>
      <c r="F2884" t="s">
        <v>99</v>
      </c>
      <c r="J2884" s="389">
        <v>15064</v>
      </c>
    </row>
    <row r="2885" spans="1:10" ht="15">
      <c r="A2885" s="137" t="str">
        <f t="shared" si="34"/>
        <v>HRNOMINA SUCURSALA15</v>
      </c>
      <c r="B2885" t="s">
        <v>3214</v>
      </c>
      <c r="C2885" s="1">
        <v>46052</v>
      </c>
      <c r="D2885" t="s">
        <v>29</v>
      </c>
      <c r="E2885" t="s">
        <v>154</v>
      </c>
      <c r="F2885" t="s">
        <v>100</v>
      </c>
      <c r="J2885" s="389">
        <v>12844</v>
      </c>
    </row>
    <row r="2886" spans="1:10" ht="15">
      <c r="A2886" s="137" t="str">
        <f t="shared" si="34"/>
        <v>HRNOMINA SUCURSALA16</v>
      </c>
      <c r="B2886" t="s">
        <v>3214</v>
      </c>
      <c r="C2886" s="1">
        <v>46052</v>
      </c>
      <c r="D2886" t="s">
        <v>29</v>
      </c>
      <c r="E2886" t="s">
        <v>154</v>
      </c>
      <c r="F2886" t="s">
        <v>101</v>
      </c>
      <c r="J2886" s="389">
        <v>17427.89</v>
      </c>
    </row>
    <row r="2887" spans="1:10" ht="15">
      <c r="A2887" s="137" t="str">
        <f t="shared" si="34"/>
        <v>HRNOMINA SUCURSALA17</v>
      </c>
      <c r="B2887" t="s">
        <v>3214</v>
      </c>
      <c r="C2887" s="1">
        <v>46052</v>
      </c>
      <c r="D2887" t="s">
        <v>29</v>
      </c>
      <c r="E2887" t="s">
        <v>154</v>
      </c>
      <c r="F2887" t="s">
        <v>102</v>
      </c>
      <c r="J2887" s="389">
        <v>13160</v>
      </c>
    </row>
    <row r="2888" spans="1:10" ht="15">
      <c r="A2888" s="137" t="str">
        <f t="shared" si="34"/>
        <v>HRNOMINA SUCURSALA18</v>
      </c>
      <c r="B2888" t="s">
        <v>3214</v>
      </c>
      <c r="C2888" s="1">
        <v>46052</v>
      </c>
      <c r="D2888" t="s">
        <v>29</v>
      </c>
      <c r="E2888" t="s">
        <v>154</v>
      </c>
      <c r="F2888" t="s">
        <v>103</v>
      </c>
      <c r="J2888" s="389">
        <v>18315</v>
      </c>
    </row>
    <row r="2889" spans="1:10" ht="15">
      <c r="A2889" s="137" t="str">
        <f t="shared" si="34"/>
        <v>HRNOMINA SUCURSALA22</v>
      </c>
      <c r="B2889" t="s">
        <v>3214</v>
      </c>
      <c r="C2889" s="1">
        <v>46052</v>
      </c>
      <c r="D2889" t="s">
        <v>29</v>
      </c>
      <c r="E2889" t="s">
        <v>154</v>
      </c>
      <c r="F2889" t="s">
        <v>104</v>
      </c>
      <c r="J2889" s="389">
        <v>9252</v>
      </c>
    </row>
    <row r="2890" spans="1:10" ht="15">
      <c r="A2890" s="137" t="str">
        <f t="shared" si="34"/>
        <v>HRNOMINA SUCURSALA23</v>
      </c>
      <c r="B2890" t="s">
        <v>3214</v>
      </c>
      <c r="C2890" s="1">
        <v>46052</v>
      </c>
      <c r="D2890" t="s">
        <v>29</v>
      </c>
      <c r="E2890" t="s">
        <v>154</v>
      </c>
      <c r="F2890" t="s">
        <v>105</v>
      </c>
      <c r="J2890" s="389">
        <v>12185</v>
      </c>
    </row>
    <row r="2891" spans="1:10" ht="15">
      <c r="A2891" s="137" t="str">
        <f t="shared" si="34"/>
        <v>HRNOMINA SUCURSALA24</v>
      </c>
      <c r="B2891" t="s">
        <v>3214</v>
      </c>
      <c r="C2891" s="1">
        <v>46052</v>
      </c>
      <c r="D2891" t="s">
        <v>29</v>
      </c>
      <c r="E2891" t="s">
        <v>154</v>
      </c>
      <c r="F2891" t="s">
        <v>106</v>
      </c>
      <c r="J2891" s="389">
        <v>19345</v>
      </c>
    </row>
    <row r="2892" spans="1:10" ht="15">
      <c r="A2892" s="137" t="str">
        <f t="shared" si="34"/>
        <v>CAPNOMINA SUCURSALE1</v>
      </c>
      <c r="B2892" t="s">
        <v>3214</v>
      </c>
      <c r="C2892" s="1">
        <v>46052</v>
      </c>
      <c r="D2892" t="s">
        <v>31</v>
      </c>
      <c r="E2892" t="s">
        <v>154</v>
      </c>
      <c r="F2892" t="s">
        <v>107</v>
      </c>
      <c r="J2892" s="389">
        <v>16555.68</v>
      </c>
    </row>
    <row r="2893" spans="1:10" ht="15">
      <c r="A2893" s="137" t="str">
        <f t="shared" si="34"/>
        <v>CAPNOMINA SUCURSALE2</v>
      </c>
      <c r="B2893" t="s">
        <v>3214</v>
      </c>
      <c r="C2893" s="1">
        <v>46052</v>
      </c>
      <c r="D2893" t="s">
        <v>31</v>
      </c>
      <c r="E2893" t="s">
        <v>154</v>
      </c>
      <c r="F2893" t="s">
        <v>108</v>
      </c>
      <c r="J2893" s="389">
        <v>25373.8</v>
      </c>
    </row>
    <row r="2894" spans="1:10" ht="15">
      <c r="A2894" s="137" t="str">
        <f t="shared" si="34"/>
        <v>CAPNOMINA SUCURSALE3</v>
      </c>
      <c r="B2894" t="s">
        <v>3214</v>
      </c>
      <c r="C2894" s="1">
        <v>46052</v>
      </c>
      <c r="D2894" t="s">
        <v>31</v>
      </c>
      <c r="E2894" t="s">
        <v>154</v>
      </c>
      <c r="F2894" t="s">
        <v>109</v>
      </c>
      <c r="J2894" s="389">
        <v>16757</v>
      </c>
    </row>
    <row r="2895" spans="1:10" ht="15">
      <c r="A2895" s="137" t="str">
        <f t="shared" si="34"/>
        <v>CAPNOMINA SUCURSALE4</v>
      </c>
      <c r="B2895" t="s">
        <v>3214</v>
      </c>
      <c r="C2895" s="1">
        <v>46052</v>
      </c>
      <c r="D2895" t="s">
        <v>31</v>
      </c>
      <c r="E2895" t="s">
        <v>154</v>
      </c>
      <c r="F2895" t="s">
        <v>110</v>
      </c>
      <c r="J2895" s="389">
        <v>28829.4</v>
      </c>
    </row>
    <row r="2896" spans="1:10" ht="15">
      <c r="A2896" s="137" t="str">
        <f t="shared" si="34"/>
        <v>CAPNOMINA SUCURSALE5</v>
      </c>
      <c r="B2896" t="s">
        <v>3214</v>
      </c>
      <c r="C2896" s="1">
        <v>46052</v>
      </c>
      <c r="D2896" t="s">
        <v>31</v>
      </c>
      <c r="E2896" t="s">
        <v>154</v>
      </c>
      <c r="F2896" t="s">
        <v>111</v>
      </c>
      <c r="J2896" s="389">
        <v>25574</v>
      </c>
    </row>
    <row r="2897" spans="1:10" ht="15">
      <c r="A2897" s="137" t="str">
        <f t="shared" si="34"/>
        <v>CAPNOMINA SUCURSALE6</v>
      </c>
      <c r="B2897" t="s">
        <v>3214</v>
      </c>
      <c r="C2897" s="1">
        <v>46052</v>
      </c>
      <c r="D2897" t="s">
        <v>31</v>
      </c>
      <c r="E2897" t="s">
        <v>154</v>
      </c>
      <c r="F2897" t="s">
        <v>112</v>
      </c>
      <c r="J2897" s="389">
        <v>15669</v>
      </c>
    </row>
    <row r="2898" spans="1:10" ht="15">
      <c r="A2898" s="137" t="str">
        <f t="shared" si="34"/>
        <v>CAPNOMINA SUCURSALE7</v>
      </c>
      <c r="B2898" t="s">
        <v>3214</v>
      </c>
      <c r="C2898" s="1">
        <v>46052</v>
      </c>
      <c r="D2898" t="s">
        <v>31</v>
      </c>
      <c r="E2898" t="s">
        <v>154</v>
      </c>
      <c r="F2898" t="s">
        <v>113</v>
      </c>
      <c r="J2898" s="389">
        <v>16226.6</v>
      </c>
    </row>
    <row r="2899" spans="1:10" ht="15">
      <c r="A2899" s="137" t="str">
        <f t="shared" si="34"/>
        <v>CAPNOMINA SUCURSALE8</v>
      </c>
      <c r="B2899" t="s">
        <v>3214</v>
      </c>
      <c r="C2899" s="1">
        <v>46052</v>
      </c>
      <c r="D2899" t="s">
        <v>31</v>
      </c>
      <c r="E2899" t="s">
        <v>154</v>
      </c>
      <c r="F2899" t="s">
        <v>114</v>
      </c>
      <c r="J2899" s="389">
        <v>29098</v>
      </c>
    </row>
    <row r="2900" spans="1:10" ht="15">
      <c r="A2900" s="137" t="str">
        <f t="shared" si="34"/>
        <v>CAPNOMINA SUCURSALE9</v>
      </c>
      <c r="B2900" t="s">
        <v>3214</v>
      </c>
      <c r="C2900" s="1">
        <v>46052</v>
      </c>
      <c r="D2900" t="s">
        <v>31</v>
      </c>
      <c r="E2900" t="s">
        <v>154</v>
      </c>
      <c r="F2900" t="s">
        <v>116</v>
      </c>
      <c r="J2900" s="389">
        <v>23707.8</v>
      </c>
    </row>
    <row r="2901" spans="1:10" ht="15">
      <c r="A2901" s="137" t="str">
        <f t="shared" si="34"/>
        <v>CAPNOMINA SUCURSALE10</v>
      </c>
      <c r="B2901" t="s">
        <v>3214</v>
      </c>
      <c r="C2901" s="1">
        <v>46052</v>
      </c>
      <c r="D2901" t="s">
        <v>31</v>
      </c>
      <c r="E2901" t="s">
        <v>154</v>
      </c>
      <c r="F2901" t="s">
        <v>117</v>
      </c>
      <c r="J2901" s="389">
        <v>9328.2000000000007</v>
      </c>
    </row>
    <row r="2902" spans="1:10" ht="15">
      <c r="A2902" s="137" t="str">
        <f t="shared" si="34"/>
        <v>CAPNOMINA SUCURSALE11</v>
      </c>
      <c r="B2902" t="s">
        <v>3214</v>
      </c>
      <c r="C2902" s="1">
        <v>46052</v>
      </c>
      <c r="D2902" t="s">
        <v>31</v>
      </c>
      <c r="E2902" t="s">
        <v>154</v>
      </c>
      <c r="F2902" t="s">
        <v>118</v>
      </c>
      <c r="J2902" s="389">
        <v>37147.199999999997</v>
      </c>
    </row>
    <row r="2903" spans="1:10" ht="15">
      <c r="A2903" s="137" t="str">
        <f t="shared" si="34"/>
        <v>ELINOMINA SUCURSALL1</v>
      </c>
      <c r="B2903" t="s">
        <v>3214</v>
      </c>
      <c r="C2903" s="1">
        <v>46052</v>
      </c>
      <c r="D2903" t="s">
        <v>130</v>
      </c>
      <c r="E2903" t="s">
        <v>154</v>
      </c>
      <c r="F2903" t="s">
        <v>136</v>
      </c>
      <c r="J2903" s="389">
        <v>24025.4</v>
      </c>
    </row>
    <row r="2904" spans="1:10" ht="15">
      <c r="A2904" s="137" t="str">
        <f t="shared" si="34"/>
        <v>HRNOMINA ADMONHR</v>
      </c>
      <c r="B2904" t="s">
        <v>3214</v>
      </c>
      <c r="C2904" s="1">
        <v>46052</v>
      </c>
      <c r="D2904" t="s">
        <v>29</v>
      </c>
      <c r="E2904" t="s">
        <v>147</v>
      </c>
      <c r="F2904" t="s">
        <v>29</v>
      </c>
      <c r="J2904" s="389">
        <v>26290</v>
      </c>
    </row>
    <row r="2905" spans="1:10" ht="15">
      <c r="A2905" s="137" t="str">
        <f t="shared" si="34"/>
        <v>CAPNOMINA ADMONCAPRICHOS</v>
      </c>
      <c r="B2905" t="s">
        <v>3214</v>
      </c>
      <c r="C2905" s="1">
        <v>46052</v>
      </c>
      <c r="D2905" t="s">
        <v>31</v>
      </c>
      <c r="E2905" t="s">
        <v>147</v>
      </c>
      <c r="F2905" t="s">
        <v>33</v>
      </c>
      <c r="J2905" s="389">
        <v>20640.900000000001</v>
      </c>
    </row>
    <row r="2906" spans="1:10" ht="15">
      <c r="A2906" s="137" t="str">
        <f t="shared" si="34"/>
        <v>SERVICIOSNOMINA SUCURSALCEDIS</v>
      </c>
      <c r="B2906" t="s">
        <v>3214</v>
      </c>
      <c r="C2906" s="1">
        <v>46052</v>
      </c>
      <c r="D2906" t="s">
        <v>21</v>
      </c>
      <c r="E2906" t="s">
        <v>154</v>
      </c>
      <c r="F2906" t="s">
        <v>28</v>
      </c>
      <c r="J2906" s="389">
        <v>71897.78</v>
      </c>
    </row>
    <row r="2907" spans="1:10" ht="15">
      <c r="A2907" s="137" t="str">
        <f t="shared" si="34"/>
        <v>SERVICIOSNOMINA ADMONINVENTARIOS</v>
      </c>
      <c r="B2907" t="s">
        <v>3214</v>
      </c>
      <c r="C2907" s="1">
        <v>46052</v>
      </c>
      <c r="D2907" t="s">
        <v>21</v>
      </c>
      <c r="E2907" t="s">
        <v>147</v>
      </c>
      <c r="F2907" t="s">
        <v>34</v>
      </c>
      <c r="J2907" s="389">
        <v>3020</v>
      </c>
    </row>
    <row r="2908" spans="1:10" ht="15">
      <c r="A2908" s="137" t="str">
        <f t="shared" si="34"/>
        <v>SERVICIOSNOMINA ADMONMANTENIMIENTO</v>
      </c>
      <c r="B2908" t="s">
        <v>3214</v>
      </c>
      <c r="C2908" s="1">
        <v>46052</v>
      </c>
      <c r="D2908" t="s">
        <v>21</v>
      </c>
      <c r="E2908" t="s">
        <v>147</v>
      </c>
      <c r="F2908" t="s">
        <v>35</v>
      </c>
      <c r="J2908" s="389">
        <v>18011.419999999998</v>
      </c>
    </row>
    <row r="2909" spans="1:10" ht="15">
      <c r="A2909" s="137" t="str">
        <f t="shared" si="34"/>
        <v>SERVICIOSNOMINA ADMONCADENA DE SUMINISTROS</v>
      </c>
      <c r="B2909" t="s">
        <v>3214</v>
      </c>
      <c r="C2909" s="1">
        <v>46052</v>
      </c>
      <c r="D2909" t="s">
        <v>21</v>
      </c>
      <c r="E2909" t="s">
        <v>147</v>
      </c>
      <c r="F2909" t="s">
        <v>134</v>
      </c>
      <c r="J2909" s="389">
        <v>23067.61</v>
      </c>
    </row>
    <row r="2910" spans="1:10" ht="15">
      <c r="A2910" s="137" t="str">
        <f t="shared" si="34"/>
        <v>SERVICIOSNOMINA ADMONSISTEMAS</v>
      </c>
      <c r="B2910" t="s">
        <v>3214</v>
      </c>
      <c r="C2910" s="1">
        <v>46052</v>
      </c>
      <c r="D2910" t="s">
        <v>21</v>
      </c>
      <c r="E2910" t="s">
        <v>147</v>
      </c>
      <c r="F2910" t="s">
        <v>36</v>
      </c>
      <c r="J2910" s="389">
        <v>10586.29</v>
      </c>
    </row>
    <row r="2911" spans="1:10" ht="15">
      <c r="A2911" s="137" t="str">
        <f t="shared" si="34"/>
        <v>SERVICIOSNOMINA ADMONCOMPRAS</v>
      </c>
      <c r="B2911" t="s">
        <v>3214</v>
      </c>
      <c r="C2911" s="1">
        <v>46052</v>
      </c>
      <c r="D2911" t="s">
        <v>21</v>
      </c>
      <c r="E2911" t="s">
        <v>147</v>
      </c>
      <c r="F2911" t="s">
        <v>148</v>
      </c>
      <c r="J2911" s="389">
        <v>24494.21</v>
      </c>
    </row>
    <row r="2912" spans="1:10" ht="15">
      <c r="A2912" s="137" t="str">
        <f t="shared" si="34"/>
        <v>FINANZASNOMINA ADMONCONTABILIDAD</v>
      </c>
      <c r="B2912" t="s">
        <v>3214</v>
      </c>
      <c r="C2912" s="1">
        <v>46052</v>
      </c>
      <c r="D2912" t="s">
        <v>23</v>
      </c>
      <c r="E2912" t="s">
        <v>147</v>
      </c>
      <c r="F2912" t="s">
        <v>37</v>
      </c>
      <c r="J2912" s="389">
        <v>18479.810000000001</v>
      </c>
    </row>
    <row r="2913" spans="1:10" ht="15">
      <c r="A2913" s="137" t="str">
        <f t="shared" si="34"/>
        <v>FINANZASNOMINA ADMONFINANZAS/LEGAL</v>
      </c>
      <c r="B2913" t="s">
        <v>3214</v>
      </c>
      <c r="C2913" s="1">
        <v>46052</v>
      </c>
      <c r="D2913" t="s">
        <v>23</v>
      </c>
      <c r="E2913" t="s">
        <v>147</v>
      </c>
      <c r="F2913" t="s">
        <v>149</v>
      </c>
      <c r="J2913" s="389">
        <v>10090</v>
      </c>
    </row>
    <row r="2914" spans="1:10" ht="15">
      <c r="A2914" s="137" t="str">
        <f t="shared" si="34"/>
        <v>FINANZASNOMINA ADMONRECURSOS HUMANOS</v>
      </c>
      <c r="B2914" t="s">
        <v>3214</v>
      </c>
      <c r="C2914" s="1">
        <v>46052</v>
      </c>
      <c r="D2914" t="s">
        <v>23</v>
      </c>
      <c r="E2914" t="s">
        <v>147</v>
      </c>
      <c r="F2914" t="s">
        <v>125</v>
      </c>
      <c r="J2914" s="389">
        <v>10040.629999999999</v>
      </c>
    </row>
    <row r="2915" spans="1:10" ht="15">
      <c r="A2915" s="137" t="str">
        <f t="shared" si="34"/>
        <v>FINANZASNOMINA ADMONTESORERIA</v>
      </c>
      <c r="B2915" t="s">
        <v>3214</v>
      </c>
      <c r="C2915" s="1">
        <v>46052</v>
      </c>
      <c r="D2915" t="s">
        <v>23</v>
      </c>
      <c r="E2915" t="s">
        <v>147</v>
      </c>
      <c r="F2915" t="s">
        <v>38</v>
      </c>
      <c r="J2915" s="389">
        <v>12810.6</v>
      </c>
    </row>
    <row r="2916" spans="1:10" ht="15">
      <c r="A2916" s="137" t="str">
        <f t="shared" si="34"/>
        <v>FINANZASNOMINA ADMONHBG FINANZAS</v>
      </c>
      <c r="B2916" t="s">
        <v>3214</v>
      </c>
      <c r="C2916" s="1">
        <v>46052</v>
      </c>
      <c r="D2916" t="s">
        <v>23</v>
      </c>
      <c r="E2916" t="s">
        <v>147</v>
      </c>
      <c r="F2916" t="s">
        <v>150</v>
      </c>
      <c r="J2916" s="389">
        <v>3102.8</v>
      </c>
    </row>
    <row r="2917" spans="1:10" ht="15">
      <c r="A2917" s="137" t="str">
        <f t="shared" si="34"/>
        <v>SGENOMINA ADMONGESTION EMPRESARIAL</v>
      </c>
      <c r="B2917" t="s">
        <v>3214</v>
      </c>
      <c r="C2917" s="1">
        <v>46052</v>
      </c>
      <c r="D2917" t="s">
        <v>39</v>
      </c>
      <c r="E2917" t="s">
        <v>147</v>
      </c>
      <c r="F2917" t="s">
        <v>40</v>
      </c>
      <c r="J2917" s="389">
        <v>25452.02</v>
      </c>
    </row>
    <row r="2918" spans="1:10" ht="15">
      <c r="A2918" s="137" t="str">
        <f t="shared" si="34"/>
        <v>DENOMINA ADMONDIRECCION</v>
      </c>
      <c r="B2918" t="s">
        <v>3214</v>
      </c>
      <c r="C2918" s="1">
        <v>46052</v>
      </c>
      <c r="D2918" t="s">
        <v>41</v>
      </c>
      <c r="E2918" t="s">
        <v>147</v>
      </c>
      <c r="F2918" t="s">
        <v>42</v>
      </c>
      <c r="J2918" s="389">
        <v>3500</v>
      </c>
    </row>
    <row r="2919" spans="1:10" ht="15">
      <c r="A2919" s="137" t="str">
        <f t="shared" si="34"/>
        <v>MELNOMINA ADMONMELISSA</v>
      </c>
      <c r="B2919" t="s">
        <v>3214</v>
      </c>
      <c r="C2919" s="1">
        <v>46052</v>
      </c>
      <c r="D2919" t="s">
        <v>43</v>
      </c>
      <c r="E2919" t="s">
        <v>147</v>
      </c>
      <c r="F2919" t="s">
        <v>44</v>
      </c>
      <c r="J2919" s="389">
        <v>6325</v>
      </c>
    </row>
    <row r="2920" spans="1:10" ht="15">
      <c r="A2920" s="137" t="str">
        <f t="shared" si="34"/>
        <v>MMNOMINA ADMONMARKET MAX</v>
      </c>
      <c r="B2920" t="s">
        <v>3214</v>
      </c>
      <c r="C2920" s="1">
        <v>46052</v>
      </c>
      <c r="D2920" t="s">
        <v>45</v>
      </c>
      <c r="E2920" t="s">
        <v>147</v>
      </c>
      <c r="F2920" t="s">
        <v>46</v>
      </c>
      <c r="J2920" s="389">
        <v>13645.54</v>
      </c>
    </row>
    <row r="2921" spans="1:10" ht="15">
      <c r="A2921" s="137" t="str">
        <f t="shared" si="34"/>
        <v>ANALISISNOMINA ADMONANALISIS DE DATOS</v>
      </c>
      <c r="B2921" t="s">
        <v>3214</v>
      </c>
      <c r="C2921" s="1">
        <v>46052</v>
      </c>
      <c r="D2921" t="s">
        <v>152</v>
      </c>
      <c r="E2921" t="s">
        <v>147</v>
      </c>
      <c r="F2921" t="s">
        <v>153</v>
      </c>
      <c r="J2921" s="389">
        <v>7000.6</v>
      </c>
    </row>
    <row r="2922" spans="1:10" ht="15">
      <c r="A2922" s="137" t="str">
        <f t="shared" si="34"/>
        <v>MKTNOMINA ADMONMKT</v>
      </c>
      <c r="B2922" t="s">
        <v>3214</v>
      </c>
      <c r="C2922" s="1">
        <v>46052</v>
      </c>
      <c r="D2922" t="s">
        <v>19</v>
      </c>
      <c r="E2922" t="s">
        <v>147</v>
      </c>
      <c r="F2922" t="s">
        <v>19</v>
      </c>
      <c r="J2922" s="389">
        <v>26957</v>
      </c>
    </row>
    <row r="2923" spans="1:10" ht="15">
      <c r="A2923" s="137" t="str">
        <f t="shared" si="34"/>
        <v>FINANZASNOMINA ADMONHBG FINANZAS</v>
      </c>
      <c r="B2923" t="s">
        <v>3214</v>
      </c>
      <c r="C2923" s="1">
        <v>46052</v>
      </c>
      <c r="D2923" t="s">
        <v>23</v>
      </c>
      <c r="E2923" t="s">
        <v>147</v>
      </c>
      <c r="F2923" s="12" t="s">
        <v>150</v>
      </c>
      <c r="J2923" s="385">
        <v>10950</v>
      </c>
    </row>
    <row r="2924" spans="1:10" ht="15">
      <c r="A2924" s="137" t="str">
        <f t="shared" si="34"/>
        <v>HRNOMINA ADMONHR</v>
      </c>
      <c r="B2924" t="s">
        <v>3214</v>
      </c>
      <c r="C2924" s="1">
        <v>46052</v>
      </c>
      <c r="D2924" t="s">
        <v>29</v>
      </c>
      <c r="E2924" t="s">
        <v>147</v>
      </c>
      <c r="F2924" s="3" t="s">
        <v>29</v>
      </c>
      <c r="J2924" s="385">
        <v>5500</v>
      </c>
    </row>
    <row r="2925" spans="1:10" ht="15">
      <c r="A2925" s="137" t="str">
        <f t="shared" si="34"/>
        <v>CAPNOMINA ADMONCAPRICHOS</v>
      </c>
      <c r="B2925" t="s">
        <v>3214</v>
      </c>
      <c r="C2925" s="1">
        <v>46052</v>
      </c>
      <c r="D2925" t="s">
        <v>31</v>
      </c>
      <c r="E2925" t="s">
        <v>147</v>
      </c>
      <c r="F2925" s="12" t="s">
        <v>33</v>
      </c>
      <c r="J2925" s="385">
        <v>3700</v>
      </c>
    </row>
    <row r="2926" spans="1:10" ht="15">
      <c r="A2926" s="137" t="str">
        <f t="shared" si="34"/>
        <v>SGENOMINA ADMONGESTION EMPRESARIAL</v>
      </c>
      <c r="B2926" t="s">
        <v>3214</v>
      </c>
      <c r="C2926" s="1">
        <v>46052</v>
      </c>
      <c r="D2926" t="s">
        <v>39</v>
      </c>
      <c r="E2926" t="s">
        <v>147</v>
      </c>
      <c r="F2926" s="12" t="s">
        <v>40</v>
      </c>
      <c r="J2926" s="385">
        <v>2750</v>
      </c>
    </row>
    <row r="2927" spans="1:10" ht="15">
      <c r="A2927" s="137" t="str">
        <f t="shared" si="34"/>
        <v>SERVICIOSNOMINA ADMONSERVICIOS</v>
      </c>
      <c r="B2927" t="s">
        <v>3214</v>
      </c>
      <c r="C2927" s="1">
        <v>46052</v>
      </c>
      <c r="D2927" t="s">
        <v>21</v>
      </c>
      <c r="E2927" t="s">
        <v>147</v>
      </c>
      <c r="F2927" s="12" t="s">
        <v>21</v>
      </c>
      <c r="J2927" s="385">
        <v>4750</v>
      </c>
    </row>
    <row r="2928" spans="1:10" ht="15">
      <c r="A2928" s="137" t="str">
        <f t="shared" si="34"/>
        <v>DENOMINA ADMONDIRECCION</v>
      </c>
      <c r="B2928" t="s">
        <v>3214</v>
      </c>
      <c r="C2928" s="1">
        <v>46052</v>
      </c>
      <c r="D2928" t="s">
        <v>41</v>
      </c>
      <c r="E2928" t="s">
        <v>147</v>
      </c>
      <c r="F2928" s="12" t="s">
        <v>42</v>
      </c>
      <c r="J2928" s="385">
        <v>20750</v>
      </c>
    </row>
    <row r="2929" spans="1:10" ht="15">
      <c r="A2929" s="137" t="str">
        <f t="shared" si="34"/>
        <v>MMNOMINA ADMONMARKET MAX</v>
      </c>
      <c r="B2929" t="s">
        <v>3214</v>
      </c>
      <c r="C2929" s="1">
        <v>46052</v>
      </c>
      <c r="D2929" t="s">
        <v>45</v>
      </c>
      <c r="E2929" t="s">
        <v>147</v>
      </c>
      <c r="F2929" t="s">
        <v>46</v>
      </c>
      <c r="J2929" s="385">
        <v>2000</v>
      </c>
    </row>
    <row r="2930" spans="1:10" ht="15">
      <c r="A2930" s="137" t="str">
        <f t="shared" si="34"/>
        <v/>
      </c>
    </row>
    <row r="2931" spans="1:10" ht="15">
      <c r="A2931" s="137" t="str">
        <f t="shared" ref="A2931:A2936" si="35">D2931&amp;E2931&amp;F2931</f>
        <v/>
      </c>
    </row>
    <row r="2932" spans="1:10" ht="15">
      <c r="A2932" s="137" t="str">
        <f t="shared" si="35"/>
        <v/>
      </c>
    </row>
    <row r="2933" spans="1:10" ht="15">
      <c r="A2933" s="137" t="str">
        <f t="shared" si="35"/>
        <v/>
      </c>
    </row>
    <row r="2934" spans="1:10" ht="15">
      <c r="A2934" s="137" t="str">
        <f t="shared" si="35"/>
        <v/>
      </c>
    </row>
    <row r="2935" spans="1:10" ht="15">
      <c r="A2935" s="137" t="str">
        <f t="shared" si="35"/>
        <v/>
      </c>
    </row>
    <row r="2936" spans="1:10" ht="15">
      <c r="A2936" s="137" t="str">
        <f t="shared" si="35"/>
        <v/>
      </c>
    </row>
    <row r="2937" spans="1:10" ht="15"/>
    <row r="2938" spans="1:10" ht="15"/>
    <row r="2939" spans="1:10" ht="15"/>
    <row r="2940" spans="1:10" ht="15"/>
    <row r="2941" spans="1:10" ht="15"/>
    <row r="2942" spans="1:10" ht="15"/>
    <row r="2943" spans="1:10" ht="15"/>
    <row r="2944" spans="1:10" ht="15"/>
    <row r="2945" ht="15"/>
    <row r="2946" ht="15"/>
    <row r="2947" ht="15"/>
    <row r="2948" ht="15"/>
    <row r="2949" ht="15"/>
    <row r="2950" ht="15"/>
    <row r="2951" ht="15"/>
    <row r="2952" ht="15"/>
    <row r="2953" ht="15"/>
    <row r="2954" ht="15"/>
    <row r="2955" ht="15"/>
    <row r="2956" ht="15"/>
    <row r="2957" ht="15"/>
    <row r="2958" ht="15"/>
    <row r="2959" ht="15"/>
    <row r="2960" ht="15"/>
    <row r="2961" ht="15"/>
    <row r="2962" ht="15"/>
    <row r="2963" ht="15"/>
    <row r="2964" ht="15"/>
    <row r="2965" ht="15"/>
    <row r="2966" ht="15"/>
    <row r="2967" ht="15"/>
    <row r="2968" ht="15"/>
    <row r="2969" ht="15"/>
    <row r="2970" ht="15"/>
    <row r="2971" ht="15"/>
    <row r="2972" ht="15"/>
    <row r="2973" ht="15"/>
    <row r="2974" ht="15"/>
  </sheetData>
  <protectedRanges>
    <protectedRange sqref="D863:F863" name="Rango1"/>
    <protectedRange sqref="E1508" name="Rango1_1"/>
    <protectedRange sqref="E1507" name="Rango1_3"/>
    <protectedRange sqref="E1570:E1582 E1640 E1747:E1752 E1822 E1816:E1820 E1882:E1887 E2054:E2055 E2104:E2108 E2112 E2110 E2175:E2177 E2233 E2291 E2347:E2348 E2459:E2463 E2811:E2812 E2872" name="Rango1_2"/>
    <protectedRange sqref="D1583:F1583 D1639:F1639" name="Rango1_4"/>
    <protectedRange sqref="D1628:F1628" name="Rango1_5"/>
    <protectedRange sqref="E1744:F1744" name="Rango1_6"/>
    <protectedRange sqref="D1815:F1815 E1871:E1873 E1881 D1888:F1888" name="Rango1_7"/>
    <protectedRange sqref="D1821:F1821" name="Rango1_8"/>
    <protectedRange sqref="D2111:F2111" name="Rango1_9"/>
    <protectedRange sqref="D2109:F2109" name="Rango1_10"/>
    <protectedRange sqref="D2234:F2234" name="Rango1_11"/>
    <protectedRange sqref="D2290:F2290" name="Rango1_12"/>
    <protectedRange sqref="D317:F317" name="Rango1_13"/>
    <protectedRange sqref="D370:F370" name="Rango1_14"/>
    <protectedRange sqref="D477:F477" name="Rango1_15"/>
    <protectedRange sqref="D479:F479" name="Rango1_16"/>
  </protectedRanges>
  <autoFilter ref="B2:N2530" xr:uid="{1E23ED3C-1967-42BB-ABA1-23A98E4AEDDB}">
    <sortState xmlns:xlrd2="http://schemas.microsoft.com/office/spreadsheetml/2017/richdata2" ref="B3:N698">
      <sortCondition ref="C2:C698"/>
    </sortState>
  </autoFilter>
  <dataValidations count="4">
    <dataValidation type="list" allowBlank="1" showInputMessage="1" showErrorMessage="1" sqref="D3:D423 D427:D477 D482:D525 D532:D538 D540:D595 D597:D647 D651:D694 D698:D711 D713:D755 D1023 D1077 D1131 D1134:D1135 D1241 D1243 D1299 D1354 D2578" xr:uid="{361F8469-2B71-4493-866F-5543C3093AA5}">
      <formula1>MARCA</formula1>
    </dataValidation>
    <dataValidation type="list" allowBlank="1" showInputMessage="1" showErrorMessage="1" sqref="E3:E477 E482:E525 E532:E538 E540:E595 E597:E647 E651:E694 E700:E711 E713:E755 E1023 E1077 E1131 E1134:E1135 E1241 E1243 E1299 E1354 E2578" xr:uid="{CB0BA026-4615-4BF9-BC75-0C6DD66DEB96}">
      <formula1>PRESUPUESTO</formula1>
    </dataValidation>
    <dataValidation type="list" allowBlank="1" showInputMessage="1" showErrorMessage="1" sqref="F3:F423 F427:F477 F482:F525 F532:F538 F540:F595 F597:F647 F651:F694 F698:F711 F713:F755 F1023 F1077 F1131 F1134:F1135 F1241 F1243 F1299 F1354 F2578" xr:uid="{381CB8D2-7C86-4222-B02E-439BAE15C50C}">
      <formula1>CONCEPTO</formula1>
    </dataValidation>
    <dataValidation type="list" allowBlank="1" showInputMessage="1" showErrorMessage="1" sqref="G3:G399" xr:uid="{9500DE62-8E71-48A9-9686-26298709BB48}">
      <formula1>APARTADO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MN XC</dc:creator>
  <cp:keywords/>
  <dc:description/>
  <cp:lastModifiedBy>Marcela Molina</cp:lastModifiedBy>
  <cp:revision/>
  <dcterms:created xsi:type="dcterms:W3CDTF">2024-07-23T17:27:20Z</dcterms:created>
  <dcterms:modified xsi:type="dcterms:W3CDTF">2026-03-30T23:31:48Z</dcterms:modified>
  <cp:category/>
  <cp:contentStatus/>
</cp:coreProperties>
</file>